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url</t>
        </is>
      </c>
      <c r="C1" t="inlineStr">
        <is>
          <t>views</t>
        </is>
      </c>
      <c r="D1" t="inlineStr">
        <is>
          <t>items</t>
        </is>
      </c>
      <c r="E1" t="inlineStr">
        <is>
          <t>points de vie</t>
        </is>
      </c>
      <c r="F1" t="inlineStr">
        <is>
          <t>PA</t>
        </is>
      </c>
      <c r="G1" t="inlineStr">
        <is>
          <t>PM</t>
        </is>
      </c>
      <c r="H1" t="inlineStr">
        <is>
          <t>PO</t>
        </is>
      </c>
      <c r="I1" t="inlineStr">
        <is>
          <t>initiative</t>
        </is>
      </c>
      <c r="J1" t="inlineStr">
        <is>
          <t>invocation</t>
        </is>
      </c>
      <c r="K1" t="inlineStr">
        <is>
          <t>prospection</t>
        </is>
      </c>
      <c r="L1" t="inlineStr">
        <is>
          <t>critique</t>
        </is>
      </c>
      <c r="M1" t="inlineStr">
        <is>
          <t>soin</t>
        </is>
      </c>
      <c r="N1" t="inlineStr">
        <is>
          <t>vitalite</t>
        </is>
      </c>
      <c r="O1" t="inlineStr">
        <is>
          <t>sagesse</t>
        </is>
      </c>
      <c r="P1" t="inlineStr">
        <is>
          <t>force</t>
        </is>
      </c>
      <c r="Q1" t="inlineStr">
        <is>
          <t>intelligence</t>
        </is>
      </c>
      <c r="R1" t="inlineStr">
        <is>
          <t>chance</t>
        </is>
      </c>
      <c r="S1" t="inlineStr">
        <is>
          <t>agilite</t>
        </is>
      </c>
      <c r="T1" t="inlineStr">
        <is>
          <t>puissance</t>
        </is>
      </c>
      <c r="U1" t="inlineStr">
        <is>
          <t>fuite</t>
        </is>
      </c>
      <c r="V1" t="inlineStr">
        <is>
          <t>esquive PA</t>
        </is>
      </c>
      <c r="W1" t="inlineStr">
        <is>
          <t>esquive PM</t>
        </is>
      </c>
      <c r="X1" t="inlineStr">
        <is>
          <t>pods</t>
        </is>
      </c>
      <c r="Y1" t="inlineStr">
        <is>
          <t>bouclier</t>
        </is>
      </c>
      <c r="Z1" t="inlineStr">
        <is>
          <t>niveau du stuff</t>
        </is>
      </c>
      <c r="AA1" t="inlineStr">
        <is>
          <t>tacle</t>
        </is>
      </c>
      <c r="AB1" t="inlineStr">
        <is>
          <t>retrait PA</t>
        </is>
      </c>
      <c r="AC1" t="inlineStr">
        <is>
          <t>retrait PM</t>
        </is>
      </c>
      <c r="AD1" t="inlineStr">
        <is>
          <t>dmg pieges</t>
        </is>
      </c>
      <c r="AE1" t="inlineStr">
        <is>
          <t>pui pieges</t>
        </is>
      </c>
      <c r="AF1" t="inlineStr">
        <is>
          <t>renvoi dmg</t>
        </is>
      </c>
      <c r="AG1" t="inlineStr">
        <is>
          <t>dmg neutre</t>
        </is>
      </c>
      <c r="AH1" t="inlineStr">
        <is>
          <t>dmg terre</t>
        </is>
      </c>
      <c r="AI1" t="inlineStr">
        <is>
          <t>dmg feu</t>
        </is>
      </c>
      <c r="AJ1" t="inlineStr">
        <is>
          <t>dmg eau</t>
        </is>
      </c>
      <c r="AK1" t="inlineStr">
        <is>
          <t>dmg air</t>
        </is>
      </c>
      <c r="AL1" t="inlineStr">
        <is>
          <t>res neutre</t>
        </is>
      </c>
      <c r="AM1" t="inlineStr">
        <is>
          <t>res terre</t>
        </is>
      </c>
      <c r="AN1" t="inlineStr">
        <is>
          <t>res feu</t>
        </is>
      </c>
      <c r="AO1" t="inlineStr">
        <is>
          <t>res eau</t>
        </is>
      </c>
      <c r="AP1" t="inlineStr">
        <is>
          <t>res air</t>
        </is>
      </c>
      <c r="AQ1" t="inlineStr">
        <is>
          <t>res% neutre</t>
        </is>
      </c>
      <c r="AR1" t="inlineStr">
        <is>
          <t>res% terre</t>
        </is>
      </c>
      <c r="AS1" t="inlineStr">
        <is>
          <t>res% feu</t>
        </is>
      </c>
      <c r="AT1" t="inlineStr">
        <is>
          <t>res% eau</t>
        </is>
      </c>
      <c r="AU1" t="inlineStr">
        <is>
          <t>res% air</t>
        </is>
      </c>
      <c r="AV1" t="inlineStr">
        <is>
          <t>dmg melee</t>
        </is>
      </c>
      <c r="AW1" t="inlineStr">
        <is>
          <t>dmg distance</t>
        </is>
      </c>
      <c r="AX1" t="inlineStr">
        <is>
          <t>dmg armes</t>
        </is>
      </c>
      <c r="AY1" t="inlineStr">
        <is>
          <t>dmg sorts</t>
        </is>
      </c>
      <c r="AZ1" t="inlineStr">
        <is>
          <t>dmg critique</t>
        </is>
      </c>
      <c r="BA1" t="inlineStr">
        <is>
          <t>dmg poussee</t>
        </is>
      </c>
      <c r="BB1" t="inlineStr">
        <is>
          <t>res melee</t>
        </is>
      </c>
      <c r="BC1" t="inlineStr">
        <is>
          <t>res distance</t>
        </is>
      </c>
      <c r="BD1" t="inlineStr">
        <is>
          <t>res armes</t>
        </is>
      </c>
      <c r="BE1" t="inlineStr">
        <is>
          <t>res sorts</t>
        </is>
      </c>
      <c r="BF1" t="inlineStr">
        <is>
          <t>res critiques</t>
        </is>
      </c>
      <c r="BG1" t="inlineStr">
        <is>
          <t>res poussee</t>
        </is>
      </c>
    </row>
    <row r="2">
      <c r="A2" t="inlineStr">
        <is>
          <t>Crâ M 200</t>
        </is>
      </c>
      <c r="B2">
        <f>HYPERLINK("https://www.dofusbook.net/fr/equipement/5781030-cra-m-200/objets", "link")</f>
        <v/>
      </c>
      <c r="C2" t="n">
        <v>185</v>
      </c>
      <c r="D2" t="inlineStr">
        <is>
          <t>Amulette du Strigide; Anneau de Padgref; Ceinture du Strigide; Coiffe de Padgref; Bottes du Strigide</t>
        </is>
      </c>
    </row>
    <row r="3">
      <c r="A3" t="inlineStr">
        <is>
          <t>Iop F 200</t>
        </is>
      </c>
      <c r="B3">
        <f>HYPERLINK("https://www.dofusbook.net/fr/equipement/3359023-iop-f-200/objets", "link")</f>
        <v/>
      </c>
      <c r="C3" t="n">
        <v>1916</v>
      </c>
      <c r="D3" t="inlineStr">
        <is>
          <t>Épée du Bretteur Céleste; Talisman Glouti; Goulano; Anneau Tique; Goulclier; Ceinture du Bretteur Céleste; Dorabysses; Cape du Bretteur Céleste; Goulbottes; Dofus Pourpre; Dofus Émeraude; Dofus Turquoise; Dolmanax; Dofus Ocre; Voyageur; Dragodinde Emeraude et Rousse</t>
        </is>
      </c>
    </row>
    <row r="4">
      <c r="A4" t="inlineStr">
        <is>
          <t>Stuff 3</t>
        </is>
      </c>
      <c r="B4">
        <f>HYPERLINK("https://www.dofusbook.net/fr/equipement/276983-stuff-3/objets", "link")</f>
        <v/>
      </c>
      <c r="C4" t="n">
        <v>507</v>
      </c>
      <c r="D4" t="inlineStr">
        <is>
          <t>Pelle Vice; Amulette de Théodoran Ax; Anneau Aimgéroks; Anneau Kturne; Ceinture du Glourséleste; Casqnoar; Cape de Théodoran Ax; Bottes de Théodoran Ax; Puissant majeur; Robuste majeur; Savant majeur; Taquin majeur; Joueur majeur; Astucieux majeur; Dragodinde Prune et Emeraude</t>
        </is>
      </c>
    </row>
    <row r="5">
      <c r="A5" t="inlineStr">
        <is>
          <t>Stuff 3</t>
        </is>
      </c>
      <c r="B5">
        <f>HYPERLINK("https://www.dofusbook.net/fr/equipement/276978-stuff-3/objets", "link")</f>
        <v/>
      </c>
      <c r="C5" t="n">
        <v>265</v>
      </c>
      <c r="D5" t="inlineStr">
        <is>
          <t>Bâton Beau; Amulette du Strigide; Gelano; Kralano; Ceinture du Strigide; Coiffe du Glourséleste; Voile d'encre; Bottes du Strigide; Dofus Ocre; Dofus Émeraude; Dofus Cawotte; Dofus Pourpre; Dofus Turquoise; Astucieux majeur; Dragodinde Prune et Emeraude</t>
        </is>
      </c>
    </row>
    <row r="6">
      <c r="A6" t="inlineStr">
        <is>
          <t>Stuff 1</t>
        </is>
      </c>
      <c r="B6">
        <f>HYPERLINK("https://www.dofusbook.net/fr/equipement/276982-stuff-1/objets", "link")</f>
        <v/>
      </c>
      <c r="C6" t="n">
        <v>100</v>
      </c>
      <c r="D6" t="inlineStr">
        <is>
          <t>Amulette du Glourséleste; Ceinture du Glourséleste; Masque du Glourséleste; Cape du Glourséleste; Bottes du Glourséleste</t>
        </is>
      </c>
    </row>
    <row r="7">
      <c r="A7" t="inlineStr">
        <is>
          <t>Stuff 2</t>
        </is>
      </c>
      <c r="B7">
        <f>HYPERLINK("https://www.dofusbook.net/fr/equipement/276977-stuff-2/objets", "link")</f>
        <v/>
      </c>
      <c r="C7" t="n">
        <v>274</v>
      </c>
      <c r="D7" t="inlineStr">
        <is>
          <t>Epée Toche; Amulette du Strigide; Kralano; Gelano; Ceinture du Strigide; Coiffe du Glourséleste; Voile d'encre; Bottes du Strigide; Dofus Turquoise; Dofus Ocre; Dofus Émeraude; Dofus Cawotte; Dofus Pourpre; Furibond majeur; Dragodinde Prune et Emeraude</t>
        </is>
      </c>
    </row>
    <row r="8">
      <c r="A8" t="inlineStr">
        <is>
          <t>Stuff 2</t>
        </is>
      </c>
      <c r="B8">
        <f>HYPERLINK("https://www.dofusbook.net/fr/equipement/173008-stuff-2/objets", "link")</f>
        <v/>
      </c>
      <c r="C8" t="n">
        <v>717</v>
      </c>
      <c r="D8" t="inlineStr">
        <is>
          <t>Dagues Érhy; Amulette du Strigide; Anneau du Cycloïde; Bague Gloursonne; Ceinture du Strigide; Chapeau de Gein; Voile d'encre; Bottes du Lévitrof; Dofus des Glaces; Dofus Pourpre; Dofus Ocre; Dofus Turquoise; Remueur; Nomade; Kwaltess</t>
        </is>
      </c>
    </row>
    <row r="9">
      <c r="A9" t="inlineStr">
        <is>
          <t>full feu dofus</t>
        </is>
      </c>
      <c r="B9">
        <f>HYPERLINK("https://www.dofusbook.net/fr/equipement/4568875-full-feu-dofus/objets", "link")</f>
        <v/>
      </c>
      <c r="C9" t="n">
        <v>554</v>
      </c>
      <c r="D9" t="inlineStr">
        <is>
          <t>Sabres d'Atcham; Amulette Volkorne; Anneau Tamie; Anneau Volkorne; Bouclier du Cycloïde; Ceinture du Strigide; Casque Volkorne; Cape d'Atcham; Sandales  d'Atcham; Dolmanax; Dofus Ocre; Dofus Pourpre; Dofus des Glaces; Dofus Émeraude; Dofus Turquoise; Volkorne Doré et Emeraude</t>
        </is>
      </c>
    </row>
    <row r="10">
      <c r="A10" t="inlineStr">
        <is>
          <t>terre</t>
        </is>
      </c>
      <c r="B10">
        <f>HYPERLINK("https://www.dofusbook.net/fr/equipement/4228183-terre/objets", "link")</f>
        <v/>
      </c>
      <c r="C10" t="n">
        <v>579</v>
      </c>
      <c r="D10" t="inlineStr">
        <is>
          <t>Marteau R'ture; Amulette du Strigide; Pikano; Anneau Crustique; Quatre-feuilles; Ceinture du Strigide; Chapeau de Gein; Cape au Logis; Baleinabottes; Dofus des Glaces; Dofus Turquoise; Nomade; Enragé majeur; Remueur; Forcené majeur; Volkorne Pourpre</t>
        </is>
      </c>
    </row>
    <row r="11">
      <c r="A11" t="inlineStr">
        <is>
          <t>Iop F 200</t>
        </is>
      </c>
      <c r="B11">
        <f>HYPERLINK("https://www.dofusbook.net/fr/equipement/4566090-iop-f-200/objets", "link")</f>
        <v/>
      </c>
      <c r="C11" t="n">
        <v>361</v>
      </c>
      <c r="D11" t="inlineStr">
        <is>
          <t>Arc corrompu; Amulette d'Otomaï; Anneau Tamie; Bague Gloursonne; Quatre-feuilles; Ceinture Séculaire; Coiffe Séculaire; Cape de Diondin; Bottes Innommables; Dofus Ocre; Dofus Pourpre; Dofus Turquoise; Vigoureux majeur; Érudit majeur; Dévastateur Feu majeur; Muldo Prune et Emeraude</t>
        </is>
      </c>
    </row>
    <row r="12">
      <c r="A12" t="inlineStr">
        <is>
          <t>Eliotrope M 200</t>
        </is>
      </c>
      <c r="B12">
        <f>HYPERLINK("https://www.dofusbook.net/fr/equipement/4426015-eliotrope-m-200/objets", "link")</f>
        <v/>
      </c>
      <c r="C12" t="n">
        <v>213</v>
      </c>
      <c r="D12" t="inlineStr">
        <is>
          <t>Epée Gloursonne; Amulette du Strigide; Bague Gloursonne; Alliance Gloursonne; Quatre-feuilles; Ceinture du Strigide; Casque du Chalœil; Cape du Chalœil; Bottes du Strigide; Dolmanax; Dofus Ocre; Dofus Pourpre; Dofus des Glaces; Dofus Émeraude; Dofus Turquoise; Muldo Prune et Doré</t>
        </is>
      </c>
    </row>
    <row r="13">
      <c r="A13" t="inlineStr">
        <is>
          <t>Crâ M 200</t>
        </is>
      </c>
      <c r="B13">
        <f>HYPERLINK("https://www.dofusbook.net/fr/equipement/4408369-cra-m-200/objets", "link")</f>
        <v/>
      </c>
      <c r="C13" t="n">
        <v>1167</v>
      </c>
      <c r="D13" t="inlineStr">
        <is>
          <t>Epée Gloursonne; Amulette du Strigide; Alliance Gloursonne; Bague Gloursonne; Quatre-feuilles; Ceinture du Strigide; Casque du Chalœil; Cape du Chalœil; Bottes du Strigide; Dofus Nébuleux; Dofus Pourpre; Dofus Turquoise; Muldo Prune et Emeraude</t>
        </is>
      </c>
    </row>
    <row r="14">
      <c r="A14" t="inlineStr">
        <is>
          <t>ili</t>
        </is>
      </c>
      <c r="B14">
        <f>HYPERLINK("https://www.dofusbook.net/fr/equipement/2008617-ili/objets", "link")</f>
        <v/>
      </c>
      <c r="C14" t="n">
        <v>786</v>
      </c>
      <c r="D14" t="inlineStr">
        <is>
          <t>Epée Gloursonne; Amulette du Strigide; Bague Gloursonne; Alliance Gloursonne; Bouclier du Captain Amakna; Ceinture du Strigide; Masque Brûlâme; Cape du Chalœil; Bottes du Strigide; Dolmanax; Dofus Ocre; Dofus Pourpre; Dofus des Glaces; Dofus Émeraude; Dofus Turquoise; Muldo Prune et Doré</t>
        </is>
      </c>
    </row>
    <row r="15">
      <c r="A15" t="inlineStr">
        <is>
          <t>Eniripsa F 200</t>
        </is>
      </c>
      <c r="B15">
        <f>HYPERLINK("https://www.dofusbook.net/fr/equipement/4084453-eniripsa-f-200/objets", "link")</f>
        <v/>
      </c>
      <c r="C15" t="n">
        <v>432</v>
      </c>
      <c r="D15" t="inlineStr">
        <is>
          <t>Sabres d'Atcham; Amulette Volkorne; Bracelet du Piloztère; Anneau Volkorne; Quatre-feuilles; Ceinture du Strigide; Casque Volkorne; Cape d'Atcham; Sandales  d'Atcham; Dolmanax; Dofus Ocre; Dofus Pourpre; Dofus des Glaces; Dofus Émeraude; Dofus Turquoise; Volkorne Doré et Emeraude</t>
        </is>
      </c>
    </row>
    <row r="16">
      <c r="A16" t="inlineStr">
        <is>
          <t>Eliotrope M 200</t>
        </is>
      </c>
      <c r="B16">
        <f>HYPERLINK("https://www.dofusbook.net/fr/equipement/4084501-eliotrope-m-200/objets", "link")</f>
        <v/>
      </c>
      <c r="C16" t="n">
        <v>406</v>
      </c>
      <c r="D16" t="inlineStr">
        <is>
          <t>Arc Volkorne; Amulette Volkorne; Anneau Volkorne; Anneau Rifique; Quatre-feuilles; Ceinture Volkorne; Casque du Chalœil; Cape du Chalœil; Bottes du Chalœil; Dofus Pourpre; Dofus des Glaces; Dofus Émeraude; Dofus Turquoise; Dolmanax; Dofus Ocre; Volkorne Doré et Emeraude</t>
        </is>
      </c>
    </row>
    <row r="17">
      <c r="A17" t="inlineStr">
        <is>
          <t>full dofus</t>
        </is>
      </c>
      <c r="B17">
        <f>HYPERLINK("https://www.dofusbook.net/fr/equipement/454944-full-dofus/objets", "link")</f>
        <v/>
      </c>
      <c r="C17" t="n">
        <v>393</v>
      </c>
      <c r="D17" t="inlineStr">
        <is>
          <t>Sabres d'Atcham; Amulette Volkorne; Anneau Tamie; Anneau Volkorne; Bouclier cubiste; Ceinture du Glourséleste; Casque Volkorne; Cape d'Atcham; Sandales  d'Atcham; Dofus Turquoise; Dofus Émeraude; Dofus Pourpre; Dofus Ocre; Dolmanax; Dofus des Glaces; Volkorne Doré et Turquoise</t>
        </is>
      </c>
    </row>
    <row r="18">
      <c r="A18" t="inlineStr">
        <is>
          <t>Stuff 2</t>
        </is>
      </c>
      <c r="B18">
        <f>HYPERLINK("https://www.dofusbook.net/fr/equipement/173002-stuff-2/objets", "link")</f>
        <v/>
      </c>
      <c r="C18" t="n">
        <v>653</v>
      </c>
      <c r="D18" t="inlineStr">
        <is>
          <t>Arc Hétype; Collier de la Dame du Hasard; Anneau Tamie; Anneau Tamie; Bouclier cubiste; Sangle Aise; Couronne de Nidas; Cape de Meno; Bottes de Meno; Nomade; Remueur; Entraveur majeur; Temporiseur majeur; Érudit majeur; Ralentisseur majeur; Médugivre</t>
        </is>
      </c>
    </row>
    <row r="19">
      <c r="A19" t="inlineStr">
        <is>
          <t>ret pme full dofus</t>
        </is>
      </c>
      <c r="B19">
        <f>HYPERLINK("https://www.dofusbook.net/fr/equipement/1077754-ret-pme-full-dofus/objets", "link")</f>
        <v/>
      </c>
      <c r="C19" t="n">
        <v>469</v>
      </c>
      <c r="D19" t="inlineStr">
        <is>
          <t>Amulette Hale; Maskrobe; Cape Tif; Chaussures Face; Dofus Turquoise; Dofus des Glaces; Dofus Pourpre; Dofus Ocre; Dofus Émeraude; Dolmanax; Blokus</t>
        </is>
      </c>
    </row>
    <row r="20">
      <c r="A20" t="inlineStr">
        <is>
          <t>Stuff 1</t>
        </is>
      </c>
      <c r="B20">
        <f>HYPERLINK("https://www.dofusbook.net/fr/equipement/172989-stuff-1/objets", "link")</f>
        <v/>
      </c>
      <c r="C20" t="n">
        <v>283</v>
      </c>
      <c r="D20" t="inlineStr">
        <is>
          <t>Sabres d'Atcham; Amulette du Strigide; Alliance Gloursonne; Anneau Tique; Bouclier du Cycloïde; Ceinture du Strigide; Chapeau des Malveilleurs; Cape des Malveilleurs; Bottes du Strigide; Dofus des Glaces; Dofus Ocre; Dolmanax; Dofus Émeraude; Dofus Pourpre; Dofus Turquoise; Muldo Prune et Doré</t>
        </is>
      </c>
    </row>
    <row r="21">
      <c r="A21" t="inlineStr">
        <is>
          <t>Stuff 3</t>
        </is>
      </c>
      <c r="B21">
        <f>HYPERLINK("https://www.dofusbook.net/fr/equipement/173006-stuff-3/objets", "link")</f>
        <v/>
      </c>
      <c r="C21" t="n">
        <v>489</v>
      </c>
      <c r="D21" t="inlineStr">
        <is>
          <t>Epée Gloursonne; Amulette Volkorne; Bague Gloursonne; Alliance Gloursonne; Bouclier du Captain Amakna; Ceinture Volkorne; Casque Volkorne; Cape de l'Œil Attentif; Bottes du Strigide; Dofus des Glaces; Dofus Émeraude; Dofus Ocre; Dofus Pourpre; Dolmanax; Dofus Turquoise; Volkorne Doré et Emeraude</t>
        </is>
      </c>
    </row>
    <row r="22">
      <c r="A22" t="inlineStr">
        <is>
          <t>full dofus</t>
        </is>
      </c>
      <c r="B22">
        <f>HYPERLINK("https://www.dofusbook.net/fr/equipement/454356-full-dofus/objets", "link")</f>
        <v/>
      </c>
      <c r="C22" t="n">
        <v>392</v>
      </c>
      <c r="D22" t="inlineStr">
        <is>
          <t>Arc de Koutoulou; Amulette du Strigide; Anneau Volkorne; Alliance Gloursonne; Quatre-feuilles; Ceinture du Strigide; Casque Volkorne; Chevelure de Tal Kasha; Bottes du Strigide; Dofus Émeraude; Dofus des Glaces; Dofus Ocre; Dofus Turquoise; Dolmanax; Dofus Pourpre; Muldo Prune et Doré</t>
        </is>
      </c>
    </row>
    <row r="23">
      <c r="A23" t="inlineStr">
        <is>
          <t>full dofus</t>
        </is>
      </c>
      <c r="B23">
        <f>HYPERLINK("https://www.dofusbook.net/fr/equipement/776411-full-dofus/objets", "link")</f>
        <v/>
      </c>
      <c r="C23" t="n">
        <v>632</v>
      </c>
      <c r="D23" t="inlineStr">
        <is>
          <t>Epée Gloursonne; Amulette Volkorne; Alliance Gloursonne; Bague Gloursonne; Bouclier du Captain Amakna; Ceinture Volkorne; Casque Volkorne; Cape du Cœur Vaillant; Bottes du Strigide; Dofus Émeraude; Dofus Ocre; Dofus Pourpre; Dolmanax; Dofus Turquoise; Dofus des Glaces; Volkorne Doré et Emeraude</t>
        </is>
      </c>
    </row>
    <row r="24">
      <c r="A24" t="inlineStr">
        <is>
          <t>np int agi</t>
        </is>
      </c>
      <c r="B24">
        <f>HYPERLINK("https://www.dofusbook.net/fr/equipement/3439740-np-int-agi/objets", "link")</f>
        <v/>
      </c>
      <c r="C24" t="n">
        <v>353</v>
      </c>
      <c r="D24" t="inlineStr">
        <is>
          <t>Baguette Range; Amulette Martegel; Anneau du Cycloïde; Anneau Rifique; Ceinture de Vortex; Masquegel; Cape Martegel; Sabots de Vortex; Dofus des Glaces; Dofus Émeraude; Dofus Turquoise; Dolmanax; Dofus Ocre; Dofus Pourpre; Muldo Roux et Doré</t>
        </is>
      </c>
    </row>
    <row r="25">
      <c r="A25" t="inlineStr">
        <is>
          <t>np fo cha</t>
        </is>
      </c>
      <c r="B25">
        <f>HYPERLINK("https://www.dofusbook.net/fr/equipement/3439750-np-fo-cha/objets", "link")</f>
        <v/>
      </c>
      <c r="C25" t="n">
        <v>227</v>
      </c>
      <c r="D25" t="inlineStr">
        <is>
          <t>Épouvante; Amulette du Piloztère; Bracelet du Piloztère; Anneau en Grithril; Ceinture en Grithril; Casque en Grithril; Cape Luminescente; Pantoufles du Piloztère; Dofus Émeraude; Dofus Turquoise; Dolmanax; Dofus Ocre; Dofus Pourpre; Dofus des Glaces; Muldo Prune et Doré</t>
        </is>
      </c>
    </row>
    <row r="26">
      <c r="A26" t="inlineStr">
        <is>
          <t>ncp</t>
        </is>
      </c>
      <c r="B26">
        <f>HYPERLINK("https://www.dofusbook.net/fr/equipement/2008717-ncp/objets", "link")</f>
        <v/>
      </c>
      <c r="C26" t="n">
        <v>253</v>
      </c>
      <c r="D26" t="inlineStr">
        <is>
          <t>Epée Gloursonne; Amulette du Strigide; Alliance Gloursonne; Bague Gloursonne; Bouclier du Stalak; Ceinture de l'Esprit Salvateur; Masque de l'Esprit Salvateur; Capille; Bottes de l'Esprit Salvateur; Dofus Pourpre; Dofus des Glaces; Dofus Émeraude; Dofus Turquoise; Dolmanax; Dofus Ocre; Muldo Doré et Amande</t>
        </is>
      </c>
    </row>
    <row r="27">
      <c r="A27" t="inlineStr">
        <is>
          <t>try</t>
        </is>
      </c>
      <c r="B27">
        <f>HYPERLINK("https://www.dofusbook.net/fr/equipement/2609812-try/objets", "link")</f>
        <v/>
      </c>
      <c r="C27" t="n">
        <v>226</v>
      </c>
      <c r="D27" t="inlineStr">
        <is>
          <t>Epée Gloursonne; Amulette du Strigide; Bague Gloursonne; Alliance Gloursonne; Bouclier du Cycloïde; Ceinture du Strigide; Casque du Chalœil; Cape du Chalœil; Bottes du Strigide; Dolmanax; Dofus Ocre; Dofus Pourpre; Dofus des Glaces; Dofus Émeraude; Dofus Turquoise; Muldo Prune et Doré</t>
        </is>
      </c>
    </row>
    <row r="28">
      <c r="A28" t="inlineStr">
        <is>
          <t>full</t>
        </is>
      </c>
      <c r="B28">
        <f>HYPERLINK("https://www.dofusbook.net/fr/equipement/2417965-full/objets", "link")</f>
        <v/>
      </c>
      <c r="C28" t="n">
        <v>214</v>
      </c>
      <c r="D28" t="inlineStr">
        <is>
          <t>Faux Maudite du Saigneur Guerrier; Amulette de Pol Ouatnos; Grésilanneau; Anneau du Père Fwetar; Bouclier d'Ilyzaelle; Ceinture de l'Esprit Salvateur; Masque de l'Esprit Salvateur; Cape des Justiciers; Bottes du Strigide; Dofus Pourpre; Dofus Émeraude; Dofus des Glaces; Dolmanax; Carapace Neutre majeur; Remueur; Kramkram</t>
        </is>
      </c>
    </row>
    <row r="29">
      <c r="A29" t="inlineStr">
        <is>
          <t>ncp 2</t>
        </is>
      </c>
      <c r="B29">
        <f>HYPERLINK("https://www.dofusbook.net/fr/equipement/2008875-ncp-2/objets", "link")</f>
        <v/>
      </c>
      <c r="C29" t="n">
        <v>136</v>
      </c>
      <c r="D29" t="inlineStr">
        <is>
          <t>Baguette de Malléfisk; Amulette du Strigide; Anneau Tamie; Alliance Gloursonne; Quatre-feuilles; Sangle Aise; Masque de l'Esprit Salvateur; Cape de l'Œil Putride; Bottes du Strigide; Dofus Pourpre; Dolmanax; Dofus des Glaces; Miraculé majeur; Remueur; Nomade; Muldo Indigo et Pourpre</t>
        </is>
      </c>
    </row>
    <row r="30">
      <c r="A30" t="inlineStr">
        <is>
          <t>nom</t>
        </is>
      </c>
      <c r="B30">
        <f>HYPERLINK("https://www.dofusbook.net/fr/equipement/1898777-nom/objets", "link")</f>
        <v/>
      </c>
      <c r="C30" t="n">
        <v>49</v>
      </c>
      <c r="D30" t="inlineStr">
        <is>
          <t>Anneau Dyssée; Chapeau du Marié; Bottes Antrin</t>
        </is>
      </c>
    </row>
    <row r="31">
      <c r="A31" t="inlineStr">
        <is>
          <t>sym2</t>
        </is>
      </c>
      <c r="B31">
        <f>HYPERLINK("https://www.dofusbook.net/fr/equipement/1705086-sym2/objets", "link")</f>
        <v/>
      </c>
      <c r="C31" t="n">
        <v>397</v>
      </c>
      <c r="D31" t="inlineStr">
        <is>
          <t>Dagues Açantes; Amulette Hale; Pikano; Alliance Gloursonne; Bouclier cubiste; Ceinture Glaciale; Coiffe d'Ogivol; Cape Tif; Pantoufles Émar; Nomade; Vigoureux majeur; Remueur; Taquin majeur; Chanceux majeur; Miraculé majeur; Dragodinde Prune et Emeraude</t>
        </is>
      </c>
    </row>
    <row r="32">
      <c r="A32" t="inlineStr">
        <is>
          <t>sym1</t>
        </is>
      </c>
      <c r="B32">
        <f>HYPERLINK("https://www.dofusbook.net/fr/equipement/1704954-sym1/objets", "link")</f>
        <v/>
      </c>
      <c r="C32" t="n">
        <v>342</v>
      </c>
      <c r="D32" t="inlineStr">
        <is>
          <t>Dagues Érhy; Amulette du Nocturlabe; Bracelet du Piloztère; Anneau Pwal; Quatre-feuilles; Ceinture du Comte Razof; Chapeau du Comte Razof; Voile d'encre; Sabots Minables; Remueur; Forcené majeur; Enragé majeur; Vigoureux majeur; Nomade; Miraculé majeur; Dragodinde Prune et Emeraude</t>
        </is>
      </c>
    </row>
    <row r="33">
      <c r="A33" t="inlineStr">
        <is>
          <t>moule</t>
        </is>
      </c>
      <c r="B33">
        <f>HYPERLINK("https://www.dofusbook.net/fr/equipement/1619211-moule/objets", "link")</f>
        <v/>
      </c>
      <c r="C33" t="n">
        <v>116</v>
      </c>
      <c r="D33" t="inlineStr">
        <is>
          <t>Arc Nécrotique; Amulette du Strigide; Alliance Gloursonne; Anneau Tique; Ceintacé; Casquette de Meno; Cape des Malveilleurs; Bottes du Strigide</t>
        </is>
      </c>
    </row>
    <row r="34">
      <c r="A34" t="inlineStr">
        <is>
          <t>test</t>
        </is>
      </c>
      <c r="B34">
        <f>HYPERLINK("https://www.dofusbook.net/fr/equipement/1570555-test/objets", "link")</f>
        <v/>
      </c>
      <c r="C34" t="n">
        <v>306</v>
      </c>
      <c r="D34" t="inlineStr">
        <is>
          <t>Bâton Beau; Amulette du Strigide; Bague Gloursonne; Chevalière du Roi Joueur; Bouclier du Captain Amakna; Ceinture du Strigide; Couronne du Roi Joueur; Voile d'encre; Bottes du Strigide; Dofus Pourpre; Dofus Ocre; Dofus Émeraude; Dolmanax; Dofus Turquoise; Dofus des Glaces; Muldo Prune et Doré</t>
        </is>
      </c>
    </row>
    <row r="35">
      <c r="A35" t="inlineStr">
        <is>
          <t>Stuff 3</t>
        </is>
      </c>
      <c r="B35">
        <f>HYPERLINK("https://www.dofusbook.net/fr/equipement/173015-stuff-3/objets", "link")</f>
        <v/>
      </c>
      <c r="C35" t="n">
        <v>174</v>
      </c>
      <c r="D35" t="inlineStr">
        <is>
          <t>Arc Hétype; Amulette d'Otomaï; Anneau Rifique; Anneau Tique; Bouclier du Cycloïde; Ceinture Séculaire; Casque Cyclopéen; Cape de Diondin; Pataugastrique; Vagabond majeur; Remueur; Érudit majeur; Miraculé majeur; Savant majeur; Dévastateur Feu majeur; Muldo Orchidée et Pourpre</t>
        </is>
      </c>
    </row>
    <row r="36">
      <c r="A36" t="inlineStr">
        <is>
          <t>ff et fd</t>
        </is>
      </c>
      <c r="B36">
        <f>HYPERLINK("https://www.dofusbook.net/fr/equipement/1531024-ff-et-fd/objets", "link")</f>
        <v/>
      </c>
      <c r="C36" t="n">
        <v>577</v>
      </c>
      <c r="D36" t="inlineStr">
        <is>
          <t>Arc Hétype; Pendentif affamé; Anneau Tique; Anneau Rifique; Bouclier du Cycloïde; Ceinture de Vortex; Casque Cyclopéen; Cape de Diondin; Bottes Innommables; Dofus Turquoise; Guérisseur majeur; Érudit majeur; Remueur; Dévastateur Feu majeur; Miraculé majeur; Muldo Prune et Doré</t>
        </is>
      </c>
    </row>
    <row r="37">
      <c r="A37" t="inlineStr">
        <is>
          <t>ark</t>
        </is>
      </c>
      <c r="B37">
        <f>HYPERLINK("https://www.dofusbook.net/fr/equipement/1477785-ark/objets", "link")</f>
        <v/>
      </c>
      <c r="C37" t="n">
        <v>279</v>
      </c>
      <c r="D37" t="inlineStr">
        <is>
          <t>Arc du Chalœil; Amulette du Strigide; Gelano; Bague Gloursonne; Quatre-feuilles; Ceinture du Strigide; Chapeau de Gein; Voile d'encre; Bottes du Strigide; Dofus Pourpre; Dofus Ocre; Dofus Émeraude; Dolmanax; Dofus Turquoise; Dofus des Glaces; Muldo Prune et Doré</t>
        </is>
      </c>
    </row>
    <row r="38">
      <c r="A38" t="inlineStr">
        <is>
          <t>nouvelle pano</t>
        </is>
      </c>
      <c r="B38">
        <f>HYPERLINK("https://www.dofusbook.net/fr/equipement/1369148-nouvelle-pano/objets", "link")</f>
        <v/>
      </c>
      <c r="C38" t="n">
        <v>356</v>
      </c>
      <c r="D38" t="inlineStr">
        <is>
          <t>Epée Gloursonne; Amulette du Strigide; Bague Gloursonne; Alliance Gloursonne; Bouclier du Stalak; Ceinture du Strigide; Casque du Chalœil; Cape du Chalœil; Bottes du Strigide; Dofus Turquoise; Dofus des Glaces; Dofus Pourpre; Dofus Ocre; Dofus Émeraude; Dolmanax; Muldo Prune et Doré</t>
        </is>
      </c>
    </row>
    <row r="39">
      <c r="A39" t="inlineStr">
        <is>
          <t>ret pme</t>
        </is>
      </c>
      <c r="B39">
        <f>HYPERLINK("https://www.dofusbook.net/fr/equipement/173003-ret-pme/objets", "link")</f>
        <v/>
      </c>
      <c r="C39" t="n">
        <v>555</v>
      </c>
      <c r="D39" t="inlineStr">
        <is>
          <t>Baguette Hique; Amulette du Glourséleste; Pikano; Anneau Tamie; Bouclier cubiste; Ceintacé; Kidibonnet; Cape Tif; Chaussures Face; Miraculé majeur; Ralentisseur majeur; Entraveur majeur; Temporiseur majeur; Temporiseur; Remueur; Dragodinde Prune et Emeraude</t>
        </is>
      </c>
    </row>
    <row r="40">
      <c r="A40" t="inlineStr">
        <is>
          <t>Stuff 1</t>
        </is>
      </c>
      <c r="B40">
        <f>HYPERLINK("https://www.dofusbook.net/fr/equipement/173004-stuff-1/objets", "link")</f>
        <v/>
      </c>
      <c r="C40" t="n">
        <v>287</v>
      </c>
      <c r="D40" t="inlineStr">
        <is>
          <t>Epée Gloursonne; Amulette du Strigide; Bague Gloursonne; Alliance Gloursonne; Bouclier d'Anerice; Ceinture du Strigide; Masque d'Anerice; Cape d'Anerice; Bottes du Strigide; Dofus des Glaces; Dofus Émeraude; Dofus Ocre; Dofus Pourpre; Dolmanax; Dofus Turquoise; Muldo Prune et Doré</t>
        </is>
      </c>
    </row>
    <row r="41">
      <c r="A41" t="inlineStr">
        <is>
          <t>Stuff 2</t>
        </is>
      </c>
      <c r="B41">
        <f>HYPERLINK("https://www.dofusbook.net/fr/equipement/454336-stuff-2/objets", "link")</f>
        <v/>
      </c>
      <c r="C41" t="n">
        <v>166</v>
      </c>
      <c r="D41" t="inlineStr">
        <is>
          <t>Arc de Koutoulou; Amulette Voldelor; Alliance Gloursonne; Grésilanneau; Quatre-feuilles; Ceinture Voldelor; Némès de Tal Kasha; Chevelure de Tal Kasha; Bottes Voldelor; Dofus Ocre; Dofus Turquoise; Dolmanax; Dofus Pourpre; Dofus Émeraude; Dofus des Glaces; Muldo Doré et Ebène</t>
        </is>
      </c>
    </row>
    <row r="42">
      <c r="A42" t="inlineStr">
        <is>
          <t>ret pme 3</t>
        </is>
      </c>
      <c r="B42">
        <f>HYPERLINK("https://www.dofusbook.net/fr/equipement/622009-ret-pme-3/objets", "link")</f>
        <v/>
      </c>
      <c r="C42" t="n">
        <v>239</v>
      </c>
      <c r="D42" t="inlineStr">
        <is>
          <t>Baguette Range; Collier de la Dame du Hasard; Anneau Tamie; Pikano; Bouclier cubiste; Ceinture de Kongoku; Casquipik; Cape Peupret; Pantoufles Émar; Remueur; Entraveur majeur; Nomade; Temporiseur majeur; Miraculé majeur; Ralentisseur majeur</t>
        </is>
      </c>
    </row>
    <row r="43">
      <c r="A43" t="inlineStr">
        <is>
          <t>ret pme 2</t>
        </is>
      </c>
      <c r="B43">
        <f>HYPERLINK("https://www.dofusbook.net/fr/equipement/454979-ret-pme-2/objets", "link")</f>
        <v/>
      </c>
      <c r="C43" t="n">
        <v>233</v>
      </c>
      <c r="D43" t="inlineStr">
        <is>
          <t>Hache du Guerrier Zoth; Amulette du Glourséleste; Anneau Tamie; Bouclier cubiste; Ceinture de Kongoku; Casquipik; Cape Tif; Chaussures Face; Temporiseur; Remueur; Miraculé majeur; Ralentisseur majeur; Entraveur majeur; Temporiseur majeur; Muldo Prune et Doré</t>
        </is>
      </c>
    </row>
    <row r="44">
      <c r="A44" t="inlineStr">
        <is>
          <t>Stuff 2</t>
        </is>
      </c>
      <c r="B44">
        <f>HYPERLINK("https://www.dofusbook.net/fr/equipement/172996-stuff-2/objets", "link")</f>
        <v/>
      </c>
      <c r="C44" t="n">
        <v>235</v>
      </c>
      <c r="D44" t="inlineStr">
        <is>
          <t>Bâton Champmanique; Racine Hueuse; Alliance du Lévitrof; Bracelet du Piloztère; Obscture; Chapeau Lisson; Cape des Justiciers; Bottes du Lévitrof; Dofus Pourpre; Dofus Ocre; Nomade; Miraculé majeur; Sanguinaire majeur; Remueur; Muldo Doré et Indigo</t>
        </is>
      </c>
    </row>
    <row r="45">
      <c r="A45" t="inlineStr">
        <is>
          <t>test levi</t>
        </is>
      </c>
      <c r="B45">
        <f>HYPERLINK("https://www.dofusbook.net/fr/equipement/528064-test-levi/objets", "link")</f>
        <v/>
      </c>
      <c r="C45" t="n">
        <v>234</v>
      </c>
      <c r="D45" t="inlineStr">
        <is>
          <t>Hache du Chalœil; Amulette du Strigide; Goulano; Alliance du Lévitrof; Ceinture du Strigide; Coiffe du Lévitrof; Voile d'encre; Bottes du Strigide; Dofus Pourpre; Dofus Ocre; Dofus Émeraude; Dolmanax; Dofus Turquoise; Dofus des Glaces; Muldo Prune et Doré</t>
        </is>
      </c>
    </row>
    <row r="46">
      <c r="A46" t="inlineStr">
        <is>
          <t>Stuff 2</t>
        </is>
      </c>
      <c r="B46">
        <f>HYPERLINK("https://www.dofusbook.net/fr/equipement/454977-stuff-2/objets", "link")</f>
        <v/>
      </c>
      <c r="C46" t="n">
        <v>129</v>
      </c>
      <c r="D46" t="inlineStr">
        <is>
          <t>Hache du Chalœil; Talisman Glouti; Bracelet du Piloztère; Pikano; Ceinture du Strigide; Le Dorado; Cape de la Dame du Hasard; Bottes du Lévitrof; Dofus Pourpre; Dofus des Glaces; Dofus Turquoise; Remueur; Sanguinaire majeur; Miraculé majeur; Muldo Doré et Indigo</t>
        </is>
      </c>
    </row>
    <row r="47">
      <c r="A47" t="inlineStr">
        <is>
          <t>Stuff 1</t>
        </is>
      </c>
      <c r="B47">
        <f>HYPERLINK("https://www.dofusbook.net/fr/equipement/454974-stuff-1/objets", "link")</f>
        <v/>
      </c>
      <c r="C47" t="n">
        <v>120</v>
      </c>
      <c r="D47" t="inlineStr">
        <is>
          <t>Hache du Chalœil; Talisman Glouti; Bague Gloursonne; Bracelet du Piloztère; Ceintacé; Coiffe du Lévitrof; Cape du Chalœil; Bottes du Lévitrof; Dofus des Glaces; Dofus Turquoise; Dofus Pourpre; Sanguinaire majeur; Miraculé majeur; Remueur; Muldo Doré et Orchidée</t>
        </is>
      </c>
    </row>
    <row r="48">
      <c r="A48" t="inlineStr">
        <is>
          <t>Stuff 1</t>
        </is>
      </c>
      <c r="B48">
        <f>HYPERLINK("https://www.dofusbook.net/fr/equipement/454972-stuff-1/objets", "link")</f>
        <v/>
      </c>
      <c r="C48" t="n">
        <v>108</v>
      </c>
      <c r="D48" t="inlineStr">
        <is>
          <t>Hache du Chalœil; Talisman Igans; Pikano; Bague Gloursonne; Ceinture du Strigide; Coiffe du Lévitrof; Cape des Justiciers; Bottes du Strigide; Dofus des Glaces; Dofus Turquoise; Dofus Pourpre; Miraculé majeur; Nomade; Remueur; Muldo Indigo et Pourpre</t>
        </is>
      </c>
    </row>
    <row r="49">
      <c r="A49" t="inlineStr">
        <is>
          <t>Stuff 2</t>
        </is>
      </c>
      <c r="B49">
        <f>HYPERLINK("https://www.dofusbook.net/fr/equipement/454945-stuff-2/objets", "link")</f>
        <v/>
      </c>
      <c r="C49" t="n">
        <v>94</v>
      </c>
      <c r="D49" t="inlineStr">
        <is>
          <t>Hache du Chalœil; Amulette du Strigide; Grésilanneau; Alliance du Lévitrof; Ceinture du Strigide; Coiffe du Lévitrof; Voilamibe; Bottes du Strigide; Dofus Émeraude; Dofus Turquoise; Dofus Ocre; Dofus des Glaces; Dofus Pourpre; Dolmanax; Kramkram</t>
        </is>
      </c>
    </row>
    <row r="50">
      <c r="A50" t="inlineStr">
        <is>
          <t>Stuff 1</t>
        </is>
      </c>
      <c r="B50">
        <f>HYPERLINK("https://www.dofusbook.net/fr/equipement/454813-stuff-1/objets", "link")</f>
        <v/>
      </c>
      <c r="C50" t="n">
        <v>84</v>
      </c>
      <c r="D50" t="inlineStr">
        <is>
          <t>Arc Hétype; Amulette de Nileza; Anneau Tique; Anneau de Nidas; Ceinture Séculaire; Couronne de Nidas; Voile d'encre; Pataugastrique; Remueur; Érudit majeur; Nomade; Dévastateur Feu majeur; Miraculé majeur; Muldo Indigo et Orchidée</t>
        </is>
      </c>
    </row>
    <row r="51">
      <c r="A51" t="inlineStr">
        <is>
          <t>Stuff 2</t>
        </is>
      </c>
      <c r="B51">
        <f>HYPERLINK("https://www.dofusbook.net/fr/equipement/454810-stuff-2/objets", "link")</f>
        <v/>
      </c>
      <c r="C51" t="n">
        <v>62</v>
      </c>
      <c r="D51" t="inlineStr">
        <is>
          <t>Dagues Açantes; Talisman Glouti; Grésilanneau; Alliance Gloursonne; Ceinture du Barbétoal; Kidibonnet; Cape du Sinistrofu; Bottes du Sinistrofu; Dofus Pourpre; Dévastateur Eau majeur; Miraculé majeur; Remueur; Chanceux majeur; Nomade; Dragodinde Prune et Emeraude</t>
        </is>
      </c>
    </row>
    <row r="52">
      <c r="A52" t="inlineStr">
        <is>
          <t>Stuff 3</t>
        </is>
      </c>
      <c r="B52">
        <f>HYPERLINK("https://www.dofusbook.net/fr/equipement/454805-stuff-3/objets", "link")</f>
        <v/>
      </c>
      <c r="C52" t="n">
        <v>46</v>
      </c>
      <c r="D52" t="inlineStr">
        <is>
          <t>Arc de Koutoulou; Pendentif Oton; Alliance Gloursonne; Grésilanneau; Ceinture du Barbétoal; Coiffe d'Ogivol; Cape Matelassée; Bottes Voldelor; Dofus des Glaces; Dofus Pourpre; Dofus Turquoise; Miraculé majeur; Remueur; Nomade; Muldo Doré et Ebène</t>
        </is>
      </c>
    </row>
    <row r="53">
      <c r="A53" t="inlineStr">
        <is>
          <t>Stuff 1</t>
        </is>
      </c>
      <c r="B53">
        <f>HYPERLINK("https://www.dofusbook.net/fr/equipement/454667-stuff-1/objets", "link")</f>
        <v/>
      </c>
      <c r="C53" t="n">
        <v>330</v>
      </c>
      <c r="D53" t="inlineStr">
        <is>
          <t>Rouleau à Pâtisserie d'Aermyne; Amulette Cryochrone; Alliance Gloursonne; Anneau Tique; Ceinture du Barbétoal; Coiffe d'Aermyne; Voile d'encre; Pataugastrique; Nomade; Bloqueur majeur; Remueur; Initiateur mineur; Obstructeur majeur; Fonceur majeur; Muldo Roux</t>
        </is>
      </c>
    </row>
    <row r="54">
      <c r="A54" t="inlineStr">
        <is>
          <t>Stuff 2</t>
        </is>
      </c>
      <c r="B54">
        <f>HYPERLINK("https://www.dofusbook.net/fr/equipement/454663-stuff-2/objets", "link")</f>
        <v/>
      </c>
      <c r="C54" t="n">
        <v>184</v>
      </c>
      <c r="D54" t="inlineStr">
        <is>
          <t>Epée Gloursonne; Amulette Luminescente; Alliance Gloursonne; Bague Gloursonne; Ceinture Luminescente; Masque Trithon; Cape Luminescente; Getas Bernacle; Dofus des Glaces; Dofus Émeraude; Dolmanax; Dofus Pourpre; Dofus Turquoise; Dofus Ocre; Dragodinde Prune et Emeraude</t>
        </is>
      </c>
    </row>
    <row r="55">
      <c r="A55" t="inlineStr">
        <is>
          <t>Stuff 3</t>
        </is>
      </c>
      <c r="B55">
        <f>HYPERLINK("https://www.dofusbook.net/fr/equipement/454662-stuff-3/objets", "link")</f>
        <v/>
      </c>
      <c r="C55" t="n">
        <v>191</v>
      </c>
      <c r="D55" t="inlineStr">
        <is>
          <t>Rouleau à Pâtisserie d'Aermyne; Talisman Glouti; Anneau de Pol Ouatnos; Anneau Tique; Ceinture de Kongoku; Coiffe d'Aermyne; Cape d'Aermyne; Pataugastrique; Bloqueur majeur; Blokus</t>
        </is>
      </c>
    </row>
    <row r="56">
      <c r="A56" t="inlineStr">
        <is>
          <t>Stuff 1</t>
        </is>
      </c>
      <c r="B56">
        <f>HYPERLINK("https://www.dofusbook.net/fr/equipement/454645-stuff-1/objets", "link")</f>
        <v/>
      </c>
      <c r="C56" t="n">
        <v>158</v>
      </c>
      <c r="D56" t="inlineStr">
        <is>
          <t>Dagues Érhy; Amulette de Gein; Bague Gloursonne; Gelano; Ceinture du Strigide; Couronne du Roi Joueur; Voile d'encre; Bottes du Strigide; Dofus des Glaces; Dofus Turquoise; Dofus Pourpre; Dofus Ocre; Remueur; Miraculé majeur; Muldo Prune et Doré</t>
        </is>
      </c>
    </row>
    <row r="57">
      <c r="A57" t="inlineStr">
        <is>
          <t>Stuff 1</t>
        </is>
      </c>
      <c r="B57">
        <f>HYPERLINK("https://www.dofusbook.net/fr/equipement/454638-stuff-1/objets", "link")</f>
        <v/>
      </c>
      <c r="C57" t="n">
        <v>489</v>
      </c>
      <c r="D57" t="inlineStr">
        <is>
          <t>Épée de la Reine des Voleurs; Amulette du Kamasterisk; Bague Gloursonne; Bracelet du Piloztère; Ceinture de la Reine des Voleurs; Coiffe de la Reine des Voleurs; Cape de la Cour Sombre; Baleinabottes; Dofus Pourpre; Enragé majeur; Remueur; Miraculé majeur; Obstructeur majeur; Nomade; Kompost</t>
        </is>
      </c>
    </row>
    <row r="58">
      <c r="A58" t="inlineStr">
        <is>
          <t>Stuff 2</t>
        </is>
      </c>
      <c r="B58">
        <f>HYPERLINK("https://www.dofusbook.net/fr/equipement/454636-stuff-2/objets", "link")</f>
        <v/>
      </c>
      <c r="C58" t="n">
        <v>184</v>
      </c>
      <c r="D58" t="inlineStr">
        <is>
          <t>Arc Hétype; Amulette du Strigide; Anneau Tamie; Bague Gloursonne; Ceinture Séculaire; Coiffe Séculaire; Cape de Nileza; Pataugastrique; Bloqueur majeur; Carapace Terre majeur; Obstructeur majeur; Nomade; Tacleur majeur; Miraculé majeur; Blokus</t>
        </is>
      </c>
    </row>
    <row r="59">
      <c r="A59" t="inlineStr">
        <is>
          <t>Stuff 3</t>
        </is>
      </c>
      <c r="B59">
        <f>HYPERLINK("https://www.dofusbook.net/fr/equipement/454633-stuff-3/objets", "link")</f>
        <v/>
      </c>
      <c r="C59" t="n">
        <v>219</v>
      </c>
      <c r="D59" t="inlineStr">
        <is>
          <t>Dague Hirr; Amulette du Cycloïde; Anneau de Brouce; Alliance Gloursonne; Ceinture d'Ogivol; Coiffe d'Ogivol; Cape du Kamasterisk; Baleinabottes; Enragé majeur; Nomade; Cascadeur majeur; Remueur; Vigoureux majeur; Sanguinaire majeur; Kramkram</t>
        </is>
      </c>
    </row>
    <row r="60">
      <c r="A60" t="inlineStr">
        <is>
          <t>Stuff 1</t>
        </is>
      </c>
      <c r="B60">
        <f>HYPERLINK("https://www.dofusbook.net/fr/equipement/454243-stuff-1/objets", "link")</f>
        <v/>
      </c>
      <c r="C60" t="n">
        <v>80</v>
      </c>
      <c r="D60" t="inlineStr">
        <is>
          <t>Marteau des égarés; Amulette du Strigide; Bague Gloursonne; Alliance Gloursonne; Ceinture du Strigide; Casque du Chalœil; Cape du Chalœil; Bottes du Strigide; Dolmanax; Dofus Turquoise; Dofus des Glaces; Dofus Émeraude; Dofus Ocre; Dofus Pourpre; Muldo Prune et Doré</t>
        </is>
      </c>
    </row>
    <row r="61">
      <c r="A61" t="inlineStr">
        <is>
          <t>Stuff 1</t>
        </is>
      </c>
      <c r="B61">
        <f>HYPERLINK("https://www.dofusbook.net/fr/equipement/173025-stuff-1/objets", "link")</f>
        <v/>
      </c>
      <c r="C61" t="n">
        <v>166</v>
      </c>
      <c r="D61" t="inlineStr">
        <is>
          <t>Hache du Chalœil; Amulule; Grésilanneau; Alliance du Lévitrof; Ceinture du Strigide; Coiffe du Lévitrof; Voilamibe; Bottes du Lévitrof; Dofus Ocre; Dofus Pourpre; Dofus des Glaces; Dofus Émeraude; Dolmanax; Dofus Turquoise; Kramkram</t>
        </is>
      </c>
    </row>
    <row r="62">
      <c r="A62" t="inlineStr">
        <is>
          <t>Stuff 2</t>
        </is>
      </c>
      <c r="B62">
        <f>HYPERLINK("https://www.dofusbook.net/fr/equipement/173017-stuff-2/objets", "link")</f>
        <v/>
      </c>
      <c r="C62" t="n">
        <v>199</v>
      </c>
      <c r="D62" t="inlineStr">
        <is>
          <t>Dague Hirr; Amulette du Nocturlabe; Grésilanneau; Anneau des égarés; Ceinture du Nocturlabe; Coiffe de la Reine des Voleurs; Cape du Kamasterisk; Baleinabottes; Dofus des Glaces; Dofus Pourpre; Cascadeur majeur; Nomade; Remueur; Enragé majeur; Dragodinde en armure</t>
        </is>
      </c>
    </row>
    <row r="63">
      <c r="A63" t="inlineStr">
        <is>
          <t>Stuff 3</t>
        </is>
      </c>
      <c r="B63">
        <f>HYPERLINK("https://www.dofusbook.net/fr/equipement/173009-stuff-3/objets", "link")</f>
        <v/>
      </c>
      <c r="C63" t="n">
        <v>141</v>
      </c>
      <c r="D63" t="inlineStr">
        <is>
          <t>Epée Gloursonne; Amulette du Strigide; Bague Gloursonne; Alliance Gloursonne; Bouclier du Captain Amakna; Ceinture du Strigide; Casque de Missiz Frizz; Voile d'encre; Bottes du Strigide; Dolmanax; Dofus Émeraude; Dofus Turquoise; Dofus Pourpre; Dofus des Glaces; Dofus Ocre; Muldo Prune et Doré</t>
        </is>
      </c>
    </row>
    <row r="64">
      <c r="A64" t="inlineStr">
        <is>
          <t>Stuff 1</t>
        </is>
      </c>
      <c r="B64">
        <f>HYPERLINK("https://www.dofusbook.net/fr/equipement/173053-stuff-1/objets", "link")</f>
        <v/>
      </c>
      <c r="C64" t="n">
        <v>238</v>
      </c>
      <c r="D64" t="inlineStr">
        <is>
          <t>Dagues Érhy; Amulette du Cycloïde; Frimanneau; Anneau du Père Fwetar; Ceinture du Strigide; Masque du Katcheur; Cape des Justiciers; Bottes du Strigide; Observateur; Remueur; Miraculé majeur; Sanguinaire majeur; Vigoureux majeur; Nomade; Muldo Doré</t>
        </is>
      </c>
    </row>
    <row r="65">
      <c r="A65" t="inlineStr">
        <is>
          <t>Stuff 2</t>
        </is>
      </c>
      <c r="B65">
        <f>HYPERLINK("https://www.dofusbook.net/fr/equipement/173032-stuff-2/objets", "link")</f>
        <v/>
      </c>
      <c r="C65" t="n">
        <v>195</v>
      </c>
      <c r="D65" t="inlineStr">
        <is>
          <t>Epée Gloursonne; Amulette du Strigide; Bague Gloursonne; Alliance Gloursonne; Ceinture du Strigide; Casque du Chalœil; Cape du Chalœil; Bottes du Strigide; Dolmanax; Dofus Pourpre; Dofus Ocre; Dofus des Glaces; Dofus Turquoise; Dofus Émeraude; Muldo Prune et Indigo</t>
        </is>
      </c>
    </row>
    <row r="66">
      <c r="A66" t="inlineStr">
        <is>
          <t>Stuff 3</t>
        </is>
      </c>
      <c r="B66">
        <f>HYPERLINK("https://www.dofusbook.net/fr/equipement/173027-stuff-3/objets", "link")</f>
        <v/>
      </c>
      <c r="C66" t="n">
        <v>115</v>
      </c>
      <c r="D66" t="inlineStr">
        <is>
          <t>Dagues Açantes; Amulette du Glourséleste; Anneau Tamie; Pikano; Ceinture de Kongoku; Boucle d'oreille de Kongoku; Cape de Kongoku; Pikottes; Dofus Ocre; Dofus Émeraude; Dofus des Glaces; Entraveur majeur; Ralentisseur majeur; Entraveur; Dragodinde Prune et Emeraude</t>
        </is>
      </c>
    </row>
    <row r="67">
      <c r="A67" t="inlineStr">
        <is>
          <t>Stuff 3</t>
        </is>
      </c>
      <c r="B67">
        <f>HYPERLINK("https://www.dofusbook.net/fr/equipement/173033-stuff-3/objets", "link")</f>
        <v/>
      </c>
      <c r="C67" t="n">
        <v>220</v>
      </c>
      <c r="D67" t="inlineStr">
        <is>
          <t>Épée d'Otomaï; Amulette d'Otomaï; Kralano; Anneau de Padgref; String Tue-Mouche; Chapeau Lochon; Voile d'encre; Pantoufles Émar; Carapace Neutre majeur; Miraculé majeur; Carapace Terre majeur; Nomade; Érudit majeur; Remueur; Dragodinde en armure</t>
        </is>
      </c>
    </row>
    <row r="68">
      <c r="A68" t="inlineStr">
        <is>
          <t>Stuff 1</t>
        </is>
      </c>
      <c r="B68">
        <f>HYPERLINK("https://www.dofusbook.net/fr/equipement/173028-stuff-1/objets", "link")</f>
        <v/>
      </c>
      <c r="C68" t="n">
        <v>199</v>
      </c>
      <c r="D68" t="inlineStr">
        <is>
          <t>Dagues Érhy; Amulule; Bracelet du Piloztère; Bague Gloursonne; Sangle Ouare; Coiffe du Lévitrof; Cape des Justiciers; Bottes du Lévitrof; Dofus Turquoise; Dofus Pourpre; Vigoureux majeur; Nomade; Sanguinaire majeur; Remueur; Dragodinde Prune et Ivoire</t>
        </is>
      </c>
    </row>
    <row r="69">
      <c r="A69" t="inlineStr">
        <is>
          <t>Stuff 2</t>
        </is>
      </c>
      <c r="B69">
        <f>HYPERLINK("https://www.dofusbook.net/fr/equipement/173023-stuff-2/objets", "link")</f>
        <v/>
      </c>
      <c r="C69" t="n">
        <v>340</v>
      </c>
      <c r="D69" t="inlineStr">
        <is>
          <t>Dague Adou; Talisman Glouti; Anneau de Brouce; Bracelet du Piloztère; Sangle Aise; Dorabysses; Voilamibe; Bottes du Strigide; Dofus des Glaces; Dofus Pourpre; Dolmanax; Remueur; Miraculé majeur; Nomade; Kramkram</t>
        </is>
      </c>
    </row>
    <row r="70">
      <c r="A70" t="inlineStr">
        <is>
          <t>Stuff 1</t>
        </is>
      </c>
      <c r="B70">
        <f>HYPERLINK("https://www.dofusbook.net/fr/equipement/173007-stuff-1/objets", "link")</f>
        <v/>
      </c>
      <c r="C70" t="n">
        <v>126</v>
      </c>
      <c r="D70" t="inlineStr">
        <is>
          <t>Dagues Érhy; Amulette du Strigide; Chevalière du Roi Joueur; Bague Gloursonne; Ceinture du Strigide; Chapeau de Gein; Voile d'encre; Bottes du Strigide; Dofus Ocre; Dofus Vulbis; Dolmanax; Dofus Turquoise; Dofus des Glaces; Dofus Pourpre; Kwaltess</t>
        </is>
      </c>
    </row>
    <row r="71">
      <c r="A71" t="inlineStr">
        <is>
          <t>Stuff 2</t>
        </is>
      </c>
      <c r="B71">
        <f>HYPERLINK("https://www.dofusbook.net/fr/equipement/173035-stuff-2/objets", "link")</f>
        <v/>
      </c>
      <c r="C71" t="n">
        <v>111</v>
      </c>
      <c r="D71" t="inlineStr">
        <is>
          <t>Marteau des Anciens Steamers; Amulette Voldelor; Grésilanneau; Alliance Gloursonne; Ceinture Voldelor; Masque du Barbétoal; Cape Matelassée; Bottes de la Reine des Voleurs; Dofus des Glaces; Dofus Pourpre; Dolmanax; Remueur; Nomade; Miraculé majeur; Dragodinde Prune et Emeraude</t>
        </is>
      </c>
    </row>
    <row r="72">
      <c r="A72" t="inlineStr">
        <is>
          <t>Stuff 3</t>
        </is>
      </c>
      <c r="B72">
        <f>HYPERLINK("https://www.dofusbook.net/fr/equipement/173030-stuff-3/objets", "link")</f>
        <v/>
      </c>
      <c r="C72" t="n">
        <v>184</v>
      </c>
      <c r="D72" t="inlineStr">
        <is>
          <t>Sabres d'Atcham; Pendentif mignon de Koutoulou; Kralano; Anneau Rifique; Ceinture de Vortex; Casque Cyclopéen; Cape d'Atcham; Sandales  d'Atcham; Dofus des Glaces; Dofus Pourpre; Dofus Émeraude; Dofus Ocre; Dolmanax; Dofus Vulbis; Kramkram</t>
        </is>
      </c>
    </row>
    <row r="73">
      <c r="A73" t="inlineStr">
        <is>
          <t>Stuff 1</t>
        </is>
      </c>
      <c r="B73">
        <f>HYPERLINK("https://www.dofusbook.net/fr/equipement/173025-stuff-1/objets", "link")</f>
        <v/>
      </c>
      <c r="C73" t="n">
        <v>166</v>
      </c>
      <c r="D73" t="inlineStr">
        <is>
          <t>Hache du Chalœil; Amulule; Alliance du Lévitrof; Grésilanneau; Ceinture du Strigide; Coiffe du Lévitrof; Voilamibe; Bottes du Lévitrof; Dofus Émeraude; Dolmanax; Dofus Turquoise; Dofus Ocre; Dofus Pourpre; Dofus des Glaces; Kramkram</t>
        </is>
      </c>
    </row>
    <row r="74">
      <c r="A74" t="inlineStr">
        <is>
          <t>Stuff 2</t>
        </is>
      </c>
      <c r="B74">
        <f>HYPERLINK("https://www.dofusbook.net/fr/equipement/173017-stuff-2/objets", "link")</f>
        <v/>
      </c>
      <c r="C74" t="n">
        <v>199</v>
      </c>
      <c r="D74" t="inlineStr">
        <is>
          <t>Dague Hirr; Amulette du Nocturlabe; Grésilanneau; Anneau des égarés; Ceinture du Nocturlabe; Coiffe de la Reine des Voleurs; Cape du Kamasterisk; Baleinabottes; Dofus des Glaces; Dofus Pourpre; Cascadeur majeur; Nomade; Remueur; Enragé majeur; Dragodinde en armure</t>
        </is>
      </c>
    </row>
    <row r="75">
      <c r="A75" t="inlineStr">
        <is>
          <t>Stuff 3</t>
        </is>
      </c>
      <c r="B75">
        <f>HYPERLINK("https://www.dofusbook.net/fr/equipement/173009-stuff-3/objets", "link")</f>
        <v/>
      </c>
      <c r="C75" t="n">
        <v>141</v>
      </c>
      <c r="D75" t="inlineStr">
        <is>
          <t>Epée Gloursonne; Amulette du Strigide; Bague Gloursonne; Alliance Gloursonne; Bouclier du Captain Amakna; Ceinture du Strigide; Casque de Missiz Frizz; Voile d'encre; Bottes du Strigide; Dofus des Glaces; Dofus Ocre; Dolmanax; Dofus Émeraude; Dofus Turquoise; Dofus Pourpre; Muldo Prune et Doré</t>
        </is>
      </c>
    </row>
    <row r="76">
      <c r="A76" t="inlineStr">
        <is>
          <t>Stuff 1</t>
        </is>
      </c>
      <c r="B76">
        <f>HYPERLINK("https://www.dofusbook.net/fr/equipement/173053-stuff-1/objets", "link")</f>
        <v/>
      </c>
      <c r="C76" t="n">
        <v>238</v>
      </c>
      <c r="D76" t="inlineStr">
        <is>
          <t>Dagues Érhy; Amulette du Cycloïde; Anneau du Père Fwetar; Frimanneau; Ceinture du Strigide; Masque du Katcheur; Cape des Justiciers; Bottes du Strigide; Miraculé majeur; Sanguinaire majeur; Vigoureux majeur; Nomade; Observateur; Remueur; Muldo Doré</t>
        </is>
      </c>
    </row>
    <row r="77">
      <c r="A77" t="inlineStr">
        <is>
          <t>Stuff 2</t>
        </is>
      </c>
      <c r="B77">
        <f>HYPERLINK("https://www.dofusbook.net/fr/equipement/173032-stuff-2/objets", "link")</f>
        <v/>
      </c>
      <c r="C77" t="n">
        <v>195</v>
      </c>
      <c r="D77" t="inlineStr">
        <is>
          <t>Epée Gloursonne; Amulette du Strigide; Bague Gloursonne; Alliance Gloursonne; Ceinture du Strigide; Casque du Chalœil; Cape du Chalœil; Bottes du Strigide; Dolmanax; Dofus Pourpre; Dofus Ocre; Dofus des Glaces; Dofus Turquoise; Dofus Émeraude; Muldo Prune et Indigo</t>
        </is>
      </c>
    </row>
    <row r="78">
      <c r="A78" t="inlineStr">
        <is>
          <t>Stuff 3</t>
        </is>
      </c>
      <c r="B78">
        <f>HYPERLINK("https://www.dofusbook.net/fr/equipement/173027-stuff-3/objets", "link")</f>
        <v/>
      </c>
      <c r="C78" t="n">
        <v>115</v>
      </c>
      <c r="D78" t="inlineStr">
        <is>
          <t>Dagues Açantes; Amulette du Glourséleste; Anneau Tamie; Pikano; Ceinture de Kongoku; Boucle d'oreille de Kongoku; Cape de Kongoku; Pikottes; Dofus Émeraude; Dofus des Glaces; Dofus Ocre; Entraveur; Entraveur majeur; Ralentisseur majeur; Dragodinde Prune et Emeraude</t>
        </is>
      </c>
    </row>
    <row r="79">
      <c r="A79" t="inlineStr">
        <is>
          <t>Stuff 1</t>
        </is>
      </c>
      <c r="B79">
        <f>HYPERLINK("https://www.dofusbook.net/fr/equipement/173022-stuff-1/objets", "link")</f>
        <v/>
      </c>
      <c r="C79" t="n">
        <v>487</v>
      </c>
      <c r="D79" t="inlineStr">
        <is>
          <t>Marteau des égarés; Amulette Ementaire Deluxe; Bague Gloursonne; Alliance Gloursonne; Ceinture du Barbétoal; Coiffe de la Reine des Voleurs; Voile d'encre; Pataugastrique; Dofus Pourpre; Dofus des Glaces; Remueur; Nomade; Vigoureux majeur; Miraculé majeur; Kramkram</t>
        </is>
      </c>
    </row>
    <row r="80">
      <c r="A80" t="inlineStr">
        <is>
          <t>Stuff 2</t>
        </is>
      </c>
      <c r="B80">
        <f>HYPERLINK("https://www.dofusbook.net/fr/equipement/173014-stuff-2/objets", "link")</f>
        <v/>
      </c>
      <c r="C80" t="n">
        <v>53</v>
      </c>
      <c r="D80" t="inlineStr">
        <is>
          <t>Sabres d'Atcham; Amulette de l'Indicible; Anneau du Cycloïde; Alliance Gloursonne; Ceinture du Strigide; Chapeau des Malveilleurs; Voilamibe; Pataugastrique; Dofus Pourpre; Dolmanax; Dofus des Glaces; Remueur; Miraculé majeur; Nomade; Dragodinde en armure</t>
        </is>
      </c>
    </row>
    <row r="81">
      <c r="A81" t="inlineStr">
        <is>
          <t>Stuff 3</t>
        </is>
      </c>
      <c r="B81">
        <f>HYPERLINK("https://www.dofusbook.net/fr/equipement/173055-stuff-3/objets", "link")</f>
        <v/>
      </c>
      <c r="C81" t="n">
        <v>188</v>
      </c>
      <c r="D81" t="inlineStr">
        <is>
          <t>Marteau R'ture; Amulette Luminescente; Pikano; Chevalière du Roi Joueur; Ceinture Luminescente; Casquipik; Cape Luminescente; Pikottes; Dolmanax; Dofus Pourpre; Dofus des Glaces; Dofus Ocre; Taquin majeur; Entraveur majeur; Kramkram</t>
        </is>
      </c>
    </row>
    <row r="82">
      <c r="A82" t="inlineStr">
        <is>
          <t>Stuff 1</t>
        </is>
      </c>
      <c r="B82">
        <f>HYPERLINK("https://www.dofusbook.net/fr/equipement/173001-stuff-1/objets", "link")</f>
        <v/>
      </c>
      <c r="C82" t="n">
        <v>145</v>
      </c>
      <c r="D82" t="inlineStr">
        <is>
          <t>Arc Nécrotique; Collier de la Dame du Hasard; Bague Gloursonne; Alliance Gloursonne; Ceinture de Kongoku; Casquette de Meno; Cape de Meno; Bottes de Meno; Dofus Émeraude; Dofus Ocre; Dofus des Glaces; Dolmanax; Dofus Pourpre; Dofus Turquoise; Muldo Prune et Doré</t>
        </is>
      </c>
    </row>
    <row r="83">
      <c r="A83" t="inlineStr">
        <is>
          <t>Stuff 1</t>
        </is>
      </c>
      <c r="B83">
        <f>HYPERLINK("https://www.dofusbook.net/fr/equipement/173034-stuff-1/objets", "link")</f>
        <v/>
      </c>
      <c r="C83" t="n">
        <v>126</v>
      </c>
      <c r="D83" t="inlineStr">
        <is>
          <t>Arc Hétype; Amulette d'Otomaï; Anneau Tique; Anneau de Nidas; Sangle Aise; Couronne de Nidas; Cape de Nileza; Bottes Innommables; Dofus Ocre; Carapace Neutre majeur; Remueur; Érudit majeur; Dévastateur Feu majeur; Miraculé majeur; Muldo Indigo et Orchidée</t>
        </is>
      </c>
    </row>
    <row r="84">
      <c r="A84" t="inlineStr">
        <is>
          <t>Stuff 2</t>
        </is>
      </c>
      <c r="B84">
        <f>HYPERLINK("https://www.dofusbook.net/fr/equipement/173029-stuff-2/objets", "link")</f>
        <v/>
      </c>
      <c r="C84" t="n">
        <v>210</v>
      </c>
      <c r="D84" t="inlineStr">
        <is>
          <t>Dagues Érhy; Amulette de l'Indicible; Bracelet du Piloztère; Alliance du Lévitrof; Ceinture de l'Indicible; Maskrobe; Cape des Justiciers; Pataugastrique; Dofus des Glaces; Dofus Pourpre; Miraculé majeur; Temporiseur majeur; Remueur; Nomade; Dragodinde en armure</t>
        </is>
      </c>
    </row>
    <row r="85">
      <c r="A85" t="inlineStr">
        <is>
          <t>Stuff 3</t>
        </is>
      </c>
      <c r="B85">
        <f>HYPERLINK("https://www.dofusbook.net/fr/equipement/173024-stuff-3/objets", "link")</f>
        <v/>
      </c>
      <c r="C85" t="n">
        <v>304</v>
      </c>
      <c r="D85" t="inlineStr">
        <is>
          <t>Epée Kari; Amulette du Strigide; Grésilanneau; Anneau du Père Fwetar; Ceintacé; Chapeau Lisson; Cape Reski; Bottes du Strigide; Dofus des Glaces; Remueur; Féroce majeur; Miraculé majeur; Nomade; Robuste majeur; Muldo Doré</t>
        </is>
      </c>
    </row>
    <row r="86">
      <c r="A86" t="inlineStr">
        <is>
          <t>Stuff 2</t>
        </is>
      </c>
      <c r="B86">
        <f>HYPERLINK("https://www.dofusbook.net/fr/equipement/173035-stuff-2/objets", "link")</f>
        <v/>
      </c>
      <c r="C86" t="n">
        <v>111</v>
      </c>
      <c r="D86" t="inlineStr">
        <is>
          <t>Marteau des Anciens Steamers; Amulette Voldelor; Grésilanneau; Alliance Gloursonne; Ceinture Voldelor; Masque du Barbétoal; Cape Matelassée; Bottes de la Reine des Voleurs; Dolmanax; Dofus des Glaces; Dofus Pourpre; Miraculé majeur; Remueur; Nomade; Dragodinde Prune et Emeraude</t>
        </is>
      </c>
    </row>
    <row r="87">
      <c r="A87" t="inlineStr">
        <is>
          <t>Stuff 3</t>
        </is>
      </c>
      <c r="B87">
        <f>HYPERLINK("https://www.dofusbook.net/fr/equipement/173030-stuff-3/objets", "link")</f>
        <v/>
      </c>
      <c r="C87" t="n">
        <v>184</v>
      </c>
      <c r="D87" t="inlineStr">
        <is>
          <t>Sabres d'Atcham; Pendentif mignon de Koutoulou; Kralano; Anneau Rifique; Ceinture de Vortex; Casque Cyclopéen; Cape d'Atcham; Sandales  d'Atcham; Dofus des Glaces; Dofus Pourpre; Dofus Émeraude; Dofus Ocre; Dolmanax; Dofus Vulbis; Kramkram</t>
        </is>
      </c>
    </row>
    <row r="88">
      <c r="A88" t="inlineStr">
        <is>
          <t>Stuff 2</t>
        </is>
      </c>
      <c r="B88">
        <f>HYPERLINK("https://www.dofusbook.net/fr/equipement/172990-stuff-2/objets", "link")</f>
        <v/>
      </c>
      <c r="C88" t="n">
        <v>100</v>
      </c>
      <c r="D88" t="inlineStr">
        <is>
          <t>Sabres d'Atcham; Amulette de l'Indicible; Alliance Gloursonne; Anneau Tique; Ceinture de l'Indicible; Masque du Glourséleste; Cape d'Atcham; Sandales  d'Atcham; Dofus Émeraude; Dolmanax; Dofus Turquoise; Dofus des Glaces; Dofus Pourpre; Dofus Ocre; Muldo Prune et Doré</t>
        </is>
      </c>
    </row>
    <row r="89">
      <c r="A89" t="inlineStr">
        <is>
          <t>Stuff 1</t>
        </is>
      </c>
      <c r="B89">
        <f>HYPERLINK("https://www.dofusbook.net/fr/equipement/172995-stuff-1/objets", "link")</f>
        <v/>
      </c>
      <c r="C89" t="n">
        <v>146</v>
      </c>
      <c r="D89" t="inlineStr">
        <is>
          <t>Epée Gloursonne; Amulette du Strigide; Alliance Gloursonne; Bague Gloursonne; Ceinture du Strigide; Casque de Missiz Frizz; Cape de Léthaline; Bottes du Strigide; Dolmanax; Dofus Ocre; Dofus des Glaces; Dofus Turquoise; Dofus Pourpre; Bloqueur majeur; Blokus</t>
        </is>
      </c>
    </row>
    <row r="90">
      <c r="A90" t="inlineStr">
        <is>
          <t>Stuff 3</t>
        </is>
      </c>
      <c r="B90">
        <f>HYPERLINK("https://www.dofusbook.net/fr/equipement/172997-stuff-3/objets", "link")</f>
        <v/>
      </c>
      <c r="C90" t="n">
        <v>103</v>
      </c>
      <c r="D90" t="inlineStr">
        <is>
          <t>Epée Gloursonne; Amulette du Strigide; Bague Gloursonne; Alliance Gloursonne; Bouclier du Stalak; Ceinture du Strigide; Coiffe du Glourséleste; Bottes du Strigide; Dolmanax; Dofus Pourpre; Dofus Ocre; Dofus des Glaces; Dofus Turquoise; Dofus Émeraude; Muldo Prune et Doré</t>
        </is>
      </c>
    </row>
    <row r="91">
      <c r="A91" t="inlineStr">
        <is>
          <t>Stuff 3</t>
        </is>
      </c>
      <c r="B91">
        <f>HYPERLINK("https://www.dofusbook.net/fr/equipement/172991-stuff-3/objets", "link")</f>
        <v/>
      </c>
      <c r="C91" t="n">
        <v>139</v>
      </c>
      <c r="D91" t="inlineStr">
        <is>
          <t>Arc Hétype; Talisman Igans; Anneau Tique; Alliance du Lévitrof; Bouclier du Cycloïde; Ceintrigue; Casquette de Meno; Cape de Meno; Bottes de Meno; Dofus des Glaces; Dofus Émeraude; Dolmanax; Dofus Ocre; Dofus Pourpre; Dofus Turquoise; Muldo Prune et Doré</t>
        </is>
      </c>
    </row>
    <row r="92">
      <c r="A92" t="inlineStr">
        <is>
          <t>PvM</t>
        </is>
      </c>
      <c r="B92">
        <f>HYPERLINK("https://www.dofusbook.net/fr/equipement/175527-pvm/objets", "link")</f>
        <v/>
      </c>
      <c r="C92" t="n">
        <v>304</v>
      </c>
      <c r="D92" t="inlineStr">
        <is>
          <t>Dagues Érhy; Amulette du Strigide; Alliance du Lévitrof; Bracelet du Piloztère; Ambrouclier; Ceinture du Strigide; Coiffe du Lévitrof; Voile d'encre; Bottes du Lévitrof; Dofus Pourpre; Dofus Ocre; Dofus des Glaces; Dolmanax; Dofus Turquoise; Ralentisseur majeur; Muldo Orchidée et Pourpre</t>
        </is>
      </c>
    </row>
    <row r="93">
      <c r="A93" t="inlineStr">
        <is>
          <t>Stuff 2</t>
        </is>
      </c>
      <c r="B93">
        <f>HYPERLINK("https://www.dofusbook.net/fr/equipement/175529-stuff-2/objets", "link")</f>
        <v/>
      </c>
      <c r="C93" t="n">
        <v>294</v>
      </c>
      <c r="D93" t="inlineStr">
        <is>
          <t>Epée Gloursonne; Amulette de l'Indicible; Bague Gloursonne; Alliance Gloursonne; Ambrouclier; Ceinture de l'Indicible; Casque du Chalœil; Voile d'encre; Bottes de l'Indicible; Dofus des Glaces; Dofus Pourpre; Dofus Turquoise; Dolmanax; Dofus Ocre; Dragodinde Amande et Emeraude</t>
        </is>
      </c>
    </row>
    <row r="94">
      <c r="A94" t="inlineStr">
        <is>
          <t>Stuff 1</t>
        </is>
      </c>
      <c r="B94">
        <f>HYPERLINK("https://www.dofusbook.net/fr/equipement/175525-stuff-1/objets", "link")</f>
        <v/>
      </c>
      <c r="C94" t="n">
        <v>221</v>
      </c>
      <c r="D94" t="inlineStr">
        <is>
          <t>Hache à Lamelles; Amulette de Danathor; Anneau Aimgéroks; Grésilanneau; Ceinture de Danathor; Coiffe de Danathor; Grésilocape; Bottines des sous-bois; Dofus Cawotte; Ravageur Eau; Ralentisseur majeur; Joueur; Fuyard majeur; Entraveur; Dragodinde Prune et Emeraude</t>
        </is>
      </c>
    </row>
    <row r="95">
      <c r="A95" t="inlineStr">
        <is>
          <t>terre-ret</t>
        </is>
      </c>
      <c r="B95">
        <f>HYPERLINK("https://www.dofusbook.net/fr/equipement/6018429-terre-ret/objets", "link")</f>
        <v/>
      </c>
      <c r="C95" t="n">
        <v>2</v>
      </c>
      <c r="D95" t="inlineStr">
        <is>
          <t>Lav'Hache; Amulette du Strigide; Anneau Chevelu; Anneau Crustique; Sept ans de malheur; Ceintouse; Chapoulpe; Cape au Logis; Sabots Minables; Dofus Ocre; Dofus Ébène; Dofus Émeraude; Dofus Ivoire; Étourdisseur majeur; Enragé majeur; Drakopin</t>
        </is>
      </c>
    </row>
    <row r="96">
      <c r="A96" t="inlineStr">
        <is>
          <t>tfe</t>
        </is>
      </c>
      <c r="B96">
        <f>HYPERLINK("https://www.dofusbook.net/fr/equipement/6018343-tfe/objets", "link")</f>
        <v/>
      </c>
      <c r="C96" t="n">
        <v>2</v>
      </c>
      <c r="D96" t="inlineStr">
        <is>
          <t>Dagues Érhy; Amulette Volkorne; Alliance Gloursonne; Alliance du Lévitrof; Bouclier du Stalak; Ceinture Volkorne; Le Dorado; Cape Luminescente; Bottes du Chalœil; Dofus des Glaces; Chanceux majeur; Remueur; Érudit majeur; Enragé majeur; Nomade; Walk</t>
        </is>
      </c>
    </row>
    <row r="97">
      <c r="A97" t="inlineStr">
        <is>
          <t>terre air volk</t>
        </is>
      </c>
      <c r="B97">
        <f>HYPERLINK("https://www.dofusbook.net/fr/equipement/5587636-terre-air-volk/objets", "link")</f>
        <v/>
      </c>
      <c r="C97" t="n">
        <v>26</v>
      </c>
      <c r="D97" t="inlineStr">
        <is>
          <t>Arc Ahique; Amulette du Kamasterisk; Alliance Gloursonne; Bracelet du Piloztère; Bouclier du Stalak; Ceinture Volkorne; Casque Volkorne; Voilamibe; Baleinabottes; Dofus des Glaces; Dofus Pourpre; Nomade; Vigoureux majeur; Remueur; Robuste majeur; Mékrabe</t>
        </is>
      </c>
    </row>
    <row r="98">
      <c r="A98" t="inlineStr">
        <is>
          <t>Feu</t>
        </is>
      </c>
      <c r="B98">
        <f>HYPERLINK("https://www.dofusbook.net/fr/equipement/6016381-feu/objets", "link")</f>
        <v/>
      </c>
      <c r="C98" t="n">
        <v>3</v>
      </c>
      <c r="D98" t="inlineStr">
        <is>
          <t>Arc corrompu; Amulette Volkorne; Anneau de Nidas; Bracelet du Piloztère; Bouclier du Stalak; Ceintrigue; Couronne de Nidas; Cape de Diondin; Bottes Dogues; Dofus Pourpre; Dofus des Glaces; Dofus Abyssal; Remueur; Vigoureux majeur; Érudit majeur; Bisouglours</t>
        </is>
      </c>
    </row>
    <row r="99">
      <c r="A99" t="inlineStr">
        <is>
          <t>Feu</t>
        </is>
      </c>
      <c r="B99">
        <f>HYPERLINK("https://www.dofusbook.net/fr/equipement/6016380-feu/objets", "link")</f>
        <v/>
      </c>
      <c r="C99" t="n">
        <v>0</v>
      </c>
      <c r="D99" t="inlineStr"/>
    </row>
    <row r="100">
      <c r="A100" t="inlineStr">
        <is>
          <t>Feu</t>
        </is>
      </c>
      <c r="B100">
        <f>HYPERLINK("https://www.dofusbook.net/fr/equipement/6016379-feu/objets", "link")</f>
        <v/>
      </c>
      <c r="C100" t="n">
        <v>0</v>
      </c>
      <c r="D100" t="inlineStr"/>
    </row>
    <row r="101">
      <c r="A101" t="inlineStr">
        <is>
          <t>Feu</t>
        </is>
      </c>
      <c r="B101">
        <f>HYPERLINK("https://www.dofusbook.net/fr/equipement/6016376-feu/objets", "link")</f>
        <v/>
      </c>
      <c r="C101" t="n">
        <v>0</v>
      </c>
      <c r="D101" t="inlineStr"/>
    </row>
    <row r="102">
      <c r="A102" t="inlineStr">
        <is>
          <t>terre 200</t>
        </is>
      </c>
      <c r="B102">
        <f>HYPERLINK("https://www.dofusbook.net/fr/equipement/6007463-terre-200/objets", "link")</f>
        <v/>
      </c>
      <c r="C102" t="n">
        <v>3</v>
      </c>
      <c r="D102" t="inlineStr">
        <is>
          <t>Arc du Chalœil; Collier de Tourthon; Anneau de Brouce; Bracelet du Piloztère; Bouclier du Stalak; Ceinture de Brouce; Masque de Koutoulou; Cape au Logis; Sabots Minables; Dofus Abyssal; Dofus des Glaces; Dofus Pourpre; Saccageur Terre majeur; Dévastateur Terre majeur; Enragé majeur; Bulbisou</t>
        </is>
      </c>
    </row>
    <row r="103">
      <c r="A103" t="inlineStr">
        <is>
          <t>Feu soin pauvre</t>
        </is>
      </c>
      <c r="B103">
        <f>HYPERLINK("https://www.dofusbook.net/fr/equipement/5817537-feu-soin-pauvre/objets", "link")</f>
        <v/>
      </c>
      <c r="C103" t="n">
        <v>13</v>
      </c>
      <c r="D103" t="inlineStr">
        <is>
          <t>Arc Hétype; Amulette Séculaire; Bague Gloursonne; Anneau Tique; Bivalve; Sangle Aise; Coiffe Séculaire; Cape de Diondin; Bottes Dogues; Dofus Pourpre; Dofus Abyssal; Dofus des Glaces; Érudit majeur; Nomade; Remueur; Brûlih</t>
        </is>
      </c>
    </row>
    <row r="104">
      <c r="A104" t="inlineStr">
        <is>
          <t>eauair hupper</t>
        </is>
      </c>
      <c r="B104">
        <f>HYPERLINK("https://www.dofusbook.net/fr/equipement/5609347-eauair-hupper/objets", "link")</f>
        <v/>
      </c>
      <c r="C104" t="n">
        <v>38</v>
      </c>
      <c r="D104" t="inlineStr">
        <is>
          <t>Epée Loponèze; Amulette d'Ilyzaelle; Bracelet du Piloztère; Alliance Gloursonne; Bouclier du Stalak; Poulpagne; Casque d'Ilyzaelle; Voilamibe; Bottes de la Reine des Voleurs; Dofus Pourpre; Dofus des Glaces; Vigoureux majeur; Robuste majeur; Remueur; Mini Wa</t>
        </is>
      </c>
    </row>
    <row r="105">
      <c r="A105" t="inlineStr">
        <is>
          <t>Terre</t>
        </is>
      </c>
      <c r="B105">
        <f>HYPERLINK("https://www.dofusbook.net/fr/equipement/5991735-terre/objets", "link")</f>
        <v/>
      </c>
      <c r="C105" t="n">
        <v>12</v>
      </c>
      <c r="D105" t="inlineStr">
        <is>
          <t>Arc du Chalœil; Amulette du Strigide; Anneau Chevelu; Bague Gloursonne; Quatre-feuilles; Ceinture du Strigide; Masque de Koutoulou; Cape au Logis; Bottes Honyme; Dofus Turquoise; Dofus des Glaces; Dofus Pourpre; Vigoureux majeur; Enragé majeur; Forcené majeur; Dragodinde Emeraude et Pourpre</t>
        </is>
      </c>
    </row>
    <row r="106">
      <c r="A106" t="inlineStr">
        <is>
          <t>eau feu crit exo volk</t>
        </is>
      </c>
      <c r="B106">
        <f>HYPERLINK("https://www.dofusbook.net/fr/equipement/5025236-eau-feu-crit-exo-volk/objets", "link")</f>
        <v/>
      </c>
      <c r="C106" t="n">
        <v>85</v>
      </c>
      <c r="D106" t="inlineStr">
        <is>
          <t>Arc Nécrotique; Amulette Volkorne; Anneau Volkorne; Alliance Gloursonne; Quatre-feuilles; Ceintrigue; Maskrobe; Cape de la Dame du Hasard; Pataugastrique; Dofus des Glaces; Dofus Pourpre; Dofus Turquoise; Remueur; Vigoureux majeur; Nomade; Kokulte</t>
        </is>
      </c>
    </row>
    <row r="107">
      <c r="A107" t="inlineStr">
        <is>
          <t>air feu ret pm</t>
        </is>
      </c>
      <c r="B107">
        <f>HYPERLINK("https://www.dofusbook.net/fr/equipement/4656716-air-feu-ret-pm/objets", "link")</f>
        <v/>
      </c>
      <c r="C107" t="n">
        <v>128</v>
      </c>
      <c r="D107" t="inlineStr">
        <is>
          <t>Arc Honte; Pendentif mignon de Koutoulou; Alliance Gloursonne; Anneau Rifique; Bouclier cubiste; Ceinture Séculaire; Couronne d'Allister; Voilamibe; Pantoufles Émar; Dofus des Glaces; Dofus Abyssal; Dofus Pourpre; Entraveur majeur; Temporiseur majeur; Remueur; Gwo Tofu Ventripotent</t>
        </is>
      </c>
    </row>
    <row r="108">
      <c r="A108" t="inlineStr">
        <is>
          <t>Multi mid cost</t>
        </is>
      </c>
      <c r="B108">
        <f>HYPERLINK("https://www.dofusbook.net/fr/equipement/5498678-multi-mid-cost/objets", "link")</f>
        <v/>
      </c>
      <c r="C108" t="n">
        <v>167</v>
      </c>
      <c r="D108" t="inlineStr">
        <is>
          <t>Hache du Chalœil; Amulette du Strigide; Alliance Gloursonne; Bracelet du Piloztère; Quatre-feuilles; Ceintacé; Casque du Chalœil; Voile d'encre; Bottes du Chalœil; Dofus Turquoise; Dofus des Glaces; Dofus Pourpre; Nomade; Vigoureux majeur; Remueur; Kokulte</t>
        </is>
      </c>
    </row>
    <row r="109">
      <c r="A109" t="inlineStr">
        <is>
          <t>multi tork</t>
        </is>
      </c>
      <c r="B109">
        <f>HYPERLINK("https://www.dofusbook.net/fr/equipement/5951068-multi-tork/objets", "link")</f>
        <v/>
      </c>
      <c r="C109" t="n">
        <v>58</v>
      </c>
      <c r="D109" t="inlineStr">
        <is>
          <t>Baguette de Torkélonia; Amulette du Strigide; Bracelet du Piloztère; Anneau de Padgref; Quatre-feuilles; Ceinture du Strigide; Corne de Torkélonia; Carapace de Torkélonia; Bottes du Strigide; Dofus Turquoise; Dolmanax; Dofus Ocre; Dofus Pourpre; Dofus des Glaces; Puissant majeur; Kokulte</t>
        </is>
      </c>
    </row>
    <row r="110">
      <c r="A110" t="inlineStr">
        <is>
          <t>Croco</t>
        </is>
      </c>
      <c r="B110">
        <f>HYPERLINK("https://www.dofusbook.net/fr/equipement/5927867-croco/objets", "link")</f>
        <v/>
      </c>
      <c r="C110" t="n">
        <v>47</v>
      </c>
      <c r="D110" t="inlineStr">
        <is>
          <t>Crocobur; Amulette de l'Indicible; Bracelet du Piloztère; Alliance Gloursonne; Bouclier du Captain Amakna; Ceinture de la Reine des Voleurs; Coiffe de la Reine des Voleurs; Voilamibe; Baleinabottes; Dofus Pourpre; Dofus des Glaces; Dolmanax; Remueur; Vigoureux majeur; Robuste majeur; Dragodinde Ivoire et Pourpre</t>
        </is>
      </c>
    </row>
    <row r="111">
      <c r="A111" t="inlineStr">
        <is>
          <t>multi phase 3.3</t>
        </is>
      </c>
      <c r="B111">
        <f>HYPERLINK("https://www.dofusbook.net/fr/equipement/5817462-multi-phase-3-3/objets", "link")</f>
        <v/>
      </c>
      <c r="C111" t="n">
        <v>51</v>
      </c>
      <c r="D111" t="inlineStr">
        <is>
          <t>Hache du Chalœil; Amulette Volkorne; Bracelet du Piloztère; Alliance Gloursonne; Bouclier du Stalak; Ceinture Volkorne; Chapeau Lisson; Voilamibe; Pantoufles Émar; Dofus Abyssal; Dofus des Glaces; Dofus Pourpre; Robuste majeur; Vigoureux majeur; Remueur; Chacha</t>
        </is>
      </c>
    </row>
    <row r="112">
      <c r="A112" t="inlineStr">
        <is>
          <t>Multi lc test</t>
        </is>
      </c>
      <c r="B112">
        <f>HYPERLINK("https://www.dofusbook.net/fr/equipement/5922003-multi-lc-test/objets", "link")</f>
        <v/>
      </c>
      <c r="C112" t="n">
        <v>15</v>
      </c>
      <c r="D112" t="inlineStr">
        <is>
          <t>Pyraguette; Amulette Volkorne; Alliance Gloursonne; Bracelet du Piloztère; Bouclier du Stalak; Ceinture Volkorne; Casque de Missiz Frizz; Voilamibe; Pantoufles Émar; Dofus Pourpre; Dofus des Glaces; Robuste majeur; Vigoureux majeur; Remueur; Chacha</t>
        </is>
      </c>
    </row>
    <row r="113">
      <c r="A113" t="inlineStr">
        <is>
          <t>multi phase3.0</t>
        </is>
      </c>
      <c r="B113">
        <f>HYPERLINK("https://www.dofusbook.net/fr/equipement/5696664-multi-phase3-0/objets", "link")</f>
        <v/>
      </c>
      <c r="C113" t="n">
        <v>63</v>
      </c>
      <c r="D113" t="inlineStr">
        <is>
          <t>Marteau des égarés; Amulette Volkorne; Bracelet du Piloztère; Alliance Gloursonne; Bouclier Taverne; Ceinture Volkorne; Chapeau Lisson; Voilamibe; Pantoufles Émar; Dofus Abyssal; Dofus Pourpre; Dofus des Glaces; Vigoureux majeur; Remueur; Robuste majeur; Chacha</t>
        </is>
      </c>
    </row>
    <row r="114">
      <c r="A114" t="inlineStr">
        <is>
          <t>Test</t>
        </is>
      </c>
      <c r="B114">
        <f>HYPERLINK("https://www.dofusbook.net/fr/equipement/5911793-test/objets", "link")</f>
        <v/>
      </c>
      <c r="C114" t="n">
        <v>9</v>
      </c>
      <c r="D114" t="inlineStr">
        <is>
          <t>Baguette de Malléfisk; Amulette Volkorne; Alliance Gloursonne; Anneau Volkorne; Bouclier cubiste; Ceinture des Chocomanciens; Capuche de l'Œil Putride; Cape de la Dame du Hasard; Pataugastrique; Dofus des Glaces; Dofus Ébène; Entraveur majeur; Remueur; Temporiseur majeur; Nomade; Tofu Givré</t>
        </is>
      </c>
    </row>
    <row r="115">
      <c r="A115" t="inlineStr">
        <is>
          <t>eau-feu test</t>
        </is>
      </c>
      <c r="B115">
        <f>HYPERLINK("https://www.dofusbook.net/fr/equipement/5902111-eau-feu-test/objets", "link")</f>
        <v/>
      </c>
      <c r="C115" t="n">
        <v>18</v>
      </c>
      <c r="D115" t="inlineStr">
        <is>
          <t>Couteaux Sacrificiels; Amulette Volkorne; Anneau Volkorne; Alliance Gloursonne; Cadran d'Eau; Sangle Ouare; Masque Paztek; Voilamibe; Pataugastrique; Dofus des Glaces; Dofus Pourpre; Dofus Abyssal; Robuste majeur; Remueur; Vigoureux majeur; Walk</t>
        </is>
      </c>
    </row>
    <row r="116">
      <c r="A116" t="inlineStr">
        <is>
          <t>Terre-air</t>
        </is>
      </c>
      <c r="B116">
        <f>HYPERLINK("https://www.dofusbook.net/fr/equipement/5877605-terre-air/objets", "link")</f>
        <v/>
      </c>
      <c r="C116" t="n">
        <v>55</v>
      </c>
      <c r="D116" t="inlineStr">
        <is>
          <t>Héqache; Amulette du Cœur Vaillant; Anneau Chevelu; Alliance Gloursonne; Bouclier Taverne; Ceinture de la Reine des Voleurs; Coiffe de la Reine des Voleurs; Voile d'encre; Baleinabottes; Dofus Pourpre; Dofus des Glaces; Nomade; Vigoureux majeur; Remueur; Robuste majeur; Bwak d'Air</t>
        </is>
      </c>
    </row>
    <row r="117">
      <c r="A117" t="inlineStr">
        <is>
          <t>test multi</t>
        </is>
      </c>
      <c r="B117">
        <f>HYPERLINK("https://www.dofusbook.net/fr/equipement/5868774-test-multi/objets", "link")</f>
        <v/>
      </c>
      <c r="C117" t="n">
        <v>14</v>
      </c>
      <c r="D117" t="inlineStr">
        <is>
          <t>Marteau des égarés; Amulette du Strigide; Anneau Volkorne; Alliance Gloursonne; Bouclier du Captain Amakna; Ceinture Volkorne; Chapeau Lisson; Voilamibe; Bottes Honyme; Dofus Turquoise; Dofus des Glaces; Dofus Ivoire; Dofus Pourpre; Dofus Ébène; Remueur; Chacha des Glaces</t>
        </is>
      </c>
    </row>
    <row r="118">
      <c r="A118" t="inlineStr">
        <is>
          <t>Eau-feu-air</t>
        </is>
      </c>
      <c r="B118">
        <f>HYPERLINK("https://www.dofusbook.net/fr/equipement/5842851-eau-feu-air/objets", "link")</f>
        <v/>
      </c>
      <c r="C118" t="n">
        <v>12</v>
      </c>
      <c r="D118" t="inlineStr">
        <is>
          <t>Couteaux Sacrificiels; Amulette Volkorne; Alliance Gloursonne; Anneau Volkorne; Bouclier Taverne; Sangle Ouare; Chapeau Lisson; Voilamibe; Pantoufles Émar; Dofus Abyssal; Dofus des Glaces; Dofus Pourpre; Vigoureux majeur; Robuste majeur; Remueur; Pioute rose</t>
        </is>
      </c>
    </row>
    <row r="119">
      <c r="A119" t="inlineStr">
        <is>
          <t>terre eau ret</t>
        </is>
      </c>
      <c r="B119">
        <f>HYPERLINK("https://www.dofusbook.net/fr/equipement/5817695-terre-eau-ret/objets", "link")</f>
        <v/>
      </c>
      <c r="C119" t="n">
        <v>44</v>
      </c>
      <c r="D119" t="inlineStr">
        <is>
          <t>Marteau R'ture; Amulette Luminescente; Bracelet du Piloztère; Pikano; Bouclier cubiste; Ceinture Gence; Coiffe d'Ogivol; Voilamibe; Pikottes; Dofus Pourpre; Vigoureux majeur; Entraveur majeur; Nomade; Robuste majeur; Temporiseur majeur; Volkorne Turquoise et Indigo</t>
        </is>
      </c>
    </row>
    <row r="120">
      <c r="A120" t="inlineStr">
        <is>
          <t>terre eau</t>
        </is>
      </c>
      <c r="B120">
        <f>HYPERLINK("https://www.dofusbook.net/fr/equipement/5817679-terre-eau/objets", "link")</f>
        <v/>
      </c>
      <c r="C120" t="n">
        <v>35</v>
      </c>
      <c r="D120" t="inlineStr">
        <is>
          <t>Dagues de Srambad; Amulette Luminescente; Bracelet du Piloztère; Alliance Gloursonne; Bouclier du Stalak; Ceinture de la Reine des Voleurs; Coiffe de la Reine des Voleurs; Voilamibe; Baleinabottes; Dofus des Glaces; Dofus Pourpre; Vigoureux majeur; Remueur; Robuste majeur; Nomade; Bébé Pandawa</t>
        </is>
      </c>
    </row>
    <row r="121">
      <c r="A121" t="inlineStr">
        <is>
          <t>multi LC</t>
        </is>
      </c>
      <c r="B121">
        <f>HYPERLINK("https://www.dofusbook.net/fr/equipement/5817375-multi-lc/objets", "link")</f>
        <v/>
      </c>
      <c r="C121" t="n">
        <v>49</v>
      </c>
      <c r="D121" t="inlineStr">
        <is>
          <t>Bâton Beau; Amulette du Strigide; Bague Gloursonne; Bracelet du Piloztère; Quatre-feuilles; Ceinture du Strigide; Masque Vaudou Tam; Cape Reski; Bottes Honyme; Dofus Turquoise; Dofus des Glaces; Dofus Pourpre; Remueur; Vigoureux majeur; Nomade; Kokulte</t>
        </is>
      </c>
    </row>
    <row r="122">
      <c r="A122" t="inlineStr">
        <is>
          <t>Air crit</t>
        </is>
      </c>
      <c r="B122">
        <f>HYPERLINK("https://www.dofusbook.net/fr/equipement/5792702-air-crit/objets", "link")</f>
        <v/>
      </c>
      <c r="C122" t="n">
        <v>60</v>
      </c>
      <c r="D122" t="inlineStr">
        <is>
          <t>Baguette de Frigostine; Amulette du Strigide; Anneau de Padgref; Bracelet du Piloztère; Quatre-feuilles; Menoture; Corne de Torkélonia; Carapace de Torkélonia; Bottes Voldelor; Dofus Ocre; Dofus des Glaces; Dofus Turquoise; Dofus Ébène; Nomade; Cascadeur majeur; Kokulte</t>
        </is>
      </c>
    </row>
    <row r="123">
      <c r="A123" t="inlineStr">
        <is>
          <t>eau feu sacrifi</t>
        </is>
      </c>
      <c r="B123">
        <f>HYPERLINK("https://www.dofusbook.net/fr/equipement/5789377-eau-feu-sacrifi/objets", "link")</f>
        <v/>
      </c>
      <c r="C123" t="n">
        <v>111</v>
      </c>
      <c r="D123" t="inlineStr">
        <is>
          <t>Couteaux Sacrificiels; Amulette Volkorne; Alliance Gloursonne; Anneau Volkorne; Bouclier Taverne; Sangle Ouare; Masque Paztek; Voilamibe; Pataugastrique; Dofus Abyssal; Dofus des Glaces; Dofus Pourpre; Vigoureux majeur; Robuste majeur; Remueur; Walk</t>
        </is>
      </c>
    </row>
    <row r="124">
      <c r="A124" t="inlineStr">
        <is>
          <t>iop classe</t>
        </is>
      </c>
      <c r="B124">
        <f>HYPERLINK("https://www.dofusbook.net/fr/equipement/5780972-iop-classe/objets", "link")</f>
        <v/>
      </c>
      <c r="C124" t="n">
        <v>57</v>
      </c>
      <c r="D124" t="inlineStr">
        <is>
          <t>Arc du Chalœil; Amulette du Strigide; Bague Harre; Anneau Volkorne; Quatre-feuilles; Ceinture Volkorne; Masque de Koutoulou; Cape au Logis; Bottes de la Cour Sombre; Dofus des Glaces; Dofus Pourpre; Dofus Turquoise; Remueur; Enragé majeur; Nomade; Pioute vert</t>
        </is>
      </c>
    </row>
    <row r="125">
      <c r="A125" t="inlineStr">
        <is>
          <t>eau</t>
        </is>
      </c>
      <c r="B125">
        <f>HYPERLINK("https://www.dofusbook.net/fr/equipement/5774121-eau-/objets", "link")</f>
        <v/>
      </c>
      <c r="C125" t="n">
        <v>22</v>
      </c>
      <c r="D125" t="inlineStr">
        <is>
          <t>Rapière aux Glyphes; Amulette de Shokkoth; Anneau Volkorne; Alliance Gloursonne; Bouclier d'Ilyzaelle; Sangle Ouare; Kidibonnet; Cape du Sinistrofu; Bottes du Sinistrofu; Dofus Pourpre; Dofus Ocre; Dofus des Glaces; Vigoureux majeur; Robuste majeur; Chanceux majeur; Kanigloups</t>
        </is>
      </c>
    </row>
    <row r="126">
      <c r="A126" t="inlineStr">
        <is>
          <t>air ret pm</t>
        </is>
      </c>
      <c r="B126">
        <f>HYPERLINK("https://www.dofusbook.net/fr/equipement/5169850-air-ret-pm/objets", "link")</f>
        <v/>
      </c>
      <c r="C126" t="n">
        <v>62</v>
      </c>
      <c r="D126" t="inlineStr">
        <is>
          <t>Hachoirs de Viandargh; Amulette des Chocomanciens; Alliance Gloursonne; Gant du Valet Veinard; Bouclier cubiste; Ceinture des Chocomanciens; Couronne d'Allister; Capibou; Pantoufles Émar; Dofus Pourpre; Dofus des Glaces; Dévastateur Air majeur; Cascadeur majeur; Nomade; Remueur; Gwo Tofu Ventripotent</t>
        </is>
      </c>
    </row>
    <row r="127">
      <c r="A127" t="inlineStr">
        <is>
          <t>eau feu taverne</t>
        </is>
      </c>
      <c r="B127">
        <f>HYPERLINK("https://www.dofusbook.net/fr/equipement/5466510-eau-feu-taverne/objets", "link")</f>
        <v/>
      </c>
      <c r="C127" t="n">
        <v>87</v>
      </c>
      <c r="D127" t="inlineStr">
        <is>
          <t>Couteaux Sacrificiels; Amulette Volkorne; Alliance Gloursonne; Anneau Volkorne; Bouclier Taverne; Sangle Ouare; Masque Paztek; Cape de la Dame du Hasard; Pataugastrique; Dofus Pourpre; Dofus des Glaces; Remueur; Vigoureux majeur; Nomade; Robuste majeur; Walk</t>
        </is>
      </c>
    </row>
    <row r="128">
      <c r="A128" t="inlineStr">
        <is>
          <t>Multi volk</t>
        </is>
      </c>
      <c r="B128">
        <f>HYPERLINK("https://www.dofusbook.net/fr/equipement/5738059-multi-volk/objets", "link")</f>
        <v/>
      </c>
      <c r="C128" t="n">
        <v>53</v>
      </c>
      <c r="D128" t="inlineStr">
        <is>
          <t>Hache du Chalœil; Amulette Volkorne; Anneau Volkorne; Bracelet du Piloztère; Quatre-feuilles; Ceintacé; Casque du Chalœil; Voile d'encre; Bottes du Strigide; Dofus Turquoise; Dofus Pourpre; Remueur; Enragé majeur; Vigoureux majeur; Nomade; Kokulte</t>
        </is>
      </c>
    </row>
    <row r="129">
      <c r="A129" t="inlineStr">
        <is>
          <t>multi phase3.2</t>
        </is>
      </c>
      <c r="B129">
        <f>HYPERLINK("https://www.dofusbook.net/fr/equipement/5734084-multi-phase3-2/objets", "link")</f>
        <v/>
      </c>
      <c r="C129" t="n">
        <v>22</v>
      </c>
      <c r="D129" t="inlineStr">
        <is>
          <t>Hache du Chalœil; Amulette Volkorne; Bracelet du Piloztère; Alliance Gloursonne; Quatre-feuilles; Ceinture Volkorne; Casque du Chalœil; Voilamibe; Pantoufles Émar; Dofus Turquoise; Dofus Pourpre; Dofus des Glaces; Remueur; Nomade; Vigoureux majeur; Kokulte</t>
        </is>
      </c>
    </row>
    <row r="130">
      <c r="A130" t="inlineStr">
        <is>
          <t>terre tac</t>
        </is>
      </c>
      <c r="B130">
        <f>HYPERLINK("https://www.dofusbook.net/fr/equipement/4057425-terre-tac/objets", "link")</f>
        <v/>
      </c>
      <c r="C130" t="n">
        <v>276</v>
      </c>
      <c r="D130" t="inlineStr">
        <is>
          <t>Lav'Hache; Amulette du Strigide; Anneau Crustique; Anneau Chevelu; Bouclier précieux; Ceinture de la Cour Sombre; Masque de Koutoulou; Cape au Logis; Bottes de la Cour Sombre; Dofus Émeraude; Remueur; Obstructeur majeur; Enragé majeur; Nomade; Bloqueur majeur; Givrefoux</t>
        </is>
      </c>
    </row>
    <row r="131">
      <c r="A131" t="inlineStr">
        <is>
          <t>eau crit</t>
        </is>
      </c>
      <c r="B131">
        <f>HYPERLINK("https://www.dofusbook.net/fr/equipement/5703002-eau-crit/objets", "link")</f>
        <v/>
      </c>
      <c r="C131" t="n">
        <v>51</v>
      </c>
      <c r="D131" t="inlineStr">
        <is>
          <t>Baguette Hique; Amulette du Strigide; Alliance Gloursonne; Anneau Volkorne; Quatre-feuilles; Pagne du Rykaon; Kidibonnet; Cape de la Dame du Hasard; Bottes de la Dame du Hasard; Dofus des Glaces; Dofus Pourpre; Dofus Turquoise; Remueur; Chanceux majeur; Nomade; Kokulte</t>
        </is>
      </c>
    </row>
    <row r="132">
      <c r="A132" t="inlineStr">
        <is>
          <t>panda 40all 200 tac</t>
        </is>
      </c>
      <c r="B132">
        <f>HYPERLINK("https://www.dofusbook.net/fr/equipement/4664144-panda-40all-200-tac/objets", "link")</f>
        <v/>
      </c>
      <c r="C132" t="n">
        <v>292</v>
      </c>
      <c r="D132" t="inlineStr">
        <is>
          <t>Rouleau à Pâtisserie d'Aermyne; Collier Rophante; Alliance Gloursonne; Anneau de Pol Ouatnos; Bouclier précieux; Ceinture de Kongoku; Casque Dragoeuf; Cape d'Aermyne; Pataugastrique; Dofus Émeraude; Fonceur majeur; Obstructeur majeur; Tacleur majeur; Bloqueur majeur; Remueur; Platypus</t>
        </is>
      </c>
    </row>
    <row r="133">
      <c r="A133" t="inlineStr">
        <is>
          <t>multi low cost exo</t>
        </is>
      </c>
      <c r="B133">
        <f>HYPERLINK("https://www.dofusbook.net/fr/equipement/5465852-multi-low-cost-exo/objets", "link")</f>
        <v/>
      </c>
      <c r="C133" t="n">
        <v>75</v>
      </c>
      <c r="D133" t="inlineStr">
        <is>
          <t>Pyraguette; Amulette de l'Indicible; Alliance Gloursonne; Alliance de Missiz Frizz; Bouclier du Stalak; Ceinture du Strigide; Casque de Missiz Frizz; Voilamibe; Pantoufles Émar; Dofus des Glaces; Dofus Pourpre; Vigoureux majeur; Remueur; Robuste majeur; Nomade; Pioute rose</t>
        </is>
      </c>
    </row>
    <row r="134">
      <c r="A134" t="inlineStr">
        <is>
          <t>terre stri mid</t>
        </is>
      </c>
      <c r="B134">
        <f>HYPERLINK("https://www.dofusbook.net/fr/equipement/4749155-terre-stri-mid/objets", "link")</f>
        <v/>
      </c>
      <c r="C134" t="n">
        <v>87</v>
      </c>
      <c r="D134" t="inlineStr">
        <is>
          <t>Marteau R'ture; Amulette du Strigide; Bague Gloursonne; Anneau Chevelu; Bouclier Taverne; Ceintacé; Masque de Koutoulou; Cape au Logis; Bottes du Strigide; Dofus des Glaces; Dofus Pourpre; Dofus Turquoise; Enragé majeur; Vigoureux majeur; Nomade; Pioute vert</t>
        </is>
      </c>
    </row>
    <row r="135">
      <c r="A135" t="inlineStr">
        <is>
          <t>terre volk crit</t>
        </is>
      </c>
      <c r="B135">
        <f>HYPERLINK("https://www.dofusbook.net/fr/equipement/5229275-terre-volk-crit/objets", "link")</f>
        <v/>
      </c>
      <c r="C135" t="n">
        <v>174</v>
      </c>
      <c r="D135" t="inlineStr">
        <is>
          <t>Dagues d'Ilyzaelle; Amulette du Strigide; Anneau Chevelu; Anneau Volkorne; Bouclier du Captain Amakna; Ceinture Volkorne; Masque de Koutoulou; Cape au Logis; Bottes de Brouce; Dofus Pourpre; Dofus Turquoise; Enragé majeur; Vigoureux majeur; Remueur; Nomade; Pioute vert</t>
        </is>
      </c>
    </row>
    <row r="136">
      <c r="A136" t="inlineStr">
        <is>
          <t>Feu mod cost</t>
        </is>
      </c>
      <c r="B136">
        <f>HYPERLINK("https://www.dofusbook.net/fr/equipement/5683194-feu-mod-cost/objets", "link")</f>
        <v/>
      </c>
      <c r="C136" t="n">
        <v>48</v>
      </c>
      <c r="D136" t="inlineStr">
        <is>
          <t>Arc corrompu; Amulette Volkorne; Chevalière du Roi Joueur; Bague Gloursonne; Bouclier du Stalak; Ceinture Volkorne; Coiffe Séculaire; Voilamibe; Pataugastrique; Dofus des Glaces; Dofus Pourpre; Remueur; Vigoureux majeur; Érudit majeur; Nomade; Bisouglours</t>
        </is>
      </c>
    </row>
    <row r="137">
      <c r="A137" t="inlineStr">
        <is>
          <t>terreau2</t>
        </is>
      </c>
      <c r="B137">
        <f>HYPERLINK("https://www.dofusbook.net/fr/equipement/5568003-terreau2/objets", "link")</f>
        <v/>
      </c>
      <c r="C137" t="n">
        <v>33</v>
      </c>
      <c r="D137" t="inlineStr">
        <is>
          <t>Dagues de Srambad; Amulette Luminescente; Anneau Volkorne; Alliance Gloursonne; Bouclier du Stalak; Ceinture Volkorne; Coiffe de la Reine des Voleurs; Voilamibe; Pataugastrique; Dofus des Glaces; Dofus Pourpre; Nomade; Vigoureux majeur; Remueur; Robuste majeur; Bébé Pandawa</t>
        </is>
      </c>
    </row>
    <row r="138">
      <c r="A138" t="inlineStr">
        <is>
          <t>feau botteclass</t>
        </is>
      </c>
      <c r="B138">
        <f>HYPERLINK("https://www.dofusbook.net/fr/equipement/5623208-feau-botteclass/objets", "link")</f>
        <v/>
      </c>
      <c r="C138" t="n">
        <v>44</v>
      </c>
      <c r="D138" t="inlineStr">
        <is>
          <t>Pyraguette; Amulette Volkorne; Anneau Volkorne; Bracelet du Piloztère; Bouclier du Stalak; Ceintrigue; Kidibonnet; Cape des Malveilleurs; Bottes Antouche; Dofus des Glaces; Dofus Pourpre; Nomade; Vigoureux majeur; Remueur; Robuste majeur; Walk</t>
        </is>
      </c>
    </row>
    <row r="139">
      <c r="A139" t="inlineStr">
        <is>
          <t>eautank</t>
        </is>
      </c>
      <c r="B139">
        <f>HYPERLINK("https://www.dofusbook.net/fr/equipement/4799470-eautank/objets", "link")</f>
        <v/>
      </c>
      <c r="C139" t="n">
        <v>78</v>
      </c>
      <c r="D139" t="inlineStr">
        <is>
          <t>Rapière aux Glyphes; Amulette d'Ilyzaelle; Alliance Gloursonne; Anneau Volkorne; Bouclier d'Ilyzaelle; Poulpagne; Casque Dragoeuf; Voilamibe; Bottes du Sinistrofu; Dofus Abyssal; Dofus Émeraude; Dofus Ivoire; Dofus Ocre; Chanceux majeur; Vigoureux majeur; Kramkram</t>
        </is>
      </c>
    </row>
    <row r="140">
      <c r="A140" t="inlineStr">
        <is>
          <t>eau/tac</t>
        </is>
      </c>
      <c r="B140">
        <f>HYPERLINK("https://www.dofusbook.net/fr/equipement/5622189-eau-tac/objets", "link")</f>
        <v/>
      </c>
      <c r="C140" t="n">
        <v>27</v>
      </c>
      <c r="D140" t="inlineStr">
        <is>
          <t>Rapière aux Glyphes; Amulette Cryochrone; Alliance Gloursonne; Bracelet des Fonds marins; Bouclier alvéolé; Poulpagne; Casque Dragoeuf; Voilamibe; Sandales des Fonds marins; Dofus Ocre; Dofus Ivoire; Dofus Émeraude; Obstructeur majeur; Chanceux majeur; Vigoureux majeur; Platypus</t>
        </is>
      </c>
    </row>
    <row r="141">
      <c r="A141" t="inlineStr">
        <is>
          <t>panda terre</t>
        </is>
      </c>
      <c r="B141">
        <f>HYPERLINK("https://www.dofusbook.net/fr/equipement/5619690-panda-terre/objets", "link")</f>
        <v/>
      </c>
      <c r="C141" t="n">
        <v>51</v>
      </c>
      <c r="D141" t="inlineStr">
        <is>
          <t>Arc du Chalœil; Amulette du Strigide; Anneau Volkorne; Bracelet du Piloztère; Quatre-feuilles; Ceinture Volkorne; Chapeau de Gein; Cape au Logis; Bottes Honyme; Dofus des Glaces; Dofus Turquoise; Dofus Pourpre; Enragé majeur; Vigoureux majeur; Remueur; Tofu Givré</t>
        </is>
      </c>
    </row>
    <row r="142">
      <c r="A142" t="inlineStr">
        <is>
          <t>eau/crit/dist</t>
        </is>
      </c>
      <c r="B142">
        <f>HYPERLINK("https://www.dofusbook.net/fr/equipement/5619529-eau-crit-dist/objets", "link")</f>
        <v/>
      </c>
      <c r="C142" t="n">
        <v>48</v>
      </c>
      <c r="D142" t="inlineStr">
        <is>
          <t>Baguette Hique; Amulette de Shokkoth; Alliance Gloursonne; Anneau Volkorne; Quatre-feuilles; Ceinture du Barbétoal; Kidibonnet; Cape de la Dame du Hasard; Bottes de la Dame du Hasard; Dofus Turquoise; Dofus des Glaces; Dofus Pourpre; Remueur; Nomade; Chanceux majeur; Kokulte</t>
        </is>
      </c>
    </row>
    <row r="143">
      <c r="A143" t="inlineStr">
        <is>
          <t>eauairini</t>
        </is>
      </c>
      <c r="B143">
        <f>HYPERLINK("https://www.dofusbook.net/fr/equipement/5619433-eauairini/objets", "link")</f>
        <v/>
      </c>
      <c r="C143" t="n">
        <v>40</v>
      </c>
      <c r="D143" t="inlineStr">
        <is>
          <t>Epée Loponèze; Amulette d'Ilyzaelle; Alliance Gloursonne; Bracelet du Piloztère; Bouclier du Stalak; Poulpagne; Casque d'Ilyzaelle; Voilamibe; Bottes de la Reine des Voleurs; Dofus des Glaces; Dofus Pourpre; Robuste majeur; Fonceur majeur; Remueur; Vigoureux majeur; Tofu Givré</t>
        </is>
      </c>
    </row>
    <row r="144">
      <c r="A144" t="inlineStr">
        <is>
          <t>stri crit</t>
        </is>
      </c>
      <c r="B144">
        <f>HYPERLINK("https://www.dofusbook.net/fr/equipement/3827296-stri-crit/objets", "link")</f>
        <v/>
      </c>
      <c r="C144" t="n">
        <v>417</v>
      </c>
      <c r="D144" t="inlineStr">
        <is>
          <t>Hache Téroïde; Amulette du Strigide; Anneau Chevelu; Bague Gloursonne; Quatre-feuilles; Ceinture du Strigide; Couronne du Roi Joueur; Cape au Logis; Bottes Honyme; Dofus Turquoise; Dofus Pourpre; Enragé majeur; Remueur; Érudit majeur; Vigoureux majeur; Kokulte</t>
        </is>
      </c>
    </row>
    <row r="145">
      <c r="A145" t="inlineStr">
        <is>
          <t>eauair hupp2</t>
        </is>
      </c>
      <c r="B145">
        <f>HYPERLINK("https://www.dofusbook.net/fr/equipement/5616706-eauair-hupp2/objets", "link")</f>
        <v/>
      </c>
      <c r="C145" t="n">
        <v>46</v>
      </c>
      <c r="D145" t="inlineStr">
        <is>
          <t>Epée Loponèze; Amulette d'Ilyzaelle; Bracelet du Piloztère; Alliance Gloursonne; Bouclier du Stalak; Sangle Ouare; Casque d'Ilyzaelle; Voilamibe; Baleinabottes; Dofus Pourpre; Dofus des Glaces; Vigoureux majeur; Robuste majeur; Puissant majeur; Remueur; Mini Wa</t>
        </is>
      </c>
    </row>
    <row r="146">
      <c r="A146" t="inlineStr">
        <is>
          <t>feu 200 opti</t>
        </is>
      </c>
      <c r="B146">
        <f>HYPERLINK("https://www.dofusbook.net/fr/equipement/4587681-feu-200-opti/objets", "link")</f>
        <v/>
      </c>
      <c r="C146" t="n">
        <v>258</v>
      </c>
      <c r="D146" t="inlineStr">
        <is>
          <t>Arc corrompu; Amulette Volkorne; Anneauræus; Anneauræus; Bouclier du Stalak; Ceinture Volkorne; Heaume Oplate; Voile d'encre; Chaussures Ardentes; Dofus Ivoire; Dofus Ocre; Dofus Ébène; Dofus Pourpre; Érudit majeur; Nomade; Bisouglours</t>
        </is>
      </c>
    </row>
    <row r="147">
      <c r="A147" t="inlineStr">
        <is>
          <t>Terre feu 2</t>
        </is>
      </c>
      <c r="B147">
        <f>HYPERLINK("https://www.dofusbook.net/fr/equipement/5605356-terre-feu-2/objets", "link")</f>
        <v/>
      </c>
      <c r="C147" t="n">
        <v>28</v>
      </c>
      <c r="D147" t="inlineStr">
        <is>
          <t>Bâthon; Amulette Volkorne; Bague Gloursonne; Bracelet du Piloztère; Bouclier du Stalak; Ceinture Volkorne; Masque du Katcheur; Voilamibe; Bottes Honyme; Dofus des Glaces; Dofus Pourpre; Vigoureux majeur; Remueur; Robuste majeur; Nomade; Cromeugnon</t>
        </is>
      </c>
    </row>
    <row r="148">
      <c r="A148" t="inlineStr">
        <is>
          <t>Terre feu ranshi</t>
        </is>
      </c>
      <c r="B148">
        <f>HYPERLINK("https://www.dofusbook.net/fr/equipement/5605235-terre-feu-ranshi/objets", "link")</f>
        <v/>
      </c>
      <c r="C148" t="n">
        <v>21</v>
      </c>
      <c r="D148" t="inlineStr">
        <is>
          <t>Dagues Érhy; Amulette Volkorne; Bracelet du Piloztère; Bague Gloursonne; Bouclier du Stalak; Ceinture Volkorne; Coiffe Ranshi; Voile d'encre; Bottes Dogues; Dofus Pourpre; Dofus des Glaces; Nomade; Vigoureux majeur; Remueur; Robuste majeur; Cromeugnon</t>
        </is>
      </c>
    </row>
    <row r="149">
      <c r="A149" t="inlineStr">
        <is>
          <t>terrefeu</t>
        </is>
      </c>
      <c r="B149">
        <f>HYPERLINK("https://www.dofusbook.net/fr/equipement/5568041-terrefeu/objets", "link")</f>
        <v/>
      </c>
      <c r="C149" t="n">
        <v>38</v>
      </c>
      <c r="D149" t="inlineStr">
        <is>
          <t>Bâthon; Amulette Volkorne; Bracelet du Piloztère; Bague Gloursonne; Bouclier du Stalak; Ceinture Volkorne; Masque du Katcheur; Voilamibe; Baleinabottes; Dofus Pourpre; Dofus des Glaces; Nomade; Vigoureux majeur; Remueur; Robuste majeur; Cromeugnon</t>
        </is>
      </c>
    </row>
    <row r="150">
      <c r="A150" t="inlineStr">
        <is>
          <t>Eauairnocrit ini</t>
        </is>
      </c>
      <c r="B150">
        <f>HYPERLINK("https://www.dofusbook.net/fr/equipement/5605153-eauairnocrit-ini/objets", "link")</f>
        <v/>
      </c>
      <c r="C150" t="n">
        <v>26</v>
      </c>
      <c r="D150" t="inlineStr">
        <is>
          <t>Epée Loponèze; Amulette d'Ilyzaelle; Alliance Gloursonne; Bracelet du Piloztère; Bouclier du Stalak; Poulpagne; Casque d'Ilyzaelle; Voilamibe; Bottes Voldelor; Dofus des Glaces; Dofus Pourpre; Robuste majeur; Fonceur majeur; Remueur; Vigoureux majeur; Mini Wa</t>
        </is>
      </c>
    </row>
    <row r="151">
      <c r="A151" t="inlineStr">
        <is>
          <t>eauair crit dawa3</t>
        </is>
      </c>
      <c r="B151">
        <f>HYPERLINK("https://www.dofusbook.net/fr/equipement/5602699-eauair-crit-dawa3/objets", "link")</f>
        <v/>
      </c>
      <c r="C151" t="n">
        <v>33</v>
      </c>
      <c r="D151" t="inlineStr">
        <is>
          <t>Arc de Koutoulou; Amulette de l'Œil Putride; Alliance Gloursonne; Anneau Volkorne; Quatre-feuilles; Ceintacé; Capuche de l'Œil Putride; Chevelure de Tal Kasha; Bottes du Glourséleste; Dofus Turquoise; Dofus des Glaces; Dofus Pourpre; Remueur; Vigoureux majeur; Nomade; Kokulte</t>
        </is>
      </c>
    </row>
    <row r="152">
      <c r="A152" t="inlineStr">
        <is>
          <t>Eau/air no crit resi</t>
        </is>
      </c>
      <c r="B152">
        <f>HYPERLINK("https://www.dofusbook.net/fr/equipement/4863114-eau-air-no-crit-resi/objets", "link")</f>
        <v/>
      </c>
      <c r="C152" t="n">
        <v>173</v>
      </c>
      <c r="D152" t="inlineStr">
        <is>
          <t>Arc de Koutoulou; Amulette d'Ilyzaelle; Bracelet du Piloztère; Alliance Gloursonne; Cadran d'Air; Ceintacé; Casque d'Ilyzaelle; Voilamibe; Bottes de la Reine des Voleurs; Dofus des Glaces; Dofus Pourpre; Remueur; Nomade; Bwak d'Air</t>
        </is>
      </c>
    </row>
    <row r="153">
      <c r="A153" t="inlineStr">
        <is>
          <t>eauair crit dawa2</t>
        </is>
      </c>
      <c r="B153">
        <f>HYPERLINK("https://www.dofusbook.net/fr/equipement/5602672-eauair-crit-dawa2/objets", "link")</f>
        <v/>
      </c>
      <c r="C153" t="n">
        <v>17</v>
      </c>
      <c r="D153" t="inlineStr">
        <is>
          <t>Arc de Koutoulou; Amulette Volkorne; Anneau Volkorne; Alliance Gloursonne; Quatre-feuilles; Ceintacé; Capuche de l'Œil Putride; Cape des Malveilleurs; Bottes Voldelor; Dofus des Glaces; Dofus Pourpre; Dofus Turquoise; Vigoureux majeur; Nomade; Remueur; Kokulte</t>
        </is>
      </c>
    </row>
    <row r="154">
      <c r="A154" t="inlineStr">
        <is>
          <t>eau air crit dawa</t>
        </is>
      </c>
      <c r="B154">
        <f>HYPERLINK("https://www.dofusbook.net/fr/equipement/5602640-eau-air-crit-dawa/objets", "link")</f>
        <v/>
      </c>
      <c r="C154" t="n">
        <v>17</v>
      </c>
      <c r="D154" t="inlineStr">
        <is>
          <t>Epée Loponèze; Amulette Volkorne; Alliance Gloursonne; Anneau Volkorne; Quatre-feuilles; Ceintacé; Capuche de l'Œil Putride; Cape des Malveilleurs; Bottes Voldelor; Dofus Pourpre; Dofus Turquoise; Dofus des Glaces; Nomade; Remueur; Vigoureux majeur; Kokulte</t>
        </is>
      </c>
    </row>
    <row r="155">
      <c r="A155" t="inlineStr">
        <is>
          <t>terre air rdv</t>
        </is>
      </c>
      <c r="B155">
        <f>HYPERLINK("https://www.dofusbook.net/fr/equipement/5465959-terre-air-rdv/objets", "link")</f>
        <v/>
      </c>
      <c r="C155" t="n">
        <v>73</v>
      </c>
      <c r="D155" t="inlineStr">
        <is>
          <t>Arc Ahique; Amulette du Kamasterisk; Bracelet du Piloztère; Alliance Gloursonne; Bouclier du Stalak; Ceinture de la Reine des Voleurs; Coiffe de la Reine des Voleurs; Voilamibe; Baleinabottes; Dofus des Glaces; Dofus Pourpre; Nomade; Vigoureux majeur; Remueur; Robuste majeur; Mékrabe</t>
        </is>
      </c>
    </row>
    <row r="156">
      <c r="A156" t="inlineStr">
        <is>
          <t>eau</t>
        </is>
      </c>
      <c r="B156">
        <f>HYPERLINK("https://www.dofusbook.net/fr/equipement/5580126-eau/objets", "link")</f>
        <v/>
      </c>
      <c r="C156" t="n">
        <v>74</v>
      </c>
      <c r="D156" t="inlineStr">
        <is>
          <t>Pyraguette; Amulette du Sinistrofu; Anneau Volkorne; Alliance Gloursonne; Bouclier du Stalak; Sangle Ouare; Capuche de l'Œil Attentif; Cape Matelassée; Bottes du Sinistrofu; Dofus des Glaces; Dofus Pourpre; Nomade; Vigoureux majeur; Remueur; Chanceux majeur; Dragodinde Indigo et Ivoire</t>
        </is>
      </c>
    </row>
    <row r="157">
      <c r="A157" t="inlineStr">
        <is>
          <t>eau/feu ily</t>
        </is>
      </c>
      <c r="B157">
        <f>HYPERLINK("https://www.dofusbook.net/fr/equipement/5237569-eau-feu-ily/objets", "link")</f>
        <v/>
      </c>
      <c r="C157" t="n">
        <v>109</v>
      </c>
      <c r="D157" t="inlineStr">
        <is>
          <t>Couteaux Sacrificiels; Amulette Volkorne; Alliance Gloursonne; Anneau Volkorne; Bouclier d'Ilyzaelle; Sangle Ouare; Masque Paztek; Cape de la Dame du Hasard; Pataugastrique; Dofus des Glaces; Dofus Pourpre; Vigoureux majeur; Nomade; Robuste majeur; Remueur; Walk</t>
        </is>
      </c>
    </row>
    <row r="158">
      <c r="A158" t="inlineStr">
        <is>
          <t>critdébile</t>
        </is>
      </c>
      <c r="B158">
        <f>HYPERLINK("https://www.dofusbook.net/fr/equipement/5572062-critdebile/objets", "link")</f>
        <v/>
      </c>
      <c r="C158" t="n">
        <v>50</v>
      </c>
      <c r="D158" t="inlineStr">
        <is>
          <t>Baguette de Torkélonia; Amulette du Strigide; Bracelet du Piloztère; Anneau de Padgref; Quatre-feuilles; Ceintacé; Corne de Torkélonia; Carapace de Torkélonia; Getas de Padgref; Dolmanax; Dofus Ocre; Dofus Pourpre; Dofus Ébène; Dofus Turquoise; Dofus des Glaces; Kokulte</t>
        </is>
      </c>
    </row>
    <row r="159">
      <c r="A159" t="inlineStr">
        <is>
          <t>terreau</t>
        </is>
      </c>
      <c r="B159">
        <f>HYPERLINK("https://www.dofusbook.net/fr/equipement/5564920-terreau/objets", "link")</f>
        <v/>
      </c>
      <c r="C159" t="n">
        <v>17</v>
      </c>
      <c r="D159" t="inlineStr">
        <is>
          <t>Baguette des égarés; Amulette Luminescente; Bracelet du Piloztère; Alliance Gloursonne; Bouclier du Stalak; Ceinture de la Reine des Voleurs; Coiffe de la Reine des Voleurs; Voilamibe; Baleinabottes; Dofus Pourpre; Dofus des Glaces; Vigoureux majeur; Remueur; Robuste majeur; Nomade; Bébé Pandawa</t>
        </is>
      </c>
    </row>
    <row r="160">
      <c r="A160" t="inlineStr">
        <is>
          <t>multi volkpad</t>
        </is>
      </c>
      <c r="B160">
        <f>HYPERLINK("https://www.dofusbook.net/fr/equipement/5567970-multi-volkpad/objets", "link")</f>
        <v/>
      </c>
      <c r="C160" t="n">
        <v>36</v>
      </c>
      <c r="D160" t="inlineStr">
        <is>
          <t>Sabres d'Atcham; Amulette Volkorne; Anneau de Padgref; Anneau Volkorne; Quatre-feuilles; Ceinture Volkorne; Coiffe de Padgref; Cape d'Atcham; Getas de Padgref; Dofus Turquoise; Dofus des Glaces; Dolmanax; Dofus Ocre; Dofus Pourpre; Dofus Abyssal; Kokulte</t>
        </is>
      </c>
    </row>
    <row r="161">
      <c r="A161" t="inlineStr">
        <is>
          <t>feu do pou</t>
        </is>
      </c>
      <c r="B161">
        <f>HYPERLINK("https://www.dofusbook.net/fr/equipement/4752569-feu-do-pou/objets", "link")</f>
        <v/>
      </c>
      <c r="C161" t="n">
        <v>73</v>
      </c>
      <c r="D161" t="inlineStr">
        <is>
          <t>Massier; Amulette Volkorne; Anneauræus; Anneauræus; Bouclier Taverne; Sangle Ouare; Masque Paztek; Cape Solution; Sandales Paztek; Dofus Pourpre; Dofus Ivoire; Dofus Ocre; Dofus Abyssal; Bousculeur majeur; Culbuteur majeur; Scarakiri</t>
        </is>
      </c>
    </row>
    <row r="162">
      <c r="A162" t="inlineStr">
        <is>
          <t>Terre vita</t>
        </is>
      </c>
      <c r="B162">
        <f>HYPERLINK("https://www.dofusbook.net/fr/equipement/5499014-terre-vita/objets", "link")</f>
        <v/>
      </c>
      <c r="C162" t="n">
        <v>80</v>
      </c>
      <c r="D162" t="inlineStr">
        <is>
          <t>Marteau R'ture; Amulette du Strigide; Anneau Crustique; Anneau Volkorne; Bouclier d'Ilyzaelle; Ceinture Volkorne; Masque de Koutoulou; Cape au Logis; Bottes de la Cour Sombre; Dofus Ivoire; Dofus Émeraude; Dofus Ébène; Dofus Ocre; Dofus Abyssal; Miraculé majeur; Dragodinde Ivoire et Pourpre</t>
        </is>
      </c>
    </row>
    <row r="163">
      <c r="A163" t="inlineStr">
        <is>
          <t>Feu eau salva</t>
        </is>
      </c>
      <c r="B163">
        <f>HYPERLINK("https://www.dofusbook.net/fr/equipement/5498980-feu-eau-salva/objets", "link")</f>
        <v/>
      </c>
      <c r="C163" t="n">
        <v>67</v>
      </c>
      <c r="D163" t="inlineStr">
        <is>
          <t>Couteaux Sacrificiels; Amulette Cryochrone; Bracelet du Piloztère; Alliance Gloursonne; Bouclier du Stalak; Ceinture de l'Esprit Salvateur; Masque de l'Esprit Salvateur; Cape de la Dame du Hasard; Pataugastrique; Dofus Ivoire; Dofus Abyssal; Dofus Ocre; Dofus Ébène; Dofus Vulbis; Dofus des Glaces; Walk</t>
        </is>
      </c>
    </row>
    <row r="164">
      <c r="A164" t="inlineStr">
        <is>
          <t>Eau feu crit</t>
        </is>
      </c>
      <c r="B164">
        <f>HYPERLINK("https://www.dofusbook.net/fr/equipement/5498914-eau-feu-crit/objets", "link")</f>
        <v/>
      </c>
      <c r="C164" t="n">
        <v>95</v>
      </c>
      <c r="D164" t="inlineStr">
        <is>
          <t>Arc Nécrotique; Amulette du Strigide; Bracelet du Piloztère; Alliance Gloursonne; Quatre-feuilles; Ceintacé; Chapeau des Malveilleurs; Cape de la Dame du Hasard; Bottes de la Dame du Hasard; Dofus Turquoise; Dofus Ocre; Dofus Ivoire; Dofus Pourpre; Dofus des Glaces; Nomade; Kokulte</t>
        </is>
      </c>
    </row>
    <row r="165">
      <c r="A165" t="inlineStr">
        <is>
          <t>Multi test</t>
        </is>
      </c>
      <c r="B165">
        <f>HYPERLINK("https://www.dofusbook.net/fr/equipement/5498656-multi-test/objets", "link")</f>
        <v/>
      </c>
      <c r="C165" t="n">
        <v>58</v>
      </c>
      <c r="D165" t="inlineStr">
        <is>
          <t>Hache du Chalœil; Amulette du Strigide; Grésilanneau; Bracelet du Piloztère; Quatre-feuilles; Ceintacé; Coiffe du Lévitrof; Cape du Chalœil; Bottes du Chalœil; Dofus des Glaces; Dofus Pourpre; Dofus Turquoise; Remueur; Vigoureux majeur; Nomade; Kokulte</t>
        </is>
      </c>
    </row>
    <row r="166">
      <c r="A166" t="inlineStr">
        <is>
          <t>terre eau 200</t>
        </is>
      </c>
      <c r="B166">
        <f>HYPERLINK("https://www.dofusbook.net/fr/equipement/5495564-terre-eau-200/objets", "link")</f>
        <v/>
      </c>
      <c r="C166" t="n">
        <v>76</v>
      </c>
      <c r="D166" t="inlineStr">
        <is>
          <t>Baguette des égarés; Amulette de Shokkoth; Alliance Gloursonne; Anneau Volkorne; Bouclier du Stalak; Ceinture Volkorne; Casque du Chalœil; Cape au Logis; Sabots Minables; Dofus des Glaces; Dofus Pourpre; Dofus Ivoire; Dofus Ocre; Dofus Ébène; Robuste majeur; Bébé Pandawa</t>
        </is>
      </c>
    </row>
    <row r="167">
      <c r="A167" t="inlineStr">
        <is>
          <t>prospec</t>
        </is>
      </c>
      <c r="B167">
        <f>HYPERLINK("https://www.dofusbook.net/fr/equipement/5315323-prospec/objets", "link")</f>
        <v/>
      </c>
      <c r="C167" t="n">
        <v>61</v>
      </c>
      <c r="D167" t="inlineStr">
        <is>
          <t>Pelle Fik; Amulette de Danathor; Anneau Tique; Anneau Bliteré; Ceinture de Danathor; Coiffe de Danathor; Cape du Barbétoal; Bottines des sous-bois; Dofus Ocre; Dokille; Dolmanax; Dofus Kaliptus; Taquin majeur; Joueur; Pykur</t>
        </is>
      </c>
    </row>
    <row r="168">
      <c r="A168" t="inlineStr">
        <is>
          <t>air crit torké</t>
        </is>
      </c>
      <c r="B168">
        <f>HYPERLINK("https://www.dofusbook.net/fr/equipement/5401776-air-crit-torke/objets", "link")</f>
        <v/>
      </c>
      <c r="C168" t="n">
        <v>120</v>
      </c>
      <c r="D168" t="inlineStr">
        <is>
          <t>Hachoirs de Viandargh; Amulette du Cœur Vaillant; Gant du Valet Veinard; Alliance Gloursonne; Bouclier Taverne; Menoture; Corne de Torkélonia; Carapace de Torkélonia; Palmes Trithons; Dofus Turquoise; Dofus Ébène; Dofus des Glaces; Cascadeur majeur; Nomade; Remueur; Kokulte</t>
        </is>
      </c>
    </row>
    <row r="169">
      <c r="A169" t="inlineStr">
        <is>
          <t>stuff croture</t>
        </is>
      </c>
      <c r="B169">
        <f>HYPERLINK("https://www.dofusbook.net/fr/equipement/5494976-stuff-croture/objets", "link")</f>
        <v/>
      </c>
      <c r="C169" t="n">
        <v>52</v>
      </c>
      <c r="D169" t="inlineStr">
        <is>
          <t>Arc corrompu; Amulette Volkorne; Anneau Volkorne; Anneauræus; Bouclier du Stalak; Croture; Heaume Oplate; Voile d'encre; Bottes de Meno; Dofus Ocre; Dofus des Glaces; Dofus Ivoire; Dofus Ébène; Érudit majeur; Nomade; Dragodinde Ivoire et Orchidée</t>
        </is>
      </c>
    </row>
    <row r="170">
      <c r="A170" t="inlineStr">
        <is>
          <t>stuff croture3.0</t>
        </is>
      </c>
      <c r="B170">
        <f>HYPERLINK("https://www.dofusbook.net/fr/equipement/5495045-stuff-croture3-0/objets", "link")</f>
        <v/>
      </c>
      <c r="C170" t="n">
        <v>43</v>
      </c>
      <c r="D170" t="inlineStr">
        <is>
          <t>Massier; Amulette Volkorne; Anneau Volkorne; Anneauræus; Bouclier Taverne; Croture; Heaume Oplate; Voile d'encre; Bottes Innommables; Dofus Ocre; Dofus des Glaces; Dofus Ivoire; Dofus Ébène; Érudit majeur; Nomade; Dragodinde Ivoire et Orchidée</t>
        </is>
      </c>
    </row>
    <row r="171">
      <c r="A171" t="inlineStr">
        <is>
          <t>stuff feu croture2.0</t>
        </is>
      </c>
      <c r="B171">
        <f>HYPERLINK("https://www.dofusbook.net/fr/equipement/5495029-stuff-feu-croture2-0/objets", "link")</f>
        <v/>
      </c>
      <c r="C171" t="n">
        <v>36</v>
      </c>
      <c r="D171" t="inlineStr">
        <is>
          <t>Arc corrompu; Amulette de Nileza; Anneauræus; Alliance du Lévitrof; Bouclier du Stalak; Croture; Casque Dragoeuf; Cape de Nileza; Pataugastrique; Dofus Ébène; Dofus Ocre; Dofus des Glaces; Dofus Ivoire; Nomade; Érudit majeur; Dragodinde Ivoire et Orchidée</t>
        </is>
      </c>
    </row>
    <row r="172">
      <c r="A172" t="inlineStr">
        <is>
          <t>Eau LC</t>
        </is>
      </c>
      <c r="B172">
        <f>HYPERLINK("https://www.dofusbook.net/fr/equipement/5475981-eau-lc/objets", "link")</f>
        <v/>
      </c>
      <c r="C172" t="n">
        <v>63</v>
      </c>
      <c r="D172" t="inlineStr">
        <is>
          <t>Rapière aux Glyphes; Amulette d'Ilyzaelle; Bracelet des Fonds marins; Alliance Gloursonne; Bouclier d'Ilyzaelle; Sangle Ouare; Kidibonnet; Cape Solution; Bottes du Sinistrofu; Dofus Émeraude; Dofus Pourpre; Chanceux majeur; Nomade; Vigoureux majeur; Remueur; Dragodinde Indigo et Ivoire</t>
        </is>
      </c>
    </row>
    <row r="173">
      <c r="A173" t="inlineStr">
        <is>
          <t>Feu eau 200 pyra</t>
        </is>
      </c>
      <c r="B173">
        <f>HYPERLINK("https://www.dofusbook.net/fr/equipement/5484918-feu-eau-200-pyra/objets", "link")</f>
        <v/>
      </c>
      <c r="C173" t="n">
        <v>83</v>
      </c>
      <c r="D173" t="inlineStr">
        <is>
          <t>Pyraguette; Amulette Volkorne; Alliance Gloursonne; Anneau Volkorne; Cadran d'Air; Ceinture de l'Esprit Malsain; Masque Paztek; Cape de la Dame du Hasard; Pataugastrique; Dofus Ocre; Dofus Ébène; Dofus Pourpre; Dofus des Glaces; Dofus Vulbis; Dofus Ivoire; Walk</t>
        </is>
      </c>
    </row>
    <row r="174">
      <c r="A174" t="inlineStr">
        <is>
          <t>air do pou</t>
        </is>
      </c>
      <c r="B174">
        <f>HYPERLINK("https://www.dofusbook.net/fr/equipement/5479530-air-do-pou/objets", "link")</f>
        <v/>
      </c>
      <c r="C174" t="n">
        <v>40</v>
      </c>
      <c r="D174" t="inlineStr">
        <is>
          <t>Hachoirs de Viandargh; Amibou; Alliance Gloursonne; Alliance Brûlâme; Bouclier Taverne; Menoture; Chapibou; Cape des Malveilleurs; Bottes du Cœur Vaillant; Dofus Ébène; Dofus Ivoire; Dofus Ocre; Cascadeur majeur; Culbuteur majeur; Nomade; Tofoudre</t>
        </is>
      </c>
    </row>
    <row r="175">
      <c r="A175" t="inlineStr">
        <is>
          <t>multi opti songes</t>
        </is>
      </c>
      <c r="B175">
        <f>HYPERLINK("https://www.dofusbook.net/fr/equipement/5218833-multi-opti-songes/objets", "link")</f>
        <v/>
      </c>
      <c r="C175" t="n">
        <v>187</v>
      </c>
      <c r="D175" t="inlineStr">
        <is>
          <t>Epée Gloursonne; Amulette du Strigide; Bague Gloursonne; Alliance Gloursonne; Quatre-feuilles; Ceinture du Strigide; Masque Vaudou Tam; Cape Reski; Bottes du Strigide; Dofus Turquoise; Dofus Nébuleux; Dofus Ocre; Dofus Ébène; Dofus Ivoire; Dofus Vulbis; Kokulte</t>
        </is>
      </c>
    </row>
    <row r="176">
      <c r="A176" t="inlineStr">
        <is>
          <t>eau air ret</t>
        </is>
      </c>
      <c r="B176">
        <f>HYPERLINK("https://www.dofusbook.net/fr/equipement/4829509-eau-air-ret/objets", "link")</f>
        <v/>
      </c>
      <c r="C176" t="n">
        <v>53</v>
      </c>
      <c r="D176" t="inlineStr">
        <is>
          <t>Bâtonnet Ronien; Amulette des Chocomanciens; Bracelet du Piloztère; Alliance Gloursonne; Cadran d'Air; Ceinture des Chocomanciens; Kidibonnet; Voilamibe; Chaussures Face; Dofus Pourpre; Dofus des Glaces; Temporiseur majeur; Remueur; Vigoureux majeur; Nomade; Gwo Tofu Ventripotent</t>
        </is>
      </c>
    </row>
    <row r="177">
      <c r="A177" t="inlineStr">
        <is>
          <t>eau melee</t>
        </is>
      </c>
      <c r="B177">
        <f>HYPERLINK("https://www.dofusbook.net/fr/equipement/4649610-eau-melee/objets", "link")</f>
        <v/>
      </c>
      <c r="C177" t="n">
        <v>113</v>
      </c>
      <c r="D177" t="inlineStr">
        <is>
          <t>Dagoulinantes; Amulette de Shokkoth; Alliance Gloursonne; Anneau Volkorne; Bouclier d'Ilyzaelle; Sangle Ouare; Masque des Fonds marins; Cape Solution; Sandales des Fonds marins; Dofus Ivoire; Dofus Pourpre; Dofus Ébène; Dofus Ocre; Chanceux majeur; Kanigloups</t>
        </is>
      </c>
    </row>
    <row r="178">
      <c r="A178" t="inlineStr">
        <is>
          <t>terre</t>
        </is>
      </c>
      <c r="B178">
        <f>HYPERLINK("https://www.dofusbook.net/fr/equipement/4630317-terre/objets", "link")</f>
        <v/>
      </c>
      <c r="C178" t="n">
        <v>61</v>
      </c>
      <c r="D178" t="inlineStr">
        <is>
          <t>Marteau R'ture; Collier de Tourthon; Anneau Crustique; Anneau Volkorne; Bouclier du Stalak; Ceinture Volkorne; Coiffe du Comte Harebourg; Cape au Logis; Baleinabottes; Dofus Pourpre; Dofus Ivoire; Dofus Ocre; Dofus Ébène; Dofus des Glaces; Dévastateur Terre majeur; Bulbisou</t>
        </is>
      </c>
    </row>
    <row r="179">
      <c r="A179" t="inlineStr">
        <is>
          <t>volk chal</t>
        </is>
      </c>
      <c r="B179">
        <f>HYPERLINK("https://www.dofusbook.net/fr/equipement/4630427-volk-chal/objets", "link")</f>
        <v/>
      </c>
      <c r="C179" t="n">
        <v>138</v>
      </c>
      <c r="D179" t="inlineStr">
        <is>
          <t>Arc Volkorne; Amulette Volkorne; Bague Gloursonne; Anneau Volkorne; Quatre-feuilles; Ceinture Volkorne; Casque du Chalœil; Cape du Chalœil; Bottes du Chalœil; Dofus Turquoise; Dofus Abyssal; Dofus Ocre; Dofus Ivoire; Dofus des Glaces; Dofus Ébène; Kramkram</t>
        </is>
      </c>
    </row>
    <row r="180">
      <c r="A180" t="inlineStr">
        <is>
          <t>air rési</t>
        </is>
      </c>
      <c r="B180">
        <f>HYPERLINK("https://www.dofusbook.net/fr/equipement/4637275-air-resi/objets", "link")</f>
        <v/>
      </c>
      <c r="C180" t="n">
        <v>81</v>
      </c>
      <c r="D180" t="inlineStr">
        <is>
          <t>Manthache; Collier du Valet Veinard; Gant du Valet Veinard; Alliance Gloursonne; Cadran d'Air; Menoture; Dorabysses; Cape Martegel; Palmes Trithons; Dofus des Glaces; Dofus Pourpre; Cascadeur majeur; Miraculé majeur; Remueur; Nomade; Blérodoudou</t>
        </is>
      </c>
    </row>
    <row r="181">
      <c r="A181" t="inlineStr">
        <is>
          <t>feu air no crit volk</t>
        </is>
      </c>
      <c r="B181">
        <f>HYPERLINK("https://www.dofusbook.net/fr/equipement/5295684-feu-air-no-crit-volk/objets", "link")</f>
        <v/>
      </c>
      <c r="C181" t="n">
        <v>120</v>
      </c>
      <c r="D181" t="inlineStr">
        <is>
          <t>Arc Honte; Amulette Volkorne; Alliance Gloursonne; Bracelet du Piloztère; Bouclier du Stalak; Ceinture de Vortex; Casque Volkorne; Voilamibe; Pantoufles Émar; Dofus Pourpre; Dofus des Glaces; Robuste majeur; Nomade; Vigoureux majeur; Remueur; Willy le Relou</t>
        </is>
      </c>
    </row>
    <row r="182">
      <c r="A182" t="inlineStr">
        <is>
          <t>feu/eau no exo no cri</t>
        </is>
      </c>
      <c r="B182">
        <f>HYPERLINK("https://www.dofusbook.net/fr/equipement/5187437-feu-eau-no-exo-no-cri/objets", "link")</f>
        <v/>
      </c>
      <c r="C182" t="n">
        <v>43</v>
      </c>
      <c r="D182" t="inlineStr">
        <is>
          <t>Couteaux Sacrificiels; Amulette Volkorne; Anneau Volkorne; Alliance Gloursonne; Bouclier Taverne; Sangle Ouare; Masque Paztek; Cape de la Dame du Hasard; Pataugastrique; Dofus des Glaces; Dofus Pourpre; Robuste majeur; Remueur; Vigoureux majeur; Nomade; Volkorne Orchidée et Indigo</t>
        </is>
      </c>
    </row>
    <row r="183">
      <c r="A183" t="inlineStr">
        <is>
          <t>feu eau sacri</t>
        </is>
      </c>
      <c r="B183">
        <f>HYPERLINK("https://www.dofusbook.net/fr/equipement/4572676-feu-eau-sacri/objets", "link")</f>
        <v/>
      </c>
      <c r="C183" t="n">
        <v>99</v>
      </c>
      <c r="D183" t="inlineStr">
        <is>
          <t>Couteaux Sacrificiels; Amulette Volkorne; Anneau Volkorne; Alliance Gloursonne; Bouclier Taverne; Ceintrigue; Casque du Chalœil; Voilamibe; Pataugastrique; Dofus Pourpre; Dolmanax; Remueur; Robuste majeur; Vigoureux majeur; Nomade; Walk</t>
        </is>
      </c>
    </row>
    <row r="184">
      <c r="A184" t="inlineStr">
        <is>
          <t>terre air crit</t>
        </is>
      </c>
      <c r="B184">
        <f>HYPERLINK("https://www.dofusbook.net/fr/equipement/3908587-terre-air-crit/objets", "link")</f>
        <v/>
      </c>
      <c r="C184" t="n">
        <v>55</v>
      </c>
      <c r="D184" t="inlineStr">
        <is>
          <t>Héqache; Amulette du Strigide; Alliance Gloursonne; Anneau Chevelu; Bouclier Taverne; Ceintacé; Chapoulpe; Cape au Logis; Tentassons; Dofus Pourpre; Dofus Turquoise; Dofus Émeraude; Cascadeur majeur; Vigoureux majeur; Remueur; Kokulte</t>
        </is>
      </c>
    </row>
    <row r="185">
      <c r="A185" t="inlineStr">
        <is>
          <t>terre heq stri</t>
        </is>
      </c>
      <c r="B185">
        <f>HYPERLINK("https://www.dofusbook.net/fr/equipement/3709249-terre-heq-stri/objets", "link")</f>
        <v/>
      </c>
      <c r="C185" t="n">
        <v>119</v>
      </c>
      <c r="D185" t="inlineStr">
        <is>
          <t>Héqache; Amulette du Strigide; Bague Gloursonne; Anneau Chevelu; Bouclier Taverne; Ceinture du Strigide; Masque de Koutoulou; Cape au Logis; Bottes de la Cour Sombre; Dofus Pourpre; Dofus Ivoire; Dofus Turquoise; Dofus des Glaces; Enragé majeur; Remueur; Kramkram</t>
        </is>
      </c>
    </row>
    <row r="186">
      <c r="A186" t="inlineStr">
        <is>
          <t>tac ret</t>
        </is>
      </c>
      <c r="B186">
        <f>HYPERLINK("https://www.dofusbook.net/fr/equipement/3030327-tac-ret/objets", "link")</f>
        <v/>
      </c>
      <c r="C186" t="n">
        <v>171</v>
      </c>
      <c r="D186" t="inlineStr">
        <is>
          <t>Héqache; Amulette du Strigide; Alliance Gloursonne; Anneau Chevelu; Sept ans de malheur; Ceintacé; Chapoulpe; Voile d'encre; Tentassons; Dofus Pourpre; Dofus Émeraude; Obstructeur majeur; Paralyseur majeur; Étourdisseur majeur; Remueur; Muldo Roux et Ebène</t>
        </is>
      </c>
    </row>
    <row r="187">
      <c r="A187" t="inlineStr">
        <is>
          <t>terre do pou</t>
        </is>
      </c>
      <c r="B187">
        <f>HYPERLINK("https://www.dofusbook.net/fr/equipement/3861701-terre-do-pou/objets", "link")</f>
        <v/>
      </c>
      <c r="C187" t="n">
        <v>70</v>
      </c>
      <c r="D187" t="inlineStr">
        <is>
          <t>Lav'Hache; Amulette du Strigide; Bague Trithon; Anneau Chevelu; Bouclier Taverne; Ceinture Gence; Masque de Koutoulou; Cape au Logis; Bottes Trithon; Dofus Pourpre; Dofus Ivoire; Dofus Abyssal; Culbuteur majeur; Enragé majeur; Bousculeur majeur; Black Tiwabbit</t>
        </is>
      </c>
    </row>
    <row r="188">
      <c r="A188" t="inlineStr">
        <is>
          <t>pvm2</t>
        </is>
      </c>
      <c r="B188">
        <f>HYPERLINK("https://www.dofusbook.net/fr/equipement/3131508-pvm2/objets", "link")</f>
        <v/>
      </c>
      <c r="C188" t="n">
        <v>217</v>
      </c>
      <c r="D188" t="inlineStr">
        <is>
          <t>Arc Nécrotique; Amulette de l'Indicible; Alliance Gloursonne; Bracelet du Piloztère; Quatre-feuilles; Ceintrigue; Capuche de l'Œil Putride; Cape de l'Œil Putride; Pataugastrique; Dofus Turquoise; Dofus Pourpre; Dofus des Glaces; Nomade; Remueur; Vigoureux majeur; Muldo Prune et Doré</t>
        </is>
      </c>
    </row>
    <row r="189">
      <c r="A189" t="inlineStr">
        <is>
          <t>Terre pvm</t>
        </is>
      </c>
      <c r="B189">
        <f>HYPERLINK("https://www.dofusbook.net/fr/equipement/3032274-terre-pvm/objets", "link")</f>
        <v/>
      </c>
      <c r="C189" t="n">
        <v>188</v>
      </c>
      <c r="D189" t="inlineStr">
        <is>
          <t>Arc du Chalœil; Collier de Tourthon; Anneau Crustique; Anneau du Comte Harebourg; Bouclier du Stalak; Ceinture Gence; Coiffe du Comte Harebourg; Cape au Logis; Bottes de Brouce; Dofus Pourpre; Forcené majeur; Enragé majeur; Vigoureux majeur; Remueur; Robuste majeur; Dragodinde Ivoire et Pourpre</t>
        </is>
      </c>
    </row>
    <row r="190">
      <c r="A190" t="inlineStr">
        <is>
          <t>Eau pvm</t>
        </is>
      </c>
      <c r="B190">
        <f>HYPERLINK("https://www.dofusbook.net/fr/equipement/3042419-eau-pvm/objets", "link")</f>
        <v/>
      </c>
      <c r="C190" t="n">
        <v>160</v>
      </c>
      <c r="D190" t="inlineStr">
        <is>
          <t>Baguette Héroclite; Amulette de Shokkoth; Bracelet des Fonds marins; Alliance Gloursonne; Bouclier du Stalak; Poulpagne; Casque d'Ilyzaelle; Cape du Sinistrofu; Bottes du Sinistrofu; Dofus des Glaces; Dofus Pourpre; Remueur; Vigoureux majeur; Chanceux majeur; Nomade; Dragodinde Indigo et Ivoire</t>
        </is>
      </c>
    </row>
    <row r="191">
      <c r="A191" t="inlineStr">
        <is>
          <t>multi dofusteuse</t>
        </is>
      </c>
      <c r="B191">
        <f>HYPERLINK("https://www.dofusbook.net/fr/equipement/3030368-multi-dofusteuse/objets", "link")</f>
        <v/>
      </c>
      <c r="C191" t="n">
        <v>449</v>
      </c>
      <c r="D191" t="inlineStr">
        <is>
          <t>Marteau des égarés; Amulette du Strigide; Alliance Gloursonne; Alliance Brûlâme; Quatre-feuilles; Ceinture du Strigide; Le Dorado; Dofusteuse; Pataugastrique; Dofus Pourpre; Dofus Turquoise; Dofus des Glaces; Nomade; Remueur; Vigoureux majeur; Muldo Prune et Emeraude</t>
        </is>
      </c>
    </row>
    <row r="192">
      <c r="A192" t="inlineStr">
        <is>
          <t>full stats chaloeil</t>
        </is>
      </c>
      <c r="B192">
        <f>HYPERLINK("https://www.dofusbook.net/fr/equipement/2748651-full-stats-chaloeil/objets", "link")</f>
        <v/>
      </c>
      <c r="C192" t="n">
        <v>238</v>
      </c>
      <c r="D192" t="inlineStr">
        <is>
          <t>Hache du Chalœil; Amulette Ementaire Deluxe; Alliance Brûlâme; Alliance Gloursonne; Quatre-feuilles; Ceintacé; Casque du Chalœil; Dofusteuse; Bottes du Chalœil; Dofus Turquoise; Dofus des Glaces; Dofus Pourpre; Nomade; Remueur; Temporiseur majeur; Kramkram</t>
        </is>
      </c>
    </row>
    <row r="193">
      <c r="A193" t="inlineStr">
        <is>
          <t>multi dofusteuse</t>
        </is>
      </c>
      <c r="B193">
        <f>HYPERLINK("https://www.dofusbook.net/fr/equipement/3030372-multi-dofusteuse/objets", "link")</f>
        <v/>
      </c>
      <c r="C193" t="n">
        <v>141</v>
      </c>
      <c r="D193" t="inlineStr">
        <is>
          <t>Marteau des égarés; Amulette du Strigide; Anneau Chevelu; Alliance Gloursonne; Quatre-feuilles; Ceinture du Strigide; Le Dorado; Dofusteuse; Pataugastrique; Dolmanax; Dofus Turquoise; Dofus Pourpre; Vigoureux majeur; Miraculé majeur; Nomade; Muldo Prune et Emeraude</t>
        </is>
      </c>
    </row>
    <row r="194">
      <c r="A194" t="inlineStr">
        <is>
          <t>eau low cost</t>
        </is>
      </c>
      <c r="B194">
        <f>HYPERLINK("https://www.dofusbook.net/fr/equipement/3739939-eau-low-cost/objets", "link")</f>
        <v/>
      </c>
      <c r="C194" t="n">
        <v>185</v>
      </c>
      <c r="D194" t="inlineStr">
        <is>
          <t>Baguette Héroclite; Amulette de Shokkoth; Anneau Glacial; Alliance Gloursonne; Bouclier du Stalak; Poulpagne; Maskrobe; Cape Glaciale; Pataugastrique; Dofus Pourpre; Chanceux majeur; Vigoureux majeur; Nomade; Robuste majeur; Remueur; Dragodinde Indigo et Ivoire</t>
        </is>
      </c>
    </row>
    <row r="195">
      <c r="A195" t="inlineStr">
        <is>
          <t>terre rdv cha</t>
        </is>
      </c>
      <c r="B195">
        <f>HYPERLINK("https://www.dofusbook.net/fr/equipement/3905141-terre-rdv-cha/objets", "link")</f>
        <v/>
      </c>
      <c r="C195" t="n">
        <v>43</v>
      </c>
      <c r="D195" t="inlineStr">
        <is>
          <t>Arc du Chalœil; Amulette du Cœur Saignant; Bague Gloursonne; Anneau Chevelu; Cadran d'Air; Ceinture de la Reine des Voleurs; Coiffe de la Reine des Voleurs; Cape au Logis; Sabots Minables; Dofus Émeraude; Dofus Pourpre; Enragé majeur; Nomade; Vigoureux majeur; Remueur; Dragodinde Ivoire et Pourpre</t>
        </is>
      </c>
    </row>
    <row r="196">
      <c r="A196" t="inlineStr">
        <is>
          <t>terre rdv</t>
        </is>
      </c>
      <c r="B196">
        <f>HYPERLINK("https://www.dofusbook.net/fr/equipement/3908444-terre-rdv/objets", "link")</f>
        <v/>
      </c>
      <c r="C196" t="n">
        <v>118</v>
      </c>
      <c r="D196" t="inlineStr">
        <is>
          <t>Lav'Hache; Amulette du Cœur Saignant; Anneau Chevelu; Bague Gloursonne; Bouclier Taverne; Ceinture de la Reine des Voleurs; Coiffe de la Reine des Voleurs; Cape au Logis; Sabots Minables; Dofus Pourpre; Dofus Émeraude; Nomade; Vigoureux majeur; Remueur; Enragé majeur; Kramkram</t>
        </is>
      </c>
    </row>
    <row r="197">
      <c r="A197" t="inlineStr">
        <is>
          <t>multi deluxe</t>
        </is>
      </c>
      <c r="B197">
        <f>HYPERLINK("https://www.dofusbook.net/fr/equipement/3685093-multi-deluxe/objets", "link")</f>
        <v/>
      </c>
      <c r="C197" t="n">
        <v>314</v>
      </c>
      <c r="D197" t="inlineStr">
        <is>
          <t>Hache du Chalœil; Amulette Ementaire Deluxe; Alliance Brûlâme; Alliance Gloursonne; Quatre-feuilles; Ceintacé; Casque du Chalœil; Dofusteuse; Bottes du Chalœil; Dofus Pourpre; Dofus Turquoise; Dofus Émeraude; Vigoureux majeur; Nomade; Remueur; Dragodinde Indigo et Ivoire</t>
        </is>
      </c>
    </row>
    <row r="198">
      <c r="A198" t="inlineStr">
        <is>
          <t>multi deluxe old scho</t>
        </is>
      </c>
      <c r="B198">
        <f>HYPERLINK("https://www.dofusbook.net/fr/equipement/1827799-multi-deluxe-old-scho/objets", "link")</f>
        <v/>
      </c>
      <c r="C198" t="n">
        <v>106</v>
      </c>
      <c r="D198" t="inlineStr">
        <is>
          <t>Hache du Chalœil; Amulette Ementaire Deluxe; Alliance Gloursonne; Alliance du Lévitrof; Quatre-feuilles; Ceintacé; Coiffe du Lévitrof; Voile d'encre; Bottes du Chalœil; Dofus Pourpre; Dofus Turquoise; Vigoureux majeur; Remueur; Temporiseur majeur; Miraculé majeur; Muldo Indigo et Pourpre</t>
        </is>
      </c>
    </row>
    <row r="199">
      <c r="A199" t="inlineStr">
        <is>
          <t>terre saignant</t>
        </is>
      </c>
      <c r="B199">
        <f>HYPERLINK("https://www.dofusbook.net/fr/equipement/4237870-terre-saignant/objets", "link")</f>
        <v/>
      </c>
      <c r="C199" t="n">
        <v>161</v>
      </c>
      <c r="D199" t="inlineStr">
        <is>
          <t>Arc du Chalœil; Amulette du Cœur Saignant; Anneau Chevelu; Anneau Crustique; Cadran de Terre; Ceinture Volkorne; Masque de Koutoulou; Cape au Logis; Bottes du Cœur Saignant; Dofus Turquoise; Dofus Pourpre; Enragé majeur; Remueur; Vigoureux majeur; Robuste majeur; Pioute vert</t>
        </is>
      </c>
    </row>
    <row r="200">
      <c r="A200" t="inlineStr">
        <is>
          <t>terre indi</t>
        </is>
      </c>
      <c r="B200">
        <f>HYPERLINK("https://www.dofusbook.net/fr/equipement/3078519-terre-indi/objets", "link")</f>
        <v/>
      </c>
      <c r="C200" t="n">
        <v>203</v>
      </c>
      <c r="D200" t="inlineStr">
        <is>
          <t>Lav'Hache; Amulette de l'Indicible; Anneau Chevelu; Bague Gloursonne; Bouclier Taverne; Ceinture de l'Indicible; Masque de Koutoulou; Cape au Logis; Sabots Minables; Dofus Émeraude; Dofus Pourpre; Vigoureux majeur; Enragé majeur; Robuste majeur; Miraculé majeur; Muldo Orchidée et Pourpre</t>
        </is>
      </c>
    </row>
    <row r="201">
      <c r="A201" t="inlineStr">
        <is>
          <t>eau old school</t>
        </is>
      </c>
      <c r="B201">
        <f>HYPERLINK("https://www.dofusbook.net/fr/equipement/4321644-eau-old-school/objets", "link")</f>
        <v/>
      </c>
      <c r="C201" t="n">
        <v>84</v>
      </c>
      <c r="D201" t="inlineStr">
        <is>
          <t>Dagoulinantes; Amulette du Strigide; Anneau Volkorne; Alliance Gloursonne; Cadran d'Air; Sangle Ouare; Kidibonnet; Cape du Sinistrofu; Bottes du Sinistrofu; Dofus Ivoire; Dofus des Glaces; Dofus Pourpre; Dofus Turquoise; Chanceux majeur; Remueur; Pioute bleu</t>
        </is>
      </c>
    </row>
    <row r="202">
      <c r="A202" t="inlineStr">
        <is>
          <t>air pvm 1400</t>
        </is>
      </c>
      <c r="B202">
        <f>HYPERLINK("https://www.dofusbook.net/fr/equipement/943610-air-pvm-1400/objets", "link")</f>
        <v/>
      </c>
      <c r="C202" t="n">
        <v>290</v>
      </c>
      <c r="D202" t="inlineStr">
        <is>
          <t>Manthache; Collier du Valet Veinard; Gant du Valet Veinard; Alliance Gloursonne; Bouclier du Stalak; Menoture; Couronne d'Allister; Cape Indescriptible; Palmes Trithons; Dofus Pourpre; Cascadeur majeur; Equilibriste majeur; Vigoureux majeur; Remueur; Nomade; Blérodoudou</t>
        </is>
      </c>
    </row>
    <row r="203">
      <c r="A203" t="inlineStr">
        <is>
          <t>eau no exo low cost</t>
        </is>
      </c>
      <c r="B203">
        <f>HYPERLINK("https://www.dofusbook.net/fr/equipement/4347541-eau-no-exo-low-cost/objets", "link")</f>
        <v/>
      </c>
      <c r="C203" t="n">
        <v>97</v>
      </c>
      <c r="D203" t="inlineStr">
        <is>
          <t>Dagoulinantes; Amulette du Sinistrofu; Bracelet des Fonds marins; Alliance Gloursonne; Bouclier du Stalak; Sangle Ouare; Kidibonnet; Cape Matelassée; Bottes du Sinistrofu; Robuste majeur; Nomade; Vigoureux majeur; Remueur; Chanceux majeur; Dragodinde Indigo et Ivoire</t>
        </is>
      </c>
    </row>
    <row r="204">
      <c r="A204" t="inlineStr">
        <is>
          <t>eau</t>
        </is>
      </c>
      <c r="B204">
        <f>HYPERLINK("https://www.dofusbook.net/fr/equipement/4222387-eau-/objets", "link")</f>
        <v/>
      </c>
      <c r="C204" t="n">
        <v>411</v>
      </c>
      <c r="D204" t="inlineStr">
        <is>
          <t>Sceptre du Roi Joueur; Amulette de Shokkoth; Bracelet des Fonds marins; Alliance Gloursonne; Bouclier d'Ilyzaelle; Sangle Ouare; Kidibonnet; Cape du Sinistrofu; Bottes du Sinistrofu; Dofus Pourpre; Dofus des Glaces; Robuste majeur; Vigoureux majeur; Chanceux majeur; Remueur; Kanigloups</t>
        </is>
      </c>
    </row>
    <row r="205">
      <c r="A205" t="inlineStr">
        <is>
          <t>feu air crit</t>
        </is>
      </c>
      <c r="B205">
        <f>HYPERLINK("https://www.dofusbook.net/fr/equipement/4487541-feu-air-crit/objets", "link")</f>
        <v/>
      </c>
      <c r="C205" t="n">
        <v>150</v>
      </c>
      <c r="D205" t="inlineStr">
        <is>
          <t>Baguette Hernelle; Amulette du Strigide; Bracelet du Piloztère; Anneau de Padgref; Quatre-feuilles; Ceintacé; Coiffe de Padgref; Cape d'Atcham; Bottes du Chalœil; Dofus des Glaces; Dofus Pourpre; Dofus Turquoise; Vigoureux majeur; Nomade; Remueur; Kokulte</t>
        </is>
      </c>
    </row>
    <row r="206">
      <c r="A206" t="inlineStr">
        <is>
          <t>terre eau crit</t>
        </is>
      </c>
      <c r="B206">
        <f>HYPERLINK("https://www.dofusbook.net/fr/equipement/4492244-terre-eau-crit/objets", "link")</f>
        <v/>
      </c>
      <c r="C206" t="n">
        <v>140</v>
      </c>
      <c r="D206" t="inlineStr">
        <is>
          <t>Bâton Beau; Amulette du Strigide; Bracelet du Piloztère; Anneau Volkorne; Quatre-feuilles; Ceinture Volkorne; Masque de Koutoulou; Cape au Logis; Chaussons de Macrab; Dofus Turquoise; Dofus Ocre; Dofus Pourpre; Dofus des Glaces; Chanceux majeur; Vigoureux majeur; Bébé Pandawa</t>
        </is>
      </c>
    </row>
    <row r="207">
      <c r="A207" t="inlineStr">
        <is>
          <t>multi old school</t>
        </is>
      </c>
      <c r="B207">
        <f>HYPERLINK("https://www.dofusbook.net/fr/equipement/4502779-multi-old-school/objets", "link")</f>
        <v/>
      </c>
      <c r="C207" t="n">
        <v>78</v>
      </c>
      <c r="D207" t="inlineStr">
        <is>
          <t>Hache du Chalœil; Amulette du Strigide; Bracelet du Piloztère; Alliance Gloursonne; Bouclier du Stalak; Ceinture du Strigide; Le Dorado; Cape au Logis; Bottes du Chalœil; Dolmanax; Dofus Pourpre; Dofus Turquoise; Remueur; Robuste majeur; Vigoureux majeur; Chacha Angora</t>
        </is>
      </c>
    </row>
    <row r="208">
      <c r="A208" t="inlineStr">
        <is>
          <t>feu eau ret crit</t>
        </is>
      </c>
      <c r="B208">
        <f>HYPERLINK("https://www.dofusbook.net/fr/equipement/4535872-feu-eau-ret-crit/objets", "link")</f>
        <v/>
      </c>
      <c r="C208" t="n">
        <v>105</v>
      </c>
      <c r="D208" t="inlineStr">
        <is>
          <t>Arc Nécrotique; Collier de la Dame du Hasard; Bracelet du Piloztère; Alliance Gloursonne; Quatre-feuilles; Sangle Ouare; Chapeau Lisson; Cape de la Dame du Hasard; Pataugastrique; Dofus des Glaces; Dofus Turquoise; Dofus Pourpre; Dofus Ocre; Temporiseur majeur; Vigoureux majeur; Gwo Tofu Ventripotent</t>
        </is>
      </c>
    </row>
    <row r="209">
      <c r="A209" t="inlineStr">
        <is>
          <t>feu eau no crit 200</t>
        </is>
      </c>
      <c r="B209">
        <f>HYPERLINK("https://www.dofusbook.net/fr/equipement/4535973-feu-eau-no-crit-200/objets", "link")</f>
        <v/>
      </c>
      <c r="C209" t="n">
        <v>93</v>
      </c>
      <c r="D209" t="inlineStr">
        <is>
          <t>Pyraguette; Amulette Volkorne; Alliance Gloursonne; Anneau Volkorne; Cadran de Terre; Sangle Ouare; Masque de l'Esprit Salvateur; Voile d'encre; Pataugastrique; Dolmanax; Dofus Pourpre; Dofus des Glaces; Dofus Ocre; Vigoureux majeur; Robuste majeur; Walk</t>
        </is>
      </c>
    </row>
    <row r="210">
      <c r="A210" t="inlineStr">
        <is>
          <t>tero volk rj</t>
        </is>
      </c>
      <c r="B210">
        <f>HYPERLINK("https://www.dofusbook.net/fr/equipement/4538485-tero-volk-rj/objets", "link")</f>
        <v/>
      </c>
      <c r="C210" t="n">
        <v>108</v>
      </c>
      <c r="D210" t="inlineStr">
        <is>
          <t>Hache Téroïde; Amulette Volkorne; Chevalière du Roi Joueur; Anneau Volkorne; Bouclier du Captain Amakna; Ceinture Volkorne; Couronne du Roi Joueur; Voile d'encre; Bottes du Roi Joueur; Dofus Turquoise; Dofus Ivoire; Dofus Ocre; Dofus Ébène; Dofus Pourpre; Dofus des Glaces; Kokulte</t>
        </is>
      </c>
    </row>
    <row r="211">
      <c r="A211" t="inlineStr">
        <is>
          <t>terre low cost</t>
        </is>
      </c>
      <c r="B211">
        <f>HYPERLINK("https://www.dofusbook.net/fr/equipement/4564780-terre-low-cost/objets", "link")</f>
        <v/>
      </c>
      <c r="C211" t="n">
        <v>43</v>
      </c>
      <c r="D211" t="inlineStr">
        <is>
          <t>Arc du Chalœil; Amulette de Gein; Anneau de Brouce; Anneau Chevelu; Bouclier du Stalak; Ceinture de Brouce; Masque de Koutoulou; Cape au Logis; Baleinabottes; Dofus Pourpre; Vigoureux majeur; Robuste majeur; Nomade; Enragé majeur; Remueur; Bwak de Terre</t>
        </is>
      </c>
    </row>
    <row r="212">
      <c r="A212" t="inlineStr">
        <is>
          <t>terre air rdv</t>
        </is>
      </c>
      <c r="B212">
        <f>HYPERLINK("https://www.dofusbook.net/fr/equipement/4568160-terre-air-rdv/objets", "link")</f>
        <v/>
      </c>
      <c r="C212" t="n">
        <v>65</v>
      </c>
      <c r="D212" t="inlineStr">
        <is>
          <t>Héqache; Amulette du Strigide; Alliance Gloursonne; Bracelet du Piloztère; Bouclier Taverne; Ceinture de la Reine des Voleurs; Coiffe de la Reine des Voleurs; Cape au Logis; Baleinabottes; Dofus Pourpre; Dofus Turquoise; Vigoureux majeur; Nomade; Cascadeur majeur; Remueur; Volkorne Pourpre et Ebène</t>
        </is>
      </c>
    </row>
    <row r="213">
      <c r="A213" t="inlineStr">
        <is>
          <t>terre lav hach</t>
        </is>
      </c>
      <c r="B213">
        <f>HYPERLINK("https://www.dofusbook.net/fr/equipement/4531062-terre-lav-hach/objets", "link")</f>
        <v/>
      </c>
      <c r="C213" t="n">
        <v>109</v>
      </c>
      <c r="D213" t="inlineStr">
        <is>
          <t>Lav'Hache; Amulette du Strigide; Anneau Volkorne; Anneau Chevelu; Cadran d'Air; Ceinture Volkorne; Masque de Koutoulou; Cape au Logis; Sabots Minables; Dofus Ivoire; Dofus des Glaces; Dolmanax; Dofus Turquoise; Dofus Pourpre; Enragé majeur; Dragodinde Ivoire et Pourpre</t>
        </is>
      </c>
    </row>
    <row r="214">
      <c r="A214" t="inlineStr">
        <is>
          <t>terre rési crit</t>
        </is>
      </c>
      <c r="B214">
        <f>HYPERLINK("https://www.dofusbook.net/fr/equipement/4587598-terre-resi-crit/objets", "link")</f>
        <v/>
      </c>
      <c r="C214" t="n">
        <v>347</v>
      </c>
      <c r="D214" t="inlineStr">
        <is>
          <t>Arc du Chalœil; Torquistik; Baguistik; Anneau Chevelu; Bouclier du Stalak; Ceinture de la Reine des Voleurs; Coiffe de la Reine des Voleurs; Cape au Logis; Bottistik; Dofus Ocre; Dofus Ivoire; Dofus Abyssal; Dofus Pourpre; Dofus des Glaces; Bastion majeur; Wabbit</t>
        </is>
      </c>
    </row>
    <row r="215">
      <c r="A215" t="inlineStr">
        <is>
          <t>volk rj tero</t>
        </is>
      </c>
      <c r="B215">
        <f>HYPERLINK("https://www.dofusbook.net/fr/equipement/4601854-volk-rj-tero/objets", "link")</f>
        <v/>
      </c>
      <c r="C215" t="n">
        <v>54</v>
      </c>
      <c r="D215" t="inlineStr">
        <is>
          <t>Hache Téroïde; Amulette Volkorne; Anneau Volkorne; Chevalière du Roi Joueur; Bouclier du Captain Amakna; Ceinture Volkorne; Couronne du Roi Joueur; Voile d'encre; Bottes du Roi Joueur; Dofus Ocre; Dofus Ivoire; Dofus des Glaces; Dofus Ébène; Dofus Turquoise; Dofus Abyssal; Bwak de Terre</t>
        </is>
      </c>
    </row>
    <row r="216">
      <c r="A216" t="inlineStr">
        <is>
          <t>feu eau exo no crit</t>
        </is>
      </c>
      <c r="B216">
        <f>HYPERLINK("https://www.dofusbook.net/fr/equipement/4606023-feu-eau-exo-no-crit/objets", "link")</f>
        <v/>
      </c>
      <c r="C216" t="n">
        <v>35</v>
      </c>
      <c r="D216" t="inlineStr">
        <is>
          <t>Pyraguette; Amulette Volkorne; Anneau Volkorne; Alliance Gloursonne; Bouclier du Stalak; Ceintrigue; Le Dorado; Voilamibe; Bottes du Chalœil; Dofus des Glaces; Dofus Pourpre; Robuste majeur; Nomade; Vigoureux majeur; Remueur; Walk</t>
        </is>
      </c>
    </row>
    <row r="217">
      <c r="A217" t="inlineStr">
        <is>
          <t>terre ture taverne</t>
        </is>
      </c>
      <c r="B217">
        <f>HYPERLINK("https://www.dofusbook.net/fr/equipement/4613456-terre-ture-taverne/objets", "link")</f>
        <v/>
      </c>
      <c r="C217" t="n">
        <v>58</v>
      </c>
      <c r="D217" t="inlineStr">
        <is>
          <t>Marteau R'ture; Amulette du Strigide; Anneau Chevelu; Anneau Volkorne; Bouclier Taverne; Ceinture Volkorne; Masque de Koutoulou; Cape au Logis; Bottes du Cœur Saignant; Dofus Turquoise; Dofus des Glaces; Dofus Pourpre; Remueur; Vigoureux majeur; Enragé majeur; Kokulte</t>
        </is>
      </c>
    </row>
    <row r="218">
      <c r="A218" t="inlineStr">
        <is>
          <t>volk rj poolache</t>
        </is>
      </c>
      <c r="B218">
        <f>HYPERLINK("https://www.dofusbook.net/fr/equipement/4618272-volk-rj-poolache/objets", "link")</f>
        <v/>
      </c>
      <c r="C218" t="n">
        <v>53</v>
      </c>
      <c r="D218" t="inlineStr">
        <is>
          <t>Poolache; Amulette Volkorne; Anneau Volkorne; Chevalière du Roi Joueur; Quatre-feuilles; Ceinture Volkorne; Couronne du Roi Joueur; Cape du Chalœil; Bottes du Roi Joueur; Dolmanax; Dofus des Glaces; Dofus Ocre; Dofus Pourpre; Dofus Turquoise; Puissant majeur; Kokulte</t>
        </is>
      </c>
    </row>
    <row r="219">
      <c r="A219" t="inlineStr">
        <is>
          <t>volk cha tero</t>
        </is>
      </c>
      <c r="B219">
        <f>HYPERLINK("https://www.dofusbook.net/fr/equipement/4618251-volk-cha-tero/objets", "link")</f>
        <v/>
      </c>
      <c r="C219" t="n">
        <v>44</v>
      </c>
      <c r="D219" t="inlineStr">
        <is>
          <t>Hache Téroïde; Amulette Volkorne; Bracelet du Piloztère; Anneau Volkorne; Quatre-feuilles; Ceinture Volkorne; Casque du Chalœil; Cape du Chalœil; Bottes du Chalœil; Dofus Ocre; Dofus Turquoise; Dolmanax; Dofus des Glaces; Dofus Pourpre; Puissant majeur; Kokulte</t>
        </is>
      </c>
    </row>
    <row r="220">
      <c r="A220" t="inlineStr">
        <is>
          <t>terre ture volk</t>
        </is>
      </c>
      <c r="B220">
        <f>HYPERLINK("https://www.dofusbook.net/fr/equipement/4570412-terre-ture-volk/objets", "link")</f>
        <v/>
      </c>
      <c r="C220" t="n">
        <v>86</v>
      </c>
      <c r="D220" t="inlineStr">
        <is>
          <t>Marteau R'ture; Amulette du Strigide; Anneau Chevelu; Anneau Volkorne; Cadran d'Eau; Ceinture Volkorne; Masque de Koutoulou; Cape au Logis; Bottes du Cœur Saignant; Dofus Abyssal; Dofus Pourpre; Dofus Ivoire; Dofus Turquoise; Remueur; Enragé majeur; Kramkram</t>
        </is>
      </c>
    </row>
    <row r="221">
      <c r="A221" t="inlineStr">
        <is>
          <t>eau feu exo sacri</t>
        </is>
      </c>
      <c r="B221">
        <f>HYPERLINK("https://www.dofusbook.net/fr/equipement/4604203-eau-feu-exo-sacri/objets", "link")</f>
        <v/>
      </c>
      <c r="C221" t="n">
        <v>56</v>
      </c>
      <c r="D221" t="inlineStr">
        <is>
          <t>Couteaux Sacrificiels; Amulette Volkorne; Anneau Volkorne; Alliance Gloursonne; Bouclier Taverne; Sangle Ouare; Le Dorado; Cape Solution; Bottes du Chalœil; Dofus des Glaces; Dolmanax; Chanceux majeur; Dévastateur Feu majeur; Érudit majeur; Dévastateur Eau majeur; Walk</t>
        </is>
      </c>
    </row>
    <row r="222">
      <c r="A222" t="inlineStr">
        <is>
          <t>vv rdv croco</t>
        </is>
      </c>
      <c r="B222">
        <f>HYPERLINK("https://www.dofusbook.net/fr/equipement/4604617-vv-rdv-croco/objets", "link")</f>
        <v/>
      </c>
      <c r="C222" t="n">
        <v>75</v>
      </c>
      <c r="D222" t="inlineStr">
        <is>
          <t>Crocobur; Collier du Valet Veinard; Anneau des égarés; Gant du Valet Veinard; Bouclier du Stalak; Ceinture de la Reine des Voleurs; Coiffe de la Reine des Voleurs; Cape du Valet Veinard; Bottes de la Reine des Voleurs; Dofus Pourpre; Dofus des Glaces; Dofus Ébène; Dofus Ocre; Dolmanax; Dofus Abyssal; Phortiche</t>
        </is>
      </c>
    </row>
    <row r="223">
      <c r="A223" t="inlineStr">
        <is>
          <t>terre ret ini tac</t>
        </is>
      </c>
      <c r="B223">
        <f>HYPERLINK("https://www.dofusbook.net/fr/equipement/4604448-terre-ret-ini-tac/objets", "link")</f>
        <v/>
      </c>
      <c r="C223" t="n">
        <v>93</v>
      </c>
      <c r="D223" t="inlineStr">
        <is>
          <t>Lav'Hache; Collier de Tourthon; Anneau Crustique; Alliance Gloursonne; Sept ans de malheur; Ceinture de la Cour Sombre; Boucle d'oreille de Kongoku; Cape au Logis; Bottes de la Cour Sombre; Dofus Ivoire; Dofus Ocre; Paralyseur majeur; Fonceur majeur; Étourdisseur majeur; Obstructeur majeur; Kougnard</t>
        </is>
      </c>
    </row>
    <row r="224">
      <c r="A224" t="inlineStr">
        <is>
          <t>mode heqache</t>
        </is>
      </c>
      <c r="B224">
        <f>HYPERLINK("https://www.dofusbook.net/fr/equipement/2743047-mode-heqache/objets", "link")</f>
        <v/>
      </c>
      <c r="C224" t="n">
        <v>268</v>
      </c>
      <c r="D224" t="inlineStr">
        <is>
          <t>Hache Téroïde; Amulette du Strigide; Bracelet du Piloztère; Bague Gloursonne; Bouclier Taverne; Ceintacé; Masque de Koutoulou; Cape au Logis; Bottes du Strigide; Dofus Turquoise; Dofus Pourpre; Remueur; Érudit majeur; Vigoureux majeur; Nomade; Kokulte</t>
        </is>
      </c>
    </row>
    <row r="225">
      <c r="A225" t="inlineStr">
        <is>
          <t>terre low cost</t>
        </is>
      </c>
      <c r="B225">
        <f>HYPERLINK("https://www.dofusbook.net/fr/equipement/4631388-terre-low-cost/objets", "link")</f>
        <v/>
      </c>
      <c r="C225" t="n">
        <v>93</v>
      </c>
      <c r="D225" t="inlineStr">
        <is>
          <t>Dagues Érhy; Amulette Héroclite; Anneau Crustique; Anneau de Brouce; Bouclier du Stalak; Ceinture de Brouce; Masque de Koutoulou; Cape au Logis; Sabots Minables; Dofus Pourpre; Remueur; Vigoureux majeur; Robuste majeur; Nomade; Enragé majeur; Kompost</t>
        </is>
      </c>
    </row>
    <row r="226">
      <c r="A226" t="inlineStr">
        <is>
          <t>terre crit</t>
        </is>
      </c>
      <c r="B226">
        <f>HYPERLINK("https://www.dofusbook.net/fr/equipement/4536627-terre-crit-/objets", "link")</f>
        <v/>
      </c>
      <c r="C226" t="n">
        <v>94</v>
      </c>
      <c r="D226" t="inlineStr">
        <is>
          <t>Arc du Chalœil; Amulette du Strigide; Anneau Volkorne; Anneau du Comte Harebourg; Quatre-feuilles; Ceinture Volkorne; Masque de Koutoulou; Cape au Logis; Bottes du Cœur Saignant; Dofus Turquoise; Dofus des Glaces; Dofus Pourpre; Enragé majeur; Remueur; Vigoureux majeur; Kompost</t>
        </is>
      </c>
    </row>
    <row r="227">
      <c r="A227" t="inlineStr">
        <is>
          <t>volk tri jahash</t>
        </is>
      </c>
      <c r="B227">
        <f>HYPERLINK("https://www.dofusbook.net/fr/equipement/4549947-volk-tri-jahash/objets", "link")</f>
        <v/>
      </c>
      <c r="C227" t="n">
        <v>95</v>
      </c>
      <c r="D227" t="inlineStr">
        <is>
          <t>Bâton Beau; Amulette Volkorne; Bague Trithon; Anneau Volkorne; Bouclier du Stalak; Ceinture Volkorne; Masque Trithon; Cape de Jahash Jurgen; Bottes Trithon; Dofus Turquoise; Dofus Ivoire; Dofus Ocre; Dofus Pourpre; Dofus des Glaces; Robuste majeur; Sakochère</t>
        </is>
      </c>
    </row>
    <row r="228">
      <c r="A228" t="inlineStr">
        <is>
          <t>do pou</t>
        </is>
      </c>
      <c r="B228">
        <f>HYPERLINK("https://www.dofusbook.net/fr/equipement/4637639-do-pou/objets", "link")</f>
        <v/>
      </c>
      <c r="C228" t="n">
        <v>53</v>
      </c>
      <c r="D228" t="inlineStr">
        <is>
          <t>Rouleau à Pâtisserie d'Aermyne; Torquistik; Alliance Gloursonne; Bague Trithon; Bouclier précieux; Sangle Ouare; Casque Dragoeuf; Cape Solution; Bottistik; Dofus Ocre; Dofus Ivoire; Dofus Abyssal; Culbuteur majeur; Pousseur majeur; Bousculeur majeur; Tatouf</t>
        </is>
      </c>
    </row>
    <row r="229">
      <c r="A229" t="inlineStr">
        <is>
          <t>terre volk</t>
        </is>
      </c>
      <c r="B229">
        <f>HYPERLINK("https://www.dofusbook.net/fr/equipement/4637599-terre-volk/objets", "link")</f>
        <v/>
      </c>
      <c r="C229" t="n">
        <v>69</v>
      </c>
      <c r="D229" t="inlineStr">
        <is>
          <t>Arc du Chalœil; Amulette du Strigide; Anneau Volkorne; Anneau Chevelu; Quatre-feuilles; Ceinture Volkorne; Masque de Koutoulou; Cape au Logis; Bottes du Cœur Saignant; Dofus Ocre; Dofus Ivoire; Dofus Pourpre; Dofus des Glaces; Dofus Turquoise; Dofus Ébène; Bulbisou</t>
        </is>
      </c>
    </row>
    <row r="230">
      <c r="A230" t="inlineStr">
        <is>
          <t>terre eau tac</t>
        </is>
      </c>
      <c r="B230">
        <f>HYPERLINK("https://www.dofusbook.net/fr/equipement/4637357-terre-eau-tac/objets", "link")</f>
        <v/>
      </c>
      <c r="C230" t="n">
        <v>78</v>
      </c>
      <c r="D230" t="inlineStr">
        <is>
          <t>Épouvante; Amulette du Strigide; Anneau en Grithril; Alliance Gloursonne; Bouclier alvéolé; Sangle Ouare; Casque en Grithril; Voile d'encre; Pataugastrique; Dofus Pourpre; Dofus Émeraude; Dofus Ivoire; Robuste majeur; Remueur; Vigoureux majeur; Marcassin</t>
        </is>
      </c>
    </row>
    <row r="231">
      <c r="A231" t="inlineStr">
        <is>
          <t>multi 200</t>
        </is>
      </c>
      <c r="B231">
        <f>HYPERLINK("https://www.dofusbook.net/fr/equipement/4639342-multi-200/objets", "link")</f>
        <v/>
      </c>
      <c r="C231" t="n">
        <v>160</v>
      </c>
      <c r="D231" t="inlineStr">
        <is>
          <t>Hache du Chalœil; Amulette de l'Indicible; Alliance Gloursonne; Anneau Volkorne; Bouclier du Stalak; Ceinture Volkorne; Casque du Chalœil; Voile d'encre; Bottes Honyme; Dofus Pourpre; Dofus des Glaces; Dofus Ivoire; Nomade; Remueur; Vigoureux majeur; Kramkram</t>
        </is>
      </c>
    </row>
    <row r="232">
      <c r="A232" t="inlineStr">
        <is>
          <t>multi mid cost</t>
        </is>
      </c>
      <c r="B232">
        <f>HYPERLINK("https://www.dofusbook.net/fr/equipement/4409309-multi-mid-cost/objets", "link")</f>
        <v/>
      </c>
      <c r="C232" t="n">
        <v>145</v>
      </c>
      <c r="D232" t="inlineStr">
        <is>
          <t>Hache du Chalœil; Amulette du Strigide; Alliance de Missiz Frizz; Bracelet du Piloztère; Bouclier du Stalak; Ceintacé; Le Dorado; Cape du Chalœil; Bottes du Strigide; Dofus Pourpre; Dofus Turquoise; Remueur; Robuste majeur; Vigoureux majeur; Nomade; Chacha Angora</t>
        </is>
      </c>
    </row>
    <row r="233">
      <c r="A233" t="inlineStr">
        <is>
          <t>eau/air/crit</t>
        </is>
      </c>
      <c r="B233">
        <f>HYPERLINK("https://www.dofusbook.net/fr/equipement/2472168-eau-air-crit/objets", "link")</f>
        <v/>
      </c>
      <c r="C233" t="n">
        <v>324</v>
      </c>
      <c r="D233" t="inlineStr">
        <is>
          <t>Arc de Koutoulou; Amulette du Strigide; Bracelet du Piloztère; Alliance Gloursonne; Quatre-feuilles; Ceintacé; Némès de Tal Kasha; Chevelure de Tal Kasha; Bottes de la Reine des Voleurs; Dofus Pourpre; Dofus Turquoise; Vigoureux majeur; Nomade; Miraculé majeur; Remueur; Kokulte</t>
        </is>
      </c>
    </row>
    <row r="234">
      <c r="A234" t="inlineStr">
        <is>
          <t>feu low cost</t>
        </is>
      </c>
      <c r="B234">
        <f>HYPERLINK("https://www.dofusbook.net/fr/equipement/4644459-feu-low-cost/objets", "link")</f>
        <v/>
      </c>
      <c r="C234" t="n">
        <v>82</v>
      </c>
      <c r="D234" t="inlineStr">
        <is>
          <t>Arc corrompu; Amulette Séculaire; Anneau Tamie; Anneau Tamie; Bouclier du Stalak; Sangle Aise; Coiffe Séculaire; Cape de Diondin; Bottes Dogues; Dofus Pourpre; Saccageur Feu majeur; Remueur; Dévastateur Feu majeur; Érudit majeur; Nomade; Bisouglours</t>
        </is>
      </c>
    </row>
    <row r="235">
      <c r="A235" t="inlineStr">
        <is>
          <t>eau tank</t>
        </is>
      </c>
      <c r="B235">
        <f>HYPERLINK("https://www.dofusbook.net/fr/equipement/4564314-eau-tank/objets", "link")</f>
        <v/>
      </c>
      <c r="C235" t="n">
        <v>102</v>
      </c>
      <c r="D235" t="inlineStr">
        <is>
          <t>Dagoulinantes; Amulette du Sinistrofu; Alliance Gloursonne; Anneau Volkorne; Bouclier d'Ilyzaelle; Sangle Ouare; Casque Dragoeuf; Cape Solution; Bottes du Sinistrofu; Dofus Pourpre; Dofus Ébène; Dofus Ivoire; Chanceux majeur; Remueur; Kanigloups</t>
        </is>
      </c>
    </row>
    <row r="236">
      <c r="A236" t="inlineStr">
        <is>
          <t>feu eau ini crit</t>
        </is>
      </c>
      <c r="B236">
        <f>HYPERLINK("https://www.dofusbook.net/fr/equipement/4650556-feu-eau-ini-crit/objets", "link")</f>
        <v/>
      </c>
      <c r="C236" t="n">
        <v>78</v>
      </c>
      <c r="D236" t="inlineStr">
        <is>
          <t>Baguette Hique; Collier de la Dame du Hasard; Alliance Gloursonne; Anneau Volkorne; Quatre-feuilles; Poulpagne; Coiffe du Lévitrof; Cape de la Dame du Hasard; Sandales  d'Atcham; Dofus Pourpre; Dofus des Glaces; Dofus Turquoise; Dofus Ivoire; Nomade; Remueur; Kokulte</t>
        </is>
      </c>
    </row>
    <row r="237">
      <c r="A237" t="inlineStr">
        <is>
          <t>eau feu ini exo</t>
        </is>
      </c>
      <c r="B237">
        <f>HYPERLINK("https://www.dofusbook.net/fr/equipement/4650592-eau-feu-ini-exo/objets", "link")</f>
        <v/>
      </c>
      <c r="C237" t="n">
        <v>80</v>
      </c>
      <c r="D237" t="inlineStr">
        <is>
          <t>Pyraguette; Amulette Volkorne; Alliance Gloursonne; Anneau Volkorne; Cadran d'Air; Poulpagne; Capuche de l'Œil Attentif; Voilamibe; Bottes du Chalœil; Dofus Ocre; Dofus des Glaces; Dofus Abyssal; Dofus Ivoire; Dofus Pourpre; Vigoureux majeur; Kramkram</t>
        </is>
      </c>
    </row>
    <row r="238">
      <c r="A238" t="inlineStr">
        <is>
          <t>terre rdv</t>
        </is>
      </c>
      <c r="B238">
        <f>HYPERLINK("https://www.dofusbook.net/fr/equipement/4637207-terre-rdv/objets", "link")</f>
        <v/>
      </c>
      <c r="C238" t="n">
        <v>110</v>
      </c>
      <c r="D238" t="inlineStr">
        <is>
          <t>Lav'Hache; Collier de Tourthon; Anneau Chevelu; Pikano; Bouclier du Stalak; Ceinture de la Reine des Voleurs; Coiffe de la Reine des Voleurs; Cape au Logis; Sabots Minables; Dofus Ocre; Dofus Émeraude; Dofus Abyssal; Dofus Ivoire; Dofus des Glaces; Enragé majeur; Dragodinde Dorée et Pourpre</t>
        </is>
      </c>
    </row>
    <row r="239">
      <c r="A239" t="inlineStr">
        <is>
          <t>terre do pou</t>
        </is>
      </c>
      <c r="B239">
        <f>HYPERLINK("https://www.dofusbook.net/fr/equipement/4650656-terre-do-pou/objets", "link")</f>
        <v/>
      </c>
      <c r="C239" t="n">
        <v>54</v>
      </c>
      <c r="D239" t="inlineStr">
        <is>
          <t>Lav'Hache; Torquistik; Bague Gloursonne; Anneau Chevelu; Bouclier Taverne; Ceinture Volkorne; Masque de Koutoulou; Cape au Logis; Bottistik; Dofus Ébène; Dofus Abyssal; Dofus Ivoire; Enragé majeur; Bousculeur majeur; Culbuteur majeur; Volkorne Roux et Pourpre</t>
        </is>
      </c>
    </row>
    <row r="240">
      <c r="A240" t="inlineStr">
        <is>
          <t>volk saignant</t>
        </is>
      </c>
      <c r="B240">
        <f>HYPERLINK("https://www.dofusbook.net/fr/equipement/4658496-volk-saignant/objets", "link")</f>
        <v/>
      </c>
      <c r="C240" t="n">
        <v>94</v>
      </c>
      <c r="D240" t="inlineStr">
        <is>
          <t>Dagues d'Ilyzaelle; Amulette du Cœur Saignant; Alliance de Missiz Frizz; Anneau Volkorne; Bouclier du Captain Amakna; Ceinture Volkorne; Casque de Missiz Frizz; Cape du Cœur Saignant; Bottes du Cœur Saignant; Dofus Turquoise; Dofus Vulbis; Dofus Ocre; Dofus Ivoire; Dofus Pourpre; Dofus Abyssal; Pioute vert</t>
        </is>
      </c>
    </row>
    <row r="241">
      <c r="A241" t="inlineStr">
        <is>
          <t>feu mid cost</t>
        </is>
      </c>
      <c r="B241">
        <f>HYPERLINK("https://www.dofusbook.net/fr/equipement/4662552-feu-mid-cost/objets", "link")</f>
        <v/>
      </c>
      <c r="C241" t="n">
        <v>71</v>
      </c>
      <c r="D241" t="inlineStr">
        <is>
          <t>Arc corrompu; Amulette de Nileza; Anneau Tique; Bague Gloursonne; Bouclier du Stalak; Ceinture Séculaire; Coiffe Séculaire; Voile d'encre; Pataugastrique; Dofus Pourpre; Robuste majeur; Vigoureux majeur; Remueur; Érudit majeur; Nomade; Bisouglours</t>
        </is>
      </c>
    </row>
    <row r="242">
      <c r="A242" t="inlineStr">
        <is>
          <t>multi chaloeil</t>
        </is>
      </c>
      <c r="B242">
        <f>HYPERLINK("https://www.dofusbook.net/fr/equipement/4657429-multi-chaloeil/objets", "link")</f>
        <v/>
      </c>
      <c r="C242" t="n">
        <v>90</v>
      </c>
      <c r="D242" t="inlineStr">
        <is>
          <t>Hache du Chalœil; Amulette du Strigide; Alliance Gloursonne; Alliance Brûlâme; Bouclier du Stalak; Ceintacé; Le Dorado; Cape du Chalœil; Bottes du Strigide; Dofus Pourpre; Dofus Turquoise; Robuste majeur; Vigoureux majeur; Nomade; Remueur; Chacha Angora</t>
        </is>
      </c>
    </row>
    <row r="243">
      <c r="A243" t="inlineStr">
        <is>
          <t>tair eau ret</t>
        </is>
      </c>
      <c r="B243">
        <f>HYPERLINK("https://www.dofusbook.net/fr/equipement/4669138-tair-eau-ret/objets", "link")</f>
        <v/>
      </c>
      <c r="C243" t="n">
        <v>46</v>
      </c>
      <c r="D243" t="inlineStr">
        <is>
          <t>Arc de Koutoulou; Amulette d'Ilyzaelle; Anneau Crustique; Alliance Gloursonne; Cadran d'Air; Menoture; Coiffe de la Reine des Voleurs; Voilamibe; Bottes de la Reine des Voleurs; Dofus des Glaces; Dofus Pourpre; Dofus Ivoire; Dofus Ocre; Étourdisseur majeur; Vigoureux majeur; Bwak d'Air</t>
        </is>
      </c>
    </row>
    <row r="244">
      <c r="A244" t="inlineStr">
        <is>
          <t>tair eau ret</t>
        </is>
      </c>
      <c r="B244">
        <f>HYPERLINK("https://www.dofusbook.net/fr/equipement/4669150-tair-eau-ret/objets", "link")</f>
        <v/>
      </c>
      <c r="C244" t="n">
        <v>33</v>
      </c>
      <c r="D244" t="inlineStr">
        <is>
          <t>Arc de Koutoulou; Amulette d'Ilyzaelle; Anneau Crustique; Alliance Gloursonne; Cadran d'Air; Menoture; Coiffe de la Reine des Voleurs; Voilamibe; Bottes de la Reine des Voleurs; Dofus Ocre; Dofus des Glaces; Dofus Pourpre; Dofus Ivoire; Carapace Air majeur; Étourdisseur majeur; Wabbit</t>
        </is>
      </c>
    </row>
    <row r="245">
      <c r="A245" t="inlineStr">
        <is>
          <t>terre crit volk</t>
        </is>
      </c>
      <c r="B245">
        <f>HYPERLINK("https://www.dofusbook.net/fr/equipement/4653320-terre-crit-volk/objets", "link")</f>
        <v/>
      </c>
      <c r="C245" t="n">
        <v>179</v>
      </c>
      <c r="D245" t="inlineStr">
        <is>
          <t>Marteau R'ture; Amulette du Strigide; Anneau Chevelu; Anneau Volkorne; Bouclier d'Ilyzaelle; Ceinture Volkorne; Masque de Koutoulou; Cape au Logis; Bottes du Cœur Saignant; Dofus Pourpre; Dofus Abyssal; Dofus Turquoise; Dofus Ocre; Dofus Ivoire; Dofus Nébuleux; Pioute vert</t>
        </is>
      </c>
    </row>
    <row r="246">
      <c r="A246" t="inlineStr">
        <is>
          <t>terre crit</t>
        </is>
      </c>
      <c r="B246">
        <f>HYPERLINK("https://www.dofusbook.net/fr/equipement/4669267-terre-crit-/objets", "link")</f>
        <v/>
      </c>
      <c r="C246" t="n">
        <v>48</v>
      </c>
      <c r="D246" t="inlineStr">
        <is>
          <t>Marteau R'ture; Amulette du Cœur Saignant; Anneau Crustique; Anneau Chevelu; Quatre-feuilles; Ceinture Volkorne; Masque de Koutoulou; Cape au Logis; Bottes du Cœur Saignant; Dofus Pourpre; Dofus Ocre; Dofus Turquoise; Entraveur majeur; Temporiseur majeur; Enragé majeur; Gwo Tofu Ventripotent</t>
        </is>
      </c>
    </row>
    <row r="247">
      <c r="A247" t="inlineStr">
        <is>
          <t>stri pad atch</t>
        </is>
      </c>
      <c r="B247">
        <f>HYPERLINK("https://www.dofusbook.net/fr/equipement/4668843-stri-pad-atch/objets", "link")</f>
        <v/>
      </c>
      <c r="C247" t="n">
        <v>118</v>
      </c>
      <c r="D247" t="inlineStr">
        <is>
          <t>Sabres d'Atcham; Amulette du Strigide; Anneau de Padgref; Alliance Gloursonne; Quatre-feuilles; Ceinture du Strigide; Coiffe de Padgref; Cape d'Atcham; Getas de Padgref; Dofus Ocre; Dofus des Glaces; Dofus Pourpre; Dofus Turquoise; Voyageur; Puissant majeur; Sakochère</t>
        </is>
      </c>
    </row>
    <row r="248">
      <c r="A248" t="inlineStr">
        <is>
          <t>terre tank</t>
        </is>
      </c>
      <c r="B248">
        <f>HYPERLINK("https://www.dofusbook.net/fr/equipement/4664089-terre-tank/objets", "link")</f>
        <v/>
      </c>
      <c r="C248" t="n">
        <v>129</v>
      </c>
      <c r="D248" t="inlineStr">
        <is>
          <t>Lav'Hache; Amulette du Strigide; Anneau Chevelu; Bague Gloursonne; Bouclier précieux; Ceintouse; Masque de Koutoulou; Cape au Logis; Tentassons; Dofus Émeraude; Dofus Pourpre; Remueur; Vigoureux majeur; Enragé majeur; Obstructeur majeur; Givrefoux</t>
        </is>
      </c>
    </row>
    <row r="249">
      <c r="A249" t="inlineStr">
        <is>
          <t>feu eau mid cost</t>
        </is>
      </c>
      <c r="B249">
        <f>HYPERLINK("https://www.dofusbook.net/fr/equipement/4663959-feu-eau-mid-cost/objets", "link")</f>
        <v/>
      </c>
      <c r="C249" t="n">
        <v>65</v>
      </c>
      <c r="D249" t="inlineStr">
        <is>
          <t>Pyraguette; Amulette Volkorne; Anneau Volkorne; Alliance Gloursonne; Bouclier du Stalak; Ceintrigue; Le Dorado; Voilamibe; Pataugastrique; Dofus Pourpre; Dofus des Glaces; Robuste majeur; Remueur; Vigoureux majeur; Puissant majeur; Walk</t>
        </is>
      </c>
    </row>
    <row r="250">
      <c r="A250" t="inlineStr">
        <is>
          <t>tank low cost</t>
        </is>
      </c>
      <c r="B250">
        <f>HYPERLINK("https://www.dofusbook.net/fr/equipement/4581744-tank-low-cost/objets", "link")</f>
        <v/>
      </c>
      <c r="C250" t="n">
        <v>205</v>
      </c>
      <c r="D250" t="inlineStr">
        <is>
          <t>L'Épée Nice; Amulette du Strigide; Anneau Chevelu; Bague Gloursonne; Bouclier précieux; Ceinture de XLII; Masque de Koutoulou; Cape au Logis; Bottes de XLII; Dofus Émeraude; Dofus Pourpre; Remueur; Bloqueur majeur; Enragé majeur; Obstructeur majeur; Givrefoux</t>
        </is>
      </c>
    </row>
    <row r="251">
      <c r="A251" t="inlineStr">
        <is>
          <t>tair eau ahique</t>
        </is>
      </c>
      <c r="B251">
        <f>HYPERLINK("https://www.dofusbook.net/fr/equipement/4437125-tair-eau-ahique/objets", "link")</f>
        <v/>
      </c>
      <c r="C251" t="n">
        <v>193</v>
      </c>
      <c r="D251" t="inlineStr">
        <is>
          <t>Arc Ahique; Amulette de l'Indicible; Bracelet du Piloztère; Alliance Gloursonne; Bouclier du Stalak; Ceinture de la Reine des Voleurs; Coiffe de la Reine des Voleurs; Voilamibe; Baleinabottes; Dofus des Glaces; Dofus Pourpre; Robuste majeur; Vigoureux majeur; Puissant majeur; Remueur; Kramkram</t>
        </is>
      </c>
    </row>
    <row r="252">
      <c r="A252" t="inlineStr">
        <is>
          <t>crit stri gloura</t>
        </is>
      </c>
      <c r="B252">
        <f>HYPERLINK("https://www.dofusbook.net/fr/equipement/4572631-crit-stri-gloura/objets", "link")</f>
        <v/>
      </c>
      <c r="C252" t="n">
        <v>32</v>
      </c>
      <c r="D252" t="inlineStr">
        <is>
          <t>Marteau du Glouragan; Amulette du Strigide; Bracelet du Piloztère; Anneau de Padgref; Bouclier Taverne; Ceinture du Strigide; Maskrobe; Cape des Justiciers; Bottes du Chalœil; Dofus Pourpre; Dofus des Glaces; Dolmanax; Dofus Turquoise; Nomade; Remueur; Kokulte</t>
        </is>
      </c>
    </row>
    <row r="253">
      <c r="A253" t="inlineStr">
        <is>
          <t>crit volk gloura</t>
        </is>
      </c>
      <c r="B253">
        <f>HYPERLINK("https://www.dofusbook.net/fr/equipement/4572638-crit-volk-gloura/objets", "link")</f>
        <v/>
      </c>
      <c r="C253" t="n">
        <v>35</v>
      </c>
      <c r="D253" t="inlineStr">
        <is>
          <t>Marteau du Glouragan; Amulette Volkorne; Anneau de Padgref; Anneau Volkorne; Bouclier Taverne; Ceintacé; Maskrobe; Cape d'Atcham; Bottes du Chalœil; Dolmanax; Dofus Pourpre; Dofus Turquoise; Vigoureux majeur; Nomade; Remueur; Kokulte</t>
        </is>
      </c>
    </row>
    <row r="254">
      <c r="A254" t="inlineStr">
        <is>
          <t>crit tero no exo</t>
        </is>
      </c>
      <c r="B254">
        <f>HYPERLINK("https://www.dofusbook.net/fr/equipement/4573788-crit-tero-no-exo/objets", "link")</f>
        <v/>
      </c>
      <c r="C254" t="n">
        <v>50</v>
      </c>
      <c r="D254" t="inlineStr">
        <is>
          <t>Hache Téroïde; Amulette du Strigide; Anneau de Padgref; Bracelet du Piloztère; Bouclier Taverne; Ceinture du Strigide; Maskrobe; Cape des Justiciers; Bottes Honyme; Dofus Turquoise; Dolmanax; Dofus Pourpre; Vigoureux majeur; Nomade; Remueur; Kokulte</t>
        </is>
      </c>
    </row>
    <row r="255">
      <c r="A255" t="inlineStr">
        <is>
          <t>multi crit mid</t>
        </is>
      </c>
      <c r="B255">
        <f>HYPERLINK("https://www.dofusbook.net/fr/equipement/4572345-multi-crit-mid/objets", "link")</f>
        <v/>
      </c>
      <c r="C255" t="n">
        <v>47</v>
      </c>
      <c r="D255" t="inlineStr">
        <is>
          <t>Hache du Chalœil; Amulette du Strigide; Anneau de Padgref; Bracelet du Piloztère; Bouclier Taverne; Ceinture du Strigide; Maskrobe; Cape des Justiciers; Bottes du Chalœil; Dolmanax; Dofus Turquoise; Dofus Pourpre; Dofus des Glaces; Nomade; Remueur; Kokulte</t>
        </is>
      </c>
    </row>
    <row r="256">
      <c r="A256" t="inlineStr">
        <is>
          <t>eau air ret</t>
        </is>
      </c>
      <c r="B256">
        <f>HYPERLINK("https://www.dofusbook.net/fr/equipement/4463832-eau-air-ret/objets", "link")</f>
        <v/>
      </c>
      <c r="C256" t="n">
        <v>43</v>
      </c>
      <c r="D256" t="inlineStr">
        <is>
          <t>Bâtonnet Ronien; Amulette Hale; Alliance Gloursonne; Bracelet du Piloztère; Cadran d'Air; Ceinture Voldelor; Kidibonnet; Voilamibe; Chaussures Face; Dofus des Glaces; Dofus Pourpre; Nomade; Temporiseur majeur; Remueur; Vigoureux majeur; Gwo Tofu Ventripotent</t>
        </is>
      </c>
    </row>
    <row r="257">
      <c r="A257" t="inlineStr">
        <is>
          <t>multi crit mid cost</t>
        </is>
      </c>
      <c r="B257">
        <f>HYPERLINK("https://www.dofusbook.net/fr/equipement/4235276-multi-crit-mid-cost/objets", "link")</f>
        <v/>
      </c>
      <c r="C257" t="n">
        <v>110</v>
      </c>
      <c r="D257" t="inlineStr">
        <is>
          <t>Hache du Chalœil; Amulette du Strigide; Bracelet du Piloztère; Anneau de Padgref; Bouclier Taverne; Ceinture du Strigide; Kidibonnet; Cape au Logis; Bottes du Chalœil; Dofus Pourpre; Dofus des Glaces; Dolmanax; Dofus Turquoise; Nomade; Remueur; Kokulte</t>
        </is>
      </c>
    </row>
    <row r="258">
      <c r="A258" t="inlineStr">
        <is>
          <t>air low cost</t>
        </is>
      </c>
      <c r="B258">
        <f>HYPERLINK("https://www.dofusbook.net/fr/equipement/4205805-air-low-cost/objets", "link")</f>
        <v/>
      </c>
      <c r="C258" t="n">
        <v>82</v>
      </c>
      <c r="D258" t="inlineStr">
        <is>
          <t>Manthache; Collier du Valet Veinard; Gant du Valet Veinard; Alliance Gloursonne; Bouclier du Stalak; Menoture; Couronne d'Allister; Cape du Kamasterisk; Pantoufles Émar; Dofus Pourpre; Dévastateur Air majeur; Remueur; Voyageur; Cascadeur majeur; Nomade; Blérodoudou</t>
        </is>
      </c>
    </row>
    <row r="259">
      <c r="A259" t="inlineStr">
        <is>
          <t>eau air crit 200</t>
        </is>
      </c>
      <c r="B259">
        <f>HYPERLINK("https://www.dofusbook.net/fr/equipement/4234159-eau-air-crit-200/objets", "link")</f>
        <v/>
      </c>
      <c r="C259" t="n">
        <v>82</v>
      </c>
      <c r="D259" t="inlineStr">
        <is>
          <t>Marteau des Anciens Steamers; Amulette du Strigide; Bracelet du Piloztère; Alliance Gloursonne; Bouclier Taverne; Ceinture Voldelor; Maskrobe; Cape Matelassée; Bottes Voldelor; Dofus Pourpre; Dofus Turquoise; Dofus des Glaces; Vigoureux majeur; Nomade; Remueur; Kokulte</t>
        </is>
      </c>
    </row>
    <row r="260">
      <c r="A260" t="inlineStr">
        <is>
          <t>eau low cost</t>
        </is>
      </c>
      <c r="B260">
        <f>HYPERLINK("https://www.dofusbook.net/fr/equipement/4630952-eau-low-cost/objets", "link")</f>
        <v/>
      </c>
      <c r="C260" t="n">
        <v>60</v>
      </c>
      <c r="D260" t="inlineStr">
        <is>
          <t>Rapière aux Glyphes; Amulette du Sinistrofu; Alliance Gloursonne; Bouclier du Stalak; Sangle Ouare; Kidibonnet; Cape Matelassée; Bottes du Sinistrofu; Dofus Pourpre; Remueur; Robuste majeur; Chanceux majeur; Nomade; Vigoureux majeur; Dragodinde Amande et Indigo</t>
        </is>
      </c>
    </row>
    <row r="261">
      <c r="A261" t="inlineStr">
        <is>
          <t>eau ini</t>
        </is>
      </c>
      <c r="B261">
        <f>HYPERLINK("https://www.dofusbook.net/fr/equipement/4685862-eau-ini/objets", "link")</f>
        <v/>
      </c>
      <c r="C261" t="n">
        <v>68</v>
      </c>
      <c r="D261" t="inlineStr">
        <is>
          <t>Dagoulinantes; Amulette de Shokkoth; Anneau Volkorne; Alliance Gloursonne; Cadran de Terre; Sangle Ouare; Capuche de l'Œil Attentif; Cape de l'Œil Attentif; Pataugastrique; Dofus Pourpre; Dofus Ivoire; Chanceux majeur; Remueur; Kanigloups</t>
        </is>
      </c>
    </row>
    <row r="262">
      <c r="A262" t="inlineStr">
        <is>
          <t>multi stri</t>
        </is>
      </c>
      <c r="B262">
        <f>HYPERLINK("https://www.dofusbook.net/fr/equipement/4685931-multi-stri/objets", "link")</f>
        <v/>
      </c>
      <c r="C262" t="n">
        <v>105</v>
      </c>
      <c r="D262" t="inlineStr">
        <is>
          <t>Hache du Chalœil; Amulette du Strigide; Bague Gloursonne; Bracelet du Piloztère; Quatre-feuilles; Ceinture du Strigide; Le Dorado; Cape de la Dame du Hasard; Bottes Honyme; Dofus des Glaces; Dofus Pourpre; Dofus Turquoise; Vigoureux majeur; Nomade; Puissant majeur; Kokulte</t>
        </is>
      </c>
    </row>
    <row r="263">
      <c r="A263" t="inlineStr">
        <is>
          <t>air 5700 pdv</t>
        </is>
      </c>
      <c r="B263">
        <f>HYPERLINK("https://www.dofusbook.net/fr/equipement/3030290-air-5700-pdv/objets", "link")</f>
        <v/>
      </c>
      <c r="C263" t="n">
        <v>763</v>
      </c>
      <c r="D263" t="inlineStr">
        <is>
          <t>Manthache; Collier du Valet Veinard; Alliance Gloursonne; Gant du Valet Veinard; Bouclier d'Ilyzaelle; Menoture; Dorabysses; Cape Martegel; Palmes Trithons; Dofus Ivoire; Dofus Émeraude; Cascadeur majeur; Miraculé majeur; Remueur; Nomade; La Chose</t>
        </is>
      </c>
    </row>
    <row r="264">
      <c r="A264" t="inlineStr">
        <is>
          <t>tair eau marteau ste</t>
        </is>
      </c>
      <c r="B264">
        <f>HYPERLINK("https://www.dofusbook.net/fr/equipement/4478834-tair-eau-marteau-ste/objets", "link")</f>
        <v/>
      </c>
      <c r="C264" t="n">
        <v>94</v>
      </c>
      <c r="D264" t="inlineStr">
        <is>
          <t>Marteau des Anciens Steamers; Amulette de l'Indicible; Bracelet du Piloztère; Alliance Gloursonne; Bouclier Taverne; Ceinture de la Reine des Voleurs; Coiffe de la Reine des Voleurs; Voilamibe; Baleinabottes; Dofus des Glaces; Dofus Pourpre; Robuste majeur; Vigoureux majeur; Puissant majeur; Remueur; Kramkram</t>
        </is>
      </c>
    </row>
    <row r="265">
      <c r="A265" t="inlineStr">
        <is>
          <t>eau exo</t>
        </is>
      </c>
      <c r="B265">
        <f>HYPERLINK("https://www.dofusbook.net/fr/equipement/4611130-eau-exo/objets", "link")</f>
        <v/>
      </c>
      <c r="C265" t="n">
        <v>99</v>
      </c>
      <c r="D265" t="inlineStr">
        <is>
          <t>Epée Loponèze; Amulette du Sinistrofu; Anneau Volkorne; Alliance Gloursonne; Cadran d'Air; Sangle Ouare; Casque d'Ilyzaelle; Cape Solution; Bottes du Sinistrofu; Dofus Ivoire; Dofus Pourpre; Remueur; Chanceux majeur; Vigoureux majeur; Nomade; Kanigloups</t>
        </is>
      </c>
    </row>
    <row r="266">
      <c r="A266" t="inlineStr">
        <is>
          <t>volk tri</t>
        </is>
      </c>
      <c r="B266">
        <f>HYPERLINK("https://www.dofusbook.net/fr/equipement/4685793-volk-tri/objets", "link")</f>
        <v/>
      </c>
      <c r="C266" t="n">
        <v>87</v>
      </c>
      <c r="D266" t="inlineStr">
        <is>
          <t>Hache du Chalœil; Amulette Volkorne; Anneau Volkorne; Bague Trithon; Quatre-feuilles; Ceinture Volkorne; Masque Trithon; Chevelure de Tal Kasha; Bottes Trithon; Dolmanax; Dofus Ocre; Dofus Pourpre; Dofus des Glaces; Dofus Ivoire; Dofus Turquoise; Kougnard</t>
        </is>
      </c>
    </row>
    <row r="267">
      <c r="A267" t="inlineStr">
        <is>
          <t>air classique</t>
        </is>
      </c>
      <c r="B267">
        <f>HYPERLINK("https://www.dofusbook.net/fr/equipement/4687682-air-classique/objets", "link")</f>
        <v/>
      </c>
      <c r="C267" t="n">
        <v>140</v>
      </c>
      <c r="D267" t="inlineStr">
        <is>
          <t>Manthache; Collier du Valet Veinard; Alliance Gloursonne; Gant du Valet Veinard; Bouclier d'Ilyzaelle; Menoture; Casque Dragoeuf; Cape Martegel; Palmes Trithons; Dofus Ivoire; Dofus Pourpre; Nomade; Remueur; Cascadeur majeur; Bwak d'Air</t>
        </is>
      </c>
    </row>
    <row r="268">
      <c r="A268" t="inlineStr">
        <is>
          <t>volk pad</t>
        </is>
      </c>
      <c r="B268">
        <f>HYPERLINK("https://www.dofusbook.net/fr/equipement/4690681-volk-pad/objets", "link")</f>
        <v/>
      </c>
      <c r="C268" t="n">
        <v>127</v>
      </c>
      <c r="D268" t="inlineStr">
        <is>
          <t>Arc Volkorne; Amulette Volkorne; Anneau de Padgref; Anneau Volkorne; Quatre-feuilles; Ceinture Volkorne; Coiffe de Padgref; Cape du Chalœil; Getas de Padgref; Dofus Pourpre; Dofus des Glaces; Dofus Turquoise; Dolmanax; Dofus Ocre; Puissant majeur; Sakochère</t>
        </is>
      </c>
    </row>
    <row r="269">
      <c r="A269" t="inlineStr">
        <is>
          <t>feu exo mid cost</t>
        </is>
      </c>
      <c r="B269">
        <f>HYPERLINK("https://www.dofusbook.net/fr/equipement/4639446-feu-exo-mid-cost/objets", "link")</f>
        <v/>
      </c>
      <c r="C269" t="n">
        <v>26</v>
      </c>
      <c r="D269" t="inlineStr">
        <is>
          <t>Massier; Amulette Séculaire; Anneau Tique; Bague Gloursonne; Bouclier Taverne; Ceinture de Vortex; Coiffe Séculaire; Cape de Diondin; Bottes Innommables; Dofus Pourpre; Vigoureux majeur; Remueur; Nomade; Robuste majeur; Érudit majeur; Bisouglours</t>
        </is>
      </c>
    </row>
    <row r="270">
      <c r="A270" t="inlineStr">
        <is>
          <t>Tea2</t>
        </is>
      </c>
      <c r="B270">
        <f>HYPERLINK("https://www.dofusbook.net/fr/equipement/4691516-tea2/objets", "link")</f>
        <v/>
      </c>
      <c r="C270" t="n">
        <v>87</v>
      </c>
      <c r="D270" t="inlineStr">
        <is>
          <t>Arc Ahique; Amulette de l'Indicible; Bracelet du Piloztère; Alliance Gloursonne; Bouclier du Stalak; Ceinture de la Reine des Voleurs; Coiffe de la Reine des Voleurs; Voilamibe; Baleinabottes; Dofus Pourpre; Dofus des Glaces; Vigoureux majeur; Sanguinaire majeur; Remueur; Robuste majeur; Kramkram</t>
        </is>
      </c>
    </row>
    <row r="271">
      <c r="A271" t="inlineStr">
        <is>
          <t>multi low cost</t>
        </is>
      </c>
      <c r="B271">
        <f>HYPERLINK("https://www.dofusbook.net/fr/equipement/4686082-multi-low-cost/objets", "link")</f>
        <v/>
      </c>
      <c r="C271" t="n">
        <v>102</v>
      </c>
      <c r="D271" t="inlineStr">
        <is>
          <t>Bâton Beau; Amulette du Strigide; Bracelet du Piloztère; Alliance Gloursonne; Bouclier du Stalak; Ceintacé; Maskrobe; Cape des Justiciers; Bottes du Strigide; Dofus Pourpre; Dofus Turquoise; Robuste majeur; Vigoureux majeur; Nomade; Remueur; Chacha Angora</t>
        </is>
      </c>
    </row>
    <row r="272">
      <c r="A272" t="inlineStr">
        <is>
          <t>volk tri</t>
        </is>
      </c>
      <c r="B272">
        <f>HYPERLINK("https://www.dofusbook.net/fr/equipement/4694131-volk-tri/objets", "link")</f>
        <v/>
      </c>
      <c r="C272" t="n">
        <v>27</v>
      </c>
      <c r="D272" t="inlineStr">
        <is>
          <t>Hache du Chalœil; Amulette Volkorne; Bague Trithon; Anneau Volkorne; Bouclier du Stalak; Ceinture Volkorne; Masque Trithon; Cape du Chalœil; Bottes Trithon; Dofus Pourpre; Dofus des Glaces; Dofus Turquoise; Dofus Ocre; Puissant majeur; Sakochère</t>
        </is>
      </c>
    </row>
    <row r="273">
      <c r="A273" t="inlineStr">
        <is>
          <t>multi dofusteuse</t>
        </is>
      </c>
      <c r="B273">
        <f>HYPERLINK("https://www.dofusbook.net/fr/equipement/4694911-multi-dofusteuse/objets", "link")</f>
        <v/>
      </c>
      <c r="C273" t="n">
        <v>50</v>
      </c>
      <c r="D273" t="inlineStr">
        <is>
          <t>Epée Kari; Amulette du Strigide; Bracelet du Piloztère; Grésilanneau; Bouclier du Stalak; Ceintacé; Maskrobe; Dofusteuse; Bottes du Strigide; Dofus des Glaces; Dofus Pourpre; Dofus Turquoise; Vigoureux majeur; Remueur; Robuste majeur; Chacha Angora</t>
        </is>
      </c>
    </row>
    <row r="274">
      <c r="A274" t="inlineStr">
        <is>
          <t>terre eau 12-6</t>
        </is>
      </c>
      <c r="B274">
        <f>HYPERLINK("https://www.dofusbook.net/fr/equipement/4700014-terre-eau-12-6/objets", "link")</f>
        <v/>
      </c>
      <c r="C274" t="n">
        <v>78</v>
      </c>
      <c r="D274" t="inlineStr">
        <is>
          <t>Dagues de Srambad; Amulette Volkorne; Anneau en Grithril; Anneau Volkorne; Bouclier du Stalak; Ceinture Volkorne; Casque du Chalœil; Cape du Chalœil; Bottes du Chalœil; Dolmanax; Dofus des Glaces; Dofus Ocre; Dofus Ivoire; Dofus Abyssal; Dofus Pourpre; Volkorne Améthyste</t>
        </is>
      </c>
    </row>
    <row r="275">
      <c r="A275" t="inlineStr">
        <is>
          <t>volk tri</t>
        </is>
      </c>
      <c r="B275">
        <f>HYPERLINK("https://www.dofusbook.net/fr/equipement/4700204-volk-tri/objets", "link")</f>
        <v/>
      </c>
      <c r="C275" t="n">
        <v>78</v>
      </c>
      <c r="D275" t="inlineStr">
        <is>
          <t>Hache du Chalœil; Amulette Volkorne; Anneau Volkorne; Bague Trithon; Quatre-feuilles; Ceinture Volkorne; Masque Trithon; Cape du Chalœil; Bottes Trithon; Dofus des Veilleurs; Dofus des Glaces; Dofus Ocre; Dofus Pourpre; Dofus Turquoise; Puissant majeur; Kokulte</t>
        </is>
      </c>
    </row>
    <row r="276">
      <c r="A276" t="inlineStr">
        <is>
          <t>terre exo</t>
        </is>
      </c>
      <c r="B276">
        <f>HYPERLINK("https://www.dofusbook.net/fr/equipement/4637114-terre-exo/objets", "link")</f>
        <v/>
      </c>
      <c r="C276" t="n">
        <v>111</v>
      </c>
      <c r="D276" t="inlineStr">
        <is>
          <t>Arc du Chalœil; Amulette Héroclite; Anneau de Brouce; Anneau Chevelu; Bouclier du Stalak; Ceinture de la Reine des Voleurs; Coiffe de la Reine des Voleurs; Cape au Logis; Sabots Minables; Dofus Abyssal; Dofus Pourpre; Dofus Ivoire; Remueur; Vigoureux majeur; Enragé majeur; Dragodinde Ivoire et Pourpre</t>
        </is>
      </c>
    </row>
    <row r="277">
      <c r="A277" t="inlineStr">
        <is>
          <t>stri volk</t>
        </is>
      </c>
      <c r="B277">
        <f>HYPERLINK("https://www.dofusbook.net/fr/equipement/4712181-stri-volk/objets", "link")</f>
        <v/>
      </c>
      <c r="C277" t="n">
        <v>125</v>
      </c>
      <c r="D277" t="inlineStr">
        <is>
          <t>Arc Volkorne; Amulette du Strigide; Anneau Volkorne; Bracelet du Piloztère; Quatre-feuilles; Ceinture du Strigide; Casque Volkorne; Chevelure de Tal Kasha; Bottes du Strigide; Dofus Turquoise; Dolmanax; Dofus Ocre; Dofus Pourpre; Dofus des Glaces; Voyageur; Kokulte</t>
        </is>
      </c>
    </row>
    <row r="278">
      <c r="A278" t="inlineStr">
        <is>
          <t>eau terre exo</t>
        </is>
      </c>
      <c r="B278">
        <f>HYPERLINK("https://www.dofusbook.net/fr/equipement/4712390-eau-terre-exo/objets", "link")</f>
        <v/>
      </c>
      <c r="C278" t="n">
        <v>31</v>
      </c>
      <c r="D278" t="inlineStr">
        <is>
          <t>Dagues de Srambad; Amulette de l'Indicible; Bracelet du Piloztère; Alliance Gloursonne; Bouclier d'Ilyzaelle; Ceinture de la Reine des Voleurs; Coiffe de la Reine des Voleurs; Cape au Logis; Sabots Minables; Dofus Pourpre; Dofus des Glaces; Remueur; Vigoureux majeur; Kramkram</t>
        </is>
      </c>
    </row>
    <row r="279">
      <c r="A279" t="inlineStr">
        <is>
          <t>feu eau crit exo</t>
        </is>
      </c>
      <c r="B279">
        <f>HYPERLINK("https://www.dofusbook.net/fr/equipement/4700495-feu-eau-crit-exo/objets", "link")</f>
        <v/>
      </c>
      <c r="C279" t="n">
        <v>100</v>
      </c>
      <c r="D279" t="inlineStr">
        <is>
          <t>Baguette Hique; Amulette de Shokkoth; Alliance Gloursonne; Anneau Volkorne; Quatre-feuilles; Sangle Ouare; Kidibonnet; Cape de la Dame du Hasard; Bottes de la Dame du Hasard; Dofus Ocre; Dofus Ébène; Dofus Abyssal; Dofus Turquoise; Dofus Ivoire; Chanceux majeur; Kokulte</t>
        </is>
      </c>
    </row>
    <row r="280">
      <c r="A280" t="inlineStr">
        <is>
          <t>eau feu no exo</t>
        </is>
      </c>
      <c r="B280">
        <f>HYPERLINK("https://www.dofusbook.net/fr/equipement/4700593-eau-feu-no-exo/objets", "link")</f>
        <v/>
      </c>
      <c r="C280" t="n">
        <v>75</v>
      </c>
      <c r="D280" t="inlineStr">
        <is>
          <t>Pyraguette; Amulette Cryochrone; Anneau Cryochrone; Alliance du Lévitrof; Bouclier du Stalak; Ceintrigue; Coiffe Ranshi; Voilamibe; Pataugastrique; Dofus Pourpre; Vigoureux majeur; Nomade; Puissant majeur; Robuste majeur; Remueur; Walk</t>
        </is>
      </c>
    </row>
    <row r="281">
      <c r="A281" t="inlineStr">
        <is>
          <t>volk cha</t>
        </is>
      </c>
      <c r="B281">
        <f>HYPERLINK("https://www.dofusbook.net/fr/equipement/4319403-volk-cha/objets", "link")</f>
        <v/>
      </c>
      <c r="C281" t="n">
        <v>237</v>
      </c>
      <c r="D281" t="inlineStr">
        <is>
          <t>Hache du Chalœil; Amulette Volkorne; Anneau Volkorne; Bracelet du Piloztère; Quatre-feuilles; Ceinture Volkorne; Casque du Chalœil; Cape du Chalœil; Bottes du Chalœil; Dofus Ocre; Dofus Abyssal; Dofus Pourpre; Dofus des Glaces; Dofus Turquoise; Dolmanax; Kokulte</t>
        </is>
      </c>
    </row>
    <row r="282">
      <c r="A282" t="inlineStr">
        <is>
          <t>multi exo</t>
        </is>
      </c>
      <c r="B282">
        <f>HYPERLINK("https://www.dofusbook.net/fr/equipement/4560265-multi-exo/objets", "link")</f>
        <v/>
      </c>
      <c r="C282" t="n">
        <v>229</v>
      </c>
      <c r="D282" t="inlineStr">
        <is>
          <t>Bâton Beau; Amulette du Strigide; Alliance de Missiz Frizz; Bracelet du Piloztère; Quatre-feuilles; Ceintacé; Maskrobe; Cape du Chalœil; Bottes du Strigide; Dofus des Glaces; Dofus Pourpre; Dofus Turquoise; Vigoureux majeur; Puissant majeur; Remueur; Kokulte</t>
        </is>
      </c>
    </row>
    <row r="283">
      <c r="A283" t="inlineStr">
        <is>
          <t>terre opti</t>
        </is>
      </c>
      <c r="B283">
        <f>HYPERLINK("https://www.dofusbook.net/fr/equipement/4690986-terre-opti/objets", "link")</f>
        <v/>
      </c>
      <c r="C283" t="n">
        <v>85</v>
      </c>
      <c r="D283" t="inlineStr">
        <is>
          <t>Arc du Chalœil; Amulette du Strigide; Bracelet du Piloztère; Anneau Volkorne; Quatre-feuilles; Ceinture Volkorne; Masque de Koutoulou; Cape au Logis; Bottes du Cœur Saignant; Dofus Ocre; Dofus Pourpre; Dofus Abyssal; Dofus Turquoise; Vigoureux majeur; Enragé majeur; Bulbisou</t>
        </is>
      </c>
    </row>
    <row r="284">
      <c r="A284" t="inlineStr">
        <is>
          <t>volk tri</t>
        </is>
      </c>
      <c r="B284">
        <f>HYPERLINK("https://www.dofusbook.net/fr/equipement/4733238-volk-tri/objets", "link")</f>
        <v/>
      </c>
      <c r="C284" t="n">
        <v>69</v>
      </c>
      <c r="D284" t="inlineStr">
        <is>
          <t>Hache du Chalœil; Amulette Volkorne; Anneau Volkorne; Bague Trithon; Bouclier du Stalak; Ceinture Volkorne; Masque Trithon; Voile d'encre; Bottes Trithon; Dofus Pourpre; Dofus des Glaces; Dofus Turquoise; Dolmanax; Dofus Ocre; Sakochère</t>
        </is>
      </c>
    </row>
    <row r="285">
      <c r="A285" t="inlineStr">
        <is>
          <t>eau air rési</t>
        </is>
      </c>
      <c r="B285">
        <f>HYPERLINK("https://www.dofusbook.net/fr/equipement/4734324-eau-air-resi/objets", "link")</f>
        <v/>
      </c>
      <c r="C285" t="n">
        <v>49</v>
      </c>
      <c r="D285" t="inlineStr">
        <is>
          <t>Arc de Koutoulou; Amulette d'Ilyzaelle; Bracelet du Piloztère; Alliance Gloursonne; Cadran d'Air; Ceintacé; Casque d'Ilyzaelle; Voilamibe; Bottes de la Reine des Voleurs; Dofus des Glaces; Dofus Ivoire; Dofus Pourpre; Remueur; Robuste majeur; Vigoureux majeur; Bwak d'Air</t>
        </is>
      </c>
    </row>
    <row r="286">
      <c r="A286" t="inlineStr">
        <is>
          <t>feu mid cost</t>
        </is>
      </c>
      <c r="B286">
        <f>HYPERLINK("https://www.dofusbook.net/fr/equipement/4741004-feu-mid-cost/objets", "link")</f>
        <v/>
      </c>
      <c r="C286" t="n">
        <v>70</v>
      </c>
      <c r="D286" t="inlineStr">
        <is>
          <t>Arc corrompu; Amulette Séculaire; Bague Gloursonne; Anneau Tique; Bouclier du Stalak; Ceinture de Gein; Coiffe Séculaire; Cape de Diondin; Pataugastrique; Dofus Pourpre; Nomade; Vigoureux majeur; Remueur; Robuste majeur; Érudit majeur; Bisouglours</t>
        </is>
      </c>
    </row>
    <row r="287">
      <c r="A287" t="inlineStr">
        <is>
          <t>multi volk</t>
        </is>
      </c>
      <c r="B287">
        <f>HYPERLINK("https://www.dofusbook.net/fr/equipement/4746523-multi-volk/objets", "link")</f>
        <v/>
      </c>
      <c r="C287" t="n">
        <v>101</v>
      </c>
      <c r="D287" t="inlineStr">
        <is>
          <t>Bâton Beau; Amulette Volkorne; Bracelet du Piloztère; Anneau Volkorne; Quatre-feuilles; Sangle Ouare; Casque du Chalœil; Voile d'encre; Pataugastrique; Dofus Pourpre; Dofus Turquoise; Carapace Terre majeur; Vigoureux majeur; Nomade; Remueur; Kokulte</t>
        </is>
      </c>
    </row>
    <row r="288">
      <c r="A288" t="inlineStr">
        <is>
          <t>feu do pou</t>
        </is>
      </c>
      <c r="B288">
        <f>HYPERLINK("https://www.dofusbook.net/fr/equipement/4746355-feu-do-pou/objets", "link")</f>
        <v/>
      </c>
      <c r="C288" t="n">
        <v>31</v>
      </c>
      <c r="D288" t="inlineStr">
        <is>
          <t>Massier; Torquistik; Alliance du Lévitrof; Bague Gloursonne; Bouclier Taverne; Sangle Ouare; Heaume Oplate; Cape Solution; Bottistik; Dofus Pourpre; Bousculeur majeur; Nomade; Érudit majeur; Culbuteur majeur; Vigoureux majeur; Scarakiri</t>
        </is>
      </c>
    </row>
    <row r="289">
      <c r="A289" t="inlineStr">
        <is>
          <t>terre volk ture</t>
        </is>
      </c>
      <c r="B289">
        <f>HYPERLINK("https://www.dofusbook.net/fr/equipement/4749166-terre-volk-ture/objets", "link")</f>
        <v/>
      </c>
      <c r="C289" t="n">
        <v>45</v>
      </c>
      <c r="D289" t="inlineStr">
        <is>
          <t>Marteau R'ture; Amulette du Strigide; Bague Gloursonne; Anneau Volkorne; Bouclier Taverne; Ceinture Volkorne; Masque de Koutoulou; Cape au Logis; Sabots Minables; Dofus des Glaces; Dofus Pourpre; Dofus Turquoise; Enragé majeur; Vigoureux majeur; Nomade; Bulbisou</t>
        </is>
      </c>
    </row>
    <row r="290">
      <c r="A290" t="inlineStr">
        <is>
          <t>terre croco</t>
        </is>
      </c>
      <c r="B290">
        <f>HYPERLINK("https://www.dofusbook.net/fr/equipement/4751190-terre-croco/objets", "link")</f>
        <v/>
      </c>
      <c r="C290" t="n">
        <v>96</v>
      </c>
      <c r="D290" t="inlineStr">
        <is>
          <t>Crocobur; Amulette du Strigide; Anneau Crustique; Anneau Volkorne; Bouclier du Captain Amakna; Ceinture Volkorne; Masque de Koutoulou; Cape au Logis; Bottes du Cœur Saignant; Dofus Ocre; Dofus Turquoise; Dofus Pourpre; Enragé majeur; Vigoureux majeur; Forcené majeur; Kompost</t>
        </is>
      </c>
    </row>
    <row r="291">
      <c r="A291" t="inlineStr">
        <is>
          <t>stri tero</t>
        </is>
      </c>
      <c r="B291">
        <f>HYPERLINK("https://www.dofusbook.net/fr/equipement/4753285-stri-tero/objets", "link")</f>
        <v/>
      </c>
      <c r="C291" t="n">
        <v>64</v>
      </c>
      <c r="D291" t="inlineStr">
        <is>
          <t>Hache Téroïde; Amulette du Strigide; Bague Gloursonne; Bracelet du Piloztère; Quatre-feuilles; Ceinture du Strigide; Couronne du Roi Joueur; Cape au Logis; Bottes Honyme; Dofus Pourpre; Dofus Turquoise; Dofus des Glaces; Nomade; Remueur; Vigoureux majeur; Kokulte</t>
        </is>
      </c>
    </row>
    <row r="292">
      <c r="A292" t="inlineStr">
        <is>
          <t>terre illy volk</t>
        </is>
      </c>
      <c r="B292">
        <f>HYPERLINK("https://www.dofusbook.net/fr/equipement/4753351-terre-illy-volk/objets", "link")</f>
        <v/>
      </c>
      <c r="C292" t="n">
        <v>39</v>
      </c>
      <c r="D292" t="inlineStr">
        <is>
          <t>Dagues d'Ilyzaelle; Amulette du Strigide; Bague Gloursonne; Anneau Volkorne; Bouclier Taverne; Ceinture Volkorne; Masque de Koutoulou; Cape au Logis; Sabots Minables; Dofus Turquoise; Dofus des Glaces; Dofus Pourpre; Nomade; Enragé majeur; Vigoureux majeur; Pioute vert</t>
        </is>
      </c>
    </row>
    <row r="293">
      <c r="A293" t="inlineStr">
        <is>
          <t>terre illy</t>
        </is>
      </c>
      <c r="B293">
        <f>HYPERLINK("https://www.dofusbook.net/fr/equipement/4753364-terre-illy/objets", "link")</f>
        <v/>
      </c>
      <c r="C293" t="n">
        <v>50</v>
      </c>
      <c r="D293" t="inlineStr">
        <is>
          <t>Dagues d'Ilyzaelle; Amulette du Strigide; Bague Gloursonne; Anneau Chevelu; Bouclier Taverne; Ceintacé; Masque de Koutoulou; Cape au Logis; Bottes du Strigide; Dofus des Glaces; Dofus Pourpre; Dofus Turquoise; Enragé majeur; Vigoureux majeur; Nomade; Pioute vert</t>
        </is>
      </c>
    </row>
    <row r="294">
      <c r="A294" t="inlineStr">
        <is>
          <t>terre heq stri</t>
        </is>
      </c>
      <c r="B294">
        <f>HYPERLINK("https://www.dofusbook.net/fr/equipement/4753374-terre-heq-stri/objets", "link")</f>
        <v/>
      </c>
      <c r="C294" t="n">
        <v>45</v>
      </c>
      <c r="D294" t="inlineStr">
        <is>
          <t>Héqache; Amulette du Strigide; Bague Gloursonne; Anneau Chevelu; Bouclier Taverne; Ceintacé; Masque de Koutoulou; Cape au Logis; Bottes du Strigide; Dofus Turquoise; Dofus des Glaces; Dofus Pourpre; Nomade; Enragé majeur; Vigoureux majeur; Pioute vert</t>
        </is>
      </c>
    </row>
    <row r="295">
      <c r="A295" t="inlineStr">
        <is>
          <t>terre heq</t>
        </is>
      </c>
      <c r="B295">
        <f>HYPERLINK("https://www.dofusbook.net/fr/equipement/4753377-terre-heq/objets", "link")</f>
        <v/>
      </c>
      <c r="C295" t="n">
        <v>40</v>
      </c>
      <c r="D295" t="inlineStr">
        <is>
          <t>Héqache; Amulette du Strigide; Bague Gloursonne; Anneau Volkorne; Bouclier Taverne; Ceinture Volkorne; Masque de Koutoulou; Cape au Logis; Sabots Minables; Dofus des Glaces; Dofus Pourpre; Dofus Turquoise; Enragé majeur; Vigoureux majeur; Nomade; Pioute vert</t>
        </is>
      </c>
    </row>
    <row r="296">
      <c r="A296" t="inlineStr">
        <is>
          <t>terre volk</t>
        </is>
      </c>
      <c r="B296">
        <f>HYPERLINK("https://www.dofusbook.net/fr/equipement/4756256-terre-volk/objets", "link")</f>
        <v/>
      </c>
      <c r="C296" t="n">
        <v>69</v>
      </c>
      <c r="D296" t="inlineStr">
        <is>
          <t>Arc du Chalœil; Amulette du Strigide; Anneau Chevelu; Anneau Volkorne; Cadran d'Air; Ceinture Volkorne; Masque de Koutoulou; Cape au Logis; Bottes du Cœur Saignant; Dofus Ocre; Dofus Ivoire; Dofus Abyssal; Dofus Pourpre; Dofus Turquoise; Enragé majeur; Pioute vert</t>
        </is>
      </c>
    </row>
    <row r="297">
      <c r="A297" t="inlineStr">
        <is>
          <t>feu air crit</t>
        </is>
      </c>
      <c r="B297">
        <f>HYPERLINK("https://www.dofusbook.net/fr/equipement/4774087-feu-air-crit/objets", "link")</f>
        <v/>
      </c>
      <c r="C297" t="n">
        <v>53</v>
      </c>
      <c r="D297" t="inlineStr">
        <is>
          <t>Baguette Hernelle; Amulette du Strigide; Bracelet du Piloztère; Anneau de Padgref; Quatre-feuilles; Ceintacé; Coiffe de Padgref; Cape Hiculteur; Sandales  d'Atcham; Dofus Turquoise; Dofus Pourpre; Remueur; Érudit majeur; Vigoureux majeur; Nomade; Kokulte</t>
        </is>
      </c>
    </row>
    <row r="298">
      <c r="A298" t="inlineStr">
        <is>
          <t>feau no crit</t>
        </is>
      </c>
      <c r="B298">
        <f>HYPERLINK("https://www.dofusbook.net/fr/equipement/4774488-feau-no-crit/objets", "link")</f>
        <v/>
      </c>
      <c r="C298" t="n">
        <v>31</v>
      </c>
      <c r="D298" t="inlineStr">
        <is>
          <t>Pyraguette; Amulette Volkorne; Alliance Gloursonne; Anneau Volkorne; Cadran de Terre; Ceintrigue; Le Dorado; Cape de l'Œil Putride; Bottes de Meno; Dofus Pourpre; Dofus Ocre; Dofus Vulbis; Dofus des Glaces; Walk</t>
        </is>
      </c>
    </row>
    <row r="299">
      <c r="A299" t="inlineStr">
        <is>
          <t>eau ceint classe cra</t>
        </is>
      </c>
      <c r="B299">
        <f>HYPERLINK("https://www.dofusbook.net/fr/equipement/4774614-eau-ceint-classe-cra/objets", "link")</f>
        <v/>
      </c>
      <c r="C299" t="n">
        <v>128</v>
      </c>
      <c r="D299" t="inlineStr">
        <is>
          <t>Rapière aux Glyphes; Amulette de Shokkoth; Alliance Gloursonne; Bracelet des Fonds marins; Cadran de Terre; Sangle Cible; Kidibonnet; Cape du Sinistrofu; Bottes du Sinistrofu; Dofus des Glaces; Nomade; Vigoureux majeur; Miraculé majeur; Remueur; Chanceux majeur; Kanigloups</t>
        </is>
      </c>
    </row>
    <row r="300">
      <c r="A300" t="inlineStr">
        <is>
          <t>vok rj</t>
        </is>
      </c>
      <c r="B300">
        <f>HYPERLINK("https://www.dofusbook.net/fr/equipement/4777182-vok-rj/objets", "link")</f>
        <v/>
      </c>
      <c r="C300" t="n">
        <v>76</v>
      </c>
      <c r="D300" t="inlineStr">
        <is>
          <t>Hache Téroïde; Amulette Volkorne; Bague Gloursonne; Anneau Chevelu; Bouclier Taverne; Ceinture Volkorne; Couronne du Roi Joueur; Cape au Logis; Bottes Honyme; Dofus Ocre; Dofus Pourpre; Dofus des Glaces; Dofus Turquoise; Vigoureux majeur; Érudit majeur; Kokulte</t>
        </is>
      </c>
    </row>
    <row r="301">
      <c r="A301" t="inlineStr">
        <is>
          <t>tair eau ret</t>
        </is>
      </c>
      <c r="B301">
        <f>HYPERLINK("https://www.dofusbook.net/fr/equipement/4669085-tair-eau-ret/objets", "link")</f>
        <v/>
      </c>
      <c r="C301" t="n">
        <v>485</v>
      </c>
      <c r="D301" t="inlineStr">
        <is>
          <t>Arc de Koutoulou; Amulette d'Ilyzaelle; Anneau Crustique; Alliance Gloursonne; Cadran d'Air; Menoture; Coiffe de la Reine des Voleurs; Voilamibe; Bottes de la Reine des Voleurs; Dofus Ocre; Dofus des Glaces; Dofus Pourpre; Dofus Ivoire; Carapace Air majeur; Étourdisseur majeur; Boskito</t>
        </is>
      </c>
    </row>
    <row r="302">
      <c r="A302" t="inlineStr">
        <is>
          <t>eau exo no crit</t>
        </is>
      </c>
      <c r="B302">
        <f>HYPERLINK("https://www.dofusbook.net/fr/equipement/4799372-eau-exo-no-crit/objets", "link")</f>
        <v/>
      </c>
      <c r="C302" t="n">
        <v>68</v>
      </c>
      <c r="D302" t="inlineStr">
        <is>
          <t>Baguette Héroclite; Amulette du Sinistrofu; Alliance Gloursonne; Anneau Volkorne; Bouclier du Stalak; Poulpagne; Capuche de l'Œil Attentif; Voilamibe; Bottes du Sinistrofu; Dofus des Glaces; Dofus Pourpre; Dofus Ocre; Chanceux majeur; Robuste majeur; Vigoureux majeur; Kanigloups</t>
        </is>
      </c>
    </row>
    <row r="303">
      <c r="A303" t="inlineStr">
        <is>
          <t>eau no crit volk</t>
        </is>
      </c>
      <c r="B303">
        <f>HYPERLINK("https://www.dofusbook.net/fr/equipement/4799402-eau-no-crit-volk/objets", "link")</f>
        <v/>
      </c>
      <c r="C303" t="n">
        <v>66</v>
      </c>
      <c r="D303" t="inlineStr">
        <is>
          <t>Baguette Héroclite; Amulette de Shokkoth; Alliance Gloursonne; Anneau Volkorne; Bouclier du Stalak; Ceinture Volkorne; Kidibonnet; Voilamibe; Bottes du Sinistrofu; Dofus Ocre; Dofus des Glaces; Dofus Pourpre; Vigoureux majeur; Robuste majeur; Chanceux majeur; Kanigloups</t>
        </is>
      </c>
    </row>
    <row r="304">
      <c r="A304" t="inlineStr">
        <is>
          <t>eau exo</t>
        </is>
      </c>
      <c r="B304">
        <f>HYPERLINK("https://www.dofusbook.net/fr/equipement/4797223-eau-exo/objets", "link")</f>
        <v/>
      </c>
      <c r="C304" t="n">
        <v>50</v>
      </c>
      <c r="D304" t="inlineStr">
        <is>
          <t>Rapière aux Glyphes; Amulette du Sinistrofu; Alliance Gloursonne; Bracelet des Fonds marins; Bouclier d'Ilyzaelle; Sangle Ouare; Kidibonnet; Cape Solution; Bottes du Sinistrofu; Dofus Émeraude; Dofus Pourpre; Chanceux majeur; Nomade; Robuste majeur; Vigoureux majeur; Kanigloups</t>
        </is>
      </c>
    </row>
    <row r="305">
      <c r="A305" t="inlineStr">
        <is>
          <t>terre volk</t>
        </is>
      </c>
      <c r="B305">
        <f>HYPERLINK("https://www.dofusbook.net/fr/equipement/4637174-terre-volk/objets", "link")</f>
        <v/>
      </c>
      <c r="C305" t="n">
        <v>108</v>
      </c>
      <c r="D305" t="inlineStr">
        <is>
          <t>Lav'Hache; Amulette Volkorne; Pikano; Anneau Chevelu; Bouclier du Stalak; Ceinture Volkorne; Masque de Koutoulou; Cape au Logis; Sabots Minables; Dofus Abyssal; Dofus des Glaces; Dévastateur Terre majeur; Enragé majeur; Dévastateur Neutre majeur; Dragodinde Dorée et Pourpre</t>
        </is>
      </c>
    </row>
    <row r="306">
      <c r="A306" t="inlineStr">
        <is>
          <t>eau no exo</t>
        </is>
      </c>
      <c r="B306">
        <f>HYPERLINK("https://www.dofusbook.net/fr/equipement/4801996-eau-no-exo/objets", "link")</f>
        <v/>
      </c>
      <c r="C306" t="n">
        <v>62</v>
      </c>
      <c r="D306" t="inlineStr">
        <is>
          <t>Sceptre du Roi Joueur; Amulette de Shokkoth; Alliance Gloursonne; Bracelet des Fonds marins; Bouclier d'Ilyzaelle; Sangle Ouare; Casque d'Ilyzaelle; Cape Solution; Pataugastrique; Dofus Pourpre; Robuste majeur; Chanceux majeur; Vigoureux majeur; Nomade; Remueur; Kanigloups</t>
        </is>
      </c>
    </row>
    <row r="307">
      <c r="A307" t="inlineStr">
        <is>
          <t>terre rykk</t>
        </is>
      </c>
      <c r="B307">
        <f>HYPERLINK("https://www.dofusbook.net/fr/equipement/4817412-terre-rykk/objets", "link")</f>
        <v/>
      </c>
      <c r="C307" t="n">
        <v>46</v>
      </c>
      <c r="D307" t="inlineStr">
        <is>
          <t>Lav'Hache; Collier de Tourthon; Anneau Chevelu; Pikano; Bouclier du Stalak; Ceinture de la Reine des Voleurs; Coiffe de la Reine des Voleurs; Bravoure de Rykke Errel; Sabots Minables; Dofus Abyssal; Dofus Ivoire; Dofus des Glaces; Dofus Ocre; Nomade; Enragé majeur; Dragodinde Dorée et Pourpre</t>
        </is>
      </c>
    </row>
    <row r="308">
      <c r="A308" t="inlineStr">
        <is>
          <t>multi jahash</t>
        </is>
      </c>
      <c r="B308">
        <f>HYPERLINK("https://www.dofusbook.net/fr/equipement/4818851-multi-jahash/objets", "link")</f>
        <v/>
      </c>
      <c r="C308" t="n">
        <v>95</v>
      </c>
      <c r="D308" t="inlineStr">
        <is>
          <t>Bâton Beau; Amulette du Strigide; Anneau Volkorne; Grésilanneau; Bouclier du Stalak; Ceinture Volkorne; Le Dorado; Cape de Jahash Jurgen; Bottes du Strigide; Dofus Pourpre; Dofus Ébène; Dofus Turquoise; Dofus des Glaces; Dofus Ocre; Dofus Vulbis; Chacha Angora</t>
        </is>
      </c>
    </row>
    <row r="309">
      <c r="A309" t="inlineStr">
        <is>
          <t>eau ini</t>
        </is>
      </c>
      <c r="B309">
        <f>HYPERLINK("https://www.dofusbook.net/fr/equipement/4819287-eau-ini/objets", "link")</f>
        <v/>
      </c>
      <c r="C309" t="n">
        <v>66</v>
      </c>
      <c r="D309" t="inlineStr">
        <is>
          <t>Epée Loponèze; Amulette de Shokkoth; Anneau Volkorne; Alliance Gloursonne; Bouclier du Stalak; Ceinture Glaciale; Capuche de l'Œil Attentif; Cape de l'Œil Attentif; Bottes du Sinistrofu; Dolmanax; Dofus Ocre; Dofus Ivoire; Fonceur majeur; Nomade; Chanceux majeur; Kougnard</t>
        </is>
      </c>
    </row>
    <row r="310">
      <c r="A310" t="inlineStr">
        <is>
          <t>air buho</t>
        </is>
      </c>
      <c r="B310">
        <f>HYPERLINK("https://www.dofusbook.net/fr/equipement/4819447-air-buho/objets", "link")</f>
        <v/>
      </c>
      <c r="C310" t="n">
        <v>69</v>
      </c>
      <c r="D310" t="inlineStr">
        <is>
          <t>Plume de Buhorado; Collier du Valet Veinard; Gant du Valet Veinard; Alliance Gloursonne; Bouclier du Stalak; Menoture; Couronne d'Allister; Cape Indescriptible; Palmes Trithons; Dofus des Glaces; Dofus Pourpre; Cascadeur majeur; Vigoureux majeur; Robuste majeur; Remueur; Blérodoudou</t>
        </is>
      </c>
    </row>
    <row r="311">
      <c r="A311" t="inlineStr">
        <is>
          <t>eau air 200</t>
        </is>
      </c>
      <c r="B311">
        <f>HYPERLINK("https://www.dofusbook.net/fr/equipement/4822077-eau-air-200/objets", "link")</f>
        <v/>
      </c>
      <c r="C311" t="n">
        <v>40</v>
      </c>
      <c r="D311" t="inlineStr">
        <is>
          <t>Marteau des Anciens Steamers; Amulette d'Ilyzaelle; Bracelet du Piloztère; Alliance Gloursonne; Bouclier d'Ilyzaelle; Ceinture du Barbétoal; Masque de Kao; Cape Solution; Bottes de la Reine des Voleurs; Dofus Pourpre; Dofus des Glaces; Dolmanax; Robuste majeur; Remueur; Vigoureux majeur; Bwak d'Air</t>
        </is>
      </c>
    </row>
    <row r="312">
      <c r="A312" t="inlineStr">
        <is>
          <t>terre brouce</t>
        </is>
      </c>
      <c r="B312">
        <f>HYPERLINK("https://www.dofusbook.net/fr/equipement/4835028-terre-brouce/objets", "link")</f>
        <v/>
      </c>
      <c r="C312" t="n">
        <v>81</v>
      </c>
      <c r="D312" t="inlineStr">
        <is>
          <t>Marteau R'ture; Collier de Tourthon; Anneau Chevelu; Anneau de Brouce; Bouclier d'Ilyzaelle; Ceinture de Brouce; Masque de Koutoulou; Cape au Logis; Sabots Minables; Dofus Pourpre; Enragé majeur; Vigoureux majeur; Nomade; Robuste majeur; Remueur; Bwak de Terre</t>
        </is>
      </c>
    </row>
    <row r="313">
      <c r="A313" t="inlineStr">
        <is>
          <t>terre stri</t>
        </is>
      </c>
      <c r="B313">
        <f>HYPERLINK("https://www.dofusbook.net/fr/equipement/3030300-terre-stri/objets", "link")</f>
        <v/>
      </c>
      <c r="C313" t="n">
        <v>473</v>
      </c>
      <c r="D313" t="inlineStr">
        <is>
          <t>Marteau R'ture; Amulette du Strigide; Bague Gloursonne; Anneau Chevelu; Bouclier Taverne; Ceintacé; Masque de Koutoulou; Cape au Logis; Bottes du Strigide; Dofus Pourpre; Dofus Turquoise; Nomade; Remueur; Enragé majeur; Vigoureux majeur; Bwak de Terre</t>
        </is>
      </c>
    </row>
    <row r="314">
      <c r="A314" t="inlineStr">
        <is>
          <t>terre air rdv</t>
        </is>
      </c>
      <c r="B314">
        <f>HYPERLINK("https://www.dofusbook.net/fr/equipement/4836783-terre-air-rdv/objets", "link")</f>
        <v/>
      </c>
      <c r="C314" t="n">
        <v>47</v>
      </c>
      <c r="D314" t="inlineStr">
        <is>
          <t>Hache Ériphe; Amulette du Cœur Vaillant; Bracelet du Piloztère; Alliance Gloursonne; Bouclier du Stalak; Ceinture de la Reine des Voleurs; Coiffe de la Reine des Voleurs; Cape au Logis; Baleinabottes; Dofus Pourpre; Remueur; Puissant majeur; Nomade; Vigoureux majeur; Robuste majeur; Mékrabe</t>
        </is>
      </c>
    </row>
    <row r="315">
      <c r="A315" t="inlineStr">
        <is>
          <t>terre air corompu</t>
        </is>
      </c>
      <c r="B315">
        <f>HYPERLINK("https://www.dofusbook.net/fr/equipement/4837806-terre-air-corompu/objets", "link")</f>
        <v/>
      </c>
      <c r="C315" t="n">
        <v>76</v>
      </c>
      <c r="D315" t="inlineStr">
        <is>
          <t>Lance corrompue; Amulette de Nevark; Bracelet du Piloztère; Alliance Gloursonne; Bouclier Taverne; Ceinture de la Reine des Voleurs; Coiffe de la Reine des Voleurs; Cape au Logis; Baleinabottes; Dofus Pourpre; Dofus des Glaces; Remueur; Robuste majeur; Nomade; Vigoureux majeur; Mékrabe</t>
        </is>
      </c>
    </row>
    <row r="316">
      <c r="A316" t="inlineStr">
        <is>
          <t>terre 200 v2</t>
        </is>
      </c>
      <c r="B316">
        <f>HYPERLINK("https://www.dofusbook.net/fr/equipement/4769750-terre-200-v2/objets", "link")</f>
        <v/>
      </c>
      <c r="C316" t="n">
        <v>120</v>
      </c>
      <c r="D316" t="inlineStr">
        <is>
          <t>Arc du Chalœil; Collier de Tourthon; Bracelet du Piloztère; Anneau Chevelu; Cadran d'Air; Ceinture de la Reine des Voleurs; Coiffe de la Reine des Voleurs; Cape au Logis; Baleinabottes; Dofus Ocre; Dofus Ivoire; Dofus Pourpre; Enragé majeur; Bulbisou</t>
        </is>
      </c>
    </row>
    <row r="317">
      <c r="A317" t="inlineStr">
        <is>
          <t>terre 200</t>
        </is>
      </c>
      <c r="B317">
        <f>HYPERLINK("https://www.dofusbook.net/fr/equipement/4849412-terre-200/objets", "link")</f>
        <v/>
      </c>
      <c r="C317" t="n">
        <v>176</v>
      </c>
      <c r="D317" t="inlineStr">
        <is>
          <t>Arc du Chalœil; Collier de Tourthon; Anneau de Brouce; Anneau Crustique; Bouclier du Stalak; Ceinture de Brouce; Masque de Koutoulou; Cape au Logis; Baleinabottes; Dofus des Glaces; Dofus Pourpre; Nomade; Dévastateur Terre majeur; Remueur; Enragé majeur; Bulbisou</t>
        </is>
      </c>
    </row>
    <row r="318">
      <c r="A318" t="inlineStr">
        <is>
          <t>terre feu toche</t>
        </is>
      </c>
      <c r="B318">
        <f>HYPERLINK("https://www.dofusbook.net/fr/equipement/4863195-terre-feu-toche/objets", "link")</f>
        <v/>
      </c>
      <c r="C318" t="n">
        <v>92</v>
      </c>
      <c r="D318" t="inlineStr">
        <is>
          <t>Epée Toche; Amulette du Strigide; Alliance de Missiz Frizz; Bague Gloursonne; Bouclier Taverne; Ceinture du Strigide; Masque de Koutoulou; Cape au Logis; Bottes du Cycloïde; Dofus Pourpre; Dofus Turquoise; Remueur; Vigoureux majeur; Nomade; Enragé majeur; Cromeugnon</t>
        </is>
      </c>
    </row>
    <row r="319">
      <c r="A319" t="inlineStr">
        <is>
          <t>terre tac rykk</t>
        </is>
      </c>
      <c r="B319">
        <f>HYPERLINK("https://www.dofusbook.net/fr/equipement/4865132-terre-tac-rykk/objets", "link")</f>
        <v/>
      </c>
      <c r="C319" t="n">
        <v>137</v>
      </c>
      <c r="D319" t="inlineStr">
        <is>
          <t>Lav'Hache; Amulette du Strigide; Anneau Volkorne; Anneau Chevelu; Bouclier alvéolé; Ceinture Volkorne; Masque de Koutoulou; Bravoure de Rykke Errel; Bottes de la Cour Sombre; Dofus Ivoire; Dofus Ocre; Dofus Pourpre; Dofus Abyssal; Enragé majeur; Nomade; Marcassin</t>
        </is>
      </c>
    </row>
    <row r="320">
      <c r="A320" t="inlineStr">
        <is>
          <t>terre crit no exo</t>
        </is>
      </c>
      <c r="B320">
        <f>HYPERLINK("https://www.dofusbook.net/fr/equipement/4865457-terre-crit-no-exo/objets", "link")</f>
        <v/>
      </c>
      <c r="C320" t="n">
        <v>67</v>
      </c>
      <c r="D320" t="inlineStr">
        <is>
          <t>Hache Téroïde; Amulette du Strigide; Bague Gloursonne; Anneau Chevelu; Bouclier Taverne; Ceinture du Strigide; Masque de Koutoulou; Cape au Logis; Sabots Minables; Dofus des Glaces; Dofus Turquoise; Dofus Pourpre; Nomade; Remueur; Vigoureux majeur; Kokulte</t>
        </is>
      </c>
    </row>
    <row r="321">
      <c r="A321" t="inlineStr">
        <is>
          <t>feu air ret</t>
        </is>
      </c>
      <c r="B321">
        <f>HYPERLINK("https://www.dofusbook.net/fr/equipement/4865633-feu-air-ret/objets", "link")</f>
        <v/>
      </c>
      <c r="C321" t="n">
        <v>81</v>
      </c>
      <c r="D321" t="inlineStr">
        <is>
          <t>Dagues Érhy; Amulette des Chocomanciens; Alliance du Lévitrof; Alliance Gloursonne; Cadran de Terre; Ceinture des Chocomanciens; Cagoule de Vortex; Cape de l'Œil Putride; Pantoufles Émar; Dofus Ivoire; Dofus Ocre; Dofus des Glaces; Dofus Pourpre; Nomade; Temporiseur majeur; Gwo Tofu Ventripotent</t>
        </is>
      </c>
    </row>
    <row r="322">
      <c r="A322" t="inlineStr">
        <is>
          <t>terre-feu-air</t>
        </is>
      </c>
      <c r="B322">
        <f>HYPERLINK("https://www.dofusbook.net/fr/equipement/3030385-terre-feu-air/objets", "link")</f>
        <v/>
      </c>
      <c r="C322" t="n">
        <v>241</v>
      </c>
      <c r="D322" t="inlineStr">
        <is>
          <t>Dagues Érhy; Amulette de l'Indicible; Anneau du Katcheur; Alliance Gloursonne; Bouclier du Stalak; Ceinture de l'Indicible; Masque Brûlâme; Voilamibe; Baleinabottes; Dolmanax; Dofus Pourpre; Dofus des Glaces; Remueur; Vigoureux majeur; Robuste majeur; Chacha</t>
        </is>
      </c>
    </row>
    <row r="323">
      <c r="A323" t="inlineStr">
        <is>
          <t>feu eau no exo</t>
        </is>
      </c>
      <c r="B323">
        <f>HYPERLINK("https://www.dofusbook.net/fr/equipement/4719121-feu-eau-no-exo/objets", "link")</f>
        <v/>
      </c>
      <c r="C323" t="n">
        <v>102</v>
      </c>
      <c r="D323" t="inlineStr">
        <is>
          <t>Pyraguette; Amulette Volkorne; Alliance Gloursonne; Anneau Volkorne; Bouclier du Stalak; Ceinture de Vortex; Kidibonnet; Voilamibe; Pataugastrique; Dofus Pourpre; Vigoureux majeur; Robuste majeur; Remueur; Nomade; Pioute rose</t>
        </is>
      </c>
    </row>
    <row r="324">
      <c r="A324" t="inlineStr">
        <is>
          <t>feu eau necro no exo</t>
        </is>
      </c>
      <c r="B324">
        <f>HYPERLINK("https://www.dofusbook.net/fr/equipement/4883834-feu-eau-necro-no-exo/objets", "link")</f>
        <v/>
      </c>
      <c r="C324" t="n">
        <v>73</v>
      </c>
      <c r="D324" t="inlineStr">
        <is>
          <t>Arc Nécrotique; Talisman Glouti; Anneau Tique; Bracelet du Piloztère; Quatre-feuilles; Poulpagne; Casquette de Meno; Cape des Malveilleurs; Pataugastrique; Dofus Turquoise; Dofus Pourpre; Nomade; Vigoureux majeur; Remueur; Voyageur; Kokulte</t>
        </is>
      </c>
    </row>
    <row r="325">
      <c r="A325" t="inlineStr">
        <is>
          <t>feu fallanster</t>
        </is>
      </c>
      <c r="B325">
        <f>HYPERLINK("https://www.dofusbook.net/fr/equipement/4883912-feu-fallanster/objets", "link")</f>
        <v/>
      </c>
      <c r="C325" t="n">
        <v>84</v>
      </c>
      <c r="D325" t="inlineStr">
        <is>
          <t>Arc corrompu; Amulette Volkorne; Anneauræus; Anneauræus; Droiture de Fallanster; Ceinture Volkorne; Heaume Oplate; Bravoure de Rykke Errel; Chaussures Ardentes; Dofus Ébène; Dofus Pourpre; Dofus Ivoire; Dofus Ocre; Érudit majeur; Nomade; Bisouglours</t>
        </is>
      </c>
    </row>
    <row r="326">
      <c r="A326" t="inlineStr">
        <is>
          <t>eau esquive pa</t>
        </is>
      </c>
      <c r="B326">
        <f>HYPERLINK("https://www.dofusbook.net/fr/equipement/4884032-eau-esquive-pa/objets", "link")</f>
        <v/>
      </c>
      <c r="C326" t="n">
        <v>42</v>
      </c>
      <c r="D326" t="inlineStr">
        <is>
          <t>Hache Rot; Amulette de l'Œil Attentif; Alliance Gloursonne; Anneau Volkorne; Écorce de Brouce; Sangle Ouare; Casque d'Ilyzaelle; Cape de l'Œil Attentif; Bottes du Sinistrofu; Dofus Ocre; Dofus Ivoire; Dofus Émeraude; Dofus Abyssal; Chanceux majeur; Évasif majeur; Chienchien Tigré</t>
        </is>
      </c>
    </row>
    <row r="327">
      <c r="A327" t="inlineStr">
        <is>
          <t>ret pm</t>
        </is>
      </c>
      <c r="B327">
        <f>HYPERLINK("https://www.dofusbook.net/fr/equipement/4884112-ret-pm/objets", "link")</f>
        <v/>
      </c>
      <c r="C327" t="n">
        <v>124</v>
      </c>
      <c r="D327" t="inlineStr">
        <is>
          <t>Marteau R'ture; Amulette des Chocomanciens; Anneau Tamie; Anneau Tamie; Bouclier cubiste; Ceinture des Chocomanciens; Casquipik; Cape de Léthaline; Pantoufles Émar; Dofus Ocre; Temporiseur majeur; Temporiseur; Ralentisseur majeur; Entraveur; Entraveur majeur; Blokus</t>
        </is>
      </c>
    </row>
    <row r="328">
      <c r="A328" t="inlineStr">
        <is>
          <t>feu ret pm</t>
        </is>
      </c>
      <c r="B328">
        <f>HYPERLINK("https://www.dofusbook.net/fr/equipement/4884181-feu-ret-pm/objets", "link")</f>
        <v/>
      </c>
      <c r="C328" t="n">
        <v>51</v>
      </c>
      <c r="D328" t="inlineStr">
        <is>
          <t>Plumeau Bil; Amulette des Chocomanciens; Anneau de Nidas; Anneauræus; Cadran d'Eau; Ceinture des Chocomanciens; Heaume Oplate; Cape de l'Œil Putride; Bottes de Meno; Dofus Ivoire; Dofus Ébène; Dofus des Glaces; Nomade; Érudit majeur; Remueur; Gwo Tofu Ventripotent</t>
        </is>
      </c>
    </row>
    <row r="329">
      <c r="A329" t="inlineStr">
        <is>
          <t>zertgyh</t>
        </is>
      </c>
      <c r="B329">
        <f>HYPERLINK("https://www.dofusbook.net/fr/equipement/4887107-zertgyh/objets", "link")</f>
        <v/>
      </c>
      <c r="C329" t="n">
        <v>66</v>
      </c>
      <c r="D329" t="inlineStr">
        <is>
          <t>Rapière aux Glyphes; Amulette du Sinistrofu; Anneau Volkorne; Alliance Gloursonne; Bouclier Taverne; Sangle Ouare; Masque Paztek; Cape Solution; Sandales Paztek; Dofus Ivoire; Dofus Ocre; Dofus Abyssal; Bousculeur majeur; Chanceux majeur; Culbuteur majeur; Écumouth</t>
        </is>
      </c>
    </row>
    <row r="330">
      <c r="A330" t="inlineStr">
        <is>
          <t>terre volk</t>
        </is>
      </c>
      <c r="B330">
        <f>HYPERLINK("https://www.dofusbook.net/fr/equipement/4887735-terre-volk/objets", "link")</f>
        <v/>
      </c>
      <c r="C330" t="n">
        <v>83</v>
      </c>
      <c r="D330" t="inlineStr">
        <is>
          <t>Arc du Chalœil; Amulette du Strigide; Bracelet du Piloztère; Anneau Volkorne; Bouclier du Stalak; Ceinture Volkorne; Coiffe de la Reine des Voleurs; Cape au Logis; Sabots Minables; Dofus Pourpre; Dofus Turquoise; Enragé majeur; Nomade; Vigoureux majeur; Remueur; Pioute vert</t>
        </is>
      </c>
    </row>
    <row r="331">
      <c r="A331" t="inlineStr">
        <is>
          <t>air mid cost</t>
        </is>
      </c>
      <c r="B331">
        <f>HYPERLINK("https://www.dofusbook.net/fr/equipement/4894278-air-mid-cost/objets", "link")</f>
        <v/>
      </c>
      <c r="C331" t="n">
        <v>38</v>
      </c>
      <c r="D331" t="inlineStr">
        <is>
          <t>Karnak; Collier du Valet Veinard; Gant du Valet Veinard; Alliance Gloursonne; Bouclier du Stalak; Menoture; Couronne d'Allister; Cape Indescriptible; Pantoufles Émar; Dofus Pourpre; Vigoureux majeur; Nomade; Robuste majeur; Cascadeur majeur; Remueur; Blérodoudou</t>
        </is>
      </c>
    </row>
    <row r="332">
      <c r="A332" t="inlineStr">
        <is>
          <t>feu ceinture enu</t>
        </is>
      </c>
      <c r="B332">
        <f>HYPERLINK("https://www.dofusbook.net/fr/equipement/4894647-feu-ceinture-enu/objets", "link")</f>
        <v/>
      </c>
      <c r="C332" t="n">
        <v>62</v>
      </c>
      <c r="D332" t="inlineStr">
        <is>
          <t>Arc Hétype; Amulette de Nileza; Anneauræus; Anneau Tique; Cadran de Feu; Ceinture Gessant; Heaume Oplate; Cape de Nileza; Bottes Dogues; Dofus Ocre; Dofus Ivoire; Dolmanax; Temporiseur majeur; Érudit majeur; Savant majeur; Dragodinde Prune et Orchidée</t>
        </is>
      </c>
    </row>
    <row r="333">
      <c r="A333" t="inlineStr">
        <is>
          <t>eau exo 215 do</t>
        </is>
      </c>
      <c r="B333">
        <f>HYPERLINK("https://www.dofusbook.net/fr/equipement/2804985-eau-exo-215-do/objets", "link")</f>
        <v/>
      </c>
      <c r="C333" t="n">
        <v>471</v>
      </c>
      <c r="D333" t="inlineStr">
        <is>
          <t>Sceptre du Roi Joueur; Amulette d'Ilyzaelle; Anneau Volkorne; Alliance Gloursonne; Bouclier du Stalak; Sangle Ouare; Casque d'Ilyzaelle; Cape Solution; Bottes du Sinistrofu; Dofus des Glaces; Remueur; Joueur majeur; Dévastateur Eau majeur; Saccageur Eau majeur; Chanceux majeur; Kanigloups</t>
        </is>
      </c>
    </row>
    <row r="334">
      <c r="A334" t="inlineStr">
        <is>
          <t>eau ret 200</t>
        </is>
      </c>
      <c r="B334">
        <f>HYPERLINK("https://www.dofusbook.net/fr/equipement/3110396-eau-ret-200/objets", "link")</f>
        <v/>
      </c>
      <c r="C334" t="n">
        <v>442</v>
      </c>
      <c r="D334" t="inlineStr">
        <is>
          <t>Sceptre du Roi Joueur; Amulette de Shokkoth; Alliance Gloursonne; Bracelet des Fonds marins; Cadran de Terre; Culotte de Bethel; Masque de Funespadon; Chevelure de Tal Kasha; Pataugastrique; Dofus Abyssal; Dofus Ivoire; Étourdisseur majeur; Remueur; Nomade; Chanceux majeur; Kouin-Kouin Noir</t>
        </is>
      </c>
    </row>
    <row r="335">
      <c r="A335" t="inlineStr">
        <is>
          <t>terre air crit volk</t>
        </is>
      </c>
      <c r="B335">
        <f>HYPERLINK("https://www.dofusbook.net/fr/equipement/4921989-terre-air-crit-volk/objets", "link")</f>
        <v/>
      </c>
      <c r="C335" t="n">
        <v>72</v>
      </c>
      <c r="D335" t="inlineStr">
        <is>
          <t>Héqache; Amulette du Strigide; Bracelet du Piloztère; Alliance Gloursonne; Quatre-feuilles; Ceinture Volkorne; Casque Volkorne; Cape au Logis; Baleinabottes; Dofus des Glaces; Dofus Pourpre; Dofus Turquoise; Remueur; Vigoureux majeur; Nomade; Kokulte</t>
        </is>
      </c>
    </row>
    <row r="336">
      <c r="A336" t="inlineStr">
        <is>
          <t>terre feu ini</t>
        </is>
      </c>
      <c r="B336">
        <f>HYPERLINK("https://www.dofusbook.net/fr/equipement/4922326-terre-feu-ini/objets", "link")</f>
        <v/>
      </c>
      <c r="C336" t="n">
        <v>77</v>
      </c>
      <c r="D336" t="inlineStr">
        <is>
          <t>Hache Téroïde; Amulette Volkorne; Anneau Chevelu; Bague Gloursonne; Bouclier du Captain Amakna; Ceinture Volkorne; Masque de Koutoulou; Cape au Logis; Bottes du Roi Joueur; Dofus Abyssal; Dofus Ébène; Dofus Pourpre; Dofus Turquoise; Dofus Ivoire; Remueur; Chaperlipopette</t>
        </is>
      </c>
    </row>
    <row r="337">
      <c r="A337" t="inlineStr">
        <is>
          <t>Osamodas M 200</t>
        </is>
      </c>
      <c r="B337">
        <f>HYPERLINK("https://www.dofusbook.net/fr/equipement/4356587-osamodas-m-200/objets", "link")</f>
        <v/>
      </c>
      <c r="C337" t="n">
        <v>184</v>
      </c>
      <c r="D337" t="inlineStr">
        <is>
          <t>Lance Horselé; Collier du Valet Veinard; Alliance Gloursonne; Anneau de Padgref; Cadran d'Air; Menoture; Couronne d'Allister; Cape du Valet Veinard; Palmes Trithons; Dofus des Glaces; Dofus Ivoire; Dofus Ocre; Cascadeur majeur; Nomade; Dévastateur Air majeur; Blérodoudou</t>
        </is>
      </c>
    </row>
    <row r="338">
      <c r="A338" t="inlineStr">
        <is>
          <t>feu ini</t>
        </is>
      </c>
      <c r="B338">
        <f>HYPERLINK("https://www.dofusbook.net/fr/equipement/4650242-feu-ini/objets", "link")</f>
        <v/>
      </c>
      <c r="C338" t="n">
        <v>164</v>
      </c>
      <c r="D338" t="inlineStr">
        <is>
          <t>Arc corrompu; Amulette Martegel; Anneauræus; Anneauræus; Bouclier du Stalak; Ceinture de Vortex; Heaume Oplate; Cape Martegel; Sandales Paztek; Dofus Ébène; Dofus Nébuleux; Robuste majeur; Vigoureux majeur; Érudit majeur; Nomade; Kougnard</t>
        </is>
      </c>
    </row>
    <row r="339">
      <c r="A339" t="inlineStr">
        <is>
          <t>air low cost 200</t>
        </is>
      </c>
      <c r="B339">
        <f>HYPERLINK("https://www.dofusbook.net/fr/equipement/4963613-air-low-cost-200/objets", "link")</f>
        <v/>
      </c>
      <c r="C339" t="n">
        <v>68</v>
      </c>
      <c r="D339" t="inlineStr">
        <is>
          <t>Karnak; Collier du Valet Veinard; Gant du Valet Veinard; Alliance Gloursonne; Bouclier du Stalak; Ceinture du Nocturlabe; Couronne d'Allister; Cape Matelassée; Pantoufles Émar; Dofus Pourpre; Vigoureux majeur; Nomade; Robuste majeur; Cascadeur majeur; Remueur; Siroko</t>
        </is>
      </c>
    </row>
    <row r="340">
      <c r="A340" t="inlineStr">
        <is>
          <t>volk tri</t>
        </is>
      </c>
      <c r="B340">
        <f>HYPERLINK("https://www.dofusbook.net/fr/equipement/4976577-volk-tri/objets", "link")</f>
        <v/>
      </c>
      <c r="C340" t="n">
        <v>48</v>
      </c>
      <c r="D340" t="inlineStr">
        <is>
          <t>Bâton Beau; Amulette Volkorne; Anneau Volkorne; Bague Trithon; Bouclier du Stalak; Ceinture Volkorne; Masque Trithon; Cape Peupret; Bottes Trithon; Dofus Pourpre; Dofus Ébène; Dofus Turquoise; Dofus des Glaces; Dofus Ocre; Sakochère</t>
        </is>
      </c>
    </row>
    <row r="341">
      <c r="A341" t="inlineStr">
        <is>
          <t>feu fuite</t>
        </is>
      </c>
      <c r="B341">
        <f>HYPERLINK("https://www.dofusbook.net/fr/equipement/4221088-feu-fuite/objets", "link")</f>
        <v/>
      </c>
      <c r="C341" t="n">
        <v>119</v>
      </c>
      <c r="D341" t="inlineStr">
        <is>
          <t>Arc Hétype; Amulette de Nileza; Anneau Tique; Anneau de Nidas; Carapar; Ceinture de Vortex; Couronne de Nidas; Voile d'encre; Pantoufles Émar; Savant majeur; Nomade; Érudit majeur; Remueur; Vagabond majeur; Déserteur majeur; Meuch</t>
        </is>
      </c>
    </row>
    <row r="342">
      <c r="A342" t="inlineStr">
        <is>
          <t>eau air exo no crit</t>
        </is>
      </c>
      <c r="B342">
        <f>HYPERLINK("https://www.dofusbook.net/fr/equipement/4981353-eau-air-exo-no-crit/objets", "link")</f>
        <v/>
      </c>
      <c r="C342" t="n">
        <v>21</v>
      </c>
      <c r="D342" t="inlineStr">
        <is>
          <t>Marteau des Anciens Steamers; Amulette d'Ilyzaelle; Alliance Gloursonne; Bracelet du Piloztère; Bouclier Taverne; Ceintacé; Casque d'Ilyzaelle; Voilamibe; Bottes de la Reine des Voleurs; Dofus des Glaces; Dolmanax; Dofus Pourpre; Remueur; Robuste majeur; Vigoureux majeur; Mini Wa</t>
        </is>
      </c>
    </row>
    <row r="343">
      <c r="A343" t="inlineStr">
        <is>
          <t>air exo</t>
        </is>
      </c>
      <c r="B343">
        <f>HYPERLINK("https://www.dofusbook.net/fr/equipement/4982907-air-exo/objets", "link")</f>
        <v/>
      </c>
      <c r="C343" t="n">
        <v>43</v>
      </c>
      <c r="D343" t="inlineStr">
        <is>
          <t>Lance Horselé; Collier du Valet Veinard; Gant du Valet Veinard; Alliance Gloursonne; Bouclier du Stalak; Menoture; Couronne d'Allister; Cape Indescriptible; Palmes Trithons; Dofus des Glaces; Cascadeur majeur; Saccageur Air majeur; Remueur; Dévastateur Air majeur; Nomade; Blérodoudou</t>
        </is>
      </c>
    </row>
    <row r="344">
      <c r="A344" t="inlineStr">
        <is>
          <t>terre eau exo</t>
        </is>
      </c>
      <c r="B344">
        <f>HYPERLINK("https://www.dofusbook.net/fr/equipement/4984332-terre-eau-exo/objets", "link")</f>
        <v/>
      </c>
      <c r="C344" t="n">
        <v>98</v>
      </c>
      <c r="D344" t="inlineStr">
        <is>
          <t>Dagues de Srambad; Amulette du Strigide; Anneau Volkorne; Alliance Gloursonne; Quatre-feuilles; Ceinture Volkorne; Masque de Koutoulou; Cape au Logis; Pantoufles du Piloztère; Dofus Ébène; Dofus Ivoire; Dofus Pourpre; Dofus Abyssal; Dofus Turquoise; Remueur; Bébé Pandawa</t>
        </is>
      </c>
    </row>
    <row r="345">
      <c r="A345" t="inlineStr">
        <is>
          <t>terre volk</t>
        </is>
      </c>
      <c r="B345">
        <f>HYPERLINK("https://www.dofusbook.net/fr/equipement/4989922-terre-volk/objets", "link")</f>
        <v/>
      </c>
      <c r="C345" t="n">
        <v>69</v>
      </c>
      <c r="D345" t="inlineStr">
        <is>
          <t>Arc du Chalœil; Amulette du Strigide; Anneau Volkorne; Bracelet du Piloztère; Quatre-feuilles; Ceinture Volkorne; Masque de Koutoulou; Cape au Logis; Bottes de la Cour Sombre; Dofus Turquoise; Dofus Pourpre; Vigoureux majeur; Remueur; Enragé majeur; Pioute vert</t>
        </is>
      </c>
    </row>
    <row r="346">
      <c r="A346" t="inlineStr">
        <is>
          <t>Eau/feu/ini/resi</t>
        </is>
      </c>
      <c r="B346">
        <f>HYPERLINK("https://www.dofusbook.net/fr/equipement/4697155-eau-feu-ini-resi/objets", "link")</f>
        <v/>
      </c>
      <c r="C346" t="n">
        <v>156</v>
      </c>
      <c r="D346" t="inlineStr">
        <is>
          <t>Pyraguette; Amulette Volkorne; Anneau Volkorne; Alliance Gloursonne; Bouclier du Stalak; Ceintrigue; Casqnoar; Voilamibe; Pataugastrique; Dofus Pourpre; Dolmanax; Dofus des Glaces; Remueur; Robuste majeur; Vigoureux majeur; Walk</t>
        </is>
      </c>
    </row>
    <row r="347">
      <c r="A347" t="inlineStr">
        <is>
          <t>eau terre</t>
        </is>
      </c>
      <c r="B347">
        <f>HYPERLINK("https://www.dofusbook.net/fr/equipement/4990653-eau-terre/objets", "link")</f>
        <v/>
      </c>
      <c r="C347" t="n">
        <v>26</v>
      </c>
      <c r="D347" t="inlineStr">
        <is>
          <t>Dagues de Srambad; Amulette Luminescente; Anneau Volkorne; Alliance Gloursonne; Bouclier d'Ilyzaelle; Ceinture Volkorne; Casque en Grithril; Cape au Logis; Bottes Honyme; Dofus Ébène; Dofus Ivoire; Vigoureux majeur; Remueur</t>
        </is>
      </c>
    </row>
    <row r="348">
      <c r="A348" t="inlineStr">
        <is>
          <t>feu 210 do</t>
        </is>
      </c>
      <c r="B348">
        <f>HYPERLINK("https://www.dofusbook.net/fr/equipement/4993368-feu-210-do/objets", "link")</f>
        <v/>
      </c>
      <c r="C348" t="n">
        <v>74</v>
      </c>
      <c r="D348" t="inlineStr">
        <is>
          <t>Pyraguette; Amulette Volkorne; Anneau Volkorne; Anneau Tamie; Bouclier du Stalak; Ceintrigue; Heaume Oplate; Cape de Diondin; Bottes Innommables; Dofus des Glaces; Saccageur Feu majeur; Érudit majeur; Dévastateur Feu majeur; Nomade; Astucieux majeur; Bisouglours</t>
        </is>
      </c>
    </row>
    <row r="349">
      <c r="A349" t="inlineStr">
        <is>
          <t>craret</t>
        </is>
      </c>
      <c r="B349">
        <f>HYPERLINK("https://www.dofusbook.net/fr/equipement/4700428-craret/objets", "link")</f>
        <v/>
      </c>
      <c r="C349" t="n">
        <v>111</v>
      </c>
      <c r="D349" t="inlineStr">
        <is>
          <t>Arc corrompu; Amulette Volkorne; Anneauræus; Anneauræus; Cadran de Terre; Ceinture de Vortex; Heaume Oplate; Cape Ardente; Chaussures Ardentes; Dofus Ébène; Dofus Ivoire; Dofus Ocre; Nomade; Érudit majeur; Étourdisseur majeur; Dragoune Rose</t>
        </is>
      </c>
    </row>
    <row r="350">
      <c r="A350" t="inlineStr">
        <is>
          <t>feu soin hors meta</t>
        </is>
      </c>
      <c r="B350">
        <f>HYPERLINK("https://www.dofusbook.net/fr/equipement/50548-feu-soin-hors-meta/objets", "link")</f>
        <v/>
      </c>
      <c r="C350" t="n">
        <v>78</v>
      </c>
      <c r="D350" t="inlineStr">
        <is>
          <t>Le Thanos; Amulette Ementaire Deluxe; Alliance Boletée; Anneau de Nidas; Carapar; Ceinture de Vortex; Couronne de Nidas; Voile d'encre; Pataugastrique; Dolmanax; Guérisseur majeur; Remueur; Carapace Neutre majeur; Érudit majeur; Miraculé majeur; Muldo Indigo et Orchidée</t>
        </is>
      </c>
    </row>
    <row r="351">
      <c r="A351" t="inlineStr">
        <is>
          <t>multi exo</t>
        </is>
      </c>
      <c r="B351">
        <f>HYPERLINK("https://www.dofusbook.net/fr/equipement/5003271-multi-exo/objets", "link")</f>
        <v/>
      </c>
      <c r="C351" t="n">
        <v>64</v>
      </c>
      <c r="D351" t="inlineStr">
        <is>
          <t>Hache du Chalœil; Amulette Volkorne; Alliance Gloursonne; Anneau Volkorne; Quatre-feuilles; Ceintacé; Casque du Chalœil; Voile d'encre; Bottes du Cycloïde; Dofus Ivoire; Dofus Pourpre; Dofus des Glaces; Dofus Turquoise; Remueur; Nomade; Kokulte</t>
        </is>
      </c>
    </row>
    <row r="352">
      <c r="A352" t="inlineStr">
        <is>
          <t>eau do crit</t>
        </is>
      </c>
      <c r="B352">
        <f>HYPERLINK("https://www.dofusbook.net/fr/equipement/4174910-eau-do-crit/objets", "link")</f>
        <v/>
      </c>
      <c r="C352" t="n">
        <v>649</v>
      </c>
      <c r="D352" t="inlineStr">
        <is>
          <t>Sceptre du Roi Joueur; Collier de la Dame du Hasard; Bracelet des Fonds marins; Alliance Gloursonne; Bouclier du Stalak; Sangle Ouare; Casque d'Ilyzaelle; Cape de la Dame du Hasard; Pataugastrique; Dofus Ivoire; Dofus Pourpre; Dofus Turquoise; Dofus Ébène; Remueur; Chanceux majeur; Pioute bleu</t>
        </is>
      </c>
    </row>
    <row r="353">
      <c r="A353" t="inlineStr">
        <is>
          <t>eau no exo</t>
        </is>
      </c>
      <c r="B353">
        <f>HYPERLINK("https://www.dofusbook.net/fr/equipement/5006229-eau-no-exo/objets", "link")</f>
        <v/>
      </c>
      <c r="C353" t="n">
        <v>57</v>
      </c>
      <c r="D353" t="inlineStr">
        <is>
          <t>Pyraguette; Amulette du Sinistrofu; Alliance Gloursonne; Bracelet des Fonds marins; Bouclier du Stalak; Sangle Ouare; Kidibonnet; Cape Solution; Bottes du Sinistrofu; Dofus Pourpre; Chanceux majeur; Vigoureux majeur; Nomade; Robuste majeur; Remueur; Kanigloups</t>
        </is>
      </c>
    </row>
    <row r="354">
      <c r="A354" t="inlineStr">
        <is>
          <t>eau feu exo</t>
        </is>
      </c>
      <c r="B354">
        <f>HYPERLINK("https://www.dofusbook.net/fr/equipement/5006625-eau-feu-exo/objets", "link")</f>
        <v/>
      </c>
      <c r="C354" t="n">
        <v>31</v>
      </c>
      <c r="D354" t="inlineStr">
        <is>
          <t>Pyraguette; Amulette Volkorne; Alliance Gloursonne; Anneau Volkorne; Bouclier du Stalak; Sangle Ouare; Chapeau des Malveilleurs; Cape Solution; Bottes du Chalœil; Dofus Ivoire; Dofus Ocre; Dofus Ébène; Dofus des Glaces; Walk</t>
        </is>
      </c>
    </row>
    <row r="355">
      <c r="A355" t="inlineStr">
        <is>
          <t>volk tri</t>
        </is>
      </c>
      <c r="B355">
        <f>HYPERLINK("https://www.dofusbook.net/fr/equipement/5006749-volk-tri/objets", "link")</f>
        <v/>
      </c>
      <c r="C355" t="n">
        <v>42</v>
      </c>
      <c r="D355" t="inlineStr">
        <is>
          <t>Hache du Chalœil; Amulette Volkorne; Anneau Volkorne; Bague Trithon; Quatre-feuilles; Ceinture Volkorne; Masque Trithon; Cape du Chalœil; Bottes Trithon; Dofus Ocre; Dofus Ébène; Dofus Turquoise; Dofus des Glaces; Dolmanax; Dofus Pourpre; Kokulte</t>
        </is>
      </c>
    </row>
    <row r="356">
      <c r="A356" t="inlineStr">
        <is>
          <t>terre crit exo</t>
        </is>
      </c>
      <c r="B356">
        <f>HYPERLINK("https://www.dofusbook.net/fr/equipement/5000243-terre-crit-exo/objets", "link")</f>
        <v/>
      </c>
      <c r="C356" t="n">
        <v>59</v>
      </c>
      <c r="D356" t="inlineStr">
        <is>
          <t>Arc du Chalœil; Amulette du Strigide; Bracelet du Piloztère; Anneau Volkorne; Quatre-feuilles; Ceinture Volkorne; Masque de Koutoulou; Cape au Logis; Bottes du Cœur Saignant; Dofus Turquoise; Dofus Ocre; Dofus des Glaces; Dofus Ébène; Dofus Pourpre; Enragé majeur; Pioute vert</t>
        </is>
      </c>
    </row>
    <row r="357">
      <c r="A357" t="inlineStr">
        <is>
          <t>terre air no crit</t>
        </is>
      </c>
      <c r="B357">
        <f>HYPERLINK("https://www.dofusbook.net/fr/equipement/4712856-terre-air-no-crit/objets", "link")</f>
        <v/>
      </c>
      <c r="C357" t="n">
        <v>80</v>
      </c>
      <c r="D357" t="inlineStr">
        <is>
          <t>Héqache; Amulette du Cœur Vaillant; Bracelet du Piloztère; Alliance Gloursonne; Bouclier du Stalak; Ceinture de la Reine des Voleurs; Coiffe de la Reine des Voleurs; Voilamibe; Baleinabottes; Dofus Pourpre; Dofus des Glaces; Dolmanax; Remueur; Robuste majeur; Vigoureux majeur; Bwak d'Air</t>
        </is>
      </c>
    </row>
    <row r="358">
      <c r="A358" t="inlineStr">
        <is>
          <t>feu esquive</t>
        </is>
      </c>
      <c r="B358">
        <f>HYPERLINK("https://www.dofusbook.net/fr/equipement/5007375-feu-esquive/objets", "link")</f>
        <v/>
      </c>
      <c r="C358" t="n">
        <v>41</v>
      </c>
      <c r="D358" t="inlineStr">
        <is>
          <t>Massier; Amulette Volkorne; Baguistik; Anneauræus; Bouclier du Stalak; Ceinture de l'Esprit Malsain; Heaume Oplate; Voile d'encre; Bottistik; Dofus Ocre; Dofus Ébène; Dofus Ivoire; Érudit majeur; Évasif majeur; Nomade; Meulourd</t>
        </is>
      </c>
    </row>
    <row r="359">
      <c r="A359" t="inlineStr">
        <is>
          <t>réseau</t>
        </is>
      </c>
      <c r="B359">
        <f>HYPERLINK("https://www.dofusbook.net/fr/equipement/5006875-reseau-/objets", "link")</f>
        <v/>
      </c>
      <c r="C359" t="n">
        <v>59</v>
      </c>
      <c r="D359" t="inlineStr">
        <is>
          <t>Dagues Eudin; Amulette Volkorne; Anneau Volkorne; Chevalière du Roi Joueur; Bouclier du Stalak; Ceinture Volkorne; Couronne du Roi Joueur; Voile d'encre; Bottes du Roi Joueur; Dolmanax; Dofus Pourpre; Dofus des Glaces; Dofus Ocre; Dofus Abyssal; Dofus Ivoire; Fëanor</t>
        </is>
      </c>
    </row>
    <row r="360">
      <c r="A360" t="inlineStr">
        <is>
          <t>feu</t>
        </is>
      </c>
      <c r="B360">
        <f>HYPERLINK("https://www.dofusbook.net/fr/equipement/5024169-feu-/objets", "link")</f>
        <v/>
      </c>
      <c r="C360" t="n">
        <v>38</v>
      </c>
      <c r="D360" t="inlineStr">
        <is>
          <t>Arc corrompu; Amulette Volkorne; Anneauræus; Anneauræus; Bouclier du Stalak; Ceinture de Vortex; Heaume Oplate; Voile d'encre; Chaussures Ardentes; Dofus des Glaces; Dofus Ivoire; Nomade; Dévastateur Feu majeur; Érudit majeur; Remueur; Bisouglours</t>
        </is>
      </c>
    </row>
    <row r="361">
      <c r="A361" t="inlineStr">
        <is>
          <t>eau soin</t>
        </is>
      </c>
      <c r="B361">
        <f>HYPERLINK("https://www.dofusbook.net/fr/equipement/5004627-eau-soin/objets", "link")</f>
        <v/>
      </c>
      <c r="C361" t="n">
        <v>47</v>
      </c>
      <c r="D361" t="inlineStr">
        <is>
          <t>Le Thanos; Amulette d'Ilyzaelle; Alliance Gloursonne; Anneau Volkorne; Carapar; Ceintrigue; Casque d'Ilyzaelle; Cape du Sinistrofu; Pataugastrique; Dévastateur Eau majeur; Remueur; Saccageur Eau majeur; Chanceux majeur; Guérisseur majeur; Nomade; Dragodinde Indigo et Rousse</t>
        </is>
      </c>
    </row>
    <row r="362">
      <c r="A362" t="inlineStr">
        <is>
          <t>eau no exo</t>
        </is>
      </c>
      <c r="B362">
        <f>HYPERLINK("https://www.dofusbook.net/fr/equipement/4797162-eau-no-exo/objets", "link")</f>
        <v/>
      </c>
      <c r="C362" t="n">
        <v>158</v>
      </c>
      <c r="D362" t="inlineStr">
        <is>
          <t>Epée Loponèze; Amulette d'Ilyzaelle; Bracelet des Fonds marins; Alliance Gloursonne; Cadran d'Air; Sangle Ouare; Casque d'Ilyzaelle; Cape Solution; Pataugastrique; Dofus Pourpre; Remueur; Robuste majeur; Chanceux majeur; Vigoureux majeur; Nomade; Dragodinde Prune et Indigo</t>
        </is>
      </c>
    </row>
    <row r="363">
      <c r="A363" t="inlineStr">
        <is>
          <t>feu eau mid cost</t>
        </is>
      </c>
      <c r="B363">
        <f>HYPERLINK("https://www.dofusbook.net/fr/equipement/3030359-feu-eau-mid-cost/objets", "link")</f>
        <v/>
      </c>
      <c r="C363" t="n">
        <v>578</v>
      </c>
      <c r="D363" t="inlineStr">
        <is>
          <t>Pyraguette; Amulette Cryochrone; Alliance du Lévitrof; Bracelet du Piloztère; Bouclier du Stalak; Ceintrigue; Coiffe Cryochrone; Voilamibe; Pataugastrique; Dofus des Glaces; Dofus Pourpre; Nomade; Robuste majeur; Remueur; Vigoureux majeur; Walk</t>
        </is>
      </c>
    </row>
    <row r="364">
      <c r="A364" t="inlineStr">
        <is>
          <t>feu crit</t>
        </is>
      </c>
      <c r="B364">
        <f>HYPERLINK("https://www.dofusbook.net/fr/equipement/5025248-feu-crit/objets", "link")</f>
        <v/>
      </c>
      <c r="C364" t="n">
        <v>29</v>
      </c>
      <c r="D364" t="inlineStr">
        <is>
          <t>Arc corrompu; Amulette d'Otomaï; Anneau de Padgref; Anneau Tique; Quatre-feuilles; Ceinture Séculaire; Coiffe de Padgref; Cape de la Dame du Hasard; Pataugastrique; Dofus des Glaces; Dofus Pourpre; Dofus Turquoise; Remueur; Érudit majeur; Nomade; Kokulte</t>
        </is>
      </c>
    </row>
    <row r="365">
      <c r="A365" t="inlineStr">
        <is>
          <t>rdv vv</t>
        </is>
      </c>
      <c r="B365">
        <f>HYPERLINK("https://www.dofusbook.net/fr/equipement/5029079-rdv-vv/objets", "link")</f>
        <v/>
      </c>
      <c r="C365" t="n">
        <v>23</v>
      </c>
      <c r="D365" t="inlineStr">
        <is>
          <t>Manthache; Collier du Valet Veinard; Alliance Gloursonne; Gant du Valet Veinard; Bouclier du Stalak; Ceinture de la Reine des Voleurs; Coiffe de la Reine des Voleurs; Cape du Valet Veinard; Bottes de la Reine des Voleurs; Dofus Abyssal; Dofus Ivoire; Dofus Ocre; Dofus des Glaces; Dofus Pourpre; Voyageur; Blérodoudou</t>
        </is>
      </c>
    </row>
    <row r="366">
      <c r="A366" t="inlineStr">
        <is>
          <t>eau air crit</t>
        </is>
      </c>
      <c r="B366">
        <f>HYPERLINK("https://www.dofusbook.net/fr/equipement/5029304-eau-air-crit/objets", "link")</f>
        <v/>
      </c>
      <c r="C366" t="n">
        <v>29</v>
      </c>
      <c r="D366" t="inlineStr">
        <is>
          <t>Marteau des Anciens Steamers; Amulette du Strigide; Bracelet du Piloztère; Alliance Gloursonne; Bouclier Taverne; Ceinture du Strigide; Capuche de l'Œil Putride; Cape Matelassée; Bottes Voldelor; Dofus des Glaces; Dofus Pourpre; Dofus Turquoise; Vigoureux majeur; Nomade; Remueur; Kokulte</t>
        </is>
      </c>
    </row>
    <row r="367">
      <c r="A367" t="inlineStr">
        <is>
          <t>air resi ceint elio</t>
        </is>
      </c>
      <c r="B367">
        <f>HYPERLINK("https://www.dofusbook.net/fr/equipement/5029950-air-resi-ceint-elio/objets", "link")</f>
        <v/>
      </c>
      <c r="C367" t="n">
        <v>51</v>
      </c>
      <c r="D367" t="inlineStr">
        <is>
          <t>L'Épée Nice; Collier du Valet Veinard; Gant du Valet Veinard; Alliance Gloursonne; Bouclier du Stalak; Ceinture Billonnante; Dorabysses; Cape Matelassée; Baleinabottes; Dofus Pourpre; Nomade; Vigoureux majeur; Remueur; Cascadeur majeur; Miraculé majeur; Bwak d'Air</t>
        </is>
      </c>
    </row>
    <row r="368">
      <c r="A368" t="inlineStr">
        <is>
          <t>air resi ceint elio</t>
        </is>
      </c>
      <c r="B368">
        <f>HYPERLINK("https://www.dofusbook.net/fr/equipement/5029917-air-resi-ceint-elio/objets", "link")</f>
        <v/>
      </c>
      <c r="C368" t="n">
        <v>50</v>
      </c>
      <c r="D368" t="inlineStr">
        <is>
          <t>L'Épée Nice; Amibou; Alliance Gloursonne; Gant du Valet Veinard; Bouclier du Stalak; Ceinture Billonnante; Chapibou; Cape Matelassée; Baleinabottes; Dofus Pourpre; Remueur; Cascadeur majeur; Miraculé majeur; Nomade; Vigoureux majeur; Bwak d'Air</t>
        </is>
      </c>
    </row>
    <row r="369">
      <c r="A369" t="inlineStr">
        <is>
          <t>terre no crit stri</t>
        </is>
      </c>
      <c r="B369">
        <f>HYPERLINK("https://www.dofusbook.net/fr/equipement/5028428-terre-no-crit-stri/objets", "link")</f>
        <v/>
      </c>
      <c r="C369" t="n">
        <v>80</v>
      </c>
      <c r="D369" t="inlineStr">
        <is>
          <t>Marteau R'ture; Amulette du Strigide; Anneau Chevelu; Bague Gloursonne; Bouclier Taverne; Ceinture du Strigide; Masque de Koutoulou; Cape au Logis; Sabots Minables; Dofus Turquoise; Dofus Pourpre; Remueur; Enragé majeur; Vigoureux majeur; Nomade; Dragodinde Emeraude et Pourpre</t>
        </is>
      </c>
    </row>
    <row r="370">
      <c r="A370" t="inlineStr">
        <is>
          <t>terre feu no exo</t>
        </is>
      </c>
      <c r="B370">
        <f>HYPERLINK("https://www.dofusbook.net/fr/equipement/5036648-terre-feu-no-exo/objets", "link")</f>
        <v/>
      </c>
      <c r="C370" t="n">
        <v>69</v>
      </c>
      <c r="D370" t="inlineStr">
        <is>
          <t>Hache Téroïde; Amulette du Strigide; Bracelet du Piloztère; Bague Gloursonne; Quatre-feuilles; Ceinture du Strigide; Masque de Koutoulou; Cape au Logis; Bottes Honyme; Dofus Turquoise; Dofus des Glaces; Dofus Pourpre; Remueur; Vigoureux majeur; Nomade; Kokulte</t>
        </is>
      </c>
    </row>
    <row r="371">
      <c r="A371" t="inlineStr">
        <is>
          <t>striglours</t>
        </is>
      </c>
      <c r="B371">
        <f>HYPERLINK("https://www.dofusbook.net/fr/equipement/5046239-striglours/objets", "link")</f>
        <v/>
      </c>
      <c r="C371" t="n">
        <v>19</v>
      </c>
      <c r="D371" t="inlineStr">
        <is>
          <t>Epée Gloursonne; Amulette du Strigide; Alliance Gloursonne; Bague Gloursonne; Bouclier du Stalak; Ceinture du Strigide; Coiffe de la Fuji Givrefoux; Cape de la Fuji Givrefoux; Bottes du Strigide; Dofus Pourpre; Dofus des Glaces; Dofus Turquoise; Dofus Ébène; Dofus Ivoire; Robuste majeur; Fëanor</t>
        </is>
      </c>
    </row>
    <row r="372">
      <c r="A372" t="inlineStr">
        <is>
          <t>terre eau mid cost</t>
        </is>
      </c>
      <c r="B372">
        <f>HYPERLINK("https://www.dofusbook.net/fr/equipement/5046436-terre-eau-mid-cost/objets", "link")</f>
        <v/>
      </c>
      <c r="C372" t="n">
        <v>74</v>
      </c>
      <c r="D372" t="inlineStr">
        <is>
          <t>Baguette des égarés; Amulette Luminescente; Alliance Gloursonne; Bracelet du Piloztère; Bouclier du Stalak; Ceinture de la Reine des Voleurs; Coiffe de la Reine des Voleurs; Cape au Logis; Bottes Honyme; Dofus Pourpre; Remueur; Robuste majeur; Nomade; Vigoureux majeur; Bébé Pandawa</t>
        </is>
      </c>
    </row>
    <row r="373">
      <c r="A373" t="inlineStr">
        <is>
          <t>terre eau exo</t>
        </is>
      </c>
      <c r="B373">
        <f>HYPERLINK("https://www.dofusbook.net/fr/equipement/5046613-terre-eau-exo/objets", "link")</f>
        <v/>
      </c>
      <c r="C373" t="n">
        <v>74</v>
      </c>
      <c r="D373" t="inlineStr">
        <is>
          <t>Baguette des égarés; Amulette Volkorne; Alliance Gloursonne; Anneau Volkorne; Cadran d'Air; Ceinture Volkorne; Coiffe de la Reine des Voleurs; Cape des Justiciers; Bottes de la Reine des Voleurs; Dofus Pourpre; Dofus Ivoire; Dofus Ocre; Dofus des Glaces; Dofus Ébène; Robuste majeur; Bébé Pandawa</t>
        </is>
      </c>
    </row>
    <row r="374">
      <c r="A374" t="inlineStr">
        <is>
          <t>eni feu mid cost</t>
        </is>
      </c>
      <c r="B374">
        <f>HYPERLINK("https://www.dofusbook.net/fr/equipement/5046798-eni-feu-mid-cost/objets", "link")</f>
        <v/>
      </c>
      <c r="C374" t="n">
        <v>51</v>
      </c>
      <c r="D374" t="inlineStr">
        <is>
          <t>Baguette Hique; Amulette Volkorne; Anneau de Padgref; Kralano; Quatre-feuilles; Sangle Aise; Coiffe de Padgref; Cape de la Dame du Hasard; Pataugastrique; Dofus Turquoise; Dofus Pourpre; Vigoureux majeur; Nomade; Érudit majeur; Remueur; Pioute rouge</t>
        </is>
      </c>
    </row>
    <row r="375">
      <c r="A375" t="inlineStr">
        <is>
          <t>feu crit</t>
        </is>
      </c>
      <c r="B375">
        <f>HYPERLINK("https://www.dofusbook.net/fr/equipement/5046863-feu-crit/objets", "link")</f>
        <v/>
      </c>
      <c r="C375" t="n">
        <v>21</v>
      </c>
      <c r="D375" t="inlineStr">
        <is>
          <t>Baguette Houffe-Craitien; Amulette du Strigide; Bague Gloursonne; Anneau de Padgref; Quatre-feuilles; Ceinture du Strigide; Coiffe de Padgref; Cape de la Dame du Hasard; Getas de Padgref; Dolmanax; Dofus Ébène; Dofus Pourpre; Dofus Ocre; Dofus Turquoise; Voyageur; Kokulte</t>
        </is>
      </c>
    </row>
    <row r="376">
      <c r="A376" t="inlineStr">
        <is>
          <t>feu air ini</t>
        </is>
      </c>
      <c r="B376">
        <f>HYPERLINK("https://www.dofusbook.net/fr/equipement/5051680-feu-air-ini/objets", "link")</f>
        <v/>
      </c>
      <c r="C376" t="n">
        <v>42</v>
      </c>
      <c r="D376" t="inlineStr">
        <is>
          <t>Epée Gloursonne; Amulette de l'Indicible; Alliance Gloursonne; Bague Gloursonne; Bouclier du Stalak; Ceinture de l'Indicible; Masquegel; Cape Martegel; Bottes de l'Indicible; Dofus Ocre; Dofus Ébène; Dofus Pourpre; Dofus des Glaces; Robuste majeur; Voyageur; Willy le Relou</t>
        </is>
      </c>
    </row>
    <row r="377">
      <c r="A377" t="inlineStr">
        <is>
          <t>feu air crit</t>
        </is>
      </c>
      <c r="B377">
        <f>HYPERLINK("https://www.dofusbook.net/fr/equipement/5043754-feu-air-crit/objets", "link")</f>
        <v/>
      </c>
      <c r="C377" t="n">
        <v>42</v>
      </c>
      <c r="D377" t="inlineStr">
        <is>
          <t>Arc corrompu; Amulette du Strigide; Anneau de Padgref; Bague Gloursonne; Quatre-feuilles; Ceinture du Strigide; Coiffe de Padgref; Cape de la Dame du Hasard; Getas de Padgref; Dofus Pourpre; Dofus Ocre; Dofus Turquoise; Dolmanax; Dofus Ébène; Voyageur; Kokulte</t>
        </is>
      </c>
    </row>
    <row r="378">
      <c r="A378" t="inlineStr">
        <is>
          <t>Iop M 200</t>
        </is>
      </c>
      <c r="B378">
        <f>HYPERLINK("https://www.dofusbook.net/fr/equipement/4746644-iop-m-200/objets", "link")</f>
        <v/>
      </c>
      <c r="C378" t="n">
        <v>72</v>
      </c>
      <c r="D378" t="inlineStr">
        <is>
          <t>Hache Téroïde; Amulette Volkorne; Chevalière du Roi Joueur; Anneau Volkorne; Quatre-feuilles; Ceinture Volkorne; Couronne du Roi Joueur; Cape de Jahash Jurgen; Bottes du Roi Joueur; Dolmanax; Dofus Ocre; Dofus Pourpre; Dofus Abyssal; Dofus Turquoise; Dofus des Glaces; Kokulte</t>
        </is>
      </c>
    </row>
    <row r="379">
      <c r="A379" t="inlineStr">
        <is>
          <t>terre rykk</t>
        </is>
      </c>
      <c r="B379">
        <f>HYPERLINK("https://www.dofusbook.net/fr/equipement/5053557-terre-rykk/objets", "link")</f>
        <v/>
      </c>
      <c r="C379" t="n">
        <v>36</v>
      </c>
      <c r="D379" t="inlineStr">
        <is>
          <t>Arc du Chalœil; Amulette Héroclite; Anneau Chevelu; Anneau Volkorne; Quatre-feuilles; Ceinture Volkorne; Masque de Koutoulou; Bravoure de Rykke Errel; Bottes du Cœur Saignant; Dofus Turquoise; Dofus Ocre; Dofus Vulbis; Dofus Ébène; Dofus Pourpre; Enragé majeur; Pioute vert</t>
        </is>
      </c>
    </row>
    <row r="380">
      <c r="A380" t="inlineStr">
        <is>
          <t>feu heal</t>
        </is>
      </c>
      <c r="B380">
        <f>HYPERLINK("https://www.dofusbook.net/fr/equipement/5054104-feu-heal/objets", "link")</f>
        <v/>
      </c>
      <c r="C380" t="n">
        <v>62</v>
      </c>
      <c r="D380" t="inlineStr">
        <is>
          <t>Le Thanos; Amulette Séculaire; Bague Gloursonne; Anneau de Nidas; Carapar; Ceintrigue; Coiffe Séculaire; Cape de Nileza; Pantoufles Émar; Érudit majeur; Nomade; Astucieux majeur; Guérisseur majeur; Remueur; Docteur majeur; Dragodinde Orchidée et Rousse</t>
        </is>
      </c>
    </row>
    <row r="381">
      <c r="A381" t="inlineStr">
        <is>
          <t>volk chaloeil</t>
        </is>
      </c>
      <c r="B381">
        <f>HYPERLINK("https://www.dofusbook.net/fr/equipement/5053761-volk-chaloeil/objets", "link")</f>
        <v/>
      </c>
      <c r="C381" t="n">
        <v>76</v>
      </c>
      <c r="D381" t="inlineStr">
        <is>
          <t>Hache du Chalœil; Amulette Volkorne; Bracelet du Piloztère; Anneau Volkorne; Bouclier d'Ilyzaelle; Ceinture Volkorne; Casque du Chalœil; Cape du Chalœil; Bottes du Chalœil; Dofus Émeraude; Dofus Ocre; Dofus Pourpre; Dofus Ébène; Dofus Turquoise; Dofus des Glaces; Kokulte</t>
        </is>
      </c>
    </row>
    <row r="382">
      <c r="A382" t="inlineStr">
        <is>
          <t>feu mid cost</t>
        </is>
      </c>
      <c r="B382">
        <f>HYPERLINK("https://www.dofusbook.net/fr/equipement/4846793-feu-mid-cost/objets", "link")</f>
        <v/>
      </c>
      <c r="C382" t="n">
        <v>168</v>
      </c>
      <c r="D382" t="inlineStr">
        <is>
          <t>Arc corrompu; Amulette Séculaire; Anneauræus; Bague Gloursonne; Cadran de Terre; Ceinture de Vortex; Coiffe Séculaire; Cape de Diondin; Pataugastrique; Dofus Pourpre; Remueur; Érudit majeur; Nomade; Bisouglours</t>
        </is>
      </c>
    </row>
    <row r="383">
      <c r="A383" t="inlineStr">
        <is>
          <t>terre volk saignant</t>
        </is>
      </c>
      <c r="B383">
        <f>HYPERLINK("https://www.dofusbook.net/fr/equipement/5065097-terre-volk-saignant/objets", "link")</f>
        <v/>
      </c>
      <c r="C383" t="n">
        <v>33</v>
      </c>
      <c r="D383" t="inlineStr">
        <is>
          <t>Arc du Chalœil; Amulette du Cœur Saignant; Anneau Crustique; Anneau Volkorne; Bouclier du Stalak; Ceinture Volkorne; Casque Volkorne; Cape du Cœur Saignant; Bottes du Cœur Saignant; Dofus des Glaces; Dofus Ivoire; Dofus Abyssal; Dofus Ocre; Dofus Ébène; Dofus Pourpre; Bulbisou</t>
        </is>
      </c>
    </row>
    <row r="384">
      <c r="A384" t="inlineStr">
        <is>
          <t>air opti</t>
        </is>
      </c>
      <c r="B384">
        <f>HYPERLINK("https://www.dofusbook.net/fr/equipement/4699756-air-opti/objets", "link")</f>
        <v/>
      </c>
      <c r="C384" t="n">
        <v>211</v>
      </c>
      <c r="D384" t="inlineStr">
        <is>
          <t>Manthache; Collier du Valet Veinard; Alliance Gloursonne; Gant du Valet Veinard; Cadran d'Air; Menoture; Couronne d'Allister; Cape Indescriptible; Palmes Trithons; Dofus Pourpre; Dofus des Glaces; Nomade; Remueur; Cascadeur majeur; Dévastateur Air majeur; Blérodoudou</t>
        </is>
      </c>
    </row>
    <row r="385">
      <c r="A385" t="inlineStr">
        <is>
          <t>terre feu crit</t>
        </is>
      </c>
      <c r="B385">
        <f>HYPERLINK("https://www.dofusbook.net/fr/equipement/5082224-terre-feu-crit/objets", "link")</f>
        <v/>
      </c>
      <c r="C385" t="n">
        <v>48</v>
      </c>
      <c r="D385" t="inlineStr">
        <is>
          <t>Hache Téroïde; Amulette du Strigide; Bracelet du Piloztère; Bague Gloursonne; Bouclier du Captain Amakna; Ceinture du Strigide; Masque de Koutoulou; Cape au Logis; Sabots Minables; Dofus Pourpre; Dofus Turquoise; Dofus des Glaces; Vigoureux majeur; Nomade; Remueur; Kokulte</t>
        </is>
      </c>
    </row>
    <row r="386">
      <c r="A386" t="inlineStr">
        <is>
          <t>eau do crit no exo</t>
        </is>
      </c>
      <c r="B386">
        <f>HYPERLINK("https://www.dofusbook.net/fr/equipement/5083448-eau-do-crit-no-exo/objets", "link")</f>
        <v/>
      </c>
      <c r="C386" t="n">
        <v>48</v>
      </c>
      <c r="D386" t="inlineStr">
        <is>
          <t>Sceptre du Roi Joueur; Collier de la Dame du Hasard; Bracelet des Fonds marins; Alliance Gloursonne; Bouclier du Stalak; Sangle Ouare; Kidibonnet; Cape de la Dame du Hasard; Pataugastrique; Dofus Abyssal; Dofus Pourpre; Dofus Turquoise; Chanceux majeur; Nomade; Remueur; Pioute bleu</t>
        </is>
      </c>
    </row>
    <row r="387">
      <c r="A387" t="inlineStr">
        <is>
          <t>terre air crit stri</t>
        </is>
      </c>
      <c r="B387">
        <f>HYPERLINK("https://www.dofusbook.net/fr/equipement/5090082-terre-air-crit-stri/objets", "link")</f>
        <v/>
      </c>
      <c r="C387" t="n">
        <v>36</v>
      </c>
      <c r="D387" t="inlineStr">
        <is>
          <t>Héqache; Amulette du Strigide; Bague Gloursonne; Bracelet du Piloztère; Quatre-feuilles; Ceinture du Strigide; Casque des égarés; Cape du Chalœil; Baleinabottes; Dofus Turquoise; Dofus des Glaces; Dofus Pourpre; Vigoureux majeur; Remueur; Nomade; Dragodinde Emeraude et Ivoire</t>
        </is>
      </c>
    </row>
    <row r="388">
      <c r="A388" t="inlineStr">
        <is>
          <t>eau resi fix terr</t>
        </is>
      </c>
      <c r="B388">
        <f>HYPERLINK("https://www.dofusbook.net/fr/equipement/5100611-eau-resi-fix-terr/objets", "link")</f>
        <v/>
      </c>
      <c r="C388" t="n">
        <v>18</v>
      </c>
      <c r="D388" t="inlineStr">
        <is>
          <t>Epée Gloursonne; Amulette du Sinistrofu; Alliance Gloursonne; Bracelet des Fonds marins; Cadran de Terre; Ceinture du Glourséleste; Masque des Fonds marins; Cape du Sinistrofu; Bottes du Sinistrofu; Dofus Ocre; Dofus Vulbis; Dofus Ivoire; Dofus Pourpre; Cuirassé Terre majeur; Muraille Terre majeure; Toukancre</t>
        </is>
      </c>
    </row>
    <row r="389">
      <c r="A389" t="inlineStr">
        <is>
          <t>eau resi fix air</t>
        </is>
      </c>
      <c r="B389">
        <f>HYPERLINK("https://www.dofusbook.net/fr/equipement/5100646-eau-resi-fix-air/objets", "link")</f>
        <v/>
      </c>
      <c r="C389" t="n">
        <v>28</v>
      </c>
      <c r="D389" t="inlineStr">
        <is>
          <t>Pelle Fik; Amulette du Sinistrofu; Willkillsano; Anneau du Korriandre; Cadran d'Air; Ceinture du Glourséleste; Binocle Airvoyant; Cape du Sinistrofu; Pataugastrique; Dofus Ivoire; Dofus Vulbis; Dofus Ocre; Chanceux majeur; Muraille Air majeure; Cuirassé Air majeur; Tiwabbit Kiafin</t>
        </is>
      </c>
    </row>
    <row r="390">
      <c r="A390" t="inlineStr">
        <is>
          <t>feu resi fix</t>
        </is>
      </c>
      <c r="B390">
        <f>HYPERLINK("https://www.dofusbook.net/fr/equipement/5100676-feu-resi-fix/objets", "link")</f>
        <v/>
      </c>
      <c r="C390" t="n">
        <v>25</v>
      </c>
      <c r="D390" t="inlineStr">
        <is>
          <t>Epée Gloursonne; Amunite; Anneau d'Henual; Infernano; Bouclier à hélice; Ceinture du Glourséleste; Coiffe du Glourséleste; Cape de Diondin; Bottes de Nileza; Dofus Vulbis; Dofus Ocre; Cuirassé Feu majeur; Muraille Feu majeure; Carapace Feu majeur; Érudit majeur; Crocodaille</t>
        </is>
      </c>
    </row>
    <row r="391">
      <c r="A391" t="inlineStr">
        <is>
          <t>eau resi fixe 30 resi</t>
        </is>
      </c>
      <c r="B391">
        <f>HYPERLINK("https://www.dofusbook.net/fr/equipement/5100529-eau-resi-fixe-30-resi/objets", "link")</f>
        <v/>
      </c>
      <c r="C391" t="n">
        <v>24</v>
      </c>
      <c r="D391" t="inlineStr">
        <is>
          <t>Epée Gloursonne; Amulette du Sinistrofu; Alliance Gloursonne; Bague Gloursonne; Cadran d'Air; Ceinture du Glourséleste; Casque Dragoeuf; Cape du Sinistrofu; Bottes du Sinistrofu; Dofus Vulbis; Dofus Ocre; Dofus Ivoire; Cuirassé Eau majeur; Cuirassé Terre majeur; Cuirassé Neutre majeur; Crocodaille</t>
        </is>
      </c>
    </row>
    <row r="392">
      <c r="A392" t="inlineStr">
        <is>
          <t>terre gants roub</t>
        </is>
      </c>
      <c r="B392">
        <f>HYPERLINK("https://www.dofusbook.net/fr/equipement/5007245-terre-gants-roub/objets", "link")</f>
        <v/>
      </c>
      <c r="C392" t="n">
        <v>42</v>
      </c>
      <c r="D392" t="inlineStr">
        <is>
          <t>Arc du Chalœil; Amulette de Gein; Mitaine Aibre; Anneau Volkorne; Cadran de Terre; Ceinture Volkorne; Masque de Koutoulou; Cape au Logis; Bottes de la Cour Sombre; Dofus des Glaces; Dofus Pourpre; Enragé majeur; Miraculé majeur; Remueur; Dévastateur Terre majeur; Bulbisou</t>
        </is>
      </c>
    </row>
    <row r="393">
      <c r="A393" t="inlineStr">
        <is>
          <t>croco rykk volk</t>
        </is>
      </c>
      <c r="B393">
        <f>HYPERLINK("https://www.dofusbook.net/fr/equipement/5100941-croco-rykk-volk/objets", "link")</f>
        <v/>
      </c>
      <c r="C393" t="n">
        <v>35</v>
      </c>
      <c r="D393" t="inlineStr">
        <is>
          <t>Crocobur; Amulette du Strigide; Anneau Chevelu; Anneau Volkorne; Bouclier d'Ilyzaelle; Ceinture Volkorne; Masque de Koutoulou; Bravoure de Rykke Errel; Pantoufles du Piloztère; Dofus Ocre; Dofus des Glaces; Dofus Ivoire; Nomade; Cavaleur majeur; Enragé majeur; Rauleur</t>
        </is>
      </c>
    </row>
    <row r="394">
      <c r="A394" t="inlineStr">
        <is>
          <t>trithon croco</t>
        </is>
      </c>
      <c r="B394">
        <f>HYPERLINK("https://www.dofusbook.net/fr/equipement/5101001-trithon-croco/objets", "link")</f>
        <v/>
      </c>
      <c r="C394" t="n">
        <v>44</v>
      </c>
      <c r="D394" t="inlineStr">
        <is>
          <t>Crocobur; Amulette du Strigide; Anneau Chevelu; Bague Trithon; Bouclier d'Ilyzaelle; Ceintacé; Masque de Koutoulou; Bravoure de Rykke Errel; Bottes Trithon; Dofus Turquoise; Dofus Ivoire; Dofus des Glaces; Dofus Pourpre; Nomade; Évasif majeur; Kokulte</t>
        </is>
      </c>
    </row>
    <row r="395">
      <c r="A395" t="inlineStr">
        <is>
          <t>terre feu rykk</t>
        </is>
      </c>
      <c r="B395">
        <f>HYPERLINK("https://www.dofusbook.net/fr/equipement/5101131-terre-feu-rykk/objets", "link")</f>
        <v/>
      </c>
      <c r="C395" t="n">
        <v>20</v>
      </c>
      <c r="D395" t="inlineStr">
        <is>
          <t>Dagues Érhy; Amulette Volkorne; Bague Gloursonne; Anneau Chevelu; Bouclier du Stalak; Ceinture Volkorne; Masque de Koutoulou; Bravoure de Rykke Errel; Bottes du Lévitrof; Dofus Ocre; Dofus Ivoire; Dofus Ébène; Dofus des Glaces; Nomade; Cromeugnon</t>
        </is>
      </c>
    </row>
    <row r="396">
      <c r="A396" t="inlineStr">
        <is>
          <t>multi full budget</t>
        </is>
      </c>
      <c r="B396">
        <f>HYPERLINK("https://www.dofusbook.net/fr/equipement/4362937-multi-full-budget/objets", "link")</f>
        <v/>
      </c>
      <c r="C396" t="n">
        <v>244</v>
      </c>
      <c r="D396" t="inlineStr">
        <is>
          <t>Hache du Chalœil; Amulette Volkorne; Anneau Volkorne; Bracelet du Piloztère; Quatre-feuilles; Ceinture Volkorne; Casque du Chalœil; Cape du Chalœil; Bottes du Chalœil; Dofus Pourpre; Dofus des Glaces; Dofus Turquoise; Dofus Abyssal; Dofus Ocre; Sakochère</t>
        </is>
      </c>
    </row>
    <row r="397">
      <c r="A397" t="inlineStr">
        <is>
          <t>air ini rési</t>
        </is>
      </c>
      <c r="B397">
        <f>HYPERLINK("https://www.dofusbook.net/fr/equipement/5109271-air-ini-resi/objets", "link")</f>
        <v/>
      </c>
      <c r="C397" t="n">
        <v>62</v>
      </c>
      <c r="D397" t="inlineStr">
        <is>
          <t>Manthache; Amulette Martegel; Gant du Valet Veinard; Alliance Gloursonne; Bouclier d'Ilyzaelle; Menoture; Casque Dragoeuf; Cape Martegel; Palmes Trithons; Dofus Ébène; Dofus Ocre; Dofus Ivoire; Nomade; Cascadeur majeur; Fonceur majeur; Blérodoudou</t>
        </is>
      </c>
    </row>
    <row r="398">
      <c r="A398" t="inlineStr">
        <is>
          <t>feu basique</t>
        </is>
      </c>
      <c r="B398">
        <f>HYPERLINK("https://www.dofusbook.net/fr/equipement/5101203-feu-basique/objets", "link")</f>
        <v/>
      </c>
      <c r="C398" t="n">
        <v>37</v>
      </c>
      <c r="D398" t="inlineStr">
        <is>
          <t>Arc corrompu; Amulette Volkorne; Anneauræus; Anneauræus; Bouclier du Stalak; Ceinture Volkorne; Heaume Oplate; Voile d'encre; Bottes Innommables; Dofus Ivoire; Dofus Pourpre; Dofus Ébène; Dofus Ocre; Dofus des Glaces; Nomade; Bisouglours</t>
        </is>
      </c>
    </row>
    <row r="399">
      <c r="A399" t="inlineStr">
        <is>
          <t>feu eau sacri</t>
        </is>
      </c>
      <c r="B399">
        <f>HYPERLINK("https://www.dofusbook.net/fr/equipement/4604165-feu-eau-sacri/objets", "link")</f>
        <v/>
      </c>
      <c r="C399" t="n">
        <v>112</v>
      </c>
      <c r="D399" t="inlineStr">
        <is>
          <t>Couteaux Sacrificiels; Amulette Volkorne; Anneau Volkorne; Alliance Gloursonne; Bouclier Taverne; Sangle Ouare; Masque Paztek; Cape Solution; Pataugastrique; Dofus des Glaces; Dofus Pourpre; Dolmanax; Robuste majeur; Vigoureux majeur; Walk</t>
        </is>
      </c>
    </row>
    <row r="400">
      <c r="A400" t="inlineStr">
        <is>
          <t>terre do pou rykk</t>
        </is>
      </c>
      <c r="B400">
        <f>HYPERLINK("https://www.dofusbook.net/fr/equipement/4853536-terre-do-pou-rykk/objets", "link")</f>
        <v/>
      </c>
      <c r="C400" t="n">
        <v>131</v>
      </c>
      <c r="D400" t="inlineStr">
        <is>
          <t>Lav'Hache; Amulette du Strigide; Anneau Chevelu; Bague Trithon; Bouclier Taverne; Ceinture Volkorne; Masque de Koutoulou; Bravoure de Rykke Errel; Bottes Trithon; Dofus Turquoise; Dofus Ocre; Bousculeur majeur; Nomade; Culbuteur majeur; Enragé majeur; Black Tiwabbit</t>
        </is>
      </c>
    </row>
    <row r="401">
      <c r="A401" t="inlineStr">
        <is>
          <t>multi crit mid cost</t>
        </is>
      </c>
      <c r="B401">
        <f>HYPERLINK("https://www.dofusbook.net/fr/equipement/5141594-multi-crit-mid-cost/objets", "link")</f>
        <v/>
      </c>
      <c r="C401" t="n">
        <v>61</v>
      </c>
      <c r="D401" t="inlineStr">
        <is>
          <t>Hache du Chalœil; Amulette du Strigide; Alliance Gloursonne; Bracelet du Piloztère; Quatre-feuilles; Ceinture du Strigide; Maskrobe; Cape des Justiciers; Bottes Honyme; Dofus Pourpre; Dofus Turquoise; Dofus des Glaces; Remueur; Vigoureux majeur; Nomade; Kokulte</t>
        </is>
      </c>
    </row>
    <row r="402">
      <c r="A402" t="inlineStr">
        <is>
          <t>air mid cost</t>
        </is>
      </c>
      <c r="B402">
        <f>HYPERLINK("https://www.dofusbook.net/fr/equipement/5145907-air-mid-cost/objets", "link")</f>
        <v/>
      </c>
      <c r="C402" t="n">
        <v>23</v>
      </c>
      <c r="D402" t="inlineStr">
        <is>
          <t>Manthache; Collier du Valet Veinard; Alliance Gloursonne; Gant du Valet Veinard; Cadran d'Air; Menoture; Dorabysses; Cape Indescriptible; Baleinabottes; Dofus Pourpre; Dofus des Glaces; Dévastateur Air majeur; Remueur; Cascadeur majeur; Nomade</t>
        </is>
      </c>
    </row>
    <row r="403">
      <c r="A403" t="inlineStr">
        <is>
          <t>eau sinis 200</t>
        </is>
      </c>
      <c r="B403">
        <f>HYPERLINK("https://www.dofusbook.net/fr/equipement/5149281-eau-sinis-200/objets", "link")</f>
        <v/>
      </c>
      <c r="C403" t="n">
        <v>30</v>
      </c>
      <c r="D403" t="inlineStr">
        <is>
          <t>Rapière aux Glyphes; Amulette du Sinistrofu; Alliance Gloursonne; Bracelet des Fonds marins; Bouclier d'Ilyzaelle; Sangle Ouare; Masque Paztek; Cape Solution; Bottes du Sinistrofu; Dofus Pourpre; Dofus Abyssal; Dofus Ocre; Dofus Ivoire; Dofus Ébène; Kanigloups</t>
        </is>
      </c>
    </row>
    <row r="404">
      <c r="A404" t="inlineStr">
        <is>
          <t>terre ret pm</t>
        </is>
      </c>
      <c r="B404">
        <f>HYPERLINK("https://www.dofusbook.net/fr/equipement/5149520-terre-ret-pm/objets", "link")</f>
        <v/>
      </c>
      <c r="C404" t="n">
        <v>57</v>
      </c>
      <c r="D404" t="inlineStr">
        <is>
          <t>Marteau R'ture; Amulette Volcanique; Pikano; Chevalière du Roi Joueur; Bouclier cubiste; Ceinture des Chocomanciens; Couronne du Roi Joueur; Cape au Logis; Baleinabottes; Ralentisseur majeur; Temporiseur majeur; Nomade; Entraveur majeur; Enragé majeur; Remueur; Léopardo</t>
        </is>
      </c>
    </row>
    <row r="405">
      <c r="A405" t="inlineStr">
        <is>
          <t>eau air feu volk</t>
        </is>
      </c>
      <c r="B405">
        <f>HYPERLINK("https://www.dofusbook.net/fr/equipement/5149614-eau-air-feu-volk/objets", "link")</f>
        <v/>
      </c>
      <c r="C405" t="n">
        <v>23</v>
      </c>
      <c r="D405" t="inlineStr">
        <is>
          <t>Dagues Érhy; Amulette Volkorne; Anneau Volkorne; Alliance Gloursonne; Cadran d'Air; Ceinture du Barbétoal; Casque Volkorne; Cape Matelassée; Sandales  d'Atcham; Dofus Ocre; Dofus Ivoire; Dofus Ébène; Dofus des Glaces; Mini Wa</t>
        </is>
      </c>
    </row>
    <row r="406">
      <c r="A406" t="inlineStr">
        <is>
          <t>eau air dofusteuse</t>
        </is>
      </c>
      <c r="B406">
        <f>HYPERLINK("https://www.dofusbook.net/fr/equipement/5149665-eau-air-dofusteuse/objets", "link")</f>
        <v/>
      </c>
      <c r="C406" t="n">
        <v>33</v>
      </c>
      <c r="D406" t="inlineStr">
        <is>
          <t>Epée Loponèze; Amulette d'Ilyzaelle; Alliance Gloursonne; Grésilanneau; Bouclier du Stalak; Sangle Ouare; Casque d'Ilyzaelle; Dofusteuse; Pataugastrique; Dofus Ivoire; Dofus des Glaces; Dofus Nébuleux; Dofus Ébène; Dofus Ocre; Dofus Abyssal; Mini Wa</t>
        </is>
      </c>
    </row>
    <row r="407">
      <c r="A407" t="inlineStr">
        <is>
          <t>terre rykk</t>
        </is>
      </c>
      <c r="B407">
        <f>HYPERLINK("https://www.dofusbook.net/fr/equipement/5149789-terre-rykk/objets", "link")</f>
        <v/>
      </c>
      <c r="C407" t="n">
        <v>17</v>
      </c>
      <c r="D407" t="inlineStr">
        <is>
          <t>Lav'Hache; Collier de Tourthon; Anneau Chevelu; Anneau Volkorne; Bouclier du Stalak; Ceinture Volkorne; Masque de Koutoulou; Bravoure de Rykke Errel; Bottes de la Cour Sombre; Dofus Ocre; Dofus Ivoire; Dofus Abyssal; Dofus Ébène; Nomade; Bulbisou</t>
        </is>
      </c>
    </row>
    <row r="408">
      <c r="A408" t="inlineStr">
        <is>
          <t>feu no exo 200</t>
        </is>
      </c>
      <c r="B408">
        <f>HYPERLINK("https://www.dofusbook.net/fr/equipement/5149822-feu-no-exo-200/objets", "link")</f>
        <v/>
      </c>
      <c r="C408" t="n">
        <v>30</v>
      </c>
      <c r="D408" t="inlineStr">
        <is>
          <t>Arc corrompu; Amulette d'Otomaï; Anneau de Nidas; Anneau Tique; Cadran de Terre; Ceinture de Vortex; Cagoule de Vortex; Cape de Diondin; Bottes Dogues; Dofus Pourpre; Nomade; Robuste majeur; Remueur; Érudit majeur; Vigoureux majeur; Volkorne Orchidée</t>
        </is>
      </c>
    </row>
    <row r="409">
      <c r="A409" t="inlineStr">
        <is>
          <t>feu sacri rési</t>
        </is>
      </c>
      <c r="B409">
        <f>HYPERLINK("https://www.dofusbook.net/fr/equipement/5150046-feu-sacri-resi/objets", "link")</f>
        <v/>
      </c>
      <c r="C409" t="n">
        <v>54</v>
      </c>
      <c r="D409" t="inlineStr">
        <is>
          <t>Couteaux Sacrificiels; Amulette Séculaire; Anneauræus; Anneauræus; Bouclier d'Ilyzaelle; Ceinture Séculaire; Casque Dragoeuf; Voile d'encre; Pataugastrique; Dofus Ocre; Dofus Ivoire; Dofus Ébène; Érudit majeur; Nomade; Bisouglours</t>
        </is>
      </c>
    </row>
    <row r="410">
      <c r="A410" t="inlineStr">
        <is>
          <t>terre feu crit 200</t>
        </is>
      </c>
      <c r="B410">
        <f>HYPERLINK("https://www.dofusbook.net/fr/equipement/5145623-terre-feu-crit-200/objets", "link")</f>
        <v/>
      </c>
      <c r="C410" t="n">
        <v>80</v>
      </c>
      <c r="D410" t="inlineStr">
        <is>
          <t>Hache Téroïde; Amulette Volkorne; Bague Gloursonne; Anneau Chevelu; Quatre-feuilles; Ceinture Volkorne; Masque de Koutoulou; Cape au Logis; Bottes du Roi Joueur; Dofus Pourpre; Dofus des Glaces; Dofus Turquoise; Remueur; Nomade; Vigoureux majeur; Kokulte</t>
        </is>
      </c>
    </row>
    <row r="411">
      <c r="A411" t="inlineStr">
        <is>
          <t>terre 200 exo crit</t>
        </is>
      </c>
      <c r="B411">
        <f>HYPERLINK("https://www.dofusbook.net/fr/equipement/4729832-terre-200-exo-crit/objets", "link")</f>
        <v/>
      </c>
      <c r="C411" t="n">
        <v>189</v>
      </c>
      <c r="D411" t="inlineStr">
        <is>
          <t>Arc du Chalœil; Amulette du Strigide; Anneau Chevelu; Anneau Volkorne; Quatre-feuilles; Ceinture Volkorne; Masque de Koutoulou; Cape au Logis; Bottes du Cœur Saignant; Dofus Ébène; Dofus Turquoise; Enragé majeur; Remueur; Vigoureux majeur; Pioute vert</t>
        </is>
      </c>
    </row>
    <row r="412">
      <c r="A412" t="inlineStr">
        <is>
          <t>terre eau 200 exo</t>
        </is>
      </c>
      <c r="B412">
        <f>HYPERLINK("https://www.dofusbook.net/fr/equipement/5166536-terre-eau-200-exo/objets", "link")</f>
        <v/>
      </c>
      <c r="C412" t="n">
        <v>28</v>
      </c>
      <c r="D412" t="inlineStr">
        <is>
          <t>Dagues de Srambad; Amulette du Strigide; Anneau Volkorne; Alliance Gloursonne; Bouclier du Stalak; Ceinture Volkorne; Casque en Grithril; Cape au Logis; Bottes Honyme; Dofus Ocre; Dofus des Glaces; Dofus Pourpre; Dofus Turquoise; Vigoureux majeur; Chacha Angora</t>
        </is>
      </c>
    </row>
    <row r="413">
      <c r="A413" t="inlineStr">
        <is>
          <t>terre eau 200</t>
        </is>
      </c>
      <c r="B413">
        <f>HYPERLINK("https://www.dofusbook.net/fr/equipement/4846662-terre-eau-200/objets", "link")</f>
        <v/>
      </c>
      <c r="C413" t="n">
        <v>96</v>
      </c>
      <c r="D413" t="inlineStr">
        <is>
          <t>Dagues de Srambad; Amulette du Strigide; Bracelet du Piloztère; Alliance Gloursonne; Bouclier Taverne; Ceintacé; Coiffe d'Ogivol; Cape au Logis; Bottes du Strigide; Dofus des Glaces; Dofus Pourpre; Dofus Turquoise; Remueur; Vigoureux majeur; Chacha Angora</t>
        </is>
      </c>
    </row>
    <row r="414">
      <c r="A414" t="inlineStr">
        <is>
          <t>Eliotrope M 200</t>
        </is>
      </c>
      <c r="B414">
        <f>HYPERLINK("https://www.dofusbook.net/fr/equipement/5166597-eliotrope-m-200/objets", "link")</f>
        <v/>
      </c>
      <c r="C414" t="n">
        <v>29</v>
      </c>
      <c r="D414" t="inlineStr">
        <is>
          <t>Epée Loponèze; Amulette d'Ilyzaelle; Alliance Gloursonne; Bracelet des Fonds marins; Bouclier du Stalak; Sangle Ouare; Casque d'Ilyzaelle; Cape Solution; Bottes du Sinistrofu; Dofus Pourpre; Dofus Abyssal; Vigoureux majeur; Remueur; Chanceux majeur; Nomade; Kanigloups</t>
        </is>
      </c>
    </row>
    <row r="415">
      <c r="A415" t="inlineStr">
        <is>
          <t>volk trithon</t>
        </is>
      </c>
      <c r="B415">
        <f>HYPERLINK("https://www.dofusbook.net/fr/equipement/4953691-volk-trithon/objets", "link")</f>
        <v/>
      </c>
      <c r="C415" t="n">
        <v>68</v>
      </c>
      <c r="D415" t="inlineStr">
        <is>
          <t>Hache du Chalœil; Amulette Volkorne; Bague Trithon; Anneau Volkorne; Bouclier du Stalak; Ceinture Volkorne; Masque Trithon; Voile d'encre; Bottes Trithon; Dofus Turquoise; Dofus Ébène; Dofus Ocre; Dofus des Glaces; Dofus Pourpre; Dofus Abyssal; Sakochère</t>
        </is>
      </c>
    </row>
    <row r="416">
      <c r="A416" t="inlineStr">
        <is>
          <t>terre fuite ini</t>
        </is>
      </c>
      <c r="B416">
        <f>HYPERLINK("https://www.dofusbook.net/fr/equipement/4951317-terre-fuite-ini/objets", "link")</f>
        <v/>
      </c>
      <c r="C416" t="n">
        <v>63</v>
      </c>
      <c r="D416" t="inlineStr">
        <is>
          <t>Lav'Hache; Amulette Héroclite; Anneau Volkorne; Anneau Chevelu; Bouclier du Stalak; Ceinture Volkorne; Masque de Koutoulou; Cape au Logis; Sabots Minables; Dofus Ivoire; Dofus Pourpre; Dofus Ébène; Robuste majeur; Vigoureux majeur; Enragé majeur; Tofu Givré</t>
        </is>
      </c>
    </row>
    <row r="417">
      <c r="A417" t="inlineStr">
        <is>
          <t>feu eau ret</t>
        </is>
      </c>
      <c r="B417">
        <f>HYPERLINK("https://www.dofusbook.net/fr/equipement/4691041-feu-eau-ret/objets", "link")</f>
        <v/>
      </c>
      <c r="C417" t="n">
        <v>143</v>
      </c>
      <c r="D417" t="inlineStr">
        <is>
          <t>Pyraguette; Amulette Luminescente; Bracelet des Fonds marins; Alliance Gloursonne; Bouclier cubiste; Poulpagne; Casquette de Meno; Cape de la Dame du Hasard; Bottes de Meno; Dofus Pourpre; Ralentisseur majeur; Entraveur majeur; Nomade; Temporiseur majeur; Remueur; Gwo Tofu Ventripotent</t>
        </is>
      </c>
    </row>
    <row r="418">
      <c r="A418" t="inlineStr">
        <is>
          <t>feu eau ret</t>
        </is>
      </c>
      <c r="B418">
        <f>HYPERLINK("https://www.dofusbook.net/fr/equipement/5169088-feu-eau-ret/objets", "link")</f>
        <v/>
      </c>
      <c r="C418" t="n">
        <v>64</v>
      </c>
      <c r="D418" t="inlineStr">
        <is>
          <t>Pyraguette; Collier de la Dame du Hasard; Anneau de Nidas; Alliance Gloursonne; Bouclier cubiste; Ceinture du Glourséleste; Casquette de Meno; Cape de Meno; Pataugastrique; Temporiseur majeur; Vigoureux majeur; Ralentisseur majeur; Nomade; Entraveur majeur; Remueur; Gwo Tofu Ventripotent</t>
        </is>
      </c>
    </row>
    <row r="419">
      <c r="A419" t="inlineStr">
        <is>
          <t>feu eau volk mid cost</t>
        </is>
      </c>
      <c r="B419">
        <f>HYPERLINK("https://www.dofusbook.net/fr/equipement/5169572-feu-eau-volk-mid-cost/objets", "link")</f>
        <v/>
      </c>
      <c r="C419" t="n">
        <v>44</v>
      </c>
      <c r="D419" t="inlineStr">
        <is>
          <t>Pyraguette; Amulette Volkorne; Bracelet du Piloztère; Anneau Volkorne; Bouclier du Stalak; Ceintrigue; Maskrobe; Cape des Justiciers; Pataugastrique; Dofus Pourpre; Érudit majeur; Vigoureux majeur; Remueur; Robuste majeur; Chanceux majeur; Walk</t>
        </is>
      </c>
    </row>
    <row r="420">
      <c r="A420" t="inlineStr">
        <is>
          <t>multi salva</t>
        </is>
      </c>
      <c r="B420">
        <f>HYPERLINK("https://www.dofusbook.net/fr/equipement/5169777-multi-salva/objets", "link")</f>
        <v/>
      </c>
      <c r="C420" t="n">
        <v>37</v>
      </c>
      <c r="D420" t="inlineStr">
        <is>
          <t>Epée Gloursonne; Amulette de l'Indicible; Bague Gloursonne; Alliance Gloursonne; Bouclier du Stalak; Ceinture de l'Esprit Salvateur; Masque de l'Esprit Salvateur; Cape du Chalœil; Bottes de l'Esprit Salvateur; Dofus Ocre; Dofus Pourpre; Dolmanax; Dofus des Glaces; Voyageur; Robuste majeur; Pioute violet</t>
        </is>
      </c>
    </row>
    <row r="421">
      <c r="A421" t="inlineStr">
        <is>
          <t>feu air crit 200</t>
        </is>
      </c>
      <c r="B421">
        <f>HYPERLINK("https://www.dofusbook.net/fr/equipement/5149484-feu-air-crit-200/objets", "link")</f>
        <v/>
      </c>
      <c r="C421" t="n">
        <v>81</v>
      </c>
      <c r="D421" t="inlineStr">
        <is>
          <t>Baguette Range; Amulette du Strigide; Anneau de Padgref; Bracelet du Piloztère; Quatre-feuilles; Ceintacé; Coiffe de Padgref; Cape Hiculteur; Bottes du Cycloïde; Dofus des Glaces; Dofus Pourpre; Dofus Turquoise; Vigoureux majeur; Nomade; Remueur; Kokulte</t>
        </is>
      </c>
    </row>
    <row r="422">
      <c r="A422" t="inlineStr">
        <is>
          <t>eau air croca no crit</t>
        </is>
      </c>
      <c r="B422">
        <f>HYPERLINK("https://www.dofusbook.net/fr/equipement/5447582-eau-air-croca-no-crit/objets", "link")</f>
        <v/>
      </c>
      <c r="C422" t="n">
        <v>38</v>
      </c>
      <c r="D422" t="inlineStr">
        <is>
          <t>Arc de Koutoulou; Amulette d'Ilyzaelle; Alliance Gloursonne; Crocanneau; Bouclier du Stalak; Ceinture du Barbétoal; Casque d'Ilyzaelle; Voilamibe; Bottes de la Reine des Voleurs; Dofus des Glaces; Dofus Pourpre; Remueur; Vigoureux majeur; Nomade; Robuste majeur; Mini Wa</t>
        </is>
      </c>
    </row>
    <row r="423">
      <c r="A423" t="inlineStr">
        <is>
          <t>air terre crit poulp</t>
        </is>
      </c>
      <c r="B423">
        <f>HYPERLINK("https://www.dofusbook.net/fr/equipement/5458437-air-terre-crit-poulp/objets", "link")</f>
        <v/>
      </c>
      <c r="C423" t="n">
        <v>20</v>
      </c>
      <c r="D423" t="inlineStr">
        <is>
          <t>Héqache; Amulette du Strigide; Alliance Gloursonne; Anneau Chevelu; Quatre-feuilles; Ceintouse; Chapoulpe; Cape au Logis; Sabots Minables; Dofus Turquoise; Dofus Émeraude; Dofus des Glaces; Dofus Pourpre; Vigoureux majeur; Remueur; Mékrabe</t>
        </is>
      </c>
    </row>
    <row r="424">
      <c r="A424" t="inlineStr">
        <is>
          <t>volk trithon chaloeil</t>
        </is>
      </c>
      <c r="B424">
        <f>HYPERLINK("https://www.dofusbook.net/fr/equipement/5444749-volk-trithon-chaloeil/objets", "link")</f>
        <v/>
      </c>
      <c r="C424" t="n">
        <v>22</v>
      </c>
      <c r="D424" t="inlineStr">
        <is>
          <t>Hache du Chalœil; Amulette Volkorne; Bague Trithon; Anneau Volkorne; Quatre-feuilles; Ceinture Volkorne; Masque Trithon; Voile d'encre; Bottes Trithon; Dofus Ocre; Dofus Abyssal; Dofus Ivoire; Dofus des Glaces; Dofus Turquoise; Dofus Ébène; Kokulte</t>
        </is>
      </c>
    </row>
    <row r="425">
      <c r="A425" t="inlineStr">
        <is>
          <t>terre air crit stri</t>
        </is>
      </c>
      <c r="B425">
        <f>HYPERLINK("https://www.dofusbook.net/fr/equipement/5444643-terre-air-crit-stri/objets", "link")</f>
        <v/>
      </c>
      <c r="C425" t="n">
        <v>27</v>
      </c>
      <c r="D425" t="inlineStr">
        <is>
          <t>Héqache; Amulette du Strigide; Alliance Gloursonne; Bracelet du Piloztère; Quatre-feuilles; Ceinture du Strigide; Casque des égarés; Cape au Logis; Baleinabottes; Dofus des Glaces; Dofus Pourpre; Dofus Turquoise; Vigoureux majeur; Nomade; Remueur; Kokulte</t>
        </is>
      </c>
    </row>
    <row r="426">
      <c r="A426" t="inlineStr">
        <is>
          <t>eau crit hique</t>
        </is>
      </c>
      <c r="B426">
        <f>HYPERLINK("https://www.dofusbook.net/fr/equipement/5444561-eau-crit-hique/objets", "link")</f>
        <v/>
      </c>
      <c r="C426" t="n">
        <v>42</v>
      </c>
      <c r="D426" t="inlineStr">
        <is>
          <t>Baguette Hique; Amulette de Shokkoth; Alliance Gloursonne; Anneau Volkorne; Quatre-feuilles; Sangle Ouare; Kidibonnet; Cape de la Dame du Hasard; Bottes de la Dame du Hasard; Dofus Turquoise; Dofus des Glaces; Remueur; Chanceux majeur; Kokulte</t>
        </is>
      </c>
    </row>
    <row r="427">
      <c r="A427" t="inlineStr">
        <is>
          <t>eau crit 2.0</t>
        </is>
      </c>
      <c r="B427">
        <f>HYPERLINK("https://www.dofusbook.net/fr/equipement/5440067-eau-crit-2-0/objets", "link")</f>
        <v/>
      </c>
      <c r="C427" t="n">
        <v>39</v>
      </c>
      <c r="D427" t="inlineStr">
        <is>
          <t>Dagoulinantes; Amulette de Shokkoth; Alliance Gloursonne; Anneau Volkorne; Quatre-feuilles; Sangle Ouare; Kidibonnet; Cape de la Dame du Hasard; Bottes de la Dame du Hasard; Dofus Pourpre; Dofus des Glaces; Dofus Turquoise; Dofus Ébène; Chanceux majeur; Remueur; Dragodinde Emeraude et Indigo</t>
        </is>
      </c>
    </row>
    <row r="428">
      <c r="A428" t="inlineStr">
        <is>
          <t>eau do pou</t>
        </is>
      </c>
      <c r="B428">
        <f>HYPERLINK("https://www.dofusbook.net/fr/equipement/5439858-eau-do-pou/objets", "link")</f>
        <v/>
      </c>
      <c r="C428" t="n">
        <v>26</v>
      </c>
      <c r="D428" t="inlineStr">
        <is>
          <t>Rapière aux Glyphes; Amulette du Sinistrofu; Anneau Volkorne; Alliance Gloursonne; Bouclier précieux; Sangle Ouare; Masque Paztek; Cape Solution; Sandales Paztek; Dofus Ébène; Dofus Abyssal; Dofus Ivoire; Chanceux majeur; Remueur; Culbuteur majeur; Écumouth</t>
        </is>
      </c>
    </row>
    <row r="429">
      <c r="A429" t="inlineStr">
        <is>
          <t>eau 200 exo</t>
        </is>
      </c>
      <c r="B429">
        <f>HYPERLINK("https://www.dofusbook.net/fr/equipement/5439611-eau-200-exo/objets", "link")</f>
        <v/>
      </c>
      <c r="C429" t="n">
        <v>20</v>
      </c>
      <c r="D429" t="inlineStr">
        <is>
          <t>Dagoulinantes; Amulette de Shokkoth; Anneau Volkorne; Alliance Gloursonne; Bouclier d'Ilyzaelle; Sangle Ouare; Casque d'Ilyzaelle; Cape Solution; Bottes du Sinistrofu; Dofus des Glaces; Dofus Pourpre; Chanceux majeur; Robuste majeur; Remueur; Vigoureux majeur; Kanigloups</t>
        </is>
      </c>
    </row>
    <row r="430">
      <c r="A430" t="inlineStr">
        <is>
          <t>feu air volk exo</t>
        </is>
      </c>
      <c r="B430">
        <f>HYPERLINK("https://www.dofusbook.net/fr/equipement/5419577-feu-air-volk-exo/objets", "link")</f>
        <v/>
      </c>
      <c r="C430" t="n">
        <v>17</v>
      </c>
      <c r="D430" t="inlineStr">
        <is>
          <t>Dagues Érhy; Amulette Volkorne; Alliance Brûlâme; Alliance Gloursonne; Bouclier du Stalak; Ceinture de Vortex; Casque Volkorne; Cape Martegel; Pantoufles Émar; Dofus des Glaces; Érudit majeur; Nomade; Cascadeur majeur; Remueur; Willy le Relou</t>
        </is>
      </c>
    </row>
    <row r="431">
      <c r="A431" t="inlineStr">
        <is>
          <t>ret pm ini eau</t>
        </is>
      </c>
      <c r="B431">
        <f>HYPERLINK("https://www.dofusbook.net/fr/equipement/5382921-ret-pm-ini-eau/objets", "link")</f>
        <v/>
      </c>
      <c r="C431" t="n">
        <v>89</v>
      </c>
      <c r="D431" t="inlineStr">
        <is>
          <t>Dagues Açantes; Amulette Luminescente; Pikano; Bague Instable; Bouclier cubiste; Ceinture Instable; Coiffe d'Ogivol; Cape de Léthaline; Pantoufles Émar; Vigoureux majeur; Nomade; Temporiseur majeur; Remueur; Entraveur majeur; Chanceux majeur; Volkorne Turquoise</t>
        </is>
      </c>
    </row>
    <row r="432">
      <c r="A432" t="inlineStr">
        <is>
          <t>feu low cost 200</t>
        </is>
      </c>
      <c r="B432">
        <f>HYPERLINK("https://www.dofusbook.net/fr/equipement/5359071-feu-low-cost-200/objets", "link")</f>
        <v/>
      </c>
      <c r="C432" t="n">
        <v>175</v>
      </c>
      <c r="D432" t="inlineStr">
        <is>
          <t>Épée d'Otomaï; Amulette Séculaire; Anneau Tamie; Anneau Tamie; Bouclier du Stalak; Sangle Aise; Coiffe Séculaire; Cape de Diondin; Bottes Dogues; Dofus Pourpre; Vigoureux majeur; Remueur; Robuste majeur; Érudit majeur; Nomade; Brûlih</t>
        </is>
      </c>
    </row>
    <row r="433">
      <c r="A433" t="inlineStr">
        <is>
          <t>multi low cost 200</t>
        </is>
      </c>
      <c r="B433">
        <f>HYPERLINK("https://www.dofusbook.net/fr/equipement/5339686-multi-low-cost-200/objets", "link")</f>
        <v/>
      </c>
      <c r="C433" t="n">
        <v>164</v>
      </c>
      <c r="D433" t="inlineStr">
        <is>
          <t>Bâton Beau; Amulette du Strigide; Bracelet du Piloztère; Alliance de Missiz Frizz; Quatre-feuilles; Ceintacé; Maskrobe; Cape des Justiciers; Bottes du Strigide; Dofus des Glaces; Dofus Pourpre; Dofus Turquoise; Vigoureux majeur; Nomade; Remueur; Kokulte</t>
        </is>
      </c>
    </row>
    <row r="434">
      <c r="A434" t="inlineStr">
        <is>
          <t>terre feu crit rjvolk</t>
        </is>
      </c>
      <c r="B434">
        <f>HYPERLINK("https://www.dofusbook.net/fr/equipement/5358349-terre-feu-crit-rjvolk/objets", "link")</f>
        <v/>
      </c>
      <c r="C434" t="n">
        <v>49</v>
      </c>
      <c r="D434" t="inlineStr">
        <is>
          <t>Hache Téroïde; Amulette Volkorne; Chevalière du Roi Joueur; Anneau Volkorne; Quatre-feuilles; Ceinture Volkorne; Couronne du Roi Joueur; Voile d'encre; Bottes du Roi Joueur; Dofus Émeraude; Dofus Pourpre; Dofus Ocre; Dofus des Glaces; Dolmanax; Dofus Turquoise; Kokulte</t>
        </is>
      </c>
    </row>
    <row r="435">
      <c r="A435" t="inlineStr">
        <is>
          <t>feu ret pa</t>
        </is>
      </c>
      <c r="B435">
        <f>HYPERLINK("https://www.dofusbook.net/fr/equipement/5250777-feu-ret-pa/objets", "link")</f>
        <v/>
      </c>
      <c r="C435" t="n">
        <v>88</v>
      </c>
      <c r="D435" t="inlineStr">
        <is>
          <t>Arc corrompu; Amulette Volkorne; Anneauræus; Anneauræus; Cadran de Terre; Ceinture Volkorne; Heaume Oplate; Voile d'encre; Bottes Innommables; Dofus Ébène; Dofus Ivoire; Dofus Ocre; Érudit majeur; Étourdisseur majeur; Nomade; Dragoune Rose</t>
        </is>
      </c>
    </row>
    <row r="436">
      <c r="A436" t="inlineStr">
        <is>
          <t>stri pad atcham</t>
        </is>
      </c>
      <c r="B436">
        <f>HYPERLINK("https://www.dofusbook.net/fr/equipement/5340433-stri-pad-atcham/objets", "link")</f>
        <v/>
      </c>
      <c r="C436" t="n">
        <v>32</v>
      </c>
      <c r="D436" t="inlineStr">
        <is>
          <t>Sabres d'Atcham; Amulette du Strigide; Bracelet du Piloztère; Anneau de Padgref; Quatre-feuilles; Ceinture du Strigide; Coiffe de Padgref; Cape d'Atcham; Getas de Padgref; Dofus Ocre; Dofus des Glaces; Dofus Pourpre; Dolmanax; Dofus Turquoise; Voyageur; Kokulte</t>
        </is>
      </c>
    </row>
    <row r="437">
      <c r="A437" t="inlineStr">
        <is>
          <t>feu crit</t>
        </is>
      </c>
      <c r="B437">
        <f>HYPERLINK("https://www.dofusbook.net/fr/equipement/4998751-feu-crit/objets", "link")</f>
        <v/>
      </c>
      <c r="C437" t="n">
        <v>158</v>
      </c>
      <c r="D437" t="inlineStr">
        <is>
          <t>Arc corrompu; Amulette Volkorne; Anneauræus; Anneauræus; Quatre-feuilles; Ceinture Volkorne; Heaume Oplate; Voile d'encre; Bottes Innommables; Dofus Turquoise; Dofus Pourpre; Dofus Ocre; Érudit majeur; Nomade; Vigoureux majeur; Dragodinde Ivoire et Orchidée</t>
        </is>
      </c>
    </row>
    <row r="438">
      <c r="A438" t="inlineStr">
        <is>
          <t>feu air mid cost</t>
        </is>
      </c>
      <c r="B438">
        <f>HYPERLINK("https://www.dofusbook.net/fr/equipement/5312702-feu-air-mid-cost/objets", "link")</f>
        <v/>
      </c>
      <c r="C438" t="n">
        <v>53</v>
      </c>
      <c r="D438" t="inlineStr">
        <is>
          <t>Arc corrompu; Amulette Séculaire; Alliance Gloursonne; Kralano; Bouclier du Cycloïde; Ceinture de Vortex; Coiffe Séculaire; Cape de Diondin; Pantoufles Émar; Dofus Pourpre; Vigoureux majeur; Remueur; Érudit majeur; Miraculé majeur; Nomade; Willy le Relou</t>
        </is>
      </c>
    </row>
    <row r="439">
      <c r="A439" t="inlineStr">
        <is>
          <t>feu terre lamelle</t>
        </is>
      </c>
      <c r="B439">
        <f>HYPERLINK("https://www.dofusbook.net/fr/equipement/5181032-feu-terre-lamelle/objets", "link")</f>
        <v/>
      </c>
      <c r="C439" t="n">
        <v>50</v>
      </c>
      <c r="D439" t="inlineStr">
        <is>
          <t>Arc à Lamelles; Amulette du Strigide; Bague Gloursonne; Anneau Chevelu; Quatre-feuilles; Ceinture du Strigide; Masque de Koutoulou; Cape au Logis; Sabots Minables; Dofus des Glaces; Dofus Pourpre; Dofus Turquoise; Remueur; Vigoureux majeur; Nomade; Kokulte</t>
        </is>
      </c>
    </row>
    <row r="440">
      <c r="A440" t="inlineStr">
        <is>
          <t>feu air crit volk</t>
        </is>
      </c>
      <c r="B440">
        <f>HYPERLINK("https://www.dofusbook.net/fr/equipement/5319185-feu-air-crit-volk/objets", "link")</f>
        <v/>
      </c>
      <c r="C440" t="n">
        <v>37</v>
      </c>
      <c r="D440" t="inlineStr">
        <is>
          <t>Baguette Range; Amulette Volkorne; Bracelet du Piloztère; Anneau de Padgref; Quatre-feuilles; Ceinture Séculaire; Casque Volkorne; Cape de Diondin; Bottes du Cycloïde; Dofus Pourpre; Dofus Turquoise; Dofus des Glaces; Érudit majeur; Nomade; Remueur; Kokulte</t>
        </is>
      </c>
    </row>
    <row r="441">
      <c r="A441" t="inlineStr">
        <is>
          <t>eau 200 exo</t>
        </is>
      </c>
      <c r="B441">
        <f>HYPERLINK("https://www.dofusbook.net/fr/equipement/4796918-eau-200-exo/objets", "link")</f>
        <v/>
      </c>
      <c r="C441" t="n">
        <v>120</v>
      </c>
      <c r="D441" t="inlineStr">
        <is>
          <t>Sceptre du Roi Joueur; Amulette de Shokkoth; Alliance Gloursonne; Bracelet des Fonds marins; Bouclier d'Ilyzaelle; Ceinture Glaciale; Casque d'Ilyzaelle; Cape Solution; Pataugastrique; Dofus des Glaces; Saccageur Eau majeur; Dévastateur Eau; Dévastateur Eau majeur; Nomade; Chanceux majeur; Kanigloups</t>
        </is>
      </c>
    </row>
    <row r="442">
      <c r="A442" t="inlineStr">
        <is>
          <t>terre crit stri</t>
        </is>
      </c>
      <c r="B442">
        <f>HYPERLINK("https://www.dofusbook.net/fr/equipement/4602622-terre-crit-stri/objets", "link")</f>
        <v/>
      </c>
      <c r="C442" t="n">
        <v>169</v>
      </c>
      <c r="D442" t="inlineStr">
        <is>
          <t>Marteau R'ture; Amulette du Strigide; Anneau Chevelu; Bague Gloursonne; Bouclier Taverne; Ceinture du Strigide; Masque de Koutoulou; Cape au Logis; Sabots Minables; Dofus Turquoise; Dofus Pourpre; Remueur; Enragé majeur; Vigoureux majeur; Nomade; Dragodinde Emeraude et Pourpre</t>
        </is>
      </c>
    </row>
    <row r="443">
      <c r="A443" t="inlineStr">
        <is>
          <t>eau air crit ini</t>
        </is>
      </c>
      <c r="B443">
        <f>HYPERLINK("https://www.dofusbook.net/fr/equipement/5265891-eau-air-crit-ini/objets", "link")</f>
        <v/>
      </c>
      <c r="C443" t="n">
        <v>48</v>
      </c>
      <c r="D443" t="inlineStr">
        <is>
          <t>Arc de Koutoulou; Amulette du Strigide; Alliance Gloursonne; Bracelet du Piloztère; Quatre-feuilles; Ceinture Voldelor; Kidibonnet; Chevelure de Tal Kasha; Bottes Voldelor; Dofus Pourpre; Dofus des Glaces; Vigoureux majeur; Nomade; Chanceux majeur; Remueur; Chaperlipopette</t>
        </is>
      </c>
    </row>
    <row r="444">
      <c r="A444" t="inlineStr">
        <is>
          <t>air low cost 200</t>
        </is>
      </c>
      <c r="B444">
        <f>HYPERLINK("https://www.dofusbook.net/fr/equipement/4828853-air-low-cost-200/objets", "link")</f>
        <v/>
      </c>
      <c r="C444" t="n">
        <v>75</v>
      </c>
      <c r="D444" t="inlineStr">
        <is>
          <t>Karnak; Collier du Valet Veinard; Alliance Gloursonne; Gant du Valet Veinard; Bouclier d'Ilyzaelle; Menoture; Couronne d'Allister; Cape Indescriptible; Baleinabottes; Dofus Pourpre; Dofus des Glaces; Remueur; Dévastateur Air majeur; Nomade; Cascadeur majeur; Blérodoudou</t>
        </is>
      </c>
    </row>
    <row r="445">
      <c r="A445" t="inlineStr">
        <is>
          <t>feu ini</t>
        </is>
      </c>
      <c r="B445">
        <f>HYPERLINK("https://www.dofusbook.net/fr/equipement/4530957-feu-ini/objets", "link")</f>
        <v/>
      </c>
      <c r="C445" t="n">
        <v>162</v>
      </c>
      <c r="D445" t="inlineStr">
        <is>
          <t>Arc Honte; Amulette Martegel; Anneauræus; Anneauræus; Bouclier du Stalak; Ceinture de Vortex; Heaume Oplate; Cape Martegel; Bottes Refois; Dolmanax; Dofus Nébuleux; Dofus Ébène; Dofus Pourpre; Nomade; Érudit majeur; Kougnard</t>
        </is>
      </c>
    </row>
    <row r="446">
      <c r="A446" t="inlineStr">
        <is>
          <t>ret pm ini</t>
        </is>
      </c>
      <c r="B446">
        <f>HYPERLINK("https://www.dofusbook.net/fr/equipement/5220052-ret-pm-ini/objets", "link")</f>
        <v/>
      </c>
      <c r="C446" t="n">
        <v>46</v>
      </c>
      <c r="D446" t="inlineStr">
        <is>
          <t>Marteau R'ture; Amulette des Chocomanciens; Anneau Tamie; Anneau Tamie; Bouclier cubiste; Ceinture des Chocomanciens; Boucle d'oreille de Kongoku; Cape de Léthaline; Pantoufles Émar; Précurseur majeur; Ralentisseur majeur; Fonceur majeur; Entraveur majeur; Remueur; Temporiseur majeur; Gwo Tofu Ventripotent</t>
        </is>
      </c>
    </row>
    <row r="447">
      <c r="A447" t="inlineStr">
        <is>
          <t>terre tac ret</t>
        </is>
      </c>
      <c r="B447">
        <f>HYPERLINK("https://www.dofusbook.net/fr/equipement/4114960-terre-tac-ret/objets", "link")</f>
        <v/>
      </c>
      <c r="C447" t="n">
        <v>197</v>
      </c>
      <c r="D447" t="inlineStr">
        <is>
          <t>Lav'Hache; Amulette du Strigide; Anneau Chevelu; Anneau Crustique; Sept ans de malheur; Ceintouse; Chapoulpe; Voile d'encre; Sabots Minables; Dofus Ocre; Dofus Ivoire; Dofus Pourpre; Dofus Émeraude; Étourdisseur majeur; Nomade; Drakopin</t>
        </is>
      </c>
    </row>
    <row r="448">
      <c r="A448" t="inlineStr">
        <is>
          <t>terre air no exo</t>
        </is>
      </c>
      <c r="B448">
        <f>HYPERLINK("https://www.dofusbook.net/fr/equipement/4797172-terre-air-no-exo/objets", "link")</f>
        <v/>
      </c>
      <c r="C448" t="n">
        <v>63</v>
      </c>
      <c r="D448" t="inlineStr">
        <is>
          <t>Hache Ériphe; Amulette du Cœur Vaillant; Alliance Gloursonne; Bracelet du Piloztère; Cadran d'Air; Ceinture de la Reine des Voleurs; Coiffe de la Reine des Voleurs; Cape au Logis; Baleinabottes; Dofus Pourpre; Vigoureux majeur; Nomade; Miraculé majeur; Robuste majeur; Remueur; Volkorne Pourpre et Ebène</t>
        </is>
      </c>
    </row>
    <row r="449">
      <c r="A449" t="inlineStr">
        <is>
          <t>eau ret</t>
        </is>
      </c>
      <c r="B449">
        <f>HYPERLINK("https://www.dofusbook.net/fr/equipement/5184353-eau-ret-/objets", "link")</f>
        <v/>
      </c>
      <c r="C449" t="n">
        <v>80</v>
      </c>
      <c r="D449" t="inlineStr">
        <is>
          <t>Sceptre du Roi Joueur; Amulette de Shokkoth; Bracelet des Fonds marins; Alliance Gloursonne; Cadran de Terre; Sangle Ouare; Masque de Funespadon; Cape Solution; Chaussons de Macrab; Dofus Ébène; Dofus des Glaces; Dofus Ocre; Dofus Ivoire; Étourdisseur majeur; Chanceux majeur; Boskito</t>
        </is>
      </c>
    </row>
    <row r="450">
      <c r="A450" t="inlineStr">
        <is>
          <t>eau/feu low cost sacr</t>
        </is>
      </c>
      <c r="B450">
        <f>HYPERLINK("https://www.dofusbook.net/fr/equipement/5167091-eau-feu-low-cost-sacr/objets", "link")</f>
        <v/>
      </c>
      <c r="C450" t="n">
        <v>26</v>
      </c>
      <c r="D450" t="inlineStr">
        <is>
          <t>Couteaux Sacrificiels; Amulette Volkorne; Alliance Gloursonne; Anneau Volkorne; Bouclier Taverne; Sangle Ouare; Masque Paztek; Cape Matelassée; Pataugastrique; Dofus des Glaces; Dofus Pourpre; Vigoureux majeur; Nomade; Robuste majeur; Remueur; Walk</t>
        </is>
      </c>
    </row>
    <row r="451">
      <c r="A451" t="inlineStr">
        <is>
          <t>eau no exo</t>
        </is>
      </c>
      <c r="B451">
        <f>HYPERLINK("https://www.dofusbook.net/fr/equipement/5188408-eau-no-exo/objets", "link")</f>
        <v/>
      </c>
      <c r="C451" t="n">
        <v>28</v>
      </c>
      <c r="D451" t="inlineStr">
        <is>
          <t>Rapière aux Glyphes; Amulette du Sinistrofu; Alliance Gloursonne; Bracelet du Piloztère; Bouclier du Stalak; Sangle Ouare; Kidibonnet; Cape Solution; Bottes du Sinistrofu; Dofus Pourpre; Nomade; Chanceux majeur; Vigoureux majeur; Remueur; Robuste majeur; Kanigloups</t>
        </is>
      </c>
    </row>
    <row r="452">
      <c r="A452" t="inlineStr">
        <is>
          <t>terre air crit stri</t>
        </is>
      </c>
      <c r="B452">
        <f>HYPERLINK("https://www.dofusbook.net/fr/equipement/5196974-terre-air-crit-stri/objets", "link")</f>
        <v/>
      </c>
      <c r="C452" t="n">
        <v>43</v>
      </c>
      <c r="D452" t="inlineStr">
        <is>
          <t>Héqache; Amulette du Strigide; Bracelet du Piloztère; Alliance Gloursonne; Bouclier Taverne; Ceinture du Strigide; Masque de Koutoulou; Cape au Logis; Baleinabottes; Dofus Pourpre; Dofus Turquoise; Vigoureux majeur; Nomade; Cascadeur majeur; Remueur; Dragodinde Emeraude et Ivoire</t>
        </is>
      </c>
    </row>
    <row r="453">
      <c r="A453" t="inlineStr">
        <is>
          <t>eau feu sacri exo</t>
        </is>
      </c>
      <c r="B453">
        <f>HYPERLINK("https://www.dofusbook.net/fr/equipement/5198039-eau-feu-sacri-exo/objets", "link")</f>
        <v/>
      </c>
      <c r="C453" t="n">
        <v>28</v>
      </c>
      <c r="D453" t="inlineStr">
        <is>
          <t>Couteaux Sacrificiels; Amulette Volkorne; Anneau Volkorne; Alliance Gloursonne; Bouclier d'Ilyzaelle; Ceintrigue; Kidibonnet; Voile d'encre; Bottes de Meno; Dofus Ébène; Dofus Ivoire; Dofus Pourpre; Dofus des Glaces; Dofus Ocre; Nomade; Walk</t>
        </is>
      </c>
    </row>
    <row r="454">
      <c r="A454" t="inlineStr">
        <is>
          <t>eau/air no cc voila</t>
        </is>
      </c>
      <c r="B454">
        <f>HYPERLINK("https://www.dofusbook.net/fr/equipement/3030356-eau-air-no-cc-voila/objets", "link")</f>
        <v/>
      </c>
      <c r="C454" t="n">
        <v>800</v>
      </c>
      <c r="D454" t="inlineStr">
        <is>
          <t>Marteau des Anciens Steamers; Amulette d'Ilyzaelle; Alliance Gloursonne; Bracelet du Piloztère; Bouclier Taverne; Ceintacé; Casque d'Ilyzaelle; Voilamibe; Bottes de la Reine des Voleurs; Dolmanax; Dofus Pourpre; Dofus des Glaces; Robuste majeur; Vigoureux majeur; Remueur; Mini Wa</t>
        </is>
      </c>
    </row>
    <row r="455">
      <c r="A455" t="inlineStr">
        <is>
          <t>air cape sram</t>
        </is>
      </c>
      <c r="B455">
        <f>HYPERLINK("https://www.dofusbook.net/fr/equipement/4887968-air-cape-sram/objets", "link")</f>
        <v/>
      </c>
      <c r="C455" t="n">
        <v>71</v>
      </c>
      <c r="D455" t="inlineStr">
        <is>
          <t>Manthache; Collier du Valet Veinard; Alliance Gloursonne; Gant du Valet Veinard; Bouclier du Stalak; Menoture; Couronne d'Allister; Cape Routh; Palmes Trithons; Dofus des Glaces; Remueur; Nomade; Cascadeur majeur; Dévastateur Air majeur; Saccageur Air majeur; Blérodoudou</t>
        </is>
      </c>
    </row>
    <row r="456">
      <c r="A456" t="inlineStr">
        <is>
          <t>eau air crit volk</t>
        </is>
      </c>
      <c r="B456">
        <f>HYPERLINK("https://www.dofusbook.net/fr/equipement/5198833-eau-air-crit-volk/objets", "link")</f>
        <v/>
      </c>
      <c r="C456" t="n">
        <v>54</v>
      </c>
      <c r="D456" t="inlineStr">
        <is>
          <t>Arc de Koutoulou; Amulette du Strigide; Alliance Gloursonne; Anneau Volkorne; Quatre-feuilles; Ceintacé; Casque Volkorne; Chevelure de Tal Kasha; Bottes Voldelor; Dofus Turquoise; Dofus Pourpre; Dofus des Glaces; Nomade; Remueur; Fonceur majeur; Kokulte</t>
        </is>
      </c>
    </row>
    <row r="457">
      <c r="A457" t="inlineStr">
        <is>
          <t>ret ini no exo</t>
        </is>
      </c>
      <c r="B457">
        <f>HYPERLINK("https://www.dofusbook.net/fr/equipement/5003386-ret-ini-no-exo/objets", "link")</f>
        <v/>
      </c>
      <c r="C457" t="n">
        <v>73</v>
      </c>
      <c r="D457" t="inlineStr">
        <is>
          <t>Marteau R'ture; Amulette du Glourséleste; Anneau Tamie; Bague Instable; Bouclier cubiste; Ceinture Instable; Casquipik; Cape de Léthaline; Pantoufles Émar; Dofus Cawotte; Temporiseur; Entraveur majeur; Entraveur; Temporiseur majeur; Remueur; Volkorne Turquoise</t>
        </is>
      </c>
    </row>
    <row r="458">
      <c r="A458" t="inlineStr">
        <is>
          <t>feu mid cost</t>
        </is>
      </c>
      <c r="B458">
        <f>HYPERLINK("https://www.dofusbook.net/fr/equipement/4631787-feu-mid-cost/objets", "link")</f>
        <v/>
      </c>
      <c r="C458" t="n">
        <v>145</v>
      </c>
      <c r="D458" t="inlineStr">
        <is>
          <t>Arc corrompu; Amulette Séculaire; Bague Gloursonne; Anneau Tique; Bouclier du Stalak; Ceinture de Vortex; Coiffe Séculaire; Cape de Diondin; Bottes Innommables; Dofus Pourpre; Nomade; Robuste majeur; Érudit majeur; Vigoureux majeur; Remueur; Brûlih</t>
        </is>
      </c>
    </row>
    <row r="459">
      <c r="A459" t="inlineStr">
        <is>
          <t>eau terre 200</t>
        </is>
      </c>
      <c r="B459">
        <f>HYPERLINK("https://www.dofusbook.net/fr/equipement/4990685-eau-terre-200/objets", "link")</f>
        <v/>
      </c>
      <c r="C459" t="n">
        <v>94</v>
      </c>
      <c r="D459" t="inlineStr">
        <is>
          <t>Dagues de Srambad; Amulette Volkorne; Anneau en Grithril; Anneau Volkorne; Bouclier d'Ilyzaelle; Ceinture Volkorne; Casque en Grithril; Voile d'encre; Bottes Honyme; Dofus Turquoise; Dofus Ébène; Dofus Pourpre; Dofus Ivoire; Dofus Ocre</t>
        </is>
      </c>
    </row>
    <row r="460">
      <c r="A460" t="inlineStr">
        <is>
          <t>multi crit do crit</t>
        </is>
      </c>
      <c r="B460">
        <f>HYPERLINK("https://www.dofusbook.net/fr/equipement/5218302-multi-crit-do-crit/objets", "link")</f>
        <v/>
      </c>
      <c r="C460" t="n">
        <v>81</v>
      </c>
      <c r="D460" t="inlineStr">
        <is>
          <t>Hache du Chalœil; Amulette Volkorne; Anneau Volkorne; Bague Trithon; Quatre-feuilles; Ceinture Volkorne; Masque Trithon; Cape Peupret; Bottes Trithon; Dofus Pourpre; Dofus des Glaces; Dofus Turquoise; Dolmanax; Dofus Ocre; Kokulte</t>
        </is>
      </c>
    </row>
    <row r="461">
      <c r="A461" t="inlineStr">
        <is>
          <t>terre crit opti</t>
        </is>
      </c>
      <c r="B461">
        <f>HYPERLINK("https://www.dofusbook.net/fr/equipement/5218883-terre-crit-opti/objets", "link")</f>
        <v/>
      </c>
      <c r="C461" t="n">
        <v>88</v>
      </c>
      <c r="D461" t="inlineStr">
        <is>
          <t>Arc du Chalœil; Amulette du Strigide; Anneau Volkorne; Anneau Chevelu; Quatre-feuilles; Ceinture Volkorne; Masque de Koutoulou; Cape au Logis; Bottes du Cœur Saignant; Dofus Ébène; Dofus Turquoise; Dofus Pourpre; Dofus Ivoire; Enragé majeur; Remueur; Dragodinde Emeraude et Pourpre</t>
        </is>
      </c>
    </row>
    <row r="462">
      <c r="A462" t="inlineStr">
        <is>
          <t>air pvm 200</t>
        </is>
      </c>
      <c r="B462">
        <f>HYPERLINK("https://www.dofusbook.net/fr/equipement/4601339-air-pvm-200/objets", "link")</f>
        <v/>
      </c>
      <c r="C462" t="n">
        <v>93</v>
      </c>
      <c r="D462" t="inlineStr">
        <is>
          <t>Manthache; Collier du Valet Veinard; Alliance Gloursonne; Gant du Valet Veinard; Bouclier du Stalak; Menoture; Couronne d'Allister; Cape Indescriptible; Palmes Trithons; Dofus Ocre; Dofus des Glaces; Saccageur Air majeur; Nomade; Dévastateur Air majeur; Cascadeur majeur; Blérodoudou</t>
        </is>
      </c>
    </row>
    <row r="463">
      <c r="A463" t="inlineStr">
        <is>
          <t>terre crit opti</t>
        </is>
      </c>
      <c r="B463">
        <f>HYPERLINK("https://www.dofusbook.net/fr/equipement/5219563-terre-crit-opti/objets", "link")</f>
        <v/>
      </c>
      <c r="C463" t="n">
        <v>36</v>
      </c>
      <c r="D463" t="inlineStr">
        <is>
          <t>Marteau R'ture; Amulette du Strigide; Anneau Chevelu; Anneau Volkorne; Bouclier d'Ilyzaelle; Ceinture Volkorne; Masque de Koutoulou; Cape au Logis; Bottes du Cœur Saignant; Dofus Pourpre; Dofus Ivoire; Dofus Ébène; Dofus Ocre; Dofus Turquoise; Enragé majeur; Dragodinde Emeraude et Pourpre</t>
        </is>
      </c>
    </row>
    <row r="464">
      <c r="A464" t="inlineStr">
        <is>
          <t>eau full exo</t>
        </is>
      </c>
      <c r="B464">
        <f>HYPERLINK("https://www.dofusbook.net/fr/equipement/5219654-eau-full-exo/objets", "link")</f>
        <v/>
      </c>
      <c r="C464" t="n">
        <v>21</v>
      </c>
      <c r="D464" t="inlineStr">
        <is>
          <t>Epée Loponèze; Amulette d'Ilyzaelle; Bracelet des Fonds marins; Alliance Gloursonne; Cadran d'Air; Sangle Ouare; Casque d'Ilyzaelle; Cape Solution; Bottes du Sinistrofu; Dofus Pourpre; Dofus Ivoire; Remueur; Robuste majeur; Chanceux majeur; Vigoureux majeur; Kanigloups</t>
        </is>
      </c>
    </row>
    <row r="465">
      <c r="A465" t="inlineStr">
        <is>
          <t>eau jahash</t>
        </is>
      </c>
      <c r="B465">
        <f>HYPERLINK("https://www.dofusbook.net/fr/equipement/5219865-eau-jahash/objets", "link")</f>
        <v/>
      </c>
      <c r="C465" t="n">
        <v>24</v>
      </c>
      <c r="D465" t="inlineStr">
        <is>
          <t>Rapière aux Glyphes; Amulette du Sinistrofu; Alliance Gloursonne; Bracelet des Fonds marins; Bouclier alvéolé; Sangle Ouare; Kidibonnet; Cape de Jahash Jurgen; Bottes du Sinistrofu; Dofus Pourpre; Dofus Ébène; Dofus Ocre; Dofus des Glaces; Dofus Ivoire; Chanceux majeur; Kanigloups</t>
        </is>
      </c>
    </row>
    <row r="466">
      <c r="A466" t="inlineStr">
        <is>
          <t>air basique</t>
        </is>
      </c>
      <c r="B466">
        <f>HYPERLINK("https://www.dofusbook.net/fr/equipement/4456241-air-basique/objets", "link")</f>
        <v/>
      </c>
      <c r="C466" t="n">
        <v>326</v>
      </c>
      <c r="D466" t="inlineStr">
        <is>
          <t>Manthache; Collier du Valet Veinard; Gant du Valet Veinard; Alliance Gloursonne; Bouclier du Stalak; Menoture; Casque Dragoeuf; Cape Indescriptible; Palmes Trithons; Dofus Ivoire; Dofus Émeraude; Dofus Pourpre; Cascadeur majeur; Remueur; Nomade; Bwak d'Air</t>
        </is>
      </c>
    </row>
    <row r="467">
      <c r="A467" t="inlineStr">
        <is>
          <t>air 199 low cost</t>
        </is>
      </c>
      <c r="B467">
        <f>HYPERLINK("https://www.dofusbook.net/fr/equipement/3030344-air-199-low-cost/objets", "link")</f>
        <v/>
      </c>
      <c r="C467" t="n">
        <v>232</v>
      </c>
      <c r="D467" t="inlineStr">
        <is>
          <t>Karnak; Pendentif Oton; Alliance Gloursonne; Anneau d'Allister; Cadran d'Air; Ceinture Rasboulaire du Rasboul; Couronne d'Allister; Cape Matelassée; Pantoufles Émar; Dofus Pourpre; Cascadeur majeur; Remueur; Vigoureux majeur; Dévastateur Air majeur; Nomade; Dragodinde Ebène et Ivoire</t>
        </is>
      </c>
    </row>
    <row r="468">
      <c r="A468" t="inlineStr">
        <is>
          <t>eau low cost 200</t>
        </is>
      </c>
      <c r="B468">
        <f>HYPERLINK("https://www.dofusbook.net/fr/equipement/4991012-eau-low-cost-200/objets", "link")</f>
        <v/>
      </c>
      <c r="C468" t="n">
        <v>55</v>
      </c>
      <c r="D468" t="inlineStr">
        <is>
          <t>Epée Loponèze; Amulette de Shokkoth; Bracelet des Fonds marins; Alliance Gloursonne; Bouclier d'Ilyzaelle; Sangle Ouare; Casque d'Ilyzaelle; Cape Matelassée; Pataugastrique; Dofus Pourpre; Robuste majeur; Chanceux majeur; Vigoureux majeur; Nomade; Remueur; Dehluge</t>
        </is>
      </c>
    </row>
    <row r="469">
      <c r="A469" t="inlineStr">
        <is>
          <t>eau sacrificiel</t>
        </is>
      </c>
      <c r="B469">
        <f>HYPERLINK("https://www.dofusbook.net/fr/equipement/4862168-eau-sacrificiel/objets", "link")</f>
        <v/>
      </c>
      <c r="C469" t="n">
        <v>46</v>
      </c>
      <c r="D469" t="inlineStr">
        <is>
          <t>Couteaux Sacrificiels; Amulette Volkorne; Alliance Gloursonne; Anneau Volkorne; Bouclier Taverne; Sangle Ouare; Casque d'Ilyzaelle; Cape Matelassée; Pataugastrique; Dofus Pourpre; Dofus des Glaces; Vigoureux majeur; Nomade; Robuste majeur; Chanceux majeur; Dehluge</t>
        </is>
      </c>
    </row>
    <row r="470">
      <c r="A470" t="inlineStr">
        <is>
          <t>terre fallanster rykk</t>
        </is>
      </c>
      <c r="B470">
        <f>HYPERLINK("https://www.dofusbook.net/fr/equipement/5248126-terre-fallanster-rykk/objets", "link")</f>
        <v/>
      </c>
      <c r="C470" t="n">
        <v>26</v>
      </c>
      <c r="D470" t="inlineStr">
        <is>
          <t>Marteau R'ture; Amulette Volkorne; Anneau Chevelu; Anneau Volkorne; Droiture de Fallanster; Ceinture Volkorne; Masque de Koutoulou; Bravoure de Rykke Errel; Sabots Minables; Dofus Émeraude; Dofus Ivoire; Dofus Pourpre; Dofus Ébène; Dofus Abyssal; Bulbisou</t>
        </is>
      </c>
    </row>
    <row r="471">
      <c r="A471" t="inlineStr">
        <is>
          <t>feu eau crit exo</t>
        </is>
      </c>
      <c r="B471">
        <f>HYPERLINK("https://www.dofusbook.net/fr/equipement/5248366-feu-eau-crit-exo/objets", "link")</f>
        <v/>
      </c>
      <c r="C471" t="n">
        <v>90</v>
      </c>
      <c r="D471" t="inlineStr">
        <is>
          <t>Arc Nécrotique; Amulette Volkorne; Bracelet du Piloztère; Anneau Volkorne; Quatre-feuilles; Ceintacé; Casqnoar; Cape de la Dame du Hasard; Bottes du Chalœil; Dofus des Glaces; Dofus Pourpre; Dofus Turquoise; Remueur; Vigoureux majeur; Nomade; Kokulte</t>
        </is>
      </c>
    </row>
    <row r="472">
      <c r="A472" t="inlineStr">
        <is>
          <t>feu bottes classe hup</t>
        </is>
      </c>
      <c r="B472">
        <f>HYPERLINK("https://www.dofusbook.net/fr/equipement/5250790-feu-bottes-classe-hup/objets", "link")</f>
        <v/>
      </c>
      <c r="C472" t="n">
        <v>30</v>
      </c>
      <c r="D472" t="inlineStr">
        <is>
          <t>Arc corrompu; Amulette Volkorne; Anneauræus; Anneauræus; Bouclier du Stalak; Ceinture Volkorne; Heaume Oplate; Voile d'encre; Bottes Initiales; Dofus Vulbis; Dofus Abyssal; Dofus Ébène; Dofus Ivoire; Dofus Ocre; Érudit majeur; Dragodinde Ivoire et Orchidée</t>
        </is>
      </c>
    </row>
    <row r="473">
      <c r="A473" t="inlineStr">
        <is>
          <t>terre ini crit</t>
        </is>
      </c>
      <c r="B473">
        <f>HYPERLINK("https://www.dofusbook.net/fr/equipement/5267962-terre-ini-crit/objets", "link")</f>
        <v/>
      </c>
      <c r="C473" t="n">
        <v>49</v>
      </c>
      <c r="D473" t="inlineStr">
        <is>
          <t>Arc du Chalœil; Amulette du Strigide; Anneau Chevelu; Bague Gloursonne; Quatre-feuilles; Ceinture de la Cour Sombre; Masque de Koutoulou; Cape au Logis; Bottes de la Cour Sombre; Dofus Pourpre; Dofus Ivoire; Dofus Turquoise; Fonceur majeur; Enragé majeur; Nomade; Kougnard</t>
        </is>
      </c>
    </row>
    <row r="474">
      <c r="A474" t="inlineStr">
        <is>
          <t>multi exo</t>
        </is>
      </c>
      <c r="B474">
        <f>HYPERLINK("https://www.dofusbook.net/fr/equipement/5254843-multi-exo/objets", "link")</f>
        <v/>
      </c>
      <c r="C474" t="n">
        <v>102</v>
      </c>
      <c r="D474" t="inlineStr">
        <is>
          <t>Hache du Chalœil; Amulette du Strigide; Bracelet du Piloztère; Alliance de Missiz Frizz; Quatre-feuilles; Ceinture du Strigide; Casque du Chalœil; Cape Peupret; Bottes Honyme; Dofus Turquoise; Dofus des Glaces; Dofus Pourpre; Nomade; Remueur; Vigoureux majeur; Kokulte</t>
        </is>
      </c>
    </row>
    <row r="475">
      <c r="A475" t="inlineStr">
        <is>
          <t>feu eau air mid cost</t>
        </is>
      </c>
      <c r="B475">
        <f>HYPERLINK("https://www.dofusbook.net/fr/equipement/5268439-feu-eau-air-mid-cost/objets", "link")</f>
        <v/>
      </c>
      <c r="C475" t="n">
        <v>39</v>
      </c>
      <c r="D475" t="inlineStr">
        <is>
          <t>Baguette Hique; Amulette du Strigide; Bracelet du Piloztère; Alliance Gloursonne; Quatre-feuilles; Ceinture du Strigide; Le Dorado; Cape d'Atcham; Bottes Honyme; Dofus des Glaces; Dofus Pourpre; Dofus Turquoise; Vigoureux majeur; Nomade; Remueur; Kokulte</t>
        </is>
      </c>
    </row>
    <row r="476">
      <c r="A476" t="inlineStr">
        <is>
          <t>volkatcham</t>
        </is>
      </c>
      <c r="B476">
        <f>HYPERLINK("https://www.dofusbook.net/fr/equipement/5268465-volkatcham/objets", "link")</f>
        <v/>
      </c>
      <c r="C476" t="n">
        <v>71</v>
      </c>
      <c r="D476" t="inlineStr">
        <is>
          <t>Sabres d'Atcham; Amulette Volkorne; Bracelet du Piloztère; Anneau Volkorne; Quatre-feuilles; Ceintacé; Casque Volkorne; Cape d'Atcham; Sandales  d'Atcham; Dofus Turquoise; Dofus des Glaces; Dofus Pourpre; Kokulte</t>
        </is>
      </c>
    </row>
    <row r="477">
      <c r="A477" t="inlineStr">
        <is>
          <t>multi opti</t>
        </is>
      </c>
      <c r="B477">
        <f>HYPERLINK("https://www.dofusbook.net/fr/equipement/5273539-multi-opti/objets", "link")</f>
        <v/>
      </c>
      <c r="C477" t="n">
        <v>45</v>
      </c>
      <c r="D477" t="inlineStr">
        <is>
          <t>Hache du Chalœil; Amulette Volkorne; Anneau Volkorne; Bracelet du Piloztère; Quatre-feuilles; Ceinture Volkorne; Casque du Chalœil; Cape du Chalœil; Bottes du Chalœil; Dolmanax; Dofus Turquoise; Dofus Ocre; Dofus Ivoire; Dofus Pourpre; Dofus des Glaces; Fëanor</t>
        </is>
      </c>
    </row>
    <row r="478">
      <c r="A478" t="inlineStr">
        <is>
          <t>multi mid cost</t>
        </is>
      </c>
      <c r="B478">
        <f>HYPERLINK("https://www.dofusbook.net/fr/equipement/5293662-multi-mid-cost/objets", "link")</f>
        <v/>
      </c>
      <c r="C478" t="n">
        <v>58</v>
      </c>
      <c r="D478" t="inlineStr">
        <is>
          <t>Bâton Beau; Amulette du Strigide; Bracelet du Piloztère; Anneau Volkorne; Quatre-feuilles; Ceinture Volkorne; Maskrobe; Cape des Justiciers; Bottes du Chalœil; Dofus Pourpre; Dofus Turquoise; Dofus des Glaces; Nomade; Remueur; Vigoureux majeur; Kokulte</t>
        </is>
      </c>
    </row>
    <row r="479">
      <c r="A479" t="inlineStr">
        <is>
          <t>eau no crit exo</t>
        </is>
      </c>
      <c r="B479">
        <f>HYPERLINK("https://www.dofusbook.net/fr/equipement/4712225-eau-no-crit-exo/objets", "link")</f>
        <v/>
      </c>
      <c r="C479" t="n">
        <v>158</v>
      </c>
      <c r="D479" t="inlineStr">
        <is>
          <t>Epée Loponèze; Amulette de Shokkoth; Bracelet des Fonds marins; Alliance Gloursonne; Bouclier d'Ilyzaelle; Sangle Ouare; Casque d'Ilyzaelle; Cape Solution; Pataugastrique; Dofus des Glaces; Robuste majeur; Chanceux majeur; Vigoureux majeur; Kanigloups</t>
        </is>
      </c>
    </row>
    <row r="480">
      <c r="A480" t="inlineStr">
        <is>
          <t>air mid cost</t>
        </is>
      </c>
      <c r="B480">
        <f>HYPERLINK("https://www.dofusbook.net/fr/equipement/5300371-air-mid-cost/objets", "link")</f>
        <v/>
      </c>
      <c r="C480" t="n">
        <v>48</v>
      </c>
      <c r="D480" t="inlineStr">
        <is>
          <t>Karnak; Collier du Valet Veinard; Alliance Gloursonne; Gant du Valet Veinard; Bouclier d'Ilyzaelle; Menoture; Couronne d'Allister; Cape Indescriptible; Palmes Trithons; Dofus Pourpre; Dofus des Glaces; Cascadeur majeur; Nomade; Robuste majeur; Remueur; Siroko</t>
        </is>
      </c>
    </row>
    <row r="481">
      <c r="A481" t="inlineStr">
        <is>
          <t>feu eau no crit no ex</t>
        </is>
      </c>
      <c r="B481">
        <f>HYPERLINK("https://www.dofusbook.net/fr/equipement/5317350-feu-eau-no-crit-no-ex/objets", "link")</f>
        <v/>
      </c>
      <c r="C481" t="n">
        <v>37</v>
      </c>
      <c r="D481" t="inlineStr">
        <is>
          <t>Pyraguette; Amulette Volkorne; Bracelet du Piloztère; Anneau Volkorne; Bouclier du Stalak; Sangle Ouare; Coiffe Cryochrone; Cape des Justiciers; Pataugastrique; Dofus Pourpre; Dofus des Glaces; Vigoureux majeur; Remueur; Robuste majeur; Nomade; Walk</t>
        </is>
      </c>
    </row>
    <row r="482">
      <c r="A482" t="inlineStr">
        <is>
          <t>feu eau crit no exo</t>
        </is>
      </c>
      <c r="B482">
        <f>HYPERLINK("https://www.dofusbook.net/fr/equipement/5317356-feu-eau-crit-no-exo/objets", "link")</f>
        <v/>
      </c>
      <c r="C482" t="n">
        <v>35</v>
      </c>
      <c r="D482" t="inlineStr">
        <is>
          <t>Baguette Hique; Amulette Volkorne; Anneau Volkorne; Bracelet du Piloztère; Quatre-feuilles; Sangle Ouare; Coiffe Cryochrone; Cape des Justiciers; Pataugastrique; Dofus Turquoise; Dofus Pourpre; Dofus des Glaces; Nomade; Vigoureux majeur; Remueur; Kokulte</t>
        </is>
      </c>
    </row>
    <row r="483">
      <c r="A483" t="inlineStr">
        <is>
          <t>feu eau no crit</t>
        </is>
      </c>
      <c r="B483">
        <f>HYPERLINK("https://www.dofusbook.net/fr/equipement/5317367-feu-eau-no-crit/objets", "link")</f>
        <v/>
      </c>
      <c r="C483" t="n">
        <v>15</v>
      </c>
      <c r="D483" t="inlineStr">
        <is>
          <t>Pyraguette; Amulette Volkorne; Bracelet du Piloztère; Anneau Volkorne; Bouclier du Stalak; Sangle Ouare; Coiffe Cryochrone; Cape de la Dame du Hasard; Pataugastrique; Dofus Pourpre; Dofus des Glaces; Vigoureux majeur; Remueur; Robuste majeur; Nomade; Walk</t>
        </is>
      </c>
    </row>
    <row r="484">
      <c r="A484" t="inlineStr">
        <is>
          <t>feu eau crit</t>
        </is>
      </c>
      <c r="B484">
        <f>HYPERLINK("https://www.dofusbook.net/fr/equipement/5317371-feu-eau-crit/objets", "link")</f>
        <v/>
      </c>
      <c r="C484" t="n">
        <v>33</v>
      </c>
      <c r="D484" t="inlineStr">
        <is>
          <t>Baguette Hique; Amulette Volkorne; Anneau Volkorne; Bracelet du Piloztère; Quatre-feuilles; Sangle Ouare; Coiffe Cryochrone; Cape de la Dame du Hasard; Pataugastrique; Dofus Turquoise; Dofus Pourpre; Dofus des Glaces; Nomade; Vigoureux majeur; Remueur; Kokulte</t>
        </is>
      </c>
    </row>
    <row r="485">
      <c r="A485" t="inlineStr">
        <is>
          <t>multi mid cost</t>
        </is>
      </c>
      <c r="B485">
        <f>HYPERLINK("https://www.dofusbook.net/fr/equipement/4650181-multi-mid-cost/objets", "link")</f>
        <v/>
      </c>
      <c r="C485" t="n">
        <v>432</v>
      </c>
      <c r="D485" t="inlineStr">
        <is>
          <t>Bâton Beau; Amulette du Strigide; Alliance de Missiz Frizz; Bracelet du Piloztère; Quatre-feuilles; Ceinture du Strigide; Maskrobe; Cape des Justiciers; Bottes Honyme; Dofus Pourpre; Dofus Turquoise; Vigoureux majeur; Puissant majeur; Nomade; Remueur; Kokulte</t>
        </is>
      </c>
    </row>
    <row r="486">
      <c r="A486" t="inlineStr">
        <is>
          <t>multi no crit</t>
        </is>
      </c>
      <c r="B486">
        <f>HYPERLINK("https://www.dofusbook.net/fr/equipement/5325828-multi-no-crit/objets", "link")</f>
        <v/>
      </c>
      <c r="C486" t="n">
        <v>44</v>
      </c>
      <c r="D486" t="inlineStr">
        <is>
          <t>Hache du Chalœil; Amulette Volkorne; Bracelet du Piloztère; Anneau Volkorne; Bouclier du Stalak; Ceinture Volkorne; Masque de l'Esprit Salvateur; Voilamibe; Bottes Honyme; Dofus Pourpre; Dofus des Glaces; Dofus Ocre; Dofus Ébène; Dofus Abyssal; Robuste majeur; Écureuil Chenapan</t>
        </is>
      </c>
    </row>
    <row r="487">
      <c r="A487" t="inlineStr">
        <is>
          <t>tairfeu no crit</t>
        </is>
      </c>
      <c r="B487">
        <f>HYPERLINK("https://www.dofusbook.net/fr/equipement/4606671-tairfeu-no-crit/objets", "link")</f>
        <v/>
      </c>
      <c r="C487" t="n">
        <v>30</v>
      </c>
      <c r="D487" t="inlineStr">
        <is>
          <t>Dagues Érhy; Amulette de l'Indicible; Bracelet du Piloztère; Alliance Gloursonne; Bouclier du Stalak; Ceinture de l'Indicible; Masque Brûlâme; Voilamibe; Baleinabottes; Dofus des Glaces; Dofus Pourpre; Robuste majeur; Vigoureux majeur; Nomade; Remueur; Willy le Relou</t>
        </is>
      </c>
    </row>
    <row r="488">
      <c r="A488" t="inlineStr">
        <is>
          <t>terre crit volk no ex</t>
        </is>
      </c>
      <c r="B488">
        <f>HYPERLINK("https://www.dofusbook.net/fr/equipement/5330042-terre-crit-volk-no-ex/objets", "link")</f>
        <v/>
      </c>
      <c r="C488" t="n">
        <v>43</v>
      </c>
      <c r="D488" t="inlineStr">
        <is>
          <t>Marteau R'ture; Amulette du Strigide; Anneau Volkorne; Anneau Chevelu; Bouclier Taverne; Ceinture Volkorne; Masque de Koutoulou; Cape au Logis; Sabots Minables; Dofus Émeraude; Dofus Pourpre; Dofus Turquoise; Nomade; Remueur; Enragé majeur; Dragodinde Emeraude et Pourpre</t>
        </is>
      </c>
    </row>
    <row r="489">
      <c r="A489" t="inlineStr">
        <is>
          <t>feu crit 2.0</t>
        </is>
      </c>
      <c r="B489">
        <f>HYPERLINK("https://www.dofusbook.net/fr/equipement/4603911-feu-crit-2-0/objets", "link")</f>
        <v/>
      </c>
      <c r="C489" t="n">
        <v>148</v>
      </c>
      <c r="D489" t="inlineStr">
        <is>
          <t>Arc corrompu; Amulette Volkorne; Anneauræus; Anneauræus; Quatre-feuilles; Ceinture Volkorne; Heaume Oplate; Voile d'encre; Bottes de la Dame du Hasard; Dofus Pourpre; Dofus Turquoise; Dofus Ocre; Dofus Abyssal; Nomade; Érudit majeur; Bisouglours</t>
        </is>
      </c>
    </row>
    <row r="490">
      <c r="A490" t="inlineStr">
        <is>
          <t>multi arc volk</t>
        </is>
      </c>
      <c r="B490">
        <f>HYPERLINK("https://www.dofusbook.net/fr/equipement/5331922-multi-arc-volk/objets", "link")</f>
        <v/>
      </c>
      <c r="C490" t="n">
        <v>87</v>
      </c>
      <c r="D490" t="inlineStr">
        <is>
          <t>Arc Volkorne; Amulette Volkorne; Bracelet du Piloztère; Anneau Volkorne; Quatre-feuilles; Ceinture du Strigide; Casque du Chalœil; Cape des Malveilleurs; Bottes Honyme; Dofus Turquoise; Dofus des Glaces; Dofus Pourpre; Nomade; Remueur; Vigoureux majeur; Kokulte</t>
        </is>
      </c>
    </row>
    <row r="491">
      <c r="A491" t="inlineStr">
        <is>
          <t>eau crit 2.0</t>
        </is>
      </c>
      <c r="B491">
        <f>HYPERLINK("https://www.dofusbook.net/fr/equipement/5333105-eau-crit-2-0/objets", "link")</f>
        <v/>
      </c>
      <c r="C491" t="n">
        <v>39</v>
      </c>
      <c r="D491" t="inlineStr">
        <is>
          <t>Dagoulinantes; Amulette du Strigide; Alliance Gloursonne; Anneau Volkorne; Bouclier Taverne; Sangle Ouare; Kidibonnet; Cape Solution; Bottes du Strigide; Dofus Pourpre; Dofus Turquoise; Chanceux majeur; Remueur; Vigoureux majeur; Nomade; Kokulte</t>
        </is>
      </c>
    </row>
    <row r="492">
      <c r="A492" t="inlineStr">
        <is>
          <t>eau crit</t>
        </is>
      </c>
      <c r="B492">
        <f>HYPERLINK("https://www.dofusbook.net/fr/equipement/5333140-eau-crit-/objets", "link")</f>
        <v/>
      </c>
      <c r="C492" t="n">
        <v>71</v>
      </c>
      <c r="D492" t="inlineStr">
        <is>
          <t>Dagoulinantes; Amulette du Strigide; Anneau Volkorne; Alliance Gloursonne; Bouclier Taverne; Sangle Ouare; Kidibonnet; Cape de la Dame du Hasard; Bottes de la Dame du Hasard; Dofus Turquoise; Dofus Pourpre; Vigoureux majeur; Nomade; Chanceux majeur; Remueur; Kokulte</t>
        </is>
      </c>
    </row>
    <row r="493">
      <c r="A493" t="inlineStr">
        <is>
          <t>Tair crit volk</t>
        </is>
      </c>
      <c r="B493">
        <f>HYPERLINK("https://www.dofusbook.net/fr/equipement/5339028-tair-crit-volk/objets", "link")</f>
        <v/>
      </c>
      <c r="C493" t="n">
        <v>35</v>
      </c>
      <c r="D493" t="inlineStr">
        <is>
          <t>Héqache; Amulette du Strigide; Bracelet du Piloztère; Anneau Chevelu; Bouclier Taverne; Ceinture Volkorne; Casque Volkorne; Cape au Logis; Bottes Honyme; Dofus des Glaces; Dofus Pourpre; Dofus Turquoise; Cascadeur majeur; Remueur; Vigoureux majeur; Mékrabe</t>
        </is>
      </c>
    </row>
    <row r="494">
      <c r="A494" t="inlineStr">
        <is>
          <t>multi low cost no exo</t>
        </is>
      </c>
      <c r="B494">
        <f>HYPERLINK("https://www.dofusbook.net/fr/equipement/5339582-multi-low-cost-no-exo/objets", "link")</f>
        <v/>
      </c>
      <c r="C494" t="n">
        <v>71</v>
      </c>
      <c r="D494" t="inlineStr">
        <is>
          <t>Pyraguette; Amulette du Strigide; Alliance de Missiz Frizz; Alliance Gloursonne; Cadran de Terre; Ceintacé; Casque de Missiz Frizz; Voilamibe; Pantoufles Émar; Dofus Émeraude; Dofus Pourpre; Robuste majeur; Nomade; Vigoureux majeur; Remueur; Pioute rose</t>
        </is>
      </c>
    </row>
    <row r="495">
      <c r="A495" t="inlineStr">
        <is>
          <t>Ecaflip M 200</t>
        </is>
      </c>
      <c r="B495">
        <f>HYPERLINK("https://www.dofusbook.net/fr/equipement/4576822-ecaflip-m-200/objets", "link")</f>
        <v/>
      </c>
      <c r="C495" t="n">
        <v>79</v>
      </c>
      <c r="D495" t="inlineStr">
        <is>
          <t>Arc du Chalœil; Amulette du Strigide; Anneau Volkorne; Bracelet du Piloztère; Quatre-feuilles; Ceinture Volkorne; Masque de Koutoulou; Cape au Logis; Sabots Minables; Dofus Turquoise; Dofus Pourpre; Nomade; Vigoureux majeur; Remueur; Enragé majeur; Pioute vert</t>
        </is>
      </c>
    </row>
    <row r="496">
      <c r="A496" t="inlineStr">
        <is>
          <t>terre crit stri</t>
        </is>
      </c>
      <c r="B496">
        <f>HYPERLINK("https://www.dofusbook.net/fr/equipement/4136995-terre-crit-stri/objets", "link")</f>
        <v/>
      </c>
      <c r="C496" t="n">
        <v>186</v>
      </c>
      <c r="D496" t="inlineStr">
        <is>
          <t>Arc du Chalœil; Amulette du Strigide; Bracelet du Piloztère; Bague Gloursonne; Quatre-feuilles; Ceinture du Strigide; Coiffe de la Reine des Voleurs; Cape au Logis; Sabots Minables; Dofus Turquoise; Dofus Pourpre; Nomade; Remueur; Enragé majeur; Vigoureux majeur; Pioute vert</t>
        </is>
      </c>
    </row>
    <row r="497">
      <c r="A497" t="inlineStr">
        <is>
          <t>terre/air crit torke</t>
        </is>
      </c>
      <c r="B497">
        <f>HYPERLINK("https://www.dofusbook.net/fr/equipement/5378871-terre-air-crit-torke/objets", "link")</f>
        <v/>
      </c>
      <c r="C497" t="n">
        <v>105</v>
      </c>
      <c r="D497" t="inlineStr">
        <is>
          <t>Héqache; Amulette du Strigide; Bracelet du Piloztère; Alliance Gloursonne; Bouclier du Captain Amakna; Ceintacé; Corne de Torkélonia; Carapace de Torkélonia; Bottes du Cœur Vaillant; Dofus des Glaces; Dofus Turquoise; Dofus Pourpre; Vigoureux majeur; Nomade; Remueur; Kokulte</t>
        </is>
      </c>
    </row>
    <row r="498">
      <c r="A498" t="inlineStr">
        <is>
          <t>eau/air crit</t>
        </is>
      </c>
      <c r="B498">
        <f>HYPERLINK("https://www.dofusbook.net/fr/equipement/5448137-eau-air-crit/objets", "link")</f>
        <v/>
      </c>
      <c r="C498" t="n">
        <v>65</v>
      </c>
      <c r="D498" t="inlineStr">
        <is>
          <t>Marteau des Anciens Steamers; Amulette du Strigide; Bracelet du Piloztère; Alliance Gloursonne; Bouclier Taverne; Ceintacé; Némès de Tal Kasha; Cape des Malveilleurs; Sandales de Tal Kasha; Dofus Turquoise; Dofus des Glaces; Dofus Pourpre; Nomade; Remueur; Vigoureux majeur; Kokulte</t>
        </is>
      </c>
    </row>
    <row r="499">
      <c r="A499" t="inlineStr">
        <is>
          <t>air/eau no crit LC</t>
        </is>
      </c>
      <c r="B499">
        <f>HYPERLINK("https://www.dofusbook.net/fr/equipement/4834653-air-eau-no-crit-lc/objets", "link")</f>
        <v/>
      </c>
      <c r="C499" t="n">
        <v>89</v>
      </c>
      <c r="D499" t="inlineStr">
        <is>
          <t>Arc de Koutoulou; Amulette d'Ilyzaelle; Bracelet du Piloztère; Alliance Gloursonne; Bouclier du Stalak; Ceintacé; Casque d'Ilyzaelle; Voilamibe; Pantoufles Émar; Dofus Pourpre; Dofus des Glaces; Robuste majeur; Vigoureux majeur; Nomade; Remueur; Mini Wa</t>
        </is>
      </c>
    </row>
    <row r="500">
      <c r="A500" t="inlineStr">
        <is>
          <t>terre/air no crit</t>
        </is>
      </c>
      <c r="B500">
        <f>HYPERLINK("https://www.dofusbook.net/fr/equipement/5462623-terre-air-no-crit/objets", "link")</f>
        <v/>
      </c>
      <c r="C500" t="n">
        <v>18</v>
      </c>
      <c r="D500" t="inlineStr">
        <is>
          <t>Héqache; Amulette du Kamasterisk; Bracelet du Piloztère; Alliance Gloursonne; Bouclier du Stalak; Ceinture Volkorne; Casque Volkorne; Voilamibe; Baleinabottes; Dofus des Glaces; Dofus Pourpre; Robuste majeur; Remueur; Vigoureux majeur; Nomade; Mékrabe</t>
        </is>
      </c>
    </row>
    <row r="501">
      <c r="A501" t="inlineStr">
        <is>
          <t>Sacrieur M 200</t>
        </is>
      </c>
      <c r="B501">
        <f>HYPERLINK("https://www.dofusbook.net/fr/equipement/4864583-sacrieur-m-200/objets", "link")</f>
        <v/>
      </c>
      <c r="C501" t="n">
        <v>116</v>
      </c>
      <c r="D501" t="inlineStr">
        <is>
          <t>Marteau Phossile; Amulette Volkorne; Alliance Gloursonne; Anneau Volkorne; Bouclier Taverne; Ceintacé; Chapeau des Malveilleurs; Voile d'encre; Bottes du Cycloïde; Dofus Pourpre; Dofus Turquoise; Dofus Émeraude; Nomade; Vigoureux majeur; Remueur; Kokulte</t>
        </is>
      </c>
    </row>
    <row r="502">
      <c r="A502" t="inlineStr">
        <is>
          <t>Pandawa M 200</t>
        </is>
      </c>
      <c r="B502">
        <f>HYPERLINK("https://www.dofusbook.net/fr/equipement/4957091-pandawa-m-200/objets", "link")</f>
        <v/>
      </c>
      <c r="C502" t="n">
        <v>62</v>
      </c>
      <c r="D502" t="inlineStr">
        <is>
          <t>Le Thanos; Casque d'Ilyzaelle</t>
        </is>
      </c>
    </row>
    <row r="503">
      <c r="A503" t="inlineStr">
        <is>
          <t>Huppermage F 200</t>
        </is>
      </c>
      <c r="B503">
        <f>HYPERLINK("https://www.dofusbook.net/fr/equipement/5009637-huppermage-f-200/objets", "link")</f>
        <v/>
      </c>
      <c r="C503" t="n">
        <v>89</v>
      </c>
      <c r="D503" t="inlineStr"/>
    </row>
    <row r="504">
      <c r="A504" t="inlineStr">
        <is>
          <t>Roublard M 200</t>
        </is>
      </c>
      <c r="B504">
        <f>HYPERLINK("https://www.dofusbook.net/fr/equipement/4954396-roublard-m-200/objets", "link")</f>
        <v/>
      </c>
      <c r="C504" t="n">
        <v>24</v>
      </c>
      <c r="D504" t="inlineStr">
        <is>
          <t>Bisouglours</t>
        </is>
      </c>
    </row>
    <row r="505">
      <c r="A505" t="inlineStr">
        <is>
          <t>Ouginak M 200</t>
        </is>
      </c>
      <c r="B505">
        <f>HYPERLINK("https://www.dofusbook.net/fr/equipement/4954245-ouginak-m-200/objets", "link")</f>
        <v/>
      </c>
      <c r="C505" t="n">
        <v>33</v>
      </c>
      <c r="D505" t="inlineStr"/>
    </row>
    <row r="506">
      <c r="A506" t="inlineStr">
        <is>
          <t>Zobal M 200</t>
        </is>
      </c>
      <c r="B506">
        <f>HYPERLINK("https://www.dofusbook.net/fr/equipement/4954244-zobal-m-200/objets", "link")</f>
        <v/>
      </c>
      <c r="C506" t="n">
        <v>124</v>
      </c>
      <c r="D506" t="inlineStr"/>
    </row>
    <row r="507">
      <c r="A507" t="inlineStr">
        <is>
          <t>Steamer M 200</t>
        </is>
      </c>
      <c r="B507">
        <f>HYPERLINK("https://www.dofusbook.net/fr/equipement/4954168-steamer-m-200/objets", "link")</f>
        <v/>
      </c>
      <c r="C507" t="n">
        <v>72</v>
      </c>
      <c r="D507" t="inlineStr"/>
    </row>
    <row r="508">
      <c r="A508" t="inlineStr">
        <is>
          <t>Ecaflip F 200</t>
        </is>
      </c>
      <c r="B508">
        <f>HYPERLINK("https://www.dofusbook.net/fr/equipement/4954097-ecaflip-f-200/objets", "link")</f>
        <v/>
      </c>
      <c r="C508" t="n">
        <v>50</v>
      </c>
      <c r="D508" t="inlineStr"/>
    </row>
    <row r="509">
      <c r="A509" t="inlineStr">
        <is>
          <t>Crâ F 200</t>
        </is>
      </c>
      <c r="B509">
        <f>HYPERLINK("https://www.dofusbook.net/fr/equipement/4953932-cra-f-200/objets", "link")</f>
        <v/>
      </c>
      <c r="C509" t="n">
        <v>352</v>
      </c>
      <c r="D509" t="inlineStr"/>
    </row>
    <row r="510">
      <c r="A510" t="inlineStr">
        <is>
          <t>Osamodas F 200</t>
        </is>
      </c>
      <c r="B510">
        <f>HYPERLINK("https://www.dofusbook.net/fr/equipement/4953798-osamodas-f-200/objets", "link")</f>
        <v/>
      </c>
      <c r="C510" t="n">
        <v>73</v>
      </c>
      <c r="D510" t="inlineStr"/>
    </row>
    <row r="511">
      <c r="A511" t="inlineStr">
        <is>
          <t>Xélor F 200</t>
        </is>
      </c>
      <c r="B511">
        <f>HYPERLINK("https://www.dofusbook.net/fr/equipement/4953796-xelor-f-200/objets", "link")</f>
        <v/>
      </c>
      <c r="C511" t="n">
        <v>78</v>
      </c>
      <c r="D511" t="inlineStr"/>
    </row>
    <row r="512">
      <c r="A512" t="inlineStr">
        <is>
          <t>Sram M 200</t>
        </is>
      </c>
      <c r="B512">
        <f>HYPERLINK("https://www.dofusbook.net/fr/equipement/4721356-sram-m-200/objets", "link")</f>
        <v/>
      </c>
      <c r="C512" t="n">
        <v>130</v>
      </c>
      <c r="D512" t="inlineStr"/>
    </row>
    <row r="513">
      <c r="A513" t="inlineStr">
        <is>
          <t>test234</t>
        </is>
      </c>
      <c r="B513">
        <f>HYPERLINK("https://www.dofusbook.net/fr/equipement/4704952-test234/objets", "link")</f>
        <v/>
      </c>
      <c r="C513" t="n">
        <v>127</v>
      </c>
      <c r="D513" t="inlineStr"/>
    </row>
    <row r="514">
      <c r="A514" t="inlineStr">
        <is>
          <t>test123</t>
        </is>
      </c>
      <c r="B514">
        <f>HYPERLINK("https://www.dofusbook.net/fr/equipement/4704946-test123/objets", "link")</f>
        <v/>
      </c>
      <c r="C514" t="n">
        <v>64</v>
      </c>
      <c r="D514" t="inlineStr"/>
    </row>
    <row r="515">
      <c r="A515" t="inlineStr">
        <is>
          <t>Huppermage M 200</t>
        </is>
      </c>
      <c r="B515">
        <f>HYPERLINK("https://www.dofusbook.net/fr/equipement/3852664-huppermage-m-200/objets", "link")</f>
        <v/>
      </c>
      <c r="C515" t="n">
        <v>132</v>
      </c>
      <c r="D515" t="inlineStr"/>
    </row>
    <row r="516">
      <c r="A516" t="inlineStr">
        <is>
          <t>Stuff 1</t>
        </is>
      </c>
      <c r="B516">
        <f>HYPERLINK("https://www.dofusbook.net/fr/equipement/1922946-stuff-1/objets", "link")</f>
        <v/>
      </c>
      <c r="C516" t="n">
        <v>188</v>
      </c>
      <c r="D516" t="inlineStr">
        <is>
          <t>Dagues d'Ilyzaelle; Amulette Volkorne; Anneau Aimgéroks; Alliance Brûlâme; Némès de Tal Kasha; Chevelure de Tal Kasha; Pompes Funèbres; Dofus Ocre; Dofus Ivoire; Dofus Forgelave; Sanguinaire majeur</t>
        </is>
      </c>
    </row>
    <row r="517">
      <c r="A517" t="inlineStr">
        <is>
          <t>Test</t>
        </is>
      </c>
      <c r="B517">
        <f>HYPERLINK("https://www.dofusbook.net/fr/equipement/1137030-test/objets", "link")</f>
        <v/>
      </c>
      <c r="C517" t="n">
        <v>57</v>
      </c>
      <c r="D517" t="inlineStr"/>
    </row>
    <row r="518">
      <c r="A518" t="inlineStr">
        <is>
          <t>Stuff 3</t>
        </is>
      </c>
      <c r="B518">
        <f>HYPERLINK("https://www.dofusbook.net/fr/equipement/1136922-stuff-3/objets", "link")</f>
        <v/>
      </c>
      <c r="C518" t="n">
        <v>31</v>
      </c>
      <c r="D518" t="inlineStr">
        <is>
          <t>Rapière aux Glyphes; Amulette du Sinistrofu; Anneau Glacial; Bracelet des Fonds marins; Ceinture Glaciale; Masque des Fonds marins; Cape du Sinistrofu; Bottes du Sinistrofu</t>
        </is>
      </c>
    </row>
    <row r="519">
      <c r="A519" t="inlineStr">
        <is>
          <t>Stuff 3</t>
        </is>
      </c>
      <c r="B519">
        <f>HYPERLINK("https://www.dofusbook.net/fr/equipement/1136924-stuff-3/objets", "link")</f>
        <v/>
      </c>
      <c r="C519" t="n">
        <v>48</v>
      </c>
      <c r="D519" t="inlineStr">
        <is>
          <t>Épée de la Reine des Voleurs; Amulette du Strigide; Anneau de la Fuji Givrefoux; Anneau des égarés; Ceinture du Strigide; Casque des égarés; Cape de la Fuji Givrefoux; Bottes des égarés; Dolmanax; Dofus Turquoise; Dofus Ocre; Dofus Pourpre</t>
        </is>
      </c>
    </row>
    <row r="520">
      <c r="A520" t="inlineStr">
        <is>
          <t>Stuff 2</t>
        </is>
      </c>
      <c r="B520">
        <f>HYPERLINK("https://www.dofusbook.net/fr/equipement/1136921-stuff-2/objets", "link")</f>
        <v/>
      </c>
      <c r="C520" t="n">
        <v>57</v>
      </c>
      <c r="D520" t="inlineStr">
        <is>
          <t>Rapière aux Glyphes; Amulette du Sinistrofu; Bracelet des Fonds marins; Alliance Gloursonne; Ceinture de la Reine des Voleurs; Kidibonnet; Cape Glaciale; Bottes de la Reine des Voleurs; Remueur; Nomade</t>
        </is>
      </c>
    </row>
    <row r="521">
      <c r="A521" t="inlineStr">
        <is>
          <t>Stuff 1</t>
        </is>
      </c>
      <c r="B521">
        <f>HYPERLINK("https://www.dofusbook.net/fr/equipement/1136923-stuff-1/objets", "link")</f>
        <v/>
      </c>
      <c r="C521" t="n">
        <v>92</v>
      </c>
      <c r="D521" t="inlineStr">
        <is>
          <t>Pelle de la Cour Sombre; Amulette du Kamasterisk; Alliance Gloursonne; Anneau d'Allister; Ceinture du Barbétoal; Couronne d'Allister; Cape du Kamasterisk; Bottes d'Allister; Dofus des Glaces; Dofus Turquoise; Dolmanax; Dofus Ocre; Dragodinde Prune et Emeraude</t>
        </is>
      </c>
    </row>
    <row r="522">
      <c r="A522" t="inlineStr">
        <is>
          <t>Stuff 1</t>
        </is>
      </c>
      <c r="B522">
        <f>HYPERLINK("https://www.dofusbook.net/fr/equipement/1136920-stuff-1/objets", "link")</f>
        <v/>
      </c>
      <c r="C522" t="n">
        <v>34</v>
      </c>
      <c r="D522" t="inlineStr">
        <is>
          <t>Rapière aux Glyphes; Amulette du Sinistrofu; Anneau Glacial; Bracelet des Fonds marins; Ceinture Glaciale; Masque des Fonds marins; Cape Glaciale; Sandales des Fonds marins</t>
        </is>
      </c>
    </row>
    <row r="523">
      <c r="A523" t="inlineStr">
        <is>
          <t>Stuff 3</t>
        </is>
      </c>
      <c r="B523">
        <f>HYPERLINK("https://www.dofusbook.net/fr/equipement/134784-stuff-3/objets", "link")</f>
        <v/>
      </c>
      <c r="C523" t="n">
        <v>50</v>
      </c>
      <c r="D523" t="inlineStr">
        <is>
          <t>L'Epée Rilleuse; Amulette Ripage; Anneau Aimgéroks; Annolamour; Ceinture Hanium; Coiffe de la Fuji Givrefoux; Grésilocape; Sandales Pinistes</t>
        </is>
      </c>
    </row>
    <row r="524">
      <c r="A524" t="inlineStr">
        <is>
          <t>feu</t>
        </is>
      </c>
      <c r="B524">
        <f>HYPERLINK("https://www.dofusbook.net/fr/equipement/5452303-feu/objets", "link")</f>
        <v/>
      </c>
      <c r="C524" t="n">
        <v>66</v>
      </c>
      <c r="D524" t="inlineStr">
        <is>
          <t>Arc corrompu; Amulette Volkorne; Anneau Volkorne; Anneauræus; Bouclier du Stalak; Croture; Casque Dragoeuf; Cape de Diondin; Pataugastrique; Dofus Pourpre; Dofus Ivoire; Dofus Abyssal; Dofus Vulbis; Dofus Ébène; Érudit majeur; Bisouglours</t>
        </is>
      </c>
    </row>
    <row r="525">
      <c r="A525" t="inlineStr">
        <is>
          <t>terre</t>
        </is>
      </c>
      <c r="B525">
        <f>HYPERLINK("https://www.dofusbook.net/fr/equipement/5889766-terre/objets", "link")</f>
        <v/>
      </c>
      <c r="C525" t="n">
        <v>22</v>
      </c>
      <c r="D525" t="inlineStr">
        <is>
          <t>Arc du Chalœil; Collier de Tourthon; Anneau Volkorne; Anneau Chevelu; Bouclier du Stalak; Ceinture Volkorne; Casque Dragoeuf; Cape au Logis; Sabots Minables; Dofus Abyssal; Dofus Pourpre; Dofus Ébène; Dofus Ocre; Dofus Ivoire; Enragé majeur; Dragodinde Amande et Pourpre</t>
        </is>
      </c>
    </row>
    <row r="526">
      <c r="A526" t="inlineStr">
        <is>
          <t>terreairdocri</t>
        </is>
      </c>
      <c r="B526">
        <f>HYPERLINK("https://www.dofusbook.net/fr/equipement/4892842-terreairdocri/objets", "link")</f>
        <v/>
      </c>
      <c r="C526" t="n">
        <v>107</v>
      </c>
      <c r="D526" t="inlineStr">
        <is>
          <t>Amulette du Strigide; Alliance Gloursonne; Bague Gloursonne; Quatre-feuilles; Ceinture du Strigide; Corne de Torkélonia; Carapace de Torkélonia; Bottes du Strigide; Dofus Pourpre; Dofus Ébène; Dofus Ocre; Dofus Abyssal; Dofus Ivoire; Dofus Turquoise; Sakochère</t>
        </is>
      </c>
    </row>
    <row r="527">
      <c r="A527" t="inlineStr">
        <is>
          <t>fullair</t>
        </is>
      </c>
      <c r="B527">
        <f>HYPERLINK("https://www.dofusbook.net/fr/equipement/5497081-fullair/objets", "link")</f>
        <v/>
      </c>
      <c r="C527" t="n">
        <v>53</v>
      </c>
      <c r="D527" t="inlineStr">
        <is>
          <t>Manthache; Collier du Valet Veinard; Alliance Gloursonne; Gant du Valet Veinard; Bouclier du Stalak; Menoture; Dorabysses; Cape Martegel; Palmes Trithons; Dofus Ivoire; Dofus Ébène; Dofus Abyssal; Dofus Ocre; Cascadeur majeur; Blérodoudou</t>
        </is>
      </c>
    </row>
    <row r="528">
      <c r="A528" t="inlineStr">
        <is>
          <t>eauair</t>
        </is>
      </c>
      <c r="B528">
        <f>HYPERLINK("https://www.dofusbook.net/fr/equipement/5452632-eauair/objets", "link")</f>
        <v/>
      </c>
      <c r="C528" t="n">
        <v>45</v>
      </c>
      <c r="D528" t="inlineStr">
        <is>
          <t>Crocobur; Amulette d'Ilyzaelle; Bague Gloursonne; Alliance Gloursonne; Bouclier d'Ilyzaelle; Ceinture de la Reine des Voleurs; Casque d'Ilyzaelle; Voilamibe; Bottes de la Reine des Voleurs; Dofus Abyssal; Dofus Ocre; Dofus Ébène; Dofus Ivoire; Dofus Pourpre</t>
        </is>
      </c>
    </row>
    <row r="529">
      <c r="A529" t="inlineStr">
        <is>
          <t>reseau</t>
        </is>
      </c>
      <c r="B529">
        <f>HYPERLINK("https://www.dofusbook.net/fr/equipement/5524283-reseau/objets", "link")</f>
        <v/>
      </c>
      <c r="C529" t="n">
        <v>36</v>
      </c>
      <c r="D529" t="inlineStr">
        <is>
          <t>Dagues Érhy; Amulette Volkorne; Chevalière du Roi Joueur; Bague Gloursonne; Bouclier du Stalak; Ceinture Volkorne; Couronne du Roi Joueur; Cape de Jahash Jurgen; Bottes du Roi Joueur; Dokoko; Dofus Ocre; Dofus Abyssal; Dofus Ivoire; Dofus Pourpre; Dofus Vulbis</t>
        </is>
      </c>
    </row>
    <row r="530">
      <c r="A530" t="inlineStr">
        <is>
          <t>terreos</t>
        </is>
      </c>
      <c r="B530">
        <f>HYPERLINK("https://www.dofusbook.net/fr/equipement/5499524-terreos/objets", "link")</f>
        <v/>
      </c>
      <c r="C530" t="n">
        <v>74</v>
      </c>
      <c r="D530" t="inlineStr">
        <is>
          <t>Dagues d'Ilyzaelle; Amulette du Cœur Saignant; Anneau Volkorne; Chevalière du Roi Joueur; Bouclier du Captain Amakna; Ceinture Volkorne; Couronne du Roi Joueur; Cape du Cœur Saignant; Bottes du Cœur Saignant; Dofus Ocre; Dofus Ébène; Dofus Vulbis; Dofus Ivoire; Dofus Turquoise; Dofus Nébuleux; Pioute vert</t>
        </is>
      </c>
    </row>
    <row r="531">
      <c r="A531" t="inlineStr">
        <is>
          <t>stowy</t>
        </is>
      </c>
      <c r="B531">
        <f>HYPERLINK("https://www.dofusbook.net/fr/equipement/5338856-stowy/objets", "link")</f>
        <v/>
      </c>
      <c r="C531" t="n">
        <v>36</v>
      </c>
      <c r="D531" t="inlineStr">
        <is>
          <t>Quatre-feuilles</t>
        </is>
      </c>
    </row>
    <row r="532">
      <c r="A532" t="inlineStr">
        <is>
          <t>nunurox</t>
        </is>
      </c>
      <c r="B532">
        <f>HYPERLINK("https://www.dofusbook.net/fr/equipement/5320940-nunurox/objets", "link")</f>
        <v/>
      </c>
      <c r="C532" t="n">
        <v>65</v>
      </c>
      <c r="D532" t="inlineStr">
        <is>
          <t>Bâtonnet Ronien; Amulette du Strigide; Alliance Gloursonne; Anneau Volkorne; Quatre-feuilles; Ceinture du Strigide; Casque Volkorne; Chevelure de Tal Kasha; Sandales de Tal Kasha; Dolmanax; Dofus Turquoise; Dofus Vulbis; Dofus Ocre; Dofus Pourpre; Dofus des Glaces; Volkorne Emeraude et Indigo</t>
        </is>
      </c>
    </row>
    <row r="533">
      <c r="A533" t="inlineStr">
        <is>
          <t>Stuff 2</t>
        </is>
      </c>
      <c r="B533">
        <f>HYPERLINK("https://www.dofusbook.net/fr/equipement/395583-stuff-2/objets", "link")</f>
        <v/>
      </c>
      <c r="C533" t="n">
        <v>28</v>
      </c>
      <c r="D533" t="inlineStr">
        <is>
          <t>Bâton Brageut; Amulette du Glourséleste; Gelano; Kralano; Ceinture du Glourséleste; Masque du Glourséleste; Cape du Glourséleste; Bottes du Glourséleste; Dofus Cawotte; Dofus Ocre; Dofus Turquoise; Dofus Kaliptus; Pykur</t>
        </is>
      </c>
    </row>
    <row r="534">
      <c r="A534" t="inlineStr">
        <is>
          <t>Stuff 3</t>
        </is>
      </c>
      <c r="B534">
        <f>HYPERLINK("https://www.dofusbook.net/fr/equipement/395573-stuff-3/objets", "link")</f>
        <v/>
      </c>
      <c r="C534" t="n">
        <v>20</v>
      </c>
      <c r="D534" t="inlineStr">
        <is>
          <t>Épée d'Otomaï; Amulette d'Otomaï; Bague Gloursonne; Kralano; String Tue-Mouche; Coiffe de Padgref; Cape du Professeur Xa; Bottes d'Otomaï; Dofus des Glaces; Dofus Ocre; Dofus Turquoise; Dolmanax; Savant majeur; Soigneur majeur</t>
        </is>
      </c>
    </row>
    <row r="535">
      <c r="A535" t="inlineStr">
        <is>
          <t>Stuff 1</t>
        </is>
      </c>
      <c r="B535">
        <f>HYPERLINK("https://www.dofusbook.net/fr/equipement/395580-stuff-1/objets", "link")</f>
        <v/>
      </c>
      <c r="C535" t="n">
        <v>28</v>
      </c>
      <c r="D535" t="inlineStr">
        <is>
          <t>Bâton Brelle; Amulette du Glourséleste; Kralano; Gelano; Ceinture du Glourséleste; Masque du Glourséleste; Cape du Glourséleste; Bottes du Glourséleste; Dofus Ocre; Dofus Kaliptus; Dofus Turquoise; Dofus Cawotte; Ravageur Air majeur; Fugitif majeur; Pykur</t>
        </is>
      </c>
    </row>
    <row r="536">
      <c r="A536" t="inlineStr">
        <is>
          <t>Stuff 2</t>
        </is>
      </c>
      <c r="B536">
        <f>HYPERLINK("https://www.dofusbook.net/fr/equipement/395575-stuff-2/objets", "link")</f>
        <v/>
      </c>
      <c r="C536" t="n">
        <v>57</v>
      </c>
      <c r="D536" t="inlineStr">
        <is>
          <t>Epée Gloursonne; Amulette du Strigide; Alliance Gloursonne; Bague Gloursonne; Ceinture du Strigide; Coiffe de la Fuji Givrefoux; Cape de la Fuji Givrefoux; Bottes du Strigide; Dofus des Glaces; Dofus Turquoise; Dofus Pourpre; Dolmanax; Dofus Ocre; Furibond majeur; Dragodinde en armure</t>
        </is>
      </c>
    </row>
    <row r="537">
      <c r="A537" t="inlineStr">
        <is>
          <t>Stuff 1</t>
        </is>
      </c>
      <c r="B537">
        <f>HYPERLINK("https://www.dofusbook.net/fr/equipement/395565-stuff-1/objets", "link")</f>
        <v/>
      </c>
      <c r="C537" t="n">
        <v>43</v>
      </c>
      <c r="D537" t="inlineStr">
        <is>
          <t>Bâton Brageut; Kralamansion; Annolamour; Kralano; Slip Iholo; Chapeau Lochon; Cape du Professeur Xa; Sandales Pinistes; Dofus Ocre; Dofus Cawotte; Dofus Turquoise; Dofus Pourpre; Dofus Kaliptus; Savant majeur; Pykur</t>
        </is>
      </c>
    </row>
    <row r="538">
      <c r="A538" t="inlineStr">
        <is>
          <t>Stuff 1</t>
        </is>
      </c>
      <c r="B538">
        <f>HYPERLINK("https://www.dofusbook.net/fr/equipement/395582-stuff-1/objets", "link")</f>
        <v/>
      </c>
      <c r="C538" t="n">
        <v>28</v>
      </c>
      <c r="D538" t="inlineStr">
        <is>
          <t>Bâton Brageut; Kralamansion; Anneau Bliteré; Kralano; Ceinture Toré; Casque Harnage; Cape du Professeur Xa; Bottes Répané; Dofus Ocre; Dofus Turquoise; Dofus Kaliptus; Dofus Cawotte; Pykur</t>
        </is>
      </c>
    </row>
    <row r="539">
      <c r="A539" t="inlineStr">
        <is>
          <t>Stuff 2</t>
        </is>
      </c>
      <c r="B539">
        <f>HYPERLINK("https://www.dofusbook.net/fr/equipement/395572-stuff-2/objets", "link")</f>
        <v/>
      </c>
      <c r="C539" t="n">
        <v>19</v>
      </c>
      <c r="D539" t="inlineStr">
        <is>
          <t>Épée d'Otomaï; Amulette d'Otomaï; Bague Gloursonne; Kralano; Ceinture Séculaire; Coiffe Séculaire; Cape de Nileza; Bottes d'Otomaï; Dofus des Glaces; Dofus Ocre; Dofus Turquoise; Dolmanax; Savant majeur; Astucieux majeur; Brûlih</t>
        </is>
      </c>
    </row>
    <row r="540">
      <c r="A540" t="inlineStr">
        <is>
          <t>Stuff 3</t>
        </is>
      </c>
      <c r="B540">
        <f>HYPERLINK("https://www.dofusbook.net/fr/equipement/395567-stuff-3/objets", "link")</f>
        <v/>
      </c>
      <c r="C540" t="n">
        <v>40</v>
      </c>
      <c r="D540" t="inlineStr">
        <is>
          <t>Epée Gloursonne; Amulette Séculaire; Alliance Gloursonne; Bague Gloursonne; Ceinture Séculaire; Coiffe Séculaire; Cape de Léthaline; Bottes du Cycloïde; Dofus Ocre; Dofus Pourpre; Dofus Turquoise; Savant majeur; Ravageur Feu majeur; Astucieux majeur; Dragodinde en armure</t>
        </is>
      </c>
    </row>
    <row r="541">
      <c r="A541" t="inlineStr">
        <is>
          <t>Stuff 3</t>
        </is>
      </c>
      <c r="B541">
        <f>HYPERLINK("https://www.dofusbook.net/fr/equipement/395584-stuff-3/objets", "link")</f>
        <v/>
      </c>
      <c r="C541" t="n">
        <v>42</v>
      </c>
      <c r="D541" t="inlineStr">
        <is>
          <t>Rapière aux Glyphes; Amulette du Strigide; Anneau Glacial; Alliance Gloursonne; Ceinture du Strigide; Coiffe Ranshi; Cape Glaciale; Bottes du Strigide; Dofus Ocre; Dofus Turquoise; Dofus Pourpre; Dolmanax; Dofus Cawotte; Savant majeur; Dragodinde en armure</t>
        </is>
      </c>
    </row>
    <row r="542">
      <c r="A542" t="inlineStr">
        <is>
          <t>Stuff 1</t>
        </is>
      </c>
      <c r="B542">
        <f>HYPERLINK("https://www.dofusbook.net/fr/equipement/395579-stuff-1/objets", "link")</f>
        <v/>
      </c>
      <c r="C542" t="n">
        <v>41</v>
      </c>
      <c r="D542" t="inlineStr">
        <is>
          <t>Baguette Hique; Amulette de Danathor; Bracelet Ming; Alliance Gloursonne; Ceinture de Danathor; Coiffe de Danathor; Cape du Professeur Xa; Sandales Circulaires du Kimbo; Dofus Kaliptus; Dofus Turquoise; Dofus Ocre; Joueur majeur; Ravageur Eau majeur; Savant majeur; Pykur</t>
        </is>
      </c>
    </row>
    <row r="543">
      <c r="A543" t="inlineStr">
        <is>
          <t>Stuff 1</t>
        </is>
      </c>
      <c r="B543">
        <f>HYPERLINK("https://www.dofusbook.net/fr/equipement/395574-stuff-1/objets", "link")</f>
        <v/>
      </c>
      <c r="C543" t="n">
        <v>57</v>
      </c>
      <c r="D543" t="inlineStr">
        <is>
          <t>Épée d'Otomaï; Amulette d'Otomaï; Anneau de Kolosso; Bague Gloursonne; Ceinture de Kolosso; Coiffe de Kolosso; Cape de la Fuji Givrefoux; Bottes d'Otomaï; Dofus Cawotte; Dofus Pourpre; Dofus Kaliptus; Dofus Turquoise; Dofus Ocre; Savant majeur; Pykur</t>
        </is>
      </c>
    </row>
    <row r="544">
      <c r="A544" t="inlineStr">
        <is>
          <t>Stuff 2</t>
        </is>
      </c>
      <c r="B544">
        <f>HYPERLINK("https://www.dofusbook.net/fr/equipement/395581-stuff-2/objets", "link")</f>
        <v/>
      </c>
      <c r="C544" t="n">
        <v>31</v>
      </c>
      <c r="D544" t="inlineStr">
        <is>
          <t>Baguette Hique; Kralamansion; Anneau Aimgéroks; Anneau Aimgéroks; Slip Iholo; Casque Harnage; Cape de la Fuji Givrefoux; Bottes Répané; Dofus Turquoise; Dofus Kaliptus; Dofus Émeraude; Dofus Cawotte; Nomoon</t>
        </is>
      </c>
    </row>
    <row r="545">
      <c r="A545" t="inlineStr">
        <is>
          <t>Stuff 3</t>
        </is>
      </c>
      <c r="B545">
        <f>HYPERLINK("https://www.dofusbook.net/fr/equipement/395576-stuff-3/objets", "link")</f>
        <v/>
      </c>
      <c r="C545" t="n">
        <v>52</v>
      </c>
      <c r="D545" t="inlineStr">
        <is>
          <t>Epée Gloursonne; Phylactère Mic; Bague Gloursonne; Alliance Gloursonne; Ceinture Hyolite; Calotte Spot; Cape de la Fuji Givrefoux; Bottes de la Fuji Givrefoux; Dolmanax; Dofus Pourpre; Dofus Cawotte; Dofus Ocre; Dofus Turquoise; Furibond majeur; Dragodinde en armure</t>
        </is>
      </c>
    </row>
    <row r="546">
      <c r="A546" t="inlineStr">
        <is>
          <t>Stuff 1</t>
        </is>
      </c>
      <c r="B546">
        <f>HYPERLINK("https://www.dofusbook.net/fr/equipement/395571-stuff-1/objets", "link")</f>
        <v/>
      </c>
      <c r="C546" t="n">
        <v>28</v>
      </c>
      <c r="D546" t="inlineStr">
        <is>
          <t>Baguette Hernelle; Amulette de Théodoran Ax; Kralano; Bague Gloursonne; Ceinture Séculaire; Coiffe Séculaire; Cape de Théodoran Ax; Bottes de Théodoran Ax; Dofus des Glaces; Dofus Vulbis; Dolmanax; Dofus Ocre; Dofus Turquoise; Soigneur majeur; Kwaltess</t>
        </is>
      </c>
    </row>
    <row r="547">
      <c r="A547" t="inlineStr">
        <is>
          <t>Stuff 2</t>
        </is>
      </c>
      <c r="B547">
        <f>HYPERLINK("https://www.dofusbook.net/fr/equipement/395566-stuff-2/objets", "link")</f>
        <v/>
      </c>
      <c r="C547" t="n">
        <v>31</v>
      </c>
      <c r="D547" t="inlineStr">
        <is>
          <t>Épée d'Otomaï; Amulette d'Otomaï; Anneau de Kolosso; Gelano; Ceinture de Kolosso; Coiffe de Kolosso; Cape du Professeur Xa; Bottes d'Otomaï; Dofus Cawotte; Dofus Pourpre; Dofus Kaliptus; Dofus Turquoise; Savant majeur; Furibond majeur; Pykur</t>
        </is>
      </c>
    </row>
    <row r="548">
      <c r="A548" t="inlineStr">
        <is>
          <t>Féca M 200</t>
        </is>
      </c>
      <c r="B548">
        <f>HYPERLINK("https://www.dofusbook.net/fr/equipement/5240616-feca-m-200/objets", "link")</f>
        <v/>
      </c>
      <c r="C548" t="n">
        <v>17</v>
      </c>
      <c r="D548" t="inlineStr">
        <is>
          <t>Rouleau à Pâtisserie d'Aermyne; Amulette du Cœur Vaillant; Alliance Gloursonne; Anneau Volkorne; Bouclier précieux; Ceinture Volkorne; Casque Volkorne; Cape du Cœur Vaillant; Bottes du Cœur Vaillant; Dofus Turquoise; Dofus Ivoire; Dofus Pourpre; Dofus Ocre; Bloqueur majeur; Paralyseur majeur; Drakopin</t>
        </is>
      </c>
    </row>
    <row r="549">
      <c r="A549" t="inlineStr">
        <is>
          <t>Sram M 200</t>
        </is>
      </c>
      <c r="B549">
        <f>HYPERLINK("https://www.dofusbook.net/fr/equipement/6005614-sram-m-200/objets", "link")</f>
        <v/>
      </c>
      <c r="C549" t="n">
        <v>0</v>
      </c>
      <c r="D549" t="inlineStr"/>
    </row>
    <row r="550">
      <c r="A550" t="inlineStr">
        <is>
          <t>Iop M 200</t>
        </is>
      </c>
      <c r="B550">
        <f>HYPERLINK("https://www.dofusbook.net/fr/equipement/6002201-iop-m-200/objets", "link")</f>
        <v/>
      </c>
      <c r="C550" t="n">
        <v>3</v>
      </c>
      <c r="D550" t="inlineStr">
        <is>
          <t>Épouvante; Amulette du Strigide; Anneau Volkorne; Alliance de Missiz Frizz; Bouclier du Captain Amakna; Ceinture Volkorne; Casque de Missiz Frizz; Cape Solution; Bottes du Strigide; Dofus Pourpre; Dofus Ivoire; Dofus Ocre; Dofus Ébène; Dofus Turquoise; Voyageur; Kokulte</t>
        </is>
      </c>
    </row>
    <row r="551">
      <c r="A551" t="inlineStr">
        <is>
          <t>Iop F 200</t>
        </is>
      </c>
      <c r="B551">
        <f>HYPERLINK("https://www.dofusbook.net/fr/equipement/5997993-iop-f-200/objets", "link")</f>
        <v/>
      </c>
      <c r="C551" t="n">
        <v>3</v>
      </c>
      <c r="D551" t="inlineStr">
        <is>
          <t>Arc du Chalœil; Collier de Tourthon; Anneau de Brouce; Anneau du Comte Harebourg; Bivalve; Ceinture de Brouce; Coiffe du Comte Harebourg; Cape au Logis; Bottes de Brouce; Dofus Ocre; Dofus Nébuleux; Dofus Pourpre; Furibond majeur; Forcené majeur; Forcené; Kompost</t>
        </is>
      </c>
    </row>
    <row r="552">
      <c r="A552" t="inlineStr">
        <is>
          <t>Iop M 200</t>
        </is>
      </c>
      <c r="B552">
        <f>HYPERLINK("https://www.dofusbook.net/fr/equipement/5984092-iop-m-200/objets", "link")</f>
        <v/>
      </c>
      <c r="C552" t="n">
        <v>2</v>
      </c>
      <c r="D552" t="inlineStr">
        <is>
          <t>Rapière aux Glyphes; Amulette de l'Œil Attentif; Bague Instable; Bague Trithon; Bouclier précieux; Sangle Ouare; Masque Paztek; Cape Solution; Sandales Paztek; Dofus Ocre; Dofus Ivoire; Dofus Abyssal; Culbuteur majeur; Obstructeur majeur; Pousseur majeur; Écumouth</t>
        </is>
      </c>
    </row>
    <row r="553">
      <c r="A553" t="inlineStr">
        <is>
          <t>Crâ M 200</t>
        </is>
      </c>
      <c r="B553">
        <f>HYPERLINK("https://www.dofusbook.net/fr/equipement/5951240-cra-m-200/objets", "link")</f>
        <v/>
      </c>
      <c r="C553" t="n">
        <v>22</v>
      </c>
      <c r="D553" t="inlineStr">
        <is>
          <t>Bâton Beau; Amulette du Strigide; Alliance de Missiz Frizz; Bracelet du Piloztère; Quatre-feuilles; Ceinture du Strigide; Masque Vaudou Tam; Cape Reski; Bottes du Strigide; Dofus Turquoise; Dofus Ébène; Dofus Ocre; Dofus des Glaces; Dofus Pourpre; Dofus Nébuleux; Muldo Prune et Emeraude</t>
        </is>
      </c>
    </row>
    <row r="554">
      <c r="A554" t="inlineStr">
        <is>
          <t>Crâ M 200</t>
        </is>
      </c>
      <c r="B554">
        <f>HYPERLINK("https://www.dofusbook.net/fr/equipement/5930318-cra-m-200/objets", "link")</f>
        <v/>
      </c>
      <c r="C554" t="n">
        <v>20</v>
      </c>
      <c r="D554" t="inlineStr">
        <is>
          <t>Epée Royale du Bouftou; Amulette du Strigide; Anneau de Padgref; Crocanneau; Bouclier du Captain Amakna; Ceinture du Strigide; Corne de Torkélonia; Carapace de Torkélonia; Bottes du Strigide; Dofus Abyssal; Dofus Turquoise; Dofus Ocre; Dofus des Glaces; Dofus Pourpre; Voyageur; Kokulte</t>
        </is>
      </c>
    </row>
    <row r="555">
      <c r="A555" t="inlineStr">
        <is>
          <t>Féca M 200</t>
        </is>
      </c>
      <c r="B555">
        <f>HYPERLINK("https://www.dofusbook.net/fr/equipement/5929887-feca-m-200/objets", "link")</f>
        <v/>
      </c>
      <c r="C555" t="n">
        <v>15</v>
      </c>
      <c r="D555" t="inlineStr">
        <is>
          <t>Baguette Hique; Amulette Volkorne; Alliance Gloursonne; Anneau Volkorne; Quatre-feuilles; Ceintrigue; Coiffe Cryochrone; Cape de Diondin; Bottes Antouche; Dofus Abyssal; Dofus Turquoise; Dofus Pourpre; Dofus des Glaces; Remueur; Vigoureux majeur; Muldo Prune et Emeraude</t>
        </is>
      </c>
    </row>
    <row r="556">
      <c r="A556" t="inlineStr">
        <is>
          <t>Iop M 200</t>
        </is>
      </c>
      <c r="B556">
        <f>HYPERLINK("https://www.dofusbook.net/fr/equipement/5906437-iop-m-200/objets", "link")</f>
        <v/>
      </c>
      <c r="C556" t="n">
        <v>4</v>
      </c>
      <c r="D556" t="inlineStr">
        <is>
          <t>Épée du Granduk; Collier du Valet Veinard; Anneau d'Allister; Gant du Valet Veinard; Bivalve; Ceinture du Nocturlabe; Couronne d'Allister; Cape du Valet Veinard; Bottes d'Allister; Dofus Abyssal; Dofus Pourpre; Dofus Ébène; Dofus Ocre; Dofus Ivoire; Dofus Vulbis; Siroko</t>
        </is>
      </c>
    </row>
    <row r="557">
      <c r="A557" t="inlineStr">
        <is>
          <t>Crâ M 200</t>
        </is>
      </c>
      <c r="B557">
        <f>HYPERLINK("https://www.dofusbook.net/fr/equipement/5917628-cra-m-200/objets", "link")</f>
        <v/>
      </c>
      <c r="C557" t="n">
        <v>18</v>
      </c>
      <c r="D557" t="inlineStr">
        <is>
          <t>Arc du Chalœil; Amulette Héroclite; Anneau du Comte Harebourg; Anneau de Brouce; Quatre-feuilles; Ceinture de Brouce; Coiffe du Comte Harebourg; Cape au Logis; Bottes de Brouce; Dofus des Glaces; Dofus Pourpre; Dofus Ocre; Dofus Abyssal; Dofus Turquoise; Voyageur; Volkorne Pourpre</t>
        </is>
      </c>
    </row>
    <row r="558">
      <c r="A558" t="inlineStr">
        <is>
          <t>Enu air</t>
        </is>
      </c>
      <c r="B558">
        <f>HYPERLINK("https://www.dofusbook.net/fr/equipement/5789058-enu-air/objets", "link")</f>
        <v/>
      </c>
      <c r="C558" t="n">
        <v>20</v>
      </c>
      <c r="D558" t="inlineStr">
        <is>
          <t>Amulette des Chocomanciens; Anneau d'Allister; Alliance Gloursonne; Bivalve; Menoture; Couronne d'Allister; Cape Indescriptible; Palmes Trithons; Dofus Ocre; Dofus Pourpre; Dofus Ivoire; Dofus Abyssal; Dofus Ébène; Cascadeur majeur; Blérodoudou</t>
        </is>
      </c>
    </row>
    <row r="559">
      <c r="A559" t="inlineStr">
        <is>
          <t>enu feu</t>
        </is>
      </c>
      <c r="B559">
        <f>HYPERLINK("https://www.dofusbook.net/fr/equipement/5789109-enu-feu/objets", "link")</f>
        <v/>
      </c>
      <c r="C559" t="n">
        <v>8</v>
      </c>
      <c r="D559" t="inlineStr">
        <is>
          <t>Marteau d'Henual; Amulette Volcanique; Chevalière du Roi Joueur; Anneau d'Henual; Quatre-feuilles; Ceinture d'Henual; Couronne du Roi Joueur; Sac Volcanique; Bottes du Roi Joueur; Dofus des Glaces; Dofus Pourpre; Dolmanax; Dofus Ocre; Dofus Abyssal; Dofus Turquoise; Cromeugnon</t>
        </is>
      </c>
    </row>
    <row r="560">
      <c r="A560" t="inlineStr">
        <is>
          <t>eau tank tacle</t>
        </is>
      </c>
      <c r="B560">
        <f>HYPERLINK("https://www.dofusbook.net/fr/equipement/5896501-eau-tank-tacle/objets", "link")</f>
        <v/>
      </c>
      <c r="C560" t="n">
        <v>10</v>
      </c>
      <c r="D560" t="inlineStr">
        <is>
          <t>Sceptre du Roi Joueur; Amulette de l'Œil Attentif; Bracelet des Fonds marins; Anneau Volkorne; Droiture de Fallanster; Sangle Ouare; Masque des Fonds marins; Cape d'Hel Munster; Sandales des Fonds marins; Dofus Ivoire; Dofus Abyssal; Dofus des Glaces; Dofus Émeraude; Dofus Ocre; Bloqueur majeur; Kanigloups</t>
        </is>
      </c>
    </row>
    <row r="561">
      <c r="A561" t="inlineStr">
        <is>
          <t>Roublard M 200</t>
        </is>
      </c>
      <c r="B561">
        <f>HYPERLINK("https://www.dofusbook.net/fr/equipement/5891349-roublard-m-200/objets", "link")</f>
        <v/>
      </c>
      <c r="C561" t="n">
        <v>12</v>
      </c>
      <c r="D561" t="inlineStr">
        <is>
          <t>Massier; Amulette Volkorne; Anneau Tamie; Anneau Tamie; Bouclier du Stalak; Croture; Heaume Oplate; Cape de Diondin; Bottes Innommables; Dofus Vulbis; Dofus des Glaces; Dofus Abyssal; Dofus Ébène; Dévastateur Feu majeur; Érudit majeur; Bisouglours</t>
        </is>
      </c>
    </row>
    <row r="562">
      <c r="A562" t="inlineStr">
        <is>
          <t>Eniripsa F 200</t>
        </is>
      </c>
      <c r="B562">
        <f>HYPERLINK("https://www.dofusbook.net/fr/equipement/5884675-eniripsa-f-200/objets", "link")</f>
        <v/>
      </c>
      <c r="C562" t="n">
        <v>6</v>
      </c>
      <c r="D562" t="inlineStr">
        <is>
          <t>Plumeau Bil; Amulette d'Otomaï; Anneau Rifique; Anneauræus; Croture; Casque Cyclopéen; Cape de Diondin; Bottes Innommables; Dofus Ivoire; Dofus Ocre; Dolmanax; Dofus Abyssal; Dofus Ébène; Dofus Vulbis; Bisouglours</t>
        </is>
      </c>
    </row>
    <row r="563">
      <c r="A563" t="inlineStr">
        <is>
          <t>Eliotrope M 200</t>
        </is>
      </c>
      <c r="B563">
        <f>HYPERLINK("https://www.dofusbook.net/fr/equipement/5867018-eliotrope-m-200/objets", "link")</f>
        <v/>
      </c>
      <c r="C563" t="n">
        <v>11</v>
      </c>
      <c r="D563" t="inlineStr">
        <is>
          <t>Baguette Range; Amulette Martegel; Anneau de Nidas; Alliance Gloursonne; Quatre-feuilles; Ceinture de l'Esprit Salvateur; Casque Cyclopéen; Cape Martegel; Baleinabottes; Dofus Ocre; Dofus Ébène; Dofus Abyssal; Dofus Vulbis; Vagabond majeur; Déserteur majeur; Écureuil Chenapan</t>
        </is>
      </c>
    </row>
    <row r="564">
      <c r="A564" t="inlineStr">
        <is>
          <t>Iop M 200</t>
        </is>
      </c>
      <c r="B564">
        <f>HYPERLINK("https://www.dofusbook.net/fr/equipement/5865475-iop-m-200/objets", "link")</f>
        <v/>
      </c>
      <c r="C564" t="n">
        <v>7</v>
      </c>
      <c r="D564" t="inlineStr">
        <is>
          <t>Amulette du Cœur Saignant; Anneau Chevelu; Anneau de Brouce; Cadran d'Eau; Ceinture de Brouce; Masque de Koutoulou; Cape au Logis; Bottes de Brouce; Dofus Pourpre; Dofus des Glaces; Dofus Ivoire; Dofus Abyssal; Dofus Turquoise; Dofus Ébène</t>
        </is>
      </c>
    </row>
    <row r="565">
      <c r="A565" t="inlineStr">
        <is>
          <t>Féca M 200</t>
        </is>
      </c>
      <c r="B565">
        <f>HYPERLINK("https://www.dofusbook.net/fr/equipement/5809185-feca-m-200/objets", "link")</f>
        <v/>
      </c>
      <c r="C565" t="n">
        <v>13</v>
      </c>
      <c r="D565" t="inlineStr">
        <is>
          <t>L'Épée Nice; Collier de Tourthon; Crocanneau; Anneau Chevelu; Bouclier alvéolé; Ceintouse; Casque Dragoeuf; Cape du Cœur Vaillant; Bottes du Cœur Vaillant; Dofus Ocre; Dofus Abyssal; Dofus Ivoire; Dofus Émeraude; Étourdisseur majeur; Paralyseur majeur; Drakopin</t>
        </is>
      </c>
    </row>
    <row r="566">
      <c r="A566" t="inlineStr">
        <is>
          <t>enu terre</t>
        </is>
      </c>
      <c r="B566">
        <f>HYPERLINK("https://www.dofusbook.net/fr/equipement/5789093-enu-terre/objets", "link")</f>
        <v/>
      </c>
      <c r="C566" t="n">
        <v>11</v>
      </c>
      <c r="D566" t="inlineStr">
        <is>
          <t>Arc du Chalœil; Amulette Volcanique; Anneau de Brouce; Chevalière du Roi Joueur; Bouclier cubiste; Ceinture Gence; Couronne du Roi Joueur; Cape au Logis; Bottes du Cœur Saignant; Dofus Turquoise; Dofus Abyssal; Dofus Pourpre; Dofus Ocre; Temporiseur majeur; Enragé majeur; Bulbisou</t>
        </is>
      </c>
    </row>
    <row r="567">
      <c r="A567" t="inlineStr">
        <is>
          <t>Féca M 200</t>
        </is>
      </c>
      <c r="B567">
        <f>HYPERLINK("https://www.dofusbook.net/fr/equipement/5314441-feca-m-200/objets", "link")</f>
        <v/>
      </c>
      <c r="C567" t="n">
        <v>24</v>
      </c>
      <c r="D567" t="inlineStr">
        <is>
          <t>Spatule Tranche-Gourmands; Amulette du Cœur Vaillant; Bague Gloursonne; Alliance Gloursonne; Droiture de Fallanster; Ceintouse; Chapoulpe; Cape du Cœur Vaillant; Tentassons; Dofus Ocre; Dofus Abyssal; Dofus Vulbis; Dofus Ivoire; Dofus Pourpre; Dofus des Glaces; Drakopin</t>
        </is>
      </c>
    </row>
    <row r="568">
      <c r="A568" t="inlineStr">
        <is>
          <t>Iop M 200</t>
        </is>
      </c>
      <c r="B568">
        <f>HYPERLINK("https://www.dofusbook.net/fr/equipement/5739942-iop-m-200/objets", "link")</f>
        <v/>
      </c>
      <c r="C568" t="n">
        <v>18</v>
      </c>
      <c r="D568" t="inlineStr">
        <is>
          <t>Dagues Cacterre; Amulette Volkorne; Anneau de Padgref; Anneau Volkorne; Bouclier du Captain Amakna; Ceintacé; Casquette de Meno; Cape de la Dame du Hasard; Bottes de la Dame du Hasard; Dofus Ébène; Dofus Ocre; Dofus Abyssal; Dofus Turquoise; Dofus Vulbis; Dofus Pourpre; Kokulte</t>
        </is>
      </c>
    </row>
    <row r="569">
      <c r="A569" t="inlineStr">
        <is>
          <t>Pandawa M 200</t>
        </is>
      </c>
      <c r="B569">
        <f>HYPERLINK("https://www.dofusbook.net/fr/equipement/5729481-pandawa-m-200/objets", "link")</f>
        <v/>
      </c>
      <c r="C569" t="n">
        <v>15</v>
      </c>
      <c r="D569" t="inlineStr">
        <is>
          <t>Rouleau à Pâtisserie d'Aermyne; Collier de Tourthon; Alliance Gloursonne; Anneau Chevelu; Bouclier précieux; Ceintacé; Casque Dragoeuf; Voile d'encre; Tentassons; Dofus Ivoire; Dofus Ocre; Dofus Abyssal; Obstructeur majeur; Bloqueur majeur; Nomade; Givrefoux</t>
        </is>
      </c>
    </row>
    <row r="570">
      <c r="A570" t="inlineStr">
        <is>
          <t>Enutrof M 200</t>
        </is>
      </c>
      <c r="B570">
        <f>HYPERLINK("https://www.dofusbook.net/fr/equipement/5662802-enutrof-m-200/objets", "link")</f>
        <v/>
      </c>
      <c r="C570" t="n">
        <v>13</v>
      </c>
      <c r="D570" t="inlineStr">
        <is>
          <t>Dagues du Dragoeuf; Amulette du Strigide; Alliance de Missiz Frizz; Anneau de Padgref; Bouclier du Captain Amakna; Ceinture du Strigide; Corne de Torkélonia; Carapace de Torkélonia; Bottes du Strigide; Dofus Abyssal; Dofus Vulbis; Dofus des Glaces; Dofus Turquoise; Dofus Ocre; Dofus Pourpre; Kokulte</t>
        </is>
      </c>
    </row>
    <row r="571">
      <c r="A571" t="inlineStr">
        <is>
          <t>Iop M 200</t>
        </is>
      </c>
      <c r="B571">
        <f>HYPERLINK("https://www.dofusbook.net/fr/equipement/3938870-iop-m-200/objets", "link")</f>
        <v/>
      </c>
      <c r="C571" t="n">
        <v>45</v>
      </c>
      <c r="D571" t="inlineStr">
        <is>
          <t>Dagues d'Ilyzaelle; Amulette du Strigide; Anneau de Brouce; Anneau Chevelu; Bouclier du Captain Amakna; Ceinture Gence; Corne de Torkélonia; Cape au Logis; Bottes de Brouce; Dofus Abyssal; Dofus Ocre; Dofus des Glaces; Dofus Pourpre; Dofus Turquoise; Enragé majeur; Pioute vert</t>
        </is>
      </c>
    </row>
    <row r="572">
      <c r="A572" t="inlineStr">
        <is>
          <t>Iop M 200</t>
        </is>
      </c>
      <c r="B572">
        <f>HYPERLINK("https://www.dofusbook.net/fr/equipement/5517265-iop-m-200/objets", "link")</f>
        <v/>
      </c>
      <c r="C572" t="n">
        <v>16</v>
      </c>
      <c r="D572" t="inlineStr">
        <is>
          <t>Amulette de Gein; Bague Gloursonne; Anneau de Brouce; Bouclier du Captain Amakna; Ceinture de Brouce; Corne de Torkélonia; Carapace de Torkélonia; Bottes de Brouce; Dofus Abyssal; Dofus Pourpre; Dofus Ébène; Dofus des Glaces; Dofus Ocre; Dofus Turquoise; Pioute vert</t>
        </is>
      </c>
    </row>
    <row r="573">
      <c r="A573" t="inlineStr">
        <is>
          <t>Zobal M 200</t>
        </is>
      </c>
      <c r="B573">
        <f>HYPERLINK("https://www.dofusbook.net/fr/equipement/5487758-zobal-m-200/objets", "link")</f>
        <v/>
      </c>
      <c r="C573" t="n">
        <v>15</v>
      </c>
      <c r="D573" t="inlineStr">
        <is>
          <t>Héqache; Amulette du Strigide; Anneau Crustique; Anneau Toriété; Bouclier du Captain Amakna; Ceinture du Strigide; Corne de Torkélonia; Carapace de Torkélonia; Bottes du Strigide; Dofus Abyssal; Dofus Turquoise; Dofus Ébène; Dofus Pourpre; Dofus Ocre; Dofus Ivoire; Kokulte</t>
        </is>
      </c>
    </row>
    <row r="574">
      <c r="A574" t="inlineStr">
        <is>
          <t>Enutrof M 200</t>
        </is>
      </c>
      <c r="B574">
        <f>HYPERLINK("https://www.dofusbook.net/fr/equipement/5421134-enutrof-m-200/objets", "link")</f>
        <v/>
      </c>
      <c r="C574" t="n">
        <v>18</v>
      </c>
      <c r="D574" t="inlineStr">
        <is>
          <t>Dagoulinantes; Collier de la Dame du Hasard; Bracelet du Piloztère; Bracelet des Fonds marins; Bouclier du Captain Amakna; Pagne du Rykaon; Masque des Fonds marins; Cape de la Dame du Hasard; Bottes de la Dame du Hasard; Dofus Vulbis; Dofus des Glaces; Dofus Abyssal; Dofus Turquoise; Dofus Pourpre; Dofus Ocre; Kanigloups</t>
        </is>
      </c>
    </row>
    <row r="575">
      <c r="A575" t="inlineStr">
        <is>
          <t>Ouginak M 200</t>
        </is>
      </c>
      <c r="B575">
        <f>HYPERLINK("https://www.dofusbook.net/fr/equipement/5423521-ouginak-m-200/objets", "link")</f>
        <v/>
      </c>
      <c r="C575" t="n">
        <v>14</v>
      </c>
      <c r="D575" t="inlineStr">
        <is>
          <t>Crocobur; Amulette de l'Indicible; Bracelet du Piloztère; Anneau Volkorne; Bouclier d'Ilyzaelle; Ceinture Volkorne; Casque Volkorne; Cape de Jahash Jurgen; Bottes de l'Indicible; Dofus Ivoire; Dofus Abyssal; Dofus Ocre; Dofus des Glaces; Dofus Ébène; Dofus Pourpre; Fëanor</t>
        </is>
      </c>
    </row>
    <row r="576">
      <c r="A576" t="inlineStr">
        <is>
          <t>Pandawa M 200</t>
        </is>
      </c>
      <c r="B576">
        <f>HYPERLINK("https://www.dofusbook.net/fr/equipement/5370503-pandawa-m-200/objets", "link")</f>
        <v/>
      </c>
      <c r="C576" t="n">
        <v>25</v>
      </c>
      <c r="D576" t="inlineStr">
        <is>
          <t>Rouleau à Pâtisserie d'Aermyne; Collier Rophante; Alliance Gloursonne; Bague Trithon; Sept ans de malheur; Ceintacé; Masque d'Anerice; Cape d'Anerice; Pataugastrique; Dofus Abyssal; Dofus Ivoire; Dofus Émeraude; Carapace Neutre majeur; Bloqueur majeur; Obstructeur majeur; Givrefoux</t>
        </is>
      </c>
    </row>
    <row r="577">
      <c r="A577" t="inlineStr">
        <is>
          <t>Enutrof M 200</t>
        </is>
      </c>
      <c r="B577">
        <f>HYPERLINK("https://www.dofusbook.net/fr/equipement/5394508-enutrof-m-200/objets", "link")</f>
        <v/>
      </c>
      <c r="C577" t="n">
        <v>34</v>
      </c>
      <c r="D577" t="inlineStr">
        <is>
          <t>Marteau R'ture; Amulette des Chocomanciens; Anneau Tamie; Anneau Tamie; Bouclier cubiste; Ceinture des Chocomanciens; Coiffe d'Ogivol; Cape de Léthaline; Bottes Lunaires; Dofus Ocre; Temporiseur; Ralentisseur majeur; Entraveur; Temporiseur majeur; Entraveur majeur; Volkorne Turquoise</t>
        </is>
      </c>
    </row>
    <row r="578">
      <c r="A578" t="inlineStr">
        <is>
          <t>Crâ M 200</t>
        </is>
      </c>
      <c r="B578">
        <f>HYPERLINK("https://www.dofusbook.net/fr/equipement/5386177-cra-m-200/objets", "link")</f>
        <v/>
      </c>
      <c r="C578" t="n">
        <v>27</v>
      </c>
      <c r="D578" t="inlineStr">
        <is>
          <t>Bâton Beau; Amulette du Strigide; Alliance Gloursonne; Bracelet du Piloztère; Quatre-feuilles; Ceinture du Strigide; Casque du Chalœil; Cape Reski; Bottes du Strigide; Dolmanax; Dofus Turquoise; Dofus Ocre; Dofus Pourpre; Dofus Nébuleux; Dofus Vulbis; Kokulte</t>
        </is>
      </c>
    </row>
    <row r="579">
      <c r="A579" t="inlineStr">
        <is>
          <t>Iop M 200</t>
        </is>
      </c>
      <c r="B579">
        <f>HYPERLINK("https://www.dofusbook.net/fr/equipement/5274590-iop-m-200/objets", "link")</f>
        <v/>
      </c>
      <c r="C579" t="n">
        <v>8</v>
      </c>
      <c r="D579" t="inlineStr">
        <is>
          <t>Amulette du Cœur Saignant; Anneau de Brouce; Alliance de Missiz Frizz; Bouclier Taverne; Ceinture de Brouce; Casque de Missiz Frizz; Cape du Cœur Saignant; Bottes de Brouce; Dofus Ivoire; Dofus Ocre; Dofus Abyssal; Dofus Pourpre; Dofus Ébène; Dofus Turquoise; Pioute vert</t>
        </is>
      </c>
    </row>
    <row r="580">
      <c r="A580" t="inlineStr">
        <is>
          <t>Roublard M 200</t>
        </is>
      </c>
      <c r="B580">
        <f>HYPERLINK("https://www.dofusbook.net/fr/equipement/3820962-roublard-m-200/objets", "link")</f>
        <v/>
      </c>
      <c r="C580" t="n">
        <v>28</v>
      </c>
      <c r="D580" t="inlineStr">
        <is>
          <t>Dagoulinantes; Amulette d'Ilyzaelle; Anneau Volkorne; Anneau Glacial; Bouclier du Stalak; Poulpagne; Casque d'Ilyzaelle; Cape Solution; Bottes du Sinistrofu; Dofus Abyssal; Dofus des Glaces; Nomade; Vigoureux majeur; Dévastateur Eau majeur; Chanceux majeur; Kanigloups</t>
        </is>
      </c>
    </row>
    <row r="581">
      <c r="A581" t="inlineStr">
        <is>
          <t>Zobal M 200</t>
        </is>
      </c>
      <c r="B581">
        <f>HYPERLINK("https://www.dofusbook.net/fr/equipement/4797886-zobal-m-200/objets", "link")</f>
        <v/>
      </c>
      <c r="C581" t="n">
        <v>17</v>
      </c>
      <c r="D581" t="inlineStr">
        <is>
          <t>Lav'Hache; Collier de Tourthon; Anneau Chevelu; Bracelet du Piloztère; Cadran d'Eau; Ceinture Volkorne; Masque de Koutoulou; Cape au Logis; Tentassons; Dofus Ivoire; Dofus des Glaces; Dofus Abyssal; Dofus Ocre; Dévastateur Terre majeur; Enragé majeur; Bulbisou</t>
        </is>
      </c>
    </row>
    <row r="582">
      <c r="A582" t="inlineStr">
        <is>
          <t>Iop M 200</t>
        </is>
      </c>
      <c r="B582">
        <f>HYPERLINK("https://www.dofusbook.net/fr/equipement/4781067-iop-m-200/objets", "link")</f>
        <v/>
      </c>
      <c r="C582" t="n">
        <v>22</v>
      </c>
      <c r="D582" t="inlineStr">
        <is>
          <t>Dagues de Srambad; Amulette Luminescente; Alliance Gloursonne; Anneau Volkorne; Bouclier d'Ilyzaelle; Ceinture Volkorne; Masque de Funespadon; Cape Luminescente; Bottes Honyme; Dofus Ébène; Dofus Ocre; Dofus Abyssal; Dofus Pourpre; Dofus Ivoire; Dofus des Glaces; Muldo Ebène et Pourpre</t>
        </is>
      </c>
    </row>
    <row r="583">
      <c r="A583" t="inlineStr">
        <is>
          <t>Iop M 200</t>
        </is>
      </c>
      <c r="B583">
        <f>HYPERLINK("https://www.dofusbook.net/fr/equipement/3266763-iop-m-200/objets", "link")</f>
        <v/>
      </c>
      <c r="C583" t="n">
        <v>67</v>
      </c>
      <c r="D583" t="inlineStr">
        <is>
          <t>Dagues de Srambad; Torquistik; Baguistik; Goulano; Goulclier; Ceinture de la Reine des Voleurs; Coiffe de la Reine des Voleurs; Cape au Logis; Goulbottes; Dofus Ivoire; Dofus des Glaces; Dofus Pourpre; Dofus Abyssal; Dofus Ocre; Bastion majeur; Wabbit</t>
        </is>
      </c>
    </row>
    <row r="584">
      <c r="A584" t="inlineStr">
        <is>
          <t>Crâ M 200</t>
        </is>
      </c>
      <c r="B584">
        <f>HYPERLINK("https://www.dofusbook.net/fr/equipement/4462282-cra-m-200/objets", "link")</f>
        <v/>
      </c>
      <c r="C584" t="n">
        <v>61</v>
      </c>
      <c r="D584" t="inlineStr">
        <is>
          <t>Bâton Beau; Amulette du Strigide; Alliance de Missiz Frizz; Bracelet du Piloztère; Quatre-feuilles; Ceinture du Strigide; Maskrobe; Voile d'encre; Bottes Honyme; Dofus Turquoise; Dofus des Glaces; Dofus Pourpre; Vigoureux majeur; Nomade; Remueur; Kokulte</t>
        </is>
      </c>
    </row>
    <row r="585">
      <c r="A585" t="inlineStr">
        <is>
          <t>Iop M 200</t>
        </is>
      </c>
      <c r="B585">
        <f>HYPERLINK("https://www.dofusbook.net/fr/equipement/4436938-iop-m-200/objets", "link")</f>
        <v/>
      </c>
      <c r="C585" t="n">
        <v>21</v>
      </c>
      <c r="D585" t="inlineStr">
        <is>
          <t>Dagues du Dragoeuf; Amulette Volkorne; Chevalière du Roi Joueur; Anneau Volkorne; Bouclier d'Ilyzaelle; Ceinture Volkorne; Couronne du Roi Joueur; Voile d'encre; Bottes du Roi Joueur; Dofus Turquoise; Dofus des Glaces; Dofus Pourpre; Dofus Ocre; Dofus Ébène; Dofus Ivoire; Kramkram</t>
        </is>
      </c>
    </row>
    <row r="586">
      <c r="A586" t="inlineStr">
        <is>
          <t>Iop M 200</t>
        </is>
      </c>
      <c r="B586">
        <f>HYPERLINK("https://www.dofusbook.net/fr/equipement/4009384-iop-m-200/objets", "link")</f>
        <v/>
      </c>
      <c r="C586" t="n">
        <v>59</v>
      </c>
      <c r="D586" t="inlineStr">
        <is>
          <t>Hache Téroïde; Amulette Volkorne; Anneau Volkorne; Chevalière du Roi Joueur; Bouclier du Captain Amakna; Ceinture Volkorne; Couronne du Roi Joueur; Voile d'encre; Bottes du Roi Joueur; Dofus Ocre; Dofus Pourpre; Dofus Nébuleux; Dofus Ébène; Dofus des Glaces; Dofus Turquoise; Kokulte</t>
        </is>
      </c>
    </row>
    <row r="587">
      <c r="A587" t="inlineStr">
        <is>
          <t>Zobal M 200</t>
        </is>
      </c>
      <c r="B587">
        <f>HYPERLINK("https://www.dofusbook.net/fr/equipement/4292732-zobal-m-200/objets", "link")</f>
        <v/>
      </c>
      <c r="C587" t="n">
        <v>25</v>
      </c>
      <c r="D587" t="inlineStr">
        <is>
          <t>Marteau R'ture; Collier de Tourthon; Anneau Chevelu; Anneau Volkorne; Bouclier Taverne; Ceinture Volkorne; Casque Dragoeuf; Cape au Logis; Sabots Minables; Dofus Ébène; Dofus Émeraude; Dofus Ocre; Dofus Ivoire; Dofus Pourpre; Enragé majeur; Bulbisou</t>
        </is>
      </c>
    </row>
    <row r="588">
      <c r="A588" t="inlineStr">
        <is>
          <t>Zobal M 200</t>
        </is>
      </c>
      <c r="B588">
        <f>HYPERLINK("https://www.dofusbook.net/fr/equipement/4271072-zobal-m-200/objets", "link")</f>
        <v/>
      </c>
      <c r="C588" t="n">
        <v>33</v>
      </c>
      <c r="D588" t="inlineStr">
        <is>
          <t>Sceptre du Roi Joueur; Amulette du Sinistrofu; Alliance Gloursonne; Anneau Volkorne; Bouclier Taverne; Sangle Ouare; Masque Paztek; Cape Solution; Sandales Paztek; Dofus Abyssal; Dofus Ivoire; Dofus Ocre; Bousculeur majeur; Dévastateur Eau majeur; Culbuteur majeur; Écumouth</t>
        </is>
      </c>
    </row>
    <row r="589">
      <c r="A589" t="inlineStr">
        <is>
          <t>sacri terre eau</t>
        </is>
      </c>
      <c r="B589">
        <f>HYPERLINK("https://www.dofusbook.net/fr/equipement/4107997-sacri-terre-eau/objets", "link")</f>
        <v/>
      </c>
      <c r="C589" t="n">
        <v>53</v>
      </c>
      <c r="D589" t="inlineStr">
        <is>
          <t>Épouvante; Amulette du Strigide; Anneau Volkorne; Bracelet du Piloztère; Bouclier du Captain Amakna; Ceinture Volkorne; Masque de Funespadon; Cape Ovri; Bottes Honyme; Dofus Ocre; Dofus Abyssal; Dofus Turquoise; Dofus des Glaces; Dofus Pourpre; Nomade; Bébé Pandawa</t>
        </is>
      </c>
    </row>
    <row r="590">
      <c r="A590" t="inlineStr">
        <is>
          <t>Sacrieur M 200</t>
        </is>
      </c>
      <c r="B590">
        <f>HYPERLINK("https://www.dofusbook.net/fr/equipement/4078629-sacrieur-m-200/objets", "link")</f>
        <v/>
      </c>
      <c r="C590" t="n">
        <v>52</v>
      </c>
      <c r="D590" t="inlineStr">
        <is>
          <t>Arc de Koutoulou; Amulette d'Ilyzaelle; Alliance Gloursonne; Anneau Volkorne; Bouclier d'Ilyzaelle; Ceinture de la Reine des Voleurs; Casque Volkorne; Cape d'Hel Munster; Bottes de la Reine des Voleurs; Dofus Abyssal; Dofus Ocre; Dofus des Glaces; Dofus Pourpre; Dofus Vulbis; Robuste majeur; Fëanor</t>
        </is>
      </c>
    </row>
    <row r="591">
      <c r="A591" t="inlineStr">
        <is>
          <t>Sacrieur M 200</t>
        </is>
      </c>
      <c r="B591">
        <f>HYPERLINK("https://www.dofusbook.net/fr/equipement/4074772-sacrieur-m-200/objets", "link")</f>
        <v/>
      </c>
      <c r="C591" t="n">
        <v>47</v>
      </c>
      <c r="D591" t="inlineStr">
        <is>
          <t>Épée Brûlâme; Amulette Volkorne; Anneau Volkorne; Bague Trithon; Bouclier du Captain Amakna; Ceintacé; Masque Trithon; Cape de la Dame du Hasard; Bottes de la Dame du Hasard; Dofus Abyssal; Dofus Ocre; Dofus Vulbis; Dofus Turquoise; Dofus des Glaces; Dofus Pourpre; Kokulte</t>
        </is>
      </c>
    </row>
    <row r="592">
      <c r="A592" t="inlineStr">
        <is>
          <t>8eme 200</t>
        </is>
      </c>
      <c r="B592">
        <f>HYPERLINK("https://www.dofusbook.net/fr/equipement/4047600-8eme--200/objets", "link")</f>
        <v/>
      </c>
      <c r="C592" t="n">
        <v>62</v>
      </c>
      <c r="D592" t="inlineStr">
        <is>
          <t>Sabres d'Atcham; Amulette Volkorne; Bracelet du Piloztère; Anneau Volkorne; Bouclier du Captain Amakna; Ceinture du Strigide; Casque Volkorne; Cape d'Atcham; Sandales  d'Atcham; Dofus des Glaces; Dofus Turquoise; Dofus Ocre; Dofus Pourpre; Dofus Abyssal; Dolmanax; Kokulte</t>
        </is>
      </c>
    </row>
    <row r="593">
      <c r="A593" t="inlineStr">
        <is>
          <t>Eniripsa F 200</t>
        </is>
      </c>
      <c r="B593">
        <f>HYPERLINK("https://www.dofusbook.net/fr/equipement/4003153-eniripsa-f-200/objets", "link")</f>
        <v/>
      </c>
      <c r="C593" t="n">
        <v>16</v>
      </c>
      <c r="D593" t="inlineStr">
        <is>
          <t>Hache Téroïde; Amulette Volkorne; Bague Gloursonne; Chevalière du Roi Joueur; Bouclier du Cycloïde; Ceinture Volkorne; Couronne du Roi Joueur; Voile d'encre; Bottes du Roi Joueur; Dofus Abyssal; Dofus des Glaces; Dofus Vulbis; Dofus Ocre; Dolmanax; Dofus Pourpre; Cromeugnon</t>
        </is>
      </c>
    </row>
    <row r="594">
      <c r="A594" t="inlineStr">
        <is>
          <t>Ouginak M 200</t>
        </is>
      </c>
      <c r="B594">
        <f>HYPERLINK("https://www.dofusbook.net/fr/equipement/3278948-ouginak-m-200/objets", "link")</f>
        <v/>
      </c>
      <c r="C594" t="n">
        <v>64</v>
      </c>
      <c r="D594" t="inlineStr">
        <is>
          <t>Epée Loponèze; Amulette d'Ilyzaelle; Bracelet du Piloztère; Alliance Gloursonne; Bouclier d'Ilyzaelle; Ceinture de la Reine des Voleurs; Casque d'Ilyzaelle; Cape Tif; Bottes de la Reine des Voleurs; Dofus Abyssal; Dofus Ocre; Dofus des Glaces; Dofus Pourpre; Dolmanax; Robuste majeur; Muldo Doré et Ebène</t>
        </is>
      </c>
    </row>
    <row r="595">
      <c r="A595" t="inlineStr">
        <is>
          <t>200 airrrr</t>
        </is>
      </c>
      <c r="B595">
        <f>HYPERLINK("https://www.dofusbook.net/fr/equipement/683976-200-airrrr/objets", "link")</f>
        <v/>
      </c>
      <c r="C595" t="n">
        <v>57</v>
      </c>
      <c r="D595" t="inlineStr">
        <is>
          <t>Épée du Granduk; Amulette du Granduk; Gant du Valet Veinard; Anneau de XLII; Bouclier d'Ilyzaelle; Ceinture de XLII; Masque du Granduk; Cape du Valet Veinard; Bottes de XLII; Dofus Émeraude; Dofus Ivoire; Dofus Pourpre; Dofus des Glaces; Dofus Nébuleux; Dofus Ocre; Muldo Ebène et Orchidée</t>
        </is>
      </c>
    </row>
    <row r="596">
      <c r="A596" t="inlineStr">
        <is>
          <t>Iop M 200</t>
        </is>
      </c>
      <c r="B596">
        <f>HYPERLINK("https://www.dofusbook.net/fr/equipement/4784103-iop-m-200/objets", "link")</f>
        <v/>
      </c>
      <c r="C596" t="n">
        <v>103</v>
      </c>
      <c r="D596" t="inlineStr">
        <is>
          <t>Épée du Granduk; Amulette du Granduk; Gant du Valet Veinard; Anneau de XLII; Bouclier du Captain Amakna; Ceinture de XLII; Masque du Granduk; Cape du Valet Veinard; Bottes de XLII; Dofus Émeraude; Dofus Ocre; Dofus Ivoire; Dofus Turquoise; Dofus Pourpre; Dofus des Glaces; Kokulte</t>
        </is>
      </c>
    </row>
    <row r="597">
      <c r="A597" t="inlineStr">
        <is>
          <t>Zobal M 200</t>
        </is>
      </c>
      <c r="B597">
        <f>HYPERLINK("https://www.dofusbook.net/fr/equipement/5153075-zobal-m-200/objets", "link")</f>
        <v/>
      </c>
      <c r="C597" t="n">
        <v>49</v>
      </c>
      <c r="D597" t="inlineStr">
        <is>
          <t>Marteau Phossile; Amulette du Strigide; Alliance Gloursonne; Anneau de Padgref; Bouclier du Captain Amakna; Ceintacé; Coiffe de Padgref; Voile d'encre; Bottes du Cycloïde; Dofus Turquoise; Dofus des Glaces; Dofus Pourpre; Dofus Nébuleux; Nomade; Remueur; Kokulte</t>
        </is>
      </c>
    </row>
    <row r="598">
      <c r="A598" t="inlineStr">
        <is>
          <t>Xélor M 200</t>
        </is>
      </c>
      <c r="B598">
        <f>HYPERLINK("https://www.dofusbook.net/fr/equipement/4124486-xelor-m-200/objets", "link")</f>
        <v/>
      </c>
      <c r="C598" t="n">
        <v>86</v>
      </c>
      <c r="D598" t="inlineStr">
        <is>
          <t>Epée Toche; Amulette du Strigide; Alliance Gloursonne; Anneau de Padgref; Bouclier du Captain Amakna; Ceintacé; Chapeau de Gein; Voile d'encre; Bottes du Strigide; Dofus Turquoise; Dofus des Glaces; Dofus Nébuleux; Dofus Pourpre; Nomade; Remueur; Kokulte</t>
        </is>
      </c>
    </row>
    <row r="599">
      <c r="A599" t="inlineStr">
        <is>
          <t>air resi</t>
        </is>
      </c>
      <c r="B599">
        <f>HYPERLINK("https://www.dofusbook.net/fr/equipement/674621-air-resi/objets", "link")</f>
        <v/>
      </c>
      <c r="C599" t="n">
        <v>60</v>
      </c>
      <c r="D599" t="inlineStr">
        <is>
          <t>Épée du Granduk; Amulette du Granduk; Anneau de XLII; Gant du Valet Veinard; Bouclier du Captain Amakna; Ceinture de XLII; Masque du Granduk; Cape du Valet Veinard; Bottes de XLII; Dofus Pourpre; Dofus Nébuleux; Dofus Turquoise; Dofus des Glaces; Dofus Ocre; Acrobate majeur; Kokulte</t>
        </is>
      </c>
    </row>
    <row r="600">
      <c r="A600" t="inlineStr">
        <is>
          <t>terre feu</t>
        </is>
      </c>
      <c r="B600">
        <f>HYPERLINK("https://www.dofusbook.net/fr/equipement/683646-terre-feu/objets", "link")</f>
        <v/>
      </c>
      <c r="C600" t="n">
        <v>38</v>
      </c>
      <c r="D600" t="inlineStr">
        <is>
          <t>Épée du Granduk; Amulette du Granduk; Gant du Valet Veinard; Anneau de XLII; Bouclier du Captain Amakna; Ceinture de XLII; Masque du Granduk; Cape du Valet Veinard; Bottes de XLII; Dofus Pourpre; Dofus Turquoise; Dofus Ocre; Dofus Nébuleux; Dofus des Glaces; Acrobate majeur; Kokulte</t>
        </is>
      </c>
    </row>
    <row r="601">
      <c r="A601" t="inlineStr">
        <is>
          <t>Enutrof M 200</t>
        </is>
      </c>
      <c r="B601">
        <f>HYPERLINK("https://www.dofusbook.net/fr/equipement/4834672-enutrof-m-200/objets", "link")</f>
        <v/>
      </c>
      <c r="C601" t="n">
        <v>71</v>
      </c>
      <c r="D601" t="inlineStr">
        <is>
          <t>Arc corrompu; Amulette de Pol Ouatnos; Anneau de Padgref; Bague Gloursonne; Quatre-feuilles; Ceintacé; Coiffe de Padgref; Cape de Diondin; Bottes Innommables; Dofus des Glaces; Dofus Pourpre; Dofus Turquoise; Érudit majeur; Nomade; Remueur; Kokulte</t>
        </is>
      </c>
    </row>
    <row r="602">
      <c r="A602" t="inlineStr">
        <is>
          <t>Ouginak M 200</t>
        </is>
      </c>
      <c r="B602">
        <f>HYPERLINK("https://www.dofusbook.net/fr/equipement/5542645-ouginak-m-200/objets", "link")</f>
        <v/>
      </c>
      <c r="C602" t="n">
        <v>22</v>
      </c>
      <c r="D602" t="inlineStr">
        <is>
          <t>Arc corrompu; Pendentif mignon de Koutoulou; Anneauræus; Anneau Rifique; Bouclier du Cycloïde; Ceinture Séculaire; Couronne de Nidas; Voile d'encre; Pantoufles Émar; Astucieux majeur; Nomade; Guérisseur majeur; Remueur; Soigneur majeur; Érudit majeur; Bisouglours</t>
        </is>
      </c>
    </row>
    <row r="603">
      <c r="A603" t="inlineStr">
        <is>
          <t>Iop M 200</t>
        </is>
      </c>
      <c r="B603">
        <f>HYPERLINK("https://www.dofusbook.net/fr/equipement/4184984-iop-m-200/objets", "link")</f>
        <v/>
      </c>
      <c r="C603" t="n">
        <v>147</v>
      </c>
      <c r="D603" t="inlineStr">
        <is>
          <t>Hache du Korriandre; Amulette du Strigide; Alliance Gloursonne; Anneau de Padgref; Bouclier du Captain Amakna; Ceinture du Strigide; Némès de Tal Kasha; Chevelure de Tal Kasha; Sandales de Tal Kasha; Dofus Ocre; Dofus Turquoise; Dofus Pourpre; Dofus Nébuleux; Dofus Vulbis; Dofus des Glaces; Kokulte</t>
        </is>
      </c>
    </row>
    <row r="604">
      <c r="A604" t="inlineStr">
        <is>
          <t>Iop M 200</t>
        </is>
      </c>
      <c r="B604">
        <f>HYPERLINK("https://www.dofusbook.net/fr/equipement/4749361-iop-m-200/objets", "link")</f>
        <v/>
      </c>
      <c r="C604" t="n">
        <v>75</v>
      </c>
      <c r="D604" t="inlineStr">
        <is>
          <t>Hache du Korriandre; Amulette Volkorne; Anneau Volkorne; Bracelet du Piloztère; Bouclier du Captain Amakna; Ceinture du Strigide; Némès de Tal Kasha; Chevelure de Tal Kasha; Sandales de Tal Kasha; Dofus Vulbis; Dofus Turquoise; Dofus Nébuleux; Dofus Ocre; Dofus Pourpre; Dofus des Glaces; Kokulte</t>
        </is>
      </c>
    </row>
    <row r="605">
      <c r="A605" t="inlineStr">
        <is>
          <t>Crâ M 200</t>
        </is>
      </c>
      <c r="B605">
        <f>HYPERLINK("https://www.dofusbook.net/fr/equipement/4784178-cra-m-200/objets", "link")</f>
        <v/>
      </c>
      <c r="C605" t="n">
        <v>139</v>
      </c>
      <c r="D605" t="inlineStr">
        <is>
          <t>Hache du Chalœil; Amulette Volkorne; Bague Trithon; Anneau Volkorne; Quatre-feuilles; Ceinture Volkorne; Masque Trithon; Cape des Malveilleurs; Bottes Trithon; Dofus Turquoise; Dofus des Glaces; Dofus Ocre; Dofus Ébène; Dofus Pourpre; Dofus Vulbis; Kokulte</t>
        </is>
      </c>
    </row>
    <row r="606">
      <c r="A606" t="inlineStr">
        <is>
          <t>terre</t>
        </is>
      </c>
      <c r="B606">
        <f>HYPERLINK("https://www.dofusbook.net/fr/equipement/674511-terre/objets", "link")</f>
        <v/>
      </c>
      <c r="C606" t="n">
        <v>62</v>
      </c>
      <c r="D606" t="inlineStr">
        <is>
          <t>Épée Brûlâme; Amulette Volkorne; Anneau Volkorne; Anneau Tique; Bouclier du Captain Amakna; Pagne du Rykaon; Casquette de Meno; Cape de Meno; Bottes de Meno; Dofus Pourpre; Dofus Ocre; Dofus Turquoise; Dofus des Glaces; Dofus Vulbis; Dofus Ébène; Kokulte</t>
        </is>
      </c>
    </row>
    <row r="607">
      <c r="A607" t="inlineStr">
        <is>
          <t>Pandawa F 200</t>
        </is>
      </c>
      <c r="B607">
        <f>HYPERLINK("https://www.dofusbook.net/fr/equipement/4876360-pandawa-f-200/objets", "link")</f>
        <v/>
      </c>
      <c r="C607" t="n">
        <v>106</v>
      </c>
      <c r="D607" t="inlineStr">
        <is>
          <t>Rouleau à Pâtisserie d'Aermyne; Collier Rophante; Anneau Chevelu; Alliance Gloursonne; Droiture de Fallanster; Ceinture de Kongoku; Masque d'Anerice; Cape d'Anerice; Pataugastrique; Dofus Émeraude; Bloqueur majeur; Miraculé majeur; Remueur; Obstructeur majeur; Platypus</t>
        </is>
      </c>
    </row>
    <row r="608">
      <c r="A608" t="inlineStr">
        <is>
          <t>Pandawa M 200</t>
        </is>
      </c>
      <c r="B608">
        <f>HYPERLINK("https://www.dofusbook.net/fr/equipement/4802133-pandawa-m-200/objets", "link")</f>
        <v/>
      </c>
      <c r="C608" t="n">
        <v>156</v>
      </c>
      <c r="D608" t="inlineStr">
        <is>
          <t>Lav'Hache; Amulette de Pol Ouatnos; Anneau Chevelu; Bague Gloursonne; Bouclier précieux; Ceinture de la Cour Sombre; Casque Dragoeuf; Cape de la Cour Sombre; Sabots Minables; Dofus Pourpre; Dolmanax; Nomade; Obstructeur majeur; Remueur; Bloqueur majeur; Platypus</t>
        </is>
      </c>
    </row>
    <row r="609">
      <c r="A609" t="inlineStr">
        <is>
          <t>Crâ F 200</t>
        </is>
      </c>
      <c r="B609">
        <f>HYPERLINK("https://www.dofusbook.net/fr/equipement/4749184-cra-f-200/objets", "link")</f>
        <v/>
      </c>
      <c r="C609" t="n">
        <v>103</v>
      </c>
      <c r="D609" t="inlineStr">
        <is>
          <t>Bâton Beau; Amulette du Strigide; Bague Gloursonne; Alliance Gloursonne; Quatre-feuilles; Ceinture du Strigide; Casque du Chalœil; Cape du Chalœil; Bottes du Chalœil; Dofus Pourpre; Dofus des Glaces; Dofus Turquoise; Dofus Nébuleux; Dofus Ocre; Voyageur; Sakochère</t>
        </is>
      </c>
    </row>
    <row r="610">
      <c r="A610" t="inlineStr">
        <is>
          <t>Xélor M 200</t>
        </is>
      </c>
      <c r="B610">
        <f>HYPERLINK("https://www.dofusbook.net/fr/equipement/4784868-xelor-m-200/objets", "link")</f>
        <v/>
      </c>
      <c r="C610" t="n">
        <v>61</v>
      </c>
      <c r="D610" t="inlineStr">
        <is>
          <t>Arc Nécrotique; Amulette de l'Œil Putride; Alliance Gloursonne; Anneau de Padgref; Quatre-feuilles; Ceinture de l'Esprit Malsain; Masque de l'Esprit Malsain; Cape de l'Œil Putride; Bottes de l'Esprit Malsain; Dofus Pourpre; Dofus des Glaces; Dofus Turquoise; Dofus Vulbis; Dofus Ocre; Dofus Ébène; Kokulte</t>
        </is>
      </c>
    </row>
    <row r="611">
      <c r="A611" t="inlineStr">
        <is>
          <t>Eniripsa F 200</t>
        </is>
      </c>
      <c r="B611">
        <f>HYPERLINK("https://www.dofusbook.net/fr/equipement/3762270-eniripsa-f-200/objets", "link")</f>
        <v/>
      </c>
      <c r="C611" t="n">
        <v>49</v>
      </c>
      <c r="D611" t="inlineStr">
        <is>
          <t>Arc de Koutoulou; Amulette de Pol Ouatnos; Alliance Gloursonne; Anneau de Padgref; Quatre-feuilles; Ceinture du Strigide; Kidibonnet; Chevelure de Tal Kasha; Sandales de Tal Kasha; Dofus Turquoise; Dofus Nébuleux; Dofus Pourpre; Dofus des Glaces; Nomade; Remueur</t>
        </is>
      </c>
    </row>
    <row r="612">
      <c r="A612" t="inlineStr">
        <is>
          <t>olool</t>
        </is>
      </c>
      <c r="B612">
        <f>HYPERLINK("https://www.dofusbook.net/fr/equipement/474472-olool/objets", "link")</f>
        <v/>
      </c>
      <c r="C612" t="n">
        <v>60</v>
      </c>
      <c r="D612" t="inlineStr">
        <is>
          <t>Epée Gloursonne; Amulette du Strigide; Alliance Gloursonne; Bague Gloursonne; Ceinture du Strigide; Némès de Tal Kasha; Chevelure de Tal Kasha; Sandales de Tal Kasha; Dofus Émeraude; Dofus des Glaces; Dofus Turquoise; Dofus des Veilleurs; Dofus Pourpre; Dofus Ocre; Muldo Indigo et Emeraude</t>
        </is>
      </c>
    </row>
    <row r="613">
      <c r="A613" t="inlineStr">
        <is>
          <t>muldoo</t>
        </is>
      </c>
      <c r="B613">
        <f>HYPERLINK("https://www.dofusbook.net/fr/equipement/473805-muldoo/objets", "link")</f>
        <v/>
      </c>
      <c r="C613" t="n">
        <v>58</v>
      </c>
      <c r="D613" t="inlineStr">
        <is>
          <t>Sceptre du Roi Joueur; Amulette Luminescente; Bracelet du Piloztère; Bague Trithon; Bouclier d'Anerice; Ceinture Luminescente; Masque d'Anerice; Cape d'Anerice; Bottes Trithon; Dofus des Veilleurs; Dofus Turquoise; Dofus Pourpre; Dofus Ocre; Dofus Émeraude; Dofus des Glaces; Muldo Prune et Emeraude</t>
        </is>
      </c>
    </row>
    <row r="614">
      <c r="A614" t="inlineStr">
        <is>
          <t>gfhgf</t>
        </is>
      </c>
      <c r="B614">
        <f>HYPERLINK("https://www.dofusbook.net/fr/equipement/447832-gfhgf/objets", "link")</f>
        <v/>
      </c>
      <c r="C614" t="n">
        <v>54</v>
      </c>
      <c r="D614" t="inlineStr"/>
    </row>
    <row r="615">
      <c r="A615" t="inlineStr">
        <is>
          <t>Stuff 3</t>
        </is>
      </c>
      <c r="B615">
        <f>HYPERLINK("https://www.dofusbook.net/fr/equipement/217377-stuff-3/objets", "link")</f>
        <v/>
      </c>
      <c r="C615" t="n">
        <v>81</v>
      </c>
      <c r="D615" t="inlineStr">
        <is>
          <t>Héqache; Amulette du Kamasterisk; Anneau de Padgref; Alliance Gloursonne; Ceintacé; Casque des égarés; Cape du Kamasterisk; Bottes du Cycloïde; Dofus des Glaces; Dofus Pourpre; Dofus Turquoise; Nomade; Vigoureux majeur; Remueur; Muldo Prune et Emeraude</t>
        </is>
      </c>
    </row>
    <row r="616">
      <c r="A616" t="inlineStr">
        <is>
          <t>derfgg</t>
        </is>
      </c>
      <c r="B616">
        <f>HYPERLINK("https://www.dofusbook.net/fr/equipement/306128-derfgg/objets", "link")</f>
        <v/>
      </c>
      <c r="C616" t="n">
        <v>54</v>
      </c>
      <c r="D616" t="inlineStr">
        <is>
          <t>Héqache; Amulette du Kamasterisk; Alliance Gloursonne; Bracelet du Piloztère; Ceinture du Strigide; Chapoulpe; Cape du Kamasterisk; Baleinabottes; Dofus Turquoise; Dofus Émeraude; Dofus des Glaces; Dolmanax; Dofus Pourpre; Remueur; Muldo Amande et Emeraude</t>
        </is>
      </c>
    </row>
    <row r="617">
      <c r="A617" t="inlineStr">
        <is>
          <t>feu/air</t>
        </is>
      </c>
      <c r="B617">
        <f>HYPERLINK("https://www.dofusbook.net/fr/equipement/300079-feu-air/objets", "link")</f>
        <v/>
      </c>
      <c r="C617" t="n">
        <v>88</v>
      </c>
      <c r="D617" t="inlineStr">
        <is>
          <t>Baguette Range; Amulette du Strigide; Anneau de Padgref; Alliance Gloursonne; Ceintacé; Chapeau des Malveilleurs; Cape Lati; Getas de Padgref; Dofus Pourpre; Dofus des Veilleurs; Dofus Turquoise; Dofus des Glaces; Nomade; Remueur; Muldo Doré et Emeraude</t>
        </is>
      </c>
    </row>
    <row r="618">
      <c r="A618" t="inlineStr">
        <is>
          <t>Stuff 2</t>
        </is>
      </c>
      <c r="B618">
        <f>HYPERLINK("https://www.dofusbook.net/fr/equipement/217376-stuff-2/objets", "link")</f>
        <v/>
      </c>
      <c r="C618" t="n">
        <v>58</v>
      </c>
      <c r="D618" t="inlineStr">
        <is>
          <t>Manthache; Collier du Valet Veinard; Alliance Gloursonne; Gant du Valet Veinard; Menoture; Couronne d'Allister; Cape Indescriptible; Palmes Trithons; Equilibriste majeur; Remueur; Dévastateur Air majeur; Nomade; Acrobate majeur; Cascadeur majeur</t>
        </is>
      </c>
    </row>
    <row r="619">
      <c r="A619" t="inlineStr">
        <is>
          <t>Stuff 3</t>
        </is>
      </c>
      <c r="B619">
        <f>HYPERLINK("https://www.dofusbook.net/fr/equipement/217371-stuff-3/objets", "link")</f>
        <v/>
      </c>
      <c r="C619" t="n">
        <v>35</v>
      </c>
      <c r="D619" t="inlineStr">
        <is>
          <t>Harpelle; Pendentif affamé; Anneau de Padgref; Kralano; Ceinture de Vortex; Cagoule de Vortex; Voile d'encre; Pataugastrique; Dolmanax; Dofus Turquoise; Nomade; Remueur; Érudit majeur; Brûlih</t>
        </is>
      </c>
    </row>
    <row r="620">
      <c r="A620" t="inlineStr">
        <is>
          <t>Stuff 1</t>
        </is>
      </c>
      <c r="B620">
        <f>HYPERLINK("https://www.dofusbook.net/fr/equipement/217366-stuff-1/objets", "link")</f>
        <v/>
      </c>
      <c r="C620" t="n">
        <v>51</v>
      </c>
      <c r="D620" t="inlineStr">
        <is>
          <t>Epée Gloursonne; Amulette du Strigide; Bague Gloursonne; Alliance Gloursonne; Ceinture du Strigide; Chapeau de Gein; Voile d'encre; Bottes du Strigide; Dofus des Glaces; Dofus Pourpre; Dolmanax; Dofus Turquoise; Dofus Nébuleux; Dofus Ocre; Muldo Doré et Emeraude</t>
        </is>
      </c>
    </row>
    <row r="621">
      <c r="A621" t="inlineStr">
        <is>
          <t>Stuff 2</t>
        </is>
      </c>
      <c r="B621">
        <f>HYPERLINK("https://www.dofusbook.net/fr/equipement/217400-stuff-2/objets", "link")</f>
        <v/>
      </c>
      <c r="C621" t="n">
        <v>36</v>
      </c>
      <c r="D621" t="inlineStr">
        <is>
          <t>Le Thanos; Amulette Séculaire; Anneauræus; Anneauræus; Ceinture de Vortex; Coiffe Séculaire; Cape de Diondin; Bottes Innommables; Dolmanax; Érudit majeur; Astucieux majeur; Remueur; Nomade; Dévastateur Feu majeur; Brûlih</t>
        </is>
      </c>
    </row>
    <row r="622">
      <c r="A622" t="inlineStr">
        <is>
          <t>Stuff 2</t>
        </is>
      </c>
      <c r="B622">
        <f>HYPERLINK("https://www.dofusbook.net/fr/equipement/217361-stuff-2/objets", "link")</f>
        <v/>
      </c>
      <c r="C622" t="n">
        <v>68</v>
      </c>
      <c r="D622" t="inlineStr">
        <is>
          <t>Sabres d'Atcham; Amulette du Strigide; Bague Gloursonne; Alliance Gloursonne; Ceinture du Strigide; Chapeau des Malveilleurs; Cape d'Atcham; Sandales  d'Atcham; Dofus Abyssal; Dofus Ocre; Dofus Nébuleux; Dofus Turquoise; Dofus des Glaces; Dofus Pourpre; Muldo Doré et Emeraude</t>
        </is>
      </c>
    </row>
    <row r="623">
      <c r="A623" t="inlineStr">
        <is>
          <t>Stuff 3</t>
        </is>
      </c>
      <c r="B623">
        <f>HYPERLINK("https://www.dofusbook.net/fr/equipement/217383-stuff-3/objets", "link")</f>
        <v/>
      </c>
      <c r="C623" t="n">
        <v>33</v>
      </c>
      <c r="D623" t="inlineStr">
        <is>
          <t>Arc Hétype; Amulette Séculaire; Anneauræus; Anneauræus; Sangle Aise; Coiffe Séculaire; Cape de Diondin; Bottes Innommables; Dolmanax; Érudit majeur; Nomade; Fonceur majeur; Savant majeur; Remueur; Brûlih</t>
        </is>
      </c>
    </row>
    <row r="624">
      <c r="A624" t="inlineStr">
        <is>
          <t>Stuff 1</t>
        </is>
      </c>
      <c r="B624">
        <f>HYPERLINK("https://www.dofusbook.net/fr/equipement/217378-stuff-1/objets", "link")</f>
        <v/>
      </c>
      <c r="C624" t="n">
        <v>32</v>
      </c>
      <c r="D624" t="inlineStr">
        <is>
          <t>Dagoulinantes; Amulette Voldelor; Anneau Tique; Alliance Gloursonne; Ceinture du Barbétoal; Chapeau des Malveilleurs; Chevelure de Tal Kasha; Sandales de Tal Kasha; Dofus Pourpre; Dofus Turquoise; Dofus Ocre; Vigoureux majeur; Nomade; Remueur; Kwaltess; Rondache qui pète</t>
        </is>
      </c>
    </row>
    <row r="625">
      <c r="A625" t="inlineStr">
        <is>
          <t>Stuff 3</t>
        </is>
      </c>
      <c r="B625">
        <f>HYPERLINK("https://www.dofusbook.net/fr/equipement/217371-stuff-3/objets", "link")</f>
        <v/>
      </c>
      <c r="C625" t="n">
        <v>35</v>
      </c>
      <c r="D625" t="inlineStr">
        <is>
          <t>Harpelle; Pendentif affamé; Anneau de Padgref; Kralano; Ceinture de Vortex; Cagoule de Vortex; Voile d'encre; Pataugastrique; Dolmanax; Dofus Turquoise; Nomade; Remueur; Érudit majeur; Brûlih</t>
        </is>
      </c>
    </row>
    <row r="626">
      <c r="A626" t="inlineStr">
        <is>
          <t>Stuff 2</t>
        </is>
      </c>
      <c r="B626">
        <f>HYPERLINK("https://www.dofusbook.net/fr/equipement/217400-stuff-2/objets", "link")</f>
        <v/>
      </c>
      <c r="C626" t="n">
        <v>36</v>
      </c>
      <c r="D626" t="inlineStr">
        <is>
          <t>Le Thanos; Amulette Séculaire; Anneauræus; Anneauræus; Ceinture de Vortex; Coiffe Séculaire; Cape de Diondin; Bottes Innommables; Dolmanax; Remueur; Nomade; Dévastateur Feu majeur; Érudit majeur; Astucieux majeur; Brûlih</t>
        </is>
      </c>
    </row>
    <row r="627">
      <c r="A627" t="inlineStr">
        <is>
          <t>Stuff 1</t>
        </is>
      </c>
      <c r="B627">
        <f>HYPERLINK("https://www.dofusbook.net/fr/equipement/217366-stuff-1/objets", "link")</f>
        <v/>
      </c>
      <c r="C627" t="n">
        <v>51</v>
      </c>
      <c r="D627" t="inlineStr">
        <is>
          <t>Epée Gloursonne; Amulette du Strigide; Bague Gloursonne; Alliance Gloursonne; Ceinture du Strigide; Chapeau de Gein; Voile d'encre; Bottes du Strigide; Dolmanax; Dofus Turquoise; Dofus Nébuleux; Dofus Ocre; Dofus des Glaces; Dofus Pourpre; Muldo Doré et Emeraude</t>
        </is>
      </c>
    </row>
    <row r="628">
      <c r="A628" t="inlineStr">
        <is>
          <t>Stuff 2</t>
        </is>
      </c>
      <c r="B628">
        <f>HYPERLINK("https://www.dofusbook.net/fr/equipement/217361-stuff-2/objets", "link")</f>
        <v/>
      </c>
      <c r="C628" t="n">
        <v>68</v>
      </c>
      <c r="D628" t="inlineStr">
        <is>
          <t>Sabres d'Atcham; Amulette du Strigide; Bague Gloursonne; Alliance Gloursonne; Ceinture du Strigide; Chapeau des Malveilleurs; Cape d'Atcham; Sandales  d'Atcham; Dofus Abyssal; Dofus Ocre; Dofus Nébuleux; Dofus Turquoise; Dofus des Glaces; Dofus Pourpre; Muldo Doré et Emeraude</t>
        </is>
      </c>
    </row>
    <row r="629">
      <c r="A629" t="inlineStr">
        <is>
          <t>Stuff 3</t>
        </is>
      </c>
      <c r="B629">
        <f>HYPERLINK("https://www.dofusbook.net/fr/equipement/217383-stuff-3/objets", "link")</f>
        <v/>
      </c>
      <c r="C629" t="n">
        <v>33</v>
      </c>
      <c r="D629" t="inlineStr">
        <is>
          <t>Arc Hétype; Amulette Séculaire; Anneauræus; Anneauræus; Sangle Aise; Coiffe Séculaire; Cape de Diondin; Bottes Innommables; Dolmanax; Savant majeur; Remueur; Érudit majeur; Nomade; Fonceur majeur; Brûlih</t>
        </is>
      </c>
    </row>
    <row r="630">
      <c r="A630" t="inlineStr">
        <is>
          <t>Stuff 1</t>
        </is>
      </c>
      <c r="B630">
        <f>HYPERLINK("https://www.dofusbook.net/fr/equipement/217378-stuff-1/objets", "link")</f>
        <v/>
      </c>
      <c r="C630" t="n">
        <v>32</v>
      </c>
      <c r="D630" t="inlineStr">
        <is>
          <t>Dagoulinantes; Amulette Voldelor; Anneau Tique; Alliance Gloursonne; Ceinture du Barbétoal; Chapeau des Malveilleurs; Chevelure de Tal Kasha; Sandales de Tal Kasha; Dofus Pourpre; Dofus Turquoise; Dofus Ocre; Remueur; Vigoureux majeur; Nomade; Kwaltess; Rondache qui pète</t>
        </is>
      </c>
    </row>
    <row r="631">
      <c r="A631" t="inlineStr">
        <is>
          <t>Stuff 2</t>
        </is>
      </c>
      <c r="B631">
        <f>HYPERLINK("https://www.dofusbook.net/fr/equipement/217373-stuff-2/objets", "link")</f>
        <v/>
      </c>
      <c r="C631" t="n">
        <v>52</v>
      </c>
      <c r="D631" t="inlineStr">
        <is>
          <t>Epée Gloursonne; Amulette du Strigide; Bague Gloursonne; Alliance Gloursonne; Ceinture du Strigide; Dorabysses; Cape de la Fuji Givrefoux; Bottes du Strigide; Dofus Émeraude; Dofus Ocre; Précurseur majeur; Tacleur majeur; Bloqueur majeur; Bloqueur; Blokus; Bouclier Pararayon</t>
        </is>
      </c>
    </row>
    <row r="632">
      <c r="A632" t="inlineStr">
        <is>
          <t>Stuff 3</t>
        </is>
      </c>
      <c r="B632">
        <f>HYPERLINK("https://www.dofusbook.net/fr/equipement/217368-stuff-3/objets", "link")</f>
        <v/>
      </c>
      <c r="C632" t="n">
        <v>54</v>
      </c>
      <c r="D632" t="inlineStr">
        <is>
          <t>Dagues Érhy; Amulette du Strigide; Chevalière du Roi Joueur; Bague Gloursonne; Ceinture du Strigide; Bonnet Ko; Voile d'encre; Bottes de la Cour Sombre; Dofus Turquoise; Dofus Pourpre; Dofus Ocre; Vigoureux majeur; Remueur; Nomade; Muldo Prune et Doré</t>
        </is>
      </c>
    </row>
    <row r="633">
      <c r="A633" t="inlineStr">
        <is>
          <t>Stuff 1</t>
        </is>
      </c>
      <c r="B633">
        <f>HYPERLINK("https://www.dofusbook.net/fr/equipement/217363-stuff-1/objets", "link")</f>
        <v/>
      </c>
      <c r="C633" t="n">
        <v>22</v>
      </c>
      <c r="D633" t="inlineStr">
        <is>
          <t>Arc Hétype; Amulette Séculaire; Chevalière du Roi Joueur; Alliance Gloursonne; Ceinture Séculaire; Casque Dragoeuf; Cape de la Dame du Hasard; Pataugastrique</t>
        </is>
      </c>
    </row>
    <row r="634">
      <c r="A634" t="inlineStr">
        <is>
          <t>Stuff 2</t>
        </is>
      </c>
      <c r="B634">
        <f>HYPERLINK("https://www.dofusbook.net/fr/equipement/217391-stuff-2/objets", "link")</f>
        <v/>
      </c>
      <c r="C634" t="n">
        <v>46</v>
      </c>
      <c r="D634" t="inlineStr">
        <is>
          <t>Canne Harr; Amulette du Strigide; Alliance Gloursonne; Anneau de Padgref; Ceintacé; Chapeau des Malveilleurs; Cape Lati; Getas de Padgref; Dofus des Glaces; Dofus Turquoise; Dofus Pourpre; Vigoureux majeur; Remueur; Nomade; Muldo Doré et Emeraude</t>
        </is>
      </c>
    </row>
    <row r="635">
      <c r="A635" t="inlineStr">
        <is>
          <t>Stuff 2</t>
        </is>
      </c>
      <c r="B635">
        <f>HYPERLINK("https://www.dofusbook.net/fr/equipement/217385-stuff-2/objets", "link")</f>
        <v/>
      </c>
      <c r="C635" t="n">
        <v>40</v>
      </c>
      <c r="D635" t="inlineStr">
        <is>
          <t>Manthache; Amibou; Anneau de Padgref; Alliance Gloursonne; Menoture; Coiffe de Padgref; Cape Indescriptible; Palmes Trithons; Dofus Pourpre; Dofus Turquoise; Dévastateur Air majeur; Cascadeur majeur; Nomade; Remueur; Dragodinde en armure</t>
        </is>
      </c>
    </row>
    <row r="636">
      <c r="A636" t="inlineStr">
        <is>
          <t>Stuff 3</t>
        </is>
      </c>
      <c r="B636">
        <f>HYPERLINK("https://www.dofusbook.net/fr/equipement/217380-stuff-3/objets", "link")</f>
        <v/>
      </c>
      <c r="C636" t="n">
        <v>46</v>
      </c>
      <c r="D636" t="inlineStr">
        <is>
          <t>Sabres d'Atcham; Amulette du Strigide; Alliance Gloursonne; Anneau Tique; Ceintacé; Chapeau des Malveilleurs; Cape d'Atcham; Sandales de Tal Kasha; Dofus Turquoise; Dofus Pourpre; Vigoureux majeur; Remueur; Miraculé majeur; Nomade; Dragodinde en armure</t>
        </is>
      </c>
    </row>
    <row r="637">
      <c r="A637" t="inlineStr">
        <is>
          <t>Stuff 1</t>
        </is>
      </c>
      <c r="B637">
        <f>HYPERLINK("https://www.dofusbook.net/fr/equipement/217375-stuff-1/objets", "link")</f>
        <v/>
      </c>
      <c r="C637" t="n">
        <v>51</v>
      </c>
      <c r="D637" t="inlineStr">
        <is>
          <t>Manthache; Collier du Valet Veinard; Gant du Valet Veinard; Alliance Gloursonne; Menoture; Casque Dragoeuf; Cape Indescriptible; Palmes Trithons; Dofus Abyssal; Dofus Nébuleux; Dofus Ocre; Dofus Émeraude; Carapace Air majeur; Fonceur majeur; Muldo Doré et Ebène</t>
        </is>
      </c>
    </row>
    <row r="638">
      <c r="A638" t="inlineStr">
        <is>
          <t>Stuff 2</t>
        </is>
      </c>
      <c r="B638">
        <f>HYPERLINK("https://www.dofusbook.net/fr/equipement/217370-stuff-2/objets", "link")</f>
        <v/>
      </c>
      <c r="C638" t="n">
        <v>26</v>
      </c>
      <c r="D638" t="inlineStr">
        <is>
          <t>Sabres d'Atcham; Amulette du Strigide; Anneau de Padgref; Alliance Gloursonne; Ceinture du Strigide; Chapeau des Malveilleurs; Voile d'encre; Pataugastrique; Dofus Pourpre; Dofus des Veilleurs; Dofus Turquoise; Vigoureux majeur; Nomade; Remueur; Kramkram</t>
        </is>
      </c>
    </row>
    <row r="639">
      <c r="A639" t="inlineStr">
        <is>
          <t>Stuff 1</t>
        </is>
      </c>
      <c r="B639">
        <f>HYPERLINK("https://www.dofusbook.net/fr/equipement/217399-stuff-1/objets", "link")</f>
        <v/>
      </c>
      <c r="C639" t="n">
        <v>37</v>
      </c>
      <c r="D639" t="inlineStr">
        <is>
          <t>Le Thanos; Amulette d'Otomaï; Anneauræus; Anneauræus; Sangle Aise; Maskrobe; Cape de Diondin; Bottes d'Otomaï; Fonceur majeur; Nomade; Dévastateur Feu majeur; Remueur; Astucieux majeur; Érudit majeur; Brûlih</t>
        </is>
      </c>
    </row>
    <row r="640">
      <c r="A640" t="inlineStr">
        <is>
          <t>Stuff 2</t>
        </is>
      </c>
      <c r="B640">
        <f>HYPERLINK("https://www.dofusbook.net/fr/equipement/217382-stuff-2/objets", "link")</f>
        <v/>
      </c>
      <c r="C640" t="n">
        <v>42</v>
      </c>
      <c r="D640" t="inlineStr">
        <is>
          <t>Manthache; Collier du Valet Veinard; Alliance Gloursonne; Gant du Valet Veinard; Ceinture du Barbétoal; Dorabysses; Cape Matelassée; Palmes Trithons; Dofus Turquoise; Fonceur majeur; Cascadeur majeur; Dévastateur Air majeur; Nomade; Remueur; Siroko</t>
        </is>
      </c>
    </row>
    <row r="641">
      <c r="A641" t="inlineStr">
        <is>
          <t>Stuff 1</t>
        </is>
      </c>
      <c r="B641">
        <f>HYPERLINK("https://www.dofusbook.net/fr/equipement/217372-stuff-1/objets", "link")</f>
        <v/>
      </c>
      <c r="C641" t="n">
        <v>45</v>
      </c>
      <c r="D641" t="inlineStr">
        <is>
          <t>Epée Gloursonne; Amulette Séculaire; Bague Gloursonne; Alliance Gloursonne; Ceinture Séculaire; Coiffe Séculaire; Voile d'encre; Dofus Ocre; Dofus Émeraude; Dofus Turquoise; Précurseur majeur; Survivant majeur; Voyageur; Dragodinde en armure</t>
        </is>
      </c>
    </row>
    <row r="642">
      <c r="A642" t="inlineStr">
        <is>
          <t>Stuff 2</t>
        </is>
      </c>
      <c r="B642">
        <f>HYPERLINK("https://www.dofusbook.net/fr/equipement/217367-stuff-2/objets", "link")</f>
        <v/>
      </c>
      <c r="C642" t="n">
        <v>61</v>
      </c>
      <c r="D642" t="inlineStr">
        <is>
          <t>Hache du Guerrier Zoth; Amulette du Strigide; Chevalière du Roi Joueur; Bague Gloursonne; Ceinture du Strigide; Chapeau de Gein; Voile d'encre; Bottes de la Cour Sombre; Dofus Ocre; Dofus Turquoise; Dofus Pourpre; Remueur; Vigoureux majeur; Nomade; Dragodinde en armure</t>
        </is>
      </c>
    </row>
    <row r="643">
      <c r="A643" t="inlineStr">
        <is>
          <t>Stuff 3</t>
        </is>
      </c>
      <c r="B643">
        <f>HYPERLINK("https://www.dofusbook.net/fr/equipement/217362-stuff-3/objets", "link")</f>
        <v/>
      </c>
      <c r="C643" t="n">
        <v>58</v>
      </c>
      <c r="D643" t="inlineStr">
        <is>
          <t>Arc de Koutoulou; Amulette du Strigide; Anneau de Padgref; Alliance Gloursonne; Ceinture du Strigide; Némès de Tal Kasha; Chevelure de Tal Kasha; Sandales de Tal Kasha; Dolmanax; Dofus Émeraude; Dofus des Glaces; Dofus Ocre; Dofus Turquoise; Dofus Pourpre; Muldo Doré et Emeraude</t>
        </is>
      </c>
    </row>
    <row r="644">
      <c r="A644" t="inlineStr">
        <is>
          <t>Stuff 1</t>
        </is>
      </c>
      <c r="B644">
        <f>HYPERLINK("https://www.dofusbook.net/fr/equipement/217384-stuff-1/objets", "link")</f>
        <v/>
      </c>
      <c r="C644" t="n">
        <v>37</v>
      </c>
      <c r="D644" t="inlineStr">
        <is>
          <t>Dague Hirr; Amulette du Strigide; Anneau Chevelu; Alliance Gloursonne; Ceintacé; Casque des égarés; Voile d'encre; Bottes des égarés; Dofus Turquoise; Dofus des Glaces; Dofus Pourpre; Vigoureux majeur; Nomade; Remueur; Muldo Pourpre et Amande</t>
        </is>
      </c>
    </row>
    <row r="645">
      <c r="A645" t="inlineStr">
        <is>
          <t>Stuff 2</t>
        </is>
      </c>
      <c r="B645">
        <f>HYPERLINK("https://www.dofusbook.net/fr/equipement/217379-stuff-2/objets", "link")</f>
        <v/>
      </c>
      <c r="C645" t="n">
        <v>26</v>
      </c>
      <c r="D645" t="inlineStr">
        <is>
          <t>Manthache; Amulette du Strigide; Bracelet du Piloztère; Bague Gloursonne; Ceinture du Strigide; Casque des égarés; Voile d'encre; Sandales de Tal Kasha; Dofus Turquoise; Dofus Ocre; Dofus Pourpre; Nomade; Miraculé majeur; Remueur; Kwaltess</t>
        </is>
      </c>
    </row>
    <row r="646">
      <c r="A646" t="inlineStr">
        <is>
          <t>Stuff 3</t>
        </is>
      </c>
      <c r="B646">
        <f>HYPERLINK("https://www.dofusbook.net/fr/equipement/217374-stuff-3/objets", "link")</f>
        <v/>
      </c>
      <c r="C646" t="n">
        <v>44</v>
      </c>
      <c r="D646" t="inlineStr">
        <is>
          <t>Epée Gloursonne; Amulette du Strigide; Alliance Gloursonne; Bague Gloursonne; Ceinture du Strigide; Masque du Katcheur; Voile d'encre; Bottes du Strigide; Dofus Ocre; Dofus Pourpre; Dofus des Glaces; Dofus Turquoise; Dolmanax; Dofus Émeraude; Muldo Doré et Amande</t>
        </is>
      </c>
    </row>
    <row r="647">
      <c r="A647" t="inlineStr">
        <is>
          <t>Stuff 1</t>
        </is>
      </c>
      <c r="B647">
        <f>HYPERLINK("https://www.dofusbook.net/fr/equipement/217369-stuff-1/objets", "link")</f>
        <v/>
      </c>
      <c r="C647" t="n">
        <v>36</v>
      </c>
      <c r="D647" t="inlineStr">
        <is>
          <t>Harpelle; Pendentif affamé; Anneau de Padgref; Kralano; Ceinture Séculaire; Coiffe Séculaire; Voile d'encre; Pataugastrique; Dofus Turquoise; Nomade; Érudit majeur; Remueur; Brûlih</t>
        </is>
      </c>
    </row>
    <row r="648">
      <c r="A648" t="inlineStr">
        <is>
          <t>Stuff 2</t>
        </is>
      </c>
      <c r="B648">
        <f>HYPERLINK("https://www.dofusbook.net/fr/equipement/1556570-stuff-2/objets", "link")</f>
        <v/>
      </c>
      <c r="C648" t="n">
        <v>69</v>
      </c>
      <c r="D648" t="inlineStr">
        <is>
          <t>Rouleau à Pâtisserie d'Aermyne; Amulette du Strigide; Alliance Gloursonne; Bague Gloursonne; Ceinture de Kongoku; Casque Dragoeuf; Voile d'encre; Sandales des Fonds marins; Dolmanax; Dofus Ocre; Obstructeur majeur; Remueur; Tacleur majeur; Bloqueur majeur; Muldo Roux</t>
        </is>
      </c>
    </row>
    <row r="649">
      <c r="A649" t="inlineStr">
        <is>
          <t>Stuff 1</t>
        </is>
      </c>
      <c r="B649">
        <f>HYPERLINK("https://www.dofusbook.net/fr/equipement/1556587-stuff-1/objets", "link")</f>
        <v/>
      </c>
      <c r="C649" t="n">
        <v>24</v>
      </c>
      <c r="D649" t="inlineStr">
        <is>
          <t>Dagues Érhy; Collier du Valet Veinard; Anneau d'Allister; Gant du Valet Veinard; Ceinture du Père Fwetar; Couronne d'Allister; Cape du Valet Veinard; Bottes d'Allister; Dofus Ocre; Dofus des Glaces; Dolmanax; Saccageur Air majeur; Voyageur</t>
        </is>
      </c>
    </row>
    <row r="650">
      <c r="A650" t="inlineStr">
        <is>
          <t>Stuff 2</t>
        </is>
      </c>
      <c r="B650">
        <f>HYPERLINK("https://www.dofusbook.net/fr/equipement/1556582-stuff-2/objets", "link")</f>
        <v/>
      </c>
      <c r="C650" t="n">
        <v>23</v>
      </c>
      <c r="D650" t="inlineStr">
        <is>
          <t>Dagues Érhy; Amulette du Strigide; Bague Gloursonne; Alliance de Missiz Frizz; Ceinture du Strigide; Casque de Missiz Frizz; Cape au Logis; Bottes du Strigide; Dolmanax; Dofus Ocre; Dofus des Glaces; Dofus Turquoise; Dofus Émeraude; Survivant majeur; Eliôme</t>
        </is>
      </c>
    </row>
    <row r="651">
      <c r="A651" t="inlineStr">
        <is>
          <t>Stuff 3</t>
        </is>
      </c>
      <c r="B651">
        <f>HYPERLINK("https://www.dofusbook.net/fr/equipement/1556577-stuff-3/objets", "link")</f>
        <v/>
      </c>
      <c r="C651" t="n">
        <v>31</v>
      </c>
      <c r="D651" t="inlineStr">
        <is>
          <t>Arc Hétype; Amulette de Pol Ouatnos; Bague Gloursonne; Pikano; Ceinture de Kongoku; Casquipik; Cape des Matougarous; Pantoufles Émar; Dofus des Glaces; Dokoko; Remueur; Nomade; Entraveur majeur; Temporiseur majeur; Eliôme</t>
        </is>
      </c>
    </row>
    <row r="652">
      <c r="A652" t="inlineStr">
        <is>
          <t>Stuff 1</t>
        </is>
      </c>
      <c r="B652">
        <f>HYPERLINK("https://www.dofusbook.net/fr/equipement/1556572-stuff-1/objets", "link")</f>
        <v/>
      </c>
      <c r="C652" t="n">
        <v>21</v>
      </c>
      <c r="D652" t="inlineStr">
        <is>
          <t>Dagues Érhy; Amulette du Strigide; Bague Gloursonne; Alliance Gloursonne; Bouclier de l'intrépide; Ceinture du Strigide; Maskrobe; Voile d'encre; Bottes du Strigide; Dofus des Glaces; Dofus Pourpre; Dolmanax; Dofus Ocre; Dofus Turquoise; Dragodinde en armure</t>
        </is>
      </c>
    </row>
    <row r="653">
      <c r="A653" t="inlineStr">
        <is>
          <t>Stuff 2</t>
        </is>
      </c>
      <c r="B653">
        <f>HYPERLINK("https://www.dofusbook.net/fr/equipement/1556567-stuff-2/objets", "link")</f>
        <v/>
      </c>
      <c r="C653" t="n">
        <v>26</v>
      </c>
      <c r="D653" t="inlineStr">
        <is>
          <t>Épée du Granduk; Amulette du Granduk; Alliance Gloursonne; Bracelet du Piloztère; Ceinture de Klime; Masque du Granduk; Cape de Klime; Bottes du Cycloïde; Dofus Ocre; Dofus des Glaces; Dofus Pourpre; Dolmanax; Acrobate majeur; Siroko</t>
        </is>
      </c>
    </row>
    <row r="654">
      <c r="A654" t="inlineStr">
        <is>
          <t>Stuff 3</t>
        </is>
      </c>
      <c r="B654">
        <f>HYPERLINK("https://www.dofusbook.net/fr/equipement/1556589-stuff-3/objets", "link")</f>
        <v/>
      </c>
      <c r="C654" t="n">
        <v>15</v>
      </c>
      <c r="D654" t="inlineStr">
        <is>
          <t>Marteau des Anciens Steamers; Amulette Ementaire Deluxe; Alliance du Lévitrof; Alliance Gloursonne; Ceintacé; Coiffe du Lévitrof; Voile d'encre; Bottes du Strigide; Dolmanax; Dokoko; Dofus des Glaces; Remueur; Nomade; Vigoureux majeur; Chacha Angora</t>
        </is>
      </c>
    </row>
    <row r="655">
      <c r="A655" t="inlineStr">
        <is>
          <t>Stuff 1</t>
        </is>
      </c>
      <c r="B655">
        <f>HYPERLINK("https://www.dofusbook.net/fr/equipement/1556584-stuff-1/objets", "link")</f>
        <v/>
      </c>
      <c r="C655" t="n">
        <v>30</v>
      </c>
      <c r="D655" t="inlineStr">
        <is>
          <t>Dagues Érhy; Amulette du Strigide; Bague Gloursonne; Alliance de Missiz Frizz; Bouclier de l'intrépide; Ceinture du Strigide; Casque de Missiz Frizz; Cape de la Fuji Givrefoux; Bottes du Strigide; Dofus des Glaces; Dofus Pourpre; Dofus Ocre; Dolmanax; Dofus Turquoise; Forcené majeur; Kwaltess</t>
        </is>
      </c>
    </row>
    <row r="656">
      <c r="A656" t="inlineStr">
        <is>
          <t>Stuff 2</t>
        </is>
      </c>
      <c r="B656">
        <f>HYPERLINK("https://www.dofusbook.net/fr/equipement/1556579-stuff-2/objets", "link")</f>
        <v/>
      </c>
      <c r="C656" t="n">
        <v>14</v>
      </c>
      <c r="D656" t="inlineStr">
        <is>
          <t>Harpelle; Amulette d'Otomaï; Bague Gloursonne; Alliance d'Elya Wood; Ceinture Séculaire; Coiffe Séculaire; Cape de Diondin; Bottes Innommables; Dofus Turquoise; Dofus des Glaces; Nomade; Observateur; Érudit majeur; Remueur; Chacha Angora</t>
        </is>
      </c>
    </row>
    <row r="657">
      <c r="A657" t="inlineStr">
        <is>
          <t>Stuff 3</t>
        </is>
      </c>
      <c r="B657">
        <f>HYPERLINK("https://www.dofusbook.net/fr/equipement/1556574-stuff-3/objets", "link")</f>
        <v/>
      </c>
      <c r="C657" t="n">
        <v>29</v>
      </c>
      <c r="D657" t="inlineStr">
        <is>
          <t>Dagues Érhy; Amulette Séculaire; Bague Gloursonne; Kralano; Bouclier de l'intrépide; Ceinture Séculaire; Cagoule de Vortex; Voile d'encre; Bottes d'Otomaï; Dofus Ocre; Dofus Turquoise; Dofus des Glaces; Nomade; Guérisseur majeur; Remueur; Kwaltess</t>
        </is>
      </c>
    </row>
    <row r="658">
      <c r="A658" t="inlineStr">
        <is>
          <t>Stuff 1</t>
        </is>
      </c>
      <c r="B658">
        <f>HYPERLINK("https://www.dofusbook.net/fr/equipement/1556569-stuff-1/objets", "link")</f>
        <v/>
      </c>
      <c r="C658" t="n">
        <v>30</v>
      </c>
      <c r="D658" t="inlineStr">
        <is>
          <t>Epée Gloursonne; Amulette du Strigide; Bague Gloursonne; Alliance Gloursonne; Bouclier de l'intrépide; Ceinture du Strigide; Chapeau Lisson; Voile d'encre; Bottes du Strigide; Dolmanax; Dofus Nébuleux; Dofus Turquoise; Dofus Pourpre; Dofus des Glaces; Dofus Ocre; Phortiche</t>
        </is>
      </c>
    </row>
    <row r="659">
      <c r="A659" t="inlineStr">
        <is>
          <t>Stuff 3</t>
        </is>
      </c>
      <c r="B659">
        <f>HYPERLINK("https://www.dofusbook.net/fr/equipement/1556586-stuff-3/objets", "link")</f>
        <v/>
      </c>
      <c r="C659" t="n">
        <v>50</v>
      </c>
      <c r="D659" t="inlineStr">
        <is>
          <t>Dagues Érhy; Amulette du Strigide; Chevalière du Roi Joueur; Bague Gloursonne; Ceinture du Strigide; Chapeau de Gein; Voile d'encre; Bottes du Cycloïde; Dofus Ocre; Dofus Pourpre; Dofus des Glaces; Dofus Turquoise; Nomade; Remueur; Kwaltess</t>
        </is>
      </c>
    </row>
    <row r="660">
      <c r="A660" t="inlineStr">
        <is>
          <t>Stuff 1</t>
        </is>
      </c>
      <c r="B660">
        <f>HYPERLINK("https://www.dofusbook.net/fr/equipement/1556581-stuff-1/objets", "link")</f>
        <v/>
      </c>
      <c r="C660" t="n">
        <v>32</v>
      </c>
      <c r="D660" t="inlineStr">
        <is>
          <t>Dagues de Srambad; Amulette du Piloztère; Alliance Gloursonne; Anneau Chevelu; Ceintacé; Kidibonnet; Voile d'encre; Pantoufles du Piloztère; Dofus Turquoise; Dolmanax; Dofus des Glaces; Nomade; Miraculé majeur; Remueur; Eliôme</t>
        </is>
      </c>
    </row>
    <row r="661">
      <c r="A661" t="inlineStr">
        <is>
          <t>Stuff 2</t>
        </is>
      </c>
      <c r="B661">
        <f>HYPERLINK("https://www.dofusbook.net/fr/equipement/1556576-stuff-2/objets", "link")</f>
        <v/>
      </c>
      <c r="C661" t="n">
        <v>30</v>
      </c>
      <c r="D661" t="inlineStr">
        <is>
          <t>Baguette Hique; Amulette du Glourséleste; Anneau Tamie; Anneau Tamie; Ceinture Instable; Casquipik; Cape de Kongoku; Pikottes; Entraveur; Temporiseur majeur; Temporiseur; Ralentisseur majeur; Entraveur majeur; Remueur; Gwo Tofu Ventripotent</t>
        </is>
      </c>
    </row>
    <row r="662">
      <c r="A662" t="inlineStr">
        <is>
          <t>Stuff 3</t>
        </is>
      </c>
      <c r="B662">
        <f>HYPERLINK("https://www.dofusbook.net/fr/equipement/1556571-stuff-3/objets", "link")</f>
        <v/>
      </c>
      <c r="C662" t="n">
        <v>30</v>
      </c>
      <c r="D662" t="inlineStr">
        <is>
          <t>Marteau des égarés; Amulette Ementaire Deluxe; Bracelet du Piloztère; Alliance Gloursonne; Ceinture du Strigide; Masque du Katcheur; Voile d'encre; Bottes du Strigide; Dofus Pourpre; Dofus Ocre; Dolmanax; Vigoureux majeur; Nomade; Remueur; Kwaltess</t>
        </is>
      </c>
    </row>
    <row r="663">
      <c r="A663" t="inlineStr">
        <is>
          <t>Stuff 1</t>
        </is>
      </c>
      <c r="B663">
        <f>HYPERLINK("https://www.dofusbook.net/fr/equipement/1556566-stuff-1/objets", "link")</f>
        <v/>
      </c>
      <c r="C663" t="n">
        <v>10</v>
      </c>
      <c r="D663" t="inlineStr">
        <is>
          <t>Épée du Granduk; Collier du Valet Veinard; Gant du Valet Veinard; Anneau d'Allister; Ceinture du Barbétoal; Couronne d'Allister; Cape du Valet Veinard; Bottes d'Allister; Dofus des Glaces; Dragodinde en armure</t>
        </is>
      </c>
    </row>
    <row r="664">
      <c r="A664" t="inlineStr">
        <is>
          <t>Stuff 2</t>
        </is>
      </c>
      <c r="B664">
        <f>HYPERLINK("https://www.dofusbook.net/fr/equipement/1556588-stuff-2/objets", "link")</f>
        <v/>
      </c>
      <c r="C664" t="n">
        <v>37</v>
      </c>
      <c r="D664" t="inlineStr">
        <is>
          <t>Manthache; Amulette Ementaire Deluxe; Alliance Gloursonne; Gant du Valet Veinard; Ceintouse; Casque Dragoeuf; Voile d'encre; Tentassons; Dolmanax; Dofus des Glaces; Dofus Turquoise; Miraculé majeur; Remueur; Nomade; El Scarador</t>
        </is>
      </c>
    </row>
    <row r="665">
      <c r="A665" t="inlineStr">
        <is>
          <t>Stuff 3</t>
        </is>
      </c>
      <c r="B665">
        <f>HYPERLINK("https://www.dofusbook.net/fr/equipement/1556583-stuff-3/objets", "link")</f>
        <v/>
      </c>
      <c r="C665" t="n">
        <v>22</v>
      </c>
      <c r="D665" t="inlineStr">
        <is>
          <t>Dagues de Srambad; Amulette Ementaire Deluxe; Alliance Gloursonne; Pikano; Ceinture de la Reine des Voleurs; Coiffe de la Reine des Voleurs; Voile d'encre; Pantoufles du Piloztère; Dofus Ocre; Dofus des Glaces; Dolmanax; Remueur; Nomade; Miraculé majeur; Eliôme</t>
        </is>
      </c>
    </row>
    <row r="666">
      <c r="A666" t="inlineStr">
        <is>
          <t>Stuff 1</t>
        </is>
      </c>
      <c r="B666">
        <f>HYPERLINK("https://www.dofusbook.net/fr/equipement/1556578-stuff-1/objets", "link")</f>
        <v/>
      </c>
      <c r="C666" t="n">
        <v>22</v>
      </c>
      <c r="D666" t="inlineStr">
        <is>
          <t>Hache du Chalœil; Amulette du Piloztère; Alliance Gloursonne; Bracelet du Piloztère; Ceintacé; Casque du Chalœil; Voile d'encre; Bottes du Strigide; Dofus Pourpre; Dolmanax; Dofus Turquoise; Nomade; Vigoureux majeur; Remueur; Dragodinde en armure</t>
        </is>
      </c>
    </row>
    <row r="667">
      <c r="A667" t="inlineStr">
        <is>
          <t>Stuff 2</t>
        </is>
      </c>
      <c r="B667">
        <f>HYPERLINK("https://www.dofusbook.net/fr/equipement/1556573-stuff-2/objets", "link")</f>
        <v/>
      </c>
      <c r="C667" t="n">
        <v>34</v>
      </c>
      <c r="D667" t="inlineStr">
        <is>
          <t>Harpelle; Amulette Séculaire; Anneau de Nidas; Anneau Tique; Bouclier de l'intrépide; Ceinture de Vortex; Cagoule de Vortex; Cape de Diondin; Bottes d'Otomaï; Dofus Turquoise; Dofus Pourpre; Dofus des Glaces; Remueur; Nomade; Kramkram</t>
        </is>
      </c>
    </row>
    <row r="668">
      <c r="A668" t="inlineStr">
        <is>
          <t>Stuff 1</t>
        </is>
      </c>
      <c r="B668">
        <f>HYPERLINK("https://www.dofusbook.net/fr/equipement/1556584-stuff-1/objets", "link")</f>
        <v/>
      </c>
      <c r="C668" t="n">
        <v>30</v>
      </c>
      <c r="D668" t="inlineStr">
        <is>
          <t>Dagues Érhy; Amulette du Strigide; Bague Gloursonne; Alliance de Missiz Frizz; Bouclier de l'intrépide; Ceinture du Strigide; Casque de Missiz Frizz; Cape de la Fuji Givrefoux; Bottes du Strigide; Dolmanax; Dofus Turquoise; Dofus des Glaces; Dofus Pourpre; Dofus Ocre; Forcené majeur; Kwaltess</t>
        </is>
      </c>
    </row>
    <row r="669">
      <c r="A669" t="inlineStr">
        <is>
          <t>Stuff 2</t>
        </is>
      </c>
      <c r="B669">
        <f>HYPERLINK("https://www.dofusbook.net/fr/equipement/1556579-stuff-2/objets", "link")</f>
        <v/>
      </c>
      <c r="C669" t="n">
        <v>14</v>
      </c>
      <c r="D669" t="inlineStr">
        <is>
          <t>Harpelle; Amulette d'Otomaï; Bague Gloursonne; Alliance d'Elya Wood; Ceinture Séculaire; Coiffe Séculaire; Cape de Diondin; Bottes Innommables; Dofus Turquoise; Dofus des Glaces; Nomade; Observateur; Érudit majeur; Remueur; Chacha Angora</t>
        </is>
      </c>
    </row>
    <row r="670">
      <c r="A670" t="inlineStr">
        <is>
          <t>Stuff 3</t>
        </is>
      </c>
      <c r="B670">
        <f>HYPERLINK("https://www.dofusbook.net/fr/equipement/1556574-stuff-3/objets", "link")</f>
        <v/>
      </c>
      <c r="C670" t="n">
        <v>29</v>
      </c>
      <c r="D670" t="inlineStr">
        <is>
          <t>Dagues Érhy; Amulette Séculaire; Kralano; Bague Gloursonne; Bouclier de l'intrépide; Ceinture Séculaire; Cagoule de Vortex; Voile d'encre; Bottes d'Otomaï; Dofus des Glaces; Dofus Ocre; Dofus Turquoise; Remueur; Nomade; Guérisseur majeur; Kwaltess</t>
        </is>
      </c>
    </row>
    <row r="671">
      <c r="A671" t="inlineStr">
        <is>
          <t>Stuff 1</t>
        </is>
      </c>
      <c r="B671">
        <f>HYPERLINK("https://www.dofusbook.net/fr/equipement/1556569-stuff-1/objets", "link")</f>
        <v/>
      </c>
      <c r="C671" t="n">
        <v>30</v>
      </c>
      <c r="D671" t="inlineStr">
        <is>
          <t>Epée Gloursonne; Amulette du Strigide; Alliance Gloursonne; Bague Gloursonne; Bouclier de l'intrépide; Ceinture du Strigide; Chapeau Lisson; Voile d'encre; Bottes du Strigide; Dolmanax; Dofus Nébuleux; Dofus Turquoise; Dofus Pourpre; Dofus des Glaces; Dofus Ocre; Phortiche</t>
        </is>
      </c>
    </row>
    <row r="672">
      <c r="A672" t="inlineStr">
        <is>
          <t>vide pour concoursDB</t>
        </is>
      </c>
      <c r="B672">
        <f>HYPERLINK("https://www.dofusbook.net/fr/equipement/5867244-vide-pour-concoursdb/objets", "link")</f>
        <v/>
      </c>
      <c r="C672" t="n">
        <v>2</v>
      </c>
      <c r="D672" t="inlineStr"/>
    </row>
    <row r="673">
      <c r="A673" t="inlineStr">
        <is>
          <t>Ret pm</t>
        </is>
      </c>
      <c r="B673">
        <f>HYPERLINK("https://www.dofusbook.net/fr/equipement/5823754-ret-pm/objets", "link")</f>
        <v/>
      </c>
      <c r="C673" t="n">
        <v>11</v>
      </c>
      <c r="D673" t="inlineStr">
        <is>
          <t>Amulette Volcanique; Casquipik; Ralentisseur majeur; Entraveur majeur; Temporiseur; Remueur; Entraveur; Temporiseur majeur</t>
        </is>
      </c>
    </row>
    <row r="674">
      <c r="A674" t="inlineStr">
        <is>
          <t>Féca M 200</t>
        </is>
      </c>
      <c r="B674">
        <f>HYPERLINK("https://www.dofusbook.net/fr/equipement/5382676-feca-m-200/objets", "link")</f>
        <v/>
      </c>
      <c r="C674" t="n">
        <v>5</v>
      </c>
      <c r="D674" t="inlineStr"/>
    </row>
    <row r="675">
      <c r="A675" t="inlineStr">
        <is>
          <t>MRevent</t>
        </is>
      </c>
      <c r="B675">
        <f>HYPERLINK("https://www.dofusbook.net/fr/equipement/4178562-mrevent/objets", "link")</f>
        <v/>
      </c>
      <c r="C675" t="n">
        <v>79</v>
      </c>
      <c r="D675" t="inlineStr">
        <is>
          <t>Baguette Hernelle; Amulette du Strigide; Anneau Cryochrone; Alliance Gloursonne; Quatre-feuilles; Ceinture du Strigide; Chapeau des Malveilleurs; Cape des Malveilleurs; Bottes du Strigide; Dofus Ocre; Dolmanax; Dofus Abyssal; Dofus Ivoire; Dofus Turquoise; Voyageur; Pioute rouge</t>
        </is>
      </c>
    </row>
    <row r="676">
      <c r="A676" t="inlineStr">
        <is>
          <t>Terreplusviolent</t>
        </is>
      </c>
      <c r="B676">
        <f>HYPERLINK("https://www.dofusbook.net/fr/equipement/3005709-terreplusviolent/objets", "link")</f>
        <v/>
      </c>
      <c r="C676" t="n">
        <v>209</v>
      </c>
      <c r="D676" t="inlineStr">
        <is>
          <t>Héqache; Collier de Tourthon; Anneau Chevelu; Pikano; Bouclier alvéolé; Ceinture de la Reine des Voleurs; Ruskauffe; Voile d'encre; Chaussons de Macrab; Dofus Abyssal; Dofus Ivoire; Dofus Ocre; Enragé majeur; Remueur; Miraculé majeur; Muldo Indigo et Pourpre</t>
        </is>
      </c>
    </row>
    <row r="677">
      <c r="A677" t="inlineStr">
        <is>
          <t>Eau/mallef</t>
        </is>
      </c>
      <c r="B677">
        <f>HYPERLINK("https://www.dofusbook.net/fr/equipement/2992388-eau-mallef/objets", "link")</f>
        <v/>
      </c>
      <c r="C677" t="n">
        <v>149</v>
      </c>
      <c r="D677" t="inlineStr">
        <is>
          <t>Baguette de Malléfisk; Amulette d'Ilyzaelle; Alliance Gloursonne; Bracelet des Fonds marins; Carapar; Sangle Ouare; Casque d'Ilyzaelle; Cape Solution; Bottes de Meno; Dofus Ocre; Dofus Abyssal; Dofus Ivoire; Guérisseur majeur; Chanceux majeur; Miraculé majeur; Kramkram</t>
        </is>
      </c>
    </row>
    <row r="678">
      <c r="A678" t="inlineStr">
        <is>
          <t>Air/Invos</t>
        </is>
      </c>
      <c r="B678">
        <f>HYPERLINK("https://www.dofusbook.net/fr/equipement/3208073-air-invos/objets", "link")</f>
        <v/>
      </c>
      <c r="C678" t="n">
        <v>167</v>
      </c>
      <c r="D678" t="inlineStr">
        <is>
          <t>Lance Horselé; Collier du Valet Veinard; Alliance Gloursonne; Gant du Valet Veinard; Cadran d'Air; Menoture; Ruskauffe; Cape Indescriptible; Palmes Trithons; Dofus Abyssal; Dofus Ivoire; Cascadeur majeur; Remueur; Carapace Air majeur; Miraculé majeur; Muldo Ebène et Indigo</t>
        </is>
      </c>
    </row>
    <row r="679">
      <c r="A679" t="inlineStr">
        <is>
          <t>Terre/Air</t>
        </is>
      </c>
      <c r="B679">
        <f>HYPERLINK("https://www.dofusbook.net/fr/equipement/3005620-terre-air/objets", "link")</f>
        <v/>
      </c>
      <c r="C679" t="n">
        <v>125</v>
      </c>
      <c r="D679" t="inlineStr">
        <is>
          <t>Héqache; Amulette du Kamasterisk; Anneau de Pol Ouatnos; Alliance Gloursonne; Sept ans de malheur; Menoture; Chapoulpe; Voile d'encre; Tentassons; Dofus Abyssal; Dofus des Glaces; Dolmanax; Étourdisseur majeur; Remueur; Carapace Neutre majeur; Muldo Ebène et Indigo</t>
        </is>
      </c>
    </row>
    <row r="680">
      <c r="A680" t="inlineStr">
        <is>
          <t>Feu Classique</t>
        </is>
      </c>
      <c r="B680">
        <f>HYPERLINK("https://www.dofusbook.net/fr/equipement/2752429-feu-classique/objets", "link")</f>
        <v/>
      </c>
      <c r="C680" t="n">
        <v>135</v>
      </c>
      <c r="D680" t="inlineStr">
        <is>
          <t>Arc corrompu; Pendentif mignon de Koutoulou; Anneau de Nidas; Anneau Rifique; Sept ans de malheur; Ceinture de Vortex; Casque Dragoeuf; Cape de Diondin; Bottes Innommables; Dofus Ivoire; Étourdisseur majeur; Érudit majeur; Engourdisseur majeur; Remueur; Déserteur majeur; Muldo Orchidée et Amande</t>
        </is>
      </c>
    </row>
    <row r="681">
      <c r="A681" t="inlineStr">
        <is>
          <t>Retrait</t>
        </is>
      </c>
      <c r="B681">
        <f>HYPERLINK("https://www.dofusbook.net/fr/equipement/3005635-retrait/objets", "link")</f>
        <v/>
      </c>
      <c r="C681" t="n">
        <v>65</v>
      </c>
      <c r="D681" t="inlineStr">
        <is>
          <t>Arc corrompu; Pendentif affamé; Anneau Rifique; Anneau Tique; Cadran de Terre; Ceinture de Vortex; Cagoule de Vortex; Voile d'encre; Pataugastrique; Dofus Ivoire; Dofus Abyssal; Miraculé majeur; Érudit majeur; Remueur; Étourdisseur majeur; Muldo Orchidée et Pourpre</t>
        </is>
      </c>
    </row>
    <row r="682">
      <c r="A682" t="inlineStr">
        <is>
          <t>Full feu ret PA</t>
        </is>
      </c>
      <c r="B682">
        <f>HYPERLINK("https://www.dofusbook.net/fr/equipement/3005729-full-feu-ret-pa/objets", "link")</f>
        <v/>
      </c>
      <c r="C682" t="n">
        <v>68</v>
      </c>
      <c r="D682" t="inlineStr">
        <is>
          <t>Arc corrompu; Pendentif affamé; Bague Gloursonne; Anneau Tique; Sept ans de malheur; Ceinture de Vortex; Casque Dragoeuf; Cape de Diondin; Sabots de Vortex; Dofus Abyssal; Dofus Ivoire; Dofus Émeraude; Érudit majeur; Étourdisseur majeur; Remueur; Muldo Orchidée et Pourpre</t>
        </is>
      </c>
    </row>
    <row r="683">
      <c r="A683" t="inlineStr">
        <is>
          <t>Full heal</t>
        </is>
      </c>
      <c r="B683">
        <f>HYPERLINK("https://www.dofusbook.net/fr/equipement/3031557-full-heal/objets", "link")</f>
        <v/>
      </c>
      <c r="C683" t="n">
        <v>150</v>
      </c>
      <c r="D683" t="inlineStr">
        <is>
          <t>Baguette de Malléfisk; Amulette d'Otomaï; Anneauræus; Lavanneau; Carapar; Ceinture de Vortex; Heaume Oplate; Cape Ardente; Chaussures Ardentes; Remueur; Guérisseur majeur; Étourdisseur majeur; Déserteur majeur; Docteur majeur; Érudit majeur; Muldo Orchidée et Pourpre</t>
        </is>
      </c>
    </row>
    <row r="684">
      <c r="A684" t="inlineStr">
        <is>
          <t>feu ret PA sakou</t>
        </is>
      </c>
      <c r="B684">
        <f>HYPERLINK("https://www.dofusbook.net/fr/equipement/3005825-feu-ret-pa-sakou/objets", "link")</f>
        <v/>
      </c>
      <c r="C684" t="n">
        <v>40</v>
      </c>
      <c r="D684" t="inlineStr">
        <is>
          <t>Arc corrompu; Amulette de Nileza; Anneau Tique; Kralano; Cadran de Terre; Ceinture de Vortex; Heaume Oplate; Cape Ardente; Chaussures Ardentes; Dofus Abyssal; Dofus Ivoire; Miraculé majeur; Remueur; Évasif majeur; Érudit majeur; Muldo Indigo et Orchidée</t>
        </is>
      </c>
    </row>
    <row r="685">
      <c r="A685" t="inlineStr">
        <is>
          <t>ret pa 2.48</t>
        </is>
      </c>
      <c r="B685">
        <f>HYPERLINK("https://www.dofusbook.net/fr/equipement/3819314-ret-pa-2-48/objets", "link")</f>
        <v/>
      </c>
      <c r="C685" t="n">
        <v>35</v>
      </c>
      <c r="D685" t="inlineStr">
        <is>
          <t>Arc corrompu; Amulette Volkorne; Anneau Rifique; Anneauræus; Quatre-feuilles; Ceinture de Vortex; Casque Dragoeuf; Cape de Diondin; Pataugastrique; Dofus Ivoire; Dofus Abyssal; Nomade; Érudit majeur; Guérisseur majeur; Miraculé majeur; Pioute rouge</t>
        </is>
      </c>
    </row>
    <row r="686">
      <c r="A686" t="inlineStr">
        <is>
          <t>solo krala</t>
        </is>
      </c>
      <c r="B686">
        <f>HYPERLINK("https://www.dofusbook.net/fr/equipement/3812053-solo-krala/objets", "link")</f>
        <v/>
      </c>
      <c r="C686" t="n">
        <v>86</v>
      </c>
      <c r="D686" t="inlineStr">
        <is>
          <t>Dague de Meloro; Amulette Séculaire; Kralano; Bague Gloursonne; Quatre-feuilles; Ceinture Séculaire; Coiffe Séculaire; Voile d'encre; Bottes d'Otomaï; Dolmanax; Dofus des Glaces; Dofus Ocre; Savant majeur; Astucieux; Astucieux majeur; Brûlih</t>
        </is>
      </c>
    </row>
    <row r="687">
      <c r="A687" t="inlineStr">
        <is>
          <t>full air 12 6 volk</t>
        </is>
      </c>
      <c r="B687">
        <f>HYPERLINK("https://www.dofusbook.net/fr/equipement/3616577-full-air-12-6-volk/objets", "link")</f>
        <v/>
      </c>
      <c r="C687" t="n">
        <v>118</v>
      </c>
      <c r="D687" t="inlineStr">
        <is>
          <t>Manthache; Collier du Valet Veinard; Gant du Valet Veinard; Alliance Gloursonne; Quatre-feuilles; Ceinture du Nocturlabe; Couronne d'Allister; Cape Indescriptible; Palmes Trithons; Dofus des Glaces; Dofus Ocre; Dofus Abyssal; Cascadeur majeur; Nomade; Remueur; Volkorne Ebène</t>
        </is>
      </c>
    </row>
    <row r="688">
      <c r="A688" t="inlineStr">
        <is>
          <t>Full feu 2</t>
        </is>
      </c>
      <c r="B688">
        <f>HYPERLINK("https://www.dofusbook.net/fr/equipement/3616515-full-feu-2/objets", "link")</f>
        <v/>
      </c>
      <c r="C688" t="n">
        <v>69</v>
      </c>
      <c r="D688" t="inlineStr">
        <is>
          <t>Arc corrompu; Pendentif affamé; Anneau de Nidas; Anneau Tique; Quatre-feuilles; Ceinture Séculaire; Coiffe Séculaire; Voile d'encre; Bottes Innommables; Dofus Ocre; Dofus Abyssal; Astucieux majeur; Remueur; Érudit majeur; Nomade; Volkorne Orchidée</t>
        </is>
      </c>
    </row>
    <row r="689">
      <c r="A689" t="inlineStr">
        <is>
          <t>Air 2</t>
        </is>
      </c>
      <c r="B689">
        <f>HYPERLINK("https://www.dofusbook.net/fr/equipement/3613808-air-2/objets", "link")</f>
        <v/>
      </c>
      <c r="C689" t="n">
        <v>118</v>
      </c>
      <c r="D689" t="inlineStr">
        <is>
          <t>Manthache; Collier du Valet Veinard; Alliance Gloursonne; Gant du Valet Veinard; Quatre-feuilles; Ceinture du Nocturlabe; Couronne d'Allister; Cape Indescriptible; Palmes Trithons; Dofus Ocre; Dofus Abyssal; Dofus des Glaces; Nomade; Remueur; Cascadeur majeur; Volkorne Ebène</t>
        </is>
      </c>
    </row>
    <row r="690">
      <c r="A690" t="inlineStr">
        <is>
          <t>full terre 2</t>
        </is>
      </c>
      <c r="B690">
        <f>HYPERLINK("https://www.dofusbook.net/fr/equipement/3616533-full-terre-2/objets", "link")</f>
        <v/>
      </c>
      <c r="C690" t="n">
        <v>150</v>
      </c>
      <c r="D690" t="inlineStr">
        <is>
          <t>Arc du Chalœil; Amulette du Cœur Saignant; Chevalière du Roi Joueur; Bague Gloursonne; Quatre-feuilles; Ceinture Luminescente; Chapeau de Gein; Voile d'encre; Bottes du Cœur Saignant; Dofus Abyssal; Dofus Ocre; Forcené majeur; Nomade; Enragé majeur; Remueur; Volkorne Pourpre</t>
        </is>
      </c>
    </row>
    <row r="691">
      <c r="A691" t="inlineStr">
        <is>
          <t>Air</t>
        </is>
      </c>
      <c r="B691">
        <f>HYPERLINK("https://www.dofusbook.net/fr/equipement/3005642-air/objets", "link")</f>
        <v/>
      </c>
      <c r="C691" t="n">
        <v>107</v>
      </c>
      <c r="D691" t="inlineStr">
        <is>
          <t>Manthache; Collier du Valet Veinard; Gant du Valet Veinard; Alliance Gloursonne; Quatre-feuilles; Menoture; Casque Dragoeuf; Cape Indescriptible; Palmes Trithons; Dokoko; Dofus Ivoire; Dofus Pourpre; Dofus des Glaces; Dofus Ocre; Cascadeur majeur; Muldo Ebène</t>
        </is>
      </c>
    </row>
    <row r="692">
      <c r="A692" t="inlineStr">
        <is>
          <t>Stuff Sapeuh</t>
        </is>
      </c>
      <c r="B692">
        <f>HYPERLINK("https://www.dofusbook.net/fr/equipement/3235018-stuff-sapeuh/objets", "link")</f>
        <v/>
      </c>
      <c r="C692" t="n">
        <v>238</v>
      </c>
      <c r="D692" t="inlineStr">
        <is>
          <t>Arc Honte; Amulette de l'Œil Putride; Bague Gloursonne; Alliance Gloursonne; Bouclier du Stalak; Ceinture de l'Esprit Salvateur; Masque de l'Esprit Salvateur; Cape de l'Œil Putride; Bottes de l'Esprit Salvateur; Dofus Pourpre; Dofus Abyssal; Dofus Ocre; Dofus Ivoire; Dolmanax; Dofus des Glaces; Muldo Ebène</t>
        </is>
      </c>
    </row>
    <row r="693">
      <c r="A693" t="inlineStr">
        <is>
          <t>Terre Forcenature</t>
        </is>
      </c>
      <c r="B693">
        <f>HYPERLINK("https://www.dofusbook.net/fr/equipement/3495874-terre-forcenature/objets", "link")</f>
        <v/>
      </c>
      <c r="C693" t="n">
        <v>157</v>
      </c>
      <c r="D693" t="inlineStr">
        <is>
          <t>Arc du Chalœil; Collier de Tourthon; Anneau Crustique; Anneau Crustique; Quatre-feuilles; Ceinture de la Cour Sombre; Masque de Koutoulou; Cape au Logis; Bottes de la Cour Sombre; Dofus Abyssal; Dofus Ivoire; Dofus Nébuleux; Dofus Turquoise; Remueur; Enragé majeur; Muldo Pourpre</t>
        </is>
      </c>
    </row>
    <row r="694">
      <c r="A694" t="inlineStr">
        <is>
          <t>Stuff full eau</t>
        </is>
      </c>
      <c r="B694">
        <f>HYPERLINK("https://www.dofusbook.net/fr/equipement/3484566-stuff-full-eau/objets", "link")</f>
        <v/>
      </c>
      <c r="C694" t="n">
        <v>88</v>
      </c>
      <c r="D694" t="inlineStr">
        <is>
          <t>Sceptre du Roi Joueur; Amulette de Shokkoth; Pikano; Alliance Gloursonne; Bouclier du Stalak; Poulpagne; Masque d'Anerice; Cape d'Anerice; Bottes de Meno; Dofus Ivoire; Miraculé majeur; Remueur; Chanceux majeur; Déserteur majeur; Temporiseur majeur; Muldo Indigo</t>
        </is>
      </c>
    </row>
    <row r="695">
      <c r="A695" t="inlineStr">
        <is>
          <t>Puuugilat</t>
        </is>
      </c>
      <c r="B695">
        <f>HYPERLINK("https://www.dofusbook.net/fr/equipement/3432616-puuugilat/objets", "link")</f>
        <v/>
      </c>
      <c r="C695" t="n">
        <v>265</v>
      </c>
      <c r="D695" t="inlineStr">
        <is>
          <t>Marteau R'ture; Collier de Tourthon; Anneau Chevelu; Bague Gloursonne; Bouclier d'Ilyzaelle; Ceinture de la Cour Sombre; Masque de Koutoulou; Cape au Logis; Bottes de la Cour Sombre; Dofus Nébuleux; Dofus Pourpre; Dofus Ivoire; Enragé majeur; Fonceur majeur; Remueur; Croum</t>
        </is>
      </c>
    </row>
    <row r="696">
      <c r="A696" t="inlineStr">
        <is>
          <t>Stuff feu tumulte</t>
        </is>
      </c>
      <c r="B696">
        <f>HYPERLINK("https://www.dofusbook.net/fr/equipement/3432406-stuff-feu-tumulte/objets", "link")</f>
        <v/>
      </c>
      <c r="C696" t="n">
        <v>186</v>
      </c>
      <c r="D696" t="inlineStr">
        <is>
          <t>Dagues Ricol; Amulette de Nileza; Anneauræus; Anneauræus; Bouclier du Stalak; Ceinture de Kongoku; Heaume Oplate; Cape de Nileza; Bottes Innommables; Dofus Ivoire; Dofus Nébuleux; Miraculé majeur; Astucieux majeur; Remueur; Érudit majeur; Muldo Indigo et Orchidée</t>
        </is>
      </c>
    </row>
    <row r="697">
      <c r="A697" t="inlineStr">
        <is>
          <t>Stuff shei 2</t>
        </is>
      </c>
      <c r="B697">
        <f>HYPERLINK("https://www.dofusbook.net/fr/equipement/3232936-stuff-shei-2/objets", "link")</f>
        <v/>
      </c>
      <c r="C697" t="n">
        <v>65</v>
      </c>
      <c r="D697" t="inlineStr">
        <is>
          <t>Dagues de Srambad; Amulette de Shokkoth; Bague Trithon; Pikano; Bouclier du Stalak; Ceinture Luminescente; Casque Dragoeuf; Cape Solution; Bottes Trithon; Dolmanax; Dofus Ivoire; Dofus Pourpre; Dofus Abyssal; Nomade; Remueur; Dragodinde en armure</t>
        </is>
      </c>
    </row>
    <row r="698">
      <c r="A698" t="inlineStr">
        <is>
          <t>Stuff Shei</t>
        </is>
      </c>
      <c r="B698">
        <f>HYPERLINK("https://www.dofusbook.net/fr/equipement/3232917-stuff-shei/objets", "link")</f>
        <v/>
      </c>
      <c r="C698" t="n">
        <v>62</v>
      </c>
      <c r="D698" t="inlineStr">
        <is>
          <t>Sceptre du Roi Joueur; Amulette Ementaire Deluxe; Bague Gloursonne; Alliance Gloursonne; Bouclier du Stalak; Pagne du Rykaon; Masque de Funespadon; Voile d'encre; Bottes Honyme; Dofus Abyssal; Dofus Ivoire; Dofus Pourpre; Remueur; Miraculé majeur; Nomade; Dragodinde en armure</t>
        </is>
      </c>
    </row>
    <row r="699">
      <c r="A699" t="inlineStr">
        <is>
          <t>Test sadi random</t>
        </is>
      </c>
      <c r="B699">
        <f>HYPERLINK("https://www.dofusbook.net/fr/equipement/3232764-test-sadi-random/objets", "link")</f>
        <v/>
      </c>
      <c r="C699" t="n">
        <v>45</v>
      </c>
      <c r="D699" t="inlineStr">
        <is>
          <t>Dagues Érhy; Amulette de l'Indicible; Alliance Gloursonne; Bague Gloursonne; Bouclier cubiste; Ceinture de l'Indicible; Capuche de l'Œil Putride; Cape de l'Œil Putride; Bottes de l'Indicible; Dofus Turquoise; Dofus Ivoire; Dofus Émeraude; Dofus Ocre; Dolmanax; Dofus Abyssal; Muldo Pourpre et Emeraude</t>
        </is>
      </c>
    </row>
    <row r="700">
      <c r="A700" t="inlineStr">
        <is>
          <t>Eau/terre new</t>
        </is>
      </c>
      <c r="B700">
        <f>HYPERLINK("https://www.dofusbook.net/fr/equipement/2103749-eau-terre-new/objets", "link")</f>
        <v/>
      </c>
      <c r="C700" t="n">
        <v>51</v>
      </c>
      <c r="D700" t="inlineStr">
        <is>
          <t>Dagues de Srambad; Amulette Ementaire Deluxe; Bague Gloursonne; Alliance du Lévitrof; Cadran de Terre; Ceinture de la Reine des Voleurs; Casque Dragoeuf; Voile d'encre; Baleinabottes; Dofus Abyssal; Dolmanax; Dofus Ivoire; Remueur; Nomade; Miraculé majeur; Kramkram</t>
        </is>
      </c>
    </row>
    <row r="701">
      <c r="A701" t="inlineStr">
        <is>
          <t>Terreviolent</t>
        </is>
      </c>
      <c r="B701">
        <f>HYPERLINK("https://www.dofusbook.net/fr/equipement/3231985-terreviolent/objets", "link")</f>
        <v/>
      </c>
      <c r="C701" t="n">
        <v>93</v>
      </c>
      <c r="D701" t="inlineStr">
        <is>
          <t>Héqache; Collier de Tourthon; Pikano; Anneau Chevelu; Bouclier alvéolé; Ceinture de la Reine des Voleurs; Coiffe de la Reine des Voleurs; Voile d'encre; Chaussons de Macrab; Dofus Ivoire; Dofus Ocre; Dofus Abyssal; Remueur; Miraculé majeur; Enragé majeur; Muldo Indigo et Pourpre</t>
        </is>
      </c>
    </row>
    <row r="702">
      <c r="A702" t="inlineStr">
        <is>
          <t>Multi ret pm</t>
        </is>
      </c>
      <c r="B702">
        <f>HYPERLINK("https://www.dofusbook.net/fr/equipement/1385195-multi-ret-pm/objets", "link")</f>
        <v/>
      </c>
      <c r="C702" t="n">
        <v>82</v>
      </c>
      <c r="D702" t="inlineStr">
        <is>
          <t>Dagues Érhy; Amulette du Strigide; Bague Gloursonne; Chevalière du Roi Joueur; Bouclier cubiste; Ceintacé; Casque Dragoeuf; Voile d'encre; Bottes de Meno; Dofus Abyssal; Dofus Ivoire; Miraculé majeur; Nomade; Temporiseur majeur; Remueur; Muldo Pourpre et Emeraude</t>
        </is>
      </c>
    </row>
    <row r="703">
      <c r="A703" t="inlineStr">
        <is>
          <t>Feu/eau</t>
        </is>
      </c>
      <c r="B703">
        <f>HYPERLINK("https://www.dofusbook.net/fr/equipement/1986597-feu-eau/objets", "link")</f>
        <v/>
      </c>
      <c r="C703" t="n">
        <v>72</v>
      </c>
      <c r="D703" t="inlineStr">
        <is>
          <t>Arc Nécrotique; Collier de la Dame du Hasard; Alliance Gloursonne; Anneau Tamie; Bouclier cubiste; Ceinture de Kongoku; Casque Dragoeuf; Cape de la Dame du Hasard; Pataugastrique; Dofus des Glaces; Dofus Pourpre; Dofus Turquoise; Remueur; Temporiseur majeur; Entraveur majeur; Muldo Indigo et Pourpre</t>
        </is>
      </c>
    </row>
    <row r="704">
      <c r="A704" t="inlineStr">
        <is>
          <t>Terre/Dopou</t>
        </is>
      </c>
      <c r="B704">
        <f>HYPERLINK("https://www.dofusbook.net/fr/equipement/3208168-terre-dopou/objets", "link")</f>
        <v/>
      </c>
      <c r="C704" t="n">
        <v>184</v>
      </c>
      <c r="D704" t="inlineStr">
        <is>
          <t>Lav'Hache; Amulette du Cœur Vaillant; Bague Trithon; Anneau Chevelu; Bouclier Taverne; Ceintacé; Masque Trithon; Cape au Logis; Bottistik; Dofus Abyssal; Dofus Pourpre; Dofus Turquoise; Remueur; Enragé majeur; Culbuteur majeur; Muldo Ebène et Pourpre</t>
        </is>
      </c>
    </row>
    <row r="705">
      <c r="A705" t="inlineStr">
        <is>
          <t>Air/Invos Héqache</t>
        </is>
      </c>
      <c r="B705">
        <f>HYPERLINK("https://www.dofusbook.net/fr/equipement/3005713-air-invos-heqache/objets", "link")</f>
        <v/>
      </c>
      <c r="C705" t="n">
        <v>90</v>
      </c>
      <c r="D705" t="inlineStr">
        <is>
          <t>Héqache; Collier du Valet Veinard; Alliance Gloursonne; Gant du Valet Veinard; Bouclier du Stalak; Menoture; Couronne d'Allister; Cape du Kamasterisk; Palmes Trithons; Dofus Ocre; Dofus Ivoire; Miraculé majeur; Dévastateur Air majeur; Cascadeur majeur; Carapace Eau majeur; Muldo Ebène et Orchidée</t>
        </is>
      </c>
    </row>
    <row r="706">
      <c r="A706" t="inlineStr">
        <is>
          <t>Full eau</t>
        </is>
      </c>
      <c r="B706">
        <f>HYPERLINK("https://www.dofusbook.net/fr/equipement/3202532-full-eau/objets", "link")</f>
        <v/>
      </c>
      <c r="C706" t="n">
        <v>203</v>
      </c>
      <c r="D706" t="inlineStr">
        <is>
          <t>Sceptre du Roi Joueur; Amulette Voldelor; Bague Trithon; Alliance Gloursonne; Bouclier du Stalak; Sangle Ouare; Némès de Tal Kasha; Chevelure de Tal Kasha; Pataugastrique; Dofus des Glaces; Dofus Abyssal; Dofus Ivoire; Remueur; Chanceux majeur; Miraculé majeur; Muldo Ebène et Orchidée</t>
        </is>
      </c>
    </row>
    <row r="707">
      <c r="A707" t="inlineStr">
        <is>
          <t>Full feu arc corompu</t>
        </is>
      </c>
      <c r="B707">
        <f>HYPERLINK("https://www.dofusbook.net/fr/equipement/3092779-full-feu-arc-corompu/objets", "link")</f>
        <v/>
      </c>
      <c r="C707" t="n">
        <v>127</v>
      </c>
      <c r="D707" t="inlineStr">
        <is>
          <t>Arc corrompu; Amulette du Strigide; Anneauræus; Anneauræus; Quatre-feuilles; Ceinture du Strigide; Heaume Oplate; Voile d'encre; Bottes Innommables; Dofus Turquoise; Dofus Ivoire; Dofus Nébuleux; Dofus Abyssal; Miraculé majeur; Remueur; Muldo Orchidée et Pourpre</t>
        </is>
      </c>
    </row>
    <row r="708">
      <c r="A708" t="inlineStr">
        <is>
          <t>Eau/air</t>
        </is>
      </c>
      <c r="B708">
        <f>HYPERLINK("https://www.dofusbook.net/fr/equipement/3092737-eau-air/objets", "link")</f>
        <v/>
      </c>
      <c r="C708" t="n">
        <v>115</v>
      </c>
      <c r="D708" t="inlineStr">
        <is>
          <t>Arc de Koutoulou; Amulette du Strigide; Bracelet du Piloztère; Alliance Gloursonne; Quatre-feuilles; Ceintacé; Némès de Tal Kasha; Dofusteuse; Sandales de Tal Kasha; Dofus Nébuleux; Dofus Abyssal; Dofus Turquoise; Dofus Ivoire; Miraculé majeur; Remueur; Muldo Ebène et Indigo</t>
        </is>
      </c>
    </row>
    <row r="709">
      <c r="A709" t="inlineStr">
        <is>
          <t>Full air</t>
        </is>
      </c>
      <c r="B709">
        <f>HYPERLINK("https://www.dofusbook.net/fr/equipement/3089784-full-air/objets", "link")</f>
        <v/>
      </c>
      <c r="C709" t="n">
        <v>82</v>
      </c>
      <c r="D709" t="inlineStr">
        <is>
          <t>Manthache; Collier du Valet Veinard; Alliance Gloursonne; Gant du Valet Veinard; Quatre-feuilles; Menoture; Casque Dragoeuf; Cape Indescriptible; Palmes Trithons; Dofus Ivoire; Dofus Abyssal; Dofus Émeraude; Cascadeur majeur; Miraculé majeur; Remueur; Muldo Ebène</t>
        </is>
      </c>
    </row>
    <row r="710">
      <c r="A710" t="inlineStr">
        <is>
          <t>Full eau</t>
        </is>
      </c>
      <c r="B710">
        <f>HYPERLINK("https://www.dofusbook.net/fr/equipement/3089793-full-eau/objets", "link")</f>
        <v/>
      </c>
      <c r="C710" t="n">
        <v>56</v>
      </c>
      <c r="D710" t="inlineStr">
        <is>
          <t>Rapière aux Glyphes; Amulette du Strigide; Alliance Gloursonne; Bracelet des Fonds marins; Bouclier d'Ilyzaelle; Pagne du Rykaon; Kidibonnet; Cape de Mantaze; Bottes du Strigide; Dofus Ivoire; Dofus Émeraude; Dofus Abyssal; Remueur; Chanceux majeur; Miraculé majeur; Muldo Ebène et Indigo</t>
        </is>
      </c>
    </row>
    <row r="711">
      <c r="A711" t="inlineStr">
        <is>
          <t>Full terre</t>
        </is>
      </c>
      <c r="B711">
        <f>HYPERLINK("https://www.dofusbook.net/fr/equipement/3089762-full-terre/objets", "link")</f>
        <v/>
      </c>
      <c r="C711" t="n">
        <v>65</v>
      </c>
      <c r="D711" t="inlineStr">
        <is>
          <t>Marteau R'ture; Collier de Tourthon; Anneau Crustique; Anneau de Brouce; Bouclier du Captain Amakna; Ceinture de la Cour Sombre; Masque de Koutoulou; Cape au Logis; Bottes de la Cour Sombre; Dofus des Glaces; Dofus Ivoire; Dofus Nébuleux; Dofus Ocre; Dofus Abyssal; Enragé majeur; Muldo Pourpre</t>
        </is>
      </c>
    </row>
    <row r="712">
      <c r="A712" t="inlineStr">
        <is>
          <t>Air 1</t>
        </is>
      </c>
      <c r="B712">
        <f>HYPERLINK("https://www.dofusbook.net/fr/equipement/3089728-air-1/objets", "link")</f>
        <v/>
      </c>
      <c r="C712" t="n">
        <v>63</v>
      </c>
      <c r="D712" t="inlineStr">
        <is>
          <t>Manthache; Collier du Valet Veinard; Alliance Gloursonne; Gant du Valet Veinard; Bouclier d'Ilyzaelle; Menoture; Casque Dragoeuf; Cape Indescriptible; Palmes Trithons; Dofus Ivoire; Dofus Abyssal; Dofus Émeraude; Cascadeur majeur; Miraculé majeur; Remueur; Muldo Ebène</t>
        </is>
      </c>
    </row>
    <row r="713">
      <c r="A713" t="inlineStr">
        <is>
          <t>Multi</t>
        </is>
      </c>
      <c r="B713">
        <f>HYPERLINK("https://www.dofusbook.net/fr/equipement/3033915-multi/objets", "link")</f>
        <v/>
      </c>
      <c r="C713" t="n">
        <v>32</v>
      </c>
      <c r="D713" t="inlineStr">
        <is>
          <t>Sabres d'Atcham; Amulette du Strigide; Anneau de Padgref; Alliance Gloursonne; Bouclier du Cycloïde; Ceinture du Strigide; Coiffe de Padgref; Cape d'Atcham; Getas de Padgref; Dofus Pourpre; Dofus Ocre; Dofus Émeraude; Dofus Turquoise; Dofus des Glaces; Dolmanax; Muldo Prune et Emeraude</t>
        </is>
      </c>
    </row>
    <row r="714">
      <c r="A714" t="inlineStr">
        <is>
          <t>Terre rox</t>
        </is>
      </c>
      <c r="B714">
        <f>HYPERLINK("https://www.dofusbook.net/fr/equipement/3031584-terre-rox/objets", "link")</f>
        <v/>
      </c>
      <c r="C714" t="n">
        <v>138</v>
      </c>
      <c r="D714" t="inlineStr">
        <is>
          <t>Arc du Chalœil; Amulette du Strigide; Bague Gloursonne; Anneau Chevelu; Bouclier du Stalak; Ceinture de la Cour Sombre; Masque de Koutoulou; Cape au Logis; Bottes de la Cour Sombre; Dofus Turquoise; Dofus Abyssal; Dofus Nébuleux; Dofus Pourpre; Enragé majeur; Remueur; Kompost</t>
        </is>
      </c>
    </row>
    <row r="715">
      <c r="A715" t="inlineStr">
        <is>
          <t>Terre/Lavhache/do</t>
        </is>
      </c>
      <c r="B715">
        <f>HYPERLINK("https://www.dofusbook.net/fr/equipement/3005718-terre-lavhache-do/objets", "link")</f>
        <v/>
      </c>
      <c r="C715" t="n">
        <v>109</v>
      </c>
      <c r="D715" t="inlineStr">
        <is>
          <t>Lav'Hache; Collier de Tourthon; Bague Gloursonne; Pikano; Bouclier d'Ilyzaelle; Ceinture de la Reine des Voleurs; Coiffe de la Reine des Voleurs; Voile d'encre; Sabots Minables; Dofus Ivoire; Dofus des Glaces; Dofus Abyssal; Remueur; Carapace Terre majeur; Enragé majeur; Muldo Orchidée et Pourpre</t>
        </is>
      </c>
    </row>
    <row r="716">
      <c r="A716" t="inlineStr">
        <is>
          <t>Eau</t>
        </is>
      </c>
      <c r="B716">
        <f>HYPERLINK("https://www.dofusbook.net/fr/equipement/3005639-eau/objets", "link")</f>
        <v/>
      </c>
      <c r="C716" t="n">
        <v>34</v>
      </c>
      <c r="D716" t="inlineStr">
        <is>
          <t>Dagoulinantes; Amulette de Shokkoth; Alliance Gloursonne; Anneau du Kaniblou; Sept ans de malheur; Poulpagne; Casque Dragoeuf; Chevelure de Tal Kasha; Sandales de Tal Kasha; Dofus Abyssal; Chanceux majeur; Miraculé majeur; Engourdisseur majeur; Étourdisseur majeur; Remueur; Muldo Indigo</t>
        </is>
      </c>
    </row>
    <row r="717">
      <c r="A717" t="inlineStr">
        <is>
          <t>Tri élément</t>
        </is>
      </c>
      <c r="B717">
        <f>HYPERLINK("https://www.dofusbook.net/fr/equipement/3005661-tri-element/objets", "link")</f>
        <v/>
      </c>
      <c r="C717" t="n">
        <v>51</v>
      </c>
      <c r="D717" t="inlineStr">
        <is>
          <t>Arc Honte; Amulette de l'Œil Putride; Bague Gloursonne; Alliance Gloursonne; Cadran d'Air; Ceinture de l'Esprit Salvateur; Masque de l'Esprit Salvateur; Cape de l'Œil Putride; Bottes de l'Esprit Salvateur; Dofus Vulbis; Dofus des Glaces; Dofus Pourpre; Dofus Abyssal; Dofus Ocre; Dofus Ivoire; Dragodinde en armure</t>
        </is>
      </c>
    </row>
    <row r="718">
      <c r="A718" t="inlineStr">
        <is>
          <t>dopuv2</t>
        </is>
      </c>
      <c r="B718">
        <f>HYPERLINK("https://www.dofusbook.net/fr/equipement/3005650-dopuv2/objets", "link")</f>
        <v/>
      </c>
      <c r="C718" t="n">
        <v>57</v>
      </c>
      <c r="D718" t="inlineStr">
        <is>
          <t>Héqache; Amulette du Cœur Vaillant; Bague Instable; Bague Trithon; Bouclier précieux; Ceinture Luminescente; Masque d'Anerice; Cape d'Anerice; Sabots Minables; Dofus Abyssal; Pousseur majeur; Culbuteur majeur; Fonceur majeur; Remueur; Bousculeur majeur; Muldo Indigo et Orchidée</t>
        </is>
      </c>
    </row>
    <row r="719">
      <c r="A719" t="inlineStr">
        <is>
          <t>Terre/Air</t>
        </is>
      </c>
      <c r="B719">
        <f>HYPERLINK("https://www.dofusbook.net/fr/equipement/3005647-terre-air/objets", "link")</f>
        <v/>
      </c>
      <c r="C719" t="n">
        <v>93</v>
      </c>
      <c r="D719" t="inlineStr">
        <is>
          <t>Héqache; Amulette du Strigide; Anneau des égarés; Bracelet du Piloztère; Bouclier cubiste; Ceinture du Strigide; Casque Dragoeuf; Cape du Kamasterisk; Baleinabottes; Dolmanax; Dofus Turquoise; Dokoko; Dofus Pourpre; Dofus des Glaces; Remueur; Muldo Ebène et Pourpre</t>
        </is>
      </c>
    </row>
    <row r="720">
      <c r="A720" t="inlineStr">
        <is>
          <t>vitavita</t>
        </is>
      </c>
      <c r="B720">
        <f>HYPERLINK("https://www.dofusbook.net/fr/equipement/3005627-vitavita/objets", "link")</f>
        <v/>
      </c>
      <c r="C720" t="n">
        <v>161</v>
      </c>
      <c r="D720" t="inlineStr">
        <is>
          <t>Arc du Chalœil; Collier Rophante; Bague Trithon; Alliance Gloursonne; Bouclier précieux; Ceinture Gence; Masque d'Anerice; Cape d'Anerice; Bottes Owesli; Dofus Émeraude; Dofus Abyssal; Remueur; Bousculeur majeur; Miraculé majeur; Culbuteur majeur; Péki</t>
        </is>
      </c>
    </row>
    <row r="721">
      <c r="A721" t="inlineStr">
        <is>
          <t>Retrait PA</t>
        </is>
      </c>
      <c r="B721">
        <f>HYPERLINK("https://www.dofusbook.net/fr/equipement/3005604-retrait-pa/objets", "link")</f>
        <v/>
      </c>
      <c r="C721" t="n">
        <v>101</v>
      </c>
      <c r="D721" t="inlineStr">
        <is>
          <t>Lav'Hache; Amulette du Strigide; Anneau Crustique; Anneau Crustique; Sept ans de malheur; Ceintouse; Masque de Koutoulou; Cape du Cœur Vaillant; Tentassons; Dofus Ivoire; Dofus Émeraude; Dofus Abyssal; Remueur; Paralyseur majeur; Étourdisseur majeur; Muldo Ebène et Pourpre</t>
        </is>
      </c>
    </row>
    <row r="722">
      <c r="A722" t="inlineStr">
        <is>
          <t>feu</t>
        </is>
      </c>
      <c r="B722">
        <f>HYPERLINK("https://www.dofusbook.net/fr/equipement/2951213-feu/objets", "link")</f>
        <v/>
      </c>
      <c r="C722" t="n">
        <v>33</v>
      </c>
      <c r="D722" t="inlineStr">
        <is>
          <t>Baguette de Malléfisk; Amulette Ementaire Deluxe; Lavanneau; Anneauræus; Carapar; Ceinture de Vortex; Casque Cyclopéen; Cape Ardente; Bottes Innommables; Dofus Ocre; Dofus Ivoire; Érudit majeur; Remueur; Déserteur majeur; Miraculé majeur; Muldo Orchidée et Pourpre</t>
        </is>
      </c>
    </row>
    <row r="723">
      <c r="A723" t="inlineStr">
        <is>
          <t>Air 1</t>
        </is>
      </c>
      <c r="B723">
        <f>HYPERLINK("https://www.dofusbook.net/fr/equipement/2813507-air-1/objets", "link")</f>
        <v/>
      </c>
      <c r="C723" t="n">
        <v>24</v>
      </c>
      <c r="D723" t="inlineStr">
        <is>
          <t>Manthache; Collier du Valet Veinard; Alliance Gloursonne; Gant du Valet Veinard; Bouclier d'Ilyzaelle; Menoture; Casque Dragoeuf; Cape Indescriptible; Palmes Trithons; Dofus Ivoire; Dofus Abyssal; Dofus Émeraude; Miraculé majeur; Remueur; Cascadeur majeur; Muldo Ebène</t>
        </is>
      </c>
    </row>
    <row r="724">
      <c r="A724" t="inlineStr">
        <is>
          <t>eau/air koutou ivoir</t>
        </is>
      </c>
      <c r="B724">
        <f>HYPERLINK("https://www.dofusbook.net/fr/equipement/2813342-eau-air-koutou-ivoir/objets", "link")</f>
        <v/>
      </c>
      <c r="C724" t="n">
        <v>42</v>
      </c>
      <c r="D724" t="inlineStr">
        <is>
          <t>Arc de Koutoulou; Amulette du Strigide; Bague Gloursonne; Alliance Gloursonne; Quatre-feuilles; Ceinture du Strigide; Némès de Tal Kasha; Chevelure de Tal Kasha; Sandales de Tal Kasha; Dofus Pourpre; Dofus des Glaces; Dofus Turquoise; Dofus Abyssal; Dofus Ocre; Dofus Ivoire; Muldo Indigo et Emeraude</t>
        </is>
      </c>
    </row>
    <row r="725">
      <c r="A725" t="inlineStr">
        <is>
          <t>eau/air koutoulou</t>
        </is>
      </c>
      <c r="B725">
        <f>HYPERLINK("https://www.dofusbook.net/fr/equipement/2813278-eau-air-koutoulou/objets", "link")</f>
        <v/>
      </c>
      <c r="C725" t="n">
        <v>48</v>
      </c>
      <c r="D725" t="inlineStr">
        <is>
          <t>Arc de Koutoulou; Amulette du Strigide; Anneau de Padgref; Alliance Gloursonne; Quatre-feuilles; Ceintacé; Casque du Chalœil; Chevelure de Tal Kasha; Sandales de Tal Kasha; Dofus Turquoise; Dofus Émeraude; Dofus Pourpre; Cascadeur majeur; Remueur; Chanceux majeur; Muldo Ebène et Emeraude</t>
        </is>
      </c>
    </row>
    <row r="726">
      <c r="A726" t="inlineStr">
        <is>
          <t>Pano pods</t>
        </is>
      </c>
      <c r="B726">
        <f>HYPERLINK("https://www.dofusbook.net/fr/equipement/2792104-pano-pods/objets", "link")</f>
        <v/>
      </c>
      <c r="C726" t="n">
        <v>27</v>
      </c>
      <c r="D726" t="inlineStr">
        <is>
          <t>Arc du Chalœil; Amulette du Nocturlabe; Bague Gloursonne; Anneau de Brouce; Ceinture Royale du Bouftou; Coiffe du Comte Harebourg; Sac du Staca Noviste; Bottes de Brouce; Enragé majeur; Porteur mineur; Forcené majeur; Porteur; Furibond majeur; Porteur majeur; Tirubim</t>
        </is>
      </c>
    </row>
    <row r="727">
      <c r="A727" t="inlineStr">
        <is>
          <t>Multi 2.43</t>
        </is>
      </c>
      <c r="B727">
        <f>HYPERLINK("https://www.dofusbook.net/fr/equipement/2498296-multi-2-43/objets", "link")</f>
        <v/>
      </c>
      <c r="C727" t="n">
        <v>316</v>
      </c>
      <c r="D727" t="inlineStr">
        <is>
          <t>Bâton Beau; Amulette de Pol Ouatnos; Bracelet du Piloztère; Alliance Gloursonne; Bouclier du Stalak; Ceinture de l'Esprit Salvateur; Masque de l'Esprit Salvateur; Cape Reski; Bottes de l'Esprit Salvateur; Dofus Pourpre; Dofus Nébuleux; Dofus Ocre; Dolmanax; Dofus des Glaces; Robuste majeur; Kramkram</t>
        </is>
      </c>
    </row>
    <row r="728">
      <c r="A728" t="inlineStr">
        <is>
          <t>Multi glour</t>
        </is>
      </c>
      <c r="B728">
        <f>HYPERLINK("https://www.dofusbook.net/fr/equipement/2531354-multi-glour/objets", "link")</f>
        <v/>
      </c>
      <c r="C728" t="n">
        <v>110</v>
      </c>
      <c r="D728" t="inlineStr">
        <is>
          <t>Epée Gloursonne; Amulette du Strigide; Bague Gloursonne; Alliance Gloursonne; Quatre-feuilles; Ceinture du Strigide; Chapeau des Malveilleurs; Cape des Malveilleurs; Bottes du Strigide; Dofus Émeraude; Dofus Ocre; Dofus Pourpre; Dofus des Glaces; Dofus Turquoise; Dofus Abyssal; Muldo Prune et Emeraude</t>
        </is>
      </c>
    </row>
    <row r="729">
      <c r="A729" t="inlineStr">
        <is>
          <t>iop terre air</t>
        </is>
      </c>
      <c r="B729">
        <f>HYPERLINK("https://www.dofusbook.net/fr/equipement/2531286-iop--terre-air/objets", "link")</f>
        <v/>
      </c>
      <c r="C729" t="n">
        <v>71</v>
      </c>
      <c r="D729" t="inlineStr">
        <is>
          <t>Héqache; Amulette du Strigide; Alliance Gloursonne; Anneau des égarés; Bouclier d'Ilyzaelle; Ceinture de la Reine des Voleurs; Coiffe de la Reine des Voleurs; Voile d'encre; Baleinabottes; Dofus Abyssal; Dofus Pourpre; Dofus Ocre; Nomade; Carapace Air majeur; Miraculé majeur; Kramkram</t>
        </is>
      </c>
    </row>
    <row r="730">
      <c r="A730" t="inlineStr">
        <is>
          <t>Feu arc corrompu</t>
        </is>
      </c>
      <c r="B730">
        <f>HYPERLINK("https://www.dofusbook.net/fr/equipement/2531222-feu-arc-corrompu/objets", "link")</f>
        <v/>
      </c>
      <c r="C730" t="n">
        <v>40</v>
      </c>
      <c r="D730" t="inlineStr">
        <is>
          <t>Arc corrompu; Amulette Séculaire; Anneau Tique; Bracelet du Piloztère; Bouclier du Cycloïde; Ceinture Séculaire; Couronne de Nidas; Voile d'encre; Pataugastrique; Dofus Pourpre; Dofus Turquoise; Dofus Abyssal; Érudit majeur; Nomade; Remueur; Kramkram</t>
        </is>
      </c>
    </row>
    <row r="731">
      <c r="A731" t="inlineStr">
        <is>
          <t>Eau/Air</t>
        </is>
      </c>
      <c r="B731">
        <f>HYPERLINK("https://www.dofusbook.net/fr/equipement/2498351-eau-air/objets", "link")</f>
        <v/>
      </c>
      <c r="C731" t="n">
        <v>38</v>
      </c>
      <c r="D731" t="inlineStr">
        <is>
          <t>Arc de Koutoulou; Amulette du Strigide; Bracelet du Piloztère; Alliance Gloursonne; Quatre-feuilles; Ceintacé; Némès de Tal Kasha; Chevelure de Tal Kasha; Bottes du Strigide; Dofus Pourpre; Dofus Abyssal; Dolmanax; Dofus Turquoise; Dofus Ocre; Dofus des Glaces; Muldo Prune et Emeraude</t>
        </is>
      </c>
    </row>
    <row r="732">
      <c r="A732" t="inlineStr">
        <is>
          <t>Pano Trithons cheat</t>
        </is>
      </c>
      <c r="B732">
        <f>HYPERLINK("https://www.dofusbook.net/fr/equipement/2498305-pano-trithons-cheat/objets", "link")</f>
        <v/>
      </c>
      <c r="C732" t="n">
        <v>149</v>
      </c>
      <c r="D732" t="inlineStr">
        <is>
          <t>Hache du Chalœil; Amulette du Strigide; Alliance Gloursonne; Bague Trithon; Quatre-feuilles; Ceinture du Strigide; Masque Trithon; Voile d'encre; Bottes Trithon; Dofus Turquoise; Dofus des Glaces; Dofus Ocre; Dofus Nébuleux; Dolmanax; Dofus Abyssal; Muldo Prune et Ebène</t>
        </is>
      </c>
    </row>
    <row r="733">
      <c r="A733" t="inlineStr">
        <is>
          <t>Full terre</t>
        </is>
      </c>
      <c r="B733">
        <f>HYPERLINK("https://www.dofusbook.net/fr/equipement/2104483-full-terre/objets", "link")</f>
        <v/>
      </c>
      <c r="C733" t="n">
        <v>56</v>
      </c>
      <c r="D733" t="inlineStr">
        <is>
          <t>Arc du Chalœil; Amulette du Kamasterisk; Anneau Chevelu; Bague Gloursonne; Quatre-feuilles; Ceinture Luminescente; Masque de Koutoulou; Cape du Kamasterisk; Bottes de la Cour Sombre; Dofus Pourpre; Dofus Turquoise; Dofus des Glaces; Remueur; Forcené majeur; Enragé majeur; Muldo Indigo et Pourpre</t>
        </is>
      </c>
    </row>
    <row r="734">
      <c r="A734" t="inlineStr">
        <is>
          <t>Multi Rox</t>
        </is>
      </c>
      <c r="B734">
        <f>HYPERLINK("https://www.dofusbook.net/fr/equipement/2104458-multi-rox/objets", "link")</f>
        <v/>
      </c>
      <c r="C734" t="n">
        <v>63</v>
      </c>
      <c r="D734" t="inlineStr">
        <is>
          <t>Hache du Chalœil; Amulette Ementaire Deluxe; Alliance du Lévitrof; Alliance Gloursonne; Quatre-feuilles; Ceintacé; Casque Dragoeuf; Voile d'encre; Bottes du Lévitrof; Dofus des Glaces; Dofus Turquoise; Dolmanax; Dofus Pourpre; Déserteur majeur; Remueur; Muldo Pourpre et Amande</t>
        </is>
      </c>
    </row>
    <row r="735">
      <c r="A735" t="inlineStr">
        <is>
          <t>feu/eau arc</t>
        </is>
      </c>
      <c r="B735">
        <f>HYPERLINK("https://www.dofusbook.net/fr/equipement/2023611-feu-eau-arc/objets", "link")</f>
        <v/>
      </c>
      <c r="C735" t="n">
        <v>41</v>
      </c>
      <c r="D735" t="inlineStr">
        <is>
          <t>Arc Nécrotique; Talisman Igans; Anneau Cryochrone; Chevalière du Roi Joueur; Bouclier cubiste; Ceintacé; Casquette de Meno; Cape de la Dame du Hasard; Bottes de la Dame du Hasard; Dolmanax; Dofus Turquoise; Dofus Pourpre; Nomade; Remueur; Vigoureux majeur; Muldo Orchidée et Emeraude</t>
        </is>
      </c>
    </row>
    <row r="736">
      <c r="A736" t="inlineStr">
        <is>
          <t>feu/eau arc</t>
        </is>
      </c>
      <c r="B736">
        <f>HYPERLINK("https://www.dofusbook.net/fr/equipement/1323814-feu-eau-arc/objets", "link")</f>
        <v/>
      </c>
      <c r="C736" t="n">
        <v>93</v>
      </c>
      <c r="D736" t="inlineStr">
        <is>
          <t>Arc Nécrotique; Talisman Igans; Anneau Cryochrone; Chevalière du Roi Joueur; Bouclier cubiste; Ceintacé; Casquette de Meno; Cape de la Dame du Hasard; Bottes de la Dame du Hasard; Dolmanax; Dofus Nébuleux; Dofus Turquoise; Dofus Pourpre; Nomade; Remueur; Muldo Orchidée et Emeraude</t>
        </is>
      </c>
    </row>
    <row r="737">
      <c r="A737" t="inlineStr">
        <is>
          <t>Multi Dofutueuse</t>
        </is>
      </c>
      <c r="B737">
        <f>HYPERLINK("https://www.dofusbook.net/fr/equipement/1965297-multi-dofutueuse/objets", "link")</f>
        <v/>
      </c>
      <c r="C737" t="n">
        <v>39</v>
      </c>
      <c r="D737" t="inlineStr">
        <is>
          <t>Hache du Chalœil; Amulette du Strigide; Pikano; Chevalière du Roi Joueur; Bouclier cubiste; Ceinture Luminescente; Le Dorado; Dofusteuse; Bottes du Strigide; Dofus Nébuleux; Dofus Abyssal; Dofus Turquoise; Carapace Terre majeur; Remueur; Temporiseur majeur; Muldo Indigo</t>
        </is>
      </c>
    </row>
    <row r="738">
      <c r="A738" t="inlineStr">
        <is>
          <t>Multi ret pm planeur</t>
        </is>
      </c>
      <c r="B738">
        <f>HYPERLINK("https://www.dofusbook.net/fr/equipement/1965285-multi-ret-pm-planeur/objets", "link")</f>
        <v/>
      </c>
      <c r="C738" t="n">
        <v>42</v>
      </c>
      <c r="D738" t="inlineStr">
        <is>
          <t>Hache du Chalœil; Amulette Ementaire Deluxe; Anneau de Nidas; Chevalière du Roi Joueur; Bouclier cubiste; Ceinture Luminescente; Le Dorado; Cape de Meno; Bottes du Roi Joueur; Dofus Pourpre; Dofus Ocre; Dolmanax; Dofus Nébuleux; Miraculé majeur; Temporiseur majeur; Muldo Pourpre et Amande</t>
        </is>
      </c>
    </row>
    <row r="739">
      <c r="A739" t="inlineStr">
        <is>
          <t>Terre/feu erhy nebu</t>
        </is>
      </c>
      <c r="B739">
        <f>HYPERLINK("https://www.dofusbook.net/fr/equipement/1959452-terre-feu-erhy-nebu/objets", "link")</f>
        <v/>
      </c>
      <c r="C739" t="n">
        <v>46</v>
      </c>
      <c r="D739" t="inlineStr">
        <is>
          <t>Dagues Érhy; Amulette du Strigide; Chevalière du Roi Joueur; Alliance Brûlâme; Bouclier du Captain Amakna; Ceinture du Strigide; Couronne du Roi Joueur; Cape de Kongoku; Bottes du Roi Joueur; Dofus Turquoise; Dofus des Glaces; Dofus Abyssal; Dofus Ocre; Dofus Pourpre; Dofus Nébuleux; Muldo Orchidée et Pourpre</t>
        </is>
      </c>
    </row>
    <row r="740">
      <c r="A740" t="inlineStr">
        <is>
          <t>Eau/feu necro nebu</t>
        </is>
      </c>
      <c r="B740">
        <f>HYPERLINK("https://www.dofusbook.net/fr/equipement/1959232-eau-feu-necro-nebu/objets", "link")</f>
        <v/>
      </c>
      <c r="C740" t="n">
        <v>27</v>
      </c>
      <c r="D740" t="inlineStr">
        <is>
          <t>Arc Nécrotique; Talisman Igans; Anneau Tique; Alliance Gloursonne; Quatre-feuilles; Pagne du Rykaon; Masque du Glourséleste; Cape de la Dame du Hasard; Bottes de la Dame du Hasard; Dofus Turquoise; Dofus Ocre; Dofus Pourpre; Dofus Nébuleux; Remueur; Carapace Eau majeur; Muldo Orchidée</t>
        </is>
      </c>
    </row>
    <row r="741">
      <c r="A741" t="inlineStr">
        <is>
          <t>Epee Brulame</t>
        </is>
      </c>
      <c r="B741">
        <f>HYPERLINK("https://www.dofusbook.net/fr/equipement/1930637-epee-brulame/objets", "link")</f>
        <v/>
      </c>
      <c r="C741" t="n">
        <v>69</v>
      </c>
      <c r="D741" t="inlineStr">
        <is>
          <t>Talisman Igans; Anneau Cryochrone; Chevalière du Roi Joueur; Ceintacé; Casquette de Meno; Cape de la Dame du Hasard; Bottes de la Dame du Hasard; Dofus Turquoise; Dofus Pourpre; Dolmanax; Nomade; Remueur; Vigoureux majeur; Muldo Orchidée et Emeraude</t>
        </is>
      </c>
    </row>
    <row r="742">
      <c r="A742" t="inlineStr">
        <is>
          <t>Full heal</t>
        </is>
      </c>
      <c r="B742">
        <f>HYPERLINK("https://www.dofusbook.net/fr/equipement/1901630-full-heal/objets", "link")</f>
        <v/>
      </c>
      <c r="C742" t="n">
        <v>48</v>
      </c>
      <c r="D742" t="inlineStr">
        <is>
          <t>Baguette de Malléfisk; Amulette d'Otomaï; Anneau de Nidas; Anneauræus; Carapar; Ceinture Séculaire; Couronne de Nidas; Cape de Diondin; Bottes Innommables; Dofus Émeraude; Dofus Turquoise; Dofus Pourpre; Nomade; Érudit majeur; Remueur; Muldo Orchidée</t>
        </is>
      </c>
    </row>
    <row r="743">
      <c r="A743" t="inlineStr">
        <is>
          <t>Cancer</t>
        </is>
      </c>
      <c r="B743">
        <f>HYPERLINK("https://www.dofusbook.net/fr/equipement/1901527-cancer/objets", "link")</f>
        <v/>
      </c>
      <c r="C743" t="n">
        <v>151</v>
      </c>
      <c r="D743" t="inlineStr">
        <is>
          <t>Hache Ériphe; Collier du Valet Veinard; Anneau Crustique; Alliance Gloursonne; Sept ans de malheur; Menoture; Chapoulpe; Cape du Kamasterisk; Tentassons; Dofus Émeraude; Nomade; Étourdisseur majeur; Paralyseur majeur; Remueur; Obstructeur majeur; Muldo Ebène et Indigo</t>
        </is>
      </c>
    </row>
    <row r="744">
      <c r="A744" t="inlineStr">
        <is>
          <t>Pour ptit key</t>
        </is>
      </c>
      <c r="B744">
        <f>HYPERLINK("https://www.dofusbook.net/fr/equipement/1853041-pour-ptit-key/objets", "link")</f>
        <v/>
      </c>
      <c r="C744" t="n">
        <v>99</v>
      </c>
      <c r="D744" t="inlineStr">
        <is>
          <t>Epée Gloursonne; Amulette du Strigide; Alliance Gloursonne; Bague Gloursonne; Bouclier cubiste; Ceinture du Strigide; Masque du Glourséleste; Cape Reski; Bottes du Strigide; Muldo Prune et Doré</t>
        </is>
      </c>
    </row>
    <row r="745">
      <c r="A745" t="inlineStr">
        <is>
          <t>Pano Trithons cheat</t>
        </is>
      </c>
      <c r="B745">
        <f>HYPERLINK("https://www.dofusbook.net/fr/equipement/1818348-pano-trithons-cheat/objets", "link")</f>
        <v/>
      </c>
      <c r="C745" t="n">
        <v>65</v>
      </c>
      <c r="D745" t="inlineStr">
        <is>
          <t>Hache du Chalœil; Amulette du Strigide; Alliance Gloursonne; Bague Trithon; Quatre-feuilles; Ceinture du Strigide; Masque Trithon; Voile d'encre; Bottes Trithon; Dofus Ocre; Dofus Nébuleux; Dolmanax; Dofus Abyssal; Dofus Turquoise; Dofus des Glaces; Muldo Prune et Ebène</t>
        </is>
      </c>
    </row>
    <row r="746">
      <c r="A746" t="inlineStr">
        <is>
          <t>Pano Trithons cheat</t>
        </is>
      </c>
      <c r="B746">
        <f>HYPERLINK("https://www.dofusbook.net/fr/equipement/1818343-pano-trithons-cheat/objets", "link")</f>
        <v/>
      </c>
      <c r="C746" t="n">
        <v>55</v>
      </c>
      <c r="D746" t="inlineStr">
        <is>
          <t>Hache du Chalœil; Amulette du Strigide; Bague Trithon; Alliance Gloursonne; Quatre-feuilles; Ceinture du Strigide; Masque Trithon; Voile d'encre; Bottes Trithon; Dolmanax; Dofus Abyssal; Dofus Turquoise; Dofus des Glaces; Dofus Ocre; Dofus Nébuleux; Muldo Prune et Ebène</t>
        </is>
      </c>
    </row>
    <row r="747">
      <c r="A747" t="inlineStr">
        <is>
          <t>Pano Trithons cheat</t>
        </is>
      </c>
      <c r="B747">
        <f>HYPERLINK("https://www.dofusbook.net/fr/equipement/1818338-pano-trithons-cheat/objets", "link")</f>
        <v/>
      </c>
      <c r="C747" t="n">
        <v>96</v>
      </c>
      <c r="D747" t="inlineStr">
        <is>
          <t>Hache du Chalœil; Amulette du Strigide; Bague Trithon; Alliance Gloursonne; Quatre-feuilles; Ceinture du Strigide; Masque Trithon; Voile d'encre; Bottes Trithon; Dolmanax; Dofus Abyssal; Dofus Turquoise; Dofus des Glaces; Dofus Ocre; Dofus Nébuleux; Muldo Prune et Ebène</t>
        </is>
      </c>
    </row>
    <row r="748">
      <c r="A748" t="inlineStr">
        <is>
          <t>Pano Trithons cheat</t>
        </is>
      </c>
      <c r="B748">
        <f>HYPERLINK("https://www.dofusbook.net/fr/equipement/1818288-pano-trithons-cheat/objets", "link")</f>
        <v/>
      </c>
      <c r="C748" t="n">
        <v>46</v>
      </c>
      <c r="D748" t="inlineStr">
        <is>
          <t>Hache du Chalœil; Amulette du Strigide; Alliance Gloursonne; Bague Trithon; Quatre-feuilles; Ceinture du Strigide; Masque Trithon; Voile d'encre; Bottes Trithon; Dofus Ocre; Dofus Nébuleux; Dolmanax; Dofus Abyssal; Dofus Turquoise; Dofus des Glaces; Muldo Prune et Ebène</t>
        </is>
      </c>
    </row>
    <row r="749">
      <c r="A749" t="inlineStr">
        <is>
          <t>Multi de loin</t>
        </is>
      </c>
      <c r="B749">
        <f>HYPERLINK("https://www.dofusbook.net/fr/equipement/1644527-multi-de-loin/objets", "link")</f>
        <v/>
      </c>
      <c r="C749" t="n">
        <v>50</v>
      </c>
      <c r="D749" t="inlineStr">
        <is>
          <t>Héqache; Amulette du Strigide; Alliance Gloursonne; Bracelet du Piloztère; Quatre-feuilles; Ceintacé; Casque des égarés; Voile d'encre; Bottes du Strigide; Dofus Pourpre; Dolmanax; Dofus Turquoise; Dofus des Glaces; Remueur; Nomade; Kramkram</t>
        </is>
      </c>
    </row>
    <row r="750">
      <c r="A750" t="inlineStr">
        <is>
          <t>Farm 42 en 3cra/1enu</t>
        </is>
      </c>
      <c r="B750">
        <f>HYPERLINK("https://www.dofusbook.net/fr/equipement/1593255-farm-42-en-3cra-1enu/objets", "link")</f>
        <v/>
      </c>
      <c r="C750" t="n">
        <v>88</v>
      </c>
      <c r="D750" t="inlineStr">
        <is>
          <t>Epée Gloursonne; Amulette du Strigide; Bague Gloursonne; Alliance Gloursonne; Bouclier cubiste; Ceinture du Strigide; Masque du Glourséleste; Cape Reski; Bottes du Strigide; Dofus Pourpre; Dofus des Glaces; Dofus Turquoise; Dofus Ocre; Dolmanax; Puissant majeur; Muldo Doré et Emeraude</t>
        </is>
      </c>
    </row>
    <row r="751">
      <c r="A751" t="inlineStr">
        <is>
          <t>Duo anerice Client</t>
        </is>
      </c>
      <c r="B751">
        <f>HYPERLINK("https://www.dofusbook.net/fr/equipement/1503373-duo-anerice-client/objets", "link")</f>
        <v/>
      </c>
      <c r="C751" t="n">
        <v>90</v>
      </c>
      <c r="D751" t="inlineStr">
        <is>
          <t>Bâton de Karotz; Amulette de Danathor; Alliance Gloursonne; Bracelet du Piloztère; Bouclier cubiste; Ceinture Instable; Kidibonnet; Cape Glaciale; Pantoufles Émar; Dokoko; Dofus Cawotte; Ralentisseur majeur; Temporiseur; Ralentisseur; Temporiseur majeur; Phortiche</t>
        </is>
      </c>
    </row>
    <row r="752">
      <c r="A752" t="inlineStr">
        <is>
          <t>Duo anerice</t>
        </is>
      </c>
      <c r="B752">
        <f>HYPERLINK("https://www.dofusbook.net/fr/equipement/1503284-duo-anerice/objets", "link")</f>
        <v/>
      </c>
      <c r="C752" t="n">
        <v>73</v>
      </c>
      <c r="D752" t="inlineStr">
        <is>
          <t>Marteau R'ture; Amulette du Strigide; Bague Gloursonne; Alliance Gloursonne; Bouclier cubiste; Ceinture du Strigide; Casque de Missiz Frizz; Cape Reski; Bottes du Strigide; Dofus Pourpre; Dofus Ocre; Dofus Turquoise; Ralentisseur majeur; Entraveur majeur; Entraveur; Muldo Doré et Emeraude</t>
        </is>
      </c>
    </row>
    <row r="753">
      <c r="A753" t="inlineStr">
        <is>
          <t>Multi</t>
        </is>
      </c>
      <c r="B753">
        <f>HYPERLINK("https://www.dofusbook.net/fr/equipement/219813-multi/objets", "link")</f>
        <v/>
      </c>
      <c r="C753" t="n">
        <v>62</v>
      </c>
      <c r="D753" t="inlineStr">
        <is>
          <t>Marteau R'ture; Amulette du Strigide; Bague Gloursonne; Bracelet du Piloztère; Bouclier du Captain Amakna; Ceinture du Strigide; Coiffe de la Reine des Voleurs; Cape de Kongoku; Baleinabottes; Dolmanax; Dofus Turquoise; Dofus Pourpre; Remueur; Vigoureux majeur; Nomade; Muldo Orchidée et Emeraude</t>
        </is>
      </c>
    </row>
    <row r="754">
      <c r="A754" t="inlineStr">
        <is>
          <t>Trio Vortex</t>
        </is>
      </c>
      <c r="B754">
        <f>HYPERLINK("https://www.dofusbook.net/fr/equipement/1433030-trio-vortex/objets", "link")</f>
        <v/>
      </c>
      <c r="C754" t="n">
        <v>132</v>
      </c>
      <c r="D754" t="inlineStr">
        <is>
          <t>Manthache; Amulette du Strigide; Anneau Tique; Alliance Gloursonne; Bouclier précieux; Sangle Aise; Dorabysses; Voile d'encre; Bottes de XLII; Dofus Ocre; Obstructeur; Carapace Terre majeur; Nomade; Remueur; Obstructeur majeur; Blokus</t>
        </is>
      </c>
    </row>
    <row r="755">
      <c r="A755" t="inlineStr">
        <is>
          <t>Trio Vortex</t>
        </is>
      </c>
      <c r="B755">
        <f>HYPERLINK("https://www.dofusbook.net/fr/equipement/1385332-trio-vortex/objets", "link")</f>
        <v/>
      </c>
      <c r="C755" t="n">
        <v>21</v>
      </c>
      <c r="D755" t="inlineStr">
        <is>
          <t>La Racine Hagogue; Amulette du Strigide; Gelano; Bague Gloursonne; Bouclier cubiste; Ceinture du Strigide; Couronne du Roi Joueur; Voile d'encre; Bottes de Meno; Dofus Émeraude; Dofus Ocre; Dofus Turquoise; Miraculé majeur; Remueur; Enragé majeur; Muldo Prune et Emeraude</t>
        </is>
      </c>
    </row>
    <row r="756">
      <c r="A756" t="inlineStr">
        <is>
          <t>duo meno</t>
        </is>
      </c>
      <c r="B756">
        <f>HYPERLINK("https://www.dofusbook.net/fr/equipement/219817-duo-meno/objets", "link")</f>
        <v/>
      </c>
      <c r="C756" t="n">
        <v>29</v>
      </c>
      <c r="D756" t="inlineStr">
        <is>
          <t>Dagues Érhy; Amulette du Strigide; Chevalière du Roi Joueur; Bague Gloursonne; Bouclier cubiste; Ceintacé; Chapeau Tyron; Voile d'encre; Bottes de Meno; Dofus Turquoise; Dolmanax; Nomade; Temporiseur majeur; Remueur; Vigoureux majeur; Muldo Orchidée</t>
        </is>
      </c>
    </row>
    <row r="757">
      <c r="A757" t="inlineStr">
        <is>
          <t>HouffeCrai</t>
        </is>
      </c>
      <c r="B757">
        <f>HYPERLINK("https://www.dofusbook.net/fr/equipement/1365304-houffecrai/objets", "link")</f>
        <v/>
      </c>
      <c r="C757" t="n">
        <v>73</v>
      </c>
      <c r="D757" t="inlineStr">
        <is>
          <t>Baguette Houffe-Craitien; Amulette du Strigide; Anneau de Padgref; Bague Trithon; Quatre-feuilles; Ceinture du Strigide; Coiffe de Padgref; Voile d'encre; Getas de Padgref; Dofus Pourpre; Dofus des Glaces; Dofus Nébuleux; Dofus Turquoise; Dolmanax; Dofus Ocre; Muldo Prune et Emeraude</t>
        </is>
      </c>
    </row>
    <row r="758">
      <c r="A758" t="inlineStr">
        <is>
          <t>Terre/eau</t>
        </is>
      </c>
      <c r="B758">
        <f>HYPERLINK("https://www.dofusbook.net/fr/equipement/219841-terre-eau/objets", "link")</f>
        <v/>
      </c>
      <c r="C758" t="n">
        <v>68</v>
      </c>
      <c r="D758" t="inlineStr">
        <is>
          <t>Dagues de Srambad; Amulette du Strigide; Alliance Gloursonne; Pikano; Ceinture de la Reine des Voleurs; Coiffe de la Reine des Voleurs; Cape Luminescente; Baleinabottes; Dofus Émeraude; Dofus Pourpre; Miraculé majeur; Nomade; Vigoureux majeur; Remueur; Muldo Ebène et Indigo</t>
        </is>
      </c>
    </row>
    <row r="759">
      <c r="A759" t="inlineStr">
        <is>
          <t>terre/eau</t>
        </is>
      </c>
      <c r="B759">
        <f>HYPERLINK("https://www.dofusbook.net/fr/equipement/219816-terre-eau/objets", "link")</f>
        <v/>
      </c>
      <c r="C759" t="n">
        <v>41</v>
      </c>
      <c r="D759" t="inlineStr">
        <is>
          <t>Dagues de Srambad; Amulette de Gein; Bracelet du Piloztère; Bague Gloursonne; Bouclier cubiste; Ceinture de la Reine des Voleurs; Coiffe de la Reine des Voleurs; Voile d'encre; Bottes du Katcheur; Dofus Ocre; Temporiseur majeur; Nomade; Chanceux majeur; Vigoureux majeur; Remueur; Muldo Ebène et Pourpre</t>
        </is>
      </c>
    </row>
    <row r="760">
      <c r="A760" t="inlineStr">
        <is>
          <t>range</t>
        </is>
      </c>
      <c r="B760">
        <f>HYPERLINK("https://www.dofusbook.net/fr/equipement/1324198-range/objets", "link")</f>
        <v/>
      </c>
      <c r="C760" t="n">
        <v>18</v>
      </c>
      <c r="D760" t="inlineStr">
        <is>
          <t>Baguette Houffe-Craitien; Amulette du Strigide; Bague Trithon; Anneau de Padgref; Quatre-feuilles; Ceinture du Strigide; Coiffe de Padgref; Voile d'encre; Getas de Padgref; Dolmanax; Dofus Ocre; Dofus Pourpre; Dofus des Glaces; Dofus Nébuleux; Dofus Turquoise; Muldo Prune et Emeraude</t>
        </is>
      </c>
    </row>
    <row r="761">
      <c r="A761" t="inlineStr">
        <is>
          <t>terre/feu</t>
        </is>
      </c>
      <c r="B761">
        <f>HYPERLINK("https://www.dofusbook.net/fr/equipement/219814-terre-feu/objets", "link")</f>
        <v/>
      </c>
      <c r="C761" t="n">
        <v>60</v>
      </c>
      <c r="D761" t="inlineStr">
        <is>
          <t>Dagues Érhy; Amulette Séculaire; Bague Gloursonne; Alliance du Lévitrof; Bouclier du Captain Amakna; Ceintacé; Chapeau de Gein; Voile d'encre; Bottes Dogues; Dofus Turquoise; Miraculé majeur; Remueur; Carapace Terre majeur; Vigoureux majeur; Érudit majeur; Kramkram</t>
        </is>
      </c>
    </row>
    <row r="762">
      <c r="A762" t="inlineStr">
        <is>
          <t>Terre/feu</t>
        </is>
      </c>
      <c r="B762">
        <f>HYPERLINK("https://www.dofusbook.net/fr/equipement/219819-terre-feu/objets", "link")</f>
        <v/>
      </c>
      <c r="C762" t="n">
        <v>42</v>
      </c>
      <c r="D762" t="inlineStr">
        <is>
          <t>Dagues Érhy; Amulette du Strigide; Chevalière du Roi Joueur; Bague Gloursonne; Ceintacé; Chapeau de Gein; Voile d'encre; Bottes du Strigide; Dofus Pourpre; Dolmanax; Dofus Turquoise; Miraculé majeur; Remueur; Nomade; Muldo Doré et Emeraude</t>
        </is>
      </c>
    </row>
    <row r="763">
      <c r="A763" t="inlineStr">
        <is>
          <t>Full air</t>
        </is>
      </c>
      <c r="B763">
        <f>HYPERLINK("https://www.dofusbook.net/fr/equipement/219818-full-air/objets", "link")</f>
        <v/>
      </c>
      <c r="C763" t="n">
        <v>79</v>
      </c>
      <c r="D763" t="inlineStr">
        <is>
          <t>Pelle de la Cour Sombre; Amulette du Granduk; Alliance Gloursonne; Anneau d'Allister; Ceinture du Nocturlabe; Couronne d'Allister; Cape de Klime; Baleinabottes; Dofus Pourpre; Nomade; Miraculé majeur; Remueur; Cascadeur majeur; Vigoureux majeur; Siroko</t>
        </is>
      </c>
    </row>
    <row r="764">
      <c r="A764" t="inlineStr">
        <is>
          <t>Eau/feu</t>
        </is>
      </c>
      <c r="B764">
        <f>HYPERLINK("https://www.dofusbook.net/fr/equipement/1314901-eau-feu/objets", "link")</f>
        <v/>
      </c>
      <c r="C764" t="n">
        <v>41</v>
      </c>
      <c r="D764" t="inlineStr">
        <is>
          <t>Épée Brûlâme; Talisman Igans; Chevalière du Roi Joueur; Anneau Cryochrone; Carapar; Ceintacé; Casquette de Meno; Cape de la Dame du Hasard; Bottes de la Dame du Hasard; Dofus Turquoise; Dofus Pourpre; Dolmanax; Nomade; Remueur; Vigoureux majeur; Muldo Orchidée et Emeraude</t>
        </is>
      </c>
    </row>
    <row r="765">
      <c r="A765" t="inlineStr">
        <is>
          <t>Range2cheat</t>
        </is>
      </c>
      <c r="B765">
        <f>HYPERLINK("https://www.dofusbook.net/fr/equipement/992987-range2cheat/objets", "link")</f>
        <v/>
      </c>
      <c r="C765" t="n">
        <v>153</v>
      </c>
      <c r="D765" t="inlineStr">
        <is>
          <t>Baguette Range; Amulette du Strigide; Anneau de Padgref; Bague Trithon; Bouclier du Stalak; Ceinture du Strigide; Masque Trithon; Cape d'Atcham; Bottes Trithon; Dofus Pourpre; Dofus Nébuleux; Dofus Turquoise; Dofus Abyssal; Dolmanax; Dofus Ocre; Muldo Prune et Emeraude</t>
        </is>
      </c>
    </row>
    <row r="766">
      <c r="A766" t="inlineStr">
        <is>
          <t>Range</t>
        </is>
      </c>
      <c r="B766">
        <f>HYPERLINK("https://www.dofusbook.net/fr/equipement/991211-range/objets", "link")</f>
        <v/>
      </c>
      <c r="C766" t="n">
        <v>109</v>
      </c>
      <c r="D766" t="inlineStr">
        <is>
          <t>Baguette Range; Amulette du Strigide; Anneau de Padgref; Anneau Rifique; Quatre-feuilles; Ceinture du Strigide; Coiffe de Padgref; Cape Lati; Getas de Padgref; Dofus Ocre; Dofus Nébuleux; Dofus Pourpre; Dolmanax; Dofus Turquoise; Dofus des Glaces; Muldo Prune et Emeraude</t>
        </is>
      </c>
    </row>
    <row r="767">
      <c r="A767" t="inlineStr">
        <is>
          <t>Multi</t>
        </is>
      </c>
      <c r="B767">
        <f>HYPERLINK("https://www.dofusbook.net/fr/equipement/883410-multi/objets", "link")</f>
        <v/>
      </c>
      <c r="C767" t="n">
        <v>152</v>
      </c>
      <c r="D767" t="inlineStr">
        <is>
          <t>Arc du Chalœil; Amulette du Strigide; Chevalière du Roi Joueur; Bague Gloursonne; Quatre-feuilles; Ceintacé; Coiffe du Lévitrof; Voile d'encre; Bottes du Lévitrof; Dolmanax; Dofus Pourpre; Dofus Turquoise; Chanceux majeur; Nomade; Remueur; Muldo Pourpre et Emeraude</t>
        </is>
      </c>
    </row>
    <row r="768">
      <c r="A768" t="inlineStr">
        <is>
          <t>Stuff 1</t>
        </is>
      </c>
      <c r="B768">
        <f>HYPERLINK("https://www.dofusbook.net/fr/equipement/219824-stuff-1/objets", "link")</f>
        <v/>
      </c>
      <c r="C768" t="n">
        <v>107</v>
      </c>
      <c r="D768" t="inlineStr">
        <is>
          <t>Bâton Beau; Amulette de Pol Ouatnos; Bracelet du Piloztère; Anneau de Guten Tak; Ceintacé; Coiffe de la Reine des Voleurs; Cape Reski; Bottes de la Reine des Voleurs; Dofus Pourpre; Dofus Turquoise; Remueur; Chanceux majeur; Nomade; Enragé majeur; Kramkram</t>
        </is>
      </c>
    </row>
    <row r="769">
      <c r="A769" t="inlineStr">
        <is>
          <t>Stuff 1</t>
        </is>
      </c>
      <c r="B769">
        <f>HYPERLINK("https://www.dofusbook.net/fr/equipement/219815-stuff-1/objets", "link")</f>
        <v/>
      </c>
      <c r="C769" t="n">
        <v>26</v>
      </c>
      <c r="D769" t="inlineStr">
        <is>
          <t>Dagues Érhy; Amulette de Pol Ouatnos; Chevalière du Roi Joueur; Bague Gloursonne; Ceintacé; Couronne du Roi Joueur; Voile d'encre; Bottes du Strigide; Dolmanax; Dofus Turquoise; Vigoureux majeur; Carapace Neutre majeur; Temporiseur majeur; Remueur; Muldo Pourpre</t>
        </is>
      </c>
    </row>
    <row r="770">
      <c r="A770" t="inlineStr">
        <is>
          <t>Stuff 2</t>
        </is>
      </c>
      <c r="B770">
        <f>HYPERLINK("https://www.dofusbook.net/fr/equipement/219825-stuff-2/objets", "link")</f>
        <v/>
      </c>
      <c r="C770" t="n">
        <v>77</v>
      </c>
      <c r="D770" t="inlineStr">
        <is>
          <t>Epée Gloursonne; Amulette du Strigide; Bague Gloursonne; Alliance Gloursonne; Ceinture du Strigide; Coiffe du Glourséleste; Voile d'encre; Bottes du Strigide; Dofus des Glaces; Dofus Pourpre; Dofus Ocre; Dolmanax; Dofus Émeraude; Survivant majeur</t>
        </is>
      </c>
    </row>
    <row r="771">
      <c r="A771" t="inlineStr">
        <is>
          <t>Cappu</t>
        </is>
      </c>
      <c r="B771">
        <f>HYPERLINK("https://www.dofusbook.net/fr/equipement/4566458-cappu/objets", "link")</f>
        <v/>
      </c>
      <c r="C771" t="n">
        <v>30</v>
      </c>
      <c r="D771" t="inlineStr">
        <is>
          <t>Dagoulinantes; Amulette de Shokkoth; Bracelet des Fonds marins; Anneau Glacial; Quatre-feuilles; Ceinture Glaciale; Kidibonnet; Cape de l'Œil Attentif; Bottes du Sinistrofu; Voyageur; Nomade; Miraculé majeur; Remueur; Observateur; Chanceux majeur; Pioute bleu</t>
        </is>
      </c>
    </row>
    <row r="772">
      <c r="A772" t="inlineStr">
        <is>
          <t>hache chaloeil</t>
        </is>
      </c>
      <c r="B772">
        <f>HYPERLINK("https://www.dofusbook.net/fr/equipement/2726425-hache-chaloeil/objets", "link")</f>
        <v/>
      </c>
      <c r="C772" t="n">
        <v>115</v>
      </c>
      <c r="D772" t="inlineStr">
        <is>
          <t>Hache du Chalœil; Amulette du Strigide; Lavanneau; Alliance du Lévitrof; Ceinture du Strigide; Coiffe du Lévitrof; Voile d'encre; Bottes du Lévitrof; Dolmanax; Dofus Pourpre; Dofus Turquoise; Dofus Vulbis; Dofus Ocre; Dofus Ivoire</t>
        </is>
      </c>
    </row>
    <row r="773">
      <c r="A773" t="inlineStr">
        <is>
          <t>Tests</t>
        </is>
      </c>
      <c r="B773">
        <f>HYPERLINK("https://www.dofusbook.net/fr/equipement/2668687-tests/objets", "link")</f>
        <v/>
      </c>
      <c r="C773" t="n">
        <v>99</v>
      </c>
      <c r="D773" t="inlineStr">
        <is>
          <t>Dagoulinantes; Amulette de l'Œil Attentif; Anneau Glacial; Bracelet des Fonds marins; Quatre-feuilles; Ceinture Glaciale; Capuche de l'Œil Attentif; Cape de l'Œil Attentif; Bottes du Nocturlabe; Dofus Ocre; Dofus Ivoire; Dofus Pourpre; Dofus Vulbis; Dofus Turquoise; Dofus Abyssal; Pioute bleu</t>
        </is>
      </c>
    </row>
    <row r="774">
      <c r="A774" t="inlineStr">
        <is>
          <t>cra ret pm</t>
        </is>
      </c>
      <c r="B774">
        <f>HYPERLINK("https://www.dofusbook.net/fr/equipement/2585363-cra-ret-pm/objets", "link")</f>
        <v/>
      </c>
      <c r="C774" t="n">
        <v>101</v>
      </c>
      <c r="D774" t="inlineStr">
        <is>
          <t>Hache du Guerrier Zoth; Amulette du Glourséleste; Bague Gloursonne; Anneau Tamie; Bouclier cubiste; Sangle Cible; Casquipik; Cape de Léthaline; Pikottes; Turbulent; Miraculé majeur; Entraveur majeur; Remueur; Temporiseur; Temporiseur majeur; Péki</t>
        </is>
      </c>
    </row>
    <row r="775">
      <c r="A775" t="inlineStr">
        <is>
          <t>testjsaisap</t>
        </is>
      </c>
      <c r="B775">
        <f>HYPERLINK("https://www.dofusbook.net/fr/equipement/2570608-testjsaisap/objets", "link")</f>
        <v/>
      </c>
      <c r="C775" t="n">
        <v>45</v>
      </c>
      <c r="D775" t="inlineStr">
        <is>
          <t>Dagoulinantes; Amulette de Shokkoth; Bracelet des Fonds marins; Alliance Gloursonne; Quatre-feuilles; Ceinture Glaciale; Kidibonnet; Cape du Sinistrofu; Bottes du Sinistrofu; Dofus Turquoise; Dofus Pourpre; Remueur; Fonceur majeur; Nomade; Chanceux majeur; Muldo Indigo et Pourpre</t>
        </is>
      </c>
    </row>
    <row r="776">
      <c r="A776" t="inlineStr">
        <is>
          <t>Muladrop</t>
        </is>
      </c>
      <c r="B776">
        <f>HYPERLINK("https://www.dofusbook.net/fr/equipement/2556432-muladrop/objets", "link")</f>
        <v/>
      </c>
      <c r="C776" t="n">
        <v>67</v>
      </c>
      <c r="D776" t="inlineStr">
        <is>
          <t>Hache à Lamelles; Collier du Minotot; Anneau Tique; Bracelet du Minotot; Bouclier de Solar; Tranche des Sous-bois; Casque Harnage; Cape du Minotot; Bottines des sous-bois; Dokille; Dofus Kaliptus; Dolmanax; Taquin majeur; Taquin; Joueur majeur; Nomoon</t>
        </is>
      </c>
    </row>
    <row r="777">
      <c r="A777" t="inlineStr">
        <is>
          <t>pano agi beta</t>
        </is>
      </c>
      <c r="B777">
        <f>HYPERLINK("https://www.dofusbook.net/fr/equipement/2523428-pano-agi-beta/objets", "link")</f>
        <v/>
      </c>
      <c r="C777" t="n">
        <v>66</v>
      </c>
      <c r="D777" t="inlineStr">
        <is>
          <t>Lance Horselé; Collier du Valet Veinard; Gant du Valet Veinard; Alliance Gloursonne; Bouclier du Captain Amakna; Sangle Oriole; Chapeau de Tournoyé; Cape de Crânonier; Palmes Trithons; Dofus Turquoise; Dofus Ivoire; Dofus Vulbis; Dofus Ocre; Dofus Pourpre; Dofus Abyssal; Pioute jaune</t>
        </is>
      </c>
    </row>
    <row r="778">
      <c r="A778" t="inlineStr">
        <is>
          <t>Terre feu test</t>
        </is>
      </c>
      <c r="B778">
        <f>HYPERLINK("https://www.dofusbook.net/fr/equipement/2523299-terre-feu-test/objets", "link")</f>
        <v/>
      </c>
      <c r="C778" t="n">
        <v>43</v>
      </c>
      <c r="D778" t="inlineStr">
        <is>
          <t>Hache Téroïde; Amulette de Gein; Bague Gloursonne; Chevalière du Roi Joueur; Bouclier du Captain Amakna; Ceinture de Gein; Couronne du Roi Joueur; Voile d'encre; Bottes du Roi Joueur; Dofus Turquoise; Dofus Ocre; Dofus Vulbis; Dofus Ivoire; Dolmanax; Dofus Pourpre; Fëanor</t>
        </is>
      </c>
    </row>
    <row r="779">
      <c r="A779" t="inlineStr">
        <is>
          <t>Intell agi pvm</t>
        </is>
      </c>
      <c r="B779">
        <f>HYPERLINK("https://www.dofusbook.net/fr/equipement/2520279-intell-agi-pvm/objets", "link")</f>
        <v/>
      </c>
      <c r="C779" t="n">
        <v>35</v>
      </c>
      <c r="D779" t="inlineStr">
        <is>
          <t>Marteau Phossile; Pendentif mignon de Koutoulou; Kralano; Anneau Rifique; Bouclier du Captain Amakna; Ceinture de Vortex; Casque Cyclopéen; Cape de l'Œil Putride; Sabots de Vortex; Dofus Turquoise; Dofus Abyssal; Dofus Ocre; Dofus Ivoire; Dofus Pourpre; Dofus des Glaces; Muldo Prune et Ebène</t>
        </is>
      </c>
    </row>
    <row r="780">
      <c r="A780" t="inlineStr">
        <is>
          <t>Feca Héqache</t>
        </is>
      </c>
      <c r="B780">
        <f>HYPERLINK("https://www.dofusbook.net/fr/equipement/2523212-feca-heqache/objets", "link")</f>
        <v/>
      </c>
      <c r="C780" t="n">
        <v>55</v>
      </c>
      <c r="D780" t="inlineStr">
        <is>
          <t>Héqache; Amulette du Strigide; Anneau Crustique; Anneau Crustique; Sept ans de malheur; Menoture; Chapoulpe; Voile d'encre; Tentassons; Dofus Ivoire; Dofus Émeraude; Dofus Abyssal; Dofus Turquoise; Dofus Vulbis; Dofus Ocre; Croum</t>
        </is>
      </c>
    </row>
    <row r="781">
      <c r="A781" t="inlineStr">
        <is>
          <t>Mulasasa multi</t>
        </is>
      </c>
      <c r="B781">
        <f>HYPERLINK("https://www.dofusbook.net/fr/equipement/2466721-mulasasa-multi/objets", "link")</f>
        <v/>
      </c>
      <c r="C781" t="n">
        <v>25</v>
      </c>
      <c r="D781" t="inlineStr">
        <is>
          <t>Racine de Floribonde; Amulette du Glourséleste; Kralano; Annolamour; Quatre-feuilles; Ceinture du Nocturlabe; Coiffe du Kanimate; Cape du Kanimate; Bottes Innommables; Dofus Ocre; Dofus Cawotte; Dofus Vulbis; Dofus Abyssal; Dofus Pourpre; Dofus Ivoire; Dragoune Noire</t>
        </is>
      </c>
    </row>
    <row r="782">
      <c r="A782" t="inlineStr">
        <is>
          <t>Mulasasa air</t>
        </is>
      </c>
      <c r="B782">
        <f>HYPERLINK("https://www.dofusbook.net/fr/equipement/2466567-mulasasa-air/objets", "link")</f>
        <v/>
      </c>
      <c r="C782" t="n">
        <v>16</v>
      </c>
      <c r="D782" t="inlineStr">
        <is>
          <t>Racine de Floribonde; Collier du Valet Veinard; Annolamour; Kralano; Bouclier du Captain Amakna; Ceinture du Nocturlabe; Masque du Granduk; Cape Indescriptible; Bottes Innommables; Dofus Pourpre; Dofus Ivoire; Dofus Ocre; Dofus Cawotte; Dofus Vulbis; Dofus Abyssal; Dragoune Noire</t>
        </is>
      </c>
    </row>
    <row r="783">
      <c r="A783" t="inlineStr">
        <is>
          <t>Mulasasa</t>
        </is>
      </c>
      <c r="B783">
        <f>HYPERLINK("https://www.dofusbook.net/fr/equipement/2460460-mulasasa/objets", "link")</f>
        <v/>
      </c>
      <c r="C783" t="n">
        <v>17</v>
      </c>
      <c r="D783" t="inlineStr">
        <is>
          <t>Racine de Floribonde; Amulette du Glourséleste; Kralano; Annolamour; Quatre-feuilles; Ceinture de Léthaline; Coiffe d'Ogivol; Cape de Léthaline; Bottes de Léthaline; Dofus Ocre; Dofus Cawotte; Dofus Vulbis; Dofus Abyssal; Dofus Pourpre; Dofus Ivoire; Dragoune Noire</t>
        </is>
      </c>
    </row>
    <row r="784">
      <c r="A784" t="inlineStr">
        <is>
          <t>Arc Koutoulou test</t>
        </is>
      </c>
      <c r="B784">
        <f>HYPERLINK("https://www.dofusbook.net/fr/equipement/2297641-arc-koutoulou-test/objets", "link")</f>
        <v/>
      </c>
      <c r="C784" t="n">
        <v>61</v>
      </c>
      <c r="D784" t="inlineStr">
        <is>
          <t>Arc de Koutoulou; Amulette Voldelor; Alliance Gloursonne; Anneau Glacial; Sept ans de malheur; Ceinture Voldelor; Némès de Tal Kasha; Chevelure de Tal Kasha; Bottes Voldelor; Dofus des Glaces; Dofus Pourpre; Dofus Ocre; Dofus Ivoire; Dofus Vulbis; Dofus Turquoise; Croum</t>
        </is>
      </c>
    </row>
    <row r="785">
      <c r="A785" t="inlineStr">
        <is>
          <t>Pelle manthache test</t>
        </is>
      </c>
      <c r="B785">
        <f>HYPERLINK("https://www.dofusbook.net/fr/equipement/111764-pelle-manthache-test/objets", "link")</f>
        <v/>
      </c>
      <c r="C785" t="n">
        <v>50</v>
      </c>
      <c r="D785" t="inlineStr">
        <is>
          <t>Manthache; Collier du Valet Veinard; Alliance Gloursonne; Gant du Valet Veinard; Bouclier du Captain Amakna; Ceintouse; Chapoulpe; Cape du Valet Veinard; Tentassons; Dofus Vulbis; Dolmanax; Dofus Abyssal; Dofus Ivoire; Dofus Émeraude; Dofus Ocre; Croum</t>
        </is>
      </c>
    </row>
    <row r="786">
      <c r="A786" t="inlineStr">
        <is>
          <t>Full Tank</t>
        </is>
      </c>
      <c r="B786">
        <f>HYPERLINK("https://www.dofusbook.net/fr/equipement/1980187-full-tank/objets", "link")</f>
        <v/>
      </c>
      <c r="C786" t="n">
        <v>102</v>
      </c>
      <c r="D786" t="inlineStr">
        <is>
          <t>Epée Gloursonne; Amulette de l'Indicible; Alliance Gloursonne; Bague Gloursonne; Bouclier d'Anerice; Ceinture de l'Indicible; Masque d'Anerice; Cape d'Anerice; Bottes de l'Indicible; Dokoko; Dofus Émeraude; Dofus Abyssal; Dofus Ivoire; Dofus Turquoise; Initiateur majeur; Muldo Indigo et Orchidée</t>
        </is>
      </c>
    </row>
    <row r="787">
      <c r="A787" t="inlineStr">
        <is>
          <t>Full Agi</t>
        </is>
      </c>
      <c r="B787">
        <f>HYPERLINK("https://www.dofusbook.net/fr/equipement/1980613-full-agi/objets", "link")</f>
        <v/>
      </c>
      <c r="C787" t="n">
        <v>48</v>
      </c>
      <c r="D787" t="inlineStr">
        <is>
          <t>Manthache; Collier du Valet Veinard; Alliance Gloursonne; Gant du Valet Veinard; Jadis; Ceintouse; Chapoulpe; Cape du Valet Veinard; Tentassons; Dofus Pourpre; Dofus Ivoire; Dofus Ocre; Dofus Abyssal; Dofus Émeraude; Initiateur majeur; Muldo Ebène</t>
        </is>
      </c>
    </row>
    <row r="788">
      <c r="A788" t="inlineStr">
        <is>
          <t>Feu/air/Eau</t>
        </is>
      </c>
      <c r="B788">
        <f>HYPERLINK("https://www.dofusbook.net/fr/equipement/2151098-feu-air-eau/objets", "link")</f>
        <v/>
      </c>
      <c r="C788" t="n">
        <v>39</v>
      </c>
      <c r="D788" t="inlineStr">
        <is>
          <t>Epée Gloursonne; Amulette du Glourséleste; Alliance Gloursonne; Bague Gloursonne; Quatre-feuilles; Ceinture du Glourséleste; Casque du Chalœil; Cape du Chalœil; Bottes du Chalœil; Dofus Pourpre; Dofus Ivoire; Dolmanax; Dofus Turquoise; Dofus Abyssal; Dofus Ocre; Kramkram</t>
        </is>
      </c>
    </row>
    <row r="789">
      <c r="A789" t="inlineStr">
        <is>
          <t>Eniripsa F 200</t>
        </is>
      </c>
      <c r="B789">
        <f>HYPERLINK("https://www.dofusbook.net/fr/equipement/5280287-eniripsa-f-200/objets", "link")</f>
        <v/>
      </c>
      <c r="C789" t="n">
        <v>22</v>
      </c>
      <c r="D789" t="inlineStr">
        <is>
          <t>Arc de Koutoulou; Amulette Volkorne; Alliance Gloursonne; Anneau Volkorne; Quatre-feuilles; Ceinture Volkorne; Némès de Tal Kasha; Chevelure de Tal Kasha; Sandales de Tal Kasha; Dofus Vulbis; Dofus Turquoise; Dofus Nébuleux; Dofus Ébène; Dofus Pourpre; Dofus des Glaces; Volkorne Améthyste et Emeraude</t>
        </is>
      </c>
    </row>
    <row r="790">
      <c r="A790" t="inlineStr">
        <is>
          <t>Stuff 1</t>
        </is>
      </c>
      <c r="B790">
        <f>HYPERLINK("https://www.dofusbook.net/fr/equipement/164787-stuff-1/objets", "link")</f>
        <v/>
      </c>
      <c r="C790" t="n">
        <v>73</v>
      </c>
      <c r="D790" t="inlineStr">
        <is>
          <t>Hache du Chalœil; Amulette Volkorne; Anneau Volkorne; Bague Trithon; Quatre-feuilles; Ceinture Volkorne; Masque Trithon; Voile d'encre; Bottes Trithon; Dofus Ocre; Dofus des Glaces; Dofus Pourpre; Dofus Nébuleux; Dofus Turquoise; Dofus Ébène; Kokulte</t>
        </is>
      </c>
    </row>
    <row r="791">
      <c r="A791" t="inlineStr">
        <is>
          <t>Pandawa M 200</t>
        </is>
      </c>
      <c r="B791">
        <f>HYPERLINK("https://www.dofusbook.net/fr/equipement/5307545-pandawa-m-200/objets", "link")</f>
        <v/>
      </c>
      <c r="C791" t="n">
        <v>9</v>
      </c>
      <c r="D791" t="inlineStr">
        <is>
          <t>Hache du Chalœil; Amulette Volkorne; Alliance Gloursonne; Anneau Volkorne; Quatre-feuilles; Ceintacé; Casque du Chalœil; Cape du Chalœil; Bottes du Chalœil; Dofus des Glaces; Dofus Pourpre; Dofus Nébuleux; Dofus Turquoise; Dolmanax; Dofus Ébène; Muldo Prune et Doré</t>
        </is>
      </c>
    </row>
    <row r="792">
      <c r="A792" t="inlineStr">
        <is>
          <t>Osamodas M 200</t>
        </is>
      </c>
      <c r="B792">
        <f>HYPERLINK("https://www.dofusbook.net/fr/equipement/5312173-osamodas-m-200/objets", "link")</f>
        <v/>
      </c>
      <c r="C792" t="n">
        <v>14</v>
      </c>
      <c r="D792" t="inlineStr">
        <is>
          <t>Arc Volkorne; Amulette de l'Indicible; Bracelet du Piloztère; Anneau Volkorne; Quatre-feuilles; Ceinture Volkorne; Casque du Chalœil; Cape du Chalœil; Bottes de l'Indicible; Dofus Turquoise; Dofus des Glaces; Dofus Vulbis; Dofus Ocre; Dofus Pourpre; Dofus Ébène; Sakochère</t>
        </is>
      </c>
    </row>
    <row r="793">
      <c r="A793" t="inlineStr">
        <is>
          <t>TOP 1</t>
        </is>
      </c>
      <c r="B793">
        <f>HYPERLINK("https://www.dofusbook.net/fr/equipement/5280545-top-1/objets", "link")</f>
        <v/>
      </c>
      <c r="C793" t="n">
        <v>16</v>
      </c>
      <c r="D793" t="inlineStr">
        <is>
          <t>Arc de Koutoulou; Amulette du Strigide; Alliance Gloursonne; Anneau Volkorne; Quatre-feuilles; Ceinture Voldelor; Casque Volkorne; Chevelure de Tal Kasha; Pataugastrique; Dofus Pourpre; Dofus Turquoise; Nomade; Cascadeur majeur; Remueur; Vigoureux majeur; Muldo Prune et Emeraude</t>
        </is>
      </c>
    </row>
    <row r="794">
      <c r="A794" t="inlineStr">
        <is>
          <t>TOP 1</t>
        </is>
      </c>
      <c r="B794">
        <f>HYPERLINK("https://www.dofusbook.net/fr/equipement/3845950-top-1-/objets", "link")</f>
        <v/>
      </c>
      <c r="C794" t="n">
        <v>129</v>
      </c>
      <c r="D794" t="inlineStr">
        <is>
          <t>Hache du Chalœil; Amulette du Strigide; Anneau de Padgref; Bracelet du Piloztère; Quatre-feuilles; Ceintacé; Maskrobe; Cape du Chalœil; Bottes du Strigide; Dolmanax; Dofus Pourpre; Dofus Turquoise; Vigoureux majeur; Remueur; Nomade; Chacha Angora</t>
        </is>
      </c>
    </row>
    <row r="795">
      <c r="A795" t="inlineStr">
        <is>
          <t>TOP 1 MULTI</t>
        </is>
      </c>
      <c r="B795">
        <f>HYPERLINK("https://www.dofusbook.net/fr/equipement/5275493-top-1-multi/objets", "link")</f>
        <v/>
      </c>
      <c r="C795" t="n">
        <v>19</v>
      </c>
      <c r="D795" t="inlineStr">
        <is>
          <t>Hache du Chalœil; Amulette du Strigide; Alliance Gloursonne; Bracelet du Piloztère; Quatre-feuilles; Ceinture du Strigide; Coiffe du Lévitrof; Capille; Bottes Honyme; Dofus Pourpre; Dofus Turquoise; Dolmanax; Remueur; Vigoureux majeur; Nomade; Muldo Prune et Emeraude</t>
        </is>
      </c>
    </row>
    <row r="796">
      <c r="A796" t="inlineStr">
        <is>
          <t>multi pvm hache</t>
        </is>
      </c>
      <c r="B796">
        <f>HYPERLINK("https://www.dofusbook.net/fr/equipement/2965232-multi-pvm-hache/objets", "link")</f>
        <v/>
      </c>
      <c r="C796" t="n">
        <v>38</v>
      </c>
      <c r="D796" t="inlineStr">
        <is>
          <t>Hache du Chalœil; Amulette du Strigide; Alliance Gloursonne; Bracelet du Piloztère; Quatre-feuilles; Ceintacé; Casque du Chalœil; Voile d'encre; Bottes du Strigide; Dofus Pourpre; Dofus Turquoise; Dolmanax; Remueur; Nomade; Vigoureux majeur; Muldo Prune et Doré</t>
        </is>
      </c>
    </row>
    <row r="797">
      <c r="A797" t="inlineStr">
        <is>
          <t>Roublard M 200</t>
        </is>
      </c>
      <c r="B797">
        <f>HYPERLINK("https://www.dofusbook.net/fr/equipement/5218111-roublard-m-200/objets", "link")</f>
        <v/>
      </c>
      <c r="C797" t="n">
        <v>16</v>
      </c>
      <c r="D797" t="inlineStr">
        <is>
          <t>Épée du Granduk; Frimamulette; Alliance Gloursonne; Anneau d'Allister; Bouclier du Stalak; Ceinture de Klime; Masque de Klime; Cape Matelassée; Pantoufles Émar; Dofus Pourpre; Saccageur Air majeur; Cascadeur majeur; Dévastateur Air majeur; Nomade; Remueur; Muldo Doré</t>
        </is>
      </c>
    </row>
    <row r="798">
      <c r="A798" t="inlineStr">
        <is>
          <t>Stuff 2</t>
        </is>
      </c>
      <c r="B798">
        <f>HYPERLINK("https://www.dofusbook.net/fr/equipement/164797-stuff-2/objets", "link")</f>
        <v/>
      </c>
      <c r="C798" t="n">
        <v>18</v>
      </c>
      <c r="D798" t="inlineStr">
        <is>
          <t>Marteau des égarés; Amulette du Strigide; Bracelet du Piloztère; Alliance du Lévitrof; Quatre-feuilles; Ceinture du Strigide; Masque du Katcheur; Voile d'encre; Pataugastrique; Dolmanax; Dofus Turquoise; Dofus Pourpre; Nomade; Vigoureux majeur; Remueur; Muldo Prune et Emeraude</t>
        </is>
      </c>
    </row>
    <row r="799">
      <c r="A799" t="inlineStr">
        <is>
          <t>Sadida M 200</t>
        </is>
      </c>
      <c r="B799">
        <f>HYPERLINK("https://www.dofusbook.net/fr/equipement/4324935-sadida-m-200/objets", "link")</f>
        <v/>
      </c>
      <c r="C799" t="n">
        <v>30</v>
      </c>
      <c r="D799" t="inlineStr">
        <is>
          <t>Epée Kari; Amulette de Danathor; Anneau de la Fuji Givrefoux; Anneau des Prophètes; Le Karde Cœur; Ceinture d'Ogivol; Coiffe d'Ogivol; Cape Matelassée; Sandales Circulaires du Kimbo; Dofus Cawotte; Dragodinde Turquoise</t>
        </is>
      </c>
    </row>
    <row r="800">
      <c r="A800" t="inlineStr">
        <is>
          <t>Multi no cc</t>
        </is>
      </c>
      <c r="B800">
        <f>HYPERLINK("https://www.dofusbook.net/fr/equipement/3721896-multi-no-cc/objets", "link")</f>
        <v/>
      </c>
      <c r="C800" t="n">
        <v>48</v>
      </c>
      <c r="D800" t="inlineStr">
        <is>
          <t>Arc Nécrotique; Amulette Volkorne; Anneau Volkorne; Alliance Gloursonne; Bouclier du Stalak; Ceinture de l'Esprit Salvateur; Masque de l'Esprit Salvateur; Voile d'encre; Bottes de l'Esprit Salvateur; Dolmanax; Dofus Ocre; Dofus Ivoire; Dofus Pourpre; Dofus Vulbis; Dofus des Glaces; Wabbit</t>
        </is>
      </c>
    </row>
    <row r="801">
      <c r="A801" t="inlineStr">
        <is>
          <t>Stuff 2</t>
        </is>
      </c>
      <c r="B801">
        <f>HYPERLINK("https://www.dofusbook.net/fr/equipement/164794-stuff-2/objets", "link")</f>
        <v/>
      </c>
      <c r="C801" t="n">
        <v>46</v>
      </c>
      <c r="D801" t="inlineStr">
        <is>
          <t>Héqache; Amulette du Strigide; Bague Gloursonne; Bracelet du Piloztère; Bouclier du Captain Amakna; Ceintacé; Maskrobe; Cape du Chalœil; Bottes du Strigide; Dofus Pourpre; Dofus Turquoise; Dolmanax; Remueur; Nomade; Vigoureux majeur; Dragodinde Emeraude et Ivoire</t>
        </is>
      </c>
    </row>
    <row r="802">
      <c r="A802" t="inlineStr">
        <is>
          <t>Stuff 1</t>
        </is>
      </c>
      <c r="B802">
        <f>HYPERLINK("https://www.dofusbook.net/fr/equipement/164796-stuff-1/objets", "link")</f>
        <v/>
      </c>
      <c r="C802" t="n">
        <v>43</v>
      </c>
      <c r="D802" t="inlineStr">
        <is>
          <t>Marteau des égarés; Amulette Volkorne; Bracelet du Piloztère; Bague Gloursonne; Quatre-feuilles; Ceinture Volkorne; Masque du Katcheur; Chevelure de Tal Kasha; Pataugastrique; Dofus Turquoise; Dolmanax; Dofus Pourpre; Vigoureux majeur; Nomade; Remueur; Muldo Prune et Doré</t>
        </is>
      </c>
    </row>
    <row r="803">
      <c r="A803" t="inlineStr">
        <is>
          <t>Osamodas M 200</t>
        </is>
      </c>
      <c r="B803">
        <f>HYPERLINK("https://www.dofusbook.net/fr/equipement/3920255-osamodas-m-200/objets", "link")</f>
        <v/>
      </c>
      <c r="C803" t="n">
        <v>39</v>
      </c>
      <c r="D803" t="inlineStr">
        <is>
          <t>Baguette Hique; Amulette Volkorne; Anneau Volkorne; Pikano; Quatre-feuilles; Ceintacé; Némès de Tal Kasha; Chevelure de Tal Kasha; Sandales de Tal Kasha; Dolmanax; Dofus des Glaces; Dofus Nébuleux; Dofus Pourpre; Dofus Ivoire; Dofus Turquoise; Muldo Prune et Emeraude</t>
        </is>
      </c>
    </row>
    <row r="804">
      <c r="A804" t="inlineStr">
        <is>
          <t>Eau pvp</t>
        </is>
      </c>
      <c r="B804">
        <f>HYPERLINK("https://www.dofusbook.net/fr/equipement/3897211-eau-pvp/objets", "link")</f>
        <v/>
      </c>
      <c r="C804" t="n">
        <v>78</v>
      </c>
      <c r="D804" t="inlineStr">
        <is>
          <t>Marteau des Anciens Steamers; Amulette d'Ilyzaelle; Alliance du Lévitrof; Anneau Volkorne; Bouclier à hélice; Sangle Ouare; Casque d'Ilyzaelle; Cape Solution; Chaussons de Macrab; Dofus Ocre; Dofus des Glaces; Dofus Ivoire; Carapace Eau majeur; Carapace Air majeur; Chanceux majeur; Kanigloups</t>
        </is>
      </c>
    </row>
    <row r="805">
      <c r="A805" t="inlineStr">
        <is>
          <t>Terre pvp</t>
        </is>
      </c>
      <c r="B805">
        <f>HYPERLINK("https://www.dofusbook.net/fr/equipement/2073333-terre-pvp/objets", "link")</f>
        <v/>
      </c>
      <c r="C805" t="n">
        <v>73</v>
      </c>
      <c r="D805" t="inlineStr">
        <is>
          <t>Arc du Chalœil; Collier de Tourthon; Anneau Crustique; Alliance du Lévitrof; Bouclier du Stalak; Ceinture de la Cour Sombre; Masque de Koutoulou; Voile d'encre; Bottes Dogues; Dofus des Veilleurs; Dokoko; Miraculé majeur; Remueur; Enragé majeur; Déserteur majeur; Dragodinde Amande et Emeraude</t>
        </is>
      </c>
    </row>
    <row r="806">
      <c r="A806" t="inlineStr">
        <is>
          <t>Zobal feu anti dopou</t>
        </is>
      </c>
      <c r="B806">
        <f>HYPERLINK("https://www.dofusbook.net/fr/equipement/3850584-zobal-feu-anti-dopou/objets", "link")</f>
        <v/>
      </c>
      <c r="C806" t="n">
        <v>21</v>
      </c>
      <c r="D806" t="inlineStr">
        <is>
          <t>Plumeau Bil; Amulette Volcanique; Goulano; Chevalière du Roi Joueur; Bouclier de Solar; Ceinture de l'Esprit Salvateur; Heaume Oplate; Voile d'encre; Sabots Volcaniques; Dofus Forgelave; Dofus Ocre; Dofus Ivoire; Nomade; Solide majeur; Carapace Terre majeur; Bouftor</t>
        </is>
      </c>
    </row>
    <row r="807">
      <c r="A807" t="inlineStr">
        <is>
          <t>Stuff 3</t>
        </is>
      </c>
      <c r="B807">
        <f>HYPERLINK("https://www.dofusbook.net/fr/equipement/164780-stuff-3/objets", "link")</f>
        <v/>
      </c>
      <c r="C807" t="n">
        <v>22</v>
      </c>
      <c r="D807" t="inlineStr">
        <is>
          <t>Arc de Koutoulou; Amulette du Strigide; Anneau de Padgref; Bracelet du Piloztère; Quatre-feuilles; Ceintacé; Masque du Glourséleste; Cape du Chalœil; Bottes du Strigide; Dofus Pourpre; Dolmanax; Dofus Turquoise; Vigoureux majeur; Remueur; Nomade; Muldo Prune et Doré</t>
        </is>
      </c>
    </row>
    <row r="808">
      <c r="A808" t="inlineStr">
        <is>
          <t>Eau/Feu noCC</t>
        </is>
      </c>
      <c r="B808">
        <f>HYPERLINK("https://www.dofusbook.net/fr/equipement/164778-eau-feu-nocc/objets", "link")</f>
        <v/>
      </c>
      <c r="C808" t="n">
        <v>15</v>
      </c>
      <c r="D808" t="inlineStr">
        <is>
          <t>Pyraguette; Talisman Igans; Anneau Cryochrone; Anneau Tique; Bouclier du Stalak; Ceintrigue; Coiffe Ranshi; Voilamibe; Pataugastrique; Dofus des Glaces; Dolmanax; Dofus Pourpre; Érudit majeur; Vigoureux majeur; Robuste majeur; Muldo Doré et Orchidée</t>
        </is>
      </c>
    </row>
    <row r="809">
      <c r="A809" t="inlineStr">
        <is>
          <t>Feu/Eau arc n1</t>
        </is>
      </c>
      <c r="B809">
        <f>HYPERLINK("https://www.dofusbook.net/fr/equipement/1930856-feu-eau-arc-n1/objets", "link")</f>
        <v/>
      </c>
      <c r="C809" t="n">
        <v>19</v>
      </c>
      <c r="D809" t="inlineStr">
        <is>
          <t>Arc Nécrotique; Collier de la Dame du Hasard; Bracelet du Piloztère; Alliance de Missiz Frizz; Quatre-feuilles; Ceinture de Gein; Casqnoar; Cape de la Dame du Hasard; Pataugastrique; Dofus Pourpre; Dolmanax; Dofus Turquoise; Remueur; Vigoureux majeur; Nomade; Muldo Prune et Doré</t>
        </is>
      </c>
    </row>
    <row r="810">
      <c r="A810" t="inlineStr">
        <is>
          <t>Stuff 2</t>
        </is>
      </c>
      <c r="B810">
        <f>HYPERLINK("https://www.dofusbook.net/fr/equipement/164788-stuff-2/objets", "link")</f>
        <v/>
      </c>
      <c r="C810" t="n">
        <v>41</v>
      </c>
      <c r="D810" t="inlineStr">
        <is>
          <t>Epée Gloursonne; Amulette du Strigide; Alliance Gloursonne; Bague Gloursonne; Quatre-feuilles; Ceinture du Strigide; Casque du Chalœil; Cape du Chalœil; Bottes du Strigide; Dofus Ocre; Dofus des Glaces; Dofus Pourpre; Dolmanax; Dofus Turquoise; Puissant majeur; Muldo Prune et Doré</t>
        </is>
      </c>
    </row>
    <row r="811">
      <c r="A811" t="inlineStr">
        <is>
          <t>Test 197 pour Krozia</t>
        </is>
      </c>
      <c r="B811">
        <f>HYPERLINK("https://www.dofusbook.net/fr/equipement/3836008-test-197-pour-krozia/objets", "link")</f>
        <v/>
      </c>
      <c r="C811" t="n">
        <v>5</v>
      </c>
      <c r="D811" t="inlineStr">
        <is>
          <t>Marteau des Anciens Steamers; Pendentif Oton; Anneau du Korriandre; Grésilanneau; Quatre-feuilles; Ceinture Rasboulaire du Rasboul; Binocle Airvoyant; Cape Glaciale; Chaussures Face; Dofus Pourpre; Dofus Ocre; Vigoureux majeur; Nomade; Remueur; Robuste majeur; Volkorne Indigo et Ebène</t>
        </is>
      </c>
    </row>
    <row r="812">
      <c r="A812" t="inlineStr">
        <is>
          <t>Roublard M 200</t>
        </is>
      </c>
      <c r="B812">
        <f>HYPERLINK("https://www.dofusbook.net/fr/equipement/3835946-roublard-m-200/objets", "link")</f>
        <v/>
      </c>
      <c r="C812" t="n">
        <v>11</v>
      </c>
      <c r="D812" t="inlineStr">
        <is>
          <t>Arc de Koutoulou; Amulette d'Ilyzaelle; Alliance Gloursonne; Anneau Tique; Bouclier du Stalak; Ceinture Rasboulaire du Rasboul; Dorabysses; Cape Indescriptible; Bottes de l'Esprit Salvateur; Dofus Pourpre; Dofus Ocre; Remueur; Robuste majeur; Vigoureux majeur; Nomade; Volkorne Indigo et Ebène</t>
        </is>
      </c>
    </row>
    <row r="813">
      <c r="A813" t="inlineStr">
        <is>
          <t>No CC</t>
        </is>
      </c>
      <c r="B813">
        <f>HYPERLINK("https://www.dofusbook.net/fr/equipement/164783-no-cc-/objets", "link")</f>
        <v/>
      </c>
      <c r="C813" t="n">
        <v>16</v>
      </c>
      <c r="D813" t="inlineStr"/>
    </row>
    <row r="814">
      <c r="A814" t="inlineStr">
        <is>
          <t>Stuff 2</t>
        </is>
      </c>
      <c r="B814">
        <f>HYPERLINK("https://www.dofusbook.net/fr/equipement/164782-stuff-2/objets", "link")</f>
        <v/>
      </c>
      <c r="C814" t="n">
        <v>36</v>
      </c>
      <c r="D814" t="inlineStr">
        <is>
          <t>Dagues Érhy; Amulette du Strigide; Bracelet du Piloztère; Bague Gloursonne; Bouclier du Captain Amakna; Ceintacé; Maskrobe; Cape du Chalœil; Bottes du Strigide; Dofus Turquoise; Dolmanax; Dofus Pourpre; Vigoureux majeur; Nomade; Remueur; Dragodinde Ebène et Ivoire</t>
        </is>
      </c>
    </row>
    <row r="815">
      <c r="A815" t="inlineStr">
        <is>
          <t>Ecaflip M 200</t>
        </is>
      </c>
      <c r="B815">
        <f>HYPERLINK("https://www.dofusbook.net/fr/equipement/3827691-ecaflip-m-200/objets", "link")</f>
        <v/>
      </c>
      <c r="C815" t="n">
        <v>27</v>
      </c>
      <c r="D815" t="inlineStr">
        <is>
          <t>Pelle de Nidas; Amulette du Strigide; Bague Trithon; Bracelet du Piloztère; Bouclier du Captain Amakna; Ceintacé; Maskrobe; Cape du Chalœil; Bottes Trithon; Dofus Pourpre; Dofus Turquoise; Dolmanax; Remueur; Vigoureux majeur; Nomade; Chacha Angora</t>
        </is>
      </c>
    </row>
    <row r="816">
      <c r="A816" t="inlineStr">
        <is>
          <t>terre agi intel n1</t>
        </is>
      </c>
      <c r="B816">
        <f>HYPERLINK("https://www.dofusbook.net/fr/equipement/164793-terre-agi-intel-n1/objets", "link")</f>
        <v/>
      </c>
      <c r="C816" t="n">
        <v>29</v>
      </c>
      <c r="D816" t="inlineStr">
        <is>
          <t>Dagues Érhy; Amulette du Strigide; Bracelet du Piloztère; Bague Gloursonne; Bouclier du Captain Amakna; Ceintacé; Masque Brûlâme; Capille; Bottes du Strigide; Dofus Pourpre; Dolmanax; Dofus Turquoise; Nomade; Vigoureux majeur; Remueur; Muldo Prune et Doré</t>
        </is>
      </c>
    </row>
    <row r="817">
      <c r="A817" t="inlineStr">
        <is>
          <t>Sacrieur M 200</t>
        </is>
      </c>
      <c r="B817">
        <f>HYPERLINK("https://www.dofusbook.net/fr/equipement/3793816-sacrieur-m-200/objets", "link")</f>
        <v/>
      </c>
      <c r="C817" t="n">
        <v>90</v>
      </c>
      <c r="D817" t="inlineStr">
        <is>
          <t>Arc corrompu; Pendentif affamé; Anneau Tamie; Bague Gloursonne; Quatre-feuilles; Ceinture Séculaire; Coiffe Séculaire; Cape de Diondin; Bottes Innommables; Dofus Turquoise; Dofus Pourpre; Érudit majeur; Remueur; Vigoureux majeur; Nomade; Dragodinde Ivoire et Orchidée</t>
        </is>
      </c>
    </row>
    <row r="818">
      <c r="A818" t="inlineStr">
        <is>
          <t>Stuff 3</t>
        </is>
      </c>
      <c r="B818">
        <f>HYPERLINK("https://www.dofusbook.net/fr/equipement/164798-stuff-3/objets", "link")</f>
        <v/>
      </c>
      <c r="C818" t="n">
        <v>45</v>
      </c>
      <c r="D818" t="inlineStr">
        <is>
          <t>Rouleau à Pâtisserie d'Aermyne; Amulette du Glourséleste; Alliance Gloursonne; Anneau de XLII; Bouclier d'Anerice; Ceinture de XLII; Coiffe d'Aermyne; Cape d'Aermyne; Bottes de XLII; Dokoko; Dofus Ivoire; Dofus Ocre; Dofus Émeraude; Tacleur majeur; Bloqueur majeur; Platypus</t>
        </is>
      </c>
    </row>
    <row r="819">
      <c r="A819" t="inlineStr">
        <is>
          <t>Ultim mutli</t>
        </is>
      </c>
      <c r="B819">
        <f>HYPERLINK("https://www.dofusbook.net/fr/equipement/2432187-ultim-mutli/objets", "link")</f>
        <v/>
      </c>
      <c r="C819" t="n">
        <v>95</v>
      </c>
      <c r="D819" t="inlineStr">
        <is>
          <t>Arc de Koutoulou; Amulette du Strigide; Bracelet du Piloztère; Anneau de Padgref; Quatre-feuilles; Ceintacé; Capuche de l'Œil Putride; Voile d'encre; Getas de Padgref; Dofus Turquoise; Dofus Pourpre; Dolmanax; Vigoureux majeur; Nomade; Remueur; Muldo Prune et Doré</t>
        </is>
      </c>
    </row>
    <row r="820">
      <c r="A820" t="inlineStr">
        <is>
          <t>test terrefeu</t>
        </is>
      </c>
      <c r="B820">
        <f>HYPERLINK("https://www.dofusbook.net/fr/equipement/3752146-test-terrefeu/objets", "link")</f>
        <v/>
      </c>
      <c r="C820" t="n">
        <v>9</v>
      </c>
      <c r="D820" t="inlineStr"/>
    </row>
    <row r="821">
      <c r="A821" t="inlineStr">
        <is>
          <t>Terre agi intel n1</t>
        </is>
      </c>
      <c r="B821">
        <f>HYPERLINK("https://www.dofusbook.net/fr/equipement/2895896-terre-agi-intel-n1/objets", "link")</f>
        <v/>
      </c>
      <c r="C821" t="n">
        <v>30</v>
      </c>
      <c r="D821" t="inlineStr">
        <is>
          <t>Dagues Érhy; Amulette du Strigide; Bracelet du Piloztère; Bague Gloursonne; Bouclier du Captain Amakna; Ceintacé; Chapeau de Gein; Voile d'encre; Bottes du Strigide; Dofus Pourpre; Dolmanax; Dofus Turquoise; Nomade; Vigoureux majeur; Remueur; Muldo Prune et Doré</t>
        </is>
      </c>
    </row>
    <row r="822">
      <c r="A822" t="inlineStr">
        <is>
          <t>Féca F 200</t>
        </is>
      </c>
      <c r="B822">
        <f>HYPERLINK("https://www.dofusbook.net/fr/equipement/3669942-feca-f-200/objets", "link")</f>
        <v/>
      </c>
      <c r="C822" t="n">
        <v>2</v>
      </c>
      <c r="D822" t="inlineStr"/>
    </row>
    <row r="823">
      <c r="A823" t="inlineStr">
        <is>
          <t>multi volkorne</t>
        </is>
      </c>
      <c r="B823">
        <f>HYPERLINK("https://www.dofusbook.net/fr/equipement/3729577-multi-volkorne/objets", "link")</f>
        <v/>
      </c>
      <c r="C823" t="n">
        <v>40</v>
      </c>
      <c r="D823" t="inlineStr">
        <is>
          <t>Sabres d'Atcham; Amulette Volkorne; Bracelet du Piloztère; Anneau Volkorne; Quatre-feuilles; Ceintacé; Coiffe de la Reine des Voleurs; Cape d'Atcham; Bottes de la Reine des Voleurs; Dolmanax; Dofus Turquoise; Dofus Pourpre; Dofus Nébuleux; Dofus Abyssal; Dofus Ocre; Muldo Prune et Doré</t>
        </is>
      </c>
    </row>
    <row r="824">
      <c r="A824" t="inlineStr">
        <is>
          <t>Multi n1</t>
        </is>
      </c>
      <c r="B824">
        <f>HYPERLINK("https://www.dofusbook.net/fr/equipement/3719479-multi-n1/objets", "link")</f>
        <v/>
      </c>
      <c r="C824" t="n">
        <v>12</v>
      </c>
      <c r="D824" t="inlineStr">
        <is>
          <t>Héqache; Amulette du Strigide; Bracelet du Piloztère; Alliance Gloursonne; Quatre-feuilles; Ceintacé; Maskrobe; Cape du Chalœil; Bottes du Strigide; Dofus Turquoise; Dofus Pourpre; Dolmanax; Remueur; Vigoureux majeur; Nomade; Dragodinde Emeraude et Ivoire</t>
        </is>
      </c>
    </row>
    <row r="825">
      <c r="A825" t="inlineStr">
        <is>
          <t>Eau air 245</t>
        </is>
      </c>
      <c r="B825">
        <f>HYPERLINK("https://www.dofusbook.net/fr/equipement/164792-eau-air-245/objets", "link")</f>
        <v/>
      </c>
      <c r="C825" t="n">
        <v>37</v>
      </c>
      <c r="D825" t="inlineStr">
        <is>
          <t>Arc de Koutoulou; Amulette de Shokkoth; Anneau d'Allister; Anneau de Padgref; Quatre-feuilles; Ceinture du Barbétoal; Némès de Tal Kasha; Chevelure de Tal Kasha; Bottes Voldelor; Dofus Turquoise; Dofus Ocre; Dofus Pourpre; Dofus des Glaces; Nomade; Remueur; Dragodinde Emeraude et Ivoire</t>
        </is>
      </c>
    </row>
    <row r="826">
      <c r="A826" t="inlineStr">
        <is>
          <t>Féca F 200</t>
        </is>
      </c>
      <c r="B826">
        <f>HYPERLINK("https://www.dofusbook.net/fr/equipement/3669944-feca-f-200/objets", "link")</f>
        <v/>
      </c>
      <c r="C826" t="n">
        <v>10</v>
      </c>
      <c r="D826" t="inlineStr">
        <is>
          <t>Hache du Chalœil; Amulette du Strigide; Bague Gloursonne; Bracelet du Piloztère; Quatre-feuilles; Ceintacé; Masque du Katcheur; Cape d'Atcham; Bottes du Strigide; Dofus Pourpre; Dofus Turquoise; Dolmanax; Nomade; Vigoureux majeur; Remueur; Muldo Prune et Doré</t>
        </is>
      </c>
    </row>
    <row r="827">
      <c r="A827" t="inlineStr">
        <is>
          <t>eau feu multi</t>
        </is>
      </c>
      <c r="B827">
        <f>HYPERLINK("https://www.dofusbook.net/fr/equipement/164785-eau-feu-multi/objets", "link")</f>
        <v/>
      </c>
      <c r="C827" t="n">
        <v>19</v>
      </c>
      <c r="D827" t="inlineStr">
        <is>
          <t>Pyraguette; Talisman Igans; Alliance du Lévitrof; Alliance Gloursonne; Bouclier du Stalak; Ceintrigue; Casqnoar; Voilamibe; Pataugastrique; Dofus Pourpre; Dolmanax; Nomade; Remueur; Robuste majeur; Vigoureux majeur; Dragodinde Ebène et Ivoire</t>
        </is>
      </c>
    </row>
    <row r="828">
      <c r="A828" t="inlineStr">
        <is>
          <t>Stuff 4</t>
        </is>
      </c>
      <c r="B828">
        <f>HYPERLINK("https://www.dofusbook.net/fr/equipement/1977148-stuff-4/objets", "link")</f>
        <v/>
      </c>
      <c r="C828" t="n">
        <v>57</v>
      </c>
      <c r="D828" t="inlineStr">
        <is>
          <t>Hache du Chalœil; Amulette du Strigide; Bracelet du Piloztère; Bague Gloursonne; Quatre-feuilles; Ceintacé; Masque du Katcheur; Cape d'Atcham; Bottes du Strigide; Dolmanax; Dofus Pourpre; Dofus Turquoise; Vigoureux majeur; Nomade; Remueur; Muldo Prune et Doré</t>
        </is>
      </c>
    </row>
    <row r="829">
      <c r="A829" t="inlineStr">
        <is>
          <t>Ecaflip M 200</t>
        </is>
      </c>
      <c r="B829">
        <f>HYPERLINK("https://www.dofusbook.net/fr/equipement/3657610-ecaflip-m-200/objets", "link")</f>
        <v/>
      </c>
      <c r="C829" t="n">
        <v>14</v>
      </c>
      <c r="D829" t="inlineStr">
        <is>
          <t>Epée Gloursonne; Amulette du Strigide; Bague Gloursonne; Alliance Gloursonne; Quatre-feuilles; Ceinture du Strigide; Casque du Chalœil; Cape du Chalœil; Bottes du Strigide; Dofus des Glaces; Dofus Pourpre; Dofus Cawotte; Dofus Turquoise; Dofus Ocre; Dolmanax; Muldo Prune et Doré</t>
        </is>
      </c>
    </row>
    <row r="830">
      <c r="A830" t="inlineStr">
        <is>
          <t>Zobal M 200</t>
        </is>
      </c>
      <c r="B830">
        <f>HYPERLINK("https://www.dofusbook.net/fr/equipement/3655576-zobal-m-200/objets", "link")</f>
        <v/>
      </c>
      <c r="C830" t="n">
        <v>16</v>
      </c>
      <c r="D830" t="inlineStr">
        <is>
          <t>Héqache; Amulette du Strigide; Bague Gloursonne; Bracelet du Piloztère; Quatre-feuilles; Ceintacé; Coiffe de la Reine des Voleurs; Cape d'Atcham; Bottes de la Reine des Voleurs; Dofus Pourpre; Dofus Turquoise; Carapace Feu majeur; Vigoureux majeur; Remueur; Nomade; Muldo Prune et Doré</t>
        </is>
      </c>
    </row>
    <row r="831">
      <c r="A831" t="inlineStr">
        <is>
          <t>Osamodas M 200</t>
        </is>
      </c>
      <c r="B831">
        <f>HYPERLINK("https://www.dofusbook.net/fr/equipement/3652222-osamodas-m-200/objets", "link")</f>
        <v/>
      </c>
      <c r="C831" t="n">
        <v>21</v>
      </c>
      <c r="D831" t="inlineStr">
        <is>
          <t>Arc de Koutoulou; Amulette d'Ilyzaelle; Alliance Gloursonne; Alliance du Lévitrof; Bouclier du Stalak; Ceinture du Barbétoal; Coiffe de la Reine des Voleurs; Cape de l'Œil Putride; Bottes de la Reine des Voleurs; Dofus Ocre; Dofus des Glaces; Dofus Pourpre; Dolmanax; Remueur; Nomade; Dragodinde Dorée et Ivoire</t>
        </is>
      </c>
    </row>
    <row r="832">
      <c r="A832" t="inlineStr">
        <is>
          <t>Multi hache</t>
        </is>
      </c>
      <c r="B832">
        <f>HYPERLINK("https://www.dofusbook.net/fr/equipement/3030349-multi-hache/objets", "link")</f>
        <v/>
      </c>
      <c r="C832" t="n">
        <v>33</v>
      </c>
      <c r="D832" t="inlineStr">
        <is>
          <t>Hache du Chalœil; Amulette du Strigide; Bracelet du Piloztère; Bague Trithon; Quatre-feuilles; Ceinture du Strigide; Masque Trithon; Voile d'encre; Bottes du Strigide; Dofus Abyssal; Dofus Pourpre; Dofus Ocre; Dofus Turquoise; Dolmanax; Dofus des Glaces; Muldo Prune et Emeraude</t>
        </is>
      </c>
    </row>
    <row r="833">
      <c r="A833" t="inlineStr">
        <is>
          <t>Stuff 1</t>
        </is>
      </c>
      <c r="B833">
        <f>HYPERLINK("https://www.dofusbook.net/fr/equipement/164816-stuff-1/objets", "link")</f>
        <v/>
      </c>
      <c r="C833" t="n">
        <v>52</v>
      </c>
      <c r="D833" t="inlineStr">
        <is>
          <t>Arc Nécrotique; Collier de la Dame du Hasard; Alliance du Lévitrof; Bracelet du Piloztère; Quatre-feuilles; Ceintrigue; Coiffe du Lévitrof; Cape de Meno; Pataugastrique; Dofus Turquoise; Dofus Pourpre; Nomade; Temporiseur majeur; Vigoureux majeur; Remueur; Muldo Prune et Doré</t>
        </is>
      </c>
    </row>
    <row r="834">
      <c r="A834" t="inlineStr">
        <is>
          <t>pvm multi</t>
        </is>
      </c>
      <c r="B834">
        <f>HYPERLINK("https://www.dofusbook.net/fr/equipement/2998574-pvm-multi/objets", "link")</f>
        <v/>
      </c>
      <c r="C834" t="n">
        <v>25</v>
      </c>
      <c r="D834" t="inlineStr">
        <is>
          <t>Pelle de Nidas; Amulette du Strigide; Anneau de la Fuji Givrefoux; Bracelet du Piloztère; Quatre-feuilles; Ceintacé; Casque du Chalœil; Cape de Meno; Bottes du Strigide; Dofus Pourpre; Dofus Turquoise; Nomade; Temporiseur majeur; Vigoureux majeur; Remueur; Muldo Prune et Doré</t>
        </is>
      </c>
    </row>
    <row r="835">
      <c r="A835" t="inlineStr">
        <is>
          <t>multi pvm arc</t>
        </is>
      </c>
      <c r="B835">
        <f>HYPERLINK("https://www.dofusbook.net/fr/equipement/2937121-multi-pvm-arc/objets", "link")</f>
        <v/>
      </c>
      <c r="C835" t="n">
        <v>30</v>
      </c>
      <c r="D835" t="inlineStr">
        <is>
          <t>Arc de Koutoulou; Amulette du Strigide; Alliance Gloursonne; Bracelet du Piloztère; Quatre-feuilles; Ceintacé; Némès de Tal Kasha; Chevelure de Tal Kasha; Bottes Voldelor; Dofus Turquoise; Dolmanax; Dofus Pourpre; Vigoureux majeur; Remueur; Nomade; Muldo Prune et Doré</t>
        </is>
      </c>
    </row>
    <row r="836">
      <c r="A836" t="inlineStr">
        <is>
          <t>Full multi</t>
        </is>
      </c>
      <c r="B836">
        <f>HYPERLINK("https://www.dofusbook.net/fr/equipement/164812-full-multi/objets", "link")</f>
        <v/>
      </c>
      <c r="C836" t="n">
        <v>39</v>
      </c>
      <c r="D836" t="inlineStr">
        <is>
          <t>Epée Gloursonne; Amulette du Strigide; Alliance Gloursonne; Bague Gloursonne; Quatre-feuilles; Ceinture du Strigide; Casque du Chalœil; Cape du Chalœil; Bottes du Strigide; Dofus des Glaces; Dolmanax; Dofus Pourpre; Dofus Ocre; Dofus Turquoise; Puissant majeur; Muldo Prune et Doré</t>
        </is>
      </c>
    </row>
    <row r="837">
      <c r="A837" t="inlineStr">
        <is>
          <t>Full air</t>
        </is>
      </c>
      <c r="B837">
        <f>HYPERLINK("https://www.dofusbook.net/fr/equipement/164814-full-air/objets", "link")</f>
        <v/>
      </c>
      <c r="C837" t="n">
        <v>25</v>
      </c>
      <c r="D837" t="inlineStr">
        <is>
          <t>Lance corrompue; Collier du Valet Veinard; Gant du Valet Veinard; Anneau d'Allister; Bouclier du Stalak; Ceinture de la Reine des Voleurs; Coiffe de la Reine des Voleurs; Cape du Valet Veinard; Bottes de la Reine des Voleurs; Dofus Ocre; Dofus des Veilleurs; Dofus Pourpre; Dolmanax; Dofus des Glaces; Robuste majeur; Muldo Doré et Ebène</t>
        </is>
      </c>
    </row>
    <row r="838">
      <c r="A838" t="inlineStr">
        <is>
          <t>Terre feu pvp</t>
        </is>
      </c>
      <c r="B838">
        <f>HYPERLINK("https://www.dofusbook.net/fr/equipement/2900467-terre-feu-pvp/objets", "link")</f>
        <v/>
      </c>
      <c r="C838" t="n">
        <v>33</v>
      </c>
      <c r="D838" t="inlineStr">
        <is>
          <t>Dagues Érhy; Amulette du Cycloïde; Bague Gloursonne; Alliance Brûlâme; Bouclier d'Ilyzaelle; Ceinture du Comte Razof; Masque Brûlâme; Voile d'encre; Bottes Honyme; Dofus Ivoire; Enragé majeur; Carapace Feu majeur; Remueur; Miraculé majeur; Carapace Terre majeur; Muldo Orchidée et Pourpre</t>
        </is>
      </c>
    </row>
    <row r="839">
      <c r="A839" t="inlineStr">
        <is>
          <t>Stuff 1</t>
        </is>
      </c>
      <c r="B839">
        <f>HYPERLINK("https://www.dofusbook.net/fr/equipement/164784-stuff-1/objets", "link")</f>
        <v/>
      </c>
      <c r="C839" t="n">
        <v>23</v>
      </c>
      <c r="D839" t="inlineStr">
        <is>
          <t>Dagues de Srambad; Amulette de l'Indicible; Bracelet du Piloztère; Alliance du Lévitrof; Bivalve; Ceinture de la Reine des Voleurs; Coiffe Ranshi; Voilamibe; Bottes de la Reine des Voleurs; Dolmanax; Dofus Pourpre; Vigoureux majeur; Nomade; Remueur; Robuste majeur; Kramkram</t>
        </is>
      </c>
    </row>
    <row r="840">
      <c r="A840" t="inlineStr">
        <is>
          <t>Eau/Air 2.45</t>
        </is>
      </c>
      <c r="B840">
        <f>HYPERLINK("https://www.dofusbook.net/fr/equipement/164781-eau-air-2-45/objets", "link")</f>
        <v/>
      </c>
      <c r="C840" t="n">
        <v>22</v>
      </c>
      <c r="D840" t="inlineStr">
        <is>
          <t>Arc de Koutoulou; Amulette du Strigide; Bracelet du Piloztère; Alliance Gloursonne; Bivalve; Ceintacé; Némès de Tal Kasha; Chevelure de Tal Kasha; Bottes Voldelor; Dofus Pourpre; Dofus Turquoise; Nomade; Chanceux majeur; Remueur; Vigoureux majeur; Muldo Prune et Emeraude</t>
        </is>
      </c>
    </row>
    <row r="841">
      <c r="A841" t="inlineStr">
        <is>
          <t>Stuff 3</t>
        </is>
      </c>
      <c r="B841">
        <f>HYPERLINK("https://www.dofusbook.net/fr/equipement/164786-stuff-3/objets", "link")</f>
        <v/>
      </c>
      <c r="C841" t="n">
        <v>16</v>
      </c>
      <c r="D841" t="inlineStr">
        <is>
          <t>Arc Honte; Torquistik; Baguistik; Alliance Brûlâme; Bouclier du Stalak; Ceinture de l'Esprit Salvateur; Masque de l'Esprit Salvateur; Voile d'encre; Bottes de l'Esprit Salvateur; Dofus Ocre; Dofus des Glaces; Dofus Pourpre; Dofus Ivoire; Dolmanax; Robuste majeur; Muldo Doré et Pourpre</t>
        </is>
      </c>
    </row>
    <row r="842">
      <c r="A842" t="inlineStr">
        <is>
          <t>Soin dopou</t>
        </is>
      </c>
      <c r="B842">
        <f>HYPERLINK("https://www.dofusbook.net/fr/equipement/164813-soin-dopou/objets", "link")</f>
        <v/>
      </c>
      <c r="C842" t="n">
        <v>29</v>
      </c>
      <c r="D842" t="inlineStr">
        <is>
          <t>Baguette de Malléfisk; Torquistik; Anneau de Nidas; Bague Gloursonne; Bouclier précieux; Ceinture du K.O.; Chapeau des Malveilleurs; Voile d'encre; Bottistik; Dofus Ocre; Pousseur majeur; Remueur; Docteur majeur; Culbuteur majeur; Guérisseur majeur; Muldo Orchidée et Pourpre</t>
        </is>
      </c>
    </row>
    <row r="843">
      <c r="A843" t="inlineStr">
        <is>
          <t>Eau/Air Arc cher n1</t>
        </is>
      </c>
      <c r="B843">
        <f>HYPERLINK("https://www.dofusbook.net/fr/equipement/164795-eau-air-arc-cher-n1/objets", "link")</f>
        <v/>
      </c>
      <c r="C843" t="n">
        <v>24</v>
      </c>
      <c r="D843" t="inlineStr">
        <is>
          <t>Arc de Koutoulou; Amulette du Strigide; Bracelet du Piloztère; Alliance Gloursonne; Quatre-feuilles; Ceintacé; Némès de Tal Kasha; Chevelure de Tal Kasha; Bottes Voldelor; Dofus Pourpre; Dofus Turquoise; Remueur; Miraculé majeur; Vigoureux majeur; Nomade; Muldo Prune et Doré</t>
        </is>
      </c>
    </row>
    <row r="844">
      <c r="A844" t="inlineStr">
        <is>
          <t>Stuff 3</t>
        </is>
      </c>
      <c r="B844">
        <f>HYPERLINK("https://www.dofusbook.net/fr/equipement/164789-stuff-3/objets", "link")</f>
        <v/>
      </c>
      <c r="C844" t="n">
        <v>47</v>
      </c>
      <c r="D844" t="inlineStr">
        <is>
          <t>Marteau des égarés; Amulette du Strigide; Bracelet du Piloztère; Anneau de Padgref; Quatre-feuilles; Ceintacé; Le Dorado; Dofusteuse; Bottes du Strigide; Dofus des Glaces; Dofus Turquoise; Dolmanax; Dofus Pourpre; Vigoureux majeur; Nomade; Muldo Prune et Doré</t>
        </is>
      </c>
    </row>
    <row r="845">
      <c r="A845" t="inlineStr">
        <is>
          <t>Stuff 2</t>
        </is>
      </c>
      <c r="B845">
        <f>HYPERLINK("https://www.dofusbook.net/fr/equipement/164811-stuff-2/objets", "link")</f>
        <v/>
      </c>
      <c r="C845" t="n">
        <v>15</v>
      </c>
      <c r="D845" t="inlineStr">
        <is>
          <t>Héqache; Amulette du Strigide; Anneau des égarés; Bracelet du Piloztère; Quatre-feuilles; Ceintacé; Casque des égarés; Cape Rimordiale; Baleinabottes; Dofus Turquoise; Dofus Pourpre; Remueur; Nomade; Miraculé majeur; Vigoureux majeur; Muldo Doré</t>
        </is>
      </c>
    </row>
    <row r="846">
      <c r="A846" t="inlineStr">
        <is>
          <t>Stuff 1</t>
        </is>
      </c>
      <c r="B846">
        <f>HYPERLINK("https://www.dofusbook.net/fr/equipement/164815-stuff-1/objets", "link")</f>
        <v/>
      </c>
      <c r="C846" t="n">
        <v>24</v>
      </c>
      <c r="D846" t="inlineStr">
        <is>
          <t>Marteau des Anciens Steamers; Amulette du Strigide; Bracelet du Piloztère; Bague Gloursonne; Ceintacé; Coiffe d'Ogivol; Cape Matelassée; Bottes du Strigide; Dolmanax; Dofus Turquoise; Dofus Pourpre; Remueur; Nomade; Vigoureux majeur; Muldo Doré</t>
        </is>
      </c>
    </row>
    <row r="847">
      <c r="A847" t="inlineStr">
        <is>
          <t>Stuff 1</t>
        </is>
      </c>
      <c r="B847">
        <f>HYPERLINK("https://www.dofusbook.net/fr/equipement/164810-stuff-1/objets", "link")</f>
        <v/>
      </c>
      <c r="C847" t="n">
        <v>17</v>
      </c>
      <c r="D847" t="inlineStr">
        <is>
          <t>Bâton Beau; Amulette du Glourséleste; Bague Gloursonne; Alliance de Missiz Frizz; Obscture; Casque de Missiz Frizz; Cape Matelassée; Sabots Minables; Dofus Pourpre; Déserteur majeur; Miraculé majeur; Nomade; Vigoureux majeur; Remueur; Kramkram</t>
        </is>
      </c>
    </row>
    <row r="848">
      <c r="A848" t="inlineStr">
        <is>
          <t>Stuff 1</t>
        </is>
      </c>
      <c r="B848">
        <f>HYPERLINK("https://www.dofusbook.net/fr/equipement/164802-stuff-1/objets", "link")</f>
        <v/>
      </c>
      <c r="C848" t="n">
        <v>13</v>
      </c>
      <c r="D848" t="inlineStr">
        <is>
          <t>Manthache; Collier du Valet Veinard; Anneau d'Allister; Alliance Gloursonne; Bouclier du Stalak; Menoture; Couronne d'Allister; Cape Indescriptible; Baleinabottes; Dofus des Glaces; Cascadeur majeur; Saccageur Air majeur; Remueur; Dévastateur Air majeur; Nomade; Blérodoudou</t>
        </is>
      </c>
    </row>
    <row r="849">
      <c r="A849" t="inlineStr">
        <is>
          <t>Stuff 3</t>
        </is>
      </c>
      <c r="B849">
        <f>HYPERLINK("https://www.dofusbook.net/fr/equipement/164809-stuff-3/objets", "link")</f>
        <v/>
      </c>
      <c r="C849" t="n">
        <v>32</v>
      </c>
      <c r="D849" t="inlineStr">
        <is>
          <t>Hache du Chalœil; Amulette du Strigide; Alliance Gloursonne; Anneau de Padgref; Ceintacé; Casque du Chalœil; Dofusteuse; Bottes du Chalœil; Dofus Pourpre; Dofus des Glaces; Dofus Turquoise; Vigoureux majeur; Nomade; Remueur; Kramkram</t>
        </is>
      </c>
    </row>
    <row r="850">
      <c r="A850" t="inlineStr">
        <is>
          <t>Stuff 3</t>
        </is>
      </c>
      <c r="B850">
        <f>HYPERLINK("https://www.dofusbook.net/fr/equipement/164804-stuff-3/objets", "link")</f>
        <v/>
      </c>
      <c r="C850" t="n">
        <v>13</v>
      </c>
      <c r="D850" t="inlineStr">
        <is>
          <t>Rapière aux Glyphes; Amulette de Shokkoth; Alliance Gloursonne; Bracelet des Fonds marins; Poulpagne; Kidibonnet; Cape du Sinistrofu; Bottes du Sinistrofu; Dofus des Glaces; Dévastateur Eau majeur; Chanceux majeur; Nomade; Muldo Indigo</t>
        </is>
      </c>
    </row>
    <row r="851">
      <c r="A851" t="inlineStr">
        <is>
          <t>Stuff 1</t>
        </is>
      </c>
      <c r="B851">
        <f>HYPERLINK("https://www.dofusbook.net/fr/equipement/164799-stuff-1/objets", "link")</f>
        <v/>
      </c>
      <c r="C851" t="n">
        <v>53</v>
      </c>
      <c r="D851" t="inlineStr">
        <is>
          <t>Sceptre du Roi Joueur; Amulette de Shokkoth; Alliance Gloursonne; Bracelet des Fonds marins; Poulpagne; Kidibonnet; Cape de Mantaze; Sandales des Fonds marins; Dofus Pourpre; Dofus Émeraude; Chanceux majeur; Miraculé majeur; Carapace Eau majeur; Carapace Air majeur; Muldo Indigo</t>
        </is>
      </c>
    </row>
    <row r="852">
      <c r="A852" t="inlineStr">
        <is>
          <t>Stuff 3</t>
        </is>
      </c>
      <c r="B852">
        <f>HYPERLINK("https://www.dofusbook.net/fr/equipement/164801-stuff-3/objets", "link")</f>
        <v/>
      </c>
      <c r="C852" t="n">
        <v>63</v>
      </c>
      <c r="D852" t="inlineStr">
        <is>
          <t>Manthache; Collier du Valet Veinard; Gant du Valet Veinard; Alliance Gloursonne; Menoture; Dorabysses; Cape Indescriptible; Palmes Trithons; Dofus Émeraude; Carapace Air majeur; Cascadeur majeur; Miraculé majeur; Remueur; Carapace Neutre majeur; Muldo Ebène et Pourpre</t>
        </is>
      </c>
    </row>
    <row r="853">
      <c r="A853" t="inlineStr">
        <is>
          <t>Stuff 2</t>
        </is>
      </c>
      <c r="B853">
        <f>HYPERLINK("https://www.dofusbook.net/fr/equipement/164779-stuff-2/objets", "link")</f>
        <v/>
      </c>
      <c r="C853" t="n">
        <v>6</v>
      </c>
      <c r="D853" t="inlineStr">
        <is>
          <t>Baguette de Malléfisk; Pendentif Oton; Anneau Cryochrone; Alliance de Missiz Frizz; Bouclier du Cycloïde; Ceintrigue; Binocle Airvoyant; Cape du Sinistrofu; Pataugastrique; Dofus Turquoise; Remueur; Guérisseur majeur; Nomade; Chanceux majeur; Docteur majeur; Meuch</t>
        </is>
      </c>
    </row>
    <row r="854">
      <c r="A854" t="inlineStr">
        <is>
          <t>Stuff 2</t>
        </is>
      </c>
      <c r="B854">
        <f>HYPERLINK("https://www.dofusbook.net/fr/equipement/164808-stuff-2/objets", "link")</f>
        <v/>
      </c>
      <c r="C854" t="n">
        <v>30</v>
      </c>
      <c r="D854" t="inlineStr">
        <is>
          <t>Pelle de la Cour Sombre; Collier du Valet Veinard; Gant du Valet Veinard; Alliance Gloursonne; Menoture; Dorabysses; Cape Indescriptible; Palmes Trithons; Dofus Pourpre; Dofus Émeraude; Dofus Abyssal; Cascadeur majeur; Remueur; Fonceur majeur; Muldo Ebène</t>
        </is>
      </c>
    </row>
    <row r="855">
      <c r="A855" t="inlineStr">
        <is>
          <t>Stuff 2</t>
        </is>
      </c>
      <c r="B855">
        <f>HYPERLINK("https://www.dofusbook.net/fr/equipement/164803-stuff-2/objets", "link")</f>
        <v/>
      </c>
      <c r="C855" t="n">
        <v>10</v>
      </c>
      <c r="D855" t="inlineStr">
        <is>
          <t>Arc Nécrotique; Amulette Cryochrone; Alliance Gloursonne; Bague Gloursonne; Ceintrigue; Le Dorado; Cape de la Dame du Hasard; Bottes Owesli; Dofus Pourpre; Dofus des Glaces; Dolmanax; Dofus Ocre; Robuste majeur; Féroce majeur; Muldo Indigo et Orchidée</t>
        </is>
      </c>
    </row>
    <row r="856">
      <c r="A856" t="inlineStr">
        <is>
          <t>Stuff 1</t>
        </is>
      </c>
      <c r="B856">
        <f>HYPERLINK("https://www.dofusbook.net/fr/equipement/164810-stuff-1/objets", "link")</f>
        <v/>
      </c>
      <c r="C856" t="n">
        <v>17</v>
      </c>
      <c r="D856" t="inlineStr">
        <is>
          <t>Bâton Beau; Amulette du Glourséleste; Alliance de Missiz Frizz; Bague Gloursonne; Obscture; Casque de Missiz Frizz; Cape Matelassée; Sabots Minables; Dofus Pourpre; Vigoureux majeur; Remueur; Déserteur majeur; Miraculé majeur; Nomade; Kramkram</t>
        </is>
      </c>
    </row>
    <row r="857">
      <c r="A857" t="inlineStr">
        <is>
          <t>Sram M 200</t>
        </is>
      </c>
      <c r="B857">
        <f>HYPERLINK("https://www.dofusbook.net/fr/equipement/6020196-sram-m-200/objets", "link")</f>
        <v/>
      </c>
      <c r="C857" t="n">
        <v>1</v>
      </c>
      <c r="D857" t="inlineStr"/>
    </row>
    <row r="858">
      <c r="A858" t="inlineStr">
        <is>
          <t>Féca M 200</t>
        </is>
      </c>
      <c r="B858">
        <f>HYPERLINK("https://www.dofusbook.net/fr/equipement/5921071-feca-m-200/objets", "link")</f>
        <v/>
      </c>
      <c r="C858" t="n">
        <v>3</v>
      </c>
      <c r="D858" t="inlineStr"/>
    </row>
    <row r="859">
      <c r="A859" t="inlineStr">
        <is>
          <t>toto</t>
        </is>
      </c>
      <c r="B859">
        <f>HYPERLINK("https://www.dofusbook.net/fr/equipement/5527566-toto/objets", "link")</f>
        <v/>
      </c>
      <c r="C859" t="n">
        <v>1</v>
      </c>
      <c r="D859" t="inlineStr"/>
    </row>
    <row r="860">
      <c r="A860" t="inlineStr">
        <is>
          <t>hgr</t>
        </is>
      </c>
      <c r="B860">
        <f>HYPERLINK("https://www.dofusbook.net/fr/equipement/5489191-hgr/objets", "link")</f>
        <v/>
      </c>
      <c r="C860" t="n">
        <v>64</v>
      </c>
      <c r="D860" t="inlineStr">
        <is>
          <t>Hache du Chalœil; Amulette du Strigide; Bracelet du Piloztère; Alliance Gloursonne; Quatre-feuilles; Ceintacé; Casque du Chalœil; Voile d'encre; Bottes du Strigide; Dofus Pourpre; Dofus des Glaces; Dofus Turquoise; Vigoureux majeur; Remueur; Nomade; Dragodinde en armure</t>
        </is>
      </c>
    </row>
    <row r="861">
      <c r="A861" t="inlineStr">
        <is>
          <t>Iop Eau PVM Gen</t>
        </is>
      </c>
      <c r="B861">
        <f>HYPERLINK("https://www.dofusbook.net/fr/equipement/5431415-iop-eau-pvm-gen/objets", "link")</f>
        <v/>
      </c>
      <c r="C861" t="n">
        <v>35</v>
      </c>
      <c r="D861" t="inlineStr">
        <is>
          <t>Dagoulinantes; Amulette du Strigide; Crocanneau; Anneau Volkorne; Bouclier du Captain Amakna; Sangle Ouare; Masque des Fonds marins; Cape Solution; Sandales des Fonds marins; Dofus Turquoise; Dofus des Glaces; Dofus Pourpre; Chanceux majeur; Vigoureux majeur; Taquin majeur; Pioute bleu</t>
        </is>
      </c>
    </row>
    <row r="862">
      <c r="A862" t="inlineStr">
        <is>
          <t>Eau Feu</t>
        </is>
      </c>
      <c r="B862">
        <f>HYPERLINK("https://www.dofusbook.net/fr/equipement/5479971-eau-feu/objets", "link")</f>
        <v/>
      </c>
      <c r="C862" t="n">
        <v>17</v>
      </c>
      <c r="D862" t="inlineStr">
        <is>
          <t>Couteaux Sacrificiels; Amulette Volkorne; Alliance Gloursonne; Anneau Volkorne; Bouclier Taverne; Sangle Ouare; Masque Paztek; Cape de la Dame du Hasard; Pataugastrique; Dofus des Glaces; Dofus Pourpre; Vigoureux majeur; Nomade; Robuste majeur; Remueur; Walk</t>
        </is>
      </c>
    </row>
    <row r="863">
      <c r="A863" t="inlineStr">
        <is>
          <t>Sky Iop eau</t>
        </is>
      </c>
      <c r="B863">
        <f>HYPERLINK("https://www.dofusbook.net/fr/equipement/5479874-sky-iop-eau/objets", "link")</f>
        <v/>
      </c>
      <c r="C863" t="n">
        <v>16</v>
      </c>
      <c r="D863" t="inlineStr">
        <is>
          <t>Sceptre du Roi Joueur; Amulette de Shokkoth; Anneau Volkorne; Anneau Glacial; Bouclier d'Ilyzaelle; Poulpagne; Casque d'Ilyzaelle; Cape de l'Œil Attentif; Bottes du Sinistrofu; Dofus Pourpre; Remueur; Chanceux majeur; Vigoureux majeur; Nomade; Robuste majeur; Kanigloups</t>
        </is>
      </c>
    </row>
    <row r="864">
      <c r="A864" t="inlineStr">
        <is>
          <t>Iop Eau</t>
        </is>
      </c>
      <c r="B864">
        <f>HYPERLINK("https://www.dofusbook.net/fr/equipement/5479772-iop-eau/objets", "link")</f>
        <v/>
      </c>
      <c r="C864" t="n">
        <v>16</v>
      </c>
      <c r="D864" t="inlineStr">
        <is>
          <t>Sceptre du Roi Joueur; Amulette d'Ilyzaelle; Anneau Glacial; Anneau Volkorne; Bouclier du Captain Amakna; Ceintacé; Casque d'Ilyzaelle; Cape de l'Œil Attentif; Bottes du Sinistrofu; Dofus Pourpre; Nomade; Robuste majeur; Remueur; Chanceux majeur; Vigoureux majeur; Kanigloups</t>
        </is>
      </c>
    </row>
    <row r="865">
      <c r="A865" t="inlineStr">
        <is>
          <t>Iop M 200</t>
        </is>
      </c>
      <c r="B865">
        <f>HYPERLINK("https://www.dofusbook.net/fr/equipement/5474964-iop-m-200/objets", "link")</f>
        <v/>
      </c>
      <c r="C865" t="n">
        <v>33</v>
      </c>
      <c r="D865" t="inlineStr">
        <is>
          <t>Sceptre du Roi Joueur; Amulette d'Ilyzaelle; Anneau Volkorne; Anneau Toriété; Bouclier du Captain Amakna; Ceintacé; Casque d'Ilyzaelle; Cape de l'Œil Attentif; Bottes du Sinistrofu; Dofus Pourpre; Dofus des Glaces; Remueur; Chanceux majeur; Vigoureux majeur; Robuste majeur; Kanigloups</t>
        </is>
      </c>
    </row>
    <row r="866">
      <c r="A866" t="inlineStr">
        <is>
          <t>Iop M 200</t>
        </is>
      </c>
      <c r="B866">
        <f>HYPERLINK("https://www.dofusbook.net/fr/equipement/5474923-iop-m-200/objets", "link")</f>
        <v/>
      </c>
      <c r="C866" t="n">
        <v>13</v>
      </c>
      <c r="D866" t="inlineStr">
        <is>
          <t>Sceptre du Roi Joueur; Amulette Volkorne; Anneau Volkorne; Annolamour; Trompe-la-Mort; Sangle Ouare; Casque d'Ilyzaelle; Cape Solution; Pataugastrique; Dofus Pourpre; Miraculé majeur; Taquin majeur; Robuste majeur; Chanceux majeur; Vigoureux majeur; Dehluge</t>
        </is>
      </c>
    </row>
    <row r="867">
      <c r="A867" t="inlineStr">
        <is>
          <t>Eliotrope F 200</t>
        </is>
      </c>
      <c r="B867">
        <f>HYPERLINK("https://www.dofusbook.net/fr/equipement/5473954-eliotrope-f-200/objets", "link")</f>
        <v/>
      </c>
      <c r="C867" t="n">
        <v>17</v>
      </c>
      <c r="D867" t="inlineStr">
        <is>
          <t>Arc du Chalœil; Amulette du Strigide; Anneau Chevelu; Anneau Volkorne; Quatre-feuilles; Ceinture Volkorne; Masque de Funespadon; Cape de Jahash Jurgen; Bottes du Cœur Saignant; Dofus Ébène; Dofus Ivoire; Dofus Turquoise; Dofus Vulbis; Dofus Ocre; Enragé majeur; Sakochère</t>
        </is>
      </c>
    </row>
    <row r="868">
      <c r="A868" t="inlineStr">
        <is>
          <t>Féca M 200</t>
        </is>
      </c>
      <c r="B868">
        <f>HYPERLINK("https://www.dofusbook.net/fr/equipement/5413499-feca-m-200/objets", "link")</f>
        <v/>
      </c>
      <c r="C868" t="n">
        <v>6</v>
      </c>
      <c r="D868" t="inlineStr">
        <is>
          <t>Baguette de Torkélonia; Corne de Torkélonia; Carapace de Torkélonia</t>
        </is>
      </c>
    </row>
    <row r="869">
      <c r="A869" t="inlineStr">
        <is>
          <t>iou</t>
        </is>
      </c>
      <c r="B869">
        <f>HYPERLINK("https://www.dofusbook.net/fr/equipement/5365858-iou/objets", "link")</f>
        <v/>
      </c>
      <c r="C869" t="n">
        <v>19</v>
      </c>
      <c r="D869" t="inlineStr">
        <is>
          <t>Arc du Chalœil; Amulette du Strigide; Anneau Chevelu; Anneau Volkorne; Quatre-feuilles; Ceinture Volkorne; Masque de Koutoulou; Cape au Logis; Bottes du Cœur Saignant; Dofus Ivoire; Dofus Pourpre; Dofus Ocre; Dofus Ébène; Dofus Turquoise; Enragé majeur; Pioute vert</t>
        </is>
      </c>
    </row>
    <row r="870">
      <c r="A870" t="inlineStr">
        <is>
          <t>rewr</t>
        </is>
      </c>
      <c r="B870">
        <f>HYPERLINK("https://www.dofusbook.net/fr/equipement/5365306-rewr/objets", "link")</f>
        <v/>
      </c>
      <c r="C870" t="n">
        <v>11</v>
      </c>
      <c r="D870" t="inlineStr">
        <is>
          <t>Arc du Chalœil; Amulette du Cœur Saignant; Bague Gloursonne; Anneau Chevelu; Quatre-feuilles; Ceinture Volkorne; Masque de Koutoulou; Cape de Jahash Jurgen; Bottes du Cœur Saignant; Dofus Ocre; Dofus Abyssal; Dofus Vulbis; Dofus Ivoire; Dofus Turquoise; Dofus Ébène; Dragodinde Emeraude et Pourpre</t>
        </is>
      </c>
    </row>
    <row r="871">
      <c r="A871" t="inlineStr">
        <is>
          <t>test</t>
        </is>
      </c>
      <c r="B871">
        <f>HYPERLINK("https://www.dofusbook.net/fr/equipement/5365303-test/objets", "link")</f>
        <v/>
      </c>
      <c r="C871" t="n">
        <v>10</v>
      </c>
      <c r="D871" t="inlineStr">
        <is>
          <t>Arc du Chalœil; Amulette du Cœur Saignant; Anneau Chevelu; Bague Gloursonne; Quatre-feuilles; Ceinture Volkorne; Masque de Koutoulou; Cape au Logis; Bottes du Cœur Saignant; Dofus Turquoise; Dofus Ébène; Dofus Ocre; Dofus Abyssal; Dofus Ivoire; Enragé majeur; Dragodinde Amande et Pourpre</t>
        </is>
      </c>
    </row>
    <row r="872">
      <c r="A872" t="inlineStr">
        <is>
          <t>Eliotrope F 200</t>
        </is>
      </c>
      <c r="B872">
        <f>HYPERLINK("https://www.dofusbook.net/fr/equipement/4954950-eliotrope-f-200/objets", "link")</f>
        <v/>
      </c>
      <c r="C872" t="n">
        <v>47</v>
      </c>
      <c r="D872" t="inlineStr">
        <is>
          <t>Dagoulinantes; Amulette de l'Œil Attentif; Bracelet des Fonds marins; Anneau Volkorne; Bouclier du Captain Amakna; Pagne du Rykaon; Kidibonnet; Cape de la Dame du Hasard; Bottes de la Dame du Hasard; Dofus Pourpre; Dofus Nébuleux; Chanceux majeur; Remueur; Vigoureux majeur; Nomade; Pioute bleu</t>
        </is>
      </c>
    </row>
    <row r="873">
      <c r="A873" t="inlineStr">
        <is>
          <t>Eau CC IOP</t>
        </is>
      </c>
      <c r="B873">
        <f>HYPERLINK("https://www.dofusbook.net/fr/equipement/4941292-eau-cc-iop/objets", "link")</f>
        <v/>
      </c>
      <c r="C873" t="n">
        <v>111</v>
      </c>
      <c r="D873" t="inlineStr">
        <is>
          <t>Dagoulinantes; Amulette de l'Œil Attentif; Bracelet des Fonds marins; Anneau Volkorne; Bouclier du Captain Amakna; Pagne du Rykaon; Kidibonnet; Cape de la Dame du Hasard; Bottes de la Dame du Hasard; Dofus Pourpre; Dofus Turquoise; Vigoureux majeur; Nomade; Chanceux majeur; Remueur; Pioute bleu</t>
        </is>
      </c>
    </row>
    <row r="874">
      <c r="A874" t="inlineStr">
        <is>
          <t>tre</t>
        </is>
      </c>
      <c r="B874">
        <f>HYPERLINK("https://www.dofusbook.net/fr/equipement/4941284-tre/objets", "link")</f>
        <v/>
      </c>
      <c r="C874" t="n">
        <v>28</v>
      </c>
      <c r="D874" t="inlineStr">
        <is>
          <t>Dagoulinantes; Amulette de Shokkoth; Anneau Glacial; Anneau Volkorne; Quatre-feuilles; Poulpagne; Kidibonnet; Cape du Sinistrofu; Bottes du Sinistrofu; Dofus Turquoise; Dofus des Glaces; Dofus Pourpre; Vigoureux majeur; Chanceux majeur; Nomade; Kanigloups</t>
        </is>
      </c>
    </row>
    <row r="875">
      <c r="A875" t="inlineStr">
        <is>
          <t>Do feu</t>
        </is>
      </c>
      <c r="B875">
        <f>HYPERLINK("https://www.dofusbook.net/fr/equipement/4933835-do-feu/objets", "link")</f>
        <v/>
      </c>
      <c r="C875" t="n">
        <v>32</v>
      </c>
      <c r="D875" t="inlineStr">
        <is>
          <t>Pyraguette; Amulette Volkorne; Anneau Volkorne; Anneau Tamie; Bouclier du Stalak; Ceintrigue; Heaume Oplate; Cape de Diondin; Bottes Innommables; Dofus des Glaces; Nomade; Astucieux majeur; Saccageur Feu majeur; Érudit majeur; Dévastateur Feu majeur; Bisouglours</t>
        </is>
      </c>
    </row>
    <row r="876">
      <c r="A876" t="inlineStr">
        <is>
          <t>Féca M 200</t>
        </is>
      </c>
      <c r="B876">
        <f>HYPERLINK("https://www.dofusbook.net/fr/equipement/4904511-feca-m-200/objets", "link")</f>
        <v/>
      </c>
      <c r="C876" t="n">
        <v>47</v>
      </c>
      <c r="D876" t="inlineStr">
        <is>
          <t>Bâthon; Amibou; Alliance du Lévitrof; Alliance Brûlâme; Ambrouclier; Audace de Dodge; Bandeau Ktriné; Ankhape; Baleinabottes; Dofus Nébuleux; Dofus Abyssal; Dofus Forgelave; Dofus Ébène; Dofus Ivoire; Dofus des Glaces; Dragodinde à Plumes</t>
        </is>
      </c>
    </row>
    <row r="877">
      <c r="A877" t="inlineStr">
        <is>
          <t>200 Yoshi</t>
        </is>
      </c>
      <c r="B877">
        <f>HYPERLINK("https://www.dofusbook.net/fr/equipement/4249767-200-yoshi/objets", "link")</f>
        <v/>
      </c>
      <c r="C877" t="n">
        <v>110</v>
      </c>
      <c r="D877" t="inlineStr">
        <is>
          <t>Marteau R'ture; Collier de Tourthon; Anneau de Brouce; Anneau Crustique; Bouclier Taverne; Ceinture Gence; Masque de Koutoulou; Cape au Logis; Bottes de Brouce; Dofus des Glaces; Dofus Abyssal; Dofus Nébuleux; Dofus Pourpre; Enragé majeur; Vigoureux majeur; Kompost</t>
        </is>
      </c>
    </row>
    <row r="878">
      <c r="A878" t="inlineStr">
        <is>
          <t>crocobur</t>
        </is>
      </c>
      <c r="B878">
        <f>HYPERLINK("https://www.dofusbook.net/fr/equipement/4249772-crocobur/objets", "link")</f>
        <v/>
      </c>
      <c r="C878" t="n">
        <v>65</v>
      </c>
      <c r="D878" t="inlineStr">
        <is>
          <t>Crocobur; Collier de Tourthon; Anneau de Brouce; Anneau Crustique; Bouclier Taverne; Ceinture Gence; Masque de Koutoulou; Cape au Logis; Bottes de Brouce; Dofus Abyssal; Dofus Nébuleux; Dofus Pourpre; Dofus des Glaces; Vigoureux majeur; Enragé majeur; Kompost</t>
        </is>
      </c>
    </row>
    <row r="879">
      <c r="A879" t="inlineStr">
        <is>
          <t>Iop 200 Proton</t>
        </is>
      </c>
      <c r="B879">
        <f>HYPERLINK("https://www.dofusbook.net/fr/equipement/4221885-iop-200-proton/objets", "link")</f>
        <v/>
      </c>
      <c r="C879" t="n">
        <v>106</v>
      </c>
      <c r="D879" t="inlineStr">
        <is>
          <t>Arc du Chalœil; Collier de Tourthon; Anneau Crustique; Anneau Crustique; Quatre-feuilles; Ceinture Volkorne; Masque de Koutoulou; Cape au Logis; Pompes Funèbres; Dofus Nébuleux; Dofus Turquoise; Dofus Ocre; Dofus Ivoire; Dofus Pourpre; Enragé majeur; Pioute vert</t>
        </is>
      </c>
    </row>
    <row r="880">
      <c r="A880" t="inlineStr">
        <is>
          <t>Dofusbook</t>
        </is>
      </c>
      <c r="B880">
        <f>HYPERLINK("https://www.dofusbook.net/fr/equipement/3102113-dofusbook--/objets", "link")</f>
        <v/>
      </c>
      <c r="C880" t="n">
        <v>71</v>
      </c>
      <c r="D880" t="inlineStr">
        <is>
          <t>Manthache; Collier du Valet Veinard; Alliance Gloursonne; Gant du Valet Veinard; Bouclier du Stalak; Menoture; Couronne d'Allister; Cape Indescriptible; Palmes Trithons; Dofus Vulbis; Dofus Ivoire; Dofus Ocre; Dofus des Glaces; Dévastateur Air majeur; Cascadeur majeur; Dragodinde Ebène et Ivoire</t>
        </is>
      </c>
    </row>
    <row r="881">
      <c r="A881" t="inlineStr">
        <is>
          <t>Dofusbook</t>
        </is>
      </c>
      <c r="B881">
        <f>HYPERLINK("https://www.dofusbook.net/fr/equipement/3252197-dofusbook/objets", "link")</f>
        <v/>
      </c>
      <c r="C881" t="n">
        <v>78</v>
      </c>
      <c r="D881" t="inlineStr">
        <is>
          <t>Arc corrompu; Amulette de Nileza; Anneau de Nidas; Anneau Tique; Cadran d'Air; Ceinture de Vortex; Couronne de Nidas; Voile d'encre; Pataugastrique; Dofus Pourpre; Érudit majeur; Remueur; Miraculé majeur; Nomade; Vigoureux majeur; Croum</t>
        </is>
      </c>
    </row>
    <row r="882">
      <c r="A882" t="inlineStr">
        <is>
          <t>Stuff 1</t>
        </is>
      </c>
      <c r="B882">
        <f>HYPERLINK("https://www.dofusbook.net/fr/equipement/78400-stuff-1/objets", "link")</f>
        <v/>
      </c>
      <c r="C882" t="n">
        <v>126</v>
      </c>
      <c r="D882" t="inlineStr">
        <is>
          <t>Amulette de Pol Ouatnos; Alliance Gloursonne; Bracelet des Fonds marins; Bouclier Bontarien; Ceinture Glaciale; Masque des Fonds marins; Voile d'encre; Bottes du Sinistrofu; Dofus Pourpre; Dofus Ocre; Chanceux majeur; Carapace Eau majeur; Remueur; Carapace Terre majeur; Kramkram</t>
        </is>
      </c>
    </row>
    <row r="883">
      <c r="A883" t="inlineStr">
        <is>
          <t>Stuff 2</t>
        </is>
      </c>
      <c r="B883">
        <f>HYPERLINK("https://www.dofusbook.net/fr/equipement/3132669-stuff-2/objets", "link")</f>
        <v/>
      </c>
      <c r="C883" t="n">
        <v>86</v>
      </c>
      <c r="D883" t="inlineStr">
        <is>
          <t>Dagoulinantes; Amulette de Shokkoth; Bracelet du Piloztère; Alliance Gloursonne; Carapar; Poulpagne; Kidibonnet; Cape de Mantaze; Pataugastrique; Déserteur majeur; Carapace Eau majeur; Chanceux majeur; Nomade; Miraculé majeur; Carapace Terre majeur; Muldo Indigo et Pourpre</t>
        </is>
      </c>
    </row>
    <row r="884">
      <c r="A884" t="inlineStr">
        <is>
          <t>nbnbvnbv</t>
        </is>
      </c>
      <c r="B884">
        <f>HYPERLINK("https://www.dofusbook.net/fr/equipement/3111318-nbnbvnbv/objets", "link")</f>
        <v/>
      </c>
      <c r="C884" t="n">
        <v>1</v>
      </c>
      <c r="D884" t="inlineStr">
        <is>
          <t>Bottes Honyme</t>
        </is>
      </c>
    </row>
    <row r="885">
      <c r="A885" t="inlineStr">
        <is>
          <t>gfdg</t>
        </is>
      </c>
      <c r="B885">
        <f>HYPERLINK("https://www.dofusbook.net/fr/equipement/3111191-gfdg/objets", "link")</f>
        <v/>
      </c>
      <c r="C885" t="n">
        <v>2</v>
      </c>
      <c r="D885" t="inlineStr"/>
    </row>
    <row r="886">
      <c r="A886" t="inlineStr">
        <is>
          <t>ngfdnhjg</t>
        </is>
      </c>
      <c r="B886">
        <f>HYPERLINK("https://www.dofusbook.net/fr/equipement/3102115-ngfdnhjg/objets", "link")</f>
        <v/>
      </c>
      <c r="C886" t="n">
        <v>1</v>
      </c>
      <c r="D886" t="inlineStr"/>
    </row>
    <row r="887">
      <c r="A887" t="inlineStr">
        <is>
          <t>T sttttttttt</t>
        </is>
      </c>
      <c r="B887">
        <f>HYPERLINK("https://www.dofusbook.net/fr/equipement/3102112-t-sttttttttt/objets", "link")</f>
        <v/>
      </c>
      <c r="C887" t="n">
        <v>5</v>
      </c>
      <c r="D887" t="inlineStr"/>
    </row>
    <row r="888">
      <c r="A888" t="inlineStr">
        <is>
          <t>jhgjgh</t>
        </is>
      </c>
      <c r="B888">
        <f>HYPERLINK("https://www.dofusbook.net/fr/equipement/3094587-jhgjgh/objets", "link")</f>
        <v/>
      </c>
      <c r="C888" t="n">
        <v>1</v>
      </c>
      <c r="D888" t="inlineStr"/>
    </row>
    <row r="889">
      <c r="A889" t="inlineStr">
        <is>
          <t>LVL 199</t>
        </is>
      </c>
      <c r="B889">
        <f>HYPERLINK("https://www.dofusbook.net/fr/equipement/2700012-lvl-199/objets", "link")</f>
        <v/>
      </c>
      <c r="C889" t="n">
        <v>22</v>
      </c>
      <c r="D889" t="inlineStr">
        <is>
          <t>Marteau d'Henual; Amulette Hendart; Bague Gloursonne; Anneau Aimgéroks; Ceinture du K.O.; Chapeau du Comte Razof; Voile d'encre; Chaussons du Comte Razof; Dofus Pourpre; Dofus Cawotte; Dofus Turquoise; Dofus Émeraude; Docteur majeur; Savant majeur; Dragodinde Emeraude et Orchidée</t>
        </is>
      </c>
    </row>
    <row r="890">
      <c r="A890" t="inlineStr">
        <is>
          <t>khjykhj</t>
        </is>
      </c>
      <c r="B890">
        <f>HYPERLINK("https://www.dofusbook.net/fr/equipement/2692653-khjykhj/objets", "link")</f>
        <v/>
      </c>
      <c r="C890" t="n">
        <v>11</v>
      </c>
      <c r="D890" t="inlineStr">
        <is>
          <t>Sabres d'Atcham; Cape d'Atcham; Sandales  d'Atcham; Dofus Ivoire</t>
        </is>
      </c>
    </row>
    <row r="891">
      <c r="A891" t="inlineStr">
        <is>
          <t>Toto</t>
        </is>
      </c>
      <c r="B891">
        <f>HYPERLINK("https://www.dofusbook.net/fr/equipement/2598148-toto/objets", "link")</f>
        <v/>
      </c>
      <c r="C891" t="n">
        <v>3</v>
      </c>
      <c r="D891" t="inlineStr"/>
    </row>
    <row r="892">
      <c r="A892" t="inlineStr">
        <is>
          <t>New</t>
        </is>
      </c>
      <c r="B892">
        <f>HYPERLINK("https://www.dofusbook.net/fr/equipement/2549033-new/objets", "link")</f>
        <v/>
      </c>
      <c r="C892" t="n">
        <v>5</v>
      </c>
      <c r="D892" t="inlineStr">
        <is>
          <t>Bouclier du Bûcheron; Dragouf</t>
        </is>
      </c>
    </row>
    <row r="893">
      <c r="A893" t="inlineStr">
        <is>
          <t>Test</t>
        </is>
      </c>
      <c r="B893">
        <f>HYPERLINK("https://www.dofusbook.net/fr/equipement/2442941-test/objets", "link")</f>
        <v/>
      </c>
      <c r="C893" t="n">
        <v>1</v>
      </c>
      <c r="D893" t="inlineStr"/>
    </row>
    <row r="894">
      <c r="A894" t="inlineStr">
        <is>
          <t>Test</t>
        </is>
      </c>
      <c r="B894">
        <f>HYPERLINK("https://www.dofusbook.net/fr/equipement/2442015-test/objets", "link")</f>
        <v/>
      </c>
      <c r="C894" t="n">
        <v>11</v>
      </c>
      <c r="D894" t="inlineStr"/>
    </row>
    <row r="895">
      <c r="A895" t="inlineStr">
        <is>
          <t>tgre</t>
        </is>
      </c>
      <c r="B895">
        <f>HYPERLINK("https://www.dofusbook.net/fr/equipement/2232994-tgre/objets", "link")</f>
        <v/>
      </c>
      <c r="C895" t="n">
        <v>55</v>
      </c>
      <c r="D895" t="inlineStr"/>
    </row>
    <row r="896">
      <c r="A896" t="inlineStr">
        <is>
          <t>jhjgh</t>
        </is>
      </c>
      <c r="B896">
        <f>HYPERLINK("https://www.dofusbook.net/fr/equipement/2197505-jhjgh/objets", "link")</f>
        <v/>
      </c>
      <c r="C896" t="n">
        <v>33</v>
      </c>
      <c r="D896" t="inlineStr">
        <is>
          <t>Bulbisou</t>
        </is>
      </c>
    </row>
    <row r="897">
      <c r="A897" t="inlineStr">
        <is>
          <t>kohgfj</t>
        </is>
      </c>
      <c r="B897">
        <f>HYPERLINK("https://www.dofusbook.net/fr/equipement/2128163-kohgfj/objets", "link")</f>
        <v/>
      </c>
      <c r="C897" t="n">
        <v>1</v>
      </c>
      <c r="D897" t="inlineStr">
        <is>
          <t>Anneau Toriété</t>
        </is>
      </c>
    </row>
    <row r="898">
      <c r="A898" t="inlineStr">
        <is>
          <t>test</t>
        </is>
      </c>
      <c r="B898">
        <f>HYPERLINK("https://www.dofusbook.net/fr/equipement/2118428-test/objets", "link")</f>
        <v/>
      </c>
      <c r="C898" t="n">
        <v>1</v>
      </c>
      <c r="D898" t="inlineStr"/>
    </row>
    <row r="899">
      <c r="A899" t="inlineStr">
        <is>
          <t>Test</t>
        </is>
      </c>
      <c r="B899">
        <f>HYPERLINK("https://www.dofusbook.net/fr/equipement/2108702-test/objets", "link")</f>
        <v/>
      </c>
      <c r="C899" t="n">
        <v>1</v>
      </c>
      <c r="D899" t="inlineStr">
        <is>
          <t>Lance Horselé</t>
        </is>
      </c>
    </row>
    <row r="900">
      <c r="A900" t="inlineStr">
        <is>
          <t>bvc</t>
        </is>
      </c>
      <c r="B900">
        <f>HYPERLINK("https://www.dofusbook.net/fr/equipement/2094768-bvc/objets", "link")</f>
        <v/>
      </c>
      <c r="C900" t="n">
        <v>3</v>
      </c>
      <c r="D900" t="inlineStr">
        <is>
          <t>Bouclier d'Ilyzaelle</t>
        </is>
      </c>
    </row>
    <row r="901">
      <c r="A901" t="inlineStr">
        <is>
          <t>bvc</t>
        </is>
      </c>
      <c r="B901">
        <f>HYPERLINK("https://www.dofusbook.net/fr/equipement/2094767-bvc/objets", "link")</f>
        <v/>
      </c>
      <c r="C901" t="n">
        <v>4</v>
      </c>
      <c r="D901" t="inlineStr"/>
    </row>
    <row r="902">
      <c r="A902" t="inlineStr">
        <is>
          <t>ghjk</t>
        </is>
      </c>
      <c r="B902">
        <f>HYPERLINK("https://www.dofusbook.net/fr/equipement/2059455-ghjk/objets", "link")</f>
        <v/>
      </c>
      <c r="C902" t="n">
        <v>1</v>
      </c>
      <c r="D902" t="inlineStr"/>
    </row>
    <row r="903">
      <c r="A903" t="inlineStr">
        <is>
          <t>Stuff 1 gfdgfdg dfgf</t>
        </is>
      </c>
      <c r="B903">
        <f>HYPERLINK("https://www.dofusbook.net/fr/equipement/78403-stuff-1-gfdgfdg-dfgf/objets", "link")</f>
        <v/>
      </c>
      <c r="C903" t="n">
        <v>27</v>
      </c>
      <c r="D903" t="inlineStr">
        <is>
          <t>Marteau des égarés; Amulette du Strigide; Alliance Gloursonne; Annolamour; Bouclier d'Ilyzaelle; Ceinture du Strigide; Coiffe d'Ogivol; Pataugastrique; Dofus Pourpre; Dofus Turquoise; Cascadeur majeur; Remueur; Nomade; Kramkram</t>
        </is>
      </c>
    </row>
    <row r="904">
      <c r="A904" t="inlineStr">
        <is>
          <t>T sttttttttt</t>
        </is>
      </c>
      <c r="B904">
        <f>HYPERLINK("https://www.dofusbook.net/fr/equipement/494369-t-sttttttttt/objets", "link")</f>
        <v/>
      </c>
      <c r="C904" t="n">
        <v>1</v>
      </c>
      <c r="D904" t="inlineStr"/>
    </row>
    <row r="905">
      <c r="A905" t="inlineStr">
        <is>
          <t>Stuff 1</t>
        </is>
      </c>
      <c r="B905">
        <f>HYPERLINK("https://www.dofusbook.net/fr/equipement/78409-stuff-1/objets", "link")</f>
        <v/>
      </c>
      <c r="C905" t="n">
        <v>3</v>
      </c>
      <c r="D905" t="inlineStr">
        <is>
          <t>Baguette Range; Cape Peupret; Sandales de Tal Kasha</t>
        </is>
      </c>
    </row>
    <row r="906">
      <c r="A906" t="inlineStr">
        <is>
          <t>Stuff 2</t>
        </is>
      </c>
      <c r="B906">
        <f>HYPERLINK("https://www.dofusbook.net/fr/equipement/417415-stuff-2/objets", "link")</f>
        <v/>
      </c>
      <c r="C906" t="n">
        <v>63</v>
      </c>
      <c r="D906" t="inlineStr">
        <is>
          <t>Marteau des égarés; Amulette du Strigide; Alliance Gloursonne; Annolamour; Ceinture du Strigide; Coiffe d'Ogivol; Voile d'encre; Pataugastrique; Dolmanax; Dofus Pourpre; Dofus Turquoise; Cascadeur majeur; Remueur; Nomade; Kramkram</t>
        </is>
      </c>
    </row>
    <row r="907">
      <c r="A907" t="inlineStr">
        <is>
          <t>TOTO</t>
        </is>
      </c>
      <c r="B907">
        <f>HYPERLINK("https://www.dofusbook.net/fr/equipement/415316-toto/objets", "link")</f>
        <v/>
      </c>
      <c r="C907" t="n">
        <v>1</v>
      </c>
      <c r="D907" t="inlineStr">
        <is>
          <t>Perfidoclier</t>
        </is>
      </c>
    </row>
    <row r="908">
      <c r="A908" t="inlineStr">
        <is>
          <t>Dasdds</t>
        </is>
      </c>
      <c r="B908">
        <f>HYPERLINK("https://www.dofusbook.net/fr/equipement/145375-dasdds/objets", "link")</f>
        <v/>
      </c>
      <c r="C908" t="n">
        <v>33</v>
      </c>
      <c r="D908" t="inlineStr"/>
    </row>
    <row r="909">
      <c r="A909" t="inlineStr">
        <is>
          <t>toto</t>
        </is>
      </c>
      <c r="B909">
        <f>HYPERLINK("https://www.dofusbook.net/fr/equipement/82912-toto/objets", "link")</f>
        <v/>
      </c>
      <c r="C909" t="n">
        <v>11</v>
      </c>
      <c r="D909" t="inlineStr">
        <is>
          <t>Marteau du Bouftou; Amulette du Bouftou; Anneau de Bouze le Clerc; Ceinture du Bouftou; Coiffe du Bouftou; Cape Bouffante; Boufbottes; Dragodinde Prune et Emeraude</t>
        </is>
      </c>
    </row>
    <row r="910">
      <c r="A910" t="inlineStr">
        <is>
          <t>Stuff 1</t>
        </is>
      </c>
      <c r="B910">
        <f>HYPERLINK("https://www.dofusbook.net/fr/equipement/78394-stuff-1/objets", "link")</f>
        <v/>
      </c>
      <c r="C910" t="n">
        <v>36</v>
      </c>
      <c r="D910" t="inlineStr">
        <is>
          <t>Arc Hétype; Amulette Séculaire; Anneau de Nidas; Gelano; Ceinture Séculaire; Couronne de Nidas; Cape des Justiciers; Tongues de Nidas; Dofus Cawotte; Dofus Émeraude; Dofus Pourpre; Savant majeur; Astucieux majeur; Robuste majeur; Dragodinde Prune et Emeraude; Perfidoclier</t>
        </is>
      </c>
    </row>
    <row r="911">
      <c r="A911" t="inlineStr">
        <is>
          <t>Stuff 3</t>
        </is>
      </c>
      <c r="B911">
        <f>HYPERLINK("https://www.dofusbook.net/fr/equipement/78405-stuff-3/objets", "link")</f>
        <v/>
      </c>
      <c r="C911" t="n">
        <v>25</v>
      </c>
      <c r="D911" t="inlineStr">
        <is>
          <t>Marteau des égarés; Amulette du Strigide; Alliance Gloursonne; Annolamour; Ceinture du Strigide; Coiffe d'Ogivol; Voile d'encre; Pataugastrique; Dofus Pourpre; Dofus Nébuleux; Vigoureux majeur; Cascadeur majeur; Remueur; Nomade; Kramkram</t>
        </is>
      </c>
    </row>
    <row r="912">
      <c r="A912" t="inlineStr">
        <is>
          <t>Stuff 2</t>
        </is>
      </c>
      <c r="B912">
        <f>HYPERLINK("https://www.dofusbook.net/fr/equipement/78395-stuff-2/objets", "link")</f>
        <v/>
      </c>
      <c r="C912" t="n">
        <v>38</v>
      </c>
      <c r="D912" t="inlineStr">
        <is>
          <t>Plumeau Bil; Amulette de Pol Ouatnos; Anneau de Nidas; Anneau Tamie; Ceintacé; Couronne de Nidas; Cape des Justiciers; Tongues de Nidas; Dofus Cawotte; Dofus Émeraude; Dofus Pourpre; Savant majeur; Astucieux majeur; Robuste majeur; Perfidoclier</t>
        </is>
      </c>
    </row>
    <row r="913">
      <c r="A913" t="inlineStr">
        <is>
          <t>Stuff 3</t>
        </is>
      </c>
      <c r="B913">
        <f>HYPERLINK("https://www.dofusbook.net/fr/equipement/78402-stuff-3/objets", "link")</f>
        <v/>
      </c>
      <c r="C913" t="n">
        <v>82</v>
      </c>
      <c r="D913" t="inlineStr">
        <is>
          <t>Rapière aux Glyphes; Pendentif Oton; Alliance Gloursonne; Pikano; Ceinture Glaciale; Chapeau Potin; Cape Matelassée; Sandales Circulaires du Kimbo; Dofus Pourpre; Dofus Turquoise; Remueur; Chanceux majeur; Vigoureux majeur; Nomade</t>
        </is>
      </c>
    </row>
    <row r="914">
      <c r="A914" t="inlineStr">
        <is>
          <t>Stuff 1</t>
        </is>
      </c>
      <c r="B914">
        <f>HYPERLINK("https://www.dofusbook.net/fr/equipement/78397-stuff-1/objets", "link")</f>
        <v/>
      </c>
      <c r="C914" t="n">
        <v>13</v>
      </c>
      <c r="D914" t="inlineStr">
        <is>
          <t>Rapière aux Glyphes; Amulette du Sinistrofu; Bracelet des Fonds marins; Anneau Glacial; Ceinture Glaciale; Masque des Fonds marins; Cape Glaciale; Sandales des Fonds marins; Dofus des Glaces; Dofus Ocre; Dofus Turquoise; Dofus Pourpre; Taquin majeur</t>
        </is>
      </c>
    </row>
    <row r="915">
      <c r="A915" t="inlineStr">
        <is>
          <t>Stuff 2</t>
        </is>
      </c>
      <c r="B915">
        <f>HYPERLINK("https://www.dofusbook.net/fr/equipement/78404-stuff-2/objets", "link")</f>
        <v/>
      </c>
      <c r="C915" t="n">
        <v>28</v>
      </c>
      <c r="D915" t="inlineStr">
        <is>
          <t>Marteau des égarés; Amulette du Strigide; Alliance Gloursonne; Annolamour; Bouclier Brâkmarien; Ceinture du Strigide; Coiffe d'Ogivol; Voile d'encre; Pataugastrique; Dolmanax; Dofus Pourpre; Dofus Turquoise; Cascadeur majeur; Remueur; Nomade; Kramkram</t>
        </is>
      </c>
    </row>
    <row r="916">
      <c r="A916" t="inlineStr">
        <is>
          <t>Stuff 3</t>
        </is>
      </c>
      <c r="B916">
        <f>HYPERLINK("https://www.dofusbook.net/fr/equipement/78399-stuff-3/objets", "link")</f>
        <v/>
      </c>
      <c r="C916" t="n">
        <v>9</v>
      </c>
      <c r="D916" t="inlineStr">
        <is>
          <t>Baguette Hernelle; Amulette du Strigide; Anneau de Padgref; Gelano; Ceinture du Strigide; Coiffe de Padgref; Cape Matelassée; Getas de Padgref; Dofus Pourpre; Dofus Émeraude; Acrobate majeur; Entraveur majeur; Savant majeur; Ralentisseur majeur</t>
        </is>
      </c>
    </row>
    <row r="917">
      <c r="A917" t="inlineStr">
        <is>
          <t>Stuff 1</t>
        </is>
      </c>
      <c r="B917">
        <f>HYPERLINK("https://www.dofusbook.net/fr/equipement/78394-stuff-1/objets", "link")</f>
        <v/>
      </c>
      <c r="C917" t="n">
        <v>36</v>
      </c>
      <c r="D917" t="inlineStr">
        <is>
          <t>Arc Hétype; Amulette Séculaire; Gelano; Anneau de Nidas; Ceinture Séculaire; Couronne de Nidas; Cape des Justiciers; Tongues de Nidas; Dofus Émeraude; Dofus Pourpre; Dofus Cawotte; Astucieux majeur; Robuste majeur; Savant majeur; Dragodinde Prune et Emeraude; Perfidoclier</t>
        </is>
      </c>
    </row>
    <row r="918">
      <c r="A918" t="inlineStr">
        <is>
          <t>Stuff 2</t>
        </is>
      </c>
      <c r="B918">
        <f>HYPERLINK("https://www.dofusbook.net/fr/equipement/78401-stuff-2/objets", "link")</f>
        <v/>
      </c>
      <c r="C918" t="n">
        <v>49</v>
      </c>
      <c r="D918" t="inlineStr">
        <is>
          <t>Dagues Açantes; Amulette de Danathor; Alliance Gloursonne; Gelano; Ceinture de Danathor; Coiffe de Danathor; Cape Matelassée; Sandales Circulaires du Kimbo; Dofus Turquoise; Dofus Émeraude; Dofus Pourpre; Ravageur Eau majeur; Joueur majeur; Taquin majeur</t>
        </is>
      </c>
    </row>
    <row r="919">
      <c r="A919" t="inlineStr">
        <is>
          <t>Stuff 3</t>
        </is>
      </c>
      <c r="B919">
        <f>HYPERLINK("https://www.dofusbook.net/fr/equipement/78396-stuff-3/objets", "link")</f>
        <v/>
      </c>
      <c r="C919" t="n">
        <v>35</v>
      </c>
      <c r="D919" t="inlineStr">
        <is>
          <t>Baguette de Malléfisk; Amulette Séculaire; Gelano; Anneau de Nidas; Ceinture Séculaire; Couronne de Nidas; Cape des Justiciers; Tongues de Nidas; Dofus Pourpre; Dofus Cawotte; Dofus Émeraude; Robuste majeur; Savant majeur; Astucieux majeur; Muldo Orchidée et Emeraude</t>
        </is>
      </c>
    </row>
    <row r="920">
      <c r="A920" t="inlineStr">
        <is>
          <t>Stuff 2</t>
        </is>
      </c>
      <c r="B920">
        <f>HYPERLINK("https://www.dofusbook.net/fr/equipement/78398-stuff-2/objets", "link")</f>
        <v/>
      </c>
      <c r="C920" t="n">
        <v>6</v>
      </c>
      <c r="D920" t="inlineStr">
        <is>
          <t>Epée Gloursonne; Amulette du Strigide; Bague Gloursonne; Alliance Gloursonne; Ceinture du Strigide; Chapeau des Malveilleurs; Cape des Malveilleurs; Bottes du Strigide; Dofus Ocre; Dofus Pourpre; Dofus Turquoise; Ralentisseur majeur; Entraveur majeur; Puissant majeur</t>
        </is>
      </c>
    </row>
    <row r="921">
      <c r="A921" t="inlineStr">
        <is>
          <t>Eau PvP</t>
        </is>
      </c>
      <c r="B921">
        <f>HYPERLINK("https://www.dofusbook.net/fr/equipement/5890420-eau-pvp/objets", "link")</f>
        <v/>
      </c>
      <c r="C921" t="n">
        <v>6</v>
      </c>
      <c r="D921" t="inlineStr">
        <is>
          <t>Sceptre du Roi Joueur; Amulette de Shokkoth; Alliance Gloursonne; Anneau Volkorne; Cadran de Terre; Culotte de Bethel; Masque de Funespadon; Cape Solution; Pataugastrique; Dofus Vulbis; Dofus des Glaces; Dofus Ivoire; Dofus Abyssal; Dofus Ébène; Chanceux majeur; Koalak Sanguin</t>
        </is>
      </c>
    </row>
    <row r="922">
      <c r="A922" t="inlineStr">
        <is>
          <t>PvPM Feu</t>
        </is>
      </c>
      <c r="B922">
        <f>HYPERLINK("https://www.dofusbook.net/fr/equipement/5856038-pvpm-feu/objets", "link")</f>
        <v/>
      </c>
      <c r="C922" t="n">
        <v>3</v>
      </c>
      <c r="D922" t="inlineStr">
        <is>
          <t>Arc corrompu; Amulette Volkorne; Anneauræus; Anneauræus; Bouclier du Stalak; Ceinture Séculaire; Coiffe Séculaire; Cape de Diondin; Bottes Innommables; Dofus Ivoire; Dofus Pourpre; Nomade; Érudit majeur; Remueur; Carapace Feu majeur; Kramkram</t>
        </is>
      </c>
    </row>
    <row r="923">
      <c r="A923" t="inlineStr">
        <is>
          <t>Terre T1</t>
        </is>
      </c>
      <c r="B923">
        <f>HYPERLINK("https://www.dofusbook.net/fr/equipement/5861948-terre-t1/objets", "link")</f>
        <v/>
      </c>
      <c r="C923" t="n">
        <v>4</v>
      </c>
      <c r="D923" t="inlineStr">
        <is>
          <t>Arc du Chalœil; Amulette du Strigide; Anneau Crustique; Anneau Crustique; Quatre-feuilles; Ceinture du Strigide; Masque de Koutoulou; Cape au Logis; Bottes de la Cour Sombre; Dofus Turquoise; Dofus Nébuleux; Dofus Pourpre; Enragé majeur; Remueur; Vigoureux majeur; Pioute vert</t>
        </is>
      </c>
    </row>
    <row r="924">
      <c r="A924" t="inlineStr">
        <is>
          <t>Terre dist</t>
        </is>
      </c>
      <c r="B924">
        <f>HYPERLINK("https://www.dofusbook.net/fr/equipement/5859535-terre-dist/objets", "link")</f>
        <v/>
      </c>
      <c r="C924" t="n">
        <v>2</v>
      </c>
      <c r="D924" t="inlineStr">
        <is>
          <t>Arc du Chalœil; Amulette du Strigide; Anneau Chevelu; Anneau Crustique; Quatre-feuilles; Ceinture du Strigide; Masque de Koutoulou; Cape au Logis; Bottes du Cœur Saignant; Dofus Turquoise; Dofus Pourpre; Vigoureux majeur; Remueur; Forcené majeur; Enragé majeur; Pioute vert</t>
        </is>
      </c>
    </row>
    <row r="925">
      <c r="A925" t="inlineStr">
        <is>
          <t>Zobal F 200</t>
        </is>
      </c>
      <c r="B925">
        <f>HYPERLINK("https://www.dofusbook.net/fr/equipement/5845094-zobal-f-200/objets", "link")</f>
        <v/>
      </c>
      <c r="C925" t="n">
        <v>7</v>
      </c>
      <c r="D925" t="inlineStr">
        <is>
          <t>Marteau R'ture; Amulette du Strigide; Anneau Chevelu; Anneau Crustique; Bouclier du Captain Amakna; Ceinture du Strigide; Masque de Koutoulou; Cape au Logis; Bottes du Cœur Saignant; Dofus Turquoise; Dofus Pourpre; Vigoureux majeur; Remueur; Forcené majeur; Enragé majeur; Pioute vert</t>
        </is>
      </c>
    </row>
    <row r="926">
      <c r="A926" t="inlineStr">
        <is>
          <t>Eliotrope F 200</t>
        </is>
      </c>
      <c r="B926">
        <f>HYPERLINK("https://www.dofusbook.net/fr/equipement/5820041-eliotrope-f-200/objets", "link")</f>
        <v/>
      </c>
      <c r="C926" t="n">
        <v>11</v>
      </c>
      <c r="D926" t="inlineStr">
        <is>
          <t>Arc corrompu; Amulette Volkorne; Anneauræus; Anneauræus; Quatre-feuilles; Ceinture Séculaire; Coiffe Séculaire; Cape de Diondin; Bottes Innommables; Dofus Pourpre; Érudit majeur; Remueur; Astucieux majeur; Vigoureux majeur; Nomade; Brûlih</t>
        </is>
      </c>
    </row>
    <row r="927">
      <c r="A927" t="inlineStr">
        <is>
          <t>Eliotrope F 200</t>
        </is>
      </c>
      <c r="B927">
        <f>HYPERLINK("https://www.dofusbook.net/fr/equipement/5832677-eliotrope-f-200/objets", "link")</f>
        <v/>
      </c>
      <c r="C927" t="n">
        <v>3</v>
      </c>
      <c r="D927" t="inlineStr">
        <is>
          <t>Arc du Chalœil; Amulette du Strigide; Anneau Chevelu; Bague Gloursonne; Bouclier du Stalak; Ceinture Volkorne; Masque de Koutoulou; Cape au Logis; Bottes du Strigide; Dofus Turquoise; Dofus Ivoire; Dofus Pourpre; Dofus Abyssal; Enragé majeur; Remueur; Pioute vert</t>
        </is>
      </c>
    </row>
    <row r="928">
      <c r="A928" t="inlineStr">
        <is>
          <t>Zobal M 200</t>
        </is>
      </c>
      <c r="B928">
        <f>HYPERLINK("https://www.dofusbook.net/fr/equipement/5844964-zobal-m-200/objets", "link")</f>
        <v/>
      </c>
      <c r="C928" t="n">
        <v>1</v>
      </c>
      <c r="D928" t="inlineStr">
        <is>
          <t>Arc de Koutoulou; Amulette du Strigide; Bracelet du Piloztère; Alliance Gloursonne; Quatre-feuilles; Ceintacé; Némès de Tal Kasha; Chevelure de Tal Kasha; Bottes Voldelor; Dofus Turquoise; Dofus des Glaces; Chanceux majeur; Nomade; Remueur; Cascadeur majeur; Kokulte</t>
        </is>
      </c>
    </row>
    <row r="929">
      <c r="A929" t="inlineStr">
        <is>
          <t>Terroide</t>
        </is>
      </c>
      <c r="B929">
        <f>HYPERLINK("https://www.dofusbook.net/fr/equipement/5844732-terroide/objets", "link")</f>
        <v/>
      </c>
      <c r="C929" t="n">
        <v>8</v>
      </c>
      <c r="D929" t="inlineStr">
        <is>
          <t>Hache Téroïde; Amulette du Strigide; Bague Gloursonne; Chevalière du Roi Joueur; Quatre-feuilles; Ceinture du Strigide; Masque Brûlâme; Cape au Logis; Bottes Honyme; Dofus Pourpre; Dofus des Glaces; Dofus Turquoise; Remueur; Érudit majeur; Enragé majeur; Kokulte</t>
        </is>
      </c>
    </row>
    <row r="930">
      <c r="A930" t="inlineStr">
        <is>
          <t>Air 12/6</t>
        </is>
      </c>
      <c r="B930">
        <f>HYPERLINK("https://www.dofusbook.net/fr/equipement/5843994-air-12-6/objets", "link")</f>
        <v/>
      </c>
      <c r="C930" t="n">
        <v>5</v>
      </c>
      <c r="D930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Ébène; Dofus Vulbis; Dofus des Glaces; Dofus Abyssal; Dofus Ocre; Blérodoudou</t>
        </is>
      </c>
    </row>
    <row r="931">
      <c r="A931" t="inlineStr">
        <is>
          <t>Feu PvP</t>
        </is>
      </c>
      <c r="B931">
        <f>HYPERLINK("https://www.dofusbook.net/fr/equipement/5838236-feu-pvp/objets", "link")</f>
        <v/>
      </c>
      <c r="C931" t="n">
        <v>3</v>
      </c>
      <c r="D931" t="inlineStr">
        <is>
          <t>Baguette de Malléfisk; Amulette Volkorne; Chevalière du Roi Joueur; Anneauræus; Bouclier du Stalak; Ceinture Volkorne; Heaume Oplate; Voile d'encre; Bottes Innommables; Dofus Ivoire; Dofus Abyssal; Nomade; Remueur; Érudit majeur; Brûlih</t>
        </is>
      </c>
    </row>
    <row r="932">
      <c r="A932" t="inlineStr">
        <is>
          <t>Zobal F 200</t>
        </is>
      </c>
      <c r="B932">
        <f>HYPERLINK("https://www.dofusbook.net/fr/equipement/5824806-zobal-f-200/objets", "link")</f>
        <v/>
      </c>
      <c r="C932" t="n">
        <v>2</v>
      </c>
      <c r="D932" t="inlineStr">
        <is>
          <t>Hache Téroïde; Amulette de Gein; Bague Gloursonne; Alliance de Missiz Frizz; Bouclier du Captain Amakna; Ceinture du Strigide; Casque de Missiz Frizz; Cape au Logis; Bottes Honyme; Kokulte</t>
        </is>
      </c>
    </row>
    <row r="933">
      <c r="A933" t="inlineStr">
        <is>
          <t>pvm terre pas cher</t>
        </is>
      </c>
      <c r="B933">
        <f>HYPERLINK("https://www.dofusbook.net/fr/equipement/2350005-pvm-terre-pas-cher/objets", "link")</f>
        <v/>
      </c>
      <c r="C933" t="n">
        <v>85</v>
      </c>
      <c r="D933" t="inlineStr">
        <is>
          <t>Marteau R'ture; Amulette du Strigide; Anneau du Comte Harebourg; Bague Gloursonne; Bouclier du Captain Amakna; Ceinture Gence; Masque de Koutoulou; Cape au Logis; Bottes du Strigide; Dofus Pourpre; Dofus Turquoise; Enragé majeur; Vigoureux majeur; Nomade; Forcené majeur; Bulbisou</t>
        </is>
      </c>
    </row>
    <row r="934">
      <c r="A934" t="inlineStr">
        <is>
          <t>pvm volk chaloeil</t>
        </is>
      </c>
      <c r="B934">
        <f>HYPERLINK("https://www.dofusbook.net/fr/equipement/3523057-pvm-volk-chaloeil/objets", "link")</f>
        <v/>
      </c>
      <c r="C934" t="n">
        <v>181</v>
      </c>
      <c r="D934" t="inlineStr">
        <is>
          <t>Hache du Chalœil; Amulette Volkorne; Bracelet du Piloztère; Anneau Volkorne; Quatre-feuilles; Ceinture Volkorne; Casque du Chalœil; Cape du Chalœil; Bottes du Chalœil; Dofus Vulbis; Dofus Ocre; Dofus Pourpre; Dofus des Glaces; Dofus Turquoise; Dofus Ébène; Fëanor</t>
        </is>
      </c>
    </row>
    <row r="935">
      <c r="A935" t="inlineStr">
        <is>
          <t>pvm 12/6 stri/glours</t>
        </is>
      </c>
      <c r="B935">
        <f>HYPERLINK("https://www.dofusbook.net/fr/equipement/2120164-pvm-12-6-stri-glours/objets", "link")</f>
        <v/>
      </c>
      <c r="C935" t="n">
        <v>128</v>
      </c>
      <c r="D935" t="inlineStr">
        <is>
          <t>Epée Gloursonne; Amulette du Strigide; Alliance Gloursonne; Bague Gloursonne; Quatre-feuilles; Ceinture du Strigide; Masque Vaudou Tam; Cape de Jahash Jurgen; Bottes du Strigide; Dofus Turquoise; Dofus Vulbis; Dofus Ébène; Dofus Ocre; Dofus Pourpre; Dofus des Glaces; Kokulte</t>
        </is>
      </c>
    </row>
    <row r="936">
      <c r="A936" t="inlineStr">
        <is>
          <t>pvm full ret pm</t>
        </is>
      </c>
      <c r="B936">
        <f>HYPERLINK("https://www.dofusbook.net/fr/equipement/3916782-pvm-full-ret-pm/objets", "link")</f>
        <v/>
      </c>
      <c r="C936" t="n">
        <v>54</v>
      </c>
      <c r="D936" t="inlineStr">
        <is>
          <t>Baguette Hique; Amulette du Glourséleste; Anneau Instable; Anneau Tamie; Bouclier cubiste; Ceinture Instable; Kidibonnet; Cape de Léthaline; Pantoufles Émar; Ralentisseur majeur; Remueur; Entraveur; Entraveur majeur; Temporiseur; Temporiseur majeur; Gwo Tofu Ventripotent</t>
        </is>
      </c>
    </row>
    <row r="937">
      <c r="A937" t="inlineStr">
        <is>
          <t>Pvm terre feu stats</t>
        </is>
      </c>
      <c r="B937">
        <f>HYPERLINK("https://www.dofusbook.net/fr/equipement/3193240-pvm-terre-feu-stats/objets", "link")</f>
        <v/>
      </c>
      <c r="C937" t="n">
        <v>77</v>
      </c>
      <c r="D937" t="inlineStr">
        <is>
          <t>Dagues du Dragoeuf; Amulette Volkorne; Bague Gloursonne; Chevalière du Roi Joueur; Quatre-feuilles; Ceinture Volkorne; Couronne du Roi Joueur; Cape de Jahash Jurgen; Bottes du Roi Joueur; Dofus Turquoise; Dolmanax; Dofus Pourpre; Dofus Ocre; Voyageur; Puissant majeur; Cromeugnon</t>
        </is>
      </c>
    </row>
    <row r="938">
      <c r="A938" t="inlineStr">
        <is>
          <t>Pvm low cost</t>
        </is>
      </c>
      <c r="B938">
        <f>HYPERLINK("https://www.dofusbook.net/fr/equipement/114091-pvm-low-cost/objets", "link")</f>
        <v/>
      </c>
      <c r="C938" t="n">
        <v>74</v>
      </c>
      <c r="D938" t="inlineStr">
        <is>
          <t>Bâton Beau; Amulette du Strigide; Alliance de Missiz Frizz; Bracelet du Piloztère; Quatre-feuilles; Ceintacé; Maskrobe; Cape des Justiciers; Bottes du Strigide; Dofus Pourpre; Dofus Turquoise; Dofus des Glaces; Nomade; Remueur; Vigoureux majeur; Kokulte</t>
        </is>
      </c>
    </row>
    <row r="939">
      <c r="A939" t="inlineStr">
        <is>
          <t>multi do crit</t>
        </is>
      </c>
      <c r="B939">
        <f>HYPERLINK("https://www.dofusbook.net/fr/equipement/2955979-multi-do-crit/objets", "link")</f>
        <v/>
      </c>
      <c r="C939" t="n">
        <v>124</v>
      </c>
      <c r="D939" t="inlineStr">
        <is>
          <t>Hache du Chalœil; Amulette du Strigide; Bague Trithon; Bracelet du Piloztère; Bouclier du Stalak; Ceinture du Strigide; Le Dorado; Cape de Jahash Jurgen; Bottes Trithon; Dofus Pourpre; Dolmanax; Dofus Turquoise; Dofus Ocre; Robuste majeur; Voyageur; Chacha Angora</t>
        </is>
      </c>
    </row>
    <row r="940">
      <c r="A940" t="inlineStr">
        <is>
          <t>pvm terre pas cher</t>
        </is>
      </c>
      <c r="B940">
        <f>HYPERLINK("https://www.dofusbook.net/fr/equipement/3344381-pvm-terre-pas-cher/objets", "link")</f>
        <v/>
      </c>
      <c r="C940" t="n">
        <v>41</v>
      </c>
      <c r="D940" t="inlineStr">
        <is>
          <t>Arc du Chalœil; Amulette Héroclite; Anneau de Brouce; Bracelet du Piloztère; Quatre-feuilles; Ceinture Gence; Masque de Koutoulou; Cape au Logis; Bottes de Brouce; Dofus Turquoise; Dofus Pourpre; Nomade; Enragé majeur; Remueur; Vigoureux majeur; Kompost</t>
        </is>
      </c>
    </row>
    <row r="941">
      <c r="A941" t="inlineStr">
        <is>
          <t>pvp terre v2</t>
        </is>
      </c>
      <c r="B941">
        <f>HYPERLINK("https://www.dofusbook.net/fr/equipement/3532639-pvp-terre-v2/objets", "link")</f>
        <v/>
      </c>
      <c r="C941" t="n">
        <v>62</v>
      </c>
      <c r="D941" t="inlineStr">
        <is>
          <t>Arc du Chalœil; Amulette Héroclite; Anneau Volkorne; Anneau Chevelu; Quatre-feuilles; Ceinture Volkorne; Masque de Koutoulou; Cape au Logis; Bottes du Cœur Saignant; Dofus Turquoise; Dofus Ivoire; Dofus Ocre; Dofus Pourpre; Dofus Abyssal; Enragé majeur; Bulbisou</t>
        </is>
      </c>
    </row>
    <row r="942">
      <c r="A942" t="inlineStr">
        <is>
          <t>terre tacle</t>
        </is>
      </c>
      <c r="B942">
        <f>HYPERLINK("https://www.dofusbook.net/fr/equipement/4369394-terre-tacle/objets", "link")</f>
        <v/>
      </c>
      <c r="C942" t="n">
        <v>83</v>
      </c>
      <c r="D942" t="inlineStr">
        <is>
          <t>Lav'Hache; Amulette du Strigide; Anneau Chevelu; Anneau Crustique; Bouclier précieux; Ceintouse; Masque de Koutoulou; Cape au Logis; Tentassons; Dofus Ivoire; Dofus Pourpre; Dofus Émeraude; Carapace Terre majeur; Enragé majeur; Remueur; Platypus</t>
        </is>
      </c>
    </row>
    <row r="943">
      <c r="A943" t="inlineStr">
        <is>
          <t>pvp full terre</t>
        </is>
      </c>
      <c r="B943">
        <f>HYPERLINK("https://www.dofusbook.net/fr/equipement/3556380-pvp-full-terre/objets", "link")</f>
        <v/>
      </c>
      <c r="C943" t="n">
        <v>56</v>
      </c>
      <c r="D943" t="inlineStr">
        <is>
          <t>Arc du Chalœil; Amulette Héroclite; Bague Gloursonne; Anneau de Brouce; Quatre-feuilles; Ceinture Gence; Masque de Koutoulou; Cape au Logis; Bottes de Brouce; Dofus Turquoise; Dolmanax; Dofus Pourpre; Dofus Ivoire; Vigoureux majeur; Enragé majeur; Bwak de Terre</t>
        </is>
      </c>
    </row>
    <row r="944">
      <c r="A944" t="inlineStr">
        <is>
          <t>Brouillon</t>
        </is>
      </c>
      <c r="B944">
        <f>HYPERLINK("https://www.dofusbook.net/fr/equipement/4850589-brouillon/objets", "link")</f>
        <v/>
      </c>
      <c r="C944" t="n">
        <v>33</v>
      </c>
      <c r="D944" t="inlineStr">
        <is>
          <t>Pelle de la Cour Sombre; Frimamulette; Alliance Gloursonne; Anneau de Padgref; Bouclier du Stalak; Ceinture de Klime; Coiffe de la Reine des Voleurs; Cape Matelassée; Bottes de la Reine des Voleurs; Dofus Pourpre; Miraculé majeur; Cascadeur majeur; Nomade; Vigoureux majeur; Remueur; Blérodoudou</t>
        </is>
      </c>
    </row>
    <row r="945">
      <c r="A945" t="inlineStr">
        <is>
          <t>Brouillon</t>
        </is>
      </c>
      <c r="B945">
        <f>HYPERLINK("https://www.dofusbook.net/fr/equipement/5007286-brouillon/objets", "link")</f>
        <v/>
      </c>
      <c r="C945" t="n">
        <v>51</v>
      </c>
      <c r="D945" t="inlineStr">
        <is>
          <t>Dagues d'Ilyzaelle; Amulette du Strigide; Bague Gloursonne; Anneau Chevelu; Bouclier du Captain Amakna; Ceintacé; Boucle d'oreille de Kongoku; Cape au Logis; Bottes du Strigide; Dofus Émeraude; Dofus Turquoise; Vigoureux majeur; Nomade; Enragé majeur; Remueur; Pioute vert</t>
        </is>
      </c>
    </row>
    <row r="946">
      <c r="A946" t="inlineStr">
        <is>
          <t>Steam Crit low cost</t>
        </is>
      </c>
      <c r="B946">
        <f>HYPERLINK("https://www.dofusbook.net/fr/equipement/5173657-steam-crit-low-cost/objets", "link")</f>
        <v/>
      </c>
      <c r="C946" t="n">
        <v>47</v>
      </c>
      <c r="D946" t="inlineStr">
        <is>
          <t>La Baguette des Limbes; Amulette d'Otomaï; Bague Gloursonne; Anneau de Padgref; Bouclier d'Ilyzaelle; Ceinture de Gein; Coiffe de Padgref; Cape Hiculteur; Pantoufles Émar; Dofus Pourpre; Remueur; Vigoureux majeur; Miraculé majeur; Érudit majeur; Nomade; Bisouglours</t>
        </is>
      </c>
    </row>
    <row r="947">
      <c r="A947" t="inlineStr">
        <is>
          <t>Terre Air contact</t>
        </is>
      </c>
      <c r="B947">
        <f>HYPERLINK("https://www.dofusbook.net/fr/equipement/3266327-terre-air-contact/objets", "link")</f>
        <v/>
      </c>
      <c r="C947" t="n">
        <v>70</v>
      </c>
      <c r="D947" t="inlineStr">
        <is>
          <t>Baguette de Torkélonia; Amulette du Strigide; Anneau de Padgref; Anneau Chevelu; Quatre-feuilles; Ceinture du Strigide; Corne de Torkélonia; Carapace de Torkélonia; Bottes du Strigide; Dofus Nébuleux; Dofus Pourpre; Dofus Ébène; Dofus Ocre; Dofus Turquoise; Sakochère</t>
        </is>
      </c>
    </row>
    <row r="948">
      <c r="A948" t="inlineStr">
        <is>
          <t>Eau Air</t>
        </is>
      </c>
      <c r="B948">
        <f>HYPERLINK("https://www.dofusbook.net/fr/equipement/5010231-eau-air/objets", "link")</f>
        <v/>
      </c>
      <c r="C948" t="n">
        <v>42</v>
      </c>
      <c r="D948" t="inlineStr">
        <is>
          <t>Dagues d'Ilyzaelle; Amulette du Strigide; Anneau Crustique; Anneau Chevelu; Bouclier du Captain Amakna; Ceintacé; Masque de Koutoulou; Cape au Logis; Bottes du Strigide; Dofus Turquoise; Dofus Pourpre; Enragé majeur; Vigoureux majeur; Miraculé majeur; Forcené majeur; Pioute vert</t>
        </is>
      </c>
    </row>
    <row r="949">
      <c r="A949" t="inlineStr">
        <is>
          <t>Brouillon</t>
        </is>
      </c>
      <c r="B949">
        <f>HYPERLINK("https://www.dofusbook.net/fr/equipement/4916356-brouillon/objets", "link")</f>
        <v/>
      </c>
      <c r="C949" t="n">
        <v>38</v>
      </c>
      <c r="D949" t="inlineStr">
        <is>
          <t>La Baguette des Limbes; Amulette d'Otomaï; Bague Gloursonne; Goulano; Bouclier d'Ilyzaelle; Ceinture de Gein; Chapeau de Gein; Voile d'encre; Pantoufles Émar; Dokoko; Dofus Émeraude; Nomade; Remueur; Érudit majeur; Vigoureux majeur; Bisouglours</t>
        </is>
      </c>
    </row>
    <row r="950">
      <c r="A950" t="inlineStr">
        <is>
          <t>1840 Agi pui</t>
        </is>
      </c>
      <c r="B950">
        <f>HYPERLINK("https://www.dofusbook.net/fr/equipement/4901990-1840-agi-pui/objets", "link")</f>
        <v/>
      </c>
      <c r="C950" t="n">
        <v>90</v>
      </c>
      <c r="D950" t="inlineStr">
        <is>
          <t>Plume de Buhorado; Collier du Valet Veinard; Anneau d'Allister; Gant du Valet Veinard; Cadran d'Eau; Menoture; Casque d'Ilyzaelle; Cape Indescriptible; Palmes Trithons; Dofus Pourpre; Cascadeur majeur; Vigoureux majeur; Equilibriste majeur; Robuste majeur; Remueur; Dragodinde Ebène et Ivoire</t>
        </is>
      </c>
    </row>
    <row r="951">
      <c r="A951" t="inlineStr">
        <is>
          <t>Sadi feu soutien</t>
        </is>
      </c>
      <c r="B951">
        <f>HYPERLINK("https://www.dofusbook.net/fr/equipement/5523207-sadi-feu-soutien/objets", "link")</f>
        <v/>
      </c>
      <c r="C951" t="n">
        <v>33</v>
      </c>
      <c r="D951" t="inlineStr">
        <is>
          <t>Arc Hétype; Amulette d'Otomaï; Bague Gloursonne; Anneau de Nidas; Carapar; Ceinture Luthe; Couronne de Nidas; Cape de Diondin; Pantoufles Émar; Dofus des Glaces; Astucieux majeur; Nomade; Érudit majeur; Remueur; Miraculé majeur; Brûlih</t>
        </is>
      </c>
    </row>
    <row r="952">
      <c r="A952" t="inlineStr">
        <is>
          <t>Sadi feu pas cher</t>
        </is>
      </c>
      <c r="B952">
        <f>HYPERLINK("https://www.dofusbook.net/fr/equipement/5402885-sadi-feu-pas-cher/objets", "link")</f>
        <v/>
      </c>
      <c r="C952" t="n">
        <v>28</v>
      </c>
      <c r="D952" t="inlineStr">
        <is>
          <t>Arc du Chalœil; Amulette du Strigide; Bague Gloursonne; Anneau Chevelu; Bouclier d'Ilyzaelle; Ceintacé; Masque de Koutoulou; Cape au Logis; Bottes du Strigide; Dofus Turquoise; Vigoureux majeur; Nomade; Miraculé majeur; Remueur; Enragé majeur; Pioute vert</t>
        </is>
      </c>
    </row>
    <row r="953">
      <c r="A953" t="inlineStr">
        <is>
          <t>Cra</t>
        </is>
      </c>
      <c r="B953">
        <f>HYPERLINK("https://www.dofusbook.net/fr/equipement/5004741-cra-/objets", "link")</f>
        <v/>
      </c>
      <c r="C953" t="n">
        <v>35</v>
      </c>
      <c r="D953" t="inlineStr">
        <is>
          <t>Arc du Chalœil; Amulette du Strigide; Pikano; Bague Gloursonne; Bouclier du Stalak; Ceintacé; Chapeau de Gein; Cape au Logis; Bottes du Strigide; Dofus Pourpre; Dofus Turquoise; Nomade; Remueur; Enragé majeur; Miraculé majeur; Pioute vert</t>
        </is>
      </c>
    </row>
    <row r="954">
      <c r="A954" t="inlineStr">
        <is>
          <t>Zobal distance</t>
        </is>
      </c>
      <c r="B954">
        <f>HYPERLINK("https://www.dofusbook.net/fr/equipement/4828431-zobal-distance/objets", "link")</f>
        <v/>
      </c>
      <c r="C954" t="n">
        <v>49</v>
      </c>
      <c r="D954" t="inlineStr">
        <is>
          <t>Baguette Hique; Amulette du Strigide; Anneau de Padgref; Alliance Gloursonne; Quatre-feuilles; Ceintacé; Kidibonnet; Cape de la Dame du Hasard; Bottes de la Dame du Hasard; Dofus Pourpre; Dofus Turquoise; Vigoureux majeur; Nomade; Miraculé majeur; Remueur; Muldo Prune et Emeraude</t>
        </is>
      </c>
    </row>
    <row r="955">
      <c r="A955" t="inlineStr">
        <is>
          <t>Steam Eau 200</t>
        </is>
      </c>
      <c r="B955">
        <f>HYPERLINK("https://www.dofusbook.net/fr/equipement/5235026-steam-eau-200/objets", "link")</f>
        <v/>
      </c>
      <c r="C955" t="n">
        <v>46</v>
      </c>
      <c r="D955" t="inlineStr">
        <is>
          <t>Baguette Hique; Amulette du Strigide; Alliance Gloursonne; Bracelet du Piloztère; Bouclier du Stalak; Ceintacé; Kidibonnet; Cape de la Dame du Hasard; Bottes de la Dame du Hasard; Dofus Turquoise; Chanceux majeur; Nomade; Vigoureux majeur; Remueur; Miraculé majeur; Muldo Prune</t>
        </is>
      </c>
    </row>
    <row r="956">
      <c r="A956" t="inlineStr">
        <is>
          <t>Steam Air 200</t>
        </is>
      </c>
      <c r="B956">
        <f>HYPERLINK("https://www.dofusbook.net/fr/equipement/5447779-steam-air-200/objets", "link")</f>
        <v/>
      </c>
      <c r="C956" t="n">
        <v>11</v>
      </c>
      <c r="D956" t="inlineStr">
        <is>
          <t>Hachoirs de Viandargh; Amibou; Alliance Gloursonne; Bague Instable; Bivalve; Sangle Ouare; Chapibou; Cape Matelassée; Pantoufles Émar; Cascadeur majeur; Miraculé majeur; Culbuteur majeur; Nomade; Bousculeur majeur; Remueur; Tofoudre</t>
        </is>
      </c>
    </row>
    <row r="957">
      <c r="A957" t="inlineStr">
        <is>
          <t>Brouillon</t>
        </is>
      </c>
      <c r="B957">
        <f>HYPERLINK("https://www.dofusbook.net/fr/equipement/4997698-brouillon/objets", "link")</f>
        <v/>
      </c>
      <c r="C957" t="n">
        <v>22</v>
      </c>
      <c r="D957" t="inlineStr">
        <is>
          <t>Dagues du Dragoeuf; Amulette du Strigide; Anneau de Padgref; Alliance Gloursonne; Bouclier du Captain Amakna; Ceintacé; Casque de Missiz Frizz; Cape au Logis; Bottes du Strigide; Dofus Pourpre; Dofus Turquoise; Vigoureux majeur; Nomade; Miraculé majeur; Remueur; Dragodinde Emeraude et Ivoire</t>
        </is>
      </c>
    </row>
    <row r="958">
      <c r="A958" t="inlineStr">
        <is>
          <t>Eca Eau opti</t>
        </is>
      </c>
      <c r="B958">
        <f>HYPERLINK("https://www.dofusbook.net/fr/equipement/4901433-eca-eau-opti/objets", "link")</f>
        <v/>
      </c>
      <c r="C958" t="n">
        <v>84</v>
      </c>
      <c r="D958" t="inlineStr">
        <is>
          <t>Sceptre du Roi Joueur; Amulette du Sinistrofu; Pikano; Alliance Gloursonne; Quatre-feuilles; Sangle Ouare; Kidibonnet; Cape du Sinistrofu; Pataugastrique; Dofus Turquoise; Dofus Pourpre; Chanceux majeur; Nomade; Remueur; Miraculé majeur; Pioute bleu</t>
        </is>
      </c>
    </row>
    <row r="959">
      <c r="A959" t="inlineStr">
        <is>
          <t>Full air 200</t>
        </is>
      </c>
      <c r="B959">
        <f>HYPERLINK("https://www.dofusbook.net/fr/equipement/5234800-full-air-200/objets", "link")</f>
        <v/>
      </c>
      <c r="C959" t="n">
        <v>21</v>
      </c>
      <c r="D959" t="inlineStr">
        <is>
          <t>L'Épée Nice; Amulette du Strigide; Anneau de Padgref; Alliance Gloursonne; Quatre-feuilles; Ceintacé; Capuche de Moum-Ra; Cape Matelassée; Bottes du Strigide; Dofus Pourpre; Dofus Turquoise; Remueur; Miraculé majeur; Cascadeur majeur; Nomade; Pioute jaune</t>
        </is>
      </c>
    </row>
    <row r="960">
      <c r="A960" t="inlineStr">
        <is>
          <t>Full terre Eca</t>
        </is>
      </c>
      <c r="B960">
        <f>HYPERLINK("https://www.dofusbook.net/fr/equipement/4822620-full-terre-eca/objets", "link")</f>
        <v/>
      </c>
      <c r="C960" t="n">
        <v>35</v>
      </c>
      <c r="D960" t="inlineStr">
        <is>
          <t>Arc du Chalœil; Amulette du Strigide; Anneau Chevelu; Bague Gloursonne; Quatre-feuilles; Ceintacé; Casque des égarés; Cape au Logis; Bottes du Strigide; Dofus Émeraude; Dofus Pourpre; Dofus Turquoise; Nomade; Enragé majeur; Remueur; Pioute vert</t>
        </is>
      </c>
    </row>
    <row r="961">
      <c r="A961" t="inlineStr">
        <is>
          <t>Eau air soutien</t>
        </is>
      </c>
      <c r="B961">
        <f>HYPERLINK("https://www.dofusbook.net/fr/equipement/5194315-eau-air-soutien/objets", "link")</f>
        <v/>
      </c>
      <c r="C961" t="n">
        <v>12</v>
      </c>
      <c r="D961" t="inlineStr">
        <is>
          <t>Arc de Koutoulou; Amulette du Strigide; Anneau de Padgref; Alliance Gloursonne; Cadran de Terre; Menoture; Némès de Tal Kasha; Cape Matelassée; Sandales de Tal Kasha</t>
        </is>
      </c>
    </row>
    <row r="962">
      <c r="A962" t="inlineStr">
        <is>
          <t>Feca full eau crit</t>
        </is>
      </c>
      <c r="B962">
        <f>HYPERLINK("https://www.dofusbook.net/fr/equipement/5004202-feca-full-eau-crit/objets", "link")</f>
        <v/>
      </c>
      <c r="C962" t="n">
        <v>30</v>
      </c>
      <c r="D962" t="inlineStr">
        <is>
          <t>Baguette Hique; Amulette du Strigide; Alliance Gloursonne; Bracelet des Fonds marins; Quatre-feuilles; Ceintacé; Casquette de Meno; Cape de la Dame du Hasard; Bottes du Strigide; Dofus Turquoise; Dofus Pourpre; Remueur; Chanceux majeur; Miraculé majeur; Nomade; Muldo Prune et Emeraude</t>
        </is>
      </c>
    </row>
    <row r="963">
      <c r="A963" t="inlineStr">
        <is>
          <t>Feu pvm bourrin</t>
        </is>
      </c>
      <c r="B963">
        <f>HYPERLINK("https://www.dofusbook.net/fr/equipement/4928473-feu-pvm-bourrin/objets", "link")</f>
        <v/>
      </c>
      <c r="C963" t="n">
        <v>38</v>
      </c>
      <c r="D963" t="inlineStr">
        <is>
          <t>Arc corrompu; Amulette d'Otomaï; Kralano; Anneau de Padgref; Quatre-feuilles; Ceinture Séculaire; Chapeau du Comte Razof; Cape de Diondin; Bottes d'Otomaï; Dofus Turquoise; Nomade; Déserteur majeur; Remueur; Érudit majeur; Miraculé majeur; Pioute rouge</t>
        </is>
      </c>
    </row>
    <row r="964">
      <c r="A964" t="inlineStr">
        <is>
          <t>Terre feu crit</t>
        </is>
      </c>
      <c r="B964">
        <f>HYPERLINK("https://www.dofusbook.net/fr/equipement/4771625-terre-feu-crit/objets", "link")</f>
        <v/>
      </c>
      <c r="C964" t="n">
        <v>40</v>
      </c>
      <c r="D964" t="inlineStr">
        <is>
          <t>Hache Téroïde; Amulette du Strigide; Anneau Chevelu; Bague Gloursonne; Quatre-feuilles; Ceintacé; Chapeau de Gein; Cape au Logis; Bottes du Strigide; Dofus Pourpre; Dofus Turquoise; Miraculé majeur; Remueur; Vigoureux majeur; Nomade; Cromeugnon</t>
        </is>
      </c>
    </row>
    <row r="965">
      <c r="A965" t="inlineStr">
        <is>
          <t>Eau Feu Crit</t>
        </is>
      </c>
      <c r="B965">
        <f>HYPERLINK("https://www.dofusbook.net/fr/equipement/4868105-eau-feu-crit-/objets", "link")</f>
        <v/>
      </c>
      <c r="C965" t="n">
        <v>28</v>
      </c>
      <c r="D965" t="inlineStr">
        <is>
          <t>Dagues Cacterre; Amulette du Strigide; Anneau de Padgref; Alliance Gloursonne; Bouclier du Captain Amakna; Ceintacé; Boucle d'oreille de Kongoku; Cape de la Dame du Hasard; Bottes du Strigide; Dofus Turquoise; Dofus Pourpre; Miraculé majeur; Nomade; Vigoureux majeur; Remueur; Muldo Prune et Emeraude</t>
        </is>
      </c>
    </row>
    <row r="966">
      <c r="A966" t="inlineStr">
        <is>
          <t>Terre 200 opti</t>
        </is>
      </c>
      <c r="B966">
        <f>HYPERLINK("https://www.dofusbook.net/fr/equipement/4960049-terre-200-opti/objets", "link")</f>
        <v/>
      </c>
      <c r="C966" t="n">
        <v>25</v>
      </c>
      <c r="D966" t="inlineStr">
        <is>
          <t>Bêche Asse; Amulette du K.O.; Bague Gloursonne; Anneau de Brouce; Bouclier d'Ilyzaelle; Ceinture de la Reine des Voleurs; Coiffe de la Reine des Voleurs; Cape au Logis; Sabots Minables; Dokoko; Dofus Émeraude; Nomade; Remueur; Vigoureux majeur; Enragé majeur; Dragodinde Ivoire et Pourpre</t>
        </is>
      </c>
    </row>
    <row r="967">
      <c r="A967" t="inlineStr">
        <is>
          <t>Enu air 200</t>
        </is>
      </c>
      <c r="B967">
        <f>HYPERLINK("https://www.dofusbook.net/fr/equipement/4958597-enu-air-200/objets", "link")</f>
        <v/>
      </c>
      <c r="C967" t="n">
        <v>22</v>
      </c>
      <c r="D967" t="inlineStr">
        <is>
          <t>Pelle de la Cour Sombre; Amulette d'Ilyzaelle; Alliance Gloursonne; Gant du Valet Veinard; Bouclier du Stalak; Ceinture Rasboulaire du Rasboul; Couronne d'Allister; Cape du Valet Veinard; Pantoufles Émar; Vigoureux majeur; Miraculé majeur; Robuste majeur; Nomade; Cascadeur majeur; Remueur; Blérodoudou</t>
        </is>
      </c>
    </row>
    <row r="968">
      <c r="A968" t="inlineStr">
        <is>
          <t>Terre do crit</t>
        </is>
      </c>
      <c r="B968">
        <f>HYPERLINK("https://www.dofusbook.net/fr/equipement/4934117-terre-do-crit/objets", "link")</f>
        <v/>
      </c>
      <c r="C968" t="n">
        <v>18</v>
      </c>
      <c r="D968" t="inlineStr">
        <is>
          <t>Arc du Chalœil; Amulette du Strigide; Bracelet du Piloztère; Bague Gloursonne; Cadran de Terre; Ceintacé; Masque de Koutoulou; Cape au Logis; Bottes du Strigide; Dofus Turquoise; Observateur; Remueur; Carapace Terre majeur; Enragé majeur; Vigoureux majeur; Kompost</t>
        </is>
      </c>
    </row>
    <row r="969">
      <c r="A969" t="inlineStr">
        <is>
          <t>Air osa pvm</t>
        </is>
      </c>
      <c r="B969">
        <f>HYPERLINK("https://www.dofusbook.net/fr/equipement/4928398-air-osa-pvm/objets", "link")</f>
        <v/>
      </c>
      <c r="C969" t="n">
        <v>12</v>
      </c>
      <c r="D969" t="inlineStr">
        <is>
          <t>L'Épée Nice; Amulette d'Ilyzaelle; Gant du Valet Veinard; Alliance Gloursonne; Bouclier du Stalak; Menoture; Couronne d'Allister; Cape du Valet Veinard; Pantoufles Émar; Acrobate majeur; Remueur; Dévastateur Air majeur; Nomade; Cascadeur majeur; Miraculé majeur; Blérodoudou</t>
        </is>
      </c>
    </row>
    <row r="970">
      <c r="A970" t="inlineStr">
        <is>
          <t>Enu eau pvm</t>
        </is>
      </c>
      <c r="B970">
        <f>HYPERLINK("https://www.dofusbook.net/fr/equipement/4908317-enu-eau-pvm/objets", "link")</f>
        <v/>
      </c>
      <c r="C970" t="n">
        <v>45</v>
      </c>
      <c r="D970" t="inlineStr">
        <is>
          <t>Baguette Hique; Amulette de Shokkoth; Pikano; Alliance Gloursonne; Bouclier cubiste; Sangle Ouare; Kidibonnet; Cape de la Dame du Hasard; Bottes de la Dame du Hasard; Dofus Pourpre; Nomade; Temporiseur majeur; Remueur; Chanceux majeur; Miraculé majeur; Kanigloups</t>
        </is>
      </c>
    </row>
    <row r="971">
      <c r="A971" t="inlineStr">
        <is>
          <t>Full eau</t>
        </is>
      </c>
      <c r="B971">
        <f>HYPERLINK("https://www.dofusbook.net/fr/equipement/4836121-full-eau/objets", "link")</f>
        <v/>
      </c>
      <c r="C971" t="n">
        <v>24</v>
      </c>
      <c r="D971" t="inlineStr">
        <is>
          <t>Baguette Hique; Amulette du Strigide; Alliance Gloursonne; Pikano; Quatre-feuilles; Sangle Ouare; Kidibonnet; Cape de la Dame du Hasard; Bottes du Strigide; Dofus Turquoise; Dofus Pourpre; Nomade; Chanceux majeur; Miraculé majeur; Remueur; Pioute bleu</t>
        </is>
      </c>
    </row>
    <row r="972">
      <c r="A972" t="inlineStr">
        <is>
          <t>Farm Feca</t>
        </is>
      </c>
      <c r="B972">
        <f>HYPERLINK("https://www.dofusbook.net/fr/equipement/4895246-farm-feca/objets", "link")</f>
        <v/>
      </c>
      <c r="C972" t="n">
        <v>24</v>
      </c>
      <c r="D972" t="inlineStr">
        <is>
          <t>Pyraguette; Talisman Igans; Anneau Kturne; Alliance Gloursonne; Bouclier du Stalak; Ceintrigue; Masque Paztek; Voilamibe; Pataugastrique; Dofus Pourpre; Vigoureux majeur; Sanguinaire majeur; Nomade; Robuste majeur; Remueur; Walk</t>
        </is>
      </c>
    </row>
    <row r="973">
      <c r="A973" t="inlineStr">
        <is>
          <t>full terre CC 200</t>
        </is>
      </c>
      <c r="B973">
        <f>HYPERLINK("https://www.dofusbook.net/fr/equipement/4763353-full-terre-cc-200/objets", "link")</f>
        <v/>
      </c>
      <c r="C973" t="n">
        <v>20</v>
      </c>
      <c r="D973" t="inlineStr">
        <is>
          <t>Arc du Chalœil; Amulette du Strigide; Bague Gloursonne; Anneau Chevelu; Quatre-feuilles; Ceintacé; Casque des égarés; Cape au Logis; Bottes du Strigide; Dofus Pourpre; Dofus Turquoise; Observateur; Remueur; Enragé majeur; Miraculé majeur; Pioute vert</t>
        </is>
      </c>
    </row>
    <row r="974">
      <c r="A974" t="inlineStr">
        <is>
          <t>Eau Air</t>
        </is>
      </c>
      <c r="B974">
        <f>HYPERLINK("https://www.dofusbook.net/fr/equipement/4874496-eau-air/objets", "link")</f>
        <v/>
      </c>
      <c r="C974" t="n">
        <v>13</v>
      </c>
      <c r="D974" t="inlineStr">
        <is>
          <t>Hachoirs de Viandargh; Amulette du Strigide; Alliance Gloursonne; Anneau de Padgref; Quatre-feuilles; Ceintacé; Capuche de Moum-Ra; Chevelure de Tal Kasha; Bottes du Strigide; Dofus Turquoise; Dofus Pourpre; Cascadeur majeur; Miraculé majeur; Nomade; Remueur; Pioute jaune</t>
        </is>
      </c>
    </row>
    <row r="975">
      <c r="A975" t="inlineStr">
        <is>
          <t>tank tacle</t>
        </is>
      </c>
      <c r="B975">
        <f>HYPERLINK("https://www.dofusbook.net/fr/equipement/4874564-tank-tacle/objets", "link")</f>
        <v/>
      </c>
      <c r="C975" t="n">
        <v>51</v>
      </c>
      <c r="D975" t="inlineStr">
        <is>
          <t>Lav'Hache; Collier Rophante; Anneau de Pol Ouatnos; Anneau Crustique; Sept ans de malheur; Menoture; Masque d'Anerice; Cape d'Anerice; Bottarpille; Dofus Émeraude; Dokoko; Obstructeur majeur; Remueur; Miraculé majeur; Bloqueur majeur; Givrefoux</t>
        </is>
      </c>
    </row>
    <row r="976">
      <c r="A976" t="inlineStr">
        <is>
          <t>Feu air</t>
        </is>
      </c>
      <c r="B976">
        <f>HYPERLINK("https://www.dofusbook.net/fr/equipement/4853161-feu-air/objets", "link")</f>
        <v/>
      </c>
      <c r="C976" t="n">
        <v>30</v>
      </c>
      <c r="D976" t="inlineStr">
        <is>
          <t>Marteau Phossile; Pendentif mignon de Koutoulou; Alliance Gloursonne; Kralano; Bouclier Taverne; Ceinture de Vortex; Casque Cyclopéen; Voilamibe; Pantoufles Émar; Dofus Pourpre; Remueur; Vigoureux majeur; Miraculé majeur; Nomade; Robuste majeur; Willy le Relou</t>
        </is>
      </c>
    </row>
    <row r="977">
      <c r="A977" t="inlineStr">
        <is>
          <t>Eau Feu opti crit</t>
        </is>
      </c>
      <c r="B977">
        <f>HYPERLINK("https://www.dofusbook.net/fr/equipement/4868118-eau-feu-opti-crit/objets", "link")</f>
        <v/>
      </c>
      <c r="C977" t="n">
        <v>30</v>
      </c>
      <c r="D977" t="inlineStr">
        <is>
          <t>Arc Nécrotique; Amulette Volkorne; Bague Trithon; Anneau Volkorne; Quatre-feuilles; Sangle Ouare; Masque Trithon; Cape de la Dame du Hasard; Bottes Trithon; Dofus Pourpre; Dofus Nébuleux; Dofus Turquoise; Dofus Ivoire; Dofus Abyssal; Dofus Ébène; Sakochère</t>
        </is>
      </c>
    </row>
    <row r="978">
      <c r="A978" t="inlineStr">
        <is>
          <t>Feu crit eca</t>
        </is>
      </c>
      <c r="B978">
        <f>HYPERLINK("https://www.dofusbook.net/fr/equipement/4853147-feu-crit-eca/objets", "link")</f>
        <v/>
      </c>
      <c r="C978" t="n">
        <v>15</v>
      </c>
      <c r="D978" t="inlineStr">
        <is>
          <t>Arc corrompu; Collier de la Dame du Hasard; Anneauræus; Anneau de Padgref; Bouclier du Stalak; Sangle Ouare; Heaume Oplate; Cape de la Dame du Hasard; Pataugastrique; Dofus Pourpre; Dofus Turquoise; Miraculé majeur; Nomade; Érudit majeur; Remueur; Pioute rouge</t>
        </is>
      </c>
    </row>
    <row r="979">
      <c r="A979" t="inlineStr">
        <is>
          <t>Full feu</t>
        </is>
      </c>
      <c r="B979">
        <f>HYPERLINK("https://www.dofusbook.net/fr/equipement/4816209-full-feu/objets", "link")</f>
        <v/>
      </c>
      <c r="C979" t="n">
        <v>14</v>
      </c>
      <c r="D979" t="inlineStr">
        <is>
          <t>Arc corrompu; Pendentif affamé; Anneauræus; Anneauræus; Quatre-feuilles; Ceinture de Vortex; Heaume Oplate; Cape de Diondin; Bottes Innommables; Dofus Pourpre; Dofus Turquoise; Nomade; Carapace Feu majeur; Remueur; Érudit majeur; Phortiche</t>
        </is>
      </c>
    </row>
    <row r="980">
      <c r="A980" t="inlineStr">
        <is>
          <t>Eau/air no crit</t>
        </is>
      </c>
      <c r="B980">
        <f>HYPERLINK("https://www.dofusbook.net/fr/equipement/4822408-eau-air-no-crit/objets", "link")</f>
        <v/>
      </c>
      <c r="C980" t="n">
        <v>20</v>
      </c>
      <c r="D980" t="inlineStr">
        <is>
          <t>Arc de Koutoulou; Amulette d'Ilyzaelle; Grésilanneau; Alliance Gloursonne; Cadran d'Air; Menoture; Casque d'Ilyzaelle; Voilamibe; Bottes de la Reine des Voleurs; Dofus Pourpre; Carapace Air majeur; Vigoureux majeur; Robuste majeur; Nomade; Remueur; Kanigloups</t>
        </is>
      </c>
    </row>
    <row r="981">
      <c r="A981" t="inlineStr">
        <is>
          <t>Zobal M 200</t>
        </is>
      </c>
      <c r="B981">
        <f>HYPERLINK("https://www.dofusbook.net/fr/equipement/4046579-zobal-m-200/objets", "link")</f>
        <v/>
      </c>
      <c r="C981" t="n">
        <v>28</v>
      </c>
      <c r="D981" t="inlineStr">
        <is>
          <t>Hache du Chalœil; Amulette Volkorne; Bague Trithon; Anneau Volkorne; Bouclier du Captain Amakna; Ceinture Volkorne; Masque Trithon; Voile d'encre; Bottes Trithon; Dofus Ocre; Dofus Émeraude; Dofus Nébuleux; Dofus Turquoise; Dofus des Glaces; Dofus Pourpre; Sakochère</t>
        </is>
      </c>
    </row>
    <row r="982">
      <c r="A982" t="inlineStr">
        <is>
          <t>Full eau 200</t>
        </is>
      </c>
      <c r="B982">
        <f>HYPERLINK("https://www.dofusbook.net/fr/equipement/4775657-full-eau-200/objets", "link")</f>
        <v/>
      </c>
      <c r="C982" t="n">
        <v>27</v>
      </c>
      <c r="D982" t="inlineStr">
        <is>
          <t>Dagoulinantes; Amulette de l'Œil Attentif; Alliance Gloursonne; Bracelet des Fonds marins; Bouclier Taverne; Sangle Ouare; Capuche de l'Œil Attentif; Cape Solution; Bottes du Sinistrofu; Dofus Pourpre; Dofus Turquoise; Dofus Émeraude; Chanceux majeur; Nomade; Remueur; Kanigloups</t>
        </is>
      </c>
    </row>
    <row r="983">
      <c r="A983" t="inlineStr">
        <is>
          <t>Iop feu 200 full sta</t>
        </is>
      </c>
      <c r="B983">
        <f>HYPERLINK("https://www.dofusbook.net/fr/equipement/4771544-iop-feu-200-full-sta/objets", "link")</f>
        <v/>
      </c>
      <c r="C983" t="n">
        <v>21</v>
      </c>
      <c r="D983" t="inlineStr">
        <is>
          <t>Arc corrompu; Pendentif affamé; Anneauræus; Anneauræus; Quatre-feuilles; Ceinture Séculaire; Coiffe Séculaire; Cape de Diondin; Bottes Innommables; Dofus Pourpre; Dofus Turquoise; Vigoureux majeur; Érudit majeur; Nomade; Remueur; Brûlih</t>
        </is>
      </c>
    </row>
    <row r="984">
      <c r="A984" t="inlineStr">
        <is>
          <t>Iop feu 200 CC</t>
        </is>
      </c>
      <c r="B984">
        <f>HYPERLINK("https://www.dofusbook.net/fr/equipement/4615502-iop-feu-200-cc/objets", "link")</f>
        <v/>
      </c>
      <c r="C984" t="n">
        <v>16</v>
      </c>
      <c r="D984" t="inlineStr">
        <is>
          <t>Arc corrompu; Collier de la Dame du Hasard; Anneau de Padgref; Bague Gloursonne; Quatre-feuilles; Ceinture de Gein; Heaume Oplate; Cape de la Dame du Hasard; Pataugastrique; Dofus Pourpre; Dofus Turquoise; Érudit majeur; Remueur; Miraculé majeur; Nomade; Pioute rouge</t>
        </is>
      </c>
    </row>
    <row r="985">
      <c r="A985" t="inlineStr">
        <is>
          <t>Terre/Feu</t>
        </is>
      </c>
      <c r="B985">
        <f>HYPERLINK("https://www.dofusbook.net/fr/equipement/4747379-terre-feu/objets", "link")</f>
        <v/>
      </c>
      <c r="C985" t="n">
        <v>26</v>
      </c>
      <c r="D985" t="inlineStr">
        <is>
          <t>Arc Hétype; Amulette du Strigide; Bracelet du Piloztère; Anneau de Padgref; Bouclier du Stalak; Ceintacé; Couronne du Roi Joueur; Cape au Logis; Bottes du Strigide; Dofus Turquoise; Dofus Pourpre; Vigoureux majeur; Nomade; Miraculé majeur; Remueur; Fëanor</t>
        </is>
      </c>
    </row>
    <row r="986">
      <c r="A986" t="inlineStr">
        <is>
          <t>Féca F 200</t>
        </is>
      </c>
      <c r="B986">
        <f>HYPERLINK("https://www.dofusbook.net/fr/equipement/4716672-feca-f-200/objets", "link")</f>
        <v/>
      </c>
      <c r="C986" t="n">
        <v>22</v>
      </c>
      <c r="D986" t="inlineStr">
        <is>
          <t>Baguette Hique; Amulette du Strigide; Pikano; Alliance Gloursonne; Quatre-feuilles; Sangle Ouare; Kidibonnet; Cape de la Dame du Hasard; Bottes du Strigide; Dofus Turquoise; Dofus Pourpre; Chanceux majeur; Nomade; Vigoureux majeur; Remueur; Pioute bleu</t>
        </is>
      </c>
    </row>
    <row r="987">
      <c r="A987" t="inlineStr">
        <is>
          <t>Air Esquive</t>
        </is>
      </c>
      <c r="B987">
        <f>HYPERLINK("https://www.dofusbook.net/fr/equipement/4607436-air-esquive/objets", "link")</f>
        <v/>
      </c>
      <c r="C987" t="n">
        <v>25</v>
      </c>
      <c r="D987" t="inlineStr">
        <is>
          <t>L'Épée Nice; Amulette Voldelor; Gant du Valet Veinard; Alliance Gloursonne; Écorce de Brouce; Ceintouse; Chapeau de Tournoyé; Cape de Crânonier; Pantoufles Émar; Dokoko; Dofus Émeraude; Évasif majeur; Nomade; Cascadeur majeur; Remueur; Chienchien Tigré</t>
        </is>
      </c>
    </row>
    <row r="988">
      <c r="A988" t="inlineStr">
        <is>
          <t>Full air</t>
        </is>
      </c>
      <c r="B988">
        <f>HYPERLINK("https://www.dofusbook.net/fr/equipement/4607403-full-air/objets", "link")</f>
        <v/>
      </c>
      <c r="C988" t="n">
        <v>15</v>
      </c>
      <c r="D988" t="inlineStr">
        <is>
          <t>Lance Horselé; Collier du Valet Veinard; Gant du Valet Veinard; Alliance Gloursonne; Bouclier du Stalak; Menoture; Couronne d'Allister; Cape Indescriptible; Palmes Trithons; Dofus des Glaces; Cascadeur majeur; Remueur; Miraculé majeur; Equilibriste majeur; Nomade; Blérodoudou</t>
        </is>
      </c>
    </row>
    <row r="989">
      <c r="A989" t="inlineStr">
        <is>
          <t>Ouginak F 200</t>
        </is>
      </c>
      <c r="B989">
        <f>HYPERLINK("https://www.dofusbook.net/fr/equipement/4602363-ouginak-f-200/objets", "link")</f>
        <v/>
      </c>
      <c r="C989" t="n">
        <v>18</v>
      </c>
      <c r="D989" t="inlineStr">
        <is>
          <t>Bêche Asse; Amulette Volkorne; Bague Gloursonne; Anneau de Brouce; Droiture de Fallanster; Ceinture Volkorne; Casque Dragoeuf; Bravoure de Rykke Errel; Sabots Minables; Dokoko; Dofus Émeraude; Dofus Forgelave; Vigoureux majeur; Remueur; Enragé majeur; Muldo Indigo et Ivoire</t>
        </is>
      </c>
    </row>
    <row r="990">
      <c r="A990" t="inlineStr">
        <is>
          <t>Full air</t>
        </is>
      </c>
      <c r="B990">
        <f>HYPERLINK("https://www.dofusbook.net/fr/equipement/4601246-full-air/objets", "link")</f>
        <v/>
      </c>
      <c r="C990" t="n">
        <v>34</v>
      </c>
      <c r="D990" t="inlineStr">
        <is>
          <t>Hachoirs de Viandargh; Amulette du Strigide; Alliance Gloursonne; Anneau de Padgref; Quatre-feuilles; Menoture; Capuche de Moum-Ra; Chevelure de Tal Kasha; Bottes du Strigide; Dofus Pourpre; Dofus Turquoise; Nomade; Cascadeur majeur; Remueur; Vigoureux majeur; Kokulte</t>
        </is>
      </c>
    </row>
    <row r="991">
      <c r="A991" t="inlineStr">
        <is>
          <t>multi crit 200</t>
        </is>
      </c>
      <c r="B991">
        <f>HYPERLINK("https://www.dofusbook.net/fr/equipement/4582289-multi-crit-200/objets", "link")</f>
        <v/>
      </c>
      <c r="C991" t="n">
        <v>34</v>
      </c>
      <c r="D991" t="inlineStr">
        <is>
          <t>Faux Maudite du Saigneur Guerrier; Amulette Volkorne; Bague Trithon; Anneau Volkorne; Bouclier Pandawa; Ceinture Volkorne; Masque Trithon; Cape du Chalœil; Bottes Trithon; Dolmanax; Dofus Émeraude; Dofus des Glaces; Dofus Pourpre; Dofus Turquoise; Puissant majeur; Sakochère</t>
        </is>
      </c>
    </row>
    <row r="992">
      <c r="A992" t="inlineStr">
        <is>
          <t>Full Terre</t>
        </is>
      </c>
      <c r="B992">
        <f>HYPERLINK("https://www.dofusbook.net/fr/equipement/4574152-full-terre/objets", "link")</f>
        <v/>
      </c>
      <c r="C992" t="n">
        <v>32</v>
      </c>
      <c r="D992" t="inlineStr">
        <is>
          <t>Dagues Érhy; Amulette de Pol Ouatnos; Anneau Chevelu; Anneau de Brouce; Cadran de Terre; Ceinture de Brouce; Masque de Koutoulou; Voile d'encre; Bottes Honyme; Dofus Pourpre; Vigoureux majeur; Forcené majeur; Nomade; Enragé majeur; Remueur; Dragodinde Ivoire et Pourpre</t>
        </is>
      </c>
    </row>
    <row r="993">
      <c r="A993" t="inlineStr">
        <is>
          <t>Crâ M 200</t>
        </is>
      </c>
      <c r="B993">
        <f>HYPERLINK("https://www.dofusbook.net/fr/equipement/4519147-cra-m-200/objets", "link")</f>
        <v/>
      </c>
      <c r="C993" t="n">
        <v>42</v>
      </c>
      <c r="D993" t="inlineStr">
        <is>
          <t>Bâtonnet Ronien; Amulette du Strigide; Alliance Gloursonne; Anneau de Padgref; Quatre-feuilles; Ceintacé; Coiffe d'Ogivol; Chevelure de Tal Kasha; Bottes du Strigide; Dofus Pourpre; Dofus Turquoise; Remueur; Vigoureux majeur; Observateur; Miraculé majeur; Muldo Prune et Emeraude</t>
        </is>
      </c>
    </row>
    <row r="994">
      <c r="A994" t="inlineStr">
        <is>
          <t>Crâ M 200</t>
        </is>
      </c>
      <c r="B994">
        <f>HYPERLINK("https://www.dofusbook.net/fr/equipement/4504564-cra-m-200/objets", "link")</f>
        <v/>
      </c>
      <c r="C994" t="n">
        <v>53</v>
      </c>
      <c r="D994" t="inlineStr">
        <is>
          <t>Bâton Beau; Amulette du Strigide; Alliance Gloursonne; Anneau de Padgref; Quatre-feuilles; Ceinture du Strigide; Le Dorado; Cape Reski; Bottes Honyme; Dofus Turquoise; Dofus Pourpre; Vigoureux majeur; Nomade; Miraculé majeur; Kokulte</t>
        </is>
      </c>
    </row>
    <row r="995">
      <c r="A995" t="inlineStr">
        <is>
          <t>Zobal F 200</t>
        </is>
      </c>
      <c r="B995">
        <f>HYPERLINK("https://www.dofusbook.net/fr/equipement/4502964-zobal-f-200/objets", "link")</f>
        <v/>
      </c>
      <c r="C995" t="n">
        <v>12</v>
      </c>
      <c r="D995" t="inlineStr">
        <is>
          <t>Crocobur; Collier de Tourthon; Bague Gloursonne; Anneau de Brouce; Bouclier d'Ilyzaelle; Ceinture de la Reine des Voleurs; Coiffe de la Reine des Voleurs; Cape au Logis; Bottes Honyme; Dofus Pourpre; Dofus Émeraude; Évasif majeur; Remueur; Miraculé majeur; Nomade; Dragodinde Ivoire et Pourpre</t>
        </is>
      </c>
    </row>
    <row r="996">
      <c r="A996" t="inlineStr">
        <is>
          <t>Terre 200</t>
        </is>
      </c>
      <c r="B996">
        <f>HYPERLINK("https://www.dofusbook.net/fr/equipement/4497689-terre-200/objets", "link")</f>
        <v/>
      </c>
      <c r="C996" t="n">
        <v>6</v>
      </c>
      <c r="D996" t="inlineStr">
        <is>
          <t>Lav'Hache; Amulette du Strigide; Pikano; Anneau Chevelu; Bouclier d'Ilyzaelle; Ceinture Gence; Casque Dragoeuf; Cape au Logis; Bottes du Strigide; Dokoko; Dofus Émeraude; Enragé majeur; Carapace Terre majeur; Vigoureux majeur; Remueur; Dragodinde en armure</t>
        </is>
      </c>
    </row>
    <row r="997">
      <c r="A997" t="inlineStr">
        <is>
          <t>Terre Feu</t>
        </is>
      </c>
      <c r="B997">
        <f>HYPERLINK("https://www.dofusbook.net/fr/equipement/4489836-terre-feu/objets", "link")</f>
        <v/>
      </c>
      <c r="C997" t="n">
        <v>32</v>
      </c>
      <c r="D997" t="inlineStr">
        <is>
          <t>Marteau d'Henual; Amulette du Strigide; Chevalière du Roi Joueur; Bague Gloursonne; Quatre-feuilles; Ceintacé; Masque de Koutoulou; Cape au Logis; Bottes du Strigide; Dofus Pourpre; Dofus Turquoise; Nomade; Érudit majeur; Remueur; Vigoureux majeur; Pioute rose</t>
        </is>
      </c>
    </row>
    <row r="998">
      <c r="A998" t="inlineStr">
        <is>
          <t>Féca F 200</t>
        </is>
      </c>
      <c r="B998">
        <f>HYPERLINK("https://www.dofusbook.net/fr/equipement/4420366-feca-f-200/objets", "link")</f>
        <v/>
      </c>
      <c r="C998" t="n">
        <v>20</v>
      </c>
      <c r="D998" t="inlineStr">
        <is>
          <t>Hachoirs de Viandargh; Amulette du Strigide; Anneau de Padgref; Alliance Gloursonne; Bouclier du Captain Amakna; Ceintacé; Boucle d'oreille de Kongoku; Chevelure de Tal Kasha; Bottes du Strigide; Dofus Turquoise; Dofus Émeraude; Dofus Pourpre; Vigoureux majeur; Remueur; Nomade; Muldo Prune et Emeraude</t>
        </is>
      </c>
    </row>
    <row r="999">
      <c r="A999" t="inlineStr">
        <is>
          <t>Pandawa F 200</t>
        </is>
      </c>
      <c r="B999">
        <f>HYPERLINK("https://www.dofusbook.net/fr/equipement/4416345-pandawa-f-200/objets", "link")</f>
        <v/>
      </c>
      <c r="C999" t="n">
        <v>48</v>
      </c>
      <c r="D999" t="inlineStr">
        <is>
          <t>Pyraguette; Amulette Volkorne; Alliance Gloursonne; Anneau Volkorne; Bouclier du Stalak; Ceinture Volkorne; Masque Paztek; Cape Paztek; Sandales Paztek; Dofus Émeraude; Dofus des Glaces; Dofus Pourpre; Dofus Ocre; Kougnard</t>
        </is>
      </c>
    </row>
    <row r="1000">
      <c r="A1000" t="inlineStr">
        <is>
          <t>Eniripsa M 200</t>
        </is>
      </c>
      <c r="B1000">
        <f>HYPERLINK("https://www.dofusbook.net/fr/equipement/4397550-eniripsa-m-200/objets", "link")</f>
        <v/>
      </c>
      <c r="C1000" t="n">
        <v>36</v>
      </c>
      <c r="D1000" t="inlineStr">
        <is>
          <t>Arc corrompu; Amulette d'Otomaï; Anneau Tique; Kralano; Cadran de Terre; Ceinture de Vortex; Chapeau du Comte Razof; Cape de Diondin; Bottes d'Otomaï; Dofus Turquoise; Érudit majeur; Miraculé majeur; Déserteur majeur; Étourdisseur majeur; Remueur; Muldo Ebène et Orchidée</t>
        </is>
      </c>
    </row>
    <row r="1001">
      <c r="A1001" t="inlineStr">
        <is>
          <t>Crâ M 200</t>
        </is>
      </c>
      <c r="B1001">
        <f>HYPERLINK("https://www.dofusbook.net/fr/equipement/4332537-cra-m-200/objets", "link")</f>
        <v/>
      </c>
      <c r="C1001" t="n">
        <v>33</v>
      </c>
      <c r="D1001" t="inlineStr">
        <is>
          <t>Baguette de Malléfisk; Amulette d'Ilyzaelle; Anneau de Padgref; Alliance Gloursonne; Carapar; Sangle Cible; Casque d'Ilyzaelle; Cape de la Dame du Hasard; Pataugastrique; Dofus Pourpre; Remueur; Chanceux majeur; Miraculé majeur; Nomade; Kanigloups</t>
        </is>
      </c>
    </row>
    <row r="1002">
      <c r="A1002" t="inlineStr">
        <is>
          <t>Ecaflip M 200</t>
        </is>
      </c>
      <c r="B1002">
        <f>HYPERLINK("https://www.dofusbook.net/fr/equipement/4304459-ecaflip-m-200/objets", "link")</f>
        <v/>
      </c>
      <c r="C1002" t="n">
        <v>20</v>
      </c>
      <c r="D1002" t="inlineStr">
        <is>
          <t>Bêche Asse; Amulette du Strigide; Bague Gloursonne; Anneau de Brouce; Bouclier du Stalak; Ceintacé; Coiffe de la Reine des Voleurs; Cape au Logis; Bottes du Strigide; Dofus Turquoise; Dofus Pourpre; Remueur; Nomade; Enragé majeur; Vigoureux majeur; Pioute vert</t>
        </is>
      </c>
    </row>
    <row r="1003">
      <c r="A1003" t="inlineStr">
        <is>
          <t>Ouginak F 200</t>
        </is>
      </c>
      <c r="B1003">
        <f>HYPERLINK("https://www.dofusbook.net/fr/equipement/4293367-ouginak-f-200/objets", "link")</f>
        <v/>
      </c>
      <c r="C1003" t="n">
        <v>8</v>
      </c>
      <c r="D1003" t="inlineStr">
        <is>
          <t>Masse Ossiale; Torquistik; Bague Instable; Alliance Gloursonne; Bouclier Taverne; Sangle Ouare; Masque Paztek; Cape Solution; Sandales Paztek; Dofus Émeraude; Bousculeur majeur; Remueur; Culbuteur majeur; Miraculé majeur; Vigoureux majeur; Scarakiri</t>
        </is>
      </c>
    </row>
    <row r="1004">
      <c r="A1004" t="inlineStr">
        <is>
          <t>Sadida F 200</t>
        </is>
      </c>
      <c r="B1004">
        <f>HYPERLINK("https://www.dofusbook.net/fr/equipement/4260855-sadida-f-200/objets", "link")</f>
        <v/>
      </c>
      <c r="C1004" t="n">
        <v>20</v>
      </c>
      <c r="D1004" t="inlineStr">
        <is>
          <t>Pyraguette; Amulette de Shokkoth; Anneauræus; Alliance Gloursonne; Bouclier cubiste; Ceintrigue; Masque Paztek; Cape Paztek; Pataugastrique; Dofus Pourpre; Dofus des Glaces; Miraculé majeur; Remueur; Vigoureux majeur; Nomade; Bisouglours</t>
        </is>
      </c>
    </row>
    <row r="1005">
      <c r="A1005" t="inlineStr">
        <is>
          <t>Roublard F 200</t>
        </is>
      </c>
      <c r="B1005">
        <f>HYPERLINK("https://www.dofusbook.net/fr/equipement/4259161-roublard-f-200/objets", "link")</f>
        <v/>
      </c>
      <c r="C1005" t="n">
        <v>9</v>
      </c>
      <c r="D1005" t="inlineStr">
        <is>
          <t>Manthache; Collier du Valet Veinard; Alliance Gloursonne; Gant du Valet Veinard; Cadran d'Air; Menoture; Couronne d'Allister; Cape Indescriptible; Palmes Trithons; Dofus Ébène; Miraculé majeur; Dévastateur Air majeur; Nomade; Cascadeur majeur; Remueur; Blérodoudou</t>
        </is>
      </c>
    </row>
    <row r="1006">
      <c r="A1006" t="inlineStr">
        <is>
          <t>Iop M 200</t>
        </is>
      </c>
      <c r="B1006">
        <f>HYPERLINK("https://www.dofusbook.net/fr/equipement/4163695-iop-m-200/objets", "link")</f>
        <v/>
      </c>
      <c r="C1006" t="n">
        <v>2</v>
      </c>
      <c r="D1006" t="inlineStr">
        <is>
          <t>Anneau de Padgref; Sangle Aise; Coiffe de Padgref; Pantoufles Émar</t>
        </is>
      </c>
    </row>
    <row r="1007">
      <c r="A1007" t="inlineStr">
        <is>
          <t>Terre Eau Ret PA</t>
        </is>
      </c>
      <c r="B1007">
        <f>HYPERLINK("https://www.dofusbook.net/fr/equipement/2600253-terre-eau-ret-pa/objets", "link")</f>
        <v/>
      </c>
      <c r="C1007" t="n">
        <v>30</v>
      </c>
      <c r="D1007" t="inlineStr">
        <is>
          <t>Dagues de Srambad; Amulette de Shokkoth; Anneau Crustique; Anneau Crustique; Sept ans de malheur; Culotte de Bethel; Némès de Tal Kasha; Cape Matelassée; Chaussons de Macrab; Dofus Émeraude; Dofus Pourpre; Miraculé majeur; Nomade; Vigoureux majeur; Remueur</t>
        </is>
      </c>
    </row>
    <row r="1008">
      <c r="A1008" t="inlineStr">
        <is>
          <t>Steamer F 200</t>
        </is>
      </c>
      <c r="B1008">
        <f>HYPERLINK("https://www.dofusbook.net/fr/equipement/3955334-steamer-f-200/objets", "link")</f>
        <v/>
      </c>
      <c r="C1008" t="n">
        <v>1</v>
      </c>
      <c r="D1008" t="inlineStr">
        <is>
          <t>Torquistik; Bague Instable; Sangle Ouare; Masque de Koutoulou; Bottistik</t>
        </is>
      </c>
    </row>
    <row r="1009">
      <c r="A1009" t="inlineStr">
        <is>
          <t>Eniripsa M 200</t>
        </is>
      </c>
      <c r="B1009">
        <f>HYPERLINK("https://www.dofusbook.net/fr/equipement/3947315-eniripsa-m-200/objets", "link")</f>
        <v/>
      </c>
      <c r="C1009" t="n">
        <v>16</v>
      </c>
      <c r="D1009" t="inlineStr">
        <is>
          <t>Baguette de Malléfisk; Amulette d'Ilyzaelle; Grésilanneau; Alliance Gloursonne; Cadran de Terre; Sangle Ouare; Casque d'Ilyzaelle; Cape Matelassée; Pataugastrique; Évasif majeur; Miraculé majeur; Étourdisseur majeur; Remueur; Guérisseur majeur; Chanceux majeur; Ross</t>
        </is>
      </c>
    </row>
    <row r="1010">
      <c r="A1010" t="inlineStr">
        <is>
          <t>Feu soutien</t>
        </is>
      </c>
      <c r="B1010">
        <f>HYPERLINK("https://www.dofusbook.net/fr/equipement/3895555-feu-soutien/objets", "link")</f>
        <v/>
      </c>
      <c r="C1010" t="n">
        <v>18</v>
      </c>
      <c r="D1010" t="inlineStr">
        <is>
          <t>Arc corrompu; Amulette de Nileza; Anneauræus; Anneauræus; Bouclier cubiste; Ceinture de Vortex; Heaume Oplate; Cape de Nileza; Pantoufles Émar; Déserteur majeur; Savant majeur; Astucieux majeur; Érudit majeur; Nomade; Remueur; Muldo Amande</t>
        </is>
      </c>
    </row>
    <row r="1011">
      <c r="A1011" t="inlineStr">
        <is>
          <t>Air Esquive PA</t>
        </is>
      </c>
      <c r="B1011">
        <f>HYPERLINK("https://www.dofusbook.net/fr/equipement/3885486-air-esquive-pa/objets", "link")</f>
        <v/>
      </c>
      <c r="C1011" t="n">
        <v>13</v>
      </c>
      <c r="D1011" t="inlineStr">
        <is>
          <t>Pelle de la Cour Sombre; Amulette d'Ilyzaelle; Anneau Toriété; Alliance Gloursonne; Écorce de Brouce; Ceintouse; Chapeau de Tournoyé; Cape de Crânonier; Pantoufles Émar; Dokoko; Dofus Émeraude; Évasif majeur; Carapace Air majeur; Cascadeur majeur; Obstructeur majeur; Chienchien Tigré</t>
        </is>
      </c>
    </row>
    <row r="1012">
      <c r="A1012" t="inlineStr">
        <is>
          <t>Ouginak F 200</t>
        </is>
      </c>
      <c r="B1012">
        <f>HYPERLINK("https://www.dofusbook.net/fr/equipement/3777166-ouginak-f-200/objets", "link")</f>
        <v/>
      </c>
      <c r="C1012" t="n">
        <v>23</v>
      </c>
      <c r="D1012" t="inlineStr">
        <is>
          <t>L'Épée Nice; Collier du Valet Veinard; Gant du Valet Veinard; Alliance Gloursonne; Bouclier d'Ilyzaelle; Menoture; Casque Dragoeuf; Cape Indescriptible; Baleinabottes; Dofus Émeraude; Dokoko; Évasif majeur; Nomade; Cascadeur majeur; Carapace Air majeur; Chienchien Tigré</t>
        </is>
      </c>
    </row>
    <row r="1013">
      <c r="A1013" t="inlineStr">
        <is>
          <t>Crâ M 200</t>
        </is>
      </c>
      <c r="B1013">
        <f>HYPERLINK("https://www.dofusbook.net/fr/equipement/3870807-cra-m-200/objets", "link")</f>
        <v/>
      </c>
      <c r="C1013" t="n">
        <v>52</v>
      </c>
      <c r="D1013" t="inlineStr">
        <is>
          <t>Sceptre du Roi Joueur; Amulette du Strigide; Alliance Gloursonne; Anneau Volkorne; Quatre-feuilles; Sangle Ouare; Némès de Tal Kasha; Chevelure de Tal Kasha; Pataugastrique; Dofus Turquoise; Étourdisseur majeur; Nomade; Chanceux majeur; Remueur; Miraculé majeur; Pioute bleu</t>
        </is>
      </c>
    </row>
    <row r="1014">
      <c r="A1014" t="inlineStr">
        <is>
          <t>Steamer F 200</t>
        </is>
      </c>
      <c r="B1014">
        <f>HYPERLINK("https://www.dofusbook.net/fr/equipement/3870254-steamer-f-200/objets", "link")</f>
        <v/>
      </c>
      <c r="C1014" t="n">
        <v>15</v>
      </c>
      <c r="D1014" t="inlineStr">
        <is>
          <t>Hachoirs de Viandargh; Amibou; Bague Instable; Alliance Gloursonne; Bouclier Taverne; Sangle Ouare; Chapibou; Cape Matelassée; Pantoufles Émar; Bousculeur majeur; Remueur; Cascadeur majeur; Nomade; Culbuteur majeur; Miraculé majeur; Tofoudre</t>
        </is>
      </c>
    </row>
    <row r="1015">
      <c r="A1015" t="inlineStr">
        <is>
          <t>Ouginak F 200</t>
        </is>
      </c>
      <c r="B1015">
        <f>HYPERLINK("https://www.dofusbook.net/fr/equipement/3856765-ouginak-f-200/objets", "link")</f>
        <v/>
      </c>
      <c r="C1015" t="n">
        <v>22</v>
      </c>
      <c r="D1015" t="inlineStr">
        <is>
          <t>Rapière aux Glyphes; Amulette du Sinistrofu; Alliance Gloursonne; Bracelet du Piloztère; Bouclier d'Ilyzaelle; Sangle Ouare; Kidibonnet; Cape Matelassée; Bottes du Sinistrofu; Dokoko; Dofus Émeraude; Vigoureux majeur; Miraculé majeur; Remueur; Chanceux majeur; Muldo Indigo et Ivoire</t>
        </is>
      </c>
    </row>
    <row r="1016">
      <c r="A1016" t="inlineStr">
        <is>
          <t>Mode full soin</t>
        </is>
      </c>
      <c r="B1016">
        <f>HYPERLINK("https://www.dofusbook.net/fr/equipement/603431-mode-full-soin/objets", "link")</f>
        <v/>
      </c>
      <c r="C1016" t="n">
        <v>34</v>
      </c>
      <c r="D1016" t="inlineStr">
        <is>
          <t>Baguette de Malléfisk; Pendentif affamé; Kralano; Alliance Gloursonne; Carapar; Ceinture Séculaire; Coiffe Séculaire; Cape de Diondin; Bottes Innommables; Dofus Turquoise; Remueur; Érudit majeur; Docteur majeur; Nomade; Guérisseur majeur; Pioute rouge</t>
        </is>
      </c>
    </row>
    <row r="1017">
      <c r="A1017" t="inlineStr">
        <is>
          <t>Iop M 200</t>
        </is>
      </c>
      <c r="B1017">
        <f>HYPERLINK("https://www.dofusbook.net/fr/equipement/3818847-iop-m-200/objets", "link")</f>
        <v/>
      </c>
      <c r="C1017" t="n">
        <v>44</v>
      </c>
      <c r="D1017" t="inlineStr">
        <is>
          <t>Hache Téroïde; Amulette du Strigide; Bague Gloursonne; Anneau Chevelu; Bouclier du Captain Amakna; Ceintacé; Casque de Missiz Frizz; Voile d'encre; Bottes du Strigide; Dofus Émeraude; Dofus Turquoise; Dofus Pourpre; Remueur; Vigoureux majeur; Nomade; Muldo Indigo et Pourpre</t>
        </is>
      </c>
    </row>
    <row r="1018">
      <c r="A1018" t="inlineStr">
        <is>
          <t>Ecaflip M 200</t>
        </is>
      </c>
      <c r="B1018">
        <f>HYPERLINK("https://www.dofusbook.net/fr/equipement/3422232-ecaflip-m-200/objets", "link")</f>
        <v/>
      </c>
      <c r="C1018" t="n">
        <v>22</v>
      </c>
      <c r="D1018" t="inlineStr">
        <is>
          <t>Arc Hétype; Collier de la Dame du Hasard; Anneauræus; Anneau de Padgref; Cadran de Feu; Ceinture de Gein; Casquette de Meno; Cape de Diondin; Bottes de la Dame du Hasard; Dofus Turquoise; Érudit majeur; Remueur; Miraculé majeur; Guérisseur majeur; Nomade; Drakopin</t>
        </is>
      </c>
    </row>
    <row r="1019">
      <c r="A1019" t="inlineStr">
        <is>
          <t>Steamer F 200</t>
        </is>
      </c>
      <c r="B1019">
        <f>HYPERLINK("https://www.dofusbook.net/fr/equipement/3788651-steamer-f-200/objets", "link")</f>
        <v/>
      </c>
      <c r="C1019" t="n">
        <v>16</v>
      </c>
      <c r="D1019" t="inlineStr">
        <is>
          <t>Lav'Hache; Torquistik; Bague Gloursonne; Anneau Chevelu; Bivalve; Ceinture Gence; Masque de Koutoulou; Cape au Logis; Bottistik; Culbuteur; Enragé majeur; Culbuteur majeur; Remueur; Bousculeur majeur; Miraculé majeur; Black Tiwabbit</t>
        </is>
      </c>
    </row>
    <row r="1020">
      <c r="A1020" t="inlineStr">
        <is>
          <t>Steamer F 200</t>
        </is>
      </c>
      <c r="B1020">
        <f>HYPERLINK("https://www.dofusbook.net/fr/equipement/3786792-steamer-f-200/objets", "link")</f>
        <v/>
      </c>
      <c r="C1020" t="n">
        <v>12</v>
      </c>
      <c r="D1020" t="inlineStr">
        <is>
          <t>Arc Hétype; Amulette d'Otomaï; Anneau de Nidas; Anneau Tique; Cadran de Feu; Ceinture de Vortex; Couronne de Nidas; Cape de Diondin; Pantoufles Émar; Déserteur majeur; Nomade; Miraculé majeur; Remueur; Guérisseur majeur; Érudit majeur; Bisouglours</t>
        </is>
      </c>
    </row>
    <row r="1021">
      <c r="A1021" t="inlineStr">
        <is>
          <t>Sadida F 200</t>
        </is>
      </c>
      <c r="B1021">
        <f>HYPERLINK("https://www.dofusbook.net/fr/equipement/3777352-sadida-f-200/objets", "link")</f>
        <v/>
      </c>
      <c r="C1021" t="n">
        <v>35</v>
      </c>
      <c r="D1021" t="inlineStr">
        <is>
          <t>Arc du Chalœil; Kralamansion; Anneau de Brouce; Bague Gloursonne; Bouclier du Stalak; Ceinture de la Reine des Voleurs; Coiffe de la Reine des Voleurs; Voile d'encre; Sabots Minables; Carapace Terre majeur; Nomade; Vigoureux majeur; Enragé majeur; Robuste majeur; Remueur; Dragodinde Ivoire et Pourpre</t>
        </is>
      </c>
    </row>
    <row r="1022">
      <c r="A1022" t="inlineStr">
        <is>
          <t>Sadida F 200</t>
        </is>
      </c>
      <c r="B1022">
        <f>HYPERLINK("https://www.dofusbook.net/fr/equipement/3777130-sadida-f-200/objets", "link")</f>
        <v/>
      </c>
      <c r="C1022" t="n">
        <v>38</v>
      </c>
      <c r="D1022" t="inlineStr">
        <is>
          <t>Dagues Érhy; Amulette Héroclite; Anneau Chevelu; Alliance du Lévitrof; Cadran d'Air; Slip Iholo; Bonnet Ko; Voile d'encre; Bottes du Lévitrof; Dokoko; Nomade; Enragé majeur; Remueur; Vigoureux majeur; Miraculé majeur; Volkorne Pourpre</t>
        </is>
      </c>
    </row>
    <row r="1023">
      <c r="A1023" t="inlineStr">
        <is>
          <t>Steamer F 200</t>
        </is>
      </c>
      <c r="B1023">
        <f>HYPERLINK("https://www.dofusbook.net/fr/equipement/3761682-steamer-f-200/objets", "link")</f>
        <v/>
      </c>
      <c r="C1023" t="n">
        <v>5</v>
      </c>
      <c r="D1023" t="inlineStr">
        <is>
          <t>La Baguette des Limbes; Amulette d'Otomaï; Alliance Boletée; Bague Gloursonne; Cadran de Feu; String Tue-Mouche; Chapeau du Comte Razof; Cape de Nileza; Pantoufles Émar; Observateur; Remueur; Guérisseur majeur; Miraculé majeur; Érudit majeur; Muldo Indigo</t>
        </is>
      </c>
    </row>
    <row r="1024">
      <c r="A1024" t="inlineStr">
        <is>
          <t>Sadida F 200</t>
        </is>
      </c>
      <c r="B1024">
        <f>HYPERLINK("https://www.dofusbook.net/fr/equipement/3761913-sadida-f-200/objets", "link")</f>
        <v/>
      </c>
      <c r="C1024" t="n">
        <v>4</v>
      </c>
      <c r="D1024" t="inlineStr">
        <is>
          <t>L'Épée Nice; Kralamansion; Alliance Gloursonne; Anneau de XLII; Cadran d'Air; Ceinture Rasboulaire du Rasboul; Couronne d'Allister; Cape Matelassée; Bottes de XLII; Dokoko; Cascadeur majeur; Robuste majeur; Survivant majeur; Évasif majeur; Miraculé majeur; Volkorne Ebène</t>
        </is>
      </c>
    </row>
    <row r="1025">
      <c r="A1025" t="inlineStr">
        <is>
          <t>Feu pvm</t>
        </is>
      </c>
      <c r="B1025">
        <f>HYPERLINK("https://www.dofusbook.net/fr/equipement/3685271-feu-pvm/objets", "link")</f>
        <v/>
      </c>
      <c r="C1025" t="n">
        <v>20</v>
      </c>
      <c r="D1025" t="inlineStr">
        <is>
          <t>Massier; Amulette Volkorne; Anneau Tamie; Anneau Tamie; Bouclier du Stalak; Ceintrigue; Calotte Spot; Cape de Diondin; Bottes Owesli; Dofus des Glaces; Érudit majeur; Remueur; Miraculé majeur; Dévastateur Feu majeur; Nomade; Dragodinde Caméléone</t>
        </is>
      </c>
    </row>
    <row r="1026">
      <c r="A1026" t="inlineStr">
        <is>
          <t>Tri élément exo PM</t>
        </is>
      </c>
      <c r="B1026">
        <f>HYPERLINK("https://www.dofusbook.net/fr/equipement/3515884-tri-element-exo-pm/objets", "link")</f>
        <v/>
      </c>
      <c r="C1026" t="n">
        <v>26</v>
      </c>
      <c r="D1026" t="inlineStr">
        <is>
          <t>Arc Honte; Kralamansion; Anneau Tique; Alliance Gloursonne; Bouclier cubiste; Sangle Aise; Chapeau des Malveilleurs; Cape Matelassée; Bottes des Malveilleurs; Nomade; Miraculé majeur; Robuste majeur; Remueur; Temporiseur majeur; Vigoureux majeur; Kramkram</t>
        </is>
      </c>
    </row>
    <row r="1027">
      <c r="A1027" t="inlineStr">
        <is>
          <t>Eau Air exo PA Grési</t>
        </is>
      </c>
      <c r="B1027">
        <f>HYPERLINK("https://www.dofusbook.net/fr/equipement/3504474-eau-air-exo-pa-gresi/objets", "link")</f>
        <v/>
      </c>
      <c r="C1027" t="n">
        <v>6</v>
      </c>
      <c r="D1027" t="inlineStr">
        <is>
          <t>Hache du Korriandre; Amulette d'Ilyzaelle; Alliance Gloursonne; Grésilanneau; Cadran d'Air; Sangle Ouare; Casque d'Ilyzaelle; Cape Matelassée; Bottes de la Reine des Voleurs; Miraculé majeur; Remueur; Évasif majeur; Vigoureux majeur; Robuste majeur; Sanguinaire majeur; Muldo Ebène et Pourpre</t>
        </is>
      </c>
    </row>
    <row r="1028">
      <c r="A1028" t="inlineStr">
        <is>
          <t>Eau Air no exo</t>
        </is>
      </c>
      <c r="B1028">
        <f>HYPERLINK("https://www.dofusbook.net/fr/equipement/3162637-eau-air-no-exo/objets", "link")</f>
        <v/>
      </c>
      <c r="C1028" t="n">
        <v>8</v>
      </c>
      <c r="D1028" t="inlineStr">
        <is>
          <t>Hache du Korriandre; Amulette d'Ilyzaelle; Bracelet du Piloztère; Alliance Gloursonne; Cadran d'Air; Sangle Ouare; Casque d'Ilyzaelle; Cape Matelassée; Pantoufles Émar; Dofus Pourpre; Évasif majeur; Vigoureux majeur; Robuste majeur; Miraculé majeur; Remueur; Muldo Indigo</t>
        </is>
      </c>
    </row>
    <row r="1029">
      <c r="A1029" t="inlineStr">
        <is>
          <t>Iop M 200</t>
        </is>
      </c>
      <c r="B1029">
        <f>HYPERLINK("https://www.dofusbook.net/fr/equipement/3431422-iop-m-200/objets", "link")</f>
        <v/>
      </c>
      <c r="C1029" t="n">
        <v>25</v>
      </c>
      <c r="D1029" t="inlineStr">
        <is>
          <t>Dagues Érhy; Amulette du Strigide; Bague Trithon; Anneau de Padgref; Bouclier du Captain Amakna; Ceinture du Strigide; Coiffe de Padgref; Cape des Justiciers; Bottes Trithon; Dolmanax; Dofus Ocre; Dofus Pourpre; Dofus Nébuleux; Dofus Émeraude; Dofus Turquoise; Muldo Prune et Emeraude</t>
        </is>
      </c>
    </row>
    <row r="1030">
      <c r="A1030" t="inlineStr">
        <is>
          <t>Tri no exo 200</t>
        </is>
      </c>
      <c r="B1030">
        <f>HYPERLINK("https://www.dofusbook.net/fr/equipement/3273704-tri-no-exo-200/objets", "link")</f>
        <v/>
      </c>
      <c r="C1030" t="n">
        <v>27</v>
      </c>
      <c r="D1030" t="inlineStr">
        <is>
          <t>Pelle de Nidas; Amulette de l'Indicible; Alliance Gloursonne; Bracelet du Piloztère; Bouclier du Stalak; Ceinture de la Reine des Voleurs; Coiffe de la Reine des Voleurs; Cape des Justiciers; Pataugastrique; Dofus Pourpre; Robuste majeur; Remueur; Vigoureux majeur; Sanguinaire majeur; Nomade; Muldo Indigo et Orchidée</t>
        </is>
      </c>
    </row>
    <row r="1031">
      <c r="A1031" t="inlineStr">
        <is>
          <t>Feu Soin 200 no exo</t>
        </is>
      </c>
      <c r="B1031">
        <f>HYPERLINK("https://www.dofusbook.net/fr/equipement/3273580-feu-soin-200-no-exo/objets", "link")</f>
        <v/>
      </c>
      <c r="C1031" t="n">
        <v>26</v>
      </c>
      <c r="D1031" t="inlineStr">
        <is>
          <t>Baguette de Malléfisk; Amulette d'Otomaï; Anneau de Nidas; Bague Gloursonne; Cadran de Feu; String Tue-Mouche; Couronne de Nidas; Cape des Justiciers; Pataugastrique; Guérisseur majeur; Nomade; Érudit majeur; Remueur; Déserteur majeur; Miraculé majeur; Muldo Indigo et Orchidée</t>
        </is>
      </c>
    </row>
    <row r="1032">
      <c r="A1032" t="inlineStr">
        <is>
          <t>Terre 200</t>
        </is>
      </c>
      <c r="B1032">
        <f>HYPERLINK("https://www.dofusbook.net/fr/equipement/3349869-terre-200/objets", "link")</f>
        <v/>
      </c>
      <c r="C1032" t="n">
        <v>15</v>
      </c>
      <c r="D1032" t="inlineStr">
        <is>
          <t>Arc du Chalœil; Collier de Tourthon; Anneau de Brouce; Anneau Chevelu; Cadran de Terre; Ceinture de la Reine des Voleurs; Coiffe de la Reine des Voleurs; Cape au Logis; Baleinabottes; Vigoureux majeur; Remueur; Observateur; Enragé majeur; Dévastateur Terre majeur; Miraculé majeur; Muldo Ebène et Indigo</t>
        </is>
      </c>
    </row>
    <row r="1033">
      <c r="A1033" t="inlineStr">
        <is>
          <t>Full terre no exo</t>
        </is>
      </c>
      <c r="B1033">
        <f>HYPERLINK("https://www.dofusbook.net/fr/equipement/3320438-full-terre-no-exo/objets", "link")</f>
        <v/>
      </c>
      <c r="C1033" t="n">
        <v>39</v>
      </c>
      <c r="D1033" t="inlineStr">
        <is>
          <t>Epée Toche; Amulette du Strigide; Bague Gloursonne; Anneau Chevelu; Bouclier d'Ilyzaelle; Ceintacé; Masque de Koutoulou; Cape au Logis; Bottes du Strigide; Dofus Turquoise; Dofus Émeraude; Vigoureux majeur; Nomade; Enragé majeur; Remueur; Croum</t>
        </is>
      </c>
    </row>
    <row r="1034">
      <c r="A1034" t="inlineStr">
        <is>
          <t>Ouginak F 200</t>
        </is>
      </c>
      <c r="B1034">
        <f>HYPERLINK("https://www.dofusbook.net/fr/equipement/3336543-ouginak-f-200/objets", "link")</f>
        <v/>
      </c>
      <c r="C1034" t="n">
        <v>13</v>
      </c>
      <c r="D1034" t="inlineStr">
        <is>
          <t>Bâtonnet Ronien; Amulette du Strigide; Alliance Gloursonne; Anneau de Padgref; Cadran d'Air; Ceintacé; Coiffe d'Ogivol; Cape Matelassée; Bottes du Strigide; Dofus Pourpre; Dofus Turquoise; Vigoureux majeur; Remueur; Miraculé majeur; Nomade; Muldo Ebène et Orchidée</t>
        </is>
      </c>
    </row>
    <row r="1035">
      <c r="A1035" t="inlineStr">
        <is>
          <t>Feu/Eau 200</t>
        </is>
      </c>
      <c r="B1035">
        <f>HYPERLINK("https://www.dofusbook.net/fr/equipement/3257623-feu-eau-200/objets", "link")</f>
        <v/>
      </c>
      <c r="C1035" t="n">
        <v>21</v>
      </c>
      <c r="D1035" t="inlineStr">
        <is>
          <t>Dagues Cacterre; Amulette du Strigide; Anneau de Padgref; Alliance Gloursonne; Bouclier d'Ilyzaelle; Ceintacé; Boucle d'oreille de Kongoku; Cape de la Dame du Hasard; Bottes du Strigide; Dofus Turquoise; Dofus Pourpre; Dofus Émeraude; Remueur; Vigoureux majeur; Nomade; Muldo Ebène et Pourpre</t>
        </is>
      </c>
    </row>
    <row r="1036">
      <c r="A1036" t="inlineStr">
        <is>
          <t>eau air do pou</t>
        </is>
      </c>
      <c r="B1036">
        <f>HYPERLINK("https://www.dofusbook.net/fr/equipement/3231892-eau-air-do-pou/objets", "link")</f>
        <v/>
      </c>
      <c r="C1036" t="n">
        <v>22</v>
      </c>
      <c r="D1036" t="inlineStr">
        <is>
          <t>Hachoirs de Viandargh; Amulette du Sinistrofu; Alliance Gloursonne; Bague Instable; Bivalve; Sangle Ouare; Chapeau des Malveilleurs; Cape des Justiciers; Bottes des Malveilleurs; Miraculé majeur; Bousculeur; Culbuteur; Bousculeur majeur; Remueur; Culbuteur majeur; Muldo Indigo et Orchidée</t>
        </is>
      </c>
    </row>
    <row r="1037">
      <c r="A1037" t="inlineStr">
        <is>
          <t>Terre no exo sadi</t>
        </is>
      </c>
      <c r="B1037">
        <f>HYPERLINK("https://www.dofusbook.net/fr/equipement/3231644-terre-no-exo-sadi/objets", "link")</f>
        <v/>
      </c>
      <c r="C1037" t="n">
        <v>31</v>
      </c>
      <c r="D1037" t="inlineStr">
        <is>
          <t>Dagues Érhy; Amulette Héroclite; Anneau de Brouce; Anneau Chevelu; Cadran d'Air; Ceinture de Brouce; Masque de Koutoulou; Cape au Logis; Bottes du Lévitrof; Enragé majeur; Remueur; Évasif majeur; Miraculé majeur; Déserteur majeur; Nomade; Croum</t>
        </is>
      </c>
    </row>
    <row r="1038">
      <c r="A1038" t="inlineStr">
        <is>
          <t>Feu/res 200</t>
        </is>
      </c>
      <c r="B1038">
        <f>HYPERLINK("https://www.dofusbook.net/fr/equipement/3228671-feu-res-200/objets", "link")</f>
        <v/>
      </c>
      <c r="C1038" t="n">
        <v>26</v>
      </c>
      <c r="D1038" t="inlineStr">
        <is>
          <t>Arc Hétype; Amulette d'Otomaï; Chevalière du Roi Joueur; Bague Gloursonne; Bouclier d'Ilyzaelle; Ceinture de Gein; Chapeau de Gein; Voile d'encre; Pantoufles Émar</t>
        </is>
      </c>
    </row>
    <row r="1039">
      <c r="A1039" t="inlineStr">
        <is>
          <t>Terre/Eau/Air</t>
        </is>
      </c>
      <c r="B1039">
        <f>HYPERLINK("https://www.dofusbook.net/fr/equipement/3228477-terre-eau-air/objets", "link")</f>
        <v/>
      </c>
      <c r="C1039" t="n">
        <v>28</v>
      </c>
      <c r="D1039" t="inlineStr">
        <is>
          <t>Az'tech; Amulette du Strigide; Anneau Chevelu; Alliance Gloursonne; Bouclier du Captain Amakna; Ceintacé; Coiffe d'Ogivol; Cape au Logis; Bottes du Strigide; Dofus Pourpre; Dofus Turquoise; Dofus Émeraude; Remueur; Miraculé majeur; Nomade; Croum</t>
        </is>
      </c>
    </row>
    <row r="1040">
      <c r="A1040" t="inlineStr">
        <is>
          <t>terre eau RDV 200</t>
        </is>
      </c>
      <c r="B1040">
        <f>HYPERLINK("https://www.dofusbook.net/fr/equipement/3212270-terre-eau-rdv-200/objets", "link")</f>
        <v/>
      </c>
      <c r="C1040" t="n">
        <v>9</v>
      </c>
      <c r="D1040" t="inlineStr">
        <is>
          <t>Hache Euvale; Amulette de Pol Ouatnos; Bracelet du Piloztère; Alliance Gloursonne; Bouclier d'Ilyzaelle; Ceinture Gence; Coiffe de la Reine des Voleurs; Cape des Justiciers; Bottes de la Reine des Voleurs; Dofus Émeraude; Dofus Pourpre; Robuste majeur; Vigoureux majeur; Remueur; Miraculé majeur; Muldo Ebène et Pourpre</t>
        </is>
      </c>
    </row>
    <row r="1041">
      <c r="A1041" t="inlineStr">
        <is>
          <t>Terre eau 200</t>
        </is>
      </c>
      <c r="B1041">
        <f>HYPERLINK("https://www.dofusbook.net/fr/equipement/3212203-terre-eau-200/objets", "link")</f>
        <v/>
      </c>
      <c r="C1041" t="n">
        <v>13</v>
      </c>
      <c r="D1041" t="inlineStr">
        <is>
          <t>Az'tech; Amulette du Strigide; Bracelet du Piloztère; Alliance Gloursonne; Bouclier d'Ilyzaelle; Ceintacé; Kidibonnet; Cape au Logis; Bottes du Strigide; Dofus Émeraude; Dofus Turquoise; Miraculé majeur; Vigoureux majeur; Remueur; Muldo Ebène et Pourpre</t>
        </is>
      </c>
    </row>
    <row r="1042">
      <c r="A1042" t="inlineStr">
        <is>
          <t>Eau Air 200</t>
        </is>
      </c>
      <c r="B1042">
        <f>HYPERLINK("https://www.dofusbook.net/fr/equipement/3205834-eau-air-200/objets", "link")</f>
        <v/>
      </c>
      <c r="C1042" t="n">
        <v>13</v>
      </c>
      <c r="D1042" t="inlineStr">
        <is>
          <t>Hachoirs de Viandargh; Amulette du Strigide; Alliance Gloursonne; Anneau de Padgref; Bouclier du Captain Amakna; Ceintacé; Némès de Tal Kasha; Cape Matelassée; Bottes du Strigide; Dofus Pourpre; Dofus Émeraude; Dofus Turquoise; Remueur; Miraculé majeur; Nomade; Muldo Ebène et Indigo</t>
        </is>
      </c>
    </row>
    <row r="1043">
      <c r="A1043" t="inlineStr">
        <is>
          <t>full terre 1400</t>
        </is>
      </c>
      <c r="B1043">
        <f>HYPERLINK("https://www.dofusbook.net/fr/equipement/2840216-full-terre-1400/objets", "link")</f>
        <v/>
      </c>
      <c r="C1043" t="n">
        <v>57</v>
      </c>
      <c r="D1043" t="inlineStr">
        <is>
          <t>Arc du Chalœil; Amulette du Strigide; Anneau Crustique; Anneau Chevelu; Quatre-feuilles; Ceinture de la Reine des Voleurs; Masque de Koutoulou; Cape au Logis; Bottes du Strigide; Dofus Turquoise; Dofus Pourpre; Vigoureux majeur; Nomade; Enragé majeur; Remueur; Kompost</t>
        </is>
      </c>
    </row>
    <row r="1044">
      <c r="A1044" t="inlineStr">
        <is>
          <t>full pano 200</t>
        </is>
      </c>
      <c r="B1044">
        <f>HYPERLINK("https://www.dofusbook.net/fr/equipement/3179056-full-pano-200-/objets", "link")</f>
        <v/>
      </c>
      <c r="C1044" t="n">
        <v>22</v>
      </c>
      <c r="D1044" t="inlineStr">
        <is>
          <t>Arc Ahique; Kralamansion; Bague Gloursonne; Alliance Gloursonne; Cadran d'Air; Ceinture de la Reine des Voleurs; Coiffe de la Reine des Voleurs; Cape des Justiciers; Bottes de la Reine des Voleurs; Dofus des Glaces; Dofus Émeraude; Dofus Pourpre; Robuste majeur; Féroce majeur; Vagabond majeur; Muldo Indigo et Orchidée</t>
        </is>
      </c>
    </row>
    <row r="1045">
      <c r="A1045" t="inlineStr">
        <is>
          <t>Do pou 199</t>
        </is>
      </c>
      <c r="B1045">
        <f>HYPERLINK("https://www.dofusbook.net/fr/equipement/3178987-do-pou-199/objets", "link")</f>
        <v/>
      </c>
      <c r="C1045" t="n">
        <v>13</v>
      </c>
      <c r="D1045" t="inlineStr">
        <is>
          <t>Hachoirs de Viandargh; Amulette de l'Orfélin; Anneau de Brouce; Bague Instable; Bivalve; Ceinture de l'Orfélin; Casque Dragoeuf; Cape de Léthaline; Pantoufles Émar; Culbuteur majeur; Remueur; Culbuteur; Bousculeur; Miraculé majeur; Bousculeur majeur; Muldo Ebène et Indigo</t>
        </is>
      </c>
    </row>
    <row r="1046">
      <c r="A1046" t="inlineStr">
        <is>
          <t>Terre 200 low cost</t>
        </is>
      </c>
      <c r="B1046">
        <f>HYPERLINK("https://www.dofusbook.net/fr/equipement/1767671-terre-200-low-cost/objets", "link")</f>
        <v/>
      </c>
      <c r="C1046" t="n">
        <v>9</v>
      </c>
      <c r="D1046" t="inlineStr">
        <is>
          <t>Arc Ahique; Kralamansion; Anneau de Brouce; Alliance Gloursonne; Cadran d'Air; Ceinture de l'Indicible; Coiffe de la Reine des Voleurs; Cape des Justiciers; Bottes de la Reine des Voleurs; Féroce majeur; Remueur; Miraculé majeur; Robuste majeur; Nomade; Vigoureux majeur; Muldo Indigo et Orchidée</t>
        </is>
      </c>
    </row>
    <row r="1047">
      <c r="A1047" t="inlineStr">
        <is>
          <t>eau air no exo</t>
        </is>
      </c>
      <c r="B1047">
        <f>HYPERLINK("https://www.dofusbook.net/fr/equipement/3162950-eau-air-no-exo/objets", "link")</f>
        <v/>
      </c>
      <c r="C1047" t="n">
        <v>8</v>
      </c>
      <c r="D1047" t="inlineStr">
        <is>
          <t>Arc de Koutoulou; Amulette du Strigide; Anneau de Padgref; Alliance Gloursonne; Cadran d'Air; Ceintacé; Némès de Tal Kasha; Chevelure de Tal Kasha; Pataugastrique; Dofus Turquoise; Dofus Pourpre; Vigoureux majeur; Remueur; Miraculé majeur; Nomade; Muldo Indigo et Orchidée</t>
        </is>
      </c>
    </row>
    <row r="1048">
      <c r="A1048" t="inlineStr">
        <is>
          <t>Eau Air Soin</t>
        </is>
      </c>
      <c r="B1048">
        <f>HYPERLINK("https://www.dofusbook.net/fr/equipement/3130449-eau-air-soin/objets", "link")</f>
        <v/>
      </c>
      <c r="C1048" t="n">
        <v>9</v>
      </c>
      <c r="D1048" t="inlineStr">
        <is>
          <t>Le Thanos; Amulette d'Ilyzaelle; Bracelet du Piloztère; Alliance Gloursonne; Cadran d'Air; Sangle Ouare; Casque d'Ilyzaelle; Cape Matelassée; Bottes de la Reine des Voleurs; Dofus Pourpre; Miraculé majeur; Guérisseur majeur; Remueur; Vigoureux majeur; Muldo Ebène et Indigo</t>
        </is>
      </c>
    </row>
    <row r="1049">
      <c r="A1049" t="inlineStr">
        <is>
          <t>full air low cost</t>
        </is>
      </c>
      <c r="B1049">
        <f>HYPERLINK("https://www.dofusbook.net/fr/equipement/3114833-full-air-low-cost/objets", "link")</f>
        <v/>
      </c>
      <c r="C1049" t="n">
        <v>12</v>
      </c>
      <c r="D1049" t="inlineStr">
        <is>
          <t>Dagues Érhy; Collier du Valet Veinard; Gant du Valet Veinard; Alliance Gloursonne; Bouclier cubiste; Ceinture de Nevark; Couronne d'Allister; Cape Matelassée; Pantoufles Émar; Dofus Pourpre; Nomade; Miraculé majeur; Temporiseur majeur; Remueur; Cascadeur majeur; Muldo Ebène et Indigo</t>
        </is>
      </c>
    </row>
    <row r="1050">
      <c r="A1050" t="inlineStr">
        <is>
          <t>Tri Crit 200</t>
        </is>
      </c>
      <c r="B1050">
        <f>HYPERLINK("https://www.dofusbook.net/fr/equipement/3090184-tri-crit-200/objets", "link")</f>
        <v/>
      </c>
      <c r="C1050" t="n">
        <v>20</v>
      </c>
      <c r="D1050" t="inlineStr">
        <is>
          <t>Sabres d'Atcham; Amulette du Strigide; Anneau de Padgref; Alliance Gloursonne; Bouclier de Solar; Ceintacé; Boucle d'oreille de Kongoku; Cape de la Dame du Hasard; Bottes du Strigide; Dofus Turquoise; Dofus Émeraude; Dofus Pourpre; Obstructeur majeur; Remueur; Nomade; Dragodinde en armure</t>
        </is>
      </c>
    </row>
    <row r="1051">
      <c r="A1051" t="inlineStr">
        <is>
          <t>Multi 200</t>
        </is>
      </c>
      <c r="B1051">
        <f>HYPERLINK("https://www.dofusbook.net/fr/equipement/3087338-multi-200/objets", "link")</f>
        <v/>
      </c>
      <c r="C1051" t="n">
        <v>32</v>
      </c>
      <c r="D1051" t="inlineStr">
        <is>
          <t>Dagues Érhy; Amulette de l'Indicible; Alliance Gloursonne; Alliance Brûlâme; Bouclier cubiste; Menoture; Casque Dragoeuf; Cape de la Dame du Hasard; Bottes de l'Indicible; Dofus Pourpre; Nomade; Vigoureux majeur; Remueur; Temporiseur majeur; Sanguinaire majeur; Dragodinde en armure</t>
        </is>
      </c>
    </row>
    <row r="1052">
      <c r="A1052" t="inlineStr">
        <is>
          <t>Multi 11/6 2</t>
        </is>
      </c>
      <c r="B1052">
        <f>HYPERLINK("https://www.dofusbook.net/fr/equipement/1232919-multi-11-6-2/objets", "link")</f>
        <v/>
      </c>
      <c r="C1052" t="n">
        <v>79</v>
      </c>
      <c r="D1052" t="inlineStr">
        <is>
          <t>Faux Maudite du Saigneur Guerrier; Amulette du Strigide; Anneau de Padgref; Alliance Gloursonne; Quatre-feuilles; Ceintacé; Casque de Missiz Frizz; Cape des Justiciers; Bottes du Strigide; Dofus Turquoise; Dofus Pourpre; Miraculé majeur; Nomade; Vigoureux majeur; Remueur; Muldo Prune et Emeraude</t>
        </is>
      </c>
    </row>
    <row r="1053">
      <c r="A1053" t="inlineStr">
        <is>
          <t>Feu Eau Air 200</t>
        </is>
      </c>
      <c r="B1053">
        <f>HYPERLINK("https://www.dofusbook.net/fr/equipement/3061543-feu-eau-air-200/objets", "link")</f>
        <v/>
      </c>
      <c r="C1053" t="n">
        <v>9</v>
      </c>
      <c r="D1053" t="inlineStr">
        <is>
          <t>Pelle de Katrepat; Amulette du Strigide; Alliance Gloursonne; Anneau de Padgref; Ceintacé; Capille; Bottes du Strigide; Dofus Turquoise; Dofus Émeraude; Dofus Pourpre; Vigoureux majeur; Nomade; Remueur; Dragodinde en armure</t>
        </is>
      </c>
    </row>
    <row r="1054">
      <c r="A1054" t="inlineStr">
        <is>
          <t>Stuff 200 eau/feu</t>
        </is>
      </c>
      <c r="B1054">
        <f>HYPERLINK("https://www.dofusbook.net/fr/equipement/779034-stuff-200-eau-feu/objets", "link")</f>
        <v/>
      </c>
      <c r="C1054" t="n">
        <v>42</v>
      </c>
      <c r="D1054" t="inlineStr">
        <is>
          <t>Baguette Hique; Amulette Cryochrone; Pikano; Chevalière du Roi Joueur; Bouclier cubiste; Ceintacé; Casquette de Meno; Cape de la Dame du Hasard; Bottes de Meno; Dofus Pourpre; Dofus Turquoise; Nomade; Temporiseur majeur; Remueur; Vigoureux majeur; Dragodinde en armure</t>
        </is>
      </c>
    </row>
    <row r="1055">
      <c r="A1055" t="inlineStr">
        <is>
          <t>Multi crit no exo</t>
        </is>
      </c>
      <c r="B1055">
        <f>HYPERLINK("https://www.dofusbook.net/fr/equipement/2764452-multi-crit-no-exo/objets", "link")</f>
        <v/>
      </c>
      <c r="C1055" t="n">
        <v>7</v>
      </c>
      <c r="D1055" t="inlineStr">
        <is>
          <t>Dagues d'Ilyzaelle; Amulette du Strigide; Bracelet du Piloztère; Alliance Gloursonne; Bouclier du Captain Amakna; Ceintacé; Masque de Koutoulou; Cape au Logis; Bottes du Strigide; Dofus Pourpre; Dofus Turquoise; Dofus Émeraude; Remueur; Nomade; Vigoureux majeur; Dragodinde en armure</t>
        </is>
      </c>
    </row>
    <row r="1056">
      <c r="A1056" t="inlineStr">
        <is>
          <t>terre eau dommage</t>
        </is>
      </c>
      <c r="B1056">
        <f>HYPERLINK("https://www.dofusbook.net/fr/equipement/2726363-terre-eau-dommage/objets", "link")</f>
        <v/>
      </c>
      <c r="C1056" t="n">
        <v>42</v>
      </c>
      <c r="D1056" t="inlineStr">
        <is>
          <t>Épée Brûlâme; Talisman Igans; Alliance Gloursonne; Bague Gloursonne; Bouclier cubiste; Ceintrigue; Kidibonnet; Cape de l'Œil Putride; Bottes Owesli; Dofus Ocre; Dofus Pourpre; Dofus des Glaces; Dofus Émeraude; Féroce majeur; Robuste majeur; Dragodinde en armure</t>
        </is>
      </c>
    </row>
    <row r="1057">
      <c r="A1057" t="inlineStr">
        <is>
          <t>RDV Tri</t>
        </is>
      </c>
      <c r="B1057">
        <f>HYPERLINK("https://www.dofusbook.net/fr/equipement/2703803-rdv-tri/objets", "link")</f>
        <v/>
      </c>
      <c r="C1057" t="n">
        <v>25</v>
      </c>
      <c r="D1057" t="inlineStr">
        <is>
          <t>Arc du Chalœil; Amulette du Strigide; Alliance Gloursonne; Bracelet du Piloztère; Bouclier Taverne; Ceinture de la Reine des Voleurs; Chapeau Potin; Cape au Logis; Bottes de la Reine des Voleurs; Dofus Turquoise; Dofus Pourpre; Dofus Émeraude; Nomade; Remueur; Vigoureux majeur; Dragodinde en armure</t>
        </is>
      </c>
    </row>
    <row r="1058">
      <c r="A1058" t="inlineStr">
        <is>
          <t>Multi 12/6 no ocre</t>
        </is>
      </c>
      <c r="B1058">
        <f>HYPERLINK("https://www.dofusbook.net/fr/equipement/2651380-multi-12-6-no-ocre/objets", "link")</f>
        <v/>
      </c>
      <c r="C1058" t="n">
        <v>29</v>
      </c>
      <c r="D1058" t="inlineStr">
        <is>
          <t>Dagues Érhy; Amulette du Strigide; Gelano; Anneau Chevelu; Bouclier du Captain Amakna; Slip Iholo; Bonnet Ko; Voile d'encre; Bottes du Strigide; Dofus Pourpre; Dofus Turquoise; Miraculé majeur; Vigoureux majeur; Remueur; Nomade; Dragodinde en armure</t>
        </is>
      </c>
    </row>
    <row r="1059">
      <c r="A1059" t="inlineStr">
        <is>
          <t>Terre Air no exo</t>
        </is>
      </c>
      <c r="B1059">
        <f>HYPERLINK("https://www.dofusbook.net/fr/equipement/2640973-terre-air-no-exo/objets", "link")</f>
        <v/>
      </c>
      <c r="C1059" t="n">
        <v>9</v>
      </c>
      <c r="D1059" t="inlineStr">
        <is>
          <t>Héqache; Amulette de Pol Ouatnos; Bague Gloursonne; Anneau Chevelu; Bivalve; Menoture; Masque de Koutoulou; Cape du Kamasterisk; Bottes du Kamasterisk; Dofus Turquoise; Dofus Pourpre; Remueur; Culbuteur majeur; Nomade; Miraculé majeur; Dragodinde en armure</t>
        </is>
      </c>
    </row>
    <row r="1060">
      <c r="A1060" t="inlineStr">
        <is>
          <t>Terre Air 200 Do pou</t>
        </is>
      </c>
      <c r="B1060">
        <f>HYPERLINK("https://www.dofusbook.net/fr/equipement/2621026-terre-air-200-do-pou/objets", "link")</f>
        <v/>
      </c>
      <c r="C1060" t="n">
        <v>29</v>
      </c>
      <c r="D1060" t="inlineStr">
        <is>
          <t>Lance corrompue; Amulette du Sinistrofu; Alliance Gloursonne; Anneau Chevelu; Bivalve; Ceinture Gence; Coiffe de la Reine des Voleurs; Cape du Cœur Vaillant; Bottes de la Reine des Voleurs; Dofus Pourpre; Culbuteur majeur; Robuste majeur; Remueur; Vigoureux majeur; Nomade; Dragodinde en armure</t>
        </is>
      </c>
    </row>
    <row r="1061">
      <c r="A1061" t="inlineStr">
        <is>
          <t>Multi 200</t>
        </is>
      </c>
      <c r="B1061">
        <f>HYPERLINK("https://www.dofusbook.net/fr/equipement/2601538-multi-200-/objets", "link")</f>
        <v/>
      </c>
      <c r="C1061" t="n">
        <v>22</v>
      </c>
      <c r="D1061" t="inlineStr">
        <is>
          <t>Dague Adou; Amulette du Strigide; Bracelet du Piloztère; Alliance Gloursonne; Bouclier Taverne; Ceintacé; Casque du Chalœil; Cape au Logis; Bottes du Strigide; Dofus Turquoise; Dofus Pourpre; Érudit majeur; Remueur; Vigoureux majeur; Miraculé majeur; Dragodinde en armure</t>
        </is>
      </c>
    </row>
    <row r="1062">
      <c r="A1062" t="inlineStr">
        <is>
          <t>Eau Soin 200</t>
        </is>
      </c>
      <c r="B1062">
        <f>HYPERLINK("https://www.dofusbook.net/fr/equipement/2574910-eau-soin-200/objets", "link")</f>
        <v/>
      </c>
      <c r="C1062" t="n">
        <v>40</v>
      </c>
      <c r="D1062" t="inlineStr">
        <is>
          <t>Baguette de Malléfisk; Amulette d'Ilyzaelle; Grésilanneau; Alliance Gloursonne; Carapar; Ceintrigue; Casque d'Ilyzaelle; Cape Matelassée; Bottes du Sinistrofu; Remueur; Chanceux majeur; Miraculé majeur; Guérisseur majeur; Muldo Indigo et Amande</t>
        </is>
      </c>
    </row>
    <row r="1063">
      <c r="A1063" t="inlineStr">
        <is>
          <t>Eau 200</t>
        </is>
      </c>
      <c r="B1063">
        <f>HYPERLINK("https://www.dofusbook.net/fr/equipement/2573222-eau-200/objets", "link")</f>
        <v/>
      </c>
      <c r="C1063" t="n">
        <v>25</v>
      </c>
      <c r="D1063" t="inlineStr">
        <is>
          <t>Sceptre du Roi Joueur; Amulette d'Ilyzaelle; Alliance Gloursonne; Pikano; Bouclier du Stalak; Sangle Ouare; Casque d'Ilyzaelle; Cape Solution; Bottes de la Reine des Voleurs; Dofus Émeraude; Miraculé majeur; Chanceux majeur; Remueur; Muldo Ebène et Indigo</t>
        </is>
      </c>
    </row>
    <row r="1064">
      <c r="A1064" t="inlineStr">
        <is>
          <t>Eau 200</t>
        </is>
      </c>
      <c r="B1064">
        <f>HYPERLINK("https://www.dofusbook.net/fr/equipement/2565258-eau-200/objets", "link")</f>
        <v/>
      </c>
      <c r="C1064" t="n">
        <v>16</v>
      </c>
      <c r="D1064" t="inlineStr">
        <is>
          <t>Dagoulinantes; Amulette de Shokkoth; Alliance Gloursonne; Bracelet des Fonds marins; Bouclier d'Ilyzaelle; Poulpagne; Casque Dragoeuf; Cape du Sinistrofu; Bottes du Sinistrofu; Dokoko; Dofus Émeraude; Dofus Pourpre; Miraculé majeur; Chanceux majeur; Remueur; Muldo Indigo et Pourpre</t>
        </is>
      </c>
    </row>
    <row r="1065">
      <c r="A1065" t="inlineStr">
        <is>
          <t>Terre/feu 200</t>
        </is>
      </c>
      <c r="B1065">
        <f>HYPERLINK("https://www.dofusbook.net/fr/equipement/2518494-terre-feu-200/objets", "link")</f>
        <v/>
      </c>
      <c r="C1065" t="n">
        <v>13</v>
      </c>
      <c r="D1065" t="inlineStr">
        <is>
          <t>Epée Toche; Torquistik; Anneau Chevelu; Bague Gloursonne; Bouclier Taverne; Ceintacé; Chapeau de Gein; Voile d'encre; Bottistik; Dofus Émeraude; Dofus Pourpre; Dofus Turquoise; Nomade; Remueur; Culbuteur majeur; Muldo Ebène et Orchidée</t>
        </is>
      </c>
    </row>
    <row r="1066">
      <c r="A1066" t="inlineStr">
        <is>
          <t>Feu soin 200</t>
        </is>
      </c>
      <c r="B1066">
        <f>HYPERLINK("https://www.dofusbook.net/fr/equipement/2516759-feu-soin-200/objets", "link")</f>
        <v/>
      </c>
      <c r="C1066" t="n">
        <v>20</v>
      </c>
      <c r="D1066" t="inlineStr">
        <is>
          <t>Baguette de Malléfisk; Amulette de Nileza; Anneau Tique; Anneau de Nidas; Carapar; Ceinture de Vortex; Couronne de Nidas; Voile d'encre; Pantoufles Émar; Dofus Émeraude; Érudit majeur; Miraculé majeur; Guérisseur majeur; Remueur; Muldo Orchidée et Pourpre</t>
        </is>
      </c>
    </row>
    <row r="1067">
      <c r="A1067" t="inlineStr">
        <is>
          <t>Multi 200 do cri/pou</t>
        </is>
      </c>
      <c r="B1067">
        <f>HYPERLINK("https://www.dofusbook.net/fr/equipement/2511855-multi-200-do-cri-pou/objets", "link")</f>
        <v/>
      </c>
      <c r="C1067" t="n">
        <v>18</v>
      </c>
      <c r="D1067" t="inlineStr">
        <is>
          <t>Héqache; Amulette du Strigide; Bague Gloursonne; Anneau Chevelu; Bouclier Taverne; Ceintacé; Masque Trithon; Cape des Malveilleurs; Bottes Trithon; Dofus Pourpre; Dofus Turquoise; Miraculé majeur; Culbuteur majeur; Remueur; Nomade; Muldo Orchidée et Pourpre</t>
        </is>
      </c>
    </row>
    <row r="1068">
      <c r="A1068" t="inlineStr">
        <is>
          <t>Eau/Air Do pou 200</t>
        </is>
      </c>
      <c r="B1068">
        <f>HYPERLINK("https://www.dofusbook.net/fr/equipement/2479978-eau-air-do-pou-200/objets", "link")</f>
        <v/>
      </c>
      <c r="C1068" t="n">
        <v>30</v>
      </c>
      <c r="D1068" t="inlineStr">
        <is>
          <t>Arc de Koutoulou; Amulette du Sinistrofu; Alliance Brûlâme; Alliance Gloursonne; Bouclier précieux; Sangle Ouare; Chapeau des Malveilleurs; Cape Matelassée; Bottes des Malveilleurs; Dofus Émeraude; Dofus Pourpre; Vigoureux majeur; Miraculé majeur; Culbuteur majeur; Remueur; Muldo Ebène et Indigo</t>
        </is>
      </c>
    </row>
    <row r="1069">
      <c r="A1069" t="inlineStr">
        <is>
          <t>Air feu 200</t>
        </is>
      </c>
      <c r="B1069">
        <f>HYPERLINK("https://www.dofusbook.net/fr/equipement/2478977-air-feu-200/objets", "link")</f>
        <v/>
      </c>
      <c r="C1069" t="n">
        <v>26</v>
      </c>
      <c r="D1069" t="inlineStr">
        <is>
          <t>Marteau Phossile; Amulette du Cycloïde; Alliance Gloursonne; Anneau Rifique; Bouclier du Stalak; Ceinture Séculaire; Casque Cyclopéen; Cape Hiculteur; Pantoufles Émar; Dofus Pourpre; Miraculé majeur; Nomade; Remueur; Vigoureux majeur; Muldo Indigo</t>
        </is>
      </c>
    </row>
    <row r="1070">
      <c r="A1070" t="inlineStr">
        <is>
          <t>Terre air 200</t>
        </is>
      </c>
      <c r="B1070">
        <f>HYPERLINK("https://www.dofusbook.net/fr/equipement/2472404-terre-air-200/objets", "link")</f>
        <v/>
      </c>
      <c r="C1070" t="n">
        <v>15</v>
      </c>
      <c r="D1070" t="inlineStr">
        <is>
          <t>Héqache; Amulette du Strigide; Anneau Chevelu; Alliance Gloursonne; Bouclier Taverne; Ceinture de la Reine des Voleurs; Coiffe de la Reine des Voleurs; Cape au Logis; Baleinabottes; Dofus Turquoise; Dofus Pourpre; Remueur; Vigoureux majeur; Miraculé majeur; Culbuteur majeur; Muldo Ebène</t>
        </is>
      </c>
    </row>
    <row r="1071">
      <c r="A1071" t="inlineStr">
        <is>
          <t>Multi 200</t>
        </is>
      </c>
      <c r="B1071">
        <f>HYPERLINK("https://www.dofusbook.net/fr/equipement/2474808-multi-200/objets", "link")</f>
        <v/>
      </c>
      <c r="C1071" t="n">
        <v>18</v>
      </c>
      <c r="D1071" t="inlineStr">
        <is>
          <t>Hache Téroïde; Amulette du Strigide; Anneau Chevelu; Anneau de Padgref; Bouclier du Captain Amakna; Ceintacé; Masque Brûlâme; Cape au Logis; Bottes du Strigide; Dofus Pourpre; Dofus Turquoise; Nomade; Vigoureux majeur; Remueur; Miraculé majeur; Dragodinde en armure</t>
        </is>
      </c>
    </row>
    <row r="1072">
      <c r="A1072" t="inlineStr">
        <is>
          <t>Eau Feu Soin 200</t>
        </is>
      </c>
      <c r="B1072">
        <f>HYPERLINK("https://www.dofusbook.net/fr/equipement/2455852-eau-feu-soin-200/objets", "link")</f>
        <v/>
      </c>
      <c r="C1072" t="n">
        <v>30</v>
      </c>
      <c r="D1072" t="inlineStr">
        <is>
          <t>Arc Nécrotique; Talisman Igans; Anneau de Padgref; Alliance Gloursonne; Bouclier cubiste; Ceintrigue; Casquette de Meno; Cape de la Dame du Hasard; Pataugastrique; Dofus Turquoise; Dofus Pourpre; Nomade; Miraculé majeur; Carapace Feu majeur; Remueur; Dragodinde en armure</t>
        </is>
      </c>
    </row>
    <row r="1073">
      <c r="A1073" t="inlineStr">
        <is>
          <t>Full terre 200</t>
        </is>
      </c>
      <c r="B1073">
        <f>HYPERLINK("https://www.dofusbook.net/fr/equipement/2450396-full-terre-200/objets", "link")</f>
        <v/>
      </c>
      <c r="C1073" t="n">
        <v>11</v>
      </c>
      <c r="D1073" t="inlineStr">
        <is>
          <t>Arc du Chalœil; Collier de Tourthon; Anneau Chevelu; Anneau de Brouce; Bouclier Taverne; Ceinture de la Reine des Voleurs; Masque de Koutoulou; Voile d'encre; Bottes de Brouce; Dofus Pourpre; Dofus Turquoise; Dofus Émeraude; Remueur; Enragé majeur; Miraculé majeur; Muldo Indigo et Pourpre</t>
        </is>
      </c>
    </row>
    <row r="1074">
      <c r="A1074" t="inlineStr">
        <is>
          <t>Full Feu 200</t>
        </is>
      </c>
      <c r="B1074">
        <f>HYPERLINK("https://www.dofusbook.net/fr/equipement/2449860-full-feu-200/objets", "link")</f>
        <v/>
      </c>
      <c r="C1074" t="n">
        <v>11</v>
      </c>
      <c r="D1074" t="inlineStr">
        <is>
          <t>Arc corrompu; Pendentif affamé; Anneau de Nidas; Chevalière du Roi Joueur; Bouclier cubiste; Ceinture de Vortex; Couronne de Nidas; Cape de Diondin; Bottes Innommables; Dofus Émeraude; Dofus Pourpre; Temporiseur majeur; Remueur; Érudit majeur; Miraculé majeur; Muldo Ebène et Indigo</t>
        </is>
      </c>
    </row>
    <row r="1075">
      <c r="A1075" t="inlineStr">
        <is>
          <t>Full eau 200</t>
        </is>
      </c>
      <c r="B1075">
        <f>HYPERLINK("https://www.dofusbook.net/fr/equipement/2449343-full-eau-200/objets", "link")</f>
        <v/>
      </c>
      <c r="C1075" t="n">
        <v>18</v>
      </c>
      <c r="D1075" t="inlineStr">
        <is>
          <t>Sceptre du Roi Joueur; Amulette de Shokkoth; Alliance Gloursonne; Bracelet des Fonds marins; Bouclier d'Ilyzaelle; Ceinture de la Reine des Voleurs; Kidibonnet; Cape de l'Œil Attentif; Bottes de la Reine des Voleurs; Dofus Pourpre; Dofus Émeraude; Miraculé majeur; Chanceux majeur; Remueur; Culbuteur majeur; Muldo Ebène et Indigo</t>
        </is>
      </c>
    </row>
    <row r="1076">
      <c r="A1076" t="inlineStr">
        <is>
          <t>Full air 200</t>
        </is>
      </c>
      <c r="B1076">
        <f>HYPERLINK("https://www.dofusbook.net/fr/equipement/2449296-full-air-200/objets", "link")</f>
        <v/>
      </c>
      <c r="C1076" t="n">
        <v>13</v>
      </c>
      <c r="D1076" t="inlineStr">
        <is>
          <t>Manthache; Amulette d'Ilyzaelle; Alliance Gloursonne; Gant du Valet Veinard; Bouclier du Stalak; Menoture; Couronne d'Allister; Cape du Valet Veinard; Palmes Trithons; Dofus Émeraude; Dofus Pourpre; Dofus des Glaces; Cascadeur majeur; Miraculé majeur; Remueur; Muldo Ebène et Orchidée</t>
        </is>
      </c>
    </row>
    <row r="1077">
      <c r="A1077" t="inlineStr">
        <is>
          <t>Feu Res 200</t>
        </is>
      </c>
      <c r="B1077">
        <f>HYPERLINK("https://www.dofusbook.net/fr/equipement/2032407-feu-res-200/objets", "link")</f>
        <v/>
      </c>
      <c r="C1077" t="n">
        <v>29</v>
      </c>
      <c r="D1077" t="inlineStr">
        <is>
          <t>Arc corrompu; Pendentif affamé; Anneau Tique; Chevalière du Roi Joueur; Bouclier du Stalak; Ceinture de Gein; Chapeau de Gein; Cape de Diondin; Bottes Innommables; Dofus Pourpre; Dévastateur Feu majeur; Miraculé majeur; Déserteur majeur; Érudit majeur; Remueur; Muldo Indigo et Pourpre</t>
        </is>
      </c>
    </row>
    <row r="1078">
      <c r="A1078" t="inlineStr">
        <is>
          <t>Feu 200 koli</t>
        </is>
      </c>
      <c r="B1078">
        <f>HYPERLINK("https://www.dofusbook.net/fr/equipement/1942346-feu-200-koli/objets", "link")</f>
        <v/>
      </c>
      <c r="C1078" t="n">
        <v>27</v>
      </c>
      <c r="D1078" t="inlineStr">
        <is>
          <t>Arc Hétype; Frimamulette; Anneau de Nidas; Chevalière du Roi Joueur; Carapar; Ceinture de Vortex; Couronne de Nidas; Voile d'encre; Pataugastrique; Déserteur majeur; Miraculé majeur; Observateur; Temporiseur majeur; Érudit majeur; Remueur; Muldo Indigo et Amande</t>
        </is>
      </c>
    </row>
    <row r="1079">
      <c r="A1079" t="inlineStr">
        <is>
          <t>Multi 200 Strigide</t>
        </is>
      </c>
      <c r="B1079">
        <f>HYPERLINK("https://www.dofusbook.net/fr/equipement/1926296-multi-200-strigide/objets", "link")</f>
        <v/>
      </c>
      <c r="C1079" t="n">
        <v>82</v>
      </c>
      <c r="D1079" t="inlineStr">
        <is>
          <t>Hache du Chalœil; Amulette du Strigide; Alliance Gloursonne; Anneau de Padgref; Quatre-feuilles; Ceintacé; Casque de Missiz Frizz; Cape de la Dame du Hasard; Bottes du Strigide; Dofus Pourpre; Dofus Turquoise; Nomade; Miraculé majeur; Remueur; Vigoureux majeur; Dragodinde en armure</t>
        </is>
      </c>
    </row>
    <row r="1080">
      <c r="A1080" t="inlineStr">
        <is>
          <t>Multi 200 Strigide</t>
        </is>
      </c>
      <c r="B1080">
        <f>HYPERLINK("https://www.dofusbook.net/fr/equipement/1924438-multi-200-strigide/objets", "link")</f>
        <v/>
      </c>
      <c r="C1080" t="n">
        <v>11</v>
      </c>
      <c r="D1080" t="inlineStr">
        <is>
          <t>Hache du Chalœil; Amulette du Strigide; Anneau de Padgref; Alliance Gloursonne; Bouclier Taverne; Ceintacé; Chapeau de Gein; Voile d'encre; Bottes du Strigide; Dofus Pourpre; Dofus Turquoise; Remueur; Vigoureux majeur; Nomade; Miraculé majeur; Dragodinde en armure</t>
        </is>
      </c>
    </row>
    <row r="1081">
      <c r="A1081" t="inlineStr">
        <is>
          <t>Full poison</t>
        </is>
      </c>
      <c r="B1081">
        <f>HYPERLINK("https://www.dofusbook.net/fr/equipement/1912244-full-poison/objets", "link")</f>
        <v/>
      </c>
      <c r="C1081" t="n">
        <v>16</v>
      </c>
      <c r="D1081" t="inlineStr">
        <is>
          <t>Anneau Bhli; Sangle Cible; Coiffe de Robbie Capuche; Cape Hulco; Bottes Deuradi</t>
        </is>
      </c>
    </row>
    <row r="1082">
      <c r="A1082" t="inlineStr">
        <is>
          <t>Recri Srambad</t>
        </is>
      </c>
      <c r="B1082">
        <f>HYPERLINK("https://www.dofusbook.net/fr/equipement/1909466-recri-srambad/objets", "link")</f>
        <v/>
      </c>
      <c r="C1082" t="n">
        <v>11</v>
      </c>
      <c r="D1082" t="inlineStr">
        <is>
          <t>Dagues de Srambad; Torquistik; Baguistik; Goulano; Goulclier; Ceinture de la Reine des Voleurs; Coiffe de la Reine des Voleurs; Voile d'encre; Bottistik; Dokoko; Dofus Émeraude; Dofus Ocre; Dofus Pourpre; Dolmanax; Fugitif majeur; Muldo Ebène et Indigo</t>
        </is>
      </c>
    </row>
    <row r="1083">
      <c r="A1083" t="inlineStr">
        <is>
          <t>Terre 200</t>
        </is>
      </c>
      <c r="B1083">
        <f>HYPERLINK("https://www.dofusbook.net/fr/equipement/1906340-terre-200/objets", "link")</f>
        <v/>
      </c>
      <c r="C1083" t="n">
        <v>38</v>
      </c>
      <c r="D1083" t="inlineStr">
        <is>
          <t>Dagues Érhy; Amulette du Cycloïde; Bague Gloursonne; Anneau Chevelu; Bouclier précieux; Ceinture de la Cour Sombre; Masque d'Anerice; Cape d'Anerice; Sabots Minables; Dofus Émeraude; Évasif majeur; Remueur; Nomade; Enragé majeur; Miraculé majeur; Dragodinde en armure</t>
        </is>
      </c>
    </row>
    <row r="1084">
      <c r="A1084" t="inlineStr">
        <is>
          <t>Multi 200 coiffe sec</t>
        </is>
      </c>
      <c r="B1084">
        <f>HYPERLINK("https://www.dofusbook.net/fr/equipement/1365376-multi-200-coiffe-sec/objets", "link")</f>
        <v/>
      </c>
      <c r="C1084" t="n">
        <v>21</v>
      </c>
      <c r="D1084" t="inlineStr">
        <is>
          <t>Marteau de Katrepat; Amulette du Strigide; Bracelet du Piloztère; Alliance Gloursonne; Bouclier Taverne; Ceintacé; Casque du Chalœil; Voile d'encre; Bottes du Strigide; Dofus Turquoise; Dofus Pourpre; Miraculé majeur; Remueur; Vigoureux majeur; Nomade; Dragodinde en armure</t>
        </is>
      </c>
    </row>
    <row r="1085">
      <c r="A1085" t="inlineStr">
        <is>
          <t>Zyck 177</t>
        </is>
      </c>
      <c r="B1085">
        <f>HYPERLINK("https://www.dofusbook.net/fr/equipement/1893573-zyck-177/objets", "link")</f>
        <v/>
      </c>
      <c r="C1085" t="n">
        <v>20</v>
      </c>
      <c r="D1085" t="inlineStr">
        <is>
          <t>L'Épée Nice; Collier du Tanukouï San; Anneau du Chêne Mou; Gelano; Cadran de Terre; Ceinture de XLII; Casque Dragoeuf; Capikténia; Bottes de XLII; Dofus Pourpre; Remueur; Miraculé majeur; Nomade; Robuste majeur; Vigoureux majeur; Kramkram</t>
        </is>
      </c>
    </row>
    <row r="1086">
      <c r="A1086" t="inlineStr">
        <is>
          <t>Eau/Air Distance 200</t>
        </is>
      </c>
      <c r="B1086">
        <f>HYPERLINK("https://www.dofusbook.net/fr/equipement/1826898-eau-air-distance-200/objets", "link")</f>
        <v/>
      </c>
      <c r="C1086" t="n">
        <v>57</v>
      </c>
      <c r="D1086" t="inlineStr">
        <is>
          <t>Arc de Koutoulou; Amulette du Strigide; Alliance Gloursonne; Bracelet du Piloztère; Goulclier; Ceintacé; Dorabysses; Chevelure de Tal Kasha; Sandales de Tal Kasha; Dofus Turquoise; Dofus Pourpre; Miraculé majeur; Nomade; Vigoureux majeur; Remueur; Dragodinde en armure</t>
        </is>
      </c>
    </row>
    <row r="1087">
      <c r="A1087" t="inlineStr">
        <is>
          <t>Eau air do pou</t>
        </is>
      </c>
      <c r="B1087">
        <f>HYPERLINK("https://www.dofusbook.net/fr/equipement/1598336-eau-air-do-pou/objets", "link")</f>
        <v/>
      </c>
      <c r="C1087" t="n">
        <v>7</v>
      </c>
      <c r="D1087" t="inlineStr">
        <is>
          <t>Hachoirs de Viandargh; Amulette du Sinistrofu; Anneau Tique; Alliance Gloursonne; Bouclier précieux; Sangle Ouare; Chapeau des Malveilleurs; Cape Matelassée; Bottes des Malveilleurs; Dofus Pourpre; Vigoureux majeur; Miraculé majeur; Remueur; Culbuteur majeur; Nomade; Dragodinde en armure</t>
        </is>
      </c>
    </row>
    <row r="1088">
      <c r="A1088" t="inlineStr">
        <is>
          <t>kongoku multi</t>
        </is>
      </c>
      <c r="B1088">
        <f>HYPERLINK("https://www.dofusbook.net/fr/equipement/1598299-kongoku-multi/objets", "link")</f>
        <v/>
      </c>
      <c r="C1088" t="n">
        <v>6</v>
      </c>
      <c r="D1088" t="inlineStr">
        <is>
          <t>Marteau de Katrepat; Amulette du Strigide; Alliance du Lévitrof; Alliance Gloursonne; Bouclier Taverne; Ceintacé; Boucle d'oreille de Kongoku; Cape de Kongoku; Bottes du Cycloïde; Dofus Turquoise; Dofus Pourpre; Vigoureux majeur; Remueur; Miraculé majeur; Nomade; Dragodinde en armure</t>
        </is>
      </c>
    </row>
    <row r="1089">
      <c r="A1089" t="inlineStr">
        <is>
          <t>Multi chaloeil</t>
        </is>
      </c>
      <c r="B1089">
        <f>HYPERLINK("https://www.dofusbook.net/fr/equipement/1598245-multi-chaloeil/objets", "link")</f>
        <v/>
      </c>
      <c r="C1089" t="n">
        <v>5</v>
      </c>
      <c r="D1089" t="inlineStr">
        <is>
          <t>Hache du Chalœil; Amulette de Pol Ouatnos; Bracelet du Piloztère; Alliance Gloursonne; Bouclier Taverne; Ceintacé; Casque du Chalœil; Voile d'encre; Bottes du Chalœil; Dofus Turquoise; Dofus Pourpre; Miraculé majeur; Nomade; Vigoureux majeur; Remueur; Dauge</t>
        </is>
      </c>
    </row>
    <row r="1090">
      <c r="A1090" t="inlineStr">
        <is>
          <t>Anerice multi</t>
        </is>
      </c>
      <c r="B1090">
        <f>HYPERLINK("https://www.dofusbook.net/fr/equipement/1598205-anerice-multi/objets", "link")</f>
        <v/>
      </c>
      <c r="C1090" t="n">
        <v>15</v>
      </c>
      <c r="D1090" t="inlineStr">
        <is>
          <t>Faux Maudite du Saigneur Guerrier; Amulette Ementaire Deluxe; Bracelet du Piloztère; Alliance Gloursonne; Bouclier du Captain Amakna; Ceintacé; Masque d'Anerice; Cape d'Anerice; Bottes du Cycloïde; Dofus Turquoise; Dofus Pourpre; Vigoureux majeur; Miraculé majeur; Nomade; Remueur; Dragodinde en armure</t>
        </is>
      </c>
    </row>
    <row r="1091">
      <c r="A1091" t="inlineStr">
        <is>
          <t>Kongoku 11/6</t>
        </is>
      </c>
      <c r="B1091">
        <f>HYPERLINK("https://www.dofusbook.net/fr/equipement/1550804-kongoku-11-6/objets", "link")</f>
        <v/>
      </c>
      <c r="C1091" t="n">
        <v>13</v>
      </c>
      <c r="D1091" t="inlineStr">
        <is>
          <t>Marteau de Katrepat; Amulette du Strigide; Alliance Gloursonne; Alliance du Lévitrof; Bouclier Taverne; Ceintacé; Boucle d'oreille de Kongoku; Cape de Kongoku; Bottes du Cycloïde; Dofus Turquoise; Dofus Pourpre; Miraculé majeur; Nomade; Vigoureux majeur; Remueur; Dragodinde en armure</t>
        </is>
      </c>
    </row>
    <row r="1092">
      <c r="A1092" t="inlineStr">
        <is>
          <t>Multi 200</t>
        </is>
      </c>
      <c r="B1092">
        <f>HYPERLINK("https://www.dofusbook.net/fr/equipement/1488456-multi-200/objets", "link")</f>
        <v/>
      </c>
      <c r="C1092" t="n">
        <v>34</v>
      </c>
      <c r="D1092" t="inlineStr">
        <is>
          <t>Sabres d'Atcham; Amulette du Strigide; Anneau Tique; Alliance Gloursonne; Ceintacé; Dorabysses; Cape de la Dame du Hasard; Bottes du Strigide; Dofus Pourpre; Dofus Turquoise; Nomade; Miraculé majeur; Remueur; Vigoureux majeur; Dragodinde en armure</t>
        </is>
      </c>
    </row>
    <row r="1093">
      <c r="A1093" t="inlineStr">
        <is>
          <t>Anti-Cra 11/6</t>
        </is>
      </c>
      <c r="B1093">
        <f>HYPERLINK("https://www.dofusbook.net/fr/equipement/1485573-anti-cra-11-6/objets", "link")</f>
        <v/>
      </c>
      <c r="C1093" t="n">
        <v>10</v>
      </c>
      <c r="D1093" t="inlineStr">
        <is>
          <t>Arc à Lamelles; Amulette du Strigide; Bague Gloursonne; Anneau Chevelu; Goulclier; Ceinture du Strigide; Chapeau de Gein; Cape au Logis; Baleinabottes; Dofus Turquoise; Dofus Pourpre; Vigoureux majeur; Miraculé majeur; Remueur; Nomade; Dragodinde en armure</t>
        </is>
      </c>
    </row>
    <row r="1094">
      <c r="A1094" t="inlineStr">
        <is>
          <t>Terre Do pou 120</t>
        </is>
      </c>
      <c r="B1094">
        <f>HYPERLINK("https://www.dofusbook.net/fr/equipement/1450878-terre-do-pou-120/objets", "link")</f>
        <v/>
      </c>
      <c r="C1094" t="n">
        <v>8</v>
      </c>
      <c r="D1094" t="inlineStr">
        <is>
          <t>Razoir du Soir; Amulette du Krokilleur; Gelano; Gantelet du Gorgouille; Coupe de Dragokart; Puissante Ceinture Fulgurante; Coiffe du Muloubar; Cape du Muloubar; Raquettes Dugraal; Dofus Cawotte; Culbuteur; Nomade; Remueur; Miraculé; Enragé; Muldo Doré</t>
        </is>
      </c>
    </row>
    <row r="1095">
      <c r="A1095" t="inlineStr">
        <is>
          <t>Up Facomage</t>
        </is>
      </c>
      <c r="B1095">
        <f>HYPERLINK("https://www.dofusbook.net/fr/equipement/1430990-up-facomage/objets", "link")</f>
        <v/>
      </c>
      <c r="C1095" t="n">
        <v>5</v>
      </c>
      <c r="D1095" t="inlineStr">
        <is>
          <t>Sandalnéaires; Bâlnéton; Cabalnéaire; Coiffleur de l'Été</t>
        </is>
      </c>
    </row>
    <row r="1096">
      <c r="A1096" t="inlineStr">
        <is>
          <t>Inferieur a 100</t>
        </is>
      </c>
      <c r="B1096">
        <f>HYPERLINK("https://www.dofusbook.net/fr/equipement/1419466-inferieur-a-100/objets", "link")</f>
        <v/>
      </c>
      <c r="C1096" t="n">
        <v>1</v>
      </c>
      <c r="D1096" t="inlineStr"/>
    </row>
    <row r="1097">
      <c r="A1097" t="inlineStr">
        <is>
          <t>Terre/eau 200</t>
        </is>
      </c>
      <c r="B1097">
        <f>HYPERLINK("https://www.dofusbook.net/fr/equipement/1414678-terre-eau-200/objets", "link")</f>
        <v/>
      </c>
      <c r="C1097" t="n">
        <v>28</v>
      </c>
      <c r="D1097" t="inlineStr">
        <is>
          <t>Marteau R'ture; Amulette Luminescente; Bracelet du Piloztère; Pikano; Bouclier cubiste; Ceintacé; Coiffe d'Ogivol; Cape de la Dame du Hasard; Pikottes; Dofus Turquoise; Dofus Pourpre; Remueur; Temporiseur majeur; Nomade; Vigoureux majeur; Dragodinde en armure</t>
        </is>
      </c>
    </row>
    <row r="1098">
      <c r="A1098" t="inlineStr">
        <is>
          <t>Trithon 11/6</t>
        </is>
      </c>
      <c r="B1098">
        <f>HYPERLINK("https://www.dofusbook.net/fr/equipement/1361472-trithon-11-6/objets", "link")</f>
        <v/>
      </c>
      <c r="C1098" t="n">
        <v>19</v>
      </c>
      <c r="D1098" t="inlineStr">
        <is>
          <t>Hache Téroïde; Amulette du Strigide; Anneau Chevelu; Bague Trithon; Bouclier Taverne; Ceintacé; Chapeau de Gein; Cape au Logis; Bottes Trithon; Dofus Turquoise; Dofus Pourpre; Miraculé majeur; Remueur; Vigoureux majeur; Nomade; Dragodinde en armure</t>
        </is>
      </c>
    </row>
    <row r="1099">
      <c r="A1099" t="inlineStr">
        <is>
          <t>Stuff 2</t>
        </is>
      </c>
      <c r="B1099">
        <f>HYPERLINK("https://www.dofusbook.net/fr/equipement/82633-stuff-2/objets", "link")</f>
        <v/>
      </c>
      <c r="C1099" t="n">
        <v>24</v>
      </c>
      <c r="D1099" t="inlineStr">
        <is>
          <t>Hache du Chalœil; Amulette du Strigide; Anneau de Padgref; Alliance Gloursonne; Quatre-feuilles; Ceinture du Strigide; Casque de Missiz Frizz; Cape de la Dame du Hasard; Pataugastrique; Dofus Pourpre; Dofus Turquoise; Vigoureux majeur; Nomade; Remueur; Miraculé majeur; Dragodinde en armure</t>
        </is>
      </c>
    </row>
    <row r="1100">
      <c r="A1100" t="inlineStr">
        <is>
          <t>Terre/Feu 11/6 Fuite</t>
        </is>
      </c>
      <c r="B1100">
        <f>HYPERLINK("https://www.dofusbook.net/fr/equipement/1334382-terre-feu-11-6-fuite/objets", "link")</f>
        <v/>
      </c>
      <c r="C1100" t="n">
        <v>12</v>
      </c>
      <c r="D1100" t="inlineStr">
        <is>
          <t>Hache Téroïde; Amulette du Strigide; Bague Gloursonne; Alliance du Lévitrof; Bouclier du Captain Amakna; Ceintacé; Chapeau de Gein; Cape au Logis; Bottes du Lévitrof; Dofus Pourpre; Dofus Émeraude; Dofus Turquoise; Nomade; Remueur; Vigoureux majeur; Dragodinde en armure</t>
        </is>
      </c>
    </row>
    <row r="1101">
      <c r="A1101" t="inlineStr">
        <is>
          <t>Terre/Feu 11/6</t>
        </is>
      </c>
      <c r="B1101">
        <f>HYPERLINK("https://www.dofusbook.net/fr/equipement/1334410-terre-feu-11-6/objets", "link")</f>
        <v/>
      </c>
      <c r="C1101" t="n">
        <v>9</v>
      </c>
      <c r="D1101" t="inlineStr">
        <is>
          <t>Hache Téroïde; Amulette du Strigide; Bague Gloursonne; Bouclier du Captain Amakna; Ceintacé; Chapeau de Gein; Cape au Logis; Dofus Turquoise; Dofus Pourpre; Dofus Émeraude; Nomade; Remueur; Vigoureux majeur; Dragodinde en armure</t>
        </is>
      </c>
    </row>
    <row r="1102">
      <c r="A1102" t="inlineStr">
        <is>
          <t>Multi 200 Epee Saign</t>
        </is>
      </c>
      <c r="B1102">
        <f>HYPERLINK("https://www.dofusbook.net/fr/equipement/1333914-multi-200-epee-saign/objets", "link")</f>
        <v/>
      </c>
      <c r="C1102" t="n">
        <v>17</v>
      </c>
      <c r="D1102" t="inlineStr">
        <is>
          <t>Faux Maudite du Saigneur Guerrier; Amulette du Strigide; Bracelet du Piloztère; Bague Gloursonne; Bouclier du Captain Amakna; Ceintacé; Casque de Missiz Frizz; Cape au Logis; Bottes du Strigide; Dofus Turquoise; Dofus Pourpre; Miraculé majeur; Remueur; Vigoureux majeur; Nomade; Dragodinde en armure</t>
        </is>
      </c>
    </row>
    <row r="1103">
      <c r="A1103" t="inlineStr">
        <is>
          <t>Multi 200 patau</t>
        </is>
      </c>
      <c r="B1103">
        <f>HYPERLINK("https://www.dofusbook.net/fr/equipement/1323315-multi-200-patau/objets", "link")</f>
        <v/>
      </c>
      <c r="C1103" t="n">
        <v>11</v>
      </c>
      <c r="D1103" t="inlineStr">
        <is>
          <t>Hache du Chalœil; Amulette du Strigide; Alliance Gloursonne; Bracelet du Piloztère; Bouclier Taverne; Ceinture du Strigide; Coiffe de Padgref; Cape au Logis; Pataugastrique; Dofus Pourpre; Dofus Turquoise; Remueur; Vigoureux majeur; Nomade; Miraculé majeur; Dragodinde en armure</t>
        </is>
      </c>
    </row>
    <row r="1104">
      <c r="A1104" t="inlineStr">
        <is>
          <t>Terre/feu 200</t>
        </is>
      </c>
      <c r="B1104">
        <f>HYPERLINK("https://www.dofusbook.net/fr/equipement/1307147-terre-feu-200/objets", "link")</f>
        <v/>
      </c>
      <c r="C1104" t="n">
        <v>15</v>
      </c>
      <c r="D1104" t="inlineStr">
        <is>
          <t>Dagues Érhy; Amulette du Cycloïde; Alliance du Lévitrof; Bague Gloursonne; Carapar; Ceintacé; Chapeau de Gein; Voile d'encre; Bottes du Lévitrof; Dolmanax; Dokoko; Dofus des Glaces; Évasif majeur; Remueur; Miraculé majeur; Muldo Ebène et Pourpre</t>
        </is>
      </c>
    </row>
    <row r="1105">
      <c r="A1105" t="inlineStr">
        <is>
          <t>Up Cordonnier</t>
        </is>
      </c>
      <c r="B1105">
        <f>HYPERLINK("https://www.dofusbook.net/fr/equipement/1300635-up-cordonnier/objets", "link")</f>
        <v/>
      </c>
      <c r="C1105" t="n">
        <v>2</v>
      </c>
      <c r="D1105" t="inlineStr"/>
    </row>
    <row r="1106">
      <c r="A1106" t="inlineStr">
        <is>
          <t>Tri RET pm</t>
        </is>
      </c>
      <c r="B1106">
        <f>HYPERLINK("https://www.dofusbook.net/fr/equipement/1253511-tri-ret-pm-/objets", "link")</f>
        <v/>
      </c>
      <c r="C1106" t="n">
        <v>35</v>
      </c>
      <c r="D1106" t="inlineStr">
        <is>
          <t>Baguette Hique; Amulette Luminescente; Pikano; Chevalière du Roi Joueur; Bouclier cubiste; Ceinture Luminescente; Casquette de Meno; Cape de la Dame du Hasard; Pantoufles Émar; Dofus Pourpre; Dofus Turquoise; Miraculé majeur; Nomade; Temporiseur majeur; Remueur; Dragodinde en armure</t>
        </is>
      </c>
    </row>
    <row r="1107">
      <c r="A1107" t="inlineStr">
        <is>
          <t>Multi 12/6</t>
        </is>
      </c>
      <c r="B1107">
        <f>HYPERLINK("https://www.dofusbook.net/fr/equipement/82634-multi-12-6/objets", "link")</f>
        <v/>
      </c>
      <c r="C1107" t="n">
        <v>43</v>
      </c>
      <c r="D1107" t="inlineStr">
        <is>
          <t>Hache du Chalœil; Amulette du Strigide; Bracelet du Piloztère; Gelano; Quatre-feuilles; Ceinture du Strigide; Coiffe d'Ogivol; Cape de la Dame du Hasard; Bottes du Cycloïde; Dofus Turquoise; Dofus Pourpre; Dofus Ocre; Remueur; Vigoureux majeur; Nomade; Dragodinde en armure</t>
        </is>
      </c>
    </row>
    <row r="1108">
      <c r="A1108" t="inlineStr">
        <is>
          <t>Multi 200 Burst</t>
        </is>
      </c>
      <c r="B1108">
        <f>HYPERLINK("https://www.dofusbook.net/fr/equipement/1222888-multi-200-burst/objets", "link")</f>
        <v/>
      </c>
      <c r="C1108" t="n">
        <v>23</v>
      </c>
      <c r="D1108" t="inlineStr">
        <is>
          <t>Hache du Chalœil; Amulette du Strigide; Bracelet du Piloztère; Alliance Gloursonne; Quatre-feuilles; Ceintacé; Casque de Missiz Frizz; Cape de la Dame du Hasard; Bottes du Strigide; Dofus Pourpre; Dofus Turquoise; Nomade; Vigoureux majeur; Déserteur majeur; Remueur; Dragodinde en armure</t>
        </is>
      </c>
    </row>
    <row r="1109">
      <c r="A1109" t="inlineStr">
        <is>
          <t>Multi 200 12/6</t>
        </is>
      </c>
      <c r="B1109">
        <f>HYPERLINK("https://www.dofusbook.net/fr/equipement/1210251-multi-200-12-6/objets", "link")</f>
        <v/>
      </c>
      <c r="C1109" t="n">
        <v>16</v>
      </c>
      <c r="D1109" t="inlineStr">
        <is>
          <t>Héqache; Amulette du Strigide; Gelano; Bracelet du Piloztère; Bouclier du Captain Amakna; Ceinture du Strigide; Casque du Chalœil; Voile d'encre; Bottes du Cycloïde; Dofus Émeraude; Dofus Ocre; Dofus Turquoise; Dofus Pourpre; Remueur; Nomade; Dragodinde en armure</t>
        </is>
      </c>
    </row>
    <row r="1110">
      <c r="A1110" t="inlineStr">
        <is>
          <t>Terre/feu 200 12/6</t>
        </is>
      </c>
      <c r="B1110">
        <f>HYPERLINK("https://www.dofusbook.net/fr/equipement/82640-terre-feu-200-12-6/objets", "link")</f>
        <v/>
      </c>
      <c r="C1110" t="n">
        <v>21</v>
      </c>
      <c r="D1110" t="inlineStr">
        <is>
          <t>Hache Téroïde; Amulette du Strigide; Bague Gloursonne; Gelano; Bouclier du Captain Amakna; Ceinture de Gein; Chapeau de Gein; Voile d'encre; Bottes du Roi Joueur; Dofus Ocre; Dofus Turquoise; Dofus Émeraude; Dofus Pourpre; Nomade; Remueur; Dragodinde en armure</t>
        </is>
      </c>
    </row>
    <row r="1111">
      <c r="A1111" t="inlineStr">
        <is>
          <t>Terre 199</t>
        </is>
      </c>
      <c r="B1111">
        <f>HYPERLINK("https://www.dofusbook.net/fr/equipement/1209040-terre-199/objets", "link")</f>
        <v/>
      </c>
      <c r="C1111" t="n">
        <v>23</v>
      </c>
      <c r="D1111" t="inlineStr">
        <is>
          <t>Hache Téroïde; Kralamansion; Gelano; Anneau Chevelu; Roncier; Ceinture du Comte Razof; Casque Dragoeuf; Voile d'encre; Chaussons du Comte Razof; Dofus Émeraude; Enragé majeur; Nomade; Miraculé majeur; Érudit majeur; Remueur; Dragodinde en armure</t>
        </is>
      </c>
    </row>
    <row r="1112">
      <c r="A1112" t="inlineStr">
        <is>
          <t>Chaloeil CaC distanc</t>
        </is>
      </c>
      <c r="B1112">
        <f>HYPERLINK("https://www.dofusbook.net/fr/equipement/1202383-chaloeil-cac-distanc/objets", "link")</f>
        <v/>
      </c>
      <c r="C1112" t="n">
        <v>39</v>
      </c>
      <c r="D1112" t="inlineStr">
        <is>
          <t>Bâtonnet Ronien; Amulette de Pol Ouatnos; Alliance Gloursonne; Bracelet du Piloztère; Bouclier du Stalak; Ceintacé; Casque du Chalœil; Voile d'encre; Bottes du Chalœil; Dofus Pourpre; Dofus Émeraude; Dofus Turquoise; Remueur; Fonceur majeur; Nomade; Dragodinde en armure</t>
        </is>
      </c>
    </row>
    <row r="1113">
      <c r="A1113" t="inlineStr">
        <is>
          <t>Dofusteuse 200</t>
        </is>
      </c>
      <c r="B1113">
        <f>HYPERLINK("https://www.dofusbook.net/fr/equipement/1137945-dofusteuse-200/objets", "link")</f>
        <v/>
      </c>
      <c r="C1113" t="n">
        <v>14</v>
      </c>
      <c r="D1113" t="inlineStr">
        <is>
          <t>Hache du Chalœil; Amulette Ementaire Deluxe; Anneau Tique; Alliance Gloursonne; Bouclier Taverne; Ceintacé; Casque du Chalœil; Dofusteuse; Bottes du Chalœil; Dofus Émeraude; Dofus Pourpre; Dofus Turquoise; Nomade; Remueur; Miraculé majeur; Homlett</t>
        </is>
      </c>
    </row>
    <row r="1114">
      <c r="A1114" t="inlineStr">
        <is>
          <t>Multi 200</t>
        </is>
      </c>
      <c r="B1114">
        <f>HYPERLINK("https://www.dofusbook.net/fr/equipement/1118216-multi-200/objets", "link")</f>
        <v/>
      </c>
      <c r="C1114" t="n">
        <v>6</v>
      </c>
      <c r="D1114" t="inlineStr">
        <is>
          <t>Pelle de Nidas; Amulette du Strigide; Bracelet du Piloztère; Alliance Gloursonne; Bouclier Taverne; Ceinture du Strigide; Coiffe d'Ogivol; Cape au Logis; Baleinabottes; Dofus Turquoise; Dofus Émeraude; Dofus Pourpre; Remueur; Nomade; Vigoureux majeur; Dragodinde en armure</t>
        </is>
      </c>
    </row>
    <row r="1115">
      <c r="A1115" t="inlineStr">
        <is>
          <t>Air 199 Full Do</t>
        </is>
      </c>
      <c r="B1115">
        <f>HYPERLINK("https://www.dofusbook.net/fr/equipement/1113930-air-199-full-do/objets", "link")</f>
        <v/>
      </c>
      <c r="C1115" t="n">
        <v>17</v>
      </c>
      <c r="D1115" t="inlineStr">
        <is>
          <t>Karnak; Amulette de Nevark; Anneau Colerette; Alliance Gloursonne; Quatre-feuilles; Ceinture de Klime; Masque de Klime; Cape Matelassée; Pantoufles Émar; Observateur; Nomade; Miraculé majeur; Remueur; Dévastateur Air majeur; Cascadeur majeur; Blérodoudou</t>
        </is>
      </c>
    </row>
    <row r="1116">
      <c r="A1116" t="inlineStr">
        <is>
          <t>Terre 60</t>
        </is>
      </c>
      <c r="B1116">
        <f>HYPERLINK("https://www.dofusbook.net/fr/equipement/1068011-terre-60/objets", "link")</f>
        <v/>
      </c>
      <c r="C1116" t="n">
        <v>10</v>
      </c>
      <c r="D1116" t="inlineStr">
        <is>
          <t>Dagues Eurfolles; Abramu; Gelano; Abranneau; Bouclier du Bawbawe; Slip de Kalkanéus; Caracoiffe; Cape Fulgurante; Bottes de l'Eleveur de Bouftous; Muldo Doré</t>
        </is>
      </c>
    </row>
    <row r="1117">
      <c r="A1117" t="inlineStr">
        <is>
          <t>Multi 200 No exo</t>
        </is>
      </c>
      <c r="B1117">
        <f>HYPERLINK("https://www.dofusbook.net/fr/equipement/899540-multi-200-no-exo/objets", "link")</f>
        <v/>
      </c>
      <c r="C1117" t="n">
        <v>32</v>
      </c>
      <c r="D1117" t="inlineStr">
        <is>
          <t>Bâton Beau; Kralamansion; Alliance Gloursonne; Bracelet du Piloztère; Bouclier Taverne; Ceintacé; Casque du Chalœil; Voile d'encre; Bottes du Chalœil; Dofus Turquoise; Dofus Pourpre; Dofus Émeraude; Nomade; Miraculé majeur; Remueur; Dauge</t>
        </is>
      </c>
    </row>
    <row r="1118">
      <c r="A1118" t="inlineStr">
        <is>
          <t>Skin</t>
        </is>
      </c>
      <c r="B1118">
        <f>HYPERLINK("https://www.dofusbook.net/fr/equipement/1045843-skin/objets", "link")</f>
        <v/>
      </c>
      <c r="C1118" t="n">
        <v>10</v>
      </c>
      <c r="D1118" t="inlineStr">
        <is>
          <t>Billréole; Cape du Bretteur Céleste; Tanuk; Ailoclier</t>
        </is>
      </c>
    </row>
    <row r="1119">
      <c r="A1119" t="inlineStr">
        <is>
          <t>PvM 200</t>
        </is>
      </c>
      <c r="B1119">
        <f>HYPERLINK("https://www.dofusbook.net/fr/equipement/82627-pvm-200/objets", "link")</f>
        <v/>
      </c>
      <c r="C1119" t="n">
        <v>19</v>
      </c>
      <c r="D1119" t="inlineStr">
        <is>
          <t>Hache du Korriandre; Amulette du Strigide; Alliance Gloursonne; Bracelet Ming; Bouclier du Captain Amakna; Ceintacé; Dorabysses; Chevelure de Tal Kasha; Sandales de Tal Kasha; Dofus Pourpre; Dofus Émeraude; Dofus Turquoise; Vigoureux majeur; Remueur; Nomade; Dragodinde en armure</t>
        </is>
      </c>
    </row>
    <row r="1120">
      <c r="A1120" t="inlineStr">
        <is>
          <t>Stuff 2</t>
        </is>
      </c>
      <c r="B1120">
        <f>HYPERLINK("https://www.dofusbook.net/fr/equipement/911339-stuff-2/objets", "link")</f>
        <v/>
      </c>
      <c r="C1120" t="n">
        <v>11</v>
      </c>
      <c r="D1120" t="inlineStr">
        <is>
          <t>Dagues de Srambad; Amulette du Strigide; Bracelet Ming; Alliance Gloursonne; Bouclier précieux; Ceintacé; Coiffe de la Reine des Voleurs; Cape au Logis; Bottes de la Reine des Voleurs; Dofus Émeraude; Dofus Pourpre; Dokoko; Remueur; Obstructeur majeur; Carapace Air majeur; Dragodinde en armure</t>
        </is>
      </c>
    </row>
    <row r="1121">
      <c r="A1121" t="inlineStr">
        <is>
          <t>Full Feu 200</t>
        </is>
      </c>
      <c r="B1121">
        <f>HYPERLINK("https://www.dofusbook.net/fr/equipement/864459-full-feu-200/objets", "link")</f>
        <v/>
      </c>
      <c r="C1121" t="n">
        <v>11</v>
      </c>
      <c r="D1121" t="inlineStr">
        <is>
          <t>Harpelle; Amulette du Strigide; Bracelet du Piloztère; Alliance Gloursonne; Bouclier Taverne; Ceintacé; Coiffe de Padgref; Voile d'encre; Getas de Padgref; Dofus Pourpre; Dofus Turquoise; Dofus Émeraude; Remueur; Miraculé majeur; Nomade; Homlett</t>
        </is>
      </c>
    </row>
    <row r="1122">
      <c r="A1122" t="inlineStr">
        <is>
          <t>Stuff 1</t>
        </is>
      </c>
      <c r="B1122">
        <f>HYPERLINK("https://www.dofusbook.net/fr/equipement/82656-stuff-1/objets", "link")</f>
        <v/>
      </c>
      <c r="C1122" t="n">
        <v>23</v>
      </c>
      <c r="D1122" t="inlineStr">
        <is>
          <t>Dagues du Dragoeuf; Kralamansion; Bague Gloursonne; Gelano; Sept ans de malheur; Ceinture du Comte Razof; Chapeau Lochon; Voile d'encre; Chaussons du Comte Razof; Dofus Turquoise; Dofus Pourpre; Étourdisseur majeur; Nomade; Miraculé majeur; Remueur; Muldo Orchidée et Pourpre</t>
        </is>
      </c>
    </row>
    <row r="1123">
      <c r="A1123" t="inlineStr">
        <is>
          <t>Full eau koli</t>
        </is>
      </c>
      <c r="B1123">
        <f>HYPERLINK("https://www.dofusbook.net/fr/equipement/786969-full-eau-koli/objets", "link")</f>
        <v/>
      </c>
      <c r="C1123" t="n">
        <v>13</v>
      </c>
      <c r="D1123" t="inlineStr">
        <is>
          <t>Dagoulinantes; Amulette de Pol Ouatnos; Alliance Gloursonne; Bracelet des Fonds marins; Ceintacé; Kidibonnet; Cape de la Dame du Hasard; Sandales des Fonds marins</t>
        </is>
      </c>
    </row>
    <row r="1124">
      <c r="A1124" t="inlineStr">
        <is>
          <t>Multi 200 res</t>
        </is>
      </c>
      <c r="B1124">
        <f>HYPERLINK("https://www.dofusbook.net/fr/equipement/775462-multi-200-res/objets", "link")</f>
        <v/>
      </c>
      <c r="C1124" t="n">
        <v>26</v>
      </c>
      <c r="D1124" t="inlineStr">
        <is>
          <t>Hache du Chalœil; Amulette du Strigide; Alliance Gloursonne; Bracelet du Piloztère; Bouclier Taverne; Ceintacé; Casque du Chalœil; Voile d'encre; Bottes du Chalœil; Dofus Émeraude; Dofus Pourpre; Dofus Turquoise; Nomade; Remueur; Miraculé majeur; Homlett</t>
        </is>
      </c>
    </row>
    <row r="1125">
      <c r="A1125" t="inlineStr">
        <is>
          <t>Stuff 3</t>
        </is>
      </c>
      <c r="B1125">
        <f>HYPERLINK("https://www.dofusbook.net/fr/equipement/82670-stuff-3/objets", "link")</f>
        <v/>
      </c>
      <c r="C1125" t="n">
        <v>7</v>
      </c>
      <c r="D1125" t="inlineStr">
        <is>
          <t>Sabres d'Atcham; Amulette du Strigide; Anneau de Padgref; Alliance Gloursonne; Bivalve; Ceinture du Strigide; Coiffe de Padgref; Cape d'Atcham; Pataugastrique; Dofus Émeraude; Dolmanax; Dofus Turquoise; Dofus Pourpre; Dofus Ocre; Dofus des Glaces; Muldo Prune et Emeraude</t>
        </is>
      </c>
    </row>
    <row r="1126">
      <c r="A1126" t="inlineStr">
        <is>
          <t>Stuff 2</t>
        </is>
      </c>
      <c r="B1126">
        <f>HYPERLINK("https://www.dofusbook.net/fr/equipement/82630-stuff-2/objets", "link")</f>
        <v/>
      </c>
      <c r="C1126" t="n">
        <v>22</v>
      </c>
      <c r="D1126" t="inlineStr">
        <is>
          <t>Marteau des égarés; Amulette de l'Indicible; Alliance Gloursonne; Anneau de Padgref; Ceinture de l'Indicible; Casque de Missiz Frizz; Voilamibe; Pataugastrique; Dolmanax; Dofus Pourpre; Dofus Turquoise; Vigoureux majeur; Remueur; Nomade</t>
        </is>
      </c>
    </row>
    <row r="1127">
      <c r="A1127" t="inlineStr">
        <is>
          <t>Stuff 3</t>
        </is>
      </c>
      <c r="B1127">
        <f>HYPERLINK("https://www.dofusbook.net/fr/equipement/82625-stuff-3/objets", "link")</f>
        <v/>
      </c>
      <c r="C1127" t="n">
        <v>12</v>
      </c>
      <c r="D1127" t="inlineStr">
        <is>
          <t>Dagues Érhy; Amulette du Strigide; Bracelet du Piloztère; Alliance Gloursonne; Ceintacé; Casque du Chalœil; Cape au Logis; Bottes du Chalœil; Dofus Turquoise; Dofus Pourpre; Nomade; Remueur; Carapace Air majeur; Vigoureux majeur</t>
        </is>
      </c>
    </row>
    <row r="1128">
      <c r="A1128" t="inlineStr">
        <is>
          <t>Stuff 2</t>
        </is>
      </c>
      <c r="B1128">
        <f>HYPERLINK("https://www.dofusbook.net/fr/equipement/82657-stuff-2/objets", "link")</f>
        <v/>
      </c>
      <c r="C1128" t="n">
        <v>5</v>
      </c>
      <c r="D1128" t="inlineStr">
        <is>
          <t>Pendentif Curatif; Alliance Apaisante; Gelano; Ceinture Anesthésiante; Sandalnéaires; Coiffleur de l'Été; Bâlnéton; Cabalnéaire</t>
        </is>
      </c>
    </row>
    <row r="1129">
      <c r="A1129" t="inlineStr">
        <is>
          <t>Stuff 1</t>
        </is>
      </c>
      <c r="B1129">
        <f>HYPERLINK("https://www.dofusbook.net/fr/equipement/82620-stuff-1/objets", "link")</f>
        <v/>
      </c>
      <c r="C1129" t="n">
        <v>11</v>
      </c>
      <c r="D1129" t="inlineStr">
        <is>
          <t>Sabres d'Atcham; Amulette de l'Indicible; Anneau de Padgref; Alliance Gloursonne; Bivalve; Ceinture de l'Indicible; Dorabysses; Cape de la Dame du Hasard; Pataugastrique; Dofus Pourpre; Dofus Turquoise; Dofus Émeraude; Érudit majeur; Nomade; Remueur; Dragodinde en armure</t>
        </is>
      </c>
    </row>
    <row r="1130">
      <c r="A1130" t="inlineStr">
        <is>
          <t>Stuff 3</t>
        </is>
      </c>
      <c r="B1130">
        <f>HYPERLINK("https://www.dofusbook.net/fr/equipement/82652-stuff-3/objets", "link")</f>
        <v/>
      </c>
      <c r="C1130" t="n">
        <v>18</v>
      </c>
      <c r="D1130" t="inlineStr">
        <is>
          <t>Plumeau Bil; Amulette d'Otomaï; Anneau Tamie; Anneau Tamie; Ceinture Hyolite; Calotte Spot; Cape de Diondin; Bottes Innommables; Dévastateur Feu majeur; Remueur; Déserteur majeur; Érudit majeur; Miraculé majeur; Nomade; Bisouglours</t>
        </is>
      </c>
    </row>
    <row r="1131">
      <c r="A1131" t="inlineStr">
        <is>
          <t>Stuff 1</t>
        </is>
      </c>
      <c r="B1131">
        <f>HYPERLINK("https://www.dofusbook.net/fr/equipement/82647-stuff-1/objets", "link")</f>
        <v/>
      </c>
      <c r="C1131" t="n">
        <v>13</v>
      </c>
      <c r="D1131" t="inlineStr">
        <is>
          <t>Dagues de Srambad; Amulette du Strigide; Annolamour; Bracelet du Piloztère; Ceinture du Strigide; Kidibonnet; Cape au Logis; Baleinabottes; Dofus Pourpre; Vigoureux majeur; Remueur; Chanceux majeur; Miraculé majeur; Nomade</t>
        </is>
      </c>
    </row>
    <row r="1132">
      <c r="A1132" t="inlineStr">
        <is>
          <t>Stuff 2</t>
        </is>
      </c>
      <c r="B1132">
        <f>HYPERLINK("https://www.dofusbook.net/fr/equipement/82642-stuff-2/objets", "link")</f>
        <v/>
      </c>
      <c r="C1132" t="n">
        <v>23</v>
      </c>
      <c r="D1132" t="inlineStr">
        <is>
          <t>L'Épée Nice; Racine Hueuse; Gelano; Anneau Chevelu; Ceinture de XLII; Casque Dragoeuf; Voile d'encre; Bottes de XLII; Dofus Pourpre; Enragé majeur; Miraculé majeur; Obstructeur majeur; Vigoureux majeur; Remueur</t>
        </is>
      </c>
    </row>
    <row r="1133">
      <c r="A1133" t="inlineStr">
        <is>
          <t>Stuff 3</t>
        </is>
      </c>
      <c r="B1133">
        <f>HYPERLINK("https://www.dofusbook.net/fr/equipement/82637-stuff-3/objets", "link")</f>
        <v/>
      </c>
      <c r="C1133" t="n">
        <v>5</v>
      </c>
      <c r="D1133" t="inlineStr">
        <is>
          <t>Baguette Hique; Pikano; Chevalière du Roi Joueur; Poulpagne; Casquette de Meno; Cape de la Dame du Hasard; Bottes de Meno; Dragodinde en armure</t>
        </is>
      </c>
    </row>
    <row r="1134">
      <c r="A1134" t="inlineStr">
        <is>
          <t>Stuff 1</t>
        </is>
      </c>
      <c r="B1134">
        <f>HYPERLINK("https://www.dofusbook.net/fr/equipement/82632-stuff-1/objets", "link")</f>
        <v/>
      </c>
      <c r="C1134" t="n">
        <v>32</v>
      </c>
      <c r="D1134" t="inlineStr">
        <is>
          <t>Dagues Érhy; Amulette du Strigide; Bracelet du Piloztère; Anneau de Padgref; Ceinture du Strigide; Casque de Missiz Frizz; Cape de la Dame du Hasard; Pataugastrique; Dofus Pourpre; Dolmanax; Dofus Turquoise; Vigoureux majeur; Nomade; Remueur</t>
        </is>
      </c>
    </row>
    <row r="1135">
      <c r="A1135" t="inlineStr">
        <is>
          <t>Stuff 1</t>
        </is>
      </c>
      <c r="B1135">
        <f>HYPERLINK("https://www.dofusbook.net/fr/equipement/82665-stuff-1/objets", "link")</f>
        <v/>
      </c>
      <c r="C1135" t="n">
        <v>14</v>
      </c>
      <c r="D1135" t="inlineStr">
        <is>
          <t>Dagues Açantes; Amulette de Shokkoth; Alliance Gloursonne; Pikano; Ceinture Glaciale; Kidibonnet; Cape de Meno; Bottes de Meno; Temporiseur majeur; Remueur; Entraveur majeur; Chanceux majeur; Miraculé majeur; Nomade</t>
        </is>
      </c>
    </row>
    <row r="1136">
      <c r="A1136" t="inlineStr">
        <is>
          <t>Stuff 1</t>
        </is>
      </c>
      <c r="B1136">
        <f>HYPERLINK("https://www.dofusbook.net/fr/equipement/82647-stuff-1/objets", "link")</f>
        <v/>
      </c>
      <c r="C1136" t="n">
        <v>13</v>
      </c>
      <c r="D1136" t="inlineStr">
        <is>
          <t>Dagues de Srambad; Amulette du Strigide; Bracelet du Piloztère; Annolamour; Ceinture du Strigide; Kidibonnet; Cape au Logis; Baleinabottes; Dofus Pourpre; Miraculé majeur; Nomade; Vigoureux majeur; Remueur; Chanceux majeur</t>
        </is>
      </c>
    </row>
    <row r="1137">
      <c r="A1137" t="inlineStr">
        <is>
          <t>Stuff 2</t>
        </is>
      </c>
      <c r="B1137">
        <f>HYPERLINK("https://www.dofusbook.net/fr/equipement/82642-stuff-2/objets", "link")</f>
        <v/>
      </c>
      <c r="C1137" t="n">
        <v>23</v>
      </c>
      <c r="D1137" t="inlineStr">
        <is>
          <t>L'Épée Nice; Racine Hueuse; Gelano; Anneau Chevelu; Ceinture de XLII; Casque Dragoeuf; Voile d'encre; Bottes de XLII; Dofus Pourpre; Miraculé majeur; Obstructeur majeur; Vigoureux majeur; Remueur; Enragé majeur</t>
        </is>
      </c>
    </row>
    <row r="1138">
      <c r="A1138" t="inlineStr">
        <is>
          <t>Stuff 3</t>
        </is>
      </c>
      <c r="B1138">
        <f>HYPERLINK("https://www.dofusbook.net/fr/equipement/82637-stuff-3/objets", "link")</f>
        <v/>
      </c>
      <c r="C1138" t="n">
        <v>5</v>
      </c>
      <c r="D1138" t="inlineStr">
        <is>
          <t>Baguette Hique; Pikano; Chevalière du Roi Joueur; Poulpagne; Casquette de Meno; Cape de la Dame du Hasard; Bottes de Meno; Dragodinde en armure</t>
        </is>
      </c>
    </row>
    <row r="1139">
      <c r="A1139" t="inlineStr">
        <is>
          <t>Stuff 1</t>
        </is>
      </c>
      <c r="B1139">
        <f>HYPERLINK("https://www.dofusbook.net/fr/equipement/82632-stuff-1/objets", "link")</f>
        <v/>
      </c>
      <c r="C1139" t="n">
        <v>32</v>
      </c>
      <c r="D1139" t="inlineStr">
        <is>
          <t>Dagues Érhy; Amulette du Strigide; Anneau de Padgref; Bracelet du Piloztère; Ceinture du Strigide; Casque de Missiz Frizz; Cape de la Dame du Hasard; Pataugastrique; Dolmanax; Dofus Turquoise; Dofus Pourpre; Vigoureux majeur; Nomade; Remueur</t>
        </is>
      </c>
    </row>
    <row r="1140">
      <c r="A1140" t="inlineStr">
        <is>
          <t>Stuff 1</t>
        </is>
      </c>
      <c r="B1140">
        <f>HYPERLINK("https://www.dofusbook.net/fr/equipement/82665-stuff-1/objets", "link")</f>
        <v/>
      </c>
      <c r="C1140" t="n">
        <v>14</v>
      </c>
      <c r="D1140" t="inlineStr">
        <is>
          <t>Dagues Açantes; Amulette de Shokkoth; Pikano; Alliance Gloursonne; Ceinture Glaciale; Kidibonnet; Cape de Meno; Bottes de Meno; Miraculé majeur; Nomade; Temporiseur majeur; Remueur; Entraveur majeur; Chanceux majeur</t>
        </is>
      </c>
    </row>
    <row r="1141">
      <c r="A1141" t="inlineStr">
        <is>
          <t>Stuff 2</t>
        </is>
      </c>
      <c r="B1141">
        <f>HYPERLINK("https://www.dofusbook.net/fr/equipement/82660-stuff-2/objets", "link")</f>
        <v/>
      </c>
      <c r="C1141" t="n">
        <v>7</v>
      </c>
      <c r="D1141" t="inlineStr">
        <is>
          <t>Dagues de Srambad; Amulette du Strigide; Bracelet du Piloztère; Alliance Gloursonne; Sangle Ouare; Kidibonnet; Cape au Logis; Bottes du Strigide; Dofus Pourpre; Vigoureux majeur; Miraculé majeur; Chanceux majeur; Enragé majeur; Remueur</t>
        </is>
      </c>
    </row>
    <row r="1142">
      <c r="A1142" t="inlineStr">
        <is>
          <t>Stuff 2</t>
        </is>
      </c>
      <c r="B1142">
        <f>HYPERLINK("https://www.dofusbook.net/fr/equipement/82654-stuff-2/objets", "link")</f>
        <v/>
      </c>
      <c r="C1142" t="n">
        <v>14</v>
      </c>
      <c r="D1142" t="inlineStr">
        <is>
          <t>Marteau d'Henual; Amulule; Gelano; Bague Gloursonne; Ceinture d'Henual; Chapeau Lochon; Cape au Logis; Pantoufles Émar; Enragé majeur; Érudit majeur; Miraculé majeur; Nomade; Carapace Terre majeur; Remueur</t>
        </is>
      </c>
    </row>
    <row r="1143">
      <c r="A1143" t="inlineStr">
        <is>
          <t>Stuff 3</t>
        </is>
      </c>
      <c r="B1143">
        <f>HYPERLINK("https://www.dofusbook.net/fr/equipement/82622-stuff-3/objets", "link")</f>
        <v/>
      </c>
      <c r="C1143" t="n">
        <v>10</v>
      </c>
      <c r="D1143" t="inlineStr">
        <is>
          <t>Sabres d'Atcham; Frimamulette; Alliance Gloursonne; Anneau Tique; Bivalve; Ceinture de Vortex; Casqnoar; Cape d'Atcham; Pataugastrique; Dofus Turquoise; Dofus Pourpre; Érudit majeur; Remueur; Étourdisseur majeur; Nomade; Dragodinde en armure</t>
        </is>
      </c>
    </row>
    <row r="1144">
      <c r="A1144" t="inlineStr">
        <is>
          <t>Stuff 3</t>
        </is>
      </c>
      <c r="B1144">
        <f>HYPERLINK("https://www.dofusbook.net/fr/equipement/82649-stuff-3/objets", "link")</f>
        <v/>
      </c>
      <c r="C1144" t="n">
        <v>11</v>
      </c>
      <c r="D1144" t="inlineStr">
        <is>
          <t>Arc de Guten Tak; Kralamansion; Alliance de Missiz Frizz; Annolamour; Ceinture Bine; Coiffe d'Ogivol; Voile d'encre; Sabots Minables; Dofus Émeraude; Dofus Pourpre; Miraculé majeur; Nomade; Vigoureux majeur; Remueur; Péki</t>
        </is>
      </c>
    </row>
    <row r="1145">
      <c r="A1145" t="inlineStr">
        <is>
          <t>Stuff 1</t>
        </is>
      </c>
      <c r="B1145">
        <f>HYPERLINK("https://www.dofusbook.net/fr/equipement/82644-stuff-1/objets", "link")</f>
        <v/>
      </c>
      <c r="C1145" t="n">
        <v>6</v>
      </c>
      <c r="D1145" t="inlineStr">
        <is>
          <t>Racine de Floribonde; Amulette de l'Obsidiantre; Anneau Nobstant; Sceau Souverain du Roissingue; Goldoture; Capuche Souveraine du Roissingue; Cape Souveraine du Roissingue; Les Maidartes; Dofus Cawotte; Dragoune Rose</t>
        </is>
      </c>
    </row>
    <row r="1146">
      <c r="A1146" t="inlineStr">
        <is>
          <t>Stuff 2</t>
        </is>
      </c>
      <c r="B1146">
        <f>HYPERLINK("https://www.dofusbook.net/fr/equipement/82639-stuff-2/objets", "link")</f>
        <v/>
      </c>
      <c r="C1146" t="n">
        <v>6</v>
      </c>
      <c r="D1146" t="inlineStr">
        <is>
          <t>Dagues Érhy; Amulette du Strigide; Bague Gloursonne; Anneau d'Allister; Ceinture du Strigide; Bonnet Ko; Cape du Professeur Xa; Bottes du Cycloïde; Dofus Pourpre; Dofus Turquoise; Vigoureux majeur; Miraculé majeur; Nomade; Remueur</t>
        </is>
      </c>
    </row>
    <row r="1147">
      <c r="A1147" t="inlineStr">
        <is>
          <t>Stuff 2</t>
        </is>
      </c>
      <c r="B1147">
        <f>HYPERLINK("https://www.dofusbook.net/fr/equipement/82672-stuff-2/objets", "link")</f>
        <v/>
      </c>
      <c r="C1147" t="n">
        <v>25</v>
      </c>
      <c r="D1147" t="inlineStr">
        <is>
          <t>Marteau Phossile; Pendentif affamé; Kralano; Anneau de Padgref; Menoture; Coiffe de Padgref; Cape Lati; Pantoufles Émar; Dofus Turquoise; Dofus Pourpre; Vigoureux majeur; Remueur; Miraculé majeur; Nomade</t>
        </is>
      </c>
    </row>
    <row r="1148">
      <c r="A1148" t="inlineStr">
        <is>
          <t>Stuff 3</t>
        </is>
      </c>
      <c r="B1148">
        <f>HYPERLINK("https://www.dofusbook.net/fr/equipement/82667-stuff-3/objets", "link")</f>
        <v/>
      </c>
      <c r="C1148" t="n">
        <v>6</v>
      </c>
      <c r="D1148" t="inlineStr">
        <is>
          <t>La Baguette des Limbes; Médaille Kido; Anneau Frage; Gelano; Ceinture de Fraktale; Holoune; Cape Usée du Chêne Mou; Bottes du Dragoeuf; Savant majeur; Remueur; Miraculé majeur; Érudit majeur; Observateur; Nomade</t>
        </is>
      </c>
    </row>
    <row r="1149">
      <c r="A1149" t="inlineStr">
        <is>
          <t>Stuff 1</t>
        </is>
      </c>
      <c r="B1149">
        <f>HYPERLINK("https://www.dofusbook.net/fr/equipement/82629-stuff-1/objets", "link")</f>
        <v/>
      </c>
      <c r="C1149" t="n">
        <v>31</v>
      </c>
      <c r="D1149" t="inlineStr">
        <is>
          <t>Marteau des égarés; Amulette du Strigide; Alliance Gloursonne; Bracelet du Piloztère; Bouclier du Stalak; Ceinture du Strigide; Coiffe d'Ogivol; Voile d'encre; Pataugastrique; Dofus Pourpre; Dofus Turquoise; Remueur; Miraculé majeur; Vigoureux majeur; Nomade; Dragodinde en armure</t>
        </is>
      </c>
    </row>
    <row r="1150">
      <c r="A1150" t="inlineStr">
        <is>
          <t>Stuff 2</t>
        </is>
      </c>
      <c r="B1150">
        <f>HYPERLINK("https://www.dofusbook.net/fr/equipement/82624-stuff-2/objets", "link")</f>
        <v/>
      </c>
      <c r="C1150" t="n">
        <v>9</v>
      </c>
      <c r="D1150" t="inlineStr">
        <is>
          <t>Arc de Koutoulou; Amulette du Strigide; Bracelet du Piloztère; Alliance Gloursonne; Bouclier Taverne; Ceinture du Strigide; Coiffe d'Ogivol; Cape au Logis; Baleinabottes; Dofus Turquoise; Dofus Pourpre; Nomade; Vigoureux majeur; Remueur; Cascadeur majeur; Dragodinde en armure</t>
        </is>
      </c>
    </row>
    <row r="1151">
      <c r="A1151" t="inlineStr">
        <is>
          <t>Stuff 2</t>
        </is>
      </c>
      <c r="B1151">
        <f>HYPERLINK("https://www.dofusbook.net/fr/equipement/82651-stuff-2/objets", "link")</f>
        <v/>
      </c>
      <c r="C1151" t="n">
        <v>15</v>
      </c>
      <c r="D1151" t="inlineStr">
        <is>
          <t>Le Thanos; Amulette du Cycloïde; Anneau de Nidas; Alliance Boletée; Ceinture de Vortex; Couronne de Nidas; Voile d'encre; Pataugastrique; Guérisseur majeur; Nomade; Miraculé majeur; Remueur; Évasif majeur; Érudit majeur</t>
        </is>
      </c>
    </row>
    <row r="1152">
      <c r="A1152" t="inlineStr">
        <is>
          <t>Stuff 3</t>
        </is>
      </c>
      <c r="B1152">
        <f>HYPERLINK("https://www.dofusbook.net/fr/equipement/82646-stuff-3/objets", "link")</f>
        <v/>
      </c>
      <c r="C1152" t="n">
        <v>11</v>
      </c>
      <c r="D1152" t="inlineStr">
        <is>
          <t>Arc Nécrotique; Talisman Igans; Bracelet du Piloztère; Anneau de la Fuji Givrefoux; Ceintrigue; Casquette de Meno; Cape de la Dame du Hasard; Pataugastrique; Dofus Pourpre; Nomade; Entraveur majeur; Remueur; Temporiseur majeur; Carapace Feu majeur</t>
        </is>
      </c>
    </row>
    <row r="1153">
      <c r="A1153" t="inlineStr">
        <is>
          <t>Stuff 1</t>
        </is>
      </c>
      <c r="B1153">
        <f>HYPERLINK("https://www.dofusbook.net/fr/equipement/82641-stuff-1/objets", "link")</f>
        <v/>
      </c>
      <c r="C1153" t="n">
        <v>17</v>
      </c>
      <c r="D1153" t="inlineStr">
        <is>
          <t>Épée de la Reine des Voleurs; Amulette du Strigide; Anneau de Brouce; Gant du Valet Veinard; Ceinture du Strigide; Casque des égarés; Cape du Kamasterisk; Baleinabottes; Dofus Pourpre; Enragé majeur; Remueur; Carapace Eau majeur; Nomade; Vigoureux majeur</t>
        </is>
      </c>
    </row>
    <row r="1154">
      <c r="A1154" t="inlineStr">
        <is>
          <t>Stuff 2</t>
        </is>
      </c>
      <c r="B1154">
        <f>HYPERLINK("https://www.dofusbook.net/fr/equipement/82636-stuff-2/objets", "link")</f>
        <v/>
      </c>
      <c r="C1154" t="n">
        <v>16</v>
      </c>
      <c r="D1154" t="inlineStr">
        <is>
          <t>Dagues Érhy; Amulette Luminescente; Pikano; Chevalière du Roi Joueur; Ceinture Instable; Couronne du Roi Joueur; Cape de la Dame du Hasard; Pantoufles Émar; Dofus Pourpre; Remueur; Temporiseur majeur; Ralentisseur majeur; Entraveur majeur; Nomade; Koalak Sanguin</t>
        </is>
      </c>
    </row>
    <row r="1155">
      <c r="A1155" t="inlineStr">
        <is>
          <t>Stuff 3</t>
        </is>
      </c>
      <c r="B1155">
        <f>HYPERLINK("https://www.dofusbook.net/fr/equipement/82652-stuff-3/objets", "link")</f>
        <v/>
      </c>
      <c r="C1155" t="n">
        <v>18</v>
      </c>
      <c r="D1155" t="inlineStr">
        <is>
          <t>Plumeau Bil; Amulette d'Otomaï; Anneau Tamie; Anneau Tamie; Ceinture Hyolite; Calotte Spot; Cape de Diondin; Bottes Innommables; Dévastateur Feu majeur; Remueur; Déserteur majeur; Érudit majeur; Miraculé majeur; Nomade; Bisouglours</t>
        </is>
      </c>
    </row>
    <row r="1156">
      <c r="A1156" t="inlineStr">
        <is>
          <t>Stuff 1</t>
        </is>
      </c>
      <c r="B1156">
        <f>HYPERLINK("https://www.dofusbook.net/fr/equipement/82647-stuff-1/objets", "link")</f>
        <v/>
      </c>
      <c r="C1156" t="n">
        <v>13</v>
      </c>
      <c r="D1156" t="inlineStr">
        <is>
          <t>Dagues de Srambad; Amulette du Strigide; Bracelet du Piloztère; Annolamour; Ceinture du Strigide; Kidibonnet; Cape au Logis; Baleinabottes; Dofus Pourpre; Vigoureux majeur; Remueur; Chanceux majeur; Miraculé majeur; Nomade</t>
        </is>
      </c>
    </row>
    <row r="1157">
      <c r="A1157" t="inlineStr">
        <is>
          <t>Stuff 2</t>
        </is>
      </c>
      <c r="B1157">
        <f>HYPERLINK("https://www.dofusbook.net/fr/equipement/82642-stuff-2/objets", "link")</f>
        <v/>
      </c>
      <c r="C1157" t="n">
        <v>23</v>
      </c>
      <c r="D1157" t="inlineStr">
        <is>
          <t>L'Épée Nice; Racine Hueuse; Anneau Chevelu; Gelano; Ceinture de XLII; Casque Dragoeuf; Voile d'encre; Bottes de XLII; Dofus Pourpre; Miraculé majeur; Obstructeur majeur; Vigoureux majeur; Remueur; Enragé majeur</t>
        </is>
      </c>
    </row>
    <row r="1158">
      <c r="A1158" t="inlineStr">
        <is>
          <t>Stuff 3</t>
        </is>
      </c>
      <c r="B1158">
        <f>HYPERLINK("https://www.dofusbook.net/fr/equipement/82637-stuff-3/objets", "link")</f>
        <v/>
      </c>
      <c r="C1158" t="n">
        <v>5</v>
      </c>
      <c r="D1158" t="inlineStr">
        <is>
          <t>Baguette Hique; Pikano; Chevalière du Roi Joueur; Poulpagne; Casquette de Meno; Cape de la Dame du Hasard; Bottes de Meno; Dragodinde en armure</t>
        </is>
      </c>
    </row>
    <row r="1159">
      <c r="A1159" t="inlineStr">
        <is>
          <t>Stuff 1</t>
        </is>
      </c>
      <c r="B1159">
        <f>HYPERLINK("https://www.dofusbook.net/fr/equipement/82632-stuff-1/objets", "link")</f>
        <v/>
      </c>
      <c r="C1159" t="n">
        <v>32</v>
      </c>
      <c r="D1159" t="inlineStr">
        <is>
          <t>Dagues Érhy; Amulette du Strigide; Anneau de Padgref; Bracelet du Piloztère; Ceinture du Strigide; Casque de Missiz Frizz; Cape de la Dame du Hasard; Pataugastrique; Dolmanax; Dofus Turquoise; Dofus Pourpre; Vigoureux majeur; Nomade; Remueur</t>
        </is>
      </c>
    </row>
    <row r="1160">
      <c r="A1160" t="inlineStr">
        <is>
          <t>Stuff 1</t>
        </is>
      </c>
      <c r="B1160">
        <f>HYPERLINK("https://www.dofusbook.net/fr/equipement/82665-stuff-1/objets", "link")</f>
        <v/>
      </c>
      <c r="C1160" t="n">
        <v>14</v>
      </c>
      <c r="D1160" t="inlineStr">
        <is>
          <t>Dagues Açantes; Amulette de Shokkoth; Alliance Gloursonne; Pikano; Ceinture Glaciale; Kidibonnet; Cape de Meno; Bottes de Meno; Entraveur majeur; Chanceux majeur; Miraculé majeur; Nomade; Temporiseur majeur; Remueur</t>
        </is>
      </c>
    </row>
    <row r="1161">
      <c r="A1161" t="inlineStr">
        <is>
          <t>Stuff 2</t>
        </is>
      </c>
      <c r="B1161">
        <f>HYPERLINK("https://www.dofusbook.net/fr/equipement/82660-stuff-2/objets", "link")</f>
        <v/>
      </c>
      <c r="C1161" t="n">
        <v>7</v>
      </c>
      <c r="D1161" t="inlineStr">
        <is>
          <t>Dagues de Srambad; Amulette du Strigide; Alliance Gloursonne; Bracelet du Piloztère; Sangle Ouare; Kidibonnet; Cape au Logis; Bottes du Strigide; Dofus Pourpre; Enragé majeur; Remueur; Vigoureux majeur; Miraculé majeur; Chanceux majeur</t>
        </is>
      </c>
    </row>
    <row r="1162">
      <c r="A1162" t="inlineStr">
        <is>
          <t>Stuff 3</t>
        </is>
      </c>
      <c r="B1162">
        <f>HYPERLINK("https://www.dofusbook.net/fr/equipement/82622-stuff-3/objets", "link")</f>
        <v/>
      </c>
      <c r="C1162" t="n">
        <v>10</v>
      </c>
      <c r="D1162" t="inlineStr">
        <is>
          <t>Sabres d'Atcham; Frimamulette; Anneau Tique; Alliance Gloursonne; Bivalve; Ceinture de Vortex; Casqnoar; Cape d'Atcham; Pataugastrique; Dofus Pourpre; Dofus Turquoise; Nomade; Érudit majeur; Remueur; Étourdisseur majeur; Dragodinde en armure</t>
        </is>
      </c>
    </row>
    <row r="1163">
      <c r="A1163" t="inlineStr">
        <is>
          <t>Stuff 2</t>
        </is>
      </c>
      <c r="B1163">
        <f>HYPERLINK("https://www.dofusbook.net/fr/equipement/82654-stuff-2/objets", "link")</f>
        <v/>
      </c>
      <c r="C1163" t="n">
        <v>14</v>
      </c>
      <c r="D1163" t="inlineStr">
        <is>
          <t>Marteau d'Henual; Amulule; Gelano; Bague Gloursonne; Ceinture d'Henual; Chapeau Lochon; Cape au Logis; Pantoufles Émar; Carapace Terre majeur; Remueur; Enragé majeur; Érudit majeur; Miraculé majeur; Nomade</t>
        </is>
      </c>
    </row>
    <row r="1164">
      <c r="A1164" t="inlineStr">
        <is>
          <t>Stuff 3</t>
        </is>
      </c>
      <c r="B1164">
        <f>HYPERLINK("https://www.dofusbook.net/fr/equipement/82649-stuff-3/objets", "link")</f>
        <v/>
      </c>
      <c r="C1164" t="n">
        <v>11</v>
      </c>
      <c r="D1164" t="inlineStr">
        <is>
          <t>Arc de Guten Tak; Kralamansion; Annolamour; Alliance de Missiz Frizz; Ceinture Bine; Coiffe d'Ogivol; Voile d'encre; Sabots Minables; Dofus Émeraude; Dofus Pourpre; Miraculé majeur; Nomade; Vigoureux majeur; Remueur; Péki</t>
        </is>
      </c>
    </row>
    <row r="1165">
      <c r="A1165" t="inlineStr">
        <is>
          <t>Stuff 1</t>
        </is>
      </c>
      <c r="B1165">
        <f>HYPERLINK("https://www.dofusbook.net/fr/equipement/82644-stuff-1/objets", "link")</f>
        <v/>
      </c>
      <c r="C1165" t="n">
        <v>6</v>
      </c>
      <c r="D1165" t="inlineStr">
        <is>
          <t>Racine de Floribonde; Amulette de l'Obsidiantre; Anneau Nobstant; Sceau Souverain du Roissingue; Goldoture; Capuche Souveraine du Roissingue; Cape Souveraine du Roissingue; Les Maidartes; Dofus Cawotte; Dragoune Rose</t>
        </is>
      </c>
    </row>
    <row r="1166">
      <c r="A1166" t="inlineStr">
        <is>
          <t>Stuff 2</t>
        </is>
      </c>
      <c r="B1166">
        <f>HYPERLINK("https://www.dofusbook.net/fr/equipement/82639-stuff-2/objets", "link")</f>
        <v/>
      </c>
      <c r="C1166" t="n">
        <v>6</v>
      </c>
      <c r="D1166" t="inlineStr">
        <is>
          <t>Dagues Érhy; Amulette du Strigide; Anneau d'Allister; Bague Gloursonne; Ceinture du Strigide; Bonnet Ko; Cape du Professeur Xa; Bottes du Cycloïde; Dofus Pourpre; Dofus Turquoise; Vigoureux majeur; Miraculé majeur; Nomade; Remueur</t>
        </is>
      </c>
    </row>
    <row r="1167">
      <c r="A1167" t="inlineStr">
        <is>
          <t>Stuff 2</t>
        </is>
      </c>
      <c r="B1167">
        <f>HYPERLINK("https://www.dofusbook.net/fr/equipement/82672-stuff-2/objets", "link")</f>
        <v/>
      </c>
      <c r="C1167" t="n">
        <v>25</v>
      </c>
      <c r="D1167" t="inlineStr">
        <is>
          <t>Marteau Phossile; Pendentif affamé; Kralano; Anneau de Padgref; Menoture; Coiffe de Padgref; Cape Lati; Pantoufles Émar; Dofus Pourpre; Dofus Turquoise; Nomade; Vigoureux majeur; Remueur; Miraculé majeur</t>
        </is>
      </c>
    </row>
    <row r="1168">
      <c r="A1168" t="inlineStr">
        <is>
          <t>Stuff 3</t>
        </is>
      </c>
      <c r="B1168">
        <f>HYPERLINK("https://www.dofusbook.net/fr/equipement/82667-stuff-3/objets", "link")</f>
        <v/>
      </c>
      <c r="C1168" t="n">
        <v>6</v>
      </c>
      <c r="D1168" t="inlineStr">
        <is>
          <t>La Baguette des Limbes; Médaille Kido; Gelano; Anneau Frage; Ceinture de Fraktale; Holoune; Cape Usée du Chêne Mou; Bottes du Dragoeuf; Observateur; Nomade; Savant majeur; Remueur; Miraculé majeur; Érudit majeur</t>
        </is>
      </c>
    </row>
    <row r="1169">
      <c r="A1169" t="inlineStr">
        <is>
          <t>Stuff 1</t>
        </is>
      </c>
      <c r="B1169">
        <f>HYPERLINK("https://www.dofusbook.net/fr/equipement/82629-stuff-1/objets", "link")</f>
        <v/>
      </c>
      <c r="C1169" t="n">
        <v>31</v>
      </c>
      <c r="D1169" t="inlineStr">
        <is>
          <t>Marteau des égarés; Amulette du Strigide; Alliance Gloursonne; Bracelet du Piloztère; Bouclier du Stalak; Ceinture du Strigide; Coiffe d'Ogivol; Voile d'encre; Pataugastrique; Dofus Pourpre; Dofus Turquoise; Remueur; Miraculé majeur; Vigoureux majeur; Nomade; Dragodinde en armure</t>
        </is>
      </c>
    </row>
    <row r="1170">
      <c r="A1170" t="inlineStr">
        <is>
          <t>Stuff 1</t>
        </is>
      </c>
      <c r="B1170">
        <f>HYPERLINK("https://www.dofusbook.net/fr/equipement/818400-stuff-1/objets", "link")</f>
        <v/>
      </c>
      <c r="C1170" t="n">
        <v>39</v>
      </c>
      <c r="D1170" t="inlineStr">
        <is>
          <t>Baguette Hique; Collier de la Dame du Hasard; Anneau des Prophètes; Anneau Volkorne; Bouclier cubiste; Ceinture Volkorne; Capuche de l'Œil Putride; Cape Solution; Bottes de Meno; Dofus Ocre; Temporiseur majeur; Nomade; Entraveur majeur; Ralentisseur majeur; Chanceux majeur; Gwo Tofu Ventripotent</t>
        </is>
      </c>
    </row>
    <row r="1171">
      <c r="A1171" t="inlineStr">
        <is>
          <t>Stuff 2</t>
        </is>
      </c>
      <c r="B1171">
        <f>HYPERLINK("https://www.dofusbook.net/fr/equipement/818413-stuff-2/objets", "link")</f>
        <v/>
      </c>
      <c r="C1171" t="n">
        <v>72</v>
      </c>
      <c r="D1171" t="inlineStr">
        <is>
          <t>Arc Volkorne; Amulette Volkorne; Anneau Volkorne; Bracelet du Piloztère; Quatre-feuilles; Ceinture Volkorne; Casque du Chalœil; Cape du Chalœil; Bottes du Chalœil; Dolmanax; Dofus Turquoise; Dofus Ivoire; Dofus Pourpre; Dofus des Glaces; Dofus Ocre; Volkorne Emeraude et Turquoise</t>
        </is>
      </c>
    </row>
    <row r="1172">
      <c r="A1172" t="inlineStr">
        <is>
          <t>stri glours</t>
        </is>
      </c>
      <c r="B1172">
        <f>HYPERLINK("https://www.dofusbook.net/fr/equipement/1497469-stri-glours/objets", "link")</f>
        <v/>
      </c>
      <c r="C1172" t="n">
        <v>126</v>
      </c>
      <c r="D1172" t="inlineStr">
        <is>
          <t>Epée Gloursonne; Amulette du Strigide; Bague Gloursonne; Alliance Gloursonne; Quatre-feuilles; Ceinture du Strigide; Masque du Glourséleste; Cape Peupret; Bottes du Strigide; Dofus Ocre; Dofus Ivoire; Dofus Pourpre; Dofus des Glaces; Dotruche; Dofus Turquoise; Muldo Prune et Doré</t>
        </is>
      </c>
    </row>
    <row r="1173">
      <c r="A1173" t="inlineStr">
        <is>
          <t>Stuff 1</t>
        </is>
      </c>
      <c r="B1173">
        <f>HYPERLINK("https://www.dofusbook.net/fr/equipement/818409-stuff-1/objets", "link")</f>
        <v/>
      </c>
      <c r="C1173" t="n">
        <v>57</v>
      </c>
      <c r="D1173" t="inlineStr">
        <is>
          <t>Epée Gloursonne; Amulette du Strigide; Bague Gloursonne; Alliance Gloursonne; Quatre-feuilles; Ceinture du Strigide; Casque du Chalœil; Cape du Chalœil; Bottes du Strigide; Dofus Ocre; Dofus Pourpre; Dofus des Glaces; Dotruche; Dofus Turquoise; Initiateur majeur; Muldo Roux et Amande</t>
        </is>
      </c>
    </row>
    <row r="1174">
      <c r="A1174" t="inlineStr">
        <is>
          <t>Stuff 2</t>
        </is>
      </c>
      <c r="B1174">
        <f>HYPERLINK("https://www.dofusbook.net/fr/equipement/818416-stuff-2/objets", "link")</f>
        <v/>
      </c>
      <c r="C1174" t="n">
        <v>44</v>
      </c>
      <c r="D1174" t="inlineStr">
        <is>
          <t>Sabres d'Atcham; Amulette Volkorne; Bracelet du Piloztère; Anneau Volkorne; Bouclier d'Anerice; Ceinture Volkorne; Casque Volkorne; Cape d'Atcham; Sandales  d'Atcham; Dofus Ivoire; Dofus Ocre; Dofus Turquoise; Dofus Pourpre; Dofus Émeraude; Dofus des Glaces; Volkorne Ivoire et Turquoise</t>
        </is>
      </c>
    </row>
    <row r="1175">
      <c r="A1175" t="inlineStr">
        <is>
          <t>stuff test</t>
        </is>
      </c>
      <c r="B1175">
        <f>HYPERLINK("https://www.dofusbook.net/fr/equipement/2265240-stuff-test/objets", "link")</f>
        <v/>
      </c>
      <c r="C1175" t="n">
        <v>59</v>
      </c>
      <c r="D1175" t="inlineStr">
        <is>
          <t>Sabres d'Atcham; Amulette Volkorne; Anneau Volkorne; Bracelet du Piloztère; Quatre-feuilles; Ceinture Volkorne; Casque Volkorne; Cape d'Atcham; Sandales  d'Atcham; Dofus des Glaces; Dofus Ocre; Dolmanax; Dofus Turquoise; Dofus Ivoire; Dofus Pourpre; Volkorne Emeraude et Turquoise</t>
        </is>
      </c>
    </row>
    <row r="1176">
      <c r="A1176" t="inlineStr">
        <is>
          <t>Multi cc</t>
        </is>
      </c>
      <c r="B1176">
        <f>HYPERLINK("https://www.dofusbook.net/fr/equipement/818402-multi-cc/objets", "link")</f>
        <v/>
      </c>
      <c r="C1176" t="n">
        <v>40</v>
      </c>
      <c r="D1176" t="inlineStr">
        <is>
          <t>Sabres d'Atcham; Amulette Volkorne; Anneau Volkorne; Anneau Tamie; Bouclier cubiste; Ceinture Volkorne; Casque Volkorne; Cape d'Atcham; Sandales  d'Atcham; Dofus Turquoise; Dofus Pourpre; Dofus Émeraude; Dolmanax; Dofus Ocre; Dofus des Glaces; Volkorne Doré et Turquoise</t>
        </is>
      </c>
    </row>
    <row r="1177">
      <c r="A1177" t="inlineStr">
        <is>
          <t>full do cri</t>
        </is>
      </c>
      <c r="B1177">
        <f>HYPERLINK("https://www.dofusbook.net/fr/equipement/818412-full-do-cri/objets", "link")</f>
        <v/>
      </c>
      <c r="C1177" t="n">
        <v>93</v>
      </c>
      <c r="D1177" t="inlineStr">
        <is>
          <t>Epée Gloursonne; Amulette du Strigide; Alliance Gloursonne; Bague Gloursonne; Quatre-feuilles; Ceinture du Strigide; Masque du Glourséleste; Cape Peupret; Bottes du Strigide; Dofus Turquoise; Dofus Pourpre; Dofus Émeraude; Dolmanax; Dofus Ocre; Dofus des Glaces; Muldo Prune et Doré</t>
        </is>
      </c>
    </row>
    <row r="1178">
      <c r="A1178" t="inlineStr">
        <is>
          <t>Terre Feu</t>
        </is>
      </c>
      <c r="B1178">
        <f>HYPERLINK("https://www.dofusbook.net/fr/equipement/818401-terre-feu/objets", "link")</f>
        <v/>
      </c>
      <c r="C1178" t="n">
        <v>24</v>
      </c>
      <c r="D1178" t="inlineStr">
        <is>
          <t>Epée Toche; Amulette du Strigide; Bague Gloursonne; Chevalière du Roi Joueur; Bouclier du Captain Amakna; Ceinture du Strigide; Couronne du Roi Joueur; Voile d'encre; Bottes du Roi Joueur; Dolmanax; Dofus Ocre; Dofus Pourpre; Dofus des Glaces; Dofus Nébuleux; Dofus Turquoise; Muldo Prune et Emeraude</t>
        </is>
      </c>
    </row>
    <row r="1179">
      <c r="A1179" t="inlineStr">
        <is>
          <t>ECA chaloeil</t>
        </is>
      </c>
      <c r="B1179">
        <f>HYPERLINK("https://www.dofusbook.net/fr/equipement/2085827-eca-chaloeil/objets", "link")</f>
        <v/>
      </c>
      <c r="C1179" t="n">
        <v>37</v>
      </c>
      <c r="D1179" t="inlineStr">
        <is>
          <t>Sabres d'Atcham; Amulette de Pol Ouatnos; Alliance Gloursonne; Bague Gloursonne; Quatre-feuilles; Ceintacé; Casque du Chalœil; Cape du Chalœil; Bottes du Chalœil; Dokoko; Dofus des Glaces; Dolmanax; Dofus Turquoise; Dofus Pourpre; Dofus Ocre; Kramkram</t>
        </is>
      </c>
    </row>
    <row r="1180">
      <c r="A1180" t="inlineStr">
        <is>
          <t>new force</t>
        </is>
      </c>
      <c r="B1180">
        <f>HYPERLINK("https://www.dofusbook.net/fr/equipement/2047137-new-force/objets", "link")</f>
        <v/>
      </c>
      <c r="C1180" t="n">
        <v>4</v>
      </c>
      <c r="D1180" t="inlineStr">
        <is>
          <t>Epée Royale du Bouftou; Amulette Royale du Bouftou; Anneau Royal du Bouftou; Gelano; Ceinture Royale du Bouftou; Boufcoiffe Royale; Cape Bouffante Royale; Boufbottes Royales</t>
        </is>
      </c>
    </row>
    <row r="1181">
      <c r="A1181" t="inlineStr">
        <is>
          <t>New</t>
        </is>
      </c>
      <c r="B1181">
        <f>HYPERLINK("https://www.dofusbook.net/fr/equipement/2047105-new/objets", "link")</f>
        <v/>
      </c>
      <c r="C1181" t="n">
        <v>15</v>
      </c>
      <c r="D1181" t="inlineStr">
        <is>
          <t>Lame du Chef Crocodaille; Amulette du Chef Crocodaille; Bracelet du Chef Crocodaille; Gelano; Bouclier du Chef Crocodaille; Ceinture du Chef Crocodaille; Coiffe du Chef Crocodaille; Petit sac d'écolier du Chef Crocodaille; Pantoufles Crochues du Chef Crocodaille; Dokoko; Dofus Cawotte; Chacha</t>
        </is>
      </c>
    </row>
    <row r="1182">
      <c r="A1182" t="inlineStr">
        <is>
          <t>voile</t>
        </is>
      </c>
      <c r="B1182">
        <f>HYPERLINK("https://www.dofusbook.net/fr/equipement/818405-voile/objets", "link")</f>
        <v/>
      </c>
      <c r="C1182" t="n">
        <v>32</v>
      </c>
      <c r="D1182" t="inlineStr">
        <is>
          <t>Dagues Érhy; Amulette du Strigide; Bracelet du Piloztère; Bague Gloursonne; Bouclier du Captain Amakna; Ceinture du Strigide; Bonnet Ko; Cape du Chalœil; Bottes du Cycloïde; Dofus Turquoise; Dofus Pourpre; Dofus des Glaces; Dofus Ocre; Nomade; Remueur; Muldo Prune et Orchidée</t>
        </is>
      </c>
    </row>
    <row r="1183">
      <c r="A1183" t="inlineStr">
        <is>
          <t>Stuff 3</t>
        </is>
      </c>
      <c r="B1183">
        <f>HYPERLINK("https://www.dofusbook.net/fr/equipement/818414-stuff-3/objets", "link")</f>
        <v/>
      </c>
      <c r="C1183" t="n">
        <v>38</v>
      </c>
      <c r="D1183" t="inlineStr">
        <is>
          <t>Baguette Hernelle; Frimamulette; Anneau de Padgref; Anneau de la Fuji Givrefoux; Quatre-feuilles; Ceinture du Tengu Givrefoux; Bonnet Ko; Cape de Tengu Givrefoux; Pantoufles Émar; Dofus Turquoise; Dofus Pourpre; Observateur; Remueur; Vigoureux majeur; Nomade; Muldo Prune et Doré</t>
        </is>
      </c>
    </row>
    <row r="1184">
      <c r="A1184" t="inlineStr">
        <is>
          <t>ret pm</t>
        </is>
      </c>
      <c r="B1184">
        <f>HYPERLINK("https://www.dofusbook.net/fr/equipement/1510147-ret-pm/objets", "link")</f>
        <v/>
      </c>
      <c r="C1184" t="n">
        <v>40</v>
      </c>
      <c r="D1184" t="inlineStr">
        <is>
          <t>Marteau R'ture; Amulette du Glourséleste; Anneau Tamie; Anneau de la Fuji Givrefoux; Bouclier cubiste; Ceinture Instable; Casquette de Meno; Cape de Léthaline; Pantoufles Émar; Temporiseur majeur; Remueur; Entraveur; Entraveur majeur; Ralentisseur majeur; Entraveur majeur; Kramkram</t>
        </is>
      </c>
    </row>
    <row r="1185">
      <c r="A1185" t="inlineStr">
        <is>
          <t>cc do cc</t>
        </is>
      </c>
      <c r="B1185">
        <f>HYPERLINK("https://www.dofusbook.net/fr/equipement/1669923-cc-do-cc/objets", "link")</f>
        <v/>
      </c>
      <c r="C1185" t="n">
        <v>44</v>
      </c>
      <c r="D1185" t="inlineStr">
        <is>
          <t>Dagues Érhy; Amulette du Strigide; Bracelet du Piloztère; Bague Gloursonne; Bouclier du Captain Amakna; Ceinture du Strigide; Bonnet Ko; Voile d'encre; Bottes du Strigide; Dofus Émeraude; Dolmanax; Dofus Turquoise; Dofus des Glaces; Dofus Pourpre; Dofus Ocre; Muldo Prune et Doré</t>
        </is>
      </c>
    </row>
    <row r="1186">
      <c r="A1186" t="inlineStr">
        <is>
          <t>roi joueur</t>
        </is>
      </c>
      <c r="B1186">
        <f>HYPERLINK("https://www.dofusbook.net/fr/equipement/818404-roi-joueur/objets", "link")</f>
        <v/>
      </c>
      <c r="C1186" t="n">
        <v>35</v>
      </c>
      <c r="D1186" t="inlineStr">
        <is>
          <t>Epée Toche; Amulette du Strigide; Chevalière du Roi Joueur; Bracelet du Piloztère; Bouclier du Captain Amakna; Ceinture du Strigide; Couronne du Roi Joueur; Voile d'encre; Bottes du Strigide; Dofus Turquoise; Dofus des Glaces; Dofus Pourpre; Dofus Ocre; Dofus Émeraude; Dolmanax; Muldo Prune et Emeraude</t>
        </is>
      </c>
    </row>
    <row r="1187">
      <c r="A1187" t="inlineStr">
        <is>
          <t>Bonnet KO</t>
        </is>
      </c>
      <c r="B1187">
        <f>HYPERLINK("https://www.dofusbook.net/fr/equipement/818403-bonnet-ko/objets", "link")</f>
        <v/>
      </c>
      <c r="C1187" t="n">
        <v>20</v>
      </c>
      <c r="D1187" t="inlineStr">
        <is>
          <t>Epée Toche; Amulette du Strigide; Bague Gloursonne; Bracelet du Piloztère; Bouclier du Captain Amakna; Ceinture du Strigide; Bonnet Ko; Voile d'encre; Bottes du Cycloïde; Dofus Pourpre; Dofus des Glaces; Dofus Turquoise; Dofus Ocre; Nomade; Remueur; Muldo Prune et Doré</t>
        </is>
      </c>
    </row>
    <row r="1188">
      <c r="A1188" t="inlineStr">
        <is>
          <t>Stuff 1</t>
        </is>
      </c>
      <c r="B1188">
        <f>HYPERLINK("https://www.dofusbook.net/fr/equipement/818424-stuff-1/objets", "link")</f>
        <v/>
      </c>
      <c r="C1188" t="n">
        <v>21</v>
      </c>
      <c r="D1188" t="inlineStr">
        <is>
          <t>Dague Hirr; Amulette de Pol Ouatnos; Bracelet du Piloztère; Anneau des égarés; Ceintacé; Casque des égarés; Cape du Kamasterisk; Baleinabottes; Vigoureux majeur; Obstructeur majeur; Enragé majeur; Nomade; Cascadeur majeur; Remueur</t>
        </is>
      </c>
    </row>
    <row r="1189">
      <c r="A1189" t="inlineStr">
        <is>
          <t>Stuff 3</t>
        </is>
      </c>
      <c r="B1189">
        <f>HYPERLINK("https://www.dofusbook.net/fr/equipement/818426-stuff-3/objets", "link")</f>
        <v/>
      </c>
      <c r="C1189" t="n">
        <v>12</v>
      </c>
      <c r="D1189" t="inlineStr">
        <is>
          <t>Bâton Beau; Amulette du Strigide; Bracelet du Piloztère; Anneau de la Fuji Givrefoux; Ceinture du Strigide; Coiffe de la Fuji Givrefoux; Cape de la Fuji Givrefoux; Bottes de la Fuji Givrefoux; Dolmanax; Dofus Turquoise; Dofus Ocre; Dofus des Glaces; Dofus Pourpre; Puissant majeur; Kramkram</t>
        </is>
      </c>
    </row>
    <row r="1190">
      <c r="A1190" t="inlineStr">
        <is>
          <t>Stuff 1</t>
        </is>
      </c>
      <c r="B1190">
        <f>HYPERLINK("https://www.dofusbook.net/fr/equipement/818421-stuff-1/objets", "link")</f>
        <v/>
      </c>
      <c r="C1190" t="n">
        <v>19</v>
      </c>
      <c r="D1190" t="inlineStr">
        <is>
          <t>Bêche Asse; Amulule; Anneau Chevelu; Alliance de Missiz Frizz; Ceinture de Brouce; Casque de Missiz Frizz; Cape au Logis; Sabots Minables; Dofus Émeraude; Nomade; Vigoureux majeur; Remueur; Survivant majeur; Miraculé majeur; Dragodinde Prune et Pourpre</t>
        </is>
      </c>
    </row>
    <row r="1191">
      <c r="A1191" t="inlineStr">
        <is>
          <t>Stuff 3</t>
        </is>
      </c>
      <c r="B1191">
        <f>HYPERLINK("https://www.dofusbook.net/fr/equipement/818411-stuff-3/objets", "link")</f>
        <v/>
      </c>
      <c r="C1191" t="n">
        <v>34</v>
      </c>
      <c r="D1191" t="inlineStr">
        <is>
          <t>Masse Ossiale; Amulette de l'Indicible; Alliance Gloursonne; Alliance du Lévitrof; Quatre-feuilles; Ceintacé; Coiffe du Lévitrof; Cape de la Dame du Hasard; Pataugastrique; Dolmanax; Nomade; Chanceux majeur; Vigoureux majeur; Érudit majeur; Remueur; Dragodinde Prune et Emeraude</t>
        </is>
      </c>
    </row>
    <row r="1192">
      <c r="A1192" t="inlineStr">
        <is>
          <t>Stuff 2</t>
        </is>
      </c>
      <c r="B1192">
        <f>HYPERLINK("https://www.dofusbook.net/fr/equipement/818398-stuff-2/objets", "link")</f>
        <v/>
      </c>
      <c r="C1192" t="n">
        <v>19</v>
      </c>
      <c r="D1192" t="inlineStr">
        <is>
          <t>Arc Hétype; Amulette de Nileza; Anneau Tamie; Anneau Tamie; Ceinture Hanium; Frimacoiffe; Cape de Nileza; Pantoufles Émar; Dofus Émeraude; Dofus Pourpre; Érudit majeur; Nomade; Vigoureux majeur; Remueur; Dragodinde Amande et Orchidée</t>
        </is>
      </c>
    </row>
    <row r="1193">
      <c r="A1193" t="inlineStr">
        <is>
          <t>Stuff 2</t>
        </is>
      </c>
      <c r="B1193">
        <f>HYPERLINK("https://www.dofusbook.net/fr/equipement/818428-stuff-2/objets", "link")</f>
        <v/>
      </c>
      <c r="C1193" t="n">
        <v>13</v>
      </c>
      <c r="D1193" t="inlineStr">
        <is>
          <t>Épée du Granduk; Amulette du Granduk; Anneau d'Allister; Gelano; Ceinture de Klime; Masque du Granduk; Cape de Klime; Bottes d'Allister; Survivant majeur; Acrobate majeur; Siroko</t>
        </is>
      </c>
    </row>
    <row r="1194">
      <c r="A1194" t="inlineStr">
        <is>
          <t>Stuff 3</t>
        </is>
      </c>
      <c r="B1194">
        <f>HYPERLINK("https://www.dofusbook.net/fr/equipement/818423-stuff-3/objets", "link")</f>
        <v/>
      </c>
      <c r="C1194" t="n">
        <v>41</v>
      </c>
      <c r="D1194" t="inlineStr">
        <is>
          <t>Dagues de Srambad; Amulette de Pol Ouatnos; Alliance Gloursonne; Bracelet du Piloztère; Ceinture de la Reine des Voleurs; Coiffe de la Reine des Voleurs; Voile d'encre; Baleinabottes; Dolmanax; Enragé majeur; Miraculé majeur; Chanceux majeur; Vigoureux majeur; Remueur; Kramkram</t>
        </is>
      </c>
    </row>
    <row r="1195">
      <c r="A1195" t="inlineStr">
        <is>
          <t>Stuff 2</t>
        </is>
      </c>
      <c r="B1195">
        <f>HYPERLINK("https://www.dofusbook.net/fr/equipement/818425-stuff-2/objets", "link")</f>
        <v/>
      </c>
      <c r="C1195" t="n">
        <v>27</v>
      </c>
      <c r="D1195" t="inlineStr">
        <is>
          <t>Dagues Érhy; Amulette du Kamasterisk; Anneau du Katcheur; Anneau du Cycloïde; Bouclier d'Anerice; Ceintacé; Masque du Katcheur; Cape des Malveilleurs; Baleinabottes; Vigoureux majeur; Obstructeur majeur; Enragé majeur; Nomade; Cascadeur majeur; Remueur; Muldo Roux et Amande</t>
        </is>
      </c>
    </row>
    <row r="1196">
      <c r="A1196" t="inlineStr">
        <is>
          <t>Stuff 1</t>
        </is>
      </c>
      <c r="B1196">
        <f>HYPERLINK("https://www.dofusbook.net/fr/equipement/818415-stuff-1/objets", "link")</f>
        <v/>
      </c>
      <c r="C1196" t="n">
        <v>16</v>
      </c>
      <c r="D1196" t="inlineStr">
        <is>
          <t>Epée Gloursonne; Amulette du Strigide; Alliance Gloursonne; Bague Gloursonne; Ceinture du Strigide; Chapeau des Malveilleurs; Cape des Malveilleurs; Bottes du Strigide; Dofus Turquoise; Dofus Pourpre; Dofus Émeraude; Dofus des Glaces; Dolmanax; Dofus Ocre; Dragodinde Prune et Emeraude</t>
        </is>
      </c>
    </row>
    <row r="1197">
      <c r="A1197" t="inlineStr">
        <is>
          <t>Stuff 2</t>
        </is>
      </c>
      <c r="B1197">
        <f>HYPERLINK("https://www.dofusbook.net/fr/equipement/818410-stuff-2/objets", "link")</f>
        <v/>
      </c>
      <c r="C1197" t="n">
        <v>20</v>
      </c>
      <c r="D1197" t="inlineStr">
        <is>
          <t>Epée Gloursonne; Amulette de l'Indicible; Bague Gloursonne; Alliance Gloursonne; Ceinture de l'Indicible; Casque du Chalœil; Cape du Chalœil; Bottes de l'Indicible; Dofus Ocre; Dofus Pourpre; Dofus des Glaces; Dofus Turquoise; Dolmanax; Fuyard majeur; Dragodinde Amande et Emeraude</t>
        </is>
      </c>
    </row>
    <row r="1198">
      <c r="A1198" t="inlineStr">
        <is>
          <t>Stuff 1</t>
        </is>
      </c>
      <c r="B1198">
        <f>HYPERLINK("https://www.dofusbook.net/fr/equipement/818397-stuff-1/objets", "link")</f>
        <v/>
      </c>
      <c r="C1198" t="n">
        <v>12</v>
      </c>
      <c r="D1198" t="inlineStr">
        <is>
          <t>Epée Gloursonne; Amulette du Strigide; Alliance Gloursonne; Bague Gloursonne; Quatre-feuilles; Ceinture du Strigide; Chapeau des Malveilleurs; Cape des Malveilleurs; Bottes du Strigide; Dolmanax; Dofus Ocre; Dofus Turquoise; Dofus Pourpre; Dofus Émeraude; Dofus des Glaces; Dragodinde Prune et Emeraude</t>
        </is>
      </c>
    </row>
    <row r="1199">
      <c r="A1199" t="inlineStr">
        <is>
          <t>Stuff 1</t>
        </is>
      </c>
      <c r="B1199">
        <f>HYPERLINK("https://www.dofusbook.net/fr/equipement/818427-stuff-1/objets", "link")</f>
        <v/>
      </c>
      <c r="C1199" t="n">
        <v>17</v>
      </c>
      <c r="D1199" t="inlineStr">
        <is>
          <t>Pelle de la Cour Sombre; Amulette du Granduk; Alliance Gloursonne; Anneau d'Allister; Ceinture du Nocturlabe; Masque du Granduk; Cape Matelassée; Bottes des égarés; Dolmanax; Dofus Pourpre; Vigoureux majeur; Remueur; Cascadeur majeur; Nomade; Kramkram</t>
        </is>
      </c>
    </row>
    <row r="1200">
      <c r="A1200" t="inlineStr">
        <is>
          <t>Stuff 2</t>
        </is>
      </c>
      <c r="B1200">
        <f>HYPERLINK("https://www.dofusbook.net/fr/equipement/818422-stuff-2/objets", "link")</f>
        <v/>
      </c>
      <c r="C1200" t="n">
        <v>16</v>
      </c>
      <c r="D1200" t="inlineStr">
        <is>
          <t>Epée Kari; Amulette Héroclite; Anneau Chevelu; Anneau de Brouce; Ceinture de Brouce; Le Kim; Cape au Logis; Sabots Minables; Dofus Émeraude; Vigoureux majeur; Nomade; Miraculé majeur; Érudit majeur; Remueur; Dragodinde Prune et Rousse</t>
        </is>
      </c>
    </row>
    <row r="1201">
      <c r="A1201" t="inlineStr">
        <is>
          <t>Stuff 3</t>
        </is>
      </c>
      <c r="B1201">
        <f>HYPERLINK("https://www.dofusbook.net/fr/equipement/818417-stuff-3/objets", "link")</f>
        <v/>
      </c>
      <c r="C1201" t="n">
        <v>19</v>
      </c>
      <c r="D1201" t="inlineStr">
        <is>
          <t>Dagues Érhy; Amulette du Strigide; Bague Gloursonne; Bracelet du Piloztère; Ceintacé; Coiffe du Glourséleste; Voile d'encre; Bottes du Strigide; Dolmanax; Dofus Pourpre; Dofus Turquoise; Nomade; Remueur; Vigoureux majeur; Kramkram</t>
        </is>
      </c>
    </row>
    <row r="1202">
      <c r="A1202" t="inlineStr">
        <is>
          <t>Stuff 3</t>
        </is>
      </c>
      <c r="B1202">
        <f>HYPERLINK("https://www.dofusbook.net/fr/equipement/818399-stuff-3/objets", "link")</f>
        <v/>
      </c>
      <c r="C1202" t="n">
        <v>17</v>
      </c>
      <c r="D1202" t="inlineStr">
        <is>
          <t>Bâton Beau; Amulette du Strigide; Bracelet du Piloztère; Alliance Gloursonne; Ceintacé; Masque du Katcheur; Voile d'encre; Bottes du Strigide; Dofus Pourpre; Dolmanax; Dofus des Glaces; Remueur; Nomade; Vigoureux majeur; Kramkram</t>
        </is>
      </c>
    </row>
    <row r="1203">
      <c r="A1203" t="inlineStr">
        <is>
          <t>Stuff 3</t>
        </is>
      </c>
      <c r="B1203">
        <f>HYPERLINK("https://www.dofusbook.net/fr/equipement/818429-stuff-3/objets", "link")</f>
        <v/>
      </c>
      <c r="C1203" t="n">
        <v>14</v>
      </c>
      <c r="D1203" t="inlineStr">
        <is>
          <t>Baguette Hique; Collier de la Dame du Hasard; Anneau Tamie; Anneau Tamie; Ceinture de Kongoku; Casquette de Meno; Cape de Meno; Pikottes; Entraveur majeur; Nomade; Temporiseur; Remueur; Temporiseur majeur</t>
        </is>
      </c>
    </row>
    <row r="1204">
      <c r="A1204" t="inlineStr">
        <is>
          <t>Feu</t>
        </is>
      </c>
      <c r="B1204">
        <f>HYPERLINK("https://www.dofusbook.net/fr/equipement/5576476-feu/objets", "link")</f>
        <v/>
      </c>
      <c r="C1204" t="n">
        <v>6</v>
      </c>
      <c r="D1204" t="inlineStr">
        <is>
          <t>Arc corrompu; Amulette Volkorne; Bague Gloursonne; Anneau de Nidas; Bouclier cubiste; Ceinture Volkorne; Heaume Oplate; Voile d'encre; Chaussures Ardentes; Dofus Ocre; Dofus Abyssal; Dofus Ivoire; Dofus Vulbis; Dofus Ébène; Érudit majeur; Léopardo</t>
        </is>
      </c>
    </row>
    <row r="1205">
      <c r="A1205" t="inlineStr">
        <is>
          <t>Air</t>
        </is>
      </c>
      <c r="B1205">
        <f>HYPERLINK("https://www.dofusbook.net/fr/equipement/4085680-air/objets", "link")</f>
        <v/>
      </c>
      <c r="C1205" t="n">
        <v>23</v>
      </c>
      <c r="D1205" t="inlineStr">
        <is>
          <t>Manthache; Collier du Valet Veinard; Alliance Gloursonne; Gant du Valet Veinard; Bouclier du Stalak; Menoture; Dorabysses; Cape Martegel; Palmes Trithons; Dofus des Glaces; Dofus Vulbis; Dofus Nébuleux; Dofus Pourpre; Dofus Ocre; Cascadeur majeur; Blérodoudou</t>
        </is>
      </c>
    </row>
    <row r="1206">
      <c r="A1206" t="inlineStr">
        <is>
          <t>Full cc</t>
        </is>
      </c>
      <c r="B1206">
        <f>HYPERLINK("https://www.dofusbook.net/fr/equipement/5548671-full-cc/objets", "link")</f>
        <v/>
      </c>
      <c r="C1206" t="n">
        <v>12</v>
      </c>
      <c r="D1206" t="inlineStr">
        <is>
          <t>Baguette de Torkélonia; Amulette du Strigide; Chevalière du Roi Joueur; Bracelet du Piloztère; Quatre-feuilles; Ceinture du Strigide; Couronne du Roi Joueur; Carapace de Torkélonia; Bottes du Roi Joueur; Dofus Turquoise; Dofus Ébène; Dofus Vulbis; Dofus Abyssal; Dofus Ocre; Dofus Ivoire; Kokulte</t>
        </is>
      </c>
    </row>
    <row r="1207">
      <c r="A1207" t="inlineStr">
        <is>
          <t>Feu</t>
        </is>
      </c>
      <c r="B1207">
        <f>HYPERLINK("https://www.dofusbook.net/fr/equipement/4683751-feu/objets", "link")</f>
        <v/>
      </c>
      <c r="C1207" t="n">
        <v>17</v>
      </c>
      <c r="D1207" t="inlineStr">
        <is>
          <t>Arc corrompu; Amulette Volkorne; Anneau Volkorne; Chevalière du Roi Joueur; Bouclier du Stalak; Croture; Casque Dragoeuf; Cape de Diondin; Chaussures Ardentes; Dofus Vulbis; Dofus Ivoire; Dofus Ocre; Dofus Ébène; Dofus Abyssal; Érudit majeur; Bisouglours</t>
        </is>
      </c>
    </row>
    <row r="1208">
      <c r="A1208" t="inlineStr">
        <is>
          <t>Full cc</t>
        </is>
      </c>
      <c r="B1208">
        <f>HYPERLINK("https://www.dofusbook.net/fr/equipement/5452925-full-cc/objets", "link")</f>
        <v/>
      </c>
      <c r="C1208" t="n">
        <v>4</v>
      </c>
      <c r="D1208" t="inlineStr">
        <is>
          <t>Amulette du Strigide; Bracelet du Piloztère; Anneau de Padgref; Quatre-feuilles; Ceinture du Strigide; Corne de Torkélonia; Carapace de Torkélonia; Bottes du Strigide; Dofus Vulbis; Dofus Abyssal; Dofus Turquoise; Dofus Ivoire; Dofus Ocre; Dofus Ébène; Kokulte</t>
        </is>
      </c>
    </row>
    <row r="1209">
      <c r="A1209" t="inlineStr">
        <is>
          <t>Stuff 1</t>
        </is>
      </c>
      <c r="B1209">
        <f>HYPERLINK("https://www.dofusbook.net/fr/equipement/167442-stuff-1/objets", "link")</f>
        <v/>
      </c>
      <c r="C1209" t="n">
        <v>2</v>
      </c>
      <c r="D1209" t="inlineStr">
        <is>
          <t>Arc Hétype; Amulette de Nileza; Bague Gloursonne; Anneau du Professeur Xa; String Tue-Mouche; Calotte Spot; Cape de Nileza; Pantoufles Émar; Érudit majeur; Miraculé majeur; Nomade; Savant majeur; Remueur; Croum</t>
        </is>
      </c>
    </row>
    <row r="1210">
      <c r="A1210" t="inlineStr">
        <is>
          <t>Stuff 1</t>
        </is>
      </c>
      <c r="B1210">
        <f>HYPERLINK("https://www.dofusbook.net/fr/equipement/167451-stuff-1/objets", "link")</f>
        <v/>
      </c>
      <c r="C1210" t="n">
        <v>17</v>
      </c>
      <c r="D1210" t="inlineStr">
        <is>
          <t>Marteau R'ture; Amulette du Cœur Saignant; Alliance de Missiz Frizz; Anneau Volkorne; Bouclier du Captain Amakna; Ceinture Volkorne; Casque de Missiz Frizz; Cape du Cœur Saignant; Bottes du Cœur Saignant; Dofus Nébuleux; Dofus Pourpre; Dofus Vulbis; Dofus Ocre; Dofus Ébène; Dofus Turquoise; Kompost</t>
        </is>
      </c>
    </row>
    <row r="1211">
      <c r="A1211" t="inlineStr">
        <is>
          <t>Terre res vita</t>
        </is>
      </c>
      <c r="B1211">
        <f>HYPERLINK("https://www.dofusbook.net/fr/equipement/5209808-terre-res-vita/objets", "link")</f>
        <v/>
      </c>
      <c r="C1211" t="n">
        <v>2</v>
      </c>
      <c r="D1211" t="inlineStr">
        <is>
          <t>Lav'Hache; Amulette du Strigide; Anneau Chevelu; Anneau Volkorne; Ceinture Volkorne; Casque Dragoeuf; Cape au Logis; Bottes du Cœur Saignant</t>
        </is>
      </c>
    </row>
    <row r="1212">
      <c r="A1212" t="inlineStr">
        <is>
          <t>terre</t>
        </is>
      </c>
      <c r="B1212">
        <f>HYPERLINK("https://www.dofusbook.net/fr/equipement/2835871-terre/objets", "link")</f>
        <v/>
      </c>
      <c r="C1212" t="n">
        <v>20</v>
      </c>
      <c r="D1212" t="inlineStr">
        <is>
          <t>Rouleau à Pâtisserie d'Aermyne; Collier de Tourthon; Anneau Chevelu; Bague Gloursonne; Bouclier précieux; Ceintacé; Casque Dragoeuf; Cape au Logis; Bottes de la Cour Sombre; Dofus Abyssal; Dofus Émeraude; Obstructeur majeur; Remueur; Bloqueur majeur; Enragé majeur; Givrefoux</t>
        </is>
      </c>
    </row>
    <row r="1213">
      <c r="A1213" t="inlineStr">
        <is>
          <t>Récri</t>
        </is>
      </c>
      <c r="B1213">
        <f>HYPERLINK("https://www.dofusbook.net/fr/equipement/5090182-recri/objets", "link")</f>
        <v/>
      </c>
      <c r="C1213" t="n">
        <v>4</v>
      </c>
      <c r="D1213" t="inlineStr">
        <is>
          <t>Dagues Érhy; Torquistik; Bague Gloursonne; Baguistik; Jadis; Ceinture de la Reine des Voleurs; Coiffe de la Reine des Voleurs; Cape au Logis; Bottistik; Dofus Émeraude; Dofus Ivoire; Dofus Pourpre; Dofus Abyssal; Dofus Ocre; Bastion majeur; Wabbit</t>
        </is>
      </c>
    </row>
    <row r="1214">
      <c r="A1214" t="inlineStr">
        <is>
          <t>Multi-low cost</t>
        </is>
      </c>
      <c r="B1214">
        <f>HYPERLINK("https://www.dofusbook.net/fr/equipement/3963632-multi-low-cost/objets", "link")</f>
        <v/>
      </c>
      <c r="C1214" t="n">
        <v>43</v>
      </c>
      <c r="D1214" t="inlineStr">
        <is>
          <t>Bâton Beau; Amulette du Strigide; Bracelet du Piloztère; Gelano; Bouclier du Stalak; Ceinture du Strigide; Coiffe du Lévitrof; Voile d'encre; Bottes du Cycloïde; Dofus Abyssal; Dofus Turquoise; Dofus Pourpre; Nomade; Vigoureux majeur; Remueur; Fëanor</t>
        </is>
      </c>
    </row>
    <row r="1215">
      <c r="A1215" t="inlineStr">
        <is>
          <t>Sram F 200</t>
        </is>
      </c>
      <c r="B1215">
        <f>HYPERLINK("https://www.dofusbook.net/fr/equipement/5016895-sram-f-200/objets", "link")</f>
        <v/>
      </c>
      <c r="C1215" t="n">
        <v>5</v>
      </c>
      <c r="D1215" t="inlineStr">
        <is>
          <t>Amulette du Cœur Vaillant; Anneau Volkorne; Ceinture Volkorne; Casque Volkorne; Cape du Cœur Vaillant; Bottes du Cœur Vaillant</t>
        </is>
      </c>
    </row>
    <row r="1216">
      <c r="A1216" t="inlineStr">
        <is>
          <t>Terre</t>
        </is>
      </c>
      <c r="B1216">
        <f>HYPERLINK("https://www.dofusbook.net/fr/equipement/4633229-terre/objets", "link")</f>
        <v/>
      </c>
      <c r="C1216" t="n">
        <v>12</v>
      </c>
      <c r="D1216" t="inlineStr">
        <is>
          <t>Arc du Chalœil; Amulette du Strigide; Bague Gloursonne; Anneau Chevelu; Quatre-feuilles; Ceinture de la Cour Sombre; Masque de Koutoulou; Cape au Logis; Bottes de la Cour Sombre; Dofus Abyssal; Dofus Pourpre; Dofus Ivoire; Dofus Turquoise; Dofus Ocre; Enragé majeur; Dragodinde Amande et Pourpre</t>
        </is>
      </c>
    </row>
    <row r="1217">
      <c r="A1217" t="inlineStr">
        <is>
          <t>Cra multi new gen</t>
        </is>
      </c>
      <c r="B1217">
        <f>HYPERLINK("https://www.dofusbook.net/fr/equipement/4442527-cra-multi-new-gen/objets", "link")</f>
        <v/>
      </c>
      <c r="C1217" t="n">
        <v>68</v>
      </c>
      <c r="D1217" t="inlineStr">
        <is>
          <t>Sabres d'Atcham; Amulette Volkorne; Anneau Volkorne; Anneau de Padgref; Quatre-feuilles; Ceinture Volkorne; Coiffe de Padgref; Cape d'Atcham; Getas de Padgref; Dofus Pourpre; Dofus des Glaces; Dofus Ébène; Dofus Ocre; Dolmanax; Dofus Turquoise; Kokulte</t>
        </is>
      </c>
    </row>
    <row r="1218">
      <c r="A1218" t="inlineStr">
        <is>
          <t>Terre crit</t>
        </is>
      </c>
      <c r="B1218">
        <f>HYPERLINK("https://www.dofusbook.net/fr/equipement/3721759-terre-crit/objets", "link")</f>
        <v/>
      </c>
      <c r="C1218" t="n">
        <v>19</v>
      </c>
      <c r="D1218" t="inlineStr">
        <is>
          <t>Arc du Chalœil; Amulette du Strigide; Bague Gloursonne; Anneau Chevelu; Quatre-feuilles; Ceinture du Strigide; Masque de Koutoulou; Cape au Logis; Bottes Honyme; Dofus Abyssal; Dofus Ocre; Dofus Ivoire; Dofus Turquoise; Dofus Pourpre; Enragé majeur; Kokulte</t>
        </is>
      </c>
    </row>
    <row r="1219">
      <c r="A1219" t="inlineStr">
        <is>
          <t>Multidopou</t>
        </is>
      </c>
      <c r="B1219">
        <f>HYPERLINK("https://www.dofusbook.net/fr/equipement/3451166-multidopou/objets", "link")</f>
        <v/>
      </c>
      <c r="C1219" t="n">
        <v>21</v>
      </c>
      <c r="D1219" t="inlineStr">
        <is>
          <t>Hache du Chalœil; Amulette Volkorne; Bague Trithon; Anneau Volkorne; Bouclier du Stalak; Ceinture Volkorne; Masque Trithon; Voile d'encre; Bottes Trithon; Dofus Ivoire; Dofus Pourpre; Dofus Abyssal; Dofus Ébène; Dofus Ocre; Dofus Turquoise; Sakochère</t>
        </is>
      </c>
    </row>
    <row r="1220">
      <c r="A1220" t="inlineStr">
        <is>
          <t>Feu-eau</t>
        </is>
      </c>
      <c r="B1220">
        <f>HYPERLINK("https://www.dofusbook.net/fr/equipement/4082124-feu-eau/objets", "link")</f>
        <v/>
      </c>
      <c r="C1220" t="n">
        <v>4</v>
      </c>
      <c r="D1220" t="inlineStr">
        <is>
          <t>Pyraguette; Amulette Volkorne; Alliance Gloursonne; Anneau Volkorne; Bouclier du Stalak; Sangle Ouare; Kidibonnet; Voile d'encre; Bottes Honyme; Dofus Ébène; Dofus Ivoire; Dofus Ocre; Dofus Abyssal; Dofus Pourpre; Vigoureux majeur; Bwak de Terre</t>
        </is>
      </c>
    </row>
    <row r="1221">
      <c r="A1221" t="inlineStr">
        <is>
          <t>Multi</t>
        </is>
      </c>
      <c r="B1221">
        <f>HYPERLINK("https://www.dofusbook.net/fr/equipement/4871468-multi/objets", "link")</f>
        <v/>
      </c>
      <c r="C1221" t="n">
        <v>18</v>
      </c>
      <c r="D1221" t="inlineStr">
        <is>
          <t>Arc Honte; Amulette Volkorne; Alliance du Lévitrof; Anneau Volkorne; Bouclier du Stalak; Ceinture Volkorne; Coiffe du Lévitrof; Voile d'encre; Bottes du Lévitrof; Dofus Ocre; Dofus Ébène; Dofus Pourpre; Dofus des Glaces; Dofus Abyssal; Dofus Ivoire; Léopardo</t>
        </is>
      </c>
    </row>
    <row r="1222">
      <c r="A1222" t="inlineStr">
        <is>
          <t>Fouleau</t>
        </is>
      </c>
      <c r="B1222">
        <f>HYPERLINK("https://www.dofusbook.net/fr/equipement/3709604-fouleau/objets", "link")</f>
        <v/>
      </c>
      <c r="C1222" t="n">
        <v>31</v>
      </c>
      <c r="D1222" t="inlineStr">
        <is>
          <t>Rapière aux Glyphes; Amulette du Sinistrofu; Anneau Volkorne; Alliance Gloursonne; Bouclier d'Ilyzaelle; Sangle Ouare; Kidibonnet; Cape Solution; Bottes du Sinistrofu; Dofus des Glaces; Dofus Abyssal; Dofus Ivoire; Dofus Pourpre; Dofus Ébène; Chanceux majeur; Kanigloups</t>
        </is>
      </c>
    </row>
    <row r="1223">
      <c r="A1223" t="inlineStr">
        <is>
          <t>Terre</t>
        </is>
      </c>
      <c r="B1223">
        <f>HYPERLINK("https://www.dofusbook.net/fr/equipement/167455-terre/objets", "link")</f>
        <v/>
      </c>
      <c r="C1223" t="n">
        <v>41</v>
      </c>
      <c r="D1223" t="inlineStr">
        <is>
          <t>Marteau R'ture; Amulette du Strigide; Anneau Volkorne; Anneau Chevelu; Bouclier du Captain Amakna; Ceinture Volkorne; Masque de Koutoulou; Cape au Logis; Bottes du Cœur Saignant; Dofus des Glaces; Dofus Ocre; Dofus Pourpre; Dofus Turquoise; Vigoureux majeur; Enragé majeur; Kompost</t>
        </is>
      </c>
    </row>
    <row r="1224">
      <c r="A1224" t="inlineStr">
        <is>
          <t>Dopou po</t>
        </is>
      </c>
      <c r="B1224">
        <f>HYPERLINK("https://www.dofusbook.net/fr/equipement/4813704-dopou-po/objets", "link")</f>
        <v/>
      </c>
      <c r="C1224" t="n">
        <v>6</v>
      </c>
      <c r="D1224" t="inlineStr">
        <is>
          <t>Arc du Chalœil; Torquistik; Bague Instable; Baguistik; Bouclier précieux; Ceinture Gence; Casque Dragoeuf; Cape Solution; Bottes Trithon; Dofus Abyssal; Dofus Ivoire; Pousseur majeur; Culbuteur; Bousculeur majeur; Culbuteur majeur; Balafreux</t>
        </is>
      </c>
    </row>
    <row r="1225">
      <c r="A1225" t="inlineStr">
        <is>
          <t>Sacri eau</t>
        </is>
      </c>
      <c r="B1225">
        <f>HYPERLINK("https://www.dofusbook.net/fr/equipement/167459-sacri-eau/objets", "link")</f>
        <v/>
      </c>
      <c r="C1225" t="n">
        <v>33</v>
      </c>
      <c r="D1225" t="inlineStr">
        <is>
          <t>Plume de Buhorado; Collier du Valet Veinard; Alliance Gloursonne; Gant du Valet Veinard; Bouclier d'Ilyzaelle; Menoture; Casque Dragoeuf; Cape Indescriptible; Palmes Trithons; Dofus Émeraude; Dofus Abyssal; Dofus Ivoire; Remueur; Cascadeur majeur; Bwak d'Air</t>
        </is>
      </c>
    </row>
    <row r="1226">
      <c r="A1226" t="inlineStr">
        <is>
          <t>Terre</t>
        </is>
      </c>
      <c r="B1226">
        <f>HYPERLINK("https://www.dofusbook.net/fr/equipement/4714043-terre/objets", "link")</f>
        <v/>
      </c>
      <c r="C1226" t="n">
        <v>8</v>
      </c>
      <c r="D1226" t="inlineStr">
        <is>
          <t>Hache Téroïde; Amulette du Strigide; Bague Gloursonne; Anneau Chevelu; Quatre-feuilles; Ceintacé; Masque de Koutoulou; Cape au Logis; Bottes du Strigide; Dofus Turquoise; Dofus Abyssal; Dofus Ocre; Dofus Ivoire; Dofus Ébène; Enragé majeur; Kokulte</t>
        </is>
      </c>
    </row>
    <row r="1227">
      <c r="A1227" t="inlineStr">
        <is>
          <t>Multi old school</t>
        </is>
      </c>
      <c r="B1227">
        <f>HYPERLINK("https://www.dofusbook.net/fr/equipement/4442520-multi-old-school/objets", "link")</f>
        <v/>
      </c>
      <c r="C1227" t="n">
        <v>45</v>
      </c>
      <c r="D1227" t="inlineStr">
        <is>
          <t>Epée Gloursonne; Amulette du Strigide; Bague Gloursonne; Alliance Gloursonne; Quatre-feuilles; Ceinture du Strigide; Masque Vaudou Tam; Cape Reski; Bottes du Strigide; Dolmanax; Dofus Ocre; Dofus Turquoise; Dofus Pourpre; Dofus des Glaces; Voyageur; Kokulte</t>
        </is>
      </c>
    </row>
    <row r="1228">
      <c r="A1228" t="inlineStr">
        <is>
          <t>volk rj</t>
        </is>
      </c>
      <c r="B1228">
        <f>HYPERLINK("https://www.dofusbook.net/fr/equipement/3343815-volk-rj/objets", "link")</f>
        <v/>
      </c>
      <c r="C1228" t="n">
        <v>19</v>
      </c>
      <c r="D1228" t="inlineStr">
        <is>
          <t>Hache Téroïde; Amulette Volkorne; Chevalière du Roi Joueur; Anneau Volkorne; Bouclier du Captain Amakna; Ceinture Volkorne; Couronne du Roi Joueur; Voile d'encre; Bottes du Roi Joueur; Dofus Turquoise; Dofus Abyssal; Dofus Pourpre; Dofus Ivoire; Dolmanax; Dofus Ocre; Sakochère</t>
        </is>
      </c>
    </row>
    <row r="1229">
      <c r="A1229" t="inlineStr">
        <is>
          <t>Huppermage F 200</t>
        </is>
      </c>
      <c r="B1229">
        <f>HYPERLINK("https://www.dofusbook.net/fr/equipement/4695247-huppermage-f-200/objets", "link")</f>
        <v/>
      </c>
      <c r="C1229" t="n">
        <v>3</v>
      </c>
      <c r="D1229" t="inlineStr">
        <is>
          <t>Rapière aux Glyphes; Amulette du Sinistrofu; Anneau Glacial; Alliance Gloursonne; Bouclier d'Ilyzaelle; Sangle Ouare; Kidibonnet; Cape Matelassée; Bottes du Sinistrofu; Dofus Abyssal; Dofus Ébène; Dofus Ivoire; Dofus Pourpre; Nomade; Chanceux majeur; Kanigloups</t>
        </is>
      </c>
    </row>
    <row r="1230">
      <c r="A1230" t="inlineStr">
        <is>
          <t>Enutrof M 200</t>
        </is>
      </c>
      <c r="B1230">
        <f>HYPERLINK("https://www.dofusbook.net/fr/equipement/4684438-enutrof-m-200/objets", "link")</f>
        <v/>
      </c>
      <c r="C1230" t="n">
        <v>11</v>
      </c>
      <c r="D1230" t="inlineStr">
        <is>
          <t>Baguette Hique; Amulette de Shokkoth; Bracelet du Piloztère; Anneau Volkorne; Bouclier cubiste; Ceinture Glaciale; Casquette de Meno; Cape de Meno; Pataugastrique; Dofus Pourpre; Dofus Ocre; Entraveur majeur; Temporiseur majeur; Ralentisseur majeur; Chanceux majeur; Léopardo</t>
        </is>
      </c>
    </row>
    <row r="1231">
      <c r="A1231" t="inlineStr">
        <is>
          <t>Eniripsa F 200</t>
        </is>
      </c>
      <c r="B1231">
        <f>HYPERLINK("https://www.dofusbook.net/fr/equipement/4652062-eniripsa-f-200/objets", "link")</f>
        <v/>
      </c>
      <c r="C1231" t="n">
        <v>2</v>
      </c>
      <c r="D1231" t="inlineStr">
        <is>
          <t>Dagoulinantes; Amulette de Shokkoth; Alliance Gloursonne; Bracelet des Fonds marins; Bouclier Taverne; Sangle Ouare; Kidibonnet; Cape du Sinistrofu; Bottes du Sinistrofu; Dofus Turquoise; Dofus Pourpre; Chanceux majeur; Vigoureux majeur; Nomade; Remueur; Kanigloups</t>
        </is>
      </c>
    </row>
    <row r="1232">
      <c r="A1232" t="inlineStr">
        <is>
          <t>Tank</t>
        </is>
      </c>
      <c r="B1232">
        <f>HYPERLINK("https://www.dofusbook.net/fr/equipement/4174226-tank/objets", "link")</f>
        <v/>
      </c>
      <c r="C1232" t="n">
        <v>22</v>
      </c>
      <c r="D1232" t="inlineStr">
        <is>
          <t>Rouleau à Pâtisserie d'Aermyne; Collier Rophante; Alliance Gloursonne; Anneau Chevelu; Bouclier précieux; Ceinture de XLII; Casque Dragoeuf; Cape Matelassée; Bottes de XLII; Dofus Émeraude; Obstructeur; Tacleur majeur; Obstructeur majeur; Miraculé majeur; Remueur; Givrefoux</t>
        </is>
      </c>
    </row>
    <row r="1233">
      <c r="A1233" t="inlineStr">
        <is>
          <t>Féca M 200</t>
        </is>
      </c>
      <c r="B1233">
        <f>HYPERLINK("https://www.dofusbook.net/fr/equipement/4634294-feca-m-200/objets", "link")</f>
        <v/>
      </c>
      <c r="C1233" t="n">
        <v>5</v>
      </c>
      <c r="D1233" t="inlineStr">
        <is>
          <t>Marteau des égarés; Torquistik; Goulano; Baguistik; Jadis; Ceinture de la Reine des Voleurs; Casque du Chalœil; Cape du Chalœil; Bottes du Chalœil; Dofus Émeraude; Dofus Abyssal; Dofus Argenté; Dofus Ivoire; Dokoko; Dofus Ocre; Wabbit</t>
        </is>
      </c>
    </row>
    <row r="1234">
      <c r="A1234" t="inlineStr">
        <is>
          <t>Eau/Air cc</t>
        </is>
      </c>
      <c r="B1234">
        <f>HYPERLINK("https://www.dofusbook.net/fr/equipement/4633358-eau-air-cc/objets", "link")</f>
        <v/>
      </c>
      <c r="C1234" t="n">
        <v>6</v>
      </c>
      <c r="D1234" t="inlineStr">
        <is>
          <t>Arc de Koutoulou; Amulette du Strigide; Bracelet du Piloztère; Anneau de Padgref; Quatre-feuilles; Ceinture du Strigide; Némès de Tal Kasha; Chevelure de Tal Kasha; Sandales de Tal Kasha; Dofus Turquoise; Dofus des Glaces; Dofus Ocre; Dofus Pourpre; Dofus Abyssal; Voyageur; Kokulte</t>
        </is>
      </c>
    </row>
    <row r="1235">
      <c r="A1235" t="inlineStr">
        <is>
          <t>Iop Terre</t>
        </is>
      </c>
      <c r="B1235">
        <f>HYPERLINK("https://www.dofusbook.net/fr/equipement/4619897-iop-terre/objets", "link")</f>
        <v/>
      </c>
      <c r="C1235" t="n">
        <v>4</v>
      </c>
      <c r="D1235" t="inlineStr">
        <is>
          <t>Dagues d'Ilyzaelle; Collier de Tourthon; Anneau Chevelu; Anneau Volkorne; Bouclier du Captain Amakna; Ceinture Volkorne; Masque de Koutoulou; Cape au Logis; Bottes du Cœur Saignant; Dofus Ivoire; Dofus Pourpre; Dofus Abyssal; Enragé majeur; Remueur; Vigoureux majeur; Bulbisou</t>
        </is>
      </c>
    </row>
    <row r="1236">
      <c r="A1236" t="inlineStr">
        <is>
          <t>Cra Feu Air Crit</t>
        </is>
      </c>
      <c r="B1236">
        <f>HYPERLINK("https://www.dofusbook.net/fr/equipement/167436-cra-feu-air-crit/objets", "link")</f>
        <v/>
      </c>
      <c r="C1236" t="n">
        <v>26</v>
      </c>
      <c r="D1236" t="inlineStr">
        <is>
          <t>Arc de Laikteur; Amulette du Strigide; Bague Gloursonne; Anneau de Padgref; Quatre-feuilles; Ceinture du Strigide; Coiffe de Padgref; Cape des Justiciers; Getas de Padgref; Dokoko; Dofus Pourpre; Dofus des Glaces; Dofus Ocre; Dofus Turquoise; Voyageur; Kokulte</t>
        </is>
      </c>
    </row>
    <row r="1237">
      <c r="A1237" t="inlineStr">
        <is>
          <t>Dopou</t>
        </is>
      </c>
      <c r="B1237">
        <f>HYPERLINK("https://www.dofusbook.net/fr/equipement/4295495-dopou/objets", "link")</f>
        <v/>
      </c>
      <c r="C1237" t="n">
        <v>16</v>
      </c>
      <c r="D1237" t="inlineStr">
        <is>
          <t>Lav'Hache; Torquistik; Bague Trithon; Bague Instable; Bouclier précieux; Ceinture Gence; Casque Dragoeuf; Cape Solution; Bottistik; Dofus Ivoire; Dofus Abyssal; Bousculeur majeur; Culbuteur; Culbuteur majeur; Pousseur majeur; Balafreux</t>
        </is>
      </c>
    </row>
    <row r="1238">
      <c r="A1238" t="inlineStr">
        <is>
          <t>Eau</t>
        </is>
      </c>
      <c r="B1238">
        <f>HYPERLINK("https://www.dofusbook.net/fr/equipement/4597088-eau/objets", "link")</f>
        <v/>
      </c>
      <c r="C1238" t="n">
        <v>6</v>
      </c>
      <c r="D1238" t="inlineStr">
        <is>
          <t>Dagoulinantes; Amulette de Shokkoth; Anneau Volkorne; Alliance Gloursonne; Sangle Ouare; Kidibonnet; Cape du Sinistrofu; Bottes du Sinistrofu; Kanigloups</t>
        </is>
      </c>
    </row>
    <row r="1239">
      <c r="A1239" t="inlineStr">
        <is>
          <t>Feu low cost</t>
        </is>
      </c>
      <c r="B1239">
        <f>HYPERLINK("https://www.dofusbook.net/fr/equipement/3841789-feu-low-cost/objets", "link")</f>
        <v/>
      </c>
      <c r="C1239" t="n">
        <v>29</v>
      </c>
      <c r="D1239" t="inlineStr">
        <is>
          <t>Arc corrompu; Amulette de Nileza; Bague Gloursonne; Anneau de Nidas; Bouclier du Stalak; Ceinture de Vortex; Coiffe Séculaire; Cape de Nileza; Pataugastrique; Dofus Nébuleux; Dofus Pourpre; Érudit majeur; Vigoureux majeur; Nomade; Remueur; Brûlih</t>
        </is>
      </c>
    </row>
    <row r="1240">
      <c r="A1240" t="inlineStr">
        <is>
          <t>Terre Docrit</t>
        </is>
      </c>
      <c r="B1240">
        <f>HYPERLINK("https://www.dofusbook.net/fr/equipement/3540013-terre-docrit/objets", "link")</f>
        <v/>
      </c>
      <c r="C1240" t="n">
        <v>23</v>
      </c>
      <c r="D1240" t="inlineStr">
        <is>
          <t>Hache Téroïde; Amulette Volkorne; Chevalière du Roi Joueur; Anneau Volkorne; Bouclier du Captain Amakna; Ceinture Volkorne; Couronne du Roi Joueur; Voile d'encre; Bottes du Roi Joueur; Dofus des Glaces; Dofus Abyssal; Dofus Turquoise; Dofus Ivoire; Dofus Ocre; Dofus Pourpre; Fëanor</t>
        </is>
      </c>
    </row>
    <row r="1241">
      <c r="A1241" t="inlineStr">
        <is>
          <t>Multi</t>
        </is>
      </c>
      <c r="B1241">
        <f>HYPERLINK("https://www.dofusbook.net/fr/equipement/4195581-multi/objets", "link")</f>
        <v/>
      </c>
      <c r="C1241" t="n">
        <v>25</v>
      </c>
      <c r="D1241" t="inlineStr">
        <is>
          <t>Arc Honte; Amulette Volkorne; Anneau Volkorne; Alliance Gloursonne; Bouclier du Stalak; Ceinture de l'Esprit Salvateur; Masque de l'Esprit Salvateur; Cape Martegel; Bottes de l'Esprit Salvateur; Dofus Pourpre; Dofus Vulbis; Dofus des Glaces; Dofus Ivoire; Dofus Ocre; Robuste majeur; Kramkram</t>
        </is>
      </c>
    </row>
    <row r="1242">
      <c r="A1242" t="inlineStr">
        <is>
          <t>do low cost</t>
        </is>
      </c>
      <c r="B1242">
        <f>HYPERLINK("https://www.dofusbook.net/fr/equipement/3505645-do-low-cost/objets", "link")</f>
        <v/>
      </c>
      <c r="C1242" t="n">
        <v>33</v>
      </c>
      <c r="D1242" t="inlineStr">
        <is>
          <t>Dagues Érhy; Amulette de Pol Ouatnos; Bague Gloursonne; Alliance Gloursonne; Bouclier cubiste; Ougature; Chapeau Lisson; Voile d'encre; Pataugastrique; Dofus Pourpre; Dofus Ivoire; Dofus Ocre; Dolmanax; Dofus des Glaces; Sanguinaire majeur; Léopardo</t>
        </is>
      </c>
    </row>
    <row r="1243">
      <c r="A1243" t="inlineStr">
        <is>
          <t>Puiiiiii</t>
        </is>
      </c>
      <c r="B1243">
        <f>HYPERLINK("https://www.dofusbook.net/fr/equipement/3566274-puiiiiii/objets", "link")</f>
        <v/>
      </c>
      <c r="C1243" t="n">
        <v>19</v>
      </c>
      <c r="D1243" t="inlineStr">
        <is>
          <t>Hache du Chalœil; Amulette du Strigide; Grésilanneau; Bracelet du Piloztère; Bouclier du Stalak; Ceintacé; Le Dorado; Cape au Logis; Bottes du Strigide; Dofus Pourpre; Dolmanax; Dofus Abyssal; Robuste majeur; Vigoureux majeur; Remueur; Chacha Angora</t>
        </is>
      </c>
    </row>
    <row r="1244">
      <c r="A1244" t="inlineStr">
        <is>
          <t>Pad new gen</t>
        </is>
      </c>
      <c r="B1244">
        <f>HYPERLINK("https://www.dofusbook.net/fr/equipement/4442504-pad-new-gen/objets", "link")</f>
        <v/>
      </c>
      <c r="C1244" t="n">
        <v>26</v>
      </c>
      <c r="D1244" t="inlineStr">
        <is>
          <t>Sabres d'Atcham; Amulette Volkorne; Anneau de Padgref; Anneau Volkorne; Quatre-feuilles; Ceinture Volkorne; Coiffe de Padgref; Cape d'Atcham; Getas de Padgref; Dolmanax; Dofus des Glaces; Dofus Turquoise; Dofus Pourpre; Dofus Ocre; Puissant majeur; Kokulte</t>
        </is>
      </c>
    </row>
    <row r="1245">
      <c r="A1245" t="inlineStr">
        <is>
          <t>Terre crit/dopou</t>
        </is>
      </c>
      <c r="B1245">
        <f>HYPERLINK("https://www.dofusbook.net/fr/equipement/4411273-terre-crit-dopou/objets", "link")</f>
        <v/>
      </c>
      <c r="C1245" t="n">
        <v>11</v>
      </c>
      <c r="D1245" t="inlineStr">
        <is>
          <t>Arc du Chalœil; Amulette du Strigide; Bague Trithon; Anneau Chevelu; Bouclier d'Ilyzaelle; Ceinture Gence; Masque de Koutoulou; Cape au Logis; Bottes Trithon; Dofus Turquoise; Dofus Abyssal; Dofus Ivoire; Enragé majeur; Bousculeur majeur; Culbuteur majeur; Bouflux</t>
        </is>
      </c>
    </row>
    <row r="1246">
      <c r="A1246" t="inlineStr">
        <is>
          <t>terre tacle ret</t>
        </is>
      </c>
      <c r="B1246">
        <f>HYPERLINK("https://www.dofusbook.net/fr/equipement/3596146-terre-tacle-ret/objets", "link")</f>
        <v/>
      </c>
      <c r="C1246" t="n">
        <v>74</v>
      </c>
      <c r="D1246" t="inlineStr">
        <is>
          <t>Lav'Hache; Collier de Tourthon; Anneau de Pol Ouatnos; Anneau Chevelu; Sept ans de malheur; Ceinture de la Cour Sombre; Masque de Koutoulou; Voile d'encre; Bottes de la Cour Sombre; Dofus Émeraude; Dofus Abyssal; Dofus Pourpre; Obstructeur majeur; Remueur; Étourdisseur majeur; Drakopin</t>
        </is>
      </c>
    </row>
    <row r="1247">
      <c r="A1247" t="inlineStr">
        <is>
          <t>Terre</t>
        </is>
      </c>
      <c r="B1247">
        <f>HYPERLINK("https://www.dofusbook.net/fr/equipement/167441-terre/objets", "link")</f>
        <v/>
      </c>
      <c r="C1247" t="n">
        <v>48</v>
      </c>
      <c r="D1247" t="inlineStr">
        <is>
          <t>Marteau R'ture; Amulette Héroclite; Anneau Pwal; Chevalière du Roi Joueur; Bouclier cubiste; Ceinture de Brouce; Masque de Koutoulou; Cape au Logis; Bottes du Roi Joueur; Dofus Turquoise; Dofus Pourpre; Dofus Ocre; Enragé majeur; Vigoureux majeur; Temporiseur majeur; Gwo Tofu Ventripotent</t>
        </is>
      </c>
    </row>
    <row r="1248">
      <c r="A1248" t="inlineStr">
        <is>
          <t>Vortex ret pa</t>
        </is>
      </c>
      <c r="B1248">
        <f>HYPERLINK("https://www.dofusbook.net/fr/equipement/3870236-vortex-ret-pa/objets", "link")</f>
        <v/>
      </c>
      <c r="C1248" t="n">
        <v>8</v>
      </c>
      <c r="D1248" t="inlineStr">
        <is>
          <t>Arc corrompu; Amulette de Nileza; Anneau Tique; Anneau de Nidas; Cadran de Terre; Ceinture de Vortex; Cagoule de Vortex; Voile d'encre; Pataugastrique; Dofus Abyssal; Dofus Ivoire; Dofus Ocre; Nomade; Étourdisseur majeur; Érudit majeur; Boskito</t>
        </is>
      </c>
    </row>
    <row r="1249">
      <c r="A1249" t="inlineStr">
        <is>
          <t>Terre - récrit</t>
        </is>
      </c>
      <c r="B1249">
        <f>HYPERLINK("https://www.dofusbook.net/fr/equipement/4037453-terre---recrit/objets", "link")</f>
        <v/>
      </c>
      <c r="C1249" t="n">
        <v>20</v>
      </c>
      <c r="D1249" t="inlineStr">
        <is>
          <t>Dagues Érhy; Amulette Volkorne; Chevalière du Roi Joueur; Anneau Chevelu; Bouclier cubiste; Ceinture Volkorne; Couronne du Roi Joueur; Cape au Logis; Bottes du Roi Joueur; Dofus Pourpre; Dofus Ocre; Dofus Turquoise; Dofus Abyssal; Dofus des Glaces; Dofus Ivoire; Léopardo</t>
        </is>
      </c>
    </row>
    <row r="1250">
      <c r="A1250" t="inlineStr">
        <is>
          <t>Eau - Ret</t>
        </is>
      </c>
      <c r="B1250">
        <f>HYPERLINK("https://www.dofusbook.net/fr/equipement/4228068-eau---ret/objets", "link")</f>
        <v/>
      </c>
      <c r="C1250" t="n">
        <v>39</v>
      </c>
      <c r="D1250" t="inlineStr">
        <is>
          <t>Dagoulinantes; Amulette de Shokkoth; Alliance Gloursonne; Anneau Volkorne; Cadran de Terre; Sangle Ouare; Masque de Funespadon; Cape Solution; Chaussons de Macrab; Dofus des Glaces; Dofus Ivoire; Dofus Ocre; Chanceux majeur; Dévastateur Eau majeur; Étourdisseur majeur; Boskito</t>
        </is>
      </c>
    </row>
    <row r="1251">
      <c r="A1251" t="inlineStr">
        <is>
          <t>Feu ret pa</t>
        </is>
      </c>
      <c r="B1251">
        <f>HYPERLINK("https://www.dofusbook.net/fr/equipement/2791638-feu-ret-pa/objets", "link")</f>
        <v/>
      </c>
      <c r="C1251" t="n">
        <v>23</v>
      </c>
      <c r="D1251" t="inlineStr">
        <is>
          <t>Arc corrompu; Amulette de Nileza; Bague Gloursonne; Anneau de Nidas; Cadran de Terre; Ceinture de Vortex; Cagoule de Vortex; Voile d'encre; Pataugastrique; Dofus Ocre; Dofus Abyssal; Dofus Ivoire; Nomade; Érudit majeur; Étourdisseur majeur; Boskito</t>
        </is>
      </c>
    </row>
    <row r="1252">
      <c r="A1252" t="inlineStr">
        <is>
          <t>Feu pvp</t>
        </is>
      </c>
      <c r="B1252">
        <f>HYPERLINK("https://www.dofusbook.net/fr/equipement/4158436-feu-pvp/objets", "link")</f>
        <v/>
      </c>
      <c r="C1252" t="n">
        <v>20</v>
      </c>
      <c r="D1252" t="inlineStr">
        <is>
          <t>Arc corrompu; Pendentif affamé; Anneauræus; Anneauræus; Bouclier du Stalak; Ceinture Séculaire; Coiffe Séculaire; Cape de Diondin; Bottes Innommables; Guérisseur majeur; Nomade; Érudit majeur; Astucieux majeur; Savant majeur; Remueur; Brûlih</t>
        </is>
      </c>
    </row>
    <row r="1253">
      <c r="A1253" t="inlineStr">
        <is>
          <t>Necro</t>
        </is>
      </c>
      <c r="B1253">
        <f>HYPERLINK("https://www.dofusbook.net/fr/equipement/4119129-necro/objets", "link")</f>
        <v/>
      </c>
      <c r="C1253" t="n">
        <v>16</v>
      </c>
      <c r="D1253" t="inlineStr">
        <is>
          <t>Arc Nécrotique; Amulette Volkorne; Anneau Volkorne; Bracelet du Piloztère; Quatre-feuilles; Ceinture Volkorne; Casquette de Meno; Cape de Meno; Bottes de Meno; Dolmanax; Dofus Pourpre; Dofus Ocre; Dofus des Glaces; Dofus Abyssal; Dofus Turquoise; Kokulte</t>
        </is>
      </c>
    </row>
    <row r="1254">
      <c r="A1254" t="inlineStr">
        <is>
          <t>Bottes classe 200</t>
        </is>
      </c>
      <c r="B1254">
        <f>HYPERLINK("https://www.dofusbook.net/fr/equipement/3483013-bottes-classe-200/objets", "link")</f>
        <v/>
      </c>
      <c r="C1254" t="n">
        <v>20</v>
      </c>
      <c r="D1254" t="inlineStr">
        <is>
          <t>Dagoulinantes; Amulette de Shokkoth; Alliance Gloursonne; Bracelet des Fonds marins; Bouclier du Stalak; Poulpagne; Capuche de l'Œil Attentif; Cape de l'Œil Attentif; Bottes Antouche; Dofus Pourpre; Dévastateur Eau majeur; Nomade; Chanceux majeur; Vigoureux majeur; Remueur; Dragodinde Indigo et Ivoire</t>
        </is>
      </c>
    </row>
    <row r="1255">
      <c r="A1255" t="inlineStr">
        <is>
          <t>Zobal F 200</t>
        </is>
      </c>
      <c r="B1255">
        <f>HYPERLINK("https://www.dofusbook.net/fr/equipement/4112796-zobal-f-200/objets", "link")</f>
        <v/>
      </c>
      <c r="C1255" t="n">
        <v>14</v>
      </c>
      <c r="D1255" t="inlineStr">
        <is>
          <t>Arc Nécrotique; Amulette Volkorne; Bague Trithon; Anneau Volkorne; Quatre-feuilles; Ceintacé; Masque Trithon; Cape de la Dame du Hasard; Bottes de la Dame du Hasard; Dofus des Glaces; Dofus Abyssal; Dofus Ocre; Dofus Ivoire; Dofus Turquoise; Dofus Vulbis; Kokulte</t>
        </is>
      </c>
    </row>
    <row r="1256">
      <c r="A1256" t="inlineStr">
        <is>
          <t>12/6 Multi</t>
        </is>
      </c>
      <c r="B1256">
        <f>HYPERLINK("https://www.dofusbook.net/fr/equipement/4036800-12-6-multi/objets", "link")</f>
        <v/>
      </c>
      <c r="C1256" t="n">
        <v>74</v>
      </c>
      <c r="D1256" t="inlineStr">
        <is>
          <t>Hache du Chalœil; Amulette Volkorne; Anneau Volkorne; Bracelet du Piloztère; Quatre-feuilles; Ceinture Volkorne; Casque du Chalœil; Cape du Chalœil; Bottes du Chalœil; Dofus des Glaces; Dofus Abyssal; Dolmanax; Dofus Pourpre; Dofus Turquoise; Dofus Ocre; Fëanor</t>
        </is>
      </c>
    </row>
    <row r="1257">
      <c r="A1257" t="inlineStr">
        <is>
          <t>Stuff 2</t>
        </is>
      </c>
      <c r="B1257">
        <f>HYPERLINK("https://www.dofusbook.net/fr/equipement/167465-stuff-2/objets", "link")</f>
        <v/>
      </c>
      <c r="C1257" t="n">
        <v>19</v>
      </c>
      <c r="D1257" t="inlineStr">
        <is>
          <t>Rapière aux Glyphes; Amulette du Sinistrofu; Alliance Gloursonne; Bague Instable; Bouclier Taverne; Sangle Ouare; Casque Dragoeuf; Cape Solution; Pataugastrique; Dofus Turquoise; Bousculeur majeur; Remueur; Chanceux majeur; Culbuteur majeur; Nomade; Écumouth</t>
        </is>
      </c>
    </row>
    <row r="1258">
      <c r="A1258" t="inlineStr">
        <is>
          <t>Iop feu</t>
        </is>
      </c>
      <c r="B1258">
        <f>HYPERLINK("https://www.dofusbook.net/fr/equipement/3761256-iop-feu/objets", "link")</f>
        <v/>
      </c>
      <c r="C1258" t="n">
        <v>20</v>
      </c>
      <c r="D1258" t="inlineStr">
        <is>
          <t>Arc corrompu; Amulette Volkorne; Anneau Toriété; Anneau Tique; Quatre-feuilles; Ceinture Volkorne; Heaume Oplate; Cape de Nileza; Bottes Innommables; Dofus Nébuleux; Dofus Ocre; Dofus Abyssal; Dofus Turquoise; Dofus Pourpre; Érudit majeur; Brûlih</t>
        </is>
      </c>
    </row>
    <row r="1259">
      <c r="A1259" t="inlineStr">
        <is>
          <t>multi hecache</t>
        </is>
      </c>
      <c r="B1259">
        <f>HYPERLINK("https://www.dofusbook.net/fr/equipement/3621093-multi-hecache/objets", "link")</f>
        <v/>
      </c>
      <c r="C1259" t="n">
        <v>16</v>
      </c>
      <c r="D1259" t="inlineStr">
        <is>
          <t>Héqache; Amulette du Strigide; Bague Trithon; Anneau de Pol Ouatnos; Ceinture du Strigide; Masque Trithon; Voile d'encre; Bottes du Strigide; Dolmanax; Dofus Abyssal; Dofus Pourpre; Dofus Ivoire; Dofus Turquoise; Dofus Ocre; Dragodinde en armure</t>
        </is>
      </c>
    </row>
    <row r="1260">
      <c r="A1260" t="inlineStr">
        <is>
          <t>feu5</t>
        </is>
      </c>
      <c r="B1260">
        <f>HYPERLINK("https://www.dofusbook.net/fr/equipement/3586975-feu5/objets", "link")</f>
        <v/>
      </c>
      <c r="C1260" t="n">
        <v>16</v>
      </c>
      <c r="D1260" t="inlineStr">
        <is>
          <t>Arc Hétype; Amulette Volkorne; Anneau Toriété; Anneau Tique; Cadran de Feu; Ceinture Volkorne; Heaume Oplate; Cape de Nileza; Bottes Innommables; Dofus Ocre; Dofus Abyssal; Dofus Pourpre; Miraculé majeur; Érudit majeur; Croum</t>
        </is>
      </c>
    </row>
    <row r="1261">
      <c r="A1261" t="inlineStr">
        <is>
          <t>Eau</t>
        </is>
      </c>
      <c r="B1261">
        <f>HYPERLINK("https://www.dofusbook.net/fr/equipement/3599921-eau/objets", "link")</f>
        <v/>
      </c>
      <c r="C1261" t="n">
        <v>16</v>
      </c>
      <c r="D1261" t="inlineStr">
        <is>
          <t>Dagoulinantes; Amulette de Shokkoth; Bracelet des Fonds marins; Alliance Gloursonne; Poulpagne; Capuche de l'Œil Attentif; Cape de l'Œil Attentif; Bottes du Sinistrofu; Dofus Ocre; Dofus Ivoire; Dofus des Glaces; Dofus Abyssal; Chanceux majeur; Dévastateur Eau majeur; Muldo Indigo</t>
        </is>
      </c>
    </row>
    <row r="1262">
      <c r="A1262" t="inlineStr">
        <is>
          <t>Feu3</t>
        </is>
      </c>
      <c r="B1262">
        <f>HYPERLINK("https://www.dofusbook.net/fr/equipement/3197390-feu3/objets", "link")</f>
        <v/>
      </c>
      <c r="C1262" t="n">
        <v>14</v>
      </c>
      <c r="D1262" t="inlineStr">
        <is>
          <t>Baguette de Malléfisk; Pendentif affamé; Anneau Tique; Anneau de Nidas; Cadran de Feu; Ceinture de Gein; Chapeau de Gein; Cape de Diondin; Bottes Innommables; Dolmanax; Dofus Abyssal; Dofus Ivoire; Dofus Pourpre; Érudit majeur; Remueur; Dragodinde en armure</t>
        </is>
      </c>
    </row>
    <row r="1263">
      <c r="A1263" t="inlineStr">
        <is>
          <t>Feu2</t>
        </is>
      </c>
      <c r="B1263">
        <f>HYPERLINK("https://www.dofusbook.net/fr/equipement/3197271-feu2/objets", "link")</f>
        <v/>
      </c>
      <c r="C1263" t="n">
        <v>3</v>
      </c>
      <c r="D1263" t="inlineStr">
        <is>
          <t>Baguette de Malléfisk; Amulette de Nileza; Anneau de Nidas; Anneau Tique; Ceinture de Vortex; Cagoule de Vortex; Voile d'encre; Pataugastrique; Dofus Pourpre; Dofus Abyssal; Dofus Ivoire; Érudit majeur; Remueur; Muldo Pourpre</t>
        </is>
      </c>
    </row>
    <row r="1264">
      <c r="A1264" t="inlineStr">
        <is>
          <t>Feu1</t>
        </is>
      </c>
      <c r="B1264">
        <f>HYPERLINK("https://www.dofusbook.net/fr/equipement/167431-feu1/objets", "link")</f>
        <v/>
      </c>
      <c r="C1264" t="n">
        <v>8</v>
      </c>
      <c r="D1264" t="inlineStr">
        <is>
          <t>Baguette de Malléfisk; Amulette de Nileza; Anneau de Nidas; Anneau Tique; Ceinture de Gein; Heaume Oplate; Voile d'encre; Tongues de Nidas; Dofus Abyssal; Dofus Ivoire; Érudit majeur; Remueur; Guérisseur majeur; Nomade; Croum</t>
        </is>
      </c>
    </row>
    <row r="1265">
      <c r="A1265" t="inlineStr">
        <is>
          <t>Multi DWS</t>
        </is>
      </c>
      <c r="B1265">
        <f>HYPERLINK("https://www.dofusbook.net/fr/equipement/3290850-multi-dws/objets", "link")</f>
        <v/>
      </c>
      <c r="C1265" t="n">
        <v>48</v>
      </c>
      <c r="D1265" t="inlineStr">
        <is>
          <t>Dagues Érhy; Amulette de l'Œil Putride; Alliance Gloursonne; Bague Gloursonne; Bouclier du Stalak; Ceinture de l'Esprit Salvateur; Masque de l'Esprit Salvateur; Cape de l'Œil Putride; Bottes de l'Esprit Salvateur; Dofus Ivoire; Dolmanax; Dofus des Glaces; Dofus Pourpre; Dofus Abyssal; Dofus Ocre; Muldo Ebène et Pourpre</t>
        </is>
      </c>
    </row>
    <row r="1266">
      <c r="A1266" t="inlineStr">
        <is>
          <t>Feu4</t>
        </is>
      </c>
      <c r="B1266">
        <f>HYPERLINK("https://www.dofusbook.net/fr/equipement/3197460-feu4/objets", "link")</f>
        <v/>
      </c>
      <c r="C1266" t="n">
        <v>3</v>
      </c>
      <c r="D1266" t="inlineStr">
        <is>
          <t>Baguette de Malléfisk; Pendentif affamé; Anneau Tique; Anneau de Nidas; Ceinture de Gein; Couronne de Nidas; Cape de Diondin; Bottes Innommables; Dofus Ivoire; Dofus Pourpre; Dofus Abyssal; Érudit majeur; Remueur; Guérisseur majeur</t>
        </is>
      </c>
    </row>
    <row r="1267">
      <c r="A1267" t="inlineStr">
        <is>
          <t>Ecaflip F 200</t>
        </is>
      </c>
      <c r="B1267">
        <f>HYPERLINK("https://www.dofusbook.net/fr/equipement/3395696-ecaflip-f-200/objets", "link")</f>
        <v/>
      </c>
      <c r="C1267" t="n">
        <v>14</v>
      </c>
      <c r="D1267" t="inlineStr">
        <is>
          <t>Héqache; Amulette du Strigide; Anneau Chevelu; Anneau Toriété; Bouclier du Stalak; Ceintacé; Chapeau Lisson; Voile d'encre; Bottes du Strigide; Dofus Turquoise; Dofus Ivoire; Dofus Pourpre; Dofus Abyssal; Remueur; Vigoureux majeur; Dragodinde en armure</t>
        </is>
      </c>
    </row>
    <row r="1268">
      <c r="A1268" t="inlineStr">
        <is>
          <t>RDV</t>
        </is>
      </c>
      <c r="B1268">
        <f>HYPERLINK("https://www.dofusbook.net/fr/equipement/167471-rdv/objets", "link")</f>
        <v/>
      </c>
      <c r="C1268" t="n">
        <v>12</v>
      </c>
      <c r="D1268" t="inlineStr">
        <is>
          <t>Dagues de Srambad; Amulette du Strigide; Bague Gloursonne; Alliance Gloursonne; Bouclier Bontarien; Ceinture de la Reine des Voleurs; Coiffe de la Reine des Voleurs; Voile d'encre; Bottes de la Reine des Voleurs; Dofus Ivoire; Dofus Pourpre; Dofus des Glaces; Dofus Ocre; Dofus Émeraude; Dofus Abyssal; Muldo Ebène et Orchidée</t>
        </is>
      </c>
    </row>
    <row r="1269">
      <c r="A1269" t="inlineStr">
        <is>
          <t>Eau</t>
        </is>
      </c>
      <c r="B1269">
        <f>HYPERLINK("https://www.dofusbook.net/fr/equipement/3290416-eau/objets", "link")</f>
        <v/>
      </c>
      <c r="C1269" t="n">
        <v>14</v>
      </c>
      <c r="D1269" t="inlineStr">
        <is>
          <t>Sceptre du Roi Joueur; Amulette de l'Œil Attentif; Alliance Gloursonne; Bracelet des Fonds marins; Bouclier du Stalak; Poulpagne; Capuche de l'Œil Attentif; Cape de l'Œil Attentif; Sandales des Fonds marins; Dofus des Glaces; Dofus Pourpre; Dofus Abyssal; Dofus Ocre; Dofus Ivoire; Muldo Ebène et Indigo</t>
        </is>
      </c>
    </row>
    <row r="1270">
      <c r="A1270" t="inlineStr">
        <is>
          <t>Sadida eau</t>
        </is>
      </c>
      <c r="B1270">
        <f>HYPERLINK("https://www.dofusbook.net/fr/equipement/3260257-sadida-eau/objets", "link")</f>
        <v/>
      </c>
      <c r="C1270" t="n">
        <v>10</v>
      </c>
      <c r="D1270" t="inlineStr">
        <is>
          <t>Sceptre du Roi Joueur; Amulette de Shokkoth; Alliance Gloursonne; Bracelet des Fonds marins; Bouclier du Stalak; Poulpagne; Masque d'Anerice; Cape d'Anerice; Pataugastrique; Dofus Pourpre; Dofus des Glaces; Remueur; Nomade; Dévastateur Eau majeur; Chanceux majeur; Muldo Indigo</t>
        </is>
      </c>
    </row>
    <row r="1271">
      <c r="A1271" t="inlineStr">
        <is>
          <t>Feu - Soin - Anerice</t>
        </is>
      </c>
      <c r="B1271">
        <f>HYPERLINK("https://www.dofusbook.net/fr/equipement/2929084-feu---soin---anerice/objets", "link")</f>
        <v/>
      </c>
      <c r="C1271" t="n">
        <v>5</v>
      </c>
      <c r="D1271" t="inlineStr">
        <is>
          <t>Baguette de Malléfisk; Pendentif affamé; Anneau Tique; Anneau de Nidas; Cadran de Feu; Ceinture Séculaire; Masque d'Anerice; Cape d'Anerice; Pataugastrique; Dolmanax; Dofus Ivoire; Dofus Abyssal; Guérisseur majeur; Remueur; Érudit majeur</t>
        </is>
      </c>
    </row>
    <row r="1272">
      <c r="A1272" t="inlineStr">
        <is>
          <t>Feu - Soin</t>
        </is>
      </c>
      <c r="B1272">
        <f>HYPERLINK("https://www.dofusbook.net/fr/equipement/2897574-feu---soin/objets", "link")</f>
        <v/>
      </c>
      <c r="C1272" t="n">
        <v>4</v>
      </c>
      <c r="D1272" t="inlineStr">
        <is>
          <t>Baguette de Malléfisk; Talisman Igans; Anneau de Nidas; Anneau Tique; Cadran de Feu; Ceintrigue; Heaume Oplate; Voile d'encre; Bottes de Meno; Dofus Ivoire; Dofus Abyssal; Remueur; Érudit majeur; Miraculé majeur; Guérisseur majeur; Muldo Orchidée et Pourpre</t>
        </is>
      </c>
    </row>
    <row r="1273">
      <c r="A1273" t="inlineStr">
        <is>
          <t>Terre - phoène</t>
        </is>
      </c>
      <c r="B1273">
        <f>HYPERLINK("https://www.dofusbook.net/fr/equipement/167462-terre---phoene/objets", "link")</f>
        <v/>
      </c>
      <c r="C1273" t="n">
        <v>4</v>
      </c>
      <c r="D1273" t="inlineStr">
        <is>
          <t>Arc du Chalœil; Amulette du Strigide; Bague Gloursonne; Anneau Chevelu; Quatre-feuilles; Ceintacé; Masque de Koutoulou; Voile d'encre; Bottes du Strigide; Dofus des Glaces; Dofus Turquoise; Dofus Pourpre; Dofus Abyssal; Dévastateur Terre majeur; Enragé majeur; Muldo Pourpre</t>
        </is>
      </c>
    </row>
    <row r="1274">
      <c r="A1274" t="inlineStr">
        <is>
          <t>Heal 200 vortex</t>
        </is>
      </c>
      <c r="B1274">
        <f>HYPERLINK("https://www.dofusbook.net/fr/equipement/2764418-heal-200-vortex/objets", "link")</f>
        <v/>
      </c>
      <c r="C1274" t="n">
        <v>4</v>
      </c>
      <c r="D1274" t="inlineStr">
        <is>
          <t>Baguette de Malléfisk; Amulette de Nileza; Anneau de Nidas; Anneau Tique; Ceinture de Vortex; Cagoule de Vortex; Voile d'encre; Pantoufles Émar; Guérisseur majeur; Érudit majeur; Soigneur majeur; Remueur; Muldo Pourpre</t>
        </is>
      </c>
    </row>
    <row r="1275">
      <c r="A1275" t="inlineStr">
        <is>
          <t>Re-cri</t>
        </is>
      </c>
      <c r="B1275">
        <f>HYPERLINK("https://www.dofusbook.net/fr/equipement/1971174-re-cri/objets", "link")</f>
        <v/>
      </c>
      <c r="C1275" t="n">
        <v>6</v>
      </c>
      <c r="D1275" t="inlineStr">
        <is>
          <t>Dagues Érhy; Torquistik; Anneau de Nidas; Goulano; Bouclier cubiste; Ceintacé; Chapeau de Gein; Voile d'encre; Goulbottes; Dofus Pourpre; Enragé majeur; Temporiseur majeur; Érudit majeur; Vigoureux majeur; Remueur; Muldo Ebène et Orchidée</t>
        </is>
      </c>
    </row>
    <row r="1276">
      <c r="A1276" t="inlineStr">
        <is>
          <t>Stuff 1</t>
        </is>
      </c>
      <c r="B1276">
        <f>HYPERLINK("https://www.dofusbook.net/fr/equipement/167464-stuff-1/objets", "link")</f>
        <v/>
      </c>
      <c r="C1276" t="n">
        <v>12</v>
      </c>
      <c r="D1276" t="inlineStr">
        <is>
          <t>Arc du Chalœil; Amulette de Pol Ouatnos; Bague Trithon; Alliance Gloursonne; Bouclier précieux; Ceintacé; Casque Dragoeuf; Voile d'encre; Bottes Trithon; Dofus Émeraude; Dofus Turquoise; Culbuteur majeur; Miraculé majeur; Remueur; Bousculeur majeur; Péki</t>
        </is>
      </c>
    </row>
    <row r="1277">
      <c r="A1277" t="inlineStr">
        <is>
          <t>Recrit</t>
        </is>
      </c>
      <c r="B1277">
        <f>HYPERLINK("https://www.dofusbook.net/fr/equipement/1165892-recrit/objets", "link")</f>
        <v/>
      </c>
      <c r="C1277" t="n">
        <v>13</v>
      </c>
      <c r="D1277" t="inlineStr">
        <is>
          <t>Dagues de Srambad; Amulette de Pol Ouatnos; Goulano; Alliance Gloursonne; Goulclier; Ceinture de la Reine des Voleurs; Coiffe de la Reine des Voleurs; Voile d'encre; Bottes de la Reine des Voleurs; Dolmanax; Dofus Ocre; Dofus Abyssal; Dofus des Glaces; Dofus Pourpre; Bastion majeur; Muldo Ebène</t>
        </is>
      </c>
    </row>
    <row r="1278">
      <c r="A1278" t="inlineStr">
        <is>
          <t>Feu hetype pvm</t>
        </is>
      </c>
      <c r="B1278">
        <f>HYPERLINK("https://www.dofusbook.net/fr/equipement/1834888-feu-hetype-pvm/objets", "link")</f>
        <v/>
      </c>
      <c r="C1278" t="n">
        <v>5</v>
      </c>
      <c r="D1278" t="inlineStr">
        <is>
          <t>Arc Hétype; Amulette du Glourséleste; Anneau Tamie; Anneau Tamie; Ceinture Hanium; Masque du Glourséleste; Cape de Léthaline; Pantoufles Émar; Entraveur majeur; Temporiseur majeur; Ralentisseur majeur; Remueur; Kwaltess</t>
        </is>
      </c>
    </row>
    <row r="1279">
      <c r="A1279" t="inlineStr">
        <is>
          <t>Feu-eau</t>
        </is>
      </c>
      <c r="B1279">
        <f>HYPERLINK("https://www.dofusbook.net/fr/equipement/1717431-feu-eau/objets", "link")</f>
        <v/>
      </c>
      <c r="C1279" t="n">
        <v>7</v>
      </c>
      <c r="D1279" t="inlineStr">
        <is>
          <t>Arc Nécrotique; Talisman Igans; Alliance Gloursonne; Anneau Tique; Sept ans de malheur; Ceinture de Vortex; Cagoule de Vortex; Voile d'encre; Pataugastrique; Dofus Turquoise; Dolmanax; Étourdisseur majeur; Remueur; Muldo Orchidée</t>
        </is>
      </c>
    </row>
    <row r="1280">
      <c r="A1280" t="inlineStr">
        <is>
          <t>Stuff 3</t>
        </is>
      </c>
      <c r="B1280">
        <f>HYPERLINK("https://www.dofusbook.net/fr/equipement/167457-stuff-3/objets", "link")</f>
        <v/>
      </c>
      <c r="C1280" t="n">
        <v>5</v>
      </c>
      <c r="D1280" t="inlineStr">
        <is>
          <t>Arc Nécrotique; Talisman Igans; Anneau Tique; Alliance Gloursonne; Sept ans de malheur; Ceinture de Vortex; Cagoule de Vortex; Voile d'encre; Pataugastrique; Dofus Pourpre; Dofus Turquoise; Dolmanax; Remueur; Évasif majeur; Étourdisseur majeur; Muldo Orchidée et Ivoire</t>
        </is>
      </c>
    </row>
    <row r="1281">
      <c r="A1281" t="inlineStr">
        <is>
          <t>Stuff 2</t>
        </is>
      </c>
      <c r="B1281">
        <f>HYPERLINK("https://www.dofusbook.net/fr/equipement/167449-stuff-2/objets", "link")</f>
        <v/>
      </c>
      <c r="C1281" t="n">
        <v>5</v>
      </c>
      <c r="D1281" t="inlineStr">
        <is>
          <t>Epée Loponèze; Racine Hueuse; Bague Gloursonne; Alliance Gloursonne; Ougature; Chapeau Lisson; Voile d'encre; Pantoufles Émar; Dofus Pourpre; Vigoureux majeur; Remueur; Miraculé majeur; Robuste majeur; Nomade; Dragodinde en armure</t>
        </is>
      </c>
    </row>
    <row r="1282">
      <c r="A1282" t="inlineStr">
        <is>
          <t>Stuff 1</t>
        </is>
      </c>
      <c r="B1282">
        <f>HYPERLINK("https://www.dofusbook.net/fr/equipement/167467-stuff-1/objets", "link")</f>
        <v/>
      </c>
      <c r="C1282" t="n">
        <v>2</v>
      </c>
      <c r="D1282" t="inlineStr">
        <is>
          <t>Arc Hétype; Amulette de Nileza; Anneau de Nidas; Anneau Tique; Ceinture Séculaire; Couronne de Nidas; Voile d'encre; Pataugastrique; Croum</t>
        </is>
      </c>
    </row>
    <row r="1283">
      <c r="A1283" t="inlineStr">
        <is>
          <t>Stuff 1</t>
        </is>
      </c>
      <c r="B1283">
        <f>HYPERLINK("https://www.dofusbook.net/fr/equipement/167467-stuff-1/objets", "link")</f>
        <v/>
      </c>
      <c r="C1283" t="n">
        <v>2</v>
      </c>
      <c r="D1283" t="inlineStr">
        <is>
          <t>Arc Hétype; Amulette de Nileza; Anneau Tique; Anneau de Nidas; Ceinture Séculaire; Couronne de Nidas; Voile d'encre; Pataugastrique; Croum</t>
        </is>
      </c>
    </row>
    <row r="1284">
      <c r="A1284" t="inlineStr">
        <is>
          <t>Stuff 1</t>
        </is>
      </c>
      <c r="B1284">
        <f>HYPERLINK("https://www.dofusbook.net/fr/equipement/167448-stuff-1/objets", "link")</f>
        <v/>
      </c>
      <c r="C1284" t="n">
        <v>5</v>
      </c>
      <c r="D1284" t="inlineStr">
        <is>
          <t>Epée Loponèze; Ougamulette; Bague Gloursonne; Alliance Gloursonne; Slip Iholo; Chapeau Lisson; Cape Matelassée; Pantoufles Émar; Dofus Pourpre; Vigoureux majeur; Remueur; Miraculé majeur; Robuste majeur; Nomade; Dragodinde en armure</t>
        </is>
      </c>
    </row>
    <row r="1285">
      <c r="A1285" t="inlineStr">
        <is>
          <t>Stuff 3</t>
        </is>
      </c>
      <c r="B1285">
        <f>HYPERLINK("https://www.dofusbook.net/fr/equipement/167466-stuff-3/objets", "link")</f>
        <v/>
      </c>
      <c r="C1285" t="n">
        <v>12</v>
      </c>
      <c r="D1285" t="inlineStr">
        <is>
          <t>Pelle de Nidas; Amulette du Strigide; Alliance Gloursonne; Anneau Chevelu; Ceintacé; Boucle d'oreille de Kongoku; Voile d'encre; Bottes du Strigide; Dofus Émeraude; Dofus Pourpre; Dofus Turquoise; Nomade; Remueur; Brâkarien</t>
        </is>
      </c>
    </row>
    <row r="1286">
      <c r="A1286" t="inlineStr">
        <is>
          <t>Stuff 1</t>
        </is>
      </c>
      <c r="B1286">
        <f>HYPERLINK("https://www.dofusbook.net/fr/equipement/167461-stuff-1/objets", "link")</f>
        <v/>
      </c>
      <c r="C1286" t="n">
        <v>6</v>
      </c>
      <c r="D1286" t="inlineStr">
        <is>
          <t>Hache du Chalœil; Amulette du Strigide; Bracelet du Piloztère; Anneau Chevelu; Ceintacé; Casque du Chalœil; Voile d'encre; Bottes du Chalœil; Dofus Turquoise; Dofus Pourpre; Vigoureux majeur; Remueur; Nomade; Dragodinde en armure</t>
        </is>
      </c>
    </row>
    <row r="1287">
      <c r="A1287" t="inlineStr">
        <is>
          <t>Stuff 1</t>
        </is>
      </c>
      <c r="B1287">
        <f>HYPERLINK("https://www.dofusbook.net/fr/equipement/167456-stuff-1/objets", "link")</f>
        <v/>
      </c>
      <c r="C1287" t="n">
        <v>13</v>
      </c>
      <c r="D1287" t="inlineStr">
        <is>
          <t>Arc corrompu; Pendentif affamé; Anneau de Padgref; Anneauræus; Ceinture Séculaire; Coiffe Séculaire; Cape de Diondin; Bottes Innommables; Dofus Turquoise; Vigoureux majeur; Remueur; Savant majeur; Nomade; Érudit majeur; Brûlih</t>
        </is>
      </c>
    </row>
    <row r="1288">
      <c r="A1288" t="inlineStr">
        <is>
          <t>Stuff 3</t>
        </is>
      </c>
      <c r="B1288">
        <f>HYPERLINK("https://www.dofusbook.net/fr/equipement/167450-stuff-3/objets", "link")</f>
        <v/>
      </c>
      <c r="C1288" t="n">
        <v>9</v>
      </c>
      <c r="D1288" t="inlineStr">
        <is>
          <t>Bâton Beau; Amulette du Strigide; Grésilanneau; Bracelet du Piloztère; Ceintacé; Casque de Missiz Frizz; Cape Reski; Bottes du Strigide; Dofus Turquoise; Dolmanax; Dofus Pourpre; Vigoureux majeur; Nomade; Remueur; Muldo Prune et Doré</t>
        </is>
      </c>
    </row>
    <row r="1289">
      <c r="A1289" t="inlineStr">
        <is>
          <t>Stuff 2</t>
        </is>
      </c>
      <c r="B1289">
        <f>HYPERLINK("https://www.dofusbook.net/fr/equipement/1743214-stuff-2/objets", "link")</f>
        <v/>
      </c>
      <c r="C1289" t="n">
        <v>36</v>
      </c>
      <c r="D1289" t="inlineStr">
        <is>
          <t>Arc de Koutoulou; Amulette d'Ilyzaelle; Bracelet des Fonds marins; Alliance Gloursonne; Bouclier d'Ilyzaelle; Menoture; Némès de Tal Kasha; Voilamibe; Bottes de la Reine des Voleurs; Dofus des Glaces; Dévastateur Eau majeur; Remueur; Étourdisseur majeur; Vigoureux majeur; Carapace Air majeur; Kramkram</t>
        </is>
      </c>
    </row>
    <row r="1290">
      <c r="A1290" t="inlineStr">
        <is>
          <t>Stuff 1</t>
        </is>
      </c>
      <c r="B1290">
        <f>HYPERLINK("https://www.dofusbook.net/fr/equipement/1743213-stuff-1/objets", "link")</f>
        <v/>
      </c>
      <c r="C1290" t="n">
        <v>19</v>
      </c>
      <c r="D1290" t="inlineStr">
        <is>
          <t>Arc de Koutoulou; Amulette d'Ilyzaelle; Alliance Gloursonne; Bracelet des Fonds marins; Bouclier du Stalak; Slip Vert; Casque d'Ilyzaelle; Voilamibe; Bottes de la Reine des Voleurs; Dofus des Glaces; Dofus Abyssal; Étourdisseur majeur; Carapace Air majeur; Dévastateur Eau majeur; Remueur; El Scarador</t>
        </is>
      </c>
    </row>
    <row r="1291">
      <c r="A1291" t="inlineStr">
        <is>
          <t>Stuff 2</t>
        </is>
      </c>
      <c r="B1291">
        <f>HYPERLINK("https://www.dofusbook.net/fr/equipement/1743226-stuff-2/objets", "link")</f>
        <v/>
      </c>
      <c r="C1291" t="n">
        <v>18</v>
      </c>
      <c r="D1291" t="inlineStr">
        <is>
          <t>Harpelle; Pendentif affamé; Bracelet du Piloztère; Anneauræus; Ceinture de Vortex; Cagoule de Vortex; Cape de Diondin; Bottes Innommables; Dofus Émeraude; Carapace Feu majeur; Remueur; Érudit majeur; Miraculé majeur; Nomade; Brâkarien</t>
        </is>
      </c>
    </row>
    <row r="1292">
      <c r="A1292" t="inlineStr">
        <is>
          <t>Stuff 3</t>
        </is>
      </c>
      <c r="B1292">
        <f>HYPERLINK("https://www.dofusbook.net/fr/equipement/1743221-stuff-3/objets", "link")</f>
        <v/>
      </c>
      <c r="C1292" t="n">
        <v>14</v>
      </c>
      <c r="D1292" t="inlineStr">
        <is>
          <t>Dagoulinantes; Amulette du Sinistrofu; Alliance Gloursonne; Grésilanneau; Poulpagne; Kidibonnet; Cape de Mantaze; Bottes du Sinistrofu; Dofus des Glaces; Dofus Pourpre; Dofus Turquoise; Carapace Air majeur; Nomade; Chanceux majeur; Croum</t>
        </is>
      </c>
    </row>
    <row r="1293">
      <c r="A1293" t="inlineStr">
        <is>
          <t>Stuff 1</t>
        </is>
      </c>
      <c r="B1293">
        <f>HYPERLINK("https://www.dofusbook.net/fr/equipement/1743216-stuff-1/objets", "link")</f>
        <v/>
      </c>
      <c r="C1293" t="n">
        <v>18</v>
      </c>
      <c r="D1293" t="inlineStr">
        <is>
          <t>Rapière aux Glyphes; Amulette de Shokkoth; Bracelet des Fonds marins; Alliance Gloursonne; Ceinture du Barbétoal; Kidibonnet; Cape du Sinistrofu; Bottes du Sinistrofu; Dofus Pourpre; Dofus Turquoise; Nomade; Chanceux majeur; Remueur; Carapace Eau majeur; Kramkram</t>
        </is>
      </c>
    </row>
    <row r="1294">
      <c r="A1294" t="inlineStr">
        <is>
          <t>Stuff 3</t>
        </is>
      </c>
      <c r="B1294">
        <f>HYPERLINK("https://www.dofusbook.net/fr/equipement/1743248-stuff-3/objets", "link")</f>
        <v/>
      </c>
      <c r="C1294" t="n">
        <v>15</v>
      </c>
      <c r="D1294" t="inlineStr">
        <is>
          <t>Arc Hétype; Amulette Séculaire; Bague Gloursonne; Chevalière du Roi Joueur; Ceinture de Gein; Chapeau de Gein; Voile d'encre; Sabots Minables; Carapace Terre majeur; Miraculé majeur; Remueur; Nomade; Enragé majeur; Érudit majeur; Croum</t>
        </is>
      </c>
    </row>
    <row r="1295">
      <c r="A1295" t="inlineStr">
        <is>
          <t>Stuff 1</t>
        </is>
      </c>
      <c r="B1295">
        <f>HYPERLINK("https://www.dofusbook.net/fr/equipement/1743243-stuff-1/objets", "link")</f>
        <v/>
      </c>
      <c r="C1295" t="n">
        <v>16</v>
      </c>
      <c r="D1295" t="inlineStr">
        <is>
          <t>Dagoulinantes; Talisman Glouti; Bracelet des Fonds marins; Alliance Gloursonne; Ceinture Glaciale; Kidibonnet; Cape d'Atcham; Sandales  d'Atcham; Engourdisseur majeur; Carapace Air majeur; Nomade; Paralyseur majeur; Remueur; Étourdisseur majeur; Croum</t>
        </is>
      </c>
    </row>
    <row r="1296">
      <c r="A1296" t="inlineStr">
        <is>
          <t>Stuff 2</t>
        </is>
      </c>
      <c r="B1296">
        <f>HYPERLINK("https://www.dofusbook.net/fr/equipement/1743238-stuff-2/objets", "link")</f>
        <v/>
      </c>
      <c r="C1296" t="n">
        <v>9</v>
      </c>
      <c r="D1296" t="inlineStr">
        <is>
          <t>Rapière aux Glyphes; Amulette Voldelor; Alliance Gloursonne; Anneau de Guten Tak; Ceinture Glaciale; Masque du Barbétoal; Cape du Barbétoal; Pataugastrique; Remueur; Paralyseur majeur; Nomade; Chanceux majeur; Miraculé majeur; Étourdisseur majeur; Kramkram</t>
        </is>
      </c>
    </row>
    <row r="1297">
      <c r="A1297" t="inlineStr">
        <is>
          <t>Stuff 3</t>
        </is>
      </c>
      <c r="B1297">
        <f>HYPERLINK("https://www.dofusbook.net/fr/equipement/1743233-stuff-3/objets", "link")</f>
        <v/>
      </c>
      <c r="C1297" t="n">
        <v>10</v>
      </c>
      <c r="D1297" t="inlineStr">
        <is>
          <t>Baguette de Malléfisk; Pendentif mignon de Koutoulou; Kralano; Alliance Gloursonne; Ceinture de Vortex; Casque Cyclopéen; Cape de Diondin; Bottes du Cycloïde; Remueur; Nomade; Carapace Terre majeur; Érudit majeur; Cascadeur majeur; Kramkram</t>
        </is>
      </c>
    </row>
    <row r="1298">
      <c r="A1298" t="inlineStr">
        <is>
          <t>Stuff 1</t>
        </is>
      </c>
      <c r="B1298">
        <f>HYPERLINK("https://www.dofusbook.net/fr/equipement/1743228-stuff-1/objets", "link")</f>
        <v/>
      </c>
      <c r="C1298" t="n">
        <v>9</v>
      </c>
      <c r="D1298" t="inlineStr">
        <is>
          <t>Arc de Koutoulou; Amulette de l'Indicible; Alliance Gloursonne; Bracelet des Fonds marins; Bouclier d'Ilyzaelle; Poulpagne; Casque d'Ilyzaelle; Voilamibe; Bottes de la Reine des Voleurs; Dofus Pourpre; Dofus des Glaces; Vigoureux majeur; Carapace Air majeur; Remueur; Kramkram</t>
        </is>
      </c>
    </row>
    <row r="1299">
      <c r="A1299" t="inlineStr">
        <is>
          <t>Stuff 2</t>
        </is>
      </c>
      <c r="B1299">
        <f>HYPERLINK("https://www.dofusbook.net/fr/equipement/1743223-stuff-2/objets", "link")</f>
        <v/>
      </c>
      <c r="C1299" t="n">
        <v>15</v>
      </c>
      <c r="D1299" t="inlineStr">
        <is>
          <t>Sabres d'Atcham; Amulette du Strigide; Alliance Gloursonne; Anneau Tique; Ceintacé; Masque du Barbétoal; Dofusteuse; Sandales  d'Atcham; Dolmanax; Dofus Pourpre; Dofus Turquoise; Remueur; Vigoureux majeur; Nomade; Kramkram</t>
        </is>
      </c>
    </row>
    <row r="1300">
      <c r="A1300" t="inlineStr">
        <is>
          <t>Stuff 2</t>
        </is>
      </c>
      <c r="B1300">
        <f>HYPERLINK("https://www.dofusbook.net/fr/equipement/1743250-stuff-2/objets", "link")</f>
        <v/>
      </c>
      <c r="C1300" t="n">
        <v>31</v>
      </c>
      <c r="D1300" t="inlineStr">
        <is>
          <t>Arc du Chalœil; Collier de Tourthon; Anneau Chevelu; Anneau de Brouce; Ceinture de Brouce; Masque de Koutoulou; Cape au Logis; Sabots Minables; Dofus Turquoise; Dofus Pourpre; Enragé majeur; Carapace Terre majeur; Vigoureux majeur; Miraculé majeur; Croum</t>
        </is>
      </c>
    </row>
    <row r="1301">
      <c r="A1301" t="inlineStr">
        <is>
          <t>Stuff 3</t>
        </is>
      </c>
      <c r="B1301">
        <f>HYPERLINK("https://www.dofusbook.net/fr/equipement/1743218-stuff-3/objets", "link")</f>
        <v/>
      </c>
      <c r="C1301" t="n">
        <v>11</v>
      </c>
      <c r="D1301" t="inlineStr">
        <is>
          <t>Rapière aux Glyphes; Amulette de Shokkoth; Bracelet des Fonds marins; Anneau de Nidas; Ceinture de Gein; Casquette de Meno; Cape de Meno; Pataugastrique; Dofus Turquoise; Nomade; Carapace Terre majeur; Remueur; Temporiseur majeur; Érudit majeur; Kramkram</t>
        </is>
      </c>
    </row>
    <row r="1302">
      <c r="A1302" t="inlineStr">
        <is>
          <t>Stuff 3</t>
        </is>
      </c>
      <c r="B1302">
        <f>HYPERLINK("https://www.dofusbook.net/fr/equipement/1743245-stuff-3/objets", "link")</f>
        <v/>
      </c>
      <c r="C1302" t="n">
        <v>15</v>
      </c>
      <c r="D1302" t="inlineStr">
        <is>
          <t>Arc Hétype; Pendentif affamé; Bague Gloursonne; Chevalière du Roi Joueur; Ceinture de Gein; Chapeau de Gein; Voile d'encre; Sabots Minables; Carapace Terre majeur; Miraculé majeur; Remueur; Nomade; Enragé majeur; Érudit majeur; Croum</t>
        </is>
      </c>
    </row>
    <row r="1303">
      <c r="A1303" t="inlineStr">
        <is>
          <t>Stuff 1</t>
        </is>
      </c>
      <c r="B1303">
        <f>HYPERLINK("https://www.dofusbook.net/fr/equipement/1743240-stuff-1/objets", "link")</f>
        <v/>
      </c>
      <c r="C1303" t="n">
        <v>24</v>
      </c>
      <c r="D1303" t="inlineStr">
        <is>
          <t>Baguette de Malléfisk; Talisman Igans; Alliance Gloursonne; Kralano; Ceintrigue; Kidibonnet; Voile d'encre; Bottes de Théodoran Ax; Guérisseur majeur; Miraculé majeur; Bousculeur majeur; Remueur; Culbuteur majeur; Nomade; Croum</t>
        </is>
      </c>
    </row>
    <row r="1304">
      <c r="A1304" t="inlineStr">
        <is>
          <t>Stuff 2</t>
        </is>
      </c>
      <c r="B1304">
        <f>HYPERLINK("https://www.dofusbook.net/fr/equipement/1743235-stuff-2/objets", "link")</f>
        <v/>
      </c>
      <c r="C1304" t="n">
        <v>7</v>
      </c>
      <c r="D1304" t="inlineStr">
        <is>
          <t>Arc Hétype; Amulette d'Otomaï; Kralano; Bague Gloursonne; Obscture; Casque Dragoeuf; Voile d'encre; Bottes d'Otomaï; Dofus Ocre; Remueur; Érudit majeur; Miraculé majeur; Nomade; Carapace Feu majeur; Croum</t>
        </is>
      </c>
    </row>
    <row r="1305">
      <c r="A1305" t="inlineStr">
        <is>
          <t>Stuff 3</t>
        </is>
      </c>
      <c r="B1305">
        <f>HYPERLINK("https://www.dofusbook.net/fr/equipement/1743230-stuff-3/objets", "link")</f>
        <v/>
      </c>
      <c r="C1305" t="n">
        <v>11</v>
      </c>
      <c r="D1305" t="inlineStr">
        <is>
          <t>Sabres d'Atcham; Talisman Igans; Anneau Tique; Alliance Gloursonne; Ceintacé; Boucle d'oreille de Kongoku; Dofusteuse; Sandales  d'Atcham; Dofus Turquoise; Dolmanax; Dofus Pourpre; Nomade; Remueur; Vigoureux majeur; Croum</t>
        </is>
      </c>
    </row>
    <row r="1306">
      <c r="A1306" t="inlineStr">
        <is>
          <t>Stuff 1</t>
        </is>
      </c>
      <c r="B1306">
        <f>HYPERLINK("https://www.dofusbook.net/fr/equipement/1743225-stuff-1/objets", "link")</f>
        <v/>
      </c>
      <c r="C1306" t="n">
        <v>37</v>
      </c>
      <c r="D1306" t="inlineStr">
        <is>
          <t>Marteau Phossile; Pendentif mignon de Koutoulou; Alliance Gloursonne; Anneau Rifique; Ceinture de Vortex; Cagoule de Vortex; Voile d'encre; Sabots de Vortex; Dolmanax; Dofus Pourpre; Dofus des Glaces; Dofus Émeraude; Dofus Turquoise; Dofus Ocre; Muldo Ebène et Pourpre</t>
        </is>
      </c>
    </row>
    <row r="1307">
      <c r="A1307" t="inlineStr">
        <is>
          <t>Stuff 1</t>
        </is>
      </c>
      <c r="B1307">
        <f>HYPERLINK("https://www.dofusbook.net/fr/equipement/1743252-stuff-1/objets", "link")</f>
        <v/>
      </c>
      <c r="C1307" t="n">
        <v>42</v>
      </c>
      <c r="D1307" t="inlineStr">
        <is>
          <t>Sabres d'Atcham; Amulette du Strigide; Anneau de Padgref; Alliance Gloursonne; Ceinture du Strigide; Coiffe de Padgref; Cape d'Atcham; Getas de Padgref; Dolmanax; Dofus des Glaces; Dofus Turquoise; Dofus Pourpre</t>
        </is>
      </c>
    </row>
    <row r="1308">
      <c r="A1308" t="inlineStr">
        <is>
          <t>Stuff 2</t>
        </is>
      </c>
      <c r="B1308">
        <f>HYPERLINK("https://www.dofusbook.net/fr/equipement/1743220-stuff-2/objets", "link")</f>
        <v/>
      </c>
      <c r="C1308" t="n">
        <v>16</v>
      </c>
      <c r="D1308" t="inlineStr">
        <is>
          <t>Plumeau Bil; Amulette Séculaire; Kralano; Bague Gloursonne; Ceinture de Vortex; Cagoule de Vortex; Voile d'encre; Pataugastrique; Dofus Turquoise; Nomade; Étourdisseur majeur; Remueur; Carapace Terre majeur; Érudit majeur; Kramkram</t>
        </is>
      </c>
    </row>
    <row r="1309">
      <c r="A1309" t="inlineStr">
        <is>
          <t>Stuff 2</t>
        </is>
      </c>
      <c r="B1309">
        <f>HYPERLINK("https://www.dofusbook.net/fr/equipement/1743244-stuff-2/objets", "link")</f>
        <v/>
      </c>
      <c r="C1309" t="n">
        <v>14</v>
      </c>
      <c r="D1309" t="inlineStr">
        <is>
          <t>Baguette de Malléfisk; Amulette d'Ilyzaelle; Kralano; Alliance Gloursonne; Bouclier d'Ilyzaelle; Ceinture de Vortex; Casque Cyclopéen; Cape de Diondin; Palmes Trithons; Carapace Terre majeur; Guérisseur majeur; Dévastateur Air majeur; Cascadeur majeur; Remueur; Docteur majeur; Muldo Pourpre</t>
        </is>
      </c>
    </row>
    <row r="1310">
      <c r="A1310" t="inlineStr">
        <is>
          <t>Stuff 3</t>
        </is>
      </c>
      <c r="B1310">
        <f>HYPERLINK("https://www.dofusbook.net/fr/equipement/1743239-stuff-3/objets", "link")</f>
        <v/>
      </c>
      <c r="C1310" t="n">
        <v>14</v>
      </c>
      <c r="D1310" t="inlineStr">
        <is>
          <t>Héqache; Amulette du Strigide; Anneau Crustique; Alliance Gloursonne; Ceintouse; Chapoulpe; Voile d'encre; Baleinabottes; Dofus Pourpre; Enragé majeur; Nomade; Carapace Terre majeur; Remueur; Étourdisseur majeur; Kramkram</t>
        </is>
      </c>
    </row>
    <row r="1311">
      <c r="A1311" t="inlineStr">
        <is>
          <t>Stuff 1</t>
        </is>
      </c>
      <c r="B1311">
        <f>HYPERLINK("https://www.dofusbook.net/fr/equipement/1743234-stuff-1/objets", "link")</f>
        <v/>
      </c>
      <c r="C1311" t="n">
        <v>9</v>
      </c>
      <c r="D1311" t="inlineStr">
        <is>
          <t>Pelle de la Cour Sombre; Amulette du Strigide; Bracelet du Piloztère; Alliance Gloursonne; Ceinture du Strigide; Casque des égarés; Voile d'encre; Baleinabottes; Dofus Pourpre; Dofus Turquoise; Vigoureux majeur; Nomade; Remueur; Cascadeur majeur; Kramkram</t>
        </is>
      </c>
    </row>
    <row r="1312">
      <c r="A1312" t="inlineStr">
        <is>
          <t>Stuff 2</t>
        </is>
      </c>
      <c r="B1312">
        <f>HYPERLINK("https://www.dofusbook.net/fr/equipement/1743229-stuff-2/objets", "link")</f>
        <v/>
      </c>
      <c r="C1312" t="n">
        <v>12</v>
      </c>
      <c r="D1312" t="inlineStr">
        <is>
          <t>Arc de Koutoulou; Amulette du Strigide; Gant du Valet Veinard; Alliance Gloursonne; Ceinture du Barbétoal; Kidibonnet; Voilamibe; Bottes du Strigide; Dofus des Glaces; Dofus Pourpre; Vigoureux majeur; Remueur; Carapace Air majeur; Nomade; Croum</t>
        </is>
      </c>
    </row>
    <row r="1313">
      <c r="A1313" t="inlineStr">
        <is>
          <t>Stuff 3</t>
        </is>
      </c>
      <c r="B1313">
        <f>HYPERLINK("https://www.dofusbook.net/fr/equipement/1743224-stuff-3/objets", "link")</f>
        <v/>
      </c>
      <c r="C1313" t="n">
        <v>14</v>
      </c>
      <c r="D1313" t="inlineStr">
        <is>
          <t>Arc de Koutoulou; Amulette du Strigide; Alliance Gloursonne; Grésilanneau; Ceinture du Barbétoal; Kidibonnet; Chevelure de Tal Kasha; Sandales de Tal Kasha; Dofus Turquoise; Dofus Pourpre; Carapace Air majeur; Nomade; Vigoureux majeur; Remueur; Kramkram</t>
        </is>
      </c>
    </row>
    <row r="1314">
      <c r="A1314" t="inlineStr">
        <is>
          <t>Stuff 3</t>
        </is>
      </c>
      <c r="B1314">
        <f>HYPERLINK("https://www.dofusbook.net/fr/equipement/1743251-stuff-3/objets", "link")</f>
        <v/>
      </c>
      <c r="C1314" t="n">
        <v>26</v>
      </c>
      <c r="D1314" t="inlineStr">
        <is>
          <t>Pelle de la Cour Sombre; Collier du Valet Veinard; Alliance Gloursonne; Gant du Valet Veinard; Menoture; Couronne d'Allister; Cape du Kamasterisk; Palmes Trithons; Dofus Pourpre; Robuste majeur; Cascadeur majeur; Remueur; Nomade; Vigoureux majeur; Croum</t>
        </is>
      </c>
    </row>
    <row r="1315">
      <c r="A1315" t="inlineStr">
        <is>
          <t>Stuff 1</t>
        </is>
      </c>
      <c r="B1315">
        <f>HYPERLINK("https://www.dofusbook.net/fr/equipement/1743219-stuff-1/objets", "link")</f>
        <v/>
      </c>
      <c r="C1315" t="n">
        <v>13</v>
      </c>
      <c r="D1315" t="inlineStr">
        <is>
          <t>Dagoulinantes; Talisman Glouti; Alliance Gloursonne; Bracelet des Fonds marins; Ceinture Glaciale; Kidibonnet; Cape d'Atcham; Sandales  d'Atcham; Étourdisseur majeur; Engourdisseur majeur; Carapace Air majeur; Nomade; Paralyseur majeur; Remueur; Croum</t>
        </is>
      </c>
    </row>
    <row r="1316">
      <c r="A1316" t="inlineStr">
        <is>
          <t>Stuff 1</t>
        </is>
      </c>
      <c r="B1316">
        <f>HYPERLINK("https://www.dofusbook.net/fr/equipement/1743246-stuff-1/objets", "link")</f>
        <v/>
      </c>
      <c r="C1316" t="n">
        <v>11</v>
      </c>
      <c r="D1316" t="inlineStr">
        <is>
          <t>Sabres d'Atcham; Talisman Igans; Alliance Gloursonne; Anneau Tique; Ceintacé; Boucle d'oreille de Kongoku; Dofusteuse; Sandales  d'Atcham; Dofus Pourpre; Dofus Turquoise; Dolmanax; Vigoureux majeur; Nomade; Remueur; Croum</t>
        </is>
      </c>
    </row>
    <row r="1317">
      <c r="A1317" t="inlineStr">
        <is>
          <t>Stuff 2</t>
        </is>
      </c>
      <c r="B1317">
        <f>HYPERLINK("https://www.dofusbook.net/fr/equipement/1743241-stuff-2/objets", "link")</f>
        <v/>
      </c>
      <c r="C1317" t="n">
        <v>26</v>
      </c>
      <c r="D1317" t="inlineStr">
        <is>
          <t>Hache du Chalœil; Amulette du Strigide; Alliance Gloursonne; Bracelet du Piloztère; Ceintacé; Casque du Chalœil; Voile d'encre; Bottes du Strigide; Dofus des Glaces; Dofus Turquoise; Dolmanax; Remueur; Nomade; Miraculé majeur; Croum</t>
        </is>
      </c>
    </row>
    <row r="1318">
      <c r="A1318" t="inlineStr">
        <is>
          <t>Stuff 3</t>
        </is>
      </c>
      <c r="B1318">
        <f>HYPERLINK("https://www.dofusbook.net/fr/equipement/1743236-stuff-3/objets", "link")</f>
        <v/>
      </c>
      <c r="C1318" t="n">
        <v>9</v>
      </c>
      <c r="D1318" t="inlineStr">
        <is>
          <t>Rapière aux Glyphes; Amulette du Sinistrofu; Bracelet des Fonds marins; Alliance Gloursonne; Ceinture Glaciale; Kidibonnet; Voilamibe; Bottes du Sinistrofu; Dofus Pourpre; Chanceux majeur; Vigoureux majeur; Joueur majeur; Remueur; Miraculé majeur; Kramkram</t>
        </is>
      </c>
    </row>
    <row r="1319">
      <c r="A1319" t="inlineStr">
        <is>
          <t>Stuff 1</t>
        </is>
      </c>
      <c r="B1319">
        <f>HYPERLINK("https://www.dofusbook.net/fr/equipement/1743231-stuff-1/objets", "link")</f>
        <v/>
      </c>
      <c r="C1319" t="n">
        <v>13</v>
      </c>
      <c r="D1319" t="inlineStr">
        <is>
          <t>Marteau Phossile; Pendentif affamé; Kralano; Alliance Gloursonne; Ceinture de Vortex; Casque Cyclopéen; Cape de Diondin; Sabots de Vortex; Dofus Pourpre; Dofus Turquoise; Nomade; Miraculé majeur; Vigoureux majeur; Remueur; Kramkram</t>
        </is>
      </c>
    </row>
    <row r="1320">
      <c r="A1320" t="inlineStr">
        <is>
          <t>Stuff 2</t>
        </is>
      </c>
      <c r="B1320">
        <f>HYPERLINK("https://www.dofusbook.net/fr/equipement/1743226-stuff-2/objets", "link")</f>
        <v/>
      </c>
      <c r="C1320" t="n">
        <v>18</v>
      </c>
      <c r="D1320" t="inlineStr">
        <is>
          <t>Harpelle; Pendentif affamé; Bracelet du Piloztère; Anneauræus; Ceinture de Vortex; Cagoule de Vortex; Cape de Diondin; Bottes Innommables; Dofus Émeraude; Carapace Feu majeur; Remueur; Érudit majeur; Miraculé majeur; Nomade; Brâkarien</t>
        </is>
      </c>
    </row>
    <row r="1321">
      <c r="A1321" t="inlineStr">
        <is>
          <t>Stuff 3</t>
        </is>
      </c>
      <c r="B1321">
        <f>HYPERLINK("https://www.dofusbook.net/fr/equipement/1743221-stuff-3/objets", "link")</f>
        <v/>
      </c>
      <c r="C1321" t="n">
        <v>14</v>
      </c>
      <c r="D1321" t="inlineStr">
        <is>
          <t>Dagoulinantes; Amulette du Sinistrofu; Grésilanneau; Alliance Gloursonne; Poulpagne; Kidibonnet; Cape de Mantaze; Bottes du Sinistrofu; Dofus des Glaces; Dofus Pourpre; Dofus Turquoise; Carapace Air majeur; Nomade; Chanceux majeur; Croum</t>
        </is>
      </c>
    </row>
    <row r="1322">
      <c r="A1322" t="inlineStr">
        <is>
          <t>Stuff 3</t>
        </is>
      </c>
      <c r="B1322">
        <f>HYPERLINK("https://www.dofusbook.net/fr/equipement/1743248-stuff-3/objets", "link")</f>
        <v/>
      </c>
      <c r="C1322" t="n">
        <v>15</v>
      </c>
      <c r="D1322" t="inlineStr">
        <is>
          <t>Arc Hétype; Amulette Séculaire; Bague Gloursonne; Chevalière du Roi Joueur; Ceinture de Gein; Chapeau de Gein; Voile d'encre; Sabots Minables; Miraculé majeur; Remueur; Nomade; Enragé majeur; Érudit majeur; Carapace Terre majeur; Croum</t>
        </is>
      </c>
    </row>
    <row r="1323">
      <c r="A1323" t="inlineStr">
        <is>
          <t>Stuff 1</t>
        </is>
      </c>
      <c r="B1323">
        <f>HYPERLINK("https://www.dofusbook.net/fr/equipement/1743216-stuff-1/objets", "link")</f>
        <v/>
      </c>
      <c r="C1323" t="n">
        <v>18</v>
      </c>
      <c r="D1323" t="inlineStr">
        <is>
          <t>Rapière aux Glyphes; Amulette de Shokkoth; Alliance Gloursonne; Bracelet des Fonds marins; Ceinture du Barbétoal; Kidibonnet; Cape du Sinistrofu; Bottes du Sinistrofu; Dofus Turquoise; Dofus Pourpre; Chanceux majeur; Remueur; Carapace Eau majeur; Nomade; Kramkram</t>
        </is>
      </c>
    </row>
    <row r="1324">
      <c r="A1324" t="inlineStr">
        <is>
          <t>Stuff 1</t>
        </is>
      </c>
      <c r="B1324">
        <f>HYPERLINK("https://www.dofusbook.net/fr/equipement/1743243-stuff-1/objets", "link")</f>
        <v/>
      </c>
      <c r="C1324" t="n">
        <v>16</v>
      </c>
      <c r="D1324" t="inlineStr">
        <is>
          <t>Dagoulinantes; Talisman Glouti; Alliance Gloursonne; Bracelet des Fonds marins; Ceinture Glaciale; Kidibonnet; Cape d'Atcham; Sandales  d'Atcham; Remueur; Étourdisseur majeur; Engourdisseur majeur; Carapace Air majeur; Nomade; Paralyseur majeur; Croum</t>
        </is>
      </c>
    </row>
    <row r="1325">
      <c r="A1325" t="inlineStr">
        <is>
          <t>Stuff 2</t>
        </is>
      </c>
      <c r="B1325">
        <f>HYPERLINK("https://www.dofusbook.net/fr/equipement/1743238-stuff-2/objets", "link")</f>
        <v/>
      </c>
      <c r="C1325" t="n">
        <v>9</v>
      </c>
      <c r="D1325" t="inlineStr">
        <is>
          <t>Rapière aux Glyphes; Amulette Voldelor; Anneau de Guten Tak; Alliance Gloursonne; Ceinture Glaciale; Masque du Barbétoal; Cape du Barbétoal; Pataugastrique; Miraculé majeur; Étourdisseur majeur; Remueur; Paralyseur majeur; Nomade; Chanceux majeur; Kramkram</t>
        </is>
      </c>
    </row>
    <row r="1326">
      <c r="A1326" t="inlineStr">
        <is>
          <t>Stuff 3</t>
        </is>
      </c>
      <c r="B1326">
        <f>HYPERLINK("https://www.dofusbook.net/fr/equipement/1743233-stuff-3/objets", "link")</f>
        <v/>
      </c>
      <c r="C1326" t="n">
        <v>10</v>
      </c>
      <c r="D1326" t="inlineStr">
        <is>
          <t>Baguette de Malléfisk; Pendentif mignon de Koutoulou; Alliance Gloursonne; Kralano; Ceinture de Vortex; Casque Cyclopéen; Cape de Diondin; Bottes du Cycloïde; Nomade; Carapace Terre majeur; Érudit majeur; Cascadeur majeur; Remueur; Kramkram</t>
        </is>
      </c>
    </row>
    <row r="1327">
      <c r="A1327" t="inlineStr">
        <is>
          <t>Stuff 1</t>
        </is>
      </c>
      <c r="B1327">
        <f>HYPERLINK("https://www.dofusbook.net/fr/equipement/1743228-stuff-1/objets", "link")</f>
        <v/>
      </c>
      <c r="C1327" t="n">
        <v>9</v>
      </c>
      <c r="D1327" t="inlineStr">
        <is>
          <t>Arc de Koutoulou; Amulette de l'Indicible; Bracelet des Fonds marins; Alliance Gloursonne; Bouclier d'Ilyzaelle; Poulpagne; Casque d'Ilyzaelle; Voilamibe; Bottes de la Reine des Voleurs; Dofus Pourpre; Dofus des Glaces; Vigoureux majeur; Carapace Air majeur; Remueur; Kramkram</t>
        </is>
      </c>
    </row>
    <row r="1328">
      <c r="A1328" t="inlineStr">
        <is>
          <t>Stuff 2</t>
        </is>
      </c>
      <c r="B1328">
        <f>HYPERLINK("https://www.dofusbook.net/fr/equipement/1743223-stuff-2/objets", "link")</f>
        <v/>
      </c>
      <c r="C1328" t="n">
        <v>15</v>
      </c>
      <c r="D1328" t="inlineStr">
        <is>
          <t>Sabres d'Atcham; Amulette du Strigide; Alliance Gloursonne; Anneau Tique; Ceintacé; Masque du Barbétoal; Dofusteuse; Sandales  d'Atcham; Dolmanax; Dofus Pourpre; Dofus Turquoise; Remueur; Vigoureux majeur; Nomade; Kramkram</t>
        </is>
      </c>
    </row>
    <row r="1329">
      <c r="A1329" t="inlineStr">
        <is>
          <t>Stuff 1</t>
        </is>
      </c>
      <c r="B1329">
        <f>HYPERLINK("https://www.dofusbook.net/fr/equipement/1743210-stuff-1/objets", "link")</f>
        <v/>
      </c>
      <c r="C1329" t="n">
        <v>24</v>
      </c>
      <c r="D1329" t="inlineStr">
        <is>
          <t>Arc Hétype; Pendentif mignon de Koutoulou; Anneau Tique; Anneau Rifique; Ceinture de Vortex; Casque Dragoeuf; Cape de Diondin; Bottes Innommables; Dofus Turquoise; Carapace Neutre majeur; Érudit majeur; Carapace Terre majeur; Enragé majeur; Remueur; Muldo Orchidée</t>
        </is>
      </c>
    </row>
    <row r="1330">
      <c r="A1330" t="inlineStr">
        <is>
          <t>Stuff 3</t>
        </is>
      </c>
      <c r="B1330">
        <f>HYPERLINK("https://www.dofusbook.net/fr/equipement/1743212-stuff-3/objets", "link")</f>
        <v/>
      </c>
      <c r="C1330" t="n">
        <v>17</v>
      </c>
      <c r="D1330" t="inlineStr">
        <is>
          <t>Arc Hétype; Amulette Séculaire; Bague Gloursonne; Chevalière du Roi Joueur; Ceinture de Gein; Chapeau de Gein; Voile d'encre; Sabots Minables; Enragé majeur; Érudit majeur; Carapace Terre majeur; Miraculé majeur; Remueur; Nomade; Croum</t>
        </is>
      </c>
    </row>
    <row r="1331">
      <c r="A1331" t="inlineStr">
        <is>
          <t>Stuff 2</t>
        </is>
      </c>
      <c r="B1331">
        <f>HYPERLINK("https://www.dofusbook.net/fr/equipement/1743211-stuff-2/objets", "link")</f>
        <v/>
      </c>
      <c r="C1331" t="n">
        <v>9</v>
      </c>
      <c r="D1331" t="inlineStr">
        <is>
          <t>Arc Hétype; Amulette Séculaire; Anneau Tique; Bague Gloursonne; Sangle Aise; Casqnoar; Voile d'encre; Bottes Refois; Cavaleur majeur; Nomade; Carapace Feu majeur; Carapace Neutre majeur; Remueur; Miraculé majeur; Croum</t>
        </is>
      </c>
    </row>
    <row r="1332">
      <c r="A1332" t="inlineStr">
        <is>
          <t>feu dist</t>
        </is>
      </c>
      <c r="B1332">
        <f>HYPERLINK("https://www.dofusbook.net/fr/equipement/2936528-feu-dist/objets", "link")</f>
        <v/>
      </c>
      <c r="C1332" t="n">
        <v>15</v>
      </c>
      <c r="D1332" t="inlineStr">
        <is>
          <t>Couteaux Sacrificiels; Amulette Volkorne; Anneau Tique; Anneau Volkorne; Bouclier alvéolé; Ceinture de l'Esprit Salvateur; Masque Paztek; Cape Paztek; Sandales Paztek; Dofus Ébène; Dofus Pourpre; Dofus des Glaces; Dofus Ivoire; Dofus Ocre; Robuste majeur; Walk</t>
        </is>
      </c>
    </row>
    <row r="1333">
      <c r="A1333" t="inlineStr">
        <is>
          <t>terre do crit</t>
        </is>
      </c>
      <c r="B1333">
        <f>HYPERLINK("https://www.dofusbook.net/fr/equipement/822920-terre-do-crit/objets", "link")</f>
        <v/>
      </c>
      <c r="C1333" t="n">
        <v>19</v>
      </c>
      <c r="D1333" t="inlineStr">
        <is>
          <t>Dagues d'Ilyzaelle; Amulette du Cœur Saignant; Anneau Volkorne; Alliance de Missiz Frizz; Bouclier d'Ilyzaelle; Ceinture Volkorne; Casque de Missiz Frizz; Cape au Logis; Bottes du Cœur Saignant; Dofus Ébène; Dofus Ivoire; Dofus Turquoise; Dofus Pourpre; Dofus Abyssal; Dofus Ocre; Volkorne Pourpre</t>
        </is>
      </c>
    </row>
    <row r="1334">
      <c r="A1334" t="inlineStr">
        <is>
          <t>terre</t>
        </is>
      </c>
      <c r="B1334">
        <f>HYPERLINK("https://www.dofusbook.net/fr/equipement/5722924-terre/objets", "link")</f>
        <v/>
      </c>
      <c r="C1334" t="n">
        <v>9</v>
      </c>
      <c r="D1334" t="inlineStr">
        <is>
          <t>Arc corrompu; Amulette Volkorne; Anneauræus; Anneau Volkorne; Bouclier du Stalak; Ceinture Séculaire; Heaume Oplate; Cape de Diondin; Bottes Innommables; Dofus Pourpre; Vigoureux majeur; Astucieux majeur; Robuste majeur; Nomade; Érudit majeur; Brûlih</t>
        </is>
      </c>
    </row>
    <row r="1335">
      <c r="A1335" t="inlineStr">
        <is>
          <t>air thanos</t>
        </is>
      </c>
      <c r="B1335">
        <f>HYPERLINK("https://www.dofusbook.net/fr/equipement/3215533-air-thanos/objets", "link")</f>
        <v/>
      </c>
      <c r="C1335" t="n">
        <v>6</v>
      </c>
      <c r="D1335" t="inlineStr">
        <is>
          <t>Dagues Érhy; Amulette Ementaire Deluxe; Anneau Volkorne; Pikano; Droiture de Fallanster; Ceinture Volkorne; Casque Dragoeuf; Bravoure de Rykke Errel; Baleinabottes; Dofus Ocre; Dofus Vulbis; Dofus Ébène; Dofus Ivoire; Dofus Émeraude; Enragé majeur; Bulbisou</t>
        </is>
      </c>
    </row>
    <row r="1336">
      <c r="A1336" t="inlineStr">
        <is>
          <t>air do crit</t>
        </is>
      </c>
      <c r="B1336">
        <f>HYPERLINK("https://www.dofusbook.net/fr/equipement/243395-air-do-crit/objets", "link")</f>
        <v/>
      </c>
      <c r="C1336" t="n">
        <v>31</v>
      </c>
      <c r="D1336" t="inlineStr">
        <is>
          <t>Racine de Floribonde; Amulette Voldelor; Gant du Valet Veinard; Alliance Gloursonne; Bouclier du Captain Amakna; Ceintacé; Némès de Tal Kasha; Chevelure de Tal Kasha; Palmes Trithons; Dofus Nébuleux; Dofus Pourpre; Dofus des Glaces; Dofus Vulbis; Dofus Ocre; Cascadeur majeur; Pioute jaune</t>
        </is>
      </c>
    </row>
    <row r="1337">
      <c r="A1337" t="inlineStr">
        <is>
          <t>feu</t>
        </is>
      </c>
      <c r="B1337">
        <f>HYPERLINK("https://www.dofusbook.net/fr/equipement/1229104-feu-/objets", "link")</f>
        <v/>
      </c>
      <c r="C1337" t="n">
        <v>34</v>
      </c>
      <c r="D1337" t="inlineStr">
        <is>
          <t>Baguette Hernelle; Amulette du Strigide; Bague Trithon; Anneau de Padgref; Quatre-feuilles; Ceinture du Strigide; Coiffe de Padgref; Chevelure de Tal Kasha; Getas de Padgref; Dolmanax; Dofus des Glaces; Dofus Vulbis; Dofus Ocre; Dofus Pourpre; Dofus Turquoise; Kokulte</t>
        </is>
      </c>
    </row>
    <row r="1338">
      <c r="A1338" t="inlineStr">
        <is>
          <t>déambulation</t>
        </is>
      </c>
      <c r="B1338">
        <f>HYPERLINK("https://www.dofusbook.net/fr/equipement/243385-deambulation/objets", "link")</f>
        <v/>
      </c>
      <c r="C1338" t="n">
        <v>17</v>
      </c>
      <c r="D1338" t="inlineStr">
        <is>
          <t>Baguette Hique; Amulette Volkorne; Pikano; Anneau Volkorne; Quatre-feuilles; Ceintacé; Némès de Tal Kasha; Chevelure de Tal Kasha; Sandales de Tal Kasha; Dofus Nébuleux; Dofus Pourpre; Dofus des Glaces; Dofus Turquoise; Dofus Ivoire; Dofus Vulbis; Kokulte</t>
        </is>
      </c>
    </row>
    <row r="1339">
      <c r="A1339" t="inlineStr">
        <is>
          <t>do crit</t>
        </is>
      </c>
      <c r="B1339">
        <f>HYPERLINK("https://www.dofusbook.net/fr/equipement/3242118-do-crit/objets", "link")</f>
        <v/>
      </c>
      <c r="C1339" t="n">
        <v>19</v>
      </c>
      <c r="D1339" t="inlineStr">
        <is>
          <t>Baguette Hique; Amulette Volkorne; Anneau Volkorne; Pikano; Bouclier du Stalak; Ceintacé; Némès de Tal Kasha; Chevelure de Tal Kasha; Sandales de Tal Kasha; Dofus Pourpre; Dofus Ivoire; Dofus Vulbis; Dofus Ocre; Dofus Nébuleux; Dofus Turquoise; Pioute bleu</t>
        </is>
      </c>
    </row>
    <row r="1340">
      <c r="A1340" t="inlineStr">
        <is>
          <t>feu do pou</t>
        </is>
      </c>
      <c r="B1340">
        <f>HYPERLINK("https://www.dofusbook.net/fr/equipement/2152686-feu-do-pou/objets", "link")</f>
        <v/>
      </c>
      <c r="C1340" t="n">
        <v>12</v>
      </c>
      <c r="D1340" t="inlineStr">
        <is>
          <t>Massier; Torquistik; Bague Trithon; Baguistik; Bouclier Taverne; Ceinture Gence; Masque Paztek; Cape Paztek; Sandales Paztek; Dofus Pourpre; Dofus Ocre; Dofus Ivoire; Pousseur majeur; Bousculeur majeur; Bousculeur; Scarakiri</t>
        </is>
      </c>
    </row>
    <row r="1341">
      <c r="A1341" t="inlineStr">
        <is>
          <t>feu ret pa tacl soin</t>
        </is>
      </c>
      <c r="B1341">
        <f>HYPERLINK("https://www.dofusbook.net/fr/equipement/243409-feu-ret-pa-tacl-soin/objets", "link")</f>
        <v/>
      </c>
      <c r="C1341" t="n">
        <v>14</v>
      </c>
      <c r="D1341" t="inlineStr">
        <is>
          <t>Baguette de Malléfisk; Amulette d'Otomaï; Anneauræus; Anneau Toriété; Sept ans de malheur; Ceinture de Vortex; Masque Ardent; Cape de Diondin; Chaussures Ardentes; Dofus Émeraude; Dofus Ocre; Dofus Ivoire; Dofus Abyssal; Érudit majeur; Étourdisseur majeur; Drakopin</t>
        </is>
      </c>
    </row>
    <row r="1342">
      <c r="A1342" t="inlineStr">
        <is>
          <t>feu rox koli</t>
        </is>
      </c>
      <c r="B1342">
        <f>HYPERLINK("https://www.dofusbook.net/fr/equipement/1906908-feu-rox-koli/objets", "link")</f>
        <v/>
      </c>
      <c r="C1342" t="n">
        <v>19</v>
      </c>
      <c r="D1342" t="inlineStr">
        <is>
          <t>Arc du Chalœil; Amulette du Strigide; Anneau Volkorne; Anneau Chevelu; Bouclier du Stalak; Ceinture Volkorne; Casque Dragoeuf; Cape au Logis; Bottes du Cœur Saignant; Dragodinde Ivoire et Pourpre</t>
        </is>
      </c>
    </row>
    <row r="1343">
      <c r="A1343" t="inlineStr">
        <is>
          <t>tank pvm</t>
        </is>
      </c>
      <c r="B1343">
        <f>HYPERLINK("https://www.dofusbook.net/fr/equipement/2965216-tank-pvm/objets", "link")</f>
        <v/>
      </c>
      <c r="C1343" t="n">
        <v>42</v>
      </c>
      <c r="D1343" t="inlineStr">
        <is>
          <t>Pelle de la Cour Sombre; Collier Rophante; Anneau Toriété; Alliance Gloursonne; Bouclier d'Anerice; Ceintacé; Casque Dragoeuf; Cape d'Anerice; Chaussures Ardentes; Dofus Abyssal; Dofus Ivoire; Dofus Émeraude; Miraculé majeur; Remueur; Obstructeur majeur; Platypus</t>
        </is>
      </c>
    </row>
    <row r="1344">
      <c r="A1344" t="inlineStr">
        <is>
          <t>rox multi</t>
        </is>
      </c>
      <c r="B1344">
        <f>HYPERLINK("https://www.dofusbook.net/fr/equipement/3259356-rox--multi/objets", "link")</f>
        <v/>
      </c>
      <c r="C1344" t="n">
        <v>26</v>
      </c>
      <c r="D1344" t="inlineStr">
        <is>
          <t>Pyraguette; Amulette Volkorne; Anneau Volkorne; Lavanneau; Bouclier du Stalak; Ceinture de l'Esprit Salvateur; Masque de l'Esprit Salvateur; Voilamibe; Bottes de l'Esprit Salvateur; Dofus Nébuleux; Dofus Ivoire; Dofus Pourpre; Dofus des Glaces; Dofus Ocre; Robuste majeur; Walk</t>
        </is>
      </c>
    </row>
    <row r="1345">
      <c r="A1345" t="inlineStr">
        <is>
          <t>retrait casse couille</t>
        </is>
      </c>
      <c r="B1345">
        <f>HYPERLINK("https://www.dofusbook.net/fr/equipement/2995577-retrait-casse-couille/objets", "link")</f>
        <v/>
      </c>
      <c r="C1345" t="n">
        <v>19</v>
      </c>
      <c r="D1345" t="inlineStr">
        <is>
          <t>Lav'Hache; Amulette Volkorne; Anneau Crustique; Anneau Crustique; Bouclier d'Ilyzaelle; Ceinture Volkorne; Masque de Koutoulou; Cape de la Cour Sombre; Tentassons; Dofus Ocre; Dofus Ivoire; Dofus Abyssal; Nomade; Enragé majeur; Étourdisseur majeur; Drakopin</t>
        </is>
      </c>
    </row>
    <row r="1346">
      <c r="A1346" t="inlineStr">
        <is>
          <t>air</t>
        </is>
      </c>
      <c r="B1346">
        <f>HYPERLINK("https://www.dofusbook.net/fr/equipement/3016284-air/objets", "link")</f>
        <v/>
      </c>
      <c r="C1346" t="n">
        <v>16</v>
      </c>
      <c r="D1346" t="inlineStr">
        <is>
          <t>Manthache; Collier du Valet Veinard; Alliance Gloursonne; Gant du Valet Veinard; Bouclier du Stalak; Menoture; Dorabysses; Cape Martegel; Palmes Trithons; Dofus Abyssal; Dofus Pourpre; Dofus Ivoire; Dofus Ocre; Nomade; Cascadeur majeur; Blérodoudou</t>
        </is>
      </c>
    </row>
    <row r="1347">
      <c r="A1347" t="inlineStr">
        <is>
          <t>terre</t>
        </is>
      </c>
      <c r="B1347">
        <f>HYPERLINK("https://www.dofusbook.net/fr/equipement/3559321-terre/objets", "link")</f>
        <v/>
      </c>
      <c r="C1347" t="n">
        <v>19</v>
      </c>
      <c r="D1347" t="inlineStr">
        <is>
          <t>Marteau R'ture; Amulette du Strigide; Anneau Chevelu; Anneau Volkorne; Cadran d'Eau; Ceinture Volkorne; Masque de Koutoulou; Cape au Logis; Bottes du Cœur Saignant; Dofus Ocre; Dofus Nébuleux; Dofus Abyssal; Dofus Pourpre; Dofus Turquoise; Enragé majeur; Dragodinde Ivoire et Pourpre</t>
        </is>
      </c>
    </row>
    <row r="1348">
      <c r="A1348" t="inlineStr">
        <is>
          <t>réseau</t>
        </is>
      </c>
      <c r="B1348">
        <f>HYPERLINK("https://www.dofusbook.net/fr/equipement/2987074-reseau/objets", "link")</f>
        <v/>
      </c>
      <c r="C1348" t="n">
        <v>16</v>
      </c>
      <c r="D1348" t="inlineStr">
        <is>
          <t>Dagues Érhy; Amulette Volkorne; Chevalière du Roi Joueur; Bague Gloursonne; Bouclier du Stalak; Ceinture Volkorne; Couronne du Roi Joueur; Cape au Logis; Bottes du Roi Joueur; Dofus Nébuleux; Dofus des Glaces; Dofus Ocre; Dofus Abyssal; Dofus Pourpre; Robuste majeur; Dragodinde Ivoire et Pourpre</t>
        </is>
      </c>
    </row>
    <row r="1349">
      <c r="A1349" t="inlineStr">
        <is>
          <t>leithi tournoi</t>
        </is>
      </c>
      <c r="B1349">
        <f>HYPERLINK("https://www.dofusbook.net/fr/equipement/243398-leithi-tournoi/objets", "link")</f>
        <v/>
      </c>
      <c r="C1349" t="n">
        <v>28</v>
      </c>
      <c r="D1349" t="inlineStr">
        <is>
          <t>Pyraguette; Amulette Volkorne; Anneau Volkorne; Alliance Gloursonne; Bouclier cubiste; Ceinture de l'Esprit Salvateur; Masque de l'Esprit Salvateur; Cape de l'Œil Putride; Bottes de l'Esprit Salvateur; Dofus Ivoire; Dofus Ocre; Dofus Vulbis; Dofus Pourpre; Dofus Abyssal; Dofus des Glaces; Fëanor</t>
        </is>
      </c>
    </row>
    <row r="1350">
      <c r="A1350" t="inlineStr">
        <is>
          <t>air</t>
        </is>
      </c>
      <c r="B1350">
        <f>HYPERLINK("https://www.dofusbook.net/fr/equipement/243388-air-/objets", "link")</f>
        <v/>
      </c>
      <c r="C1350" t="n">
        <v>11</v>
      </c>
      <c r="D1350" t="inlineStr">
        <is>
          <t>Lance Horselé; Collier Rophante; Alliance Gloursonne; Gant du Valet Veinard; Bouclier d'Ilyzaelle; Menoture; Casque d'Ilyzaelle; Cape du Valet Veinard; Palmes Trithons; Dofus Ocre; Dofus Pourpre; Dofus Ivoire; Dofus des Glaces; Dofus Abyssal; Robuste majeur; Blérodoudou</t>
        </is>
      </c>
    </row>
    <row r="1351">
      <c r="A1351" t="inlineStr">
        <is>
          <t>eau air</t>
        </is>
      </c>
      <c r="B1351">
        <f>HYPERLINK("https://www.dofusbook.net/fr/equipement/3165877-eau-air/objets", "link")</f>
        <v/>
      </c>
      <c r="C1351" t="n">
        <v>18</v>
      </c>
      <c r="D1351" t="inlineStr">
        <is>
          <t>Arc de Koutoulou; Amulette Volkorne; Anneau Volkorne; Alliance Gloursonne; Bouclier du Stalak; Ceinture de l'Esprit Salvateur; Masque de l'Esprit Salvateur; Voilamibe; Bottes de l'Esprit Salvateur; Dofus Abyssal; Dofus Ivoire; Dofus Pourpre; Dofus des Glaces; Dofus Ocre; Robuste majeur; Dragodinde Indigo et Ivoire</t>
        </is>
      </c>
    </row>
    <row r="1352">
      <c r="A1352" t="inlineStr">
        <is>
          <t>terre feu</t>
        </is>
      </c>
      <c r="B1352">
        <f>HYPERLINK("https://www.dofusbook.net/fr/equipement/2993228-terre-feu/objets", "link")</f>
        <v/>
      </c>
      <c r="C1352" t="n">
        <v>11</v>
      </c>
      <c r="D1352" t="inlineStr">
        <is>
          <t>Dagues Érhy; Amulette Volkorne; Anneau Toriété; Bague Gloursonne; Sept ans de malheur; Ceinture Volkorne; Masque de Koutoulou; Voile d'encre; Chaussures Ardentes; Dofus Abyssal; Dofus Pourpre; Dofus Ivoire; Dofus Ocre; Vigoureux majeur; Érudit majeur; Dragodinde Ivoire et Orchidée</t>
        </is>
      </c>
    </row>
    <row r="1353">
      <c r="A1353" t="inlineStr">
        <is>
          <t>Dianosorus rex</t>
        </is>
      </c>
      <c r="B1353">
        <f>HYPERLINK("https://www.dofusbook.net/fr/equipement/243384-dianosorus-rex/objets", "link")</f>
        <v/>
      </c>
      <c r="C1353" t="n">
        <v>33</v>
      </c>
      <c r="D1353" t="inlineStr">
        <is>
          <t>Dagues d'Ilyzaelle; Amulette du Strigide; Anneau Volkorne; Anneau Chevelu; Bouclier du Stalak; Ceinture Volkorne; Masque de Koutoulou; Cape au Logis; Bottes du Cœur Saignant; Dofus Abyssal; Dofus Pourpre; Dofus Ocre; Nomade; Enragé majeur; Temporiseur majeur; Dragodinde Ivoire et Pourpre</t>
        </is>
      </c>
    </row>
    <row r="1354">
      <c r="A1354" t="inlineStr">
        <is>
          <t>terre re pou</t>
        </is>
      </c>
      <c r="B1354">
        <f>HYPERLINK("https://www.dofusbook.net/fr/equipement/2602135-terre-re-pou/objets", "link")</f>
        <v/>
      </c>
      <c r="C1354" t="n">
        <v>18</v>
      </c>
      <c r="D1354" t="inlineStr">
        <is>
          <t>Arc corrompu; Amulette Volkorne; Bague Gloursonne; Anneauræus; Bouclier à hélice; Ceinture de Vortex; Casque Dragoeuf; Cape de Diondin; Bottes Innommables; Dofus Ocre; Dofus Abyssal; Dofus Pourpre; Dofus Ivoire; Érudit majeur; Nomade; Bisouglours</t>
        </is>
      </c>
    </row>
    <row r="1355">
      <c r="A1355" t="inlineStr">
        <is>
          <t>50 eau</t>
        </is>
      </c>
      <c r="B1355">
        <f>HYPERLINK("https://www.dofusbook.net/fr/equipement/1182081-50-eau/objets", "link")</f>
        <v/>
      </c>
      <c r="C1355" t="n">
        <v>9</v>
      </c>
      <c r="D1355" t="inlineStr">
        <is>
          <t>Arc corrompu; Amulette Volkorne; Anneauræus; Anneauræus; Cadran de Terre; Ceinture de Vortex; Coiffe Séculaire; Cape de Diondin; Chaussures Ardentes; Dofus Ivoire; Dofus Abyssal; Dofus Ocre; Érudit majeur; Carapace Eau majeur; Nomade</t>
        </is>
      </c>
    </row>
    <row r="1356">
      <c r="A1356" t="inlineStr">
        <is>
          <t>terre</t>
        </is>
      </c>
      <c r="B1356">
        <f>HYPERLINK("https://www.dofusbook.net/fr/equipement/3067703-terre/objets", "link")</f>
        <v/>
      </c>
      <c r="C1356" t="n">
        <v>8</v>
      </c>
      <c r="D1356" t="inlineStr">
        <is>
          <t>Arc du Chalœil; Amulette Volkorne; Bague Gloursonne; Anneau Chevelu; Bouclier du Stalak; Ceinture Volkorne; Masque de Koutoulou; Cape au Logis; Bottes du Cœur Saignant; Dofus Ocre; Dofus Abyssal; Dofus Pourpre; Dofus Ivoire; Enragé majeur; Vigoureux majeur</t>
        </is>
      </c>
    </row>
    <row r="1357">
      <c r="A1357" t="inlineStr">
        <is>
          <t>re eau</t>
        </is>
      </c>
      <c r="B1357">
        <f>HYPERLINK("https://www.dofusbook.net/fr/equipement/2802111-re-eau/objets", "link")</f>
        <v/>
      </c>
      <c r="C1357" t="n">
        <v>53</v>
      </c>
      <c r="D1357" t="inlineStr">
        <is>
          <t>Pelle de la Cour Sombre; Collier du Valet Veinard; Alliance Gloursonne; Gant du Valet Veinard; Bouclier d'Ilyzaelle; Menoture; Dorabysses; Cape Martegel; Palmes Trithons; Dofus Abyssal; Dofus Pourpre; Dofus Ivoire; Dofus Ocre; Cascadeur majeur; Nomade; Dragodinde Ebène et Ivoire</t>
        </is>
      </c>
    </row>
    <row r="1358">
      <c r="A1358" t="inlineStr">
        <is>
          <t>panda koli</t>
        </is>
      </c>
      <c r="B1358">
        <f>HYPERLINK("https://www.dofusbook.net/fr/equipement/2926120-panda-koli/objets", "link")</f>
        <v/>
      </c>
      <c r="C1358" t="n">
        <v>22</v>
      </c>
      <c r="D1358" t="inlineStr">
        <is>
          <t>Lav'Hache; Collier de Tourthon; Anneau Volkorne; Anneau Chevelu; Bouclier d'Ilyzaelle; Ceinture Volkorne; Masque de Koutoulou; Cape au Logis; Bottes de la Cour Sombre; Dofus Émeraude; Dofus Ocre; Dofus Abyssal; Dofus Pourpre; Dofus Ivoire; Enragé majeur; Dragodinde Amande et Pourpre</t>
        </is>
      </c>
    </row>
    <row r="1359">
      <c r="A1359" t="inlineStr">
        <is>
          <t>élio terre koli</t>
        </is>
      </c>
      <c r="B1359">
        <f>HYPERLINK("https://www.dofusbook.net/fr/equipement/243370-elio-terre-koli/objets", "link")</f>
        <v/>
      </c>
      <c r="C1359" t="n">
        <v>14</v>
      </c>
      <c r="D1359" t="inlineStr">
        <is>
          <t>Arc du Chalœil; Amulette du Strigide; Anneau Chevelu; Anneau Volkorne; Bouclier du Stalak; Ceinture Volkorne; Masque de Koutoulou; Cape au Logis; Bottes du Cœur Saignant; Dofus Pourpre; Dofus Abyssal; Dofus Ivoire; Dofus Ocre; Enragé majeur; Carapace Eau majeur; Dragodinde Amande et Pourpre</t>
        </is>
      </c>
    </row>
    <row r="1360">
      <c r="A1360" t="inlineStr">
        <is>
          <t>air esq pa</t>
        </is>
      </c>
      <c r="B1360">
        <f>HYPERLINK("https://www.dofusbook.net/fr/equipement/243427-air-esq-pa/objets", "link")</f>
        <v/>
      </c>
      <c r="C1360" t="n">
        <v>8</v>
      </c>
      <c r="D1360" t="inlineStr">
        <is>
          <t>Pelle de la Cour Sombre; Amulette Martegel; Gant du Valet Veinard; Alliance Gloursonne; Bouclier d'Ilyzaelle; Ceintouse; Capuche de Moum-Ra; Cape de Crânonier; Palmes Trithons; Dofus Abyssal; Dofus Ocre; Dofus Ivoire; Évasif majeur; Cascadeur majeur; Nomade; Chienchien Tigré</t>
        </is>
      </c>
    </row>
    <row r="1361">
      <c r="A1361" t="inlineStr">
        <is>
          <t>élio terre esq</t>
        </is>
      </c>
      <c r="B1361">
        <f>HYPERLINK("https://www.dofusbook.net/fr/equipement/243372-elio-terre-esq/objets", "link")</f>
        <v/>
      </c>
      <c r="C1361" t="n">
        <v>5</v>
      </c>
      <c r="D1361" t="inlineStr">
        <is>
          <t>Arc du Chalœil; Amulette du Strigide; Anneau Chevelu; Anneau Volkorne; Bouclier du Stalak; Ceinture Volkorne; Masque de Funespadon; Cape au Logis; Bottes du Cœur Saignant; Dofus Abyssal; Dofus Pourpre; Dofus Ivoire; Dofus Ocre; Évasif majeur; Enragé majeur; Chienchien Tigré</t>
        </is>
      </c>
    </row>
    <row r="1362">
      <c r="A1362" t="inlineStr">
        <is>
          <t>esq pa Terre</t>
        </is>
      </c>
      <c r="B1362">
        <f>HYPERLINK("https://www.dofusbook.net/fr/equipement/2238706-esq-pa-terre/objets", "link")</f>
        <v/>
      </c>
      <c r="C1362" t="n">
        <v>1</v>
      </c>
      <c r="D1362" t="inlineStr"/>
    </row>
    <row r="1363">
      <c r="A1363" t="inlineStr">
        <is>
          <t>ougi eau esq Pa</t>
        </is>
      </c>
      <c r="B1363">
        <f>HYPERLINK("https://www.dofusbook.net/fr/equipement/1420178-ougi-eau-esq-pa/objets", "link")</f>
        <v/>
      </c>
      <c r="C1363" t="n">
        <v>15</v>
      </c>
      <c r="D1363" t="inlineStr">
        <is>
          <t>Rapière aux Glyphes; Amulette de l'Œil Attentif; Bracelet des Fonds marins; Alliance Gloursonne; Bouclier d'Ilyzaelle; Pagne du Rykaon; Casque Dragoeuf; Cape de l'Œil Attentif; Bottes du Sinistrofu; Dofus Abyssal; Dofus Pourpre; Dofus Ocre; Évasif majeur; Chanceux majeur; Nomade; Bisouglours</t>
        </is>
      </c>
    </row>
    <row r="1364">
      <c r="A1364" t="inlineStr">
        <is>
          <t>eau arc</t>
        </is>
      </c>
      <c r="B1364">
        <f>HYPERLINK("https://www.dofusbook.net/fr/equipement/1008482-eau-arc/objets", "link")</f>
        <v/>
      </c>
      <c r="C1364" t="n">
        <v>27</v>
      </c>
      <c r="D1364" t="inlineStr">
        <is>
          <t>Arc corrompu; Amulette Martegel; Bague Gloursonne; Anneauræus; Cadran d'Air; Ceinture Séculaire; Coiffe Séculaire; Cape de Diondin; Bottes de Nileza; Dofus Ocre; Dofus Ivoire; Dofus Pourpre; Érudit majeur; Muraille Air majeure; Nomade; Tiwabbit Kiafin</t>
        </is>
      </c>
    </row>
    <row r="1365">
      <c r="A1365" t="inlineStr">
        <is>
          <t>eau pp</t>
        </is>
      </c>
      <c r="B1365">
        <f>HYPERLINK("https://www.dofusbook.net/fr/equipement/243387-eau-pp/objets", "link")</f>
        <v/>
      </c>
      <c r="C1365" t="n">
        <v>9</v>
      </c>
      <c r="D1365" t="inlineStr">
        <is>
          <t>Rapière aux Glyphes; Amulette du Sinistrofu; Alliance Gloursonne; Grésilanneau; Bouclier du Stalak; Ceinture de Danathor; Coiffe de Danathor; Cape Solution; Bottes du Nocturlabe; Dofus Pourpre; Dofus Ocre; Dofus Kaliptus; Taquin majeur; Chanceux majeur; Nomade; Bloalak</t>
        </is>
      </c>
    </row>
    <row r="1366">
      <c r="A1366" t="inlineStr">
        <is>
          <t>do pou</t>
        </is>
      </c>
      <c r="B1366">
        <f>HYPERLINK("https://www.dofusbook.net/fr/equipement/2993338-do-pou/objets", "link")</f>
        <v/>
      </c>
      <c r="C1366" t="n">
        <v>16</v>
      </c>
      <c r="D1366" t="inlineStr">
        <is>
          <t>Lav'Hache; Torquistik; Bague Instable; Bague Trithon; Bouclier précieux; Sangle Ouare; Casque Dragoeuf; Cape Solution; Bottistik; Dofus Ocre; Dofus Abyssal; Culbuteur; Pousseur majeur; Bousculeur majeur; Culbuteur majeur; Tatouf</t>
        </is>
      </c>
    </row>
    <row r="1367">
      <c r="A1367" t="inlineStr">
        <is>
          <t>terre ret pm pvm</t>
        </is>
      </c>
      <c r="B1367">
        <f>HYPERLINK("https://www.dofusbook.net/fr/equipement/712366-terre-ret-pm-pvm/objets", "link")</f>
        <v/>
      </c>
      <c r="C1367" t="n">
        <v>9</v>
      </c>
      <c r="D1367" t="inlineStr">
        <is>
          <t>Bêche Asse; Amulette Luminescente; Anneau de Brouce; Anneau Crustique; Bouclier cubiste; Ceinture Luminescente; Masque de Koutoulou; Cape au Logis; Bottes du Cœur Saignant; Remueur; Temporiseur majeur; Forcené majeur; Entraveur majeur; Vigoureux majeur; Enragé majeur; Gwo Tofu Ventripotent</t>
        </is>
      </c>
    </row>
    <row r="1368">
      <c r="A1368" t="inlineStr">
        <is>
          <t>do pou esq pa</t>
        </is>
      </c>
      <c r="B1368">
        <f>HYPERLINK("https://www.dofusbook.net/fr/equipement/3259183-do-pou-esq-pa/objets", "link")</f>
        <v/>
      </c>
      <c r="C1368" t="n">
        <v>10</v>
      </c>
      <c r="D1368" t="inlineStr">
        <is>
          <t>Lav'Hache; Torquistik; Bague Instable; Bague Trithon; Bouclier précieux; Sangle Ouare; Casque Dragoeuf; Cape Solution; Bottistik; Dofus Abyssal; Bousculeur; Culbuteur majeur; Culbuteur; Évasif majeur; Bousculeur majeur; Bisouglours</t>
        </is>
      </c>
    </row>
    <row r="1369">
      <c r="A1369" t="inlineStr">
        <is>
          <t>Stuff 1</t>
        </is>
      </c>
      <c r="B1369">
        <f>HYPERLINK("https://www.dofusbook.net/fr/equipement/243403-stuff-1/objets", "link")</f>
        <v/>
      </c>
      <c r="C1369" t="n">
        <v>1</v>
      </c>
      <c r="D1369" t="inlineStr"/>
    </row>
    <row r="1370">
      <c r="A1370" t="inlineStr">
        <is>
          <t>air do pou</t>
        </is>
      </c>
      <c r="B1370">
        <f>HYPERLINK("https://www.dofusbook.net/fr/equipement/3089868-air-do-pou/objets", "link")</f>
        <v/>
      </c>
      <c r="C1370" t="n">
        <v>9</v>
      </c>
      <c r="D1370" t="inlineStr">
        <is>
          <t>Baguette de Malléfisk; Amulette Volkorne; Anneauræus; Anneau Toriété; Carapar; Ceinture Volkorne; Casque Dragoeuf; Cape de Diondin; Bottes Innommables; Dofus Ivoire; Dofus Ocre; Dofus Abyssal; Dofus Émeraude; Miraculé majeur; Érudit majeur; Dragodinde Orchidée et Rousse</t>
        </is>
      </c>
    </row>
    <row r="1371">
      <c r="A1371" t="inlineStr">
        <is>
          <t>feu baguette</t>
        </is>
      </c>
      <c r="B1371">
        <f>HYPERLINK("https://www.dofusbook.net/fr/equipement/243378-feu-baguette/objets", "link")</f>
        <v/>
      </c>
      <c r="C1371" t="n">
        <v>35</v>
      </c>
      <c r="D1371" t="inlineStr">
        <is>
          <t>Pelle de la Cour Sombre; Collier Rophante; Anneau Tique; Alliance Gloursonne; Bouclier d'Ilyzaelle; Menoture; Dorabysses; Cape Martegel; Palmes Trithons; Dofus Ocre; Dofus Émeraude; Dofus Forgelave; Dofus Abyssal; Dofus Ivoire; Miraculé majeur; Dragodinde Amande et Ebène</t>
        </is>
      </c>
    </row>
    <row r="1372">
      <c r="A1372" t="inlineStr">
        <is>
          <t>do pou esq</t>
        </is>
      </c>
      <c r="B1372">
        <f>HYPERLINK("https://www.dofusbook.net/fr/equipement/3575432-do-pou-esq/objets", "link")</f>
        <v/>
      </c>
      <c r="C1372" t="n">
        <v>33</v>
      </c>
      <c r="D1372" t="inlineStr">
        <is>
          <t>Arc du Chalœil; Amibou; Bague Trithon; Anneau Toriété; Bouclier précieux; Ceinture Gence; Casque Dragoeuf; Capibou; Bottistik; Dofus Abyssal; Dofus Ivoire; Bousculeur majeur; Entraveur majeur; Temporiseur majeur; Culbuteur majeur; Volkorne Roux et Turquoise</t>
        </is>
      </c>
    </row>
    <row r="1373">
      <c r="A1373" t="inlineStr">
        <is>
          <t>eau ini</t>
        </is>
      </c>
      <c r="B1373">
        <f>HYPERLINK("https://www.dofusbook.net/fr/equipement/243377-eau-ini/objets", "link")</f>
        <v/>
      </c>
      <c r="C1373" t="n">
        <v>11</v>
      </c>
      <c r="D1373" t="inlineStr">
        <is>
          <t>Rapière aux Glyphes; Collier Rophante; Alliance Gloursonne; Bracelet des Fonds marins; Bouclier d'Ilyzaelle; Poulpagne; Masque de Funespadon; Cape de l'Œil Attentif; Bottes du Sinistrofu; Dofus Ivoire; Dofus Ocre; Dofus Abyssal; Chanceux majeur; Cavaleur majeur; Dragodinde Amande et Indigo</t>
        </is>
      </c>
    </row>
    <row r="1374">
      <c r="A1374" t="inlineStr">
        <is>
          <t>eau res</t>
        </is>
      </c>
      <c r="B1374">
        <f>HYPERLINK("https://www.dofusbook.net/fr/equipement/3591912-eau-res/objets", "link")</f>
        <v/>
      </c>
      <c r="C1374" t="n">
        <v>19</v>
      </c>
      <c r="D1374" t="inlineStr">
        <is>
          <t>Rapière aux Glyphes; Amulette d'Ilyzaelle; Anneau Volkorne; Alliance Gloursonne; Bouclier d'Ilyzaelle; Sangle Ouare; Casque Dragoeuf; Cape Solution; Bottes du Sinistrofu; Dofus Ocre; Dofus Abyssal; Dofus Pourpre; Dofus Ivoire; Chanceux majeur; Vigoureux majeur; Dragodinde Indigo et Ivoire</t>
        </is>
      </c>
    </row>
    <row r="1375">
      <c r="A1375" t="inlineStr">
        <is>
          <t>air tank</t>
        </is>
      </c>
      <c r="B1375">
        <f>HYPERLINK("https://www.dofusbook.net/fr/equipement/3049114-air-tank/objets", "link")</f>
        <v/>
      </c>
      <c r="C1375" t="n">
        <v>33</v>
      </c>
      <c r="D1375" t="inlineStr">
        <is>
          <t>Rapière aux Glyphes; Collier Rophante; Alliance Gloursonne; Bracelet des Fonds marins; Bouclier d'Ilyzaelle; Pagne du Rykaon; Capuche de l'Œil Attentif; Cape de l'Œil Attentif; Pataugastrique; Dofus Ocre; Dofus Pourpre; Dofus Abyssal; Dofus Émeraude; Dofus Ivoire; Chanceux majeur; Dragodinde Indigo et Ivoire</t>
        </is>
      </c>
    </row>
    <row r="1376">
      <c r="A1376" t="inlineStr">
        <is>
          <t>multi</t>
        </is>
      </c>
      <c r="B1376">
        <f>HYPERLINK("https://www.dofusbook.net/fr/equipement/3021723-multi/objets", "link")</f>
        <v/>
      </c>
      <c r="C1376" t="n">
        <v>10</v>
      </c>
      <c r="D1376" t="inlineStr">
        <is>
          <t>Marteau de Katrepat; Amulette de l'Indicible; Alliance Gloursonne; Bague Gloursonne; Cadran d'Air; Ceinture de l'Indicible; Masque de l'Esprit Salvateur; Voile d'encre; Bottes de l'Indicible; Dolmanax; Dofus des Glaces; Dofus Pourpre; Dofus Ivoire; Dofus Ocre; Robuste majeur; Muldo Orchidée et Pourpre</t>
        </is>
      </c>
    </row>
    <row r="1377">
      <c r="A1377" t="inlineStr">
        <is>
          <t>feu</t>
        </is>
      </c>
      <c r="B1377">
        <f>HYPERLINK("https://www.dofusbook.net/fr/equipement/3016554-feu/objets", "link")</f>
        <v/>
      </c>
      <c r="C1377" t="n">
        <v>9</v>
      </c>
      <c r="D1377" t="inlineStr">
        <is>
          <t>Arc corrompu; Pendentif affamé; Anneauræus; Lavanneau; Bouclier du Stalak; Ceinture de Vortex; Heaume Oplate; Voile d'encre; Bottes Innommables; Dofus des Glaces; Dofus Ocre; Dofus Pourpre; Dofus Ivoire; Érudit majeur; Vigoureux majeur; Muldo Orchidée et Pourpre</t>
        </is>
      </c>
    </row>
    <row r="1378">
      <c r="A1378" t="inlineStr">
        <is>
          <t>Stuff 2</t>
        </is>
      </c>
      <c r="B1378">
        <f>HYPERLINK("https://www.dofusbook.net/fr/equipement/243401-stuff-2/objets", "link")</f>
        <v/>
      </c>
      <c r="C1378" t="n">
        <v>6</v>
      </c>
      <c r="D1378" t="inlineStr">
        <is>
          <t>Arc de Koutoulou; Amulette du Strigide; Alliance Gloursonne; Bague Trithon; Quatre-feuilles; Ceinture du Strigide; Némès de Tal Kasha; Chevelure de Tal Kasha; Sandales de Tal Kasha; Dofus Nébuleux; Dofus Turquoise; Dofus Ocre; Dofus des Glaces; Dofus Pourpre; Dofus Abyssal; Muldo Ebène et Indigo</t>
        </is>
      </c>
    </row>
    <row r="1379">
      <c r="A1379" t="inlineStr">
        <is>
          <t>air</t>
        </is>
      </c>
      <c r="B1379">
        <f>HYPERLINK("https://www.dofusbook.net/fr/equipement/3013019-air/objets", "link")</f>
        <v/>
      </c>
      <c r="C1379" t="n">
        <v>12</v>
      </c>
      <c r="D1379" t="inlineStr">
        <is>
          <t>Lance Horselé; Amulette Ementaire Deluxe; Alliance Gloursonne; Gant du Valet Veinard; Bouclier du Stalak; Menoture; Chapeau de Tournoyé; Cape du Valet Veinard; Palmes Trithons; Dofus Ocre; Dolmanax; Dofus Abyssal; Dofus Pourpre; Dofus Ivoire; Cascadeur majeur; Muldo Ebène</t>
        </is>
      </c>
    </row>
    <row r="1380">
      <c r="A1380" t="inlineStr">
        <is>
          <t>Stuff 3</t>
        </is>
      </c>
      <c r="B1380">
        <f>HYPERLINK("https://www.dofusbook.net/fr/equipement/243402-stuff-3/objets", "link")</f>
        <v/>
      </c>
      <c r="C1380" t="n">
        <v>2</v>
      </c>
      <c r="D1380" t="inlineStr">
        <is>
          <t>Arc du Chalœil; Collier de Tourthon; Anneau de Brouce; Anneau Chevelu; Quatre-feuilles; Ceinture Gence; Masque de Funespadon; Cape au Logis; Bottes de Brouce; Dofus Ocre; Dofus Abyssal; Dofus Turquoise; Dofus Ivoire; Dofus Pourpre; Enragé majeur; Kompost</t>
        </is>
      </c>
    </row>
    <row r="1381">
      <c r="A1381" t="inlineStr">
        <is>
          <t>sadi 180</t>
        </is>
      </c>
      <c r="B1381">
        <f>HYPERLINK("https://www.dofusbook.net/fr/equipement/2993499-sadi-180/objets", "link")</f>
        <v/>
      </c>
      <c r="C1381" t="n">
        <v>1</v>
      </c>
      <c r="D1381" t="inlineStr"/>
    </row>
    <row r="1382">
      <c r="A1382" t="inlineStr">
        <is>
          <t>air tournoi</t>
        </is>
      </c>
      <c r="B1382">
        <f>HYPERLINK("https://www.dofusbook.net/fr/equipement/243390-air-tournoi/objets", "link")</f>
        <v/>
      </c>
      <c r="C1382" t="n">
        <v>27</v>
      </c>
      <c r="D1382" t="inlineStr">
        <is>
          <t>Lance Horselé; Amulette Ementaire Deluxe; Gant du Valet Veinard; Alliance Gloursonne; Bouclier du Stalak; Menoture; Chapeau de Tournoyé; Cape du Valet Veinard; Palmes Trithons; Dofus Ocre; Dofus Ivoire; Dolmanax; Cascadeur majeur; Miraculé majeur; Muldo Ebène</t>
        </is>
      </c>
    </row>
    <row r="1383">
      <c r="A1383" t="inlineStr">
        <is>
          <t>sram eau</t>
        </is>
      </c>
      <c r="B1383">
        <f>HYPERLINK("https://www.dofusbook.net/fr/equipement/2971322-sram-eau/objets", "link")</f>
        <v/>
      </c>
      <c r="C1383" t="n">
        <v>10</v>
      </c>
      <c r="D1383" t="inlineStr">
        <is>
          <t>Dagoulinantes; Amulette de Shokkoth; Bracelet des Fonds marins; Alliance Gloursonne; Bouclier d'Ilyzaelle; Poulpagne; Capuche de l'Œil Attentif; Cape du Sinistrofu; Bottes du Sinistrofu; Dofus Ocre; Dofus Pourpre; Dofus Ivoire; Dofus Turquoise; Vigoureux majeur; Chanceux majeur; Muldo Ebène et Pourpre</t>
        </is>
      </c>
    </row>
    <row r="1384">
      <c r="A1384" t="inlineStr">
        <is>
          <t>air</t>
        </is>
      </c>
      <c r="B1384">
        <f>HYPERLINK("https://www.dofusbook.net/fr/equipement/2967457-air/objets", "link")</f>
        <v/>
      </c>
      <c r="C1384" t="n">
        <v>5</v>
      </c>
      <c r="D1384" t="inlineStr">
        <is>
          <t>Manthache; Collier du Valet Veinard; Alliance Gloursonne; Gant du Valet Veinard; Bouclier du Stalak; Menoture; Casque Dragoeuf; Cape Indescriptible; Palmes Trithons; Dofus Ocre; Dofus Abyssal; Dofus Pourpre; Dofus Ivoire; Étourdisseur majeur; Cascadeur majeur; Muldo Ebène et Indigo</t>
        </is>
      </c>
    </row>
    <row r="1385">
      <c r="A1385" t="inlineStr">
        <is>
          <t>terre</t>
        </is>
      </c>
      <c r="B1385">
        <f>HYPERLINK("https://www.dofusbook.net/fr/equipement/2967385-terre/objets", "link")</f>
        <v/>
      </c>
      <c r="C1385" t="n">
        <v>11</v>
      </c>
      <c r="D1385" t="inlineStr">
        <is>
          <t>Marteau R'ture; Collier de Tourthon; Bague Gloursonne; Anneau Chevelu; Bouclier du Captain Amakna; Ceinture de Brouce; Masque de Koutoulou; Cape au Logis; Bottes de Brouce; Dofus Pourpre; Dofus Nébuleux; Dofus Turquoise; Dofus Ivoire; Dofus Ocre; Enragé majeur; Kompost</t>
        </is>
      </c>
    </row>
    <row r="1386">
      <c r="A1386" t="inlineStr">
        <is>
          <t>be viable</t>
        </is>
      </c>
      <c r="B1386">
        <f>HYPERLINK("https://www.dofusbook.net/fr/equipement/1699723-be-viable/objets", "link")</f>
        <v/>
      </c>
      <c r="C1386" t="n">
        <v>5</v>
      </c>
      <c r="D1386" t="inlineStr">
        <is>
          <t>Manthache; Collier du Valet Veinard; Alliance Gloursonne; Gant du Valet Veinard; Bouclier d'Ilyzaelle; Ceintouse; Chapoulpe; Cape du Valet Veinard; Tentassons; Dofus Pourpre; Dofus Émeraude; Dofus Ocre; Dofus Abyssal; Dofus des Glaces; Dofus Ivoire; Muldo Ebène et Pourpre</t>
        </is>
      </c>
    </row>
    <row r="1387">
      <c r="A1387" t="inlineStr">
        <is>
          <t>mode terre</t>
        </is>
      </c>
      <c r="B1387">
        <f>HYPERLINK("https://www.dofusbook.net/fr/equipement/2925991-mode-terre/objets", "link")</f>
        <v/>
      </c>
      <c r="C1387" t="n">
        <v>9</v>
      </c>
      <c r="D1387" t="inlineStr">
        <is>
          <t>Lav'Hache; Collier de Tourthon; Anneau Chevelu; Pikano; Cadran de Terre; Ceinture de la Cour Sombre; Masque de Koutoulou; Cape du Kamasterisk; Bottes de la Cour Sombre; Dofus Ivoire; Dofus Émeraude; Dofus Forgelave; Dofus Pourpre; Enragé majeur; Remueur; Muldo Indigo et Pourpre</t>
        </is>
      </c>
    </row>
    <row r="1388">
      <c r="A1388" t="inlineStr">
        <is>
          <t>terre air</t>
        </is>
      </c>
      <c r="B1388">
        <f>HYPERLINK("https://www.dofusbook.net/fr/equipement/2960347-terre-air/objets", "link")</f>
        <v/>
      </c>
      <c r="C1388" t="n">
        <v>6</v>
      </c>
      <c r="D1388" t="inlineStr">
        <is>
          <t>Marteau R'ture; Collier de Tourthon; Bague Gloursonne; Anneau Chevelu; Bouclier d'Ilyzaelle; Ceinture de la Cour Sombre; Masque de Koutoulou; Voile d'encre; Bottes de la Cour Sombre; Dofus Ocre; Dofus Pourpre; Dofus Nébuleux; Dofus Turquoise; Dofus Ivoire; Enragé majeur; Muldo Pourpre</t>
        </is>
      </c>
    </row>
    <row r="1389">
      <c r="A1389" t="inlineStr">
        <is>
          <t>rox esq pa pm</t>
        </is>
      </c>
      <c r="B1389">
        <f>HYPERLINK("https://www.dofusbook.net/fr/equipement/2961726-rox-esq-pa-pm/objets", "link")</f>
        <v/>
      </c>
      <c r="C1389" t="n">
        <v>1</v>
      </c>
      <c r="D1389" t="inlineStr"/>
    </row>
    <row r="1390">
      <c r="A1390" t="inlineStr">
        <is>
          <t>air 1vs1 cape classe</t>
        </is>
      </c>
      <c r="B1390">
        <f>HYPERLINK("https://www.dofusbook.net/fr/equipement/2956901-air-1vs1-cape-classe/objets", "link")</f>
        <v/>
      </c>
      <c r="C1390" t="n">
        <v>2</v>
      </c>
      <c r="D1390" t="inlineStr">
        <is>
          <t>Manthache; Collier du Valet Veinard; Gant du Valet Veinard; Alliance Gloursonne; Bouclier du Stalak; Menoture; Couronne d'Allister; Cape Routh; Palmes Trithons; Dokoko; Dofus Nébuleux; Dofus Pourpre; Dofus Ivoire; Dofus Ocre; Cascadeur majeur; Muldo Ebène et Orchidée</t>
        </is>
      </c>
    </row>
    <row r="1391">
      <c r="A1391" t="inlineStr">
        <is>
          <t>tournois</t>
        </is>
      </c>
      <c r="B1391">
        <f>HYPERLINK("https://www.dofusbook.net/fr/equipement/2954593-tournois/objets", "link")</f>
        <v/>
      </c>
      <c r="C1391" t="n">
        <v>12</v>
      </c>
      <c r="D1391" t="inlineStr">
        <is>
          <t>Baguette de Malléfisk; Pendentif mignon de Koutoulou; Alliance Gloursonne; Lavanneau; Carapar; Ceinture de Vortex; Casque Cyclopéen; Voile d'encre; Bottes Innommables; Dofus Abyssal; Dofus Émeraude; Dofus Ivoire; Dofus Ocre; Dofus Forgelave; Remueur; Muldo Orchidée et Pourpre</t>
        </is>
      </c>
    </row>
    <row r="1392">
      <c r="A1392" t="inlineStr">
        <is>
          <t>osa sadi énu</t>
        </is>
      </c>
      <c r="B1392">
        <f>HYPERLINK("https://www.dofusbook.net/fr/equipement/2947057-osa-sadi-enu/objets", "link")</f>
        <v/>
      </c>
      <c r="C1392" t="n">
        <v>2</v>
      </c>
      <c r="D1392" t="inlineStr">
        <is>
          <t>Manthache; Collier du Valet Veinard; Gant du Valet Veinard; Alliance Gloursonne; Cadran de Feu; Ceintouse; Dorabysses; Cape du Valet Veinard; Palmes Trithons; Dofus Émeraude; Dofus Abyssal; Dofus Pourpre; Dofus Ivoire; Dofus des Glaces; Dofus Ocre; Muldo Ebène</t>
        </is>
      </c>
    </row>
    <row r="1393">
      <c r="A1393" t="inlineStr">
        <is>
          <t>feu</t>
        </is>
      </c>
      <c r="B1393">
        <f>HYPERLINK("https://www.dofusbook.net/fr/equipement/2941032-feu/objets", "link")</f>
        <v/>
      </c>
      <c r="C1393" t="n">
        <v>7</v>
      </c>
      <c r="D1393" t="inlineStr">
        <is>
          <t>Baguette de Malléfisk; Pendentif mignon de Koutoulou; Bague Gloursonne; Anneau de Nidas; Carapar; Ceinture de l'Esprit Malsain; Casque Cyclopéen; Cape de Diondin; Chaussures Ardentes; Dokoko; Dofus Abyssal; Dofus Émeraude; Dofus Ivoire; Érudit majeur; Remueur; Muldo Orchidée</t>
        </is>
      </c>
    </row>
    <row r="1394">
      <c r="A1394" t="inlineStr">
        <is>
          <t>piege funeste</t>
        </is>
      </c>
      <c r="B1394">
        <f>HYPERLINK("https://www.dofusbook.net/fr/equipement/2940924-piege-funeste/objets", "link")</f>
        <v/>
      </c>
      <c r="C1394" t="n">
        <v>12</v>
      </c>
      <c r="D1394" t="inlineStr">
        <is>
          <t>Lav'Hache; Collier de Tourthon; Bague Gloursonne; Anneau de Brouce; Cadran d'Air; Ceinture de Brouce; Masque de Koutoulou; Voile d'encre; Bottes de la Cour Sombre; Dofus Abyssal; Dofus Pourpre; Dofus Ivoire; Dofus Ocre; Enragé majeur; Cavaleur majeur; Muldo Pourpre</t>
        </is>
      </c>
    </row>
    <row r="1395">
      <c r="A1395" t="inlineStr">
        <is>
          <t>réseau</t>
        </is>
      </c>
      <c r="B1395">
        <f>HYPERLINK("https://www.dofusbook.net/fr/equipement/2926622-reseau/objets", "link")</f>
        <v/>
      </c>
      <c r="C1395" t="n">
        <v>7</v>
      </c>
      <c r="D1395" t="inlineStr">
        <is>
          <t>Epée Toche; Amulette du Strigide; Bague Gloursonne; Chevalière du Roi Joueur; Bouclier du Stalak; Ceinture du Strigide; Couronne du Roi Joueur; Voile d'encre; Bottes du Strigide; Dofus Ivoire; Dofus des Glaces; Dofus Pourpre; Dofus Nébuleux; Dofus Ocre; Dolmanax; Muldo Ebène et Pourpre</t>
        </is>
      </c>
    </row>
    <row r="1396">
      <c r="A1396" t="inlineStr">
        <is>
          <t>terre tournoi</t>
        </is>
      </c>
      <c r="B1396">
        <f>HYPERLINK("https://www.dofusbook.net/fr/equipement/243373-terre-tournoi/objets", "link")</f>
        <v/>
      </c>
      <c r="C1396" t="n">
        <v>11</v>
      </c>
      <c r="D1396" t="inlineStr">
        <is>
          <t>Arc du Chalœil; Collier de Tourthon; Bague Gloursonne; Anneau Chevelu; Bouclier du Stalak; Ceinture de la Cour Sombre; Masque de Koutoulou; Voile d'encre; Bottes de la Cour Sombre; Dofus Ivoire; Dofus Turquoise; Dofus Pourpre; Dofus Abyssal; Enragé majeur; Remueur; Muldo Indigo et Pourpre</t>
        </is>
      </c>
    </row>
    <row r="1397">
      <c r="A1397" t="inlineStr">
        <is>
          <t>res pou</t>
        </is>
      </c>
      <c r="B1397">
        <f>HYPERLINK("https://www.dofusbook.net/fr/equipement/2898727-res-pou/objets", "link")</f>
        <v/>
      </c>
      <c r="C1397" t="n">
        <v>3</v>
      </c>
      <c r="D1397" t="inlineStr">
        <is>
          <t>Pelle de la Cour Sombre; Collier du Valet Veinard; Alliance Gloursonne; Gant du Valet Veinard; Bouclier de Solar; Sangle Oriole; Masque du Granduk; Cape du Valet Veinard; Palmes Trithons; Dofus Émeraude; Dofus des Glaces; Dofus Pourpre; Dofus Ivoire; Dofus Ocre; Dofus Forgelave; Muldo Ebène</t>
        </is>
      </c>
    </row>
    <row r="1398">
      <c r="A1398" t="inlineStr">
        <is>
          <t>eau soin</t>
        </is>
      </c>
      <c r="B1398">
        <f>HYPERLINK("https://www.dofusbook.net/fr/equipement/2896667-eau-soin/objets", "link")</f>
        <v/>
      </c>
      <c r="C1398" t="n">
        <v>4</v>
      </c>
      <c r="D1398" t="inlineStr">
        <is>
          <t>Baguette de Malléfisk; Amulette d'Ilyzaelle; Lavanneau; Alliance Gloursonne; Carapar; Ceinture Luminescente; Casque d'Ilyzaelle; Cape de Meno; Bottes de l'Esprit Malsain; Dofus Émeraude; Dofus Ivoire; Dokoko; Remueur; Chanceux majeur; Miraculé majeur; Muldo Indigo et Pourpre</t>
        </is>
      </c>
    </row>
    <row r="1399">
      <c r="A1399" t="inlineStr">
        <is>
          <t>eau</t>
        </is>
      </c>
      <c r="B1399">
        <f>HYPERLINK("https://www.dofusbook.net/fr/equipement/243389-eau/objets", "link")</f>
        <v/>
      </c>
      <c r="C1399" t="n">
        <v>9</v>
      </c>
      <c r="D1399" t="inlineStr">
        <is>
          <t>Baguette Héroclite; Amulette de Shokkoth; Bracelet des Fonds marins; Alliance Gloursonne; Cadran d'Air; Poulpagne; Capuche de l'Œil Attentif; Cape de l'Œil Attentif; Chaussons de Macrab; Dofus Nébuleux; Dofus Ivoire; Dofus Pourpre; Dofus Abyssal; Remueur; Chanceux majeur; Muldo Indigo</t>
        </is>
      </c>
    </row>
    <row r="1400">
      <c r="A1400" t="inlineStr">
        <is>
          <t>full air</t>
        </is>
      </c>
      <c r="B1400">
        <f>HYPERLINK("https://www.dofusbook.net/fr/equipement/2876991-full-air/objets", "link")</f>
        <v/>
      </c>
      <c r="C1400" t="n">
        <v>3</v>
      </c>
      <c r="D1400" t="inlineStr">
        <is>
          <t>Manthache; Collier du Valet Veinard; Alliance Gloursonne; Gant du Valet Veinard; Bouclier du Stalak; Menoture; Casque Dragoeuf; Cape Indescriptible; Palmes Trithons; Dofus Émeraude; Dofus Abyssal; Dofus Pourpre; Dofus Ivoire; Dofus Ocre; Cascadeur majeur; Muldo Ebène</t>
        </is>
      </c>
    </row>
    <row r="1401">
      <c r="A1401" t="inlineStr">
        <is>
          <t>terre air accès air</t>
        </is>
      </c>
      <c r="B1401">
        <f>HYPERLINK("https://www.dofusbook.net/fr/equipement/2876971-terre-air-acces-air/objets", "link")</f>
        <v/>
      </c>
      <c r="C1401" t="n">
        <v>1</v>
      </c>
      <c r="D1401" t="inlineStr">
        <is>
          <t>Héqache; Collier du Valet Veinard; Alliance Gloursonne; Gant du Valet Veinard; Bouclier d'Ilyzaelle; Ceintouse; Chapoulpe; Cape du Valet Veinard; Tentassons; Dofus Abyssal; Dofus Ocre; Dofus Ivoire; Dofus Émeraude; Dofus des Glaces; Dofus Pourpre; Muldo Ebène et Pourpre</t>
        </is>
      </c>
    </row>
    <row r="1402">
      <c r="A1402" t="inlineStr">
        <is>
          <t>Air spécial</t>
        </is>
      </c>
      <c r="B1402">
        <f>HYPERLINK("https://www.dofusbook.net/fr/equipement/2876916-air--special/objets", "link")</f>
        <v/>
      </c>
      <c r="C1402" t="n">
        <v>4</v>
      </c>
      <c r="D1402" t="inlineStr">
        <is>
          <t>Héqache; Collier du Valet Veinard; Alliance Gloursonne; Gant du Valet Veinard; Bouclier d'Ilyzaelle; Ceinture de la Reine des Voleurs; Coiffe de la Reine des Voleurs; Cape du Valet Veinard; Bottes de la Reine des Voleurs; Dofus Émeraude; Dofus des Glaces; Dofus Pourpre; Dofus Abyssal; Dofus Ocre; Dofus Ivoire; Muldo Ebène</t>
        </is>
      </c>
    </row>
    <row r="1403">
      <c r="A1403" t="inlineStr">
        <is>
          <t>cra 120</t>
        </is>
      </c>
      <c r="B1403">
        <f>HYPERLINK("https://www.dofusbook.net/fr/equipement/2806953-cra-120/objets", "link")</f>
        <v/>
      </c>
      <c r="C1403" t="n">
        <v>6</v>
      </c>
      <c r="D1403" t="inlineStr">
        <is>
          <t>La Baguette des Limbes; Amulette de Moon; Anneau Xélomorphe; Bracelet Tmotiv; Le Karde Cœur; Puissante Ceinture Fulgurante; Dora Bora; Cape de Moon; Bottes du Pounicheur; Dofus Pourpre; Nomade; Robuste; Remueur; Érudit; Astucieux; Brûlih</t>
        </is>
      </c>
    </row>
    <row r="1404">
      <c r="A1404" t="inlineStr">
        <is>
          <t>Stuff 3</t>
        </is>
      </c>
      <c r="B1404">
        <f>HYPERLINK("https://www.dofusbook.net/fr/equipement/243381-stuff-3/objets", "link")</f>
        <v/>
      </c>
      <c r="C1404" t="n">
        <v>7</v>
      </c>
      <c r="D1404" t="inlineStr">
        <is>
          <t>Manthache; Collier du Valet Veinard; Alliance Gloursonne; Gant du Valet Veinard; Bouclier du Stalak; Menoture; Casque d'Ilyzaelle; Cape Indescriptible; Palmes Trithons; Dofus des Glaces; Dofus Ocre; Dofus Pourpre; Dofus Nébuleux; Nomade; Cascadeur majeur; Siroko</t>
        </is>
      </c>
    </row>
    <row r="1405">
      <c r="A1405" t="inlineStr">
        <is>
          <t>eau terre srambad</t>
        </is>
      </c>
      <c r="B1405">
        <f>HYPERLINK("https://www.dofusbook.net/fr/equipement/2774411-eau-terre-srambad/objets", "link")</f>
        <v/>
      </c>
      <c r="C1405" t="n">
        <v>5</v>
      </c>
      <c r="D1405" t="inlineStr">
        <is>
          <t>Dagues de Srambad; Collier de Tourthon; Bracelet du Piloztère; Goulano; Goulclier; Ceinture de la Reine des Voleurs; Coiffe de la Reine des Voleurs; Voile d'encre; Goulbottes; Dolmanax; Dofus des Glaces; Dofus Pourpre; Dofus Abyssal; Dofus Ocre; Dofus Ivoire; Muldo Indigo et Orchidée</t>
        </is>
      </c>
    </row>
    <row r="1406">
      <c r="A1406" t="inlineStr">
        <is>
          <t>test</t>
        </is>
      </c>
      <c r="B1406">
        <f>HYPERLINK("https://www.dofusbook.net/fr/equipement/2774349-test/objets", "link")</f>
        <v/>
      </c>
      <c r="C1406" t="n">
        <v>5</v>
      </c>
      <c r="D1406" t="inlineStr">
        <is>
          <t>Lav'Hache; Collier de Tourthon; Anneau Crustique; Anneau Crustique; Sept ans de malheur; Ceintouse; Masque de Koutoulou; Cape du Cœur Vaillant; Bottes du Cœur Vaillant; Dofus Émeraude; Dofus Pourpre; Enragé majeur; Étourdisseur majeur; Remueur; Obstructeur majeur; Muldo Pourpre</t>
        </is>
      </c>
    </row>
    <row r="1407">
      <c r="A1407" t="inlineStr">
        <is>
          <t>Stuff 2</t>
        </is>
      </c>
      <c r="B1407">
        <f>HYPERLINK("https://www.dofusbook.net/fr/equipement/243410-stuff-2/objets", "link")</f>
        <v/>
      </c>
      <c r="C1407" t="n">
        <v>5</v>
      </c>
      <c r="D1407" t="inlineStr">
        <is>
          <t>Arc Ahique; Collier du Valet Veinard; Alliance Gloursonne; Gant du Valet Veinard; Bouclier du Stalak; Ceinture de la Reine des Voleurs; Coiffe de la Reine des Voleurs; Cape du Valet Veinard; Bottes de la Reine des Voleurs; Dokoko; Dofus des Glaces; Dofus Pourpre; Dofus Abyssal; Dofus Ocre; Dofus Ivoire; Muldo Ebène et Orchidée</t>
        </is>
      </c>
    </row>
    <row r="1408">
      <c r="A1408" t="inlineStr">
        <is>
          <t>air vita</t>
        </is>
      </c>
      <c r="B1408">
        <f>HYPERLINK("https://www.dofusbook.net/fr/equipement/2028328-air-vita/objets", "link")</f>
        <v/>
      </c>
      <c r="C1408" t="n">
        <v>10</v>
      </c>
      <c r="D1408" t="inlineStr">
        <is>
          <t>Manthache; Collier du Valet Veinard; Gant du Valet Veinard; Alliance Gloursonne; Bouclier du Stalak; Menoture; Casque d'Ilyzaelle; Cape Indescriptible; Palmes Trithons; Dofus Ocre; Dokoko; Dofus Pourpre; Dofus Abyssal; Cascadeur majeur; Nomade; Siroko</t>
        </is>
      </c>
    </row>
    <row r="1409">
      <c r="A1409" t="inlineStr">
        <is>
          <t>dagues sb</t>
        </is>
      </c>
      <c r="B1409">
        <f>HYPERLINK("https://www.dofusbook.net/fr/equipement/2238825-dagues-sb/objets", "link")</f>
        <v/>
      </c>
      <c r="C1409" t="n">
        <v>4</v>
      </c>
      <c r="D1409" t="inlineStr">
        <is>
          <t>Dagues de Srambad; Amulette Luminescente; Alliance Gloursonne; Bague Gloursonne; Bouclier alvéolé; Ceinture de la Reine des Voleurs; Coiffe de la Reine des Voleurs; Cape Luminescente; Bottes de la Reine des Voleurs; Dofus des Glaces; Dofus Ocre; Dokoko; Dofus Abyssal; Dofus Pourpre; Dofus Ivoire; Muldo Ebène et Pourpre</t>
        </is>
      </c>
    </row>
    <row r="1410">
      <c r="A1410" t="inlineStr">
        <is>
          <t>contre osa terre</t>
        </is>
      </c>
      <c r="B1410">
        <f>HYPERLINK("https://www.dofusbook.net/fr/equipement/2151451-contre-osa-terre/objets", "link")</f>
        <v/>
      </c>
      <c r="C1410" t="n">
        <v>2</v>
      </c>
      <c r="D1410" t="inlineStr">
        <is>
          <t>Héqache; Amulette du Kamasterisk; Alliance Brûlâme; Alliance Gloursonne; Bouclier Taverne; Ceinture de la Reine des Voleurs; Coiffe de la Reine des Voleurs; Cape du Cœur Vaillant; Baleinabottes; Dofus des Glaces; Dofus Pourpre; Dofus Abyssal; Dofus Ocre; Dokoko; Enragé majeur; Muldo Ebène et Pourpre</t>
        </is>
      </c>
    </row>
    <row r="1411">
      <c r="A1411" t="inlineStr">
        <is>
          <t>pvp</t>
        </is>
      </c>
      <c r="B1411">
        <f>HYPERLINK("https://www.dofusbook.net/fr/equipement/2549794-pvp/objets", "link")</f>
        <v/>
      </c>
      <c r="C1411" t="n">
        <v>16</v>
      </c>
      <c r="D1411" t="inlineStr">
        <is>
          <t>Dagues de Srambad; Collier de Tourthon; Alliance Gloursonne; Goulano; Goulclier; Ceinture de la Reine des Voleurs; Coiffe de la Reine des Voleurs; Cape au Logis; Bottes de la Reine des Voleurs; Dofus Émeraude; Dofus des Glaces; Dofus Pourpre; Dofus Abyssal; Dofus Ocre; Dofus Ivoire; Kramkram</t>
        </is>
      </c>
    </row>
    <row r="1412">
      <c r="A1412" t="inlineStr">
        <is>
          <t>air terre</t>
        </is>
      </c>
      <c r="B1412">
        <f>HYPERLINK("https://www.dofusbook.net/fr/equipement/243418-air-terre/objets", "link")</f>
        <v/>
      </c>
      <c r="C1412" t="n">
        <v>6</v>
      </c>
      <c r="D1412" t="inlineStr">
        <is>
          <t>Pelle de la Cour Sombre; Collier du Valet Veinard; Alliance Gloursonne; Gant du Valet Veinard; Bouclier du Stalak; Menoture; Dorabysses; Cape de Crânonier; Palmes Trithons; Dofus Émeraude; Dofus Pourpre; Dofus Nébuleux; Vigoureux majeur; Remueur; Cascadeur majeur; Muldo Ebène et Orchidée</t>
        </is>
      </c>
    </row>
    <row r="1413">
      <c r="A1413" t="inlineStr">
        <is>
          <t>terre pvm</t>
        </is>
      </c>
      <c r="B1413">
        <f>HYPERLINK("https://www.dofusbook.net/fr/equipement/1011432-terre-pvm/objets", "link")</f>
        <v/>
      </c>
      <c r="C1413" t="n">
        <v>14</v>
      </c>
      <c r="D1413" t="inlineStr">
        <is>
          <t>Arc du Chalœil; Collier de Tourthon; Anneau Crustique; Anneau de Brouce; Quatre-feuilles; Ceinture de Brouce; Masque de Koutoulou; Cape au Logis; Baleinabottes; Dofus des Glaces; Dofus Turquoise; Dofus Pourpre; Enragé majeur; Nomade; Remueur; Kompost</t>
        </is>
      </c>
    </row>
    <row r="1414">
      <c r="A1414" t="inlineStr">
        <is>
          <t>terre pvm</t>
        </is>
      </c>
      <c r="B1414">
        <f>HYPERLINK("https://www.dofusbook.net/fr/equipement/1011295-terre-pvm/objets", "link")</f>
        <v/>
      </c>
      <c r="C1414" t="n">
        <v>1</v>
      </c>
      <c r="D1414" t="inlineStr"/>
    </row>
    <row r="1415">
      <c r="A1415" t="inlineStr">
        <is>
          <t>panda pp</t>
        </is>
      </c>
      <c r="B1415">
        <f>HYPERLINK("https://www.dofusbook.net/fr/equipement/2427845-panda-pp/objets", "link")</f>
        <v/>
      </c>
      <c r="C1415" t="n">
        <v>6</v>
      </c>
      <c r="D1415" t="inlineStr">
        <is>
          <t>Arc corrompu; Amulette de Nileza; Bague Gloursonne; Anneau Tique; Quatre-feuilles; Sangle Aise; Coiffe Séculaire; Cape de Nileza; Bottes Innommables; Dofus Kaliptus; Dofus Abyssal; Remueur; Érudit majeur; Nomade; Vigoureux majeur; Nomoon</t>
        </is>
      </c>
    </row>
    <row r="1416">
      <c r="A1416" t="inlineStr">
        <is>
          <t>feu pvm</t>
        </is>
      </c>
      <c r="B1416">
        <f>HYPERLINK("https://www.dofusbook.net/fr/equipement/1091955-feu-pvm/objets", "link")</f>
        <v/>
      </c>
      <c r="C1416" t="n">
        <v>8</v>
      </c>
      <c r="D1416" t="inlineStr">
        <is>
          <t>Arc corrompu; Pendentif mignon de Koutoulou; Anneau de Padgref; Bague Gloursonne; Quatre-feuilles; Ceinture de Vortex; Casque Cyclopéen; Cape de Diondin; Bottes Innommables; Dofus Turquoise; Dofus Abyssal; Dofus Pourpre; Érudit majeur; Nomade; Remueur; Brûlih</t>
        </is>
      </c>
    </row>
    <row r="1417">
      <c r="A1417" t="inlineStr">
        <is>
          <t>air pp</t>
        </is>
      </c>
      <c r="B1417">
        <f>HYPERLINK("https://www.dofusbook.net/fr/equipement/2518971-air-pp/objets", "link")</f>
        <v/>
      </c>
      <c r="C1417" t="n">
        <v>3</v>
      </c>
      <c r="D1417" t="inlineStr">
        <is>
          <t>Pelle de la Cour Sombre; Amulette du Granduk; Alliance Gloursonne; Gant du Valet Veinard; Bouclier Taverne; Menoture; Masque du Granduk; Cape du Barbétoal; Palmes Trithons; Dofus Pourpre; Dofus Turquoise; Dofus Kaliptus; Remueur; Cascadeur majeur; Nomade; Dragodinde Turquoise</t>
        </is>
      </c>
    </row>
    <row r="1418">
      <c r="A1418" t="inlineStr">
        <is>
          <t>iop eau</t>
        </is>
      </c>
      <c r="B1418">
        <f>HYPERLINK("https://www.dofusbook.net/fr/equipement/2508746-iop-eau/objets", "link")</f>
        <v/>
      </c>
      <c r="C1418" t="n">
        <v>6</v>
      </c>
      <c r="D1418" t="inlineStr">
        <is>
          <t>Dagoulinantes; Talisman Igans; Alliance Gloursonne; Bracelet des Fonds marins; Bouclier d'Ilyzaelle; Sangle Ouare; Capuche de l'Œil Attentif; Cape Solution; Sandales des Fonds marins; Dofus Pourpre; Dokoko; Dofus Émeraude; Dofus Abyssal; Miraculé majeur; Remueur; Péki</t>
        </is>
      </c>
    </row>
    <row r="1419">
      <c r="A1419" t="inlineStr">
        <is>
          <t>air</t>
        </is>
      </c>
      <c r="B1419">
        <f>HYPERLINK("https://www.dofusbook.net/fr/equipement/2508033-air/objets", "link")</f>
        <v/>
      </c>
      <c r="C1419" t="n">
        <v>3</v>
      </c>
      <c r="D1419" t="inlineStr">
        <is>
          <t>Pelle de la Cour Sombre; Amulette du Granduk; Gant du Valet Veinard; Alliance Gloursonne; Quatre-feuilles; Menoture; Masque du Granduk; Cape du Barbétoal; Palmes Trithons; Dofus Pourpre; Dofus Kaliptus; Dofus Turquoise; Cascadeur majeur; Nomade; Remueur; Nomoon</t>
        </is>
      </c>
    </row>
    <row r="1420">
      <c r="A1420" t="inlineStr">
        <is>
          <t>Stuff 2</t>
        </is>
      </c>
      <c r="B1420">
        <f>HYPERLINK("https://www.dofusbook.net/fr/equipement/243380-stuff-2/objets", "link")</f>
        <v/>
      </c>
      <c r="C1420" t="n">
        <v>7</v>
      </c>
      <c r="D1420" t="inlineStr">
        <is>
          <t>Manthache; Collier du Valet Veinard; Gant du Valet Veinard; Alliance Gloursonne; Bouclier d'Ilyzaelle; Menoture; Capuche de Moum-Ra; Cape Indescriptible; Palmes Trithons; Dofus Émeraude; Dofus Nébuleux; Miraculé majeur; Nomade; Cascadeur majeur; Remueur; Péki</t>
        </is>
      </c>
    </row>
    <row r="1421">
      <c r="A1421" t="inlineStr">
        <is>
          <t>iop pp</t>
        </is>
      </c>
      <c r="B1421">
        <f>HYPERLINK("https://www.dofusbook.net/fr/equipement/2427729-iop-pp/objets", "link")</f>
        <v/>
      </c>
      <c r="C1421" t="n">
        <v>8</v>
      </c>
      <c r="D1421" t="inlineStr">
        <is>
          <t>Héqache; Collier de Tourthon; Bague Gloursonne; Anneau de la Fuji Givrefoux; Bouclier Taverne; Ceinture de la Reine des Voleurs; Coiffe du Comte Harebourg; Cape de la Fuji Givrefoux; Baleinabottes; Dofus Pourpre; Dofus Turquoise; Dofus Kaliptus; Enragé majeur; Nomade; Remueur; Nomoon</t>
        </is>
      </c>
    </row>
    <row r="1422">
      <c r="A1422" t="inlineStr">
        <is>
          <t>eau</t>
        </is>
      </c>
      <c r="B1422">
        <f>HYPERLINK("https://www.dofusbook.net/fr/equipement/668627-eau/objets", "link")</f>
        <v/>
      </c>
      <c r="C1422" t="n">
        <v>9</v>
      </c>
      <c r="D1422" t="inlineStr">
        <is>
          <t>Sceptre du Roi Joueur; Amulette de Shokkoth; Alliance Gloursonne; Bracelet des Fonds marins; Bouclier cubiste; Poulpagne; Capuche de l'Œil Putride; Cape de l'Œil Putride; Bottes du Sinistrofu; Dofus Ocre; Dofus Abyssal; Dofus Turquoise; Dofus Pourpre; Chanceux majeur; Temporiseur majeur; Muldo Indigo</t>
        </is>
      </c>
    </row>
    <row r="1423">
      <c r="A1423" t="inlineStr">
        <is>
          <t>Stuff 3</t>
        </is>
      </c>
      <c r="B1423">
        <f>HYPERLINK("https://www.dofusbook.net/fr/equipement/243396-stuff-3/objets", "link")</f>
        <v/>
      </c>
      <c r="C1423" t="n">
        <v>16</v>
      </c>
      <c r="D1423" t="inlineStr">
        <is>
          <t>Arc de Koutoulou; Amulette du Strigide; Anneau de Padgref; Bracelet du Piloztère; Quatre-feuilles; Ceinture du Strigide; Némès de Tal Kasha; Chevelure de Tal Kasha; Sandales de Tal Kasha; Dolmanax; Dofus Ocre; Dofus Pourpre; Dofus des Glaces; Dofus Nébuleux; Dofus Turquoise; Muldo Prune et Doré</t>
        </is>
      </c>
    </row>
    <row r="1424">
      <c r="A1424" t="inlineStr">
        <is>
          <t>mode koli</t>
        </is>
      </c>
      <c r="B1424">
        <f>HYPERLINK("https://www.dofusbook.net/fr/equipement/868049-mode-koli/objets", "link")</f>
        <v/>
      </c>
      <c r="C1424" t="n">
        <v>7</v>
      </c>
      <c r="D1424" t="inlineStr">
        <is>
          <t>Baguette de Malléfisk; Amulette de Nileza; Anneauræus; Alliance Gloursonne; Écorce de Brouce; Ceinture de Vortex; Heaume Oplate; Cape de Nileza; Bottes Innommables; Dofus Abyssal; Dofus Émeraude; Remueur; Érudit majeur; Évasif majeur; Miraculé majeur; Muldo Pourpre</t>
        </is>
      </c>
    </row>
    <row r="1425">
      <c r="A1425" t="inlineStr">
        <is>
          <t>full eau</t>
        </is>
      </c>
      <c r="B1425">
        <f>HYPERLINK("https://www.dofusbook.net/fr/equipement/243399-full-eau/objets", "link")</f>
        <v/>
      </c>
      <c r="C1425" t="n">
        <v>8</v>
      </c>
      <c r="D1425" t="inlineStr">
        <is>
          <t>Sceptre du Roi Joueur; Amulette de Shokkoth; Alliance Gloursonne; Bracelet des Fonds marins; Bouclier du Stalak; Poulpagne; Capuche de l'Œil Attentif; Cape de l'Œil Attentif; Bottes du Sinistrofu; Dofus Ocre; Dofus Abyssal; Dofus Turquoise; Dofus Pourpre; Chanceux majeur; Vigoureux majeur; Muldo Indigo</t>
        </is>
      </c>
    </row>
    <row r="1426">
      <c r="A1426" t="inlineStr">
        <is>
          <t>terre</t>
        </is>
      </c>
      <c r="B1426">
        <f>HYPERLINK("https://www.dofusbook.net/fr/equipement/243397-terre/objets", "link")</f>
        <v/>
      </c>
      <c r="C1426" t="n">
        <v>11</v>
      </c>
      <c r="D1426" t="inlineStr">
        <is>
          <t>Dagues Érhy; Collier de Tourthon; Anneau de Brouce; Alliance Brûlâme; Bouclier du Stalak; Ceinture Luminescente; Masque de Koutoulou; Voile d'encre; Pompes Funèbres; Dofus Pourpre; Dofus Abyssal; Dofus Ocre; Dofus Nébuleux; Enragé majeur; Temporiseur majeur; Muldo Indigo et Pourpre</t>
        </is>
      </c>
    </row>
    <row r="1427">
      <c r="A1427" t="inlineStr">
        <is>
          <t>Stuff 2</t>
        </is>
      </c>
      <c r="B1427">
        <f>HYPERLINK("https://www.dofusbook.net/fr/equipement/243404-stuff-2/objets", "link")</f>
        <v/>
      </c>
      <c r="C1427" t="n">
        <v>14</v>
      </c>
      <c r="D1427" t="inlineStr">
        <is>
          <t>Arc corrompu; Pendentif mignon de Koutoulou; Alliance Brûlâme; Bague Gloursonne; Bouclier du Stalak; Ceinture de Vortex; Cagoule de Vortex; Cape de Diondin; Bottes Innommables; Dofus Pourpre; Dofus Abyssal; Dofus Turquoise; Dofus Ocre; Dofus Nébuleux; Érudit majeur; Muldo Orchidée et Pourpre</t>
        </is>
      </c>
    </row>
    <row r="1428">
      <c r="A1428" t="inlineStr">
        <is>
          <t>terre air</t>
        </is>
      </c>
      <c r="B1428">
        <f>HYPERLINK("https://www.dofusbook.net/fr/equipement/243367-terre-air/objets", "link")</f>
        <v/>
      </c>
      <c r="C1428" t="n">
        <v>8</v>
      </c>
      <c r="D1428" t="inlineStr">
        <is>
          <t>Lance corrompue; Amulette du Cœur Vaillant; Alliance Gloursonne; Bague Gloursonne; Bouclier alvéolé; Ceinture de la Reine des Voleurs; Coiffe de la Reine des Voleurs; Cape du Cœur Vaillant; Bottes du Cœur Vaillant; Dofus Ocre; Dofus Ivoire; Dokoko; Dofus des Glaces; Dofus Émeraude; Dofus Abyssal; Muldo Ebène et Pourpre</t>
        </is>
      </c>
    </row>
    <row r="1429">
      <c r="A1429" t="inlineStr">
        <is>
          <t>retrait</t>
        </is>
      </c>
      <c r="B1429">
        <f>HYPERLINK("https://www.dofusbook.net/fr/equipement/1535088-retrait/objets", "link")</f>
        <v/>
      </c>
      <c r="C1429" t="n">
        <v>7</v>
      </c>
      <c r="D1429" t="inlineStr">
        <is>
          <t>Héqache; Amulette du Cœur Vaillant; Alliance Gloursonne; Anneau Crustique; Sept ans de malheur; Menoture; Chapoulpe; Cape du Kamasterisk; Tentassons; Dofus Émeraude; Dofus Pourpre; Dofus Abyssal; Étourdisseur majeur; Carapace Air majeur; Remueur; Muldo Ebène et Indigo</t>
        </is>
      </c>
    </row>
    <row r="1430">
      <c r="A1430" t="inlineStr">
        <is>
          <t>Stuff 1</t>
        </is>
      </c>
      <c r="B1430">
        <f>HYPERLINK("https://www.dofusbook.net/fr/equipement/243412-stuff-1/objets", "link")</f>
        <v/>
      </c>
      <c r="C1430" t="n">
        <v>4</v>
      </c>
      <c r="D1430" t="inlineStr">
        <is>
          <t>Manthache; Collier du Valet Veinard; Alliance Gloursonne; Gant du Valet Veinard; Bouclier du Stalak; Menoture; Casque d'Ilyzaelle; Cape Indescriptible; Palmes Trithons; Dofus Pourpre; Dofus Nébuleux; Dofus Émeraude; Dofus Abyssal; Remueur; Cascadeur majeur; Muldo Ebène et Indigo</t>
        </is>
      </c>
    </row>
    <row r="1431">
      <c r="A1431" t="inlineStr">
        <is>
          <t>mode perco</t>
        </is>
      </c>
      <c r="B1431">
        <f>HYPERLINK("https://www.dofusbook.net/fr/equipement/1243691-mode-perco/objets", "link")</f>
        <v/>
      </c>
      <c r="C1431" t="n">
        <v>9</v>
      </c>
      <c r="D1431" t="inlineStr">
        <is>
          <t>Héqache; Collier de Tourthon; Alliance Gloursonne; Anneau Crustique; Sept ans de malheur; Ceintouse; Masque de Koutoulou; Cape du Cœur Vaillant; Tentassons; Dofus Émeraude; Dofus Pourpre; Remueur; Étourdisseur majeur; Carapace Air majeur; Enragé majeur; Muldo Indigo et Pourpre</t>
        </is>
      </c>
    </row>
    <row r="1432">
      <c r="A1432" t="inlineStr">
        <is>
          <t>do pou</t>
        </is>
      </c>
      <c r="B1432">
        <f>HYPERLINK("https://www.dofusbook.net/fr/equipement/243419-do-pou/objets", "link")</f>
        <v/>
      </c>
      <c r="C1432" t="n">
        <v>5</v>
      </c>
      <c r="D1432" t="inlineStr">
        <is>
          <t>Héqache; Torquistik; Bague Trithon; Anneau Chevelu; Bouclier d'Ilyzaelle; Ceinture Luminescente; Masque de Koutoulou; Cape du Cœur Vaillant; Bottistik; Dofus Émeraude; Dofus Abyssal; Remueur; Culbuteur majeur; Miraculé majeur; Bousculeur majeur; Muldo Ebène et Pourpre</t>
        </is>
      </c>
    </row>
    <row r="1433">
      <c r="A1433" t="inlineStr">
        <is>
          <t>agressif</t>
        </is>
      </c>
      <c r="B1433">
        <f>HYPERLINK("https://www.dofusbook.net/fr/equipement/1509324-agressif/objets", "link")</f>
        <v/>
      </c>
      <c r="C1433" t="n">
        <v>8</v>
      </c>
      <c r="D1433" t="inlineStr">
        <is>
          <t>Epée Toche; Amulette du Strigide; Chevalière du Roi Joueur; Bague Gloursonne; Bouclier du Stalak; Ceinture du Strigide; Couronne du Roi Joueur; Voile d'encre; Bottes du Strigide; Dofus Nébuleux; Dofus des Glaces; Dofus Pourpre; Dofus Abyssal; Dolmanax; Dofus Ocre; Muldo Indigo et Pourpre</t>
        </is>
      </c>
    </row>
    <row r="1434">
      <c r="A1434" t="inlineStr">
        <is>
          <t>mode perco</t>
        </is>
      </c>
      <c r="B1434">
        <f>HYPERLINK("https://www.dofusbook.net/fr/equipement/243411-mode-perco/objets", "link")</f>
        <v/>
      </c>
      <c r="C1434" t="n">
        <v>13</v>
      </c>
      <c r="D1434" t="inlineStr">
        <is>
          <t>Héqache; Collier de Tourthon; Anneau Crustique; Alliance Gloursonne; Sept ans de malheur; Ceintouse; Masque de Koutoulou; Cape du Cœur Vaillant; Tentassons; Dofus Émeraude; Dofus Abyssal; Remueur; Enragé majeur; Étourdisseur majeur; Obstructeur majeur; Muldo Ebène et Pourpre</t>
        </is>
      </c>
    </row>
    <row r="1435">
      <c r="A1435" t="inlineStr">
        <is>
          <t>Stuff 1</t>
        </is>
      </c>
      <c r="B1435">
        <f>HYPERLINK("https://www.dofusbook.net/fr/equipement/243406-stuff-1/objets", "link")</f>
        <v/>
      </c>
      <c r="C1435" t="n">
        <v>10</v>
      </c>
      <c r="D1435" t="inlineStr">
        <is>
          <t>Dagoulinantes; Amulette de Shokkoth; Alliance Gloursonne; Bracelet des Fonds marins; Bouclier du Stalak; Poulpagne; Capuche de l'Œil Attentif; Cape de l'Œil Attentif; Bottes du Sinistrofu; Dofus des Glaces; Dofus Pourpre; Chanceux majeur; Vigoureux majeur; Dévastateur Eau majeur; Remueur; Muldo Indigo</t>
        </is>
      </c>
    </row>
    <row r="1436">
      <c r="A1436" t="inlineStr">
        <is>
          <t>Koli</t>
        </is>
      </c>
      <c r="B1436">
        <f>HYPERLINK("https://www.dofusbook.net/fr/equipement/668810-koli/objets", "link")</f>
        <v/>
      </c>
      <c r="C1436" t="n">
        <v>1</v>
      </c>
      <c r="D1436" t="inlineStr"/>
    </row>
    <row r="1437">
      <c r="A1437" t="inlineStr">
        <is>
          <t>feu pp</t>
        </is>
      </c>
      <c r="B1437">
        <f>HYPERLINK("https://www.dofusbook.net/fr/equipement/1011631-feu-pp/objets", "link")</f>
        <v/>
      </c>
      <c r="C1437" t="n">
        <v>6</v>
      </c>
      <c r="D1437" t="inlineStr">
        <is>
          <t>Arc Nécrotique; Collier de la Dame du Hasard; Anneau Cryochrone; Anneau Tique; Quatre-feuilles; Ceinture de l'Esprit Malsain; Casquette de Meno; Cape de la Dame du Hasard; Pataugastrique; Dofus Pourpre; Dofus des Glaces; Dofus Turquoise; Dofus Abyssal; Dofus Ocre; Étourdisseur majeur; Muldo Orchidée</t>
        </is>
      </c>
    </row>
    <row r="1438">
      <c r="A1438" t="inlineStr">
        <is>
          <t>Stuff 1</t>
        </is>
      </c>
      <c r="B1438">
        <f>HYPERLINK("https://www.dofusbook.net/fr/equipement/243379-stuff-1/objets", "link")</f>
        <v/>
      </c>
      <c r="C1438" t="n">
        <v>5</v>
      </c>
      <c r="D1438" t="inlineStr">
        <is>
          <t>Dagoulinantes; Amulette d'Ilyzaelle; Alliance Gloursonne; Bague Trithon; Bouclier précieux; Sangle Ouare; Masque de Funespadon; Cape Solution; Bottes Trithon; Dofus Émeraude; Dofus Abyssal; Remueur; Culbuteur majeur; Miraculé majeur; Chanceux majeur; Péki</t>
        </is>
      </c>
    </row>
    <row r="1439">
      <c r="A1439" t="inlineStr">
        <is>
          <t>Mono eau</t>
        </is>
      </c>
      <c r="B1439">
        <f>HYPERLINK("https://www.dofusbook.net/fr/equipement/243375-mono-eau/objets", "link")</f>
        <v/>
      </c>
      <c r="C1439" t="n">
        <v>8</v>
      </c>
      <c r="D1439" t="inlineStr">
        <is>
          <t>Dagoulinantes; Amulette du Sinistrofu; Bracelet des Fonds marins; Alliance Gloursonne; Bouclier du Stalak; Ceinture Glaciale; Kidibonnet; Cape de l'Œil Attentif; Bottes du Sinistrofu; Dofus Pourpre; Dofus Abyssal; Dofus Ivoire; Remueur; Carapace Eau majeur; Chanceux majeur; Muldo Ebène et Indigo</t>
        </is>
      </c>
    </row>
    <row r="1440">
      <c r="A1440" t="inlineStr">
        <is>
          <t>Stuff 3</t>
        </is>
      </c>
      <c r="B1440">
        <f>HYPERLINK("https://www.dofusbook.net/fr/equipement/243405-stuff-3/objets", "link")</f>
        <v/>
      </c>
      <c r="C1440" t="n">
        <v>11</v>
      </c>
      <c r="D1440" t="inlineStr">
        <is>
          <t>Manthache; Collier du Valet Veinard; Alliance Gloursonne; Gant du Valet Veinard; Cadran de Terre; Menoture; Casque Cyclopéen; Cape du Kamasterisk; Palmes Trithons; Dofus Pourpre; Dofus Abyssal; Cascadeur majeur; Étourdisseur majeur; Remueur; Paralyseur majeur; Muldo Ebène et Indigo</t>
        </is>
      </c>
    </row>
    <row r="1441">
      <c r="A1441" t="inlineStr">
        <is>
          <t>feu res crit</t>
        </is>
      </c>
      <c r="B1441">
        <f>HYPERLINK("https://www.dofusbook.net/fr/equipement/1250198-feu-res-crit/objets", "link")</f>
        <v/>
      </c>
      <c r="C1441" t="n">
        <v>5</v>
      </c>
      <c r="D1441" t="inlineStr">
        <is>
          <t>Harpelle; Pendentif mignon de Koutoulou; Baguistik; Anneau Rifique; Bouclier du Stalak; Ceinture de Vortex; Casque Cyclopéen; Voile d'encre; Bottistik; Dofus Abyssal; Dofus Émeraude; Dofus des Glaces; Dofus Ocre; Dofus Pourpre; Dolmanax; Muldo Indigo et Pourpre</t>
        </is>
      </c>
    </row>
    <row r="1442">
      <c r="A1442" t="inlineStr">
        <is>
          <t>Mono feu koli</t>
        </is>
      </c>
      <c r="B1442">
        <f>HYPERLINK("https://www.dofusbook.net/fr/equipement/243366-mono-feu-koli/objets", "link")</f>
        <v/>
      </c>
      <c r="C1442" t="n">
        <v>8</v>
      </c>
      <c r="D1442" t="inlineStr">
        <is>
          <t>Harpelle; Pendentif affamé; Anneau Rifique; Anneauræus; Bivalve; Ceinture Séculaire; Coiffe Séculaire; Cape de Diondin; Bottes Innommables; Dofus Émeraude; Dofus Abyssal; Dofus Ocre; Étourdisseur majeur; Carapace Feu majeur; Érudit majeur; Muldo Indigo et Pourpre</t>
        </is>
      </c>
    </row>
    <row r="1443">
      <c r="A1443" t="inlineStr">
        <is>
          <t>Mono Eau Koli</t>
        </is>
      </c>
      <c r="B1443">
        <f>HYPERLINK("https://www.dofusbook.net/fr/equipement/243364-mono-eau-koli/objets", "link")</f>
        <v/>
      </c>
      <c r="C1443" t="n">
        <v>4</v>
      </c>
      <c r="D1443" t="inlineStr">
        <is>
          <t>Dagoulinantes; Amulette de Shokkoth; Bracelet des Fonds marins; Alliance Gloursonne; Bouclier du Stalak; Poulpagne; Kidibonnet; Cape du Sinistrofu; Bottes du Sinistrofu; Dofus Émeraude; Dofus Abyssal; Dofus Pourpre; Carapace Terre majeur; Étourdisseur majeur; Chanceux majeur; Muldo Ebène et Indigo</t>
        </is>
      </c>
    </row>
    <row r="1444">
      <c r="A1444" t="inlineStr">
        <is>
          <t>Chryo / Dame</t>
        </is>
      </c>
      <c r="B1444">
        <f>HYPERLINK("https://www.dofusbook.net/fr/equipement/243365-chryo---dame/objets", "link")</f>
        <v/>
      </c>
      <c r="C1444" t="n">
        <v>6</v>
      </c>
      <c r="D1444" t="inlineStr">
        <is>
          <t>Arc Nécrotique; Talisman Igans; Alliance Gloursonne; Anneau Tique; Quatre-feuilles; Ceinture de l'Esprit Malsain; Casquette de Meno; Cape de Meno; Pataugastrique; Dofus Ocre; Dofus Abyssal; Dofus Pourpre; Dofus Turquoise; Érudit majeur; Étourdisseur majeur; Muldo Indigo et Orchidée</t>
        </is>
      </c>
    </row>
    <row r="1445">
      <c r="A1445" t="inlineStr">
        <is>
          <t>pvm</t>
        </is>
      </c>
      <c r="B1445">
        <f>HYPERLINK("https://www.dofusbook.net/fr/equipement/876268-pvm/objets", "link")</f>
        <v/>
      </c>
      <c r="C1445" t="n">
        <v>9</v>
      </c>
      <c r="D1445" t="inlineStr">
        <is>
          <t>Marteau R'ture; Collier de Tourthon; Anneau Crustique; Bague Trithon; Bouclier d'Ilyzaelle; Ceinture Gence; Chapoulpe; Ankhape; Tentassons; Dofus Pourpre; Dofus Émeraude; Remueur; Enragé majeur; Nomade; Miraculé majeur; Homlett</t>
        </is>
      </c>
    </row>
    <row r="1446">
      <c r="A1446" t="inlineStr">
        <is>
          <t>Stuff 3</t>
        </is>
      </c>
      <c r="B1446">
        <f>HYPERLINK("https://www.dofusbook.net/fr/equipement/243424-stuff-3/objets", "link")</f>
        <v/>
      </c>
      <c r="C1446" t="n">
        <v>5</v>
      </c>
      <c r="D1446" t="inlineStr">
        <is>
          <t>Az'tech; Amulette du Strigide; Anneau de Padgref; Bague Trithon; Ceinture du Strigide; Coiffe de Padgref; Chevelure de Tal Kasha; Getas de Padgref; Dofus des Glaces; Dofus Émeraude; Dofus Nébuleux; Dofus Turquoise; Dofus Ocre; Dofus Abyssal; Muldo Prune et Emeraude</t>
        </is>
      </c>
    </row>
    <row r="1447">
      <c r="A1447" t="inlineStr">
        <is>
          <t>force</t>
        </is>
      </c>
      <c r="B1447">
        <f>HYPERLINK("https://www.dofusbook.net/fr/equipement/365108-force/objets", "link")</f>
        <v/>
      </c>
      <c r="C1447" t="n">
        <v>18</v>
      </c>
      <c r="D1447" t="inlineStr">
        <is>
          <t>Arc du Chalœil; Collier de Tourthon; Anneau de Brouce; Anneau Crustique; Quatre-feuilles; Ceinture de Brouce; Masque de Koutoulou; Cape au Logis; Baleinabottes; Dofus des Glaces; Dofus Turquoise; Dofus Pourpre; Remueur; Enragé majeur; Nomade; Kompost</t>
        </is>
      </c>
    </row>
    <row r="1448">
      <c r="A1448" t="inlineStr">
        <is>
          <t>Stuff 2</t>
        </is>
      </c>
      <c r="B1448">
        <f>HYPERLINK("https://www.dofusbook.net/fr/equipement/243423-stuff-2/objets", "link")</f>
        <v/>
      </c>
      <c r="C1448" t="n">
        <v>6</v>
      </c>
      <c r="D1448" t="inlineStr">
        <is>
          <t>Manthache; Collier du Valet Veinard; Alliance Gloursonne; Gant du Valet Veinard; Bouclier du Stalak; Menoture; Casque Dragoeuf; Cape Indescriptible; Palmes Trithons; Dofus Émeraude; Dofus Ocre; Dofus Pourpre; Dofus Nébuleux; Dofus Abyssal; Cascadeur majeur; Muldo Doré et Ebène</t>
        </is>
      </c>
    </row>
    <row r="1449">
      <c r="A1449" t="inlineStr">
        <is>
          <t>Stuff 1</t>
        </is>
      </c>
      <c r="B1449">
        <f>HYPERLINK("https://www.dofusbook.net/fr/equipement/243422-stuff-1/objets", "link")</f>
        <v/>
      </c>
      <c r="C1449" t="n">
        <v>9</v>
      </c>
      <c r="D1449" t="inlineStr">
        <is>
          <t>Dagoulinantes; Amulette de Shokkoth; Alliance Gloursonne; Bracelet des Fonds marins; Bouclier d'Ilyzaelle; Poulpagne; Kidibonnet; Cape de Mantaze; Sandales des Fonds marins; Dofus Abyssal; Dofus Pourpre; Dofus Nébuleux; Dofus Émeraude; Carapace Terre majeur; Chanceux majeur; Muldo Ebène et Indigo</t>
        </is>
      </c>
    </row>
    <row r="1450">
      <c r="A1450" t="inlineStr">
        <is>
          <t>Féca M 200</t>
        </is>
      </c>
      <c r="B1450">
        <f>HYPERLINK("https://www.dofusbook.net/fr/equipement/3844069-feca-m-200/objets", "link")</f>
        <v/>
      </c>
      <c r="C1450" t="n">
        <v>5</v>
      </c>
      <c r="D1450" t="inlineStr">
        <is>
          <t>Hache du Chalœil; Amulette du Strigide; Bague Gloursonne; Alliance Gloursonne; Bouclier du Stalak; Ceinture du Strigide; Coiffe du Lévitrof; Voile d'encre; Bottes du Strigide; Dofus des Glaces; Dofus Ocre; Dofus Pourpre; Dofus Abyssal; Dolmanax; Dofus Turquoise; Phortiche</t>
        </is>
      </c>
    </row>
    <row r="1451">
      <c r="A1451" t="inlineStr">
        <is>
          <t>tdtrt</t>
        </is>
      </c>
      <c r="B1451">
        <f>HYPERLINK("https://www.dofusbook.net/fr/equipement/2475307-tdtrt/objets", "link")</f>
        <v/>
      </c>
      <c r="C1451" t="n">
        <v>13</v>
      </c>
      <c r="D1451" t="inlineStr">
        <is>
          <t>Dagues de Srambad; Amulette Ementaire Deluxe; Alliance Gloursonne; Anneau Crustique; Bouclier Pandawa; Ceinture de la Reine des Voleurs; Masque de Koutoulou; Cape Luminescente; Bottes de la Reine des Voleurs; Dokoko; Dofus Pourpre; Dofus Émeraude; Dofus Ocre; Dolmanax; Dofus des Glaces; Muldo Ebène et Pourpre</t>
        </is>
      </c>
    </row>
    <row r="1452">
      <c r="A1452" t="inlineStr">
        <is>
          <t>ddddd</t>
        </is>
      </c>
      <c r="B1452">
        <f>HYPERLINK("https://www.dofusbook.net/fr/equipement/2065100-ddddd/objets", "link")</f>
        <v/>
      </c>
      <c r="C1452" t="n">
        <v>12</v>
      </c>
      <c r="D1452" t="inlineStr">
        <is>
          <t>Sabres d'Atcham; Amulette du Strigide; Bague Gloursonne; Anneau de Padgref; Bouclier du Captain Amakna; Ceinture du Strigide; Coiffe de Padgref; Cape d'Atcham; Getas de Padgref; Dofus Turquoise; Dofus Nébuleux; Dofus Ocre; Dofus Abyssal; Dofus Pourpre; Dofus des Glaces; Muldo Orchidée et Pourpre</t>
        </is>
      </c>
    </row>
    <row r="1453">
      <c r="A1453" t="inlineStr">
        <is>
          <t>ddf</t>
        </is>
      </c>
      <c r="B1453">
        <f>HYPERLINK("https://www.dofusbook.net/fr/equipement/2063465-ddf/objets", "link")</f>
        <v/>
      </c>
      <c r="C1453" t="n">
        <v>14</v>
      </c>
      <c r="D1453" t="inlineStr">
        <is>
          <t>Sabres d'Atcham; Amulette du Strigide; Bague Trithon; Anneau de Padgref; Ceinture du Strigide; Coiffe de Padgref; Cape d'Atcham; Bottes Trithon; Dofus Pourpre; Dofus des Glaces; Dofus Turquoise; Dolmanax; Dofus Ocre</t>
        </is>
      </c>
    </row>
    <row r="1454">
      <c r="A1454" t="inlineStr">
        <is>
          <t>vds</t>
        </is>
      </c>
      <c r="B1454">
        <f>HYPERLINK("https://www.dofusbook.net/fr/equipement/1682697-vds/objets", "link")</f>
        <v/>
      </c>
      <c r="C1454" t="n">
        <v>8</v>
      </c>
      <c r="D1454" t="inlineStr">
        <is>
          <t>Harpelle; Amulette Séculaire; Anneauræus; Anneau Rifique; Ceintrigue; Coiffe Séculaire; Voile d'encre; Bottes Innommables; Dofus Pourpre; Dofus Turquoise; Dofus Ocre; Nomade; Remueur; Érudit majeur; Pioute rouge</t>
        </is>
      </c>
    </row>
    <row r="1455">
      <c r="A1455" t="inlineStr">
        <is>
          <t>thst</t>
        </is>
      </c>
      <c r="B1455">
        <f>HYPERLINK("https://www.dofusbook.net/fr/equipement/1655449-thst/objets", "link")</f>
        <v/>
      </c>
      <c r="C1455" t="n">
        <v>12</v>
      </c>
      <c r="D1455" t="inlineStr">
        <is>
          <t>Pelle de la Cour Sombre; Collier du Valet Veinard; Alliance Gloursonne; Gant du Valet Veinard; Bouclier du Captain Amakna; Ceintouse; Chapoulpe; Cape du Valet Veinard; Tentassons; Dofus Pourpre; Dolmanax; Dofus Émeraude; Dokoko; Dofus Ocre; Acrobate majeur; Muldo Ebène</t>
        </is>
      </c>
    </row>
    <row r="1456">
      <c r="A1456" t="inlineStr">
        <is>
          <t>szvzfsz</t>
        </is>
      </c>
      <c r="B1456">
        <f>HYPERLINK("https://www.dofusbook.net/fr/equipement/1645586-szvzfsz/objets", "link")</f>
        <v/>
      </c>
      <c r="C1456" t="n">
        <v>9</v>
      </c>
      <c r="D1456" t="inlineStr">
        <is>
          <t>Hache du Chalœil; Amulette du Strigide; Anneau de Padgref; Bague Trithon; Bouclier du Stalak; Ceinture du Strigide; Masque Trithon; Cape du Chalœil; Bottes Trithon; Dofus Ocre; Dofus Pourpre; Dolmanax; Dofus Turquoise; Dofus des Glaces; Muldo Doré et Amande</t>
        </is>
      </c>
    </row>
    <row r="1457">
      <c r="A1457" t="inlineStr">
        <is>
          <t>aze</t>
        </is>
      </c>
      <c r="B1457">
        <f>HYPERLINK("https://www.dofusbook.net/fr/equipement/919246-aze/objets", "link")</f>
        <v/>
      </c>
      <c r="C1457" t="n">
        <v>10</v>
      </c>
      <c r="D1457" t="inlineStr">
        <is>
          <t>Pelle de Nidas; Amulette du Strigide; Bracelet du Piloztère; Alliance Gloursonne; Bouclier du Captain Amakna; Ceinture du Strigide; Bonnet Ko; Cape des Malveilleurs; Bottes Trithon; Dofus Ocre; Dofus Émeraude; Dofus Pourpre; Remueur; Vigoureux majeur; Nomade; Muldo Doré et Amande</t>
        </is>
      </c>
    </row>
    <row r="1458">
      <c r="A1458" t="inlineStr">
        <is>
          <t>fff</t>
        </is>
      </c>
      <c r="B1458">
        <f>HYPERLINK("https://www.dofusbook.net/fr/equipement/621835-fff/objets", "link")</f>
        <v/>
      </c>
      <c r="C1458" t="n">
        <v>7</v>
      </c>
      <c r="D1458" t="inlineStr">
        <is>
          <t>Glaive Icération; Amulette Ementaire Deluxe; Gant du Capitaine Ekarlatte; Sceau Souverain du Roissingue; Ceinture du Bretteur Céleste; Coiffe de l'Orfélin; Cape du Bretteur Céleste; Bottes de Ush; Dofus Pourpre; Dolmanax; Dofus Émeraude; Dofus Ocre; Cascadeur majeur; Remueur; Muldo Ebène et Orchidée</t>
        </is>
      </c>
    </row>
    <row r="1459">
      <c r="A1459" t="inlineStr">
        <is>
          <t>test</t>
        </is>
      </c>
      <c r="B1459">
        <f>HYPERLINK("https://www.dofusbook.net/fr/equipement/439027-test/objets", "link")</f>
        <v/>
      </c>
      <c r="C1459" t="n">
        <v>7</v>
      </c>
      <c r="D1459" t="inlineStr">
        <is>
          <t>Amulette Ementaire; Gant du Capitaine Ekarlatte; Anneau Frage; Ceinture de Frigostine; Coiffe de Grozilla; Cape Souveraine du Roissingue; Sandales Gorithme; Dofus Ocre; Dofus Pourpre; Dolmanax; Dofus Émeraude; Dokoko; Remueur; Muldo Ebène et Indigo</t>
        </is>
      </c>
    </row>
    <row r="1460">
      <c r="A1460" t="inlineStr">
        <is>
          <t>Stuff 1</t>
        </is>
      </c>
      <c r="B1460">
        <f>HYPERLINK("https://www.dofusbook.net/fr/equipement/236721-stuff-1/objets", "link")</f>
        <v/>
      </c>
      <c r="C1460" t="n">
        <v>4</v>
      </c>
      <c r="D1460" t="inlineStr">
        <is>
          <t>Dagues de Srambad; Amulette de Pol Ouatnos; Bracelet du Piloztère; Alliance du Lévitrof; Ceinture de la Reine des Voleurs; Maskrobe; Cape des Justiciers; Bottes du Lévitrof; Dofus Pourpre; Chanceux majeur; Vigoureux majeur; Enragé majeur; Robuste majeur; Remueur; Kramkram</t>
        </is>
      </c>
    </row>
    <row r="1461">
      <c r="A1461" t="inlineStr">
        <is>
          <t>Stuff 3</t>
        </is>
      </c>
      <c r="B1461">
        <f>HYPERLINK("https://www.dofusbook.net/fr/equipement/236723-stuff-3/objets", "link")</f>
        <v/>
      </c>
      <c r="C1461" t="n">
        <v>5</v>
      </c>
      <c r="D1461" t="inlineStr">
        <is>
          <t>Amulette du Strigide; Bracelet du Piloztère; Alliance du Lévitrof; Ceintacé; Coiffe du Glourséleste; Cape des Justiciers; Pantoufles du Piloztère; Chanceux majeur; Remueur; Vigoureux majeur; Enragé majeur; Nomade; Temporiseur majeur; Dragodinde Prune et Emeraude</t>
        </is>
      </c>
    </row>
    <row r="1462">
      <c r="A1462" t="inlineStr">
        <is>
          <t>Stuff 1</t>
        </is>
      </c>
      <c r="B1462">
        <f>HYPERLINK("https://www.dofusbook.net/fr/equipement/236721-stuff-1/objets", "link")</f>
        <v/>
      </c>
      <c r="C1462" t="n">
        <v>4</v>
      </c>
      <c r="D1462" t="inlineStr">
        <is>
          <t>Dagues de Srambad; Amulette de Pol Ouatnos; Alliance du Lévitrof; Bracelet du Piloztère; Ceinture de la Reine des Voleurs; Maskrobe; Cape des Justiciers; Bottes du Lévitrof; Dofus Pourpre; Chanceux majeur; Vigoureux majeur; Enragé majeur; Robuste majeur; Remueur; Kramkram</t>
        </is>
      </c>
    </row>
    <row r="1463">
      <c r="A1463" t="inlineStr">
        <is>
          <t>Sacrieur F 200</t>
        </is>
      </c>
      <c r="B1463">
        <f>HYPERLINK("https://www.dofusbook.net/fr/equipement/6005307-sacrieur-f-200/objets", "link")</f>
        <v/>
      </c>
      <c r="C1463" t="n">
        <v>0</v>
      </c>
      <c r="D1463" t="inlineStr">
        <is>
          <t>Baguette de Torkélonia; Amulette Volkorne; Anneau Volkorne; Bague Trithon; Quatre-feuilles; Ceintacé; Corne de Torkélonia; Carapace de Torkélonia; Bottes Trithon; Dofus Turquoise; Dofus Émeraude; Dofus Ocre; Dofus Pourpre; Dofus Abyssal; Kokulte</t>
        </is>
      </c>
    </row>
    <row r="1464">
      <c r="A1464" t="inlineStr">
        <is>
          <t>Ceps</t>
        </is>
      </c>
      <c r="B1464">
        <f>HYPERLINK("https://www.dofusbook.net/fr/equipement/5806007-ceps/objets", "link")</f>
        <v/>
      </c>
      <c r="C1464" t="n">
        <v>1</v>
      </c>
      <c r="D1464" t="inlineStr">
        <is>
          <t>Sabres d'Atcham; Amulette du Strigide; Anneau Tique; Bracelet du Piloztère; Quatre-feuilles; Ceinture du Strigide; Dorabysses; Cape d'Atcham; Bottes du Strigide; Dofus Ocre; Dofus Abyssal; Dofus Ivoire; Dofus des Glaces; Dofus Pourpre; Dofus Turquoise; Kokulte</t>
        </is>
      </c>
    </row>
    <row r="1465">
      <c r="A1465" t="inlineStr">
        <is>
          <t>Tcoin</t>
        </is>
      </c>
      <c r="B1465">
        <f>HYPERLINK("https://www.dofusbook.net/fr/equipement/5806009-tcoin/objets", "link")</f>
        <v/>
      </c>
      <c r="C1465" t="n">
        <v>1</v>
      </c>
      <c r="D1465" t="inlineStr">
        <is>
          <t>Baguette de Torkélonia; Amulette du Strigide; Quatre-feuilles; Ceinture du Strigide; Corne de Torkélonia; Carapace de Torkélonia; Bottes du Strigide; Dofus Émeraude; Dofus Ocre; Dofus Pourpre; Dofus Abyssal; Dofus Turquoise; Kokulte</t>
        </is>
      </c>
    </row>
    <row r="1466">
      <c r="A1466" t="inlineStr">
        <is>
          <t>Osamodas F 200</t>
        </is>
      </c>
      <c r="B1466">
        <f>HYPERLINK("https://www.dofusbook.net/fr/equipement/6002719-osamodas-f-200/objets", "link")</f>
        <v/>
      </c>
      <c r="C1466" t="n">
        <v>0</v>
      </c>
      <c r="D1466" t="inlineStr">
        <is>
          <t>Baguette Range; Amulette Volkorne; Gant du Valet Veinard; Bracelet du Piloztère; Quatre-feuilles; Menoture; Casque Volkorne; Cape de l'Œil Putride; Sabots de Vortex; Dofus Turquoise; Observateur; Cascadeur majeur; Nomade; Érudit majeur; Remueur; Willy le Relou</t>
        </is>
      </c>
    </row>
    <row r="1467">
      <c r="A1467" t="inlineStr">
        <is>
          <t>Sadida M 200</t>
        </is>
      </c>
      <c r="B1467">
        <f>HYPERLINK("https://www.dofusbook.net/fr/equipement/5999058-sadida-m-200/objets", "link")</f>
        <v/>
      </c>
      <c r="C1467" t="n">
        <v>0</v>
      </c>
      <c r="D1467" t="inlineStr">
        <is>
          <t>Pelle de Nidas; Amulette d'Ilyzaelle; Bracelet du Piloztère; Anneau Toriété; Bouclier du Stalak; Ceinture de la Reine des Voleurs; Coiffe de la Reine des Voleurs; Cape de la Cour Sombre; Bottes de la Reine des Voleurs; Dolmanax; Dofus Ocre; Dofus Émeraude; Dofus Abyssal; Dofus Pourpre; Dofus des Glaces; Pioute violet</t>
        </is>
      </c>
    </row>
    <row r="1468">
      <c r="A1468" t="inlineStr">
        <is>
          <t>Sadida M 200</t>
        </is>
      </c>
      <c r="B1468">
        <f>HYPERLINK("https://www.dofusbook.net/fr/equipement/5996043-sadida-m-200/objets", "link")</f>
        <v/>
      </c>
      <c r="C1468" t="n">
        <v>0</v>
      </c>
      <c r="D1468" t="inlineStr">
        <is>
          <t>Héqache; Amulette Volkorne; Bracelet du Piloztère; Anneau Volkorne; Bouclier cubiste; Ceinture Volkorne; Coiffe de la Reine des Voleurs; Cape de la Cour Sombre; Bottes de la Reine des Voleurs; Dofus Turquoise; Dofus Pourpre; Dofus des Glaces; Dofus Ocre; Dofus Émeraude; Dofus Abyssal; Fëanor</t>
        </is>
      </c>
    </row>
    <row r="1469">
      <c r="A1469" t="inlineStr">
        <is>
          <t>Bee-Fleur</t>
        </is>
      </c>
      <c r="B1469">
        <f>HYPERLINK("https://www.dofusbook.net/fr/equipement/5806013-bee-fleur/objets", "link")</f>
        <v/>
      </c>
      <c r="C1469" t="n">
        <v>2</v>
      </c>
      <c r="D1469" t="inlineStr">
        <is>
          <t>Baguette de Torkélonia; Amulette du Strigide; Anneau de Padgref; Anneau Pwal; Quatre-feuilles; Ceinture du Strigide; Corne de Torkélonia; Carapace de Torkélonia; Bottes du Strigide; Dofus Pourpre; Dofus Ivoire; Dofus Turquoise; Dofus Émeraude; Dofus Ocre; Kokulte</t>
        </is>
      </c>
    </row>
    <row r="1470">
      <c r="A1470" t="inlineStr">
        <is>
          <t>pvp</t>
        </is>
      </c>
      <c r="B1470">
        <f>HYPERLINK("https://www.dofusbook.net/fr/equipement/5980312-pvp/objets", "link")</f>
        <v/>
      </c>
      <c r="C1470" t="n">
        <v>1</v>
      </c>
      <c r="D1470" t="inlineStr">
        <is>
          <t>Sceptre du Roi Joueur; Amulette de l'Œil Attentif; Bracelet des Fonds marins; Anneau Volkorne; Cadran de Feu; Ceintacé; Casque Dragoeuf; Cape de Jahash Jurgen; Sandales des Fonds marins; Dofus Émeraude; Carapace Air majeur; Nomade; Carapace Terre majeur; Remueur; Carapace Feu majeur; Bwak d'Air</t>
        </is>
      </c>
    </row>
    <row r="1471">
      <c r="A1471" t="inlineStr">
        <is>
          <t>Bee-zoux</t>
        </is>
      </c>
      <c r="B1471">
        <f>HYPERLINK("https://www.dofusbook.net/fr/equipement/5806010-bee-zoux/objets", "link")</f>
        <v/>
      </c>
      <c r="C1471" t="n">
        <v>1</v>
      </c>
      <c r="D1471" t="inlineStr">
        <is>
          <t>Arc corrompu; Pendentif affamé; Anneau Toriété; Anneau Rifique; Bivalve; Ceinture de Vortex; Couronne de Nidas; Cape de Diondin; Bottes Innommables; Dofus Ivoire; Docteur majeur; Érudit majeur; Soigneur majeur; Remueur; Guérisseur majeur; Meuch</t>
        </is>
      </c>
    </row>
    <row r="1472">
      <c r="A1472" t="inlineStr">
        <is>
          <t>Gben</t>
        </is>
      </c>
      <c r="B1472">
        <f>HYPERLINK("https://www.dofusbook.net/fr/equipement/5806008-gben/objets", "link")</f>
        <v/>
      </c>
      <c r="C1472" t="n">
        <v>3</v>
      </c>
      <c r="D1472" t="inlineStr">
        <is>
          <t>Pelle de Nidas; Amulette de Shokkoth; Alliance Gloursonne; Anneau Toriété; Quatre-feuilles; Ceinture du Barbétoal; Némès de Tal Kasha; Chevelure de Tal Kasha; Sandales de Tal Kasha; Dofus Turquoise; Dofus des Glaces; Dofus Émeraude; Dofus Ocre; Dofus Pourpre; Dofus Abyssal</t>
        </is>
      </c>
    </row>
    <row r="1473">
      <c r="A1473" t="inlineStr">
        <is>
          <t>Bee-Chette</t>
        </is>
      </c>
      <c r="B1473">
        <f>HYPERLINK("https://www.dofusbook.net/fr/equipement/5806004-bee-chette/objets", "link")</f>
        <v/>
      </c>
      <c r="C1473" t="n">
        <v>2</v>
      </c>
      <c r="D1473" t="inlineStr">
        <is>
          <t>Arc Nécrotique; Collier de la Dame du Hasard; Anneau Toriété; Bracelet des Fonds marins; Quatre-feuilles; Ceintacé; Casquette de Meno; Cape de la Dame du Hasard; Pataugastrique; Dofus Émeraude; Dofus Turquoise; Dofus Abyssal; Observateur; Chanceux majeur; Érudit majeur; Walk</t>
        </is>
      </c>
    </row>
    <row r="1474">
      <c r="A1474" t="inlineStr">
        <is>
          <t>Bee-Color</t>
        </is>
      </c>
      <c r="B1474">
        <f>HYPERLINK("https://www.dofusbook.net/fr/equipement/5806005-bee-color/objets", "link")</f>
        <v/>
      </c>
      <c r="C1474" t="n">
        <v>2</v>
      </c>
      <c r="D1474" t="inlineStr">
        <is>
          <t>Bâthon; Amulette Volkorne; Bracelet du Piloztère; Bague Gloursonne; Ceinture Volkorne; Heaume Oplate; Voile d'encre; Bottes du Roi Joueur; Dofus Ivoire; Dofus Abyssal; Érudit majeur; Nomade; Enragé majeur; Remueur; Cromeugnon</t>
        </is>
      </c>
    </row>
    <row r="1475">
      <c r="A1475" t="inlineStr">
        <is>
          <t>Bee-Joux</t>
        </is>
      </c>
      <c r="B1475">
        <f>HYPERLINK("https://www.dofusbook.net/fr/equipement/5806017-bee-joux/objets", "link")</f>
        <v/>
      </c>
      <c r="C1475" t="n">
        <v>2</v>
      </c>
      <c r="D1475" t="inlineStr">
        <is>
          <t>Massier; Amulette Volkorne; Anneau Tamie; Anneau Tamie; Bouclier du Stalak; Croture; Heaume Oplate; Cape de Diondin; Bottes Innommables; Dofus des Glaces; Érudit majeur; Nomade; Dévastateur Feu majeur; Astucieux majeur; Saccageur Feu majeur; Bisouglours</t>
        </is>
      </c>
    </row>
    <row r="1476">
      <c r="A1476" t="inlineStr">
        <is>
          <t>Zar</t>
        </is>
      </c>
      <c r="B1476">
        <f>HYPERLINK("https://www.dofusbook.net/fr/equipement/5806012-zar/objets", "link")</f>
        <v/>
      </c>
      <c r="C1476" t="n">
        <v>4</v>
      </c>
      <c r="D1476" t="inlineStr">
        <is>
          <t>Arc du Chalœil; Amulette Volkorne; Anneau Volkorne; Bracelet du Piloztère; Quatre-feuilles; Ceinture Volkorne; Casque Volkorne; Bravoure de Rykke Errel; Bottes Honyme; Dofus Pourpre; Dofus Ocre; Dofus Turquoise; Dofus Abyssal; Kroliméa</t>
        </is>
      </c>
    </row>
    <row r="1477">
      <c r="A1477" t="inlineStr">
        <is>
          <t>Goudy</t>
        </is>
      </c>
      <c r="B1477">
        <f>HYPERLINK("https://www.dofusbook.net/fr/equipement/5806019-goudy/objets", "link")</f>
        <v/>
      </c>
      <c r="C1477" t="n">
        <v>2</v>
      </c>
      <c r="D1477" t="inlineStr">
        <is>
          <t>Arc Volkorne; Amulette de Gein; Anneau de Padgref; Bracelet du Piloztère; Quatre-feuilles; Ceintacé; Masque Trithon; Chevelure de Tal Kasha; Bottes Trithon; Dofus Abyssal; Dolmanax; Dofus des Glaces; Dofus Turquoise; Nomade; Remueur; Kokulte</t>
        </is>
      </c>
    </row>
    <row r="1478">
      <c r="A1478" t="inlineStr">
        <is>
          <t>Opsie</t>
        </is>
      </c>
      <c r="B1478">
        <f>HYPERLINK("https://www.dofusbook.net/fr/equipement/5806014-opsie/objets", "link")</f>
        <v/>
      </c>
      <c r="C1478" t="n">
        <v>1</v>
      </c>
      <c r="D1478" t="inlineStr">
        <is>
          <t>Arc de Koutoulou; Amulette du Strigide; Alliance Gloursonne; Anneau Toriété; Quatre-feuilles; Ceinture du Strigide; Némès de Tal Kasha; Chevelure de Tal Kasha; Sandales de Tal Kasha; Dofus Émeraude; Dofus Ocre; Dofus Pourpre; Dofus Ivoire; Dofus Turquoise; Dofus Abyssal; Mini Wa</t>
        </is>
      </c>
    </row>
    <row r="1479">
      <c r="A1479" t="inlineStr">
        <is>
          <t>Polaire</t>
        </is>
      </c>
      <c r="B1479">
        <f>HYPERLINK("https://www.dofusbook.net/fr/equipement/5806018-polaire/objets", "link")</f>
        <v/>
      </c>
      <c r="C1479" t="n">
        <v>1</v>
      </c>
      <c r="D1479" t="inlineStr">
        <is>
          <t>Sabres d'Atcham; Amulette du Strigide; Bague Trithon; Bracelet du Piloztère; Carapar; Ceintacé; Masque Trithon; Cape d'Atcham; Sandales  d'Atcham; Dofus Émeraude; Dofus Ivoire; Dofus Pourpre; Dofus Abyssal; Dofus Turquoise; Dofus des Glaces; Phortiche</t>
        </is>
      </c>
    </row>
    <row r="1480">
      <c r="A1480" t="inlineStr">
        <is>
          <t>Centenaire</t>
        </is>
      </c>
      <c r="B1480">
        <f>HYPERLINK("https://www.dofusbook.net/fr/equipement/5806006-centenaire/objets", "link")</f>
        <v/>
      </c>
      <c r="C1480" t="n">
        <v>1</v>
      </c>
      <c r="D1480" t="inlineStr">
        <is>
          <t>Amulette des Chocomanciens; Alliance Gloursonne; Ceinture du Barbétoal; Capuche de l'Œil Putride; Cape Tif</t>
        </is>
      </c>
    </row>
    <row r="1481">
      <c r="A1481" t="inlineStr">
        <is>
          <t>Huppermage F 200</t>
        </is>
      </c>
      <c r="B1481">
        <f>HYPERLINK("https://www.dofusbook.net/fr/equipement/5811924-huppermage-f-200/objets", "link")</f>
        <v/>
      </c>
      <c r="C1481" t="n">
        <v>1</v>
      </c>
      <c r="D1481" t="inlineStr"/>
    </row>
    <row r="1482">
      <c r="A1482" t="inlineStr">
        <is>
          <t>Prospection</t>
        </is>
      </c>
      <c r="B1482">
        <f>HYPERLINK("https://www.dofusbook.net/fr/equipement/5750618-prospection/objets", "link")</f>
        <v/>
      </c>
      <c r="C1482" t="n">
        <v>1</v>
      </c>
      <c r="D1482" t="inlineStr">
        <is>
          <t>Pelle Fik; Kralamansion; Anneau Bliteré; Anneau Tique; Tranche des Sous-bois; Casque Harnage; Cape du Minotot; Bottines des sous-bois; Dokille; Dofus Kaliptus; Taquin majeur; Joueur majeur; Taquin; Joueur; Bloalak</t>
        </is>
      </c>
    </row>
    <row r="1483">
      <c r="A1483" t="inlineStr">
        <is>
          <t>Atch</t>
        </is>
      </c>
      <c r="B1483">
        <f>HYPERLINK("https://www.dofusbook.net/fr/equipement/5806011-atch/objets", "link")</f>
        <v/>
      </c>
      <c r="C1483" t="n">
        <v>1</v>
      </c>
      <c r="D1483" t="inlineStr"/>
    </row>
    <row r="1484">
      <c r="A1484" t="inlineStr">
        <is>
          <t>Nouz</t>
        </is>
      </c>
      <c r="B1484">
        <f>HYPERLINK("https://www.dofusbook.net/fr/equipement/5806016-nouz/objets", "link")</f>
        <v/>
      </c>
      <c r="C1484" t="n">
        <v>1</v>
      </c>
      <c r="D1484" t="inlineStr"/>
    </row>
    <row r="1485">
      <c r="A1485" t="inlineStr">
        <is>
          <t>Nome</t>
        </is>
      </c>
      <c r="B1485">
        <f>HYPERLINK("https://www.dofusbook.net/fr/equipement/5806020-nome/objets", "link")</f>
        <v/>
      </c>
      <c r="C1485" t="n">
        <v>2</v>
      </c>
      <c r="D1485" t="inlineStr"/>
    </row>
    <row r="1486">
      <c r="A1486" t="inlineStr">
        <is>
          <t>Mbow</t>
        </is>
      </c>
      <c r="B1486">
        <f>HYPERLINK("https://www.dofusbook.net/fr/equipement/5806022-mbow/objets", "link")</f>
        <v/>
      </c>
      <c r="C1486" t="n">
        <v>1</v>
      </c>
      <c r="D1486" t="inlineStr"/>
    </row>
    <row r="1487">
      <c r="A1487" t="inlineStr">
        <is>
          <t>Kini</t>
        </is>
      </c>
      <c r="B1487">
        <f>HYPERLINK("https://www.dofusbook.net/fr/equipement/5806023-kini/objets", "link")</f>
        <v/>
      </c>
      <c r="C1487" t="n">
        <v>1</v>
      </c>
      <c r="D1487" t="inlineStr"/>
    </row>
    <row r="1488">
      <c r="A1488" t="inlineStr">
        <is>
          <t>terre</t>
        </is>
      </c>
      <c r="B1488">
        <f>HYPERLINK("https://www.dofusbook.net/fr/equipement/5406604-terre/objets", "link")</f>
        <v/>
      </c>
      <c r="C1488" t="n">
        <v>1</v>
      </c>
      <c r="D1488" t="inlineStr">
        <is>
          <t>Lav'Hache; Torquistik; Anneau Toriété; Bracelet du Piloztère; Bouclier du Captain Amakna; Ceinture Gence; Masque de Koutoulou; Cape du Cœur Saignant; Bottes du Cœur Saignant; Dofus Émeraude; Dofus Turquoise; Dofus Ivoire; Enragé majeur; Forcené majeur; Carapace Terre majeur; Pioute vert</t>
        </is>
      </c>
    </row>
    <row r="1489">
      <c r="A1489" t="inlineStr">
        <is>
          <t>Huppermage F 200</t>
        </is>
      </c>
      <c r="B1489">
        <f>HYPERLINK("https://www.dofusbook.net/fr/equipement/5288668-huppermage-f-200/objets", "link")</f>
        <v/>
      </c>
      <c r="C1489" t="n">
        <v>4</v>
      </c>
      <c r="D1489" t="inlineStr">
        <is>
          <t>Bâton Beau; Amulette du Strigide; Anneau Toriété; Bracelet du Piloztère; Quatre-feuilles; Ceintacé; Le Dorado; Dofusteuse; Bottes du Strigide; Dofus Turquoise; Dofus Ébène; Dofus Émeraude; Dofus Pourpre; Dolmanax; Dofus Ivoire; Fëanor</t>
        </is>
      </c>
    </row>
    <row r="1490">
      <c r="A1490" t="inlineStr">
        <is>
          <t>Tanky</t>
        </is>
      </c>
      <c r="B1490">
        <f>HYPERLINK("https://www.dofusbook.net/fr/equipement/5281099-tanky/objets", "link")</f>
        <v/>
      </c>
      <c r="C1490" t="n">
        <v>9</v>
      </c>
      <c r="D1490" t="inlineStr">
        <is>
          <t>Rouleau à Pâtisserie d'Aermyne; Collier Rophante; Gant du Valet Veinard; Anneau de Pol Ouatnos; Bouclier précieux; Ceinture de Kongoku; Dorabysses; Cape de Kongoku; Baleinabottes; Dofus Émeraude; Dofus Ivoire; Remueur; Obstructeur majeur; Bloqueur majeur; Carapace Terre majeur; Givrefoux</t>
        </is>
      </c>
    </row>
    <row r="1491">
      <c r="A1491" t="inlineStr">
        <is>
          <t>Enutrof M 200</t>
        </is>
      </c>
      <c r="B1491">
        <f>HYPERLINK("https://www.dofusbook.net/fr/equipement/5186716-enutrof-m-200/objets", "link")</f>
        <v/>
      </c>
      <c r="C1491" t="n">
        <v>3</v>
      </c>
      <c r="D1491" t="inlineStr">
        <is>
          <t>Épée Brûlâme; Collier de la Dame du Hasard; Bracelet du Piloztère; Bracelet des Fonds marins; Bouclier cubiste; Ceintacé; Casquette de Meno; Cape de la Dame du Hasard; Pataugastrique; Dofus Ivoire; Dofus Pourpre; Dofus Turquoise; Nomade; Entraveur majeur; Temporiseur majeur; Gwo Tofu Ventripotent</t>
        </is>
      </c>
    </row>
    <row r="1492">
      <c r="A1492" t="inlineStr">
        <is>
          <t>Crâ</t>
        </is>
      </c>
      <c r="B1492">
        <f>HYPERLINK("https://www.dofusbook.net/fr/equipement/3955350-cra/objets", "link")</f>
        <v/>
      </c>
      <c r="C1492" t="n">
        <v>13</v>
      </c>
      <c r="D1492" t="inlineStr">
        <is>
          <t>Hache du Chalœil; Amulette du Strigide; Alliance Gloursonne; Bague Gloursonne; Quatre-feuilles; Ceintacé; Casque du Chalœil; Cape du Chalœil; Bottes du Strigide; Dofus Pourpre; Dofus Ivoire; Dolmanax; Dofus Abyssal; Dofus Turquoise; Dofus Ocre; Phortiche</t>
        </is>
      </c>
    </row>
    <row r="1493">
      <c r="A1493" t="inlineStr">
        <is>
          <t>Huppermage</t>
        </is>
      </c>
      <c r="B1493">
        <f>HYPERLINK("https://www.dofusbook.net/fr/equipement/4746680-huppermage/objets", "link")</f>
        <v/>
      </c>
      <c r="C1493" t="n">
        <v>3</v>
      </c>
      <c r="D1493" t="inlineStr">
        <is>
          <t>Sceptre du Roi Joueur; Amulette de l'Œil Attentif; Anneau Volkorne; Bracelet du Piloztère; Bouclier du Captain Amakna; Poulpagne; Casque Dragoeuf; Cape de l'Œil Attentif; Bottes du Sinistrofu; Dofus Turquoise; Dofus Ivoire; Dofus Émeraude; Remueur; Chanceux majeur; Nomade; El Scarador</t>
        </is>
      </c>
    </row>
    <row r="1494">
      <c r="A1494" t="inlineStr">
        <is>
          <t>Pandawa eau</t>
        </is>
      </c>
      <c r="B1494">
        <f>HYPERLINK("https://www.dofusbook.net/fr/equipement/3846840-pandawa-eau/objets", "link")</f>
        <v/>
      </c>
      <c r="C1494" t="n">
        <v>2</v>
      </c>
      <c r="D1494" t="inlineStr">
        <is>
          <t>Dagoulinantes; Amulette du Strigide; Bracelet du Piloztère; Alliance Gloursonne; Bouclier du Captain Amakna; Poulpagne; Kidibonnet; Chevelure de Tal Kasha; Sandales de Tal Kasha; Dofus Turquoise; Chanceux majeur; Nomade; Vigoureux majeur; Dévastateur Eau majeur; Remueur; Muldo Prune et Emeraude</t>
        </is>
      </c>
    </row>
    <row r="1495">
      <c r="A1495" t="inlineStr">
        <is>
          <t>Pandawa M 200</t>
        </is>
      </c>
      <c r="B1495">
        <f>HYPERLINK("https://www.dofusbook.net/fr/equipement/3846782-pandawa-m-200/objets", "link")</f>
        <v/>
      </c>
      <c r="C1495" t="n">
        <v>6</v>
      </c>
      <c r="D1495" t="inlineStr">
        <is>
          <t>Arc du Chalœil; Amulette du Strigide; Bague Gloursonne; Anneau Chevelu; Quatre-feuilles; Ceintacé; Masque de Koutoulou; Cape au Logis; Bottes du Strigide; Dofus Turquoise; Carapace Eau majeur; Enragé majeur; Remueur; Carapace Terre majeur; Nomade; Dragodinde en armure</t>
        </is>
      </c>
    </row>
    <row r="1496">
      <c r="A1496" t="inlineStr">
        <is>
          <t>Pandawa koutoulou</t>
        </is>
      </c>
      <c r="B1496">
        <f>HYPERLINK("https://www.dofusbook.net/fr/equipement/3846443-pandawa-koutoulou/objets", "link")</f>
        <v/>
      </c>
      <c r="C1496" t="n">
        <v>4</v>
      </c>
      <c r="D1496" t="inlineStr">
        <is>
          <t>Arc de Koutoulou; Amulette du Strigide; Bracelet du Piloztère; Alliance Gloursonne; Quatre-feuilles; Ceintacé; Kidibonnet; Chevelure de Tal Kasha; Sandales de Tal Kasha; Dofus Turquoise; Chanceux majeur; Remueur; Vigoureux majeur; Nomade; Cascadeur majeur; Muldo Ebène et Indigo</t>
        </is>
      </c>
    </row>
    <row r="1497">
      <c r="A1497" t="inlineStr">
        <is>
          <t>Pandawa air/res/tacle</t>
        </is>
      </c>
      <c r="B1497">
        <f>HYPERLINK("https://www.dofusbook.net/fr/equipement/3822831-pandawa-air-res-tacle/objets", "link")</f>
        <v/>
      </c>
      <c r="C1497" t="n">
        <v>2</v>
      </c>
      <c r="D1497" t="inlineStr">
        <is>
          <t>Rouleau à Pâtisserie d'Aermyne; Collier Rophante; Alliance Gloursonne; Anneau de Pol Ouatnos; Bouclier d'Anerice; Ceinture de XLII; Bonnet Ko; Cape du Professeur Xa; Bottes de XLII; Carapace Neutre majeur; Obstructeur majeur; Carapace Eau majeur; Remueur; Bloqueur majeur; Miraculé majeur; Kramkram</t>
        </is>
      </c>
    </row>
    <row r="1498">
      <c r="A1498" t="inlineStr">
        <is>
          <t>Pandawa resistance</t>
        </is>
      </c>
      <c r="B1498">
        <f>HYPERLINK("https://www.dofusbook.net/fr/equipement/3822787-pandawa-resistance/objets", "link")</f>
        <v/>
      </c>
      <c r="C1498" t="n">
        <v>3</v>
      </c>
      <c r="D1498" t="inlineStr">
        <is>
          <t>Rouleau à Pâtisserie d'Aermyne; Collier Rophante; Bague Gloursonne; Alliance Gloursonne; Sept ans de malheur; Ceintacé; Casque Dragoeuf; Cape d'Anerice; Sabots Minables; Dofus Ivoire; Obstructeur majeur; Nomade; Carapace Neutre majeur; Miraculé majeur; Remueur; Kramkram</t>
        </is>
      </c>
    </row>
    <row r="1499">
      <c r="A1499" t="inlineStr">
        <is>
          <t>Féca cac toche</t>
        </is>
      </c>
      <c r="B1499">
        <f>HYPERLINK("https://www.dofusbook.net/fr/equipement/3822761-feca-cac-toche/objets", "link")</f>
        <v/>
      </c>
      <c r="C1499" t="n">
        <v>4</v>
      </c>
      <c r="D1499" t="inlineStr">
        <is>
          <t>Epée Toche; Amulette du Strigide; Alliance de Missiz Frizz; Bague Gloursonne; Bouclier du Captain Amakna; Ceintacé; Masque de Koutoulou; Cape au Logis; Bottes du Strigide; Dofus Turquoise; Furibond majeur; Nomade; Enragé majeur; Vigoureux majeur; Remueur; Kramkram</t>
        </is>
      </c>
    </row>
    <row r="1500">
      <c r="A1500" t="inlineStr">
        <is>
          <t>Féca terreeau</t>
        </is>
      </c>
      <c r="B1500">
        <f>HYPERLINK("https://www.dofusbook.net/fr/equipement/3817521-feca-terreeau-/objets", "link")</f>
        <v/>
      </c>
      <c r="C1500" t="n">
        <v>2</v>
      </c>
      <c r="D1500" t="inlineStr">
        <is>
          <t>Arc de Guten Tak; Amulette du Strigide; Bague Gloursonne; Anneau du Comte Harebourg; Quatre-feuilles; Ceintacé; Masque de Koutoulou; Cape au Logis; Bottes du Strigide; Dofus Turquoise; Furibond majeur; Remueur; Enragé majeur; Nomade; Vigoureux majeur; Kompost</t>
        </is>
      </c>
    </row>
    <row r="1501">
      <c r="A1501" t="inlineStr">
        <is>
          <t>Féca feu</t>
        </is>
      </c>
      <c r="B1501">
        <f>HYPERLINK("https://www.dofusbook.net/fr/equipement/3817473-feca-feu/objets", "link")</f>
        <v/>
      </c>
      <c r="C1501" t="n">
        <v>1</v>
      </c>
      <c r="D1501" t="inlineStr"/>
    </row>
    <row r="1502">
      <c r="A1502" t="inlineStr">
        <is>
          <t>MULTI EAUAIR</t>
        </is>
      </c>
      <c r="B1502">
        <f>HYPERLINK("https://www.dofusbook.net/fr/equipement/3806284-multi-eauair/objets", "link")</f>
        <v/>
      </c>
      <c r="C1502" t="n">
        <v>3</v>
      </c>
      <c r="D1502" t="inlineStr">
        <is>
          <t>Arc de Koutoulou; Amulette du Strigide; Bracelet du Piloztère; Alliance Gloursonne; Quatre-feuilles; Ceintacé; Némès de Tal Kasha; Chevelure de Tal Kasha; Sandales  d'Atcham; Dofus Turquoise; Chanceux majeur; Remueur; Cascadeur majeur; Nomade; Vigoureux majeur; Muldo Prune et Emeraude</t>
        </is>
      </c>
    </row>
    <row r="1503">
      <c r="A1503" t="inlineStr">
        <is>
          <t>Féca M 200</t>
        </is>
      </c>
      <c r="B1503">
        <f>HYPERLINK("https://www.dofusbook.net/fr/equipement/3485058-feca-m-200/objets", "link")</f>
        <v/>
      </c>
      <c r="C1503" t="n">
        <v>2</v>
      </c>
      <c r="D1503" t="inlineStr">
        <is>
          <t>Dagoulinantes; Amulette du Strigide; Bracelet du Piloztère; Alliance Gloursonne; Quatre-feuilles; Ceinture du Strigide; Kidibonnet; Chevelure de Tal Kasha; Pataugastrique; Dévastateur Eau majeur; Remueur; Taquin majeur; Nomade; Chanceux majeur; Vigoureux majeur; Muldo Prune et Emeraude</t>
        </is>
      </c>
    </row>
    <row r="1504">
      <c r="A1504" t="inlineStr">
        <is>
          <t>Féca terre 200</t>
        </is>
      </c>
      <c r="B1504">
        <f>HYPERLINK("https://www.dofusbook.net/fr/equipement/3484963-feca-terre-200/objets", "link")</f>
        <v/>
      </c>
      <c r="C1504" t="n">
        <v>1</v>
      </c>
      <c r="D1504" t="inlineStr">
        <is>
          <t>Bêche Asse; Amulette du Strigide; Bague Gloursonne; Anneau du Comte Harebourg; Bouclier du Captain Amakna; Ceinture du Strigide; Masque de Koutoulou; Cape au Logis; Sabots Minables; Dofus Turquoise; Remueur; Vigoureux majeur; Nomade; Sanguinaire majeur; Enragé majeur; Kompost</t>
        </is>
      </c>
    </row>
    <row r="1505">
      <c r="A1505" t="inlineStr">
        <is>
          <t>terre/retrait/tacle</t>
        </is>
      </c>
      <c r="B1505">
        <f>HYPERLINK("https://www.dofusbook.net/fr/equipement/3806243-terre-retrait-tacle/objets", "link")</f>
        <v/>
      </c>
      <c r="C1505" t="n">
        <v>7</v>
      </c>
      <c r="D1505" t="inlineStr">
        <is>
          <t>Lav'Hache; Collier de Tourthon; Anneau Crustique; Anneau Crustique; Sept ans de malheur; Ceintouse; Masque de Koutoulou; Cape du Cœur Vaillant; Tentassons; Dofus Ocre; Dofus Ivoire; Obstructeur majeur; Carapace Terre majeur; Étourdisseur majeur; Carapace Neutre majeur; Muldo Roux et Pourpre</t>
        </is>
      </c>
    </row>
    <row r="1506">
      <c r="A1506" t="inlineStr">
        <is>
          <t>Terre199</t>
        </is>
      </c>
      <c r="B1506">
        <f>HYPERLINK("https://www.dofusbook.net/fr/equipement/2844207-terre199/objets", "link")</f>
        <v/>
      </c>
      <c r="C1506" t="n">
        <v>3</v>
      </c>
      <c r="D1506" t="inlineStr">
        <is>
          <t>Bêche Asse; Phylactère Mic; Bague Gloursonne; Gelano; Bouclier Taverne; Ceinture de Brouce; Casque de Missiz Frizz; Cape au Logis; Bottes de Brouce; Miraculé majeur; Furibond majeur; Remueur; Enragé majeur; Forcené majeur; Vigoureux majeur; Kompost</t>
        </is>
      </c>
    </row>
    <row r="1507">
      <c r="A1507" t="inlineStr">
        <is>
          <t>Crapvm</t>
        </is>
      </c>
      <c r="B1507">
        <f>HYPERLINK("https://www.dofusbook.net/fr/equipement/2757144-crapvm/objets", "link")</f>
        <v/>
      </c>
      <c r="C1507" t="n">
        <v>11</v>
      </c>
      <c r="D1507" t="inlineStr">
        <is>
          <t>La Baguette des Limbes; Talisman Choh; Crochet de Ben le Ripate; Gelano; Cadran de Terre; Ceinture du Tengu Givrefoux; Bonnet Ko; Cape de l'Obsidiantre; Bottes du Tengu Givrefoux; Dofus Turquoise; Dofus Pourpre; Érudit majeur; Remueur; Vigoureux majeur; Savant majeur; Muldo Prune et Emeraude</t>
        </is>
      </c>
    </row>
    <row r="1508">
      <c r="A1508" t="inlineStr">
        <is>
          <t>feu pas cher</t>
        </is>
      </c>
      <c r="B1508">
        <f>HYPERLINK("https://www.dofusbook.net/fr/equipement/2738164-feu-pas-cher/objets", "link")</f>
        <v/>
      </c>
      <c r="C1508" t="n">
        <v>7</v>
      </c>
      <c r="D1508" t="inlineStr">
        <is>
          <t>La Baguette des Limbes; Amulette d'Otomaï; Anneau Tamie; Anneau Tamie; Bouclier du Stalak; Sangle Aise; Coiffe Séculaire; Cape de Nileza; Bottes de Nileza; Remueur; Astucieux majeur; Nomade; Érudit majeur; Miraculé majeur; Vigoureux majeur; Brûlih</t>
        </is>
      </c>
    </row>
    <row r="1509">
      <c r="A1509" t="inlineStr">
        <is>
          <t>Multi pas cher</t>
        </is>
      </c>
      <c r="B1509">
        <f>HYPERLINK("https://www.dofusbook.net/fr/equipement/2738062-multi-pas-cher-/objets", "link")</f>
        <v/>
      </c>
      <c r="C1509" t="n">
        <v>5</v>
      </c>
      <c r="D1509" t="inlineStr">
        <is>
          <t>Epée Maudite du Saigneur Guerrier; Amulette du Strigide; Bracelet du Piloztère; Bague Gloursonne; Bouclier du Captain Amakna; Ceinture du Strigide; Casque de Missiz Frizz; Cape du Professeur Xa; Bottes du Cycloïde; Dofus Turquoise; Dofus Pourpre; Vigoureux majeur; Remueur; Turbulent; Nomade; Muldo Prune et Emeraude</t>
        </is>
      </c>
    </row>
    <row r="1510">
      <c r="A1510" t="inlineStr">
        <is>
          <t>Pvm</t>
        </is>
      </c>
      <c r="B1510">
        <f>HYPERLINK("https://www.dofusbook.net/fr/equipement/2731423-pvm/objets", "link")</f>
        <v/>
      </c>
      <c r="C1510" t="n">
        <v>13</v>
      </c>
      <c r="D1510" t="inlineStr">
        <is>
          <t>Baguette Range; Amulette du Strigide; Anneau de Padgref; Bracelet du Piloztère; Quatre-feuilles; Ceinture du Strigide; Coiffe de Padgref; Cape du Professeur Xa; Getas de Padgref; Dofus Turquoise; Acrobate majeur; Astucieux majeur; Savant majeur; Muldo Prune et Emeraude</t>
        </is>
      </c>
    </row>
    <row r="1511">
      <c r="A1511" t="inlineStr">
        <is>
          <t>stuff pvm pas cher</t>
        </is>
      </c>
      <c r="B1511">
        <f>HYPERLINK("https://www.dofusbook.net/fr/equipement/2723609-stuff-pvm-pas-cher/objets", "link")</f>
        <v/>
      </c>
      <c r="C1511" t="n">
        <v>17</v>
      </c>
      <c r="D1511" t="inlineStr">
        <is>
          <t>Bâton Beau; Amulette du Strigide; Bracelet du Piloztère; Alliance de Missiz Frizz; Quatre-feuilles; Ceintacé; Coiffe de Padgref; Cape des Justiciers; Getas de Padgref; Dofus Turquoise; Nomade; Remueur; Érudit majeur; Vigoureux majeur; Enragé majeur; Muldo Prune et Emeraude</t>
        </is>
      </c>
    </row>
    <row r="1512">
      <c r="A1512" t="inlineStr">
        <is>
          <t>Terre eau</t>
        </is>
      </c>
      <c r="B1512">
        <f>HYPERLINK("https://www.dofusbook.net/fr/equipement/2718532-terre-eau/objets", "link")</f>
        <v/>
      </c>
      <c r="C1512" t="n">
        <v>1</v>
      </c>
      <c r="D1512" t="inlineStr">
        <is>
          <t>Arc Ahique; Bottes de la Reine des Voleurs</t>
        </is>
      </c>
    </row>
    <row r="1513">
      <c r="A1513" t="inlineStr">
        <is>
          <t>ParfaitNiveau200</t>
        </is>
      </c>
      <c r="B1513">
        <f>HYPERLINK("https://www.dofusbook.net/fr/equipement/197922-parfaitniveau200/objets", "link")</f>
        <v/>
      </c>
      <c r="C1513" t="n">
        <v>18</v>
      </c>
      <c r="D1513" t="inlineStr"/>
    </row>
    <row r="1514">
      <c r="A1514" t="inlineStr">
        <is>
          <t>Dracula 1.29</t>
        </is>
      </c>
      <c r="B1514">
        <f>HYPERLINK("https://www.dofusbook.net/fr/equipement/4141217-dracula-1-29/objets", "link")</f>
        <v/>
      </c>
      <c r="C1514" t="n">
        <v>5</v>
      </c>
      <c r="D1514" t="inlineStr">
        <is>
          <t>Ougarteau; Kralamansion; Annolamour; Kralano; Bouclier du Captain Amakna; Ceinture Rasboulaire du Rasboul; Chapignon; Voile d'encre; Sandales Circulaires du Kimbo; Dofus Turquoise; Dofus Pourpre; Dofus Cawotte; Dofus Ocre; Dofus Vulbis; Dofus Émeraude; Dragodinde Emeraude</t>
        </is>
      </c>
    </row>
    <row r="1515">
      <c r="A1515" t="inlineStr">
        <is>
          <t>RoublardEau200opti</t>
        </is>
      </c>
      <c r="B1515">
        <f>HYPERLINK("https://www.dofusbook.net/fr/equipement/4140495-roublardeau200opti/objets", "link")</f>
        <v/>
      </c>
      <c r="C1515" t="n">
        <v>18</v>
      </c>
      <c r="D1515" t="inlineStr">
        <is>
          <t>Sceptre du Roi Joueur; Amulette de Shokkoth; Alliance Gloursonne; Anneau Volkorne; Cadran de Terre; Poulpagne; Capuche de l'Œil Attentif; Cape de l'Œil Attentif; Pataugastrique; Dofus Abyssal; Dofus des Glaces; Dofus Pourpre; Nomade; Étourdisseur majeur; Paralyseur majeur; Dragodinde Indigo et Ivoire</t>
        </is>
      </c>
    </row>
    <row r="1516">
      <c r="A1516" t="inlineStr">
        <is>
          <t>Pandawa F 200</t>
        </is>
      </c>
      <c r="B1516">
        <f>HYPERLINK("https://www.dofusbook.net/fr/equipement/3832025-pandawa-f-200/objets", "link")</f>
        <v/>
      </c>
      <c r="C1516" t="n">
        <v>18</v>
      </c>
      <c r="D1516" t="inlineStr">
        <is>
          <t>Arc du Chalœil; Amulette du Strigide; Anneau Chevelu; Bague Gloursonne; Quatre-feuilles; Ceinture Volkorne; Masque de Koutoulou; Cape au Logis; Bottes du Strigide; Dofus Pourpre; Dofus Turquoise; Dofus Abyssal; Dokoko; Remueur; Enragé majeur; Pioute vert</t>
        </is>
      </c>
    </row>
    <row r="1517">
      <c r="A1517" t="inlineStr">
        <is>
          <t>Enutrof F 200</t>
        </is>
      </c>
      <c r="B1517">
        <f>HYPERLINK("https://www.dofusbook.net/fr/equipement/3992259-enutrof-f-200/objets", "link")</f>
        <v/>
      </c>
      <c r="C1517" t="n">
        <v>16</v>
      </c>
      <c r="D1517" t="inlineStr">
        <is>
          <t>Amrothiline; Anneau Chevelu; Anneau Volkorne; Quatre-feuilles; Ceinture Volkorne; Masque de Koutoulou; Bottes du Cœur Saignant; Dofus Turquoise; Dofus des Glaces; Dofus Nébuleux; Dofus Pourpre; Dofus Abyssal</t>
        </is>
      </c>
    </row>
    <row r="1518">
      <c r="A1518" t="inlineStr">
        <is>
          <t>Zobal terre air</t>
        </is>
      </c>
      <c r="B1518">
        <f>HYPERLINK("https://www.dofusbook.net/fr/equipement/2155064-zobal-terre-air/objets", "link")</f>
        <v/>
      </c>
      <c r="C1518" t="n">
        <v>22</v>
      </c>
      <c r="D1518" t="inlineStr">
        <is>
          <t>Hache du Chalœil; Amulette Volkorne; Bague Trithon; Anneau Volkorne; Quatre-feuilles; Ceinture Volkorne; Masque Trithon; Dofusteuse; Bottes Trithon; Dofus Pourpre; Dofus Turquoise; Dofus Ivoire; Dofus des Glaces; Dofus Abyssal; Dofus Nébuleux; Sakochère</t>
        </is>
      </c>
    </row>
    <row r="1519">
      <c r="A1519" t="inlineStr">
        <is>
          <t>Pandawa Eau</t>
        </is>
      </c>
      <c r="B1519">
        <f>HYPERLINK("https://www.dofusbook.net/fr/equipement/3708959-pandawa-eau/objets", "link")</f>
        <v/>
      </c>
      <c r="C1519" t="n">
        <v>12</v>
      </c>
      <c r="D1519" t="inlineStr">
        <is>
          <t>Quatre-feuilles; Dofus Turquoise; Dofus des Glaces; Dofus Pourpre; Dofus Abyssal; Kokulte</t>
        </is>
      </c>
    </row>
    <row r="1520">
      <c r="A1520" t="inlineStr">
        <is>
          <t>Féca M 200</t>
        </is>
      </c>
      <c r="B1520">
        <f>HYPERLINK("https://www.dofusbook.net/fr/equipement/4312712-feca-m-200/objets", "link")</f>
        <v/>
      </c>
      <c r="C1520" t="n">
        <v>4</v>
      </c>
      <c r="D1520" t="inlineStr"/>
    </row>
    <row r="1521">
      <c r="A1521" t="inlineStr">
        <is>
          <t>Cacviableet65récri</t>
        </is>
      </c>
      <c r="B1521">
        <f>HYPERLINK("https://www.dofusbook.net/fr/equipement/3055663-cacviableet65recri/objets", "link")</f>
        <v/>
      </c>
      <c r="C1521" t="n">
        <v>12</v>
      </c>
      <c r="D1521" t="inlineStr">
        <is>
          <t>Plume de Buhorado; Collier du Valet Veinard; Alliance Gloursonne; Gant du Valet Veinard; Bouclier du Stalak; Menoture; Cape Martegel; Palmes Trithons; Dofus Pourpre; Dofus des Glaces; Dofus Abyssal; Remueur; Érudit majeur; Nomade; Dragodinde Ebène et Ivoire</t>
        </is>
      </c>
    </row>
    <row r="1522">
      <c r="A1522" t="inlineStr">
        <is>
          <t>Multi</t>
        </is>
      </c>
      <c r="B1522">
        <f>HYPERLINK("https://www.dofusbook.net/fr/equipement/2118030-multi/objets", "link")</f>
        <v/>
      </c>
      <c r="C1522" t="n">
        <v>12</v>
      </c>
      <c r="D1522" t="inlineStr">
        <is>
          <t>Manthache; Collier du Valet Veinard; Alliance Gloursonne; Gant du Valet Veinard; Cadran d'Air; Menoture; Dorabysses; Cape Martegel; Palmes Trithons; Dofus Abyssal; Dofus Ocre; Dofus Vulbis; Dofus Ivoire; Dofus Pourpre; Dofus des Glaces; Dragodinde Ebène et Ivoire</t>
        </is>
      </c>
    </row>
    <row r="1523">
      <c r="A1523" t="inlineStr">
        <is>
          <t>enu feu</t>
        </is>
      </c>
      <c r="B1523">
        <f>HYPERLINK("https://www.dofusbook.net/fr/equipement/1396646-enu-feu/objets", "link")</f>
        <v/>
      </c>
      <c r="C1523" t="n">
        <v>10</v>
      </c>
      <c r="D1523" t="inlineStr">
        <is>
          <t>Epée Kari; Amulette Héroclite; Anneau Chevelu; Anneau de Brouce; Bouclier alvéolé; Ceinture de Brouce; Casque Dragoeuf; Cape au Logis; Sabots Minables; Dofus Nébuleux; Dofus Turquoise; Dofus Abyssal; Dofus Pourpre; Enragé majeur; Dragodinde Ivoire et Pourpre</t>
        </is>
      </c>
    </row>
    <row r="1524">
      <c r="A1524" t="inlineStr">
        <is>
          <t>BOMBEFEU</t>
        </is>
      </c>
      <c r="B1524">
        <f>HYPERLINK("https://www.dofusbook.net/fr/equipement/4108238-bombefeu/objets", "link")</f>
        <v/>
      </c>
      <c r="C1524" t="n">
        <v>11</v>
      </c>
      <c r="D1524" t="inlineStr">
        <is>
          <t>Arc corrompu; Amulette Volkorne; Anneauræus; Anneauræus; Quatre-feuilles; Protopagne; Heaume Oplate; Voile d'encre; Bottes Innommables; Dofus Ivoire; Dofus des Glaces; Dokoko; Dofus Abyssal; Dofus Pourpre; Dévastateur Feu majeur; Bisouglours</t>
        </is>
      </c>
    </row>
    <row r="1525">
      <c r="A1525" t="inlineStr">
        <is>
          <t>Xel</t>
        </is>
      </c>
      <c r="B1525">
        <f>HYPERLINK("https://www.dofusbook.net/fr/equipement/3055863-xel/objets", "link")</f>
        <v/>
      </c>
      <c r="C1525" t="n">
        <v>23</v>
      </c>
      <c r="D1525" t="inlineStr">
        <is>
          <t>Lav'Hache; Collier de Tourthon; Anneau Crustique; Anneau Crustique; Ceinture de la Reine des Voleurs; Coiffe de la Reine des Voleurs; Cape au Logis; Bottes de la Cour Sombre; Dofus Pourpre; Dofus des Glaces; Dofus Abyssal; Remueur; Bulbisou</t>
        </is>
      </c>
    </row>
    <row r="1526">
      <c r="A1526" t="inlineStr">
        <is>
          <t>Féca F 200</t>
        </is>
      </c>
      <c r="B1526">
        <f>HYPERLINK("https://www.dofusbook.net/fr/equipement/4104502-feca-f-200/objets", "link")</f>
        <v/>
      </c>
      <c r="C1526" t="n">
        <v>15</v>
      </c>
      <c r="D1526" t="inlineStr">
        <is>
          <t>Marteau R'ture; Amulette du Strigide; Anneau Crustique; Anneau Crustique; Bouclier alvéolé; Ceinture de la Cour Sombre; Masque de Koutoulou; Cape au Logis; Bottes de la Cour Sombre; Dofus Ivoire; Dofus Nébuleux; Dofus Émeraude; Dofus Abyssal; Dofus Pourpre; Obstructeur majeur; Volkorne Ivoire et Pourpre</t>
        </is>
      </c>
    </row>
    <row r="1527">
      <c r="A1527" t="inlineStr">
        <is>
          <t>Sadida M 200</t>
        </is>
      </c>
      <c r="B1527">
        <f>HYPERLINK("https://www.dofusbook.net/fr/equipement/4103784-sadida-m-200/objets", "link")</f>
        <v/>
      </c>
      <c r="C1527" t="n">
        <v>2</v>
      </c>
      <c r="D1527" t="inlineStr"/>
    </row>
    <row r="1528">
      <c r="A1528" t="inlineStr">
        <is>
          <t>Sram M 200</t>
        </is>
      </c>
      <c r="B1528">
        <f>HYPERLINK("https://www.dofusbook.net/fr/equipement/4103775-sram-m-200/objets", "link")</f>
        <v/>
      </c>
      <c r="C1528" t="n">
        <v>1</v>
      </c>
      <c r="D1528" t="inlineStr"/>
    </row>
    <row r="1529">
      <c r="A1529" t="inlineStr">
        <is>
          <t>Sram M 200</t>
        </is>
      </c>
      <c r="B1529">
        <f>HYPERLINK("https://www.dofusbook.net/fr/equipement/3842699-sram-m-200/objets", "link")</f>
        <v/>
      </c>
      <c r="C1529" t="n">
        <v>16</v>
      </c>
      <c r="D1529" t="inlineStr">
        <is>
          <t>Amulette du Strigide; Anneau Chevelu; Anneau Volkorne; Quatre-feuilles; Ceinture Volkorne; Masque de Koutoulou; Cape au Logis; Bottes du Strigide; Dofus Ocre; Dofus Nébuleux; Dofus Vulbis; Dofus Turquoise; Dofus Pourpre; Dofus des Glaces; Pioute vert</t>
        </is>
      </c>
    </row>
    <row r="1530">
      <c r="A1530" t="inlineStr">
        <is>
          <t>Féca F 200</t>
        </is>
      </c>
      <c r="B1530">
        <f>HYPERLINK("https://www.dofusbook.net/fr/equipement/3794721-feca-f-200/objets", "link")</f>
        <v/>
      </c>
      <c r="C1530" t="n">
        <v>13</v>
      </c>
      <c r="D1530" t="inlineStr">
        <is>
          <t>Couteaux à Champignons; Amulette du Strigide; Alliance Gloursonne; Anneau Colerette; Bouclier du Captain Amakna; Ceinture du Strigide; Chapignon; Caprin; Bottes du Strigide; Dofus Émeraude; Dofus Ivoire; Dofus Turquoise; Dofus Ocre; Dofus Abyssal; Dofus Pourpre; Dragodinde Ebène et Ivoire</t>
        </is>
      </c>
    </row>
    <row r="1531">
      <c r="A1531" t="inlineStr">
        <is>
          <t>Zobal M 200</t>
        </is>
      </c>
      <c r="B1531">
        <f>HYPERLINK("https://www.dofusbook.net/fr/equipement/3788885-zobal-m-200/objets", "link")</f>
        <v/>
      </c>
      <c r="C1531" t="n">
        <v>29</v>
      </c>
      <c r="D1531" t="inlineStr">
        <is>
          <t>Masse Ossiale; Amulette du Sinistrofu; Bracelet des Fonds marins; Alliance Gloursonne; Bouclier précieux; Ceintrigue; Casque Dragoeuf; Cape Solution; Bottes Owesli; Dofus Abyssal; Dofus Vulbis; Dofus Ocre; Dofus Ivoire; Chanceux majeur; Culbuteur majeur; Écumouth</t>
        </is>
      </c>
    </row>
    <row r="1532">
      <c r="A1532" t="inlineStr">
        <is>
          <t>Ouginak F 200</t>
        </is>
      </c>
      <c r="B1532">
        <f>HYPERLINK("https://www.dofusbook.net/fr/equipement/3784589-ouginak-f-200/objets", "link")</f>
        <v/>
      </c>
      <c r="C1532" t="n">
        <v>1</v>
      </c>
      <c r="D1532" t="inlineStr"/>
    </row>
    <row r="1533">
      <c r="A1533" t="inlineStr">
        <is>
          <t>Xelor</t>
        </is>
      </c>
      <c r="B1533">
        <f>HYPERLINK("https://www.dofusbook.net/fr/equipement/3055896-xelor/objets", "link")</f>
        <v/>
      </c>
      <c r="C1533" t="n">
        <v>6</v>
      </c>
      <c r="D1533" t="inlineStr">
        <is>
          <t>Marteau R'ture; Anneau Crustique; Anneau Crustique; Ceinture Volkorne; Masque de Koutoulou; Cape au Logis; Kompost</t>
        </is>
      </c>
    </row>
    <row r="1534">
      <c r="A1534" t="inlineStr">
        <is>
          <t>Pandawa Feu arc</t>
        </is>
      </c>
      <c r="B1534">
        <f>HYPERLINK("https://www.dofusbook.net/fr/equipement/3544100-pandawa-feu-arc/objets", "link")</f>
        <v/>
      </c>
      <c r="C1534" t="n">
        <v>11</v>
      </c>
      <c r="D1534" t="inlineStr">
        <is>
          <t>Pendentif affamé; Anneauræus; Anneauræus; Quatre-feuilles; Ceinture de Gein; Voile d'encre; Pataugastrique; Dofus Pourpre; Dofus Ivoire; Dofus Ocre; Dofus Turquoise; Dofus Vulbis; Érudit majeur; Dragodinde en armure</t>
        </is>
      </c>
    </row>
    <row r="1535">
      <c r="A1535" t="inlineStr">
        <is>
          <t>NEUTRE 12pa</t>
        </is>
      </c>
      <c r="B1535">
        <f>HYPERLINK("https://www.dofusbook.net/fr/equipement/3522518-neutre-12pa/objets", "link")</f>
        <v/>
      </c>
      <c r="C1535" t="n">
        <v>21</v>
      </c>
      <c r="D1535" t="inlineStr">
        <is>
          <t>Amulette du Cœur Saignant; Anneau en Grithril; Quatre-feuilles; Ceinture en Grithril; Bottes du Cœur Saignant; Dofus Vulbis; Dofus Ivoire; Dofus Pourpre</t>
        </is>
      </c>
    </row>
    <row r="1536">
      <c r="A1536" t="inlineStr">
        <is>
          <t>Pandawa F 200</t>
        </is>
      </c>
      <c r="B1536">
        <f>HYPERLINK("https://www.dofusbook.net/fr/equipement/3547252-pandawa-f-200/objets", "link")</f>
        <v/>
      </c>
      <c r="C1536" t="n">
        <v>14</v>
      </c>
      <c r="D1536" t="inlineStr">
        <is>
          <t>Arc Hétype; Amulette Martegel; Anneau Tique; Anneauræus; Bouclier de Solar; Ceinture de Vortex; Voile d'encre; Chaussures Ardentes; Dofus Vulbis; Dofus Ocre; Dofus Ivoire; Dofus Forgelave; Savant majeur; Érudit majeur; Croum</t>
        </is>
      </c>
    </row>
    <row r="1537">
      <c r="A1537" t="inlineStr">
        <is>
          <t>Strigide critique for</t>
        </is>
      </c>
      <c r="B1537">
        <f>HYPERLINK("https://www.dofusbook.net/fr/equipement/2018799-strigide-critique-for/objets", "link")</f>
        <v/>
      </c>
      <c r="C1537" t="n">
        <v>10</v>
      </c>
      <c r="D1537" t="inlineStr">
        <is>
          <t>Amulette du Strigide; Bague Trithon; Anneau Chevelu; Quatre-feuilles; Ceinture du Strigide; Masque de Koutoulou; Cape au Logis; Bottes de la Cour Sombre; Dofus Abyssal; Dofus Nébuleux; Dofus Ivoire; Dofus Pourpre; Dofus Ocre; Enragé majeur; Dragodinde en armure</t>
        </is>
      </c>
    </row>
    <row r="1538">
      <c r="A1538" t="inlineStr">
        <is>
          <t>Panda terre ré crit</t>
        </is>
      </c>
      <c r="B1538">
        <f>HYPERLINK("https://www.dofusbook.net/fr/equipement/3055725-panda-terre-re-crit/objets", "link")</f>
        <v/>
      </c>
      <c r="C1538" t="n">
        <v>10</v>
      </c>
      <c r="D1538" t="inlineStr">
        <is>
          <t>Dagues de Srambad; Amulette de Pol Ouatnos; Anneau de Brouce; Alliance Gloursonne; Bouclier d'Ilyzaelle; Ceinture de la Reine des Voleurs; Coiffe de la Reine des Voleurs; Cape au Logis; Baleinabottes; Dofus Ocre; Dofus Ivoire; Dofus Émeraude; Dofus Abyssal; Dofus des Glaces; Enragé majeur; Dragodinde en armure</t>
        </is>
      </c>
    </row>
    <row r="1539">
      <c r="A1539" t="inlineStr">
        <is>
          <t>Arc/Dommage</t>
        </is>
      </c>
      <c r="B1539">
        <f>HYPERLINK("https://www.dofusbook.net/fr/equipement/3547794-arc-dommage/objets", "link")</f>
        <v/>
      </c>
      <c r="C1539" t="n">
        <v>25</v>
      </c>
      <c r="D1539" t="inlineStr">
        <is>
          <t>Arc Nécrotique; Amulette Volkorne; Anneau Volkorne; Alliance Gloursonne; Quatre-feuilles; Pagne du Rykaon; Casquette de Meno; Cape de Meno; Bottes de Meno; Dofus Pourpre; Dofus Ivoire; Dofus des Glaces; Dofus Ocre; Dofus Nébuleux; Dofus Vulbis; Dragodinde en armure</t>
        </is>
      </c>
    </row>
    <row r="1540">
      <c r="A1540" t="inlineStr">
        <is>
          <t>Iop M 200</t>
        </is>
      </c>
      <c r="B1540">
        <f>HYPERLINK("https://www.dofusbook.net/fr/equipement/3556539-iop-m-200/objets", "link")</f>
        <v/>
      </c>
      <c r="C1540" t="n">
        <v>65</v>
      </c>
      <c r="D1540" t="inlineStr">
        <is>
          <t>Epée Toche; Amulette Volkorne; Chevalière du Roi Joueur; Anneau Volkorne; Bouclier du Captain Amakna; Ceinture Volkorne; Couronne du Roi Joueur; Voile d'encre; Bottes du Roi Joueur; Dofus Turquoise; Dofus des Glaces; Dofus Nébuleux; Dofus Pourpre; Dofus Ocre; Dofus Ivoire; Volkorne Jade et Améthyste</t>
        </is>
      </c>
    </row>
    <row r="1541">
      <c r="A1541" t="inlineStr">
        <is>
          <t>Noobstuff</t>
        </is>
      </c>
      <c r="B1541">
        <f>HYPERLINK("https://www.dofusbook.net/fr/equipement/197917-noobstuff/objets", "link")</f>
        <v/>
      </c>
      <c r="C1541" t="n">
        <v>9</v>
      </c>
      <c r="D1541" t="inlineStr">
        <is>
          <t>Arc corrompu; Amulette Séculaire; Ceinture Séculaire; Coiffe Séculaire; Cape de Nileza; Bottes de Nileza; Dofus Émeraude; Dofus Nébuleux; Dofus Ocre; Dofus Ivoire; Dofus Abyssal; Dofus des Glaces; Dragodinde en armure</t>
        </is>
      </c>
    </row>
    <row r="1542">
      <c r="A1542" t="inlineStr">
        <is>
          <t>OriginalAir</t>
        </is>
      </c>
      <c r="B1542">
        <f>HYPERLINK("https://www.dofusbook.net/fr/equipement/197918-originalair/objets", "link")</f>
        <v/>
      </c>
      <c r="C1542" t="n">
        <v>13</v>
      </c>
      <c r="D1542" t="inlineStr">
        <is>
          <t>Manthache; Collier du Valet Veinard; Anneau Raille; Gant du Valet Veinard; Bouclier du Stalak; Menoture; Casque d'Ilyzaelle; Cape Indescriptible; Palmes Trithons; Dofus Pourpre; Dofus des Glaces; Dofus Ivoire; Dofus Vulbis; Dragodinde Ebène et Ivoire</t>
        </is>
      </c>
    </row>
    <row r="1543">
      <c r="A1543" t="inlineStr">
        <is>
          <t>F/E</t>
        </is>
      </c>
      <c r="B1543">
        <f>HYPERLINK("https://www.dofusbook.net/fr/equipement/3545919-f-e/objets", "link")</f>
        <v/>
      </c>
      <c r="C1543" t="n">
        <v>17</v>
      </c>
      <c r="D1543" t="inlineStr">
        <is>
          <t>Pyraguette; Amulette Volkorne; Alliance Gloursonne; Anneau Volkorne; Bouclier du Stalak; Ceinture de l'Esprit Salvateur; Masque de l'Esprit Salvateur; Voile d'encre; Bottes de l'Esprit Salvateur; Dofus des Glaces; Dofus Ocre; Dofus Pourpre; Dofus Vulbis; Dofus Ivoire; Robuste majeur; Volkorne Jade et Saphir</t>
        </is>
      </c>
    </row>
    <row r="1544">
      <c r="A1544" t="inlineStr">
        <is>
          <t>Stuff eau nebu</t>
        </is>
      </c>
      <c r="B1544">
        <f>HYPERLINK("https://www.dofusbook.net/fr/equipement/197916-stuff-eau-nebu/objets", "link")</f>
        <v/>
      </c>
      <c r="C1544" t="n">
        <v>13</v>
      </c>
      <c r="D1544" t="inlineStr">
        <is>
          <t>Sceptre du Roi Joueur; Amulette de Shokkoth; Alliance Gloursonne; Anneau Volkorne; Quatre-feuilles; Poulpagne; Masque des Fonds marins; Dofusteuse; Sandales des Fonds marins; Dofus Pourpre; Dofus Nébuleux; Dofus Vulbis; Dofus Ocre; Dofus des Glaces; Chanceux majeur; Dragodinde Emeraude et Indigo</t>
        </is>
      </c>
    </row>
    <row r="1545">
      <c r="A1545" t="inlineStr">
        <is>
          <t>Huppermage F 200</t>
        </is>
      </c>
      <c r="B1545">
        <f>HYPERLINK("https://www.dofusbook.net/fr/equipement/3521596-huppermage-f-200/objets", "link")</f>
        <v/>
      </c>
      <c r="C1545" t="n">
        <v>20</v>
      </c>
      <c r="D1545" t="inlineStr">
        <is>
          <t>Harpelle; Amulette d'Otomaï; Anneau de Nidas; Anneau Tique; Bouclier d'Ilyzaelle; Ceintacé; Coiffe de Padgref; Voile d'encre; Getas de Padgref; Dofus Émeraude; Dofus Turquoise; Dofus Pourpre; Remueur; Carapace Terre majeur; Nomade; Dragodinde Emeraude et Orchidée</t>
        </is>
      </c>
    </row>
    <row r="1546">
      <c r="A1546" t="inlineStr">
        <is>
          <t>Huppermage F 200</t>
        </is>
      </c>
      <c r="B1546">
        <f>HYPERLINK("https://www.dofusbook.net/fr/equipement/3521432-huppermage-f-200/objets", "link")</f>
        <v/>
      </c>
      <c r="C1546" t="n">
        <v>27</v>
      </c>
      <c r="D1546" t="inlineStr">
        <is>
          <t>Dagues d'Ilyzaelle; Amulette du Cœur Saignant; Anneau de Brouce; Anneau en Grithril; Bouclier d'Ilyzaelle; Ceinture en Grithril; Casque en Grithril; Cape du Cœur Saignant; Bottes du Cœur Saignant; Dofus Nébuleux; Dokoko; Dofus Pourpre; Dofus Émeraude; Dofus Ivoire; Dofus Turquoise; Volkorne Emeraude et Pourpre</t>
        </is>
      </c>
    </row>
    <row r="1547">
      <c r="A1547" t="inlineStr">
        <is>
          <t>Huppermage F 200</t>
        </is>
      </c>
      <c r="B1547">
        <f>HYPERLINK("https://www.dofusbook.net/fr/equipement/3374354-huppermage-f-200/objets", "link")</f>
        <v/>
      </c>
      <c r="C1547" t="n">
        <v>4</v>
      </c>
      <c r="D1547" t="inlineStr">
        <is>
          <t>La Meulette; Anneau du Meulou; Ceinture du Meulou; Coiffe du Meulou; Cape du Meulou; Bottes du Meulou</t>
        </is>
      </c>
    </row>
    <row r="1548">
      <c r="A1548" t="inlineStr">
        <is>
          <t>Huppermage F 200</t>
        </is>
      </c>
      <c r="B1548">
        <f>HYPERLINK("https://www.dofusbook.net/fr/equipement/3372161-huppermage-f-200/objets", "link")</f>
        <v/>
      </c>
      <c r="C1548" t="n">
        <v>8</v>
      </c>
      <c r="D1548" t="inlineStr">
        <is>
          <t>La Baguette des Limbes; Médaille Kido; Gelano; Alliance d'Elya Wood; Le Karde Cœur; String Automnal du Chêne Mou; Holoune; Cape d'Elya Wood; Bottes Initiales; Miraculé; Nomade; Érudit; Remueur; Brûlih</t>
        </is>
      </c>
    </row>
    <row r="1549">
      <c r="A1549" t="inlineStr">
        <is>
          <t>Hupper air</t>
        </is>
      </c>
      <c r="B1549">
        <f>HYPERLINK("https://www.dofusbook.net/fr/equipement/3059913-hupper-air/objets", "link")</f>
        <v/>
      </c>
      <c r="C1549" t="n">
        <v>3</v>
      </c>
      <c r="D1549" t="inlineStr">
        <is>
          <t>Amublop Indigo Royale; Blopanneau Indigo Royal; Gelano; Bouclier de Sidimote; Blopture Indigo Royale; Cape du Coq Hû; Bloptes Indigo Royales; Muldo Doré</t>
        </is>
      </c>
    </row>
    <row r="1550">
      <c r="A1550" t="inlineStr">
        <is>
          <t>Hupper terre</t>
        </is>
      </c>
      <c r="B1550">
        <f>HYPERLINK("https://www.dofusbook.net/fr/equipement/3060243-hupper-terre/objets", "link")</f>
        <v/>
      </c>
      <c r="C1550" t="n">
        <v>9</v>
      </c>
      <c r="D1550" t="inlineStr">
        <is>
          <t>Collier de Tourthon; Anneau Chevelu; Anneau Crustique; Bouclier alvéolé; Ceinture de la Cour Sombre; Masque de Koutoulou; Cape au Logis; Bottes de la Cour Sombre; Dofus Émeraude; Dofus Pourpre; Dokoko; Dofus Turquoise; Remueur; Enragé majeur; Muldo Pourpre</t>
        </is>
      </c>
    </row>
    <row r="1551">
      <c r="A1551" t="inlineStr">
        <is>
          <t>Roublard M 200</t>
        </is>
      </c>
      <c r="B1551">
        <f>HYPERLINK("https://www.dofusbook.net/fr/equipement/3274456-roublard-m-200/objets", "link")</f>
        <v/>
      </c>
      <c r="C1551" t="n">
        <v>1</v>
      </c>
      <c r="D1551" t="inlineStr"/>
    </row>
    <row r="1552">
      <c r="A1552" t="inlineStr">
        <is>
          <t>xelor air</t>
        </is>
      </c>
      <c r="B1552">
        <f>HYPERLINK("https://www.dofusbook.net/fr/equipement/3077293-xelor-air/objets", "link")</f>
        <v/>
      </c>
      <c r="C1552" t="n">
        <v>1</v>
      </c>
      <c r="D1552" t="inlineStr">
        <is>
          <t>Amublop Coco Royale; Craquanneau Légendaire; Cape du Tofu Fou; Bloptes Coco Royales; Kramkram</t>
        </is>
      </c>
    </row>
    <row r="1553">
      <c r="A1553" t="inlineStr">
        <is>
          <t>JsaisPas</t>
        </is>
      </c>
      <c r="B1553">
        <f>HYPERLINK("https://www.dofusbook.net/fr/equipement/3055664-jsaispas/objets", "link")</f>
        <v/>
      </c>
      <c r="C1553" t="n">
        <v>9</v>
      </c>
      <c r="D1553" t="inlineStr">
        <is>
          <t>Collier du Valet Veinard; Alliance Gloursonne; Gant du Valet Veinard; Bouclier du Stalak; Menoture; Couronne d'Allister; Cape Indescriptible; Palmes Trithons; Dofus Pourpre; Dokoko; Dofus Émeraude; Remueur; Étourdisseur majeur; Cascadeur majeur; Muldo Ebène</t>
        </is>
      </c>
    </row>
    <row r="1554">
      <c r="A1554" t="inlineStr">
        <is>
          <t>NOBRAINALLCLASSTERR</t>
        </is>
      </c>
      <c r="B1554">
        <f>HYPERLINK("https://www.dofusbook.net/fr/equipement/3058926-nobrainallclassterr/objets", "link")</f>
        <v/>
      </c>
      <c r="C1554" t="n">
        <v>18</v>
      </c>
      <c r="D1554" t="inlineStr">
        <is>
          <t>Youyettes; Amulette du Strigide; Anneau Crustique; Anneau Crustique; Bouclier du Captain Amakna; Ceinture du Strigide; Masque de Koutoulou; Cape du Professeur Xa; Bottes de la Cour Sombre; Dofus Turquoise; Dofus Pourpre; Remueur; Vigoureux majeur; Enragé majeur; Kramkram</t>
        </is>
      </c>
    </row>
    <row r="1555">
      <c r="A1555" t="inlineStr">
        <is>
          <t>eau</t>
        </is>
      </c>
      <c r="B1555">
        <f>HYPERLINK("https://www.dofusbook.net/fr/equipement/3192197-eau/objets", "link")</f>
        <v/>
      </c>
      <c r="C1555" t="n">
        <v>2</v>
      </c>
      <c r="D1555" t="inlineStr"/>
    </row>
    <row r="1556">
      <c r="A1556" t="inlineStr">
        <is>
          <t>Air pvp</t>
        </is>
      </c>
      <c r="B1556">
        <f>HYPERLINK("https://www.dofusbook.net/fr/equipement/3066656-air-pvp/objets", "link")</f>
        <v/>
      </c>
      <c r="C1556" t="n">
        <v>11</v>
      </c>
      <c r="D1556" t="inlineStr">
        <is>
          <t>Manthache; Collier du Valet Veinard; Alliance Gloursonne; Gant du Valet Veinard; Bouclier du Stalak; Menoture; Dorabysses; Cape Indescriptible; Palmes Trithons; Dokoko; Dofus Pourpre; Dofus Émeraude; Remueur; Cascadeur majeur; Nomade; Kramkram</t>
        </is>
      </c>
    </row>
    <row r="1557">
      <c r="A1557" t="inlineStr">
        <is>
          <t>Hupper terre</t>
        </is>
      </c>
      <c r="B1557">
        <f>HYPERLINK("https://www.dofusbook.net/fr/equipement/3060399-hupper-terre/objets", "link")</f>
        <v/>
      </c>
      <c r="C1557" t="n">
        <v>9</v>
      </c>
      <c r="D1557" t="inlineStr">
        <is>
          <t>Marteau R'ture; Collier de Tourthon; Anneau Chevelu; Anneau Crustique; Bouclier du Captain Amakna; Ceinture de la Cour Sombre; Masque de Koutoulou; Cape au Logis; Bottes de la Cour Sombre; Dofus Nébuleux; Dofus Pourpre; Enragé majeur; Remueur; Nomade; Kramkram</t>
        </is>
      </c>
    </row>
    <row r="1558">
      <c r="A1558" t="inlineStr">
        <is>
          <t>Terre</t>
        </is>
      </c>
      <c r="B1558">
        <f>HYPERLINK("https://www.dofusbook.net/fr/equipement/3059935-terre-/objets", "link")</f>
        <v/>
      </c>
      <c r="C1558" t="n">
        <v>2</v>
      </c>
      <c r="D1558" t="inlineStr">
        <is>
          <t>Cape au Logis</t>
        </is>
      </c>
    </row>
    <row r="1559">
      <c r="A1559" t="inlineStr">
        <is>
          <t>FeuD</t>
        </is>
      </c>
      <c r="B1559">
        <f>HYPERLINK("https://www.dofusbook.net/fr/equipement/3059205-feud/objets", "link")</f>
        <v/>
      </c>
      <c r="C1559" t="n">
        <v>5</v>
      </c>
      <c r="D1559" t="inlineStr">
        <is>
          <t>Harpelle; Anneauræus; Anneau Tique; Bouclier d'Ilyzaelle; Ceinture Séculaire; Bottes Innommables; Dofus Émeraude; Dofus Turquoise; Dofus Pourpre; Remueur; Nomade; Érudit majeur; Kramkram</t>
        </is>
      </c>
    </row>
    <row r="1560">
      <c r="A1560" t="inlineStr">
        <is>
          <t>Elio feu</t>
        </is>
      </c>
      <c r="B1560">
        <f>HYPERLINK("https://www.dofusbook.net/fr/equipement/3058851-elio-feu/objets", "link")</f>
        <v/>
      </c>
      <c r="C1560" t="n">
        <v>7</v>
      </c>
      <c r="D1560" t="inlineStr">
        <is>
          <t>Amulette du Strigide; Anneau de Padgref; Bouclier du Captain Amakna; Ceinture du Strigide; Coiffe de Padgref; Voile d'encre; Getas de Padgref; Dofus Turquoise; Kramkram</t>
        </is>
      </c>
    </row>
    <row r="1561">
      <c r="A1561" t="inlineStr">
        <is>
          <t>style</t>
        </is>
      </c>
      <c r="B1561">
        <f>HYPERLINK("https://www.dofusbook.net/fr/equipement/3055841-style/objets", "link")</f>
        <v/>
      </c>
      <c r="C1561" t="n">
        <v>4</v>
      </c>
      <c r="D1561" t="inlineStr">
        <is>
          <t>Héqache; Amulette du Strigide; Anneau Crustique; Alliance Gloursonne; Ceinture de la Reine des Voleurs; Coiffe de la Reine des Voleurs; Cape au Logis; Baleinabottes; Kramkram</t>
        </is>
      </c>
    </row>
    <row r="1562">
      <c r="A1562" t="inlineStr">
        <is>
          <t>Terre rox</t>
        </is>
      </c>
      <c r="B1562">
        <f>HYPERLINK("https://www.dofusbook.net/fr/equipement/3055783-terre-rox/objets", "link")</f>
        <v/>
      </c>
      <c r="C1562" t="n">
        <v>1</v>
      </c>
      <c r="D1562" t="inlineStr"/>
    </row>
    <row r="1563">
      <c r="A1563" t="inlineStr">
        <is>
          <t>SramNebu</t>
        </is>
      </c>
      <c r="B1563">
        <f>HYPERLINK("https://www.dofusbook.net/fr/equipement/3055717-sramnebu/objets", "link")</f>
        <v/>
      </c>
      <c r="C1563" t="n">
        <v>7</v>
      </c>
      <c r="D1563" t="inlineStr"/>
    </row>
    <row r="1564">
      <c r="A1564" t="inlineStr">
        <is>
          <t>terre pvp</t>
        </is>
      </c>
      <c r="B1564">
        <f>HYPERLINK("https://www.dofusbook.net/fr/equipement/3055700-terre-pvp/objets", "link")</f>
        <v/>
      </c>
      <c r="C1564" t="n">
        <v>1</v>
      </c>
      <c r="D1564" t="inlineStr"/>
    </row>
    <row r="1565">
      <c r="A1565" t="inlineStr">
        <is>
          <t>Terre eau</t>
        </is>
      </c>
      <c r="B1565">
        <f>HYPERLINK("https://www.dofusbook.net/fr/equipement/3055670-terre-eau/objets", "link")</f>
        <v/>
      </c>
      <c r="C1565" t="n">
        <v>2</v>
      </c>
      <c r="D1565" t="inlineStr">
        <is>
          <t>Amulette du Strigide; Ceinture de la Reine des Voleurs; Coiffe de la Reine des Voleurs</t>
        </is>
      </c>
    </row>
    <row r="1566">
      <c r="A1566" t="inlineStr">
        <is>
          <t>Xelor Terre</t>
        </is>
      </c>
      <c r="B1566">
        <f>HYPERLINK("https://www.dofusbook.net/fr/equipement/3053499-xelor-terre/objets", "link")</f>
        <v/>
      </c>
      <c r="C1566" t="n">
        <v>18</v>
      </c>
      <c r="D1566" t="inlineStr">
        <is>
          <t>Dagues d'Ilyzaelle; Amulette du Cœur Saignant; Anneau Crustique; Anneau Chevelu; Bouclier d'Ilyzaelle; Ceinture Gence; Masque de Koutoulou; Cape au Logis; Bottes du Cœur Saignant; Dofus Nébuleux; Dofus Turquoise; Dofus Pourpre; Vigoureux majeur; Enragé majeur; Muldo Pourpre</t>
        </is>
      </c>
    </row>
    <row r="1567">
      <c r="A1567" t="inlineStr">
        <is>
          <t>Terre Xel</t>
        </is>
      </c>
      <c r="B1567">
        <f>HYPERLINK("https://www.dofusbook.net/fr/equipement/3053586-terre-xel/objets", "link")</f>
        <v/>
      </c>
      <c r="C1567" t="n">
        <v>7</v>
      </c>
      <c r="D1567" t="inlineStr">
        <is>
          <t>Manthache; Collier du Valet Veinard; Alliance Gloursonne; Gant du Valet Veinard; Bouclier du Stalak; Menoture; Dorabysses; Cape Indescriptible; Palmes Trithons; Dofus Émeraude; Dofus Pourpre; Cascadeur majeur; Remueur; Nomade; Étourdisseur majeur; Kramkram</t>
        </is>
      </c>
    </row>
    <row r="1568">
      <c r="A1568" t="inlineStr">
        <is>
          <t>Terre esquive</t>
        </is>
      </c>
      <c r="B1568">
        <f>HYPERLINK("https://www.dofusbook.net/fr/equipement/3053478-terre-esquive/objets", "link")</f>
        <v/>
      </c>
      <c r="C1568" t="n">
        <v>4</v>
      </c>
      <c r="D1568" t="inlineStr">
        <is>
          <t>Dagues Érhy; Amulette de Gein; Bague Gloursonne; Goulano; Goulclier; Ceinture de Gein; Chapeau de Gein; Cape au Logis; Goulbottes; Dofus Pourpre; Dofus Ivoire; Dofus Turquoise; Dokoko; Dofus des Glaces; Kramkram</t>
        </is>
      </c>
    </row>
    <row r="1569">
      <c r="A1569" t="inlineStr">
        <is>
          <t>Terre esquive</t>
        </is>
      </c>
      <c r="B1569">
        <f>HYPERLINK("https://www.dofusbook.net/fr/equipement/3053453-terre-esquive/objets", "link")</f>
        <v/>
      </c>
      <c r="C1569" t="n">
        <v>15</v>
      </c>
      <c r="D1569" t="inlineStr">
        <is>
          <t>Dagues Érhy; Amulette de Gein; Bague Gloursonne; Goulano; Goulclier; Ceinture de Gein; Chapeau de Gein; Cape au Logis; Goulbottes; Dofus Pourpre; Dofus Ivoire; Dofus Turquoise; Dokoko; Dofus des Glaces; Kramkram</t>
        </is>
      </c>
    </row>
    <row r="1570">
      <c r="A1570" t="inlineStr">
        <is>
          <t>Terre esquive</t>
        </is>
      </c>
      <c r="B1570">
        <f>HYPERLINK("https://www.dofusbook.net/fr/equipement/3053433-terre-esquive/objets", "link")</f>
        <v/>
      </c>
      <c r="C1570" t="n">
        <v>13</v>
      </c>
      <c r="D1570" t="inlineStr">
        <is>
          <t>Dagues Érhy; Amulette de Gein; Bague Gloursonne; Goulano; Goulclier; Ceinture de Gein; Chapeau de Gein; Cape au Logis; Goulbottes; Dofus Ivoire; Dofus Turquoise; Dokoko; Dofus des Glaces; Dofus Émeraude; Dofus Pourpre; Kramkram</t>
        </is>
      </c>
    </row>
    <row r="1571">
      <c r="A1571" t="inlineStr">
        <is>
          <t>Terre esquive</t>
        </is>
      </c>
      <c r="B1571">
        <f>HYPERLINK("https://www.dofusbook.net/fr/equipement/3053314-terre-esquive/objets", "link")</f>
        <v/>
      </c>
      <c r="C1571" t="n">
        <v>6</v>
      </c>
      <c r="D1571" t="inlineStr">
        <is>
          <t>Dagues Érhy; Amulette de Gein; Bague Gloursonne; Goulano; Goulclier; Ceinture de Gein; Chapeau de Gein; Cape au Logis; Goulbottes; Dofus Émeraude; Dofus Pourpre; Dofus Ivoire; Dofus Turquoise; Dokoko; Dofus des Glaces; Kramkram</t>
        </is>
      </c>
    </row>
    <row r="1572">
      <c r="A1572" t="inlineStr">
        <is>
          <t>Terre pvp</t>
        </is>
      </c>
      <c r="B1572">
        <f>HYPERLINK("https://www.dofusbook.net/fr/equipement/3052661-terre-pvp/objets", "link")</f>
        <v/>
      </c>
      <c r="C1572" t="n">
        <v>18</v>
      </c>
      <c r="D1572" t="inlineStr">
        <is>
          <t>Dagoulinantes; Amulette de l'Œil Attentif; Bracelet des Fonds marins; Alliance Gloursonne; Bouclier alvéolé; Poulpagne; Capuche de l'Œil Attentif; Cape Solution; Bottes du Sinistrofu; Dofus Pourpre; Dofus Turquoise; Dofus Émeraude; Chanceux majeur; Étourdisseur majeur; Nomade; Kramkram</t>
        </is>
      </c>
    </row>
    <row r="1573">
      <c r="A1573" t="inlineStr">
        <is>
          <t>Sram Terre-Eau</t>
        </is>
      </c>
      <c r="B1573">
        <f>HYPERLINK("https://www.dofusbook.net/fr/equipement/3051559-sram-terre-eau/objets", "link")</f>
        <v/>
      </c>
      <c r="C1573" t="n">
        <v>3</v>
      </c>
      <c r="D1573" t="inlineStr"/>
    </row>
    <row r="1574">
      <c r="A1574" t="inlineStr">
        <is>
          <t>Eau</t>
        </is>
      </c>
      <c r="B1574">
        <f>HYPERLINK("https://www.dofusbook.net/fr/equipement/3051364-eau/objets", "link")</f>
        <v/>
      </c>
      <c r="C1574" t="n">
        <v>2</v>
      </c>
      <c r="D1574" t="inlineStr">
        <is>
          <t>Rapière aux Glyphes; Amulette de Shokkoth; Bracelet des Fonds marins; Alliance Gloursonne; Quatre-feuilles; Poulpagne; Capuche de l'Œil Attentif; Cape du Sinistrofu; Bottes du Sinistrofu; Muldo Indigo et Orchidée</t>
        </is>
      </c>
    </row>
    <row r="1575">
      <c r="A1575" t="inlineStr">
        <is>
          <t>Terre</t>
        </is>
      </c>
      <c r="B1575">
        <f>HYPERLINK("https://www.dofusbook.net/fr/equipement/3051362-terre/objets", "link")</f>
        <v/>
      </c>
      <c r="C1575" t="n">
        <v>2</v>
      </c>
      <c r="D1575" t="inlineStr">
        <is>
          <t>Dagues d'Ilyzaelle</t>
        </is>
      </c>
    </row>
    <row r="1576">
      <c r="A1576" t="inlineStr">
        <is>
          <t>Air injection</t>
        </is>
      </c>
      <c r="B1576">
        <f>HYPERLINK("https://www.dofusbook.net/fr/equipement/3051340-air-injection/objets", "link")</f>
        <v/>
      </c>
      <c r="C1576" t="n">
        <v>15</v>
      </c>
      <c r="D1576" t="inlineStr">
        <is>
          <t>Manthache; Collier du Valet Veinard; Gant du Valet Veinard; Alliance Gloursonne; Bouclier du Stalak; Menoture; Couronne d'Allister; Cape Indescriptible; Palmes Trithons; Dokoko; Dofus des Glaces; Cascadeur majeur; Remueur; Nomade; Muldo Ebène</t>
        </is>
      </c>
    </row>
    <row r="1577">
      <c r="A1577" t="inlineStr">
        <is>
          <t>Stuff 3</t>
        </is>
      </c>
      <c r="B1577">
        <f>HYPERLINK("https://www.dofusbook.net/fr/equipement/197886-stuff-3/objets", "link")</f>
        <v/>
      </c>
      <c r="C1577" t="n">
        <v>13</v>
      </c>
      <c r="D1577" t="inlineStr">
        <is>
          <t>Héqache; Amulette du Strigide; Anneau Crustique; Alliance Gloursonne; Bouclier d'Ilyzaelle; Ceinture de la Reine des Voleurs; Coiffe de la Reine des Voleurs; Cape au Logis; Baleinabottes; Dofus Turquoise; Dofus Émeraude; Dofus Pourpre; Remueur; Étourdisseur majeur; Nomade; Kramkram</t>
        </is>
      </c>
    </row>
    <row r="1578">
      <c r="A1578" t="inlineStr">
        <is>
          <t>Eau pvp</t>
        </is>
      </c>
      <c r="B1578">
        <f>HYPERLINK("https://www.dofusbook.net/fr/equipement/3049312-eau-pvp/objets", "link")</f>
        <v/>
      </c>
      <c r="C1578" t="n">
        <v>10</v>
      </c>
      <c r="D1578" t="inlineStr">
        <is>
          <t>Dagoulinantes; Amulette de Shokkoth; Bracelet des Fonds marins; Alliance Gloursonne; Quatre-feuilles; Poulpagne; Capuche de l'Œil Attentif; Cape de l'Œil Attentif; Sandales des Fonds marins; Dofus Nébuleux; Dofus Pourpre; Dofus Turquoise; Dofus Vulbis; Dofus Abyssal; Dofus Ivoire; Kramkram</t>
        </is>
      </c>
    </row>
    <row r="1579">
      <c r="A1579" t="inlineStr">
        <is>
          <t>Féca feu 200</t>
        </is>
      </c>
      <c r="B1579">
        <f>HYPERLINK("https://www.dofusbook.net/fr/equipement/3048242-feca-feu-200/objets", "link")</f>
        <v/>
      </c>
      <c r="C1579" t="n">
        <v>1</v>
      </c>
      <c r="D1579" t="inlineStr">
        <is>
          <t>Bottes Innommables</t>
        </is>
      </c>
    </row>
    <row r="1580">
      <c r="A1580" t="inlineStr">
        <is>
          <t>Feu</t>
        </is>
      </c>
      <c r="B1580">
        <f>HYPERLINK("https://www.dofusbook.net/fr/equipement/3048154-feu/objets", "link")</f>
        <v/>
      </c>
      <c r="C1580" t="n">
        <v>10</v>
      </c>
      <c r="D1580" t="inlineStr">
        <is>
          <t>Arc corrompu; Pendentif affamé; Anneau Tique; Anneauræus; Bouclier du Stalak; Ceinture Séculaire; Coiffe Séculaire; Voile d'encre; Bottes Innommables; Dofus des Glaces; Dokoko; Dofus Pourpre; Érudit majeur; Remueur; Nomade; Muldo Orchidée et Pourpre</t>
        </is>
      </c>
    </row>
    <row r="1581">
      <c r="A1581" t="inlineStr">
        <is>
          <t>Air</t>
        </is>
      </c>
      <c r="B1581">
        <f>HYPERLINK("https://www.dofusbook.net/fr/equipement/3047448-air/objets", "link")</f>
        <v/>
      </c>
      <c r="C1581" t="n">
        <v>24</v>
      </c>
      <c r="D1581" t="inlineStr">
        <is>
          <t>Manthache; Collier du Valet Veinard; Alliance Gloursonne; Gant du Valet Veinard; Bouclier du Stalak; Menoture; Dorabysses; Cape Indescriptible; Palmes Trithons; Dofus Pourpre; Dokoko; Dofus Ivoire; Dofus Émeraude; Nomade; Remueur; Muldo Ebène</t>
        </is>
      </c>
    </row>
    <row r="1582">
      <c r="A1582" t="inlineStr">
        <is>
          <t>Hache</t>
        </is>
      </c>
      <c r="B1582">
        <f>HYPERLINK("https://www.dofusbook.net/fr/equipement/3043759-hache/objets", "link")</f>
        <v/>
      </c>
      <c r="C1582" t="n">
        <v>13</v>
      </c>
      <c r="D1582" t="inlineStr">
        <is>
          <t>Héqache; Amulette du Strigide; Anneau Chevelu; Alliance Gloursonne; Bouclier de Choudini; Ceinture de la Reine des Voleurs; Coiffe de la Reine des Voleurs; Cape au Logis; Baleinabottes; Dofus Émeraude; Dofus Turquoise; Dokoko; Dofus Pourpre; Nomade; Remueur; Kramkram</t>
        </is>
      </c>
    </row>
    <row r="1583">
      <c r="A1583" t="inlineStr">
        <is>
          <t>Test</t>
        </is>
      </c>
      <c r="B1583">
        <f>HYPERLINK("https://www.dofusbook.net/fr/equipement/3044908-test/objets", "link")</f>
        <v/>
      </c>
      <c r="C1583" t="n">
        <v>1</v>
      </c>
      <c r="D1583" t="inlineStr"/>
    </row>
    <row r="1584">
      <c r="A1584" t="inlineStr">
        <is>
          <t>Double pano</t>
        </is>
      </c>
      <c r="B1584">
        <f>HYPERLINK("https://www.dofusbook.net/fr/equipement/3033021-double-pano/objets", "link")</f>
        <v/>
      </c>
      <c r="C1584" t="n">
        <v>18</v>
      </c>
      <c r="D1584" t="inlineStr">
        <is>
          <t>Dagoulinantes; Amulette de Shokkoth; Bracelet des Fonds marins; Alliance Gloursonne; Bouclier du Stalak; Pagne du Rykaon; Masque des Fonds marins; Cape Solution; Bottes du Sinistrofu; Dofus Turquoise; Dofus Pourpre; Dofus Ivoire; Nomade; Remueur; Chanceux majeur; Muldo Indigo</t>
        </is>
      </c>
    </row>
    <row r="1585">
      <c r="A1585" t="inlineStr">
        <is>
          <t>Eau pvp</t>
        </is>
      </c>
      <c r="B1585">
        <f>HYPERLINK("https://www.dofusbook.net/fr/equipement/3032989-eau-pvp/objets", "link")</f>
        <v/>
      </c>
      <c r="C1585" t="n">
        <v>20</v>
      </c>
      <c r="D1585" t="inlineStr">
        <is>
          <t>Rapière aux Glyphes; Amulette de l'Œil Attentif; Bracelet des Fonds marins; Alliance Gloursonne; Quatre-feuilles; Poulpagne; Capuche de l'Œil Attentif; Cape de l'Œil Attentif; Bottes du Sinistrofu; Dofus Pourpre; Dofus Nébuleux; Dofus Ivoire; Dofus Turquoise; Dokoko; Dofus Abyssal; Muldo Indigo</t>
        </is>
      </c>
    </row>
    <row r="1586">
      <c r="A1586" t="inlineStr">
        <is>
          <t>Elio eau</t>
        </is>
      </c>
      <c r="B1586">
        <f>HYPERLINK("https://www.dofusbook.net/fr/equipement/3030162-elio-eau/objets", "link")</f>
        <v/>
      </c>
      <c r="C1586" t="n">
        <v>2</v>
      </c>
      <c r="D1586" t="inlineStr"/>
    </row>
    <row r="1587">
      <c r="A1587" t="inlineStr">
        <is>
          <t>Feu ouginak</t>
        </is>
      </c>
      <c r="B1587">
        <f>HYPERLINK("https://www.dofusbook.net/fr/equipement/3030080-feu-ouginak/objets", "link")</f>
        <v/>
      </c>
      <c r="C1587" t="n">
        <v>1</v>
      </c>
      <c r="D1587" t="inlineStr"/>
    </row>
    <row r="1588">
      <c r="A1588" t="inlineStr">
        <is>
          <t>Euphory</t>
        </is>
      </c>
      <c r="B1588">
        <f>HYPERLINK("https://www.dofusbook.net/fr/equipement/3029903-euphory/objets", "link")</f>
        <v/>
      </c>
      <c r="C1588" t="n">
        <v>1</v>
      </c>
      <c r="D1588" t="inlineStr">
        <is>
          <t>Pendentif affamé; Anneau Tique; Anneau de Padgref; Bouclier d'Ilyzaelle; Ceinture de Gein; Chapeau de Gein; Bottes Innommables; Muldo Orchidée et Pourpre</t>
        </is>
      </c>
    </row>
    <row r="1589">
      <c r="A1589" t="inlineStr">
        <is>
          <t>Air nouveau stuff</t>
        </is>
      </c>
      <c r="B1589">
        <f>HYPERLINK("https://www.dofusbook.net/fr/equipement/2975633-air-nouveau-stuff/objets", "link")</f>
        <v/>
      </c>
      <c r="C1589" t="n">
        <v>4</v>
      </c>
      <c r="D1589" t="inlineStr">
        <is>
          <t>Collier du Valet Veinard; Gant du Valet Veinard; Alliance Gloursonne; Menoture; Couronne d'Allister; Palmes Trithons; Dofus Émeraude; Dofus Ivoire; Dofus Pourpre; Dofus Ocre; Dokoko; Cascadeur majeur; Muldo Ebène; Colorivant 5</t>
        </is>
      </c>
    </row>
    <row r="1590">
      <c r="A1590" t="inlineStr">
        <is>
          <t>Skin 1</t>
        </is>
      </c>
      <c r="B1590">
        <f>HYPERLINK("https://www.dofusbook.net/fr/equipement/2974565-skin-1/objets", "link")</f>
        <v/>
      </c>
      <c r="C1590" t="n">
        <v>15</v>
      </c>
      <c r="D1590" t="inlineStr">
        <is>
          <t>Sceptre du Roi Joueur; Amulette de Shokkoth; Bracelet des Fonds marins; Alliance Gloursonne; Quatre-feuilles; Pagne du Rykaon; Masque des Fonds marins; Cape Solution; Bottes du Sinistrofu; Dofus Pourpre; Dofus Turquoise; Dofus Ivoire; Remueur; Chanceux majeur; Carapace Eau majeur; Muldo Indigo</t>
        </is>
      </c>
    </row>
    <row r="1591">
      <c r="A1591" t="inlineStr">
        <is>
          <t>atcham</t>
        </is>
      </c>
      <c r="B1591">
        <f>HYPERLINK("https://www.dofusbook.net/fr/equipement/2678254-atcham/objets", "link")</f>
        <v/>
      </c>
      <c r="C1591" t="n">
        <v>2</v>
      </c>
      <c r="D1591" t="inlineStr"/>
    </row>
    <row r="1592">
      <c r="A1592" t="inlineStr">
        <is>
          <t>Future</t>
        </is>
      </c>
      <c r="B1592">
        <f>HYPERLINK("https://www.dofusbook.net/fr/equipement/2195052-future/objets", "link")</f>
        <v/>
      </c>
      <c r="C1592" t="n">
        <v>14</v>
      </c>
      <c r="D1592" t="inlineStr">
        <is>
          <t>Baguette Hique; Amulette du Strigide; Alliance Gloursonne; Bracelet du Piloztère; Quatre-feuilles; Ceintacé; Kidibonnet; Cape de la Dame du Hasard; Bottes de la Dame du Hasard; Dofus Pourpre; Dofus Turquoise; Dofus Ivoire; Dofus des Glaces; Nomade; Temporiseur majeur; Kramkram</t>
        </is>
      </c>
    </row>
    <row r="1593">
      <c r="A1593" t="inlineStr">
        <is>
          <t>Zobal terre air</t>
        </is>
      </c>
      <c r="B1593">
        <f>HYPERLINK("https://www.dofusbook.net/fr/equipement/2155065-zobal-terre-air/objets", "link")</f>
        <v/>
      </c>
      <c r="C1593" t="n">
        <v>11</v>
      </c>
      <c r="D1593" t="inlineStr">
        <is>
          <t>Hache du Chalœil; Amulette Luminescente; Alliance Gloursonne; Bague Trithon; Quatre-feuilles; Ceinture Luminescente; Masque Trithon; Cape Luminescente; Bottes Trithon; Dofus Émeraude; Dofus des Glaces; Dofus Pourpre; Dofus Turquoise; Dofus Ivoire; Dofus Ivoire; Muldo Prune et Emeraude</t>
        </is>
      </c>
    </row>
    <row r="1594">
      <c r="A1594" t="inlineStr">
        <is>
          <t>Zobal terre air</t>
        </is>
      </c>
      <c r="B1594">
        <f>HYPERLINK("https://www.dofusbook.net/fr/equipement/2006232-zobal-terre-air/objets", "link")</f>
        <v/>
      </c>
      <c r="C1594" t="n">
        <v>9</v>
      </c>
      <c r="D1594" t="inlineStr">
        <is>
          <t>Hache du Chalœil; Amulette Luminescente; Alliance Gloursonne; Bague Trithon; Quatre-feuilles; Ceinture Luminescente; Masque Trithon; Cape Luminescente; Bottes Trithon; Dofus Ivoire; Dofus Ivoire; Dofus Émeraude; Dofus des Glaces; Dofus Pourpre; Dofus Turquoise; Muldo Prune et Emeraude</t>
        </is>
      </c>
    </row>
    <row r="1595">
      <c r="A1595" t="inlineStr">
        <is>
          <t>Sadi hhache</t>
        </is>
      </c>
      <c r="B1595">
        <f>HYPERLINK("https://www.dofusbook.net/fr/equipement/2147675-sadi-hhache/objets", "link")</f>
        <v/>
      </c>
      <c r="C1595" t="n">
        <v>10</v>
      </c>
      <c r="D1595" t="inlineStr">
        <is>
          <t>Dagoulinantes; Amulette de Shokkoth; Bracelet des Fonds marins; Alliance Gloursonne; Quatre-feuilles; Poulpagne; Kidibonnet; Cape de la Dame du Hasard; Bottes de la Dame du Hasard; Dofus Ivoire; Dofus Turquoise; Dofus Émeraude; Dofus Pourpre; Vigoureux majeur; Nomade; Muldo Indigo et Pourpre</t>
        </is>
      </c>
    </row>
    <row r="1596">
      <c r="A1596" t="inlineStr">
        <is>
          <t>Sadida F</t>
        </is>
      </c>
      <c r="B1596">
        <f>HYPERLINK("https://www.dofusbook.net/fr/equipement/2147703-sadida-f/objets", "link")</f>
        <v/>
      </c>
      <c r="C1596" t="n">
        <v>9</v>
      </c>
      <c r="D1596" t="inlineStr">
        <is>
          <t>Héqache; Amulette du Strigide; Alliance Gloursonne; Bracelet du Piloztère; Bouclier du Captain Amakna; Ceinture du Strigide; Cape au Logis; Bottes du Cœur Saignant; Dofus des Glaces; Dofus Pourpre; Dofus Ivoire; Dofus Turquoise; Dofus Émeraude; Kramkram</t>
        </is>
      </c>
    </row>
    <row r="1597">
      <c r="A1597" t="inlineStr">
        <is>
          <t>no name</t>
        </is>
      </c>
      <c r="B1597">
        <f>HYPERLINK("https://www.dofusbook.net/fr/equipement/2088035-no-name/objets", "link")</f>
        <v/>
      </c>
      <c r="C1597" t="n">
        <v>8</v>
      </c>
      <c r="D1597" t="inlineStr">
        <is>
          <t>Lance corrompue; Amulette du Cœur Vaillant; Alliance Gloursonne; Anneau de Brouce; Bouclier alvéolé; Ceinture de la Reine des Voleurs; Coiffe de la Reine des Voleurs; Cape au Logis; Baleinabottes; Dofus Émeraude; Dofus Ivoire; Dofus Pourpre; Dokoko; Dofus des Glaces; Remueur; Muldo Ebène et Pourpre</t>
        </is>
      </c>
    </row>
    <row r="1598">
      <c r="A1598" t="inlineStr">
        <is>
          <t>Stuff 1</t>
        </is>
      </c>
      <c r="B1598">
        <f>HYPERLINK("https://www.dofusbook.net/fr/equipement/197904-stuff-1/objets", "link")</f>
        <v/>
      </c>
      <c r="C1598" t="n">
        <v>11</v>
      </c>
      <c r="D1598" t="inlineStr">
        <is>
          <t>Az'tech; Amulette du Strigide; Alliance Gloursonne; Bague Trithon; Bouclier alvéolé; Ceinture du Strigide; Masque Trithon; Cape d'Atcham; Bottes du Strigide; Dofus des Glaces; Dofus Ivoire; Dofus Pourpre; Dofus Turquoise; Dofus Émeraude; Dofus Pourpre; Muldo Prune et Emeraude</t>
        </is>
      </c>
    </row>
    <row r="1599">
      <c r="A1599" t="inlineStr">
        <is>
          <t>Arc steam</t>
        </is>
      </c>
      <c r="B1599">
        <f>HYPERLINK("https://www.dofusbook.net/fr/equipement/2018781-arc-steam/objets", "link")</f>
        <v/>
      </c>
      <c r="C1599" t="n">
        <v>8</v>
      </c>
      <c r="D1599" t="inlineStr">
        <is>
          <t>Az'tech; Amulette du Nocturlabe; Alliance Gloursonne; Bague Gloursonne; Bouclier alvéolé; Ceinture du Nocturlabe; Némès de Tal Kasha; Chevelure de Tal Kasha; Bottes du Nocturlabe; Dofus Abyssal; Dofus Turquoise; Dofus Ocre; Dofus Pourpre; Dofus Ivoire; Dofus des Glaces; Muldo Indigo et Pourpre</t>
        </is>
      </c>
    </row>
    <row r="1600">
      <c r="A1600" t="inlineStr">
        <is>
          <t>Arc steam</t>
        </is>
      </c>
      <c r="B1600">
        <f>HYPERLINK("https://www.dofusbook.net/fr/equipement/2018270-arc-steam/objets", "link")</f>
        <v/>
      </c>
      <c r="C1600" t="n">
        <v>3</v>
      </c>
      <c r="D1600" t="inlineStr">
        <is>
          <t>Az'tech; Amulette du Nocturlabe; Bague Gloursonne; Alliance Gloursonne; Bouclier alvéolé; Ceinture du Nocturlabe; Némès de Tal Kasha; Chevelure de Tal Kasha; Bottes du Nocturlabe; Dofus Ocre; Dofus Pourpre; Dofus Ivoire; Dofus des Glaces; Dofus Abyssal; Dofus Turquoise; Muldo Indigo et Pourpre</t>
        </is>
      </c>
    </row>
    <row r="1601">
      <c r="A1601" t="inlineStr">
        <is>
          <t>Arc steam</t>
        </is>
      </c>
      <c r="B1601">
        <f>HYPERLINK("https://www.dofusbook.net/fr/equipement/2018175-arc-steam/objets", "link")</f>
        <v/>
      </c>
      <c r="C1601" t="n">
        <v>7</v>
      </c>
      <c r="D1601" t="inlineStr">
        <is>
          <t>Az'tech; Amulette du Nocturlabe; Alliance Gloursonne; Bague Gloursonne; Bouclier alvéolé; Ceinture du Nocturlabe; Némès de Tal Kasha; Chevelure de Tal Kasha; Bottes du Nocturlabe; Dofus Abyssal; Dofus Turquoise; Dofus Ocre; Dofus Pourpre; Dofus Ivoire; Dofus des Glaces; Muldo Indigo et Pourpre</t>
        </is>
      </c>
    </row>
    <row r="1602">
      <c r="A1602" t="inlineStr">
        <is>
          <t>test</t>
        </is>
      </c>
      <c r="B1602">
        <f>HYPERLINK("https://www.dofusbook.net/fr/equipement/2017607-test/objets", "link")</f>
        <v/>
      </c>
      <c r="C1602" t="n">
        <v>1</v>
      </c>
      <c r="D1602" t="inlineStr"/>
    </row>
    <row r="1603">
      <c r="A1603" t="inlineStr">
        <is>
          <t>Test</t>
        </is>
      </c>
      <c r="B1603">
        <f>HYPERLINK("https://www.dofusbook.net/fr/equipement/2017602-test/objets", "link")</f>
        <v/>
      </c>
      <c r="C1603" t="n">
        <v>1</v>
      </c>
      <c r="D1603" t="inlineStr"/>
    </row>
    <row r="1604">
      <c r="A1604" t="inlineStr">
        <is>
          <t>Test</t>
        </is>
      </c>
      <c r="B1604">
        <f>HYPERLINK("https://www.dofusbook.net/fr/equipement/2017604-test/objets", "link")</f>
        <v/>
      </c>
      <c r="C1604" t="n">
        <v>1</v>
      </c>
      <c r="D1604" t="inlineStr"/>
    </row>
    <row r="1605">
      <c r="A1605" t="inlineStr">
        <is>
          <t>Test</t>
        </is>
      </c>
      <c r="B1605">
        <f>HYPERLINK("https://www.dofusbook.net/fr/equipement/2017606-test/objets", "link")</f>
        <v/>
      </c>
      <c r="C1605" t="n">
        <v>1</v>
      </c>
      <c r="D1605" t="inlineStr"/>
    </row>
    <row r="1606">
      <c r="A1606" t="inlineStr">
        <is>
          <t>Test</t>
        </is>
      </c>
      <c r="B1606">
        <f>HYPERLINK("https://www.dofusbook.net/fr/equipement/2017603-test/objets", "link")</f>
        <v/>
      </c>
      <c r="C1606" t="n">
        <v>1</v>
      </c>
      <c r="D1606" t="inlineStr"/>
    </row>
    <row r="1607">
      <c r="A1607" t="inlineStr">
        <is>
          <t>Test</t>
        </is>
      </c>
      <c r="B1607">
        <f>HYPERLINK("https://www.dofusbook.net/fr/equipement/2017605-test/objets", "link")</f>
        <v/>
      </c>
      <c r="C1607" t="n">
        <v>1</v>
      </c>
      <c r="D1607" t="inlineStr"/>
    </row>
    <row r="1608">
      <c r="A1608" t="inlineStr">
        <is>
          <t>Enu terre chaloeil</t>
        </is>
      </c>
      <c r="B1608">
        <f>HYPERLINK("https://www.dofusbook.net/fr/equipement/2005872-enu-terre-chaloeil/objets", "link")</f>
        <v/>
      </c>
      <c r="C1608" t="n">
        <v>3</v>
      </c>
      <c r="D1608" t="inlineStr">
        <is>
          <t>Amulette du Strigide; Chevalière du Roi Joueur; Baguistik; Ceinture du Strigide; Couronne du Roi Joueur; Cape au Logis; Bottes du Roi Joueur; Dofus Pourpre; Dofus Nébuleux; Dofus des Glaces; Dofus Ocre; Dofus Abyssal; Dofus Turquoise; Muldo Prune et Emeraude</t>
        </is>
      </c>
    </row>
    <row r="1609">
      <c r="A1609" t="inlineStr">
        <is>
          <t>Enu terre chaloeil</t>
        </is>
      </c>
      <c r="B1609">
        <f>HYPERLINK("https://www.dofusbook.net/fr/equipement/2005871-enu-terre-chaloeil/objets", "link")</f>
        <v/>
      </c>
      <c r="C1609" t="n">
        <v>1</v>
      </c>
      <c r="D1609" t="inlineStr"/>
    </row>
    <row r="1610">
      <c r="A1610" t="inlineStr">
        <is>
          <t>Stuff terre elio</t>
        </is>
      </c>
      <c r="B1610">
        <f>HYPERLINK("https://www.dofusbook.net/fr/equipement/1915623-stuff-terre-elio/objets", "link")</f>
        <v/>
      </c>
      <c r="C1610" t="n">
        <v>9</v>
      </c>
      <c r="D1610" t="inlineStr">
        <is>
          <t>Arc du Chalœil; Amulette du Strigide; Anneau Crustique; Anneau Crustique; Quatre-feuilles; Ceinture du Strigide; Masque de Koutoulou; Cape au Logis; Bottes de Brouce; Dofus Pourpre; Dofus Turquoise; Dofus des Glaces; Remueur; Vigoureux majeur; Enragé majeur; Muldo Pourpre</t>
        </is>
      </c>
    </row>
    <row r="1611">
      <c r="A1611" t="inlineStr">
        <is>
          <t>Eauretraitpvp</t>
        </is>
      </c>
      <c r="B1611">
        <f>HYPERLINK("https://www.dofusbook.net/fr/equipement/1737365-eauretraitpvp/objets", "link")</f>
        <v/>
      </c>
      <c r="C1611" t="n">
        <v>12</v>
      </c>
      <c r="D1611" t="inlineStr">
        <is>
          <t>Baguette Hique; Amulette du Strigide; Bracelet des Fonds marins; Alliance Gloursonne; Quatre-feuilles; Pagne du Rykaon; Kidibonnet; Cape de la Dame du Hasard; Bottes de la Dame du Hasard; Dofus Pourpre; Dofus Turquoise; Remueur; Temporiseur majeur; Nomade; Chanceux majeur; Dragodinde en armure</t>
        </is>
      </c>
    </row>
    <row r="1612">
      <c r="A1612" t="inlineStr">
        <is>
          <t>Feu</t>
        </is>
      </c>
      <c r="B1612">
        <f>HYPERLINK("https://www.dofusbook.net/fr/equipement/1903605-feu/objets", "link")</f>
        <v/>
      </c>
      <c r="C1612" t="n">
        <v>7</v>
      </c>
      <c r="D1612" t="inlineStr">
        <is>
          <t>Arc du Chalœil; Amulette du Strigide; Anneau Crustique; Bague Gloursonne; Quatre-feuilles; Ceintacé; Chapeau de Gein; Cape au Logis; Bottes du Strigide; Dofus des Glaces; Dofus Pourpre; Dofus Turquoise; Remueur; Nomade; Vigoureux majeur; Kramkram</t>
        </is>
      </c>
    </row>
    <row r="1613">
      <c r="A1613" t="inlineStr">
        <is>
          <t>Zobal terre air</t>
        </is>
      </c>
      <c r="B1613">
        <f>HYPERLINK("https://www.dofusbook.net/fr/equipement/1880290-zobal-terre-air/objets", "link")</f>
        <v/>
      </c>
      <c r="C1613" t="n">
        <v>1</v>
      </c>
      <c r="D1613" t="inlineStr"/>
    </row>
    <row r="1614">
      <c r="A1614" t="inlineStr">
        <is>
          <t>Stuff 1</t>
        </is>
      </c>
      <c r="B1614">
        <f>HYPERLINK("https://www.dofusbook.net/fr/equipement/197872-stuff-1/objets", "link")</f>
        <v/>
      </c>
      <c r="C1614" t="n">
        <v>9</v>
      </c>
      <c r="D1614" t="inlineStr">
        <is>
          <t>Dagues Érhy; Amulette du Strigide; Chevalière du Roi Joueur; Bracelet du Piloztère; Quatre-feuilles; Ceinture de Gein; Chapeau de Gein; Voile d'encre; Bottes du Strigide; Dofus Pourpre; Dofus des Glaces; Dofus Abyssal; Dofus Ocre; Dolmanax; Dofus Turquoise; Muldo Prune et Pourpre</t>
        </is>
      </c>
    </row>
    <row r="1615">
      <c r="A1615" t="inlineStr">
        <is>
          <t>Stuff 1</t>
        </is>
      </c>
      <c r="B1615">
        <f>HYPERLINK("https://www.dofusbook.net/fr/equipement/197863-stuff-1/objets", "link")</f>
        <v/>
      </c>
      <c r="C1615" t="n">
        <v>5</v>
      </c>
      <c r="D1615" t="inlineStr">
        <is>
          <t>Épée d'Otomaï; Amulette d'Otomaï; Anneau Tamie; Anneau Tamie; Quatre-feuilles; Ceinture de Gein; Chapeau de Gein; Cape de Diondin; Bottes Innommables; Dofus des Glaces; Dofus Pourpre; Nomade; Dévastateur Feu majeur; Érudit majeur; Remueur; Pioute rouge</t>
        </is>
      </c>
    </row>
    <row r="1616">
      <c r="A1616" t="inlineStr">
        <is>
          <t>Sadi eau po pvp /</t>
        </is>
      </c>
      <c r="B1616">
        <f>HYPERLINK("https://www.dofusbook.net/fr/equipement/1510830-sadi-eau-po-pvp---/objets", "link")</f>
        <v/>
      </c>
      <c r="C1616" t="n">
        <v>13</v>
      </c>
      <c r="D1616" t="inlineStr">
        <is>
          <t>Ares; Amublop Indigo Royale; Blopanneau Indigo; Gelano; Bouclier Abraknyde; Blopture Indigo Royale; Chapeau Tyron; Cape Fulgurante; Bloptes Indigo Royales; Saccageur Eau mineur; Ravageur Eau mineur; Ralentisseur mineur; Joueur mineur; Survivant mineur; Examinateur; Dragodinde Prune et Emeraude</t>
        </is>
      </c>
    </row>
    <row r="1617">
      <c r="A1617" t="inlineStr">
        <is>
          <t>Stuff 2</t>
        </is>
      </c>
      <c r="B1617">
        <f>HYPERLINK("https://www.dofusbook.net/fr/equipement/197864-stuff-2/objets", "link")</f>
        <v/>
      </c>
      <c r="C1617" t="n">
        <v>4</v>
      </c>
      <c r="D1617" t="inlineStr">
        <is>
          <t>Hachoirs de Viandargh; Amulette de Nevark; Alliance Gloursonne; Anneau d'Allister; Bouclier du Stalak; Ceinture de Nevark; Couronne d'Allister; Cape de Nevark; Pantoufles Émar; Dofus Pourpre; Dokoko; Dofus Émeraude; Dofus Ocre; Kramkram</t>
        </is>
      </c>
    </row>
    <row r="1618">
      <c r="A1618" t="inlineStr">
        <is>
          <t>Ombre</t>
        </is>
      </c>
      <c r="B1618">
        <f>HYPERLINK("https://www.dofusbook.net/fr/equipement/1106888-ombre/objets", "link")</f>
        <v/>
      </c>
      <c r="C1618" t="n">
        <v>10</v>
      </c>
      <c r="D1618" t="inlineStr">
        <is>
          <t>Epée Toche; Phylactère Mic; Anneau de Brouce; Bague Gloursonne; Quatre-feuilles; Ceinture Hyolite; Solomonk; Voile d'encre; Sabots Minables; Dofus Émeraude; Dofus Pourpre; Nomade; Vigoureux majeur; Observateur; Remueur; Kramkram</t>
        </is>
      </c>
    </row>
    <row r="1619">
      <c r="A1619" t="inlineStr">
        <is>
          <t>Stuff 2</t>
        </is>
      </c>
      <c r="B1619">
        <f>HYPERLINK("https://www.dofusbook.net/fr/equipement/197873-stuff-2/objets", "link")</f>
        <v/>
      </c>
      <c r="C1619" t="n">
        <v>8</v>
      </c>
      <c r="D1619" t="inlineStr">
        <is>
          <t>Manthache; Collier du Valet Veinard; Gant du Valet Veinard; Alliance Gloursonne; Bouclier du Stalak; Menoture; Couronne d'Allister; Cape Indescriptible; Palmes Trithons; Dofus des Glaces; Dofus Pourpre; Remueur; Dévastateur Air majeur; Nomade; Cascadeur majeur; Kramkram</t>
        </is>
      </c>
    </row>
    <row r="1620">
      <c r="A1620" t="inlineStr">
        <is>
          <t>Eni feu</t>
        </is>
      </c>
      <c r="B1620">
        <f>HYPERLINK("https://www.dofusbook.net/fr/equipement/896278-eni-feu/objets", "link")</f>
        <v/>
      </c>
      <c r="C1620" t="n">
        <v>17</v>
      </c>
      <c r="D1620" t="inlineStr">
        <is>
          <t>Baguette Hernelle; Amulette d'Otomaï; Anneau de Padgref; Bague Gloursonne; Bouclier du Cycloïde; Sangle Aise; Coiffe de Padgref; Voile d'encre; Pataugastrique; Dofus Turquoise; Érudit majeur; Nomade; Vigoureux majeur; Miraculé majeur; Remueur; Muldo Prune et Emeraude</t>
        </is>
      </c>
    </row>
    <row r="1621">
      <c r="A1621" t="inlineStr">
        <is>
          <t>Pour MrAky</t>
        </is>
      </c>
      <c r="B1621">
        <f>HYPERLINK("https://www.dofusbook.net/fr/equipement/896537-pour-mraky/objets", "link")</f>
        <v/>
      </c>
      <c r="C1621" t="n">
        <v>4</v>
      </c>
      <c r="D1621" t="inlineStr">
        <is>
          <t>Dague Hirr; Amulette Hendart; Anneau de la Fuji Givrefoux; Gelano; Ceinture de Brouce; Coiffe de la Fuji Givrefoux; Cape de la Fuji Givrefoux; Bottes de la Fuji Givrefoux; Puissant majeur; Survivant majeur; Ralentisseur majeur; Furibond majeur; Acrobate majeur; Dragodinde Emeraude et Rousse</t>
        </is>
      </c>
    </row>
    <row r="1622">
      <c r="A1622" t="inlineStr">
        <is>
          <t>Ultime stuff</t>
        </is>
      </c>
      <c r="B1622">
        <f>HYPERLINK("https://www.dofusbook.net/fr/equipement/851559-ultime-stuff/objets", "link")</f>
        <v/>
      </c>
      <c r="C1622" t="n">
        <v>12</v>
      </c>
      <c r="D1622" t="inlineStr">
        <is>
          <t>Dagues de Srambad; Amulette de Pol Ouatnos; Anneau de Brouce; Alliance Gloursonne; Bouclier alvéolé; Ceinture de la Reine des Voleurs; Coiffe de la Reine des Voleurs; Cape au Logis; Sabots Minables; Dofus Émeraude; Dokoko; Dofus Pourpre; Dofus des Glaces; Remueur; Enragé majeur; Croum</t>
        </is>
      </c>
    </row>
    <row r="1623">
      <c r="A1623" t="inlineStr">
        <is>
          <t>Stuff 2</t>
        </is>
      </c>
      <c r="B1623">
        <f>HYPERLINK("https://www.dofusbook.net/fr/equipement/197882-stuff-2/objets", "link")</f>
        <v/>
      </c>
      <c r="C1623" t="n">
        <v>5</v>
      </c>
      <c r="D1623" t="inlineStr">
        <is>
          <t>Manthache; Collier du Valet Veinard; Alliance Gloursonne; Gant du Valet Veinard; Bouclier Aerdala cassé; Menoture; Couronne d'Allister; Cape Indescriptible; Palmes Trithons; Dofus des Glaces; Dokoko; Remueur; Dévastateur Air majeur; Cascadeur majeur; Nomade; Dragodinde en armure</t>
        </is>
      </c>
    </row>
    <row r="1624">
      <c r="A1624" t="inlineStr">
        <is>
          <t>Stuff 3</t>
        </is>
      </c>
      <c r="B1624">
        <f>HYPERLINK("https://www.dofusbook.net/fr/equipement/197914-stuff-3/objets", "link")</f>
        <v/>
      </c>
      <c r="C1624" t="n">
        <v>17</v>
      </c>
      <c r="D1624" t="inlineStr">
        <is>
          <t>Pelle de la Cour Sombre; Collier du Valet Veinard; Alliance Gloursonne; Gant du Valet Veinard; Ftalmo cassé; Menoture; Couronne d'Allister; Cape Indescriptible; Palmes Trithons; Dokoko; Dévastateur Air majeur; Cascadeur majeur; Carapace Air majeur; Remueur; Nomade; Kramkram</t>
        </is>
      </c>
    </row>
    <row r="1625">
      <c r="A1625" t="inlineStr">
        <is>
          <t>Stuff 3</t>
        </is>
      </c>
      <c r="B1625">
        <f>HYPERLINK("https://www.dofusbook.net/fr/equipement/197877-stuff-3/objets", "link")</f>
        <v/>
      </c>
      <c r="C1625" t="n">
        <v>9</v>
      </c>
      <c r="D1625" t="inlineStr">
        <is>
          <t>Arc Nécrotique; Amulette de Pol Ouatnos; Anneau Cryochrone; Alliance Gloursonne; Ceintacé; Coiffe Cryochrone; Cape de Théodoran Ax; Pataugastrique; Dofus Pourpre; Vigoureux majeur; Chanceux majeur; Nomade; Remueur; Kramkram</t>
        </is>
      </c>
    </row>
    <row r="1626">
      <c r="A1626" t="inlineStr">
        <is>
          <t>Stuff 2</t>
        </is>
      </c>
      <c r="B1626">
        <f>HYPERLINK("https://www.dofusbook.net/fr/equipement/197909-stuff-2/objets", "link")</f>
        <v/>
      </c>
      <c r="C1626" t="n">
        <v>19</v>
      </c>
      <c r="D1626" t="inlineStr">
        <is>
          <t>Hache du Chalœil; Amulette du Strigide; Alliance Gloursonne; Bracelet du Piloztère; Ftalmo cassé; Ceintacé; Casque du Chalœil; Bottes du Strigide; Dolmanax; Dofus des Glaces; Dofus Turquoise; Vigoureux majeur; Carapace Terre majeur; Nomade; Kramkram</t>
        </is>
      </c>
    </row>
    <row r="1627">
      <c r="A1627" t="inlineStr">
        <is>
          <t>Stuff 2</t>
        </is>
      </c>
      <c r="B1627">
        <f>HYPERLINK("https://www.dofusbook.net/fr/equipement/197867-stuff-2/objets", "link")</f>
        <v/>
      </c>
      <c r="C1627" t="n">
        <v>1</v>
      </c>
      <c r="D1627" t="inlineStr">
        <is>
          <t>Epée Gloursonne; Amulette du Strigide; Alliance Gloursonne; Bague Gloursonne; Bouclier du Chouque cassé; Ceinture du Strigide; Casque du Chalœil; Voile d'encre; Bottes du Strigide; Dolmanax; Dofus Ocre; Dofus Pourpre; Dofus des Glaces; Robuste majeur; Kramkram</t>
        </is>
      </c>
    </row>
    <row r="1628">
      <c r="A1628" t="inlineStr">
        <is>
          <t>Stuff 2</t>
        </is>
      </c>
      <c r="B1628">
        <f>HYPERLINK("https://www.dofusbook.net/fr/equipement/197899-stuff-2/objets", "link")</f>
        <v/>
      </c>
      <c r="C1628" t="n">
        <v>3</v>
      </c>
      <c r="D1628" t="inlineStr">
        <is>
          <t>Dagues de Srambad; Amulette Ementaire Deluxe; Bracelet du Piloztère; Alliance Gloursonne; Bouclier du Chouque cassé; Dofusteuse; Pataugastrique; Dofus Turquoise; Dofus des Glaces; Dofus Pourpre; Vigoureux majeur; Remueur; Nomade; Kramkram</t>
        </is>
      </c>
    </row>
    <row r="1629">
      <c r="A1629" t="inlineStr">
        <is>
          <t>Stuff 3</t>
        </is>
      </c>
      <c r="B1629">
        <f>HYPERLINK("https://www.dofusbook.net/fr/equipement/197894-stuff-3/objets", "link")</f>
        <v/>
      </c>
      <c r="C1629" t="n">
        <v>3</v>
      </c>
      <c r="D1629" t="inlineStr">
        <is>
          <t>Bêche Asse; Amulette du Strigide; Alliance de Missiz Frizz; Ceinture de Brouce; Casque de Missiz Frizz; Cape au Logis; Sabots Minables</t>
        </is>
      </c>
    </row>
    <row r="1630">
      <c r="A1630" t="inlineStr">
        <is>
          <t>Stuff 3</t>
        </is>
      </c>
      <c r="B1630">
        <f>HYPERLINK("https://www.dofusbook.net/fr/equipement/197862-stuff-3/objets", "link")</f>
        <v/>
      </c>
      <c r="C1630" t="n">
        <v>5</v>
      </c>
      <c r="D1630" t="inlineStr">
        <is>
          <t>Epée Toche; Amulette du Strigide; Alliance de Missiz Frizz; Anneau Chevelu; Ceinture de Brouce; Casque de Missiz Frizz; Cape au Logis; Baleinabottes; Dofus Turquoise; Dofus Nébuleux; Dofus Pourpre; Remueur; Vigoureux majeur; Enragé majeur; Kompost</t>
        </is>
      </c>
    </row>
    <row r="1631">
      <c r="A1631" t="inlineStr">
        <is>
          <t>Stuff 1</t>
        </is>
      </c>
      <c r="B1631">
        <f>HYPERLINK("https://www.dofusbook.net/fr/equipement/197889-stuff-1/objets", "link")</f>
        <v/>
      </c>
      <c r="C1631" t="n">
        <v>1</v>
      </c>
      <c r="D1631" t="inlineStr">
        <is>
          <t>Bêche Asse; Amulette du Strigide; Alliance Gloursonne; Anneau de Brouce; Ceinture de la Reine des Voleurs; Coiffe de la Reine des Voleurs; Cape au Logis; Sabots Minables; Remueur; Vigoureux majeur; Nomade; Dragodinde en armure</t>
        </is>
      </c>
    </row>
    <row r="1632">
      <c r="A1632" t="inlineStr">
        <is>
          <t>Stuff 1</t>
        </is>
      </c>
      <c r="B1632">
        <f>HYPERLINK("https://www.dofusbook.net/fr/equipement/197921-stuff-1/objets", "link")</f>
        <v/>
      </c>
      <c r="C1632" t="n">
        <v>23</v>
      </c>
      <c r="D1632" t="inlineStr">
        <is>
          <t>Baguette Range; Amulette du Strigide; Alliance Gloursonne; Anneau de Padgref; Ceinture de Vortex; Coiffe de Padgref; Voile d'encre; Pataugastrique; Dofus Turquoise; Dofus Pourpre; Dofus des Glaces; Nomade; Vigoureux majeur; Remueur; Muldo Doré et Emeraude</t>
        </is>
      </c>
    </row>
    <row r="1633">
      <c r="A1633" t="inlineStr">
        <is>
          <t>Stuff 1</t>
        </is>
      </c>
      <c r="B1633">
        <f>HYPERLINK("https://www.dofusbook.net/fr/equipement/197884-stuff-1/objets", "link")</f>
        <v/>
      </c>
      <c r="C1633" t="n">
        <v>10</v>
      </c>
      <c r="D1633" t="inlineStr">
        <is>
          <t>Pelle de la Cour Sombre; Amulette du Strigide; Anneau Tique; Alliance Gloursonne; Le Karde Cœur cassé; Sangle Ouare; Dorabysses; Cape Matelassée; Pantoufles Émar; Obstructeur majeur; Miraculé majeur; Vigoureux majeur; Nomade; Cascadeur majeur; Remueur; Kramkram</t>
        </is>
      </c>
    </row>
    <row r="1634">
      <c r="A1634" t="inlineStr">
        <is>
          <t>Stuff 3</t>
        </is>
      </c>
      <c r="B1634">
        <f>HYPERLINK("https://www.dofusbook.net/fr/equipement/197874-stuff-3/objets", "link")</f>
        <v/>
      </c>
      <c r="C1634" t="n">
        <v>3</v>
      </c>
      <c r="D1634" t="inlineStr">
        <is>
          <t>Manthache; Collier du Valet Veinard; Alliance Gloursonne; Gant du Valet Veinard; Le Karde Cœur cassé; Menoture; Cape Indescriptible; Palmes Trithons; Dofus Pourpre; Dofus des Glaces; Remueur; Cascadeur majeur; Dévastateur Air majeur</t>
        </is>
      </c>
    </row>
    <row r="1635">
      <c r="A1635" t="inlineStr">
        <is>
          <t>Stuff 3</t>
        </is>
      </c>
      <c r="B1635">
        <f>HYPERLINK("https://www.dofusbook.net/fr/equipement/197906-stuff-3/objets", "link")</f>
        <v/>
      </c>
      <c r="C1635" t="n">
        <v>9</v>
      </c>
      <c r="D1635" t="inlineStr">
        <is>
          <t>Manthache; Collier du Valet Veinard; Gant du Valet Veinard; Alliance Gloursonne; Menoture; Couronne d'Allister; Cape Indescriptible; Palmes Trithons; Dofus Pourpre; Dofus des Glaces; Dofus Émeraude; Vigoureux majeur; Remueur; Dévastateur Air majeur; Muldo Ebène et Pourpre</t>
        </is>
      </c>
    </row>
    <row r="1636">
      <c r="A1636" t="inlineStr">
        <is>
          <t>Stuff 1</t>
        </is>
      </c>
      <c r="B1636">
        <f>HYPERLINK("https://www.dofusbook.net/fr/equipement/197869-stuff-1/objets", "link")</f>
        <v/>
      </c>
      <c r="C1636" t="n">
        <v>18</v>
      </c>
      <c r="D1636" t="inlineStr">
        <is>
          <t>Manthache; Collier du Valet Veinard; Alliance Gloursonne; Gant du Valet Veinard; Bouclier du Stalak; Menoture; Couronne d'Allister; Cape Indescriptible; Palmes Trithons; Dofus Kaliptus; Dofus Pourpre; Dofus des Glaces; Remueur; Cascadeur majeur; Nomade; Muldo Ebène</t>
        </is>
      </c>
    </row>
    <row r="1637">
      <c r="A1637" t="inlineStr">
        <is>
          <t>Stuff 2</t>
        </is>
      </c>
      <c r="B1637">
        <f>HYPERLINK("https://www.dofusbook.net/fr/equipement/197885-stuff-2/objets", "link")</f>
        <v/>
      </c>
      <c r="C1637" t="n">
        <v>5</v>
      </c>
      <c r="D1637" t="inlineStr">
        <is>
          <t>Bêche Asse; Amulette Héroclite; Alliance de Missiz Frizz; Anneau Chevelu; Ceinture de Brouce; Casque de Missiz Frizz; Cape au Logis; Sabots Minables; Furibond majeur; Enragé majeur; Remueur; Miraculé majeur; Vigoureux majeur; Nomade; Kwaltess</t>
        </is>
      </c>
    </row>
    <row r="1638">
      <c r="A1638" t="inlineStr">
        <is>
          <t>Stuff 1</t>
        </is>
      </c>
      <c r="B1638">
        <f>HYPERLINK("https://www.dofusbook.net/fr/equipement/197912-stuff-1/objets", "link")</f>
        <v/>
      </c>
      <c r="C1638" t="n">
        <v>24</v>
      </c>
      <c r="D1638" t="inlineStr">
        <is>
          <t>Pelle de la Cour Sombre; Collier du Valet Veinard; Gant du Valet Veinard; Alliance Gloursonne; Ftalmo cassé; Menoture; Couronne d'Allister; Cape Indescriptible; Palmes Trithons; Dokoko; Nomade; Dévastateur Air majeur; Cascadeur majeur; Carapace Air majeur; Remueur; Kramkram</t>
        </is>
      </c>
    </row>
    <row r="1639">
      <c r="A1639" t="inlineStr">
        <is>
          <t>Stuff 1</t>
        </is>
      </c>
      <c r="B1639">
        <f>HYPERLINK("https://www.dofusbook.net/fr/equipement/197875-stuff-1/objets", "link")</f>
        <v/>
      </c>
      <c r="C1639" t="n">
        <v>5</v>
      </c>
      <c r="D1639" t="inlineStr">
        <is>
          <t>Baguette Hernelle; Amulette du Strigide; Bague Gloursonne; Anneau de Padgref; Ceinture Séculaire; Coiffe de Padgref; Voile d'encre; Sabots de Vortex; Dofus Turquoise; Dofus des Glaces; Dofus Ocre; Nomade; Remueur; Miraculé majeur; Kwaltess</t>
        </is>
      </c>
    </row>
    <row r="1640">
      <c r="A1640" t="inlineStr">
        <is>
          <t>Stuff 1</t>
        </is>
      </c>
      <c r="B1640">
        <f>HYPERLINK("https://www.dofusbook.net/fr/equipement/197907-stuff-1/objets", "link")</f>
        <v/>
      </c>
      <c r="C1640" t="n">
        <v>28</v>
      </c>
      <c r="D1640" t="inlineStr">
        <is>
          <t>Marteau Reine; Amulette du Strigide; Anneau du Comte Harebourg; Bracelet du Piloztère; Ceinture du Strigide; Casque de Missiz Frizz; Cape au Logis; Baleinabottes; Dofus Turquoise; Nomade; Remueur; Carapace Terre majeur; Observateur; Enragé majeur; Kramkram</t>
        </is>
      </c>
    </row>
    <row r="1641">
      <c r="A1641" t="inlineStr">
        <is>
          <t>Stuff 2</t>
        </is>
      </c>
      <c r="B1641">
        <f>HYPERLINK("https://www.dofusbook.net/fr/equipement/197870-stuff-2/objets", "link")</f>
        <v/>
      </c>
      <c r="C1641" t="n">
        <v>5</v>
      </c>
      <c r="D1641" t="inlineStr">
        <is>
          <t>Épée du Granduk; Amulette du Strigide; Anneau de Padgref; Alliance Gloursonne; Ceinture Rasboulaire du Rasboul; Masque du Granduk; Cape du Kamasterisk; Pantoufles Émar; Kramkram</t>
        </is>
      </c>
    </row>
    <row r="1642">
      <c r="A1642" t="inlineStr">
        <is>
          <t>Stuff 2</t>
        </is>
      </c>
      <c r="B1642">
        <f>HYPERLINK("https://www.dofusbook.net/fr/equipement/197902-stuff-2/objets", "link")</f>
        <v/>
      </c>
      <c r="C1642" t="n">
        <v>8</v>
      </c>
      <c r="D1642" t="inlineStr">
        <is>
          <t>Dagoulinantes; Amulette de Shokkoth; Alliance Gloursonne; Bracelet des Fonds marins; Bouclier du Chouque cassé; Poulpagne; Casquette de Meno; Cape de la Dame du Hasard; Bottes de la Dame du Hasard; Dofus Turquoise; Dofus des Glaces; Nomade; Carapace Terre majeur; Chanceux majeur; Remueur; Dragodinde en armure</t>
        </is>
      </c>
    </row>
    <row r="1643">
      <c r="A1643" t="inlineStr">
        <is>
          <t>Stuff 3</t>
        </is>
      </c>
      <c r="B1643">
        <f>HYPERLINK("https://www.dofusbook.net/fr/equipement/197865-stuff-3/objets", "link")</f>
        <v/>
      </c>
      <c r="C1643" t="n">
        <v>6</v>
      </c>
      <c r="D1643" t="inlineStr">
        <is>
          <t>Pelle de la Cour Sombre; Collier du Valet Veinard; Alliance Gloursonne; Gant du Valet Veinard; Bouclier Aerdala cassé; Menoture; Couronne d'Allister; Cape Indescriptible; Palmes Trithons; Dokoko; Vigoureux majeur; Remueur; Dévastateur Air majeur; Cascadeur majeur; Nomade; Kramkram</t>
        </is>
      </c>
    </row>
    <row r="1644">
      <c r="A1644" t="inlineStr">
        <is>
          <t>Stuff 3</t>
        </is>
      </c>
      <c r="B1644">
        <f>HYPERLINK("https://www.dofusbook.net/fr/equipement/197897-stuff-3/objets", "link")</f>
        <v/>
      </c>
      <c r="C1644" t="n">
        <v>15</v>
      </c>
      <c r="D1644" t="inlineStr">
        <is>
          <t>Dagues de Srambad; Collier de Tourthon; Anneau de Brouce; Alliance Gloursonne; Ceinture de la Reine des Voleurs; Coiffe de la Reine des Voleurs; Cape au Logis; Baleinabottes; Dofus Pourpre; Remueur; Temporiseur majeur; Enragé majeur; Nomade; Carapace Terre majeur; Kramkram</t>
        </is>
      </c>
    </row>
    <row r="1645">
      <c r="A1645" t="inlineStr">
        <is>
          <t>Stuff 3</t>
        </is>
      </c>
      <c r="B1645">
        <f>HYPERLINK("https://www.dofusbook.net/fr/equipement/197860-stuff-3/objets", "link")</f>
        <v/>
      </c>
      <c r="C1645" t="n">
        <v>30</v>
      </c>
      <c r="D1645" t="inlineStr">
        <is>
          <t>Pelle de la Cour Sombre; Collier du Valet Veinard; Gant du Valet Veinard; Alliance Gloursonne; Kloume cassé; Menoture; Couronne d'Allister; Cape Indescriptible; Palmes Trithons; Dokoko; Remueur; Dévastateur Air majeur; Cascadeur majeur; Nomade; Carapace Air majeur; Pioute jaune</t>
        </is>
      </c>
    </row>
    <row r="1646">
      <c r="A1646" t="inlineStr">
        <is>
          <t>Stuff 1</t>
        </is>
      </c>
      <c r="B1646">
        <f>HYPERLINK("https://www.dofusbook.net/fr/equipement/197892-stuff-1/objets", "link")</f>
        <v/>
      </c>
      <c r="C1646" t="n">
        <v>7</v>
      </c>
      <c r="D1646" t="inlineStr">
        <is>
          <t>Dagues Ricol; Amulette du Strigide; Anneau de Padgref; Bague Gloursonne; Ceinture Séculaire; Coiffe Séculaire; Voile d'encre; Pataugastrique; Dofus Turquoise; Vigoureux majeur; Nomade; Érudit majeur; Miraculé majeur; Remueur; Kramkram</t>
        </is>
      </c>
    </row>
    <row r="1647">
      <c r="A1647" t="inlineStr">
        <is>
          <t>Stuff 1</t>
        </is>
      </c>
      <c r="B1647">
        <f>HYPERLINK("https://www.dofusbook.net/fr/equipement/197887-stuff-1/objets", "link")</f>
        <v/>
      </c>
      <c r="C1647" t="n">
        <v>8</v>
      </c>
      <c r="D1647" t="inlineStr">
        <is>
          <t>Épée de la Reine des Voleurs; Amulette du Strigide; Alliance Gloursonne; Anneau des égarés; Ceinture de la Reine des Voleurs; Coiffe de la Reine des Voleurs; Cape du Kamasterisk; Baleinabottes; Dofus Pourpre; Dofus Turquoise; Dofus Émeraude; Nomade; Remueur; Kramkram</t>
        </is>
      </c>
    </row>
    <row r="1648">
      <c r="A1648" t="inlineStr">
        <is>
          <t>Stuff 1</t>
        </is>
      </c>
      <c r="B1648">
        <f>HYPERLINK("https://www.dofusbook.net/fr/equipement/197919-stuff-1/objets", "link")</f>
        <v/>
      </c>
      <c r="C1648" t="n">
        <v>31</v>
      </c>
      <c r="D1648" t="inlineStr">
        <is>
          <t>Baguette Houffe-Craitien; Amulette du Strigide; Anneau de Padgref; Alliance Gloursonne; Ceinture de Gein; Coiffe de Padgref; Cape d'Atcham; Bottes de la Dame du Hasard; Dofus Nébuleux; Dofus des Glaces; Dofus Ocre; Dofus Pourpre; Nomade; Remueur; Kwaltess</t>
        </is>
      </c>
    </row>
    <row r="1649">
      <c r="A1649" t="inlineStr">
        <is>
          <t>Stuff 2</t>
        </is>
      </c>
      <c r="B1649">
        <f>HYPERLINK("https://www.dofusbook.net/fr/equipement/197882-stuff-2/objets", "link")</f>
        <v/>
      </c>
      <c r="C1649" t="n">
        <v>5</v>
      </c>
      <c r="D1649" t="inlineStr">
        <is>
          <t>Manthache; Collier du Valet Veinard; Alliance Gloursonne; Gant du Valet Veinard; Bouclier Aerdala cassé; Menoture; Couronne d'Allister; Cape Indescriptible; Palmes Trithons; Dofus des Glaces; Dokoko; Remueur; Dévastateur Air majeur; Cascadeur majeur; Nomade; Dragodinde en armure</t>
        </is>
      </c>
    </row>
    <row r="1650">
      <c r="A1650" t="inlineStr">
        <is>
          <t>Stuff 3</t>
        </is>
      </c>
      <c r="B1650">
        <f>HYPERLINK("https://www.dofusbook.net/fr/equipement/197914-stuff-3/objets", "link")</f>
        <v/>
      </c>
      <c r="C1650" t="n">
        <v>17</v>
      </c>
      <c r="D1650" t="inlineStr">
        <is>
          <t>Pelle de la Cour Sombre; Collier du Valet Veinard; Alliance Gloursonne; Gant du Valet Veinard; Ftalmo cassé; Menoture; Couronne d'Allister; Cape Indescriptible; Palmes Trithons; Dokoko; Dévastateur Air majeur; Cascadeur majeur; Carapace Air majeur; Remueur; Nomade; Kramkram</t>
        </is>
      </c>
    </row>
    <row r="1651">
      <c r="A1651" t="inlineStr">
        <is>
          <t>Stuff 3</t>
        </is>
      </c>
      <c r="B1651">
        <f>HYPERLINK("https://www.dofusbook.net/fr/equipement/197877-stuff-3/objets", "link")</f>
        <v/>
      </c>
      <c r="C1651" t="n">
        <v>9</v>
      </c>
      <c r="D1651" t="inlineStr">
        <is>
          <t>Arc Nécrotique; Amulette de Pol Ouatnos; Anneau Cryochrone; Alliance Gloursonne; Ceintacé; Coiffe Cryochrone; Cape de Théodoran Ax; Pataugastrique; Dofus Pourpre; Nomade; Remueur; Vigoureux majeur; Chanceux majeur; Kramkram</t>
        </is>
      </c>
    </row>
    <row r="1652">
      <c r="A1652" t="inlineStr">
        <is>
          <t>Stuff 2</t>
        </is>
      </c>
      <c r="B1652">
        <f>HYPERLINK("https://www.dofusbook.net/fr/equipement/197909-stuff-2/objets", "link")</f>
        <v/>
      </c>
      <c r="C1652" t="n">
        <v>19</v>
      </c>
      <c r="D1652" t="inlineStr">
        <is>
          <t>Hache du Chalœil; Amulette du Strigide; Bracelet du Piloztère; Alliance Gloursonne; Ftalmo cassé; Ceintacé; Casque du Chalœil; Bottes du Strigide; Dofus Turquoise; Dolmanax; Dofus des Glaces; Nomade; Vigoureux majeur; Carapace Terre majeur; Kramkram</t>
        </is>
      </c>
    </row>
    <row r="1653">
      <c r="A1653" t="inlineStr">
        <is>
          <t>Stuff 2</t>
        </is>
      </c>
      <c r="B1653">
        <f>HYPERLINK("https://www.dofusbook.net/fr/equipement/197867-stuff-2/objets", "link")</f>
        <v/>
      </c>
      <c r="C1653" t="n">
        <v>1</v>
      </c>
      <c r="D1653" t="inlineStr">
        <is>
          <t>Epée Gloursonne; Amulette du Strigide; Bague Gloursonne; Alliance Gloursonne; Bouclier du Chouque cassé; Ceinture du Strigide; Casque du Chalœil; Voile d'encre; Bottes du Strigide; Dofus Pourpre; Dofus des Glaces; Dolmanax; Dofus Ocre; Robuste majeur; Kramkram</t>
        </is>
      </c>
    </row>
    <row r="1654">
      <c r="A1654" t="inlineStr">
        <is>
          <t>Stuff 2</t>
        </is>
      </c>
      <c r="B1654">
        <f>HYPERLINK("https://www.dofusbook.net/fr/equipement/197899-stuff-2/objets", "link")</f>
        <v/>
      </c>
      <c r="C1654" t="n">
        <v>3</v>
      </c>
      <c r="D1654" t="inlineStr">
        <is>
          <t>Dagues de Srambad; Amulette Ementaire Deluxe; Alliance Gloursonne; Bracelet du Piloztère; Bouclier du Chouque cassé; Dofusteuse; Pataugastrique; Dofus Turquoise; Dofus des Glaces; Dofus Pourpre; Nomade; Vigoureux majeur; Remueur; Kramkram</t>
        </is>
      </c>
    </row>
    <row r="1655">
      <c r="A1655" t="inlineStr">
        <is>
          <t>Stuff 3</t>
        </is>
      </c>
      <c r="B1655">
        <f>HYPERLINK("https://www.dofusbook.net/fr/equipement/197862-stuff-3/objets", "link")</f>
        <v/>
      </c>
      <c r="C1655" t="n">
        <v>5</v>
      </c>
      <c r="D1655" t="inlineStr">
        <is>
          <t>Epée Toche; Amulette du Strigide; Alliance de Missiz Frizz; Anneau Chevelu; Ceinture de Brouce; Casque de Missiz Frizz; Cape au Logis; Baleinabottes; Dofus Turquoise; Dofus Nébuleux; Dofus Pourpre; Remueur; Vigoureux majeur; Enragé majeur; Kompost</t>
        </is>
      </c>
    </row>
    <row r="1656">
      <c r="A1656" t="inlineStr">
        <is>
          <t>Stuff 1</t>
        </is>
      </c>
      <c r="B1656">
        <f>HYPERLINK("https://www.dofusbook.net/fr/equipement/197907-stuff-1/objets", "link")</f>
        <v/>
      </c>
      <c r="C1656" t="n">
        <v>28</v>
      </c>
      <c r="D1656" t="inlineStr">
        <is>
          <t>Marteau Reine; Amulette du Strigide; Anneau du Comte Harebourg; Bracelet du Piloztère; Ceinture du Strigide; Casque de Missiz Frizz; Cape au Logis; Baleinabottes; Dofus Turquoise; Nomade; Remueur; Carapace Terre majeur; Observateur; Enragé majeur; Kramkram</t>
        </is>
      </c>
    </row>
    <row r="1657">
      <c r="A1657" t="inlineStr">
        <is>
          <t>Stuff 1</t>
        </is>
      </c>
      <c r="B1657">
        <f>HYPERLINK("https://www.dofusbook.net/fr/equipement/197875-stuff-1/objets", "link")</f>
        <v/>
      </c>
      <c r="C1657" t="n">
        <v>5</v>
      </c>
      <c r="D1657" t="inlineStr">
        <is>
          <t>Baguette Hernelle; Amulette du Strigide; Anneau de Padgref; Bague Gloursonne; Ceinture Séculaire; Coiffe de Padgref; Voile d'encre; Sabots de Vortex; Dofus Ocre; Dofus Turquoise; Dofus des Glaces; Miraculé majeur; Nomade; Remueur; Kwaltess</t>
        </is>
      </c>
    </row>
    <row r="1658">
      <c r="A1658" t="inlineStr">
        <is>
          <t>Stuff 2</t>
        </is>
      </c>
      <c r="B1658">
        <f>HYPERLINK("https://www.dofusbook.net/fr/equipement/197902-stuff-2/objets", "link")</f>
        <v/>
      </c>
      <c r="C1658" t="n">
        <v>8</v>
      </c>
      <c r="D1658" t="inlineStr">
        <is>
          <t>Dagoulinantes; Amulette de Shokkoth; Alliance Gloursonne; Bracelet des Fonds marins; Bouclier du Chouque cassé; Poulpagne; Casquette de Meno; Cape de la Dame du Hasard; Bottes de la Dame du Hasard; Dofus Turquoise; Dofus des Glaces; Nomade; Carapace Terre majeur; Chanceux majeur; Remueur; Dragodinde en armure</t>
        </is>
      </c>
    </row>
    <row r="1659">
      <c r="A1659" t="inlineStr">
        <is>
          <t>Stuff 2</t>
        </is>
      </c>
      <c r="B1659">
        <f>HYPERLINK("https://www.dofusbook.net/fr/equipement/197870-stuff-2/objets", "link")</f>
        <v/>
      </c>
      <c r="C1659" t="n">
        <v>5</v>
      </c>
      <c r="D1659" t="inlineStr">
        <is>
          <t>Épée du Granduk; Amulette du Strigide; Alliance Gloursonne; Anneau de Padgref; Ceinture Rasboulaire du Rasboul; Masque du Granduk; Cape du Kamasterisk; Pantoufles Émar; Kramkram</t>
        </is>
      </c>
    </row>
    <row r="1660">
      <c r="A1660" t="inlineStr">
        <is>
          <t>Stuff 3</t>
        </is>
      </c>
      <c r="B1660">
        <f>HYPERLINK("https://www.dofusbook.net/fr/equipement/197897-stuff-3/objets", "link")</f>
        <v/>
      </c>
      <c r="C1660" t="n">
        <v>15</v>
      </c>
      <c r="D1660" t="inlineStr">
        <is>
          <t>Dagues de Srambad; Collier de Tourthon; Anneau de Brouce; Alliance Gloursonne; Ceinture de la Reine des Voleurs; Coiffe de la Reine des Voleurs; Cape au Logis; Baleinabottes; Dofus Pourpre; Carapace Terre majeur; Remueur; Temporiseur majeur; Enragé majeur; Nomade; Kramkram</t>
        </is>
      </c>
    </row>
    <row r="1661">
      <c r="A1661" t="inlineStr">
        <is>
          <t>Stuff 3</t>
        </is>
      </c>
      <c r="B1661">
        <f>HYPERLINK("https://www.dofusbook.net/fr/equipement/197865-stuff-3/objets", "link")</f>
        <v/>
      </c>
      <c r="C1661" t="n">
        <v>6</v>
      </c>
      <c r="D1661" t="inlineStr">
        <is>
          <t>Pelle de la Cour Sombre; Collier du Valet Veinard; Alliance Gloursonne; Gant du Valet Veinard; Bouclier Aerdala cassé; Menoture; Couronne d'Allister; Cape Indescriptible; Palmes Trithons; Dokoko; Cascadeur majeur; Nomade; Vigoureux majeur; Remueur; Dévastateur Air majeur; Kramkram</t>
        </is>
      </c>
    </row>
    <row r="1662">
      <c r="A1662" t="inlineStr">
        <is>
          <t>Stuff 1</t>
        </is>
      </c>
      <c r="B1662">
        <f>HYPERLINK("https://www.dofusbook.net/fr/equipement/197892-stuff-1/objets", "link")</f>
        <v/>
      </c>
      <c r="C1662" t="n">
        <v>7</v>
      </c>
      <c r="D1662" t="inlineStr">
        <is>
          <t>Dagues Ricol; Amulette du Strigide; Bague Gloursonne; Anneau de Padgref; Ceinture Séculaire; Coiffe Séculaire; Voile d'encre; Pataugastrique; Dofus Turquoise; Miraculé majeur; Remueur; Vigoureux majeur; Nomade; Érudit majeur; Kramkram</t>
        </is>
      </c>
    </row>
    <row r="1663">
      <c r="A1663" t="inlineStr">
        <is>
          <t>Stuff 3</t>
        </is>
      </c>
      <c r="B1663">
        <f>HYPERLINK("https://www.dofusbook.net/fr/equipement/197860-stuff-3/objets", "link")</f>
        <v/>
      </c>
      <c r="C1663" t="n">
        <v>30</v>
      </c>
      <c r="D1663" t="inlineStr">
        <is>
          <t>Pelle de la Cour Sombre; Collier du Valet Veinard; Alliance Gloursonne; Gant du Valet Veinard; Kloume cassé; Menoture; Couronne d'Allister; Cape Indescriptible; Palmes Trithons; Dokoko; Carapace Air majeur; Remueur; Dévastateur Air majeur; Cascadeur majeur; Nomade; Pioute jaune</t>
        </is>
      </c>
    </row>
    <row r="1664">
      <c r="A1664" t="inlineStr">
        <is>
          <t>Stuff 1</t>
        </is>
      </c>
      <c r="B1664">
        <f>HYPERLINK("https://www.dofusbook.net/fr/equipement/197887-stuff-1/objets", "link")</f>
        <v/>
      </c>
      <c r="C1664" t="n">
        <v>8</v>
      </c>
      <c r="D1664" t="inlineStr">
        <is>
          <t>Épée de la Reine des Voleurs; Amulette du Strigide; Anneau des égarés; Alliance Gloursonne; Ceinture de la Reine des Voleurs; Coiffe de la Reine des Voleurs; Cape du Kamasterisk; Baleinabottes; Dofus Turquoise; Dofus Émeraude; Dofus Pourpre; Remueur; Nomade; Kramkram</t>
        </is>
      </c>
    </row>
    <row r="1665">
      <c r="A1665" t="inlineStr">
        <is>
          <t>Stuff 1</t>
        </is>
      </c>
      <c r="B1665">
        <f>HYPERLINK("https://www.dofusbook.net/fr/equipement/197919-stuff-1/objets", "link")</f>
        <v/>
      </c>
      <c r="C1665" t="n">
        <v>31</v>
      </c>
      <c r="D1665" t="inlineStr">
        <is>
          <t>Baguette Houffe-Craitien; Amulette du Strigide; Alliance Gloursonne; Anneau de Padgref; Ceinture de Gein; Coiffe de Padgref; Cape d'Atcham; Bottes de la Dame du Hasard; Dofus Ocre; Dofus Pourpre; Dofus Nébuleux; Dofus des Glaces; Nomade; Remueur; Kwaltess</t>
        </is>
      </c>
    </row>
    <row r="1666">
      <c r="A1666" t="inlineStr">
        <is>
          <t>Stuff 3</t>
        </is>
      </c>
      <c r="B1666">
        <f>HYPERLINK("https://www.dofusbook.net/fr/equipement/197914-stuff-3/objets", "link")</f>
        <v/>
      </c>
      <c r="C1666" t="n">
        <v>17</v>
      </c>
      <c r="D1666" t="inlineStr">
        <is>
          <t>Pelle de la Cour Sombre; Collier du Valet Veinard; Alliance Gloursonne; Gant du Valet Veinard; Ftalmo cassé; Menoture; Couronne d'Allister; Cape Indescriptible; Palmes Trithons; Dokoko; Nomade; Dévastateur Air majeur; Cascadeur majeur; Carapace Air majeur; Remueur; Kramkram</t>
        </is>
      </c>
    </row>
    <row r="1667">
      <c r="A1667" t="inlineStr">
        <is>
          <t>Stuff 2</t>
        </is>
      </c>
      <c r="B1667">
        <f>HYPERLINK("https://www.dofusbook.net/fr/equipement/197882-stuff-2/objets", "link")</f>
        <v/>
      </c>
      <c r="C1667" t="n">
        <v>5</v>
      </c>
      <c r="D1667" t="inlineStr">
        <is>
          <t>Manthache; Collier du Valet Veinard; Gant du Valet Veinard; Alliance Gloursonne; Bouclier Aerdala cassé; Menoture; Couronne d'Allister; Cape Indescriptible; Palmes Trithons; Dofus des Glaces; Dokoko; Remueur; Dévastateur Air majeur; Cascadeur majeur; Nomade; Dragodinde en armure</t>
        </is>
      </c>
    </row>
    <row r="1668">
      <c r="A1668" t="inlineStr">
        <is>
          <t>Stuff 2</t>
        </is>
      </c>
      <c r="B1668">
        <f>HYPERLINK("https://www.dofusbook.net/fr/equipement/197909-stuff-2/objets", "link")</f>
        <v/>
      </c>
      <c r="C1668" t="n">
        <v>19</v>
      </c>
      <c r="D1668" t="inlineStr">
        <is>
          <t>Hache du Chalœil; Amulette du Strigide; Bracelet du Piloztère; Alliance Gloursonne; Ftalmo cassé; Ceintacé; Casque du Chalœil; Bottes du Strigide; Dofus Turquoise; Dolmanax; Dofus des Glaces; Nomade; Vigoureux majeur; Carapace Terre majeur; Kramkram</t>
        </is>
      </c>
    </row>
    <row r="1669">
      <c r="A1669" t="inlineStr">
        <is>
          <t>Stuff 3</t>
        </is>
      </c>
      <c r="B1669">
        <f>HYPERLINK("https://www.dofusbook.net/fr/equipement/197877-stuff-3/objets", "link")</f>
        <v/>
      </c>
      <c r="C1669" t="n">
        <v>9</v>
      </c>
      <c r="D1669" t="inlineStr">
        <is>
          <t>Arc Nécrotique; Amulette de Pol Ouatnos; Alliance Gloursonne; Anneau Cryochrone; Ceintacé; Coiffe Cryochrone; Cape de Théodoran Ax; Pataugastrique; Dofus Pourpre; Vigoureux majeur; Chanceux majeur; Nomade; Remueur; Kramkram</t>
        </is>
      </c>
    </row>
    <row r="1670">
      <c r="A1670" t="inlineStr">
        <is>
          <t>Stuff 2</t>
        </is>
      </c>
      <c r="B1670">
        <f>HYPERLINK("https://www.dofusbook.net/fr/equipement/197899-stuff-2/objets", "link")</f>
        <v/>
      </c>
      <c r="C1670" t="n">
        <v>3</v>
      </c>
      <c r="D1670" t="inlineStr">
        <is>
          <t>Dagues de Srambad; Amulette Ementaire Deluxe; Bracelet du Piloztère; Alliance Gloursonne; Bouclier du Chouque cassé; Dofusteuse; Pataugastrique; Dofus Turquoise; Dofus des Glaces; Dofus Pourpre; Nomade; Vigoureux majeur; Remueur; Kramkram</t>
        </is>
      </c>
    </row>
    <row r="1671">
      <c r="A1671" t="inlineStr">
        <is>
          <t>Stuff 2</t>
        </is>
      </c>
      <c r="B1671">
        <f>HYPERLINK("https://www.dofusbook.net/fr/equipement/197867-stuff-2/objets", "link")</f>
        <v/>
      </c>
      <c r="C1671" t="n">
        <v>1</v>
      </c>
      <c r="D1671" t="inlineStr">
        <is>
          <t>Epée Gloursonne; Amulette du Strigide; Alliance Gloursonne; Bague Gloursonne; Bouclier du Chouque cassé; Ceinture du Strigide; Casque du Chalœil; Voile d'encre; Bottes du Strigide; Dofus Pourpre; Dofus des Glaces; Dolmanax; Dofus Ocre; Robuste majeur; Kramkram</t>
        </is>
      </c>
    </row>
    <row r="1672">
      <c r="A1672" t="inlineStr">
        <is>
          <t>Stuff 3</t>
        </is>
      </c>
      <c r="B1672">
        <f>HYPERLINK("https://www.dofusbook.net/fr/equipement/197894-stuff-3/objets", "link")</f>
        <v/>
      </c>
      <c r="C1672" t="n">
        <v>3</v>
      </c>
      <c r="D1672" t="inlineStr">
        <is>
          <t>Bêche Asse; Amulette du Strigide; Alliance de Missiz Frizz; Ceinture de Brouce; Casque de Missiz Frizz; Cape au Logis; Sabots Minables</t>
        </is>
      </c>
    </row>
    <row r="1673">
      <c r="A1673" t="inlineStr">
        <is>
          <t>Stuff 3</t>
        </is>
      </c>
      <c r="B1673">
        <f>HYPERLINK("https://www.dofusbook.net/fr/equipement/197862-stuff-3/objets", "link")</f>
        <v/>
      </c>
      <c r="C1673" t="n">
        <v>5</v>
      </c>
      <c r="D1673" t="inlineStr">
        <is>
          <t>Epée Toche; Amulette du Strigide; Anneau Chevelu; Alliance de Missiz Frizz; Ceinture de Brouce; Casque de Missiz Frizz; Cape au Logis; Baleinabottes; Dofus Pourpre; Dofus Turquoise; Dofus Nébuleux; Remueur; Vigoureux majeur; Enragé majeur; Kompost</t>
        </is>
      </c>
    </row>
    <row r="1674">
      <c r="A1674" t="inlineStr">
        <is>
          <t>Stuff 1</t>
        </is>
      </c>
      <c r="B1674">
        <f>HYPERLINK("https://www.dofusbook.net/fr/equipement/197889-stuff-1/objets", "link")</f>
        <v/>
      </c>
      <c r="C1674" t="n">
        <v>1</v>
      </c>
      <c r="D1674" t="inlineStr">
        <is>
          <t>Bêche Asse; Amulette du Strigide; Alliance Gloursonne; Anneau de Brouce; Ceinture de la Reine des Voleurs; Coiffe de la Reine des Voleurs; Cape au Logis; Sabots Minables; Nomade; Remueur; Vigoureux majeur; Dragodinde en armure</t>
        </is>
      </c>
    </row>
    <row r="1675">
      <c r="A1675" t="inlineStr">
        <is>
          <t>Stuff 1</t>
        </is>
      </c>
      <c r="B1675">
        <f>HYPERLINK("https://www.dofusbook.net/fr/equipement/197921-stuff-1/objets", "link")</f>
        <v/>
      </c>
      <c r="C1675" t="n">
        <v>23</v>
      </c>
      <c r="D1675" t="inlineStr">
        <is>
          <t>Baguette Range; Amulette du Strigide; Alliance Gloursonne; Anneau de Padgref; Ceinture de Vortex; Coiffe de Padgref; Voile d'encre; Pataugastrique; Dofus des Glaces; Dofus Turquoise; Dofus Pourpre; Vigoureux majeur; Remueur; Nomade; Muldo Doré et Emeraude</t>
        </is>
      </c>
    </row>
    <row r="1676">
      <c r="A1676" t="inlineStr">
        <is>
          <t>iopsucces123</t>
        </is>
      </c>
      <c r="B1676">
        <f>HYPERLINK("https://www.dofusbook.net/fr/equipement/1014141-iopsucces123/objets", "link")</f>
        <v/>
      </c>
      <c r="C1676" t="n">
        <v>3</v>
      </c>
      <c r="D1676" t="inlineStr">
        <is>
          <t>La Hache Ticot; Amulette du Krokilleur; Gelano; Anneau du Dragon Cochon; Ceinture du Wabbit Garou; Solomonk; Cape du Rat Blanc; Bottes du Wabbit Garou; Dofus Cawotte; Vigoureux; Remueur; Enragé; Miraculé; Nomade; Dragodinde Ivoire et Pourpre</t>
        </is>
      </c>
    </row>
    <row r="1677">
      <c r="A1677" t="inlineStr">
        <is>
          <t>welly</t>
        </is>
      </c>
      <c r="B1677">
        <f>HYPERLINK("https://www.dofusbook.net/fr/equipement/4344450-welly/objets", "link")</f>
        <v/>
      </c>
      <c r="C1677" t="n">
        <v>5</v>
      </c>
      <c r="D1677" t="inlineStr">
        <is>
          <t>Hache du Chalœil; Amulette du Strigide; Anneau de Padgref; Bracelet du Piloztère; Quatre-feuilles; Ceinture du Strigide; Le Dorado; Cape d'Atcham; Pataugastrique; Dofus Pourpre; Sanguinaire majeur; Enragé majeur; Chanceux majeur; Vigoureux majeur; Remueur; Muldo Prune et Doré</t>
        </is>
      </c>
    </row>
    <row r="1678">
      <c r="A1678" t="inlineStr">
        <is>
          <t>enu ret pmmmm</t>
        </is>
      </c>
      <c r="B1678">
        <f>HYPERLINK("https://www.dofusbook.net/fr/equipement/4322496-enu-ret-pmmmm/objets", "link")</f>
        <v/>
      </c>
      <c r="C1678" t="n">
        <v>7</v>
      </c>
      <c r="D1678" t="inlineStr">
        <is>
          <t>Baguette Hique; Collier de la Dame du Hasard; Pikano; Alliance Gloursonne; Bouclier cubiste; Poulpagne; Casquipik; Cape de Meno; Pataugastrique; Dofus Pourpre; Chanceux majeur; Temporiseur; Temporiseur majeur; Nomade; Entraveur majeur; Léopardo</t>
        </is>
      </c>
    </row>
    <row r="1679">
      <c r="A1679" t="inlineStr">
        <is>
          <t>Stuff rall pm</t>
        </is>
      </c>
      <c r="B1679">
        <f>HYPERLINK("https://www.dofusbook.net/fr/equipement/2607597-stuff-rall-pm/objets", "link")</f>
        <v/>
      </c>
      <c r="C1679" t="n">
        <v>10</v>
      </c>
      <c r="D1679" t="inlineStr">
        <is>
          <t>Arc Hétype; Amulette du Glourséleste; Anneau Tamie; Pikano; Bouclier cubiste; Ceinture Instable; Casquipik; Cape de Léthaline; Pantoufles Émar; Remueur; Ralentisseur majeur; Entraveur majeur; Temporiseur majeur; Fonceur majeur; Temporiseur; Volkorne Turquoise et Indigo</t>
        </is>
      </c>
    </row>
    <row r="1680">
      <c r="A1680" t="inlineStr">
        <is>
          <t>enu ret pm</t>
        </is>
      </c>
      <c r="B1680">
        <f>HYPERLINK("https://www.dofusbook.net/fr/equipement/4311527-enu-ret-pm/objets", "link")</f>
        <v/>
      </c>
      <c r="C1680" t="n">
        <v>3</v>
      </c>
      <c r="D1680" t="inlineStr">
        <is>
          <t>Baguette Hique; Collier de la Dame du Hasard; Alliance Gloursonne; Bracelet des Fonds marins; Bouclier cubiste; Ceinture Glaciale; Kidibonnet; Cape de la Dame du Hasard; Pataugastrique; Dofus Pourpre; Nomade; Temporiseur majeur; Ralentisseur majeur; Chanceux majeur; Entraveur majeur; Volkorne Saphir et Turquoise</t>
        </is>
      </c>
    </row>
    <row r="1681">
      <c r="A1681" t="inlineStr">
        <is>
          <t>enu roks/ret pm</t>
        </is>
      </c>
      <c r="B1681">
        <f>HYPERLINK("https://www.dofusbook.net/fr/equipement/4283681-enu-roks-ret-pm/objets", "link")</f>
        <v/>
      </c>
      <c r="C1681" t="n">
        <v>8</v>
      </c>
      <c r="D1681" t="inlineStr">
        <is>
          <t>Baguette Hique; Amulette de Shokkoth; Pikano; Bracelet des Fonds marins; Bouclier cubiste; Poulpagne; Capuche de l'Œil Putride; Cape de Meno; Bottes de Meno; Dofus Ocre; Temporiseur majeur; Chanceux majeur; Ralentisseur majeur; Entraveur majeur; Nomade; Gwo Tofu Ventripotent</t>
        </is>
      </c>
    </row>
    <row r="1682">
      <c r="A1682" t="inlineStr">
        <is>
          <t>lowcoast trophus</t>
        </is>
      </c>
      <c r="B1682">
        <f>HYPERLINK("https://www.dofusbook.net/fr/equipement/2065251-lowcoast-trophus/objets", "link")</f>
        <v/>
      </c>
      <c r="C1682" t="n">
        <v>9</v>
      </c>
      <c r="D1682" t="inlineStr">
        <is>
          <t>Canne Harr; Amulette du Strigide; Kralano; Anneau de Padgref; Quatre-feuilles; Ceinture Séculaire; Coiffe de Padgref; Cape Lati; Pantoufles Émar; Dofus Turquoise; Remueur; Cascadeur majeur; Nomade; Vigoureux majeur; Érudit majeur; Muldo Emeraude</t>
        </is>
      </c>
    </row>
    <row r="1683">
      <c r="A1683" t="inlineStr">
        <is>
          <t>cra roksss</t>
        </is>
      </c>
      <c r="B1683">
        <f>HYPERLINK("https://www.dofusbook.net/fr/equipement/4278533-cra-roksss/objets", "link")</f>
        <v/>
      </c>
      <c r="C1683" t="n">
        <v>25</v>
      </c>
      <c r="D1683" t="inlineStr">
        <is>
          <t>Arc Volkorne; Amulette Volkorne; Bracelet du Piloztère; Anneau Volkorne; Quatre-feuilles; Ceinture Volkorne; Casque du Chalœil; Cape du Chalœil; Bottes du Chalœil; Dofus Pourpre; Dofus Turquoise; Dolmanax; Dofus des Glaces; Dofus Ocre; Puissant majeur; Kokulte</t>
        </is>
      </c>
    </row>
    <row r="1684">
      <c r="A1684" t="inlineStr">
        <is>
          <t>iop terre</t>
        </is>
      </c>
      <c r="B1684">
        <f>HYPERLINK("https://www.dofusbook.net/fr/equipement/4238036-iop-terre/objets", "link")</f>
        <v/>
      </c>
      <c r="C1684" t="n">
        <v>5</v>
      </c>
      <c r="D1684" t="inlineStr">
        <is>
          <t>Arc du Chalœil; Amulette du Strigide; Bague Trithon; Anneau Crustique; Ceinture du Strigide; Masque de Koutoulou; Cape au Logis; Bottes Trithon; Dofus Pourpre; Dofus des Glaces; Dofus Turquoise; Dofus Nébuleux; Dolmanax; Dofus Ocre; Pioute vert</t>
        </is>
      </c>
    </row>
    <row r="1685">
      <c r="A1685" t="inlineStr">
        <is>
          <t>roks</t>
        </is>
      </c>
      <c r="B1685">
        <f>HYPERLINK("https://www.dofusbook.net/fr/equipement/4139400-roks/objets", "link")</f>
        <v/>
      </c>
      <c r="C1685" t="n">
        <v>11</v>
      </c>
      <c r="D1685" t="inlineStr">
        <is>
          <t>Arc Volkorne; Amulette du Strigide; Anneau de Padgref; Bracelet du Piloztère; Quatre-feuilles; Ceintacé; Le Dorado; Cape d'Atcham; Bottes du Strigide; Dofus Pourpre; Dofus Turquoise; Dolmanax; Dofus des Glaces; Vigoureux majeur; Nomade; Kokulte</t>
        </is>
      </c>
    </row>
    <row r="1686">
      <c r="A1686" t="inlineStr">
        <is>
          <t>eauretpa</t>
        </is>
      </c>
      <c r="B1686">
        <f>HYPERLINK("https://www.dofusbook.net/fr/equipement/4094695-eauretpa/objets", "link")</f>
        <v/>
      </c>
      <c r="C1686" t="n">
        <v>6</v>
      </c>
      <c r="D1686" t="inlineStr">
        <is>
          <t>Sceptre du Roi Joueur; Amulette de Shokkoth; Alliance Gloursonne; Anneau Volkorne; Bouclier du Stalak; Culotte de Bethel; Masque des Fonds marins; Cape Solution; Chaussons de Macrab; Dofus des Glaces; Dofus Ocre; Dofus Ivoire; Étourdisseur majeur; Nomade; Chanceux majeur; Koalak Sanguin</t>
        </is>
      </c>
    </row>
    <row r="1687">
      <c r="A1687" t="inlineStr">
        <is>
          <t>enu roks multi</t>
        </is>
      </c>
      <c r="B1687">
        <f>HYPERLINK("https://www.dofusbook.net/fr/equipement/4088358-enu-roks-multi/objets", "link")</f>
        <v/>
      </c>
      <c r="C1687" t="n">
        <v>1</v>
      </c>
      <c r="D1687" t="inlineStr">
        <is>
          <t>Baguette Héroclite; Amulette de Shokkoth; Anneau Volkorne; Grésilanneau; Bouclier cubiste; Ceinture Voldelor; Capuche de l'Œil Attentif; Cape de l'Œil Attentif; Sandales des Fonds marins; Dofus Ocre; Dofus Abyssal; Carapace Neutre majeur; Remueur; Chanceux majeur; Temporiseur majeur; Léopardo</t>
        </is>
      </c>
    </row>
    <row r="1688">
      <c r="A1688" t="inlineStr">
        <is>
          <t>roksmulti</t>
        </is>
      </c>
      <c r="B1688">
        <f>HYPERLINK("https://www.dofusbook.net/fr/equipement/4088355-roksmulti/objets", "link")</f>
        <v/>
      </c>
      <c r="C1688" t="n">
        <v>11</v>
      </c>
      <c r="D1688" t="inlineStr">
        <is>
          <t>Hache du Chalœil; Amulette du Strigide; Alliance Gloursonne; Bracelet du Piloztère; Quatre-feuilles; Ceinture du Strigide; Masque Brûlâme; Cape d'Atcham; Bottes Honyme; Dofus Turquoise; Dofus des Glaces; Dofus Pourpre; Vigoureux majeur; Nomade; Remueur; Chacha Angora</t>
        </is>
      </c>
    </row>
    <row r="1689">
      <c r="A1689" t="inlineStr">
        <is>
          <t>roksmulti</t>
        </is>
      </c>
      <c r="B1689">
        <f>HYPERLINK("https://www.dofusbook.net/fr/equipement/4088354-roksmulti/objets", "link")</f>
        <v/>
      </c>
      <c r="C1689" t="n">
        <v>3</v>
      </c>
      <c r="D1689" t="inlineStr">
        <is>
          <t>Hache du Chalœil; Amulette du Strigide; Alliance Gloursonne; Bracelet du Piloztère; Quatre-feuilles; Ceinture du Strigide; Masque Brûlâme; Cape d'Atcham; Bottes Honyme; Dofus Pourpre; Dofus Turquoise; Dofus des Glaces; Vigoureux majeur; Nomade; Remueur; Chacha Angora</t>
        </is>
      </c>
    </row>
    <row r="1690">
      <c r="A1690" t="inlineStr">
        <is>
          <t>osa agi roxe</t>
        </is>
      </c>
      <c r="B1690">
        <f>HYPERLINK("https://www.dofusbook.net/fr/equipement/4070345-osa-agi-roxe/objets", "link")</f>
        <v/>
      </c>
      <c r="C1690" t="n">
        <v>6</v>
      </c>
      <c r="D1690" t="inlineStr">
        <is>
          <t>Lance Horselé; Collier du Valet Veinard; Alliance Gloursonne; Gant du Valet Veinard; Bouclier d'Ilyzaelle; Menoture; Couronne d'Allister; Cape du Kamasterisk; Palmes Trithons; Dofus des Glaces; Dévastateur Air majeur; Nomade; Miraculé majeur; Remueur; Cascadeur majeur; Blérodoudou</t>
        </is>
      </c>
    </row>
    <row r="1691">
      <c r="A1691" t="inlineStr">
        <is>
          <t>iop terr feu</t>
        </is>
      </c>
      <c r="B1691">
        <f>HYPERLINK("https://www.dofusbook.net/fr/equipement/4060417-iop-terr-feu/objets", "link")</f>
        <v/>
      </c>
      <c r="C1691" t="n">
        <v>13</v>
      </c>
      <c r="D1691" t="inlineStr">
        <is>
          <t>Hache Téroïde; Amulette du Strigide; Chevalière du Roi Joueur; Bague Gloursonne; Bouclier du Captain Amakna; Ceintacé; Chapeau de Gein; Cape au Logis; Bottes du Roi Joueur; Dofus des Glaces; Dofus Turquoise; Dofus Pourpre; Vigoureux majeur; Remueur; Enragé majeur; Kokulte</t>
        </is>
      </c>
    </row>
    <row r="1692">
      <c r="A1692" t="inlineStr">
        <is>
          <t>eauuu</t>
        </is>
      </c>
      <c r="B1692">
        <f>HYPERLINK("https://www.dofusbook.net/fr/equipement/4053273-eauuu/objets", "link")</f>
        <v/>
      </c>
      <c r="C1692" t="n">
        <v>6</v>
      </c>
      <c r="D1692" t="inlineStr">
        <is>
          <t>Sceptre du Roi Joueur; Amulette du Sinistrofu; Anneau Volkorne; Bracelet des Fonds marins; La Rondelle; Pagne du Rykaon; Masque des Fonds marins; Cape du Sinistrofu; Bottes du Sinistrofu; Dofus Ivoire; Dofus des Glaces; Dofus Ocre; Ravageur Eau majeur; Taquin majeur; Joueur majeur; Kanigloups</t>
        </is>
      </c>
    </row>
    <row r="1693">
      <c r="A1693" t="inlineStr">
        <is>
          <t>iopmultiroks</t>
        </is>
      </c>
      <c r="B1693">
        <f>HYPERLINK("https://www.dofusbook.net/fr/equipement/4051681-iopmultiroks/objets", "link")</f>
        <v/>
      </c>
      <c r="C1693" t="n">
        <v>6</v>
      </c>
      <c r="D1693" t="inlineStr">
        <is>
          <t>Epée Gloursonne; Amulette du Strigide; Bague Gloursonne; Alliance Gloursonne; Bouclier du Captain Amakna; Ceinture du Strigide; Casque du Chalœil; Cape du Chalœil; Bottes du Chalœil; Dolmanax; Dofus Turquoise; Dofus Nébuleux; Dofus des Glaces; Dofus Pourpre; Dofus Ocre; Muldo Prune et Emeraude</t>
        </is>
      </c>
    </row>
    <row r="1694">
      <c r="A1694" t="inlineStr">
        <is>
          <t>soing</t>
        </is>
      </c>
      <c r="B1694">
        <f>HYPERLINK("https://www.dofusbook.net/fr/equipement/2205864-soing/objets", "link")</f>
        <v/>
      </c>
      <c r="C1694" t="n">
        <v>6</v>
      </c>
      <c r="D1694" t="inlineStr">
        <is>
          <t>Arc corrompu; Pendentif affamé; Anneau de Nidas; Bague Gloursonne; Bouclier du Cycloïde; Sangle Aise; Couronne de Nidas; Cape de Diondin; Bottes Innommables; Dévastateur Feu majeur; Vigoureux majeur; Érudit majeur; Nomade; Carapace Feu majeur; Remueur; Muldo Indigo et Orchidée</t>
        </is>
      </c>
    </row>
    <row r="1695">
      <c r="A1695" t="inlineStr">
        <is>
          <t>iop</t>
        </is>
      </c>
      <c r="B1695">
        <f>HYPERLINK("https://www.dofusbook.net/fr/equipement/1036511-iop/objets", "link")</f>
        <v/>
      </c>
      <c r="C1695" t="n">
        <v>9</v>
      </c>
      <c r="D1695" t="inlineStr">
        <is>
          <t>Marteau R'ture; Collier de Tourthon; Anneau Crustique; Anneau de Brouce; Bouclier du Captain Amakna; Ceinture de Brouce; Masque de Koutoulou; Cape au Logis; Bottes du Cœur Saignant; Dofus Pourpre; Remueur; Enragé majeur; Forcené majeur; Vigoureux majeur; Miraculé majeur; Bulbisou</t>
        </is>
      </c>
    </row>
    <row r="1696">
      <c r="A1696" t="inlineStr">
        <is>
          <t>eca multi</t>
        </is>
      </c>
      <c r="B1696">
        <f>HYPERLINK("https://www.dofusbook.net/fr/equipement/3856017-eca-multi/objets", "link")</f>
        <v/>
      </c>
      <c r="C1696" t="n">
        <v>8</v>
      </c>
      <c r="D1696" t="inlineStr">
        <is>
          <t>Hache du Chalœil; Amulette de l'Indicible; Bague Gloursonne; Alliance Gloursonne; Bouclier d'Ilyzaelle; Ceinture de l'Indicible; Casque du Chalœil; Cape au Logis; Bottes du Chalœil; Dolmanax; Dofus des Glaces; Dofus Ivoire; Dofus Ocre; Dofus Pourpre; Dofus Nébuleux; Sakochère</t>
        </is>
      </c>
    </row>
    <row r="1697">
      <c r="A1697" t="inlineStr">
        <is>
          <t>critttdeuxfois</t>
        </is>
      </c>
      <c r="B1697">
        <f>HYPERLINK("https://www.dofusbook.net/fr/equipement/2140148-critttdeuxfois/objets", "link")</f>
        <v/>
      </c>
      <c r="C1697" t="n">
        <v>7</v>
      </c>
      <c r="D1697" t="inlineStr">
        <is>
          <t>Arc du Chalœil; Amulette de Pol Ouatnos; Bracelet du Piloztère; Bague Trithon; Bouclier Taverne; Ceinture Gence; Masque de Koutoulou; Voile d'encre; Bottes Trithon; Dofus Pourpre; Dofus Turquoise; Carapace Terre majeur; Bousculeur majeur; Enragé majeur; Culbuteur majeur; Black Tiwabbit</t>
        </is>
      </c>
    </row>
    <row r="1698">
      <c r="A1698" t="inlineStr">
        <is>
          <t>eau air</t>
        </is>
      </c>
      <c r="B1698">
        <f>HYPERLINK("https://www.dofusbook.net/fr/equipement/2901588-eau-air/objets", "link")</f>
        <v/>
      </c>
      <c r="C1698" t="n">
        <v>5</v>
      </c>
      <c r="D1698" t="inlineStr">
        <is>
          <t>Hachoirs de Viandargh; Amulette du Strigide; Alliance Gloursonne; Bracelet du Piloztère; Bouclier du Captain Amakna; Ceintacé; Dorabysses; Chevelure de Tal Kasha; Bottes du Strigide; Dofus Nébuleux; Dofus Pourpre; Dofus Turquoise; Remueur; Vigoureux majeur; Nomade; Muldo Prune et Emeraude</t>
        </is>
      </c>
    </row>
    <row r="1699">
      <c r="A1699" t="inlineStr">
        <is>
          <t>multirokss</t>
        </is>
      </c>
      <c r="B1699">
        <f>HYPERLINK("https://www.dofusbook.net/fr/equipement/2900146-multirokss/objets", "link")</f>
        <v/>
      </c>
      <c r="C1699" t="n">
        <v>6</v>
      </c>
      <c r="D1699" t="inlineStr">
        <is>
          <t>Arc du Chalœil; Amulette du Strigide; Bague Gloursonne; Bracelet du Piloztère; Bouclier du Captain Amakna; Ceintacé; Maskrobe; Cape du Chalœil; Bottes du Strigide; Dofus Turquoise; Dofus Ocre; Dofus Pourpre; Dofus des Glaces; Enragé majeur; Vigoureux majeur; Muldo Prune et Emeraude</t>
        </is>
      </c>
    </row>
    <row r="1700">
      <c r="A1700" t="inlineStr">
        <is>
          <t>jhvhjvgh</t>
        </is>
      </c>
      <c r="B1700">
        <f>HYPERLINK("https://www.dofusbook.net/fr/equipement/2805427-jhvhjvgh/objets", "link")</f>
        <v/>
      </c>
      <c r="C1700" t="n">
        <v>3</v>
      </c>
      <c r="D1700" t="inlineStr">
        <is>
          <t>Lance corrompue; Amulette du Cœur Vaillant; Alliance Gloursonne; Bracelet du Piloztère; Cadran de Terre; Ceinture de la Reine des Voleurs; Coiffe de la Reine des Voleurs; Voile d'encre; Baleinabottes; Dofus des Glaces; Dofus Pourpre; Nomade; Remueur; Vigoureux majeur; Étourdisseur majeur; Croum</t>
        </is>
      </c>
    </row>
    <row r="1701">
      <c r="A1701" t="inlineStr">
        <is>
          <t>enunoob</t>
        </is>
      </c>
      <c r="B1701">
        <f>HYPERLINK("https://www.dofusbook.net/fr/equipement/2805277-enunoob/objets", "link")</f>
        <v/>
      </c>
      <c r="C1701" t="n">
        <v>5</v>
      </c>
      <c r="D1701" t="inlineStr">
        <is>
          <t>Arc de Koutoulou; Amulette du Strigide; Anneau de Padgref; Alliance Gloursonne; Cadran de Terre; Menoture; Némès de Tal Kasha; Chevelure de Tal Kasha; Bottes de la Reine des Voleurs; Dofus Pourpre; Dofus Turquoise; Temporiseur majeur; Remueur; Étourdisseur majeur; Nomade; Croum</t>
        </is>
      </c>
    </row>
    <row r="1702">
      <c r="A1702" t="inlineStr">
        <is>
          <t>airpvpret pa</t>
        </is>
      </c>
      <c r="B1702">
        <f>HYPERLINK("https://www.dofusbook.net/fr/equipement/2768090-airpvpret-pa/objets", "link")</f>
        <v/>
      </c>
      <c r="C1702" t="n">
        <v>3</v>
      </c>
      <c r="D1702" t="inlineStr">
        <is>
          <t>Manthache; Collier du Valet Veinard; Alliance Gloursonne; Anneau des égarés; Cadran de Terre; Menoture; Chapoulpe; Cape du Kamasterisk; Tentassons; Dofus Pourpre; Equilibriste majeur; Vigoureux majeur; Cascadeur majeur; Remueur; Nomade; Siroko</t>
        </is>
      </c>
    </row>
    <row r="1703">
      <c r="A1703" t="inlineStr">
        <is>
          <t>air pvp</t>
        </is>
      </c>
      <c r="B1703">
        <f>HYPERLINK("https://www.dofusbook.net/fr/equipement/2768860-air-pvp/objets", "link")</f>
        <v/>
      </c>
      <c r="C1703" t="n">
        <v>2</v>
      </c>
      <c r="D1703" t="inlineStr">
        <is>
          <t>Manthache; Collier du Valet Veinard; Alliance Gloursonne; Gant du Valet Veinard; Bouclier Taverne; Menoture; Casque Dragoeuf; Cape Indescriptible; Palmes Trithons; Dofus Émeraude; Dofus Pourpre; Remueur; Cascadeur majeur; Carapace Neutre majeur; Miraculé majeur; Muldo Ebène</t>
        </is>
      </c>
    </row>
    <row r="1704">
      <c r="A1704" t="inlineStr">
        <is>
          <t>air</t>
        </is>
      </c>
      <c r="B1704">
        <f>HYPERLINK("https://www.dofusbook.net/fr/equipement/2768743-air/objets", "link")</f>
        <v/>
      </c>
      <c r="C1704" t="n">
        <v>4</v>
      </c>
      <c r="D1704" t="inlineStr">
        <is>
          <t>Manthache; Collier du Valet Veinard; Alliance Gloursonne; Gant du Valet Veinard; Bouclier Taverne; Menoture; Couronne d'Allister; Cape Indescriptible; Palmes Trithons; Dofus Pourpre; Remueur; Nomade; Cascadeur majeur; Vigoureux majeur; Equilibriste majeur; Siroko</t>
        </is>
      </c>
    </row>
    <row r="1705">
      <c r="A1705" t="inlineStr">
        <is>
          <t>eau</t>
        </is>
      </c>
      <c r="B1705">
        <f>HYPERLINK("https://www.dofusbook.net/fr/equipement/2768683-eau/objets", "link")</f>
        <v/>
      </c>
      <c r="C1705" t="n">
        <v>3</v>
      </c>
      <c r="D1705" t="inlineStr">
        <is>
          <t>Rapière aux Glyphes; Amulette de Shokkoth; Bracelet des Fonds marins; Alliance Gloursonne; Bouclier Taverne; Ceinture du Barbétoal; Kidibonnet; Cape du Sinistrofu; Bottes du Sinistrofu; Dofus Turquoise; Dofus Pourpre; Chanceux majeur; Remueur; Vigoureux majeur; Nomade; Muldo Prune et Indigo</t>
        </is>
      </c>
    </row>
    <row r="1706">
      <c r="A1706" t="inlineStr">
        <is>
          <t>Terre2</t>
        </is>
      </c>
      <c r="B1706">
        <f>HYPERLINK("https://www.dofusbook.net/fr/equipement/2768651-terre2/objets", "link")</f>
        <v/>
      </c>
      <c r="C1706" t="n">
        <v>3</v>
      </c>
      <c r="D1706" t="inlineStr">
        <is>
          <t>Héqache; Amulette de l'Indicible; Bague Gloursonne; Anneau Chevelu; Bouclier Taverne; Ceinture de l'Indicible; Masque de Koutoulou; Cape au Logis; Sabots Minables; Dofus Pourpre; Dofus Turquoise; Miraculé majeur; Vigoureux majeur; Enragé majeur; Remueur; Muldo Orchidée et Pourpre</t>
        </is>
      </c>
    </row>
    <row r="1707">
      <c r="A1707" t="inlineStr">
        <is>
          <t>aireauret</t>
        </is>
      </c>
      <c r="B1707">
        <f>HYPERLINK("https://www.dofusbook.net/fr/equipement/2768202-aireauret/objets", "link")</f>
        <v/>
      </c>
      <c r="C1707" t="n">
        <v>5</v>
      </c>
      <c r="D1707" t="inlineStr">
        <is>
          <t>Arc de Koutoulou; Amulette d'Ilyzaelle; Bracelet du Piloztère; Alliance Gloursonne; La Rondelle; Menoture; Némès de Tal Kasha; Chevelure de Tal Kasha; Bottes de l'Esprit Salvateur; Dofus Pourpre; Chanceux majeur; Remueur; Carapace Eau majeur; Étourdisseur majeur; Cascadeur majeur; Muldo Ebène et Indigo</t>
        </is>
      </c>
    </row>
    <row r="1708">
      <c r="A1708" t="inlineStr">
        <is>
          <t>Hupp</t>
        </is>
      </c>
      <c r="B1708">
        <f>HYPERLINK("https://www.dofusbook.net/fr/equipement/2768306-hupp/objets", "link")</f>
        <v/>
      </c>
      <c r="C1708" t="n">
        <v>2</v>
      </c>
      <c r="D1708" t="inlineStr">
        <is>
          <t>Arc corrompu; Amulette Séculaire; Alliance Gloursonne; Anneau Tique; Cadran de Terre; Ceinture de Vortex; Cagoule de Vortex; Voile d'encre; Pataugastrique; Dofus Pourpre; Dofus des Glaces; Étourdisseur majeur; Remueur; Miraculé majeur; Nomade; Croum</t>
        </is>
      </c>
    </row>
    <row r="1709">
      <c r="A1709" t="inlineStr">
        <is>
          <t>stuff150</t>
        </is>
      </c>
      <c r="B1709">
        <f>HYPERLINK("https://www.dofusbook.net/fr/equipement/2738320-stuff150/objets", "link")</f>
        <v/>
      </c>
      <c r="C1709" t="n">
        <v>6</v>
      </c>
      <c r="D1709" t="inlineStr">
        <is>
          <t>Karnak; Amulette de l'Orfélin; Sceau Souverain du Roissingue; Gelano; Bouclier Taverne; Ceinture de l'Orfélin; Bonnet Ko; Cape du Bretteur Céleste; Bottes de Ush; Dokoko; Cascadeur majeur; Nomade; Miraculé majeur; Remueur; Dévastateur Air majeur; Siroko</t>
        </is>
      </c>
    </row>
    <row r="1710">
      <c r="A1710" t="inlineStr">
        <is>
          <t>stuff150</t>
        </is>
      </c>
      <c r="B1710">
        <f>HYPERLINK("https://www.dofusbook.net/fr/equipement/2746550-stuff150/objets", "link")</f>
        <v/>
      </c>
      <c r="C1710" t="n">
        <v>4</v>
      </c>
      <c r="D1710" t="inlineStr">
        <is>
          <t>La Baguette des Limbes; Talisman Choh; Sceau Souverain du Roissingue; Gelano; Bouclier Taverne; Ceinture Phossile; Chapeau de Ben le Ripate; Cape du Bretteur Céleste; Bottes Phossiles; Dokoko; Vigoureux majeur; Nomade; Miraculé majeur; Remueur; Robuste majeur; Siroko</t>
        </is>
      </c>
    </row>
    <row r="1711">
      <c r="A1711" t="inlineStr">
        <is>
          <t>air132</t>
        </is>
      </c>
      <c r="B1711">
        <f>HYPERLINK("https://www.dofusbook.net/fr/equipement/2738322-air132/objets", "link")</f>
        <v/>
      </c>
      <c r="C1711" t="n">
        <v>3</v>
      </c>
      <c r="D1711" t="inlineStr">
        <is>
          <t>Marteau de la Gamine Zoth; La Feuille de Printemps; Anneau Moutheur; Gelano; Bouclier de Sidimote; Puissante Ceinture Fulgurante; Casque Dragoeuf; Gruchape; Gruchaussures; Dokoko; Miraculé; Observateur; Nomade; Cascadeur; Remueur; Siroko</t>
        </is>
      </c>
    </row>
    <row r="1712">
      <c r="A1712" t="inlineStr">
        <is>
          <t>Sadi no cc roks</t>
        </is>
      </c>
      <c r="B1712">
        <f>HYPERLINK("https://www.dofusbook.net/fr/equipement/2651797-sadi-no-cc-roks/objets", "link")</f>
        <v/>
      </c>
      <c r="C1712" t="n">
        <v>7</v>
      </c>
      <c r="D1712" t="inlineStr">
        <is>
          <t>Lav'Hache; Amulette Volcanique; Alliance du Lévitrof; Chevalière du Roi Joueur; Bouclier du Stalak; Ceinture de Brouce; Couronne du Roi Joueur; Cape au Logis; Baleinabottes; Dofus Pourpre; Vigoureux majeur; Nomade; Temporiseur majeur; Remueur; Enragé majeur; Kompost</t>
        </is>
      </c>
    </row>
    <row r="1713">
      <c r="A1713" t="inlineStr">
        <is>
          <t>Sadi</t>
        </is>
      </c>
      <c r="B1713">
        <f>HYPERLINK("https://www.dofusbook.net/fr/equipement/2647066-sadi/objets", "link")</f>
        <v/>
      </c>
      <c r="C1713" t="n">
        <v>3</v>
      </c>
      <c r="D1713" t="inlineStr">
        <is>
          <t>Marteau R'ture; Amulette Volcanique; Alliance du Lévitrof; Chevalière du Roi Joueur; Bouclier du Captain Amakna; Ceinture de Brouce; Couronne du Roi Joueur; Cape au Logis; Baleinabottes; Dofus Pourpre; Dofus Turquoise; Temporiseur majeur; Remueur; Enragé majeur; Nomade; Kompost</t>
        </is>
      </c>
    </row>
    <row r="1714">
      <c r="A1714" t="inlineStr">
        <is>
          <t>eau</t>
        </is>
      </c>
      <c r="B1714">
        <f>HYPERLINK("https://www.dofusbook.net/fr/equipement/2609491-eau/objets", "link")</f>
        <v/>
      </c>
      <c r="C1714" t="n">
        <v>11</v>
      </c>
      <c r="D1714" t="inlineStr">
        <is>
          <t>Arc de Koutoulou; Amulette Voldelor; Bracelet des Fonds marins; Alliance Gloursonne; Quatre-feuilles; Ceinture du Barbétoal; Kidibonnet; Chevelure de Tal Kasha; Bottes Voldelor; Dofus Turquoise; Vigoureux majeur; Observateur; Nomade; Fonceur majeur; Remueur; Muldo Prune et Doré</t>
        </is>
      </c>
    </row>
    <row r="1715">
      <c r="A1715" t="inlineStr">
        <is>
          <t>ret pm maggle</t>
        </is>
      </c>
      <c r="B1715">
        <f>HYPERLINK("https://www.dofusbook.net/fr/equipement/1124715-ret-pm-maggle/objets", "link")</f>
        <v/>
      </c>
      <c r="C1715" t="n">
        <v>14</v>
      </c>
      <c r="D1715" t="inlineStr">
        <is>
          <t>Baguette Hique; Amulette du Glourséleste; Pikano; Alliance Gloursonne; Bouclier cubiste; Ceinture Glaciale; Casquipik; Cape de Léthaline; Pataugastrique; Temporiseur; Ralentisseur majeur; Temporiseur majeur; Miraculé majeur; Remueur; Entraveur majeur</t>
        </is>
      </c>
    </row>
    <row r="1716">
      <c r="A1716" t="inlineStr">
        <is>
          <t>terre/air/ret</t>
        </is>
      </c>
      <c r="B1716">
        <f>HYPERLINK("https://www.dofusbook.net/fr/equipement/2211939-terre-air-ret/objets", "link")</f>
        <v/>
      </c>
      <c r="C1716" t="n">
        <v>7</v>
      </c>
      <c r="D1716" t="inlineStr">
        <is>
          <t>Lance corrompue; Amulette du Cœur Vaillant; Anneau Crustique; Anneau Chevelu; Sept ans de malheur; Ceintouse; Chapoulpe; Cape du Cœur Vaillant; Tentassons; Dofus Pourpre; Dofus Ocre; Dofus Émeraude; Dofus Abyssal; Dofus des Glaces; Dokoko; Muldo Roux et Ebène</t>
        </is>
      </c>
    </row>
    <row r="1717">
      <c r="A1717" t="inlineStr">
        <is>
          <t>Stuff 2</t>
        </is>
      </c>
      <c r="B1717">
        <f>HYPERLINK("https://www.dofusbook.net/fr/equipement/2206177-stuff-2/objets", "link")</f>
        <v/>
      </c>
      <c r="C1717" t="n">
        <v>13</v>
      </c>
      <c r="D1717" t="inlineStr">
        <is>
          <t>Harpelle; Amulette d'Otomaï; Anneauræus; Anneauræus; Bouclier du Cycloïde; Ceinture Séculaire; Coiffe Séculaire; Cape de Diondin; Bottes Innommables; Dofus Turquoise; Astucieux majeur; Guérisseur majeur; Nomade; Érudit majeur; Remueur; Brûlih</t>
        </is>
      </c>
    </row>
    <row r="1718">
      <c r="A1718" t="inlineStr">
        <is>
          <t>Stuff 2</t>
        </is>
      </c>
      <c r="B1718">
        <f>HYPERLINK("https://www.dofusbook.net/fr/equipement/2205654-stuff-2/objets", "link")</f>
        <v/>
      </c>
      <c r="C1718" t="n">
        <v>3</v>
      </c>
      <c r="D1718" t="inlineStr">
        <is>
          <t>Arc corrompu; Talisman Igans; Anneauræus; Anneau de Nidas; Bouclier cubiste; Ceintrigue; Cagoule de Vortex; Cape de Diondin; Bottes Innommables; Dofus des Glaces; Dokoko; Remueur; Dévastateur Feu majeur; Temporiseur majeur; Érudit majeur; Muldo Indigo et Orchidée</t>
        </is>
      </c>
    </row>
    <row r="1719">
      <c r="A1719" t="inlineStr">
        <is>
          <t>Agil</t>
        </is>
      </c>
      <c r="B1719">
        <f>HYPERLINK("https://www.dofusbook.net/fr/equipement/2185375-agil/objets", "link")</f>
        <v/>
      </c>
      <c r="C1719" t="n">
        <v>3</v>
      </c>
      <c r="D1719" t="inlineStr">
        <is>
          <t>Manthache; Amulette du Strigide; Gant du Valet Veinard; Alliance Gloursonne; Sept ans de malheur; Ceintouse; Chapoulpe; Cape du Kamasterisk; Baleinabottes; Dofus Émeraude; Cascadeur majeur; Carapace Eau majeur; Étourdisseur majeur; Obstructeur majeur; Remueur; Muldo Ebène et Orchidée</t>
        </is>
      </c>
    </row>
    <row r="1720">
      <c r="A1720" t="inlineStr">
        <is>
          <t>TerreAir</t>
        </is>
      </c>
      <c r="B1720">
        <f>HYPERLINK("https://www.dofusbook.net/fr/equipement/2185321-terreair/objets", "link")</f>
        <v/>
      </c>
      <c r="C1720" t="n">
        <v>1</v>
      </c>
      <c r="D1720" t="inlineStr">
        <is>
          <t>Héqache; Amulette de Pol Ouatnos; Anneau Crustique; Gant du Valet Veinard; Sept ans de malheur; Ceintouse; Chapoulpe; Cape du Kamasterisk; Baleinabottes; Dofus Pourpre; Vigoureux majeur; Carapace Air majeur; Remueur; Étourdisseur majeur; Kramkram</t>
        </is>
      </c>
    </row>
    <row r="1721">
      <c r="A1721" t="inlineStr">
        <is>
          <t>terre/air/ret</t>
        </is>
      </c>
      <c r="B1721">
        <f>HYPERLINK("https://www.dofusbook.net/fr/equipement/2185316-terre-air-ret/objets", "link")</f>
        <v/>
      </c>
      <c r="C1721" t="n">
        <v>4</v>
      </c>
      <c r="D1721" t="inlineStr">
        <is>
          <t>Lance corrompue; Amulette du Strigide; Anneau Chevelu; Alliance Gloursonne; Sept ans de malheur; Ceintacé; Chapoulpe; Voile d'encre; Tentassons; Dofus Pourpre; Dolmanax; Dofus Émeraude; Obstructeur majeur; Étourdisseur majeur; Remueur; Kramkram</t>
        </is>
      </c>
    </row>
    <row r="1722">
      <c r="A1722" t="inlineStr">
        <is>
          <t>eau/feu</t>
        </is>
      </c>
      <c r="B1722">
        <f>HYPERLINK("https://www.dofusbook.net/fr/equipement/2145058-eau-feu/objets", "link")</f>
        <v/>
      </c>
      <c r="C1722" t="n">
        <v>3</v>
      </c>
      <c r="D1722" t="inlineStr">
        <is>
          <t>Arc Nécrotique; Talisman Igans; Bracelet du Piloztère; Anneau Cryochrone; Bouclier cubiste; Ceintrigue; Casquette de Meno; Cape de la Dame du Hasard; Pataugastrique; Dofus Turquoise; Dofus Pourpre; Temporiseur majeur; Vigoureux majeur; Remueur; Érudit majeur; Muldo Prune et Emeraude</t>
        </is>
      </c>
    </row>
    <row r="1723">
      <c r="A1723" t="inlineStr">
        <is>
          <t>crittttt</t>
        </is>
      </c>
      <c r="B1723">
        <f>HYPERLINK("https://www.dofusbook.net/fr/equipement/2140139-crittttt/objets", "link")</f>
        <v/>
      </c>
      <c r="C1723" t="n">
        <v>5</v>
      </c>
      <c r="D1723" t="inlineStr">
        <is>
          <t>Hache du Chalœil; Amulette du Strigide; Pikano; Bague Trithon; Quatre-feuilles; Ceinture du Strigide; Masque Trithon; Cape de la Dame du Hasard; Bottes Trithon; Dofus Émeraude; Dolmanax; Dofus des Glaces; Dofus Turquoise; Dokoko; Dofus Ocre; Muldo Prune et Emeraude</t>
        </is>
      </c>
    </row>
    <row r="1724">
      <c r="A1724" t="inlineStr">
        <is>
          <t>Stuff 1</t>
        </is>
      </c>
      <c r="B1724">
        <f>HYPERLINK("https://www.dofusbook.net/fr/equipement/2138571-stuff-1/objets", "link")</f>
        <v/>
      </c>
      <c r="C1724" t="n">
        <v>1</v>
      </c>
      <c r="D1724" t="inlineStr">
        <is>
          <t>Manthache; Collier du Valet Veinard; Gant du Valet Veinard; Alliance Gloursonne; Menoture; Couronne d'Allister; Cape Indescriptible; Palmes Trithons; Dofus Pourpre; Dofus des Glaces; Vigoureux majeur; Robuste majeur; Remueur; Cascadeur majeur; Siroko</t>
        </is>
      </c>
    </row>
    <row r="1725">
      <c r="A1725" t="inlineStr">
        <is>
          <t>air</t>
        </is>
      </c>
      <c r="B1725">
        <f>HYPERLINK("https://www.dofusbook.net/fr/equipement/2138553-air/objets", "link")</f>
        <v/>
      </c>
      <c r="C1725" t="n">
        <v>3</v>
      </c>
      <c r="D1725" t="inlineStr">
        <is>
          <t>Manthache; Collier du Valet Veinard; Gant du Valet Veinard; Alliance Gloursonne; Quatre-feuilles; Menoture; Casque Dragoeuf; Cape Indescriptible; Palmes Trithons; Dofus Pourpre; Dofus Émeraude; Cascadeur majeur; Miraculé majeur; Carapace Neutre majeur; Remueur; Muldo Ebène</t>
        </is>
      </c>
    </row>
    <row r="1726">
      <c r="A1726" t="inlineStr">
        <is>
          <t>terre</t>
        </is>
      </c>
      <c r="B1726">
        <f>HYPERLINK("https://www.dofusbook.net/fr/equipement/2138548-terre/objets", "link")</f>
        <v/>
      </c>
      <c r="C1726" t="n">
        <v>6</v>
      </c>
      <c r="D1726" t="inlineStr">
        <is>
          <t>Arc du Chalœil; Amulette du Strigide; Bague Gloursonne; Anneau Chevelu; Bouclier Taverne; Ceintacé; Masque de Koutoulou; Cape au Logis; Bottes du Strigide; Dofus Pourpre; Dofus Turquoise; Carapace Eau majeur; Remueur; Enragé majeur; Vigoureux majeur; Muldo Pourpre</t>
        </is>
      </c>
    </row>
    <row r="1727">
      <c r="A1727" t="inlineStr">
        <is>
          <t>terre</t>
        </is>
      </c>
      <c r="B1727">
        <f>HYPERLINK("https://www.dofusbook.net/fr/equipement/2138547-terre/objets", "link")</f>
        <v/>
      </c>
      <c r="C1727" t="n">
        <v>7</v>
      </c>
      <c r="D1727" t="inlineStr">
        <is>
          <t>Arc du Chalœil; Amulette du Strigide; Anneau Chevelu; Bague Gloursonne; Bouclier Taverne; Ceintacé; Masque de Koutoulou; Cape au Logis; Bottes du Strigide; Dofus Turquoise; Dofus Pourpre; Remueur; Enragé majeur; Vigoureux majeur; Carapace Eau majeur; Muldo Pourpre</t>
        </is>
      </c>
    </row>
    <row r="1728">
      <c r="A1728" t="inlineStr">
        <is>
          <t>feu 200</t>
        </is>
      </c>
      <c r="B1728">
        <f>HYPERLINK("https://www.dofusbook.net/fr/equipement/2058036-feu-200/objets", "link")</f>
        <v/>
      </c>
      <c r="C1728" t="n">
        <v>5</v>
      </c>
      <c r="D1728" t="inlineStr">
        <is>
          <t>Épée d'Otomaï; Pendentif affamé; Anneau Tamie; Anneau Tamie; Bouclier du Stalak; Ceinture Séculaire; Coiffe Séculaire; Cape de Diondin; Bottes Innommables; Dofus des Glaces; Miraculé majeur; Nomade; Érudit majeur; Remueur; Dévastateur Feu majeur; Brûlih</t>
        </is>
      </c>
    </row>
    <row r="1729">
      <c r="A1729" t="inlineStr">
        <is>
          <t>air</t>
        </is>
      </c>
      <c r="B1729">
        <f>HYPERLINK("https://www.dofusbook.net/fr/equipement/2057865-air/objets", "link")</f>
        <v/>
      </c>
      <c r="C1729" t="n">
        <v>3</v>
      </c>
      <c r="D1729" t="inlineStr">
        <is>
          <t>Manthache; Collier du Valet Veinard; Gant du Valet Veinard; Alliance Gloursonne; Bouclier du Stalak; Menoture; Couronne d'Allister; Cape Indescriptible; Palmes Trithons; Dokoko; Dofus Pourpre; Remueur; Miraculé majeur; Cascadeur majeur; Dévastateur Air majeur; Muldo Ebène et Indigo</t>
        </is>
      </c>
    </row>
    <row r="1730">
      <c r="A1730" t="inlineStr">
        <is>
          <t>full pad</t>
        </is>
      </c>
      <c r="B1730">
        <f>HYPERLINK("https://www.dofusbook.net/fr/equipement/1814223-full-pad/objets", "link")</f>
        <v/>
      </c>
      <c r="C1730" t="n">
        <v>8</v>
      </c>
      <c r="D1730" t="inlineStr">
        <is>
          <t>Sabres d'Atcham; Amulette du Strigide; Bracelet du Piloztère; Anneau de Padgref; Quatre-feuilles; Ceinture du Strigide; Coiffe de Padgref; Cape d'Atcham; Getas de Padgref; Dofus Turquoise; Dofus Ocre; Dofus Pourpre; Dofus des Glaces; Puissant majeur</t>
        </is>
      </c>
    </row>
    <row r="1731">
      <c r="A1731" t="inlineStr">
        <is>
          <t>fullatcham</t>
        </is>
      </c>
      <c r="B1731">
        <f>HYPERLINK("https://www.dofusbook.net/fr/equipement/1814202-fullatcham/objets", "link")</f>
        <v/>
      </c>
      <c r="C1731" t="n">
        <v>10</v>
      </c>
      <c r="D1731" t="inlineStr">
        <is>
          <t>Sabres d'Atcham; Amulette du Strigide; Anneau de Padgref; Bracelet du Piloztère; Quatre-feuilles; Ceinture du Strigide; Coiffe de Padgref; Cape d'Atcham; Sandales  d'Atcham; Dofus Turquoise; Dofus des Glaces; Dofus Ocre; Dofus Pourpre; Puissant majeur; Muldo Emeraude</t>
        </is>
      </c>
    </row>
    <row r="1732">
      <c r="A1732" t="inlineStr">
        <is>
          <t>eau/feu</t>
        </is>
      </c>
      <c r="B1732">
        <f>HYPERLINK("https://www.dofusbook.net/fr/equipement/1611065-eau-feu/objets", "link")</f>
        <v/>
      </c>
      <c r="C1732" t="n">
        <v>3</v>
      </c>
      <c r="D1732" t="inlineStr">
        <is>
          <t>Arc Nécrotique; Talisman Igans; Bracelet du Piloztère; Anneau Cryochrone; Bouclier du Cycloïde; Ceintrigue; Casquette de Meno; Cape de la Dame du Hasard; Pataugastrique; Dofus Turquoise; Dofus Pourpre; Guérisseur majeur; Vigoureux majeur; Remueur; Érudit majeur; Muldo Prune et Emeraude</t>
        </is>
      </c>
    </row>
    <row r="1733">
      <c r="A1733" t="inlineStr">
        <is>
          <t>Stuff 3</t>
        </is>
      </c>
      <c r="B1733">
        <f>HYPERLINK("https://www.dofusbook.net/fr/equipement/1124739-stuff-3/objets", "link")</f>
        <v/>
      </c>
      <c r="C1733" t="n">
        <v>5</v>
      </c>
      <c r="D1733" t="inlineStr">
        <is>
          <t>Bâton Beau; Amulette du Strigide; Bague Gloursonne; Anneau Chevelu; Quatre-feuilles; Ceinture du Strigide; Bonnet Ko; Voile d'encre; Bottes du Cycloïde; Dofus Ocre; Dofus Pourpre; Dofus Turquoise; Vigoureux majeur; Nomade; Remueur; Muldo Prune et Doré</t>
        </is>
      </c>
    </row>
    <row r="1734">
      <c r="A1734" t="inlineStr">
        <is>
          <t>stuff actuel</t>
        </is>
      </c>
      <c r="B1734">
        <f>HYPERLINK("https://www.dofusbook.net/fr/equipement/1124735-stuff-actuel/objets", "link")</f>
        <v/>
      </c>
      <c r="C1734" t="n">
        <v>13</v>
      </c>
      <c r="D1734" t="inlineStr">
        <is>
          <t>Dagues Érhy; Amulette du Strigide; Bague Gloursonne; Gelano; Quatre-feuilles; Ceinture du Strigide; Casque de Missiz Frizz; Voile d'encre; Bottes du Cycloïde; Dofus Ocre; Dofus Turquoise; Dofus Pourpre; Vigoureux majeur; Remueur; Nomade; Kramkram</t>
        </is>
      </c>
    </row>
    <row r="1735">
      <c r="A1735" t="inlineStr">
        <is>
          <t>opti pvm sans exo</t>
        </is>
      </c>
      <c r="B1735">
        <f>HYPERLINK("https://www.dofusbook.net/fr/equipement/1124729-opti-pvm-sans-exo/objets", "link")</f>
        <v/>
      </c>
      <c r="C1735" t="n">
        <v>8</v>
      </c>
      <c r="D1735" t="inlineStr">
        <is>
          <t>Rapière aux Glyphes; Amulette de Danathor; Bracelet du Piloztère; Alliance Gloursonne; Quatre-feuilles; Ceintacé; Coiffe de Danathor; Cape Matelassée; Bottes du Glourséleste; Dofus Pourpre; Dofus Turquoise; Remueur; Vigoureux majeur; Nomade; Chanceux majeur; Muldo Prune et Emeraude</t>
        </is>
      </c>
    </row>
    <row r="1736">
      <c r="A1736" t="inlineStr">
        <is>
          <t>Stuff 1</t>
        </is>
      </c>
      <c r="B1736">
        <f>HYPERLINK("https://www.dofusbook.net/fr/equipement/1124723-stuff-1/objets", "link")</f>
        <v/>
      </c>
      <c r="C1736" t="n">
        <v>2</v>
      </c>
      <c r="D1736" t="inlineStr">
        <is>
          <t>Harpelle; Pendentif affamé; Bague Gloursonne; Anneauræus; Bouclier du Cycloïde; Ceinture Séculaire; Coiffe Séculaire; Cape de Diondin; Bottes Innommables; Dofus Turquoise; Dofus Pourpre; Astucieux majeur; Érudit majeur; Remueur; Nomade; Muldo Prune et Orchidée</t>
        </is>
      </c>
    </row>
    <row r="1737">
      <c r="A1737" t="inlineStr">
        <is>
          <t>Stuff 2</t>
        </is>
      </c>
      <c r="B1737">
        <f>HYPERLINK("https://www.dofusbook.net/fr/equipement/1124721-stuff-2/objets", "link")</f>
        <v/>
      </c>
      <c r="C1737" t="n">
        <v>1</v>
      </c>
      <c r="D1737" t="inlineStr">
        <is>
          <t>Baguette Hernelle; Amulette d'Otomaï; Bague Gloursonne; Anneau de Padgref; Sangle Aise; Coiffe de Padgref; Cape Hiculteur; Pantoufles Émar; Dofus Pourpre; Dofus Turquoise; Nomade; Miraculé majeur; Remueur; Érudit majeur; Dragodinde Prune et Orchidée</t>
        </is>
      </c>
    </row>
    <row r="1738">
      <c r="A1738" t="inlineStr">
        <is>
          <t>iopsucces151</t>
        </is>
      </c>
      <c r="B1738">
        <f>HYPERLINK("https://www.dofusbook.net/fr/equipement/1036219-iopsucces151/objets", "link")</f>
        <v/>
      </c>
      <c r="C1738" t="n">
        <v>4</v>
      </c>
      <c r="D1738" t="inlineStr">
        <is>
          <t>Hache du Guerrier Zoth; La Meulette; Anneau du Chêne Mou; Gelano; Ceinture Phossile; Bonnet Ko; Cape Phossile; Bottines en bois d'abrakleur; Dofus Cawotte; Nomade; Vigoureux majeur; Remueur; Miraculé majeur; Enragé majeur; Muldo Doré</t>
        </is>
      </c>
    </row>
    <row r="1739">
      <c r="A1739" t="inlineStr">
        <is>
          <t>Sram M 200</t>
        </is>
      </c>
      <c r="B1739">
        <f>HYPERLINK("https://www.dofusbook.net/fr/equipement/5758151-sram-m-200/objets", "link")</f>
        <v/>
      </c>
      <c r="C1739" t="n">
        <v>1</v>
      </c>
      <c r="D1739" t="inlineStr">
        <is>
          <t>Manthache; Amulette de Pol Ouatnos; Anneau du Père Fwetar; Anneau d'Allister; Jadis; Ceinture de la Reine des Voleurs; Coiffe de la Reine des Voleurs; Cape du Chalœil; Baleinabottes; Dofus Émeraude; Dofus Ocre; Dokoko; Fortification majeure; Bastion majeur; Remueur; Bouftor</t>
        </is>
      </c>
    </row>
    <row r="1740">
      <c r="A1740" t="inlineStr">
        <is>
          <t>Sram M 200</t>
        </is>
      </c>
      <c r="B1740">
        <f>HYPERLINK("https://www.dofusbook.net/fr/equipement/5394051-sram-m-200/objets", "link")</f>
        <v/>
      </c>
      <c r="C1740" t="n">
        <v>2</v>
      </c>
      <c r="D1740" t="inlineStr">
        <is>
          <t>Baguette de Torkélonia; Amulette du Strigide; Bague Gloursonne; Bracelet du Piloztère; Bouclier du Stalak; Ceinture du Strigide; Corne de Torkélonia; Carapace de Torkélonia; Bottes du Strigide; Dolmanax; Dofus Ocre; Dofus Pourpre; Dofus des Glaces; Dofus Nébuleux; Dofus Turquoise; Sakochère</t>
        </is>
      </c>
    </row>
    <row r="1741">
      <c r="A1741" t="inlineStr">
        <is>
          <t>Full force</t>
        </is>
      </c>
      <c r="B1741">
        <f>HYPERLINK("https://www.dofusbook.net/fr/equipement/268792-full-force/objets", "link")</f>
        <v/>
      </c>
      <c r="C1741" t="n">
        <v>5</v>
      </c>
      <c r="D1741" t="inlineStr">
        <is>
          <t>Crocobur; Amulette du Cœur Saignant; Anneau Volkorne; Chevalière du Roi Joueur; Bouclier d'Ilyzaelle; Ceinture Volkorne; Couronne du Roi Joueur; Cape du Cœur Saignant; Bottes du Cœur Saignant; Dofus Turquoise; Dofus Ocre; Dofus Vulbis; Dofus Nébuleux; Dofus Ébène; Dofus Pourpre; Volkorne Pourpre</t>
        </is>
      </c>
    </row>
    <row r="1742">
      <c r="A1742" t="inlineStr">
        <is>
          <t>Pandawa M 200</t>
        </is>
      </c>
      <c r="B1742">
        <f>HYPERLINK("https://www.dofusbook.net/fr/equipement/5379611-pandawa-m-200/objets", "link")</f>
        <v/>
      </c>
      <c r="C1742" t="n">
        <v>4</v>
      </c>
      <c r="D1742" t="inlineStr">
        <is>
          <t>Rouleau à Pâtisserie d'Aermyne; Collier Rophante; Alliance Gloursonne; Anneau de Pol Ouatnos; Bouclier précieux; Ceinture de Kongoku; Masque d'Anerice; Cape d'Anerice; Pataugastrique; Dofus Émeraude; Dokoko; Obstructeur majeur; Miraculé majeur; Remueur; Givrefoux</t>
        </is>
      </c>
    </row>
    <row r="1743">
      <c r="A1743" t="inlineStr">
        <is>
          <t>Stuff 2</t>
        </is>
      </c>
      <c r="B1743">
        <f>HYPERLINK("https://www.dofusbook.net/fr/equipement/268782-stuff-2/objets", "link")</f>
        <v/>
      </c>
      <c r="C1743" t="n">
        <v>13</v>
      </c>
      <c r="D1743" t="inlineStr">
        <is>
          <t>Crocobur; Amulette Volkorne; Anneau Volkorne; Bracelet du Piloztère; Croclier; Ceinture Volkorne; Casque du Chalœil; Cape du Chalœil; Bottes du Chalœil; Dofus des Glaces; Dofus Abyssal; Dofus Pourpre; Dolmanax; Dofus Vulbis; Dofus Ocre; Fëanor</t>
        </is>
      </c>
    </row>
    <row r="1744">
      <c r="A1744" t="inlineStr">
        <is>
          <t>Sram M 200 Terre-Air2</t>
        </is>
      </c>
      <c r="B1744">
        <f>HYPERLINK("https://www.dofusbook.net/fr/equipement/5394375-sram-m-200-terre-air2/objets", "link")</f>
        <v/>
      </c>
      <c r="C1744" t="n">
        <v>2</v>
      </c>
      <c r="D1744" t="inlineStr">
        <is>
          <t>Dagues du Dragoeuf; Amulette du Strigide; Bague Trithon; Bague Gloursonne; Bouclier du Captain Amakna; Ceinture du Strigide; Corne de Torkélonia; Carapace de Torkélonia; Bottes Trithon; Dofus Turquoise; Dolmanax; Dofus Ocre; Dofus Pourpre; Dofus des Glaces; Voyageur; Kokulte</t>
        </is>
      </c>
    </row>
    <row r="1745">
      <c r="A1745" t="inlineStr">
        <is>
          <t>Ouginak F 200</t>
        </is>
      </c>
      <c r="B1745">
        <f>HYPERLINK("https://www.dofusbook.net/fr/equipement/5423395-ouginak-f-200/objets", "link")</f>
        <v/>
      </c>
      <c r="C1745" t="n">
        <v>1</v>
      </c>
      <c r="D1745" t="inlineStr">
        <is>
          <t>Manthache; Collier du Valet Veinard; Gant du Valet Veinard; Alliance Gloursonne; Bouclier d'Ilyzaelle; Menoture; Casque Dragoeuf; Cape Indescriptible; Palmes Trithons; Dofus des Glaces; Dofus Ocre; Miraculé majeur; Nomade; Dévastateur Air majeur; Cascadeur majeur; Siroko</t>
        </is>
      </c>
    </row>
    <row r="1746">
      <c r="A1746" t="inlineStr">
        <is>
          <t>Iop F 200</t>
        </is>
      </c>
      <c r="B1746">
        <f>HYPERLINK("https://www.dofusbook.net/fr/equipement/5407379-iop-f-200/objets", "link")</f>
        <v/>
      </c>
      <c r="C1746" t="n">
        <v>3</v>
      </c>
      <c r="D1746" t="inlineStr">
        <is>
          <t>Arc du Chalœil; Collier de Tourthon; Anneau de Brouce; Alliance de Missiz Frizz; Quatre-feuilles; Ceinture de Brouce; Casque de Missiz Frizz; Cape au Logis; Bottes de Brouce; Dofus Pourpre; Dofus Abyssal; Dofus Nébuleux; Dofus Turquoise; Dofus Ocre; Forcené majeur; Kokulte</t>
        </is>
      </c>
    </row>
    <row r="1747">
      <c r="A1747" t="inlineStr">
        <is>
          <t>Eniripsa F 200</t>
        </is>
      </c>
      <c r="B1747">
        <f>HYPERLINK("https://www.dofusbook.net/fr/equipement/5417434-eniripsa-f-200/objets", "link")</f>
        <v/>
      </c>
      <c r="C1747" t="n">
        <v>1</v>
      </c>
      <c r="D1747" t="inlineStr">
        <is>
          <t>Arc corrompu; Pendentif affamé; Anneau Tique; Bague Gloursonne; Bivalve; Ceinture Séculaire; Coiffe Séculaire; Cape de Diondin; Bottes Innommables; Érudit majeur; Nomade; Guérisseur majeur; Remueur; Muldo Orchidée</t>
        </is>
      </c>
    </row>
    <row r="1748">
      <c r="A1748" t="inlineStr">
        <is>
          <t>Eniripsa F 200</t>
        </is>
      </c>
      <c r="B1748">
        <f>HYPERLINK("https://www.dofusbook.net/fr/equipement/4060960-eniripsa-f-200/objets", "link")</f>
        <v/>
      </c>
      <c r="C1748" t="n">
        <v>3</v>
      </c>
      <c r="D1748" t="inlineStr">
        <is>
          <t>Manthache; Collier du Valet Veinard; Alliance Gloursonne; Gant du Valet Veinard; Carapar; Menoture; Capuche de Moum-Ra; Cape Indescriptible; Palmes Trithons; Dokoko; Dofus Abyssal; Cascadeur majeur; Remueur; Carapace Air majeur; Muldo Ebène</t>
        </is>
      </c>
    </row>
    <row r="1749">
      <c r="A1749" t="inlineStr">
        <is>
          <t>Crâ M 200</t>
        </is>
      </c>
      <c r="B1749">
        <f>HYPERLINK("https://www.dofusbook.net/fr/equipement/5368643-cra-m-200/objets", "link")</f>
        <v/>
      </c>
      <c r="C1749" t="n">
        <v>3</v>
      </c>
      <c r="D1749" t="inlineStr">
        <is>
          <t>Hache du Chalœil; Amulette du Strigide; Alliance Gloursonne; Bague Gloursonne; Bouclier du Captain Amakna; Ceinture du Strigide; Casque du Chalœil; Cape du Chalœil; Bottes du Strigide; Dofus Nébuleux; Dofus Pourpre; Dofus des Glaces; Dofus Ocre; Dolmanax; Dofus Turquoise; Sakochère</t>
        </is>
      </c>
    </row>
    <row r="1750">
      <c r="A1750" t="inlineStr">
        <is>
          <t>Sramus pptus</t>
        </is>
      </c>
      <c r="B1750">
        <f>HYPERLINK("https://www.dofusbook.net/fr/equipement/5370600-sramus-pptus/objets", "link")</f>
        <v/>
      </c>
      <c r="C1750" t="n">
        <v>1</v>
      </c>
      <c r="D1750" t="inlineStr">
        <is>
          <t>Hache à Lamelles; Collier du Minotot; Bracelet du Minotot; Anneau Bliteré; Tranche des Sous-bois; Casque Harnage; Cape du Minotot; Bottines des sous-bois; Dofus Kaliptus; Dolmanax; Taquin; Taquin majeur; Joueur; Joueur majeur; Tifoux Tigré</t>
        </is>
      </c>
    </row>
    <row r="1751">
      <c r="A1751" t="inlineStr">
        <is>
          <t>Sram M 200</t>
        </is>
      </c>
      <c r="B1751">
        <f>HYPERLINK("https://www.dofusbook.net/fr/equipement/3934927-sram-m-200/objets", "link")</f>
        <v/>
      </c>
      <c r="C1751" t="n">
        <v>1</v>
      </c>
      <c r="D1751" t="inlineStr">
        <is>
          <t>Dagues Eudin; Amulette Volkorne; Chevalière du Roi Joueur; Bague Gloursonne; Bouclier du Stalak; Ceinture Volkorne; Couronne du Roi Joueur; Voile d'encre; Bottes du Roi Joueur; Dofus Vulbis; Dofus Nébuleux; Dofus Ocre; Dofus Abyssal; Dofus des Glaces; Dofus Ivoire; Dragodinde Ivoire et Pourpre</t>
        </is>
      </c>
    </row>
    <row r="1752">
      <c r="A1752" t="inlineStr">
        <is>
          <t>Air-res</t>
        </is>
      </c>
      <c r="B1752">
        <f>HYPERLINK("https://www.dofusbook.net/fr/equipement/1441191-air-res/objets", "link")</f>
        <v/>
      </c>
      <c r="C1752" t="n">
        <v>3</v>
      </c>
      <c r="D1752" t="inlineStr">
        <is>
          <t>Manthache; Collier du Valet Veinard; Alliance Gloursonne; Gant du Valet Veinard; Bouclier du Stalak; Menoture; Couronne d'Allister; Cape Indescriptible; Palmes Trithons; Dofus Ocre; Dofus Nébuleux; Dofus des Glaces; Cascadeur majeur; Nomade; Dévastateur Air majeur; Siroko</t>
        </is>
      </c>
    </row>
    <row r="1753">
      <c r="A1753" t="inlineStr">
        <is>
          <t>Stuff 1</t>
        </is>
      </c>
      <c r="B1753">
        <f>HYPERLINK("https://www.dofusbook.net/fr/equipement/268781-stuff-1/objets", "link")</f>
        <v/>
      </c>
      <c r="C1753" t="n">
        <v>8</v>
      </c>
      <c r="D1753" t="inlineStr">
        <is>
          <t>Arc du Chalœil; Amulette du Strigide; Bracelet du Piloztère; Bague Gloursonne; Quatre-feuilles; Ceinture du Strigide; Couronne du Roi Joueur; Cape au Logis; Baleinabottes; Dofus Turquoise; Dofus Pourpre; Enragé majeur; Vigoureux majeur; Remueur; Forcené majeur; Kompost</t>
        </is>
      </c>
    </row>
    <row r="1754">
      <c r="A1754" t="inlineStr">
        <is>
          <t>Sram eau</t>
        </is>
      </c>
      <c r="B1754">
        <f>HYPERLINK("https://www.dofusbook.net/fr/equipement/900395-sram-eau/objets", "link")</f>
        <v/>
      </c>
      <c r="C1754" t="n">
        <v>4</v>
      </c>
      <c r="D1754" t="inlineStr">
        <is>
          <t>Arc de Koutoulou; Amulette du Strigide; Alliance Gloursonne; Bracelet du Piloztère; Quatre-feuilles; Ceinture du Strigide; Némès de Tal Kasha; Chevelure de Tal Kasha; Sandales de Tal Kasha; Dofus des Glaces; Dofus Ocre; Dofus Émeraude; Dokoko; Dofus Turquoise; Dofus Abyssal; Muldo Ebène et Indigo</t>
        </is>
      </c>
    </row>
    <row r="1755">
      <c r="A1755" t="inlineStr">
        <is>
          <t>Stuff 3</t>
        </is>
      </c>
      <c r="B1755">
        <f>HYPERLINK("https://www.dofusbook.net/fr/equipement/268789-stuff-3/objets", "link")</f>
        <v/>
      </c>
      <c r="C1755" t="n">
        <v>3</v>
      </c>
      <c r="D1755" t="inlineStr">
        <is>
          <t>Pelle de la Cour Sombre; Amulette du Strigide; Alliance Gloursonne; Anneau des égarés; Ceinture de Kongoku; Casque des égarés; Cape du Kamasterisk; Baleinabottes; Dokoko; Dofus Pourpre; Dofus Turquoise; Dofus des Glaces; Nomade; Remueur; Kramkram</t>
        </is>
      </c>
    </row>
    <row r="1756">
      <c r="A1756" t="inlineStr">
        <is>
          <t>Eniripsa F 200</t>
        </is>
      </c>
      <c r="B1756">
        <f>HYPERLINK("https://www.dofusbook.net/fr/equipement/5932329-eniripsa-f-200/objets", "link")</f>
        <v/>
      </c>
      <c r="C1756" t="n">
        <v>4</v>
      </c>
      <c r="D1756" t="inlineStr">
        <is>
          <t>Kralamansion; Annolamour; Kralano; Ceinture Rasboulaire du Rasboul; Le Kim; Voile d'encre; Sandales Circulaires du Kimbo</t>
        </is>
      </c>
    </row>
    <row r="1757">
      <c r="A1757" t="inlineStr">
        <is>
          <t>Pandawa M 200</t>
        </is>
      </c>
      <c r="B1757">
        <f>HYPERLINK("https://www.dofusbook.net/fr/equipement/5896049-pandawa-m-200/objets", "link")</f>
        <v/>
      </c>
      <c r="C1757" t="n">
        <v>5</v>
      </c>
      <c r="D1757" t="inlineStr">
        <is>
          <t>La Xyothine; Kralamansion; Kralano; Anneau Bliteré; Ceinture Toré; Casque Harnage; Voile d'encre; Bottes Répané; Dofus Turquoise</t>
        </is>
      </c>
    </row>
    <row r="1758">
      <c r="A1758" t="inlineStr">
        <is>
          <t>Eniripsa F 200</t>
        </is>
      </c>
      <c r="B1758">
        <f>HYPERLINK("https://www.dofusbook.net/fr/equipement/5898914-eniripsa-f-200/objets", "link")</f>
        <v/>
      </c>
      <c r="C1758" t="n">
        <v>1</v>
      </c>
      <c r="D1758" t="inlineStr">
        <is>
          <t>Rod Gerse; Kralamansion; Annolamour; Kralano; Ceinture des Vents; Coiffe du Minotot; Voile d'encre; Bottes du Dragoeuf; Dofus Cawotte; Dofus Turquoise; Dofus Émeraude; Dofus Pourpre; Dragodinde Prune et Emeraude</t>
        </is>
      </c>
    </row>
    <row r="1759">
      <c r="A1759" t="inlineStr">
        <is>
          <t>Enutrof M 200</t>
        </is>
      </c>
      <c r="B1759">
        <f>HYPERLINK("https://www.dofusbook.net/fr/equipement/5534850-enutrof-m-200/objets", "link")</f>
        <v/>
      </c>
      <c r="C1759" t="n">
        <v>12</v>
      </c>
      <c r="D1759" t="inlineStr">
        <is>
          <t>Spatule Tranche-Gourmands; Amulette des Chocomanciens; Bague Instable; Anneau Tamie; Bouclier cubiste; Ceinture Instable; Casquipik; Cape de Léthaline; Pantoufles Émar; Dofus Ocre; Ralentisseur majeur; Entraveur; Temporiseur majeur; Temporiseur; Entraveur majeur; Gwo Tofu Ventripotent</t>
        </is>
      </c>
    </row>
    <row r="1760">
      <c r="A1760" t="inlineStr">
        <is>
          <t>enu pvm mis a jour</t>
        </is>
      </c>
      <c r="B1760">
        <f>HYPERLINK("https://www.dofusbook.net/fr/equipement/3786911-enu-pvm-mis-a-jour/objets", "link")</f>
        <v/>
      </c>
      <c r="C1760" t="n">
        <v>14</v>
      </c>
      <c r="D1760" t="inlineStr">
        <is>
          <t>Pelle Dorado; Amulette du Glourséleste; Chevalière du Roi Joueur; Bague Instable; Le Karde Cœur; Ceinture Instable; Casquipik; Cape de la Dame du Hasard; Pantoufles Émar; Dofus Kaliptus; Dofus Cawotte; Dofus Ocre; Dolmanax; Temporiseur majeur; Entraveur majeur; Gwo Tofu Ventripotent</t>
        </is>
      </c>
    </row>
    <row r="1761">
      <c r="A1761" t="inlineStr">
        <is>
          <t>allister hibou</t>
        </is>
      </c>
      <c r="B1761">
        <f>HYPERLINK("https://www.dofusbook.net/fr/equipement/212771-allister-hibou/objets", "link")</f>
        <v/>
      </c>
      <c r="C1761" t="n">
        <v>4</v>
      </c>
      <c r="D1761" t="inlineStr">
        <is>
          <t>Manthache; Amibou; Alliance Gloursonne; Anneau d'Allister; Quatre-feuilles; Menoture; Couronne d'Allister; Capibou; Bottes d'Allister; Dofus Nébuleux; Dofus Turquoise; Dofus des Glaces; Dofus Vulbis; Dofus Pourpre; Entraveur majeur; Gwo Tofu Ventripotent</t>
        </is>
      </c>
    </row>
    <row r="1762">
      <c r="A1762" t="inlineStr">
        <is>
          <t>songe full terre</t>
        </is>
      </c>
      <c r="B1762">
        <f>HYPERLINK("https://www.dofusbook.net/fr/equipement/5135335-songe-full-terre/objets", "link")</f>
        <v/>
      </c>
      <c r="C1762" t="n">
        <v>11</v>
      </c>
      <c r="D1762" t="inlineStr">
        <is>
          <t>Dagues d'Ilyzaelle; Collier de Tourthon; Alliance de Missiz Frizz; Anneau de Brouce; Bouclier du Captain Amakna; Ceinture de Brouce; Casque de Missiz Frizz; Cape du Professeur Xa; Bottes de Brouce; Dolmanax; Dofus Abyssal; Dofus Ocre; Dofus Turquoise; Dofus Pourpre; Forcené majeur; Kompost</t>
        </is>
      </c>
    </row>
    <row r="1763">
      <c r="A1763" t="inlineStr">
        <is>
          <t>full feu croture</t>
        </is>
      </c>
      <c r="B1763">
        <f>HYPERLINK("https://www.dofusbook.net/fr/equipement/5527290-full-feu-croture/objets", "link")</f>
        <v/>
      </c>
      <c r="C1763" t="n">
        <v>6</v>
      </c>
      <c r="D1763" t="inlineStr">
        <is>
          <t>Arc Honte; Amulette de Nileza; Chevalière du Roi Joueur; Anneau Tamie; Bouclier du Stalak; Croture; Heaume Oplate; Cape de Nileza; Pataugastrique; Dofus Vulbis; Dofus des Glaces; Dofus Ébène; Dévastateur Feu majeur; Érudit majeur; Saccageur Feu majeur; Bisouglours</t>
        </is>
      </c>
    </row>
    <row r="1764">
      <c r="A1764" t="inlineStr">
        <is>
          <t>Air crit</t>
        </is>
      </c>
      <c r="B1764">
        <f>HYPERLINK("https://www.dofusbook.net/fr/equipement/5459968-air-crit/objets", "link")</f>
        <v/>
      </c>
      <c r="C1764" t="n">
        <v>2</v>
      </c>
      <c r="D1764" t="inlineStr">
        <is>
          <t>Baguette du Dragoeuf; Amulette du Strigide; Anneau de Padgref; Anneau d'Allister; Quatre-feuilles; Ceinture du Strigide; Coiffe de Padgref; Chevelure de Tal Kasha; Getas de Padgref; Dofus Turquoise; Dofus Abyssal; Dofus Ébène; Dofus Vulbis; Dofus Ivoire; Dofus Ocre; Dragodinde Ebène et Emeraude</t>
        </is>
      </c>
    </row>
    <row r="1765">
      <c r="A1765" t="inlineStr">
        <is>
          <t>feu crit</t>
        </is>
      </c>
      <c r="B1765">
        <f>HYPERLINK("https://www.dofusbook.net/fr/equipement/5459780-feu-crit/objets", "link")</f>
        <v/>
      </c>
      <c r="C1765" t="n">
        <v>1</v>
      </c>
      <c r="D1765" t="inlineStr">
        <is>
          <t>Arc corrompu; Amulette du Strigide; Anneauræus; Anneau de Padgref; Quatre-feuilles; Ceinture du Strigide; Coiffe de Padgref; Cape de la Dame du Hasard; Getas de Padgref; Dofus Vulbis; Dofus Ocre; Dofus Ébène; Dofus Turquoise; Dofus Ivoire; Dofus Abyssal; Dragodinde Emeraude et Orchidée</t>
        </is>
      </c>
    </row>
    <row r="1766">
      <c r="A1766" t="inlineStr">
        <is>
          <t>Pyra</t>
        </is>
      </c>
      <c r="B1766">
        <f>HYPERLINK("https://www.dofusbook.net/fr/equipement/5207843-pyra/objets", "link")</f>
        <v/>
      </c>
      <c r="C1766" t="n">
        <v>5</v>
      </c>
      <c r="D1766" t="inlineStr">
        <is>
          <t>Pyraguette; Talisman Igans; Grésilanneau; Anneau de Nidas; Bouclier du Stalak; Ceintrigue; Kidibonnet; Voilamibe; Sandales Paztek; Dofus des Glaces; Dofus Ocre; Dofus Pourpre; Dofus Ivoire; Dofus Abyssal; Dofus Ébène; Walk</t>
        </is>
      </c>
    </row>
    <row r="1767">
      <c r="A1767" t="inlineStr">
        <is>
          <t>Eau pvm</t>
        </is>
      </c>
      <c r="B1767">
        <f>HYPERLINK("https://www.dofusbook.net/fr/equipement/5134703-eau-pvm/objets", "link")</f>
        <v/>
      </c>
      <c r="C1767" t="n">
        <v>5</v>
      </c>
      <c r="D1767" t="inlineStr">
        <is>
          <t>Rapière aux Glyphes; Amulette de Danathor; Anneau Kturne; Anneau Volkorne; Bouclier du Captain Amakna; Ceinture de Danathor; Coiffe de Danathor; Cape du Professeur Xa; Bottes Refois; Dofus Pourpre; Dofus Ocre; Dofus Abyssal; Dofus Turquoise; Dofus Ivoire; Dofus Émeraude; Dragodinde Emeraude et Indigo</t>
        </is>
      </c>
    </row>
    <row r="1768">
      <c r="A1768" t="inlineStr">
        <is>
          <t>terre crit songe</t>
        </is>
      </c>
      <c r="B1768">
        <f>HYPERLINK("https://www.dofusbook.net/fr/equipement/5134944-terre-crit-songe/objets", "link")</f>
        <v/>
      </c>
      <c r="C1768" t="n">
        <v>10</v>
      </c>
      <c r="D1768" t="inlineStr">
        <is>
          <t>Youyettes; Amulette du Strigide; Alliance de Missiz Frizz; Anneau du Comte Harebourg; Bouclier du Captain Amakna; Ceinture du Strigide; Casque de Missiz Frizz; Cape du Cœur Saignant; Bottes du Strigide; Dofus Pourpre; Dofus Ocre; Dofus Turquoise; Dofus des Glaces; Dofus Abyssal; Forcené majeur; Volkorne Emeraude et Pourpre</t>
        </is>
      </c>
    </row>
    <row r="1769">
      <c r="A1769" t="inlineStr">
        <is>
          <t>Mise à jour</t>
        </is>
      </c>
      <c r="B1769">
        <f>HYPERLINK("https://www.dofusbook.net/fr/equipement/3726059-mise-a-jour/objets", "link")</f>
        <v/>
      </c>
      <c r="C1769" t="n">
        <v>6</v>
      </c>
      <c r="D1769" t="inlineStr">
        <is>
          <t>Héqache; Amulette du Strigide; Alliance de Missiz Frizz; Bague Gloursonne; Bouclier du Captain Amakna; Ceinture du Strigide; Casque de Missiz Frizz; Cape du Professeur Xa; Bottes du Strigide; Dofus Turquoise; Dofus Ocre; Dofus des Glaces; Dofus Pourpre; Dofus Abyssal; Forcené majeur; Dragodinde Emeraude et Ivoire</t>
        </is>
      </c>
    </row>
    <row r="1770">
      <c r="A1770" t="inlineStr">
        <is>
          <t>iop songe</t>
        </is>
      </c>
      <c r="B1770">
        <f>HYPERLINK("https://www.dofusbook.net/fr/equipement/5134792-iop-songe-/objets", "link")</f>
        <v/>
      </c>
      <c r="C1770" t="n">
        <v>5</v>
      </c>
      <c r="D1770" t="inlineStr">
        <is>
          <t>Hache du Chalœil; Amulette Volkorne; Alliance de Missiz Frizz; Anneau Volkorne; Bouclier du Captain Amakna; Ceinture Volkorne; Casque de Missiz Frizz; Cape du Professeur Xa; Bottes de Missiz Frizz; Dofus des Glaces; Dofus Abyssal; Dofus Pourpre; Dofus Ocre; Dofus Turquoise; Forcené majeur; Dragodinde Emeraude et Ivoire</t>
        </is>
      </c>
    </row>
    <row r="1771">
      <c r="A1771" t="inlineStr">
        <is>
          <t>Pvp crocobur</t>
        </is>
      </c>
      <c r="B1771">
        <f>HYPERLINK("https://www.dofusbook.net/fr/equipement/5134584-pvp-crocobur/objets", "link")</f>
        <v/>
      </c>
      <c r="C1771" t="n">
        <v>8</v>
      </c>
      <c r="D1771" t="inlineStr">
        <is>
          <t>Crocobur; Amulette du Strigide; Alliance Gloursonne; Anneau Volkorne; Bouclier des Chocomanciens; Ceinture du Strigide; Casque Volkorne; Cape au Logis; Bottes du Strigide; Dofus Pourpre; Dofus Abyssal; Dofus Ivoire; Dofus Turquoise; Dofus Ébène; Dofus Ocre; Kramkram</t>
        </is>
      </c>
    </row>
    <row r="1772">
      <c r="A1772" t="inlineStr">
        <is>
          <t>terre feu</t>
        </is>
      </c>
      <c r="B1772">
        <f>HYPERLINK("https://www.dofusbook.net/fr/equipement/4954374-terre-feu/objets", "link")</f>
        <v/>
      </c>
      <c r="C1772" t="n">
        <v>1</v>
      </c>
      <c r="D1772" t="inlineStr">
        <is>
          <t>Bâthon; Amulette Volkorne; Chevalière du Roi Joueur; Bague Gloursonne; Bouclier du Stalak; Ceinture Volkorne; Couronne du Roi Joueur; Voilamibe; Bottes du Roi Joueur; Dofus Ocre; Dolmanax; Dofus Pourpre; Dofus des Glaces; Robuste majeur; Féroce majeur; Cromeugnon</t>
        </is>
      </c>
    </row>
    <row r="1773">
      <c r="A1773" t="inlineStr">
        <is>
          <t>Laikteur</t>
        </is>
      </c>
      <c r="B1773">
        <f>HYPERLINK("https://www.dofusbook.net/fr/equipement/4725254-laikteur/objets", "link")</f>
        <v/>
      </c>
      <c r="C1773" t="n">
        <v>5</v>
      </c>
      <c r="D1773" t="inlineStr">
        <is>
          <t>Arc de Laikteur; Amulette du Strigide; Bracelet du Piloztère; Anneau de Padgref; Bouclier du Stalak; Ceinture du Strigide; Coiffe de Padgref; Cape du Sinistrofu; Getas de Padgref; Dofus Pourpre; Dofus Turquoise; Dofus des Glaces; Dofus Ocre; Taquin majeur; Saccageur Eau majeur; Kokulte</t>
        </is>
      </c>
    </row>
    <row r="1774">
      <c r="A1774" t="inlineStr">
        <is>
          <t>Pandawa M 200</t>
        </is>
      </c>
      <c r="B1774">
        <f>HYPERLINK("https://www.dofusbook.net/fr/equipement/4677651-pandawa-m-200/objets", "link")</f>
        <v/>
      </c>
      <c r="C1774" t="n">
        <v>15</v>
      </c>
      <c r="D1774" t="inlineStr">
        <is>
          <t>Epée Gloursonne; Amulette du Strigide; Alliance Gloursonne; Bague Gloursonne; Bouclier d'Anerice; Ceinture du Strigide; Masque d'Anerice; Cape d'Anerice; Bottes du Strigide; Dofus Abyssal; Dofus Ivoire; Dofus Émeraude; Muldo Prune et Indigo</t>
        </is>
      </c>
    </row>
    <row r="1775">
      <c r="A1775" t="inlineStr">
        <is>
          <t>feu eau</t>
        </is>
      </c>
      <c r="B1775">
        <f>HYPERLINK("https://www.dofusbook.net/fr/equipement/4677606-feu-eau/objets", "link")</f>
        <v/>
      </c>
      <c r="C1775" t="n">
        <v>14</v>
      </c>
      <c r="D1775" t="inlineStr">
        <is>
          <t>Sabres d'Atcham; Amulette Cryochrone; Alliance Gloursonne; Anneau Cryochrone; Quatre-feuilles; Ceinture de Vortex; Coiffe Cryochrone; Cape d'Atcham; Sandales  d'Atcham; Dofus Turquoise; Dofus des Glaces; Dofus Abyssal; Dofus Pourpre; Dofus Ocre; Dolmanax; Muldo Prune et Ebène</t>
        </is>
      </c>
    </row>
    <row r="1776">
      <c r="A1776" t="inlineStr">
        <is>
          <t>Iop M 200</t>
        </is>
      </c>
      <c r="B1776">
        <f>HYPERLINK("https://www.dofusbook.net/fr/equipement/4665653-iop-m-200/objets", "link")</f>
        <v/>
      </c>
      <c r="C1776" t="n">
        <v>3</v>
      </c>
      <c r="D1776" t="inlineStr">
        <is>
          <t>Kralamansion; Grésilanneau; Slip du Roi de Bonta; Ougalurette; Cape Phossile; Bottes Phossiles</t>
        </is>
      </c>
    </row>
    <row r="1777">
      <c r="A1777" t="inlineStr">
        <is>
          <t>Iop M 200</t>
        </is>
      </c>
      <c r="B1777">
        <f>HYPERLINK("https://www.dofusbook.net/fr/equipement/4665618-iop-m-200/objets", "link")</f>
        <v/>
      </c>
      <c r="C1777" t="n">
        <v>1</v>
      </c>
      <c r="D1777" t="inlineStr">
        <is>
          <t>Amulette Cætera; Gelano; Anneau Chevelu; Ceinture de Brouce; Casque de Missiz Frizz; Cape de Sylargh; Bottes de Missiz Frizz</t>
        </is>
      </c>
    </row>
    <row r="1778">
      <c r="A1778" t="inlineStr">
        <is>
          <t>Iop M 200</t>
        </is>
      </c>
      <c r="B1778">
        <f>HYPERLINK("https://www.dofusbook.net/fr/equipement/4665579-iop-m-200/objets", "link")</f>
        <v/>
      </c>
      <c r="C1778" t="n">
        <v>3</v>
      </c>
      <c r="D1778" t="inlineStr">
        <is>
          <t>Hache du Guerrier Zoth; Amulette de Danathor; Anneau Kturne; Gelano; Bouclier Taverne; Ceinture d'Ogivol; Coiffe de Danathor; Cape d'Hel Munster; Chaussures Hau; Robuste majeur; Nomade; Chanceux majeur; Remueur; Obstructeur majeur; Vigoureux majeur; Dehluge</t>
        </is>
      </c>
    </row>
    <row r="1779">
      <c r="A1779" t="inlineStr">
        <is>
          <t>Ecaflip M 200</t>
        </is>
      </c>
      <c r="B1779">
        <f>HYPERLINK("https://www.dofusbook.net/fr/equipement/4642081-ecaflip-m-200/objets", "link")</f>
        <v/>
      </c>
      <c r="C1779" t="n">
        <v>8</v>
      </c>
      <c r="D1779" t="inlineStr">
        <is>
          <t>Hache du Guerrier Zoth; Amulette Héroclite; Anneau Chevelu; Gelano; Bouclier Taverne; Ceinture de Brouce; Casque de Missiz Frizz; Grésilocape; Bottes de Missiz Frizz; Robuste majeur; Nomade; Vigoureux majeur; Remueur; Furibond majeur; Enragé majeur; Pioute vert</t>
        </is>
      </c>
    </row>
    <row r="1780">
      <c r="A1780" t="inlineStr">
        <is>
          <t>Iop F 200</t>
        </is>
      </c>
      <c r="B1780">
        <f>HYPERLINK("https://www.dofusbook.net/fr/equipement/4655890-iop-f-200/objets", "link")</f>
        <v/>
      </c>
      <c r="C1780" t="n">
        <v>4</v>
      </c>
      <c r="D1780" t="inlineStr">
        <is>
          <t>Rapière aux Glyphes; Amulette Cryochrone; Bracelet des Fonds marins; Alliance Gloursonne; Bouclier du Captain Amakna; Ceinture Luminescente; Casqnoar; Cape du Professeur Xa; Sandales des Fonds marins; Dofus Pourpre; Dofus Émeraude; Turbulent; Remueur; Chanceux majeur; Nomade; Dehluge</t>
        </is>
      </c>
    </row>
    <row r="1781">
      <c r="A1781" t="inlineStr">
        <is>
          <t>Iop M 200</t>
        </is>
      </c>
      <c r="B1781">
        <f>HYPERLINK("https://www.dofusbook.net/fr/equipement/4633545-iop-m-200/objets", "link")</f>
        <v/>
      </c>
      <c r="C1781" t="n">
        <v>3</v>
      </c>
      <c r="D1781" t="inlineStr">
        <is>
          <t>Hache du Guerrier Zoth; Amulette de Nevark; Gelano; Alliance de Missiz Frizz; Ceinture de Nevark; Casque de Missiz Frizz; Cape de Nevark; Bottes de Missiz Frizz; Puissant majeur; Robuste majeur; Féroce majeur; Forcené majeur; Saccageur Terre majeur; Furibond majeur; Kompost</t>
        </is>
      </c>
    </row>
    <row r="1782">
      <c r="A1782" t="inlineStr">
        <is>
          <t>Iop M 200</t>
        </is>
      </c>
      <c r="B1782">
        <f>HYPERLINK("https://www.dofusbook.net/fr/equipement/4527932-iop-m-200/objets", "link")</f>
        <v/>
      </c>
      <c r="C1782" t="n">
        <v>8</v>
      </c>
      <c r="D1782" t="inlineStr">
        <is>
          <t>Hache Téroïde; Amulette du Strigide; Bague Gloursonne; Bracelet du Piloztère; Bouclier du Captain Amakna; Ceinture du Strigide; Chapeau de Gein; Cape au Logis; Bottes du Roi Joueur; Vigoureux majeur; Remueur; Forcené majeur; Enragé majeur; Érudit majeur; Nomade; Kwaltess</t>
        </is>
      </c>
    </row>
    <row r="1783">
      <c r="A1783" t="inlineStr">
        <is>
          <t>pvm crit</t>
        </is>
      </c>
      <c r="B1783">
        <f>HYPERLINK("https://www.dofusbook.net/fr/equipement/4523923-pvm-crit/objets", "link")</f>
        <v/>
      </c>
      <c r="C1783" t="n">
        <v>5</v>
      </c>
      <c r="D1783" t="inlineStr">
        <is>
          <t>Baguette Hernelle; Amulette du Strigide; Bracelet du Piloztère; Anneau de Padgref; Quatre-feuilles; Ceinture du Strigide; Coiffe de Padgref; Cape au Logis; Getas de Padgref; Dofus Pourpre; Dofus Turquoise; Dofus Ébène; Dofus Ocre; Dofus des Glaces; Dofus Abyssal; Kokulte</t>
        </is>
      </c>
    </row>
    <row r="1784">
      <c r="A1784" t="inlineStr">
        <is>
          <t>Terre Air ret Pa</t>
        </is>
      </c>
      <c r="B1784">
        <f>HYPERLINK("https://www.dofusbook.net/fr/equipement/212753-terre-air-ret-pa/objets", "link")</f>
        <v/>
      </c>
      <c r="C1784" t="n">
        <v>12</v>
      </c>
      <c r="D1784" t="inlineStr">
        <is>
          <t>Lav'Hache; Amulette du Strigide; Anneau Crustique; Alliance Gloursonne; Droiture de Fallanster; Menoture; Chapoulpe; Voile d'encre; Tentassons; Dofus Ivoire; Étourdisseur majeur; Remueur; Carapace Air majeur; Obstructeur majeur; Nomade; Drakopin</t>
        </is>
      </c>
    </row>
    <row r="1785">
      <c r="A1785" t="inlineStr">
        <is>
          <t>Feca terre actuel</t>
        </is>
      </c>
      <c r="B1785">
        <f>HYPERLINK("https://www.dofusbook.net/fr/equipement/3895779-feca-terre-actuel/objets", "link")</f>
        <v/>
      </c>
      <c r="C1785" t="n">
        <v>8</v>
      </c>
      <c r="D1785" t="inlineStr">
        <is>
          <t>Bêche Asse; Amulette du Strigide; Anneau Crustique; Anneau Crustique; Bouclier d'Ilyzaelle; Ceintouse; Chapoulpe; Cape du Cœur Vaillant; Tentassons; Dofus Abyssal; Dofus Ocre; Dofus Ivoire; Drakopin</t>
        </is>
      </c>
    </row>
    <row r="1786">
      <c r="A1786" t="inlineStr">
        <is>
          <t>Crâ M 200</t>
        </is>
      </c>
      <c r="B1786">
        <f>HYPERLINK("https://www.dofusbook.net/fr/equipement/4371582-cra-m-200/objets", "link")</f>
        <v/>
      </c>
      <c r="C1786" t="n">
        <v>21</v>
      </c>
      <c r="D1786" t="inlineStr">
        <is>
          <t>Sabres d'Atcham; Amulette du Strigide; Bracelet du Piloztère; Anneau de Padgref; Quatre-feuilles; Ceinture du Strigide; Coiffe de Padgref; Cape d'Atcham; Getas de Padgref; Dofus Ébène; Dofus Vulbis; Dofus Pourpre; Dofus Ocre; Dofus Turquoise; Dofus des Glaces</t>
        </is>
      </c>
    </row>
    <row r="1787">
      <c r="A1787" t="inlineStr">
        <is>
          <t>trithon volkorne</t>
        </is>
      </c>
      <c r="B1787">
        <f>HYPERLINK("https://www.dofusbook.net/fr/equipement/4190350-trithon-volkorne/objets", "link")</f>
        <v/>
      </c>
      <c r="C1787" t="n">
        <v>13</v>
      </c>
      <c r="D1787" t="inlineStr">
        <is>
          <t>Arc Nécrotique; Amulette Volkorne; Bague Trithon; Anneau Volkorne; Quatre-feuilles; Ceinture Volkorne; Masque Trithon; Cape des Malveilleurs; Bottes Trithon; Dofus Ivoire; Dofus Pourpre; Dofus Turquoise; Dofus Abyssal; Dofus Ocre; Kokulte</t>
        </is>
      </c>
    </row>
    <row r="1788">
      <c r="A1788" t="inlineStr">
        <is>
          <t>pvp</t>
        </is>
      </c>
      <c r="B1788">
        <f>HYPERLINK("https://www.dofusbook.net/fr/equipement/4355670-pvp/objets", "link")</f>
        <v/>
      </c>
      <c r="C1788" t="n">
        <v>13</v>
      </c>
      <c r="D1788" t="inlineStr">
        <is>
          <t>Arc du Chalœil; Amulette Luminescente; Anneau Chevelu; Bracelet du Piloztère; Quatre-feuilles; Ceinture Luminescente; Masque de Koutoulou; Cape au Logis; Bottes du Roi Joueur; Dofus Abyssal; Dofus Ocre; Dofus Nébuleux; Dofus Ivoire; Dofus Ébène; Dofus Turquoise; Dragodinde Ivoire et Pourpre</t>
        </is>
      </c>
    </row>
    <row r="1789">
      <c r="A1789" t="inlineStr">
        <is>
          <t>nidas 2</t>
        </is>
      </c>
      <c r="B1789">
        <f>HYPERLINK("https://www.dofusbook.net/fr/equipement/4331147-nidas-2/objets", "link")</f>
        <v/>
      </c>
      <c r="C1789" t="n">
        <v>8</v>
      </c>
      <c r="D1789" t="inlineStr">
        <is>
          <t>Hache du Chalœil; Amulette Volkorne; Alliance de Missiz Frizz; Anneau Volkorne; Quatre-feuilles; Ceinture Volkorne; Casque de Missiz Frizz; Cape Reski; Bottes de Missiz Frizz; Dofus des Glaces; Dofus Ocre; Dofus Nébuleux; Dofus Ébène; Dofus Pourpre; Dofus Turquoise; Pioute rose</t>
        </is>
      </c>
    </row>
    <row r="1790">
      <c r="A1790" t="inlineStr">
        <is>
          <t>need cra nidas</t>
        </is>
      </c>
      <c r="B1790">
        <f>HYPERLINK("https://www.dofusbook.net/fr/equipement/4334315-need-cra-nidas/objets", "link")</f>
        <v/>
      </c>
      <c r="C1790" t="n">
        <v>14</v>
      </c>
      <c r="D1790" t="inlineStr">
        <is>
          <t>Epée Kari; Amulette du Strigide; Anneau de Brouce; Bracelet du Piloztère; Cadran de Terre; Ceinture du Strigide; Coiffe Ranshi; Cape des Justiciers; Bottes du Glourséleste; Robuste majeur; Nomade; Féroce majeur; Vigoureux majeur; Remueur; Sanguinaire majeur</t>
        </is>
      </c>
    </row>
    <row r="1791">
      <c r="A1791" t="inlineStr">
        <is>
          <t>Crâ M 200</t>
        </is>
      </c>
      <c r="B1791">
        <f>HYPERLINK("https://www.dofusbook.net/fr/equipement/4347219-cra-m-200/objets", "link")</f>
        <v/>
      </c>
      <c r="C1791" t="n">
        <v>5</v>
      </c>
      <c r="D1791" t="inlineStr">
        <is>
          <t>Epée Gloursonne; Amulette du Strigide; Bague Gloursonne; Alliance Gloursonne; Quatre-feuilles; Ceinture du Strigide; Casque de Missiz Frizz; Cape des Malveilleurs; Bottes du Strigide; Dofus des Glaces; Dofus Turquoise; Dofus Vulbis; Dofus Ocre; Dofus Pourpre; Dofus Ébène; Pioute rose</t>
        </is>
      </c>
    </row>
    <row r="1792">
      <c r="A1792" t="inlineStr">
        <is>
          <t>Nidas 1</t>
        </is>
      </c>
      <c r="B1792">
        <f>HYPERLINK("https://www.dofusbook.net/fr/equipement/4330885-nidas-1-/objets", "link")</f>
        <v/>
      </c>
      <c r="C1792" t="n">
        <v>4</v>
      </c>
      <c r="D1792" t="inlineStr">
        <is>
          <t>Bâton Beau; Amulette du Strigide; Bracelet du Piloztère; Anneau de Padgref; Quatre-feuilles; Ceinture du Strigide; Coiffe de Padgref; Cape Ovri; Getas de Padgref; Dofus Ébène; Dofus Vulbis; Dofus des Glaces; Dofus Turquoise; Dofus Pourpre; Dofus Ocre; Kokulte</t>
        </is>
      </c>
    </row>
    <row r="1793">
      <c r="A1793" t="inlineStr">
        <is>
          <t>Eniripsa F 200</t>
        </is>
      </c>
      <c r="B1793">
        <f>HYPERLINK("https://www.dofusbook.net/fr/equipement/4294023-eniripsa-f-200/objets", "link")</f>
        <v/>
      </c>
      <c r="C1793" t="n">
        <v>4</v>
      </c>
      <c r="D1793" t="inlineStr">
        <is>
          <t>Arc corrompu; Amulette du Strigide; Anneau de Padgref; Chevalière du Roi Joueur; Quatre-feuilles; Ceinture du Strigide; Coiffe de Padgref; Cape de la Dame du Hasard; Getas de Padgref; Dofus Ivoire; Dofus Ocre; Dofus des Glaces; Dofus Vulbis; Dofus Abyssal; Dofus Turquoise; Kokulte</t>
        </is>
      </c>
    </row>
    <row r="1794">
      <c r="A1794" t="inlineStr">
        <is>
          <t>eau dom fix</t>
        </is>
      </c>
      <c r="B1794">
        <f>HYPERLINK("https://www.dofusbook.net/fr/equipement/4270021-eau-dom-fix-/objets", "link")</f>
        <v/>
      </c>
      <c r="C1794" t="n">
        <v>4</v>
      </c>
      <c r="D1794" t="inlineStr">
        <is>
          <t>Baguette Héroclite; Amulette d'Ilyzaelle; Alliance Gloursonne; Anneau Volkorne; Bouclier du Stalak; Sangle Ouare; Casque d'Ilyzaelle; Cape Solution; Pataugastrique; Dofus Ivoire; Dofus Abyssal; Dofus des Glaces; Saccageur Eau majeur; Dévastateur Eau majeur; Chanceux majeur; Kanigloups</t>
        </is>
      </c>
    </row>
    <row r="1795">
      <c r="A1795" t="inlineStr">
        <is>
          <t>Eau moderne cac</t>
        </is>
      </c>
      <c r="B1795">
        <f>HYPERLINK("https://www.dofusbook.net/fr/equipement/4269955-eau-moderne-cac/objets", "link")</f>
        <v/>
      </c>
      <c r="C1795" t="n">
        <v>4</v>
      </c>
      <c r="D1795" t="inlineStr">
        <is>
          <t>Dagoulinantes; Amulette de Shokkoth; Anneau Volkorne; Alliance Gloursonne; Bouclier Taverne; Pagne du Rykaon; Kidibonnet; Cape de la Dame du Hasard; Bottes de la Dame du Hasard; Dofus Pourpre; Dofus Ocre; Dofus Turquoise; Dofus Ivoire; Dofus des Glaces; Dofus Abyssal; Muldo Prune et Doré</t>
        </is>
      </c>
    </row>
    <row r="1796">
      <c r="A1796" t="inlineStr">
        <is>
          <t>Eni colère Wout</t>
        </is>
      </c>
      <c r="B1796">
        <f>HYPERLINK("https://www.dofusbook.net/fr/equipement/4266895-eni-colere-wout/objets", "link")</f>
        <v/>
      </c>
      <c r="C1796" t="n">
        <v>9</v>
      </c>
      <c r="D1796" t="inlineStr">
        <is>
          <t>Rapière aux Glyphes; Amulette de Pol Ouatnos; Alliance Gloursonne; Anneau Volkorne; Bouclier précieux; Ceinture de la Reine des Voleurs; Casque en Grithril; Cape Solution; Bottes de la Reine des Voleurs; Dofus Pourpre; Dofus Abyssal; Dofus Ivoire; Remueur; Carapace Air majeur; Chanceux majeur; Wabbit</t>
        </is>
      </c>
    </row>
    <row r="1797">
      <c r="A1797" t="inlineStr">
        <is>
          <t>Colere des norde res</t>
        </is>
      </c>
      <c r="B1797">
        <f>HYPERLINK("https://www.dofusbook.net/fr/equipement/4267832-colere-des-norde-res/objets", "link")</f>
        <v/>
      </c>
      <c r="C1797" t="n">
        <v>6</v>
      </c>
      <c r="D1797" t="inlineStr">
        <is>
          <t>Rapière aux Glyphes; Amulette Cryochrone; Anneau Volkorne; Alliance Gloursonne; Bouclier d'Ilyzaelle; Sangle Ouare; Kidibonnet; Cape de la Dame du Hasard; Bottes du Sinistrofu; Dofus Abyssal; Dofus Pourpre; Dofus Ébène; Dofus Ivoire; Obstructeur majeur; Chanceux majeur; Volkorne Saphir et Indigo</t>
        </is>
      </c>
    </row>
    <row r="1798">
      <c r="A1798" t="inlineStr">
        <is>
          <t>Eni colere des norde</t>
        </is>
      </c>
      <c r="B1798">
        <f>HYPERLINK("https://www.dofusbook.net/fr/equipement/4265183-eni-colere-des-norde/objets", "link")</f>
        <v/>
      </c>
      <c r="C1798" t="n">
        <v>6</v>
      </c>
      <c r="D1798" t="inlineStr">
        <is>
          <t>Rapière aux Glyphes; Amulette de Pol Ouatnos; Anneau Volkorne; Anneau Glacial; Bouclier précieux; Ceinture Glaciale; Masque de l'Esprit Salvateur; Cape Solution; Pataugastrique; Dofus Ébène; Dofus des Glaces; Dofus Ivoire; Dofus Pourpre; Dofus Abyssal; Fortification majeure; Wabbit</t>
        </is>
      </c>
    </row>
    <row r="1799">
      <c r="A1799" t="inlineStr">
        <is>
          <t>FULL TERRE MGGL</t>
        </is>
      </c>
      <c r="B1799">
        <f>HYPERLINK("https://www.dofusbook.net/fr/equipement/2463962-full-terre-mggl/objets", "link")</f>
        <v/>
      </c>
      <c r="C1799" t="n">
        <v>17</v>
      </c>
      <c r="D1799" t="inlineStr">
        <is>
          <t>Arc du Chalœil; Collier de Tourthon; Anneau Crustique; Anneau de Brouce; Bouclier du Captain Amakna; Ceinture Gence; Masque de Koutoulou; Cape au Logis; Bottes de Brouce; Dofus Pourpre; Dofus Turquoise; Dofus des Glaces; Enragé majeur; Vigoureux majeur; Forcené majeur; Kompost</t>
        </is>
      </c>
    </row>
    <row r="1800">
      <c r="A1800" t="inlineStr">
        <is>
          <t>colere nordes</t>
        </is>
      </c>
      <c r="B1800">
        <f>HYPERLINK("https://www.dofusbook.net/fr/equipement/4268391-colere-nordes/objets", "link")</f>
        <v/>
      </c>
      <c r="C1800" t="n">
        <v>14</v>
      </c>
      <c r="D1800" t="inlineStr">
        <is>
          <t>Youyettes; Amulette de Pol Ouatnos; Goulano; Anneau en Grithril; Bouclier précieux; Ceinture de la Reine des Voleurs; Coiffe de la Reine des Voleurs; Cape des Justiciers; Baleinabottes; Dofus Abyssal; Dofus Ivoire; Enragé majeur; Obstructeur majeur; Fortification majeure; Bloqueur majeur; Wabbit</t>
        </is>
      </c>
    </row>
    <row r="1801">
      <c r="A1801" t="inlineStr">
        <is>
          <t>feu eau dagues vdv</t>
        </is>
      </c>
      <c r="B1801">
        <f>HYPERLINK("https://www.dofusbook.net/fr/equipement/4220714-feu-eau-dagues-vdv/objets", "link")</f>
        <v/>
      </c>
      <c r="C1801" t="n">
        <v>12</v>
      </c>
      <c r="D1801" t="inlineStr">
        <is>
          <t>Couteaux Sacrificiels; Talisman Igans; Bague Gloursonne; Alliance Gloursonne; Bouclier alvéolé; Ceintrigue; Masque Paztek; Cape Paztek; Sandales Paztek; Dofus Pourpre; Dofus Ivoire; Dofus des Glaces; Dofus Ébène; Dofus Abyssal; Dofus Ocre; Fëanor</t>
        </is>
      </c>
    </row>
    <row r="1802">
      <c r="A1802" t="inlineStr">
        <is>
          <t>air abysse Ella</t>
        </is>
      </c>
      <c r="B1802">
        <f>HYPERLINK("https://www.dofusbook.net/fr/equipement/212774-air-abysse-ella/objets", "link")</f>
        <v/>
      </c>
      <c r="C1802" t="n">
        <v>5</v>
      </c>
      <c r="D1802" t="inlineStr">
        <is>
          <t>Manthache; Collier du Valet Veinard; Alliance Gloursonne; Gant du Valet Veinard; Bouclier du Stalak; Menoture; Couronne d'Allister; Cape Indescriptible; Pantoufles Émar; Dofus Pourpre; Dofus des Glaces; Saccageur Air majeur; Dévastateur Air majeur; Cascadeur majeur; Nomade; Blérodoudou</t>
        </is>
      </c>
    </row>
    <row r="1803">
      <c r="A1803" t="inlineStr">
        <is>
          <t>PVM moderne</t>
        </is>
      </c>
      <c r="B1803">
        <f>HYPERLINK("https://www.dofusbook.net/fr/equipement/4119482-pvm-moderne/objets", "link")</f>
        <v/>
      </c>
      <c r="C1803" t="n">
        <v>13</v>
      </c>
      <c r="D1803" t="inlineStr">
        <is>
          <t>Hache du Chalœil; Amulette Volkorne; Bague Gloursonne; Alliance de Missiz Frizz; Bouclier du Captain Amakna; Ceinture Volkorne; Casque de Missiz Frizz; Cape du Professeur Xa; Bottes de Missiz Frizz; Dolmanax; Dofus Turquoise; Dofus des Glaces; Dofus Ocre; Dofus Pourpre; Furibond majeur; Cromeugnon</t>
        </is>
      </c>
    </row>
    <row r="1804">
      <c r="A1804" t="inlineStr">
        <is>
          <t>gneu tapper</t>
        </is>
      </c>
      <c r="B1804">
        <f>HYPERLINK("https://www.dofusbook.net/fr/equipement/2947140-gneu-tapper/objets", "link")</f>
        <v/>
      </c>
      <c r="C1804" t="n">
        <v>7</v>
      </c>
      <c r="D1804" t="inlineStr">
        <is>
          <t>Lav'Hache; Collier de Tourthon; Anneau de Brouce; Bracelet du Piloztère; Bouclier du Stalak; Ceinture de la Reine des Voleurs; Coiffe de la Reine des Voleurs; Cape au Logis; Baleinabottes; Dofus des Glaces; Dofus Pourpre; Dofus Ocre; Saccageur Terre majeur; Enragé majeur; Dévastateur Terre majeur; Bulbisou</t>
        </is>
      </c>
    </row>
    <row r="1805">
      <c r="A1805" t="inlineStr">
        <is>
          <t>Terre pvp</t>
        </is>
      </c>
      <c r="B1805">
        <f>HYPERLINK("https://www.dofusbook.net/fr/equipement/2956889-terre-pvp/objets", "link")</f>
        <v/>
      </c>
      <c r="C1805" t="n">
        <v>7</v>
      </c>
      <c r="D1805" t="inlineStr">
        <is>
          <t>Lav'Hache; Collier de Tourthon; Chevalière du Roi Joueur; Bracelet du Piloztère; Bouclier du Stalak; Ceinture de la Reine des Voleurs; Coiffe de la Reine des Voleurs; Cape au Logis; Baleinabottes; Dofus Pourpre; Dofus Abyssal; Dofus des Glaces; Dofus Ocre; Dofus Ivoire; Dévastateur Terre majeur; Bulbisou</t>
        </is>
      </c>
    </row>
    <row r="1806">
      <c r="A1806" t="inlineStr">
        <is>
          <t>full terre pvp</t>
        </is>
      </c>
      <c r="B1806">
        <f>HYPERLINK("https://www.dofusbook.net/fr/equipement/1929749-full-terre-pvp/objets", "link")</f>
        <v/>
      </c>
      <c r="C1806" t="n">
        <v>9</v>
      </c>
      <c r="D1806" t="inlineStr">
        <is>
          <t>Arc du Chalœil; Collier de Tourthon; Anneau Chevelu; Anneau de Brouce; Bouclier du Stalak; Ceinture Volkorne; Masque de Koutoulou; Cape au Logis; Bottes de Brouce; Dofus Abyssal; Dofus des Glaces; Dofus Ivoire; Dofus Pourpre; Dofus Ocre; Enragé majeur; Kompost</t>
        </is>
      </c>
    </row>
    <row r="1807">
      <c r="A1807" t="inlineStr">
        <is>
          <t>Houffe crit</t>
        </is>
      </c>
      <c r="B1807">
        <f>HYPERLINK("https://www.dofusbook.net/fr/equipement/2502156-houffe-crit/objets", "link")</f>
        <v/>
      </c>
      <c r="C1807" t="n">
        <v>8</v>
      </c>
      <c r="D1807" t="inlineStr">
        <is>
          <t>Baguette Houffe-Craitien; Amulette du Strigide; Chevalière du Roi Joueur; Anneau de Padgref; Quatre-feuilles; Ceinture du Strigide; Coiffe de Padgref; Cape de la Dame du Hasard; Getas de Padgref; Dofus Abyssal; Dofus Pourpre; Dofus Émeraude; Dofus Turquoise; Dofus des Glaces; Dofus Ocre; Muldo Prune et Emeraude</t>
        </is>
      </c>
    </row>
    <row r="1808">
      <c r="A1808" t="inlineStr">
        <is>
          <t>terre air</t>
        </is>
      </c>
      <c r="B1808">
        <f>HYPERLINK("https://www.dofusbook.net/fr/equipement/4121899-terre-air/objets", "link")</f>
        <v/>
      </c>
      <c r="C1808" t="n">
        <v>4</v>
      </c>
      <c r="D1808" t="inlineStr">
        <is>
          <t>Héqache; Amulette du Kamasterisk; Bague Gloursonne; Alliance Gloursonne; Bouclier du Captain Amakna; Ceinture Volkorne; Casque Volkorne; Cape du Kamasterisk; Bottes du Kamasterisk; Dofus Ivoire; Dofus des Glaces; Dofus Abyssal; Dofus Turquoise; Dofus Pourpre; Dofus Ocre; Fëanor</t>
        </is>
      </c>
    </row>
    <row r="1809">
      <c r="A1809" t="inlineStr">
        <is>
          <t>res hetype</t>
        </is>
      </c>
      <c r="B1809">
        <f>HYPERLINK("https://www.dofusbook.net/fr/equipement/2502319-res-hetype/objets", "link")</f>
        <v/>
      </c>
      <c r="C1809" t="n">
        <v>10</v>
      </c>
      <c r="D1809" t="inlineStr">
        <is>
          <t>Arc Hétype; Amulette Ementaire Deluxe; Kralano; Bague Gloursonne; Cadran de Feu; Protopagne; Casque Dragoeuf; Voile d'encre; Pataugastrique; Dofus Ivoire; Dofus Ocre; Dolmanax; Miraculé majeur; Érudit majeur; Déserteur majeur; Dragodinde Dorée et Orchidée</t>
        </is>
      </c>
    </row>
    <row r="1810">
      <c r="A1810" t="inlineStr">
        <is>
          <t>199 cheap air</t>
        </is>
      </c>
      <c r="B1810">
        <f>HYPERLINK("https://www.dofusbook.net/fr/equipement/212785-199-cheap-air/objets", "link")</f>
        <v/>
      </c>
      <c r="C1810" t="n">
        <v>12</v>
      </c>
      <c r="D1810" t="inlineStr">
        <is>
          <t>Karnak; Amulette Nécrotique; Alliance Gloursonne; Anneau d'Allister; Quatre-feuilles; Ceinture Rasboulaire du Rasboul; Couronne d'Allister; Cape Matelassée; Pantoufles Émar; Robuste majeur; Dévastateur Air majeur; Féroce majeur; Nomade; Cascadeur majeur; Remueur; Dragodinde Prune et Ebène</t>
        </is>
      </c>
    </row>
    <row r="1811">
      <c r="A1811" t="inlineStr">
        <is>
          <t>osa quadri</t>
        </is>
      </c>
      <c r="B1811">
        <f>HYPERLINK("https://www.dofusbook.net/fr/equipement/2441032-osa-quadri/objets", "link")</f>
        <v/>
      </c>
      <c r="C1811" t="n">
        <v>6</v>
      </c>
      <c r="D1811" t="inlineStr">
        <is>
          <t>Héqache; Amulette Ementaire Deluxe; Bague Gloursonne; Alliance Gloursonne; Bouclier du Stalak; Ceinture de Nevark; Masque du Barbétoal; Voile d'encre; Pataugastrique; Dokoko; Dofus Ivoire; Dofus Ocre; Dofus des Glaces; Dofus Abyssal; Nomade; Dragodinde Dorée et Ivoire</t>
        </is>
      </c>
    </row>
    <row r="1812">
      <c r="A1812" t="inlineStr">
        <is>
          <t>vv allister douze pa</t>
        </is>
      </c>
      <c r="B1812">
        <f>HYPERLINK("https://www.dofusbook.net/fr/equipement/212773-vv-allister-douze-pa/objets", "link")</f>
        <v/>
      </c>
      <c r="C1812" t="n">
        <v>2</v>
      </c>
      <c r="D1812" t="inlineStr">
        <is>
          <t>Karnak; Collier du Valet Veinard; Anneau d'Allister; Gant du Valet Veinard; Bouclier du Stalak; Ceinture du Barbétoal; Couronne d'Allister; Cape du Valet Veinard; Bottes d'Allister; Dofus des Glaces; Dolmanax; Dofus Ocre; Dofus Pourpre; Féroce majeur; Robuste majeur; Kramkram</t>
        </is>
      </c>
    </row>
    <row r="1813">
      <c r="A1813" t="inlineStr">
        <is>
          <t>talkasha pvm</t>
        </is>
      </c>
      <c r="B1813">
        <f>HYPERLINK("https://www.dofusbook.net/fr/equipement/1565096-talkasha-pvm/objets", "link")</f>
        <v/>
      </c>
      <c r="C1813" t="n">
        <v>3</v>
      </c>
      <c r="D1813" t="inlineStr">
        <is>
          <t>Arc de Koutoulou; Amulette du Strigide; Anneau de Padgref; Bracelet du Piloztère; Quatre-feuilles; Ceinture du Strigide; Némès de Tal Kasha; Chevelure de Tal Kasha; Sandales de Tal Kasha; Dofus Abyssal; Dofus Pourpre; Dofus Nébuleux; Dofus Turquoise; Dofus des Glaces; Dofus Ocre; Muldo Prune et Emeraude</t>
        </is>
      </c>
    </row>
    <row r="1814">
      <c r="A1814" t="inlineStr">
        <is>
          <t>barbetoile random</t>
        </is>
      </c>
      <c r="B1814">
        <f>HYPERLINK("https://www.dofusbook.net/fr/equipement/212817-barbetoile-random/objets", "link")</f>
        <v/>
      </c>
      <c r="C1814" t="n">
        <v>2</v>
      </c>
      <c r="D1814" t="inlineStr">
        <is>
          <t>Arc de Koutoulou; Amulette de l'Indicible; Anneau Tique; Alliance Gloursonne; Ceinture du Barbétoal; Masque du Barbétoal; Cape Matelassée; Bottes de la Reine des Voleurs; Dofus Pourpre; Dofus des Glaces; Robuste majeur; Sanguinaire majeur; Vigoureux majeur; Remueur; Muldo Ebène et Indigo</t>
        </is>
      </c>
    </row>
    <row r="1815">
      <c r="A1815" t="inlineStr">
        <is>
          <t>vv reine arc koutou</t>
        </is>
      </c>
      <c r="B1815">
        <f>HYPERLINK("https://www.dofusbook.net/fr/equipement/212816-vv-reine-arc-koutou/objets", "link")</f>
        <v/>
      </c>
      <c r="C1815" t="n">
        <v>5</v>
      </c>
      <c r="D1815" t="inlineStr">
        <is>
          <t>Arc de Koutoulou; Collier du Valet Veinard; Gant du Valet Veinard; Alliance Gloursonne; Bouclier du Stalak; Ceinture de la Reine des Voleurs; Coiffe de la Reine des Voleurs; Cape du Valet Veinard; Bottes de la Reine des Voleurs; Dofus des Glaces; Dofus Ocre; Dofus Émeraude; Dofus Pourpre; Robuste majeur; Féroce majeur; Muldo Ebène</t>
        </is>
      </c>
    </row>
    <row r="1816">
      <c r="A1816" t="inlineStr">
        <is>
          <t>tacti bl</t>
        </is>
      </c>
      <c r="B1816">
        <f>HYPERLINK("https://www.dofusbook.net/fr/equipement/1501008-tacti-bl-/objets", "link")</f>
        <v/>
      </c>
      <c r="C1816" t="n">
        <v>5</v>
      </c>
      <c r="D1816" t="inlineStr">
        <is>
          <t>Hache Téroïde; Kralamansion; Anneau Chevelu; Alliance de Missiz Frizz; Quatre-feuilles; Ceinture de Brouce; Casque de Missiz Frizz; Voile d'encre; Sabots Minables; Dofus Turquoise; Dokoko; Dofus Pourpre; Nomade; Remueur; Vigoureux majeur; Muldo Doré et Pourpre</t>
        </is>
      </c>
    </row>
    <row r="1817">
      <c r="A1817" t="inlineStr">
        <is>
          <t>Stuff 3</t>
        </is>
      </c>
      <c r="B1817">
        <f>HYPERLINK("https://www.dofusbook.net/fr/equipement/212813-stuff-3/objets", "link")</f>
        <v/>
      </c>
      <c r="C1817" t="n">
        <v>7</v>
      </c>
      <c r="D1817" t="inlineStr">
        <is>
          <t>Epée Gloursonne; Amulette du Strigide; Bague Gloursonne; Alliance Gloursonne; Bouclier Taverne; Ceinture du Strigide; Masque du Barbétoal; Voile d'encre; Bottes du Strigide; Dofus Émeraude; Dofus Turquoise; Dokoko; Dofus Ocre; Dofus Pourpre; Dofus Abyssal; Muldo Prune et Indigo</t>
        </is>
      </c>
    </row>
    <row r="1818">
      <c r="A1818" t="inlineStr">
        <is>
          <t>roub full crit pvm</t>
        </is>
      </c>
      <c r="B1818">
        <f>HYPERLINK("https://www.dofusbook.net/fr/equipement/1595879-roub-full-crit-pvm/objets", "link")</f>
        <v/>
      </c>
      <c r="C1818" t="n">
        <v>4</v>
      </c>
      <c r="D1818" t="inlineStr">
        <is>
          <t>Sabres d'Atcham; Amulette du Strigide; Bracelet du Piloztère; Anneau de Padgref; Quatre-feuilles; Ceinture du Strigide; Coiffe de Padgref; Cape d'Atcham; Getas de Padgref; Dolmanax; Dofus Turquoise; Dofus des Glaces; Dofus Ocre; Dofus Pourpre; Puissant majeur; Muldo Prune et Emeraude</t>
        </is>
      </c>
    </row>
    <row r="1819">
      <c r="A1819" t="inlineStr">
        <is>
          <t>Stuff 3</t>
        </is>
      </c>
      <c r="B1819">
        <f>HYPERLINK("https://www.dofusbook.net/fr/equipement/212790-stuff-3/objets", "link")</f>
        <v/>
      </c>
      <c r="C1819" t="n">
        <v>9</v>
      </c>
      <c r="D1819" t="inlineStr">
        <is>
          <t>Hache du Chalœil; Amulette du Strigide; Bracelet du Piloztère; Alliance Gloursonne; Ceinture du Strigide; Casque du Chalœil; Voile d'encre; Baleinabottes; Dofus Turquoise; Dofus des Glaces; Dofus Pourpre; Remueur; Nomade; Vigoureux majeur; Kramkram</t>
        </is>
      </c>
    </row>
    <row r="1820">
      <c r="A1820" t="inlineStr">
        <is>
          <t>Stuff 1</t>
        </is>
      </c>
      <c r="B1820">
        <f>HYPERLINK("https://www.dofusbook.net/fr/equipement/212788-stuff-1/objets", "link")</f>
        <v/>
      </c>
      <c r="C1820" t="n">
        <v>4</v>
      </c>
      <c r="D1820" t="inlineStr">
        <is>
          <t>Hache du Chalœil; Amulette du Strigide; Alliance Gloursonne; Anneau Chevelu; Ceintacé; Chapeau de Gein; Voile d'encre; Bottes du Strigide; Dofus Turquoise; Dofus Pourpre; Dofus des Glaces; Nomade; Remueur; Vigoureux majeur; Kramkram</t>
        </is>
      </c>
    </row>
    <row r="1821">
      <c r="A1821" t="inlineStr">
        <is>
          <t>Stuff 2</t>
        </is>
      </c>
      <c r="B1821">
        <f>HYPERLINK("https://www.dofusbook.net/fr/equipement/212812-stuff-2/objets", "link")</f>
        <v/>
      </c>
      <c r="C1821" t="n">
        <v>8</v>
      </c>
      <c r="D1821" t="inlineStr">
        <is>
          <t>Marteau des Anciens Steamers; Amulette du Strigide; Alliance Gloursonne; Bague Gloursonne; Bouclier Taverne; Ceinture du Strigide; Némès de Tal Kasha; Chevelure de Tal Kasha; Sandales de Tal Kasha; Dokoko; Dofus Ocre; Dofus Pourpre; Dofus Abyssal; Dofus Émeraude; Dofus Turquoise; Muldo Prune et Indigo</t>
        </is>
      </c>
    </row>
    <row r="1822">
      <c r="A1822" t="inlineStr">
        <is>
          <t>Stuff 2</t>
        </is>
      </c>
      <c r="B1822">
        <f>HYPERLINK("https://www.dofusbook.net/fr/equipement/212789-stuff-2/objets", "link")</f>
        <v/>
      </c>
      <c r="C1822" t="n">
        <v>2</v>
      </c>
      <c r="D1822" t="inlineStr">
        <is>
          <t>Épée de la Reine des Voleurs; Amulette du Kamasterisk; Anneau de Brouce; Anneau des égarés; Ceinture de Brouce; Casque des égarés; Cape du Kamasterisk; Bottes de Brouce; Dofus Émeraude; Dofus des Glaces; Dolmanax; Dofus Pourpre; Dofus Nébuleux; Dofus Ocre; Kramkram</t>
        </is>
      </c>
    </row>
    <row r="1823">
      <c r="A1823" t="inlineStr">
        <is>
          <t>Stuff 3</t>
        </is>
      </c>
      <c r="B1823">
        <f>HYPERLINK("https://www.dofusbook.net/fr/equipement/212772-stuff-3/objets", "link")</f>
        <v/>
      </c>
      <c r="C1823" t="n">
        <v>3</v>
      </c>
      <c r="D1823" t="inlineStr">
        <is>
          <t>Plumeau Bil; Amulette Séculaire; Kralano; Anneau Tamie; Ceinture de Vortex; Coiffe Séculaire; Cape de Diondin; Pataugastrique; Dofus des Glaces; Dofus Pourpre; Érudit majeur; Vigoureux majeur; Nomade; Dévastateur Feu majeur; Kramkram</t>
        </is>
      </c>
    </row>
    <row r="1824">
      <c r="A1824" t="inlineStr">
        <is>
          <t>Stuff 3</t>
        </is>
      </c>
      <c r="B1824">
        <f>HYPERLINK("https://www.dofusbook.net/fr/equipement/212748-stuff-3/objets", "link")</f>
        <v/>
      </c>
      <c r="C1824" t="n">
        <v>4</v>
      </c>
      <c r="D1824" t="inlineStr">
        <is>
          <t>Epée Loponèze; Talisman Glouti; Bracelet du Piloztère; Alliance Gloursonne; Sangle Ouare; Kidibonnet; Cape Matelassée; Bottes du Nocturlabe; Vigoureux majeur; Remueur; Chanceux majeur; Nomade; Kramkram</t>
        </is>
      </c>
    </row>
    <row r="1825">
      <c r="A1825" t="inlineStr">
        <is>
          <t>Stuff 1</t>
        </is>
      </c>
      <c r="B1825">
        <f>HYPERLINK("https://www.dofusbook.net/fr/equipement/212770-stuff-1/objets", "link")</f>
        <v/>
      </c>
      <c r="C1825" t="n">
        <v>1</v>
      </c>
      <c r="D1825" t="inlineStr">
        <is>
          <t>Karnak; Collier du Valet Veinard; Gant du Valet Veinard; Alliance Gloursonne; Menoture; Coiffe de la Reine des Voleurs; Cape du Valet Veinard; Bottes de la Reine des Voleurs; Dofus Pourpre; Dofus des Glaces; Saccageur Air majeur; Equilibriste majeur; Robuste majeur; Acrobate majeur; Siroko</t>
        </is>
      </c>
    </row>
    <row r="1826">
      <c r="A1826" t="inlineStr">
        <is>
          <t>Stuff 2</t>
        </is>
      </c>
      <c r="B1826">
        <f>HYPERLINK("https://www.dofusbook.net/fr/equipement/212747-stuff-2/objets", "link")</f>
        <v/>
      </c>
      <c r="C1826" t="n">
        <v>6</v>
      </c>
      <c r="D1826" t="inlineStr">
        <is>
          <t>Epée Loponèze; Talisman Igans; Alliance Gloursonne; Bracelet des Fonds marins; Sangle Ouare; Kidibonnet; Voile d'encre; Sandales des Fonds marins; Dofus Pourpre; Fonceur majeur; Remueur; Chanceux majeur; Vigoureux majeur; Carapace Terre majeur; Kramkram</t>
        </is>
      </c>
    </row>
    <row r="1827">
      <c r="A1827" t="inlineStr">
        <is>
          <t>Ella feu air crit</t>
        </is>
      </c>
      <c r="B1827">
        <f>HYPERLINK("https://www.dofusbook.net/fr/equipement/212775-ella-feu-air-crit/objets", "link")</f>
        <v/>
      </c>
      <c r="C1827" t="n">
        <v>4</v>
      </c>
      <c r="D1827" t="inlineStr">
        <is>
          <t>Baguette Hernelle; Amulette Séculaire; Anneau de Padgref; Anneauræus; Quatre-feuilles; Ceinture Séculaire; Coiffe de Padgref; Voile d'encre; Getas de Padgref; Dofus Abyssal; Dofus Pourpre; Dolmanax; Dofus Turquoise; Dofus des Glaces; Dofus Ocre; Muldo Prune et Emeraude</t>
        </is>
      </c>
    </row>
    <row r="1828">
      <c r="A1828" t="inlineStr">
        <is>
          <t>no crit bi elem</t>
        </is>
      </c>
      <c r="B1828">
        <f>HYPERLINK("https://www.dofusbook.net/fr/equipement/1964408-no-crit-bi-elem/objets", "link")</f>
        <v/>
      </c>
      <c r="C1828" t="n">
        <v>4</v>
      </c>
      <c r="D1828" t="inlineStr">
        <is>
          <t>Arc de Koutoulou; Amulette d'Ilyzaelle; Bracelet du Piloztère; Alliance Gloursonne; Bouclier du Stalak; Sangle Ouare; Casque d'Ilyzaelle; Cape des Justiciers; Bottes de la Reine des Voleurs; Dofus Pourpre; Dofus des Glaces; Dofus Abyssal; Dofus Ocre; Vigoureux majeur; Sanguinaire majeur; Muldo Ebène et Pourpre</t>
        </is>
      </c>
    </row>
    <row r="1829">
      <c r="A1829" t="inlineStr">
        <is>
          <t>eau cheap</t>
        </is>
      </c>
      <c r="B1829">
        <f>HYPERLINK("https://www.dofusbook.net/fr/equipement/2080126-eau-cheap/objets", "link")</f>
        <v/>
      </c>
      <c r="C1829" t="n">
        <v>12</v>
      </c>
      <c r="D1829" t="inlineStr">
        <is>
          <t>Epée Loponèze; Pendentif Oton; Alliance Gloursonne; Bracelet du Piloztère; Bouclier du Stalak; Ougature; Coiffe d'Ogivol; Cape Matelassée; Pataugastrique; Chanceux majeur; Remueur; Dévastateur Eau majeur; Vigoureux majeur; Fonceur majeur; Nomade; Muldo Roux et Doré</t>
        </is>
      </c>
    </row>
    <row r="1830">
      <c r="A1830" t="inlineStr">
        <is>
          <t>Hupp bl feu air</t>
        </is>
      </c>
      <c r="B1830">
        <f>HYPERLINK("https://www.dofusbook.net/fr/equipement/2269386-hupp-bl-feu-air/objets", "link")</f>
        <v/>
      </c>
      <c r="C1830" t="n">
        <v>4</v>
      </c>
      <c r="D1830" t="inlineStr">
        <is>
          <t>La Baguette des Limbes; Ouassulette; Craquanneau Légendaire; Alliance des Forestiers; Bouclier du Bawbawe; Ceinture du Berserkoffre; Casque du Berserkoffre; Cape de la Ouassingue; Bottes du Berserkoffre; Fëanor</t>
        </is>
      </c>
    </row>
    <row r="1831">
      <c r="A1831" t="inlineStr">
        <is>
          <t>sasa</t>
        </is>
      </c>
      <c r="B1831">
        <f>HYPERLINK("https://www.dofusbook.net/fr/equipement/2799773-sasa/objets", "link")</f>
        <v/>
      </c>
      <c r="C1831" t="n">
        <v>11</v>
      </c>
      <c r="D1831" t="inlineStr">
        <is>
          <t>Ougarteau; Kralamansion; Annolamour; Kralano; Bouclier cubiste; Ceinture de Léthaline; Ougalurette; Cape de Léthaline; Bottes de Léthaline; Dofus des Glaces; Dofus Cawotte; Dofus Ocre; Ralentisseur majeur; Entraveur; Entraveur majeur</t>
        </is>
      </c>
    </row>
    <row r="1832">
      <c r="A1832" t="inlineStr">
        <is>
          <t>Terre eau krimi</t>
        </is>
      </c>
      <c r="B1832">
        <f>HYPERLINK("https://www.dofusbook.net/fr/equipement/2912131-terre-eau-krimi/objets", "link")</f>
        <v/>
      </c>
      <c r="C1832" t="n">
        <v>7</v>
      </c>
      <c r="D1832" t="inlineStr">
        <is>
          <t>Bâton Beau; Amulette Luminescente; Grésilanneau; Bracelet du Piloztère; Bouclier Taverne; Ceinture Luminescente; Kidibonnet; Cape au Logis; Chaussons de Macrab; Dofus Émeraude; Dofus Pourpre; Dolmanax; Dofus Turquoise; Vigoureux majeur; Remueur; Muldo Prune et Pourpre</t>
        </is>
      </c>
    </row>
    <row r="1833">
      <c r="A1833" t="inlineStr">
        <is>
          <t>Hachoirs Viandargh</t>
        </is>
      </c>
      <c r="B1833">
        <f>HYPERLINK("https://www.dofusbook.net/fr/equipement/212811-hachoirs-viandargh/objets", "link")</f>
        <v/>
      </c>
      <c r="C1833" t="n">
        <v>4</v>
      </c>
      <c r="D1833" t="inlineStr">
        <is>
          <t>Hachoirs de Viandargh; Amulette du Strigide; Anneau d'Allister; Anneau de Padgref; Bouclier Taverne; Ceinture du Strigide; Coiffe de Padgref; Cape du Cœur Vaillant; Getas de Padgref; Dofus Pourpre; Dofus Ocre; Dofus Abyssal; Dofus des Glaces; Dofus Ivoire; Dofus Turquoise; Muldo Prune et Emeraude</t>
        </is>
      </c>
    </row>
    <row r="1834">
      <c r="A1834" t="inlineStr">
        <is>
          <t>Ilyzael majeur eau</t>
        </is>
      </c>
      <c r="B1834">
        <f>HYPERLINK("https://www.dofusbook.net/fr/equipement/3035947-ilyzael-majeur-eau/objets", "link")</f>
        <v/>
      </c>
      <c r="C1834" t="n">
        <v>1</v>
      </c>
      <c r="D1834" t="inlineStr">
        <is>
          <t>Epée Loponèze; Amulette d'Ilyzaelle; Alliance Gloursonne; Bague Gloursonne; Bouclier du Stalak; Ceinture de la Reine des Voleurs; Casque d'Ilyzaelle; Cape Solution; Bottes de la Reine des Voleurs; Dofus des Glaces; Dofus Ocre; Dofus Abyssal; Dofus Pourpre; Dofus Ivoire; Robuste majeur; Muldo Doré et Ebène</t>
        </is>
      </c>
    </row>
    <row r="1835">
      <c r="A1835" t="inlineStr">
        <is>
          <t>Air 1/2 eau</t>
        </is>
      </c>
      <c r="B1835">
        <f>HYPERLINK("https://www.dofusbook.net/fr/equipement/3671912-air-1-2-eau/objets", "link")</f>
        <v/>
      </c>
      <c r="C1835" t="n">
        <v>1</v>
      </c>
      <c r="D1835" t="inlineStr">
        <is>
          <t>Arc de Koutoulou; Collier du Valet Veinard; Alliance Gloursonne; Gant du Valet Veinard; Cadran d'Air; Ceinture de la Reine des Voleurs; Coiffe de la Reine des Voleurs; Cape du Valet Veinard; Bottes de la Reine des Voleurs; Dofus Pourpre; Dofus Abyssal; Dofus Ocre; Dofus Ivoire; Dolmanax; Dofus des Glaces; Muldo Ebène</t>
        </is>
      </c>
    </row>
    <row r="1836">
      <c r="A1836" t="inlineStr">
        <is>
          <t>Eau korri</t>
        </is>
      </c>
      <c r="B1836">
        <f>HYPERLINK("https://www.dofusbook.net/fr/equipement/3722129-eau-korri-/objets", "link")</f>
        <v/>
      </c>
      <c r="C1836" t="n">
        <v>10</v>
      </c>
      <c r="D1836" t="inlineStr">
        <is>
          <t>Dagoulinantes; Amulette du Sinistrofu; Bracelet du Piloztère; Alliance Gloursonne; Bouclier du Stalak; Ceinture de l'Esprit Salvateur; Masque de l'Esprit Salvateur; Cape du Sinistrofu; Bottes du Sinistrofu; Dofus Vulbis; Dofus des Glaces; Robuste majeur; Joueur majeur; Saccageur Eau majeur; Taquin majeur; Dragodinde Indigo et Ivoire</t>
        </is>
      </c>
    </row>
    <row r="1837">
      <c r="A1837" t="inlineStr">
        <is>
          <t>max soin</t>
        </is>
      </c>
      <c r="B1837">
        <f>HYPERLINK("https://www.dofusbook.net/fr/equipement/2728431-max-soin/objets", "link")</f>
        <v/>
      </c>
      <c r="C1837" t="n">
        <v>8</v>
      </c>
      <c r="D1837" t="inlineStr">
        <is>
          <t>Plumeau Bil; Torquistik; Baguistik; Anneau Rifique; Bouclier du Mont Kipou; Ceinture de Vortex; Couronne de Nidas; Cape de Diondin; Bottes Dogues; Dofus Ocre; Dofus Abyssal; Dofus Ivoire; Érudit majeur; Astucieux majeur; Guérisseur majeur; Ross</t>
        </is>
      </c>
    </row>
    <row r="1838">
      <c r="A1838" t="inlineStr">
        <is>
          <t>air multi nebu</t>
        </is>
      </c>
      <c r="B1838">
        <f>HYPERLINK("https://www.dofusbook.net/fr/equipement/4090053-air-multi-nebu/objets", "link")</f>
        <v/>
      </c>
      <c r="C1838" t="n">
        <v>5</v>
      </c>
      <c r="D1838" t="inlineStr">
        <is>
          <t>Pelle de la Cour Sombre; Amulette du Strigide; Anneau Volkorne; Bracelet du Piloztère; Bouclier du Stalak; Ceinture du Strigide; Casque Volkorne; Cape Indescriptible; Bottes du Strigide; Dofus Nébuleux; Dofus Ocre; Dofus Pourpre; Dofus Abyssal; Dofus Turquoise; Dofus Ivoire; Muldo Doré et Emeraude</t>
        </is>
      </c>
    </row>
    <row r="1839">
      <c r="A1839" t="inlineStr">
        <is>
          <t>Cra agi sssssale</t>
        </is>
      </c>
      <c r="B1839">
        <f>HYPERLINK("https://www.dofusbook.net/fr/equipement/3922921-cra-agi-sssssale/objets", "link")</f>
        <v/>
      </c>
      <c r="C1839" t="n">
        <v>7</v>
      </c>
      <c r="D1839" t="inlineStr">
        <is>
          <t>Karnak; Collier du Valet Veinard; Anneau d'Allister; Gant du Valet Veinard; Bouclier du Stalak; Ceinture du Barbétoal; Couronne d'Allister; Cape du Valet Veinard; Bottes d'Allister; Dofus des Glaces; Dofus Ocre; Dofus Pourpre; Dofus Ivoire; Acrobate majeur; Robuste majeur; Dragodinde Ebène et Ivoire</t>
        </is>
      </c>
    </row>
    <row r="1840">
      <c r="A1840" t="inlineStr">
        <is>
          <t>Hupp terre</t>
        </is>
      </c>
      <c r="B1840">
        <f>HYPERLINK("https://www.dofusbook.net/fr/equipement/3935998-hupp-terre/objets", "link")</f>
        <v/>
      </c>
      <c r="C1840" t="n">
        <v>10</v>
      </c>
      <c r="D1840" t="inlineStr">
        <is>
          <t>Lav'Hache; Amulette Luminescente; Anneau de Brouce; Bracelet du Piloztère; Bouclier du Stalak; Ceinture Gence; Masque de Koutoulou; Cape au Logis; Bottes de Brouce; Dofus Pourpre; Dofus Ivoire; Dofus des Glaces; Dofus Ocre; Dofus Nébuleux; Dofus Abyssal; Bulbisou</t>
        </is>
      </c>
    </row>
    <row r="1841">
      <c r="A1841" t="inlineStr">
        <is>
          <t>vv pvp eni</t>
        </is>
      </c>
      <c r="B1841">
        <f>HYPERLINK("https://www.dofusbook.net/fr/equipement/3879894-vv-pvp-eni/objets", "link")</f>
        <v/>
      </c>
      <c r="C1841" t="n">
        <v>6</v>
      </c>
      <c r="D1841" t="inlineStr">
        <is>
          <t>Manthache; Collier du Valet Veinard; Alliance Gloursonne; Gant du Valet Veinard; Bouclier du Stalak; Menoture; Couronne d'Allister; Cape Indescriptible; Pantoufles Émar; Dofus Pourpre; Dofus Ivoire; Dofus des Glaces; Dofus Abyssal; Cascadeur majeur; Nomade; Blérodoudou</t>
        </is>
      </c>
    </row>
    <row r="1842">
      <c r="A1842" t="inlineStr">
        <is>
          <t>Do pouuuu</t>
        </is>
      </c>
      <c r="B1842">
        <f>HYPERLINK("https://www.dofusbook.net/fr/equipement/3939425-do-pouuuu-/objets", "link")</f>
        <v/>
      </c>
      <c r="C1842" t="n">
        <v>9</v>
      </c>
      <c r="D1842" t="inlineStr">
        <is>
          <t>Lav'Hache; Torquistik; Bague Trithon; Anneau Chevelu; Bouclier précieux; Ceinture Gence; Casque Dragoeuf; Cape du Cœur Vaillant; Bottistik; Dofus Émeraude; Dofus Ivoire; Dofus Abyssal; Dokoko; Nomade; Culbuteur majeur; Volkorne Jade et Roux</t>
        </is>
      </c>
    </row>
    <row r="1843">
      <c r="A1843" t="inlineStr">
        <is>
          <t>terre eau</t>
        </is>
      </c>
      <c r="B1843">
        <f>HYPERLINK("https://www.dofusbook.net/fr/equipement/4080226-terre-eau/objets", "link")</f>
        <v/>
      </c>
      <c r="C1843" t="n">
        <v>3</v>
      </c>
      <c r="D1843" t="inlineStr">
        <is>
          <t>Baguette des égarés; Amulette de Pol Ouatnos; Bracelet du Piloztère; Anneau Volkorne; Bouclier du Stalak; Ceinture Volkorne; Masque de Funespadon; Cape des Justiciers; Chaussons de Macrab; Dofus Pourpre; Dofus Abyssal; Dofus des Glaces; Dofus Ivoire; Dolmanax; Dofus Ocre; Bébé Pandawa</t>
        </is>
      </c>
    </row>
    <row r="1844">
      <c r="A1844" t="inlineStr">
        <is>
          <t>full feu</t>
        </is>
      </c>
      <c r="B1844">
        <f>HYPERLINK("https://www.dofusbook.net/fr/equipement/4076998-full-feu/objets", "link")</f>
        <v/>
      </c>
      <c r="C1844" t="n">
        <v>5</v>
      </c>
      <c r="D1844" t="inlineStr">
        <is>
          <t>Arc Hétype; Amulette de Nileza; Anneauræus; Anneau Tique; Bouclier Taverne; Sangle Aise; Heaume Oplate; Cape de Nileza; Bottes Innommables; Dofus Abyssal; Dofus Ivoire; Dofus Ocre; Nomade; Astucieux majeur; Érudit majeur; Brûlih</t>
        </is>
      </c>
    </row>
    <row r="1845">
      <c r="A1845" t="inlineStr">
        <is>
          <t>incarnation will kil</t>
        </is>
      </c>
      <c r="B1845">
        <f>HYPERLINK("https://www.dofusbook.net/fr/equipement/212792-incarnation-will-kil/objets", "link")</f>
        <v/>
      </c>
      <c r="C1845" t="n">
        <v>4</v>
      </c>
      <c r="D1845" t="inlineStr">
        <is>
          <t>Will Killson; Amulette du Strigide; Anneau Toriété; Anneau de Padgref; Bouclier Pandawa; Ceinture du Strigide; Coiffe de Padgref; Chevelure de Tal Kasha; Getas de Padgref; Dofus Nébuleux; Dofus Turquoise; Dofus Abyssal; Dofus Ocre; Dofus Émeraude; Dofus Ivoire; Kokulte</t>
        </is>
      </c>
    </row>
    <row r="1846">
      <c r="A1846" t="inlineStr">
        <is>
          <t>Full Terre</t>
        </is>
      </c>
      <c r="B1846">
        <f>HYPERLINK("https://www.dofusbook.net/fr/equipement/4046832-full-terre-/objets", "link")</f>
        <v/>
      </c>
      <c r="C1846" t="n">
        <v>17</v>
      </c>
      <c r="D1846" t="inlineStr">
        <is>
          <t>Lav'Hache; Collier de Tourthon; Bracelet du Piloztère; Anneau de Brouce; Bouclier d'Ilyzaelle; Ceinture Volkorne; Masque de Koutoulou; Cape au Logis; Bottes de Brouce; Dofus Abyssal; Dofus Ocre; Dofus Pourpre; Dofus des Glaces; Dévastateur Terre majeur; Enragé majeur; Bwak de Terre</t>
        </is>
      </c>
    </row>
    <row r="1847">
      <c r="A1847" t="inlineStr">
        <is>
          <t>Glas</t>
        </is>
      </c>
      <c r="B1847">
        <f>HYPERLINK("https://www.dofusbook.net/fr/equipement/4044828-glas/objets", "link")</f>
        <v/>
      </c>
      <c r="C1847" t="n">
        <v>8</v>
      </c>
      <c r="D1847" t="inlineStr">
        <is>
          <t>Arc Volkorne; Amulette de l'Indicible; Alliance Gloursonne; Bague Gloursonne; Bouclier du Stalak; Ceinture de l'Esprit Salvateur; Masque de l'Esprit Salvateur; Voilamibe; Bottes de l'Indicible; Dofus des Glaces; Dofus Ocre; Dolmanax; Dofus Ivoire; Dofus Pourpre; Dofus Abyssal; Volkorne Jade et Ivoire</t>
        </is>
      </c>
    </row>
    <row r="1848">
      <c r="A1848" t="inlineStr">
        <is>
          <t>Test</t>
        </is>
      </c>
      <c r="B1848">
        <f>HYPERLINK("https://www.dofusbook.net/fr/equipement/3671776-test/objets", "link")</f>
        <v/>
      </c>
      <c r="C1848" t="n">
        <v>2</v>
      </c>
      <c r="D1848" t="inlineStr">
        <is>
          <t>Manthache; Amulette d'Ilyzaelle; Alliance Gloursonne; Gant du Valet Veinard; Bouclier du Stalak; Menoture; Casque d'Ilyzaelle; Cape du Valet Veinard; Bottes de la Reine des Voleurs; Dofus des Glaces; Dofus Pourpre; Dofus Abyssal; Dofus Ocre; Dofus Ivoire; Robuste majeur; Muldo Ebène</t>
        </is>
      </c>
    </row>
    <row r="1849">
      <c r="A1849" t="inlineStr">
        <is>
          <t>Roublard M 200</t>
        </is>
      </c>
      <c r="B1849">
        <f>HYPERLINK("https://www.dofusbook.net/fr/equipement/3964308-roublard-m-200/objets", "link")</f>
        <v/>
      </c>
      <c r="C1849" t="n">
        <v>2</v>
      </c>
      <c r="D1849" t="inlineStr">
        <is>
          <t>Manthache; Collier du Valet Veinard; Gant du Valet Veinard; Alliance Gloursonne; Bouclier du Stalak; Menoture; Couronne d'Allister; Cape Indescriptible; Baleinabottes; Dofus Ivoire; Dofus Pourpre; Dofus des Glaces; Nomade; Cascadeur majeur; Dévastateur Air majeur; Blérodoudou</t>
        </is>
      </c>
    </row>
    <row r="1850">
      <c r="A1850" t="inlineStr">
        <is>
          <t>Féca M 200</t>
        </is>
      </c>
      <c r="B1850">
        <f>HYPERLINK("https://www.dofusbook.net/fr/equipement/3919770-feca-m-200/objets", "link")</f>
        <v/>
      </c>
      <c r="C1850" t="n">
        <v>6</v>
      </c>
      <c r="D1850" t="inlineStr">
        <is>
          <t>Arc Honte; Amulette Volkorne; Alliance Gloursonne; Anneau Volkorne; Bouclier du Stalak; Ceinture de l'Esprit Salvateur; Masque de l'Esprit Salvateur; Voile d'encre; Bottes de l'Esprit Salvateur; Dofus Abyssal; Dofus Pourpre; Dofus Ivoire; Dofus des Glaces; Dofus Ocre; Robuste majeur; Muldo Doré et Pourpre</t>
        </is>
      </c>
    </row>
    <row r="1851">
      <c r="A1851" t="inlineStr">
        <is>
          <t>Do fixe</t>
        </is>
      </c>
      <c r="B1851">
        <f>HYPERLINK("https://www.dofusbook.net/fr/equipement/3978478-do-fixe/objets", "link")</f>
        <v/>
      </c>
      <c r="C1851" t="n">
        <v>10</v>
      </c>
      <c r="D1851" t="inlineStr">
        <is>
          <t>Arc Volkorne; Amulette Volkorne; Alliance Gloursonne; Anneau Volkorne; Bouclier du Stalak; Ceinture de l'Esprit Salvateur; Masque de l'Esprit Salvateur; Cape du Kamasterisk; Bottes de l'Esprit Salvateur; Dofus Pourpre; Dofus Ivoire; Dofus des Glaces; Dofus Ocre; Dofus Nébuleux; Dofus Abyssal; Muldo Doré et Indigo</t>
        </is>
      </c>
    </row>
    <row r="1852">
      <c r="A1852" t="inlineStr">
        <is>
          <t>full air pvp</t>
        </is>
      </c>
      <c r="B1852">
        <f>HYPERLINK("https://www.dofusbook.net/fr/equipement/3028564-full-air-pvp/objets", "link")</f>
        <v/>
      </c>
      <c r="C1852" t="n">
        <v>31</v>
      </c>
      <c r="D1852" t="inlineStr">
        <is>
          <t>Manthache; Collier du Valet Veinard; Alliance Gloursonne; Gant du Valet Veinard; Bouclier précieux; Menoture; Casque Dragoeuf; Cape du Kamasterisk; Pantoufles Émar; Dofus Abyssal; Dofus Ivoire; Dofus Émeraude; Nomade; Obstructeur majeur; Cascadeur majeur; Dragodinde Prune et Ebène</t>
        </is>
      </c>
    </row>
    <row r="1853">
      <c r="A1853" t="inlineStr">
        <is>
          <t>Pvp air fuite</t>
        </is>
      </c>
      <c r="B1853">
        <f>HYPERLINK("https://www.dofusbook.net/fr/equipement/4040163-pvp-air-fuite/objets", "link")</f>
        <v/>
      </c>
      <c r="C1853" t="n">
        <v>6</v>
      </c>
      <c r="D1853" t="inlineStr">
        <is>
          <t>Manthache; Amulette Martegel; Alliance Gloursonne; Gant du Valet Veinard; Bouclier du Stalak; Ceinture de Nevark; Bonnet Vicieux; Cape de Nevark; Baleinabottes; Dofus Ivoire; Dofus Ocre; Dofus Abyssal; Cascadeur majeur; Miraculé majeur; Déserteur majeur; Muldo Ebène et Amande</t>
        </is>
      </c>
    </row>
    <row r="1854">
      <c r="A1854" t="inlineStr">
        <is>
          <t>air pvp</t>
        </is>
      </c>
      <c r="B1854">
        <f>HYPERLINK("https://www.dofusbook.net/fr/equipement/1590763-air-pvp/objets", "link")</f>
        <v/>
      </c>
      <c r="C1854" t="n">
        <v>9</v>
      </c>
      <c r="D1854" t="inlineStr">
        <is>
          <t>Manthache; Collier du Valet Veinard; Gant du Valet Veinard; Alliance Gloursonne; Bouclier Taverne; Menoture; Casque Dragoeuf; Cape du Kamasterisk; Pantoufles Émar; Dofus Ivoire; Dofus Émeraude; Dofus des Glaces; Dofus Abyssal; Dofus Pourpre; Nomade; Blérodoudou</t>
        </is>
      </c>
    </row>
    <row r="1855">
      <c r="A1855" t="inlineStr">
        <is>
          <t>Feu mel</t>
        </is>
      </c>
      <c r="B1855">
        <f>HYPERLINK("https://www.dofusbook.net/fr/equipement/4041299-feu-mel/objets", "link")</f>
        <v/>
      </c>
      <c r="C1855" t="n">
        <v>3</v>
      </c>
      <c r="D1855" t="inlineStr">
        <is>
          <t>Arc Hétype; Amulette de Nileza; Anneau Tique; Bague Gloursonne; Bouclier du Stalak; Ceinture de Vortex; Cagoule de Vortex; Cape de Diondin; Pantoufles Émar; Miraculé majeur; Remueur; Érudit majeur; Nomade; Savant majeur; Dévastateur Feu majeur; Dragodinde Amande et Orchidée</t>
        </is>
      </c>
    </row>
    <row r="1856">
      <c r="A1856" t="inlineStr">
        <is>
          <t>Ecaflip M 200</t>
        </is>
      </c>
      <c r="B1856">
        <f>HYPERLINK("https://www.dofusbook.net/fr/equipement/3929799-ecaflip-m-200/objets", "link")</f>
        <v/>
      </c>
      <c r="C1856" t="n">
        <v>5</v>
      </c>
      <c r="D1856" t="inlineStr">
        <is>
          <t>Karnak; Collier du Valet Veinard; Alliance Gloursonne; Gant du Valet Veinard; Cadran d'Air; Ceinture de l'Esprit Salvateur; Masque de l'Esprit Salvateur; Cape du Valet Veinard; Bottes de l'Esprit Salvateur; Dofus des Glaces; Dofus Ocre; Dofus Abyssal; Dofus Pourpre; Dofus Ivoire; Dragodinde Ebène et Ivoire</t>
        </is>
      </c>
    </row>
    <row r="1857">
      <c r="A1857" t="inlineStr">
        <is>
          <t>eau cac</t>
        </is>
      </c>
      <c r="B1857">
        <f>HYPERLINK("https://www.dofusbook.net/fr/equipement/3940778-eau-cac/objets", "link")</f>
        <v/>
      </c>
      <c r="C1857" t="n">
        <v>2</v>
      </c>
      <c r="D1857" t="inlineStr">
        <is>
          <t>Dagoulinantes; Amulette du Strigide; Bracelet du Piloztère; Anneau Volkorne; Bouclier du Captain Amakna; Ceinture du Strigide; Némès de Tal Kasha; Chevelure de Tal Kasha; Sandales de Tal Kasha; Dofus Pourpre; Dofus Turquoise; Dofus Abyssal; Dofus Ocre; Dofus Ivoire; Voyageur; Kokulte</t>
        </is>
      </c>
    </row>
    <row r="1858">
      <c r="A1858" t="inlineStr">
        <is>
          <t>terre pvp</t>
        </is>
      </c>
      <c r="B1858">
        <f>HYPERLINK("https://www.dofusbook.net/fr/equipement/3872511-terre-pvp/objets", "link")</f>
        <v/>
      </c>
      <c r="C1858" t="n">
        <v>10</v>
      </c>
      <c r="D1858" t="inlineStr">
        <is>
          <t>Arc du Chalœil; Collier de Tourthon; Bracelet du Piloztère; Anneau Crustique; Quatre-feuilles; Ceinture de la Reine des Voleurs; Coiffe de la Reine des Voleurs; Dofusteuse; Baleinabottes; Dofus Vulbis; Dofus Turquoise; Dofus Pourpre; Dofus Ivoire; Dofus des Glaces; Dofus Ocre; Bulbisou</t>
        </is>
      </c>
    </row>
    <row r="1859">
      <c r="A1859" t="inlineStr">
        <is>
          <t>eau 2.48</t>
        </is>
      </c>
      <c r="B1859">
        <f>HYPERLINK("https://www.dofusbook.net/fr/equipement/3878798-eau-2-48/objets", "link")</f>
        <v/>
      </c>
      <c r="C1859" t="n">
        <v>3</v>
      </c>
      <c r="D1859" t="inlineStr">
        <is>
          <t>Hache du Korriandre; Amulette d'Ilyzaelle; Lavanneau; Alliance Gloursonne; Bouclier du Stalak; Ceinture de la Reine des Voleurs; Casque d'Ilyzaelle; Cape Solution; Bottes de la Reine des Voleurs; Dofus des Glaces; Dofus Ocre; Dofus Abyssal; Dofus Pourpre; Dofus Ivoire; Robuste majeur; Muldo Ebène et Indigo</t>
        </is>
      </c>
    </row>
    <row r="1860">
      <c r="A1860" t="inlineStr">
        <is>
          <t>res crit pvp</t>
        </is>
      </c>
      <c r="B1860">
        <f>HYPERLINK("https://www.dofusbook.net/fr/equipement/3865642-res-crit-pvp/objets", "link")</f>
        <v/>
      </c>
      <c r="C1860" t="n">
        <v>10</v>
      </c>
      <c r="D1860" t="inlineStr">
        <is>
          <t>Arc du Chalœil; Collier de Tourthon; Bracelet du Piloztère; Anneau Chevelu; Bouclier du Stalak; Ceinture de la Reine des Voleurs; Coiffe de la Reine des Voleurs; Cape au Logis; Baleinabottes; Dofus Abyssal; Dofus Pourpre; Dofus Ivoire; Dofus des Glaces; Dofus Ocre; Wabbit</t>
        </is>
      </c>
    </row>
    <row r="1861">
      <c r="A1861" t="inlineStr">
        <is>
          <t>Prospection</t>
        </is>
      </c>
      <c r="B1861">
        <f>HYPERLINK("https://www.dofusbook.net/fr/equipement/3857346-prospection/objets", "link")</f>
        <v/>
      </c>
      <c r="C1861" t="n">
        <v>1</v>
      </c>
      <c r="D1861" t="inlineStr">
        <is>
          <t>Sceptre du Roi Joueur; Amulette du Glourséleste; Anneau Tique; Bracelet Ventré; Bouclier du Stalak; Ceinture du Glourséleste; Masque du Glourséleste; Cape du Glourséleste; Bottes du Glourséleste; Dofus des Glaces; Dofus Kaliptus; Dolmanax; Dofus Ocre; Dofus Ivoire; Dokille; Nomoon</t>
        </is>
      </c>
    </row>
    <row r="1862">
      <c r="A1862" t="inlineStr">
        <is>
          <t>arc volkorn</t>
        </is>
      </c>
      <c r="B1862">
        <f>HYPERLINK("https://www.dofusbook.net/fr/equipement/3818422-arc-volkorn/objets", "link")</f>
        <v/>
      </c>
      <c r="C1862" t="n">
        <v>5</v>
      </c>
      <c r="D1862" t="inlineStr">
        <is>
          <t>Arc Volkorne; Amulette du Strigide; Alliance Gloursonne; Bague Trithon; Quatre-feuilles; Ceinture du Strigide; Masque Trithon; Voile d'encre; Bottes Trithon; Dofus des Glaces; Dofus Abyssal; Dofus Turquoise; Dofus Ocre; Dolmanax; Dofus Ivoire; Muldo Prune et Emeraude</t>
        </is>
      </c>
    </row>
    <row r="1863">
      <c r="A1863" t="inlineStr">
        <is>
          <t>Full air</t>
        </is>
      </c>
      <c r="B1863">
        <f>HYPERLINK("https://www.dofusbook.net/fr/equipement/3805931-full-air/objets", "link")</f>
        <v/>
      </c>
      <c r="C1863" t="n">
        <v>5</v>
      </c>
      <c r="D1863" t="inlineStr">
        <is>
          <t>Épée du Granduk; Amulette du Granduk; Anneau d'Allister; Alliance Gloursonne; Bouclier du Captain Amakna; Ceinture de Klime; Couronne d'Allister; Cape de Klime; Bottes d'Allister; Dofus Nébuleux; Dofus Ocre; Dofus Pourpre; Dofus Ivoire; Dofus des Glaces; Dofus Abyssal; Blérodoudou</t>
        </is>
      </c>
    </row>
    <row r="1864">
      <c r="A1864" t="inlineStr">
        <is>
          <t>full sasa</t>
        </is>
      </c>
      <c r="B1864">
        <f>HYPERLINK("https://www.dofusbook.net/fr/equipement/3797618-full-sasa/objets", "link")</f>
        <v/>
      </c>
      <c r="C1864" t="n">
        <v>5</v>
      </c>
      <c r="D1864" t="inlineStr">
        <is>
          <t>Plumeau Bil; Kralamansion; Annolamour; Kralano; Cadran d'Air; Ceinture de Léthaline; Coiffe d'Ogivol; Cape de Léthaline; Bottes de Léthaline; Dolmanax; Dofus Cawotte; Dofus Pourpre; Dofus Ocre; Dofus Turquoise; Dofus des Glaces; Chacharge</t>
        </is>
      </c>
    </row>
    <row r="1865">
      <c r="A1865" t="inlineStr">
        <is>
          <t>Feu tank</t>
        </is>
      </c>
      <c r="B1865">
        <f>HYPERLINK("https://www.dofusbook.net/fr/equipement/3777676-feu-tank/objets", "link")</f>
        <v/>
      </c>
      <c r="C1865" t="n">
        <v>7</v>
      </c>
      <c r="D1865" t="inlineStr">
        <is>
          <t>Arc corrompu; Amulette de Nileza; Anneau Tique; Anneauræus; Bouclier du Stalak; Ceinture de Vortex; Chapeau de Gein; Cape de Nileza; Pataugastrique; Dofus des Glaces; Dofus Ocre; Dofus Ivoire; Dofus Pourpre; Dofus Abyssal; Érudit majeur; Muldo Orchidée et Pourpre</t>
        </is>
      </c>
    </row>
    <row r="1866">
      <c r="A1866" t="inlineStr">
        <is>
          <t>Terre fuite</t>
        </is>
      </c>
      <c r="B1866">
        <f>HYPERLINK("https://www.dofusbook.net/fr/equipement/3772861-terre-fuite/objets", "link")</f>
        <v/>
      </c>
      <c r="C1866" t="n">
        <v>1</v>
      </c>
      <c r="D1866" t="inlineStr">
        <is>
          <t>Dagues Érhy; Amulette de l'Indicible; Anneau Chevelu; Anneau de Brouce; Bouclier du Stalak; Ceinture de Nevark; Masque de Koutoulou; Cape au Logis; Bottes de Brouce; Dofus Pourpre; Dofus Abyssal; Dofus des Glaces; Dofus Ocre; Dofus Ivoire; Déserteur majeur; Bwak de Terre</t>
        </is>
      </c>
    </row>
    <row r="1867">
      <c r="A1867" t="inlineStr">
        <is>
          <t>tacle ret pa</t>
        </is>
      </c>
      <c r="B1867">
        <f>HYPERLINK("https://www.dofusbook.net/fr/equipement/3757327-tacle-ret-pa/objets", "link")</f>
        <v/>
      </c>
      <c r="C1867" t="n">
        <v>9</v>
      </c>
      <c r="D1867" t="inlineStr">
        <is>
          <t>Lav'Hache; Amulette de Pol Ouatnos; Alliance Gloursonne; Anneau Crustique; Sept ans de malheur; Ceintouse; Masque de Koutoulou; Cape de la Cour Sombre; Tentassons; Dofus Ivoire; Dofus Ocre; Obstructeur majeur; Étourdisseur majeur; Tifoux</t>
        </is>
      </c>
    </row>
    <row r="1868">
      <c r="A1868" t="inlineStr">
        <is>
          <t>pvm roxx</t>
        </is>
      </c>
      <c r="B1868">
        <f>HYPERLINK("https://www.dofusbook.net/fr/equipement/3169611-pvm-roxx/objets", "link")</f>
        <v/>
      </c>
      <c r="C1868" t="n">
        <v>6</v>
      </c>
      <c r="D1868" t="inlineStr">
        <is>
          <t>Arc corrompu; Amulette de Nileza; Anneau Tamie; Anneau Tamie; Bouclier du Stalak; Sangle Aise; Heaume Oplate; Cape de Nileza; Bottes Innommables; Dofus Abyssal; Dofus des Glaces; Dofus Pourpre; Érudit majeur; Dévastateur Feu majeur; Nomade; Bisouglours</t>
        </is>
      </c>
    </row>
    <row r="1869">
      <c r="A1869" t="inlineStr">
        <is>
          <t>test fami</t>
        </is>
      </c>
      <c r="B1869">
        <f>HYPERLINK("https://www.dofusbook.net/fr/equipement/3745164-test-fami/objets", "link")</f>
        <v/>
      </c>
      <c r="C1869" t="n">
        <v>2</v>
      </c>
      <c r="D1869" t="inlineStr">
        <is>
          <t>Karnak; Collier du Valet Veinard; Gant du Valet Veinard; Alliance Gloursonne; Bouclier du Stalak; Menoture; Couronne d'Allister; Cape Indescriptible; Baleinabottes; Dofus Pourpre; Dofus des Glaces; Saccageur Air majeur; Equilibriste majeur; Cascadeur majeur; Dévastateur Air majeur; Blérodoudou</t>
        </is>
      </c>
    </row>
    <row r="1870">
      <c r="A1870" t="inlineStr">
        <is>
          <t>new muldo</t>
        </is>
      </c>
      <c r="B1870">
        <f>HYPERLINK("https://www.dofusbook.net/fr/equipement/3722164-new-muldo/objets", "link")</f>
        <v/>
      </c>
      <c r="C1870" t="n">
        <v>3</v>
      </c>
      <c r="D1870" t="inlineStr">
        <is>
          <t>Massier; Talisman Igans; Chevalière du Roi Joueur; Anneauræus; Bouclier du Stalak; Ceintrigue; Heaume Oplate; Cape de Diondin; Bottes Dogues; Dofus Ivoire; Dofus des Glaces; Dofus Pourpre; Dofus Abyssal; Dévastateur Feu majeur; Érudit majeur; Dragodinde Ivoire et Orchidée</t>
        </is>
      </c>
    </row>
    <row r="1871">
      <c r="A1871" t="inlineStr">
        <is>
          <t>Volkorn Atcham</t>
        </is>
      </c>
      <c r="B1871">
        <f>HYPERLINK("https://www.dofusbook.net/fr/equipement/3666184-volkorn-atcham/objets", "link")</f>
        <v/>
      </c>
      <c r="C1871" t="n">
        <v>8</v>
      </c>
      <c r="D1871" t="inlineStr">
        <is>
          <t>Sabres d'Atcham; Amulette Volkorne; Anneau Volkorne; Bracelet du Piloztère; Bouclier du Stalak; Ceinture de l'Esprit Salvateur; Casque Volkorne; Cape d'Atcham; Sandales  d'Atcham; Dolmanax; Dofus Ocre; Dofus Pourpre; Dofus Ivoire; Dofus des Glaces; Dofus Abyssal; Volkorne Jade et Améthyste</t>
        </is>
      </c>
    </row>
    <row r="1872">
      <c r="A1872" t="inlineStr">
        <is>
          <t>Xélor pvp 2.48</t>
        </is>
      </c>
      <c r="B1872">
        <f>HYPERLINK("https://www.dofusbook.net/fr/equipement/3664228-xelor-pvp-2-48/objets", "link")</f>
        <v/>
      </c>
      <c r="C1872" t="n">
        <v>7</v>
      </c>
      <c r="D1872" t="inlineStr">
        <is>
          <t>Héqache; Collier du Valet Veinard; Alliance Gloursonne; Gant du Valet Veinard; Bouclier du Stalak; Menoture; Couronne d'Allister; Cape du Kamasterisk; Baleinabottes; Dokoko; Dofus Abyssal; Dofus Pourpre; Dofus Ivoire; Dofus des Glaces; Cascadeur majeur; Muldo Indigo et Orchidée</t>
        </is>
      </c>
    </row>
    <row r="1873">
      <c r="A1873" t="inlineStr">
        <is>
          <t>pyraguette</t>
        </is>
      </c>
      <c r="B1873">
        <f>HYPERLINK("https://www.dofusbook.net/fr/equipement/3608033-pyraguette/objets", "link")</f>
        <v/>
      </c>
      <c r="C1873" t="n">
        <v>12</v>
      </c>
      <c r="D1873" t="inlineStr">
        <is>
          <t>Pyraguette; Amulette Volkorne; Anneau Volkorne; Bracelet du Piloztère; Bouclier du Stalak; Ceinture de l'Esprit Salvateur; Masque de l'Esprit Salvateur; Cape de la Dame du Hasard; Bottes de l'Esprit Salvateur; Dofus Cawotte; Dofus Abyssal; Dofus Pourpre; Dofus Ivoire; Dofus des Glaces; Dofus Ocre; Muldo Orchidée et Pourpre</t>
        </is>
      </c>
    </row>
    <row r="1874">
      <c r="A1874" t="inlineStr">
        <is>
          <t>feu cheap 199</t>
        </is>
      </c>
      <c r="B1874">
        <f>HYPERLINK("https://www.dofusbook.net/fr/equipement/3606193-feu-cheap-199/objets", "link")</f>
        <v/>
      </c>
      <c r="C1874" t="n">
        <v>2</v>
      </c>
      <c r="D1874" t="inlineStr">
        <is>
          <t>La Baguette des Limbes; Amulette de Nileza; Alliance Boletée; Anneau Tamie; Bouclier cubiste; Ceinture Hanium; Masque du Glourséleste; Cape de Nileza; Pantoufles Émar; Dofus Cawotte; Astucieux majeur; Nomade; Temporiseur majeur; Remueur; Érudit majeur; Dragodinde Ivoire et Orchidée</t>
        </is>
      </c>
    </row>
    <row r="1875">
      <c r="A1875" t="inlineStr">
        <is>
          <t>glour glourso cheap</t>
        </is>
      </c>
      <c r="B1875">
        <f>HYPERLINK("https://www.dofusbook.net/fr/equipement/3606148-glour-glourso-cheap-/objets", "link")</f>
        <v/>
      </c>
      <c r="C1875" t="n">
        <v>4</v>
      </c>
      <c r="D1875" t="inlineStr">
        <is>
          <t>Epée Gloursonne; Amulette du Glourséleste; Alliance Gloursonne; Bague Gloursonne; Bouclier cubiste; Ceinture du Glourséleste; Masque du Glourséleste; Cape du Glourséleste; Bottes du Glourséleste; Dofus Cawotte; Survivant majeur; Robuste majeur; Entraveur majeur; Féroce majeur; Voyageur; Kwaltess</t>
        </is>
      </c>
    </row>
    <row r="1876">
      <c r="A1876" t="inlineStr">
        <is>
          <t>do crit mega bombe</t>
        </is>
      </c>
      <c r="B1876">
        <f>HYPERLINK("https://www.dofusbook.net/fr/equipement/3598693-do-crit-mega-bombe/objets", "link")</f>
        <v/>
      </c>
      <c r="C1876" t="n">
        <v>1</v>
      </c>
      <c r="D1876" t="inlineStr">
        <is>
          <t>Marteau des égarés; Amulette du Strigide; Anneau Vicieux; Anneau de Padgref; Bouclier du Captain Amakna; Ceinture du Strigide; Coiffe de Padgref; Chevelure de Tal Kasha; Getas de Padgref; Dofus des Glaces; Dofus Ocre; Dofus Pourpre; Dofus Ivoire; Dolmanax; Dofus Turquoise; Muldo Prune et Orchidée</t>
        </is>
      </c>
    </row>
    <row r="1877">
      <c r="A1877" t="inlineStr">
        <is>
          <t>Stri volkorne</t>
        </is>
      </c>
      <c r="B1877">
        <f>HYPERLINK("https://www.dofusbook.net/fr/equipement/3589289-stri-volkorne/objets", "link")</f>
        <v/>
      </c>
      <c r="C1877" t="n">
        <v>6</v>
      </c>
      <c r="D1877" t="inlineStr">
        <is>
          <t>Sabres d'Atcham; Amulette du Strigide; Alliance de Missiz Frizz; Bracelet du Piloztère; Quatre-feuilles; Ceinture du Strigide; Casque de Missiz Frizz; Cape d'Atcham; Bottes du Strigide; Dofus Turquoise; Dofus Vulbis; Dofus des Glaces; Dofus Ocre; Dolmanax; Dofus Pourpre; Volkorne Emeraude</t>
        </is>
      </c>
    </row>
    <row r="1878">
      <c r="A1878" t="inlineStr">
        <is>
          <t>Capture Korri</t>
        </is>
      </c>
      <c r="B1878">
        <f>HYPERLINK("https://www.dofusbook.net/fr/equipement/3592779-capture-korri/objets", "link")</f>
        <v/>
      </c>
      <c r="C1878" t="n">
        <v>18</v>
      </c>
      <c r="D1878" t="inlineStr">
        <is>
          <t>Hache du Chalœil; Amulette du Strigide; Anneau de Padgref; Bracelet du Piloztère; Quatre-feuilles; Ceinture du Strigide; Coiffe de Padgref; Cape Luminescente; Getas de Padgref; Dofus Nébuleux; Dofus Turquoise; Dofus Pourpre; Dofus Vulbis; Dofus des Glaces; Dofus Ocre; Volkorne Emeraude et Pourpre</t>
        </is>
      </c>
    </row>
    <row r="1879">
      <c r="A1879" t="inlineStr">
        <is>
          <t>Enu Krimi 2</t>
        </is>
      </c>
      <c r="B1879">
        <f>HYPERLINK("https://www.dofusbook.net/fr/equipement/3589124-enu-krimi-2/objets", "link")</f>
        <v/>
      </c>
      <c r="C1879" t="n">
        <v>5</v>
      </c>
      <c r="D1879" t="inlineStr">
        <is>
          <t>Arc corrompu; Amulette de Gein; Anneau de Nidas; Anneau Tamie; Bouclier cubiste; Sangle Aise; Couronne de Nidas; Cape de Diondin; Bottes Dogues; Savant majeur; Temporiseur majeur; Astucieux majeur; Nomade; Érudit majeur; Remueur; Dragodinde Amande et Orchidée</t>
        </is>
      </c>
    </row>
    <row r="1880">
      <c r="A1880" t="inlineStr">
        <is>
          <t>Enu krimi 1</t>
        </is>
      </c>
      <c r="B1880">
        <f>HYPERLINK("https://www.dofusbook.net/fr/equipement/3588444-enu-krimi-1/objets", "link")</f>
        <v/>
      </c>
      <c r="C1880" t="n">
        <v>5</v>
      </c>
      <c r="D1880" t="inlineStr">
        <is>
          <t>Arc Hétype; Amulette Volcanique; Anneau Tamie; Anneau Tamie; Bouclier cubiste; Ceinture de Vortex; Heaume Oplate; Cape de Diondin; Bottes Dogues; Dofus Cawotte; Savant majeur; Nomade; Temporiseur majeur; Remueur; Érudit majeur; Dragodinde Orchidée et Rousse</t>
        </is>
      </c>
    </row>
    <row r="1881">
      <c r="A1881" t="inlineStr">
        <is>
          <t>Volkorn Atcham</t>
        </is>
      </c>
      <c r="B1881">
        <f>HYPERLINK("https://www.dofusbook.net/fr/equipement/3587097-volkorn-atcham/objets", "link")</f>
        <v/>
      </c>
      <c r="C1881" t="n">
        <v>3</v>
      </c>
      <c r="D1881" t="inlineStr">
        <is>
          <t>Sabres d'Atcham; Amulette Volkorne; Anneau Volkorne; Bracelet du Piloztère; Bouclier du Captain Amakna; Ceinture du Glourséleste; Casque Volkorne; Cape d'Atcham; Sandales  d'Atcham; Dofus Turquoise; Dofus des Glaces; Dofus Pourpre; Dofus Abyssal; Dofus Ocre; Dofus Ivoire; Volkorne Emeraude et Indigo</t>
        </is>
      </c>
    </row>
    <row r="1882">
      <c r="A1882" t="inlineStr">
        <is>
          <t>base Terre</t>
        </is>
      </c>
      <c r="B1882">
        <f>HYPERLINK("https://www.dofusbook.net/fr/equipement/1596136-base-terre/objets", "link")</f>
        <v/>
      </c>
      <c r="C1882" t="n">
        <v>11</v>
      </c>
      <c r="D1882" t="inlineStr">
        <is>
          <t>Arc du Chalœil; Amulette du Strigide; Goulano; Bracelet du Piloztère; Quatre-feuilles; Ceinture du Strigide; Masque de Koutoulou; Cape au Logis; Bottes du Cœur Saignant; Dofus des Glaces; Dofus Abyssal; Dofus Pourpre; Dofus Ocre; Dofus Turquoise; Enragé majeur; Kramkram</t>
        </is>
      </c>
    </row>
    <row r="1883">
      <c r="A1883" t="inlineStr">
        <is>
          <t>pad stri atcham</t>
        </is>
      </c>
      <c r="B1883">
        <f>HYPERLINK("https://www.dofusbook.net/fr/equipement/2810332-pad-stri-atcham/objets", "link")</f>
        <v/>
      </c>
      <c r="C1883" t="n">
        <v>8</v>
      </c>
      <c r="D1883" t="inlineStr">
        <is>
          <t>Arc corrompu; Amulette du Strigide; Anneau de Padgref; Chevalière du Roi Joueur; Quatre-feuilles; Ceinture du Strigide; Coiffe de Padgref; Cape de la Dame du Hasard; Getas de Padgref; Dofus Vulbis; Dofus Pourpre; Dofus Abyssal; Dofus Turquoise; Dofus Nébuleux; Dofus Ocre; Volkorne Emeraude et Orchidée</t>
        </is>
      </c>
    </row>
    <row r="1884">
      <c r="A1884" t="inlineStr">
        <is>
          <t>Air feu no crit 12pa</t>
        </is>
      </c>
      <c r="B1884">
        <f>HYPERLINK("https://www.dofusbook.net/fr/equipement/3547004-air-feu-no-crit-12pa/objets", "link")</f>
        <v/>
      </c>
      <c r="C1884" t="n">
        <v>2</v>
      </c>
      <c r="D1884" t="inlineStr">
        <is>
          <t>Epée Gloursonne; Amulette Martegel; Alliance Gloursonne; Bague Gloursonne; Bouclier du Stalak; Ceinture de l'Esprit Salvateur; Masquegel; Cape Martegel; Bottes de l'Esprit Salvateur; Dofus Pourpre; Dofus Ocre; Dofus des Glaces; Dofus Abyssal; Féroce majeur; Robuste majeur; Dragodinde Ebène et Ivoire</t>
        </is>
      </c>
    </row>
    <row r="1885">
      <c r="A1885" t="inlineStr">
        <is>
          <t>VV salvatrice</t>
        </is>
      </c>
      <c r="B1885">
        <f>HYPERLINK("https://www.dofusbook.net/fr/equipement/2456376-vv-salvatrice/objets", "link")</f>
        <v/>
      </c>
      <c r="C1885" t="n">
        <v>1</v>
      </c>
      <c r="D1885" t="inlineStr">
        <is>
          <t>Arc Ahique; Collier du Valet Veinard; Gant du Valet Veinard; Alliance Gloursonne; Ceinture de la Reine des Voleurs; Coiffe de la Reine des Voleurs; Cape du Valet Veinard; Bottes de la Reine des Voleurs; Dofus Ocre; Dofus Abyssal; Dofus des Glaces; Féroce majeur; Muldo Ebène</t>
        </is>
      </c>
    </row>
    <row r="1886">
      <c r="A1886" t="inlineStr">
        <is>
          <t>Crâ F 200</t>
        </is>
      </c>
      <c r="B1886">
        <f>HYPERLINK("https://www.dofusbook.net/fr/equipement/3519230-cra-f-200/objets", "link")</f>
        <v/>
      </c>
      <c r="C1886" t="n">
        <v>9</v>
      </c>
      <c r="D1886" t="inlineStr">
        <is>
          <t>Epée Toche; Amulette Volkorne; Anneau Volkorne; Chevalière du Roi Joueur; Quatre-feuilles; Ceinture Volkorne; Couronne du Roi Joueur; Voile d'encre; Bottes du Roi Joueur; Dolmanax; Dofus Turquoise; Dofus Pourpre; Dofus Ocre; Dofus des Glaces; Ralentisseur majeur; Dragodinde Emeraude</t>
        </is>
      </c>
    </row>
    <row r="1887">
      <c r="A1887" t="inlineStr">
        <is>
          <t>Pandawa M 200</t>
        </is>
      </c>
      <c r="B1887">
        <f>HYPERLINK("https://www.dofusbook.net/fr/equipement/3473302-pandawa-m-200/objets", "link")</f>
        <v/>
      </c>
      <c r="C1887" t="n">
        <v>8</v>
      </c>
      <c r="D1887" t="inlineStr">
        <is>
          <t>Rouleau à Pâtisserie d'Aermyne; Collier Rophante; Alliance Gloursonne; Anneau de XLII; Bouclier précieux; Ceinture de XLII; Coiffe d'Aermyne; Cape d'Aermyne; Bottes de XLII; Dofus Émeraude; Dofus Abyssal; Dokoko; Dofus Ivoire; Bloqueur majeur; Croum</t>
        </is>
      </c>
    </row>
    <row r="1888">
      <c r="A1888" t="inlineStr">
        <is>
          <t>eau ret pa</t>
        </is>
      </c>
      <c r="B1888">
        <f>HYPERLINK("https://www.dofusbook.net/fr/equipement/3473235-eau-ret-pa/objets", "link")</f>
        <v/>
      </c>
      <c r="C1888" t="n">
        <v>5</v>
      </c>
      <c r="D1888" t="inlineStr">
        <is>
          <t>Dagoulinantes; Amulette de Shokkoth; Anneau Tique; Alliance Gloursonne; Cadran de Terre; Culotte de Bethel; Coiffe d'Ogivol; Cape Solution; Chaussons de Macrab; Dofus Ocre; Dofus des Glaces; Dofus Abyssal; Dofus Pourpre; Dofus Ivoire; Étourdisseur majeur; Muldo Orchidée et Pourpre</t>
        </is>
      </c>
    </row>
    <row r="1889">
      <c r="A1889" t="inlineStr">
        <is>
          <t>Male Vaudou</t>
        </is>
      </c>
      <c r="B1889">
        <f>HYPERLINK("https://www.dofusbook.net/fr/equipement/3472130-male-vaudou/objets", "link")</f>
        <v/>
      </c>
      <c r="C1889" t="n">
        <v>20</v>
      </c>
      <c r="D1889" t="inlineStr">
        <is>
          <t>Pyraguette; Amulette Volkorne; Bracelet du Piloztère; Anneau Volkorne; Bouclier du Stalak; Ceinture de l'Esprit Salvateur; Masque de l'Esprit Salvateur; Cape du Kanimate; Bottes de l'Esprit Salvateur; Dofus Abyssal; Dofus des Glaces; Dofus Pourpre; Dofus Ivoire; Dofus Cawotte; Dofus Ocre; Muldo Indigo et Orchidée</t>
        </is>
      </c>
    </row>
    <row r="1890">
      <c r="A1890" t="inlineStr">
        <is>
          <t>Terre pvp</t>
        </is>
      </c>
      <c r="B1890">
        <f>HYPERLINK("https://www.dofusbook.net/fr/equipement/3451161-terre-pvp/objets", "link")</f>
        <v/>
      </c>
      <c r="C1890" t="n">
        <v>14</v>
      </c>
      <c r="D1890" t="inlineStr">
        <is>
          <t>Héqache; Amulette du Strigide; Anneau Chevelu; Bague Gloursonne; Quatre-feuilles; Ceinture du Strigide; Masque de Koutoulou; Cape au Logis; Pompes Funèbres; Dofus Turquoise; Dofus Pourpre; Dofus Abyssal; Enragé majeur; Remueur; Kramkram</t>
        </is>
      </c>
    </row>
    <row r="1891">
      <c r="A1891" t="inlineStr">
        <is>
          <t>Atcham volkorn</t>
        </is>
      </c>
      <c r="B1891">
        <f>HYPERLINK("https://www.dofusbook.net/fr/equipement/3456269-atcham-volkorn/objets", "link")</f>
        <v/>
      </c>
      <c r="C1891" t="n">
        <v>13</v>
      </c>
      <c r="D1891" t="inlineStr">
        <is>
          <t>Sabres d'Atcham; Amulette Volkorne; Anneau Tique; Anneau Volkorne; Bouclier du Captain Amakna; Ceinture du Strigide; Casque Volkorne; Cape d'Atcham; Sandales  d'Atcham; Dofus Abyssal; Dofus Ocre; Dofus des Glaces; Dofus Ivoire; Dofus Émeraude; Dofus Turquoise; Muldo Prune et Pourpre</t>
        </is>
      </c>
    </row>
    <row r="1892">
      <c r="A1892" t="inlineStr">
        <is>
          <t>héqache 12pa</t>
        </is>
      </c>
      <c r="B1892">
        <f>HYPERLINK("https://www.dofusbook.net/fr/equipement/3456128-heqache-12pa/objets", "link")</f>
        <v/>
      </c>
      <c r="C1892" t="n">
        <v>10</v>
      </c>
      <c r="D1892" t="inlineStr">
        <is>
          <t>Héqache; Amulette du Strigide; Alliance Brûlâme; Anneau Chevelu; Bouclier Taverne; Ceinture du Strigide; Bonnet Ko; Cape du Cœur Vaillant; Bottes du Katcheur; Dofus Ivoire; Dofus Abyssal; Dofus Turquoise; Dofus Ocre; Nomade; Remueur; Muldo Ebène et Pourpre</t>
        </is>
      </c>
    </row>
    <row r="1893">
      <c r="A1893" t="inlineStr">
        <is>
          <t>Do pou pvp</t>
        </is>
      </c>
      <c r="B1893">
        <f>HYPERLINK("https://www.dofusbook.net/fr/equipement/3454669-do-pou-pvp/objets", "link")</f>
        <v/>
      </c>
      <c r="C1893" t="n">
        <v>5</v>
      </c>
      <c r="D1893" t="inlineStr">
        <is>
          <t>Lav'Hache; Torquistik; Anneau Chevelu; Bague Trithon; Bouclier précieux; Ceinture Gence; Casque Dragoeuf; Cape du Cœur Vaillant; Bottistik; Dofus Émeraude; Dofus Ivoire; Dofus Abyssal; Dokoko; Nomade; Culbuteur majeur; Volkorne Jade et Roux</t>
        </is>
      </c>
    </row>
    <row r="1894">
      <c r="A1894" t="inlineStr">
        <is>
          <t>Feu</t>
        </is>
      </c>
      <c r="B1894">
        <f>HYPERLINK("https://www.dofusbook.net/fr/equipement/3350748-feu-/objets", "link")</f>
        <v/>
      </c>
      <c r="C1894" t="n">
        <v>5</v>
      </c>
      <c r="D1894" t="inlineStr">
        <is>
          <t>Arc corrompu; Talisman Igans; Anneau Tique; Anneauræus; Bouclier du Stalak; Ceinture de Vortex; Heaume Oplate; Cape de Diondin; Bottes Owesli; Dofus des Glaces; Dofus Ivoire; Dofus Pourpre; Érudit majeur; Dévastateur Feu majeur; Vigoureux majeur; Muldo Doré et Orchidée</t>
        </is>
      </c>
    </row>
    <row r="1895">
      <c r="A1895" t="inlineStr">
        <is>
          <t>pvp res terre feu</t>
        </is>
      </c>
      <c r="B1895">
        <f>HYPERLINK("https://www.dofusbook.net/fr/equipement/3454596-pvp-res-terre-feu/objets", "link")</f>
        <v/>
      </c>
      <c r="C1895" t="n">
        <v>8</v>
      </c>
      <c r="D1895" t="inlineStr">
        <is>
          <t>Dagues Ricol; Torquistik; Alliance Brûlâme; Bague Gloursonne; Bouclier Bontarien; Ceinture Volkorne; Masque de Koutoulou; Voile d'encre; Pompes Funèbres; Dofus des Glaces; Dofus Ocre; Dofus Émeraude; Dofus Abyssal; Dofus Pourpre; Dofus Ivoire; Muldo Indigo et Pourpre</t>
        </is>
      </c>
    </row>
    <row r="1896">
      <c r="A1896" t="inlineStr">
        <is>
          <t>crit</t>
        </is>
      </c>
      <c r="B1896">
        <f>HYPERLINK("https://www.dofusbook.net/fr/equipement/3102535-crit/objets", "link")</f>
        <v/>
      </c>
      <c r="C1896" t="n">
        <v>4</v>
      </c>
      <c r="D1896" t="inlineStr">
        <is>
          <t>Baguette Iots; Amulette du Strigide; Anneau de Padgref; Bracelet du Piloztère; Quatre-feuilles; Ceinture du Strigide; Coiffe de Padgref; Chevelure de Tal Kasha; Getas de Padgref; Dofus Émeraude; Dofus Turquoise; Dofus des Glaces; Dofus Ocre; Dofus Abyssal; Dofus Pourpre; Muldo Prune et Emeraude</t>
        </is>
      </c>
    </row>
    <row r="1897">
      <c r="A1897" t="inlineStr">
        <is>
          <t>Air</t>
        </is>
      </c>
      <c r="B1897">
        <f>HYPERLINK("https://www.dofusbook.net/fr/equipement/3179065-air/objets", "link")</f>
        <v/>
      </c>
      <c r="C1897" t="n">
        <v>8</v>
      </c>
      <c r="D1897" t="inlineStr">
        <is>
          <t>Manthache; Collier du Valet Veinard; Alliance Gloursonne; Gant du Valet Veinard; Bouclier du Stalak; Ceinture de l'Esprit Salvateur; Masque de l'Esprit Salvateur; Cape du Valet Veinard; Bottes de l'Esprit Salvateur; Dofus des Glaces; Dofus Abyssal; Dofus Pourpre; Dofus Ocre; Féroce majeur; Robuste majeur; Muldo Ebène et Amande</t>
        </is>
      </c>
    </row>
    <row r="1898">
      <c r="A1898" t="inlineStr">
        <is>
          <t>Terre do crit</t>
        </is>
      </c>
      <c r="B1898">
        <f>HYPERLINK("https://www.dofusbook.net/fr/equipement/212766-terre-do-crit/objets", "link")</f>
        <v/>
      </c>
      <c r="C1898" t="n">
        <v>11</v>
      </c>
      <c r="D1898" t="inlineStr">
        <is>
          <t>Marteau R'ture; Amulette du Cœur Saignant; Bracelet du Piloztère; Anneau Crustique; Quatre-feuilles; Ceinture de Gein; Chapeau de Gein; Cape du Cœur Saignant; Bottes du Cœur Saignant; Dolmanax; Dofus Pourpre; Dofus Abyssal; Dofus Turquoise; Dofus des Glaces; Dofus Ocre; Muldo Prune et Indigo</t>
        </is>
      </c>
    </row>
    <row r="1899">
      <c r="A1899" t="inlineStr">
        <is>
          <t>Terre eau</t>
        </is>
      </c>
      <c r="B1899">
        <f>HYPERLINK("https://www.dofusbook.net/fr/equipement/3150947-terre-eau-/objets", "link")</f>
        <v/>
      </c>
      <c r="C1899" t="n">
        <v>8</v>
      </c>
      <c r="D1899" t="inlineStr">
        <is>
          <t>Arc du Chalœil; Amulette Luminescente; Bracelet du Piloztère; Pikano; Quatre-feuilles; Ceinture Luminescente; Casquipik; Cape Luminescente; Pikottes; Dolmanax; Dofus Turquoise; Dofus Pourpre; Dofus Ocre; Dofus Abyssal; Dofus des Glaces; Muldo Prune et Emeraude</t>
        </is>
      </c>
    </row>
    <row r="1900">
      <c r="A1900" t="inlineStr">
        <is>
          <t>hache chaloeil</t>
        </is>
      </c>
      <c r="B1900">
        <f>HYPERLINK("https://www.dofusbook.net/fr/equipement/3130662-hache-chaloeil/objets", "link")</f>
        <v/>
      </c>
      <c r="C1900" t="n">
        <v>8</v>
      </c>
      <c r="D1900" t="inlineStr">
        <is>
          <t>Hache du Chalœil; Amulette Luminescente; Alliance de Missiz Frizz; Bracelet du Piloztère; Bouclier Taverne; Ceinture Luminescente; Casque de Missiz Frizz; Cape Luminescente; Bottes de Missiz Frizz; Dofus Émeraude; Dofus des Glaces; Dofus Pourpre; Dofus Turquoise; Dolmanax; Dofus Ocre; Muldo Indigo et Pourpre</t>
        </is>
      </c>
    </row>
    <row r="1901">
      <c r="A1901" t="inlineStr">
        <is>
          <t>air ret pm</t>
        </is>
      </c>
      <c r="B1901">
        <f>HYPERLINK("https://www.dofusbook.net/fr/equipement/2483451-air-ret-pm/objets", "link")</f>
        <v/>
      </c>
      <c r="C1901" t="n">
        <v>1</v>
      </c>
      <c r="D1901" t="inlineStr">
        <is>
          <t>Baguette Range; Amibou; Alliance Gloursonne; Anneau de Padgref; Le Karde Cœur; Ceinture du Glourséleste; Coiffe de Padgref; Capibou; Getas de Padgref; Dofus Turquoise; Dofus Pourpre; Dofus Ocre; Dofus des Glaces; Entraveur majeur; Ralentisseur majeur; Muldo Prune et Emeraude</t>
        </is>
      </c>
    </row>
    <row r="1902">
      <c r="A1902" t="inlineStr">
        <is>
          <t>trash pvm roxx</t>
        </is>
      </c>
      <c r="B1902">
        <f>HYPERLINK("https://www.dofusbook.net/fr/equipement/3100576-trash-pvm-roxx/objets", "link")</f>
        <v/>
      </c>
      <c r="C1902" t="n">
        <v>12</v>
      </c>
      <c r="D1902" t="inlineStr">
        <is>
          <t>Héqache; Amulette du Strigide; Anneau de Padgref; Bracelet du Piloztère; Quatre-feuilles; Ceinture du Strigide; Coiffe de Padgref; Chevelure de Tal Kasha; Getas de Padgref; Dofus Pourpre; Dofus Ocre; Dofus Abyssal; Dofus des Glaces; Dofus Ivoire; Dofus Turquoise; Muldo Prune et Emeraude</t>
        </is>
      </c>
    </row>
    <row r="1903">
      <c r="A1903" t="inlineStr">
        <is>
          <t>air double pano</t>
        </is>
      </c>
      <c r="B1903">
        <f>HYPERLINK("https://www.dofusbook.net/fr/equipement/3100540-air-double-pano/objets", "link")</f>
        <v/>
      </c>
      <c r="C1903" t="n">
        <v>5</v>
      </c>
      <c r="D1903" t="inlineStr">
        <is>
          <t>Héqache; Collier du Valet Veinard; Alliance Gloursonne; Gant du Valet Veinard; Bouclier du Stalak; Ceinture de l'Esprit Salvateur; Masque de l'Esprit Salvateur; Cape du Valet Veinard; Bottes de l'Esprit Salvateur; Dofus Pourpre; Dofus Ivoire; Dofus des Glaces; Dofus Ocre; Dofus Abyssal; Robuste majeur; Muldo Ebène</t>
        </is>
      </c>
    </row>
    <row r="1904">
      <c r="A1904" t="inlineStr">
        <is>
          <t>Test</t>
        </is>
      </c>
      <c r="B1904">
        <f>HYPERLINK("https://www.dofusbook.net/fr/equipement/2087963-test/objets", "link")</f>
        <v/>
      </c>
      <c r="C1904" t="n">
        <v>7</v>
      </c>
      <c r="D1904" t="inlineStr">
        <is>
          <t>Lance Horselé; Amulette du Strigide; Bracelet du Piloztère; Anneau de Padgref; Bouclier Taverne; Ceinture du Strigide; Chapeau de Tournoyé; Cape des Justiciers; Palmes Trithons; Dofus Pourpre; Dofus Ivoire; Dofus des Glaces; Dofus Turquoise; Dofus Abyssal; Remueur; Muldo Orchidée et Pourpre</t>
        </is>
      </c>
    </row>
    <row r="1905">
      <c r="A1905" t="inlineStr">
        <is>
          <t>multi majeur eau</t>
        </is>
      </c>
      <c r="B1905">
        <f>HYPERLINK("https://www.dofusbook.net/fr/equipement/212778-multi-majeur-eau/objets", "link")</f>
        <v/>
      </c>
      <c r="C1905" t="n">
        <v>4</v>
      </c>
      <c r="D1905" t="inlineStr">
        <is>
          <t>Rapière aux Glyphes; Amulette du Strigide; Bracelet des Fonds marins; Alliance Gloursonne; Bouclier Taverne; Ceintacé; Boucle d'oreille de Kongoku; Voile d'encre; Bottes du Strigide; Dofus Pourpre; Dofus Émeraude; Dofus Abyssal; Dofus Turquoise; Remueur; Carapace Eau majeur; Muldo Ebène et Indigo</t>
        </is>
      </c>
    </row>
    <row r="1906">
      <c r="A1906" t="inlineStr">
        <is>
          <t>Eau</t>
        </is>
      </c>
      <c r="B1906">
        <f>HYPERLINK("https://www.dofusbook.net/fr/equipement/212777-eau/objets", "link")</f>
        <v/>
      </c>
      <c r="C1906" t="n">
        <v>9</v>
      </c>
      <c r="D1906" t="inlineStr">
        <is>
          <t>Rapière aux Glyphes; Amulette du Strigide; Alliance Gloursonne; Bracelet des Fonds marins; Bouclier Taverne; Poulpagne; Masque des Fonds marins; Cape Luminescente; Bottes Trithon; Dofus Pourpre; Dofus Émeraude; Dofus Abyssal; Carapace Eau majeur; Remueur; Culbuteur majeur; Muldo Ebène et Indigo</t>
        </is>
      </c>
    </row>
    <row r="1907">
      <c r="A1907" t="inlineStr">
        <is>
          <t>feu eau mallefisk</t>
        </is>
      </c>
      <c r="B1907">
        <f>HYPERLINK("https://www.dofusbook.net/fr/equipement/212776-feu-eau-mallefisk/objets", "link")</f>
        <v/>
      </c>
      <c r="C1907" t="n">
        <v>3</v>
      </c>
      <c r="D1907" t="inlineStr">
        <is>
          <t>Baguette de Malléfisk; Amulette de Théodoran Ax; Alliance Gloursonne; Bague Gloursonne; Bouclier d'Ilyzaelle; Ceinture Luminescente; Casque d'Ilyzaelle; Cape de Théodoran Ax; Bottes de Théodoran Ax; Dofus Émeraude; Dofus Ocre; Dofus Abyssal; Dofus Ivoire; Joueur majeur; Bousculeur majeur; Muldo Orchidée et Pourpre</t>
        </is>
      </c>
    </row>
    <row r="1908">
      <c r="A1908" t="inlineStr">
        <is>
          <t>Pyra</t>
        </is>
      </c>
      <c r="B1908">
        <f>HYPERLINK("https://www.dofusbook.net/fr/equipement/3064741-pyra/objets", "link")</f>
        <v/>
      </c>
      <c r="C1908" t="n">
        <v>6</v>
      </c>
      <c r="D1908" t="inlineStr">
        <is>
          <t>Hache du Korriandre; Amulette de l'Indicible; Bague Gloursonne; Alliance Gloursonne; Bouclier du Stalak; Ceinture de l'Indicible; Masque de l'Esprit Salvateur; Cape de la Dame du Hasard; Bottes de l'Indicible; Dofus des Glaces; Dolmanax; Dofus Ocre; Dofus Pourpre; Robuste majeur; Féroce majeur; Muldo Indigo et Orchidée</t>
        </is>
      </c>
    </row>
    <row r="1909">
      <c r="A1909" t="inlineStr">
        <is>
          <t>feu eau air korri</t>
        </is>
      </c>
      <c r="B1909">
        <f>HYPERLINK("https://www.dofusbook.net/fr/equipement/3083220-feu-eau-air-korri-/objets", "link")</f>
        <v/>
      </c>
      <c r="C1909" t="n">
        <v>6</v>
      </c>
      <c r="D1909" t="inlineStr">
        <is>
          <t>Hache du Korriandre; Amulette du Strigide; Bague Gloursonne; Alliance Gloursonne; Quatre-feuilles; Ceinture du Strigide; Kidibonnet; Cape d'Atcham; Sandales  d'Atcham; Dofus Ivoire; Dofus des Glaces; Dofus Turquoise; Dofus Abyssal; Dofus Ocre; Dofus Pourpre</t>
        </is>
      </c>
    </row>
    <row r="1910">
      <c r="A1910" t="inlineStr">
        <is>
          <t>feu eau do fixe</t>
        </is>
      </c>
      <c r="B1910">
        <f>HYPERLINK("https://www.dofusbook.net/fr/equipement/2683066-feu-eau-do-fixe/objets", "link")</f>
        <v/>
      </c>
      <c r="C1910" t="n">
        <v>5</v>
      </c>
      <c r="D1910" t="inlineStr">
        <is>
          <t>Épée Brûlâme; Collier de la Dame du Hasard; Bracelet des Fonds marins; Lavanneau; Quatre-feuilles; Ceinture de l'Esprit Malsain; Masque de l'Esprit Malsain; Cape de la Dame du Hasard; Bottes de l'Esprit Malsain; Dofus Abyssal; Dofus des Glaces; Dofus Ivoire; Dofus Turquoise; Dofus Pourpre; Dofus Ocre; Muldo Prune et Indigo</t>
        </is>
      </c>
    </row>
    <row r="1911">
      <c r="A1911" t="inlineStr">
        <is>
          <t>terre feu pvm</t>
        </is>
      </c>
      <c r="B1911">
        <f>HYPERLINK("https://www.dofusbook.net/fr/equipement/3079886-terre-feu-pvm/objets", "link")</f>
        <v/>
      </c>
      <c r="C1911" t="n">
        <v>4</v>
      </c>
      <c r="D1911" t="inlineStr">
        <is>
          <t>Dagues Érhy; Amulette du Strigide; Alliance de Missiz Frizz; Bracelet du Piloztère; Quatre-feuilles; Ceinture du Strigide; Casque de Missiz Frizz; Cape Reski; Bottes du Strigide; Dofus Nébuleux; Dofus Ocre; Dolmanax; Dofus des Glaces; Dofus Pourpre; Dofus Turquoise; Muldo Prune et Doré</t>
        </is>
      </c>
    </row>
    <row r="1912">
      <c r="A1912" t="inlineStr">
        <is>
          <t>do crit dofusteuse</t>
        </is>
      </c>
      <c r="B1912">
        <f>HYPERLINK("https://www.dofusbook.net/fr/equipement/3075426-do-crit-dofusteuse/objets", "link")</f>
        <v/>
      </c>
      <c r="C1912" t="n">
        <v>1</v>
      </c>
      <c r="D1912" t="inlineStr">
        <is>
          <t>Bâton Beau; Amulette du Strigide; Bague Trithon; Bracelet du Piloztère; Ceinture du Strigide; Masque Trithon; Dofusteuse; Bottes du Strigide</t>
        </is>
      </c>
    </row>
    <row r="1913">
      <c r="A1913" t="inlineStr">
        <is>
          <t>Terre eau do pou</t>
        </is>
      </c>
      <c r="B1913">
        <f>HYPERLINK("https://www.dofusbook.net/fr/equipement/212815-terre-eau-do-pou/objets", "link")</f>
        <v/>
      </c>
      <c r="C1913" t="n">
        <v>6</v>
      </c>
      <c r="D1913" t="inlineStr">
        <is>
          <t>Dagues de Srambad; Amulette Luminescente; Bracelet du Piloztère; Alliance du Lévitrof; Ceinture Luminescente; Coiffe du Lévitrof; Cape Luminescente; Bottes du Lévitrof; Dofus Pourpre; Dofus des Glaces; Dofus Ocre; Féroce majeur; Bousculeur majeur; Robuste majeur; Muldo Doré et Indigo</t>
        </is>
      </c>
    </row>
    <row r="1914">
      <c r="A1914" t="inlineStr">
        <is>
          <t>pad stri farm</t>
        </is>
      </c>
      <c r="B1914">
        <f>HYPERLINK("https://www.dofusbook.net/fr/equipement/1291185-pad-stri-farm/objets", "link")</f>
        <v/>
      </c>
      <c r="C1914" t="n">
        <v>8</v>
      </c>
      <c r="D1914" t="inlineStr">
        <is>
          <t>Arc corrompu; Amulette du Strigide; Bracelet du Piloztère; Anneau de Padgref; Quatre-feuilles; Ceinture du Strigide; Coiffe de Padgref; Cape Lati; Getas de Padgref; Dofus Turquoise; Dofus des Glaces; Dofus Ocre; Dolmanax; Dofus Pourpre; Puissant majeur; Muldo Prune et Emeraude</t>
        </is>
      </c>
    </row>
    <row r="1915">
      <c r="A1915" t="inlineStr">
        <is>
          <t>hache chaloeil</t>
        </is>
      </c>
      <c r="B1915">
        <f>HYPERLINK("https://www.dofusbook.net/fr/equipement/3040008-hache-chaloeil/objets", "link")</f>
        <v/>
      </c>
      <c r="C1915" t="n">
        <v>3</v>
      </c>
      <c r="D1915" t="inlineStr">
        <is>
          <t>Hache du Chalœil; Amulette du Strigide; Alliance de Missiz Frizz; Bracelet du Piloztère; Bouclier du Captain Amakna; Ceinture du Strigide; Casque de Missiz Frizz; Cape du Professeur Xa; Bottes de Missiz Frizz; Dofus des Glaces; Dolmanax; Dofus Turquoise; Dofus Pourpre; Dofus Ocre; Furibond majeur; Kramkram</t>
        </is>
      </c>
    </row>
    <row r="1916">
      <c r="A1916" t="inlineStr">
        <is>
          <t>Dague dragoeuf</t>
        </is>
      </c>
      <c r="B1916">
        <f>HYPERLINK("https://www.dofusbook.net/fr/equipement/3038017-dague-dragoeuf/objets", "link")</f>
        <v/>
      </c>
      <c r="C1916" t="n">
        <v>3</v>
      </c>
      <c r="D1916" t="inlineStr">
        <is>
          <t>Dagues du Dragoeuf; Amulette du Strigide; Bague Gloursonne; Alliance de Missiz Frizz; Bouclier du Captain Amakna; Ceinture du Strigide; Casque de Missiz Frizz; Voile d'encre; Bottes du Strigide; Dofus Pourpre; Dofus Abyssal; Dofus des Glaces; Dofus Turquoise; Dolmanax; Dofus Ivoire; Muldo Prune et Emeraude</t>
        </is>
      </c>
    </row>
    <row r="1917">
      <c r="A1917" t="inlineStr">
        <is>
          <t>full crit</t>
        </is>
      </c>
      <c r="B1917">
        <f>HYPERLINK("https://www.dofusbook.net/fr/equipement/2328538-full-crit/objets", "link")</f>
        <v/>
      </c>
      <c r="C1917" t="n">
        <v>7</v>
      </c>
      <c r="D1917" t="inlineStr">
        <is>
          <t>Hache Téroïde; Amulette du Strigide; Anneau de Padgref; Bracelet du Piloztère; Bouclier du Captain Amakna; Ceinture du Strigide; Masque Trithon; Cape des Justiciers; Bottes Trithon; Dofus des Glaces; Dofus Turquoise; Dofus Pourpre; Dofus Ocre; Dolmanax; Dofus Abyssal; Muldo Prune et Emeraude</t>
        </is>
      </c>
    </row>
    <row r="1918">
      <c r="A1918" t="inlineStr">
        <is>
          <t>Actuel</t>
        </is>
      </c>
      <c r="B1918">
        <f>HYPERLINK("https://www.dofusbook.net/fr/equipement/2865365-actuel/objets", "link")</f>
        <v/>
      </c>
      <c r="C1918" t="n">
        <v>3</v>
      </c>
      <c r="D1918" t="inlineStr">
        <is>
          <t>Héqache; Amulette du Strigide; Bague Gloursonne; Alliance de Missiz Frizz; Bouclier du Captain Amakna; Ceinture du Strigide; Casque de Missiz Frizz; Cape du Professeur Xa; Bottes du Strigide; Dofus Pourpre; Dofus Turquoise; Dolmanax; Dofus Ocre; Dofus des Glaces; Furibond majeur; Kompost</t>
        </is>
      </c>
    </row>
    <row r="1919">
      <c r="A1919" t="inlineStr">
        <is>
          <t>Atcham cac</t>
        </is>
      </c>
      <c r="B1919">
        <f>HYPERLINK("https://www.dofusbook.net/fr/equipement/3031577-atcham-cac/objets", "link")</f>
        <v/>
      </c>
      <c r="C1919" t="n">
        <v>3</v>
      </c>
      <c r="D1919" t="inlineStr">
        <is>
          <t>Sabres d'Atcham; Amulette du Strigide; Anneau Tique; Bracelet du Piloztère; Bouclier alvéolé; Ceinture du Strigide; Némès de Tal Kasha; Cape d'Atcham; Sandales  d'Atcham; Dofus des Glaces; Dofus Ivoire; Dofus Pourpre; Dofus Turquoise; Dofus Abyssal; Dofus Ocre; Muldo Prune et Emeraude</t>
        </is>
      </c>
    </row>
    <row r="1920">
      <c r="A1920" t="inlineStr">
        <is>
          <t>Dagues cactere</t>
        </is>
      </c>
      <c r="B1920">
        <f>HYPERLINK("https://www.dofusbook.net/fr/equipement/3028091-dagues-cactere/objets", "link")</f>
        <v/>
      </c>
      <c r="C1920" t="n">
        <v>4</v>
      </c>
      <c r="D1920" t="inlineStr">
        <is>
          <t>Dagues Cacterre; Amulette du Strigide; Anneau Tique; Bracelet du Piloztère; Bouclier du Captain Amakna; Ceinture du Strigide; Kidibonnet; Cape de la Dame du Hasard; Bottes de la Dame du Hasard; Dofus Ivoire; Dofus Turquoise; Dofus des Glaces; Dofus Ocre; Dofus Abyssal; Dofus Pourpre; Muldo Prune et Emeraude</t>
        </is>
      </c>
    </row>
    <row r="1921">
      <c r="A1921" t="inlineStr">
        <is>
          <t>Atcham</t>
        </is>
      </c>
      <c r="B1921">
        <f>HYPERLINK("https://www.dofusbook.net/fr/equipement/3007502-atcham/objets", "link")</f>
        <v/>
      </c>
      <c r="C1921" t="n">
        <v>7</v>
      </c>
      <c r="D1921" t="inlineStr">
        <is>
          <t>Sabres d'Atcham; Amulette du Strigide; Alliance Gloursonne; Bague Gloursonne; Quatre-feuilles; Ceinture du Strigide; Le Dorado; Cape d'Atcham; Sandales  d'Atcham; Dofus Pourpre; Dofus Abyssal; Dofus des Glaces; Dofus Turquoise; Dofus Ivoire; Dofus Ocre; Dragodinde Prune et Emeraude</t>
        </is>
      </c>
    </row>
    <row r="1922">
      <c r="A1922" t="inlineStr">
        <is>
          <t>Arc honte</t>
        </is>
      </c>
      <c r="B1922">
        <f>HYPERLINK("https://www.dofusbook.net/fr/equipement/2887366-arc-honte/objets", "link")</f>
        <v/>
      </c>
      <c r="C1922" t="n">
        <v>2</v>
      </c>
      <c r="D1922" t="inlineStr">
        <is>
          <t>Arc Honte; Collier du Valet Veinard; Gant du Valet Veinard; Ceinture de l'Esprit Malsain; Masque de l'Esprit Malsain; Cape du Valet Veinard; Bottes de l'Esprit Malsain</t>
        </is>
      </c>
    </row>
    <row r="1923">
      <c r="A1923" t="inlineStr">
        <is>
          <t>full terre</t>
        </is>
      </c>
      <c r="B1923">
        <f>HYPERLINK("https://www.dofusbook.net/fr/equipement/2857501-full-terre/objets", "link")</f>
        <v/>
      </c>
      <c r="C1923" t="n">
        <v>1</v>
      </c>
      <c r="D1923" t="inlineStr">
        <is>
          <t>Arc du Chalœil; Amulette du Strigide; Anneau Chevelu; Bracelet du Piloztère; Quatre-feuilles; Ceinture du Strigide; Masque de Koutoulou; Cape au Logis; Bottes du Cœur Saignant; Dofus des Glaces; Dofus Turquoise; Dofus Pourpre; Dofus Ocre; Enragé majeur; Dévastateur Terre majeur; Kompost</t>
        </is>
      </c>
    </row>
    <row r="1924">
      <c r="A1924" t="inlineStr">
        <is>
          <t>pvm hétype</t>
        </is>
      </c>
      <c r="B1924">
        <f>HYPERLINK("https://www.dofusbook.net/fr/equipement/212796-pvm-hetype/objets", "link")</f>
        <v/>
      </c>
      <c r="C1924" t="n">
        <v>1</v>
      </c>
      <c r="D1924" t="inlineStr">
        <is>
          <t>Arc Hétype; Pendentif affamé; Anneau Rifique; Anneau Tamie; Bouclier du Stalak; Ceinture de Vortex; Casque Cyclopéen; Cape de Diondin; Bottes Innommables; Dofus Pourpre; Dofus des Glaces; Remueur; Dévastateur Feu majeur; Érudit majeur; Nomade; Brûlih</t>
        </is>
      </c>
    </row>
    <row r="1925">
      <c r="A1925" t="inlineStr">
        <is>
          <t>max do feu</t>
        </is>
      </c>
      <c r="B1925">
        <f>HYPERLINK("https://www.dofusbook.net/fr/equipement/212795-max-do-feu/objets", "link")</f>
        <v/>
      </c>
      <c r="C1925" t="n">
        <v>3</v>
      </c>
      <c r="D1925" t="inlineStr">
        <is>
          <t>Épée d'Otomaï; Amulette de Nileza; Anneau Tamie; Anneau Tamie; Bouclier du Stalak; Ceinture Hyolite; Calotte Spot; Cape de Diondin; Pataugastrique; Dofus des Glaces; Dofus Pourpre; Astucieux majeur; Érudit majeur; Nomade; Dévastateur Feu majeur; Brûlih</t>
        </is>
      </c>
    </row>
    <row r="1926">
      <c r="A1926" t="inlineStr">
        <is>
          <t>Feu Abysses</t>
        </is>
      </c>
      <c r="B1926">
        <f>HYPERLINK("https://www.dofusbook.net/fr/equipement/212794-feu-abysses/objets", "link")</f>
        <v/>
      </c>
      <c r="C1926" t="n">
        <v>2</v>
      </c>
      <c r="D1926" t="inlineStr">
        <is>
          <t>Plumeau Bil; Pendentif affamé; Anneau Rifique; Anneau Tamie; Bouclier du Stalak; Ceinture de Vortex; Casque Cyclopéen; Cape de Diondin; Bottes Innommables; Dofus des Glaces; Astucieux majeur; Remueur; Dévastateur Feu majeur; Érudit majeur; Nomade; Brûlih</t>
        </is>
      </c>
    </row>
    <row r="1927">
      <c r="A1927" t="inlineStr">
        <is>
          <t>eau pvm</t>
        </is>
      </c>
      <c r="B1927">
        <f>HYPERLINK("https://www.dofusbook.net/fr/equipement/2852278-eau-pvm/objets", "link")</f>
        <v/>
      </c>
      <c r="C1927" t="n">
        <v>6</v>
      </c>
      <c r="D1927" t="inlineStr">
        <is>
          <t>Epée Gloursonne; Amulette de Shokkoth; Bague Gloursonne; Alliance Gloursonne; Bouclier du Stalak; Ceinture de Kongoku; Casquette de Meno; Cape de Meno; Bottes de Meno; Dofus des Glaces; Dolmanax; Dofus Ocre; Dofus Pourpre; Entraveur majeur; Joueur majeur; Muldo Orchidée et Pourpre</t>
        </is>
      </c>
    </row>
    <row r="1928">
      <c r="A1928" t="inlineStr">
        <is>
          <t>Air ret pa</t>
        </is>
      </c>
      <c r="B1928">
        <f>HYPERLINK("https://www.dofusbook.net/fr/equipement/212754-air-ret-pa/objets", "link")</f>
        <v/>
      </c>
      <c r="C1928" t="n">
        <v>3</v>
      </c>
      <c r="D1928" t="inlineStr">
        <is>
          <t>Pelle de la Cour Sombre; Amulette du Cycloïde; Alliance Gloursonne; Bague Trithon; Sept ans de malheur; Ceintouse; Chapoulpe; Cape des Malveilleurs; Baleinabottes; Dofus Émeraude; Cascadeur majeur; Remueur; Temporiseur majeur; Obstructeur majeur; Étourdisseur majeur; Muldo Roux et Ebène</t>
        </is>
      </c>
    </row>
    <row r="1929">
      <c r="A1929" t="inlineStr">
        <is>
          <t>un peu tout</t>
        </is>
      </c>
      <c r="B1929">
        <f>HYPERLINK("https://www.dofusbook.net/fr/equipement/212752-un-peu-tout-/objets", "link")</f>
        <v/>
      </c>
      <c r="C1929" t="n">
        <v>2</v>
      </c>
      <c r="D1929" t="inlineStr">
        <is>
          <t>Dagues Érhy; Amulette du Strigide; Anneau Chevelu; Alliance Gloursonne; Sept ans de malheur; Ceintacé; Masque du Barbétoal; Voile d'encre; Bottes du Strigide; Dofus Émeraude; Cascadeur majeur; Étourdisseur majeur; Temporiseur majeur; Remueur; Obstructeur majeur; Muldo Ebène et Orchidée</t>
        </is>
      </c>
    </row>
    <row r="1930">
      <c r="A1930" t="inlineStr">
        <is>
          <t>FULL TERRE MGGL</t>
        </is>
      </c>
      <c r="B1930">
        <f>HYPERLINK("https://www.dofusbook.net/fr/equipement/2811015-full-terre-mggl/objets", "link")</f>
        <v/>
      </c>
      <c r="C1930" t="n">
        <v>13</v>
      </c>
      <c r="D1930" t="inlineStr">
        <is>
          <t>Marteau R'ture; Amulette du Cycloïde; Anneau du Comte Harebourg; Anneau du Cycloïde; Bouclier du Captain Amakna; Sangle de Sylargh; Coiffe du Comte Harebourg; Cape de Sylargh; Bottes du Comte Harebourg; Dofus Turquoise; Dofus des Glaces; Dofus Vulbis; Dofus Pourpre; Dofus Ocre; Forcené majeur; Kompost</t>
        </is>
      </c>
    </row>
    <row r="1931">
      <c r="A1931" t="inlineStr">
        <is>
          <t>Terre Air</t>
        </is>
      </c>
      <c r="B1931">
        <f>HYPERLINK("https://www.dofusbook.net/fr/equipement/212779-terre-air/objets", "link")</f>
        <v/>
      </c>
      <c r="C1931" t="n">
        <v>8</v>
      </c>
      <c r="D1931" t="inlineStr">
        <is>
          <t>Héqache; Amulette du Strigide; Bracelet du Piloztère; Anneau des égarés; Quatre-feuilles; Ceinture du Strigide; Casque des égarés; Cape du Kamasterisk; Bottes du Strigide; Dofus Ivoire; Dofus Turquoise; Dofus Pourpre; Dofus Ocre; Dofus des Glaces; Dolmanax; Muldo Prune et Indigo</t>
        </is>
      </c>
    </row>
    <row r="1932">
      <c r="A1932" t="inlineStr">
        <is>
          <t>ret pm 0K ini modul</t>
        </is>
      </c>
      <c r="B1932">
        <f>HYPERLINK("https://www.dofusbook.net/fr/equipement/2810338-ret-pm-0k-ini-modul/objets", "link")</f>
        <v/>
      </c>
      <c r="C1932" t="n">
        <v>10</v>
      </c>
      <c r="D1932" t="inlineStr">
        <is>
          <t>Marteau R'ture; Amulette du Glourséleste; Anneau Tamie; Pikano; Bouclier cubiste; Ceinture Instable; Casquipik; Cape de Léthaline; Pantoufles Émar; Temporiseur; Temporiseur majeur; Ralentisseur majeur; Remueur; Entraveur; Entraveur majeur; Dragoune Dorée</t>
        </is>
      </c>
    </row>
    <row r="1933">
      <c r="A1933" t="inlineStr">
        <is>
          <t>feu padgref</t>
        </is>
      </c>
      <c r="B1933">
        <f>HYPERLINK("https://www.dofusbook.net/fr/equipement/212808-feu-padgref/objets", "link")</f>
        <v/>
      </c>
      <c r="C1933" t="n">
        <v>4</v>
      </c>
      <c r="D1933" t="inlineStr">
        <is>
          <t>Arc corrompu; Amulette du Strigide; Kralano; Anneau de Padgref; Quatre-feuilles; Ceinture du Strigide; Coiffe de Padgref; Cape Lati; Getas de Padgref; Dofus Vulbis; Dofus Turquoise; Dofus Nébuleux; Dofus Ocre; Dofus des Glaces; Dofus Pourpre; Brûlih</t>
        </is>
      </c>
    </row>
    <row r="1934">
      <c r="A1934" t="inlineStr">
        <is>
          <t>full feu ret pm</t>
        </is>
      </c>
      <c r="B1934">
        <f>HYPERLINK("https://www.dofusbook.net/fr/equipement/212807-full-feu-ret-pm/objets", "link")</f>
        <v/>
      </c>
      <c r="C1934" t="n">
        <v>6</v>
      </c>
      <c r="D1934" t="inlineStr">
        <is>
          <t>Arc Honte; Collier de la Dame du Hasard; Anneau Tamie; Anneau Tamie; Bouclier cubiste; Ceinture de Vortex; Couronne de Nidas; Cape de la Dame du Hasard; Pantoufles Émar; Dolmanax; Érudit majeur; Remueur; Savant majeur; Temporiseur majeur; Nomade; Kramkram</t>
        </is>
      </c>
    </row>
    <row r="1935">
      <c r="A1935" t="inlineStr">
        <is>
          <t>hache chaloeil</t>
        </is>
      </c>
      <c r="B1935">
        <f>HYPERLINK("https://www.dofusbook.net/fr/equipement/212806-hache-chaloeil/objets", "link")</f>
        <v/>
      </c>
      <c r="C1935" t="n">
        <v>1</v>
      </c>
      <c r="D1935" t="inlineStr">
        <is>
          <t>Hache du Chalœil; Amulette du Strigide; Anneau de Padgref; Bracelet du Piloztère; Quatre-feuilles; Ceinture du Strigide; Kidibonnet; Cape Luminescente; Bottes du Roi Joueur; Dofus Turquoise; Dofus des Glaces; Dofus Ocre; Dofus Pourpre; Temporiseur majeur; Entraveur majeur; Muldo Orchidée et Pourpre</t>
        </is>
      </c>
    </row>
    <row r="1936">
      <c r="A1936" t="inlineStr">
        <is>
          <t>piko lumi</t>
        </is>
      </c>
      <c r="B1936">
        <f>HYPERLINK("https://www.dofusbook.net/fr/equipement/2662705-piko-lumi/objets", "link")</f>
        <v/>
      </c>
      <c r="C1936" t="n">
        <v>3</v>
      </c>
      <c r="D1936" t="inlineStr">
        <is>
          <t>Marteau R'ture; Amulette Luminescente; Pikano; Chevalière du Roi Joueur; Bouclier cubiste; Ceinture Luminescente; Casquipik; Cape Luminescente; Pikottes; Dofus Ocre; Dofus Pourpre; Dofus des Glaces; Entraveur; Ralentisseur majeur; Entraveur majeur; Muldo Indigo et Pourpre</t>
        </is>
      </c>
    </row>
    <row r="1937">
      <c r="A1937" t="inlineStr">
        <is>
          <t>hétype ret pm</t>
        </is>
      </c>
      <c r="B1937">
        <f>HYPERLINK("https://www.dofusbook.net/fr/equipement/2810331-hetype-ret-pm/objets", "link")</f>
        <v/>
      </c>
      <c r="C1937" t="n">
        <v>6</v>
      </c>
      <c r="D1937" t="inlineStr">
        <is>
          <t>Arc Hétype; Amulette de Nileza; Anneau de Nidas; Anneau Tique; Ceinture de Vortex; Casquette de Meno; Cape de Diondin; Bottes de Meno; Dolmanax; Savant majeur; Déserteur majeur; Temporiseur majeur; Érudit majeur; Remueur; Muldo Ebène et Orchidée</t>
        </is>
      </c>
    </row>
    <row r="1938">
      <c r="A1938" t="inlineStr">
        <is>
          <t>Enu retrait roxx pvm</t>
        </is>
      </c>
      <c r="B1938">
        <f>HYPERLINK("https://www.dofusbook.net/fr/equipement/2810329-enu-retrait-roxx-pvm/objets", "link")</f>
        <v/>
      </c>
      <c r="C1938" t="n">
        <v>6</v>
      </c>
      <c r="D1938" t="inlineStr">
        <is>
          <t>Epée Toche; Amulette du Glourséleste; Pikano; Chevalière du Roi Joueur; Bouclier cubiste; Ceinture de Kongoku; Casquipik; Cape de la Dame du Hasard; Pantoufles Émar; Dofus des Glaces; Dofus Ocre; Dofus Pourpre; Remueur; Temporiseur majeur; Entraveur majeur; Muldo Indigo et Pourpre</t>
        </is>
      </c>
    </row>
    <row r="1939">
      <c r="A1939" t="inlineStr">
        <is>
          <t>Terre Feu Air</t>
        </is>
      </c>
      <c r="B1939">
        <f>HYPERLINK("https://www.dofusbook.net/fr/equipement/2803217-terre-feu-air/objets", "link")</f>
        <v/>
      </c>
      <c r="C1939" t="n">
        <v>6</v>
      </c>
      <c r="D1939" t="inlineStr">
        <is>
          <t>Marteau de Katrepat; Amulette du Strigide; Alliance Gloursonne; Bague Gloursonne; Quatre-feuilles; Ceinture du Strigide; Masque du Katcheur; Cape des Justiciers; Bottes du Katcheur; Dolmanax; Dofus Turquoise; Dofus des Glaces; Dofus Ocre; Dofus Pourpre; Puissant majeur; Muldo Prune et Emeraude</t>
        </is>
      </c>
    </row>
    <row r="1940">
      <c r="A1940" t="inlineStr">
        <is>
          <t>sagesse farm</t>
        </is>
      </c>
      <c r="B1940">
        <f>HYPERLINK("https://www.dofusbook.net/fr/equipement/2543504-sagesse-farm/objets", "link")</f>
        <v/>
      </c>
      <c r="C1940" t="n">
        <v>5</v>
      </c>
      <c r="D1940" t="inlineStr">
        <is>
          <t>Marteau R'ture; Amulette Luminescente; Pikano; Chevalière du Roi Joueur; Bouclier cubiste; Ceinture Luminescente; Casquipik; Cape Luminescente; Pikottes; Dofus Ocre; Dofus des Glaces; Dofus Cawotte; Ralentisseur majeur; Entraveur majeur; Entraveur; Muldo Indigo et Pourpre</t>
        </is>
      </c>
    </row>
    <row r="1941">
      <c r="A1941" t="inlineStr">
        <is>
          <t>atcham</t>
        </is>
      </c>
      <c r="B1941">
        <f>HYPERLINK("https://www.dofusbook.net/fr/equipement/2661794-atcham/objets", "link")</f>
        <v/>
      </c>
      <c r="C1941" t="n">
        <v>9</v>
      </c>
      <c r="D1941" t="inlineStr">
        <is>
          <t>Sabres d'Atcham; Amulette du Strigide; Bracelet du Piloztère; Anneau de Padgref; Quatre-feuilles; Ceinture du Strigide; Coiffe de Padgref; Cape d'Atcham; Getas de Padgref; Dofus Ivoire; Dofus Turquoise; Dofus des Glaces; Dofus Ocre; Dolmanax; Dofus Pourpre; Muldo Prune et Emeraude</t>
        </is>
      </c>
    </row>
    <row r="1942">
      <c r="A1942" t="inlineStr">
        <is>
          <t>do pou</t>
        </is>
      </c>
      <c r="B1942">
        <f>HYPERLINK("https://www.dofusbook.net/fr/equipement/2328493-do-pou/objets", "link")</f>
        <v/>
      </c>
      <c r="C1942" t="n">
        <v>5</v>
      </c>
      <c r="D1942" t="inlineStr">
        <is>
          <t>Arc du Chalœil; Amulette Luminescente; Pikano; Bague Trithon; Bouclier Taverne; Ceinture Luminescente; Casque Dragoeuf; Cape Luminescente; Bottes Trithon; Dofus Émeraude; Dofus Ivoire; Dokoko; Dofus Ocre; Dofus Abyssal; Bousculeur majeur; Muldo Doré</t>
        </is>
      </c>
    </row>
    <row r="1943">
      <c r="A1943" t="inlineStr">
        <is>
          <t>Poudre air terre</t>
        </is>
      </c>
      <c r="B1943">
        <f>HYPERLINK("https://www.dofusbook.net/fr/equipement/2720412-poudre-air-terre-/objets", "link")</f>
        <v/>
      </c>
      <c r="C1943" t="n">
        <v>1</v>
      </c>
      <c r="D1943" t="inlineStr">
        <is>
          <t>Lance corrompue; Amulette de Nevark; Bague Gloursonne; Alliance Gloursonne; Bouclier du Stalak; Ceinture de la Reine des Voleurs; Coiffe de la Reine des Voleurs; Cape de Nevark; Bottes de la Reine des Voleurs; Dolmanax; Dofus Ocre; Dofus Pourpre; Dofus des Glaces; Féroce majeur; Robuste majeur; Muldo Doré et Ebène</t>
        </is>
      </c>
    </row>
    <row r="1944">
      <c r="A1944" t="inlineStr">
        <is>
          <t>pvm arc corrompu</t>
        </is>
      </c>
      <c r="B1944">
        <f>HYPERLINK("https://www.dofusbook.net/fr/equipement/2715565-pvm-arc-corrompu/objets", "link")</f>
        <v/>
      </c>
      <c r="C1944" t="n">
        <v>9</v>
      </c>
      <c r="D1944" t="inlineStr">
        <is>
          <t>Arc corrompu; Amulette du Strigide; Kralano; Anneau de Padgref; Quatre-feuilles; Ceinture du Strigide; Coiffe de Padgref; Cape Lati; Getas de Padgref; Dofus des Glaces; Dolmanax; Dofus Turquoise; Dofus Pourpre; Dofus Ocre; Savant majeur; Muldo Prune et Doré</t>
        </is>
      </c>
    </row>
    <row r="1945">
      <c r="A1945" t="inlineStr">
        <is>
          <t>arc ahique neutre</t>
        </is>
      </c>
      <c r="B1945">
        <f>HYPERLINK("https://www.dofusbook.net/fr/equipement/2714411-arc-ahique-neutre/objets", "link")</f>
        <v/>
      </c>
      <c r="C1945" t="n">
        <v>3</v>
      </c>
      <c r="D1945" t="inlineStr">
        <is>
          <t>Arc Ahique; Collier de Tourthon; Bague Gloursonne; Alliance Gloursonne; Bouclier du Stalak; Ceinture de l'Esprit Salvateur; Masque de l'Esprit Salvateur; Voilamibe; Bottes de l'Esprit Salvateur; Dolmanax; Dofus Ocre; Dofus Pourpre; Dofus des Glaces; Féroce majeur; Robuste majeur; Kramkram</t>
        </is>
      </c>
    </row>
    <row r="1946">
      <c r="A1946" t="inlineStr">
        <is>
          <t>Terre no dofus</t>
        </is>
      </c>
      <c r="B1946">
        <f>HYPERLINK("https://www.dofusbook.net/fr/equipement/2708170-terre-no-dofus/objets", "link")</f>
        <v/>
      </c>
      <c r="C1946" t="n">
        <v>4</v>
      </c>
      <c r="D1946" t="inlineStr">
        <is>
          <t>Héqache; Amulette du Strigide; Anneau de Brouce; Anneau Chevelu; Bouclier du Captain Amakna; Ceinture du Strigide; Casque des égarés; Cape du Professeur Xa; Bottes du Cœur Saignant; Turbulent; Remueur; Muldo Prune et Doré</t>
        </is>
      </c>
    </row>
    <row r="1947">
      <c r="A1947" t="inlineStr">
        <is>
          <t>reine des voleurs</t>
        </is>
      </c>
      <c r="B1947">
        <f>HYPERLINK("https://www.dofusbook.net/fr/equipement/2706034-reine-des-voleurs/objets", "link")</f>
        <v/>
      </c>
      <c r="C1947" t="n">
        <v>10</v>
      </c>
      <c r="D1947" t="inlineStr">
        <is>
          <t>Arc Ahique; Amulette d'Ilyzaelle; Alliance Gloursonne; Alliance Brûlâme; Bouclier du Stalak; Ceinture de la Reine des Voleurs; Coiffe de la Reine des Voleurs; Cape des Malveilleurs; Bottes de la Reine des Voleurs; Dofus Pourpre; Dofus Abyssal; Dofus Ivoire; Dofus Vulbis; Dokoko; Dofus Ocre; Kramkram</t>
        </is>
      </c>
    </row>
    <row r="1948">
      <c r="A1948" t="inlineStr">
        <is>
          <t>lance kama reine</t>
        </is>
      </c>
      <c r="B1948">
        <f>HYPERLINK("https://www.dofusbook.net/fr/equipement/212764-lance-kama-reine/objets", "link")</f>
        <v/>
      </c>
      <c r="C1948" t="n">
        <v>2</v>
      </c>
      <c r="D1948" t="inlineStr">
        <is>
          <t>Lance corrompue; Amulette du Kamasterisk; Anneau des égarés; Bracelet du Piloztère; Bouclier Taverne; Ceinture de la Reine des Voleurs; Coiffe de la Reine des Voleurs; Cape du Kamasterisk; Bottes de la Reine des Voleurs; Muldo Ebène et Orchidée</t>
        </is>
      </c>
    </row>
    <row r="1949">
      <c r="A1949" t="inlineStr">
        <is>
          <t>feu hétype ret pm</t>
        </is>
      </c>
      <c r="B1949">
        <f>HYPERLINK("https://www.dofusbook.net/fr/equipement/212765-feu-hetype-ret-pm/objets", "link")</f>
        <v/>
      </c>
      <c r="C1949" t="n">
        <v>8</v>
      </c>
      <c r="D1949" t="inlineStr">
        <is>
          <t>Arc Hétype; Amulette de Nileza; Anneau de Nidas; Anneau Tique; Bouclier cubiste; Ceinture de Vortex; Couronne de Nidas; Voile d'encre; Pantoufles Émar; Dolmanax; Temporiseur majeur; Savant majeur; Érudit majeur; Déserteur majeur; Remueur; Muldo Ebène et Pourpre</t>
        </is>
      </c>
    </row>
    <row r="1950">
      <c r="A1950" t="inlineStr">
        <is>
          <t>lance harbourg nevar</t>
        </is>
      </c>
      <c r="B1950">
        <f>HYPERLINK("https://www.dofusbook.net/fr/equipement/2683001-lance-harbourg-nevar/objets", "link")</f>
        <v/>
      </c>
      <c r="C1950" t="n">
        <v>5</v>
      </c>
      <c r="D1950" t="inlineStr">
        <is>
          <t>Lance corrompue; Amulette de Nevark; Alliance Brûlâme; Bague Gloursonne; Bouclier alvéolé; Ceinture de Nevark; Masque Brûlâme; Cape de Nevark; Pompes Funèbres; Dofus Ivoire; Dofus des Glaces; Dofus Abyssal; Dofus Ocre; Dofus Émeraude; Dofus Pourpre; Muldo Ebène et Orchidée</t>
        </is>
      </c>
    </row>
    <row r="1951">
      <c r="A1951" t="inlineStr">
        <is>
          <t>Feu crit</t>
        </is>
      </c>
      <c r="B1951">
        <f>HYPERLINK("https://www.dofusbook.net/fr/equipement/1592292-feu-crit/objets", "link")</f>
        <v/>
      </c>
      <c r="C1951" t="n">
        <v>6</v>
      </c>
      <c r="D1951" t="inlineStr">
        <is>
          <t>Harpelle; Amulette du Strigide; Anneau de Padgref; Anneauræus; Bouclier Taverne; Ceinture du Strigide; Coiffe de Padgref; Capille; Getas de Padgref; Dofus Ivoire; Dofus Pourpre; Dofus Abyssal; Dofus Turquoise; Dofus des Glaces; Dofus Ocre; Muldo Prune et Orchidée</t>
        </is>
      </c>
    </row>
    <row r="1952">
      <c r="A1952" t="inlineStr">
        <is>
          <t>air crit</t>
        </is>
      </c>
      <c r="B1952">
        <f>HYPERLINK("https://www.dofusbook.net/fr/equipement/2655655-air-crit/objets", "link")</f>
        <v/>
      </c>
      <c r="C1952" t="n">
        <v>4</v>
      </c>
      <c r="D1952" t="inlineStr">
        <is>
          <t>Héqache; Amulette du Strigide; Anneau de Padgref; Anneau des égarés; Bouclier Taverne; Ceinture du Strigide; Coiffe de Padgref; Chevelure de Tal Kasha; Getas de Padgref; Dofus Ivoire; Dofus Pourpre; Dofus Abyssal; Dofus Turquoise; Dofus des Glaces; Dofus Ocre; Muldo Prune et Pourpre</t>
        </is>
      </c>
    </row>
    <row r="1953">
      <c r="A1953" t="inlineStr">
        <is>
          <t>test terre air</t>
        </is>
      </c>
      <c r="B1953">
        <f>HYPERLINK("https://www.dofusbook.net/fr/equipement/2559629-test-terre-air/objets", "link")</f>
        <v/>
      </c>
      <c r="C1953" t="n">
        <v>1</v>
      </c>
      <c r="D1953" t="inlineStr">
        <is>
          <t>Amulette du Cycloïde; Anneau du Cycloïde; Ceintouse; Chapoulpe; Cape du Professeur Xa; Tentassons</t>
        </is>
      </c>
    </row>
    <row r="1954">
      <c r="A1954" t="inlineStr">
        <is>
          <t>VV reine arc ahique</t>
        </is>
      </c>
      <c r="B1954">
        <f>HYPERLINK("https://www.dofusbook.net/fr/equipement/212791-vv-reine-arc-ahique/objets", "link")</f>
        <v/>
      </c>
      <c r="C1954" t="n">
        <v>3</v>
      </c>
      <c r="D1954" t="inlineStr">
        <is>
          <t>Arc Ahique; Collier du Valet Veinard; Alliance Gloursonne; Gant du Valet Veinard; Bouclier du Stalak; Ceinture de la Reine des Voleurs; Coiffe de la Reine des Voleurs; Cape du Valet Veinard; Bottes de la Reine des Voleurs; Dofus Abyssal; Dofus des Glaces; Dofus Pourpre; Dofus Ocre; Dolmanax; Dofus Ivoire; Muldo Ebène</t>
        </is>
      </c>
    </row>
    <row r="1955">
      <c r="A1955" t="inlineStr">
        <is>
          <t>Terre air crit</t>
        </is>
      </c>
      <c r="B1955">
        <f>HYPERLINK("https://www.dofusbook.net/fr/equipement/2530503-terre-air-crit/objets", "link")</f>
        <v/>
      </c>
      <c r="C1955" t="n">
        <v>10</v>
      </c>
      <c r="D1955" t="inlineStr">
        <is>
          <t>Epée Gloursonne; Amulette du Cœur Vaillant; Bague Gloursonne; Alliance Gloursonne; Bouclier Taverne; Ceinture de la Reine des Voleurs; Coiffe de la Reine des Voleurs; Cape du Cœur Vaillant; Bottes du Cœur Vaillant; Dofus Abyssal; Dofus Turquoise; Dofus Pourpre; Dofus Ocre; Dofus des Glaces; Bousculeur majeur; Muldo Prune et Ebène</t>
        </is>
      </c>
    </row>
    <row r="1956">
      <c r="A1956" t="inlineStr">
        <is>
          <t>talka stri</t>
        </is>
      </c>
      <c r="B1956">
        <f>HYPERLINK("https://www.dofusbook.net/fr/equipement/2527658-talka-stri/objets", "link")</f>
        <v/>
      </c>
      <c r="C1956" t="n">
        <v>2</v>
      </c>
      <c r="D1956" t="inlineStr">
        <is>
          <t>Arc de Koutoulou; Amulette du Strigide; Anneau de Padgref; Bracelet du Piloztère; Quatre-feuilles; Ceinture du Strigide; Némès de Tal Kasha; Chevelure de Tal Kasha; Sandales de Tal Kasha; Dofus Ivoire; Dofus des Glaces; Dofus Abyssal; Dofus Turquoise; Dofus Pourpre; Dofus Ocre; Muldo Prune et Doré</t>
        </is>
      </c>
    </row>
    <row r="1957">
      <c r="A1957" t="inlineStr">
        <is>
          <t>stri glours terre ai</t>
        </is>
      </c>
      <c r="B1957">
        <f>HYPERLINK("https://www.dofusbook.net/fr/equipement/2506275-stri-glours-terre-ai/objets", "link")</f>
        <v/>
      </c>
      <c r="C1957" t="n">
        <v>4</v>
      </c>
      <c r="D1957" t="inlineStr">
        <is>
          <t>Epée Gloursonne; Amulette du Strigide; Bague Gloursonne; Alliance Gloursonne; Bouclier Taverne; Ceinture du Strigide; Coiffe d'Ogivol; Cape d'Ogivol; Bottes du Strigide; Dofus Pourpre; Dofus Turquoise; Dofus Abyssal; Dofus Ocre; Dofus des Glaces; Dofus Vulbis; Kramkram</t>
        </is>
      </c>
    </row>
    <row r="1958">
      <c r="A1958" t="inlineStr">
        <is>
          <t>pvm herry</t>
        </is>
      </c>
      <c r="B1958">
        <f>HYPERLINK("https://www.dofusbook.net/fr/equipement/212745-pvm-herry/objets", "link")</f>
        <v/>
      </c>
      <c r="C1958" t="n">
        <v>5</v>
      </c>
      <c r="D1958" t="inlineStr">
        <is>
          <t>Dagues Érhy; Amulette du Strigide; Alliance de Missiz Frizz; Bague Gloursonne; Bouclier du Captain Amakna; Ceinture du Strigide; Casque de Missiz Frizz; Cape du Professeur Xa; Bottes du Strigide; Dolmanax; Dofus Pourpre; Dofus Émeraude; Dofus Turquoise; Dofus des Glaces; Dofus Ocre; Kompost</t>
        </is>
      </c>
    </row>
    <row r="1959">
      <c r="A1959" t="inlineStr">
        <is>
          <t>stri glours exo</t>
        </is>
      </c>
      <c r="B1959">
        <f>HYPERLINK("https://www.dofusbook.net/fr/equipement/212744-stri-glours-exo/objets", "link")</f>
        <v/>
      </c>
      <c r="C1959" t="n">
        <v>5</v>
      </c>
      <c r="D1959" t="inlineStr">
        <is>
          <t>Epée Gloursonne; Amulette du Strigide; Bague Gloursonne; Alliance Gloursonne; Bouclier du Captain Amakna; Ceinture du Strigide; Masque Brûlâme; Voile d'encre; Bottes du Strigide; Dolmanax; Dofus Pourpre; Dofus des Glaces; Dofus Ocre; Dofus Abyssal; Dofus Turquoise; Muldo Prune et Pourpre</t>
        </is>
      </c>
    </row>
    <row r="1960">
      <c r="A1960" t="inlineStr">
        <is>
          <t>Tri no exo</t>
        </is>
      </c>
      <c r="B1960">
        <f>HYPERLINK("https://www.dofusbook.net/fr/equipement/212743-tri-no-exo/objets", "link")</f>
        <v/>
      </c>
      <c r="C1960" t="n">
        <v>3</v>
      </c>
      <c r="D1960" t="inlineStr">
        <is>
          <t>Epée Gloursonne; Amulette du Strigide; Alliance Gloursonne; Bague Gloursonne; Bouclier du Captain Amakna; Ceinture du Strigide; Masque Brûlâme; Cape du Professeur Xa; Bottes du Strigide; Dofus Turquoise; Dofus Pourpre; Furibond majeur; Puissant majeur; Voyageur; Turbulent; Muldo Prune et Doré</t>
        </is>
      </c>
    </row>
    <row r="1961">
      <c r="A1961" t="inlineStr">
        <is>
          <t>pute a res</t>
        </is>
      </c>
      <c r="B1961">
        <f>HYPERLINK("https://www.dofusbook.net/fr/equipement/2502352-pute-a-res/objets", "link")</f>
        <v/>
      </c>
      <c r="C1961" t="n">
        <v>28</v>
      </c>
      <c r="D1961" t="inlineStr">
        <is>
          <t>Dagues Érhy; Amulette Ementaire Deluxe; Anneau de XLII; Alliance Gloursonne; Bouclier de Solar; Ceinture de XLII; Masque d'Anerice; Cape d'Anerice; Bottes de XLII; Dokoko; Dofus Ivoire; Dofus Abyssal; Dofus Ocre; Dofus Émeraude; Dolmanax; Muldo Roux et Ebène</t>
        </is>
      </c>
    </row>
    <row r="1962">
      <c r="A1962" t="inlineStr">
        <is>
          <t>feu malé pvp</t>
        </is>
      </c>
      <c r="B1962">
        <f>HYPERLINK("https://www.dofusbook.net/fr/equipement/2502314-feu-male-pvp/objets", "link")</f>
        <v/>
      </c>
      <c r="C1962" t="n">
        <v>6</v>
      </c>
      <c r="D1962" t="inlineStr">
        <is>
          <t>Baguette de Malléfisk; Talisman Igans; Anneau de Nidas; Anneau Rifique; Carapar; Ceinture de Vortex; Casque Cyclopéen; Voile d'encre; Pataugastrique; Guérisseur majeur; Remueur; Érudit majeur; Savant majeur; Nomade; Kramkram</t>
        </is>
      </c>
    </row>
    <row r="1963">
      <c r="A1963" t="inlineStr">
        <is>
          <t>pad range pvm</t>
        </is>
      </c>
      <c r="B1963">
        <f>HYPERLINK("https://www.dofusbook.net/fr/equipement/2502312-pad-range-pvm/objets", "link")</f>
        <v/>
      </c>
      <c r="C1963" t="n">
        <v>3</v>
      </c>
      <c r="D1963" t="inlineStr">
        <is>
          <t>Baguette Range; Amulette Séculaire; Anneau Tique; Anneau de Padgref; Quatre-feuilles; Ceinture Séculaire; Coiffe de Padgref; Cape Lati; Getas de Padgref; Dofus Abyssal; Dofus Pourpre; Dolmanax; Dofus Turquoise; Dofus des Glaces; Dofus Ocre; Muldo Prune et Emeraude</t>
        </is>
      </c>
    </row>
    <row r="1964">
      <c r="A1964" t="inlineStr">
        <is>
          <t>Osa range</t>
        </is>
      </c>
      <c r="B1964">
        <f>HYPERLINK("https://www.dofusbook.net/fr/equipement/2502234-osa-range/objets", "link")</f>
        <v/>
      </c>
      <c r="C1964" t="n">
        <v>6</v>
      </c>
      <c r="D1964" t="inlineStr">
        <is>
          <t>Baguette Range; Amulette Séculaire; Bracelet du Piloztère; Anneau de Padgref; Quatre-feuilles; Ceinture Séculaire; Coiffe de Padgref; Capille; Getas de Padgref; Dolmanax; Dofus Ocre; Dofus Abyssal; Dofus Pourpre; Dofus des Glaces; Dofus Turquoise; Muldo Prune</t>
        </is>
      </c>
    </row>
    <row r="1965">
      <c r="A1965" t="inlineStr">
        <is>
          <t>vortex hetype</t>
        </is>
      </c>
      <c r="B1965">
        <f>HYPERLINK("https://www.dofusbook.net/fr/equipement/212787-vortex-hetype/objets", "link")</f>
        <v/>
      </c>
      <c r="C1965" t="n">
        <v>5</v>
      </c>
      <c r="D1965" t="inlineStr">
        <is>
          <t>Arc Hétype; Amulette Ementaire Deluxe; Anneau Rifique; Kralano; Ceinture de Vortex; Cagoule de Vortex; Voile d'encre; Pataugastrique; Dofus Émeraude; Dolmanax; Remueur; Érudit majeur; Savant majeur; Nomade; Kramkram</t>
        </is>
      </c>
    </row>
    <row r="1966">
      <c r="A1966" t="inlineStr">
        <is>
          <t>vortex phossile</t>
        </is>
      </c>
      <c r="B1966">
        <f>HYPERLINK("https://www.dofusbook.net/fr/equipement/212786-vortex-phossile/objets", "link")</f>
        <v/>
      </c>
      <c r="C1966" t="n">
        <v>5</v>
      </c>
      <c r="D1966" t="inlineStr">
        <is>
          <t>Marteau Phossile; Amulette Ementaire Deluxe; Alliance Gloursonne; Anneau Rifique; Bouclier du Stalak; Ceinture de Vortex; Cagoule de Vortex; Voile d'encre; Pantoufles Émar; Dofus Pourpre; Dolmanax; Érudit majeur; Remueur; Vigoureux majeur; Nomade; Kramkram</t>
        </is>
      </c>
    </row>
    <row r="1967">
      <c r="A1967" t="inlineStr">
        <is>
          <t>feu pvp</t>
        </is>
      </c>
      <c r="B1967">
        <f>HYPERLINK("https://www.dofusbook.net/fr/equipement/2496869-feu-pvp/objets", "link")</f>
        <v/>
      </c>
      <c r="C1967" t="n">
        <v>2</v>
      </c>
      <c r="D1967" t="inlineStr">
        <is>
          <t>Arc corrompu; Amulette du Strigide; Kralano; Anneau de Padgref; Quatre-feuilles; Ceinture du Strigide; Coiffe de Padgref; Cape Lati; Bottes du Strigide; Dofus Pourpre; Dokoko; Dofus des Glaces; Dofus Turquoise; Dofus Ivoire; Dofus Ocre; Muldo Prune et Emeraude</t>
        </is>
      </c>
    </row>
    <row r="1968">
      <c r="A1968" t="inlineStr">
        <is>
          <t>full feu pvm</t>
        </is>
      </c>
      <c r="B1968">
        <f>HYPERLINK("https://www.dofusbook.net/fr/equipement/2496775-full-feu-pvm/objets", "link")</f>
        <v/>
      </c>
      <c r="C1968" t="n">
        <v>11</v>
      </c>
      <c r="D1968" t="inlineStr">
        <is>
          <t>Épée d'Otomaï; Amulette Séculaire; Anneau Tamie; Anneau de Padgref; Quatre-feuilles; Ceinture Séculaire; Coiffe de Padgref; Cape de la Dame du Hasard; Getas de Padgref; Dofus des Glaces; Dofus Ocre; Dofus Pourpre; Dolmanax; Dofus Turquoise; Savant majeur; Muldo Prune et Doré</t>
        </is>
      </c>
    </row>
    <row r="1969">
      <c r="A1969" t="inlineStr">
        <is>
          <t>vv reine arc ahique</t>
        </is>
      </c>
      <c r="B1969">
        <f>HYPERLINK("https://www.dofusbook.net/fr/equipement/212763-vv-reine-arc-ahique/objets", "link")</f>
        <v/>
      </c>
      <c r="C1969" t="n">
        <v>8</v>
      </c>
      <c r="D1969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Dolmanax; Dofus Ocre; Dofus des Glaces; Acrobate majeur; Puissant majeur; Muldo Ebène</t>
        </is>
      </c>
    </row>
    <row r="1970">
      <c r="A1970" t="inlineStr">
        <is>
          <t>cra multi de base</t>
        </is>
      </c>
      <c r="B1970">
        <f>HYPERLINK("https://www.dofusbook.net/fr/equipement/212762-cra-multi-de-base/objets", "link")</f>
        <v/>
      </c>
      <c r="C1970" t="n">
        <v>21</v>
      </c>
      <c r="D1970" t="inlineStr">
        <is>
          <t>Epée Gloursonne; Amulette du Strigide; Alliance Gloursonne; Bague Gloursonne; Quatre-feuilles; Ceinture du Strigide; Masque du Barbétoal; Voile d'encre; Bottes du Strigide; Dofus Pourpre; Dofus Ocre; Dofus des Glaces; Dolmanax; Dofus Turquoise; Puissant majeur; Muldo Prune et Doré</t>
        </is>
      </c>
    </row>
    <row r="1971">
      <c r="A1971" t="inlineStr">
        <is>
          <t>stri glours annerice</t>
        </is>
      </c>
      <c r="B1971">
        <f>HYPERLINK("https://www.dofusbook.net/fr/equipement/1578595-stri-glours-annerice/objets", "link")</f>
        <v/>
      </c>
      <c r="C1971" t="n">
        <v>2</v>
      </c>
      <c r="D1971" t="inlineStr">
        <is>
          <t>Epée Gloursonne; Amulette du Strigide; Alliance Gloursonne; Bague Gloursonne; Bouclier d'Anerice; Ceinture du Strigide; Masque d'Anerice; Cape d'Anerice; Bottes du Strigide</t>
        </is>
      </c>
    </row>
    <row r="1972">
      <c r="A1972" t="inlineStr">
        <is>
          <t>stri congo glours</t>
        </is>
      </c>
      <c r="B1972">
        <f>HYPERLINK("https://www.dofusbook.net/fr/equipement/212761-stri-congo-glours/objets", "link")</f>
        <v/>
      </c>
      <c r="C1972" t="n">
        <v>7</v>
      </c>
      <c r="D1972" t="inlineStr">
        <is>
          <t>Epée Gloursonne; Amulette du Strigide; Bague Gloursonne; Alliance Gloursonne; Bouclier cubiste; Ceinture de Kongoku; Boucle d'oreille de Kongoku; Cape de Kongoku; Bottes du Strigide; Dolmanax; Dofus Turquoise; Dofus Pourpre; Dofus Ocre; Dofus des Glaces; Entraveur majeur; Dragodinde Prune et Emeraude</t>
        </is>
      </c>
    </row>
    <row r="1973">
      <c r="A1973" t="inlineStr">
        <is>
          <t>terre eau pvm</t>
        </is>
      </c>
      <c r="B1973">
        <f>HYPERLINK("https://www.dofusbook.net/fr/equipement/2496086-terre-eau-pvm/objets", "link")</f>
        <v/>
      </c>
      <c r="C1973" t="n">
        <v>7</v>
      </c>
      <c r="D1973" t="inlineStr">
        <is>
          <t>Épouvante; Amulette Luminescente; Bracelet du Piloztère; Alliance de Missiz Frizz; Quatre-feuilles; Ceinture Luminescente; Casque de Missiz Frizz; Cape Luminescente; Pantoufles du Piloztère; Dofus Pourpre; Dolmanax; Dofus Turquoise; Dofus des Glaces; Dofus Ocre; Puissant majeur; Muldo Prune et Doré</t>
        </is>
      </c>
    </row>
    <row r="1974">
      <c r="A1974" t="inlineStr">
        <is>
          <t>terre ret pm</t>
        </is>
      </c>
      <c r="B1974">
        <f>HYPERLINK("https://www.dofusbook.net/fr/equipement/1585310-terre-ret-pm-/objets", "link")</f>
        <v/>
      </c>
      <c r="C1974" t="n">
        <v>6</v>
      </c>
      <c r="D1974" t="inlineStr">
        <is>
          <t>Marteau R'ture; Amulette Luminescente; Pikano; Anneau de Pol Ouatnos; Bouclier cubiste; Ceinture Luminescente; Casquipik; Cape Luminescente; Pikottes; Dofus des Glaces; Dofus Pourpre; Dofus Nébuleux; Dofus Ocre; Ralentisseur majeur; Entraveur majeur; Muldo Indigo et Pourpre</t>
        </is>
      </c>
    </row>
    <row r="1975">
      <c r="A1975" t="inlineStr">
        <is>
          <t>full eau</t>
        </is>
      </c>
      <c r="B1975">
        <f>HYPERLINK("https://www.dofusbook.net/fr/equipement/2489599-full-eau/objets", "link")</f>
        <v/>
      </c>
      <c r="C1975" t="n">
        <v>7</v>
      </c>
      <c r="D1975" t="inlineStr">
        <is>
          <t>Dagoulinantes; Amulette Cryochrone; Anneau Cryochrone; Anneau Glacial; Bouclier d'Ilyzaelle; Ceinture Glaciale; Némès de Tal Kasha; Chevelure de Tal Kasha; Sandales de Tal Kasha; Dofus Abyssal; Dofus Ocre; Dofus des Glaces; Dofus Nébuleux; Dofus Pourpre; Dofus Turquoise; Muldo Doré et Emeraude</t>
        </is>
      </c>
    </row>
    <row r="1976">
      <c r="A1976" t="inlineStr">
        <is>
          <t>multi</t>
        </is>
      </c>
      <c r="B1976">
        <f>HYPERLINK("https://www.dofusbook.net/fr/equipement/2489513-multi/objets", "link")</f>
        <v/>
      </c>
      <c r="C1976" t="n">
        <v>4</v>
      </c>
      <c r="D1976" t="inlineStr">
        <is>
          <t>Hache du Chalœil; Amulette du Strigide; Anneau de Padgref; Bracelet du Piloztère; Quatre-feuilles; Ceinture du Strigide; Némès de Tal Kasha; Chevelure de Tal Kasha; Bottes du Strigide; Dolmanax; Dofus Abyssal; Dofus Turquoise; Dofus des Glaces; Dofus Ocre; Furibond majeur; Muldo Prune et Emeraude</t>
        </is>
      </c>
    </row>
    <row r="1977">
      <c r="A1977" t="inlineStr">
        <is>
          <t>PVM TERRE AIR</t>
        </is>
      </c>
      <c r="B1977">
        <f>HYPERLINK("https://www.dofusbook.net/fr/equipement/1124583-pvm-terre-air/objets", "link")</f>
        <v/>
      </c>
      <c r="C1977" t="n">
        <v>4</v>
      </c>
      <c r="D1977" t="inlineStr">
        <is>
          <t>Héqache; Amulette du Strigide; Bague Gloursonne; Anneau des égarés; Bouclier du Captain Amakna; Ceinture du Strigide; Casque des égarés; Cape du Professeur Xa; Bottes du Strigide; Dolmanax; Dofus Turquoise; Dofus Pourpre; Dofus Ocre; Dofus des Glaces; Furibond majeur; Kompost</t>
        </is>
      </c>
    </row>
    <row r="1978">
      <c r="A1978" t="inlineStr">
        <is>
          <t>critique atcham</t>
        </is>
      </c>
      <c r="B1978">
        <f>HYPERLINK("https://www.dofusbook.net/fr/equipement/2019431-critique-atcham/objets", "link")</f>
        <v/>
      </c>
      <c r="C1978" t="n">
        <v>14</v>
      </c>
      <c r="D1978" t="inlineStr">
        <is>
          <t>Héqache; Amulette du Strigide; Bracelet du Piloztère; Anneau de Padgref; Quatre-feuilles; Ceinture du Strigide; Coiffe de Padgref; Cape de la Dame du Hasard; Getas de Padgref; Dofus Pourpre; Dofus Turquoise; Dofus des Glaces; Dofus Ocre; Dolmanax; Dofus Abyssal; Muldo Prune</t>
        </is>
      </c>
    </row>
    <row r="1979">
      <c r="A1979" t="inlineStr">
        <is>
          <t>feu air</t>
        </is>
      </c>
      <c r="B1979">
        <f>HYPERLINK("https://www.dofusbook.net/fr/equipement/2456200-feu-air/objets", "link")</f>
        <v/>
      </c>
      <c r="C1979" t="n">
        <v>3</v>
      </c>
      <c r="D1979" t="inlineStr">
        <is>
          <t>Marteau Phossile; Amulette de l'Indicible; Alliance Gloursonne; Bague Gloursonne; Bouclier du Stalak; Ceinture de l'Indicible; Masque de l'Esprit Salvateur; Voilamibe; Bottes de l'Indicible; Dofus des Glaces; Dofus Abyssal; Dofus Pourpre; Dofus Ocre; Féroce majeur; Robuste majeur</t>
        </is>
      </c>
    </row>
    <row r="1980">
      <c r="A1980" t="inlineStr">
        <is>
          <t>quadri de base</t>
        </is>
      </c>
      <c r="B1980">
        <f>HYPERLINK("https://www.dofusbook.net/fr/equipement/2454913-quadri-de-base/objets", "link")</f>
        <v/>
      </c>
      <c r="C1980" t="n">
        <v>3</v>
      </c>
      <c r="D1980" t="inlineStr">
        <is>
          <t>Epée Gloursonne; Amulette du Strigide; Bague Gloursonne; Alliance Gloursonne; Bouclier du Captain Amakna; Ceinture du Strigide; Masque du Barbétoal; Voile d'encre; Bottes du Strigide; Dofus Abyssal; Dofus Turquoise; Dofus des Glaces; Dofus Ocre; Dofus Émeraude; Dofus Pourpre; Muldo Prune et Indigo</t>
        </is>
      </c>
    </row>
    <row r="1981">
      <c r="A1981" t="inlineStr">
        <is>
          <t>eni feu soin</t>
        </is>
      </c>
      <c r="B1981">
        <f>HYPERLINK("https://www.dofusbook.net/fr/equipement/2418431-eni-feu-soin/objets", "link")</f>
        <v/>
      </c>
      <c r="C1981" t="n">
        <v>7</v>
      </c>
      <c r="D1981" t="inlineStr">
        <is>
          <t>Plumeau Bil; Pendentif affamé; Anneau Rifique; Anneauræus; Bivalve; Ceinture de Vortex; Casque Cyclopéen; Cape de Diondin; Bottes Innommables; Dofus Ocre; Guérisseur majeur; Nomade; Astucieux majeur; Érudit majeur; Savant majeur; Brûlih</t>
        </is>
      </c>
    </row>
    <row r="1982">
      <c r="A1982" t="inlineStr">
        <is>
          <t>spam ero</t>
        </is>
      </c>
      <c r="B1982">
        <f>HYPERLINK("https://www.dofusbook.net/fr/equipement/2391084-spam-ero/objets", "link")</f>
        <v/>
      </c>
      <c r="C1982" t="n">
        <v>7</v>
      </c>
      <c r="D1982" t="inlineStr">
        <is>
          <t>Epée Gloursonne; Amulette du Strigide; Alliance Gloursonne; Bague Gloursonne; Bouclier d'Ilyzaelle; Ceinture du Strigide; Masque du Barbétoal; Voile d'encre; Bottes du Strigide; Dofus Ivoire; Dofus Ocre; Dokoko; Dofus Abyssal; Dofus Émeraude; Dofus Vulbis; Kramkram</t>
        </is>
      </c>
    </row>
    <row r="1983">
      <c r="A1983" t="inlineStr">
        <is>
          <t>reseau</t>
        </is>
      </c>
      <c r="B1983">
        <f>HYPERLINK("https://www.dofusbook.net/fr/equipement/2391019-reseau/objets", "link")</f>
        <v/>
      </c>
      <c r="C1983" t="n">
        <v>6</v>
      </c>
      <c r="D1983" t="inlineStr">
        <is>
          <t>Dagues Eudin; Amulette de Gein; Bague Gloursonne; Chevalière du Roi Joueur; Bouclier du Stalak; Ceinture de Gein; Couronne du Roi Joueur; Voile d'encre; Bottes du Roi Joueur; Dofus Pourpre; Dofus Vulbis; Dofus des Glaces; Dofus Ocre; Dokoko; Dofus Abyssal; Kramkram</t>
        </is>
      </c>
    </row>
    <row r="1984">
      <c r="A1984" t="inlineStr">
        <is>
          <t>air crit</t>
        </is>
      </c>
      <c r="B1984">
        <f>HYPERLINK("https://www.dofusbook.net/fr/equipement/2020796-air-crit/objets", "link")</f>
        <v/>
      </c>
      <c r="C1984" t="n">
        <v>8</v>
      </c>
      <c r="D1984" t="inlineStr">
        <is>
          <t>Manthache; Amulette du Strigide; Anneau de Padgref; Kralano; Quatre-feuilles; Ceinture du Strigide; Coiffe de Padgref; Chevelure de Tal Kasha; Getas de Padgref; Dofus des Glaces; Dofus Ocre; Dolmanax; Dofus Abyssal; Dofus Pourpre; Dofus Turquoise; Muldo Prune et Emeraude</t>
        </is>
      </c>
    </row>
    <row r="1985">
      <c r="A1985" t="inlineStr">
        <is>
          <t>vv reine arc</t>
        </is>
      </c>
      <c r="B1985">
        <f>HYPERLINK("https://www.dofusbook.net/fr/equipement/2345060-vv-reine-arc/objets", "link")</f>
        <v/>
      </c>
      <c r="C1985" t="n">
        <v>4</v>
      </c>
      <c r="D1985" t="inlineStr">
        <is>
          <t>Baguette Hernelle; Collier du Valet Veinard; Gant du Valet Veinard; Alliance Gloursonne; Bouclier du Stalak; Ceinture de la Reine des Voleurs; Coiffe de la Reine des Voleurs; Cape du Valet Veinard; Bottes de la Reine des Voleurs; Dofus des Glaces; Dofus Ocre; Dokoko; Dofus Ivoire; Dofus Pourpre; Dofus Abyssal; Muldo Ebène</t>
        </is>
      </c>
    </row>
    <row r="1986">
      <c r="A1986" t="inlineStr">
        <is>
          <t>douze pa</t>
        </is>
      </c>
      <c r="B1986">
        <f>HYPERLINK("https://www.dofusbook.net/fr/equipement/2339207-douze-pa/objets", "link")</f>
        <v/>
      </c>
      <c r="C1986" t="n">
        <v>3</v>
      </c>
      <c r="D1986" t="inlineStr">
        <is>
          <t>Epée Gloursonne; Amulette de l'Œil Putride; Bague Gloursonne; Alliance Gloursonne; Bouclier du Stalak; Ceinture de l'Esprit Salvateur; Capuche de l'Œil Putride; Cape de l'Œil Putride; Bottes de l'Indicible; Dofus Ivoire; Dofus Abyssal; Dofus des Glaces; Dofus Ocre; Dokoko; Dofus Pourpre; Muldo Ebène et Pourpre</t>
        </is>
      </c>
    </row>
    <row r="1987">
      <c r="A1987" t="inlineStr">
        <is>
          <t>pyraguette</t>
        </is>
      </c>
      <c r="B1987">
        <f>HYPERLINK("https://www.dofusbook.net/fr/equipement/2336260-pyraguette/objets", "link")</f>
        <v/>
      </c>
      <c r="C1987" t="n">
        <v>2</v>
      </c>
      <c r="D1987" t="inlineStr">
        <is>
          <t>Pyraguette; Talisman Igans; Bracelet des Fonds marins; Alliance Gloursonne; Bouclier du Stalak; Ceintrigue; Casqnoar; Cape de la Dame du Hasard; Pataugastrique; Dofus Abyssal; Dofus Ocre; Dokoko; Dofus Pourpre; Dofus Ivoire; Dofus des Glaces; Muldo Indigo et Orchidée</t>
        </is>
      </c>
    </row>
    <row r="1988">
      <c r="A1988" t="inlineStr">
        <is>
          <t>Stuff 1</t>
        </is>
      </c>
      <c r="B1988">
        <f>HYPERLINK("https://www.dofusbook.net/fr/equipement/212758-stuff-1/objets", "link")</f>
        <v/>
      </c>
      <c r="C1988" t="n">
        <v>4</v>
      </c>
      <c r="D1988" t="inlineStr">
        <is>
          <t>Hache du Chalœil; Amulette du Strigide; Anneau de Padgref; Bracelet du Piloztère; Quatre-feuilles; Ceinture du Strigide; Coiffe de Padgref; Cape Luminescente; Getas de Padgref; Dofus Abyssal; Dofus Ocre; Dofus Ivoire; Dolmanax; Dokoko; Dofus Turquoise; Muldo Prune et Emeraude</t>
        </is>
      </c>
    </row>
    <row r="1989">
      <c r="A1989" t="inlineStr">
        <is>
          <t>necro critique</t>
        </is>
      </c>
      <c r="B1989">
        <f>HYPERLINK("https://www.dofusbook.net/fr/equipement/2305104-necro-critique/objets", "link")</f>
        <v/>
      </c>
      <c r="C1989" t="n">
        <v>6</v>
      </c>
      <c r="D1989" t="inlineStr">
        <is>
          <t>Arc Nécrotique; Collier de la Dame du Hasard; Bracelet du Piloztère; Bague Trithon; Quatre-feuilles; Ceinture de Kongoku; Masque Trithon; Cape de la Dame du Hasard; Bottes Trithon; Dofus Ivoire; Dofus Turquoise; Dofus Abyssal; Dofus Ocre; Dofus des Glaces; Dolmanax; Muldo Prune et Emeraude</t>
        </is>
      </c>
    </row>
    <row r="1990">
      <c r="A1990" t="inlineStr">
        <is>
          <t>vv reine arc</t>
        </is>
      </c>
      <c r="B1990">
        <f>HYPERLINK("https://www.dofusbook.net/fr/equipement/2221291-vv-reine-arc/objets", "link")</f>
        <v/>
      </c>
      <c r="C1990" t="n">
        <v>9</v>
      </c>
      <c r="D1990" t="inlineStr">
        <is>
          <t>Arc Ahique; Collier du Valet Veinard; Gant du Valet Veinard; Bracelet du Piloztère; Bouclier du Stalak; Ceinture de la Reine des Voleurs; Coiffe de la Reine des Voleurs; Cape du Valet Veinard; Bottes de la Reine des Voleurs; Dofus Pourpre; Dofus Ocre; Dofus Ivoire; Dofus des Glaces; Dokoko; Dofus Abyssal; Muldo Ebène et Orchidée</t>
        </is>
      </c>
    </row>
    <row r="1991">
      <c r="A1991" t="inlineStr">
        <is>
          <t>épée brulame</t>
        </is>
      </c>
      <c r="B1991">
        <f>HYPERLINK("https://www.dofusbook.net/fr/equipement/2206725-epee-brulame/objets", "link")</f>
        <v/>
      </c>
      <c r="C1991" t="n">
        <v>3</v>
      </c>
      <c r="D1991" t="inlineStr">
        <is>
          <t>Épée Brûlâme; Amulette de l'Œil Putride; Anneau de Padgref; Anneau Tique; Bouclier du Captain Amakna; Ceinture de l'Esprit Malsain; Capuche de l'Œil Putride; Cape de l'Œil Putride; Sandales  d'Atcham; Dofus Pourpre; Dofus Turquoise; Dolmanax; Dofus Ocre; Dofus des Glaces; Dofus Abyssal; Muldo Prune et Emeraude</t>
        </is>
      </c>
    </row>
    <row r="1992">
      <c r="A1992" t="inlineStr">
        <is>
          <t>Air eau dofust/nebu</t>
        </is>
      </c>
      <c r="B1992">
        <f>HYPERLINK("https://www.dofusbook.net/fr/equipement/2198402-air-eau-dofust-nebu/objets", "link")</f>
        <v/>
      </c>
      <c r="C1992" t="n">
        <v>6</v>
      </c>
      <c r="D1992" t="inlineStr">
        <is>
          <t>Pelle de la Cour Sombre; Amulette du Strigide; Bague Trithon; Bracelet du Piloztère; Bouclier Taverne; Ceinture du Strigide; Masque Trithon; Dofusteuse; Bottes Trithon; Dofus Abyssal; Dofus Ocre; Dofus Pourpre; Dofus Nébuleux; Dofus des Glaces; Dofus Turquoise; Muldo Ebène et Orchidée</t>
        </is>
      </c>
    </row>
    <row r="1993">
      <c r="A1993" t="inlineStr">
        <is>
          <t>dofusteuse nebu</t>
        </is>
      </c>
      <c r="B1993">
        <f>HYPERLINK("https://www.dofusbook.net/fr/equipement/2198357-dofusteuse-nebu/objets", "link")</f>
        <v/>
      </c>
      <c r="C1993" t="n">
        <v>2</v>
      </c>
      <c r="D1993" t="inlineStr">
        <is>
          <t>Arc de Koutoulou; Amulette du Strigide; Bague Gloursonne; Alliance Gloursonne; Quatre-feuilles; Ceinture du Strigide; Le Dorado; Dofusteuse; Sandales  d'Atcham; Dolmanax; Dofus Turquoise; Dofus Abyssal; Dofus Ocre; Dofus des Glaces; Dofus Nébuleux; Muldo Prune et Emeraude</t>
        </is>
      </c>
    </row>
    <row r="1994">
      <c r="A1994" t="inlineStr">
        <is>
          <t>feca crit atcham</t>
        </is>
      </c>
      <c r="B1994">
        <f>HYPERLINK("https://www.dofusbook.net/fr/equipement/2191591-feca-crit-atcham/objets", "link")</f>
        <v/>
      </c>
      <c r="C1994" t="n">
        <v>4</v>
      </c>
      <c r="D1994" t="inlineStr">
        <is>
          <t>Sabres d'Atcham; Amulette du Strigide; Anneau de Padgref; Bracelet du Piloztère; Quatre-feuilles; Ceinture du Strigide; Coiffe de Padgref; Cape d'Atcham; Getas de Padgref; Dofus des Glaces; Dofus Ocre; Dofus Ivoire; Dolmanax; Dofus Abyssal; Dofus Turquoise; Muldo Prune et Indigo</t>
        </is>
      </c>
    </row>
    <row r="1995">
      <c r="A1995" t="inlineStr">
        <is>
          <t>lance corrompu</t>
        </is>
      </c>
      <c r="B1995">
        <f>HYPERLINK("https://www.dofusbook.net/fr/equipement/2191158-lance-corrompu/objets", "link")</f>
        <v/>
      </c>
      <c r="C1995" t="n">
        <v>5</v>
      </c>
      <c r="D1995" t="inlineStr">
        <is>
          <t>Lance corrompue; Amulette de Nevark; Anneau Chevelu; Anneau des égarés; Bouclier Taverne; Ceinture de Nevark; Casque des égarés; Cape de Nevark; Bottes des égarés; Dofus Pourpre; Dofus Abyssal; Dofus Ocre; Dofus des Glaces; Robuste majeur; Féroce majeur; Muldo Doré et Ebène</t>
        </is>
      </c>
    </row>
    <row r="1996">
      <c r="A1996" t="inlineStr">
        <is>
          <t>feca suisse</t>
        </is>
      </c>
      <c r="B1996">
        <f>HYPERLINK("https://www.dofusbook.net/fr/equipement/2143337-feca-suisse/objets", "link")</f>
        <v/>
      </c>
      <c r="C1996" t="n">
        <v>4</v>
      </c>
      <c r="D1996" t="inlineStr">
        <is>
          <t>Héqache; Racine Hueuse; Alliance Gloursonne; Bague Gloursonne; Bouclier du Stalak; Ceinture Instable; Masque du Barbétoal; Voile d'encre; Pataugastrique; Dofus Émeraude; Dofus Ivoire; Obstructeur majeur; Remueur; Temporiseur majeur; Étourdisseur majeur; Muldo Ebène et Pourpre</t>
        </is>
      </c>
    </row>
    <row r="1997">
      <c r="A1997" t="inlineStr">
        <is>
          <t>full agi</t>
        </is>
      </c>
      <c r="B1997">
        <f>HYPERLINK("https://www.dofusbook.net/fr/equipement/2134554-full-agi/objets", "link")</f>
        <v/>
      </c>
      <c r="C1997" t="n">
        <v>3</v>
      </c>
      <c r="D1997" t="inlineStr">
        <is>
          <t>Manthache; Amulette du Strigide; Kralano; Anneau de Padgref; Quatre-feuilles; Ceinture du Strigide; Coiffe de Padgref; Cape Indescriptible; Getas de Padgref; Dofus Abyssal; Dofus Turquoise; Dofus des Glaces; Dofus Ocre; Dofus Émeraude; Dofus Pourpre; Muldo Prune et Emeraude</t>
        </is>
      </c>
    </row>
    <row r="1998">
      <c r="A1998" t="inlineStr">
        <is>
          <t>amaliev</t>
        </is>
      </c>
      <c r="B1998">
        <f>HYPERLINK("https://www.dofusbook.net/fr/equipement/2133740-amaliev/objets", "link")</f>
        <v/>
      </c>
      <c r="C1998" t="n">
        <v>2</v>
      </c>
      <c r="D1998" t="inlineStr">
        <is>
          <t>Epée Gloursonne; Amulette de Shokkoth; Bague Gloursonne; Alliance Gloursonne; Ceinture de la Reine des Voleurs; Coiffe de la Reine des Voleurs; Cape Matelassée; Bottes de la Reine des Voleurs; Dofus Pourpre; Dofus Émeraude; Voyageur; Puissant majeur; Féroce majeur; Robuste majeur; Muldo Doré et Orchidée</t>
        </is>
      </c>
    </row>
    <row r="1999">
      <c r="A1999" t="inlineStr">
        <is>
          <t>pourquoi soigner</t>
        </is>
      </c>
      <c r="B1999">
        <f>HYPERLINK("https://www.dofusbook.net/fr/equipement/1219205-pourquoi-soigner/objets", "link")</f>
        <v/>
      </c>
      <c r="C1999" t="n">
        <v>4</v>
      </c>
      <c r="D1999" t="inlineStr">
        <is>
          <t>Marteau des Anciens Steamers; Amulette du Strigide; Bracelet du Piloztère; Anneau de Padgref; Bouclier du Captain Amakna; Ceinture du Strigide; Némès de Tal Kasha; Chevelure de Tal Kasha; Sandales de Tal Kasha; Dofus des Glaces; Dofus Abyssal; Dofus Émeraude; Dofus Turquoise; Dolmanax; Dofus Ocre; Muldo Ebène et Indigo</t>
        </is>
      </c>
    </row>
    <row r="2000">
      <c r="A2000" t="inlineStr">
        <is>
          <t>padgref atcham pvm</t>
        </is>
      </c>
      <c r="B2000">
        <f>HYPERLINK("https://www.dofusbook.net/fr/equipement/212737-padgref-atcham-pvm/objets", "link")</f>
        <v/>
      </c>
      <c r="C2000" t="n">
        <v>3</v>
      </c>
      <c r="D2000" t="inlineStr">
        <is>
          <t>Arc corrompu; Amulette du Strigide; Anneau de Padgref; Bracelet du Piloztère; Quatre-feuilles; Ceinture du Strigide; Coiffe de Padgref; Cape de la Dame du Hasard; Getas de Padgref; Dofus des Glaces; Dofus Ocre; Dofus Abyssal; Dofus Pourpre; Dolmanax; Dofus Turquoise; Muldo Prune</t>
        </is>
      </c>
    </row>
    <row r="2001">
      <c r="A2001" t="inlineStr">
        <is>
          <t>Feu ret pm pvm</t>
        </is>
      </c>
      <c r="B2001">
        <f>HYPERLINK("https://www.dofusbook.net/fr/equipement/212739-feu-ret-pm-pvm/objets", "link")</f>
        <v/>
      </c>
      <c r="C2001" t="n">
        <v>5</v>
      </c>
      <c r="D2001" t="inlineStr">
        <is>
          <t>Arc Honte; Collier de la Dame du Hasard; Anneau Tamie; Anneau Tamie; Bouclier cubiste; Ceinture de Vortex; Couronne de Nidas; Cape de la Dame du Hasard; Pantoufles Émar; Dolmanax; Savant majeur; Temporiseur majeur; Nomade; Érudit majeur; Remueur; Kramkram</t>
        </is>
      </c>
    </row>
    <row r="2002">
      <c r="A2002" t="inlineStr">
        <is>
          <t>feu ret pa pvp</t>
        </is>
      </c>
      <c r="B2002">
        <f>HYPERLINK("https://www.dofusbook.net/fr/equipement/212738-feu-ret-pa-pvp/objets", "link")</f>
        <v/>
      </c>
      <c r="C2002" t="n">
        <v>6</v>
      </c>
      <c r="D2002" t="inlineStr">
        <is>
          <t>Arc corrompu; Talisman Igans; Kralano; Anneau Tique; Bouclier du Stalak; Ceinture de Vortex; Cagoule de Vortex; Voile d'encre; Pataugastrique; Dofus des Glaces; Dofus Abyssal; Dofus Pourpre; Étourdisseur majeur; Remueur; Érudit majeur; Muldo Orchidée et Pourpre</t>
        </is>
      </c>
    </row>
    <row r="2003">
      <c r="A2003" t="inlineStr">
        <is>
          <t>atcham pvp</t>
        </is>
      </c>
      <c r="B2003">
        <f>HYPERLINK("https://www.dofusbook.net/fr/equipement/1783733-atcham-pvp/objets", "link")</f>
        <v/>
      </c>
      <c r="C2003" t="n">
        <v>3</v>
      </c>
      <c r="D2003" t="inlineStr">
        <is>
          <t>Sabres d'Atcham; Talisman Igans; Anneau Tique; Anneau de Padgref; Bouclier Taverne; Ceintrigue; Coiffe de Padgref; Cape d'Atcham; Sandales  d'Atcham; Dofus Turquoise; Dofus Pourpre; Dofus Ocre; Dolmanax; Dofus Abyssal; Dofus des Glaces; Muldo Prune et Orchidée</t>
        </is>
      </c>
    </row>
    <row r="2004">
      <c r="A2004" t="inlineStr">
        <is>
          <t>Stuff 1</t>
        </is>
      </c>
      <c r="B2004">
        <f>HYPERLINK("https://www.dofusbook.net/fr/equipement/212782-stuff-1/objets", "link")</f>
        <v/>
      </c>
      <c r="C2004" t="n">
        <v>4</v>
      </c>
      <c r="D2004" t="inlineStr">
        <is>
          <t>Arc du Chalœil; Amulette Luminescente; Anneau du Comte Harebourg; Bracelet du Piloztère; Quatre-feuilles; Ceinture Luminescente; Coiffe du Comte Harebourg; Cape Luminescente; Bottes du Comte Harebourg; Dofus Vulbis; Dofus Ocre; Dofus Pourpre; Dofus Abyssal; Dofus Nébuleux; Dofus Turquoise; Kompost</t>
        </is>
      </c>
    </row>
    <row r="2005">
      <c r="A2005" t="inlineStr">
        <is>
          <t>multi no crit</t>
        </is>
      </c>
      <c r="B2005">
        <f>HYPERLINK("https://www.dofusbook.net/fr/equipement/2088375-multi-no-crit/objets", "link")</f>
        <v/>
      </c>
      <c r="C2005" t="n">
        <v>10</v>
      </c>
      <c r="D2005" t="inlineStr">
        <is>
          <t>Epée Kari; Amulette de l'Indicible; Bague Gloursonne; Alliance Gloursonne; Bouclier d'Ilyzaelle; Ceinture de l'Esprit Salvateur; Masque de l'Esprit Salvateur; Cape Peupret; Bottes de l'Esprit Salvateur; Dofus des Glaces; Dofus Ocre; Dolmanax; Dofus Ivoire; Dofus Pourpre; Dofus Abyssal; Muldo Orchidée et Pourpre</t>
        </is>
      </c>
    </row>
    <row r="2006">
      <c r="A2006" t="inlineStr">
        <is>
          <t>talka stri</t>
        </is>
      </c>
      <c r="B2006">
        <f>HYPERLINK("https://www.dofusbook.net/fr/equipement/2088121-talka-stri/objets", "link")</f>
        <v/>
      </c>
      <c r="C2006" t="n">
        <v>3</v>
      </c>
      <c r="D2006" t="inlineStr">
        <is>
          <t>Héqache; Amulette du Strigide; Anneau de Padgref; Bracelet du Piloztère; Bouclier Taverne; Ceinture du Strigide; Némès de Tal Kasha; Chevelure de Tal Kasha; Sandales de Tal Kasha; Dofus des Glaces; Dofus Turquoise; Dofus Abyssal; Dofus Ocre; Dofus Pourpre; Dofus Ivoire; Muldo Prune et Emeraude</t>
        </is>
      </c>
    </row>
    <row r="2007">
      <c r="A2007" t="inlineStr">
        <is>
          <t>triple pano</t>
        </is>
      </c>
      <c r="B2007">
        <f>HYPERLINK("https://www.dofusbook.net/fr/equipement/2079968-triple-pano-/objets", "link")</f>
        <v/>
      </c>
      <c r="C2007" t="n">
        <v>1</v>
      </c>
      <c r="D2007" t="inlineStr">
        <is>
          <t>Arc de Koutoulou; Amulette d'Ilyzaelle; Gant du Valet Veinard; Alliance Gloursonne; Bouclier d'Ilyzaelle; Menoture; Coiffe de la Reine des Voleurs; Cape du Valet Veinard; Bottes de la Reine des Voleurs; Muldo Ebène</t>
        </is>
      </c>
    </row>
    <row r="2008">
      <c r="A2008" t="inlineStr">
        <is>
          <t>malus 80 crit</t>
        </is>
      </c>
      <c r="B2008">
        <f>HYPERLINK("https://www.dofusbook.net/fr/equipement/2078795-malus-80-crit/objets", "link")</f>
        <v/>
      </c>
      <c r="C2008" t="n">
        <v>1</v>
      </c>
      <c r="D2008" t="inlineStr">
        <is>
          <t>Manthache; Collier du Valet Veinard; Alliance Gloursonne; Gant du Valet Veinard; Bouclier du Stalak; Ceinture de l'Esprit Salvateur; Masque de l'Esprit Salvateur; Cape du Valet Veinard; Bottes de l'Esprit Salvateur; Dofus Pourpre; Dofus des Glaces; Dofus Ivoire; Dofus Ocre; Dolmanax; Dofus Abyssal; Muldo Ebène</t>
        </is>
      </c>
    </row>
    <row r="2009">
      <c r="A2009" t="inlineStr">
        <is>
          <t>eau ret pa</t>
        </is>
      </c>
      <c r="B2009">
        <f>HYPERLINK("https://www.dofusbook.net/fr/equipement/2068602-eau-ret-pa/objets", "link")</f>
        <v/>
      </c>
      <c r="C2009" t="n">
        <v>5</v>
      </c>
      <c r="D2009" t="inlineStr">
        <is>
          <t>Dagoulinantes; Amulette de l'Œil Attentif; Alliance Gloursonne; Bracelet des Fonds marins; Quatre-feuilles; Ceinture du Barbétoal; Masque du Barbétoal; Chevelure de Tal Kasha; Pataugastrique; Dofus Pourpre; Dofus Abyssal; Dofus Turquoise; Chanceux majeur; Remueur; Étourdisseur majeur; Muldo Ebène et Indigo</t>
        </is>
      </c>
    </row>
    <row r="2010">
      <c r="A2010" t="inlineStr">
        <is>
          <t>vv voleur arc kout</t>
        </is>
      </c>
      <c r="B2010">
        <f>HYPERLINK("https://www.dofusbook.net/fr/equipement/2045725-vv-voleur-arc-kout/objets", "link")</f>
        <v/>
      </c>
      <c r="C2010" t="n">
        <v>4</v>
      </c>
      <c r="D2010" t="inlineStr">
        <is>
          <t>Pelle de Nidas; Collier du Valet Veinard; Bracelet du Piloztère; Gant du Valet Veinard; Bouclier Taverne; Ceinture de la Reine des Voleurs; Coiffe de la Reine des Voleurs; Cape du Valet Veinard; Bottes de la Reine des Voleurs; Dofus Ivoire; Dofus Abyssal; Dofus des Glaces; Dofus Ocre; Dolmanax; Dofus Pourpre; Muldo Ebène</t>
        </is>
      </c>
    </row>
    <row r="2011">
      <c r="A2011" t="inlineStr">
        <is>
          <t>Terre do pou</t>
        </is>
      </c>
      <c r="B2011">
        <f>HYPERLINK("https://www.dofusbook.net/fr/equipement/2020713-terre-do-pou/objets", "link")</f>
        <v/>
      </c>
      <c r="C2011" t="n">
        <v>2</v>
      </c>
      <c r="D2011" t="inlineStr">
        <is>
          <t>Arc du Chalœil; Amulette Luminescente; Bague Trithon; Anneau de Guten Tak; Bouclier Taverne; Ceinture Luminescente; Masque Trithon; Cape Luminescente; Bottes Trithon; Dofus Ocre; Dofus Pourpre; Dokoko; Dofus Turquoise; Dofus Abyssal; Bousculeur majeur; Muldo Ebène et Pourpre</t>
        </is>
      </c>
    </row>
    <row r="2012">
      <c r="A2012" t="inlineStr">
        <is>
          <t>padgreff herry</t>
        </is>
      </c>
      <c r="B2012">
        <f>HYPERLINK("https://www.dofusbook.net/fr/equipement/901466-padgreff-herry/objets", "link")</f>
        <v/>
      </c>
      <c r="C2012" t="n">
        <v>3</v>
      </c>
      <c r="D2012" t="inlineStr">
        <is>
          <t>Dagues Érhy; Amulette du Strigide; Kralano; Anneau de Padgref; Bouclier du Captain Amakna; Ceinture du Strigide; Coiffe de Padgref; Cape Lati; Getas de Padgref; Dofus Émeraude; Dofus Abyssal; Dofus Pourpre; Dofus Turquoise; Dofus des Glaces; Dofus Ocre; Muldo Prune et Emeraude</t>
        </is>
      </c>
    </row>
    <row r="2013">
      <c r="A2013" t="inlineStr">
        <is>
          <t>full feu abyssal</t>
        </is>
      </c>
      <c r="B2013">
        <f>HYPERLINK("https://www.dofusbook.net/fr/equipement/895085-full-feu-abyssal/objets", "link")</f>
        <v/>
      </c>
      <c r="C2013" t="n">
        <v>6</v>
      </c>
      <c r="D2013" t="inlineStr">
        <is>
          <t>Plumeau Bil; Pendentif affamé; Anneau Rifique; Anneau Tique; Ceinture de Vortex; Casque Cyclopéen; Cape de Diondin; Bottes Innommables; Dofus Abyssal; Dofus Émeraude; Dofus Pourpre; Dokoko; Dofus des Glaces; Remueur; Muldo Orchidée et Pourpre</t>
        </is>
      </c>
    </row>
    <row r="2014">
      <c r="A2014" t="inlineStr">
        <is>
          <t>multi axe air</t>
        </is>
      </c>
      <c r="B2014">
        <f>HYPERLINK("https://www.dofusbook.net/fr/equipement/894282-multi-axe-air/objets", "link")</f>
        <v/>
      </c>
      <c r="C2014" t="n">
        <v>7</v>
      </c>
      <c r="D2014" t="inlineStr">
        <is>
          <t>Manthache; Amulette du Strigide; Bracelet du Piloztère; Alliance Gloursonne; Bouclier du Captain Amakna; Ceinture du Strigide; Casque du Chalœil; Cape du Chalœil; Bottes du Chalœil; Dofus Émeraude; Dofus des Glaces; Dokoko; Dofus Ocre; Dofus Turquoise; Dofus Abyssal; Muldo Indigo et Orchidée</t>
        </is>
      </c>
    </row>
    <row r="2015">
      <c r="A2015" t="inlineStr">
        <is>
          <t>Air vv res</t>
        </is>
      </c>
      <c r="B2015">
        <f>HYPERLINK("https://www.dofusbook.net/fr/equipement/892968-air-vv-res/objets", "link")</f>
        <v/>
      </c>
      <c r="C2015" t="n">
        <v>4</v>
      </c>
      <c r="D2015" t="inlineStr">
        <is>
          <t>Manthache; Collier du Valet Veinard; Alliance Gloursonne; Gant du Valet Veinard; Menoture; Dorabysses; Cape du Kamasterisk; Palmes Trithons; Dofus Abyssal; Dofus Émeraude; Dokoko; Remueur; Cascadeur majeur; Nomade; Kramkram</t>
        </is>
      </c>
    </row>
    <row r="2016">
      <c r="A2016" t="inlineStr">
        <is>
          <t>full atcham pad stri</t>
        </is>
      </c>
      <c r="B2016">
        <f>HYPERLINK("https://www.dofusbook.net/fr/equipement/212757-full-atcham-pad-stri/objets", "link")</f>
        <v/>
      </c>
      <c r="C2016" t="n">
        <v>8</v>
      </c>
      <c r="D2016" t="inlineStr">
        <is>
          <t>Sabres d'Atcham; Amulette du Strigide; Bracelet des Fonds marins; Anneau de Padgref; Ceinture du Strigide; Coiffe de Padgref; Cape d'Atcham; Sandales  d'Atcham; Dofus des Glaces; Dofus Turquoise; Dofus Abyssal; Dofus Ocre; Dofus Pourpre; Dofus Émeraude; Muldo Prune</t>
        </is>
      </c>
    </row>
    <row r="2017">
      <c r="A2017" t="inlineStr">
        <is>
          <t>stri hache chaloeil</t>
        </is>
      </c>
      <c r="B2017">
        <f>HYPERLINK("https://www.dofusbook.net/fr/equipement/212756-stri-hache-chaloeil/objets", "link")</f>
        <v/>
      </c>
      <c r="C2017" t="n">
        <v>7</v>
      </c>
      <c r="D2017" t="inlineStr">
        <is>
          <t>Hache du Chalœil; Amulette du Strigide; Alliance Gloursonne; Bague Gloursonne; Bouclier du Captain Amakna; Ceinture du Strigide; Coiffe d'Ogivol; Voile d'encre; Bottes du Strigide; Dofus Pourpre; Dolmanax; Dofus Émeraude; Dofus Turquoise; Dofus des Glaces; Dofus Ocre; Muldo Doré et Pourpre</t>
        </is>
      </c>
    </row>
    <row r="2018">
      <c r="A2018" t="inlineStr">
        <is>
          <t>Canne har 199 cheap</t>
        </is>
      </c>
      <c r="B2018">
        <f>HYPERLINK("https://www.dofusbook.net/fr/equipement/212755-canne-har-199-cheap/objets", "link")</f>
        <v/>
      </c>
      <c r="C2018" t="n">
        <v>6</v>
      </c>
      <c r="D2018" t="inlineStr">
        <is>
          <t>Canne Harr; Amulette d'Otomaï; Anneau de Padgref; Kralano; Ceinture du Glourséleste; Coiffe de Padgref; Cape Matelassée; Pantoufles Émar; Dofus Turquoise; Remueur; Érudit majeur; Miraculé majeur; Vigoureux majeur; Nomade; Dragodinde Emeraude et Rousse</t>
        </is>
      </c>
    </row>
    <row r="2019">
      <c r="A2019" t="inlineStr">
        <is>
          <t>atcham</t>
        </is>
      </c>
      <c r="B2019">
        <f>HYPERLINK("https://www.dofusbook.net/fr/equipement/1965898-atcham/objets", "link")</f>
        <v/>
      </c>
      <c r="C2019" t="n">
        <v>1</v>
      </c>
      <c r="D2019" t="inlineStr">
        <is>
          <t>Sabres d'Atcham; Amulette de l'Œil Putride; Alliance Gloursonne; Anneau Tique; Sangle Ouare; Capuche de l'Œil Putride; Cape d'Atcham; Sandales  d'Atcham</t>
        </is>
      </c>
    </row>
    <row r="2020">
      <c r="A2020" t="inlineStr">
        <is>
          <t>Pvm low cost</t>
        </is>
      </c>
      <c r="B2020">
        <f>HYPERLINK("https://www.dofusbook.net/fr/equipement/1920715-pvm-low-cost/objets", "link")</f>
        <v/>
      </c>
      <c r="C2020" t="n">
        <v>10</v>
      </c>
      <c r="D2020" t="inlineStr">
        <is>
          <t>Epée Gloursonne; Amulette du Strigide; Bague Gloursonne; Alliance Gloursonne; Quatre-feuilles; Ceinture du Strigide; Le Dorado; Voilamibe; Bottes du Strigide; Dofus Turquoise; Dofus Pourpre; Furibond majeur; Puissant majeur; Savant majeur; Joueur majeur; Muldo Prune et Emeraude</t>
        </is>
      </c>
    </row>
    <row r="2021">
      <c r="A2021" t="inlineStr">
        <is>
          <t>feca puissance pvm</t>
        </is>
      </c>
      <c r="B2021">
        <f>HYPERLINK("https://www.dofusbook.net/fr/equipement/1897520-feca-puissance-pvm/objets", "link")</f>
        <v/>
      </c>
      <c r="C2021" t="n">
        <v>8</v>
      </c>
      <c r="D2021" t="inlineStr">
        <is>
          <t>Héqache; Amulette de l'Indicible; Bracelet du Piloztère; Alliance Gloursonne; Bouclier du Stalak; Ceinture du Strigide; Le Dorado; Voilamibe; Bottes du Strigide; Dofus des Glaces; Dofus Pourpre; Dolmanax; Robuste majeur; Vigoureux majeur; Remueur; Kramkram</t>
        </is>
      </c>
    </row>
    <row r="2022">
      <c r="A2022" t="inlineStr">
        <is>
          <t>feca range</t>
        </is>
      </c>
      <c r="B2022">
        <f>HYPERLINK("https://www.dofusbook.net/fr/equipement/1890266-feca-range/objets", "link")</f>
        <v/>
      </c>
      <c r="C2022" t="n">
        <v>2</v>
      </c>
      <c r="D2022" t="inlineStr">
        <is>
          <t>Baguette Range; Amulette du Strigide; Bracelet du Piloztère; Anneau de Padgref; Quatre-feuilles; Ceinture du Strigide; Coiffe de Padgref; Cape Lati; Getas de Padgref; Dofus Turquoise; Dofus Émeraude; Dofus Ocre; Dofus des Glaces; Dofus Abyssal; Dofus Pourpre; Muldo Prune et Emeraude</t>
        </is>
      </c>
    </row>
    <row r="2023">
      <c r="A2023" t="inlineStr">
        <is>
          <t>Stuff 2</t>
        </is>
      </c>
      <c r="B2023">
        <f>HYPERLINK("https://www.dofusbook.net/fr/equipement/212810-stuff-2/objets", "link")</f>
        <v/>
      </c>
      <c r="C2023" t="n">
        <v>2</v>
      </c>
      <c r="D2023" t="inlineStr">
        <is>
          <t>Epée Gloursonne; Amulette du Strigide; Bague Gloursonne; Alliance Gloursonne; Quatre-feuilles; Ceinture du Strigide; Masque du Barbétoal; Voile d'encre; Bottes du Strigide; Dofus Pourpre; Dofus Turquoise; Dofus des Glaces; Dofus Ocre; Dolmanax; Dofus Abyssal; Muldo Prune et Indigo</t>
        </is>
      </c>
    </row>
    <row r="2024">
      <c r="A2024" t="inlineStr">
        <is>
          <t>Atcham Cryo</t>
        </is>
      </c>
      <c r="B2024">
        <f>HYPERLINK("https://www.dofusbook.net/fr/equipement/212809-atcham-cryo/objets", "link")</f>
        <v/>
      </c>
      <c r="C2024" t="n">
        <v>1</v>
      </c>
      <c r="D2024" t="inlineStr">
        <is>
          <t>Sabres d'Atcham; Amulette Cryochrone; Anneau Cryochrone; Alliance Gloursonne; Quatre-feuilles; Ceinture de Kongoku; Coiffe Cryochrone; Cape d'Atcham; Sandales  d'Atcham; Dofus Pourpre; Dolmanax; Dofus Émeraude; Dofus Turquoise; Dofus des Glaces; Dofus Ocre; Muldo Ebène et Indigo</t>
        </is>
      </c>
    </row>
    <row r="2025">
      <c r="A2025" t="inlineStr">
        <is>
          <t>Eau post hack</t>
        </is>
      </c>
      <c r="B2025">
        <f>HYPERLINK("https://www.dofusbook.net/fr/equipement/1869659-eau-post-hack/objets", "link")</f>
        <v/>
      </c>
      <c r="C2025" t="n">
        <v>3</v>
      </c>
      <c r="D2025" t="inlineStr">
        <is>
          <t>Sceptre du Roi Joueur; Amulette du Sinistrofu; Alliance Gloursonne; Bracelet du Piloztère; Bouclier du Stalak; Poulpagne; Kidibonnet; Voilamibe; Bottes du Sinistrofu; Initiateur majeur; Fonceur majeur; Chanceux majeur; Vigoureux majeur; Dévastateur Eau majeur; Remueur; Muldo Ebène et Indigo</t>
        </is>
      </c>
    </row>
    <row r="2026">
      <c r="A2026" t="inlineStr">
        <is>
          <t>talka</t>
        </is>
      </c>
      <c r="B2026">
        <f>HYPERLINK("https://www.dofusbook.net/fr/equipement/1868994-talka/objets", "link")</f>
        <v/>
      </c>
      <c r="C2026" t="n">
        <v>4</v>
      </c>
      <c r="D2026" t="inlineStr">
        <is>
          <t>Manthache; Amulette du Strigide; Anneau de Padgref; Bracelet du Piloztère; Quatre-feuilles; Ceinture du Strigide; Némès de Tal Kasha; Chevelure de Tal Kasha; Sandales de Tal Kasha; Dofus Turquoise; Dofus des Glaces; Dofus Ocre; Dofus Pourpre; Dolmanax; Acrobate majeur; Muldo Ebène et Orchidée</t>
        </is>
      </c>
    </row>
    <row r="2027">
      <c r="A2027" t="inlineStr">
        <is>
          <t>cape de classe</t>
        </is>
      </c>
      <c r="B2027">
        <f>HYPERLINK("https://www.dofusbook.net/fr/equipement/1861943-cape-de-classe/objets", "link")</f>
        <v/>
      </c>
      <c r="C2027" t="n">
        <v>5</v>
      </c>
      <c r="D2027" t="inlineStr">
        <is>
          <t>Sceptre du Roi Joueur; Amulette de Shokkoth; Bracelet des Fonds marins; Alliance Gloursonne; Bouclier du Stalak; Ceinture de la Reine des Voleurs; Kidibonnet; Cape Endaison; Bottes de la Reine des Voleurs; Dofus des Glaces; Dofus Abyssal; Dofus Pourpre; Chanceux majeur; Dévastateur Eau majeur; Remueur; Muldo Ebène et Indigo</t>
        </is>
      </c>
    </row>
    <row r="2028">
      <c r="A2028" t="inlineStr">
        <is>
          <t>range pvp</t>
        </is>
      </c>
      <c r="B2028">
        <f>HYPERLINK("https://www.dofusbook.net/fr/equipement/1850449-range-pvp/objets", "link")</f>
        <v/>
      </c>
      <c r="C2028" t="n">
        <v>3</v>
      </c>
      <c r="D2028" t="inlineStr">
        <is>
          <t>Harpelle; Talisman Igans; Quatre-feuilles; Ceinture de Vortex; Coiffe de Padgref; Getas de Padgref; Dofus Turquoise; Dofus des Glaces; Dofus Abyssal; Dofus Pourpre; Cascadeur majeur; Remueur; Muldo Orchidée et Pourpre</t>
        </is>
      </c>
    </row>
    <row r="2029">
      <c r="A2029" t="inlineStr">
        <is>
          <t>air abyssal</t>
        </is>
      </c>
      <c r="B2029">
        <f>HYPERLINK("https://www.dofusbook.net/fr/equipement/212793-air-abyssal/objets", "link")</f>
        <v/>
      </c>
      <c r="C2029" t="n">
        <v>1</v>
      </c>
      <c r="D2029" t="inlineStr">
        <is>
          <t>Manthache; Collier du Valet Veinard; Alliance Gloursonne; Gant du Valet Veinard; Bouclier du Stalak; Menoture; Dorabysses; Cape du Kamasterisk; Palmes Trithons; Dofus Pourpre; Dofus des Glaces; Dofus Ocre; Dévastateur Air majeur; Cascadeur majeur</t>
        </is>
      </c>
    </row>
    <row r="2030">
      <c r="A2030" t="inlineStr">
        <is>
          <t>trithon lumi</t>
        </is>
      </c>
      <c r="B2030">
        <f>HYPERLINK("https://www.dofusbook.net/fr/equipement/1740496-trithon-lumi/objets", "link")</f>
        <v/>
      </c>
      <c r="C2030" t="n">
        <v>3</v>
      </c>
      <c r="D2030" t="inlineStr">
        <is>
          <t>Rapière aux Glyphes; Amulette Luminescente; Bracelet du Piloztère; Bague Trithon; Bouclier Taverne; Ceinture Luminescente; Masque Trithon; Cape Luminescente; Bottes Trithon; Dofus des Glaces; Dofus Vulbis; Dofus Pourpre; Dofus Turquoise; Dofus Émeraude; Dofus Ocre; Kramkram</t>
        </is>
      </c>
    </row>
    <row r="2031">
      <c r="A2031" t="inlineStr">
        <is>
          <t>terre 12 rture</t>
        </is>
      </c>
      <c r="B2031">
        <f>HYPERLINK("https://www.dofusbook.net/fr/equipement/1736402-terre-12-rture/objets", "link")</f>
        <v/>
      </c>
      <c r="C2031" t="n">
        <v>4</v>
      </c>
      <c r="D2031" t="inlineStr">
        <is>
          <t>Marteau R'ture; Amulette Luminescente; Bracelet du Piloztère; Bague Trithon; Bouclier du Captain Amakna; Ceinture Luminescente; Masque Trithon; Cape Luminescente; Bottes Trithon; Dofus Nébuleux; Dofus Ocre; Dofus Pourpre; Dofus Vulbis; Dofus Abyssal; Dofus Turquoise; Muldo Ebène et Pourpre</t>
        </is>
      </c>
    </row>
    <row r="2032">
      <c r="A2032" t="inlineStr">
        <is>
          <t>pvm 12 pa</t>
        </is>
      </c>
      <c r="B2032">
        <f>HYPERLINK("https://www.dofusbook.net/fr/equipement/1596238-pvm-12-pa/objets", "link")</f>
        <v/>
      </c>
      <c r="C2032" t="n">
        <v>4</v>
      </c>
      <c r="D2032" t="inlineStr">
        <is>
          <t>Epée Gloursonne; Amulette de Shokkoth; Bague Gloursonne; Alliance Gloursonne; Quatre-feuilles; Ceinture de Kongoku; Némès de Tal Kasha; Chevelure de Tal Kasha; Sandales de Tal Kasha; Dofus Émeraude; Dofus Pourpre; Dolmanax; Dofus Turquoise; Dofus des Glaces; Dofus Ocre; Muldo Prune et Emeraude</t>
        </is>
      </c>
    </row>
    <row r="2033">
      <c r="A2033" t="inlineStr">
        <is>
          <t>trithon crit</t>
        </is>
      </c>
      <c r="B2033">
        <f>HYPERLINK("https://www.dofusbook.net/fr/equipement/1640832-trithon-crit/objets", "link")</f>
        <v/>
      </c>
      <c r="C2033" t="n">
        <v>7</v>
      </c>
      <c r="D2033" t="inlineStr">
        <is>
          <t>Hache du Chalœil; Amulette du Strigide; Bracelet du Piloztère; Bague Trithon; Quatre-feuilles; Ceinture du Strigide; Masque Trithon; Voile d'encre; Bottes Trithon; Dofus Abyssal; Dofus Pourpre; Dolmanax; Dofus Turquoise; Dofus des Glaces; Dofus Ocre; Muldo Prune et Pourpre</t>
        </is>
      </c>
    </row>
    <row r="2034">
      <c r="A2034" t="inlineStr">
        <is>
          <t>full eau abysse</t>
        </is>
      </c>
      <c r="B2034">
        <f>HYPERLINK("https://www.dofusbook.net/fr/equipement/1596417-full-eau-abysse/objets", "link")</f>
        <v/>
      </c>
      <c r="C2034" t="n">
        <v>13</v>
      </c>
      <c r="D2034" t="inlineStr">
        <is>
          <t>Arc Ontanporin; Amulette de Shokkoth; Bracelet des Fonds marins; Alliance Gloursonne; Bouclier du Stalak; Poulpagne; Kidibonnet; Cape de Mantaze; Sandales des Fonds marins; Dofus Abyssal; Dofus des Glaces; Dofus Pourpre; Vigoureux majeur; Chanceux majeur; Dévastateur Eau majeur; Muldo Indigo</t>
        </is>
      </c>
    </row>
    <row r="2035">
      <c r="A2035" t="inlineStr">
        <is>
          <t>panda pvm res de put</t>
        </is>
      </c>
      <c r="B2035">
        <f>HYPERLINK("https://www.dofusbook.net/fr/equipement/1596202-panda-pvm-res-de-put/objets", "link")</f>
        <v/>
      </c>
      <c r="C2035" t="n">
        <v>10</v>
      </c>
      <c r="D2035" t="inlineStr">
        <is>
          <t>Rouleau à Pâtisserie d'Aermyne; Talisman Glouti; Anneau de XLII; Alliance Gloursonne; Ceinture de XLII; Coiffe d'Aermyne; Cape d'Aermyne; Bottes de XLII; Muldo Ebène et Indigo</t>
        </is>
      </c>
    </row>
    <row r="2036">
      <c r="A2036" t="inlineStr">
        <is>
          <t>stri ceinta</t>
        </is>
      </c>
      <c r="B2036">
        <f>HYPERLINK("https://www.dofusbook.net/fr/equipement/1591205-stri-ceinta/objets", "link")</f>
        <v/>
      </c>
      <c r="C2036" t="n">
        <v>3</v>
      </c>
      <c r="D2036" t="inlineStr">
        <is>
          <t>Héqache; Amulette du Strigide; Anneau de Pol Ouatnos; Alliance Gloursonne; Bouclier Taverne; Ceintacé; Boucle d'oreille de Kongoku; Voile d'encre; Bottes du Strigide; Dofus Pourpre; Dofus Turquoise; Dofus Abyssal; Dofus des Glaces; Dofus Émeraude; Remueur; Muldo Indigo et Pourpre</t>
        </is>
      </c>
    </row>
    <row r="2037">
      <c r="A2037" t="inlineStr">
        <is>
          <t>Air Terre</t>
        </is>
      </c>
      <c r="B2037">
        <f>HYPERLINK("https://www.dofusbook.net/fr/equipement/1590995-air-terre/objets", "link")</f>
        <v/>
      </c>
      <c r="C2037" t="n">
        <v>5</v>
      </c>
      <c r="D2037" t="inlineStr">
        <is>
          <t>Héqache; Amulette de Pol Ouatnos; Alliance Gloursonne; Anneau Chevelu; Bouclier Taverne; Ceintouse; Chapoulpe; Cape du Kamasterisk; Baleinabottes; Dofus Pourpre; Dofus des Glaces; Dofus Émeraude; Dofus Abyssal; Dolmanax; Remueur; Kramkram</t>
        </is>
      </c>
    </row>
    <row r="2038">
      <c r="A2038" t="inlineStr">
        <is>
          <t>pui pa cher</t>
        </is>
      </c>
      <c r="B2038">
        <f>HYPERLINK("https://www.dofusbook.net/fr/equipement/1588951-pui-pa-cher/objets", "link")</f>
        <v/>
      </c>
      <c r="C2038" t="n">
        <v>12</v>
      </c>
      <c r="D2038" t="inlineStr">
        <is>
          <t>Epée Kari; Amulette de l'Indicible; Grésilanneau; Bracelet du Piloztère; Bouclier du Stalak; Ceinture du Père Fwetar; Coiffe Ranshi; Voilamibe; Bottes du Père Fwetar; Vigoureux; Nomade; Vigoureux majeur; Remueur; Féroce majeur; Robuste majeur; Kwaltess</t>
        </is>
      </c>
    </row>
    <row r="2039">
      <c r="A2039" t="inlineStr">
        <is>
          <t>Terre eau do pou</t>
        </is>
      </c>
      <c r="B2039">
        <f>HYPERLINK("https://www.dofusbook.net/fr/equipement/1564060-terre-eau-do-pou/objets", "link")</f>
        <v/>
      </c>
      <c r="C2039" t="n">
        <v>19</v>
      </c>
      <c r="D2039" t="inlineStr">
        <is>
          <t>Dagues de Srambad; Amulette Luminescente; Bague Trithon; Bracelet des Fonds marins; Bouclier Taverne; Ceinture Luminescente; Masque des Fonds marins; Cape Luminescente; Sandales des Fonds marins; Dolmanax; Dofus Pourpre; Dofus Émeraude; Dofus Ocre; Dokoko; Carapace Neutre majeur; Muldo Ebène et Indigo</t>
        </is>
      </c>
    </row>
    <row r="2040">
      <c r="A2040" t="inlineStr">
        <is>
          <t>Eau abysses</t>
        </is>
      </c>
      <c r="B2040">
        <f>HYPERLINK("https://www.dofusbook.net/fr/equipement/1565032-eau-abysses/objets", "link")</f>
        <v/>
      </c>
      <c r="C2040" t="n">
        <v>3</v>
      </c>
      <c r="D2040" t="inlineStr">
        <is>
          <t>Arc Ontanporin; Amulette de Shokkoth; Bracelet des Fonds marins; Alliance Gloursonne; Bouclier du Stalak; Poulpagne; Kidibonnet; Cape de Mantaze; Sandales des Fonds marins; Dofus Pourpre; Dofus des Glaces; Dofus Abyssal; Chanceux majeur; Dévastateur Eau majeur; Vigoureux majeur; Muldo Indigo</t>
        </is>
      </c>
    </row>
    <row r="2041">
      <c r="A2041" t="inlineStr">
        <is>
          <t>Granduck</t>
        </is>
      </c>
      <c r="B2041">
        <f>HYPERLINK("https://www.dofusbook.net/fr/equipement/1563593-granduck/objets", "link")</f>
        <v/>
      </c>
      <c r="C2041" t="n">
        <v>1</v>
      </c>
      <c r="D2041" t="inlineStr">
        <is>
          <t>Épée du Granduk; Amulette du Granduk; Anneau d'Allister; Alliance Gloursonne; Quatre-feuilles; Ceinture de Klime; Couronne d'Allister; Cape de Klime; Bottes d'Allister; Dofus Vulbis; Dofus Pourpre; Dofus Turquoise; Dofus Abyssal; Dofus des Glaces; Dofus Ocre; Kramkram</t>
        </is>
      </c>
    </row>
    <row r="2042">
      <c r="A2042" t="inlineStr">
        <is>
          <t>iop pvm</t>
        </is>
      </c>
      <c r="B2042">
        <f>HYPERLINK("https://www.dofusbook.net/fr/equipement/1524459-iop-pvm/objets", "link")</f>
        <v/>
      </c>
      <c r="C2042" t="n">
        <v>6</v>
      </c>
      <c r="D2042" t="inlineStr">
        <is>
          <t>Epée Gloursonne; Amulette du Strigide; Bague Gloursonne; Alliance Gloursonne; Bouclier du Captain Amakna; Ceinture du Strigide; Coiffe de la Fuji Givrefoux; Voile d'encre; Bottes du Strigide; Dolmanax; Dofus Pourpre; Dofus Abyssal; Dofus Turquoise; Dofus des Glaces; Dofus Ocre; Muldo Prune et Pourpre</t>
        </is>
      </c>
    </row>
    <row r="2043">
      <c r="A2043" t="inlineStr">
        <is>
          <t>kama reine srambad</t>
        </is>
      </c>
      <c r="B2043">
        <f>HYPERLINK("https://www.dofusbook.net/fr/equipement/1510825-kama-reine-srambad/objets", "link")</f>
        <v/>
      </c>
      <c r="C2043" t="n">
        <v>5</v>
      </c>
      <c r="D2043" t="inlineStr">
        <is>
          <t>Dagues de Srambad; Amulette du Kamasterisk; Bague Gloursonne; Alliance Gloursonne; Bouclier du Captain Amakna; Ceinture de la Reine des Voleurs; Coiffe de la Reine des Voleurs; Cape du Kamasterisk; Bottes de la Reine des Voleurs; Dokoko; Dofus Ocre; Dofus Pourpre; Dofus Abyssal; Dofus Nébuleux; Dolmanax; Muldo Ebène et Orchidée</t>
        </is>
      </c>
    </row>
    <row r="2044">
      <c r="A2044" t="inlineStr">
        <is>
          <t>full sagesse</t>
        </is>
      </c>
      <c r="B2044">
        <f>HYPERLINK("https://www.dofusbook.net/fr/equipement/1483779-full-sagesse/objets", "link")</f>
        <v/>
      </c>
      <c r="C2044" t="n">
        <v>4</v>
      </c>
      <c r="D2044" t="inlineStr">
        <is>
          <t>Epée Gloursonne; Kralamansion; Annolamour; Kralano; Bouclier cubiste; Ceinture de Léthaline; Coiffe d'Ogivol; Cape de Léthaline; Bottes de Léthaline; Dofus Cawotte; Dofus Abyssal; Dofus Émeraude; Dofus Ocre; Ralentisseur majeur; Entraveur majeur; Minikrone</t>
        </is>
      </c>
    </row>
    <row r="2045">
      <c r="A2045" t="inlineStr">
        <is>
          <t>Indicible glours</t>
        </is>
      </c>
      <c r="B2045">
        <f>HYPERLINK("https://www.dofusbook.net/fr/equipement/1468799-indicible-glours/objets", "link")</f>
        <v/>
      </c>
      <c r="C2045" t="n">
        <v>6</v>
      </c>
      <c r="D2045" t="inlineStr">
        <is>
          <t>Epée Gloursonne; Amulette du Strigide; Bague Gloursonne; Alliance Gloursonne; Quatre-feuilles; Ceinture du Strigide; Masque du Barbétoal; Voile d'encre; Bottes du Strigide; Dofus des Glaces; Dofus Ocre; Dofus Abyssal; Dofus Pourpre; Dofus Nébuleux; Dofus Turquoise; Muldo Prune et Indigo</t>
        </is>
      </c>
    </row>
    <row r="2046">
      <c r="A2046" t="inlineStr">
        <is>
          <t>marteau 4pat</t>
        </is>
      </c>
      <c r="B2046">
        <f>HYPERLINK("https://www.dofusbook.net/fr/equipement/1408560-marteau-4pat/objets", "link")</f>
        <v/>
      </c>
      <c r="C2046" t="n">
        <v>25</v>
      </c>
      <c r="D2046" t="inlineStr">
        <is>
          <t>Marteau de Katrepat; Amulette du Strigide; Anneau Chevelu; Alliance Gloursonne; Bouclier du Captain Amakna; Ceintacé; Boucle d'oreille de Kongoku; Voile d'encre; Bottes du Strigide; Dofus Turquoise; Dofus Émeraude; Dolmanax; Dofus des Glaces; Nomade; Remueur; Kramkram</t>
        </is>
      </c>
    </row>
    <row r="2047">
      <c r="A2047" t="inlineStr">
        <is>
          <t>feu air double pano</t>
        </is>
      </c>
      <c r="B2047">
        <f>HYPERLINK("https://www.dofusbook.net/fr/equipement/1388125-feu-air-double-pano/objets", "link")</f>
        <v/>
      </c>
      <c r="C2047" t="n">
        <v>15</v>
      </c>
      <c r="D2047" t="inlineStr">
        <is>
          <t>Baguette Range; Amulette du Strigide; Alliance Gloursonne; Anneau de Padgref; Quatre-feuilles; Ceinture du Strigide; Coiffe de Padgref; Voile d'encre; Getas de Padgref; Dofus Abyssal; Dofus Ocre; Dofus des Glaces; Dofus Émeraude; Dokoko; Dofus Turquoise; Muldo Prune et Indigo</t>
        </is>
      </c>
    </row>
    <row r="2048">
      <c r="A2048" t="inlineStr">
        <is>
          <t>Feu air phossile</t>
        </is>
      </c>
      <c r="B2048">
        <f>HYPERLINK("https://www.dofusbook.net/fr/equipement/1384123-feu-air-phossile/objets", "link")</f>
        <v/>
      </c>
      <c r="C2048" t="n">
        <v>18</v>
      </c>
      <c r="D2048" t="inlineStr">
        <is>
          <t>Marteau Phossile; Amulette du Strigide; Anneau de Padgref; Alliance Gloursonne; Bouclier du Captain Amakna; Ceintacé; Boucle d'oreille de Kongoku; Voile d'encre; Bottes du Strigide; Dokoko; Dofus Turquoise; Dofus Pourpre; Dofus Émeraude; Nomade; Remueur; Kramkram</t>
        </is>
      </c>
    </row>
    <row r="2049">
      <c r="A2049" t="inlineStr">
        <is>
          <t>marteau herry</t>
        </is>
      </c>
      <c r="B2049">
        <f>HYPERLINK("https://www.dofusbook.net/fr/equipement/1373172-marteau-herry-/objets", "link")</f>
        <v/>
      </c>
      <c r="C2049" t="n">
        <v>5</v>
      </c>
      <c r="D2049" t="inlineStr">
        <is>
          <t>Marteau de Katrepat; Amulette du Strigide; Anneau des égarés; Anneau Chevelu; Bouclier du Captain Amakna; Ceinture du Strigide; Casque des égarés; Voile d'encre; Bottes du Strigide; Dofus Vulbis; Dofus Ocre; Dofus des Glaces; Dofus Nébuleux; Dolmanax; Dofus Turquoise; Kramkram</t>
        </is>
      </c>
    </row>
    <row r="2050">
      <c r="A2050" t="inlineStr">
        <is>
          <t>Eau-air koutoulou</t>
        </is>
      </c>
      <c r="B2050">
        <f>HYPERLINK("https://www.dofusbook.net/fr/equipement/1156263-eau-air-koutoulou/objets", "link")</f>
        <v/>
      </c>
      <c r="C2050" t="n">
        <v>3</v>
      </c>
      <c r="D2050" t="inlineStr">
        <is>
          <t>Arc de Koutoulou; Collier du Valet Veinard; Alliance Gloursonne; Gant du Valet Veinard; Ceinture de la Reine des Voleurs; Coiffe de la Reine des Voleurs; Cape du Valet Veinard; Bottes de la Reine des Voleurs; Dofus des Glaces; Dofus Émeraude; Dokoko; Dofus Abyssal; Dofus Pourpre; Dofus Ocre; Muldo Ebène</t>
        </is>
      </c>
    </row>
    <row r="2051">
      <c r="A2051" t="inlineStr">
        <is>
          <t>Rekop 0 crit</t>
        </is>
      </c>
      <c r="B2051">
        <f>HYPERLINK("https://www.dofusbook.net/fr/equipement/1101169-rekop-0-crit/objets", "link")</f>
        <v/>
      </c>
      <c r="C2051" t="n">
        <v>6</v>
      </c>
      <c r="D2051" t="inlineStr">
        <is>
          <t>Epée Gloursonne; Amulette de l'Indicible; Alliance Gloursonne; Bague Gloursonne; Bouclier du Stalak; Ceinture de l'Indicible; Casque du Chalœil; Cape du Chalœil; Bottes du Chalœil; Dofus des Glaces; Dokoko; Dofus Pourpre; Dofus Abyssal; Dofus Émeraude; Dofus Ocre; Muldo Indigo et Orchidée</t>
        </is>
      </c>
    </row>
    <row r="2052">
      <c r="A2052" t="inlineStr">
        <is>
          <t>zobal Heqache</t>
        </is>
      </c>
      <c r="B2052">
        <f>HYPERLINK("https://www.dofusbook.net/fr/equipement/1047541-zobal-heqache/objets", "link")</f>
        <v/>
      </c>
      <c r="C2052" t="n">
        <v>4</v>
      </c>
      <c r="D2052" t="inlineStr">
        <is>
          <t>Héqache; Amulette du Strigide; Anneau Chevelu; Bracelet du Piloztère; Bouclier du Captain Amakna; Ceintacé; Boucle d'oreille de Kongoku; Voile d'encre; Bottes du Strigide; Dofus Turquoise; Dofus des Glaces; Dofus Ocre; Dokoko; Dofus Émeraude; Dofus Abyssal; Muldo Prune et Pourpre</t>
        </is>
      </c>
    </row>
    <row r="2053">
      <c r="A2053" t="inlineStr">
        <is>
          <t>Stuff 3</t>
        </is>
      </c>
      <c r="B2053">
        <f>HYPERLINK("https://www.dofusbook.net/fr/equipement/212760-stuff-3/objets", "link")</f>
        <v/>
      </c>
      <c r="C2053" t="n">
        <v>5</v>
      </c>
      <c r="D2053" t="inlineStr">
        <is>
          <t>Epée Gloursonne; Amulette du Strigide; Bague Gloursonne; Alliance Gloursonne; Ceinture du Strigide; Masque du Barbétoal; Voile d'encre; Bottes du Strigide; Dofus des Glaces; Dofus Ocre; Dofus Abyssal; Dofus Pourpre; Dofus Nébuleux; Dofus Turquoise; Muldo Doré et Indigo</t>
        </is>
      </c>
    </row>
    <row r="2054">
      <c r="A2054" t="inlineStr">
        <is>
          <t>Stuff 1</t>
        </is>
      </c>
      <c r="B2054">
        <f>HYPERLINK("https://www.dofusbook.net/fr/equipement/212797-stuff-1/objets", "link")</f>
        <v/>
      </c>
      <c r="C2054" t="n">
        <v>2</v>
      </c>
      <c r="D2054" t="inlineStr">
        <is>
          <t>Rapière aux Glyphes; Amulette de Shokkoth; Alliance Gloursonne; Bracelet des Fonds marins; Poulpagne; Casque Dragoeuf; Cape du Sinistrofu; Sandales des Fonds marins; Dofus des Glaces; Dofus Émeraude; Dofus Abyssal; Remueur; Chanceux majeur; Dévastateur Eau majeur; Muldo Indigo et Pourpre</t>
        </is>
      </c>
    </row>
    <row r="2055">
      <c r="A2055" t="inlineStr">
        <is>
          <t>Stuff 3</t>
        </is>
      </c>
      <c r="B2055">
        <f>HYPERLINK("https://www.dofusbook.net/fr/equipement/212784-stuff-3/objets", "link")</f>
        <v/>
      </c>
      <c r="C2055" t="n">
        <v>7</v>
      </c>
      <c r="D2055" t="inlineStr">
        <is>
          <t>Dague Hirr; Amulette du Kamasterisk; Anneau des égarés; Anneau de Brouce; Ceinture de Brouce; Casque des égarés; Cape du Kamasterisk; Bottes de Brouce; Dolmanax; Dofus Ocre; Dofus des Glaces; Dokoko; Dofus Pourpre; Bloqueur majeur; Muldo Doré et Pourpre</t>
        </is>
      </c>
    </row>
    <row r="2056">
      <c r="A2056" t="inlineStr">
        <is>
          <t>Stuff 1</t>
        </is>
      </c>
      <c r="B2056">
        <f>HYPERLINK("https://www.dofusbook.net/fr/equipement/212814-stuff-1/objets", "link")</f>
        <v/>
      </c>
      <c r="C2056" t="n">
        <v>6</v>
      </c>
      <c r="D2056" t="inlineStr">
        <is>
          <t>Hache du Chalœil; Amulette du Strigide; Alliance Gloursonne; Bracelet du Piloztère; Ceintacé; Casque du Chalœil; Voile d'encre; Bottes du Strigide; Dofus des Glaces; Dofus Turquoise; Dofus Pourpre; Vigoureux majeur; Nomade; Remueur; Kramkram</t>
        </is>
      </c>
    </row>
    <row r="2057">
      <c r="A2057" t="inlineStr">
        <is>
          <t>Stuff 2</t>
        </is>
      </c>
      <c r="B2057">
        <f>HYPERLINK("https://www.dofusbook.net/fr/equipement/212759-stuff-2/objets", "link")</f>
        <v/>
      </c>
      <c r="C2057" t="n">
        <v>7</v>
      </c>
      <c r="D2057" t="inlineStr">
        <is>
          <t>Arc de Koutoulou; Amulette du Strigide; Anneau de Padgref; Alliance Gloursonne; Bouclier du Stalak; Ceinture du Strigide; Némès de Tal Kasha; Chevelure de Tal Kasha; Sandales de Tal Kasha; Dofus Turquoise; Dofus Abyssal; Dofus Ocre; Dofus Pourpre; Dofus Émeraude; Dofus des Glaces; Muldo Ebène et Indigo</t>
        </is>
      </c>
    </row>
    <row r="2058">
      <c r="A2058" t="inlineStr">
        <is>
          <t>Stuff 2</t>
        </is>
      </c>
      <c r="B2058">
        <f>HYPERLINK("https://www.dofusbook.net/fr/equipement/212783-stuff-2/objets", "link")</f>
        <v/>
      </c>
      <c r="C2058" t="n">
        <v>1</v>
      </c>
      <c r="D2058" t="inlineStr">
        <is>
          <t>Marteau de Katrepat; Amulette du Strigide; Bracelet du Piloztère; Bague Trithon; Ceinture du Strigide; Masque Trithon; Voile d'encre; Bottes Trithon</t>
        </is>
      </c>
    </row>
    <row r="2059">
      <c r="A2059" t="inlineStr">
        <is>
          <t>Stuff 2</t>
        </is>
      </c>
      <c r="B2059">
        <f>HYPERLINK("https://www.dofusbook.net/fr/equipement/212741-stuff-2/objets", "link")</f>
        <v/>
      </c>
      <c r="C2059" t="n">
        <v>8</v>
      </c>
      <c r="D2059" t="inlineStr">
        <is>
          <t>Pelle de Nidas; Amulette du Strigide; Bracelet du Piloztère; Alliance Gloursonne; Ceinture du Strigide; Coiffe d'Ogivol; Cape des Justiciers; Baleinabottes; Dofus des Glaces; Dofus Turquoise; Dofus Pourpre; Vigoureux majeur; Nomade; Remueur; Kramkram</t>
        </is>
      </c>
    </row>
    <row r="2060">
      <c r="A2060" t="inlineStr">
        <is>
          <t>Stuff 1</t>
        </is>
      </c>
      <c r="B2060">
        <f>HYPERLINK("https://www.dofusbook.net/fr/equipement/212740-stuff-1/objets", "link")</f>
        <v/>
      </c>
      <c r="C2060" t="n">
        <v>4</v>
      </c>
      <c r="D2060" t="inlineStr">
        <is>
          <t>Rapière aux Glyphes; Amulette de Shokkoth; Bracelet des Fonds marins; Alliance Gloursonne; Sangle Ouare; Kidibonnet; Cape du Sinistrofu; Sandales des Fonds marins; Dofus Pourpre; Dofus des Glaces; Remueur; Dévastateur Eau majeur; Vigoureux majeur; Chanceux majeur; Kramkram</t>
        </is>
      </c>
    </row>
    <row r="2061">
      <c r="A2061" t="inlineStr">
        <is>
          <t>Stuff 3</t>
        </is>
      </c>
      <c r="B2061">
        <f>HYPERLINK("https://www.dofusbook.net/fr/equipement/212742-stuff-3/objets", "link")</f>
        <v/>
      </c>
      <c r="C2061" t="n">
        <v>6</v>
      </c>
      <c r="D2061" t="inlineStr">
        <is>
          <t>Pelle de la Cour Sombre; Collier du Valet Veinard; Alliance Gloursonne; Gant du Valet Veinard; Ceinture du Barbétoal; Couronne d'Allister; Cape du Kamasterisk; Baleinabottes; Cascadeur majeur; Nomade; Remueur; Kramkram</t>
        </is>
      </c>
    </row>
    <row r="2062">
      <c r="A2062" t="inlineStr">
        <is>
          <t>cha</t>
        </is>
      </c>
      <c r="B2062">
        <f>HYPERLINK("https://www.dofusbook.net/fr/equipement/1498478-cha/objets", "link")</f>
        <v/>
      </c>
      <c r="C2062" t="n">
        <v>39</v>
      </c>
      <c r="D2062" t="inlineStr">
        <is>
          <t>Baguette de Torkélonia; Amulette du Strigide; Anneau Crustique; Anneau Crustique; Quatre-feuilles; Ceinture du Strigide; Corne de Torkélonia; Carapace de Torkélonia; Bottes du Strigide; Dofus Vulbis; Dofus Abyssal; Dofus Ocre; Dofus Ivoire; Dofus Pourpre; Dofus Turquoise</t>
        </is>
      </c>
    </row>
    <row r="2063">
      <c r="A2063" t="inlineStr">
        <is>
          <t>ini_for_new_world</t>
        </is>
      </c>
      <c r="B2063">
        <f>HYPERLINK("https://www.dofusbook.net/fr/equipement/1604755-ini-for-new-world/objets", "link")</f>
        <v/>
      </c>
      <c r="C2063" t="n">
        <v>32</v>
      </c>
      <c r="D2063" t="inlineStr">
        <is>
          <t>Baguette Hique; Amulette Volkorne; Bracelet des Fonds marins; Anneau Volkorne; Quatre-feuilles; Pagne du Rykaon; Némès de Tal Kasha; Chevelure de Tal Kasha; Sandales de Tal Kasha; Dofus Vulbis; Dofus Abyssal; Dofus Ocre; Dofus Ébène; Dofus Turquoise; Dofus Ivoire; Kokulte</t>
        </is>
      </c>
    </row>
    <row r="2064">
      <c r="A2064" t="inlineStr">
        <is>
          <t>Eliotrope M 200</t>
        </is>
      </c>
      <c r="B2064">
        <f>HYPERLINK("https://www.dofusbook.net/fr/equipement/3363220-eliotrope-m-200/objets", "link")</f>
        <v/>
      </c>
      <c r="C2064" t="n">
        <v>20</v>
      </c>
      <c r="D2064" t="inlineStr"/>
    </row>
    <row r="2065">
      <c r="A2065" t="inlineStr">
        <is>
          <t>new</t>
        </is>
      </c>
      <c r="B2065">
        <f>HYPERLINK("https://www.dofusbook.net/fr/equipement/2310543-new/objets", "link")</f>
        <v/>
      </c>
      <c r="C2065" t="n">
        <v>27</v>
      </c>
      <c r="D2065" t="inlineStr">
        <is>
          <t>Marteau R'ture; Amulette du Cœur Saignant; Anneau Crustique; Bracelet du Piloztère; Cadran d'Eau; Ceinture Volkorne; Masque de Koutoulou; Cape au Logis; Bottes du Cœur Saignant; Dofus Pourpre; Dofus Ocre; Dofus Abyssal; Dofus Ivoire; Dofus Turquoise; Dofus Ébène</t>
        </is>
      </c>
    </row>
    <row r="2066">
      <c r="A2066" t="inlineStr">
        <is>
          <t>Gff</t>
        </is>
      </c>
      <c r="B2066">
        <f>HYPERLINK("https://www.dofusbook.net/fr/equipement/1516302-gff/objets", "link")</f>
        <v/>
      </c>
      <c r="C2066" t="n">
        <v>34</v>
      </c>
      <c r="D2066" t="inlineStr">
        <is>
          <t>Amulette du Strigide; Alliance Gloursonne; Anneau Volkorne; Ceintacé; Casque Volkorne; Chevelure de Tal Kasha; Sandales de Tal Kasha</t>
        </is>
      </c>
    </row>
    <row r="2067">
      <c r="A2067" t="inlineStr">
        <is>
          <t>Huppermage M 200</t>
        </is>
      </c>
      <c r="B2067">
        <f>HYPERLINK("https://www.dofusbook.net/fr/equipement/4513434-huppermage-m-200/objets", "link")</f>
        <v/>
      </c>
      <c r="C2067" t="n">
        <v>24</v>
      </c>
      <c r="D2067" t="inlineStr">
        <is>
          <t>Manthache; Collier du Valet Veinard; Alliance Gloursonne; Gant du Valet Veinard; Bouclier du Stalak; Menoture; Couronne d'Allister; Cape Indescriptible; Palmes Trithons; Dofus Abyssal; Dofus Ébène; Dofus Ocre; Dofus des Glaces; Dofus Ivoire; Nomade; Blérodoudou</t>
        </is>
      </c>
    </row>
    <row r="2068">
      <c r="A2068" t="inlineStr">
        <is>
          <t>sdfsd</t>
        </is>
      </c>
      <c r="B2068">
        <f>HYPERLINK("https://www.dofusbook.net/fr/equipement/1625460-sdfsd/objets", "link")</f>
        <v/>
      </c>
      <c r="C2068" t="n">
        <v>7</v>
      </c>
      <c r="D2068" t="inlineStr">
        <is>
          <t>Dagoulinantes; Amulette Volkorne; Anneau Volkorne; Alliance Gloursonne; Bouclier du Captain Amakna; Ceinture Volkorne; Némès de Tal Kasha; Chevelure de Tal Kasha; Sandales de Tal Kasha; Dofus Ocre; Dofus Abyssal; Dofus Pourpre; Dofus Ébène; Dofus Turquoise; Dofus Ivoire; Kokulte</t>
        </is>
      </c>
    </row>
    <row r="2069">
      <c r="A2069" t="inlineStr">
        <is>
          <t>BlindBastard</t>
        </is>
      </c>
      <c r="B2069">
        <f>HYPERLINK("https://www.dofusbook.net/fr/equipement/1757167-blindbastard/objets", "link")</f>
        <v/>
      </c>
      <c r="C2069" t="n">
        <v>16</v>
      </c>
      <c r="D2069" t="inlineStr">
        <is>
          <t>Dagues du Dragoeuf; Amulette Volkorne; Anneau de Padgref; Anneau Volkorne; Quatre-feuilles; Ceinture Volkorne; Coiffe de Padgref; Voile d'encre; Getas de Padgref; Dofus Turquoise; Dofus Ébène; Dofus Ocre; Dofus Abyssal; Dofus Pourpre; Dofus Ivoire; Bisouglours</t>
        </is>
      </c>
    </row>
    <row r="2070">
      <c r="A2070" t="inlineStr">
        <is>
          <t>Enutrof M 200</t>
        </is>
      </c>
      <c r="B2070">
        <f>HYPERLINK("https://www.dofusbook.net/fr/equipement/5670513-enutrof-m-200/objets", "link")</f>
        <v/>
      </c>
      <c r="C2070" t="n">
        <v>1</v>
      </c>
      <c r="D2070" t="inlineStr"/>
    </row>
    <row r="2071">
      <c r="A2071" t="inlineStr">
        <is>
          <t>cvxc</t>
        </is>
      </c>
      <c r="B2071">
        <f>HYPERLINK("https://www.dofusbook.net/fr/equipement/1532099-cvxc/objets", "link")</f>
        <v/>
      </c>
      <c r="C2071" t="n">
        <v>41</v>
      </c>
      <c r="D2071" t="inlineStr">
        <is>
          <t>Manthache; Collier du Valet Veinard; Alliance Gloursonne; Gant du Valet Veinard; Droiture de Fallanster; Ceinture de l'Esprit Salvateur; Masque de l'Esprit Salvateur; Cape du Valet Veinard; Bottes de l'Esprit Salvateur; Dofus Ivoire; Dofus des Glaces; Dofus Vulbis; Dofus Ébène; Dofus Ocre; Dofus Abyssal; Blérodoudou</t>
        </is>
      </c>
    </row>
    <row r="2072">
      <c r="A2072" t="inlineStr">
        <is>
          <t>Sadida F 200</t>
        </is>
      </c>
      <c r="B2072">
        <f>HYPERLINK("https://www.dofusbook.net/fr/equipement/5665898-sadida-f-200/objets", "link")</f>
        <v/>
      </c>
      <c r="C2072" t="n">
        <v>1</v>
      </c>
      <c r="D2072" t="inlineStr">
        <is>
          <t>Epée Gloursonne; Amulette des Chocomanciens; Alliance Gloursonne; Bague Gloursonne; Ceinture des Chocomanciens; Casque du Chalœil; Cape du Chalœil; Bottes du Chalœil</t>
        </is>
      </c>
    </row>
    <row r="2073">
      <c r="A2073" t="inlineStr">
        <is>
          <t>xvdffvxd</t>
        </is>
      </c>
      <c r="B2073">
        <f>HYPERLINK("https://www.dofusbook.net/fr/equipement/1744015-xvdffvxd/objets", "link")</f>
        <v/>
      </c>
      <c r="C2073" t="n">
        <v>26</v>
      </c>
      <c r="D2073" t="inlineStr">
        <is>
          <t>Dagoulinantes; Amulette Volkorne; Alliance Gloursonne; Anneau Volkorne; Bouclier du Stalak; Ceinture de la Reine des Voleurs; Coiffe de la Reine des Voleurs; Cape de Mantaze; Bottes de la Reine des Voleurs; Dofus Ocre; Dofus Ivoire; Dofus Abyssal; Dofus Ébène; Dofus Turquoise; Voyageur; Kanigloups</t>
        </is>
      </c>
    </row>
    <row r="2074">
      <c r="A2074" t="inlineStr">
        <is>
          <t>rrr</t>
        </is>
      </c>
      <c r="B2074">
        <f>HYPERLINK("https://www.dofusbook.net/fr/equipement/1538900-rrr/objets", "link")</f>
        <v/>
      </c>
      <c r="C2074" t="n">
        <v>11</v>
      </c>
      <c r="D2074" t="inlineStr">
        <is>
          <t>Arc corrompu; Amulette Volkorne; Anneauræus; Anneauræus; Ceinture de Vortex; Cagoule de Vortex; Pataugastrique; Dofus Pourpre; Dofus Ébène; Dofus Ocre; Dofus Vulbis; Dofus Ivoire; Ross</t>
        </is>
      </c>
    </row>
    <row r="2075">
      <c r="A2075" t="inlineStr">
        <is>
          <t>raccattato</t>
        </is>
      </c>
      <c r="B2075">
        <f>HYPERLINK("https://www.dofusbook.net/fr/equipement/1591399-raccattato/objets", "link")</f>
        <v/>
      </c>
      <c r="C2075" t="n">
        <v>9</v>
      </c>
      <c r="D2075" t="inlineStr">
        <is>
          <t>Amrothiline; Amulette du Cœur Saignant; Anneau Crustique; Anneau de Padgref; Quatre-feuilles; Ceintacé; Coiffe de Padgref; Cape du Cœur Saignant; Getas de Padgref; Dofus des Glaces; Dofus Abyssal; Dofus Vulbis; Dofus Ivoire; Dofus Turquoise; Dofus Ébène; Kokulte</t>
        </is>
      </c>
    </row>
    <row r="2076">
      <c r="A2076" t="inlineStr">
        <is>
          <t>rffff</t>
        </is>
      </c>
      <c r="B2076">
        <f>HYPERLINK("https://www.dofusbook.net/fr/equipement/2262147-rffff/objets", "link")</f>
        <v/>
      </c>
      <c r="C2076" t="n">
        <v>6</v>
      </c>
      <c r="D2076" t="inlineStr">
        <is>
          <t>Dagoulinantes; Amulette d'Ilyzaelle; Alliance Gloursonne; Anneau Volkorne; Bouclier du Stalak; Ceinture Volkorne; Casque d'Ilyzaelle; Cape de Jahash Jurgen; Pataugastrique; Dofus Vulbis; Dofus Abyssal; Dofus Ivoire; Dofus Ocre; Dofus Ébène; Dragodinde Prune et Indigo</t>
        </is>
      </c>
    </row>
    <row r="2077">
      <c r="A2077" t="inlineStr">
        <is>
          <t>t5rtftg</t>
        </is>
      </c>
      <c r="B2077">
        <f>HYPERLINK("https://www.dofusbook.net/fr/equipement/1723333-t5rtftg/objets", "link")</f>
        <v/>
      </c>
      <c r="C2077" t="n">
        <v>23</v>
      </c>
      <c r="D2077" t="inlineStr">
        <is>
          <t>Arc corrompu; Amulette du Strigide; Anneau de Padgref; Anneau Toriété; Bouclier du Stalak; Ceinture du Strigide; Coiffe de Padgref; Cape de Jahash Jurgen; Getas de Padgref; Dofus Pourpre; Dofus Ébène; Dofus Ocre; Dofus Abyssal; Dofus Turquoise; Dofus Ivoire; Volkorne Doré et Orchidée</t>
        </is>
      </c>
    </row>
    <row r="2078">
      <c r="A2078" t="inlineStr">
        <is>
          <t>ghjgjg</t>
        </is>
      </c>
      <c r="B2078">
        <f>HYPERLINK("https://www.dofusbook.net/fr/equipement/1744590-ghjgjg/objets", "link")</f>
        <v/>
      </c>
      <c r="C2078" t="n">
        <v>7</v>
      </c>
      <c r="D2078" t="inlineStr">
        <is>
          <t>Arc du Chalœil; Torquistik; Baguistik; Bague Trithon; Bouclier précieux; Sangle Ouare; Masque du Barbétoal; Cape Solution; Bottes Owesli; Dofus Ivoire; Dofus Ocre; Dofus Abyssal; Culbuteur majeur; Bousculeur majeur; Pousseur majeur; Tatouf</t>
        </is>
      </c>
    </row>
    <row r="2079">
      <c r="A2079" t="inlineStr">
        <is>
          <t>bbb</t>
        </is>
      </c>
      <c r="B2079">
        <f>HYPERLINK("https://www.dofusbook.net/fr/equipement/1631257-bbb/objets", "link")</f>
        <v/>
      </c>
      <c r="C2079" t="n">
        <v>28</v>
      </c>
      <c r="D2079" t="inlineStr">
        <is>
          <t>Arc Nécrotique; Amulette Volkorne; Alliance Gloursonne; Anneau Volkorne; Quatre-feuilles; Ceintacé; Casque Volkorne; Cape de la Dame du Hasard; Bottes de la Dame du Hasard; Dofus Ivoire; Dofus Ocre; Dofus Pourpre; Dofus Abyssal; Dofus des Glaces; Dofus Turquoise; Kokulte</t>
        </is>
      </c>
    </row>
    <row r="2080">
      <c r="A2080" t="inlineStr">
        <is>
          <t>Pandawa M 200</t>
        </is>
      </c>
      <c r="B2080">
        <f>HYPERLINK("https://www.dofusbook.net/fr/equipement/3522373-pandawa-m-200/objets", "link")</f>
        <v/>
      </c>
      <c r="C2080" t="n">
        <v>9</v>
      </c>
      <c r="D2080" t="inlineStr">
        <is>
          <t>Amulette Volkorne; Chevalière du Roi Joueur; Ceinture Volkorne; Couronne du Roi Joueur; Bottes du Roi Joueur</t>
        </is>
      </c>
    </row>
    <row r="2081">
      <c r="A2081" t="inlineStr">
        <is>
          <t>aeee</t>
        </is>
      </c>
      <c r="B2081">
        <f>HYPERLINK("https://www.dofusbook.net/fr/equipement/2771547-aeee/objets", "link")</f>
        <v/>
      </c>
      <c r="C2081" t="n">
        <v>11</v>
      </c>
      <c r="D2081" t="inlineStr">
        <is>
          <t>Rapière aux Glyphes; Amulette de Shokkoth; Alliance Gloursonne; Anneau Volkorne; Bouclier du Stalak; Ceinture de l'Esprit Salvateur; Kidibonnet; Cape du Sinistrofu; Bottes du Sinistrofu; Dofus Pourpre; Dofus des Glaces; Chanceux majeur; Nomade; Vigoureux majeur; Remueur; Pioute bleu</t>
        </is>
      </c>
    </row>
    <row r="2082">
      <c r="A2082" t="inlineStr">
        <is>
          <t>Crâ M 200</t>
        </is>
      </c>
      <c r="B2082">
        <f>HYPERLINK("https://www.dofusbook.net/fr/equipement/3936606-cra-m-200/objets", "link")</f>
        <v/>
      </c>
      <c r="C2082" t="n">
        <v>15</v>
      </c>
      <c r="D2082" t="inlineStr">
        <is>
          <t>Hache du Korriandre; Amulette du Strigide; Anneau Volkorne; Alliance Gloursonne; Quatre-feuilles; Ceinture du Strigide; Casque Volkorne; Chevelure de Tal Kasha; Bottes du Strigide; Dofus des Glaces; Dofus Ivoire; Dofus Vulbis; Dofus Ocre; Dofus Pourpre; Dofus Abyssal; Kokulte</t>
        </is>
      </c>
    </row>
    <row r="2083">
      <c r="A2083" t="inlineStr">
        <is>
          <t>rff</t>
        </is>
      </c>
      <c r="B2083">
        <f>HYPERLINK("https://www.dofusbook.net/fr/equipement/1743591-rff/objets", "link")</f>
        <v/>
      </c>
      <c r="C2083" t="n">
        <v>9</v>
      </c>
      <c r="D2083" t="inlineStr">
        <is>
          <t>Hache du Korriandre; Amulette du Strigide; Alliance Gloursonne; Anneau Volkorne; Quatre-feuilles; Ceinture du Strigide; Casque Volkorne; Chevelure de Tal Kasha; Bottes du Strigide; Dofus Turquoise; Dofus des Glaces; Dofus Pourpre; Dofus Abyssal; Dofus Ocre</t>
        </is>
      </c>
    </row>
    <row r="2084">
      <c r="A2084" t="inlineStr">
        <is>
          <t>Féca M 200</t>
        </is>
      </c>
      <c r="B2084">
        <f>HYPERLINK("https://www.dofusbook.net/fr/equipement/3606174-feca-m-200/objets", "link")</f>
        <v/>
      </c>
      <c r="C2084" t="n">
        <v>2</v>
      </c>
      <c r="D2084" t="inlineStr">
        <is>
          <t>Bâthon; Amulette du Strigide; Ceinture du Strigide; Sac Volcanique; Sabots Volcaniques</t>
        </is>
      </c>
    </row>
    <row r="2085">
      <c r="A2085" t="inlineStr">
        <is>
          <t>anger-nabbo cc</t>
        </is>
      </c>
      <c r="B2085">
        <f>HYPERLINK("https://www.dofusbook.net/fr/equipement/1549355-anger-nabbo-cc/objets", "link")</f>
        <v/>
      </c>
      <c r="C2085" t="n">
        <v>1</v>
      </c>
      <c r="D2085" t="inlineStr">
        <is>
          <t>Torquistik; Baguistik; Ceinture Gence; Cape du Cœur Vaillant; Bottes du Cœur Vaillant</t>
        </is>
      </c>
    </row>
    <row r="2086">
      <c r="A2086" t="inlineStr">
        <is>
          <t>ffggf</t>
        </is>
      </c>
      <c r="B2086">
        <f>HYPERLINK("https://www.dofusbook.net/fr/equipement/1553570-ffggf/objets", "link")</f>
        <v/>
      </c>
      <c r="C2086" t="n">
        <v>7</v>
      </c>
      <c r="D2086" t="inlineStr">
        <is>
          <t>Arc du Chalœil; Amulette du Strigide; Bague Gloursonne; Anneau Crustique; Quatre-feuilles; Ceinture du Strigide; Masque de Koutoulou; Cape au Logis; Bottes du Cœur Saignant; Dofus Pourpre; Dofus Abyssal; Dofus Turquoise; Remueur; Vigoureux majeur; Enragé majeur; Kramkram</t>
        </is>
      </c>
    </row>
    <row r="2087">
      <c r="A2087" t="inlineStr">
        <is>
          <t>anger-nabbo</t>
        </is>
      </c>
      <c r="B2087">
        <f>HYPERLINK("https://www.dofusbook.net/fr/equipement/1542364-anger-nabbo/objets", "link")</f>
        <v/>
      </c>
      <c r="C2087" t="n">
        <v>9</v>
      </c>
      <c r="D2087" t="inlineStr">
        <is>
          <t>Lance corrompue; Amibou; Bague Trithon; Alliance Gloursonne; Ceinture Gence; Cape au Logis; Bottes du Cœur Vaillant; Dofus Abyssal; Dofus Pourpre; Dofus des Glaces; Culbuteur majeur; Remueur; Bousculeur majeur; Tanuk</t>
        </is>
      </c>
    </row>
    <row r="2088">
      <c r="A2088" t="inlineStr">
        <is>
          <t>rgh</t>
        </is>
      </c>
      <c r="B2088">
        <f>HYPERLINK("https://www.dofusbook.net/fr/equipement/1505584-rgh/objets", "link")</f>
        <v/>
      </c>
      <c r="C2088" t="n">
        <v>7</v>
      </c>
      <c r="D2088" t="inlineStr">
        <is>
          <t>Epée Toche; Amulette du Strigide; Bague Gloursonne; Bracelet du Piloztère; Ceinture du Strigide; Casque de Missiz Frizz; Cape au Logis; Baleinabottes; Remueur; Kwaltess</t>
        </is>
      </c>
    </row>
    <row r="2089">
      <c r="A2089" t="inlineStr">
        <is>
          <t>xzcdsfrg</t>
        </is>
      </c>
      <c r="B2089">
        <f>HYPERLINK("https://www.dofusbook.net/fr/equipement/1608784-xzcdsfrg/objets", "link")</f>
        <v/>
      </c>
      <c r="C2089" t="n">
        <v>6</v>
      </c>
      <c r="D2089" t="inlineStr">
        <is>
          <t>Baguette Hique; Amulette du Strigide; Alliance Gloursonne; Anneau Tique; Quatre-feuilles; Ceinture du Strigide; Némès de Tal Kasha; Chevelure de Tal Kasha; Sandales de Tal Kasha; Dofus Abyssal; Dofus Ocre; Dofus Pourpre; Dofus Nébuleux; Dofus Turquoise; Bouflux</t>
        </is>
      </c>
    </row>
    <row r="2090">
      <c r="A2090" t="inlineStr">
        <is>
          <t>sdf</t>
        </is>
      </c>
      <c r="B2090">
        <f>HYPERLINK("https://www.dofusbook.net/fr/equipement/1509359-sdf/objets", "link")</f>
        <v/>
      </c>
      <c r="C2090" t="n">
        <v>12</v>
      </c>
      <c r="D2090" t="inlineStr">
        <is>
          <t>Baguette de Malléfisk; Amulette de l'Indicible; Baguistik; Anneauræus; Bouclier d'Ilyzaelle; Ceinture de l'Indicible; Casque Cyclopéen; Cape de Diondin; Bottes Innommables; Dofus Émeraude; Dofus Abyssal; Miraculé majeur; Remueur; Érudit majeur; Muldo Orchidée et Pourpre</t>
        </is>
      </c>
    </row>
    <row r="2091">
      <c r="A2091" t="inlineStr">
        <is>
          <t>yyy</t>
        </is>
      </c>
      <c r="B2091">
        <f>HYPERLINK("https://www.dofusbook.net/fr/equipement/1589948-yyy/objets", "link")</f>
        <v/>
      </c>
      <c r="C2091" t="n">
        <v>2</v>
      </c>
      <c r="D2091" t="inlineStr">
        <is>
          <t>Hache Téroïde; Amulette du Strigide; Bracelet du Piloztère; Bague Gloursonne; Ceinture du Strigide; Chapeau de Gein; Voile d'encre; Bottes du Roi Joueur</t>
        </is>
      </c>
    </row>
    <row r="2092">
      <c r="A2092" t="inlineStr">
        <is>
          <t>ddd</t>
        </is>
      </c>
      <c r="B2092">
        <f>HYPERLINK("https://www.dofusbook.net/fr/equipement/1673478-ddd/objets", "link")</f>
        <v/>
      </c>
      <c r="C2092" t="n">
        <v>11</v>
      </c>
      <c r="D2092" t="inlineStr">
        <is>
          <t>Baguette de Malléfisk; Amulette du Strigide; Bracelet du Piloztère; Alliance Gloursonne; Bouclier du Stalak; Ceintacé; Masque de l'Esprit Salvateur; Capille; Bottes du Strigide; Dofus des Glaces; Dofus Pourpre; Dofus Ocre; Robuste majeur; Nomade; Vigoureux majeur; Kramkram</t>
        </is>
      </c>
    </row>
    <row r="2093">
      <c r="A2093" t="inlineStr">
        <is>
          <t>ytrtr</t>
        </is>
      </c>
      <c r="B2093">
        <f>HYPERLINK("https://www.dofusbook.net/fr/equipement/1586557-ytrtr/objets", "link")</f>
        <v/>
      </c>
      <c r="C2093" t="n">
        <v>5</v>
      </c>
      <c r="D2093" t="inlineStr">
        <is>
          <t>Sceptre du Roi Joueur; Amulette de Shokkoth; Alliance Gloursonne; Anneau Tique; Bouclier du Stalak; Ceinture du Barbétoal; Kidibonnet; Cape de la Dame du Hasard; Bottes de la Dame du Hasard; Dofus Pourpre; Dofus Ocre; Dofus Turquoise; Déserteur majeur; Chanceux majeur; Vigoureux majeur; Muldo Indigo et Orchidée</t>
        </is>
      </c>
    </row>
    <row r="2094">
      <c r="A2094" t="inlineStr">
        <is>
          <t>eetertt</t>
        </is>
      </c>
      <c r="B2094">
        <f>HYPERLINK("https://www.dofusbook.net/fr/equipement/1716169-eetertt/objets", "link")</f>
        <v/>
      </c>
      <c r="C2094" t="n">
        <v>4</v>
      </c>
      <c r="D2094" t="inlineStr">
        <is>
          <t>Hache Téroïde; Amulette du Strigide; Baguistik; Alliance Brûlâme; Ceintacé; Chapeau de Gein; Voile d'encre; Pompes Funèbres; Muldo Roux et Amande</t>
        </is>
      </c>
    </row>
    <row r="2095">
      <c r="A2095" t="inlineStr">
        <is>
          <t>dsd</t>
        </is>
      </c>
      <c r="B2095">
        <f>HYPERLINK("https://www.dofusbook.net/fr/equipement/1568123-dsd/objets", "link")</f>
        <v/>
      </c>
      <c r="C2095" t="n">
        <v>2</v>
      </c>
      <c r="D2095" t="inlineStr"/>
    </row>
    <row r="2096">
      <c r="A2096" t="inlineStr">
        <is>
          <t>terra</t>
        </is>
      </c>
      <c r="B2096">
        <f>HYPERLINK("https://www.dofusbook.net/fr/equipement/1709042-terra/objets", "link")</f>
        <v/>
      </c>
      <c r="C2096" t="n">
        <v>9</v>
      </c>
      <c r="D2096" t="inlineStr">
        <is>
          <t>La Racine Hagogue; Collier de Tourthon; Alliance Gloursonne; Bracelet du Piloztère; Carapar; Protopagne; Masque de Koutoulou; Voile d'encre</t>
        </is>
      </c>
    </row>
    <row r="2097">
      <c r="A2097" t="inlineStr">
        <is>
          <t>sqyinzy</t>
        </is>
      </c>
      <c r="B2097">
        <f>HYPERLINK("https://www.dofusbook.net/fr/equipement/1651152-sqyinzy/objets", "link")</f>
        <v/>
      </c>
      <c r="C2097" t="n">
        <v>10</v>
      </c>
      <c r="D2097" t="inlineStr">
        <is>
          <t>Marteau des égarés; Amulette du Strigide; Anneau de Padgref; Bracelet du Piloztère; Quatre-feuilles; Ceinture du Strigide; Bonnet Ko; Cape Reski; Bottes du Roi Joueur; Dofus Ocre; Dofus Pourpre; Dolmanax; Dofus Turquoise; Remueur; Nomade; Muldo Doré</t>
        </is>
      </c>
    </row>
    <row r="2098">
      <c r="A2098" t="inlineStr">
        <is>
          <t>rabab</t>
        </is>
      </c>
      <c r="B2098">
        <f>HYPERLINK("https://www.dofusbook.net/fr/equipement/1544954-rabab/objets", "link")</f>
        <v/>
      </c>
      <c r="C2098" t="n">
        <v>1</v>
      </c>
      <c r="D2098" t="inlineStr">
        <is>
          <t>Baguette de Malléfisk; Torquistik; Alliance Gloursonne; Bague Trithon; Poulpagne; Chapeau des Malveilleurs; Cape des Malveilleurs; Pataugastrique</t>
        </is>
      </c>
    </row>
    <row r="2099">
      <c r="A2099" t="inlineStr">
        <is>
          <t>b nnbnb</t>
        </is>
      </c>
      <c r="B2099">
        <f>HYPERLINK("https://www.dofusbook.net/fr/equipement/1531627-b-nnbnb/objets", "link")</f>
        <v/>
      </c>
      <c r="C2099" t="n">
        <v>19</v>
      </c>
      <c r="D2099" t="inlineStr">
        <is>
          <t>Rapière aux Glyphes; Collier de la Dame du Hasard; Alliance Gloursonne; Pikano; Bouclier cubiste; Ceinture de Kongoku; Kidibonnet; Cape de Kongoku; Bottes de Meno; Dofus Turquoise; Entraveur majeur; Remueur; Temporiseur; Temporiseur majeur; Chanceux majeur; Muldo Doré</t>
        </is>
      </c>
    </row>
    <row r="2100">
      <c r="A2100" t="inlineStr">
        <is>
          <t>eau air crit</t>
        </is>
      </c>
      <c r="B2100">
        <f>HYPERLINK("https://www.dofusbook.net/fr/equipement/6003758-eau-air-crit/objets", "link")</f>
        <v/>
      </c>
      <c r="C2100" t="n">
        <v>0</v>
      </c>
      <c r="D2100" t="inlineStr">
        <is>
          <t>Arc de Koutoulou; Amulette du Strigide; Anneau Volkorne; Alliance Gloursonne; Quatre-feuilles; Pagne du Rykaon; Kidibonnet; Chevelure de Tal Kasha; Sandales de Tal Kasha; Dofus Pourpre; Dofus Turquoise; Vigoureux majeur; Nomade; Chanceux majeur; Remueur; Kokulte</t>
        </is>
      </c>
    </row>
    <row r="2101">
      <c r="A2101" t="inlineStr">
        <is>
          <t>pvp 200 terre</t>
        </is>
      </c>
      <c r="B2101">
        <f>HYPERLINK("https://www.dofusbook.net/fr/equipement/5975968-pvp-200-terre/objets", "link")</f>
        <v/>
      </c>
      <c r="C2101" t="n">
        <v>1</v>
      </c>
      <c r="D2101" t="inlineStr">
        <is>
          <t>Lav'Hache; Amulette Volkorne; Anneau Chevelu; Bague Gloursonne; Bouclier d'Ilyzaelle; Ceinture Volkorne; Casque Dragoeuf; Cape du Kamasterisk; Sabots Minables; Dofus Pourpre; Dofus Émeraude; Dofus Abyssal; Enragé majeur; Nomade; Remueur; Dragodinde Amande et Pourpre</t>
        </is>
      </c>
    </row>
    <row r="2102">
      <c r="A2102" t="inlineStr">
        <is>
          <t>simon full feu</t>
        </is>
      </c>
      <c r="B2102">
        <f>HYPERLINK("https://www.dofusbook.net/fr/equipement/5990735-simon-full-feu/objets", "link")</f>
        <v/>
      </c>
      <c r="C2102" t="n">
        <v>1</v>
      </c>
      <c r="D2102" t="inlineStr">
        <is>
          <t>Arc corrompu; Amulette Séculaire; Anneauræus; Anneauræus; Quatre-feuilles; Ceinture Séculaire; Heaume Oplate; Cape de la Dame du Hasard; Bottes Innommables; Dofus Turquoise; Dofus Pourpre; Vigoureux majeur; Érudit majeur; Nomade; Remueur; Bisouglours</t>
        </is>
      </c>
    </row>
    <row r="2103">
      <c r="A2103" t="inlineStr">
        <is>
          <t>pvm 200 crit</t>
        </is>
      </c>
      <c r="B2103">
        <f>HYPERLINK("https://www.dofusbook.net/fr/equipement/5952019-pvm-200-crit/objets", "link")</f>
        <v/>
      </c>
      <c r="C2103" t="n">
        <v>2</v>
      </c>
      <c r="D2103" t="inlineStr">
        <is>
          <t>Héqache; Amulette du Strigide; Anneau Chevelu; Bague Gloursonne; Bouclier du Captain Amakna; Ceintacé; Corne de Torkélonia; Carapace de Torkélonia; Bottes du Cœur Saignant; Dofus Turquoise; Dofus Pourpre; Remueur; Vigoureux majeur; Enragé majeur; Nomade; Kokulte</t>
        </is>
      </c>
    </row>
    <row r="2104">
      <c r="A2104" t="inlineStr">
        <is>
          <t>Steam full crit</t>
        </is>
      </c>
      <c r="B2104">
        <f>HYPERLINK("https://www.dofusbook.net/fr/equipement/5984550-steam-full-crit-/objets", "link")</f>
        <v/>
      </c>
      <c r="C2104" t="n">
        <v>2</v>
      </c>
      <c r="D2104" t="inlineStr">
        <is>
          <t>Baguette de Torkélonia; Amulette du Strigide; Bague Gloursonne; Bracelet du Piloztère; Quatre-feuilles; Ceinture du Strigide; Corne de Torkélonia; Carapace de Torkélonia; Bottes Honyme; Dolmanax; Dofus Turquoise; Dofus Nébuleux; Dofus Ocre; Dofus Pourpre; Dofus des Glaces; Kokulte</t>
        </is>
      </c>
    </row>
    <row r="2105">
      <c r="A2105" t="inlineStr">
        <is>
          <t>Terre opti pas cher</t>
        </is>
      </c>
      <c r="B2105">
        <f>HYPERLINK("https://www.dofusbook.net/fr/equipement/5977178-terre-opti-pas-cher-/objets", "link")</f>
        <v/>
      </c>
      <c r="C2105" t="n">
        <v>2</v>
      </c>
      <c r="D2105" t="inlineStr">
        <is>
          <t>Arc du Chalœil; Amulette du Strigide; Anneau de Brouce; Bracelet du Piloztère; Quatre-feuilles; Ceinture du Strigide; Masque de Koutoulou; Cape au Logis; Baleinabottes; Dofus Turquoise; Dofus Pourpre; Nomade; Enragé majeur; Remueur; Vigoureux majeur; Bulbisou</t>
        </is>
      </c>
    </row>
    <row r="2106">
      <c r="A2106" t="inlineStr">
        <is>
          <t>Feu DO pou</t>
        </is>
      </c>
      <c r="B2106">
        <f>HYPERLINK("https://www.dofusbook.net/fr/equipement/5971053-feu-do-pou/objets", "link")</f>
        <v/>
      </c>
      <c r="C2106" t="n">
        <v>2</v>
      </c>
      <c r="D2106" t="inlineStr">
        <is>
          <t>Héqache; Torquistik; Baguistik; Anneauræus; Bouclier précieux; Croture; Masque Ardent; Cape Ardente; Bottistik; Dofus Ocre; Dofus Abyssal; Dofus Émeraude; Dofus Ivoire; Dofus Argenté; Dofus Ébène; Balafreux</t>
        </is>
      </c>
    </row>
    <row r="2107">
      <c r="A2107" t="inlineStr">
        <is>
          <t>Enu full frappe</t>
        </is>
      </c>
      <c r="B2107">
        <f>HYPERLINK("https://www.dofusbook.net/fr/equipement/5950832-enu-full-frappe/objets", "link")</f>
        <v/>
      </c>
      <c r="C2107" t="n">
        <v>34</v>
      </c>
      <c r="D2107" t="inlineStr">
        <is>
          <t>Baguette Hique; Amulette de Shokkoth; Alliance Gloursonne; Anneau Glacial; Quatre-feuilles; Pagne du Rykaon; Kidibonnet; Cape de la Dame du Hasard; Bottes de la Dame du Hasard; Dofus Turquoise; Dofus Pourpre; Nomade; Chanceux majeur; Remueur; Vigoureux majeur; Kokulte</t>
        </is>
      </c>
    </row>
    <row r="2108">
      <c r="A2108" t="inlineStr">
        <is>
          <t>Enu full frappe v2</t>
        </is>
      </c>
      <c r="B2108">
        <f>HYPERLINK("https://www.dofusbook.net/fr/equipement/5957692-enu-full-frappe-v2/objets", "link")</f>
        <v/>
      </c>
      <c r="C2108" t="n">
        <v>1</v>
      </c>
      <c r="D2108" t="inlineStr">
        <is>
          <t>Arc de Koutoulou; Amulette de Shokkoth; Anneau Glacial; Alliance Gloursonne; Quatre-feuilles; Pagne du Rykaon; Kidibonnet; Chevelure de Tal Kasha; Sandales de Tal Kasha; Dofus Pourpre; Dofus Turquoise; Chanceux majeur; Nomade; Vigoureux majeur; Remueur; Kokulte</t>
        </is>
      </c>
    </row>
    <row r="2109">
      <c r="A2109" t="inlineStr">
        <is>
          <t>Opti panda pas cher</t>
        </is>
      </c>
      <c r="B2109">
        <f>HYPERLINK("https://www.dofusbook.net/fr/equipement/5957502-opti-panda-pas-cher-/objets", "link")</f>
        <v/>
      </c>
      <c r="C2109" t="n">
        <v>15</v>
      </c>
      <c r="D2109" t="inlineStr">
        <is>
          <t>Baguette Nolog; Amulette Hendart; Anneau de Brouce; Bague Gloursonne; Quatre-feuilles; Ceinture de Brouce; Chapeau Potin; Cape au Logis; Sabots Minables; Dofus Turquoise; Remueur; Vigoureux majeur; Enragé majeur; Observateur; Nomade; Dragodinde Ivoire et Pourpre</t>
        </is>
      </c>
    </row>
    <row r="2110">
      <c r="A2110" t="inlineStr">
        <is>
          <t>Tabasse</t>
        </is>
      </c>
      <c r="B2110">
        <f>HYPERLINK("https://www.dofusbook.net/fr/equipement/5953559-tabasse-/objets", "link")</f>
        <v/>
      </c>
      <c r="C2110" t="n">
        <v>5</v>
      </c>
      <c r="D2110" t="inlineStr">
        <is>
          <t>Arc du Chalœil; Amulette du Strigide; Anneau de Brouce; Bracelet du Piloztère; Quatre-feuilles; Ceintacé; Masque de Koutoulou; Cape du Cœur Saignant; Bottes du Cœur Saignant; Dofus Pourpre; Dofus Nébuleux; Dofus Turquoise; Enragé majeur; Vigoureux majeur; Nomade; Dragodinde Ivoire et Pourpre</t>
        </is>
      </c>
    </row>
    <row r="2111">
      <c r="A2111" t="inlineStr">
        <is>
          <t>Xel full frappe</t>
        </is>
      </c>
      <c r="B2111">
        <f>HYPERLINK("https://www.dofusbook.net/fr/equipement/5951922-xel-full-frappe-/objets", "link")</f>
        <v/>
      </c>
      <c r="C2111" t="n">
        <v>7</v>
      </c>
      <c r="D2111" t="inlineStr">
        <is>
          <t>Arc du Chalœil; Amulette du Strigide; Anneau de Pol Ouatnos; Bracelet du Piloztère; Quatre-feuilles; Ceintacé; Masque de Koutoulou; Cape du Cœur Saignant; Bottes du Cœur Saignant; Dofus Pourpre; Dofus Turquoise; Enragé majeur; Vigoureux majeur; Nomade; Remueur; Dragodinde Ivoire et Pourpre</t>
        </is>
      </c>
    </row>
    <row r="2112">
      <c r="A2112" t="inlineStr">
        <is>
          <t>Panda full tank</t>
        </is>
      </c>
      <c r="B2112">
        <f>HYPERLINK("https://www.dofusbook.net/fr/equipement/5951371-panda-full-tank-/objets", "link")</f>
        <v/>
      </c>
      <c r="C2112" t="n">
        <v>3</v>
      </c>
      <c r="D2112" t="inlineStr">
        <is>
          <t>Rouleau à Pâtisserie d'Aermyne; Collier Rophante; Alliance Gloursonne; Bague Trithon; Sept ans de malheur; Ceinture de Kongoku; Masque d'Anerice; Cape d'Anerice; Pataugastrique; Dofus Ocre; Dofus Émeraude; Dofus Ivoire; Tacleur majeur; Bloqueur majeur; Obstructeur majeur; Givrefoux</t>
        </is>
      </c>
    </row>
    <row r="2113">
      <c r="A2113" t="inlineStr">
        <is>
          <t>Panda full frappe</t>
        </is>
      </c>
      <c r="B2113">
        <f>HYPERLINK("https://www.dofusbook.net/fr/equipement/5951534-panda-full-frappe-/objets", "link")</f>
        <v/>
      </c>
      <c r="C2113" t="n">
        <v>6</v>
      </c>
      <c r="D2113" t="inlineStr">
        <is>
          <t>Arc Nécrotique; Amulette du Strigide; Bracelet du Piloztère; Anneau de Padgref; Quatre-feuilles; Pagne du Rykaon; Kidibonnet; Cape de la Dame du Hasard; Bottes de la Dame du Hasard; Dofus Turquoise; Dofus Pourpre; Remueur; Érudit majeur; Nomade; Vigoureux majeur; Kokulte</t>
        </is>
      </c>
    </row>
    <row r="2114">
      <c r="A2114" t="inlineStr">
        <is>
          <t>Steam full frappe</t>
        </is>
      </c>
      <c r="B2114">
        <f>HYPERLINK("https://www.dofusbook.net/fr/equipement/5951191-steam-full-frappe-/objets", "link")</f>
        <v/>
      </c>
      <c r="C2114" t="n">
        <v>5</v>
      </c>
      <c r="D2114" t="inlineStr">
        <is>
          <t>Hache du Chalœil; Amulette du Strigide; Anneau de Padgref; Bracelet du Piloztère; Quatre-feuilles; Ceinture du Strigide; Coiffe de Padgref; Cape au Logis; Getas de Padgref; Dolmanax; Dofus Ocre; Dofus Pourpre; Dofus Abyssal; Dofus Turquoise; Dofus des Glaces; Kokulte</t>
        </is>
      </c>
    </row>
    <row r="2115">
      <c r="A2115" t="inlineStr">
        <is>
          <t>Féca feu/soin</t>
        </is>
      </c>
      <c r="B2115">
        <f>HYPERLINK("https://www.dofusbook.net/fr/equipement/5948848-feca-feu-soin/objets", "link")</f>
        <v/>
      </c>
      <c r="C2115" t="n">
        <v>6</v>
      </c>
      <c r="D2115" t="inlineStr">
        <is>
          <t>Arc Hétype; Amulette de Nileza; Anneau de Nidas; Anneau Toriété; Bouclier du Cycloïde; Ceinture Séculaire; Chapeau Lochon; Cape de Diondin; Tongues de Nidas; Érudit majeur; Remueur; Déserteur majeur; Vigoureux majeur; Guérisseur majeur; Nomade; Dragodinde Ivoire et Orchidée</t>
        </is>
      </c>
    </row>
    <row r="2116">
      <c r="A2116" t="inlineStr">
        <is>
          <t>Sacrieur M 200</t>
        </is>
      </c>
      <c r="B2116">
        <f>HYPERLINK("https://www.dofusbook.net/fr/equipement/5948748-sacrieur-m-200/objets", "link")</f>
        <v/>
      </c>
      <c r="C2116" t="n">
        <v>9</v>
      </c>
      <c r="D2116" t="inlineStr">
        <is>
          <t>Karnak; Collier du Valet Veinard; Alliance Gloursonne; Gant du Valet Veinard; Bouclier d'Ilyzaelle; Menoture; Dorabysses; Cape du Kamasterisk; Palmes Trithons; Dofus Émeraude; Dofus Pourpre; Cascadeur majeur; Nomade; Remueur; Miraculé majeur; Volkorne Améthyste et Ebène</t>
        </is>
      </c>
    </row>
    <row r="2117">
      <c r="A2117" t="inlineStr">
        <is>
          <t>poulp vv</t>
        </is>
      </c>
      <c r="B2117">
        <f>HYPERLINK("https://www.dofusbook.net/fr/equipement/2606866-poulp-vv/objets", "link")</f>
        <v/>
      </c>
      <c r="C2117" t="n">
        <v>4</v>
      </c>
      <c r="D2117" t="inlineStr">
        <is>
          <t>Lance corrompue; Collier du Valet Veinard; Alliance Gloursonne; Gant du Valet Veinard; Bouclier du Captain Amakna; Ceintouse; Chapoulpe; Cape du Valet Veinard; Tentassons; Dofus Émeraude; Dofus des Glaces; Dofus Pourpre; Dofus Abyssal; Dofus Nébuleux; Dofus Ocre; Muldo Ebène</t>
        </is>
      </c>
    </row>
    <row r="2118">
      <c r="A2118" t="inlineStr">
        <is>
          <t>Terre</t>
        </is>
      </c>
      <c r="B2118">
        <f>HYPERLINK("https://www.dofusbook.net/fr/equipement/5273367-terre/objets", "link")</f>
        <v/>
      </c>
      <c r="C2118" t="n">
        <v>6</v>
      </c>
      <c r="D2118" t="inlineStr">
        <is>
          <t>Crocobur; Amulette Volkorne; Bague Gloursonne; Alliance Gloursonne; Bouclier d'Ilyzaelle; Ceinture Volkorne; Masque de Koutoulou; Cape au Logis; Bottes de la Cour Sombre; Dofus Ocre; Dofus Abyssal; Dofus Argenté; Dofus Ivoire; Dofus Émeraude; Dofus Ébène; Dragodinde Ivoire et Pourpre</t>
        </is>
      </c>
    </row>
    <row r="2119">
      <c r="A2119" t="inlineStr">
        <is>
          <t>Zobal F 200</t>
        </is>
      </c>
      <c r="B2119">
        <f>HYPERLINK("https://www.dofusbook.net/fr/equipement/4329807-zobal-f-200/objets", "link")</f>
        <v/>
      </c>
      <c r="C2119" t="n">
        <v>9</v>
      </c>
      <c r="D2119" t="inlineStr">
        <is>
          <t>Arc Nécrotique; Collier de la Dame du Hasard; Bague Trithon; Anneau de Pol Ouatnos; Quatre-feuilles; Ceinture de Kongoku; Masque Trithon; Cape de la Dame du Hasard; Bottes de la Dame du Hasard; Dofus Pourpre; Dofus Abyssal; Dofus Turquoise; Dofus Ivoire; Dokoko; Dofus Ocre; Kokulte</t>
        </is>
      </c>
    </row>
    <row r="2120">
      <c r="A2120" t="inlineStr">
        <is>
          <t>Sram F 200</t>
        </is>
      </c>
      <c r="B2120">
        <f>HYPERLINK("https://www.dofusbook.net/fr/equipement/3832636-sram-f-200/objets", "link")</f>
        <v/>
      </c>
      <c r="C2120" t="n">
        <v>9</v>
      </c>
      <c r="D2120" t="inlineStr">
        <is>
          <t>Manthache; Collier du Valet Veinard; Gant du Valet Veinard; Alliance Gloursonne; Bouclier du Stalak; Menoture; Couronne d'Allister; Cape Indescriptible; Palmes Trithons; Dofus des Glaces; Dofus Pourpre; Dofus Abyssal; Dofus Ocre; Dofus Ivoire; Nomade; Blérodoudou</t>
        </is>
      </c>
    </row>
    <row r="2121">
      <c r="A2121" t="inlineStr">
        <is>
          <t>Steamer M 200</t>
        </is>
      </c>
      <c r="B2121">
        <f>HYPERLINK("https://www.dofusbook.net/fr/equipement/4123613-steamer-m-200/objets", "link")</f>
        <v/>
      </c>
      <c r="C2121" t="n">
        <v>6</v>
      </c>
      <c r="D2121" t="inlineStr">
        <is>
          <t>Hachoirs de Viandargh; Amibou; Alliance Gloursonne; Gant du Valet Veinard; Bouclier Taverne; Sangle Ouare; Casque Dragoeuf; Cape du Valet Veinard; Baleinabottes; Dofus Ivoire; Dofus Ocre; Dofus Abyssal; Culbuteur majeur; Culbuteur; Pousseur majeur; Tofoudre</t>
        </is>
      </c>
    </row>
    <row r="2122">
      <c r="A2122" t="inlineStr">
        <is>
          <t>Eniripsa M 200</t>
        </is>
      </c>
      <c r="B2122">
        <f>HYPERLINK("https://www.dofusbook.net/fr/equipement/4115265-eniripsa-m-200/objets", "link")</f>
        <v/>
      </c>
      <c r="C2122" t="n">
        <v>9</v>
      </c>
      <c r="D2122" t="inlineStr">
        <is>
          <t>Pyraguette; Amulette Volkorne; Anneau Tique; Anneau Volkorne; Bouclier du Cycloïde; Ceintrigue; Capuche de l'Œil Attentif; Cape Solution; Bottes de Meno; Dofus Ivoire; Dofus Ocre; Dofus Abyssal; Étourdisseur majeur; Carapace Feu majeur; Guérisseur majeur; Ross</t>
        </is>
      </c>
    </row>
    <row r="2123">
      <c r="A2123" t="inlineStr">
        <is>
          <t>Sadida F 200</t>
        </is>
      </c>
      <c r="B2123">
        <f>HYPERLINK("https://www.dofusbook.net/fr/equipement/4089231-sadida-f-200/objets", "link")</f>
        <v/>
      </c>
      <c r="C2123" t="n">
        <v>19</v>
      </c>
      <c r="D2123" t="inlineStr">
        <is>
          <t>Arc Honte; Amulette Volkorne; Alliance Gloursonne; Anneauræus; Bouclier cubiste; Protopagne; Masquegel; Cape Martegel; Pantoufles Émar; Dofus Ocre; Dofus Ivoire; Dofus des Glaces; Dofus Pourpre; Dofus Abyssal; Temporiseur majeur; Gwo Tofu Ventripotent</t>
        </is>
      </c>
    </row>
    <row r="2124">
      <c r="A2124" t="inlineStr">
        <is>
          <t>Iop M 200</t>
        </is>
      </c>
      <c r="B2124">
        <f>HYPERLINK("https://www.dofusbook.net/fr/equipement/4089468-iop-m-200/objets", "link")</f>
        <v/>
      </c>
      <c r="C2124" t="n">
        <v>11</v>
      </c>
      <c r="D2124" t="inlineStr">
        <is>
          <t>Arc corrompu; Amulette Séculaire; Anneau Rifique; Anneauræus; Bouclier du Stalak; Ceinture Séculaire; Coiffe Séculaire; Voilamibe; Chaussures Ardentes; Dofus Nébuleux; Dofus Pourpre; Dofus Abyssal; Dofus Ocre; Dofus Ivoire; Bisouglours</t>
        </is>
      </c>
    </row>
    <row r="2125">
      <c r="A2125" t="inlineStr">
        <is>
          <t>Iop F 200</t>
        </is>
      </c>
      <c r="B2125">
        <f>HYPERLINK("https://www.dofusbook.net/fr/equipement/4089503-iop-f-200/objets", "link")</f>
        <v/>
      </c>
      <c r="C2125" t="n">
        <v>7</v>
      </c>
      <c r="D2125" t="inlineStr">
        <is>
          <t>Marteau Phossile; Pendentif mignon de Koutoulou; Anneau Toriété; Anneau Rifique; Bouclier du Stalak; Ceinture Séculaire; Casque Cyclopéen; Cape Martegel; Willy le Relou</t>
        </is>
      </c>
    </row>
    <row r="2126">
      <c r="A2126" t="inlineStr">
        <is>
          <t>eau dopou</t>
        </is>
      </c>
      <c r="B2126">
        <f>HYPERLINK("https://www.dofusbook.net/fr/equipement/3808961-eau-dopou/objets", "link")</f>
        <v/>
      </c>
      <c r="C2126" t="n">
        <v>5</v>
      </c>
      <c r="D2126" t="inlineStr">
        <is>
          <t>Héqache; Torquistik; Alliance Gloursonne; Anneau Volkorne; Bouclier Taverne; Sangle Ouare; Casque Dragoeuf; Cape Solution; Bottistik; Dofus Ivoire; Dofus Ocre; Dofus Abyssal; Pousseur majeur; Culbuteur majeur; Écumouth</t>
        </is>
      </c>
    </row>
    <row r="2127">
      <c r="A2127" t="inlineStr">
        <is>
          <t>terroret</t>
        </is>
      </c>
      <c r="B2127">
        <f>HYPERLINK("https://www.dofusbook.net/fr/equipement/4040358-terroret/objets", "link")</f>
        <v/>
      </c>
      <c r="C2127" t="n">
        <v>12</v>
      </c>
      <c r="D2127" t="inlineStr">
        <is>
          <t>Dagoulinantes; Amulette de Shokkoth; Anneau de Pol Ouatnos; Anneau Volkorne; Cadran de Terre; Culotte de Bethel; Masque de Funespadon; Cape Solution; Goulbottes; Dofus Ocre; Dofus Abyssal; Dofus Pourpre; Dofus Ivoire; Étourdisseur majeur; Vigoureux majeur; Boskito</t>
        </is>
      </c>
    </row>
    <row r="2128">
      <c r="A2128" t="inlineStr">
        <is>
          <t>Xélor F 200</t>
        </is>
      </c>
      <c r="B2128">
        <f>HYPERLINK("https://www.dofusbook.net/fr/equipement/4040314-xelor-f-200/objets", "link")</f>
        <v/>
      </c>
      <c r="C2128" t="n">
        <v>13</v>
      </c>
      <c r="D2128" t="inlineStr">
        <is>
          <t>Rapière aux Glyphes; Amulette d'Ilyzaelle; Anneau Toriété; Anneau Volkorne; Bouclier d'Ilyzaelle; Ceintrigue; Némès de Tal Kasha; Chevelure de Tal Kasha; Sandales de Tal Kasha; Dofus Ocre; Dofus Ivoire; Dofus des Glaces; Dofus Pourpre; Dofus Abyssal; Paralyseur majeur; Minimino</t>
        </is>
      </c>
    </row>
    <row r="2129">
      <c r="A2129" t="inlineStr">
        <is>
          <t>Eni try</t>
        </is>
      </c>
      <c r="B2129">
        <f>HYPERLINK("https://www.dofusbook.net/fr/equipement/4034326-eni-try/objets", "link")</f>
        <v/>
      </c>
      <c r="C2129" t="n">
        <v>4</v>
      </c>
      <c r="D2129" t="inlineStr">
        <is>
          <t>Pyraguette; Amulette Volkorne; Anneau Tique; Anneau Volkorne; Bouclier du Stalak; Poulpagne; Masque Ardent; Cape Ardente; Chaussures Ardentes; Dofus Argenté; Dofus Ocre; Dofus Émeraude; Dofus Abyssal; Dofus Pourpre; Dofus Ivoire; Muldo Orchidée et Pourpre</t>
        </is>
      </c>
    </row>
    <row r="2130">
      <c r="A2130" t="inlineStr">
        <is>
          <t>bourrin</t>
        </is>
      </c>
      <c r="B2130">
        <f>HYPERLINK("https://www.dofusbook.net/fr/equipement/4034227-bourrin/objets", "link")</f>
        <v/>
      </c>
      <c r="C2130" t="n">
        <v>10</v>
      </c>
      <c r="D2130" t="inlineStr">
        <is>
          <t>Hache Téroïde; Amulette Volkorne; Bague Gloursonne; Anneau de Brouce; Bouclier du Stalak; Ceinture Volkorne; Chapeau de Gein; Cape au Logis; Sabots Minables; Dofus Ocre; Dofus Ivoire; Dofus Pourpre; Dofus Nébuleux; Dofus Turquoise; Dofus Abyssal; Cromeugnon</t>
        </is>
      </c>
    </row>
    <row r="2131">
      <c r="A2131" t="inlineStr">
        <is>
          <t>terre-feu test</t>
        </is>
      </c>
      <c r="B2131">
        <f>HYPERLINK("https://www.dofusbook.net/fr/equipement/3996386-terre-feu-test/objets", "link")</f>
        <v/>
      </c>
      <c r="C2131" t="n">
        <v>13</v>
      </c>
      <c r="D2131" t="inlineStr">
        <is>
          <t>Arc Hétype; Amulette Volkorne; Anneau de Brouce; Bague Gloursonne; Carapar; Ceinture Volkorne; Chapeau de Gein; Voile d'encre; Bottes Honyme; Dofus Ocre; Dofus Abyssal; Dofus Ivoire; Carapace Eau majeur; Nomade; Enragé majeur; Cromeugnon</t>
        </is>
      </c>
    </row>
    <row r="2132">
      <c r="A2132" t="inlineStr">
        <is>
          <t>élio feu tank</t>
        </is>
      </c>
      <c r="B2132">
        <f>HYPERLINK("https://www.dofusbook.net/fr/equipement/4025918-elio-feu-tank/objets", "link")</f>
        <v/>
      </c>
      <c r="C2132" t="n">
        <v>9</v>
      </c>
      <c r="D2132" t="inlineStr">
        <is>
          <t>Arc Honte; Amulette Volkorne; Anneau Toriété; Anneauræus; Bouclier du Stalak; Ceinture Séculaire; Coiffe Séculaire; Voile d'encre; Pataugastrique; Dofus Pourpre; Dofus des Glaces; Dofus Nébuleux; Dofus Ocre; Érudit majeur; Carapace Terre majeur; Bisouglours</t>
        </is>
      </c>
    </row>
    <row r="2133">
      <c r="A2133" t="inlineStr">
        <is>
          <t>pyrag</t>
        </is>
      </c>
      <c r="B2133">
        <f>HYPERLINK("https://www.dofusbook.net/fr/equipement/4026046-pyrag/objets", "link")</f>
        <v/>
      </c>
      <c r="C2133" t="n">
        <v>4</v>
      </c>
      <c r="D2133" t="inlineStr">
        <is>
          <t>Pyraguette; Amulette Volkorne; Anneau Volkorne; Anneau Toriété; Bouclier du Stalak; Ceinture de l'Esprit Malsain; Casqnoar; Cape de la Dame du Hasard; Pataugastrique; Dofus des Glaces; Dofus Pourpre; Dofus Nébuleux; Dofus Ocre; Dofus Abyssal; Érudit majeur; Bisouglours</t>
        </is>
      </c>
    </row>
    <row r="2134">
      <c r="A2134" t="inlineStr">
        <is>
          <t>Elio frappe</t>
        </is>
      </c>
      <c r="B2134">
        <f>HYPERLINK("https://www.dofusbook.net/fr/equipement/4025836-elio-frappe/objets", "link")</f>
        <v/>
      </c>
      <c r="C2134" t="n">
        <v>4</v>
      </c>
      <c r="D2134" t="inlineStr">
        <is>
          <t>Baguette Hique; Collier de la Dame du Hasard; Anneau de Padgref; Anneau Toriété; Quatre-feuilles; Ceinture Séculaire; Coiffe de Padgref; Cape de la Dame du Hasard; Bottes de la Dame du Hasard; Dolmanax; Dofus Turquoise; Dofus des Glaces; Dofus Ocre; Dofus Pourpre; Dofus Nébuleux; Pioute rouge</t>
        </is>
      </c>
    </row>
    <row r="2135">
      <c r="A2135" t="inlineStr">
        <is>
          <t>full tape terre-eau</t>
        </is>
      </c>
      <c r="B2135">
        <f>HYPERLINK("https://www.dofusbook.net/fr/equipement/4019895-full-tape-terre-eau/objets", "link")</f>
        <v/>
      </c>
      <c r="C2135" t="n">
        <v>5</v>
      </c>
      <c r="D2135" t="inlineStr">
        <is>
          <t>Arc du Chalœil; Amulette du Strigide; Anneau Volkorne; Alliance Gloursonne; Bouclier du Stalak; Ceinture Volkorne; Le Dorado; Cape au Logis; Bottes du Strigide; Dofus Turquoise; Dofus Abyssal; Dofus Ocre; Dofus Ivoire; Dofus Pourpre; Dofus Nébuleux; Chacha Angora</t>
        </is>
      </c>
    </row>
    <row r="2136">
      <c r="A2136" t="inlineStr">
        <is>
          <t>Ecaflip F 200</t>
        </is>
      </c>
      <c r="B2136">
        <f>HYPERLINK("https://www.dofusbook.net/fr/equipement/4018478-ecaflip-f-200/objets", "link")</f>
        <v/>
      </c>
      <c r="C2136" t="n">
        <v>3</v>
      </c>
      <c r="D2136" t="inlineStr">
        <is>
          <t>Hache du Chalœil; Amulette du Strigide; Alliance Gloursonne; Anneau Volkorne; Bouclier du Stalak; Ceinture Volkorne; Le Dorado; Voile d'encre; Bottes du Strigide; Dofus Ocre; Dofus Pourpre; Dofus Abyssal; Dofus Turquoise; Dofus Ivoire; Robuste majeur; Muldo Doré et Emeraude</t>
        </is>
      </c>
    </row>
    <row r="2137">
      <c r="A2137" t="inlineStr">
        <is>
          <t>tapette</t>
        </is>
      </c>
      <c r="B2137">
        <f>HYPERLINK("https://www.dofusbook.net/fr/equipement/4006104-tapette/objets", "link")</f>
        <v/>
      </c>
      <c r="C2137" t="n">
        <v>11</v>
      </c>
      <c r="D2137" t="inlineStr">
        <is>
          <t>Manthache; Collier du Valet Veinard; Alliance Gloursonne; Gant du Valet Veinard; Bouclier d'Ilyzaelle; Menoture; Casque Dragoeuf; Cape du Kamasterisk; Palmes Trithons; Dofus Abyssal; Dofus Ivoire; Dofus Émeraude; Dofus Ocre; Cascadeur majeur; Carapace Feu majeur; Muldo Ebène</t>
        </is>
      </c>
    </row>
    <row r="2138">
      <c r="A2138" t="inlineStr">
        <is>
          <t>Osa terre</t>
        </is>
      </c>
      <c r="B2138">
        <f>HYPERLINK("https://www.dofusbook.net/fr/equipement/3949819-osa-terre/objets", "link")</f>
        <v/>
      </c>
      <c r="C2138" t="n">
        <v>8</v>
      </c>
      <c r="D2138" t="inlineStr">
        <is>
          <t>Héqache; Collier de Tourthon; Anneau Chevelu; Anneau de Brouce; Bouclier d'Ilyzaelle; Ceinture Volkorne; Masque de Koutoulou; Cape du Kamasterisk; Chaussons de Macrab; Dokoko; Dofus Abyssal; Dofus Ocre; Dofus Ivoire; Carapace Eau majeur; Enragé majeur; Chachyène</t>
        </is>
      </c>
    </row>
    <row r="2139">
      <c r="A2139" t="inlineStr">
        <is>
          <t>full terreII</t>
        </is>
      </c>
      <c r="B2139">
        <f>HYPERLINK("https://www.dofusbook.net/fr/equipement/3972478-full-terreii/objets", "link")</f>
        <v/>
      </c>
      <c r="C2139" t="n">
        <v>14</v>
      </c>
      <c r="D2139" t="inlineStr">
        <is>
          <t>Bêche Asse; Amulette du Cœur Saignant; Bracelet du Piloztère; Bague Gloursonne; Bouclier du Captain Amakna; Ceinture Volkorne; Masque de Koutoulou; Cape au Logis; Bottes du Cœur Saignant; Dofus Ocre; Dofus Abyssal; Dofus Pourpre; Dofus Ivoire; Dofus Turquoise; Dofus Nébuleux; Kokulte</t>
        </is>
      </c>
    </row>
    <row r="2140">
      <c r="A2140" t="inlineStr">
        <is>
          <t>full fo 1v1</t>
        </is>
      </c>
      <c r="B2140">
        <f>HYPERLINK("https://www.dofusbook.net/fr/equipement/2373545-full-fo-1v1/objets", "link")</f>
        <v/>
      </c>
      <c r="C2140" t="n">
        <v>11</v>
      </c>
      <c r="D2140" t="inlineStr">
        <is>
          <t>Arc du Chalœil; Amulette du Strigide; Bracelet du Piloztère; Anneau de Brouce; Quatre-feuilles; Ceinture de la Reine des Voleurs; Coiffe de la Reine des Voleurs; Cape au Logis; Baleinabottes; Dofus Turquoise; Dofus Nébuleux; Dofus Pourpre; Enragé majeur; Remueur; Nomade; Bulbisou</t>
        </is>
      </c>
    </row>
    <row r="2141">
      <c r="A2141" t="inlineStr">
        <is>
          <t>Cra pauvre</t>
        </is>
      </c>
      <c r="B2141">
        <f>HYPERLINK("https://www.dofusbook.net/fr/equipement/3967744-cra-pauvre-/objets", "link")</f>
        <v/>
      </c>
      <c r="C2141" t="n">
        <v>13</v>
      </c>
      <c r="D2141" t="inlineStr">
        <is>
          <t>Arc du Chalœil; Amulette du Strigide; Anneau de Brouce; Bracelet du Piloztère; Quatre-feuilles; Ceinture Volkorne; Masque de Koutoulou; Cape au Logis; Bottes de Brouce; Dofus Turquoise; Dofus Pourpre; Forcené majeur; Enragé majeur; Nomade; Remueur; Bulbisou</t>
        </is>
      </c>
    </row>
    <row r="2142">
      <c r="A2142" t="inlineStr">
        <is>
          <t>Osa air</t>
        </is>
      </c>
      <c r="B2142">
        <f>HYPERLINK("https://www.dofusbook.net/fr/equipement/3949540-osa-air/objets", "link")</f>
        <v/>
      </c>
      <c r="C2142" t="n">
        <v>8</v>
      </c>
      <c r="D2142" t="inlineStr">
        <is>
          <t>Manthache; Collier du Valet Veinard; Gant du Valet Veinard; Alliance Gloursonne; Bouclier du Stalak; Menoture; Couronne d'Allister; Cape du Kamasterisk; Palmes Trithons; Dofus Pourpre; Dofus Abyssal; Dofus Ocre; Dofus Ivoire; Nomade; Cascadeur majeur; Blérodoudou</t>
        </is>
      </c>
    </row>
    <row r="2143">
      <c r="A2143" t="inlineStr">
        <is>
          <t>Sram F 200</t>
        </is>
      </c>
      <c r="B2143">
        <f>HYPERLINK("https://www.dofusbook.net/fr/equipement/3972414-sram-f-200/objets", "link")</f>
        <v/>
      </c>
      <c r="C2143" t="n">
        <v>2</v>
      </c>
      <c r="D2143" t="inlineStr">
        <is>
          <t>Hachoirs de Viandargh; Amulette du Strigide; Anneau de Padgref; Alliance Gloursonne; Bouclier du Captain Amakna; Menoture; Coiffe de Padgref; Cape Indescriptible; Getas de Padgref; Dofus Vulbis; Dofus Nébuleux; Dofus Pourpre; Dofus Abyssal; Dofus Turquoise; Dofus Ivoire; Kokulte</t>
        </is>
      </c>
    </row>
    <row r="2144">
      <c r="A2144" t="inlineStr">
        <is>
          <t>Osa eau</t>
        </is>
      </c>
      <c r="B2144">
        <f>HYPERLINK("https://www.dofusbook.net/fr/equipement/3948154-osa-eau/objets", "link")</f>
        <v/>
      </c>
      <c r="C2144" t="n">
        <v>9</v>
      </c>
      <c r="D2144" t="inlineStr">
        <is>
          <t>Rapière aux Glyphes; Amulette de Shokkoth; Alliance Gloursonne; Bracelet des Fonds marins; Bouclier d'Ilyzaelle; Sangle Ouare; Casque d'Ilyzaelle; Cape Solution; Bottes de la Reine des Voleurs; Dokoko; Dofus Abyssal; Dofus Émeraude; Dofus Ocre; Dofus Ivoire; Chanceux majeur; Raknaille</t>
        </is>
      </c>
    </row>
    <row r="2145">
      <c r="A2145" t="inlineStr">
        <is>
          <t>Osa feu</t>
        </is>
      </c>
      <c r="B2145">
        <f>HYPERLINK("https://www.dofusbook.net/fr/equipement/3952314-osa-feu/objets", "link")</f>
        <v/>
      </c>
      <c r="C2145" t="n">
        <v>9</v>
      </c>
      <c r="D2145" t="inlineStr">
        <is>
          <t>Arc corrompu; Amulette de Nileza; Anneau de Nidas; Anneau Tique; Bouclier cubiste; Protopagne; Couronne de Nidas; Cape de Diondin; Chaussures Ardentes; Dofus Ocre; Dofus Abyssal; Dokoko; Dofus Ivoire; Carapace Eau majeur; Érudit majeur; Dragodinde Dorée et Orchidée</t>
        </is>
      </c>
    </row>
    <row r="2146">
      <c r="A2146" t="inlineStr">
        <is>
          <t>Osa eau ini</t>
        </is>
      </c>
      <c r="B2146">
        <f>HYPERLINK("https://www.dofusbook.net/fr/equipement/3948451-osa-eau-ini/objets", "link")</f>
        <v/>
      </c>
      <c r="C2146" t="n">
        <v>6</v>
      </c>
      <c r="D2146" t="inlineStr">
        <is>
          <t>Pyraguette; Amulette de Shokkoth; Bracelet des Fonds marins; Alliance Gloursonne; Cadran de Feu; Sangle Ouare; Kidibonnet; Cape Solution; Bottes de la Reine des Voleurs; Dofus Émeraude; Dofus Ivoire; Dokoko; Dofus Abyssal; Chanceux majeur; Carapace Terre majeur; Shushu de Rushu</t>
        </is>
      </c>
    </row>
    <row r="2147">
      <c r="A2147" t="inlineStr">
        <is>
          <t>cra crit tero</t>
        </is>
      </c>
      <c r="B2147">
        <f>HYPERLINK("https://www.dofusbook.net/fr/equipement/3838631-cra-crit-tero/objets", "link")</f>
        <v/>
      </c>
      <c r="C2147" t="n">
        <v>7</v>
      </c>
      <c r="D2147" t="inlineStr">
        <is>
          <t>Hache Téroïde; Amulette du Strigide; Anneau de Padgref; Bracelet du Piloztère; Quatre-feuilles; Ceinture du Strigide; Coiffe de Padgref; Cape au Logis; Getas de Padgref; Dofus Turquoise; Dofus Abyssal; Dofus Ocre; Dofus Ivoire; Dofus Pourpre; Dofus Nébuleux; Kokulte</t>
        </is>
      </c>
    </row>
    <row r="2148">
      <c r="A2148" t="inlineStr">
        <is>
          <t>full rox chal</t>
        </is>
      </c>
      <c r="B2148">
        <f>HYPERLINK("https://www.dofusbook.net/fr/equipement/3838805-full-rox-chal-/objets", "link")</f>
        <v/>
      </c>
      <c r="C2148" t="n">
        <v>13</v>
      </c>
      <c r="D2148" t="inlineStr">
        <is>
          <t>Hache du Chalœil; Amulette du Strigide; Anneau de Padgref; Bracelet du Piloztère; Quatre-feuilles; Ceinture du Strigide; Coiffe de Padgref; Cape au Logis; Getas de Padgref; Dofus Pourpre; Dofus Nébuleux; Dofus Turquoise; Dofus Abyssal; Dolmanax; Dofus Ivoire; Kokulte</t>
        </is>
      </c>
    </row>
    <row r="2149">
      <c r="A2149" t="inlineStr">
        <is>
          <t>Do crit air</t>
        </is>
      </c>
      <c r="B2149">
        <f>HYPERLINK("https://www.dofusbook.net/fr/equipement/3696168-do-crit-air/objets", "link")</f>
        <v/>
      </c>
      <c r="C2149" t="n">
        <v>5</v>
      </c>
      <c r="D2149" t="inlineStr">
        <is>
          <t>Baguette Hernelle; Amulette du Strigide; Anneau de Padgref; Anneau de Pol Ouatnos; Quatre-feuilles; Ceinture du Strigide; Coiffe de Padgref; Cape Indescriptible; Getas de Padgref; Dofus Abyssal; Dofus Ocre; Dofus Pourpre; Dofus Nébuleux; Dofus Turquoise; Dofus Ivoire; Pioute jaune</t>
        </is>
      </c>
    </row>
    <row r="2150">
      <c r="A2150" t="inlineStr">
        <is>
          <t>test malediction</t>
        </is>
      </c>
      <c r="B2150">
        <f>HYPERLINK("https://www.dofusbook.net/fr/equipement/3933852-test-malediction/objets", "link")</f>
        <v/>
      </c>
      <c r="C2150" t="n">
        <v>14</v>
      </c>
      <c r="D2150" t="inlineStr">
        <is>
          <t>Arc Honte; Amulette Martegel; Anneau de Nidas; Alliance Gloursonne; Bouclier cubiste; Ceinture de l'Esprit Salvateur; Masquegel; Cape Martegel; Bottes de l'Esprit Salvateur; Dofus Pourpre; Dofus Abyssal; Dofus Ocre; Dofus Ivoire; Dofus Vulbis; Dofus des Glaces; Léopardo</t>
        </is>
      </c>
    </row>
    <row r="2151">
      <c r="A2151" t="inlineStr">
        <is>
          <t>feu ret</t>
        </is>
      </c>
      <c r="B2151">
        <f>HYPERLINK("https://www.dofusbook.net/fr/equipement/3933752-feu-ret/objets", "link")</f>
        <v/>
      </c>
      <c r="C2151" t="n">
        <v>6</v>
      </c>
      <c r="D2151" t="inlineStr">
        <is>
          <t>Arc corrompu; Amulette Volkorne; Anneau de Pol Ouatnos; Anneau Tique; Bouclier du Stalak; Ceinture de Vortex; Heaume Oplate; Cape Ardente; Chaussures Ardentes; Dofus Pourpre; Dofus Ivoire; Dofus Ocre; Dofus Abyssal; Étourdisseur majeur; Érudit majeur; Minimino</t>
        </is>
      </c>
    </row>
    <row r="2152">
      <c r="A2152" t="inlineStr">
        <is>
          <t>Huppermage F 200</t>
        </is>
      </c>
      <c r="B2152">
        <f>HYPERLINK("https://www.dofusbook.net/fr/equipement/3933684-huppermage-f-200/objets", "link")</f>
        <v/>
      </c>
      <c r="C2152" t="n">
        <v>5</v>
      </c>
      <c r="D2152" t="inlineStr">
        <is>
          <t>Hache du Korriandre; Amulette d'Ilyzaelle; Anneau Volkorne; Alliance Gloursonne; Bouclier d'Ilyzaelle; Sangle Ouare; Casque Volkorne; Cape Solution; Sandales de Tal Kasha; Dofus Émeraude; Dofus des Glaces; Dofus Pourpre; Dofus Abyssal; Dofus Ocre; Dofus Ivoire; Mini Wa</t>
        </is>
      </c>
    </row>
    <row r="2153">
      <c r="A2153" t="inlineStr">
        <is>
          <t>Test deus 1</t>
        </is>
      </c>
      <c r="B2153">
        <f>HYPERLINK("https://www.dofusbook.net/fr/equipement/3870125-test-deus-1/objets", "link")</f>
        <v/>
      </c>
      <c r="C2153" t="n">
        <v>10</v>
      </c>
      <c r="D2153" t="inlineStr">
        <is>
          <t>Pyraguette; Amulette Volkorne; Alliance Gloursonne; Anneau Volkorne; Bouclier du Stalak; Ceinture de l'Esprit Salvateur; Masque de l'Esprit Salvateur; Dofusteuse; Bottes de l'Esprit Salvateur; Dofus Ocre; Dofus Ivoire; Dofus des Glaces; Dolmanax; Dofus Pourpre; Dofus Abyssal; Muldo Ebène et Pourpre</t>
        </is>
      </c>
    </row>
    <row r="2154">
      <c r="A2154" t="inlineStr">
        <is>
          <t>spam multi</t>
        </is>
      </c>
      <c r="B2154">
        <f>HYPERLINK("https://www.dofusbook.net/fr/equipement/3852647-spam-multi/objets", "link")</f>
        <v/>
      </c>
      <c r="C2154" t="n">
        <v>8</v>
      </c>
      <c r="D2154" t="inlineStr">
        <is>
          <t>Arc Honte; Amulette Volkorne; Bague Gloursonne; Alliance Gloursonne; Bouclier du Stalak; Ceinture Volkorne; Casque Volkorne; Dofusteuse; Baleinabottes; Dofus des Glaces; Dofus Ocre; Dolmanax; Dofus Abyssal; Dofus Pourpre; Dofus Ivoire; Kramkram</t>
        </is>
      </c>
    </row>
    <row r="2155">
      <c r="A2155" t="inlineStr">
        <is>
          <t>Huppermage F 200</t>
        </is>
      </c>
      <c r="B2155">
        <f>HYPERLINK("https://www.dofusbook.net/fr/equipement/3931632-huppermage-f-200/objets", "link")</f>
        <v/>
      </c>
      <c r="C2155" t="n">
        <v>7</v>
      </c>
      <c r="D2155" t="inlineStr">
        <is>
          <t>Hache Téroïde; Amulette du Strigide; Anneau de Pol Ouatnos; Bague Trithon; Quatre-feuilles; Ceinture du Strigide; Masque Trithon; Voile d'encre; Bottes Trithon; Dofus Ocre; Dofus Ivoire; Dofus Pourpre; Dofus Nébuleux; Dofus Turquoise; Dofus Abyssal; Kokulte</t>
        </is>
      </c>
    </row>
    <row r="2156">
      <c r="A2156" t="inlineStr">
        <is>
          <t>Sacrieur M 200</t>
        </is>
      </c>
      <c r="B2156">
        <f>HYPERLINK("https://www.dofusbook.net/fr/equipement/3927323-sacrieur-m-200/objets", "link")</f>
        <v/>
      </c>
      <c r="C2156" t="n">
        <v>9</v>
      </c>
      <c r="D2156" t="inlineStr">
        <is>
          <t>Bêche Asse; Amulette du Cœur Saignant; Bracelet du Piloztère; Bague Gloursonne; Bouclier du Captain Amakna; Ceinture Volkorne; Masque de Koutoulou; Cape au Logis; Bottes du Cœur Saignant; Dofus Pourpre; Dofus Abyssal; Dofus Ocre; Dofus Ivoire; Dofus Nébuleux; Dofus Turquoise; Pioute vert</t>
        </is>
      </c>
    </row>
    <row r="2157">
      <c r="A2157" t="inlineStr">
        <is>
          <t>Ecaflip F 200</t>
        </is>
      </c>
      <c r="B2157">
        <f>HYPERLINK("https://www.dofusbook.net/fr/equipement/3884862-ecaflip-f-200/objets", "link")</f>
        <v/>
      </c>
      <c r="C2157" t="n">
        <v>7</v>
      </c>
      <c r="D2157" t="inlineStr">
        <is>
          <t>Arc du Chalœil; Amulette du Strigide; Bague Trithon; Anneau de Brouce; Bouclier du Stalak; Ceinture de la Reine des Voleurs; Coiffe de la Reine des Voleurs; Cape au Logis; Baleinabottes; Dofus Ocre; Dofus Ivoire; Dofus Pourpre; Dofus Nébuleux; Dofus Turquoise; Dofus Abyssal; Bulbisou</t>
        </is>
      </c>
    </row>
    <row r="2158">
      <c r="A2158" t="inlineStr">
        <is>
          <t>Osa-mair</t>
        </is>
      </c>
      <c r="B2158">
        <f>HYPERLINK("https://www.dofusbook.net/fr/equipement/3874360-osa-mair/objets", "link")</f>
        <v/>
      </c>
      <c r="C2158" t="n">
        <v>6</v>
      </c>
      <c r="D2158" t="inlineStr">
        <is>
          <t>Manthache; Collier du Valet Veinard; Alliance Gloursonne; Gant du Valet Veinard; Bouclier du Stalak; Menoture; Couronne d'Allister; Cape du Kamasterisk; Palmes Trithons; Dofus des Glaces; Dofus Abyssal; Dofus Pourpre; Dofus Ivoire; Dofus Ocre; Cascadeur majeur; Muldo Ebène et Orchidée</t>
        </is>
      </c>
    </row>
    <row r="2159">
      <c r="A2159" t="inlineStr">
        <is>
          <t>Panda ligues feu</t>
        </is>
      </c>
      <c r="B2159">
        <f>HYPERLINK("https://www.dofusbook.net/fr/equipement/3756185-panda-ligues-feu/objets", "link")</f>
        <v/>
      </c>
      <c r="C2159" t="n">
        <v>22</v>
      </c>
      <c r="D2159" t="inlineStr">
        <is>
          <t>Arc corrompu; Pendentif mignon de Koutoulou; Anneau Rifique; Anneau Tique; Bouclier du Stalak; Ceinture de Vortex; Heaume Oplate; Cape de Diondin; Chaussures Ardentes; Dofus Ivoire; Dofus Émeraude; Dofus Abyssal; Carapace Feu majeur; Érudit majeur; Obstructeur majeur; Muldo Orchidée et Pourpre</t>
        </is>
      </c>
    </row>
    <row r="2160">
      <c r="A2160" t="inlineStr">
        <is>
          <t>Osa-mère</t>
        </is>
      </c>
      <c r="B2160">
        <f>HYPERLINK("https://www.dofusbook.net/fr/equipement/3855120-osa-mere/objets", "link")</f>
        <v/>
      </c>
      <c r="C2160" t="n">
        <v>6</v>
      </c>
      <c r="D2160" t="inlineStr">
        <is>
          <t>Pyraguette; Amulette de Shokkoth; Bracelet des Fonds marins; Alliance Gloursonne; Bouclier du Stalak; Sangle Ouare; Casque d'Ilyzaelle; Cape Solution; Sandales des Fonds marins; Dofus Ocre; Dokoko; Chanceux majeur; Dauge</t>
        </is>
      </c>
    </row>
    <row r="2161">
      <c r="A2161" t="inlineStr">
        <is>
          <t>air-eau</t>
        </is>
      </c>
      <c r="B2161">
        <f>HYPERLINK("https://www.dofusbook.net/fr/equipement/2956260-air-eau/objets", "link")</f>
        <v/>
      </c>
      <c r="C2161" t="n">
        <v>7</v>
      </c>
      <c r="D2161" t="inlineStr">
        <is>
          <t>Arc de Koutoulou; Collier du Valet Veinard; Gant du Valet Veinard; Alliance Gloursonne; Bouclier du Stalak; Ceinture Voldelor; Casque d'Ilyzaelle; Cape Solution; Palmes Trithons; Dofus Pourpre; Dofus Ivoire; Dofus Abyssal; Dofus Ocre; Carapace Air majeur; Cascadeur majeur; Muldo Ebène</t>
        </is>
      </c>
    </row>
    <row r="2162">
      <c r="A2162" t="inlineStr">
        <is>
          <t>full do terre</t>
        </is>
      </c>
      <c r="B2162">
        <f>HYPERLINK("https://www.dofusbook.net/fr/equipement/3853024-full-do-terre/objets", "link")</f>
        <v/>
      </c>
      <c r="C2162" t="n">
        <v>19</v>
      </c>
      <c r="D2162" t="inlineStr">
        <is>
          <t>Lav'Hache; Collier de Tourthon; Anneau Chevelu; Anneau de Brouce; Bouclier du Stalak; Ceinture de la Reine des Voleurs; Coiffe de la Reine des Voleurs; Cape au Logis; Sabots Minables; Dofus Ocre; Dofus Ivoire; Dofus Émeraude; Dofus des Glaces; Dofus Pourpre; Dofus Abyssal; Bulbisou</t>
        </is>
      </c>
    </row>
    <row r="2163">
      <c r="A2163" t="inlineStr">
        <is>
          <t>Pvm terre</t>
        </is>
      </c>
      <c r="B2163">
        <f>HYPERLINK("https://www.dofusbook.net/fr/equipement/3844948-pvm-terre/objets", "link")</f>
        <v/>
      </c>
      <c r="C2163" t="n">
        <v>6</v>
      </c>
      <c r="D2163" t="inlineStr">
        <is>
          <t>Arc du Chalœil; Amulette du Strigide; Bracelet du Piloztère; Anneau de Brouce; Quatre-feuilles; Ceinture de Brouce; Masque de Koutoulou; Cape au Logis; Bottes de Brouce; Dofus Turquoise; Dofus Nébuleux; Dofus Pourpre; Forcené majeur; Furibond majeur; Vagabond majeur; Bulbisou</t>
        </is>
      </c>
    </row>
    <row r="2164">
      <c r="A2164" t="inlineStr">
        <is>
          <t>maudite pvm</t>
        </is>
      </c>
      <c r="B2164">
        <f>HYPERLINK("https://www.dofusbook.net/fr/equipement/3752496-maudite-pvm/objets", "link")</f>
        <v/>
      </c>
      <c r="C2164" t="n">
        <v>11</v>
      </c>
      <c r="D2164" t="inlineStr">
        <is>
          <t>Faux Maudite du Saigneur Guerrier; Amulette du Strigide; Anneau de Pol Ouatnos; Anneau de Padgref; Bouclier du Captain Amakna; Ceinture du Strigide; Coiffe de Padgref; Cape de la Dame du Hasard; Getas de Padgref; Dofus Turquoise; Dofus Abyssal; Dofus Ocre; Dofus Émeraude; Dofus Pourpre; Dofus Ivoire; Kokulte</t>
        </is>
      </c>
    </row>
    <row r="2165">
      <c r="A2165" t="inlineStr">
        <is>
          <t>cra volk</t>
        </is>
      </c>
      <c r="B2165">
        <f>HYPERLINK("https://www.dofusbook.net/fr/equipement/3659664-cra-volk/objets", "link")</f>
        <v/>
      </c>
      <c r="C2165" t="n">
        <v>15</v>
      </c>
      <c r="D2165" t="inlineStr">
        <is>
          <t>Arc Volkorne; Amulette du Strigide; Anneau de Padgref; Anneau Toriété; Quatre-feuilles; Ceinture du Strigide; Coiffe de Padgref; Chevelure de Tal Kasha; Getas de Padgref; Dofus Ocre; Dolmanax; Dofus Pourpre; Dofus des Glaces; Dofus Turquoise; Dofus Nébuleux; Kokulte</t>
        </is>
      </c>
    </row>
    <row r="2166">
      <c r="A2166" t="inlineStr">
        <is>
          <t>Sram M 200</t>
        </is>
      </c>
      <c r="B2166">
        <f>HYPERLINK("https://www.dofusbook.net/fr/equipement/3847292-sram-m-200/objets", "link")</f>
        <v/>
      </c>
      <c r="C2166" t="n">
        <v>8</v>
      </c>
      <c r="D2166" t="inlineStr">
        <is>
          <t>Arc de Koutoulou; Amulette d'Ilyzaelle; Alliance Gloursonne; Gant du Valet Veinard; Bouclier du Stalak; Ceinture Voldelor; Casque d'Ilyzaelle; Cape Solution; Bottes de la Reine des Voleurs; Dofus Pourpre; Carapace Air majeur; Remueur; Cascadeur majeur; Chanceux majeur; Vigoureux majeur; Muldo Ebène</t>
        </is>
      </c>
    </row>
    <row r="2167">
      <c r="A2167" t="inlineStr">
        <is>
          <t>Casse tête ligues</t>
        </is>
      </c>
      <c r="B2167">
        <f>HYPERLINK("https://www.dofusbook.net/fr/equipement/3771448-casse-tete-ligues/objets", "link")</f>
        <v/>
      </c>
      <c r="C2167" t="n">
        <v>13</v>
      </c>
      <c r="D2167" t="inlineStr">
        <is>
          <t>Hache du Guerrier Zoth; Amulette du Strigide; Anneau Toriété; Anneau de Padgref; Bouclier du Captain Amakna; Ceinture du Strigide; Coiffe de Padgref; Chevelure de Tal Kasha; Getas de Padgref; Dofus Ivoire; Dofus Turquoise; Dofus Émeraude; Dofus Pourpre; Dofus Abyssal; Fugitif majeur; Kokulte</t>
        </is>
      </c>
    </row>
    <row r="2168">
      <c r="A2168" t="inlineStr">
        <is>
          <t>eau-air-crit</t>
        </is>
      </c>
      <c r="B2168">
        <f>HYPERLINK("https://www.dofusbook.net/fr/equipement/3841765-eau-air-crit/objets", "link")</f>
        <v/>
      </c>
      <c r="C2168" t="n">
        <v>2</v>
      </c>
      <c r="D2168" t="inlineStr">
        <is>
          <t>Pelle Fik; Amulette du Strigide; Anneau de Pol Ouatnos; Anneau Volkorne; Bouclier du Captain Amakna; Ceinture du Strigide; Némès de Tal Kasha; Chevelure de Tal Kasha; Sandales de Tal Kasha; Dofus Turquoise; Dofus Ivoire; Dofus Émeraude; Dofus Ocre; Dofus Pourpre; Dofus Abyssal; Kokulte</t>
        </is>
      </c>
    </row>
    <row r="2169">
      <c r="A2169" t="inlineStr">
        <is>
          <t>full terre-feu</t>
        </is>
      </c>
      <c r="B2169">
        <f>HYPERLINK("https://www.dofusbook.net/fr/equipement/3791562-full-terre-feu/objets", "link")</f>
        <v/>
      </c>
      <c r="C2169" t="n">
        <v>8</v>
      </c>
      <c r="D2169" t="inlineStr">
        <is>
          <t>Hache Téroïde; Amulette du Strigide; Bague Gloursonne; Bague Trithon; Bouclier du Captain Amakna; Ceinture du Strigide; Masque Trithon; Cape au Logis; Bottes du Strigide; Dofus Turquoise; Dofus Nébuleux; Dofus Ocre; Dofus Abyssal; Dofus des Glaces; Dofus Ivoire; Kokulte</t>
        </is>
      </c>
    </row>
    <row r="2170">
      <c r="A2170" t="inlineStr">
        <is>
          <t>eau-ret 31</t>
        </is>
      </c>
      <c r="B2170">
        <f>HYPERLINK("https://www.dofusbook.net/fr/equipement/3791411-eau-ret-31/objets", "link")</f>
        <v/>
      </c>
      <c r="C2170" t="n">
        <v>16</v>
      </c>
      <c r="D2170" t="inlineStr">
        <is>
          <t>Dagoulinantes; Amulette de Shokkoth; Alliance Gloursonne; Anneau Volkorne; Cadran de Terre; Culotte de Bethel; Masque de Funespadon; Cape Solution; Sandales de Tal Kasha; Dofus Abyssal; Dofus Ocre; Dofus Ivoire; Carapace Air majeur; Étourdisseur majeur; Nomade; Kouin-Kouin Noir</t>
        </is>
      </c>
    </row>
    <row r="2171">
      <c r="A2171" t="inlineStr">
        <is>
          <t>full eau</t>
        </is>
      </c>
      <c r="B2171">
        <f>HYPERLINK("https://www.dofusbook.net/fr/equipement/3835057-full-eau/objets", "link")</f>
        <v/>
      </c>
      <c r="C2171" t="n">
        <v>6</v>
      </c>
      <c r="D2171" t="inlineStr">
        <is>
          <t>Baguette Héroclite; Amulette de Shokkoth; Alliance Gloursonne; Anneau Volkorne; Bouclier du Stalak; Poulpagne; Capuche de l'Œil Attentif; Cape de l'Œil Attentif; Bottes du Sinistrofu; Dofus Ocre; Dofus Ivoire; Dofus Pourpre; Dofus des Glaces; Dofus Abyssal; Nomade; Kanigloups</t>
        </is>
      </c>
    </row>
    <row r="2172">
      <c r="A2172" t="inlineStr">
        <is>
          <t>cc rho</t>
        </is>
      </c>
      <c r="B2172">
        <f>HYPERLINK("https://www.dofusbook.net/fr/equipement/3808950-cc-rho/objets", "link")</f>
        <v/>
      </c>
      <c r="C2172" t="n">
        <v>1</v>
      </c>
      <c r="D2172" t="inlineStr">
        <is>
          <t>Bâtonnet Ronien; Amulette du Strigide; Anneau de Pol Ouatnos; Anneau Toriété; Quatre-feuilles; Ceinture du Strigide; Némès de Tal Kasha; Chevelure de Tal Kasha; Sandales de Tal Kasha; Dofus Abyssal; Dofus Pourpre; Dofus Nébuleux; Dofus Turquoise; Dofus Ivoire; Dofus Ocre; Kokulte</t>
        </is>
      </c>
    </row>
    <row r="2173">
      <c r="A2173" t="inlineStr">
        <is>
          <t>test multi</t>
        </is>
      </c>
      <c r="B2173">
        <f>HYPERLINK("https://www.dofusbook.net/fr/equipement/3789947-test-multi/objets", "link")</f>
        <v/>
      </c>
      <c r="C2173" t="n">
        <v>4</v>
      </c>
      <c r="D2173" t="inlineStr">
        <is>
          <t>Manthache; Collier du Valet Veinard; Gant du Valet Veinard; Alliance Gloursonne; Bouclier du Stalak; Ceinture de l'Esprit Salvateur; Masque de l'Esprit Salvateur; Cape du Valet Veinard; Bottes de l'Esprit Salvateur; Dofus Ocre; Dofus Abyssal; Dofus Vulbis; Dofus Pourpre; Dolmanax; Dofus des Glaces; Blérodoudou</t>
        </is>
      </c>
    </row>
    <row r="2174">
      <c r="A2174" t="inlineStr">
        <is>
          <t>Agi</t>
        </is>
      </c>
      <c r="B2174">
        <f>HYPERLINK("https://www.dofusbook.net/fr/equipement/3777939-agi/objets", "link")</f>
        <v/>
      </c>
      <c r="C2174" t="n">
        <v>7</v>
      </c>
      <c r="D2174" t="inlineStr">
        <is>
          <t>Manthache; Collier du Valet Veinard; Alliance Gloursonne; Gant du Valet Veinard; Bouclier du Stalak; Menoture; Dorabysses; Cape Indescriptible; Palmes Trithons; Dofus Pourpre; Dofus Ocre; Dofus Abyssal; Nomade; Cascadeur majeur; Carapace Air majeur; Blérodoudou</t>
        </is>
      </c>
    </row>
    <row r="2175">
      <c r="A2175" t="inlineStr">
        <is>
          <t>Cc do pou</t>
        </is>
      </c>
      <c r="B2175">
        <f>HYPERLINK("https://www.dofusbook.net/fr/equipement/3780680-cc-do-pou/objets", "link")</f>
        <v/>
      </c>
      <c r="C2175" t="n">
        <v>9</v>
      </c>
      <c r="D2175" t="inlineStr">
        <is>
          <t>Héqache; Amulette du Cœur Vaillant; Anneau Chevelu; Bague Trithon; Bouclier Taverne; Ceinture Gence; Masque Trithon; Cape du Cœur Vaillant; Bottes Trithon; Dofus Pourpre; Dofus Abyssal; Dofus Turquoise; Dofus Ivoire; Dofus Émeraude; Dofus Ocre; Balafreux</t>
        </is>
      </c>
    </row>
    <row r="2176">
      <c r="A2176" t="inlineStr">
        <is>
          <t>Crâ F 200</t>
        </is>
      </c>
      <c r="B2176">
        <f>HYPERLINK("https://www.dofusbook.net/fr/equipement/3748161-cra-f-200/objets", "link")</f>
        <v/>
      </c>
      <c r="C2176" t="n">
        <v>9</v>
      </c>
      <c r="D2176" t="inlineStr">
        <is>
          <t>Dagoulinantes; Amulette de Shokkoth; Bracelet des Fonds marins; Alliance Gloursonne; Cadran de Terre; Sangle Ouare; Masque de Funespadon; Cape Solution; Chaussons de Macrab; Dofus Pourpre; Dofus Abyssal; Dofus Ocre; Dofus Ivoire; Dofus Nébuleux; Chanceux majeur; Kanigloups</t>
        </is>
      </c>
    </row>
    <row r="2177">
      <c r="A2177" t="inlineStr">
        <is>
          <t>full feu</t>
        </is>
      </c>
      <c r="B2177">
        <f>HYPERLINK("https://www.dofusbook.net/fr/equipement/3724594-full-feu/objets", "link")</f>
        <v/>
      </c>
      <c r="C2177" t="n">
        <v>10</v>
      </c>
      <c r="D2177" t="inlineStr">
        <is>
          <t>Arc corrompu; Amulette Séculaire; Bracelet du Piloztère; Anneau Toriété; Quatre-feuilles; Ceinture Séculaire; Coiffe Séculaire; Cape de Nileza; Bottes de Nileza; Dofus Abyssal; Dofus Ivoire; Dofus Turquoise; Dofus Pourpre; Dofus Nébuleux; Dofus Ocre; Dragodinde Ivoire et Orchidée</t>
        </is>
      </c>
    </row>
    <row r="2178">
      <c r="A2178" t="inlineStr">
        <is>
          <t>Crâ M 200</t>
        </is>
      </c>
      <c r="B2178">
        <f>HYPERLINK("https://www.dofusbook.net/fr/equipement/3607319-cra-m-200/objets", "link")</f>
        <v/>
      </c>
      <c r="C2178" t="n">
        <v>3</v>
      </c>
      <c r="D2178" t="inlineStr">
        <is>
          <t>Baguette Hernelle; Amulette du Strigide; Anneau de Padgref; Alliance Gloursonne; Quatre-feuilles; Menoture; Coiffe de Padgref; Cape Indescriptible; Getas de Padgref; Dofus Nébuleux; Dofus Abyssal; Dofus Pourpre; Dofus Turquoise; Equilibriste majeur; Acrobate majeur; Muldo Prune et Emeraude</t>
        </is>
      </c>
    </row>
    <row r="2179">
      <c r="A2179" t="inlineStr">
        <is>
          <t>eau/air 200</t>
        </is>
      </c>
      <c r="B2179">
        <f>HYPERLINK("https://www.dofusbook.net/fr/equipement/3699447-eau-air-200/objets", "link")</f>
        <v/>
      </c>
      <c r="C2179" t="n">
        <v>4</v>
      </c>
      <c r="D2179" t="inlineStr">
        <is>
          <t>Epée Gloursonne; Amulette du Strigide; Bague Gloursonne; Alliance Gloursonne; Quatre-feuilles; Ceinture du Strigide; Némès de Tal Kasha; Chevelure de Tal Kasha; Sandales de Tal Kasha; Dofus Turquoise; Dofus Abyssal; Dofus Ocre; Dofus Ivoire; Dofus Pourpre; Dofus Nébuleux; Muldo Prune et Emeraude</t>
        </is>
      </c>
    </row>
    <row r="2180">
      <c r="A2180" t="inlineStr">
        <is>
          <t>Crâ F 200 agi</t>
        </is>
      </c>
      <c r="B2180">
        <f>HYPERLINK("https://www.dofusbook.net/fr/equipement/3607275-cra-f-200-agi/objets", "link")</f>
        <v/>
      </c>
      <c r="C2180" t="n">
        <v>2</v>
      </c>
      <c r="D2180" t="inlineStr">
        <is>
          <t>Sabres d'Atcham; Amulette du Strigide; Alliance Gloursonne; Anneau de Padgref; Quatre-feuilles; Ceinture du Strigide; Coiffe de Padgref; Cape d'Atcham; Getas de Padgref; Dofus Pourpre; Dofus Nébuleux; Dofus Ocre; Dofus Abyssal; Dofus Turquoise; Dofus Ivoire; Muldo Prune et Emeraude</t>
        </is>
      </c>
    </row>
    <row r="2181">
      <c r="A2181" t="inlineStr">
        <is>
          <t>Crâ F 200</t>
        </is>
      </c>
      <c r="B2181">
        <f>HYPERLINK("https://www.dofusbook.net/fr/equipement/3480441-cra-f-200/objets", "link")</f>
        <v/>
      </c>
      <c r="C2181" t="n">
        <v>8</v>
      </c>
      <c r="D2181" t="inlineStr">
        <is>
          <t>Hache du Chalœil; Amulette du Strigide; Alliance Gloursonne; Anneau de Padgref; Quatre-feuilles; Ceinture du Strigide; Coiffe de Padgref; Cape de la Dame du Hasard; Getas de Padgref; Dofus Abyssal; Dofus des Glaces; Dolmanax; Dofus Turquoise; Dofus Nébuleux; Dofus Ocre; Muldo Prune et Emeraude</t>
        </is>
      </c>
    </row>
    <row r="2182">
      <c r="A2182" t="inlineStr">
        <is>
          <t>Roublard F 200</t>
        </is>
      </c>
      <c r="B2182">
        <f>HYPERLINK("https://www.dofusbook.net/fr/equipement/3569266-roublard-f-200/objets", "link")</f>
        <v/>
      </c>
      <c r="C2182" t="n">
        <v>7</v>
      </c>
      <c r="D2182" t="inlineStr">
        <is>
          <t>Arc du Chalœil; Collier de Tourthon; Bracelet du Piloztère; Anneau de Brouce; Bouclier du Stalak; Ceinture de Brouce; Masque de Koutoulou; Cape au Logis; Bottes de la Cour Sombre; Dofus des Glaces; Dokoko; Dofus Abyssal; Dofus Pourpre; Vigoureux majeur; Enragé majeur; Dragodinde Ivoire et Pourpre</t>
        </is>
      </c>
    </row>
    <row r="2183">
      <c r="A2183" t="inlineStr">
        <is>
          <t>Sadida M 200</t>
        </is>
      </c>
      <c r="B2183">
        <f>HYPERLINK("https://www.dofusbook.net/fr/equipement/3501536-sadida-m-200/objets", "link")</f>
        <v/>
      </c>
      <c r="C2183" t="n">
        <v>12</v>
      </c>
      <c r="D2183" t="inlineStr">
        <is>
          <t>Arc Honte; Amulette Volkorne; Anneau Volkorne; Alliance Gloursonne; Bouclier du Stalak; Ceinture Volkorne; Masque de l'Esprit Salvateur; Cape Solution; Bottes de l'Esprit Salvateur; Dokoko; Dofus des Glaces; Dofus Pourpre; Dofus Abyssal; Dofus Ocre; Dofus Ivoire; Kramkram</t>
        </is>
      </c>
    </row>
    <row r="2184">
      <c r="A2184" t="inlineStr">
        <is>
          <t>Sadida F 200</t>
        </is>
      </c>
      <c r="B2184">
        <f>HYPERLINK("https://www.dofusbook.net/fr/equipement/3501490-sadida-f-200/objets", "link")</f>
        <v/>
      </c>
      <c r="C2184" t="n">
        <v>5</v>
      </c>
      <c r="D2184" t="inlineStr">
        <is>
          <t>Dagues Érhy; Amulette du Strigide; Bracelet du Piloztère; Anneau de Brouce; Quatre-feuilles; Ceinture Volkorne; Masque de Koutoulou; Cape au Logis; Baleinabottes; Dofus Ivoire; Dofus Nébuleux; Dofus Pourpre; Dofus Abyssal; Dofus Turquoise; Enragé majeur; Kompost</t>
        </is>
      </c>
    </row>
    <row r="2185">
      <c r="A2185" t="inlineStr">
        <is>
          <t>Zobal M 200</t>
        </is>
      </c>
      <c r="B2185">
        <f>HYPERLINK("https://www.dofusbook.net/fr/equipement/3498170-zobal-m-200/objets", "link")</f>
        <v/>
      </c>
      <c r="C2185" t="n">
        <v>6</v>
      </c>
      <c r="D2185" t="inlineStr">
        <is>
          <t>Lav'Hache; Collier Rophante; Bague Trithon; Alliance Gloursonne; Bouclier précieux; Pagne du Rykaon; Masque d'Anerice; Cape d'Anerice; Pataugastrique; Dofus Abyssal; Dofus Émeraude; Dofus Ivoire; Culbuteur majeur; Remueur; Miraculé majeur; Péki</t>
        </is>
      </c>
    </row>
    <row r="2186">
      <c r="A2186" t="inlineStr">
        <is>
          <t>Féca M 200</t>
        </is>
      </c>
      <c r="B2186">
        <f>HYPERLINK("https://www.dofusbook.net/fr/equipement/3480416-feca-m-200/objets", "link")</f>
        <v/>
      </c>
      <c r="C2186" t="n">
        <v>10</v>
      </c>
      <c r="D2186" t="inlineStr">
        <is>
          <t>Sabres d'Atcham; Amulette du Strigide; Anneau de Padgref; Anneau Volkorne; Bouclier du Captain Amakna; Ceinture du Strigide; Casque Volkorne; Cape d'Atcham; Sandales  d'Atcham; Dofus Turquoise; Dofus Nébuleux; Dofus Ocre; Dofus Abyssal; Dofus des Glaces; Dofus Ivoire; Muldo Prune et Emeraude</t>
        </is>
      </c>
    </row>
    <row r="2187">
      <c r="A2187" t="inlineStr">
        <is>
          <t>Tk dist</t>
        </is>
      </c>
      <c r="B2187">
        <f>HYPERLINK("https://www.dofusbook.net/fr/equipement/3449972-tk-dist/objets", "link")</f>
        <v/>
      </c>
      <c r="C2187" t="n">
        <v>9</v>
      </c>
      <c r="D2187" t="inlineStr">
        <is>
          <t>Arc de Koutoulou; Amulette du Strigide; Alliance Gloursonne; Bracelet du Piloztère; Quatre-feuilles; Ceinture du Strigide; Némès de Tal Kasha; Chevelure de Tal Kasha; Sandales de Tal Kasha; Dofus Pourpre; Dofus Abyssal; Dofus Turquoise; Dofus Ivoire; Dofus Ocre; Dofus des Glaces; Muldo Ebène</t>
        </is>
      </c>
    </row>
    <row r="2188">
      <c r="A2188" t="inlineStr">
        <is>
          <t>Tk cac</t>
        </is>
      </c>
      <c r="B2188">
        <f>HYPERLINK("https://www.dofusbook.net/fr/equipement/3449327-tk-cac/objets", "link")</f>
        <v/>
      </c>
      <c r="C2188" t="n">
        <v>6</v>
      </c>
      <c r="D2188" t="inlineStr">
        <is>
          <t>Pelle Fik; Amulette du Strigide; Bracelet des Fonds marins; Alliance Gloursonne; Bouclier d'Ilyzaelle; Ceintacé; Masque Trithon; Chevelure de Tal Kasha; Sandales de Tal Kasha; Dofus Turquoise; Dofus Abyssal; Dofus Ocre; Dofus Ivoire; Dokoko; Dofus Émeraude; Muldo Ebène</t>
        </is>
      </c>
    </row>
    <row r="2189">
      <c r="A2189" t="inlineStr">
        <is>
          <t>pas cher air</t>
        </is>
      </c>
      <c r="B2189">
        <f>HYPERLINK("https://www.dofusbook.net/fr/equipement/3109117-pas-cher-air/objets", "link")</f>
        <v/>
      </c>
      <c r="C2189" t="n">
        <v>6</v>
      </c>
      <c r="D2189" t="inlineStr">
        <is>
          <t>Pelle de la Cour Sombre; Collier du Valet Veinard; Gant du Valet Veinard; Anneau d'Allister; Bouclier du Stalak; Menoture; Couronne d'Allister; Cape du Valet Veinard; Bottes d'Allister; Dofus Pourpre; Dofus Nébuleux; Dofus Abyssal; Dofus des Glaces; Dofus Ivoire; Féroce majeur; Muldo Ebène et Orchidée</t>
        </is>
      </c>
    </row>
    <row r="2190">
      <c r="A2190" t="inlineStr">
        <is>
          <t>pas cher</t>
        </is>
      </c>
      <c r="B2190">
        <f>HYPERLINK("https://www.dofusbook.net/fr/equipement/3109106-pas-cher/objets", "link")</f>
        <v/>
      </c>
      <c r="C2190" t="n">
        <v>1</v>
      </c>
      <c r="D2190" t="inlineStr">
        <is>
          <t>Epée Gloursonne; Amulette du Kamasterisk; Bague Gloursonne; Alliance Gloursonne; Bouclier du Stalak; Ceintouse; Chapoulpe; Cape du Kamasterisk; Bottes du Kamasterisk; Dofus Ocre; Dofus Abyssal; Dofus des Glaces; Dofus Ivoire; Dofus Pourpre; Dofus Nébuleux; Muldo Pourpre</t>
        </is>
      </c>
    </row>
    <row r="2191">
      <c r="A2191" t="inlineStr">
        <is>
          <t>terre glande</t>
        </is>
      </c>
      <c r="B2191">
        <f>HYPERLINK("https://www.dofusbook.net/fr/equipement/3102552-terre-glande/objets", "link")</f>
        <v/>
      </c>
      <c r="C2191" t="n">
        <v>3</v>
      </c>
      <c r="D2191" t="inlineStr">
        <is>
          <t>Arc du Chalœil; Amulette du Strigide; Anneau de Brouce; Bague Gloursonne; Bouclier cubiste; Ceinture du Strigide; Coiffe de la Reine des Voleurs; Voile d'encre; Baleinabottes; Dokoko; Carapace Neutre majeur; Enragé majeur; Remueur; Temporiseur majeur; Nomade; Muldo Prune et Pourpre</t>
        </is>
      </c>
    </row>
    <row r="2192">
      <c r="A2192" t="inlineStr">
        <is>
          <t>air</t>
        </is>
      </c>
      <c r="B2192">
        <f>HYPERLINK("https://www.dofusbook.net/fr/equipement/1608422-air/objets", "link")</f>
        <v/>
      </c>
      <c r="C2192" t="n">
        <v>4</v>
      </c>
      <c r="D2192" t="inlineStr">
        <is>
          <t>Manthache; Collier du Valet Veinard; Alliance Gloursonne; Gant du Valet Veinard; Bouclier du Stalak; Menoture; Capuche de Moum-Ra; Cape Indescriptible; Palmes Trithons; Dofus Abyssal; Dokoko; Dofus Ivoire; Dofus des Glaces; Cascadeur majeur; Remueur; Muldo Ebène</t>
        </is>
      </c>
    </row>
    <row r="2193">
      <c r="A2193" t="inlineStr">
        <is>
          <t>feu</t>
        </is>
      </c>
      <c r="B2193">
        <f>HYPERLINK("https://www.dofusbook.net/fr/equipement/1608930-feu/objets", "link")</f>
        <v/>
      </c>
      <c r="C2193" t="n">
        <v>3</v>
      </c>
      <c r="D2193" t="inlineStr">
        <is>
          <t>Arc corrompu; Pendentif affamé; Anneau Rifique; Anneau Tique; Bouclier du Stalak; Ceinture Séculaire; Casque Cyclopéen; Cape de Diondin; Bottes Innommables; Dofus Ivoire; Dofus Abyssal; Dofus Pourpre; Érudit majeur; Remueur</t>
        </is>
      </c>
    </row>
    <row r="2194">
      <c r="A2194" t="inlineStr">
        <is>
          <t>feu-eau pyrag</t>
        </is>
      </c>
      <c r="B2194">
        <f>HYPERLINK("https://www.dofusbook.net/fr/equipement/2905698-feu-eau-pyrag/objets", "link")</f>
        <v/>
      </c>
      <c r="C2194" t="n">
        <v>5</v>
      </c>
      <c r="D2194" t="inlineStr">
        <is>
          <t>Pyraguette; Amulette de l'Indicible; Alliance Gloursonne; Bague Gloursonne; Bouclier du Stalak; Ceinture de l'Indicible; Casque du Chalœil; Cape du Chalœil; Bottes de l'Indicible; Dofus Ocre; Dofus Pourpre; Dofus Nébuleux; Dofus Abyssal; Dofus des Glaces; Dofus Ivoire; Muldo Indigo</t>
        </is>
      </c>
    </row>
    <row r="2195">
      <c r="A2195" t="inlineStr">
        <is>
          <t>full fo</t>
        </is>
      </c>
      <c r="B2195">
        <f>HYPERLINK("https://www.dofusbook.net/fr/equipement/2919256-full-fo/objets", "link")</f>
        <v/>
      </c>
      <c r="C2195" t="n">
        <v>5</v>
      </c>
      <c r="D2195" t="inlineStr">
        <is>
          <t>Lav'Hache; Collier de Tourthon; Anneau de Brouce; Bracelet du Piloztère; Bouclier du Stalak; Ceinture de la Reine des Voleurs; Coiffe de la Reine des Voleurs; Cape au Logis; Baleinabottes; Dofus Abyssal; Dofus des Glaces; Dofus Pourpre; Carapace Air majeur; Vigoureux majeur; Remueur; Kramkram</t>
        </is>
      </c>
    </row>
    <row r="2196">
      <c r="A2196" t="inlineStr">
        <is>
          <t>Do pou 3</t>
        </is>
      </c>
      <c r="B2196">
        <f>HYPERLINK("https://www.dofusbook.net/fr/equipement/2910346-do-pou-3/objets", "link")</f>
        <v/>
      </c>
      <c r="C2196" t="n">
        <v>3</v>
      </c>
      <c r="D2196" t="inlineStr">
        <is>
          <t>Hachoirs de Viandargh; Amibou; Bague Trithon; Alliance Gloursonne; Bivalve; Ceinture du Nocturlabe; Chapibou; Capibou; Bottes Trithon; Dofus Ocre; Dokoko; Dofus Abyssal; Dofus Ivoire; Pousseur majeur; Bousculeur majeur; Muldo Ebène</t>
        </is>
      </c>
    </row>
    <row r="2197">
      <c r="A2197" t="inlineStr">
        <is>
          <t>do pou 2</t>
        </is>
      </c>
      <c r="B2197">
        <f>HYPERLINK("https://www.dofusbook.net/fr/equipement/2822560-do-pou-2/objets", "link")</f>
        <v/>
      </c>
      <c r="C2197" t="n">
        <v>3</v>
      </c>
      <c r="D2197" t="inlineStr">
        <is>
          <t>Hachoirs de Viandargh; Amibou; Gant du Valet Veinard; Alliance Gloursonne; Bivalve; Ceinture du Nocturlabe; Casque Dragoeuf; Capibou; Baleinabottes; Dofus Ivoire; Culbuteur majeur; Pousseur majeur; Nomade; Bousculeur majeur; Remueur; Muldo Ebène</t>
        </is>
      </c>
    </row>
    <row r="2198">
      <c r="A2198" t="inlineStr">
        <is>
          <t>terre do pou soutien</t>
        </is>
      </c>
      <c r="B2198">
        <f>HYPERLINK("https://www.dofusbook.net/fr/equipement/2910220-terre-do-pou-soutien/objets", "link")</f>
        <v/>
      </c>
      <c r="C2198" t="n">
        <v>2</v>
      </c>
      <c r="D2198" t="inlineStr">
        <is>
          <t>Lav'Hache; Torquistik; Anneau de Brouce; Bague Trithon; Bouclier du Stalak; Ceinture Gence; Casque Dragoeuf; Voile d'encre; Bottistik; Dofus des Glaces; Dofus Ivoire; Déserteur majeur; Remueur; Enragé majeur; Nomade; Muldo Pourpre</t>
        </is>
      </c>
    </row>
    <row r="2199">
      <c r="A2199" t="inlineStr">
        <is>
          <t>Anti sramlol</t>
        </is>
      </c>
      <c r="B2199">
        <f>HYPERLINK("https://www.dofusbook.net/fr/equipement/2905666-anti-sramlol/objets", "link")</f>
        <v/>
      </c>
      <c r="C2199" t="n">
        <v>2</v>
      </c>
      <c r="D2199" t="inlineStr">
        <is>
          <t>Arc du Chalœil; Amulette du Strigide; Bracelet du Piloztère; Alliance Gloursonne; Bouclier du Stalak; Ceintacé; Casque des égarés; Voile d'encre; Bottes du Strigide; Dokoko; Dofus Abyssal; Dofus Pourpre; Dofus Ivoire; Muraille Air majeure; Remueur; Muldo Ebène et Pourpre</t>
        </is>
      </c>
    </row>
    <row r="2200">
      <c r="A2200" t="inlineStr">
        <is>
          <t>do pou soutien</t>
        </is>
      </c>
      <c r="B2200">
        <f>HYPERLINK("https://www.dofusbook.net/fr/equipement/2882545-do-pou-soutien/objets", "link")</f>
        <v/>
      </c>
      <c r="C2200" t="n">
        <v>3</v>
      </c>
      <c r="D2200" t="inlineStr">
        <is>
          <t>Hachoirs de Viandargh; Amulette d'Ilyzaelle; Bague Instable; Alliance Gloursonne; Bouclier d'Ilyzaelle; Ceinture du Nocturlabe; Casque Dragoeuf; Capibou; Baleinabottes; Dofus Abyssal; Dofus Ivoire; Remueur; Culbuteur; Bousculeur majeur; Culbuteur majeur; Muldo Ebène</t>
        </is>
      </c>
    </row>
    <row r="2201">
      <c r="A2201" t="inlineStr">
        <is>
          <t>air</t>
        </is>
      </c>
      <c r="B2201">
        <f>HYPERLINK("https://www.dofusbook.net/fr/equipement/2901233-air/objets", "link")</f>
        <v/>
      </c>
      <c r="C2201" t="n">
        <v>6</v>
      </c>
      <c r="D2201" t="inlineStr">
        <is>
          <t>Dagues Érhy; Collier du Valet Veinard; Gant du Valet Veinard; Alliance Gloursonne; Bouclier du Stalak; Ceintouse; Chapoulpe; Cape du Valet Veinard; Tentassons; Dokoko; Dofus des Glaces; Dofus Pourpre; Dofus Abyssal; Dofus Ocre; Dofus Ivoire; Muldo Ebène et Pourpre</t>
        </is>
      </c>
    </row>
    <row r="2202">
      <c r="A2202" t="inlineStr">
        <is>
          <t>dubled</t>
        </is>
      </c>
      <c r="B2202">
        <f>HYPERLINK("https://www.dofusbook.net/fr/equipement/2892518-dubled/objets", "link")</f>
        <v/>
      </c>
      <c r="C2202" t="n">
        <v>5</v>
      </c>
      <c r="D2202" t="inlineStr">
        <is>
          <t>Manthache; Collier du Valet Veinard; Gant du Valet Veinard; Anneau d'Allister; Bouclier du Stalak; Menoture; Couronne d'Allister; Cape du Valet Veinard; Bottes d'Allister; Dofus Pourpre; Dofus des Glaces; Dokoko; Saccageur Air majeur; Robuste majeur; Acrobate majeur; Muldo Doré et Ebène</t>
        </is>
      </c>
    </row>
    <row r="2203">
      <c r="A2203" t="inlineStr">
        <is>
          <t>feu pas cher</t>
        </is>
      </c>
      <c r="B2203">
        <f>HYPERLINK("https://www.dofusbook.net/fr/equipement/2882528-feu-pas-cher/objets", "link")</f>
        <v/>
      </c>
      <c r="C2203" t="n">
        <v>1</v>
      </c>
      <c r="D2203" t="inlineStr">
        <is>
          <t>Baguette de Malléfisk; Pendentif affamé; Anneau de Nidas; Bracelet du Piloztère; Bouclier du Stalak; Ceinture Séculaire; Heaume Oplate; Voile d'encre; Tongues de Nidas; Dofus Abyssal; Dofus Ivoire; Érudit majeur; Remueur; Déserteur majeur; Carapace Terre majeur; Muldo Orchidée</t>
        </is>
      </c>
    </row>
    <row r="2204">
      <c r="A2204" t="inlineStr">
        <is>
          <t>Multi chaloeil</t>
        </is>
      </c>
      <c r="B2204">
        <f>HYPERLINK("https://www.dofusbook.net/fr/equipement/2838353-multi-chaloeil/objets", "link")</f>
        <v/>
      </c>
      <c r="C2204" t="n">
        <v>8</v>
      </c>
      <c r="D2204" t="inlineStr">
        <is>
          <t>Hache du Chalœil; Amulette du Strigide; Alliance Gloursonne; Bracelet du Piloztère; Quatre-feuilles; Ceintacé; Coiffe de Padgref; Voile d'encre; Bottes du Strigide; Dofus Nébuleux; Dofus Turquoise; Dofus des Glaces; Dofus Pourpre; Dofus Ivoire; Remueur; Muldo Prune et Emeraude</t>
        </is>
      </c>
    </row>
    <row r="2205">
      <c r="A2205" t="inlineStr">
        <is>
          <t>Test full-crit</t>
        </is>
      </c>
      <c r="B2205">
        <f>HYPERLINK("https://www.dofusbook.net/fr/equipement/2855194-test-full-crit/objets", "link")</f>
        <v/>
      </c>
      <c r="C2205" t="n">
        <v>2</v>
      </c>
      <c r="D2205" t="inlineStr">
        <is>
          <t>Hache du Chalœil; Amulette du Strigide; Bracelet du Piloztère; Anneau de Padgref; Quatre-feuilles; Ceinture du Strigide; Coiffe de Padgref; Cape de la Dame du Hasard; Getas de Padgref; Dofus Abyssal; Dofus Ocre; Dofus Pourpre; Dofus des Glaces; Dofus Turquoise; Dofus Nébuleux; Muldo Prune et Emeraude</t>
        </is>
      </c>
    </row>
    <row r="2206">
      <c r="A2206" t="inlineStr">
        <is>
          <t>Multi chaloeil 2</t>
        </is>
      </c>
      <c r="B2206">
        <f>HYPERLINK("https://www.dofusbook.net/fr/equipement/2853184-multi-chaloeil-2/objets", "link")</f>
        <v/>
      </c>
      <c r="C2206" t="n">
        <v>3</v>
      </c>
      <c r="D2206" t="inlineStr">
        <is>
          <t>Hache du Chalœil; Amulette du Strigide; Bague Gloursonne; Alliance Gloursonne; Quatre-feuilles; Ceinture du Strigide; Le Dorado; Cape de la Dame du Hasard; Bottes de la Dame du Hasard; Dofus Turquoise; Dofus Nébuleux; Dofus Ocre; Dolmanax; Dofus Pourpre; Dofus des Glaces; Muldo Prune et Emeraude</t>
        </is>
      </c>
    </row>
    <row r="2207">
      <c r="A2207" t="inlineStr">
        <is>
          <t>full air</t>
        </is>
      </c>
      <c r="B2207">
        <f>HYPERLINK("https://www.dofusbook.net/fr/equipement/2844671-full-air/objets", "link")</f>
        <v/>
      </c>
      <c r="C2207" t="n">
        <v>7</v>
      </c>
      <c r="D2207" t="inlineStr">
        <is>
          <t>Manthache; Collier du Valet Veinard; Alliance Gloursonne; Gant du Valet Veinard; Bouclier du Stalak; Menoture; Couronne d'Allister; Cape Indescriptible; Palmes Trithons; Dofus Pourpre; Dokoko; Nomade; Dévastateur Air majeur; Remueur; Cascadeur majeur; Muldo Doré et Ebène</t>
        </is>
      </c>
    </row>
    <row r="2208">
      <c r="A2208" t="inlineStr">
        <is>
          <t>do pou</t>
        </is>
      </c>
      <c r="B2208">
        <f>HYPERLINK("https://www.dofusbook.net/fr/equipement/2822407-do-pou/objets", "link")</f>
        <v/>
      </c>
      <c r="C2208" t="n">
        <v>2</v>
      </c>
      <c r="D2208" t="inlineStr">
        <is>
          <t>Lance corrompue; Amulette du Cœur Vaillant; Gant du Valet Veinard; Alliance Gloursonne; Bouclier Taverne; Ceinture Gence; Casque Dragoeuf; Cape du Cœur Vaillant; Bottes du Cœur Vaillant; Dofus Pourpre; Dokoko; Dofus des Glaces; Dofus Abyssal; Dofus Émeraude; Bousculeur majeur; Muldo Ebène et Pourpre</t>
        </is>
      </c>
    </row>
    <row r="2209">
      <c r="A2209" t="inlineStr">
        <is>
          <t>test-flo2</t>
        </is>
      </c>
      <c r="B2209">
        <f>HYPERLINK("https://www.dofusbook.net/fr/equipement/2837182-test-flo2/objets", "link")</f>
        <v/>
      </c>
      <c r="C2209" t="n">
        <v>9</v>
      </c>
      <c r="D2209" t="inlineStr">
        <is>
          <t>Arc de Koutoulou; Amulette de Shokkoth; Alliance Gloursonne; Bracelet des Fonds marins; Quatre-feuilles; Menoture; Dorabysses; Chevelure de Tal Kasha; Sandales de Tal Kasha; Dofus des Glaces; Dofus Pourpre; Dofus Abyssal; Dofus Turquoise; Vigoureux majeur; Remueur; Muldo Ebène et Indigo</t>
        </is>
      </c>
    </row>
    <row r="2210">
      <c r="A2210" t="inlineStr">
        <is>
          <t>test-flo</t>
        </is>
      </c>
      <c r="B2210">
        <f>HYPERLINK("https://www.dofusbook.net/fr/equipement/2836943-test-flo/objets", "link")</f>
        <v/>
      </c>
      <c r="C2210" t="n">
        <v>8</v>
      </c>
      <c r="D2210" t="inlineStr">
        <is>
          <t>Marteau R'ture; Collier de Tourthon; Bague Gloursonne; Anneau de Brouce; Bouclier alvéolé; Ceinture de Kongoku; Masque d'Anerice; Cape d'Anerice; Baleinabottes; Dofus Abyssal; Dofus Émeraude; Miraculé majeur; Obstructeur majeur; Remueur; Enragé majeur; Muldo Pourpre</t>
        </is>
      </c>
    </row>
    <row r="2211">
      <c r="A2211" t="inlineStr">
        <is>
          <t>pauvre</t>
        </is>
      </c>
      <c r="B2211">
        <f>HYPERLINK("https://www.dofusbook.net/fr/equipement/1634801-pauvre/objets", "link")</f>
        <v/>
      </c>
      <c r="C2211" t="n">
        <v>5</v>
      </c>
      <c r="D2211" t="inlineStr">
        <is>
          <t>Hache du Chalœil; Amulette du Strigide; Alliance Gloursonne; Bracelet du Piloztère; Bouclier du Captain Amakna; Ceintacé; Casque du Chalœil; Voile d'encre; Bottes du Strigide; Dofus des Glaces; Dofus Turquoise; Dokoko; Dolmanax; Dofus Pourpre; Remueur; Muldo Prune et Emeraude</t>
        </is>
      </c>
    </row>
    <row r="2212">
      <c r="A2212" t="inlineStr">
        <is>
          <t>terre-feu rox</t>
        </is>
      </c>
      <c r="B2212">
        <f>HYPERLINK("https://www.dofusbook.net/fr/equipement/1689353-terre-feu-rox/objets", "link")</f>
        <v/>
      </c>
      <c r="C2212" t="n">
        <v>3</v>
      </c>
      <c r="D2212" t="inlineStr">
        <is>
          <t>Hache Téroïde; Amulette du Strigide; Bague Gloursonne; Bracelet du Piloztère; Quatre-feuilles; Ceintacé; Chapeau de Gein; Voile d'encre; Bottes du Strigide; Dofus Pourpre; Dofus Turquoise; Dofus des Glaces; Nomade; Vigoureux majeur; Remueur; Kramkram</t>
        </is>
      </c>
    </row>
    <row r="2213">
      <c r="A2213" t="inlineStr">
        <is>
          <t>terre-arc</t>
        </is>
      </c>
      <c r="B2213">
        <f>HYPERLINK("https://www.dofusbook.net/fr/equipement/2834638-terre-arc/objets", "link")</f>
        <v/>
      </c>
      <c r="C2213" t="n">
        <v>4</v>
      </c>
      <c r="D2213" t="inlineStr">
        <is>
          <t>Arc du Chalœil; Amulette du Strigide; Anneau de Brouce; Bracelet du Piloztère; Quatre-feuilles; Ceintacé; Coiffe de la Reine des Voleurs; Voile d'encre; Bottes du Strigide; Dokoko; Dofus Pourpre; Dofus Abyssal; Dofus Turquoise; Remueur; Enragé majeur; Muldo Ebène et Pourpre</t>
        </is>
      </c>
    </row>
    <row r="2214">
      <c r="A2214" t="inlineStr">
        <is>
          <t>tank do-pou terre</t>
        </is>
      </c>
      <c r="B2214">
        <f>HYPERLINK("https://www.dofusbook.net/fr/equipement/2832418-tank-do-pou-terre/objets", "link")</f>
        <v/>
      </c>
      <c r="C2214" t="n">
        <v>2</v>
      </c>
      <c r="D2214" t="inlineStr">
        <is>
          <t>Lav'Hache; Torquistik; Bracelet du Piloztère; Anneau de Brouce; Bouclier du Stalak; Ceinture Gence; Casque Dragoeuf; Voile d'encre; Bottistik; Dofus Abyssal; Dofus des Glaces; Remueur; Enragé majeur; Culbuteur majeur; Bousculeur majeur; Muldo Pourpre</t>
        </is>
      </c>
    </row>
    <row r="2215">
      <c r="A2215" t="inlineStr">
        <is>
          <t>multi héquache</t>
        </is>
      </c>
      <c r="B2215">
        <f>HYPERLINK("https://www.dofusbook.net/fr/equipement/1682233-multi-hequache/objets", "link")</f>
        <v/>
      </c>
      <c r="C2215" t="n">
        <v>2</v>
      </c>
      <c r="D2215" t="inlineStr">
        <is>
          <t>Héqache; Amulette du Strigide; Alliance Gloursonne; Bracelet du Piloztère; Quatre-feuilles; Ceintacé; Casque du Chalœil; Voile d'encre; Bottes du Chalœil; Dofus des Glaces; Dofus Pourpre; Dofus Nébuleux; Dofus Turquoise; Vigoureux majeur; Remueur; Muldo Ebène et Pourpre</t>
        </is>
      </c>
    </row>
    <row r="2216">
      <c r="A2216" t="inlineStr">
        <is>
          <t>full fo</t>
        </is>
      </c>
      <c r="B2216">
        <f>HYPERLINK("https://www.dofusbook.net/fr/equipement/2613816-full-fo/objets", "link")</f>
        <v/>
      </c>
      <c r="C2216" t="n">
        <v>4</v>
      </c>
      <c r="D2216" t="inlineStr">
        <is>
          <t>Lav'Hache; Collier de Tourthon; Anneau de Brouce; Bracelet du Piloztère; Bouclier du Stalak; Ceinture de la Reine des Voleurs; Coiffe de la Reine des Voleurs; Cape au Logis; Baleinabottes; Dofus Pourpre; Dofus Abyssal; Dofus des Glaces; Remueur; Carapace Air majeur; Vigoureux majeur; Kramkram</t>
        </is>
      </c>
    </row>
    <row r="2217">
      <c r="A2217" t="inlineStr">
        <is>
          <t>terre-air crit fullp</t>
        </is>
      </c>
      <c r="B2217">
        <f>HYPERLINK("https://www.dofusbook.net/fr/equipement/1538228-terre-air-crit-fullp/objets", "link")</f>
        <v/>
      </c>
      <c r="C2217" t="n">
        <v>3</v>
      </c>
      <c r="D2217" t="inlineStr">
        <is>
          <t>Héqache; Amulette du Strigide; Alliance Gloursonne; Bracelet du Piloztère; Quatre-feuilles; Ceinture du Strigide; Coiffe de la Fuji Givrefoux; Cape de la Fuji Givrefoux; Bottes du Strigide; Dofus Ocre; Dofus des Glaces; Dofus Pourpre; Dofus Abyssal; Dokoko; Dofus Turquoise; Muldo Prune et Emeraude</t>
        </is>
      </c>
    </row>
    <row r="2218">
      <c r="A2218" t="inlineStr">
        <is>
          <t>Test ter-air Dopou1</t>
        </is>
      </c>
      <c r="B2218">
        <f>HYPERLINK("https://www.dofusbook.net/fr/equipement/2572221-test-ter-air-dopou1/objets", "link")</f>
        <v/>
      </c>
      <c r="C2218" t="n">
        <v>2</v>
      </c>
      <c r="D2218" t="inlineStr">
        <is>
          <t>Hache Ériphe; Amulette du Cœur Vaillant; Alliance Gloursonne; Anneau des égarés; Bouclier du Stalak; Sangle Oriole; Casque des égarés; Cape du Cœur Vaillant; Bottes du Cœur Vaillant; Dofus Ivoire; Dofus Émeraude; Dofus Abyssal; Dofus Ocre; Dofus Pourpre; Dokoko; Muldo Ebène et Pourpre</t>
        </is>
      </c>
    </row>
    <row r="2219">
      <c r="A2219" t="inlineStr">
        <is>
          <t>feu soutien</t>
        </is>
      </c>
      <c r="B2219">
        <f>HYPERLINK("https://www.dofusbook.net/fr/equipement/2830629-feu-soutien/objets", "link")</f>
        <v/>
      </c>
      <c r="C2219" t="n">
        <v>1</v>
      </c>
      <c r="D2219" t="inlineStr">
        <is>
          <t>Arc corrompu; Amulette Séculaire; Anneau Rifique; Anneau Tique; Bouclier du Stalak; Ceinture de Vortex; Coiffe Séculaire; Voile d'encre; Pataugastrique; Dofus Abyssal; Dofus Ivoire; Déserteur majeur; Carapace Feu majeur; Érudit majeur; Remueur; Muldo Pourpre</t>
        </is>
      </c>
    </row>
    <row r="2220">
      <c r="A2220" t="inlineStr">
        <is>
          <t>air test</t>
        </is>
      </c>
      <c r="B2220">
        <f>HYPERLINK("https://www.dofusbook.net/fr/equipement/2822398-air-test/objets", "link")</f>
        <v/>
      </c>
      <c r="C2220" t="n">
        <v>1</v>
      </c>
      <c r="D2220" t="inlineStr">
        <is>
          <t>Héqache; Amibou; Bague Trithon; Alliance Gloursonne; Bouclier précieux; Ceintouse; Masque Trithon; Cape du Cœur Vaillant; Baleinabottes; Dofus Pourpre; Vigoureux majeur; Culbuteur; Bousculeur majeur; Remueur; Culbuteur majeur; Muldo Ebène et Pourpre</t>
        </is>
      </c>
    </row>
    <row r="2221">
      <c r="A2221" t="inlineStr">
        <is>
          <t>Eau 2 source</t>
        </is>
      </c>
      <c r="B2221">
        <f>HYPERLINK("https://www.dofusbook.net/fr/equipement/2817855-eau-2-source/objets", "link")</f>
        <v/>
      </c>
      <c r="C2221" t="n">
        <v>6</v>
      </c>
      <c r="D2221" t="inlineStr">
        <is>
          <t>Sceptre du Roi Joueur; Amulette de Shokkoth; Bracelet des Fonds marins; Alliance Gloursonne; Bouclier d'Ilyzaelle; Sangle Ouare; Casque d'Ilyzaelle; Cape Solution; Chaussons de Macrab; Dokoko; Dofus Ivoire; Dofus Émeraude; Déserteur majeur; Chanceux majeur; Remueur; Muldo Indigo et Amande</t>
        </is>
      </c>
    </row>
    <row r="2222">
      <c r="A2222" t="inlineStr">
        <is>
          <t>feu 2</t>
        </is>
      </c>
      <c r="B2222">
        <f>HYPERLINK("https://www.dofusbook.net/fr/equipement/2792422-feu-2/objets", "link")</f>
        <v/>
      </c>
      <c r="C2222" t="n">
        <v>5</v>
      </c>
      <c r="D2222" t="inlineStr">
        <is>
          <t>Arc Hétype; Amulette Séculaire; Baguistik; Bague Gloursonne; Bouclier Feudala; Ceinture de Vortex; Coiffe Séculaire; Voile d'encre; Chaussures Ardentes; Dofus Ocre; Déserteur majeur; Remueur; Érudit majeur; Miraculé majeur; Carapace Neutre majeur; Muldo Ebène et Pourpre</t>
        </is>
      </c>
    </row>
    <row r="2223">
      <c r="A2223" t="inlineStr">
        <is>
          <t>futur</t>
        </is>
      </c>
      <c r="B2223">
        <f>HYPERLINK("https://www.dofusbook.net/fr/equipement/2792218-futur/objets", "link")</f>
        <v/>
      </c>
      <c r="C2223" t="n">
        <v>5</v>
      </c>
      <c r="D2223" t="inlineStr">
        <is>
          <t>Le Thanos; Amulette d'Ilyzaelle; Anneau Tique; Alliance Gloursonne; Bouclier précieux; Sangle Ouare; Casque d'Ilyzaelle; Cape Solution; Bottistik; Dofus Ivoire; Chanceux majeur; Miraculé majeur; Guérisseur majeur; Remueur; Culbuteur majeur; Kramkram</t>
        </is>
      </c>
    </row>
    <row r="2224">
      <c r="A2224" t="inlineStr">
        <is>
          <t>air</t>
        </is>
      </c>
      <c r="B2224">
        <f>HYPERLINK("https://www.dofusbook.net/fr/equipement/2792084-air/objets", "link")</f>
        <v/>
      </c>
      <c r="C2224" t="n">
        <v>10</v>
      </c>
      <c r="D2224" t="inlineStr">
        <is>
          <t>Lance Horselé; Collier du Valet Veinard; Gant du Valet Veinard; Alliance Gloursonne; Bouclier du Stalak; Menoture; Chapeau de Tournoyé; Cape d'Anerice; Palmes Trithons; Dokoko; Dofus Émeraude; Dofus Ivoire; Miraculé majeur; Cascadeur majeur; Remueur; Muldo Ebène</t>
        </is>
      </c>
    </row>
    <row r="2225">
      <c r="A2225" t="inlineStr">
        <is>
          <t>chimiiiiiqueeee</t>
        </is>
      </c>
      <c r="B2225">
        <f>HYPERLINK("https://www.dofusbook.net/fr/equipement/2791805-chimiiiiiqueeee/objets", "link")</f>
        <v/>
      </c>
      <c r="C2225" t="n">
        <v>7</v>
      </c>
      <c r="D2225" t="inlineStr">
        <is>
          <t>Le Thanos; Amulette d'Ilyzaelle; Anneau Tique; Anneau Rifique; Bouclier d'Ilyzaelle; Ceinture de Vortex; Cagoule de Vortex; Cape Ardente; Sabots de Vortex; Muldo Ebène</t>
        </is>
      </c>
    </row>
    <row r="2226">
      <c r="A2226" t="inlineStr">
        <is>
          <t>full air</t>
        </is>
      </c>
      <c r="B2226">
        <f>HYPERLINK("https://www.dofusbook.net/fr/equipement/1667677-full-air/objets", "link")</f>
        <v/>
      </c>
      <c r="C2226" t="n">
        <v>13</v>
      </c>
      <c r="D2226" t="inlineStr">
        <is>
          <t>Manthache; Collier du Valet Veinard; Alliance Gloursonne; Gant du Valet Veinard; Bouclier Ventaille; Menoture; Casque Dragoeuf; Cape du Kamasterisk; Palmes Trithons; Dofus Émeraude; Dokoko; Nomade; Cascadeur majeur; Carapace Air majeur; Remueur; El Scarador</t>
        </is>
      </c>
    </row>
    <row r="2227">
      <c r="A2227" t="inlineStr">
        <is>
          <t>poulp vv</t>
        </is>
      </c>
      <c r="B2227">
        <f>HYPERLINK("https://www.dofusbook.net/fr/equipement/2788633-poulp-vv/objets", "link")</f>
        <v/>
      </c>
      <c r="C2227" t="n">
        <v>11</v>
      </c>
      <c r="D2227" t="inlineStr">
        <is>
          <t>Lance corrompue; Collier du Valet Veinard; Gant du Valet Veinard; Alliance Gloursonne; Bouclier du Captain Amakna; Ceintouse; Chapoulpe; Cape du Valet Veinard; Tentassons; Dofus Pourpre; Dofus Abyssal; Dofus Ocre; Dofus Émeraude; Dofus des Glaces; Robuste majeur; Muldo Ebène</t>
        </is>
      </c>
    </row>
    <row r="2228">
      <c r="A2228" t="inlineStr">
        <is>
          <t>eau</t>
        </is>
      </c>
      <c r="B2228">
        <f>HYPERLINK("https://www.dofusbook.net/fr/equipement/2787955-eau/objets", "link")</f>
        <v/>
      </c>
      <c r="C2228" t="n">
        <v>6</v>
      </c>
      <c r="D2228" t="inlineStr">
        <is>
          <t>Sceptre du Roi Joueur; Amulette de Shokkoth; Bracelet des Fonds marins; Alliance Gloursonne; Roncier; Sangle Ouare; Casque d'Ilyzaelle; Cape Solution; Sandales des Fonds marins; Dofus Ivoire; Dokoko; Miraculé majeur; Chanceux majeur; Carapace Feu majeur; Remueur; El Scarador</t>
        </is>
      </c>
    </row>
    <row r="2229">
      <c r="A2229" t="inlineStr">
        <is>
          <t>eau air ret</t>
        </is>
      </c>
      <c r="B2229">
        <f>HYPERLINK("https://www.dofusbook.net/fr/equipement/2741743-eau-air-ret/objets", "link")</f>
        <v/>
      </c>
      <c r="C2229" t="n">
        <v>2</v>
      </c>
      <c r="D2229" t="inlineStr">
        <is>
          <t>Sceptre du Roi Joueur; Amulette de Shokkoth; Bracelet des Fonds marins; Alliance Gloursonne; Quatre-feuilles; Pagne du Rykaon; Kidibonnet; Chevelure de Tal Kasha; Sandales de Tal Kasha; Dofus des Glaces; Dofus Pourpre; Dofus Nébuleux; Dofus Turquoise; Dofus Abyssal; Muldo Prune et Emeraude</t>
        </is>
      </c>
    </row>
    <row r="2230">
      <c r="A2230" t="inlineStr">
        <is>
          <t>koli fo</t>
        </is>
      </c>
      <c r="B2230">
        <f>HYPERLINK("https://www.dofusbook.net/fr/equipement/2725824-koli-fo/objets", "link")</f>
        <v/>
      </c>
      <c r="C2230" t="n">
        <v>8</v>
      </c>
      <c r="D2230" t="inlineStr">
        <is>
          <t>Hache Téroïde; Amulette du Strigide; Anneau de Brouce; Anneau Chevelu; Bouclier du Captain Amakna; Ceinture Gence; Chapeau de Gein; Voile d'encre; Bottes du Strigide; Dofus Nébuleux; Dofus Pourpre; Dofus Abyssal; Dofus Turquoise; Remueur; Enragé majeur; Muldo Prune et Indigo</t>
        </is>
      </c>
    </row>
    <row r="2231">
      <c r="A2231" t="inlineStr">
        <is>
          <t>air</t>
        </is>
      </c>
      <c r="B2231">
        <f>HYPERLINK("https://www.dofusbook.net/fr/equipement/2703253-air/objets", "link")</f>
        <v/>
      </c>
      <c r="C2231" t="n">
        <v>4</v>
      </c>
      <c r="D2231" t="inlineStr">
        <is>
          <t>Arc de Koutoulou; Amulette d'Ilyzaelle; Anneau d'Allister; Alliance Gloursonne; Menoture; Casque d'Ilyzaelle; Cape du Valet Veinard; Sandales de Tal Kasha</t>
        </is>
      </c>
    </row>
    <row r="2232">
      <c r="A2232" t="inlineStr">
        <is>
          <t>ret Pa PAS LEGAL</t>
        </is>
      </c>
      <c r="B2232">
        <f>HYPERLINK("https://www.dofusbook.net/fr/equipement/2572183-ret-pa-pas-legal/objets", "link")</f>
        <v/>
      </c>
      <c r="C2232" t="n">
        <v>1</v>
      </c>
      <c r="D2232" t="inlineStr">
        <is>
          <t>Lance corrompue; Amulette du Cœur Vaillant; Alliance Gloursonne; Anneau Crustique; Sept ans de malheur; Menoture; Chapoulpe; Voile d'encre; Tentassons; Dofus des Glaces; Dofus Abyssal; Remueur; Étourdisseur majeur; Obstructeur majeur; Muldo Ebène</t>
        </is>
      </c>
    </row>
    <row r="2233">
      <c r="A2233" t="inlineStr">
        <is>
          <t>baleino lance</t>
        </is>
      </c>
      <c r="B2233">
        <f>HYPERLINK("https://www.dofusbook.net/fr/equipement/2606974-baleino-lance/objets", "link")</f>
        <v/>
      </c>
      <c r="C2233" t="n">
        <v>1</v>
      </c>
      <c r="D2233" t="inlineStr">
        <is>
          <t>Lance corrompue; Amulette du Cœur Vaillant; Anneau de Brouce; Alliance Gloursonne; Bouclier du Captain Amakna; Ceinture de la Reine des Voleurs; Coiffe de la Reine des Voleurs; Cape du Kamasterisk; Baleinabottes; Dofus Émeraude; Dofus Pourpre; Dofus des Glaces; Nomade; Remueur; Vigoureux majeur; El Scarador</t>
        </is>
      </c>
    </row>
    <row r="2234">
      <c r="A2234" t="inlineStr">
        <is>
          <t>Rdv kam lance</t>
        </is>
      </c>
      <c r="B2234">
        <f>HYPERLINK("https://www.dofusbook.net/fr/equipement/2606862-rdv-kam-lance/objets", "link")</f>
        <v/>
      </c>
      <c r="C2234" t="n">
        <v>2</v>
      </c>
      <c r="D2234" t="inlineStr">
        <is>
          <t>Lance corrompue; Amulette du Kamasterisk; Alliance Gloursonne; Bague Gloursonne; Bouclier du Captain Amakna; Ceinture de la Reine des Voleurs; Coiffe de la Reine des Voleurs; Cape du Kamasterisk; Bottes du Kamasterisk; Dofus Pourpre; Dofus Abyssal; Dokoko; Dofus Ocre; Dofus Émeraude; Dofus Nébuleux; Muldo Ebène et Orchidée</t>
        </is>
      </c>
    </row>
    <row r="2235">
      <c r="A2235" t="inlineStr">
        <is>
          <t>poulp vv</t>
        </is>
      </c>
      <c r="B2235">
        <f>HYPERLINK("https://www.dofusbook.net/fr/equipement/2600552-poulp-vv/objets", "link")</f>
        <v/>
      </c>
      <c r="C2235" t="n">
        <v>2</v>
      </c>
      <c r="D2235" t="inlineStr">
        <is>
          <t>Lance corrompue; Collier du Valet Veinard; Alliance Gloursonne; Gant du Valet Veinard; Bouclier Taverne; Ceinture de la Reine des Voleurs; Coiffe de la Reine des Voleurs; Cape du Valet Veinard; Bottes de la Reine des Voleurs; Dofus Émeraude; Dofus des Glaces; Dofus Pourpre; Dofus Abyssal; Dofus Ocre; Bousculeur majeur; Muldo Ebène</t>
        </is>
      </c>
    </row>
    <row r="2236">
      <c r="A2236" t="inlineStr">
        <is>
          <t>Terre agi lance</t>
        </is>
      </c>
      <c r="B2236">
        <f>HYPERLINK("https://www.dofusbook.net/fr/equipement/2484712-terre-agi-lance/objets", "link")</f>
        <v/>
      </c>
      <c r="C2236" t="n">
        <v>3</v>
      </c>
      <c r="D2236" t="inlineStr">
        <is>
          <t>Lance corrompue; Amulette du Cœur Vaillant; Bague Gloursonne; Alliance Gloursonne; Bouclier du Captain Amakna; Ceinture de la Reine des Voleurs; Coiffe de la Reine des Voleurs; Cape du Cœur Vaillant; Bottes du Cœur Vaillant; Dofus Émeraude; Dofus Ocre; Dokoko; Dofus des Glaces; Dofus Pourpre; Dofus Abyssal; Muldo Ebène et Amande</t>
        </is>
      </c>
    </row>
    <row r="2237">
      <c r="A2237" t="inlineStr">
        <is>
          <t>terre air hahique</t>
        </is>
      </c>
      <c r="B2237">
        <f>HYPERLINK("https://www.dofusbook.net/fr/equipement/2548661-terre-air-hahique/objets", "link")</f>
        <v/>
      </c>
      <c r="C2237" t="n">
        <v>4</v>
      </c>
      <c r="D2237" t="inlineStr">
        <is>
          <t>Arc Ahique; Amulette du Cœur Vaillant; Bague Gloursonne; Alliance Gloursonne; Cadran d'Air; Ceinture de la Reine des Voleurs; Coiffe de la Reine des Voleurs; Cape du Cœur Vaillant; Bottes du Cœur Vaillant; Dofus Pourpre; Dofus Ivoire; Dofus Ocre; Dofus des Glaces; Dokoko; Dofus Abyssal; Muldo Ebène et Amande</t>
        </is>
      </c>
    </row>
    <row r="2238">
      <c r="A2238" t="inlineStr">
        <is>
          <t>rdv ahique</t>
        </is>
      </c>
      <c r="B2238">
        <f>HYPERLINK("https://www.dofusbook.net/fr/equipement/2434792-rdv-ahique/objets", "link")</f>
        <v/>
      </c>
      <c r="C2238" t="n">
        <v>3</v>
      </c>
      <c r="D2238" t="inlineStr">
        <is>
          <t>Arc Ahique; Amulette de l'Indicible; Bracelet des Fonds marins; Alliance Gloursonne; Bouclier du Stalak; Ceinture de la Reine des Voleurs; Coiffe de la Reine des Voleurs; Voile d'encre; Bottes de la Reine des Voleurs; Dofus Pourpre; Dofus Abyssal; Dolmanax; Dofus Ocre; Dokoko; Dofus des Glaces; Muldo Ebène et Indigo</t>
        </is>
      </c>
    </row>
    <row r="2239">
      <c r="A2239" t="inlineStr">
        <is>
          <t>ahique eau</t>
        </is>
      </c>
      <c r="B2239">
        <f>HYPERLINK("https://www.dofusbook.net/fr/equipement/2434288-ahique-eau/objets", "link")</f>
        <v/>
      </c>
      <c r="C2239" t="n">
        <v>1</v>
      </c>
      <c r="D2239" t="inlineStr">
        <is>
          <t>Arc Ahique; Amulette de Shokkoth; Bracelet des Fonds marins; Alliance Gloursonne; Bouclier du Stalak; Ceinture de la Reine des Voleurs; Kidibonnet; Cape de l'Œil Attentif; Bottes de la Reine des Voleurs; Dofus des Glaces; Dokoko; Dofus Abyssal; Dofus Pourpre; Vigoureux majeur; Remueur; Muldo Indigo</t>
        </is>
      </c>
    </row>
    <row r="2240">
      <c r="A2240" t="inlineStr">
        <is>
          <t>terre tank dopou</t>
        </is>
      </c>
      <c r="B2240">
        <f>HYPERLINK("https://www.dofusbook.net/fr/equipement/2434253-terre-tank-dopou/objets", "link")</f>
        <v/>
      </c>
      <c r="C2240" t="n">
        <v>3</v>
      </c>
      <c r="D2240" t="inlineStr">
        <is>
          <t>Arc du Chalœil; Amulette du Strigide; Alliance Gloursonne; Bague Trithon; Quatre-feuilles; Ceintacé; Masque d'Anerice; Cape d'Anerice; Bottes du Chalœil; Dofus des Glaces; Dofus Pourpre; Dofus Abyssal; Dofus Turquoise; Dévastateur Terre majeur; Remueur; Muldo Prune et Emeraude</t>
        </is>
      </c>
    </row>
    <row r="2241">
      <c r="A2241" t="inlineStr">
        <is>
          <t>tri</t>
        </is>
      </c>
      <c r="B2241">
        <f>HYPERLINK("https://www.dofusbook.net/fr/equipement/2423804-tri/objets", "link")</f>
        <v/>
      </c>
      <c r="C2241" t="n">
        <v>7</v>
      </c>
      <c r="D2241" t="inlineStr">
        <is>
          <t>Hache du Chalœil; Amulette du Strigide; Bracelet du Piloztère; Alliance Gloursonne; Quatre-feuilles; Ceintacé; Masque Trithon; Voile d'encre; Bottes Trithon; Dofus Ocre; Dofus Turquoise; Dolmanax; Dofus des Glaces; Dofus Pourpre; Dofus Abyssal; Muldo Prune et Emeraude</t>
        </is>
      </c>
    </row>
    <row r="2242">
      <c r="A2242" t="inlineStr">
        <is>
          <t>eau</t>
        </is>
      </c>
      <c r="B2242">
        <f>HYPERLINK("https://www.dofusbook.net/fr/equipement/2378328-eau/objets", "link")</f>
        <v/>
      </c>
      <c r="C2242" t="n">
        <v>3</v>
      </c>
      <c r="D2242" t="inlineStr">
        <is>
          <t>Rapière aux Glyphes; Amulette de Shokkoth; Bracelet des Fonds marins; Alliance Gloursonne; Bouclier du Captain Amakna; Poulpagne; Capuche de l'Œil Attentif; Cape de l'Œil Attentif; Bottes du Nocturlabe</t>
        </is>
      </c>
    </row>
    <row r="2243">
      <c r="A2243" t="inlineStr">
        <is>
          <t>eau air</t>
        </is>
      </c>
      <c r="B2243">
        <f>HYPERLINK("https://www.dofusbook.net/fr/equipement/2378131-eau-air/objets", "link")</f>
        <v/>
      </c>
      <c r="C2243" t="n">
        <v>3</v>
      </c>
      <c r="D2243" t="inlineStr">
        <is>
          <t>Arc de Koutoulou; Amulette d'Ilyzaelle; Gant du Valet Veinard; Alliance Gloursonne; Bouclier d'Ilyzaelle; Ceinture du Barbétoal; Casque d'Ilyzaelle; Cape du Valet Veinard; Sandales de Tal Kasha; Dofus des Glaces; Dofus Nébuleux; Dofus Abyssal; Dofus Pourpre; Dofus Ocre; Dofus Émeraude; Muldo Ebène</t>
        </is>
      </c>
    </row>
    <row r="2244">
      <c r="A2244" t="inlineStr">
        <is>
          <t>feu</t>
        </is>
      </c>
      <c r="B2244">
        <f>HYPERLINK("https://www.dofusbook.net/fr/equipement/2377953-feu/objets", "link")</f>
        <v/>
      </c>
      <c r="C2244" t="n">
        <v>6</v>
      </c>
      <c r="D2244" t="inlineStr">
        <is>
          <t>Arc Hétype; Pendentif affamé; Anneau Tique; Bague Gloursonne; Bouclier d'Anerice; Protopagne; Coiffe Séculaire; Cape d'Anerice; Pataugastrique; Dofus Émeraude; Fortification majeure; Érudit majeur; Carapace Neutre majeur; Miraculé majeur; Remueur; Muldo Orchidée</t>
        </is>
      </c>
    </row>
    <row r="2245">
      <c r="A2245" t="inlineStr">
        <is>
          <t>terre</t>
        </is>
      </c>
      <c r="B2245">
        <f>HYPERLINK("https://www.dofusbook.net/fr/equipement/2377854-terre/objets", "link")</f>
        <v/>
      </c>
      <c r="C2245" t="n">
        <v>6</v>
      </c>
      <c r="D2245" t="inlineStr">
        <is>
          <t>Marteau R'ture; Amulette Héroclite; Bague Gloursonne; Anneau Chevelu; Jadis; Ceinture Luminescente; Masque d'Anerice; Cape d'Anerice; Baleinabottes; Dofus Émeraude; Dokoko; Fortification majeure; Remueur; Enragé majeur; Miraculé majeur; Muldo Orchidée et Pourpre</t>
        </is>
      </c>
    </row>
    <row r="2246">
      <c r="A2246" t="inlineStr">
        <is>
          <t>res cri 2</t>
        </is>
      </c>
      <c r="B2246">
        <f>HYPERLINK("https://www.dofusbook.net/fr/equipement/1862362-res-cri-2/objets", "link")</f>
        <v/>
      </c>
      <c r="C2246" t="n">
        <v>5</v>
      </c>
      <c r="D2246" t="inlineStr">
        <is>
          <t>Arc Ahique; Amulette de l'Indicible; Alliance Gloursonne; Bague Gloursonne; Bouclier du Stalak; Ceinture de la Reine des Voleurs; Coiffe de la Reine des Voleurs; Voile d'encre; Bottes de la Reine des Voleurs; Dokoko; Dofus Ocre; Dofus Abyssal; Dofus Pourpre; Dofus Nébuleux; Dofus des Glaces; Muldo Prune et Orchidée</t>
        </is>
      </c>
    </row>
    <row r="2247">
      <c r="A2247" t="inlineStr">
        <is>
          <t>res cri</t>
        </is>
      </c>
      <c r="B2247">
        <f>HYPERLINK("https://www.dofusbook.net/fr/equipement/2374919-res-cri/objets", "link")</f>
        <v/>
      </c>
      <c r="C2247" t="n">
        <v>3</v>
      </c>
      <c r="D2247" t="inlineStr">
        <is>
          <t>Arc du Chalœil; Amulette du Strigide; Bague Gloursonne; Anneau Chevelu; Bouclier du Stalak; Ceinture de la Reine des Voleurs; Coiffe de la Reine des Voleurs; Voile d'encre; Baleinabottes; Dofus Turquoise; Dofus Pourpre; Nomade; Vigoureux majeur; Enragé majeur; Remueur; Muldo Prune et Orchidée</t>
        </is>
      </c>
    </row>
    <row r="2248">
      <c r="A2248" t="inlineStr">
        <is>
          <t>ahi</t>
        </is>
      </c>
      <c r="B2248">
        <f>HYPERLINK("https://www.dofusbook.net/fr/equipement/2372646-ahi/objets", "link")</f>
        <v/>
      </c>
      <c r="C2248" t="n">
        <v>3</v>
      </c>
      <c r="D2248" t="inlineStr">
        <is>
          <t>Arc Ahique; Collier du Valet Veinard; Alliance Gloursonne; Gant du Valet Veinard; Bouclier du Stalak; Ceinture de l'Esprit Salvateur; Masque de l'Esprit Salvateur; Cape du Valet Veinard; Bottes de l'Esprit Salvateur; Dofus Pourpre; Dofus Nébuleux; Dofus Ocre; Dofus Abyssal; Dofus des Glaces; Robuste majeur; Muldo Ebène</t>
        </is>
      </c>
    </row>
    <row r="2249">
      <c r="A2249" t="inlineStr">
        <is>
          <t>thl</t>
        </is>
      </c>
      <c r="B2249">
        <f>HYPERLINK("https://www.dofusbook.net/fr/equipement/2228760-thl/objets", "link")</f>
        <v/>
      </c>
      <c r="C2249" t="n">
        <v>1</v>
      </c>
      <c r="D2249" t="inlineStr">
        <is>
          <t>Arc Nécrotique; Amulette du Strigide; Bague Trithon; Quatre-feuilles; Ceinture du Strigide; Masque Trithon; Bottes Trithon</t>
        </is>
      </c>
    </row>
    <row r="2250">
      <c r="A2250" t="inlineStr">
        <is>
          <t>opti</t>
        </is>
      </c>
      <c r="B2250">
        <f>HYPERLINK("https://www.dofusbook.net/fr/equipement/2228652-opti/objets", "link")</f>
        <v/>
      </c>
      <c r="C2250" t="n">
        <v>2</v>
      </c>
      <c r="D2250" t="inlineStr">
        <is>
          <t>La Baguette des Limbes; Amulette du Renouveau; Gelano; Anneau du Meulou; Le Karde Cœur; Ceinture du Dragoeuf; Solomonk; Corbacape Mastralis; Bottes du Dragoeuf; Dofus Émeraude; Dofus Cawotte; Dofus Pourpre; Dokoko; Remueur; Nomade</t>
        </is>
      </c>
    </row>
    <row r="2251">
      <c r="A2251" t="inlineStr">
        <is>
          <t>eau-air</t>
        </is>
      </c>
      <c r="B2251">
        <f>HYPERLINK("https://www.dofusbook.net/fr/equipement/2104917-eau-air/objets", "link")</f>
        <v/>
      </c>
      <c r="C2251" t="n">
        <v>5</v>
      </c>
      <c r="D2251" t="inlineStr">
        <is>
          <t>Arc de Koutoulou; Amulette d'Ilyzaelle; Gant du Valet Veinard; Alliance Gloursonne; Bouclier d'Ilyzaelle; Sangle Ouare; Némès de Tal Kasha; Chevelure de Tal Kasha; Sandales de Tal Kasha; Dofus Émeraude; Dofus des Glaces; Dofus Pourpre; Dofus Nébuleux; Dofus Ocre; Robuste majeur; El Scarador</t>
        </is>
      </c>
    </row>
    <row r="2252">
      <c r="A2252" t="inlineStr">
        <is>
          <t>feu</t>
        </is>
      </c>
      <c r="B2252">
        <f>HYPERLINK("https://www.dofusbook.net/fr/equipement/2043972-feu/objets", "link")</f>
        <v/>
      </c>
      <c r="C2252" t="n">
        <v>5</v>
      </c>
      <c r="D2252" t="inlineStr">
        <is>
          <t>Arc corrompu; Amulette de Nileza; Anneau Rifique; Anneau de Padgref; Quatre-feuilles; Ceinture Séculaire; Coiffe Séculaire; Voile d'encre; Pataugastrique; Dofus Abyssal; Dofus Pourpre; Dofus Turquoise; Remueur; Érudit majeur; Nomade; Muldo Pourpre</t>
        </is>
      </c>
    </row>
    <row r="2253">
      <c r="A2253" t="inlineStr">
        <is>
          <t>ilyza</t>
        </is>
      </c>
      <c r="B2253">
        <f>HYPERLINK("https://www.dofusbook.net/fr/equipement/1975841-ilyza/objets", "link")</f>
        <v/>
      </c>
      <c r="C2253" t="n">
        <v>7</v>
      </c>
      <c r="D2253" t="inlineStr">
        <is>
          <t>Lance corrompue; Amulette du Cœur Vaillant; Alliance Gloursonne; Bague Gloursonne; Sept ans de malheur; Ceinture de la Reine des Voleurs; Coiffe de la Reine des Voleurs; Cape du Cœur Vaillant; Bottes de la Reine des Voleurs; Dofus Pourpre; Dofus des Glaces; Dofus Ocre; Dofus Ivoire; Dofus Émeraude; Dokoko; Muldo Ebène</t>
        </is>
      </c>
    </row>
    <row r="2254">
      <c r="A2254" t="inlineStr">
        <is>
          <t>stri glou</t>
        </is>
      </c>
      <c r="B2254">
        <f>HYPERLINK("https://www.dofusbook.net/fr/equipement/1954581-stri-glou/objets", "link")</f>
        <v/>
      </c>
      <c r="C2254" t="n">
        <v>3</v>
      </c>
      <c r="D2254" t="inlineStr">
        <is>
          <t>Epée Gloursonne; Amulette du Strigide; Bague Gloursonne; Alliance Gloursonne; Bouclier du Captain Amakna; Ceinture du Strigide; Voile d'encre; Bottes du Strigide; Dofus Ocre; Dofus des Glaces; Dofus Pourpre; Dokoko; Dofus Turquoise; Dolmanax; Muldo Prune et Orchidée</t>
        </is>
      </c>
    </row>
    <row r="2255">
      <c r="A2255" t="inlineStr">
        <is>
          <t>test feu</t>
        </is>
      </c>
      <c r="B2255">
        <f>HYPERLINK("https://www.dofusbook.net/fr/equipement/1863120-test-feu/objets", "link")</f>
        <v/>
      </c>
      <c r="C2255" t="n">
        <v>5</v>
      </c>
      <c r="D2255" t="inlineStr">
        <is>
          <t>Arc corrompu; Amulette Séculaire; Bague Gloursonne; Anneau de Padgref; Quatre-feuilles; Ceinture Séculaire; Coiffe de Padgref; Voile d'encre; Getas de Padgref; Dofus Nébuleux; Dofus Pourpre; Dofus Ocre; Dofus Turquoise; Dolmanax; Dofus des Glaces; Muldo Prune et Orchidée</t>
        </is>
      </c>
    </row>
    <row r="2256">
      <c r="A2256" t="inlineStr">
        <is>
          <t>Loic</t>
        </is>
      </c>
      <c r="B2256">
        <f>HYPERLINK("https://www.dofusbook.net/fr/equipement/1934292-loic/objets", "link")</f>
        <v/>
      </c>
      <c r="C2256" t="n">
        <v>5</v>
      </c>
      <c r="D2256" t="inlineStr">
        <is>
          <t>Hache Téroïde; Amulette du Strigide; Bague Gloursonne; Alliance de Missiz Frizz; Bouclier du Captain Amakna; Ceinture du Strigide; Bonnet Ko; Cape du Professeur Xa; Bottes de la Cour Sombre; Dofus Turquoise; Dofus des Glaces; Dofus Pourpre; Remueur; Enragé majeur; Nomade; Muldo Prune et Emeraude</t>
        </is>
      </c>
    </row>
    <row r="2257">
      <c r="A2257" t="inlineStr">
        <is>
          <t>arc</t>
        </is>
      </c>
      <c r="B2257">
        <f>HYPERLINK("https://www.dofusbook.net/fr/equipement/1934223-arc/objets", "link")</f>
        <v/>
      </c>
      <c r="C2257" t="n">
        <v>10</v>
      </c>
      <c r="D2257" t="inlineStr">
        <is>
          <t>Arc corrompu; Pendentif affamé; Anneau Tique; Anneau de Padgref; Quatre-feuilles; Ceinture Séculaire; Coiffe Séculaire; Cape de Diondin; Bottes Innommables; Dofus Pourpre; Dofus Turquoise; Carapace Terre majeur; Vigoureux majeur; Érudit majeur; Remueur; Muldo Orchidée</t>
        </is>
      </c>
    </row>
    <row r="2258">
      <c r="A2258" t="inlineStr">
        <is>
          <t>full terre dagues</t>
        </is>
      </c>
      <c r="B2258">
        <f>HYPERLINK("https://www.dofusbook.net/fr/equipement/1934177-full-terre-dagues/objets", "link")</f>
        <v/>
      </c>
      <c r="C2258" t="n">
        <v>6</v>
      </c>
      <c r="D2258" t="inlineStr">
        <is>
          <t>Dagues d'Ilyzaelle; Amulette du Cœur Saignant; Bague Gloursonne; Anneau Chevelu; Bouclier du Captain Amakna; Ceinture de Gein; Chapeau de Gein; Cape du Cœur Saignant; Bottes du Cœur Saignant; Dofus Nébuleux; Dofus des Glaces; Dofus Pourpre; Dofus Turquoise; Dofus Ocre; Dolmanax; Muldo Prune et Indigo</t>
        </is>
      </c>
    </row>
    <row r="2259">
      <c r="A2259" t="inlineStr">
        <is>
          <t>test ily</t>
        </is>
      </c>
      <c r="B2259">
        <f>HYPERLINK("https://www.dofusbook.net/fr/equipement/1934111-test-ily/objets", "link")</f>
        <v/>
      </c>
      <c r="C2259" t="n">
        <v>5</v>
      </c>
      <c r="D2259" t="inlineStr">
        <is>
          <t>Lance corrompue; Amulette du Cœur Vaillant; Bague Gloursonne; Alliance Gloursonne; Bouclier alvéolé; Ceinture de la Reine des Voleurs; Coiffe de la Reine des Voleurs; Cape du Cœur Vaillant; Bottes du Cœur Vaillant; Dofus Nébuleux; Dofus Ocre; Dofus Pourpre; Dolmanax; Dofus Émeraude; Dofus des Glaces; Muldo Ebène</t>
        </is>
      </c>
    </row>
    <row r="2260">
      <c r="A2260" t="inlineStr">
        <is>
          <t>kram</t>
        </is>
      </c>
      <c r="B2260">
        <f>HYPERLINK("https://www.dofusbook.net/fr/equipement/1934043-kram/objets", "link")</f>
        <v/>
      </c>
      <c r="C2260" t="n">
        <v>6</v>
      </c>
      <c r="D2260" t="inlineStr">
        <is>
          <t>Héqache; Amulette du Strigide; Bague Gloursonne; Anneau Chevelu; Bouclier du Captain Amakna; Ceinture du Strigide; Chapeau de Gein; Voile d'encre; Baleinabottes; Dofus Turquoise; Dofus Pourpre; Remueur; Vigoureux majeur; Enragé majeur; Nomade; Kramkram</t>
        </is>
      </c>
    </row>
    <row r="2261">
      <c r="A2261" t="inlineStr">
        <is>
          <t>terre feu air</t>
        </is>
      </c>
      <c r="B2261">
        <f>HYPERLINK("https://www.dofusbook.net/fr/equipement/1804981-terre-feu-air/objets", "link")</f>
        <v/>
      </c>
      <c r="C2261" t="n">
        <v>4</v>
      </c>
      <c r="D2261" t="inlineStr">
        <is>
          <t>Baguette Range; Amulette Séculaire; Anneau de Padgref; Alliance Gloursonne; Quatre-feuilles; Ceinture Séculaire; Coiffe de Padgref; Cape de Diondin; Getas de Padgref; Dofus Turquoise; Dolmanax; Dofus Pourpre; Dofus des Glaces; Savant majeur; Puissant majeur; Muldo Prune et Emeraude</t>
        </is>
      </c>
    </row>
    <row r="2262">
      <c r="A2262" t="inlineStr">
        <is>
          <t>no exo-terre</t>
        </is>
      </c>
      <c r="B2262">
        <f>HYPERLINK("https://www.dofusbook.net/fr/equipement/1914628-no-exo-terre/objets", "link")</f>
        <v/>
      </c>
      <c r="C2262" t="n">
        <v>5</v>
      </c>
      <c r="D2262" t="inlineStr">
        <is>
          <t>Hache du Chalœil; Amulette du Strigide; Bracelet du Piloztère; Bague Gloursonne; Quatre-feuilles; Ceinture du Strigide; Masque de Koutoulou; Voile d'encre; Sandales de Tal Kasha; Dofus Pourpre; Dofus Turquoise; Dofus des Glaces; Vigoureux majeur; Nomade; Remueur; Muldo Prune et Emeraude</t>
        </is>
      </c>
    </row>
    <row r="2263">
      <c r="A2263" t="inlineStr">
        <is>
          <t>no exo</t>
        </is>
      </c>
      <c r="B2263">
        <f>HYPERLINK("https://www.dofusbook.net/fr/equipement/1914557-no-exo/objets", "link")</f>
        <v/>
      </c>
      <c r="C2263" t="n">
        <v>3</v>
      </c>
      <c r="D2263" t="inlineStr">
        <is>
          <t>Sabres d'Atcham; Amulette du Strigide; Anneau de Padgref; Alliance Gloursonne; Quatre-feuilles; Ceinture Séculaire; Masque de Koutoulou; Cape d'Atcham; Pataugastrique; Dofus des Glaces; Dofus Pourpre; Dofus Turquoise; Remueur; Vigoureux majeur; Nomade; Muldo Prune et Emeraude</t>
        </is>
      </c>
    </row>
    <row r="2264">
      <c r="A2264" t="inlineStr">
        <is>
          <t>ret pm</t>
        </is>
      </c>
      <c r="B2264">
        <f>HYPERLINK("https://www.dofusbook.net/fr/equipement/1908348-ret-pm/objets", "link")</f>
        <v/>
      </c>
      <c r="C2264" t="n">
        <v>7</v>
      </c>
      <c r="D2264" t="inlineStr">
        <is>
          <t>Arc Hétype; Collier de la Dame du Hasard; Chevalière du Roi Joueur; Anneau de Nidas; Bouclier cubiste; Ceinture de Kongoku; Couronne de Nidas; Cape de la Dame du Hasard; Tongues de Nidas</t>
        </is>
      </c>
    </row>
    <row r="2265">
      <c r="A2265" t="inlineStr">
        <is>
          <t>pauvre-eau</t>
        </is>
      </c>
      <c r="B2265">
        <f>HYPERLINK("https://www.dofusbook.net/fr/equipement/1639074-pauvre-eau/objets", "link")</f>
        <v/>
      </c>
      <c r="C2265" t="n">
        <v>9</v>
      </c>
      <c r="D2265" t="inlineStr">
        <is>
          <t>Rapière aux Glyphes; Amulette de Shokkoth; Bracelet des Fonds marins; Alliance Gloursonne; Quatre-feuilles; Ceinture Glaciale; Kidibonnet; Cape du Sinistrofu; Sandales des Fonds marins; Dofus Turquoise; Dofus Pourpre; Carapace Eau majeur; Vigoureux majeur; Remueur; Chanceux majeur; Muldo Prune et Doré</t>
        </is>
      </c>
    </row>
    <row r="2266">
      <c r="A2266" t="inlineStr">
        <is>
          <t>multi</t>
        </is>
      </c>
      <c r="B2266">
        <f>HYPERLINK("https://www.dofusbook.net/fr/equipement/1896414-multi/objets", "link")</f>
        <v/>
      </c>
      <c r="C2266" t="n">
        <v>15</v>
      </c>
      <c r="D2266" t="inlineStr">
        <is>
          <t>Hache du Chalœil; Amulette du Strigide; Bracelet du Piloztère; Alliance Gloursonne; Quatre-feuilles; Ceintacé; Casque du Chalœil; Voile d'encre; Bottes du Strigide; Dofus Pourpre; Dokoko; Dofus Turquoise; Dolmanax; Nomade; Remueur; Kramkram</t>
        </is>
      </c>
    </row>
    <row r="2267">
      <c r="A2267" t="inlineStr">
        <is>
          <t>eau-air</t>
        </is>
      </c>
      <c r="B2267">
        <f>HYPERLINK("https://www.dofusbook.net/fr/equipement/1896198-eau-air/objets", "link")</f>
        <v/>
      </c>
      <c r="C2267" t="n">
        <v>9</v>
      </c>
      <c r="D2267" t="inlineStr">
        <is>
          <t>Bâtonnet Ronien; Amulette de Shokkoth; Bracelet des Fonds marins; Alliance Gloursonne; Quatre-feuilles; Pagne du Rykaon; Kidibonnet; Chevelure de Tal Kasha; Sandales de Tal Kasha; Dofus Pourpre; Dofus Turquoise; Chanceux majeur; Vigoureux majeur; Carapace Air majeur; Remueur; Muldo Indigo</t>
        </is>
      </c>
    </row>
    <row r="2268">
      <c r="A2268" t="inlineStr">
        <is>
          <t>Feu eau</t>
        </is>
      </c>
      <c r="B2268">
        <f>HYPERLINK("https://www.dofusbook.net/fr/equipement/1658848-feu-eau/objets", "link")</f>
        <v/>
      </c>
      <c r="C2268" t="n">
        <v>6</v>
      </c>
      <c r="D2268" t="inlineStr">
        <is>
          <t>Pyraguette; Talisman Igans; Alliance Gloursonne; Anneau Tique; Bouclier du Stalak; Ceintrigue; Casqnoar; Cape de la Dame du Hasard; Pataugastrique; Dofus Pourpre; Dofus Émeraude; Chanceux majeur; Érudit majeur; Vigoureux majeur; Remueur; Muldo Orchidée</t>
        </is>
      </c>
    </row>
    <row r="2269">
      <c r="A2269" t="inlineStr">
        <is>
          <t>pauvre-eau-melee</t>
        </is>
      </c>
      <c r="B2269">
        <f>HYPERLINK("https://www.dofusbook.net/fr/equipement/1638703-pauvre-eau-melee/objets", "link")</f>
        <v/>
      </c>
      <c r="C2269" t="n">
        <v>3</v>
      </c>
      <c r="D2269" t="inlineStr">
        <is>
          <t>Rapière aux Glyphes; Amulette de Shokkoth; Bracelet des Fonds marins; Alliance Gloursonne; Bouclier du Stalak; Pagne du Rykaon; Kidibonnet; Cape du Sinistrofu; Sandales des Fonds marins; Dofus Turquoise; Dofus Pourpre; Carapace Air majeur; Vigoureux majeur; Remueur; Chanceux majeur; Muldo Indigo</t>
        </is>
      </c>
    </row>
    <row r="2270">
      <c r="A2270" t="inlineStr">
        <is>
          <t>do pou</t>
        </is>
      </c>
      <c r="B2270">
        <f>HYPERLINK("https://www.dofusbook.net/fr/equipement/1869831-do-pou/objets", "link")</f>
        <v/>
      </c>
      <c r="C2270" t="n">
        <v>1</v>
      </c>
      <c r="D2270" t="inlineStr">
        <is>
          <t>Héqache; Amulette Luminescente; Bague Trithon; Alliance Gloursonne; Bouclier précieux; Ceinture Luminescente; Masque Trithon; Cape Luminescente; Bottes Trithon; Dofus Turquoise; Dofus Abyssal; Dofus Pourpre; Dofus Ocre; Dofus Émeraude; Dokoko; Muldo Ebène</t>
        </is>
      </c>
    </row>
    <row r="2271">
      <c r="A2271" t="inlineStr">
        <is>
          <t>douze six</t>
        </is>
      </c>
      <c r="B2271">
        <f>HYPERLINK("https://www.dofusbook.net/fr/equipement/1869790-douze-six/objets", "link")</f>
        <v/>
      </c>
      <c r="C2271" t="n">
        <v>3</v>
      </c>
      <c r="D2271" t="inlineStr">
        <is>
          <t>Epée Toche; Amulette du Strigide; Anneau Chevelu; Bague Gloursonne; Bouclier du Captain Amakna; Ceinture du Strigide; Bonnet Ko; Voile d'encre; Bottes de la Cour Sombre; Dofus Ocre; Dofus Pourpre; Dofus Turquoise; Nomade; Remueur; Enragé majeur; Muldo Prune et Orchidée</t>
        </is>
      </c>
    </row>
    <row r="2272">
      <c r="A2272" t="inlineStr">
        <is>
          <t>ture</t>
        </is>
      </c>
      <c r="B2272">
        <f>HYPERLINK("https://www.dofusbook.net/fr/equipement/1868814-ture/objets", "link")</f>
        <v/>
      </c>
      <c r="C2272" t="n">
        <v>6</v>
      </c>
      <c r="D2272" t="inlineStr">
        <is>
          <t>Marteau R'ture; Amulette du Strigide; Bague Gloursonne; Anneau Chevelu; Bouclier du Captain Amakna; Ceinture du Strigide; Chapeau de Gein; Voile d'encre; Baleinabottes; Dofus Nébuleux; Dofus Pourpre; Dofus Turquoise; Remueur; Vigoureux majeur; Enragé majeur; Muldo Prune et Orchidée</t>
        </is>
      </c>
    </row>
    <row r="2273">
      <c r="A2273" t="inlineStr">
        <is>
          <t>full toche</t>
        </is>
      </c>
      <c r="B2273">
        <f>HYPERLINK("https://www.dofusbook.net/fr/equipement/1858423-full-toche/objets", "link")</f>
        <v/>
      </c>
      <c r="C2273" t="n">
        <v>8</v>
      </c>
      <c r="D2273" t="inlineStr">
        <is>
          <t>Epée Toche; Amulette du Strigide; Anneau Chevelu; Bague Gloursonne; Bouclier du Captain Amakna; Ceinture du Strigide; Masque de Koutoulou; Voile d'encre; Bottes de la Cour Sombre; Dofus Pourpre; Dofus Turquoise; Enragé majeur; Remueur; Déserteur majeur; Vigoureux majeur; Muldo Prune et Emeraude</t>
        </is>
      </c>
    </row>
    <row r="2274">
      <c r="A2274" t="inlineStr">
        <is>
          <t>full fo</t>
        </is>
      </c>
      <c r="B2274">
        <f>HYPERLINK("https://www.dofusbook.net/fr/equipement/1858373-full-fo/objets", "link")</f>
        <v/>
      </c>
      <c r="C2274" t="n">
        <v>5</v>
      </c>
      <c r="D2274" t="inlineStr">
        <is>
          <t>Héqache; Amulette du Strigide; Bague Gloursonne; Anneau Chevelu; Bouclier du Captain Amakna; Ceinture du Strigide; Chapeau de Gein; Voile d'encre; Baleinabottes; Dofus Pourpre; Dofus Turquoise; Enragé majeur; Puissant majeur; Remueur; Vigoureux majeur; Muldo Prune et Orchidée</t>
        </is>
      </c>
    </row>
    <row r="2275">
      <c r="A2275" t="inlineStr">
        <is>
          <t>test</t>
        </is>
      </c>
      <c r="B2275">
        <f>HYPERLINK("https://www.dofusbook.net/fr/equipement/1858285-test-/objets", "link")</f>
        <v/>
      </c>
      <c r="C2275" t="n">
        <v>1</v>
      </c>
      <c r="D2275" t="inlineStr">
        <is>
          <t>Epée Toche; Amulette du Strigide; Baguistik; Bague Gloursonne; Ceinture de Gein; Chapeau de Gein; Voile d'encre; Baleinabottes</t>
        </is>
      </c>
    </row>
    <row r="2276">
      <c r="A2276" t="inlineStr">
        <is>
          <t>multi</t>
        </is>
      </c>
      <c r="B2276">
        <f>HYPERLINK("https://www.dofusbook.net/fr/equipement/1851411-multi/objets", "link")</f>
        <v/>
      </c>
      <c r="C2276" t="n">
        <v>4</v>
      </c>
      <c r="D2276" t="inlineStr">
        <is>
          <t>Arc Nécrotique; Amulette du Strigide; Bague Gloursonne; Alliance Gloursonne; Quatre-feuilles; Ceinture du Strigide; Cagoule de Vortex; Voile d'encre; Bottes du Strigide; Dolmanax; Dofus Pourpre; Dofus Turquoise; Dofus Nébuleux; Dofus Ocre; Dokoko; Muldo Prune et Emeraude</t>
        </is>
      </c>
    </row>
    <row r="2277">
      <c r="A2277" t="inlineStr">
        <is>
          <t>necro</t>
        </is>
      </c>
      <c r="B2277">
        <f>HYPERLINK("https://www.dofusbook.net/fr/equipement/1849520-necro/objets", "link")</f>
        <v/>
      </c>
      <c r="C2277" t="n">
        <v>3</v>
      </c>
      <c r="D2277" t="inlineStr">
        <is>
          <t>Arc Nécrotique; Amulette de Nileza; Alliance Gloursonne; Anneau Tique; Quatre-feuilles; Pagne du Rykaon; Kidibonnet; Cape de la Dame du Hasard; Bottes de la Dame du Hasard; Dofus Pourpre; Dofus Turquoise; Dofus des Glaces; Dolmanax; Vigoureux majeur; Remueur; Muldo Turquoise et Emeraude</t>
        </is>
      </c>
    </row>
    <row r="2278">
      <c r="A2278" t="inlineStr">
        <is>
          <t>Test</t>
        </is>
      </c>
      <c r="B2278">
        <f>HYPERLINK("https://www.dofusbook.net/fr/equipement/1648695-test-/objets", "link")</f>
        <v/>
      </c>
      <c r="C2278" t="n">
        <v>2</v>
      </c>
      <c r="D2278" t="inlineStr">
        <is>
          <t>Rapière aux Glyphes; Amulette du Sinistrofu; Alliance Gloursonne; Bracelet des Fonds marins; Bouclier du Captain Amakna; Pagne du Rykaon; Kidibonnet; Cape du Sinistrofu; Pataugastrique; Dofus Pourpre; Dofus Émeraude; Miraculé majeur; Carapace Terre majeur; Chanceux majeur; Carapace Air majeur; Muldo Indigo</t>
        </is>
      </c>
    </row>
    <row r="2279">
      <c r="A2279" t="inlineStr">
        <is>
          <t>full feu</t>
        </is>
      </c>
      <c r="B2279">
        <f>HYPERLINK("https://www.dofusbook.net/fr/equipement/1736611-full-feu/objets", "link")</f>
        <v/>
      </c>
      <c r="C2279" t="n">
        <v>8</v>
      </c>
      <c r="D2279" t="inlineStr">
        <is>
          <t>Harpelle; Amulette de Nileza; Baguistik; Bague Gloursonne; Bouclier du Captain Amakna; Ceinture Séculaire; Coiffe Séculaire; Voile d'encre; Pataugastrique; Dofus Turquoise; Dofus Pourpre; Dofus Émeraude; Remueur; Érudit majeur; Nomade; Muldo Pourpre</t>
        </is>
      </c>
    </row>
    <row r="2280">
      <c r="A2280" t="inlineStr">
        <is>
          <t>pauvre-eau-distance</t>
        </is>
      </c>
      <c r="B2280">
        <f>HYPERLINK("https://www.dofusbook.net/fr/equipement/1639258-pauvre-eau-distance/objets", "link")</f>
        <v/>
      </c>
      <c r="C2280" t="n">
        <v>2</v>
      </c>
      <c r="D2280" t="inlineStr">
        <is>
          <t>Rapière aux Glyphes; Amulette de Shokkoth; Bracelet des Fonds marins; Alliance Gloursonne; Bouclier du Captain Amakna; Poulpagne; Kidibonnet; Cape du Sinistrofu; Sandales des Fonds marins; Dofus Émeraude; Dofus Pourpre; Carapace Air majeur; Miraculé majeur; Remueur; Chanceux majeur; Muldo Indigo</t>
        </is>
      </c>
    </row>
    <row r="2281">
      <c r="A2281" t="inlineStr">
        <is>
          <t>pauvre-eau</t>
        </is>
      </c>
      <c r="B2281">
        <f>HYPERLINK("https://www.dofusbook.net/fr/equipement/1639239-pauvre-eau/objets", "link")</f>
        <v/>
      </c>
      <c r="C2281" t="n">
        <v>2</v>
      </c>
      <c r="D2281" t="inlineStr">
        <is>
          <t>Rapière aux Glyphes; Amulette de Shokkoth; Alliance Gloursonne; Bracelet des Fonds marins; Bouclier du Captain Amakna; Pagne du Rykaon; Kidibonnet; Cape du Sinistrofu; Sandales des Fonds marins; Dofus Pourpre; Dofus Émeraude; Chanceux majeur; Carapace Air majeur; Miraculé majeur; Remueur; Muldo Indigo</t>
        </is>
      </c>
    </row>
    <row r="2282">
      <c r="A2282" t="inlineStr">
        <is>
          <t>test anerice</t>
        </is>
      </c>
      <c r="B2282">
        <f>HYPERLINK("https://www.dofusbook.net/fr/equipement/1694508-test-anerice/objets", "link")</f>
        <v/>
      </c>
      <c r="C2282" t="n">
        <v>5</v>
      </c>
      <c r="D2282" t="inlineStr">
        <is>
          <t>Hache Téroïde; Amulette Ementaire Deluxe; Bague Gloursonne; Alliance Gloursonne; Bouclier d'Anerice; Ceinture de Vortex; Masque d'Anerice; Cape d'Anerice; Bottistik; Dofus Ocre; Dolmanax; Dofus Émeraude; Dofus des Glaces; Dofus Pourpre; Dofus Abyssal; Muldo Pourpre et Amande</t>
        </is>
      </c>
    </row>
    <row r="2283">
      <c r="A2283" t="inlineStr">
        <is>
          <t>eau 2</t>
        </is>
      </c>
      <c r="B2283">
        <f>HYPERLINK("https://www.dofusbook.net/fr/equipement/1689261-eau-2/objets", "link")</f>
        <v/>
      </c>
      <c r="C2283" t="n">
        <v>2</v>
      </c>
      <c r="D2283" t="inlineStr">
        <is>
          <t>Rapière aux Glyphes; Amulette de Shokkoth; Bracelet des Fonds marins; Alliance Gloursonne; Bouclier du Captain Amakna; Poulpagne; Kidibonnet; Cape du Sinistrofu; Sandales des Fonds marins; Dofus Émeraude; Dofus Pourpre; Dofus Turquoise; Remueur; Miraculé majeur; Chanceux majeur; Muldo Indigo</t>
        </is>
      </c>
    </row>
    <row r="2284">
      <c r="A2284" t="inlineStr">
        <is>
          <t>Feu eau crit</t>
        </is>
      </c>
      <c r="B2284">
        <f>HYPERLINK("https://www.dofusbook.net/fr/equipement/1658914-feu-eau-crit/objets", "link")</f>
        <v/>
      </c>
      <c r="C2284" t="n">
        <v>3</v>
      </c>
      <c r="D2284" t="inlineStr">
        <is>
          <t>Collier de la Dame du Hasard; Bracelet des Fonds marins; Anneau Tique; Quatre-feuilles; Ceinture de Kongoku; Casqnoar; Cape de la Dame du Hasard; Pataugastrique; Dofus Pourpre; Dofus Turquoise; Vigoureux majeur; Miraculé majeur; Nomade; Remueur; Muldo Orchidée et Pourpre</t>
        </is>
      </c>
    </row>
    <row r="2285">
      <c r="A2285" t="inlineStr">
        <is>
          <t>Test eau air</t>
        </is>
      </c>
      <c r="B2285">
        <f>HYPERLINK("https://www.dofusbook.net/fr/equipement/1656855-test-eau-air/objets", "link")</f>
        <v/>
      </c>
      <c r="C2285" t="n">
        <v>2</v>
      </c>
      <c r="D2285" t="inlineStr">
        <is>
          <t>Rapière aux Glyphes; Amulette Voldelor; Alliance Gloursonne; Bracelet des Fonds marins; Bouclier du Captain Amakna; Ceinture du Barbétoal; Kidibonnet; Chevelure de Tal Kasha; Sandales des Fonds marins; Dofus Pourpre; Dofus Émeraude; Dofus Turquoise; Nomade; Remueur; Miraculé majeur; Muldo Ebène</t>
        </is>
      </c>
    </row>
    <row r="2286">
      <c r="A2286" t="inlineStr">
        <is>
          <t>pauvre</t>
        </is>
      </c>
      <c r="B2286">
        <f>HYPERLINK("https://www.dofusbook.net/fr/equipement/1638308-pauvre/objets", "link")</f>
        <v/>
      </c>
      <c r="C2286" t="n">
        <v>10</v>
      </c>
      <c r="D2286" t="inlineStr">
        <is>
          <t>Hache du Chalœil; Amulette du Strigide; Bracelet du Piloztère; Alliance Gloursonne; Bouclier du Captain Amakna; Ceintacé; Casque du Chalœil; Voile d'encre; Bottes du Strigide; Dolmanax; Dofus Pourpre; Dofus Turquoise; Dokoko; Remueur; Miraculé majeur; Muldo Prune et Emeraude</t>
        </is>
      </c>
    </row>
    <row r="2287">
      <c r="A2287" t="inlineStr">
        <is>
          <t>pauvre</t>
        </is>
      </c>
      <c r="B2287">
        <f>HYPERLINK("https://www.dofusbook.net/fr/equipement/1638283-pauvre/objets", "link")</f>
        <v/>
      </c>
      <c r="C2287" t="n">
        <v>3</v>
      </c>
      <c r="D2287" t="inlineStr">
        <is>
          <t>Hache du Chalœil; Amulette du Strigide; Alliance Gloursonne; Bracelet du Piloztère; Quatre-feuilles; Ceintacé; Casque du Chalœil; Voile d'encre; Bottes du Strigide; Dolmanax; Dofus Pourpre; Dofus des Glaces; Dofus Turquoise; Dokoko; Remueur; Muldo Prune et Emeraude</t>
        </is>
      </c>
    </row>
    <row r="2288">
      <c r="A2288" t="inlineStr">
        <is>
          <t>test-riche</t>
        </is>
      </c>
      <c r="B2288">
        <f>HYPERLINK("https://www.dofusbook.net/fr/equipement/1635884-test-riche/objets", "link")</f>
        <v/>
      </c>
      <c r="C2288" t="n">
        <v>7</v>
      </c>
      <c r="D2288" t="inlineStr">
        <is>
          <t>Hache du Chalœil; Amulette du Strigide; Bague Trithon; Bracelet du Piloztère; Quatre-feuilles; Ceinture du Strigide; Masque Trithon; Voile d'encre; Bottes Trithon; Muldo Prune et Emeraude</t>
        </is>
      </c>
    </row>
    <row r="2289">
      <c r="A2289" t="inlineStr">
        <is>
          <t>archi-pauvre</t>
        </is>
      </c>
      <c r="B2289">
        <f>HYPERLINK("https://www.dofusbook.net/fr/equipement/1635466-archi-pauvre/objets", "link")</f>
        <v/>
      </c>
      <c r="C2289" t="n">
        <v>3</v>
      </c>
      <c r="D2289" t="inlineStr">
        <is>
          <t>Baguette Houffe-Craitien; Amulette Séculaire; Bague Trithon; Anneau de Padgref; Quatre-feuilles; Ceinture Séculaire; Coiffe de Padgref; Cape de Diondin; Getas de Padgref; Dofus Pourpre; Dofus des Glaces; Dofus Turquoise; Dokoko; Dofus Ocre; Dolmanax; Muldo Prune et Emeraude</t>
        </is>
      </c>
    </row>
    <row r="2290">
      <c r="A2290" t="inlineStr">
        <is>
          <t>pauvre</t>
        </is>
      </c>
      <c r="B2290">
        <f>HYPERLINK("https://www.dofusbook.net/fr/equipement/1634802-pauvre/objets", "link")</f>
        <v/>
      </c>
      <c r="C2290" t="n">
        <v>2</v>
      </c>
      <c r="D2290" t="inlineStr">
        <is>
          <t>Hache du Chalœil; Amulette du Strigide; Bracelet du Piloztère; Alliance Gloursonne; Quatre-feuilles; Ceintacé; Casque du Chalœil; Voile d'encre; Bottes du Strigide; Dofus Turquoise; Dokoko; Dolmanax; Dofus Pourpre; Dofus des Glaces; Remueur; Muldo Prune et Emeraude</t>
        </is>
      </c>
    </row>
    <row r="2291">
      <c r="A2291" t="inlineStr">
        <is>
          <t>pauvre</t>
        </is>
      </c>
      <c r="B2291">
        <f>HYPERLINK("https://www.dofusbook.net/fr/equipement/1634784-pauvre/objets", "link")</f>
        <v/>
      </c>
      <c r="C2291" t="n">
        <v>2</v>
      </c>
      <c r="D2291" t="inlineStr">
        <is>
          <t>Hache du Chalœil; Amulette du Strigide; Alliance Gloursonne; Bracelet du Piloztère; Bouclier du Captain Amakna; Ceintacé; Casque du Chalœil; Voile d'encre; Bottes du Strigide; Dofus Pourpre; Dofus des Glaces; Dofus Turquoise; Dokoko; Dolmanax; Remueur; Muldo Prune et Emeraude</t>
        </is>
      </c>
    </row>
    <row r="2292">
      <c r="A2292" t="inlineStr">
        <is>
          <t>pauvre</t>
        </is>
      </c>
      <c r="B2292">
        <f>HYPERLINK("https://www.dofusbook.net/fr/equipement/1634482-pauvre/objets", "link")</f>
        <v/>
      </c>
      <c r="C2292" t="n">
        <v>4</v>
      </c>
      <c r="D2292" t="inlineStr">
        <is>
          <t>Hache du Chalœil; Amulette du Strigide; Bracelet du Piloztère; Alliance Gloursonne; Quatre-feuilles; Ceintacé; Casque du Chalœil; Voile d'encre; Bottes du Strigide; Dofus Turquoise; Dokoko; Dolmanax; Dofus Pourpre; Dofus des Glaces; Remueur; Muldo Prune et Emeraude</t>
        </is>
      </c>
    </row>
    <row r="2293">
      <c r="A2293" t="inlineStr">
        <is>
          <t>classico</t>
        </is>
      </c>
      <c r="B2293">
        <f>HYPERLINK("https://www.dofusbook.net/fr/equipement/1634270-classico/objets", "link")</f>
        <v/>
      </c>
      <c r="C2293" t="n">
        <v>9</v>
      </c>
      <c r="D2293" t="inlineStr">
        <is>
          <t>Epée Gloursonne; Amulette du Kamasterisk; Bague Gloursonne; Alliance Gloursonne; Quatre-feuilles; Ceinture de Kongoku; Coiffe de la Fuji Givrefoux; Cape du Kamasterisk; Bottes du Kamasterisk; Dofus Pourpre; Dofus des Glaces; Dofus Ocre; Dokoko; Dofus Turquoise; Dolmanax; Muldo Ebène et Pourpre</t>
        </is>
      </c>
    </row>
    <row r="2294">
      <c r="A2294" t="inlineStr">
        <is>
          <t>do crit</t>
        </is>
      </c>
      <c r="B2294">
        <f>HYPERLINK("https://www.dofusbook.net/fr/equipement/1634170-do-crit/objets", "link")</f>
        <v/>
      </c>
      <c r="C2294" t="n">
        <v>7</v>
      </c>
      <c r="D2294" t="inlineStr">
        <is>
          <t>Sabres d'Atcham; Amulette du Strigide; Anneau de Padgref; Alliance Gloursonne; Bouclier du Captain Amakna; Ceinture du Strigide; Coiffe de Padgref; Chevelure de Tal Kasha; Pataugastrique; Dofus Pourpre; Dofus des Glaces; Dofus Turquoise; Dolmanax; Nomade; Remueur; Muldo Prune et Emeraude</t>
        </is>
      </c>
    </row>
    <row r="2295">
      <c r="A2295" t="inlineStr">
        <is>
          <t>reine</t>
        </is>
      </c>
      <c r="B2295">
        <f>HYPERLINK("https://www.dofusbook.net/fr/equipement/1619636-reine/objets", "link")</f>
        <v/>
      </c>
      <c r="C2295" t="n">
        <v>3</v>
      </c>
      <c r="D2295" t="inlineStr">
        <is>
          <t>Dagues de Srambad; Amulette du Strigide; Bracelet des Fonds marins; Alliance Gloursonne; Bouclier du Captain Amakna; Ceinture de la Reine des Voleurs; Coiffe de la Reine des Voleurs; Voile d'encre; Baleinabottes; Dofus Pourpre; Dofus Émeraude; Dokoko; Remueur; Nomade; Carapace Neutre majeur; Muldo Ebène et Indigo</t>
        </is>
      </c>
    </row>
    <row r="2296">
      <c r="A2296" t="inlineStr">
        <is>
          <t>air-pauvre</t>
        </is>
      </c>
      <c r="B2296">
        <f>HYPERLINK("https://www.dofusbook.net/fr/equipement/1611340-air-pauvre/objets", "link")</f>
        <v/>
      </c>
      <c r="C2296" t="n">
        <v>1</v>
      </c>
      <c r="D2296" t="inlineStr">
        <is>
          <t>Manthache; Collier du Valet Veinard; Gant du Valet Veinard; Alliance Gloursonne; Bouclier du Stalak; Menoture; Capuche de Moum-Ra; Cape Matelassée; Palmes Trithons; Dofus Pourpre; Dokoko; Remueur; Cascadeur majeur; Vigoureux majeur; Nomade; Muldo Ebène</t>
        </is>
      </c>
    </row>
    <row r="2297">
      <c r="A2297" t="inlineStr">
        <is>
          <t>eau</t>
        </is>
      </c>
      <c r="B2297">
        <f>HYPERLINK("https://www.dofusbook.net/fr/equipement/1609015-eau/objets", "link")</f>
        <v/>
      </c>
      <c r="C2297" t="n">
        <v>6</v>
      </c>
      <c r="D2297" t="inlineStr">
        <is>
          <t>Rapière aux Glyphes; Amulette de Shokkoth; Bracelet des Fonds marins; Alliance Gloursonne; Bouclier du Stalak; Poulpagne; Kidibonnet; Cape du Sinistrofu; Bottes du Sinistrofu; Dofus Pourpre; Dokoko; Chanceux majeur; Remueur; Étourdisseur majeur; Nomade; Muldo Indigo</t>
        </is>
      </c>
    </row>
    <row r="2298">
      <c r="A2298" t="inlineStr">
        <is>
          <t>full feu</t>
        </is>
      </c>
      <c r="B2298">
        <f>HYPERLINK("https://www.dofusbook.net/fr/equipement/1468315-full-feu/objets", "link")</f>
        <v/>
      </c>
      <c r="C2298" t="n">
        <v>4</v>
      </c>
      <c r="D2298" t="inlineStr">
        <is>
          <t>Baguette Range; Pendentif affamé; Bague Gloursonne; Anneau de Padgref; Quatre-feuilles; Ceinture Séculaire; Coiffe de Padgref; Voile d'encre; Pataugastrique; Dofus Turquoise; Dofus Pourpre; Nomade; Érudit majeur; Remueur; Vigoureux majeur; Brûlih</t>
        </is>
      </c>
    </row>
    <row r="2299">
      <c r="A2299" t="inlineStr">
        <is>
          <t>full eau</t>
        </is>
      </c>
      <c r="B2299">
        <f>HYPERLINK("https://www.dofusbook.net/fr/equipement/1468174-full-eau/objets", "link")</f>
        <v/>
      </c>
      <c r="C2299" t="n">
        <v>2</v>
      </c>
      <c r="D2299" t="inlineStr">
        <is>
          <t>Rapière aux Glyphes; Amulette de Shokkoth; Alliance Gloursonne; Bracelet des Fonds marins; Bouclier du Captain Amakna; Pagne du Rykaon; Kidibonnet; Cape du Sinistrofu; Sandales des Fonds marins; Dofus Pourpre; Dofus Turquoise; Dofus Nébuleux; Nomade; Remueur; Chanceux majeur; Dehluge</t>
        </is>
      </c>
    </row>
    <row r="2300">
      <c r="A2300" t="inlineStr">
        <is>
          <t>rox2</t>
        </is>
      </c>
      <c r="B2300">
        <f>HYPERLINK("https://www.dofusbook.net/fr/equipement/1392233-rox2/objets", "link")</f>
        <v/>
      </c>
      <c r="C2300" t="n">
        <v>5</v>
      </c>
      <c r="D2300" t="inlineStr">
        <is>
          <t>Épouvante; Amulette du Strigide; Alliance Gloursonne; Bracelet du Piloztère; Bouclier du Stalak; Ceintacé; Coiffe du Lévitrof; Cape Luminescente; Bottes du Strigide; Dofus des Glaces; Dofus Pourpre; Dofus Nébuleux; Dofus Turquoise; Remueur; Nomade; Muldo Prune et Emeraude</t>
        </is>
      </c>
    </row>
    <row r="2301">
      <c r="A2301" t="inlineStr">
        <is>
          <t>rox</t>
        </is>
      </c>
      <c r="B2301">
        <f>HYPERLINK("https://www.dofusbook.net/fr/equipement/1392186-rox/objets", "link")</f>
        <v/>
      </c>
      <c r="C2301" t="n">
        <v>5</v>
      </c>
      <c r="D2301" t="inlineStr">
        <is>
          <t>Epée Toche; Amulette du Strigide; Bague Gloursonne; Chevalière du Roi Joueur; Bouclier du Captain Amakna; Ceinture du Strigide; Couronne du Roi Joueur; Voile d'encre; Bottes du Roi Joueur; Dofus Pourpre; Dofus des Glaces; Dofus Turquoise; Dofus Nébuleux; Dokoko; Dofus Ocre; Muldo Prune et Emeraude</t>
        </is>
      </c>
    </row>
    <row r="2302">
      <c r="A2302" t="inlineStr">
        <is>
          <t>pascherdopou</t>
        </is>
      </c>
      <c r="B2302">
        <f>HYPERLINK("https://www.dofusbook.net/fr/equipement/1385535-pascherdopou/objets", "link")</f>
        <v/>
      </c>
      <c r="C2302" t="n">
        <v>2</v>
      </c>
      <c r="D2302" t="inlineStr">
        <is>
          <t>Dagues de Srambad; Amulette Luminescente; Alliance Gloursonne; Anneau Chevelu; Bouclier précieux; Ceinture Luminescente; Kidibonnet; Voile d'encre; Baleinabottes; Dofus Émeraude; Dokoko; Dofus Turquoise; Culbuteur majeur; Bousculeur majeur; Miraculé majeur; Muldo Ebène</t>
        </is>
      </c>
    </row>
    <row r="2303">
      <c r="A2303" t="inlineStr">
        <is>
          <t>pascher</t>
        </is>
      </c>
      <c r="B2303">
        <f>HYPERLINK("https://www.dofusbook.net/fr/equipement/1385439-pascher/objets", "link")</f>
        <v/>
      </c>
      <c r="C2303" t="n">
        <v>4</v>
      </c>
      <c r="D2303" t="inlineStr">
        <is>
          <t>Héqache; Amulette du Strigide; Anneau Chevelu; Alliance Gloursonne; Bouclier du Captain Amakna; Ceinture du Strigide; Masque de Koutoulou; Voile d'encre; Baleinabottes; Dofus Pourpre; Dofus Turquoise; Dokoko; Nomade; Remueur; Miraculé majeur; Péki</t>
        </is>
      </c>
    </row>
    <row r="2304">
      <c r="A2304" t="inlineStr">
        <is>
          <t>hequache</t>
        </is>
      </c>
      <c r="B2304">
        <f>HYPERLINK("https://www.dofusbook.net/fr/equipement/1141576-hequache/objets", "link")</f>
        <v/>
      </c>
      <c r="C2304" t="n">
        <v>7</v>
      </c>
      <c r="D2304" t="inlineStr">
        <is>
          <t>Héqache; Amulette du Strigide; Alliance Gloursonne; Anneau Chevelu; Bouclier du Captain Amakna; Ceinture du Strigide; Coiffe de la Fuji Givrefoux; Voile d'encre; Baleinabottes; Dofus Émeraude; Dofus Abyssal; Dofus Turquoise; Dofus Pourpre; Dokoko; Remueur; Muldo Ebène et Pourpre</t>
        </is>
      </c>
    </row>
    <row r="2305">
      <c r="A2305" t="inlineStr">
        <is>
          <t>air</t>
        </is>
      </c>
      <c r="B2305">
        <f>HYPERLINK("https://www.dofusbook.net/fr/equipement/937884-air/objets", "link")</f>
        <v/>
      </c>
      <c r="C2305" t="n">
        <v>1</v>
      </c>
      <c r="D2305" t="inlineStr">
        <is>
          <t>Amulette du Strigide; Bracelet des Fonds marins; Alliance Gloursonne; Ceinture du Strigide; Némès de Tal Kasha; Chevelure de Tal Kasha; Sandales de Tal Kasha; Dofus Turquoise; Dofus Abyssal; Dofus Pourpre; Dofus Ocre; Dofus Émeraude; Dokoko</t>
        </is>
      </c>
    </row>
    <row r="2306">
      <c r="A2306" t="inlineStr">
        <is>
          <t>Stuff 2</t>
        </is>
      </c>
      <c r="B2306">
        <f>HYPERLINK("https://www.dofusbook.net/fr/equipement/117878-stuff-2/objets", "link")</f>
        <v/>
      </c>
      <c r="C2306" t="n">
        <v>3</v>
      </c>
      <c r="D2306" t="inlineStr">
        <is>
          <t>Dagues Érhy; Amulette de Gein; Anneau Chevelu; Bague Gloursonne; Protopagne; Chapeau de Gein; Voile d'encre; Pataugastrique; Dofus Pourpre; Dofus Ocre; Dofus des Glaces; Dofus Émeraude; Carapace Feu majeur; Érudit majeur; Kramkram</t>
        </is>
      </c>
    </row>
    <row r="2307">
      <c r="A2307" t="inlineStr">
        <is>
          <t>Stuff 2</t>
        </is>
      </c>
      <c r="B2307">
        <f>HYPERLINK("https://www.dofusbook.net/fr/equipement/117871-stuff-2/objets", "link")</f>
        <v/>
      </c>
      <c r="C2307" t="n">
        <v>3</v>
      </c>
      <c r="D2307" t="inlineStr">
        <is>
          <t>Sceptre du Roi Joueur; Amulette de Shokkoth; Bague Trithon; Alliance Gloursonne; Poulpagne; Masque Trithon; Cape de Mantaze; Bottes Trithon; Dolmanax; Dofus Turquoise; Dokoko; Dofus Émeraude; Dofus Ocre; Dofus Pourpre; Kramkram</t>
        </is>
      </c>
    </row>
    <row r="2308">
      <c r="A2308" t="inlineStr">
        <is>
          <t>Stuff 3</t>
        </is>
      </c>
      <c r="B2308">
        <f>HYPERLINK("https://www.dofusbook.net/fr/equipement/117855-stuff-3/objets", "link")</f>
        <v/>
      </c>
      <c r="C2308" t="n">
        <v>3</v>
      </c>
      <c r="D2308" t="inlineStr">
        <is>
          <t>Manthache; Collier du Valet Veinard; Alliance Gloursonne; Gant du Valet Veinard; Bouclier alvéolé; Menoture; Casque Dragoeuf; Cape du Kamasterisk; Palmes Trithons; Dofus Émeraude; Cascadeur majeur; Carapace Air majeur; Carapace Neutre majeur; Remueur; Miraculé majeur; Muldo Orchidée</t>
        </is>
      </c>
    </row>
    <row r="2309">
      <c r="A2309" t="inlineStr">
        <is>
          <t>Stuff 2</t>
        </is>
      </c>
      <c r="B2309">
        <f>HYPERLINK("https://www.dofusbook.net/fr/equipement/117842-stuff-2/objets", "link")</f>
        <v/>
      </c>
      <c r="C2309" t="n">
        <v>2</v>
      </c>
      <c r="D2309" t="inlineStr">
        <is>
          <t>Héqache; Amulette du Strigide; Anneau Chevelu; Alliance Gloursonne; Ceintacé; Casque des égarés; Voile d'encre; Bottes du Strigide; Dofus Émeraude; Dofus des Glaces; Dofus Pourpre; Dofus Turquoise; Remueur; Nomade; Kramkram</t>
        </is>
      </c>
    </row>
    <row r="2310">
      <c r="A2310" t="inlineStr">
        <is>
          <t>Stuff 2</t>
        </is>
      </c>
      <c r="B2310">
        <f>HYPERLINK("https://www.dofusbook.net/fr/equipement/117878-stuff-2/objets", "link")</f>
        <v/>
      </c>
      <c r="C2310" t="n">
        <v>3</v>
      </c>
      <c r="D2310" t="inlineStr">
        <is>
          <t>Dagues Érhy; Amulette de Gein; Bague Gloursonne; Anneau Chevelu; Protopagne; Chapeau de Gein; Voile d'encre; Pataugastrique; Dofus des Glaces; Dofus Émeraude; Dofus Pourpre; Dofus Ocre; Carapace Feu majeur; Érudit majeur; Kramkram</t>
        </is>
      </c>
    </row>
    <row r="2311">
      <c r="A2311" t="inlineStr">
        <is>
          <t>Stuff 2</t>
        </is>
      </c>
      <c r="B2311">
        <f>HYPERLINK("https://www.dofusbook.net/fr/equipement/117857-stuff-2/objets", "link")</f>
        <v/>
      </c>
      <c r="C2311" t="n">
        <v>2</v>
      </c>
      <c r="D2311" t="inlineStr">
        <is>
          <t>Marteau des Anciens Steamers; Amulette du Strigide; Anneau Tique; Alliance Gloursonne; Bouclier en Slip cassé; Ceinture du Strigide; Némès de Tal Kasha; Chevelure de Tal Kasha; Sandales de Tal Kasha; Dofus Ocre; Dofus Pourpre; Dofus des Glaces; Dofus Turquoise; Dokoko; Dofus Émeraude</t>
        </is>
      </c>
    </row>
    <row r="2312">
      <c r="A2312" t="inlineStr">
        <is>
          <t>Stuff 1</t>
        </is>
      </c>
      <c r="B2312">
        <f>HYPERLINK("https://www.dofusbook.net/fr/equipement/117844-stuff-1/objets", "link")</f>
        <v/>
      </c>
      <c r="C2312" t="n">
        <v>1</v>
      </c>
      <c r="D2312" t="inlineStr">
        <is>
          <t>Sabres d'Atcham; Amulette du Strigide; Alliance Gloursonne; Gant du Valet Veinard; Ceintacé; Chapeau des Malveilleurs; Voile d'encre; Sandales  d'Atcham; Dofus des Glaces; Dofus Pourpre; Dofus Turquoise; Remueur; Carapace Feu majeur; Érudit majeur</t>
        </is>
      </c>
    </row>
    <row r="2313">
      <c r="A2313" t="inlineStr">
        <is>
          <t>Stuff 1</t>
        </is>
      </c>
      <c r="B2313">
        <f>HYPERLINK("https://www.dofusbook.net/fr/equipement/117882-stuff-1/objets", "link")</f>
        <v/>
      </c>
      <c r="C2313" t="n">
        <v>6</v>
      </c>
      <c r="D2313" t="inlineStr">
        <is>
          <t>Héqache; Amulette du Strigide; Alliance Gloursonne; Anneau Chevelu; Ceintouse; Chapoulpe; Voile d'encre; Baleinabottes; Dofus Émeraude; Dofus des Glaces; Dofus Pourpre; Dofus Turquoise; Dofus Ocre; Étourdisseur majeur</t>
        </is>
      </c>
    </row>
    <row r="2314">
      <c r="A2314" t="inlineStr">
        <is>
          <t>Stuff 1</t>
        </is>
      </c>
      <c r="B2314">
        <f>HYPERLINK("https://www.dofusbook.net/fr/equipement/117870-stuff-1/objets", "link")</f>
        <v/>
      </c>
      <c r="C2314" t="n">
        <v>2</v>
      </c>
      <c r="D2314" t="inlineStr">
        <is>
          <t>Rapière aux Glyphes; Amulette du Sinistrofu; Bague Trithon; Alliance Gloursonne; Sangle Ouare; Kidibonnet; Cape Luminescente; Bottes Trithon; Dofus Turquoise; Dofus Émeraude; Dofus Pourpre; Culbuteur majeur; Remueur; Miraculé majeur; Kramkram</t>
        </is>
      </c>
    </row>
    <row r="2315">
      <c r="A2315" t="inlineStr">
        <is>
          <t>Stuff 3</t>
        </is>
      </c>
      <c r="B2315">
        <f>HYPERLINK("https://www.dofusbook.net/fr/equipement/117846-stuff-3/objets", "link")</f>
        <v/>
      </c>
      <c r="C2315" t="n">
        <v>2</v>
      </c>
      <c r="D2315" t="inlineStr">
        <is>
          <t>Marteau des Anciens Steamers; Amulette du Strigide; Gant du Valet Veinard; Alliance Gloursonne; Ceinture du Strigide; Némès de Tal Kasha; Chevelure de Tal Kasha; Sandales de Tal Kasha; Dofus des Glaces; Dofus Turquoise; Dofus Émeraude; Dofus Pourpre; Dolmanax; Dofus Ocre</t>
        </is>
      </c>
    </row>
    <row r="2316">
      <c r="A2316" t="inlineStr">
        <is>
          <t>Stuff 1</t>
        </is>
      </c>
      <c r="B2316">
        <f>HYPERLINK("https://www.dofusbook.net/fr/equipement/117841-stuff-1/objets", "link")</f>
        <v/>
      </c>
      <c r="C2316" t="n">
        <v>2</v>
      </c>
      <c r="D2316" t="inlineStr">
        <is>
          <t>Manthache; Collier du Valet Veinard; Alliance Gloursonne; Gant du Valet Veinard; Menoture; Casque des égarés; Cape Indescriptible; Palmes Trithons; Dofus Pourpre; Dofus des Glaces; Carapace Air majeur; Cascadeur majeur; Nomade; Remueur; Kramkram</t>
        </is>
      </c>
    </row>
    <row r="2317">
      <c r="A2317" t="inlineStr">
        <is>
          <t>Stuff 3</t>
        </is>
      </c>
      <c r="B2317">
        <f>HYPERLINK("https://www.dofusbook.net/fr/equipement/117887-stuff-3/objets", "link")</f>
        <v/>
      </c>
      <c r="C2317" t="n">
        <v>2</v>
      </c>
      <c r="D2317" t="inlineStr">
        <is>
          <t>Epée Toche; Amulette du Strigide; Bague Gloursonne; Alliance Gloursonne; Bouclier Taverne; Ceinture du Strigide; Chapeau de Gein; Voile d'encre; Bottes du Strigide; Dofus Turquoise; Dofus Émeraude; Dofus des Glaces; Dofus Ocre; Dolmanax; Dofus Pourpre; Muldo Prune et Emeraude</t>
        </is>
      </c>
    </row>
    <row r="2318">
      <c r="A2318" t="inlineStr">
        <is>
          <t>Stuff 1</t>
        </is>
      </c>
      <c r="B2318">
        <f>HYPERLINK("https://www.dofusbook.net/fr/equipement/117876-stuff-1/objets", "link")</f>
        <v/>
      </c>
      <c r="C2318" t="n">
        <v>3</v>
      </c>
      <c r="D2318" t="inlineStr">
        <is>
          <t>Pelle Aigante; Amulette Ementaire Deluxe; Bague Gloursonne; Anneau Chevelu; Le Karde Cœur cassé; Ceinture de Gein; Chapeau de Gein; Voile d'encre; Baleinabottes; Dolmanax; Dokoko; Dofus Ocre; Dofus Émeraude; Miraculé majeur; Carapace Neutre majeur</t>
        </is>
      </c>
    </row>
    <row r="2319">
      <c r="A2319" t="inlineStr">
        <is>
          <t>Stuff 1</t>
        </is>
      </c>
      <c r="B2319">
        <f>HYPERLINK("https://www.dofusbook.net/fr/equipement/117856-stuff-1/objets", "link")</f>
        <v/>
      </c>
      <c r="C2319" t="n">
        <v>3</v>
      </c>
      <c r="D2319" t="inlineStr">
        <is>
          <t>Manthache; Collier du Valet Veinard; Gant du Valet Veinard; Alliance Gloursonne; Ceinture du Barbétoal; Capuche de Moum-Ra; Voile d'encre; Baleinabottes; Dofus Émeraude; Carapace Neutre majeur; Carapace Terre majeur; Remueur; Miraculé majeur; Cascadeur majeur</t>
        </is>
      </c>
    </row>
    <row r="2320">
      <c r="A2320" t="inlineStr">
        <is>
          <t>Stuff 3</t>
        </is>
      </c>
      <c r="B2320">
        <f>HYPERLINK("https://www.dofusbook.net/fr/equipement/117843-stuff-3/objets", "link")</f>
        <v/>
      </c>
      <c r="C2320" t="n">
        <v>3</v>
      </c>
      <c r="D2320" t="inlineStr">
        <is>
          <t>Sabres d'Atcham; Pendentif mignon de Koutoulou; Anneau Rifique; Alliance Gloursonne; Quatre-feuilles; Ceintrigue; Casque Cyclopéen; Cape d'Atcham; Sandales  d'Atcham; Dofus des Glaces; Dofus Pourpre; Dofus Abyssal; Dofus Turquoise; Dofus Ocre; Dofus Émeraude</t>
        </is>
      </c>
    </row>
    <row r="2321">
      <c r="A2321" t="inlineStr">
        <is>
          <t>Stuff 3</t>
        </is>
      </c>
      <c r="B2321">
        <f>HYPERLINK("https://www.dofusbook.net/fr/equipement/117880-stuff-3/objets", "link")</f>
        <v/>
      </c>
      <c r="C2321" t="n">
        <v>3</v>
      </c>
      <c r="D2321" t="inlineStr">
        <is>
          <t>Dagues Érhy; Amulette Héroclite; Anneau Chevelu; Bague Gloursonne; Ceinture de Gein; Chapeau de Gein; Voile d'encre; Baleinabottes; Dofus Pourpre; Dofus Ocre; Dofus Turquoise; Dofus des Glaces; Dofus Émeraude; Enragé majeur</t>
        </is>
      </c>
    </row>
    <row r="2322">
      <c r="A2322" t="inlineStr">
        <is>
          <t>Stuff 3</t>
        </is>
      </c>
      <c r="B2322">
        <f>HYPERLINK("https://www.dofusbook.net/fr/equipement/117858-stuff-3/objets", "link")</f>
        <v/>
      </c>
      <c r="C2322" t="n">
        <v>5</v>
      </c>
      <c r="D2322" t="inlineStr">
        <is>
          <t>Sabres d'Atcham; Pendentif mignon de Koutoulou; Alliance Gloursonne; Anneau Tique; Bouclier du Captain Amakna; Ceinture Séculaire; Casque Cyclopéen; Cape d'Atcham; Sandales  d'Atcham; Dolmanax; Dofus Pourpre; Dofus Turquoise; Dofus Abyssal; Dofus Ocre; Dofus des Glaces; Muldo Prune et Emeraude</t>
        </is>
      </c>
    </row>
    <row r="2323">
      <c r="A2323" t="inlineStr">
        <is>
          <t>Stuff 2</t>
        </is>
      </c>
      <c r="B2323">
        <f>HYPERLINK("https://www.dofusbook.net/fr/equipement/117845-stuff-2/objets", "link")</f>
        <v/>
      </c>
      <c r="C2323" t="n">
        <v>2</v>
      </c>
      <c r="D2323" t="inlineStr">
        <is>
          <t>Marteau des Anciens Steamers; Amulette Voldelor; Alliance Gloursonne; Gant du Valet Veinard; Ceintacé; Némès de Tal Kasha; Chevelure de Tal Kasha; Sandales de Tal Kasha; Dofus des Glaces; Dofus Turquoise; Dofus Émeraude; Dofus Pourpre; Dolmanax; Fuyard majeur</t>
        </is>
      </c>
    </row>
    <row r="2324">
      <c r="A2324" t="inlineStr">
        <is>
          <t>roub200feu</t>
        </is>
      </c>
      <c r="B2324">
        <f>HYPERLINK("https://www.dofusbook.net/fr/equipement/5940668-roub200feu/objets", "link")</f>
        <v/>
      </c>
      <c r="C2324" t="n">
        <v>3</v>
      </c>
      <c r="D2324" t="inlineStr">
        <is>
          <t>Massier; Amulette Volkorne; Anneau Tamie; Anneau Tamie; Bouclier du Stalak; Croture; Heaume Oplate; Cape de Diondin; Bottes Innommables; Dofus Vulbis; Dofus des Glaces; Saccageur Feu majeur; Dévastateur Feu majeur; Astucieux majeur; Érudit majeur; Bisouglours</t>
        </is>
      </c>
    </row>
    <row r="2325">
      <c r="A2325" t="inlineStr">
        <is>
          <t>roub200terre</t>
        </is>
      </c>
      <c r="B2325">
        <f>HYPERLINK("https://www.dofusbook.net/fr/equipement/5962479-roub200terre/objets", "link")</f>
        <v/>
      </c>
      <c r="C2325" t="n">
        <v>2</v>
      </c>
      <c r="D2325" t="inlineStr">
        <is>
          <t>Arc du Chalœil; Collier de Tourthon; Anneau de Brouce; Anneau Chevelu; Bouclier du Stalak; Ceinture de la Reine des Voleurs; Coiffe de la Reine des Voleurs; Ankhape; Baleinabottes; Dofus Ivoire; Dofus Ocre; Dofus des Glaces; Dofus Vulbis; Dofus Abyssal; Dévastateur Terre majeur; Bulbisou</t>
        </is>
      </c>
    </row>
    <row r="2326">
      <c r="A2326" t="inlineStr">
        <is>
          <t>roub200air</t>
        </is>
      </c>
      <c r="B2326">
        <f>HYPERLINK("https://www.dofusbook.net/fr/equipement/5962421-roub200air/objets", "link")</f>
        <v/>
      </c>
      <c r="C2326" t="n">
        <v>1</v>
      </c>
      <c r="D2326" t="inlineStr">
        <is>
          <t>Hache Ériphe; Collier du Valet Veinard; Alliance Gloursonne; Gant du Valet Veinard; Bouclier du Stalak; Ceintouse; Coiffe de la Reine des Voleurs; Cape du Valet Veinard; Bottes de la Reine des Voleurs; Dofus Vulbis; Dofus des Glaces; Dofus Ivoire; Dofus Abyssal; Dofus Ocre; Dofus Ébène; Blérodoudou</t>
        </is>
      </c>
    </row>
    <row r="2327">
      <c r="A2327" t="inlineStr">
        <is>
          <t>sadifeuair</t>
        </is>
      </c>
      <c r="B2327">
        <f>HYPERLINK("https://www.dofusbook.net/fr/equipement/5929385-sadifeuair/objets", "link")</f>
        <v/>
      </c>
      <c r="C2327" t="n">
        <v>1</v>
      </c>
      <c r="D2327" t="inlineStr">
        <is>
          <t>Dagues Érhy; Amulette Martegel; Alliance Gloursonne; Bague Gloursonne; Bouclier du Stalak; Ceinture de Vortex; Masquegel; Cape Martegel; Sabots de Vortex; Dofus Ivoire; Dofus Abyssal; Dofus Vulbis; Dofus Ébène; Dofus Ocre; Dofus des Glaces; Dragodinde Amande et Ivoire</t>
        </is>
      </c>
    </row>
    <row r="2328">
      <c r="A2328" t="inlineStr">
        <is>
          <t>cra200126</t>
        </is>
      </c>
      <c r="B2328">
        <f>HYPERLINK("https://www.dofusbook.net/fr/equipement/5920114-cra200126/objets", "link")</f>
        <v/>
      </c>
      <c r="C2328" t="n">
        <v>1</v>
      </c>
      <c r="D2328" t="inlineStr">
        <is>
          <t>Bâton Beau; Amulette du Strigide; Bague Gloursonne; Alliance Gloursonne; Quatre-feuilles; Ceinture du Strigide; Masque Vaudou Tam; Cape de Jahash Jurgen; Bottes du Strigide; Dolmanax; Dofus Ocre; Dofus Pourpre; Dofus Vulbis; Dofus Turquoise; Dofus des Glaces; Kougnard Albâtre</t>
        </is>
      </c>
    </row>
    <row r="2329">
      <c r="A2329" t="inlineStr">
        <is>
          <t>cra200sag</t>
        </is>
      </c>
      <c r="B2329">
        <f>HYPERLINK("https://www.dofusbook.net/fr/equipement/5914284-cra200sag/objets", "link")</f>
        <v/>
      </c>
      <c r="C2329" t="n">
        <v>1</v>
      </c>
      <c r="D2329" t="inlineStr">
        <is>
          <t>Racine de Floribonde; Kralamansion; Annolamour; Kralano; Bouclier cubiste; Ceinture de Léthaline; Coiffe du Comte Harebourg; Cape de Léthaline; Bottes de Léthaline; Dofus Cawotte; Entraveur mineur; Entraveur; Ralentisseur majeur; Ralentisseur; Entraveur majeur; Bisouglours</t>
        </is>
      </c>
    </row>
    <row r="2330">
      <c r="A2330" t="inlineStr">
        <is>
          <t>enu200eaupvm</t>
        </is>
      </c>
      <c r="B2330">
        <f>HYPERLINK("https://www.dofusbook.net/fr/equipement/5914831-enu200eaupvm/objets", "link")</f>
        <v/>
      </c>
      <c r="C2330" t="n">
        <v>1</v>
      </c>
      <c r="D2330" t="inlineStr">
        <is>
          <t>Baguette Hique; Pendentif Oton; Pikano; Anneau Volkorne; Quatre-feuilles; Pagne du Rykaon; Kidibonnet; Cape de la Dame du Hasard; Bottes de la Dame du Hasard; Dofus Ocre; Dofus Vulbis; Dofus Turquoise; Dofus des Glaces; Taquin majeur; Chanceux majeur; Kokulte</t>
        </is>
      </c>
    </row>
    <row r="2331">
      <c r="A2331" t="inlineStr">
        <is>
          <t>enu200terre</t>
        </is>
      </c>
      <c r="B2331">
        <f>HYPERLINK("https://www.dofusbook.net/fr/equipement/5914044-enu200terre/objets", "link")</f>
        <v/>
      </c>
      <c r="C2331" t="n">
        <v>2</v>
      </c>
      <c r="D2331" t="inlineStr">
        <is>
          <t>Arc du Chalœil; Amulette du Cœur Saignant; Alliance de Missiz Frizz; Anneau Volkorne; Quatre-feuilles; Ceinture Volkorne; Casque de Missiz Frizz; Cape du Cœur Saignant; Bottes du Cœur Saignant; Dofus Ocre; Dofus Ébène; Dofus Vulbis; Dofus des Glaces; Dofus Turquoise; Dofus Ivoire; Bulbisou</t>
        </is>
      </c>
    </row>
    <row r="2332">
      <c r="A2332" t="inlineStr">
        <is>
          <t>panda200</t>
        </is>
      </c>
      <c r="B2332">
        <f>HYPERLINK("https://www.dofusbook.net/fr/equipement/5914646-panda200/objets", "link")</f>
        <v/>
      </c>
      <c r="C2332" t="n">
        <v>1</v>
      </c>
      <c r="D2332" t="inlineStr"/>
    </row>
    <row r="2333">
      <c r="A2333" t="inlineStr">
        <is>
          <t>cra20rox</t>
        </is>
      </c>
      <c r="B2333">
        <f>HYPERLINK("https://www.dofusbook.net/fr/equipement/5914312-cra20rox/objets", "link")</f>
        <v/>
      </c>
      <c r="C2333" t="n">
        <v>2</v>
      </c>
      <c r="D2333" t="inlineStr">
        <is>
          <t>Bâton Beau; Amulette du Strigide; Bague Gloursonne; Alliance Gloursonne; Quatre-feuilles; Ceinture du Strigide; Maskrobe; Cape de Jahash Jurgen; Bottes du Strigide; Dofus Pourpre; Dofus Vulbis; Dofus Turquoise; Dofus des Glaces; Dolmanax; Dofus Ocre; Kougnard Albâtre</t>
        </is>
      </c>
    </row>
    <row r="2334">
      <c r="A2334" t="inlineStr">
        <is>
          <t>enu200air</t>
        </is>
      </c>
      <c r="B2334">
        <f>HYPERLINK("https://www.dofusbook.net/fr/equipement/5913996-enu200air/objets", "link")</f>
        <v/>
      </c>
      <c r="C2334" t="n">
        <v>1</v>
      </c>
      <c r="D2334" t="inlineStr">
        <is>
          <t>Baguette du Dragoeuf; Amulette Voldelor; Anneau d'Allister; Anneau de Padgref; Quatre-feuilles; Ceinture Voldelor; Coiffe de Padgref; Cape Indescriptible; Getas de Padgref; Dofus Ocre; Dofus Ivoire; Dofus Vulbis; Dofus Ébène; Dofus Turquoise; Dofus des Glaces; Kokulte</t>
        </is>
      </c>
    </row>
    <row r="2335">
      <c r="A2335" t="inlineStr">
        <is>
          <t>enu200eau</t>
        </is>
      </c>
      <c r="B2335">
        <f>HYPERLINK("https://www.dofusbook.net/fr/equipement/5913712-enu200eau/objets", "link")</f>
        <v/>
      </c>
      <c r="C2335" t="n">
        <v>2</v>
      </c>
      <c r="D2335" t="inlineStr">
        <is>
          <t>Baguette Hique; Collier de la Dame du Hasard; Alliance Gloursonne; Anneau Volkorne; Quatre-feuilles; Pagne du Rykaon; Casquette de Meno; Cape de la Dame du Hasard; Bottes de la Dame du Hasard; Dofus Vulbis; Dofus des Glaces; Dofus Ivoire; Dofus Turquoise; Dofus Ocre; Dofus Ébène; Kokulte</t>
        </is>
      </c>
    </row>
    <row r="2336">
      <c r="A2336" t="inlineStr">
        <is>
          <t>cra200esqpa</t>
        </is>
      </c>
      <c r="B2336">
        <f>HYPERLINK("https://www.dofusbook.net/fr/equipement/5904770-cra200esqpa/objets", "link")</f>
        <v/>
      </c>
      <c r="C2336" t="n">
        <v>1</v>
      </c>
      <c r="D2336" t="inlineStr">
        <is>
          <t>Rapière aux Glyphes; Amulette de l'Œil Attentif; Pikano; Alliance Gloursonne; Droiture de Fallanster; Poulpagne; Capuche de l'Œil Attentif; Chevelure de Tal Kasha; Pantoufles du Piloztère; Dofus Ivoire; Dofus Ocre; Dofus Ébène; Dofus Vulbis; Dofus Abyssal; Évasif majeur; Bouloute</t>
        </is>
      </c>
    </row>
    <row r="2337">
      <c r="A2337" t="inlineStr">
        <is>
          <t>cra200nodof</t>
        </is>
      </c>
      <c r="B2337">
        <f>HYPERLINK("https://www.dofusbook.net/fr/equipement/5881457-cra200nodof/objets", "link")</f>
        <v/>
      </c>
      <c r="C2337" t="n">
        <v>2</v>
      </c>
      <c r="D2337" t="inlineStr">
        <is>
          <t>Hache du Chalœil; Amulette du Strigide; Anneau de Padgref; Bracelet du Piloztère; Quatre-feuilles; Ceintacé; Maskrobe; Cape des Justiciers; Bottes du Strigide; Dofus Turquoise; Dolmanax; Dofus des Glaces; Dofus Pourpre; Remueur; Vigoureux majeur; Muldo Prune et Emeraude</t>
        </is>
      </c>
    </row>
    <row r="2338">
      <c r="A2338" t="inlineStr">
        <is>
          <t>ca200eauterre</t>
        </is>
      </c>
      <c r="B2338">
        <f>HYPERLINK("https://www.dofusbook.net/fr/equipement/5879884-ca200eauterre/objets", "link")</f>
        <v/>
      </c>
      <c r="C2338" t="n">
        <v>1</v>
      </c>
      <c r="D2338" t="inlineStr">
        <is>
          <t>Amulette du Strigide; Ceinture du Strigide; Casque du Chalœil; Cape du Chalœil; Bottes du Strigide</t>
        </is>
      </c>
    </row>
    <row r="2339">
      <c r="A2339" t="inlineStr">
        <is>
          <t>pda200roxnoexo</t>
        </is>
      </c>
      <c r="B2339">
        <f>HYPERLINK("https://www.dofusbook.net/fr/equipement/5875818-pda200roxnoexo/objets", "link")</f>
        <v/>
      </c>
      <c r="C2339" t="n">
        <v>3</v>
      </c>
      <c r="D2339" t="inlineStr">
        <is>
          <t>Arc Nécrotique; Talisman Igans; Anneau Cryochrone; Lavanneau; Quatre-feuilles; Ceintacé; Heaume Oplate; Cape de la Dame du Hasard; Bottes de la Dame du Hasard; Dofus Pourpre; Dofus Turquoise; Voyageur; Vigoureux majeur; Nomade; Remueur; Kokulte</t>
        </is>
      </c>
    </row>
    <row r="2340">
      <c r="A2340" t="inlineStr">
        <is>
          <t>enu200eaurox</t>
        </is>
      </c>
      <c r="B2340">
        <f>HYPERLINK("https://www.dofusbook.net/fr/equipement/5875778-enu200eaurox/objets", "link")</f>
        <v/>
      </c>
      <c r="C2340" t="n">
        <v>1</v>
      </c>
      <c r="D2340" t="inlineStr">
        <is>
          <t>Baguette Hique; Amulette de l'Œil Attentif; Alliance Gloursonne; Anneau Cryochrone; Quatre-feuilles; Ceintacé; Kidibonnet; Cape de la Dame du Hasard; Bottes de la Dame du Hasard; Dofus Turquoise; Dévastateur Eau majeur; Remueur; Voyageur; Chanceux majeur; Nomade; Kokulte</t>
        </is>
      </c>
    </row>
    <row r="2341">
      <c r="A2341" t="inlineStr">
        <is>
          <t>pda200noexo</t>
        </is>
      </c>
      <c r="B2341">
        <f>HYPERLINK("https://www.dofusbook.net/fr/equipement/5875723-pda200noexo/objets", "link")</f>
        <v/>
      </c>
      <c r="C2341" t="n">
        <v>1</v>
      </c>
      <c r="D2341" t="inlineStr">
        <is>
          <t>Rouleau à Pâtisserie d'Aermyne; Collier Rophante; Alliance Gloursonne; Bague Instable; Bouclier d'Anerice; Ceintacé; Casque Dragoeuf; Cape d'Anerice; Pataugastrique; Dofus Émeraude; Dofus Abyssal; Dofus Ivoire; Remueur; Bloqueur majeur; Obstructeur majeur; Muldo Roux</t>
        </is>
      </c>
    </row>
    <row r="2342">
      <c r="A2342" t="inlineStr">
        <is>
          <t>cra200multyy</t>
        </is>
      </c>
      <c r="B2342">
        <f>HYPERLINK("https://www.dofusbook.net/fr/equipement/5826055-cra200multyy/objets", "link")</f>
        <v/>
      </c>
      <c r="C2342" t="n">
        <v>1</v>
      </c>
      <c r="D2342" t="inlineStr">
        <is>
          <t>Epée Gloursonne; Amulette du Strigide; Alliance Gloursonne; Bague Gloursonne; Quatre-feuilles; Ceinture du Strigide; Masque Vaudou Tam; Cape Reski; Bottes du Strigide; Dofus Pourpre; Dofus Nébuleux; Dofus Turquoise; Dofus Ébène; Dofus Ocre; Dofus des Glaces; Kougnard Albâtre</t>
        </is>
      </c>
    </row>
    <row r="2343">
      <c r="A2343" t="inlineStr">
        <is>
          <t>enu200retpm</t>
        </is>
      </c>
      <c r="B2343">
        <f>HYPERLINK("https://www.dofusbook.net/fr/equipement/5872213-enu200retpm/objets", "link")</f>
        <v/>
      </c>
      <c r="C2343" t="n">
        <v>2</v>
      </c>
      <c r="D2343" t="inlineStr">
        <is>
          <t>Marteau Racle; Amulette du Glourséleste; Anneau Tamie; Anneau Tamie; Bouclier cubiste; Ceinture de Kongoku; Casquipik; Cape de Léthaline; Pikottes; Entraveur; Entraveur majeur; Temporiseur majeur; Remueur; Temporiseur; Ralentisseur majeur; Volkorne Turquoise</t>
        </is>
      </c>
    </row>
    <row r="2344">
      <c r="A2344" t="inlineStr">
        <is>
          <t>iop200pvm</t>
        </is>
      </c>
      <c r="B2344">
        <f>HYPERLINK("https://www.dofusbook.net/fr/equipement/5825956-iop200pvm/objets", "link")</f>
        <v/>
      </c>
      <c r="C2344" t="n">
        <v>3</v>
      </c>
      <c r="D2344" t="inlineStr">
        <is>
          <t>Marteau R'ture; Collier de Tourthon; Bague Gloursonne; Anneau du Comte Harebourg; Bouclier Taverne; Ceinture Gence; Masque de Koutoulou; Cape au Logis; Bottes du Comte Harebourg; Dofus Turquoise; Dofus Pourpre; Vigoureux majeur; Nomade; Enragé majeur; Remueur; Dragodinde Emeraude et Pourpre</t>
        </is>
      </c>
    </row>
    <row r="2345">
      <c r="A2345" t="inlineStr">
        <is>
          <t>Ougi songes</t>
        </is>
      </c>
      <c r="B2345">
        <f>HYPERLINK("https://www.dofusbook.net/fr/equipement/4760699-ougi-songes/objets", "link")</f>
        <v/>
      </c>
      <c r="C2345" t="n">
        <v>11</v>
      </c>
      <c r="D2345" t="inlineStr">
        <is>
          <t>Epée Kari; Collier de Tourthon; Anneau Volkorne; Anneau Chevelu; Cadran d'Eau; Ceinture Volkorne; Masque de Koutoulou; Cape au Logis; Bottes du Cœur Saignant; Dofus Pourpre; Dofus Émeraude; Dofus Turquoise; Dofus Abyssal; Dofus Ivoire; Remueur; Dragodinde Ivoire et Pourpre</t>
        </is>
      </c>
    </row>
    <row r="2346">
      <c r="A2346" t="inlineStr">
        <is>
          <t>Iop M 200</t>
        </is>
      </c>
      <c r="B2346">
        <f>HYPERLINK("https://www.dofusbook.net/fr/equipement/5441875-iop-m-200/objets", "link")</f>
        <v/>
      </c>
      <c r="C2346" t="n">
        <v>3</v>
      </c>
      <c r="D2346" t="inlineStr">
        <is>
          <t>Couteaux Sacrificiels; Amulette Volkorne; Anneau Volkorne; Alliance Gloursonne; Cadran d'Eau; Ceinture Volkorne; Masque Paztek; Cape Paztek; Pataugastrique; Dofus Ocre; Dofus des Glaces; Dofus Émeraude; Dofus Ivoire; Dofus Pourpre; Dofus Abyssal; Walk</t>
        </is>
      </c>
    </row>
    <row r="2347">
      <c r="A2347" t="inlineStr">
        <is>
          <t>Feu / Soin</t>
        </is>
      </c>
      <c r="B2347">
        <f>HYPERLINK("https://www.dofusbook.net/fr/equipement/4107196-feu---soin/objets", "link")</f>
        <v/>
      </c>
      <c r="C2347" t="n">
        <v>33</v>
      </c>
      <c r="D2347" t="inlineStr">
        <is>
          <t>Amulette Volkorne; Anneauræus; Bague Gloursonne; Cadran d'Eau; Ceinture Volkorne; Casque Dragoeuf; Cape de Diondin; Pataugastrique; Dofus Turquoise; Dofus Émeraude; Dofus Ivoire; Dofus Vulbis; Dofus Abyssal; Érudit majeur; Dragodinde Ivoire et Orchidée</t>
        </is>
      </c>
    </row>
    <row r="2348">
      <c r="A2348" t="inlineStr">
        <is>
          <t>Féca F 200</t>
        </is>
      </c>
      <c r="B2348">
        <f>HYPERLINK("https://www.dofusbook.net/fr/equipement/4903018-feca-f-200/objets", "link")</f>
        <v/>
      </c>
      <c r="C2348" t="n">
        <v>10</v>
      </c>
      <c r="D2348" t="inlineStr">
        <is>
          <t>Lance Horselé; Collier du Valet Veinard; Gant du Valet Veinard; Alliance Gloursonne; Bouclier d'Ilyzaelle; Menoture; Casque Dragoeuf; Cape Martegel; Palmes Trithons; Dofus Abyssal; Dofus Ivoire; Dofus Vulbis; Dofus Émeraude; Cascadeur majeur; Remueur; Dragodinde Ebène et Ivoire</t>
        </is>
      </c>
    </row>
    <row r="2349">
      <c r="A2349" t="inlineStr">
        <is>
          <t>Terre</t>
        </is>
      </c>
      <c r="B2349">
        <f>HYPERLINK("https://www.dofusbook.net/fr/equipement/4107089-terre-/objets", "link")</f>
        <v/>
      </c>
      <c r="C2349" t="n">
        <v>15</v>
      </c>
      <c r="D2349" t="inlineStr">
        <is>
          <t>Dagoulinantes; Amulette de Shokkoth; Alliance Gloursonne; Anneau Volkorne; Bouclier d'Ilyzaelle; Pagne du Rykaon; Kidibonnet; Cape du Sinistrofu; Bottes du Sinistrofu; Dofus Émeraude; Dofus Ivoire; Dofus Abyssal; Dofus Vulbis; Chanceux majeur; Remueur; Dragodinde Indigo et Ivoire</t>
        </is>
      </c>
    </row>
    <row r="2350">
      <c r="A2350" t="inlineStr">
        <is>
          <t>Iop eau</t>
        </is>
      </c>
      <c r="B2350">
        <f>HYPERLINK("https://www.dofusbook.net/fr/equipement/4174924-iop-eau/objets", "link")</f>
        <v/>
      </c>
      <c r="C2350" t="n">
        <v>7</v>
      </c>
      <c r="D2350" t="inlineStr">
        <is>
          <t>Baguette de Torkélonia; Amulette du Cœur Saignant; Anneau Volkorne; Bague Gloursonne; Quatre-feuilles; Ceinture Volkorne; Corne de Torkélonia; Cape du Cœur Saignant; Bottes du Cœur Saignant; Dofus Ébène; Dofus Pourpre; Dofus des Glaces; Dofus Ocre; Dofus Vulbis; Dofus Turquoise; Kokulte</t>
        </is>
      </c>
    </row>
    <row r="2351">
      <c r="A2351" t="inlineStr">
        <is>
          <t>Eniripsa M 200</t>
        </is>
      </c>
      <c r="B2351">
        <f>HYPERLINK("https://www.dofusbook.net/fr/equipement/4976662-eniripsa-m-200/objets", "link")</f>
        <v/>
      </c>
      <c r="C2351" t="n">
        <v>10</v>
      </c>
      <c r="D2351" t="inlineStr">
        <is>
          <t>Arc corrompu; Amulette Volkorne; Anneauræus; Anneauræus; Quatre-feuilles; Ceinture Volkorne; Heaume Oplate; Cape de Diondin; Bottes Innommables; Dofus Turquoise; Dofus Ivoire; Érudit majeur; Remueur; Nomade; Brûlih</t>
        </is>
      </c>
    </row>
    <row r="2352">
      <c r="A2352" t="inlineStr">
        <is>
          <t>Eau / Tacle</t>
        </is>
      </c>
      <c r="B2352">
        <f>HYPERLINK("https://www.dofusbook.net/fr/equipement/4108465-eau---tacle/objets", "link")</f>
        <v/>
      </c>
      <c r="C2352" t="n">
        <v>40</v>
      </c>
      <c r="D2352" t="inlineStr">
        <is>
          <t>Epée Loponèze; Talisman Glouti; Bracelet des Fonds marins; Alliance Gloursonne; Bouclier d'Ilyzaelle; Sangle Ouare; Kidibonnet; Cape de Mantaze; Sandales des Fonds marins; Dofus Pourpre; Dofus Émeraude; Dofus Ivoire; Chanceux majeur; Remueur; Miraculé majeur; Platypus</t>
        </is>
      </c>
    </row>
    <row r="2353">
      <c r="A2353" t="inlineStr">
        <is>
          <t>Terre</t>
        </is>
      </c>
      <c r="B2353">
        <f>HYPERLINK("https://www.dofusbook.net/fr/equipement/4102239-terre/objets", "link")</f>
        <v/>
      </c>
      <c r="C2353" t="n">
        <v>32</v>
      </c>
      <c r="D2353" t="inlineStr">
        <is>
          <t>Arc du Chalœil; Collier de Tourthon; Anneau Volkorne; Anneau Chevelu; Quatre-feuilles; Ceinture Volkorne; Masque de Koutoulou; Cape au Logis; Bottes du Cœur Saignant; Dofus Pourpre; Dofus Turquoise; Dofus Nébuleux; Enragé majeur; Remueur; Dragodinde Ivoire et Pourpre</t>
        </is>
      </c>
    </row>
    <row r="2354">
      <c r="A2354" t="inlineStr">
        <is>
          <t>Osamodas M 200</t>
        </is>
      </c>
      <c r="B2354">
        <f>HYPERLINK("https://www.dofusbook.net/fr/equipement/4511369-osamodas-m-200/objets", "link")</f>
        <v/>
      </c>
      <c r="C2354" t="n">
        <v>21</v>
      </c>
      <c r="D2354" t="inlineStr">
        <is>
          <t>Lance Horselé; Collier du Valet Veinard; Gant du Valet Veinard; Alliance Gloursonne; Bouclier du Stalak; Menoture; Couronne d'Allister; Cape Martegel; Palmes Trithons; Carapace Eau majeur; Cascadeur majeur; Dévastateur Air majeur; Remueur; Miraculé majeur; Nomade; Blérodoudou</t>
        </is>
      </c>
    </row>
    <row r="2355">
      <c r="A2355" t="inlineStr">
        <is>
          <t>Terre</t>
        </is>
      </c>
      <c r="B2355">
        <f>HYPERLINK("https://www.dofusbook.net/fr/equipement/4110099-terre/objets", "link")</f>
        <v/>
      </c>
      <c r="C2355" t="n">
        <v>10</v>
      </c>
      <c r="D2355" t="inlineStr">
        <is>
          <t>Collier de la Dame du Hasard; Lavanneau; Lavanneau; Bouclier du Captain Amakna; Ceintacé; Kidibonnet; Bottes de Meno; Dofus Émeraude; Dokoko; Dofus Nébuleux; Dofus Ivoire; Dragodinde Emeraude et Ivoire</t>
        </is>
      </c>
    </row>
    <row r="2356">
      <c r="A2356" t="inlineStr">
        <is>
          <t>Crâ M 200</t>
        </is>
      </c>
      <c r="B2356">
        <f>HYPERLINK("https://www.dofusbook.net/fr/equipement/4444767-cra-m-200/objets", "link")</f>
        <v/>
      </c>
      <c r="C2356" t="n">
        <v>38</v>
      </c>
      <c r="D2356" t="inlineStr">
        <is>
          <t>Bâton Beau; Amulette du Strigide; Anneau de Padgref; Bracelet du Piloztère; Quatre-feuilles; Ceintacé; Maskrobe; Cape des Justiciers; Bottes du Strigide; Dofus Pourpre; Dofus Nébuleux; Dofus Turquoise; Dofus des Glaces; Enragé majeur; Vigoureux majeur; Kokulte</t>
        </is>
      </c>
    </row>
    <row r="2357">
      <c r="A2357" t="inlineStr">
        <is>
          <t>Crâ F 200</t>
        </is>
      </c>
      <c r="B2357">
        <f>HYPERLINK("https://www.dofusbook.net/fr/equipement/4174563-cra-f-200/objets", "link")</f>
        <v/>
      </c>
      <c r="C2357" t="n">
        <v>30</v>
      </c>
      <c r="D2357" t="inlineStr">
        <is>
          <t>Epée Gloursonne; Amulette du Strigide; Bague Gloursonne; Alliance Gloursonne; Quatre-feuilles; Ceinture du Strigide; Némès de Tal Kasha; Chevelure de Tal Kasha; Bottes du Strigide; Dofus Turquoise; Dofus Nébuleux; Dofus Pourpre; Dofus des Glaces; Voyageur; Puissant majeur; Kwaltess</t>
        </is>
      </c>
    </row>
    <row r="2358">
      <c r="A2358" t="inlineStr">
        <is>
          <t>Pandawa M 200</t>
        </is>
      </c>
      <c r="B2358">
        <f>HYPERLINK("https://www.dofusbook.net/fr/equipement/4164076-pandawa-m-200/objets", "link")</f>
        <v/>
      </c>
      <c r="C2358" t="n">
        <v>10</v>
      </c>
      <c r="D2358" t="inlineStr">
        <is>
          <t>Baguette Hique; Amulette Volkorne; Anneau Volkorne; Alliance Gloursonne; Quatre-feuilles; Sangle Ouare; Kidibonnet; Cape de Mantaze; Sandales des Fonds marins; Dofus Ocre; Dofus Pourpre; Dofus des Glaces; Dofus Turquoise; Dévastateur Eau majeur; Chanceux majeur; Kanigloups</t>
        </is>
      </c>
    </row>
    <row r="2359">
      <c r="A2359" t="inlineStr">
        <is>
          <t>Eau / Fuite</t>
        </is>
      </c>
      <c r="B2359">
        <f>HYPERLINK("https://www.dofusbook.net/fr/equipement/4108514-eau---fuite/objets", "link")</f>
        <v/>
      </c>
      <c r="C2359" t="n">
        <v>13</v>
      </c>
      <c r="D2359" t="inlineStr">
        <is>
          <t>Dagoulinantes; Amulette de Shokkoth; Anneau Volkorne; Alliance Gloursonne; Quatre-feuilles; Sangle Ouare; Kidibonnet; Cape du Sinistrofu; Bottes du Sinistrofu; Dofus Abyssal; Fonceur majeur; Remueur; Miraculé majeur; Chanceux majeur; Nomade; Volkorne Indigo</t>
        </is>
      </c>
    </row>
    <row r="2360">
      <c r="A2360" t="inlineStr">
        <is>
          <t>Cra Multi 200</t>
        </is>
      </c>
      <c r="B2360">
        <f>HYPERLINK("https://www.dofusbook.net/fr/equipement/4163875-cra-multi-200/objets", "link")</f>
        <v/>
      </c>
      <c r="C2360" t="n">
        <v>14</v>
      </c>
      <c r="D2360" t="inlineStr">
        <is>
          <t>Bâton Beau; Amulette du Strigide; Grésilanneau; Bracelet du Piloztère; Quatre-feuilles; Ceintacé; Kidibonnet; Cape Reski; Bottes du Strigide; Dofus Pourpre; Dofus Turquoise; Enragé majeur; Remueur; Vigoureux majeur; Nomade; Dragodinde Emeraude et Ivoire</t>
        </is>
      </c>
    </row>
    <row r="2361">
      <c r="A2361" t="inlineStr">
        <is>
          <t>Iop M 200</t>
        </is>
      </c>
      <c r="B2361">
        <f>HYPERLINK("https://www.dofusbook.net/fr/equipement/4155450-iop-m-200/objets", "link")</f>
        <v/>
      </c>
      <c r="C2361" t="n">
        <v>31</v>
      </c>
      <c r="D2361" t="inlineStr">
        <is>
          <t>Arc corrompu; Amulette Volkorne; Anneauræus; Anneauræus; Quatre-feuilles; Ceinture Volkorne; Heaume Oplate; Voile d'encre; Bottes Innommables; Dofus Turquoise; Dofus Ocre; Dofus Pourpre; Dofus Nébuleux; Dofus Ivoire; Dofus Vulbis; Bisouglours</t>
        </is>
      </c>
    </row>
    <row r="2362">
      <c r="A2362" t="inlineStr">
        <is>
          <t>Eliotrope M 200</t>
        </is>
      </c>
      <c r="B2362">
        <f>HYPERLINK("https://www.dofusbook.net/fr/equipement/4164186-eliotrope-m-200/objets", "link")</f>
        <v/>
      </c>
      <c r="C2362" t="n">
        <v>8</v>
      </c>
      <c r="D2362" t="inlineStr">
        <is>
          <t>Manthache; Collier du Valet Veinard; Gant du Valet Veinard; Alliance Gloursonne; Bouclier du Stalak; Menoture; Couronne d'Allister; Cape Indescriptible; Palmes Trithons; Dofus Pourpre; Dévastateur Air majeur; Vigoureux majeur; Nomade; Cascadeur majeur; Remueur; Volkorne Ebène</t>
        </is>
      </c>
    </row>
    <row r="2363">
      <c r="A2363" t="inlineStr">
        <is>
          <t>Xélor F 200</t>
        </is>
      </c>
      <c r="B2363">
        <f>HYPERLINK("https://www.dofusbook.net/fr/equipement/4188634-xelor-f-200/objets", "link")</f>
        <v/>
      </c>
      <c r="C2363" t="n">
        <v>9</v>
      </c>
      <c r="D2363" t="inlineStr">
        <is>
          <t>Héqache; Amulette du Strigide; Bague Gloursonne; Alliance Gloursonne; Bouclier du Captain Amakna; Ceinture du Strigide; Coiffe de la Fuji Givrefoux; Cape de la Fuji Givrefoux; Bottes du Strigide; Dofus des Glaces; Dofus Pourpre; Dofus Turquoise; Dofus Ocre; Dofus Émeraude; Puissant majeur; Kokulte</t>
        </is>
      </c>
    </row>
    <row r="2364">
      <c r="A2364" t="inlineStr">
        <is>
          <t>agi force</t>
        </is>
      </c>
      <c r="B2364">
        <f>HYPERLINK("https://www.dofusbook.net/fr/equipement/2721881-agi-force/objets", "link")</f>
        <v/>
      </c>
      <c r="C2364" t="n">
        <v>9</v>
      </c>
      <c r="D2364" t="inlineStr">
        <is>
          <t>Lance corrompue; Amulette du Cœur Vaillant; Alliance Brûlâme; Anneau des égarés; Bouclier Taverne; Ceinture Gence; Chapibou; Cape de la Fuji Givrefoux; Bottes du Cœur Vaillant; Dofus Ocre; Dofus Pourpre; Pousseur majeur; Remueur; Culbuteur majeur; Nomade; Péki</t>
        </is>
      </c>
    </row>
    <row r="2365">
      <c r="A2365" t="inlineStr">
        <is>
          <t>Stuff 2</t>
        </is>
      </c>
      <c r="B2365">
        <f>HYPERLINK("https://www.dofusbook.net/fr/equipement/1994758-stuff-2/objets", "link")</f>
        <v/>
      </c>
      <c r="C2365" t="n">
        <v>10</v>
      </c>
      <c r="D2365" t="inlineStr">
        <is>
          <t>Arc Hétype; Talisman Igans; Anneau Tique; Alliance du Lévitrof; Ceintrigue; Casqnoar; Cape des Malveilleurs; Pataugastrique; Dofus des Glaces; Dofus Ocre; Chanceux majeur; Remueur; Érudit majeur; Nomade; Kramkram</t>
        </is>
      </c>
    </row>
    <row r="2366">
      <c r="A2366" t="inlineStr">
        <is>
          <t>Stuff 2</t>
        </is>
      </c>
      <c r="B2366">
        <f>HYPERLINK("https://www.dofusbook.net/fr/equipement/1994790-stuff-2/objets", "link")</f>
        <v/>
      </c>
      <c r="C2366" t="n">
        <v>2</v>
      </c>
      <c r="D2366" t="inlineStr">
        <is>
          <t>Sabres d'Atcham; Amulette du Strigide; Anneau de Padgref; Ceinture du Strigide; Coiffe de Padgref; Getas de Padgref; Muldo Prune</t>
        </is>
      </c>
    </row>
    <row r="2367">
      <c r="A2367" t="inlineStr">
        <is>
          <t>Stuff 3</t>
        </is>
      </c>
      <c r="B2367">
        <f>HYPERLINK("https://www.dofusbook.net/fr/equipement/1994753-stuff-3/objets", "link")</f>
        <v/>
      </c>
      <c r="C2367" t="n">
        <v>3</v>
      </c>
      <c r="D2367" t="inlineStr">
        <is>
          <t>Pelle de la Cour Sombre; Amibou; Gant du Valet Veinard; Alliance Gloursonne; Menoture; Chapibou; Cape Indescriptible; Bottes Vicieuses; Dofus Ocre; Dofus des Glaces; Remueur; Cascadeur majeur; Nomade; Dévastateur Air majeur; Dragodinde Prune et Emeraude</t>
        </is>
      </c>
    </row>
    <row r="2368">
      <c r="A2368" t="inlineStr">
        <is>
          <t>Stuff 3</t>
        </is>
      </c>
      <c r="B2368">
        <f>HYPERLINK("https://www.dofusbook.net/fr/equipement/1994785-stuff-3/objets", "link")</f>
        <v/>
      </c>
      <c r="C2368" t="n">
        <v>3</v>
      </c>
      <c r="D2368" t="inlineStr">
        <is>
          <t>Pelle de la Cour Sombre; Collier du Valet Veinard; Gant du Valet Veinard; Alliance Gloursonne; Menoture; Couronne d'Allister; Cape Indescriptible; Palmes Trithons; Dofus Ocre; Dofus des Glaces; Remueur; Cascadeur majeur; Nomade; Dévastateur Air majeur; Kramkram</t>
        </is>
      </c>
    </row>
    <row r="2369">
      <c r="A2369" t="inlineStr">
        <is>
          <t>Stuff 1</t>
        </is>
      </c>
      <c r="B2369">
        <f>HYPERLINK("https://www.dofusbook.net/fr/equipement/1994748-stuff-1/objets", "link")</f>
        <v/>
      </c>
      <c r="C2369" t="n">
        <v>11</v>
      </c>
      <c r="D2369" t="inlineStr">
        <is>
          <t>Pelle de la Cour Sombre; Amibou; Alliance Gloursonne; Anneau des égarés; Ceinture du Barbétoal; Coiffe de la Reine des Voleurs; Cape des Malveilleurs; Bottes de la Reine des Voleurs; Dofus Ocre; Dofus des Glaces; Nomade; Remueur; Dévastateur Air majeur; Cascadeur majeur; Kramkram</t>
        </is>
      </c>
    </row>
    <row r="2370">
      <c r="A2370" t="inlineStr">
        <is>
          <t>Stuff 1</t>
        </is>
      </c>
      <c r="B2370">
        <f>HYPERLINK("https://www.dofusbook.net/fr/equipement/1994780-stuff-1/objets", "link")</f>
        <v/>
      </c>
      <c r="C2370" t="n">
        <v>7</v>
      </c>
      <c r="D2370" t="inlineStr">
        <is>
          <t>Dagues Açantes; Amulette du Glourséleste; Pikano; Anneau Vicieux; Ceinture Instable; Coiffe d'Ogivol; Cape de Léthaline; Pikottes; Dofus Ocre; Temporiseur; Temporiseur majeur; Ralentisseur majeur; Remueur; Entraveur majeur; Dragoune Rose</t>
        </is>
      </c>
    </row>
    <row r="2371">
      <c r="A2371" t="inlineStr">
        <is>
          <t>Stuff 2</t>
        </is>
      </c>
      <c r="B2371">
        <f>HYPERLINK("https://www.dofusbook.net/fr/equipement/1994743-stuff-2/objets", "link")</f>
        <v/>
      </c>
      <c r="C2371" t="n">
        <v>3</v>
      </c>
      <c r="D2371" t="inlineStr">
        <is>
          <t>Rapière aux Glyphes; Amulette du Sinistrofu; Alliance Gloursonne; Bracelet du Piloztère; Ceinture Glaciale; Kidibonnet; Cape du Sinistrofu; Bottes du Nocturlabe; Dofus des Glaces; Dofus Pourpre; Chanceux majeur; Nomade; Dévastateur Eau majeur; Remueur; Kramkram</t>
        </is>
      </c>
    </row>
    <row r="2372">
      <c r="A2372" t="inlineStr">
        <is>
          <t>Stuff 3</t>
        </is>
      </c>
      <c r="B2372">
        <f>HYPERLINK("https://www.dofusbook.net/fr/equipement/1994775-stuff-3/objets", "link")</f>
        <v/>
      </c>
      <c r="C2372" t="n">
        <v>3</v>
      </c>
      <c r="D2372" t="inlineStr">
        <is>
          <t>Sabres d'Atcham; Talisman Glouti; Anneau Tique; Alliance Gloursonne; Sangle Ouare; Dorabysses; Cape d'Atcham; Sandales  d'Atcham; Dofus Pourpre; Dofus des Glaces; Dragodinde en armure</t>
        </is>
      </c>
    </row>
    <row r="2373">
      <c r="A2373" t="inlineStr">
        <is>
          <t>Stuff 1</t>
        </is>
      </c>
      <c r="B2373">
        <f>HYPERLINK("https://www.dofusbook.net/fr/equipement/1994770-stuff-1/objets", "link")</f>
        <v/>
      </c>
      <c r="C2373" t="n">
        <v>1</v>
      </c>
      <c r="D2373" t="inlineStr">
        <is>
          <t>Dagues Érhy; Amulette du Strigide; Anneau de Brouce; Bracelet du Piloztère; Ceinture du Strigide; Casque de Missiz Frizz; Voilamibe; Bottes du Cycloïde; Dofus Turquoise; Dofus Ocre; Dofus des Glaces; Dofus Pourpre; Vigoureux majeur; Remueur; Kramkram</t>
        </is>
      </c>
    </row>
    <row r="2374">
      <c r="A2374" t="inlineStr">
        <is>
          <t>Stuff 3</t>
        </is>
      </c>
      <c r="B2374">
        <f>HYPERLINK("https://www.dofusbook.net/fr/equipement/1994765-stuff-3/objets", "link")</f>
        <v/>
      </c>
      <c r="C2374" t="n">
        <v>2</v>
      </c>
      <c r="D2374" t="inlineStr">
        <is>
          <t>Épée du Granduk; Amulette du Granduk; Anneau d'Allister; Alliance Gloursonne; Ceinture de Klime; Masque du Granduk; Cape de Klime; Bottes d'Allister; Dofus des Glaces; Dofus Ocre; Dofus Pourpre; Saccageur Air majeur; Equilibriste majeur; Robuste majeur; Siroko</t>
        </is>
      </c>
    </row>
    <row r="2375">
      <c r="A2375" t="inlineStr">
        <is>
          <t>Stuff 1</t>
        </is>
      </c>
      <c r="B2375">
        <f>HYPERLINK("https://www.dofusbook.net/fr/equipement/1994760-stuff-1/objets", "link")</f>
        <v/>
      </c>
      <c r="C2375" t="n">
        <v>1</v>
      </c>
      <c r="D2375" t="inlineStr">
        <is>
          <t>Pelle de la Cour Sombre; Amibou; Alliance Gloursonne; Anneau des égarés; Ceinture du Barbétoal; Coiffe de la Reine des Voleurs; Cape des Malveilleurs; Bottes de la Reine des Voleurs; Dofus Ocre; Dofus des Glaces; Nomade; Dévastateur Air majeur; Remueur; Cascadeur majeur; Siroko</t>
        </is>
      </c>
    </row>
    <row r="2376">
      <c r="A2376" t="inlineStr">
        <is>
          <t>Stuff 2</t>
        </is>
      </c>
      <c r="B2376">
        <f>HYPERLINK("https://www.dofusbook.net/fr/equipement/1994755-stuff-2/objets", "link")</f>
        <v/>
      </c>
      <c r="C2376" t="n">
        <v>12</v>
      </c>
      <c r="D2376" t="inlineStr">
        <is>
          <t>Dagues Érhy; Amulette du Cycloïde; Anneau de Brouce; Bague Gloursonne; Ceintacé; Masque du Katcheur; Voilamibe; Bottes du Cycloïde; Dofus Turquoise; Dofus Pourpre; Vigoureux majeur; Remueur; Enragé majeur; Nomade; Kramkram</t>
        </is>
      </c>
    </row>
    <row r="2377">
      <c r="A2377" t="inlineStr">
        <is>
          <t>Stuff 1</t>
        </is>
      </c>
      <c r="B2377">
        <f>HYPERLINK("https://www.dofusbook.net/fr/equipement/1994787-stuff-1/objets", "link")</f>
        <v/>
      </c>
      <c r="C2377" t="n">
        <v>6</v>
      </c>
      <c r="D2377" t="inlineStr">
        <is>
          <t>Sabres d'Atcham; Amulette du Professeur Xa; Alliance du Lévitrof; Alliance Gloursonne; Menoture; Cagoule de Vortex; Cape d'Atcham; Pataugastrique; Dofus des Glaces</t>
        </is>
      </c>
    </row>
    <row r="2378">
      <c r="A2378" t="inlineStr">
        <is>
          <t>Stuff 3</t>
        </is>
      </c>
      <c r="B2378">
        <f>HYPERLINK("https://www.dofusbook.net/fr/equipement/1994750-stuff-3/objets", "link")</f>
        <v/>
      </c>
      <c r="C2378" t="n">
        <v>11</v>
      </c>
      <c r="D2378" t="inlineStr">
        <is>
          <t>Marteau des Anciens Steamers; Amulette du Strigide; Bracelet des Fonds marins; Alliance Gloursonne; Ceinture du Barbétoal; Coiffe de la Reine des Voleurs; Cape d'Hel Munster; Bottes de la Reine des Voleurs; Dofus Pourpre; Dofus des Glaces; Dofus Ocre; Dofus Turquoise; Remueur; Nomade; Kramkram</t>
        </is>
      </c>
    </row>
    <row r="2379">
      <c r="A2379" t="inlineStr">
        <is>
          <t>Stuff 3</t>
        </is>
      </c>
      <c r="B2379">
        <f>HYPERLINK("https://www.dofusbook.net/fr/equipement/1994782-stuff-3/objets", "link")</f>
        <v/>
      </c>
      <c r="C2379" t="n">
        <v>8</v>
      </c>
      <c r="D2379" t="inlineStr">
        <is>
          <t>Pelle de la Cour Sombre; Collier du Valet Veinard; Alliance Gloursonne; Gant du Valet Veinard; Menoture; Couronne d'Allister; Cape Indescriptible; Palmes Trithons; Dofus des Glaces; Remueur; Cascadeur majeur; Carapace Air majeur; Dévastateur Air majeur; Nomade; Kramkram</t>
        </is>
      </c>
    </row>
    <row r="2380">
      <c r="A2380" t="inlineStr">
        <is>
          <t>Stuff 1</t>
        </is>
      </c>
      <c r="B2380">
        <f>HYPERLINK("https://www.dofusbook.net/fr/equipement/1994745-stuff-1/objets", "link")</f>
        <v/>
      </c>
      <c r="C2380" t="n">
        <v>7</v>
      </c>
      <c r="D2380" t="inlineStr">
        <is>
          <t>Dagues de Srambad; Amulette de Pol Ouatnos; Bague Gloursonne; Alliance Gloursonne; Ceinture de la Reine des Voleurs; Coiffe de la Reine des Voleurs; Voile d'encre; Bottes de la Reine des Voleurs; Dofus Pourpre; Dofus Émeraude; Dofus Ocre; Dofus des Glaces; Furibond majeur; Robuste majeur; Kramkram</t>
        </is>
      </c>
    </row>
    <row r="2381">
      <c r="A2381" t="inlineStr">
        <is>
          <t>Stuff 3</t>
        </is>
      </c>
      <c r="B2381">
        <f>HYPERLINK("https://www.dofusbook.net/fr/equipement/1994772-stuff-3/objets", "link")</f>
        <v/>
      </c>
      <c r="C2381" t="n">
        <v>2</v>
      </c>
      <c r="D2381" t="inlineStr">
        <is>
          <t>Baguette Houffe-Craitien; Amulette du Strigide; Bague Gloursonne; Anneau de Padgref; Ceinture du Strigide; Coiffe de Padgref; Voile d'encre; Getas de Padgref; Dofus Pourpre; Dofus Turquoise; Dofus des Glaces; Dofus Ocre; Savant majeur; Phorror</t>
        </is>
      </c>
    </row>
    <row r="2382">
      <c r="A2382" t="inlineStr">
        <is>
          <t>Stuff 2</t>
        </is>
      </c>
      <c r="B2382">
        <f>HYPERLINK("https://www.dofusbook.net/fr/equipement/1994788-stuff-2/objets", "link")</f>
        <v/>
      </c>
      <c r="C2382" t="n">
        <v>7</v>
      </c>
      <c r="D2382" t="inlineStr">
        <is>
          <t>Dagues Érhy; Amulette du Strigide; Anneau de Padgref; Anneau Crustique; Ceinture du Strigide; Coiffe de Padgref; Cape au Logis; Bottes du Strigide; Dofus Ocre; Dofus Turquoise; Dofus Pourpre; Kramkram</t>
        </is>
      </c>
    </row>
    <row r="2383">
      <c r="A2383" t="inlineStr">
        <is>
          <t>Stuff 1</t>
        </is>
      </c>
      <c r="B2383">
        <f>HYPERLINK("https://www.dofusbook.net/fr/equipement/1994751-stuff-1/objets", "link")</f>
        <v/>
      </c>
      <c r="C2383" t="n">
        <v>2</v>
      </c>
      <c r="D2383" t="inlineStr">
        <is>
          <t>Marteau des Anciens Steamers; Amulette du Strigide; Bracelet du Piloztère; Alliance Gloursonne; Ceinture du Barbétoal; Masque du Barbétoal; Cape du Barbétoal; Bottes du Strigide; Dofus Émeraude; Dofus Turquoise; Dofus Pourpre; Dofus Ocre; Joueur majeur; Acrobate majeur; Dragodinde Prune et Emeraude</t>
        </is>
      </c>
    </row>
    <row r="2384">
      <c r="A2384" t="inlineStr">
        <is>
          <t>Stuff 1</t>
        </is>
      </c>
      <c r="B2384">
        <f>HYPERLINK("https://www.dofusbook.net/fr/equipement/1994783-stuff-1/objets", "link")</f>
        <v/>
      </c>
      <c r="C2384" t="n">
        <v>1</v>
      </c>
      <c r="D2384" t="inlineStr">
        <is>
          <t>Arc de Koutoulou; Amulette Voldelor; Gant du Valet Veinard; Alliance Gloursonne; Menoture; Coiffe de la Reine des Voleurs; Cape Indescriptible; Bottes de la Reine des Voleurs; Dofus Ocre; Dofus des Glaces; Cascadeur majeur; Nomade; Dévastateur Air majeur; Remueur; Kramkram</t>
        </is>
      </c>
    </row>
    <row r="2385">
      <c r="A2385" t="inlineStr">
        <is>
          <t>Stuff 2</t>
        </is>
      </c>
      <c r="B2385">
        <f>HYPERLINK("https://www.dofusbook.net/fr/equipement/1994746-stuff-2/objets", "link")</f>
        <v/>
      </c>
      <c r="C2385" t="n">
        <v>13</v>
      </c>
      <c r="D2385" t="inlineStr">
        <is>
          <t>Dagues de Srambad; Amulette de Pol Ouatnos; Pikano; Bracelet du Piloztère; Ceinture de la Reine des Voleurs; Coiffe de la Reine des Voleurs; Cape des Justiciers; Bottes du Lévitrof; Dofus Pourpre; Dofus des Glaces; Nomade; Robuste majeur; Remueur; Vigoureux majeur; Kramkram</t>
        </is>
      </c>
    </row>
    <row r="2386">
      <c r="A2386" t="inlineStr">
        <is>
          <t>Stuff 1</t>
        </is>
      </c>
      <c r="B2386">
        <f>HYPERLINK("https://www.dofusbook.net/fr/equipement/1994773-stuff-1/objets", "link")</f>
        <v/>
      </c>
      <c r="C2386" t="n">
        <v>3</v>
      </c>
      <c r="D2386" t="inlineStr">
        <is>
          <t>Arc Nécrotique; Amulette Cryochrone; Anneau Tique; Alliance Gloursonne; Ceintrigue; Coiffe du Lévitrof; Voilamibe; Bottes Owesli; Dofus Ocre; Dofus des Glaces; Dofus Pourpre; Vigoureux majeur; Remueur; Érudit majeur; Kramkram</t>
        </is>
      </c>
    </row>
    <row r="2387">
      <c r="A2387" t="inlineStr">
        <is>
          <t>Stuff 2</t>
        </is>
      </c>
      <c r="B2387">
        <f>HYPERLINK("https://www.dofusbook.net/fr/equipement/1994768-stuff-2/objets", "link")</f>
        <v/>
      </c>
      <c r="C2387" t="n">
        <v>13</v>
      </c>
      <c r="D2387" t="inlineStr">
        <is>
          <t>Dagues Érhy; Amulette du Cycloïde; Bague Gloursonne; Alliance Gloursonne; Ceinture d'Henual; Masque du Katcheur; Voilamibe; Bottes du Strigide; Dofus des Glaces; Dofus Ocre; Dofus Pourpre; Remueur; Enragé majeur; Vigoureux majeur; Kramkram</t>
        </is>
      </c>
    </row>
    <row r="2388">
      <c r="A2388" t="inlineStr">
        <is>
          <t>Stuff 1</t>
        </is>
      </c>
      <c r="B2388">
        <f>HYPERLINK("https://www.dofusbook.net/fr/equipement/1994763-stuff-1/objets", "link")</f>
        <v/>
      </c>
      <c r="C2388" t="n">
        <v>4</v>
      </c>
      <c r="D2388" t="inlineStr">
        <is>
          <t>Dagues Érhy; Amulette du Cycloïde; Bague Gloursonne; Alliance Gloursonne; Ceinture d'Henual; Masque du Katcheur; Voilamibe; Bottes du Strigide; Dofus Pourpre; Dofus des Glaces; Dofus Ocre; Vigoureux majeur; Remueur; Nomade; Kramkram</t>
        </is>
      </c>
    </row>
    <row r="2389">
      <c r="A2389" t="inlineStr">
        <is>
          <t>Stuff 2</t>
        </is>
      </c>
      <c r="B2389">
        <f>HYPERLINK("https://www.dofusbook.net/fr/equipement/1994758-stuff-2/objets", "link")</f>
        <v/>
      </c>
      <c r="C2389" t="n">
        <v>10</v>
      </c>
      <c r="D2389" t="inlineStr">
        <is>
          <t>Arc Hétype; Talisman Igans; Alliance du Lévitrof; Anneau Tique; Ceintrigue; Casqnoar; Cape des Malveilleurs; Pataugastrique; Dofus Ocre; Dofus des Glaces; Érudit majeur; Nomade; Chanceux majeur; Remueur; Kramkram</t>
        </is>
      </c>
    </row>
    <row r="2390">
      <c r="A2390" t="inlineStr">
        <is>
          <t>Stuff 2</t>
        </is>
      </c>
      <c r="B2390">
        <f>HYPERLINK("https://www.dofusbook.net/fr/equipement/1994790-stuff-2/objets", "link")</f>
        <v/>
      </c>
      <c r="C2390" t="n">
        <v>2</v>
      </c>
      <c r="D2390" t="inlineStr">
        <is>
          <t>Sabres d'Atcham; Amulette du Strigide; Anneau de Padgref; Ceinture du Strigide; Coiffe de Padgref; Getas de Padgref; Muldo Prune</t>
        </is>
      </c>
    </row>
    <row r="2391">
      <c r="A2391" t="inlineStr">
        <is>
          <t>Stuff 3</t>
        </is>
      </c>
      <c r="B2391">
        <f>HYPERLINK("https://www.dofusbook.net/fr/equipement/1994753-stuff-3/objets", "link")</f>
        <v/>
      </c>
      <c r="C2391" t="n">
        <v>3</v>
      </c>
      <c r="D2391" t="inlineStr">
        <is>
          <t>Pelle de la Cour Sombre; Amibou; Alliance Gloursonne; Gant du Valet Veinard; Menoture; Chapibou; Cape Indescriptible; Bottes Vicieuses; Dofus des Glaces; Dofus Ocre; Nomade; Dévastateur Air majeur; Remueur; Cascadeur majeur; Dragodinde Prune et Emeraude</t>
        </is>
      </c>
    </row>
    <row r="2392">
      <c r="A2392" t="inlineStr">
        <is>
          <t>Stuff 3</t>
        </is>
      </c>
      <c r="B2392">
        <f>HYPERLINK("https://www.dofusbook.net/fr/equipement/1994785-stuff-3/objets", "link")</f>
        <v/>
      </c>
      <c r="C2392" t="n">
        <v>3</v>
      </c>
      <c r="D2392" t="inlineStr">
        <is>
          <t>Pelle de la Cour Sombre; Collier du Valet Veinard; Gant du Valet Veinard; Alliance Gloursonne; Menoture; Couronne d'Allister; Cape Indescriptible; Palmes Trithons; Dofus des Glaces; Dofus Ocre; Nomade; Dévastateur Air majeur; Remueur; Cascadeur majeur; Kramkram</t>
        </is>
      </c>
    </row>
    <row r="2393">
      <c r="A2393" t="inlineStr">
        <is>
          <t>Stuff 1</t>
        </is>
      </c>
      <c r="B2393">
        <f>HYPERLINK("https://www.dofusbook.net/fr/equipement/1994748-stuff-1/objets", "link")</f>
        <v/>
      </c>
      <c r="C2393" t="n">
        <v>11</v>
      </c>
      <c r="D2393" t="inlineStr">
        <is>
          <t>Pelle de la Cour Sombre; Amibou; Anneau des égarés; Alliance Gloursonne; Ceinture du Barbétoal; Coiffe de la Reine des Voleurs; Cape des Malveilleurs; Bottes de la Reine des Voleurs; Dofus Ocre; Dofus des Glaces; Dévastateur Air majeur; Cascadeur majeur; Nomade; Remueur; Kramkram</t>
        </is>
      </c>
    </row>
    <row r="2394">
      <c r="A2394" t="inlineStr">
        <is>
          <t>Stuff 1</t>
        </is>
      </c>
      <c r="B2394">
        <f>HYPERLINK("https://www.dofusbook.net/fr/equipement/1994780-stuff-1/objets", "link")</f>
        <v/>
      </c>
      <c r="C2394" t="n">
        <v>7</v>
      </c>
      <c r="D2394" t="inlineStr">
        <is>
          <t>Dagues Açantes; Amulette du Glourséleste; Anneau Vicieux; Pikano; Ceinture Instable; Coiffe d'Ogivol; Cape de Léthaline; Pikottes; Dofus Ocre; Ralentisseur majeur; Remueur; Entraveur majeur; Temporiseur; Temporiseur majeur; Dragoune Rose</t>
        </is>
      </c>
    </row>
    <row r="2395">
      <c r="A2395" t="inlineStr">
        <is>
          <t>Stuff 3</t>
        </is>
      </c>
      <c r="B2395">
        <f>HYPERLINK("https://www.dofusbook.net/fr/equipement/1994775-stuff-3/objets", "link")</f>
        <v/>
      </c>
      <c r="C2395" t="n">
        <v>3</v>
      </c>
      <c r="D2395" t="inlineStr">
        <is>
          <t>Sabres d'Atcham; Talisman Glouti; Alliance Gloursonne; Anneau Tique; Sangle Ouare; Dorabysses; Cape d'Atcham; Sandales  d'Atcham; Dofus Pourpre; Dofus des Glaces; Dragodinde en armure</t>
        </is>
      </c>
    </row>
    <row r="2396">
      <c r="A2396" t="inlineStr">
        <is>
          <t>Stuff 2</t>
        </is>
      </c>
      <c r="B2396">
        <f>HYPERLINK("https://www.dofusbook.net/fr/equipement/1994743-stuff-2/objets", "link")</f>
        <v/>
      </c>
      <c r="C2396" t="n">
        <v>3</v>
      </c>
      <c r="D2396" t="inlineStr">
        <is>
          <t>Rapière aux Glyphes; Amulette du Sinistrofu; Alliance Gloursonne; Bracelet du Piloztère; Ceinture Glaciale; Kidibonnet; Cape du Sinistrofu; Bottes du Nocturlabe; Dofus Pourpre; Dofus des Glaces; Nomade; Dévastateur Eau majeur; Remueur; Chanceux majeur; Kramkram</t>
        </is>
      </c>
    </row>
    <row r="2397">
      <c r="A2397" t="inlineStr">
        <is>
          <t>Stuff 1</t>
        </is>
      </c>
      <c r="B2397">
        <f>HYPERLINK("https://www.dofusbook.net/fr/equipement/1994770-stuff-1/objets", "link")</f>
        <v/>
      </c>
      <c r="C2397" t="n">
        <v>1</v>
      </c>
      <c r="D2397" t="inlineStr">
        <is>
          <t>Dagues Érhy; Amulette du Strigide; Bracelet du Piloztère; Anneau de Brouce; Ceinture du Strigide; Casque de Missiz Frizz; Voilamibe; Bottes du Cycloïde; Dofus Pourpre; Dofus Turquoise; Dofus Ocre; Dofus des Glaces; Remueur; Vigoureux majeur; Kramkram</t>
        </is>
      </c>
    </row>
    <row r="2398">
      <c r="A2398" t="inlineStr">
        <is>
          <t>Stuff 3</t>
        </is>
      </c>
      <c r="B2398">
        <f>HYPERLINK("https://www.dofusbook.net/fr/equipement/1994765-stuff-3/objets", "link")</f>
        <v/>
      </c>
      <c r="C2398" t="n">
        <v>2</v>
      </c>
      <c r="D2398" t="inlineStr">
        <is>
          <t>Épée du Granduk; Amulette du Granduk; Alliance Gloursonne; Anneau d'Allister; Ceinture de Klime; Masque du Granduk; Cape de Klime; Bottes d'Allister; Dofus Pourpre; Dofus des Glaces; Dofus Ocre; Robuste majeur; Saccageur Air majeur; Equilibriste majeur; Siroko</t>
        </is>
      </c>
    </row>
    <row r="2399">
      <c r="A2399" t="inlineStr">
        <is>
          <t>Stuff 1</t>
        </is>
      </c>
      <c r="B2399">
        <f>HYPERLINK("https://www.dofusbook.net/fr/equipement/1994760-stuff-1/objets", "link")</f>
        <v/>
      </c>
      <c r="C2399" t="n">
        <v>1</v>
      </c>
      <c r="D2399" t="inlineStr">
        <is>
          <t>Pelle de la Cour Sombre; Amibou; Anneau des égarés; Alliance Gloursonne; Ceinture du Barbétoal; Coiffe de la Reine des Voleurs; Cape des Malveilleurs; Bottes de la Reine des Voleurs; Dofus des Glaces; Dofus Ocre; Dévastateur Air majeur; Remueur; Cascadeur majeur; Nomade; Siroko</t>
        </is>
      </c>
    </row>
    <row r="2400">
      <c r="A2400" t="inlineStr">
        <is>
          <t>Stuff 2</t>
        </is>
      </c>
      <c r="B2400">
        <f>HYPERLINK("https://www.dofusbook.net/fr/equipement/1994755-stuff-2/objets", "link")</f>
        <v/>
      </c>
      <c r="C2400" t="n">
        <v>12</v>
      </c>
      <c r="D2400" t="inlineStr">
        <is>
          <t>Dagues Érhy; Amulette du Cycloïde; Bague Gloursonne; Anneau de Brouce; Ceintacé; Masque du Katcheur; Voilamibe; Bottes du Cycloïde; Dofus Pourpre; Dofus Turquoise; Remueur; Enragé majeur; Nomade; Vigoureux majeur; Kramkram</t>
        </is>
      </c>
    </row>
    <row r="2401">
      <c r="A2401" t="inlineStr">
        <is>
          <t>Stuff 3</t>
        </is>
      </c>
      <c r="B2401">
        <f>HYPERLINK("https://www.dofusbook.net/fr/equipement/1994785-stuff-3/objets", "link")</f>
        <v/>
      </c>
      <c r="C2401" t="n">
        <v>3</v>
      </c>
      <c r="D2401" t="inlineStr">
        <is>
          <t>Pelle de la Cour Sombre; Collier du Valet Veinard; Alliance Gloursonne; Gant du Valet Veinard; Menoture; Couronne d'Allister; Cape Indescriptible; Palmes Trithons; Dofus des Glaces; Dofus Ocre; Nomade; Dévastateur Air majeur; Remueur; Cascadeur majeur; Kramkram</t>
        </is>
      </c>
    </row>
    <row r="2402">
      <c r="A2402" t="inlineStr">
        <is>
          <t>Stuff 1</t>
        </is>
      </c>
      <c r="B2402">
        <f>HYPERLINK("https://www.dofusbook.net/fr/equipement/1994748-stuff-1/objets", "link")</f>
        <v/>
      </c>
      <c r="C2402" t="n">
        <v>11</v>
      </c>
      <c r="D2402" t="inlineStr">
        <is>
          <t>Pelle de la Cour Sombre; Amibou; Anneau des égarés; Alliance Gloursonne; Ceinture du Barbétoal; Coiffe de la Reine des Voleurs; Cape des Malveilleurs; Bottes de la Reine des Voleurs; Dofus Ocre; Dofus des Glaces; Nomade; Remueur; Dévastateur Air majeur; Cascadeur majeur; Kramkram</t>
        </is>
      </c>
    </row>
    <row r="2403">
      <c r="A2403" t="inlineStr">
        <is>
          <t>Stuff 1</t>
        </is>
      </c>
      <c r="B2403">
        <f>HYPERLINK("https://www.dofusbook.net/fr/equipement/1994780-stuff-1/objets", "link")</f>
        <v/>
      </c>
      <c r="C2403" t="n">
        <v>7</v>
      </c>
      <c r="D2403" t="inlineStr">
        <is>
          <t>Dagues Açantes; Amulette du Glourséleste; Anneau Vicieux; Pikano; Ceinture Instable; Coiffe d'Ogivol; Cape de Léthaline; Pikottes; Dofus Ocre; Remueur; Entraveur majeur; Temporiseur; Temporiseur majeur; Ralentisseur majeur; Dragoune Rose</t>
        </is>
      </c>
    </row>
    <row r="2404">
      <c r="A2404" t="inlineStr">
        <is>
          <t>Stuff 2</t>
        </is>
      </c>
      <c r="B2404">
        <f>HYPERLINK("https://www.dofusbook.net/fr/equipement/1994743-stuff-2/objets", "link")</f>
        <v/>
      </c>
      <c r="C2404" t="n">
        <v>3</v>
      </c>
      <c r="D2404" t="inlineStr">
        <is>
          <t>Rapière aux Glyphes; Amulette du Sinistrofu; Bracelet du Piloztère; Alliance Gloursonne; Ceinture Glaciale; Kidibonnet; Cape du Sinistrofu; Bottes du Nocturlabe; Dofus des Glaces; Dofus Pourpre; Chanceux majeur; Nomade; Dévastateur Eau majeur; Remueur; Kramkram</t>
        </is>
      </c>
    </row>
    <row r="2405">
      <c r="A2405" t="inlineStr">
        <is>
          <t>Stuff 3</t>
        </is>
      </c>
      <c r="B2405">
        <f>HYPERLINK("https://www.dofusbook.net/fr/equipement/1994775-stuff-3/objets", "link")</f>
        <v/>
      </c>
      <c r="C2405" t="n">
        <v>3</v>
      </c>
      <c r="D2405" t="inlineStr">
        <is>
          <t>Sabres d'Atcham; Talisman Glouti; Anneau Tique; Alliance Gloursonne; Sangle Ouare; Dorabysses; Cape d'Atcham; Sandales  d'Atcham; Dofus des Glaces; Dofus Pourpre; Dragodinde en armure</t>
        </is>
      </c>
    </row>
    <row r="2406">
      <c r="A2406" t="inlineStr">
        <is>
          <t>Stuff 1</t>
        </is>
      </c>
      <c r="B2406">
        <f>HYPERLINK("https://www.dofusbook.net/fr/equipement/1994770-stuff-1/objets", "link")</f>
        <v/>
      </c>
      <c r="C2406" t="n">
        <v>1</v>
      </c>
      <c r="D2406" t="inlineStr">
        <is>
          <t>Dagues Érhy; Amulette du Strigide; Anneau de Brouce; Bracelet du Piloztère; Ceinture du Strigide; Casque de Missiz Frizz; Voilamibe; Bottes du Cycloïde; Dofus Pourpre; Dofus Turquoise; Dofus Ocre; Dofus des Glaces; Remueur; Vigoureux majeur; Kramkram</t>
        </is>
      </c>
    </row>
    <row r="2407">
      <c r="A2407" t="inlineStr">
        <is>
          <t>Stuff 3</t>
        </is>
      </c>
      <c r="B2407">
        <f>HYPERLINK("https://www.dofusbook.net/fr/equipement/1994765-stuff-3/objets", "link")</f>
        <v/>
      </c>
      <c r="C2407" t="n">
        <v>2</v>
      </c>
      <c r="D2407" t="inlineStr">
        <is>
          <t>Épée du Granduk; Amulette du Granduk; Alliance Gloursonne; Anneau d'Allister; Ceinture de Klime; Masque du Granduk; Cape de Klime; Bottes d'Allister; Dofus Pourpre; Dofus des Glaces; Dofus Ocre; Robuste majeur; Saccageur Air majeur; Equilibriste majeur; Siroko</t>
        </is>
      </c>
    </row>
    <row r="2408">
      <c r="A2408" t="inlineStr">
        <is>
          <t>Stuff 1</t>
        </is>
      </c>
      <c r="B2408">
        <f>HYPERLINK("https://www.dofusbook.net/fr/equipement/1994760-stuff-1/objets", "link")</f>
        <v/>
      </c>
      <c r="C2408" t="n">
        <v>1</v>
      </c>
      <c r="D2408" t="inlineStr">
        <is>
          <t>Pelle de la Cour Sombre; Amibou; Anneau des égarés; Alliance Gloursonne; Ceinture du Barbétoal; Coiffe de la Reine des Voleurs; Cape des Malveilleurs; Bottes de la Reine des Voleurs; Dofus des Glaces; Dofus Ocre; Cascadeur majeur; Nomade; Dévastateur Air majeur; Remueur; Siroko</t>
        </is>
      </c>
    </row>
    <row r="2409">
      <c r="A2409" t="inlineStr">
        <is>
          <t>Stuff 2</t>
        </is>
      </c>
      <c r="B2409">
        <f>HYPERLINK("https://www.dofusbook.net/fr/equipement/1994755-stuff-2/objets", "link")</f>
        <v/>
      </c>
      <c r="C2409" t="n">
        <v>12</v>
      </c>
      <c r="D2409" t="inlineStr">
        <is>
          <t>Dagues Érhy; Amulette du Cycloïde; Anneau de Brouce; Bague Gloursonne; Ceintacé; Masque du Katcheur; Voilamibe; Bottes du Cycloïde; Dofus Turquoise; Dofus Pourpre; Enragé majeur; Nomade; Vigoureux majeur; Remueur; Kramkram</t>
        </is>
      </c>
    </row>
    <row r="2410">
      <c r="A2410" t="inlineStr">
        <is>
          <t>Stuff 1</t>
        </is>
      </c>
      <c r="B2410">
        <f>HYPERLINK("https://www.dofusbook.net/fr/equipement/1994787-stuff-1/objets", "link")</f>
        <v/>
      </c>
      <c r="C2410" t="n">
        <v>6</v>
      </c>
      <c r="D2410" t="inlineStr">
        <is>
          <t>Sabres d'Atcham; Amulette du Professeur Xa; Alliance Gloursonne; Alliance du Lévitrof; Menoture; Cagoule de Vortex; Cape d'Atcham; Pataugastrique; Dofus des Glaces</t>
        </is>
      </c>
    </row>
    <row r="2411">
      <c r="A2411" t="inlineStr">
        <is>
          <t>Stuff 2</t>
        </is>
      </c>
      <c r="B2411">
        <f>HYPERLINK("https://www.dofusbook.net/fr/equipement/1994740-stuff-2/objets", "link")</f>
        <v/>
      </c>
      <c r="C2411" t="n">
        <v>2</v>
      </c>
      <c r="D2411" t="inlineStr">
        <is>
          <t>Dagues de Srambad; Amulette d'Oshimo; Bracelet du Piloztère; Anneau du Professeur Xa; Ceinture de la Reine des Voleurs; Masque du Barbétoal; Cape Matelassée; Bottes d'Oshimo; Vigoureux majeur; Étourdisseur majeur; Miraculé majeur; Nomade; Engourdisseur majeur; Remueur; Kramkram</t>
        </is>
      </c>
    </row>
    <row r="2412">
      <c r="A2412" t="inlineStr">
        <is>
          <t>Stuff 3</t>
        </is>
      </c>
      <c r="B2412">
        <f>HYPERLINK("https://www.dofusbook.net/fr/equipement/1994735-stuff-3/objets", "link")</f>
        <v/>
      </c>
      <c r="C2412" t="n">
        <v>5</v>
      </c>
      <c r="D2412" t="inlineStr">
        <is>
          <t>Bêche Asse; Amulette Héroclite; Alliance de Missiz Frizz; Anneau de Brouce; Ceinture de Brouce; Casque de Missiz Frizz; Cape au Logis; Bottes de Brouce; Dofus Turquoise; Dofus Ocre; Dofus Pourpre; Dofus Émeraude; Furibond majeur; Forcené majeur; Kompost</t>
        </is>
      </c>
    </row>
    <row r="2413">
      <c r="A2413" t="inlineStr">
        <is>
          <t>Stuff 1</t>
        </is>
      </c>
      <c r="B2413">
        <f>HYPERLINK("https://www.dofusbook.net/fr/equipement/1994730-stuff-1/objets", "link")</f>
        <v/>
      </c>
      <c r="C2413" t="n">
        <v>0</v>
      </c>
      <c r="D2413" t="inlineStr">
        <is>
          <t>Dagues Érhy; Amulette de Gein; Anneau de Brouce; Bague Gloursonne; Ceinture de Gein; Masque du Katcheur; Voile d'encre; Bottes du Strigide; Dofus Pourpre; Dofus des Glaces; Dofus Turquoise; Dofus Ocre; Remueur; Nomade; Kramkram</t>
        </is>
      </c>
    </row>
    <row r="2414">
      <c r="A2414" t="inlineStr">
        <is>
          <t>Stuff 1</t>
        </is>
      </c>
      <c r="B2414">
        <f>HYPERLINK("https://www.dofusbook.net/fr/equipement/1994742-stuff-1/objets", "link")</f>
        <v/>
      </c>
      <c r="C2414" t="n">
        <v>1</v>
      </c>
      <c r="D2414" t="inlineStr">
        <is>
          <t>Hache Ériphe; Amulette du Kamasterisk; Anneau de Pol Ouatnos; Alliance Gloursonne; Ceinture de Klime; Coiffe de la Reine des Voleurs; Cape de Klime; Baleinabottes; Dofus Pourpre; Dofus des Glaces; Cascadeur majeur; Nomade; Dévastateur Air majeur; Remueur; Kramkram</t>
        </is>
      </c>
    </row>
    <row r="2415">
      <c r="A2415" t="inlineStr">
        <is>
          <t>Stuff 2</t>
        </is>
      </c>
      <c r="B2415">
        <f>HYPERLINK("https://www.dofusbook.net/fr/equipement/1994737-stuff-2/objets", "link")</f>
        <v/>
      </c>
      <c r="C2415" t="n">
        <v>3</v>
      </c>
      <c r="D2415" t="inlineStr">
        <is>
          <t>Dagues Érhy; Amulette du Strigide; Bracelet du Piloztère; Anneau de la Fuji Givrefoux; Ougature; Coiffe Ranshi; Cape de la Fuji Givrefoux; Bottes du Roi Joueur; Dofus Turquoise; Dofus Pourpre; Temporiseur majeur; Remueur; Enragé majeur; Vigoureux majeur; Kramkram</t>
        </is>
      </c>
    </row>
    <row r="2416">
      <c r="A2416" t="inlineStr">
        <is>
          <t>Stuff 3</t>
        </is>
      </c>
      <c r="B2416">
        <f>HYPERLINK("https://www.dofusbook.net/fr/equipement/1994732-stuff-3/objets", "link")</f>
        <v/>
      </c>
      <c r="C2416" t="n">
        <v>4</v>
      </c>
      <c r="D2416" t="inlineStr">
        <is>
          <t>Marteau Reine; Amulette du Strigide; Bague Gloursonne; Bracelet du Piloztère; Ceinture de la Reine des Voleurs; Coiffe de la Reine des Voleurs; Cape au Logis; Bottes des égarés; Dofus Ocre; Dofus Turquoise; Dofus des Glaces; Enragé majeur; Nomade; Remueur; Kramkram</t>
        </is>
      </c>
    </row>
    <row r="2417">
      <c r="A2417" t="inlineStr">
        <is>
          <t>Stuff 1</t>
        </is>
      </c>
      <c r="B2417">
        <f>HYPERLINK("https://www.dofusbook.net/fr/equipement/1994739-stuff-1/objets", "link")</f>
        <v/>
      </c>
      <c r="C2417" t="n">
        <v>1</v>
      </c>
      <c r="D2417" t="inlineStr">
        <is>
          <t>Dagues Érhy; Amulette du Strigide; Bague Gloursonne; Anneau de Brouce; Ceinture du Strigide; Coiffe Ranshi; Cape au Logis; Bottes du Katcheur; Remueur; Vigoureux majeur; Obstructeur majeur; Obstructeur; Nomade; Tacleur majeur; Blokus</t>
        </is>
      </c>
    </row>
    <row r="2418">
      <c r="A2418" t="inlineStr">
        <is>
          <t>Stuff 2</t>
        </is>
      </c>
      <c r="B2418">
        <f>HYPERLINK("https://www.dofusbook.net/fr/equipement/1994734-stuff-2/objets", "link")</f>
        <v/>
      </c>
      <c r="C2418" t="n">
        <v>5</v>
      </c>
      <c r="D2418" t="inlineStr">
        <is>
          <t>Dagues Érhy; Amulette du Strigide; Bracelet du Piloztère; Alliance de Missiz Frizz; Ceinture du Strigide; Casque de Missiz Frizz; Cape au Logis; Bottes du Strigide; Dofus Turquoise; Dofus des Glaces; Dofus Ocre; Dofus Pourpre; Furibond majeur; Forcené majeur; Kramkram</t>
        </is>
      </c>
    </row>
    <row r="2419">
      <c r="A2419" t="inlineStr">
        <is>
          <t>Stuff 3</t>
        </is>
      </c>
      <c r="B2419">
        <f>HYPERLINK("https://www.dofusbook.net/fr/equipement/1994741-stuff-3/objets", "link")</f>
        <v/>
      </c>
      <c r="C2419" t="n">
        <v>4</v>
      </c>
      <c r="D2419" t="inlineStr">
        <is>
          <t>Hache Ériphe; Amulette du Kamasterisk; Alliance Gloursonne; Anneau de Brouce; Ceinture de Nevark; Coiffe de la Reine des Voleurs; Cape du Kamasterisk; Baleinabottes; Dofus des Glaces; Dofus Pourpre; Vigoureux majeur; Robuste majeur; Nomade; Remueur; Kramkram</t>
        </is>
      </c>
    </row>
    <row r="2420">
      <c r="A2420" t="inlineStr">
        <is>
          <t>Stuff 1</t>
        </is>
      </c>
      <c r="B2420">
        <f>HYPERLINK("https://www.dofusbook.net/fr/equipement/1994736-stuff-1/objets", "link")</f>
        <v/>
      </c>
      <c r="C2420" t="n">
        <v>9</v>
      </c>
      <c r="D2420" t="inlineStr">
        <is>
          <t>Arc Hétype; Amulette d'Otomaï; Anneau de Nidas; Anneau Pwal; Sangle Aise; Couronne de Nidas; Voile d'encre; Pantoufles Émar; Entraveur majeur; Remueur; Observateur; Érudit majeur; Temporiseur majeur; Nomade; Dragodinde Prune et Orchidée</t>
        </is>
      </c>
    </row>
    <row r="2421">
      <c r="A2421" t="inlineStr">
        <is>
          <t>Stuff 2</t>
        </is>
      </c>
      <c r="B2421">
        <f>HYPERLINK("https://www.dofusbook.net/fr/equipement/1994737-stuff-2/objets", "link")</f>
        <v/>
      </c>
      <c r="C2421" t="n">
        <v>3</v>
      </c>
      <c r="D2421" t="inlineStr">
        <is>
          <t>Dagues Érhy; Amulette du Strigide; Bracelet du Piloztère; Anneau de la Fuji Givrefoux; Ougature; Coiffe Ranshi; Cape de la Fuji Givrefoux; Bottes du Roi Joueur; Dofus Turquoise; Dofus Pourpre; Enragé majeur; Vigoureux majeur; Temporiseur majeur; Remueur; Kramkram</t>
        </is>
      </c>
    </row>
    <row r="2422">
      <c r="A2422" t="inlineStr">
        <is>
          <t>Stuff 3</t>
        </is>
      </c>
      <c r="B2422">
        <f>HYPERLINK("https://www.dofusbook.net/fr/equipement/1994732-stuff-3/objets", "link")</f>
        <v/>
      </c>
      <c r="C2422" t="n">
        <v>4</v>
      </c>
      <c r="D2422" t="inlineStr">
        <is>
          <t>Marteau Reine; Amulette du Strigide; Bague Gloursonne; Bracelet du Piloztère; Ceinture de la Reine des Voleurs; Coiffe de la Reine des Voleurs; Cape au Logis; Bottes des égarés; Dofus Ocre; Dofus Turquoise; Dofus des Glaces; Enragé majeur; Nomade; Remueur; Kramkram</t>
        </is>
      </c>
    </row>
    <row r="2423">
      <c r="A2423" t="inlineStr">
        <is>
          <t>Stuff 1</t>
        </is>
      </c>
      <c r="B2423">
        <f>HYPERLINK("https://www.dofusbook.net/fr/equipement/1994739-stuff-1/objets", "link")</f>
        <v/>
      </c>
      <c r="C2423" t="n">
        <v>1</v>
      </c>
      <c r="D2423" t="inlineStr">
        <is>
          <t>Dagues Érhy; Amulette du Strigide; Anneau de Brouce; Bague Gloursonne; Ceinture du Strigide; Coiffe Ranshi; Cape au Logis; Bottes du Katcheur; Obstructeur; Nomade; Tacleur majeur; Remueur; Vigoureux majeur; Obstructeur majeur; Blokus</t>
        </is>
      </c>
    </row>
    <row r="2424">
      <c r="A2424" t="inlineStr">
        <is>
          <t>Eniripsa F 200</t>
        </is>
      </c>
      <c r="B2424">
        <f>HYPERLINK("https://www.dofusbook.net/fr/equipement/4360800-eniripsa-f-200/objets", "link")</f>
        <v/>
      </c>
      <c r="C2424" t="n">
        <v>21</v>
      </c>
      <c r="D2424" t="inlineStr"/>
    </row>
    <row r="2425">
      <c r="A2425" t="inlineStr">
        <is>
          <t>Iop M 200</t>
        </is>
      </c>
      <c r="B2425">
        <f>HYPERLINK("https://www.dofusbook.net/fr/equipement/3291438-iop-m-200/objets", "link")</f>
        <v/>
      </c>
      <c r="C2425" t="n">
        <v>3</v>
      </c>
      <c r="D2425" t="inlineStr"/>
    </row>
    <row r="2426">
      <c r="A2426" t="inlineStr">
        <is>
          <t>Stuff 2</t>
        </is>
      </c>
      <c r="B2426">
        <f>HYPERLINK("https://www.dofusbook.net/fr/equipement/2141893-stuff-2/objets", "link")</f>
        <v/>
      </c>
      <c r="C2426" t="n">
        <v>4</v>
      </c>
      <c r="D2426" t="inlineStr">
        <is>
          <t>Bêche Asse; Amulette Héroclite; Bague Gloursonne; Anneau de Brouce; Ceinture de Brouce; Casque de Missiz Frizz; Cape au Logis; Bottes de Brouce; Dofus Ocre; Dofus Pourpre; Dolmanax; Forcené majeur; Kompost</t>
        </is>
      </c>
    </row>
    <row r="2427">
      <c r="A2427" t="inlineStr">
        <is>
          <t>Stuff 1</t>
        </is>
      </c>
      <c r="B2427">
        <f>HYPERLINK("https://www.dofusbook.net/fr/equipement/2141892-stuff-1/objets", "link")</f>
        <v/>
      </c>
      <c r="C2427" t="n">
        <v>7</v>
      </c>
      <c r="D2427" t="inlineStr">
        <is>
          <t>Bêche Asse; Amulette Héroclite; Alliance de Missiz Frizz; Bague Gloursonne; Ceinture de Brouce; Casque de Missiz Frizz; Cape au Logis; Sabots Minables; Dofus Pourpre; Remueur; Enragé majeur; Vigoureux majeur; Kompost</t>
        </is>
      </c>
    </row>
    <row r="2428">
      <c r="A2428" t="inlineStr">
        <is>
          <t>Stuff 3</t>
        </is>
      </c>
      <c r="B2428">
        <f>HYPERLINK("https://www.dofusbook.net/fr/equipement/2141894-stuff-3/objets", "link")</f>
        <v/>
      </c>
      <c r="C2428" t="n">
        <v>6</v>
      </c>
      <c r="D2428" t="inlineStr">
        <is>
          <t>Dagues Érhy; Amulette du Strigide; Bague Gloursonne; Anneau Chevelu; Ceinture du Strigide; Chapeau de Gein; Voile d'encre; Sabots Minables; Dofus Pourpre; Nomade; Carapace Feu majeur; Remueur; Évasif majeur; Vigoureux majeur; Croum</t>
        </is>
      </c>
    </row>
    <row r="2429">
      <c r="A2429" t="inlineStr">
        <is>
          <t>Stuff 1</t>
        </is>
      </c>
      <c r="B2429">
        <f>HYPERLINK("https://www.dofusbook.net/fr/equipement/2141892-stuff-1/objets", "link")</f>
        <v/>
      </c>
      <c r="C2429" t="n">
        <v>7</v>
      </c>
      <c r="D2429" t="inlineStr">
        <is>
          <t>Bêche Asse; Amulette Héroclite; Alliance de Missiz Frizz; Bague Gloursonne; Ceinture de Brouce; Casque de Missiz Frizz; Cape au Logis; Sabots Minables; Dofus Pourpre; Enragé majeur; Vigoureux majeur; Remueur; Kompost</t>
        </is>
      </c>
    </row>
    <row r="2430">
      <c r="A2430" t="inlineStr">
        <is>
          <t>Res 1.29</t>
        </is>
      </c>
      <c r="B2430">
        <f>HYPERLINK("https://www.dofusbook.net/fr/equipement/4897017-res-1-29/objets", "link")</f>
        <v/>
      </c>
      <c r="C2430" t="n">
        <v>3</v>
      </c>
      <c r="D2430" t="inlineStr">
        <is>
          <t>L'Épée Nice; Kralamansion; Anneau Chevelu; Kralano; Casque Dragoeuf; Voile d'encre; Sandales Circulaires du Kimbo; Dofus Émeraude; Dofus Ocre; Dofawa; Dofus Pourpre; Dofus Cawotte; Dofus Turquoise; Péki</t>
        </is>
      </c>
    </row>
    <row r="2431">
      <c r="A2431" t="inlineStr">
        <is>
          <t>Air 1.29</t>
        </is>
      </c>
      <c r="B2431">
        <f>HYPERLINK("https://www.dofusbook.net/fr/equipement/4887028-air-1-29/objets", "link")</f>
        <v/>
      </c>
      <c r="C2431" t="n">
        <v>1</v>
      </c>
      <c r="D2431" t="inlineStr">
        <is>
          <t>Couteaux à Champignons; Kralamansion; Kralano; Anneau Colerette; Ceinture Rasboulaire du Rasboul; Chapignon; Caprin; Bottes Harry; Dofawa; Dofus Ocre; Dofus Cawotte; Dofus Pourpre; Dofus Émeraude; Dofus Turquoise; Dragodinde en armure</t>
        </is>
      </c>
    </row>
    <row r="2432">
      <c r="A2432" t="inlineStr">
        <is>
          <t>Multi 1.29</t>
        </is>
      </c>
      <c r="B2432">
        <f>HYPERLINK("https://www.dofusbook.net/fr/equipement/3665712-multi-1-29/objets", "link")</f>
        <v/>
      </c>
      <c r="C2432" t="n">
        <v>6</v>
      </c>
      <c r="D2432" t="inlineStr">
        <is>
          <t>Az'tech; Kralamansion; Annolamour; Kralano; Ceinture Rasboulaire du Rasboul; Chapignon; Voile d'encre; Sandales Circulaires du Kimbo; Dofus Kaliptus; Dofus Turquoise; Dofus Émeraude; Dofus Ocre; Dofus Pourpre; Dofus Cawotte; Dragodinde Prune et Emeraude</t>
        </is>
      </c>
    </row>
    <row r="2433">
      <c r="A2433" t="inlineStr">
        <is>
          <t>Feu 200</t>
        </is>
      </c>
      <c r="B2433">
        <f>HYPERLINK("https://www.dofusbook.net/fr/equipement/4907325-feu-200/objets", "link")</f>
        <v/>
      </c>
      <c r="C2433" t="n">
        <v>2</v>
      </c>
      <c r="D2433" t="inlineStr">
        <is>
          <t>Rod Gerse; Kralamansion; Anneau Bliteré; Kralano; Ceinture Toré; Casque Harnage; Voile d'encre; Bottes Répané; Dofawa; Dofus Pourpre; Dofus Cawotte; Dofus Turquoise; Dofus Émeraude; Dofus Ocre; Bisouglours</t>
        </is>
      </c>
    </row>
    <row r="2434">
      <c r="A2434" t="inlineStr">
        <is>
          <t>Terre 1.29</t>
        </is>
      </c>
      <c r="B2434">
        <f>HYPERLINK("https://www.dofusbook.net/fr/equipement/4898718-terre-1-29/objets", "link")</f>
        <v/>
      </c>
      <c r="C2434" t="n">
        <v>6</v>
      </c>
      <c r="D2434" t="inlineStr">
        <is>
          <t>Az'tech; Kralamansion; Annolamour; Anneau Chevelu; Ceinture Mycosine; Le Kim; Voile d'encre; Chaussons Pignons; Dofawa; Dofus Pourpre; Dofus Cawotte; Dofus Turquoise; Dofus Émeraude; Dofus Ocre; Pioute vert</t>
        </is>
      </c>
    </row>
    <row r="2435">
      <c r="A2435" t="inlineStr">
        <is>
          <t>Iop M 200</t>
        </is>
      </c>
      <c r="B2435">
        <f>HYPERLINK("https://www.dofusbook.net/fr/equipement/3439384-iop-m-200/objets", "link")</f>
        <v/>
      </c>
      <c r="C2435" t="n">
        <v>8</v>
      </c>
      <c r="D2435" t="inlineStr">
        <is>
          <t>Arc du Chalœil; Collier de Tourthon; Anneau du Comte Harebourg; Anneau de Brouce; Quatre-feuilles; Ceinture de Brouce; Coiffe du Comte Harebourg; Cape au Logis; Bottes de Brouce; Dolmanax; Dofus Pourpre; Dofus Turquoise; Dofus Ocre; Forcené majeur; Furibond majeur; Dragodinde Ivoire et Pourpre</t>
        </is>
      </c>
    </row>
    <row r="2436">
      <c r="A2436" t="inlineStr">
        <is>
          <t>Cri-PvPM</t>
        </is>
      </c>
      <c r="B2436">
        <f>HYPERLINK("https://www.dofusbook.net/fr/equipement/2441548-cri-pvpm/objets", "link")</f>
        <v/>
      </c>
      <c r="C2436" t="n">
        <v>8</v>
      </c>
      <c r="D2436" t="inlineStr">
        <is>
          <t>Hache Téroïde; Amulette du Strigide; Bague Gloursonne; Bague Trithon; Bouclier Taverne; Ceinture du Strigide; Masque Trithon; Voile d'encre; Bottes Trithon; Dofus Pourpre; Dofus des Glaces; Dofus Turquoise; Dolmanax; Dofus Ocre; Dofus Abyssal; Muldo Ebène et Pourpre</t>
        </is>
      </c>
    </row>
    <row r="2437">
      <c r="A2437" t="inlineStr">
        <is>
          <t>Pvpm-eau-feu</t>
        </is>
      </c>
      <c r="B2437">
        <f>HYPERLINK("https://www.dofusbook.net/fr/equipement/2392767-pvpm-eau-feu/objets", "link")</f>
        <v/>
      </c>
      <c r="C2437" t="n">
        <v>9</v>
      </c>
      <c r="D2437" t="inlineStr">
        <is>
          <t>Arc Nécrotique; Amulette du Strigide; Bague Gloursonne; Alliance Gloursonne; Quatre-feuilles; Ceinture du Strigide; Kidibonnet; Cape de la Dame du Hasard; Bottes de la Dame du Hasard; Dofus Turquoise; Dofus Nébuleux; Dolmanax; Dofus Ocre; Dofus Pourpre; Dofus des Glaces; Muldo Indigo et Pourpre</t>
        </is>
      </c>
    </row>
    <row r="2438">
      <c r="A2438" t="inlineStr">
        <is>
          <t>Air-PvPM</t>
        </is>
      </c>
      <c r="B2438">
        <f>HYPERLINK("https://www.dofusbook.net/fr/equipement/2329632-air-pvpm/objets", "link")</f>
        <v/>
      </c>
      <c r="C2438" t="n">
        <v>5</v>
      </c>
      <c r="D2438" t="inlineStr">
        <is>
          <t>Manthache; Collier du Valet Veinard; Gant du Valet Veinard; Alliance Gloursonne; Bouclier d'Ilyzaelle; Menoture; Casque Dragoeuf; Cape Indescriptible; Palmes Trithons; Dofus Émeraude; Dofus Pourpre; Dofus Abyssal; Vigoureux majeur; Remueur; Cascadeur majeur; Muldo Ebène</t>
        </is>
      </c>
    </row>
    <row r="2439">
      <c r="A2439" t="inlineStr">
        <is>
          <t>Eau-feu-PvPM</t>
        </is>
      </c>
      <c r="B2439">
        <f>HYPERLINK("https://www.dofusbook.net/fr/equipement/2326670-eau-feu-pvpm/objets", "link")</f>
        <v/>
      </c>
      <c r="C2439" t="n">
        <v>12</v>
      </c>
      <c r="D2439" t="inlineStr">
        <is>
          <t>Arc Nécrotique; Collier de la Dame du Hasard; Alliance Gloursonne; Anneau de Nidas; Quatre-feuilles; Poulpagne; Casque Dragoeuf; Cape de la Dame du Hasard; Bottes de Meno; Dofus Pourpre; Dofus Abyssal; Dofus Turquoise; Dofus des Glaces; Dofus Ocre; Vagabond majeur; Muldo Indigo et Orchidée</t>
        </is>
      </c>
    </row>
    <row r="2440">
      <c r="A2440" t="inlineStr">
        <is>
          <t>Pvpm-eau-feu</t>
        </is>
      </c>
      <c r="B2440">
        <f>HYPERLINK("https://www.dofusbook.net/fr/equipement/2246566-pvpm-eau-feu/objets", "link")</f>
        <v/>
      </c>
      <c r="C2440" t="n">
        <v>6</v>
      </c>
      <c r="D2440" t="inlineStr">
        <is>
          <t>Arc Nécrotique; Amulette du Strigide; Alliance Gloursonne; Bague Gloursonne; Quatre-feuilles; Ceinture du Strigide; Kidibonnet; Cape de la Dame du Hasard; Bottes de la Dame du Hasard; Dolmanax; Dofus Ocre; Dofus Pourpre; Dofus des Glaces; Dofus Turquoise; Dofus Nébuleux; Muldo Indigo et Pourpre</t>
        </is>
      </c>
    </row>
    <row r="2441">
      <c r="A2441" t="inlineStr">
        <is>
          <t>Pvpm-dopou</t>
        </is>
      </c>
      <c r="B2441">
        <f>HYPERLINK("https://www.dofusbook.net/fr/equipement/2233721-pvpm-dopou/objets", "link")</f>
        <v/>
      </c>
      <c r="C2441" t="n">
        <v>5</v>
      </c>
      <c r="D2441" t="inlineStr">
        <is>
          <t>Héqache; Torquistik; Baguistik; Bague Trithon; Bouclier précieux; Ceinture Luminescente; Masque de Koutoulou; Cape Luminescente; Bottes Trithon; Dofus Pourpre; Dofus Abyssal; Dofus Ocre; Bousculeur majeur; Bousculeur; Pousseur majeur; Muldo Ebène et Pourpre</t>
        </is>
      </c>
    </row>
    <row r="2442">
      <c r="A2442" t="inlineStr">
        <is>
          <t>tournois</t>
        </is>
      </c>
      <c r="B2442">
        <f>HYPERLINK("https://www.dofusbook.net/fr/equipement/2194562-tournois/objets", "link")</f>
        <v/>
      </c>
      <c r="C2442" t="n">
        <v>5</v>
      </c>
      <c r="D2442" t="inlineStr">
        <is>
          <t>Marteau R'ture; Collier de Tourthon; Bague Gloursonne; Anneau Chevelu; Bouclier d'Ilyzaelle; Ceinture du Strigide; Masque de Koutoulou; Voile d'encre; Bottes du Strigide; Dofus Abyssal; Dofus Ocre; Dofus Pourpre; Dofus Turquoise; Vigoureux majeur; Enragé majeur; Muldo Pourpre</t>
        </is>
      </c>
    </row>
    <row r="2443">
      <c r="A2443" t="inlineStr">
        <is>
          <t>Pvpm-terre</t>
        </is>
      </c>
      <c r="B2443">
        <f>HYPERLINK("https://www.dofusbook.net/fr/equipement/2232142-pvpm-terre/objets", "link")</f>
        <v/>
      </c>
      <c r="C2443" t="n">
        <v>7</v>
      </c>
      <c r="D2443" t="inlineStr">
        <is>
          <t>Marteau R'ture; Amulette du Strigide; Anneau Chevelu; Bague Gloursonne; Bouclier d'Ilyzaelle; Ceinture du Strigide; Masque de Koutoulou; Voile d'encre; Bottes de la Cour Sombre; Dofus Ocre; Dofus Pourpre; Dofus Turquoise; Dofus Abyssal; Vigoureux majeur; Enragé majeur; Muldo Pourpre</t>
        </is>
      </c>
    </row>
    <row r="2444">
      <c r="A2444" t="inlineStr">
        <is>
          <t>Do-pou-pvpm</t>
        </is>
      </c>
      <c r="B2444">
        <f>HYPERLINK("https://www.dofusbook.net/fr/equipement/1991990-do-pou-pvpm/objets", "link")</f>
        <v/>
      </c>
      <c r="C2444" t="n">
        <v>9</v>
      </c>
      <c r="D2444" t="inlineStr">
        <is>
          <t>Héqache; Amulette Luminescente; Alliance Gloursonne; Bague Trithon; Bouclier précieux; Sangle Ouare; Masque d'Anerice; Cape d'Anerice; Pataugastrique; Dolmanax; Dofus Émeraude; Miraculé majeur; Culbuteur majeur; Bousculeur majeur; Remueur; Péki</t>
        </is>
      </c>
    </row>
    <row r="2445">
      <c r="A2445" t="inlineStr">
        <is>
          <t>Feu-pvpm</t>
        </is>
      </c>
      <c r="B2445">
        <f>HYPERLINK("https://www.dofusbook.net/fr/equipement/1979583-feu-pvpm/objets", "link")</f>
        <v/>
      </c>
      <c r="C2445" t="n">
        <v>5</v>
      </c>
      <c r="D2445" t="inlineStr">
        <is>
          <t>Baguette de Malléfisk; Amulette Ementaire Deluxe; Anneau de Nidas; Bague Gloursonne; Bouclier d'Anerice; Ceinture du Comte Razof; Masque d'Anerice; Cape de Diondin; Bottes Innommables; Dofus Abyssal; Dolmanax; Dofus Ivoire; Déserteur majeur; Remueur; Érudit majeur; Muldo Orchidée et Pourpre</t>
        </is>
      </c>
    </row>
    <row r="2446">
      <c r="A2446" t="inlineStr">
        <is>
          <t>Tank-ret-pvpm</t>
        </is>
      </c>
      <c r="B2446">
        <f>HYPERLINK("https://www.dofusbook.net/fr/equipement/1968556-tank-ret-pvpm/objets", "link")</f>
        <v/>
      </c>
      <c r="C2446" t="n">
        <v>5</v>
      </c>
      <c r="D2446" t="inlineStr">
        <is>
          <t>Dagoulinantes; Collier du Valet Veinard; Anneau Crustique; Alliance Gloursonne; Sept ans de malheur; Menoture; Masque d'Anerice; Cape d'Anerice; Sandales de Tal Kasha; Dofus Abyssal; Dofus Ivoire; Déserteur majeur; Étourdisseur majeur; Engourdisseur majeur; Remueur; Muldo Ebène</t>
        </is>
      </c>
    </row>
    <row r="2447">
      <c r="A2447" t="inlineStr">
        <is>
          <t>Tank-ret-pvpm</t>
        </is>
      </c>
      <c r="B2447">
        <f>HYPERLINK("https://www.dofusbook.net/fr/equipement/1967867-tank-ret-pvpm/objets", "link")</f>
        <v/>
      </c>
      <c r="C2447" t="n">
        <v>9</v>
      </c>
      <c r="D2447" t="inlineStr">
        <is>
          <t>Dagoulinantes; Collier du Valet Veinard; Alliance Gloursonne; Anneau Crustique; Sept ans de malheur; Menoture; Masque d'Anerice; Cape d'Anerice; Sandales de Tal Kasha; Dofus Abyssal; Dofus Ivoire; Engourdisseur majeur; Remueur; Déserteur majeur; Étourdisseur majeur; Muldo Ebène</t>
        </is>
      </c>
    </row>
    <row r="2448">
      <c r="A2448" t="inlineStr">
        <is>
          <t>Do-cri-pvpm</t>
        </is>
      </c>
      <c r="B2448">
        <f>HYPERLINK("https://www.dofusbook.net/fr/equipement/241445-do-cri-pvpm/objets", "link")</f>
        <v/>
      </c>
      <c r="C2448" t="n">
        <v>20</v>
      </c>
      <c r="D2448" t="inlineStr">
        <is>
          <t>Sabres d'Atcham; Amulette du Strigide; Alliance Gloursonne; Anneau de Padgref; Quatre-feuilles; Ceinture du Strigide; Coiffe de Padgref; Cape d'Atcham; Sandales  d'Atcham; Dofus Nébuleux; Dofus Pourpre; Dofus des Glaces; Dofus Vulbis; Dofus Turquoise; Dofus Ocre; Dragodinde en armure</t>
        </is>
      </c>
    </row>
    <row r="2449">
      <c r="A2449" t="inlineStr">
        <is>
          <t>Eau-pvpm</t>
        </is>
      </c>
      <c r="B2449">
        <f>HYPERLINK("https://www.dofusbook.net/fr/equipement/241425-eau-pvpm/objets", "link")</f>
        <v/>
      </c>
      <c r="C2449" t="n">
        <v>4</v>
      </c>
      <c r="D2449" t="inlineStr">
        <is>
          <t>Sceptre du Roi Joueur; Amulette de Shokkoth; Alliance Gloursonne; Bracelet des Fonds marins; Bouclier du Stalak; Poulpagne; Capuche de l'Œil Attentif; Cape de l'Œil Attentif; Bottes du Sinistrofu; Dofus Abyssal; Dofus des Glaces; Dofus Pourpre; Dévastateur Eau majeur; Remueur; Chanceux majeur; Muldo Indigo</t>
        </is>
      </c>
    </row>
    <row r="2450">
      <c r="A2450" t="inlineStr">
        <is>
          <t>Eau-air-pvpm</t>
        </is>
      </c>
      <c r="B2450">
        <f>HYPERLINK("https://www.dofusbook.net/fr/equipement/1926261-eau-air-pvpm/objets", "link")</f>
        <v/>
      </c>
      <c r="C2450" t="n">
        <v>3</v>
      </c>
      <c r="D2450" t="inlineStr">
        <is>
          <t>Arc de Koutoulou; Collier du Valet Veinard; Alliance Gloursonne; Gant du Valet Veinard; Bouclier du Stalak; Ceinture de la Reine des Voleurs; Coiffe de la Reine des Voleurs; Cape du Valet Veinard; Bottes de la Reine des Voleurs; Dofus Abyssal; Dofus des Glaces; Dofus Ivoire; Dofus Pourpre; Dofus Ocre; Robuste majeur; Muldo Ebène</t>
        </is>
      </c>
    </row>
    <row r="2451">
      <c r="A2451" t="inlineStr">
        <is>
          <t>Air-pvpm</t>
        </is>
      </c>
      <c r="B2451">
        <f>HYPERLINK("https://www.dofusbook.net/fr/equipement/241426-air-pvpm/objets", "link")</f>
        <v/>
      </c>
      <c r="C2451" t="n">
        <v>1</v>
      </c>
      <c r="D2451" t="inlineStr">
        <is>
          <t>Manthache; Collier du Valet Veinard; Gant du Valet Veinard; Alliance Gloursonne; Bouclier du Stalak; Ceinture de l'Esprit Salvateur; Masque de l'Esprit Salvateur; Cape du Valet Veinard; Bottes de l'Esprit Salvateur; Dofus Abyssal; Dofus Ocre; Dofus des Glaces; Dofus Pourpre; Dolmanax; Robuste majeur; Muldo Ebène</t>
        </is>
      </c>
    </row>
    <row r="2452">
      <c r="A2452" t="inlineStr">
        <is>
          <t>Stuff 1</t>
        </is>
      </c>
      <c r="B2452">
        <f>HYPERLINK("https://www.dofusbook.net/fr/equipement/241422-stuff-1/objets", "link")</f>
        <v/>
      </c>
      <c r="C2452" t="n">
        <v>4</v>
      </c>
      <c r="D2452" t="inlineStr">
        <is>
          <t>Dagues Érhy; Amulette du Strigide; Bague Gloursonne; Anneau Chevelu; Ceinture du Strigide; Chapeau de Gein; Cape du Professeur Xa; Bottes de la Cour Sombre; Dofus Ocre; Dofus Pourpre; Dofus Turquoise; Remueur; Enragé majeur; Vigoureux majeur; Kramkram</t>
        </is>
      </c>
    </row>
    <row r="2453">
      <c r="A2453" t="inlineStr">
        <is>
          <t>Stuff 1</t>
        </is>
      </c>
      <c r="B2453">
        <f>HYPERLINK("https://www.dofusbook.net/fr/equipement/241444-stuff-1/objets", "link")</f>
        <v/>
      </c>
      <c r="C2453" t="n">
        <v>11</v>
      </c>
      <c r="D2453" t="inlineStr">
        <is>
          <t>Hache du Chalœil; Amulette du Strigide; Anneau Chevelu; Alliance Gloursonne; Bouclier du Stalak; Ceinture du Strigide; Chapeau de Gein; Voile d'encre; Pataugastrique; Dofus Pourpre; Dofus des Glaces; Dofus Turquoise; Carapace Eau majeur; Nomade; Remueur; Dragodinde en armure</t>
        </is>
      </c>
    </row>
    <row r="2454">
      <c r="A2454" t="inlineStr">
        <is>
          <t>Stuff 3</t>
        </is>
      </c>
      <c r="B2454">
        <f>HYPERLINK("https://www.dofusbook.net/fr/equipement/241424-stuff-3/objets", "link")</f>
        <v/>
      </c>
      <c r="C2454" t="n">
        <v>6</v>
      </c>
      <c r="D2454" t="inlineStr">
        <is>
          <t>Dagues Érhy; Amulette du Strigide; Bague Gloursonne; Anneau Chevelu; Ceinture du Strigide; Masque de Koutoulou; Voile d'encre; Bottes de la Cour Sombre; Dofus Turquoise; Dofus Pourpre; Vigoureux majeur; Enragé majeur; Nomade; Remueur; Kramkram</t>
        </is>
      </c>
    </row>
    <row r="2455">
      <c r="A2455" t="inlineStr">
        <is>
          <t>Stuff 2</t>
        </is>
      </c>
      <c r="B2455">
        <f>HYPERLINK("https://www.dofusbook.net/fr/equipement/241435-stuff-2/objets", "link")</f>
        <v/>
      </c>
      <c r="C2455" t="n">
        <v>1</v>
      </c>
      <c r="D2455" t="inlineStr">
        <is>
          <t>Manthache; Collier du Valet Veinard; Gant du Valet Veinard; Alliance Gloursonne; Menoture; Casque Dragoeuf; Cape Indescriptible; Palmes Trithons; Dofus Pourpre; Dolmanax; Dofus Émeraude; Nomade; Remueur; Cascadeur majeur; Kramkram</t>
        </is>
      </c>
    </row>
    <row r="2456">
      <c r="A2456" t="inlineStr">
        <is>
          <t>Stuff 2</t>
        </is>
      </c>
      <c r="B2456">
        <f>HYPERLINK("https://www.dofusbook.net/fr/equipement/241423-stuff-2/objets", "link")</f>
        <v/>
      </c>
      <c r="C2456" t="n">
        <v>5</v>
      </c>
      <c r="D2456" t="inlineStr">
        <is>
          <t>Dagues Érhy; Amulette du Strigide; Bague Trithon; Anneau Chevelu; Ceinture du Strigide; Masque Trithon; Voile d'encre; Bottes Trithon; Dofus Ocre; Dolmanax; Dofus des Glaces; Dofus Vulbis; Dofus Turquoise; Dofus Pourpre; Kramkram</t>
        </is>
      </c>
    </row>
    <row r="2457">
      <c r="A2457" t="inlineStr">
        <is>
          <t>Stuff 1</t>
        </is>
      </c>
      <c r="B2457">
        <f>HYPERLINK("https://www.dofusbook.net/fr/equipement/241434-stuff-1/objets", "link")</f>
        <v/>
      </c>
      <c r="C2457" t="n">
        <v>2</v>
      </c>
      <c r="D2457" t="inlineStr">
        <is>
          <t>Dagues Érhy; Amulette du Strigide; Anneau Chevelu; Bague Gloursonne; Ceinture du Strigide; Masque de Koutoulou; Voile d'encre; Bottes de la Cour Sombre; Dofus Émeraude; Dofus Pourpre; Dolmanax; Dofus Turquoise; Nomade; Remueur; Dragodinde en armure</t>
        </is>
      </c>
    </row>
    <row r="2458">
      <c r="A2458" t="inlineStr">
        <is>
          <t>Ouginak M 200</t>
        </is>
      </c>
      <c r="B2458">
        <f>HYPERLINK("https://www.dofusbook.net/fr/equipement/5729532-ouginak-m-200/objets", "link")</f>
        <v/>
      </c>
      <c r="C2458" t="n">
        <v>2</v>
      </c>
      <c r="D2458" t="inlineStr">
        <is>
          <t>Manthache; Collier du Valet Veinard; Alliance Gloursonne; Gant du Valet Veinard; Bouclier d'Ilyzaelle; Menoture; Casque Dragoeuf; Cape Indescriptible; Palmes Trithons; Dofus Pourpre; Dofus Abyssal; Dofus Émeraude; Nomade; Remueur; Cascadeur majeur; Blérodoudou</t>
        </is>
      </c>
    </row>
    <row r="2459">
      <c r="A2459" t="inlineStr">
        <is>
          <t>Féca M 200</t>
        </is>
      </c>
      <c r="B2459">
        <f>HYPERLINK("https://www.dofusbook.net/fr/equipement/5729508-feca-m-200/objets", "link")</f>
        <v/>
      </c>
      <c r="C2459" t="n">
        <v>2</v>
      </c>
      <c r="D2459" t="inlineStr">
        <is>
          <t>Couteaux Sacrificiels; Talisman Igans; Anneau Tique; Alliance Gloursonne; Cadran d'Eau; Ceintrigue; Capuche de l'Œil Putride; Voilamibe; Pataugastrique; Dolmanax; Dofus Pourpre; Dofus Ébène; Robuste majeur; Vigoureux majeur; Remueur; Walk</t>
        </is>
      </c>
    </row>
    <row r="2460">
      <c r="A2460" t="inlineStr">
        <is>
          <t>Pandawa F 200</t>
        </is>
      </c>
      <c r="B2460">
        <f>HYPERLINK("https://www.dofusbook.net/fr/equipement/5684409-pandawa-f-200/objets", "link")</f>
        <v/>
      </c>
      <c r="C2460" t="n">
        <v>4</v>
      </c>
      <c r="D2460" t="inlineStr">
        <is>
          <t>Arc corrompu; Amulette Martegel; Anneauræus; Anneauræus; Bouclier du Stalak; Croture; Heaume Oplate; Cape Martegel; Pataugastrique; Dofus Ébène; Dofus Vulbis; Dofus Abyssal; Dofus Pourpre; Dofus Ivoire; Érudit majeur; Bwak de Feu</t>
        </is>
      </c>
    </row>
    <row r="2461">
      <c r="A2461" t="inlineStr">
        <is>
          <t>Enutrof F 200</t>
        </is>
      </c>
      <c r="B2461">
        <f>HYPERLINK("https://www.dofusbook.net/fr/equipement/5591769-enutrof-f-200/objets", "link")</f>
        <v/>
      </c>
      <c r="C2461" t="n">
        <v>4</v>
      </c>
      <c r="D2461" t="inlineStr">
        <is>
          <t>Baguette Hique; Collier de la Dame du Hasard; Alliance Gloursonne; Pikano; Bouclier cubiste; Poulpagne; Masque du Glourséleste; Cape de la Dame du Hasard; Pataugastrique; Fonceur majeur; Temporiseur majeur; Chanceux majeur; Entraveur majeur; Temporiseur; Nomade; Blokus</t>
        </is>
      </c>
    </row>
    <row r="2462">
      <c r="A2462" t="inlineStr">
        <is>
          <t>Crâ M 200</t>
        </is>
      </c>
      <c r="B2462">
        <f>HYPERLINK("https://www.dofusbook.net/fr/equipement/5591493-cra-m-200/objets", "link")</f>
        <v/>
      </c>
      <c r="C2462" t="n">
        <v>7</v>
      </c>
      <c r="D2462" t="inlineStr">
        <is>
          <t>Epée Gloursonne; Amulette du Strigide; Bague Gloursonne; Alliance Gloursonne; Quatre-feuilles; Ceinture du Strigide; Masque Vaudou Tam; Cape Reski; Bottes du Strigide; Dolmanax; Dofus Ébène; Dofus Pourpre; Dofus des Glaces; Dofus Turquoise; Voyageur; Fëanor</t>
        </is>
      </c>
    </row>
    <row r="2463">
      <c r="A2463" t="inlineStr">
        <is>
          <t>Pandawa F 200</t>
        </is>
      </c>
      <c r="B2463">
        <f>HYPERLINK("https://www.dofusbook.net/fr/equipement/5515677-pandawa-f-200/objets", "link")</f>
        <v/>
      </c>
      <c r="C2463" t="n">
        <v>15</v>
      </c>
      <c r="D2463" t="inlineStr">
        <is>
          <t>Baguette de Torkélonia; Amulette du Cœur Saignant; Anneau Volkorne; Pikano; Quatre-feuilles; Ceinture Volkorne; Corne de Torkélonia; Cape du Cœur Saignant; Bottes du Cœur Saignant; Dofus Turquoise; Dofus Ivoire; Dofus Vulbis; Dofus Ébène; Dofus Ocre; Dofus Abyssal; Dragodinde Ivoire et Pourpre</t>
        </is>
      </c>
    </row>
    <row r="2464">
      <c r="A2464" t="inlineStr">
        <is>
          <t>Ecaflip M 200</t>
        </is>
      </c>
      <c r="B2464">
        <f>HYPERLINK("https://www.dofusbook.net/fr/equipement/5340031-ecaflip-m-200/objets", "link")</f>
        <v/>
      </c>
      <c r="C2464" t="n">
        <v>5</v>
      </c>
      <c r="D2464" t="inlineStr">
        <is>
          <t>Sceptre du Roi Joueur; Amulette de Shokkoth; Alliance Gloursonne; Bracelet des Fonds marins; Bouclier du Stalak; Poulpagne; Capuche de l'Œil Attentif; Cape de l'Œil Attentif; Bottes du Sinistrofu; Dofus Abyssal; Dofus Pourpre; Dofus Ocre; Chanceux majeur; Nomade; Dragodinde Indigo et Ivoire</t>
        </is>
      </c>
    </row>
    <row r="2465">
      <c r="A2465" t="inlineStr">
        <is>
          <t>Zobal F 200</t>
        </is>
      </c>
      <c r="B2465">
        <f>HYPERLINK("https://www.dofusbook.net/fr/equipement/5334328-zobal-f-200/objets", "link")</f>
        <v/>
      </c>
      <c r="C2465" t="n">
        <v>16</v>
      </c>
      <c r="D2465" t="inlineStr">
        <is>
          <t>Marteau R'ture; Amulette Volkorne; Bague Gloursonne; Anneau Chevelu; Cadran d'Eau; Ceinture Volkorne; Masque de Koutoulou; Cape au Logis; Bottes de la Cour Sombre; Dofus Ocre; Dofus Pourpre; Dofus Abyssal; Dofus Turquoise; Enragé majeur; Vigoureux majeur; Dragodinde Ivoire et Pourpre</t>
        </is>
      </c>
    </row>
    <row r="2466">
      <c r="A2466" t="inlineStr">
        <is>
          <t>Ecaflip M 200</t>
        </is>
      </c>
      <c r="B2466">
        <f>HYPERLINK("https://www.dofusbook.net/fr/equipement/5310378-ecaflip-m-200/objets", "link")</f>
        <v/>
      </c>
      <c r="C2466" t="n">
        <v>8</v>
      </c>
      <c r="D2466" t="inlineStr">
        <is>
          <t>Hache du Chalœil; Amulette Volkorne; Anneau Volkorne; Bague Trithon; Bouclier du Stalak; Ceinture Volkorne; Masque Trithon; Cape de la Dame du Hasard; Bottes Trithon; Dofus Pourpre; Dofus Abyssal; Dolmanax; Dofus Turquoise; Dofus Ocre; Dofus des Glaces; Sakochère</t>
        </is>
      </c>
    </row>
    <row r="2467">
      <c r="A2467" t="inlineStr">
        <is>
          <t>Ecaflip M 200</t>
        </is>
      </c>
      <c r="B2467">
        <f>HYPERLINK("https://www.dofusbook.net/fr/equipement/5296007-ecaflip-m-200/objets", "link")</f>
        <v/>
      </c>
      <c r="C2467" t="n">
        <v>6</v>
      </c>
      <c r="D2467" t="inlineStr">
        <is>
          <t>Arc du Chalœil; Amulette de Gein; Anneau Volkorne; Anneau Chevelu; Bouclier du Stalak; Ceinture Volkorne; Masque de Koutoulou; Cape au Logis; Baleinabottes; Dofus Abyssal; Dolmanax; Dofus Pourpre; Dofus Turquoise; Enragé majeur; Vigoureux majeur; Dragodinde Amande et Pourpre</t>
        </is>
      </c>
    </row>
    <row r="2468">
      <c r="A2468" t="inlineStr">
        <is>
          <t>Ecaflip M 200</t>
        </is>
      </c>
      <c r="B2468">
        <f>HYPERLINK("https://www.dofusbook.net/fr/equipement/5296044-ecaflip-m-200/objets", "link")</f>
        <v/>
      </c>
      <c r="C2468" t="n">
        <v>11</v>
      </c>
      <c r="D2468" t="inlineStr">
        <is>
          <t>Lav'Hache; Torquistik; Anneau Chevelu; Bague Trithon; Bouclier d'Ilyzaelle; Ceinture Gence; Masque de Koutoulou; Cape au Logis; Bottes Trithon; Dofus Pourpre; Dofus Abyssal; Culbuteur majeur; Bousculeur majeur; Pousseur majeur; Enragé majeur; Black Tiwabbit</t>
        </is>
      </c>
    </row>
    <row r="2469">
      <c r="A2469" t="inlineStr">
        <is>
          <t>Ecaflip M 200</t>
        </is>
      </c>
      <c r="B2469">
        <f>HYPERLINK("https://www.dofusbook.net/fr/equipement/5287171-ecaflip-m-200/objets", "link")</f>
        <v/>
      </c>
      <c r="C2469" t="n">
        <v>11</v>
      </c>
      <c r="D2469" t="inlineStr">
        <is>
          <t>Manthache; Collier du Valet Veinard; Gant du Valet Veinard; Alliance Gloursonne; Bouclier du Stalak; Menoture; Casque Dragoeuf; Cape Indescriptible; Baleinabottes; Dofus Abyssal; Dofus Pourpre; Cascadeur majeur; Vigoureux majeur; Nomade; Miraculé majeur; Dragodinde Amande et Ebène</t>
        </is>
      </c>
    </row>
    <row r="2470">
      <c r="A2470" t="inlineStr">
        <is>
          <t>Ecaflip M 200</t>
        </is>
      </c>
      <c r="B2470">
        <f>HYPERLINK("https://www.dofusbook.net/fr/equipement/5287575-ecaflip-m-200/objets", "link")</f>
        <v/>
      </c>
      <c r="C2470" t="n">
        <v>1</v>
      </c>
      <c r="D2470" t="inlineStr"/>
    </row>
    <row r="2471">
      <c r="A2471" t="inlineStr">
        <is>
          <t>Iop M 200</t>
        </is>
      </c>
      <c r="B2471">
        <f>HYPERLINK("https://www.dofusbook.net/fr/equipement/5198830-iop-m-200/objets", "link")</f>
        <v/>
      </c>
      <c r="C2471" t="n">
        <v>10</v>
      </c>
      <c r="D2471" t="inlineStr">
        <is>
          <t>Arc du Chalœil; Amulette du Cœur Saignant; Anneau Volkorne; Chevalière du Roi Joueur; Bouclier du Stalak; Ceinture Volkorne; Couronne du Roi Joueur; Cape du Cœur Saignant; Bottes du Cœur Saignant; Dofus Ocre; Dofus Abyssal; Dofus Vulbis; Dofus Ivoire; Dofus Turquoise; Dofus Ébène; Volkorne Pourpre</t>
        </is>
      </c>
    </row>
    <row r="2472">
      <c r="A2472" t="inlineStr">
        <is>
          <t>Zobal F 200</t>
        </is>
      </c>
      <c r="B2472">
        <f>HYPERLINK("https://www.dofusbook.net/fr/equipement/5136999-zobal-f-200/objets", "link")</f>
        <v/>
      </c>
      <c r="C2472" t="n">
        <v>3</v>
      </c>
      <c r="D2472" t="inlineStr">
        <is>
          <t>Rapière aux Glyphes; Amulette du Sinistrofu; Alliance Gloursonne; Bague Trithon; Bouclier Taverne; Sangle Ouare; Kidibonnet; Cape Solution; Bottes Trithon; Dofus Abyssal; Pousseur majeur; Chanceux majeur; Culbuteur majeur; Culbuteur; Bousculeur majeur; Écumouth</t>
        </is>
      </c>
    </row>
    <row r="2473">
      <c r="A2473" t="inlineStr">
        <is>
          <t>Zobal F 200</t>
        </is>
      </c>
      <c r="B2473">
        <f>HYPERLINK("https://www.dofusbook.net/fr/equipement/5136977-zobal-f-200/objets", "link")</f>
        <v/>
      </c>
      <c r="C2473" t="n">
        <v>10</v>
      </c>
      <c r="D2473" t="inlineStr">
        <is>
          <t>Arc du Chalœil; Torquistik; Bague Trithon; Bague Instable; Bouclier précieux; Ceinture Gence; Casque Dragoeuf; Cape Solution; Bottistik; Dofus Abyssal; Pousseur majeur; Bousculeur; Culbuteur majeur; Culbuteur; Bousculeur majeur; Balafreux</t>
        </is>
      </c>
    </row>
    <row r="2474">
      <c r="A2474" t="inlineStr">
        <is>
          <t>Pandawa F 200</t>
        </is>
      </c>
      <c r="B2474">
        <f>HYPERLINK("https://www.dofusbook.net/fr/equipement/5048506-pandawa-f-200/objets", "link")</f>
        <v/>
      </c>
      <c r="C2474" t="n">
        <v>7</v>
      </c>
      <c r="D2474" t="inlineStr">
        <is>
          <t>Arc du Chalœil; Collier de Tourthon; Bague Gloursonne; Anneau Volkorne; Droiture de Fallanster; Ceinture Volkorne; Masque de Koutoulou; Bravoure de Rykke Errel; Bottes du Cœur Saignant; Dofus Ocre; Dofus Abyssal; Dofus Ivoire; Dofus Ébène; Enragé majeur; Nomade</t>
        </is>
      </c>
    </row>
    <row r="2475">
      <c r="A2475" t="inlineStr">
        <is>
          <t>Pandawa F 200</t>
        </is>
      </c>
      <c r="B2475">
        <f>HYPERLINK("https://www.dofusbook.net/fr/equipement/5041084-pandawa-f-200/objets", "link")</f>
        <v/>
      </c>
      <c r="C2475" t="n">
        <v>6</v>
      </c>
      <c r="D2475" t="inlineStr">
        <is>
          <t>Plume de Buhorado; Collier du Valet Veinard; Gant du Valet Veinard; Alliance Gloursonne; Bouclier du Stalak; Menoture; Couronne d'Allister; Cape Indescriptible; Palmes Trithons; Dofus Ivoire; Dokoko; Dofus Ébène; Dofus Ocre; Dofus Abyssal; Cascadeur majeur; Blérodoudou</t>
        </is>
      </c>
    </row>
    <row r="2476">
      <c r="A2476" t="inlineStr">
        <is>
          <t>Pandawa F 200</t>
        </is>
      </c>
      <c r="B2476">
        <f>HYPERLINK("https://www.dofusbook.net/fr/equipement/4986484-pandawa-f-200/objets", "link")</f>
        <v/>
      </c>
      <c r="C2476" t="n">
        <v>8</v>
      </c>
      <c r="D2476" t="inlineStr">
        <is>
          <t>Marteau R'ture; Amulette du Cœur Saignant; Anneau Crustique; Anneau Crustique; Cadran d'Eau; Ceinture de la Cour Sombre; Masque de Koutoulou; Cape au Logis; Bottes de la Cour Sombre; Dofus Turquoise; Dofus Émeraude; Dofus Ocre; Dofus Ébène; Dofus Pourpre; Dofus Ivoire</t>
        </is>
      </c>
    </row>
    <row r="2477">
      <c r="A2477" t="inlineStr">
        <is>
          <t>Pandawa F 200</t>
        </is>
      </c>
      <c r="B2477">
        <f>HYPERLINK("https://www.dofusbook.net/fr/equipement/5024375-pandawa-f-200/objets", "link")</f>
        <v/>
      </c>
      <c r="C2477" t="n">
        <v>6</v>
      </c>
      <c r="D2477" t="inlineStr">
        <is>
          <t>Épée Brûlâme; Amulette Volkorne; Alliance Gloursonne; Anneau Volkorne; Cadran d'Eau; Sangle Ouare; Kidibonnet; Cape de la Dame du Hasard; Pataugastrique; Dofus des Glaces; Dofus Ébène; Dofus Abyssal; Dofus Turquoise; Dofus Émeraude; Dofus Ivoire; Kokulte</t>
        </is>
      </c>
    </row>
    <row r="2478">
      <c r="A2478" t="inlineStr">
        <is>
          <t>Pandawa F 200</t>
        </is>
      </c>
      <c r="B2478">
        <f>HYPERLINK("https://www.dofusbook.net/fr/equipement/5024332-pandawa-f-200/objets", "link")</f>
        <v/>
      </c>
      <c r="C2478" t="n">
        <v>8</v>
      </c>
      <c r="D2478" t="inlineStr">
        <is>
          <t>Lav'Hache; Amulette Volkorne; Anneau Crustique; Anneau Crustique; Bouclier d'Ilyzaelle; Ceinture Volkorne; Masque de Koutoulou; Bravoure de Rykke Errel; Baleinabottes; Dofus Ébène; Dofus Abyssal; Dofus Ivoire; Dofus Émeraude; Obstructeur majeur; Enragé majeur; Muldo Pourpre</t>
        </is>
      </c>
    </row>
    <row r="2479">
      <c r="A2479" t="inlineStr">
        <is>
          <t>Pandawa F 200</t>
        </is>
      </c>
      <c r="B2479">
        <f>HYPERLINK("https://www.dofusbook.net/fr/equipement/5014374-pandawa-f-200/objets", "link")</f>
        <v/>
      </c>
      <c r="C2479" t="n">
        <v>7</v>
      </c>
      <c r="D2479" t="inlineStr">
        <is>
          <t>Hache du Korriandre; Amulette Volkorne; Anneau Volkorne; Alliance Gloursonne; Cadran d'Eau; Ceinture Volkorne; Némès de Tal Kasha; Chevelure de Tal Kasha; Sandales de Tal Kasha; Dofus Pourpre; Dofus Ivoire; Dofus Ocre; Dofus Ébène; Dofus Turquoise; Dofus Abyssal; Sakochère</t>
        </is>
      </c>
    </row>
    <row r="2480">
      <c r="A2480" t="inlineStr">
        <is>
          <t>Pandawa F 200</t>
        </is>
      </c>
      <c r="B2480">
        <f>HYPERLINK("https://www.dofusbook.net/fr/equipement/5013822-pandawa-f-200/objets", "link")</f>
        <v/>
      </c>
      <c r="C2480" t="n">
        <v>7</v>
      </c>
      <c r="D2480" t="inlineStr">
        <is>
          <t>Arc corrompu; Amulette Volkorne; Anneau Tique; Anneauræus; Bouclier du Stalak; Ceinture Volkorne; Heaume Oplate; Bravoure de Rykke Errel; Bottes du Roi Joueur; Dofus Ébène; Dofus Ivoire; Dofus Abyssal; Dofus Argenté; Nomade; Évasif majeur; Chienchien Tigré</t>
        </is>
      </c>
    </row>
    <row r="2481">
      <c r="A2481" t="inlineStr">
        <is>
          <t>Pandawa F 200</t>
        </is>
      </c>
      <c r="B2481">
        <f>HYPERLINK("https://www.dofusbook.net/fr/equipement/4996234-pandawa-f-200/objets", "link")</f>
        <v/>
      </c>
      <c r="C2481" t="n">
        <v>11</v>
      </c>
      <c r="D2481" t="inlineStr">
        <is>
          <t>Lav'Hache; Amulette Volkorne; Anneau Chevelu; Anneau Crustique; Bouclier d'Ilyzaelle; Ceinture Volkorne; Masque de Koutoulou; Cape au Logis; Baleinabottes; Dofus Émeraude; Dofus Argenté; Dofus Ivoire; Dofus Pourpre; Dofus Abyssal; Enragé majeur; Bwak de Terre</t>
        </is>
      </c>
    </row>
    <row r="2482">
      <c r="A2482" t="inlineStr">
        <is>
          <t>Pandawa M 200</t>
        </is>
      </c>
      <c r="B2482">
        <f>HYPERLINK("https://www.dofusbook.net/fr/equipement/4954418-pandawa-m-200/objets", "link")</f>
        <v/>
      </c>
      <c r="C2482" t="n">
        <v>3</v>
      </c>
      <c r="D2482" t="inlineStr">
        <is>
          <t>Arc corrompu; Amulette Volkorne; Anneauræus; Anneauræus; Bouclier du Stalak; Ceinture Volkorne; Heaume Oplate; Cape de Diondin; Bottes Innommables; Dofus Ébène; Dofus Abyssal; Dofus Ivoire; Dofus Argenté; Érudit majeur; Nomade; Dragodinde Amande et Orchidée</t>
        </is>
      </c>
    </row>
    <row r="2483">
      <c r="A2483" t="inlineStr">
        <is>
          <t>Pandawa F 200</t>
        </is>
      </c>
      <c r="B2483">
        <f>HYPERLINK("https://www.dofusbook.net/fr/equipement/4930354-pandawa-f-200/objets", "link")</f>
        <v/>
      </c>
      <c r="C2483" t="n">
        <v>4</v>
      </c>
      <c r="D2483" t="inlineStr">
        <is>
          <t>Rouleau à Pâtisserie d'Aermyne; Kralamansion; Alliance Gloursonne; Anneau Raille; Droiture de Fallanster; Sangle Huée; Chapeau Lithique; Cape Wéra; Getas Bernacle; Kougnard</t>
        </is>
      </c>
    </row>
    <row r="2484">
      <c r="A2484" t="inlineStr">
        <is>
          <t>Pandawa F 200</t>
        </is>
      </c>
      <c r="B2484">
        <f>HYPERLINK("https://www.dofusbook.net/fr/equipement/4827247-pandawa-f-200/objets", "link")</f>
        <v/>
      </c>
      <c r="C2484" t="n">
        <v>13</v>
      </c>
      <c r="D2484" t="inlineStr">
        <is>
          <t>Arc corrompu; Amulette Martegel; Anneauræus; Anneauræus; Bouclier du Stalak; Ceinture de Vortex; Heaume Oplate; Cape Martegel; Chaussures Ardentes; Dofus Ivoire; Dofus Ébène; Dofus Abyssal; Nomade; Érudit majeur; Remueur; Dragodinde Amande et Orchidée</t>
        </is>
      </c>
    </row>
    <row r="2485">
      <c r="A2485" t="inlineStr">
        <is>
          <t>Stuff 2</t>
        </is>
      </c>
      <c r="B2485">
        <f>HYPERLINK("https://www.dofusbook.net/fr/equipement/463355-stuff-2/objets", "link")</f>
        <v/>
      </c>
      <c r="C2485" t="n">
        <v>6</v>
      </c>
      <c r="D2485" t="inlineStr">
        <is>
          <t>Rapière aux Glyphes; Amulette Voldelor; Bracelet des Fonds marins; Alliance Gloursonne; Ceinture du Barbétoal; Voile d'encre; Sandales des Fonds marins; Dolmanax; Nomade; Chanceux majeur; Remueur; Carapace Eau majeur; Miraculé majeur; Croum</t>
        </is>
      </c>
    </row>
    <row r="2486">
      <c r="A2486" t="inlineStr">
        <is>
          <t>Roublard M 200</t>
        </is>
      </c>
      <c r="B2486">
        <f>HYPERLINK("https://www.dofusbook.net/fr/equipement/4751621-roublard-m-200/objets", "link")</f>
        <v/>
      </c>
      <c r="C2486" t="n">
        <v>8</v>
      </c>
      <c r="D2486" t="inlineStr">
        <is>
          <t>Arc du Chalœil; Collier de Tourthon; Bague Gloursonne; Anneau Volkorne; Bouclier du Stalak; Ceinture Volkorne; Masque de Koutoulou; Cape au Logis; Bottes de la Cour Sombre; Dofus Ocre; Dofus des Glaces; Forcené majeur; Dévastateur Terre majeur; Saccageur Terre majeur; Enragé majeur; Bulbisou</t>
        </is>
      </c>
    </row>
    <row r="2487">
      <c r="A2487" t="inlineStr">
        <is>
          <t>Pandawa F 200</t>
        </is>
      </c>
      <c r="B2487">
        <f>HYPERLINK("https://www.dofusbook.net/fr/equipement/3791970-pandawa-f-200/objets", "link")</f>
        <v/>
      </c>
      <c r="C2487" t="n">
        <v>19</v>
      </c>
      <c r="D2487" t="inlineStr">
        <is>
          <t>Dagoulinantes; Amulette Volkorne; Anneau Volkorne; Alliance Gloursonne; Quatre-feuilles; Poulpagne; Cape de l'Œil Attentif; Bottes du Sinistrofu; Dofus Émeraude; Dofus Ivoire; Dofus Pourpre; Dofus Abyssal; Nomade; Chanceux majeur; Dragodinde Prune et Indigo</t>
        </is>
      </c>
    </row>
    <row r="2488">
      <c r="A2488" t="inlineStr">
        <is>
          <t>Pandawa F 200</t>
        </is>
      </c>
      <c r="B2488">
        <f>HYPERLINK("https://www.dofusbook.net/fr/equipement/3791077-pandawa-f-200/objets", "link")</f>
        <v/>
      </c>
      <c r="C2488" t="n">
        <v>14</v>
      </c>
      <c r="D2488" t="inlineStr">
        <is>
          <t>Sceptre du Roi Joueur; Amulette du Sinistrofu; Bague Trithon; Anneau Volkorne; Bouclier Taverne; Sangle Ouare; Casque Dragoeuf; Cape Solution; Bottes Trithon; Dofus Ivoire; Dofus Ocre; Pousseur majeur; Culbuteur majeur; Bousculeur majeur; Chanceux majeur; Écumouth</t>
        </is>
      </c>
    </row>
    <row r="2489">
      <c r="A2489" t="inlineStr">
        <is>
          <t>Sram F 200</t>
        </is>
      </c>
      <c r="B2489">
        <f>HYPERLINK("https://www.dofusbook.net/fr/equipement/3731748-sram-f-200/objets", "link")</f>
        <v/>
      </c>
      <c r="C2489" t="n">
        <v>7</v>
      </c>
      <c r="D2489" t="inlineStr"/>
    </row>
    <row r="2490">
      <c r="A2490" t="inlineStr">
        <is>
          <t>Stuff 1</t>
        </is>
      </c>
      <c r="B2490">
        <f>HYPERLINK("https://www.dofusbook.net/fr/equipement/463372-stuff-1/objets", "link")</f>
        <v/>
      </c>
      <c r="C2490" t="n">
        <v>9</v>
      </c>
      <c r="D2490" t="inlineStr">
        <is>
          <t>Arc Hétype; Amulette Séculaire; Anneau Tique; Bague Gloursonne; Ceinture Séculaire; Casque Dragoeuf; Voile d'encre; Pataugastrique; Fonceur majeur; Remueur; Miraculé majeur; Nomade; Érudit majeur; Cavaleur majeur; El Scarador</t>
        </is>
      </c>
    </row>
    <row r="2491">
      <c r="A2491" t="inlineStr">
        <is>
          <t>Stuff 3</t>
        </is>
      </c>
      <c r="B2491">
        <f>HYPERLINK("https://www.dofusbook.net/fr/equipement/463374-stuff-3/objets", "link")</f>
        <v/>
      </c>
      <c r="C2491" t="n">
        <v>13</v>
      </c>
      <c r="D2491" t="inlineStr">
        <is>
          <t>Rapière aux Glyphes; Amulette Voldelor; Alliance Gloursonne; Bracelet des Fonds marins; Ceintacé; Masque des Fonds marins; Cape du Sinistrofu; Sandales Circulaires du Kimbo; Dofus Turquoise; Chanceux majeur; Carapace Air majeur; Carapace Terre majeur; Remueur; Nomade; Kramkram</t>
        </is>
      </c>
    </row>
    <row r="2492">
      <c r="A2492" t="inlineStr">
        <is>
          <t>Stuff 1</t>
        </is>
      </c>
      <c r="B2492">
        <f>HYPERLINK("https://www.dofusbook.net/fr/equipement/463378-stuff-1/objets", "link")</f>
        <v/>
      </c>
      <c r="C2492" t="n">
        <v>23</v>
      </c>
      <c r="D2492" t="inlineStr">
        <is>
          <t>Grésilosceptre; Amulette du Strigide; Alliance Gloursonne; Bracelet du Piloztère; Bouclier d'Asse cassé; Ceintacé; Casque Cyclopéen; Voile d'encre; Bottes du Strigide; Dofus Pourpre; Dolmanax; Dofus des Glaces; Dofus Turquoise; Remueur; Nomade; El Scarador</t>
        </is>
      </c>
    </row>
    <row r="2493">
      <c r="A2493" t="inlineStr">
        <is>
          <t>Stuff 2</t>
        </is>
      </c>
      <c r="B2493">
        <f>HYPERLINK("https://www.dofusbook.net/fr/equipement/463373-stuff-2/objets", "link")</f>
        <v/>
      </c>
      <c r="C2493" t="n">
        <v>10</v>
      </c>
      <c r="D2493" t="inlineStr">
        <is>
          <t>Epée Loponèze; Amulette du Strigide; Bracelet des Fonds marins; Alliance Gloursonne; Ceinture du Barbétoal; Kidibonnet; Cape du Sinistrofu; Bottes du Sinistrofu; Dofus Pourpre; Évasif majeur; Chanceux majeur; Remueur; Carapace Terre majeur; Nomade; Croum</t>
        </is>
      </c>
    </row>
    <row r="2494">
      <c r="A2494" t="inlineStr">
        <is>
          <t>Stuff 1</t>
        </is>
      </c>
      <c r="B2494">
        <f>HYPERLINK("https://www.dofusbook.net/fr/equipement/463377-stuff-1/objets", "link")</f>
        <v/>
      </c>
      <c r="C2494" t="n">
        <v>7</v>
      </c>
      <c r="D2494" t="inlineStr">
        <is>
          <t>Marteau des Anciens Steamers; Amulette du Sinistrofu; Bracelet des Fonds marins; Alliance Gloursonne; Sangle Ouare; Kidibonnet; Cape d'Hel Munster; Bottes du Sinistrofu; Carapace Eau majeur; Miraculé majeur; Évasif majeur; Remueur; Bousculeur majeur; Culbuteur majeur; Croum</t>
        </is>
      </c>
    </row>
    <row r="2495">
      <c r="A2495" t="inlineStr">
        <is>
          <t>Stuff 2</t>
        </is>
      </c>
      <c r="B2495">
        <f>HYPERLINK("https://www.dofusbook.net/fr/equipement/463347-stuff-2/objets", "link")</f>
        <v/>
      </c>
      <c r="C2495" t="n">
        <v>9</v>
      </c>
      <c r="D2495" t="inlineStr">
        <is>
          <t>Marteau des Anciens Steamers; Amulette du Strigide; Bracelet des Fonds marins; Alliance Gloursonne; Ceinture du Barbétoal; Chapeau Lisson; Cape Matelassée; Bottes de la Reine des Voleurs; Dofus Turquoise; Évasif majeur; Carapace Eau majeur; Nomade; Cavaleur majeur; Remueur; Dragodinde en armure</t>
        </is>
      </c>
    </row>
    <row r="2496">
      <c r="A2496" t="inlineStr">
        <is>
          <t>Stuff 3</t>
        </is>
      </c>
      <c r="B2496">
        <f>HYPERLINK("https://www.dofusbook.net/fr/equipement/463333-stuff-3/objets", "link")</f>
        <v/>
      </c>
      <c r="C2496" t="n">
        <v>7</v>
      </c>
      <c r="D2496" t="inlineStr">
        <is>
          <t>Arc Hétype; Amulette Séculaire; Bague Gloursonne; Anneau Tique; Protopagne; Coiffe Séculaire; Voile d'encre; Pataugastrique; Évasif majeur; Remueur; Miraculé majeur; Cavaleur majeur; Carapace Terre majeur; Érudit majeur; Croum</t>
        </is>
      </c>
    </row>
    <row r="2497">
      <c r="A2497" t="inlineStr">
        <is>
          <t>Stuff 1</t>
        </is>
      </c>
      <c r="B2497">
        <f>HYPERLINK("https://www.dofusbook.net/fr/equipement/463322-stuff-1/objets", "link")</f>
        <v/>
      </c>
      <c r="C2497" t="n">
        <v>9</v>
      </c>
      <c r="D2497" t="inlineStr">
        <is>
          <t>Arc Hétype; Amulette Séculaire; Anneau de Pol Ouatnos; Anneau de Nidas; Ceinture Séculaire; Couronne de Nidas; Voile d'encre; Tongues de Nidas; Dofus Émeraude; Dofus Ocre; Dofus Turquoise; Savant majeur; Fuyard majeur; Vagabond majeur; Kramkram</t>
        </is>
      </c>
    </row>
    <row r="2498">
      <c r="A2498" t="inlineStr">
        <is>
          <t>Stuff 2</t>
        </is>
      </c>
      <c r="B2498">
        <f>HYPERLINK("https://www.dofusbook.net/fr/equipement/463347-stuff-2/objets", "link")</f>
        <v/>
      </c>
      <c r="C2498" t="n">
        <v>9</v>
      </c>
      <c r="D2498" t="inlineStr">
        <is>
          <t>Marteau des Anciens Steamers; Amulette du Strigide; Alliance Gloursonne; Bracelet des Fonds marins; Ceinture du Barbétoal; Chapeau Lisson; Cape Matelassée; Bottes de la Reine des Voleurs; Dofus Turquoise; Cavaleur majeur; Remueur; Évasif majeur; Carapace Eau majeur; Nomade; Dragodinde en armure</t>
        </is>
      </c>
    </row>
    <row r="2499">
      <c r="A2499" t="inlineStr">
        <is>
          <t>Stuff 3</t>
        </is>
      </c>
      <c r="B2499">
        <f>HYPERLINK("https://www.dofusbook.net/fr/equipement/463333-stuff-3/objets", "link")</f>
        <v/>
      </c>
      <c r="C2499" t="n">
        <v>7</v>
      </c>
      <c r="D2499" t="inlineStr">
        <is>
          <t>Arc Hétype; Amulette Séculaire; Bague Gloursonne; Anneau Tique; Protopagne; Coiffe Séculaire; Voile d'encre; Pataugastrique; Miraculé majeur; Cavaleur majeur; Carapace Terre majeur; Érudit majeur; Évasif majeur; Remueur; Croum</t>
        </is>
      </c>
    </row>
    <row r="2500">
      <c r="A2500" t="inlineStr">
        <is>
          <t>Stuff 1</t>
        </is>
      </c>
      <c r="B2500">
        <f>HYPERLINK("https://www.dofusbook.net/fr/equipement/463322-stuff-1/objets", "link")</f>
        <v/>
      </c>
      <c r="C2500" t="n">
        <v>9</v>
      </c>
      <c r="D2500" t="inlineStr">
        <is>
          <t>Arc Hétype; Amulette Séculaire; Anneau de Pol Ouatnos; Anneau de Nidas; Ceinture Séculaire; Couronne de Nidas; Voile d'encre; Tongues de Nidas; Dofus Émeraude; Dofus Ocre; Dofus Turquoise; Savant majeur; Fuyard majeur; Vagabond majeur; Kramkram</t>
        </is>
      </c>
    </row>
    <row r="2501">
      <c r="A2501" t="inlineStr">
        <is>
          <t>Stuff 1</t>
        </is>
      </c>
      <c r="B2501">
        <f>HYPERLINK("https://www.dofusbook.net/fr/equipement/463354-stuff-1/objets", "link")</f>
        <v/>
      </c>
      <c r="C2501" t="n">
        <v>14</v>
      </c>
      <c r="D2501" t="inlineStr">
        <is>
          <t>Hache Ériphe; Amulette du Strigide; Anneau de Pol Ouatnos; Anneau des égarés; Ceintacé; Coiffe de la Reine des Voleurs; Cape du Kamasterisk; Bottes du Kamasterisk; Dofus Turquoise; Dofus Pourpre; Remueur; Cavaleur majeur; Évasif majeur; Carapace Feu majeur; Croum</t>
        </is>
      </c>
    </row>
    <row r="2502">
      <c r="A2502" t="inlineStr">
        <is>
          <t>Stuff 2</t>
        </is>
      </c>
      <c r="B2502">
        <f>HYPERLINK("https://www.dofusbook.net/fr/equipement/463335-stuff-2/objets", "link")</f>
        <v/>
      </c>
      <c r="C2502" t="n">
        <v>7</v>
      </c>
      <c r="D2502" t="inlineStr">
        <is>
          <t>Dagues Érhy; Amulette du Strigide; Bague Gloursonne; Anneau Chevelu; Ceinture du Strigide; Bonnet Ko; Voile d'encre; Bottes de la Cour Sombre; Dofus Turquoise; Dofus Pourpre; Dofus Ocre; Nomade; Remueur; Cavaleur majeur; Dragodinde en armure</t>
        </is>
      </c>
    </row>
    <row r="2503">
      <c r="A2503" t="inlineStr">
        <is>
          <t>Stuff 3</t>
        </is>
      </c>
      <c r="B2503">
        <f>HYPERLINK("https://www.dofusbook.net/fr/equipement/463324-stuff-3/objets", "link")</f>
        <v/>
      </c>
      <c r="C2503" t="n">
        <v>5</v>
      </c>
      <c r="D2503" t="inlineStr">
        <is>
          <t>Arc Hétype; Amulette de Nileza; Bague Gloursonne; Anneau de Nidas; Ceinture Séculaire; Couronne de Nidas; Voile d'encre; Pataugastrique; Déserteur majeur; Carapace Neutre majeur; Remueur; Miraculé majeur; Nomade; El Scarador</t>
        </is>
      </c>
    </row>
    <row r="2504">
      <c r="A2504" t="inlineStr">
        <is>
          <t>Stuff 3</t>
        </is>
      </c>
      <c r="B2504">
        <f>HYPERLINK("https://www.dofusbook.net/fr/equipement/463356-stuff-3/objets", "link")</f>
        <v/>
      </c>
      <c r="C2504" t="n">
        <v>8</v>
      </c>
      <c r="D2504" t="inlineStr">
        <is>
          <t>Hache Ériphe; Amulette du Strigide; Bague Gloursonne; Anneau Chevelu; Ceintacé; Coiffe de la Reine des Voleurs; Cape du Kamasterisk; Bottes du Kamasterisk; Dolmanax; Remueur; Nomade; Carapace Feu majeur; Dragodinde en armure</t>
        </is>
      </c>
    </row>
    <row r="2505">
      <c r="A2505" t="inlineStr">
        <is>
          <t>Stuff 1</t>
        </is>
      </c>
      <c r="B2505">
        <f>HYPERLINK("https://www.dofusbook.net/fr/equipement/463346-stuff-1/objets", "link")</f>
        <v/>
      </c>
      <c r="C2505" t="n">
        <v>8</v>
      </c>
      <c r="D2505" t="inlineStr">
        <is>
          <t>Pelle de la Cour Sombre; Amulette du Strigide; Anneau des égarés; Alliance Gloursonne; Ceinture du Barbétoal; Casque des égarés; Voile d'encre; Baleinabottes; Dofus Turquoise; Dofus Pourpre; Remueur; Cascadeur majeur; Évasif majeur; Nomade; Dragodinde en armure</t>
        </is>
      </c>
    </row>
    <row r="2506">
      <c r="A2506" t="inlineStr">
        <is>
          <t>Stuff 2</t>
        </is>
      </c>
      <c r="B2506">
        <f>HYPERLINK("https://www.dofusbook.net/fr/equipement/463332-stuff-2/objets", "link")</f>
        <v/>
      </c>
      <c r="C2506" t="n">
        <v>7</v>
      </c>
      <c r="D2506" t="inlineStr">
        <is>
          <t>Arc Hétype; Amulette de Gein; Anneau Tique; Bague Gloursonne; Ceintacé; Chapeau de Gein; Voile d'encre; Bottes Dogues; Dofus Pourpre; Carapace Terre majeur; Érudit majeur; Cavaleur majeur; Remueur; Carapace Feu majeur; Croum</t>
        </is>
      </c>
    </row>
    <row r="2507">
      <c r="A2507" t="inlineStr">
        <is>
          <t>Stuff 2</t>
        </is>
      </c>
      <c r="B2507">
        <f>HYPERLINK("https://www.dofusbook.net/fr/equipement/463309-stuff-2/objets", "link")</f>
        <v/>
      </c>
      <c r="C2507" t="n">
        <v>6</v>
      </c>
      <c r="D2507" t="inlineStr">
        <is>
          <t>Épée du Granduk; Amulette du Granduk; Anneau d'Allister; Alliance Gloursonne; Ceinture de Klime; Masque du Granduk; Cape de Klime; Bottes d'Allister; Dofus des Glaces; Dofus Ocre; Dofus Pourpre; Acrobate majeur; Saccageur Air majeur; Equilibriste majeur; Siroko</t>
        </is>
      </c>
    </row>
    <row r="2508">
      <c r="A2508" t="inlineStr">
        <is>
          <t>Stuff 3</t>
        </is>
      </c>
      <c r="B2508">
        <f>HYPERLINK("https://www.dofusbook.net/fr/equipement/463348-stuff-3/objets", "link")</f>
        <v/>
      </c>
      <c r="C2508" t="n">
        <v>7</v>
      </c>
      <c r="D2508" t="inlineStr">
        <is>
          <t>Pelle de la Cour Sombre; Amulette du Strigide; Alliance Gloursonne; Anneau des égarés; Ceinture Rasboulaire du Rasboul; Casque des égarés; Cape du Kamasterisk; Baleinabottes; Dofus Pourpre; Carapace Feu majeur; Remueur; Vigoureux majeur; Cascadeur majeur; Nomade; Kramkram</t>
        </is>
      </c>
    </row>
    <row r="2509">
      <c r="A2509" t="inlineStr">
        <is>
          <t>Stuff 1</t>
        </is>
      </c>
      <c r="B2509">
        <f>HYPERLINK("https://www.dofusbook.net/fr/equipement/463334-stuff-1/objets", "link")</f>
        <v/>
      </c>
      <c r="C2509" t="n">
        <v>6</v>
      </c>
      <c r="D2509" t="inlineStr">
        <is>
          <t>Dagues Érhy; Amulette du Strigide; Anneau Chevelu; Bague Gloursonne; Ceinture du Strigide; Bonnet Ko; Voile d'encre; Bottes du Cycloïde; Dofus Turquoise; Dofus Pourpre; Dofus Ocre; Remueur; Évasif majeur; Nomade; Croum</t>
        </is>
      </c>
    </row>
    <row r="2510">
      <c r="A2510" t="inlineStr">
        <is>
          <t>Stuff 2</t>
        </is>
      </c>
      <c r="B2510">
        <f>HYPERLINK("https://www.dofusbook.net/fr/equipement/463323-stuff-2/objets", "link")</f>
        <v/>
      </c>
      <c r="C2510" t="n">
        <v>7</v>
      </c>
      <c r="D2510" t="inlineStr">
        <is>
          <t>Arc Hétype; Amulette d'Otomaï; Anneau Tique; Bague Gloursonne; Ceinture Séculaire; Casque Dragoeuf; Voile d'encre; Bottes d'Otomaï; Dofus Ocre; Miraculé majeur; Vagabond majeur; Nomade; Déserteur majeur; Remueur; Croum</t>
        </is>
      </c>
    </row>
    <row r="2511">
      <c r="A2511" t="inlineStr">
        <is>
          <t>Stuff 2</t>
        </is>
      </c>
      <c r="B2511">
        <f>HYPERLINK("https://www.dofusbook.net/fr/equipement/249921-stuff-2/objets", "link")</f>
        <v/>
      </c>
      <c r="C2511" t="n">
        <v>5</v>
      </c>
      <c r="D2511" t="inlineStr">
        <is>
          <t>Épée du Granduk; Amulette du Granduk; Alliance Gloursonne; Anneau d'Allister; Ceinture Billonnante; Coiffe de la Reine des Voleurs; Cape de Klime; Baleinabottes; Dofus Ocre; Dofus Turquoise; Cascadeur majeur; Miraculé majeur; Nomade; Remueur; Dragodinde Emeraude et Rousse</t>
        </is>
      </c>
    </row>
    <row r="2512">
      <c r="A2512" t="inlineStr">
        <is>
          <t>Stuff 2</t>
        </is>
      </c>
      <c r="B2512">
        <f>HYPERLINK("https://www.dofusbook.net/fr/equipement/249909-stuff-2/objets", "link")</f>
        <v/>
      </c>
      <c r="C2512" t="n">
        <v>3</v>
      </c>
      <c r="D2512" t="inlineStr">
        <is>
          <t>Epée Gloursonne; Amulette du Strigide; Bague Gloursonne; Alliance Gloursonne; Ceinture du Glourséleste; Chapeau des Malveilleurs; Cape des Malveilleurs; Bottes des Malveilleurs; Dotruche; Dofus Cawotte; Dofus Émeraude; Dofus Pourpre; Dolmanax; Ravageur Feu majeur; Dragodinde Prune et Emeraude</t>
        </is>
      </c>
    </row>
    <row r="2513">
      <c r="A2513" t="inlineStr">
        <is>
          <t>Stuff 1</t>
        </is>
      </c>
      <c r="B2513">
        <f>HYPERLINK("https://www.dofusbook.net/fr/equipement/249920-stuff-1/objets", "link")</f>
        <v/>
      </c>
      <c r="C2513" t="n">
        <v>4</v>
      </c>
      <c r="D2513" t="inlineStr">
        <is>
          <t>Baguette Hernelle; Amulette Voldelor; Anneau de Padgref; Anneau Vicieux; Sangle Aise; Coiffe de Padgref; Cape de Klime; Getas de Padgref; Dofus Turquoise; Dolmanax; Dofus Pourpre; Dofus Émeraude; Ravageur Air majeur; Survivant majeur; Dragodinde Prune et Emeraude</t>
        </is>
      </c>
    </row>
    <row r="2514">
      <c r="A2514" t="inlineStr">
        <is>
          <t>Stuff 3</t>
        </is>
      </c>
      <c r="B2514">
        <f>HYPERLINK("https://www.dofusbook.net/fr/equipement/249922-stuff-3/objets", "link")</f>
        <v/>
      </c>
      <c r="C2514" t="n">
        <v>5</v>
      </c>
      <c r="D2514" t="inlineStr">
        <is>
          <t>Épée du Granduk; Amulette du Granduk; Alliance Gloursonne; Anneau d'Allister; Ceinture du Barbétoal; Dorabysses; Cape du Kamasterisk; Baleinabottes; Dofus Turquoise; Nomade; Vigoureux majeur; Equilibriste majeur; Cascadeur majeur; Remueur; Dragodinde Emeraude et Rousse</t>
        </is>
      </c>
    </row>
    <row r="2515">
      <c r="A2515" t="inlineStr">
        <is>
          <t>Stuff 1</t>
        </is>
      </c>
      <c r="B2515">
        <f>HYPERLINK("https://www.dofusbook.net/fr/equipement/249908-stuff-1/objets", "link")</f>
        <v/>
      </c>
      <c r="C2515" t="n">
        <v>10</v>
      </c>
      <c r="D2515" t="inlineStr">
        <is>
          <t>Rapière aux Glyphes; Amulette de Pol Ouatnos; Pikano; Alliance Gloursonne; Ceinture Glaciale; Kidibonnet; Voilamibe; Pikottes; Dofus Ocre; Chanceux majeur; Entraveur majeur; Temporiseur majeur; Ralentisseur majeur; Remueur; Kramkram</t>
        </is>
      </c>
    </row>
    <row r="2516">
      <c r="A2516" t="inlineStr">
        <is>
          <t>Stuff 3</t>
        </is>
      </c>
      <c r="B2516">
        <f>HYPERLINK("https://www.dofusbook.net/fr/equipement/249910-stuff-3/objets", "link")</f>
        <v/>
      </c>
      <c r="C2516" t="n">
        <v>8</v>
      </c>
      <c r="D2516" t="inlineStr">
        <is>
          <t>Épée d'Otomaï; Amulette d'Otomaï; Frimanneau; Bague Gloursonne; Ceinture du Glourséleste; Chapeau Lochon; Cape du Professeur Xa; Bottes d'Otomaï; Dolmanax; Dofus Cawotte; Dofus Émeraude; Ravageur Feu majeur; Savant; Savant majeur; Dragodinde Prune et Orchidée</t>
        </is>
      </c>
    </row>
    <row r="2517">
      <c r="A2517" t="inlineStr">
        <is>
          <t>opti</t>
        </is>
      </c>
      <c r="B2517">
        <f>HYPERLINK("https://www.dofusbook.net/fr/equipement/2793061-opti/objets", "link")</f>
        <v/>
      </c>
      <c r="C2517" t="n">
        <v>16</v>
      </c>
      <c r="D2517" t="inlineStr">
        <is>
          <t>Sabres d'Atcham; Amulette du Strigide; Alliance Gloursonne; Bague Gloursonne; Quatre-feuilles; Ceinture du Strigide; Casque du Chalœil; Cape d'Atcham; Bottes du Strigide; Dofus Pourpre; Dofus des Glaces; Dofus Turquoise; Dofus Nébuleux; Dofus Ocre; Dofus Abyssal; Muldo Prune et Emeraude</t>
        </is>
      </c>
    </row>
    <row r="2518">
      <c r="A2518" t="inlineStr">
        <is>
          <t>Farm</t>
        </is>
      </c>
      <c r="B2518">
        <f>HYPERLINK("https://www.dofusbook.net/fr/equipement/2764227-farm/objets", "link")</f>
        <v/>
      </c>
      <c r="C2518" t="n">
        <v>7</v>
      </c>
      <c r="D2518" t="inlineStr">
        <is>
          <t>Dagues Érhy; Amulette du Strigide; Bracelet du Piloztère; Alliance Gloursonne; Quatre-feuilles; Ceintacé; Chapeau Lisson; Voile d'encre; Bottes du Strigide; Dofus Turquoise; Dofus Pourpre; Dolmanax; Vigoureux majeur; Nomade; Remueur; Muldo Prune et Emeraude</t>
        </is>
      </c>
    </row>
    <row r="2519">
      <c r="A2519" t="inlineStr">
        <is>
          <t>Stuff 2</t>
        </is>
      </c>
      <c r="B2519">
        <f>HYPERLINK("https://www.dofusbook.net/fr/equipement/546155-stuff-2/objets", "link")</f>
        <v/>
      </c>
      <c r="C2519" t="n">
        <v>3</v>
      </c>
      <c r="D2519" t="inlineStr">
        <is>
          <t>Marteau R'ture; Collier de Tourthon; Bague Gloursonne; Anneau Crustique; Bouclier du Captain Amakna; Ceintacé; Masque de Koutoulou; Cape au Logis; Baleinabottes; Dofus Turquoise; Dokoko; Dofus Pourpre; Enragé majeur; Nomade; Muldo Orchidée et Pourpre</t>
        </is>
      </c>
    </row>
    <row r="2520">
      <c r="A2520" t="inlineStr">
        <is>
          <t>ffff</t>
        </is>
      </c>
      <c r="B2520">
        <f>HYPERLINK("https://www.dofusbook.net/fr/equipement/1045480-ffff/objets", "link")</f>
        <v/>
      </c>
      <c r="C2520" t="n">
        <v>4</v>
      </c>
      <c r="D2520" t="inlineStr">
        <is>
          <t>Arc du Chalœil; Collier de Tourthon; Anneau de Brouce; Anneau Crustique; Bouclier du Captain Amakna; Ceinture de Brouce; Masque de Koutoulou; Cape au Logis; Tentassons; Dofus Pourpre; Dofus Turquoise; Remueur; Enragé majeur; Miraculé majeur; Muldo Pourpre</t>
        </is>
      </c>
    </row>
    <row r="2521">
      <c r="A2521" t="inlineStr">
        <is>
          <t>oipoui</t>
        </is>
      </c>
      <c r="B2521">
        <f>HYPERLINK("https://www.dofusbook.net/fr/equipement/1942853-oipoui/objets", "link")</f>
        <v/>
      </c>
      <c r="C2521" t="n">
        <v>2</v>
      </c>
      <c r="D2521" t="inlineStr"/>
    </row>
    <row r="2522">
      <c r="A2522" t="inlineStr">
        <is>
          <t>fdbs</t>
        </is>
      </c>
      <c r="B2522">
        <f>HYPERLINK("https://www.dofusbook.net/fr/equipement/1044760-fdbs/objets", "link")</f>
        <v/>
      </c>
      <c r="C2522" t="n">
        <v>6</v>
      </c>
      <c r="D2522" t="inlineStr">
        <is>
          <t>Arc de Koutoulou; Amulette du Strigide; Alliance Gloursonne; Bracelet du Piloztère; Ceinture du Strigide; Némès de Tal Kasha; Chevelure de Tal Kasha; Sandales de Tal Kasha; Dofus Émeraude; Dokoko; Dolmanax; Dofus Turquoise; Dofus Pourpre; Dofus Ocre; Muldo Prune et Emeraude</t>
        </is>
      </c>
    </row>
    <row r="2523">
      <c r="A2523" t="inlineStr">
        <is>
          <t>Stuff 2</t>
        </is>
      </c>
      <c r="B2523">
        <f>HYPERLINK("https://www.dofusbook.net/fr/equipement/546150-stuff-2/objets", "link")</f>
        <v/>
      </c>
      <c r="C2523" t="n">
        <v>2</v>
      </c>
      <c r="D2523" t="inlineStr"/>
    </row>
    <row r="2524">
      <c r="A2524" t="inlineStr">
        <is>
          <t>stuff 200</t>
        </is>
      </c>
      <c r="B2524">
        <f>HYPERLINK("https://www.dofusbook.net/fr/equipement/703471-stuff-200/objets", "link")</f>
        <v/>
      </c>
      <c r="C2524" t="n">
        <v>5</v>
      </c>
      <c r="D2524" t="inlineStr">
        <is>
          <t>Baguette Range; Amulette du Strigide; Anneau de Padgref; Bague Gloursonne; Quatre-feuilles; Ceinture du Strigide; Coiffe de Padgref; Cape Lati; Getas de Padgref; Dofus Pourpre; Dokoko; Dofus Émeraude; Dofus Turquoise; Dofus Ocre; Puissant majeur; Muldo Doré et Emeraude</t>
        </is>
      </c>
    </row>
    <row r="2525">
      <c r="A2525" t="inlineStr">
        <is>
          <t>Stuff 1</t>
        </is>
      </c>
      <c r="B2525">
        <f>HYPERLINK("https://www.dofusbook.net/fr/equipement/546149-stuff-1/objets", "link")</f>
        <v/>
      </c>
      <c r="C2525" t="n">
        <v>4</v>
      </c>
      <c r="D2525" t="inlineStr">
        <is>
          <t>Hache du Korriandre; Amulette du Strigide; Bracelet du Piloztère; Alliance Gloursonne; Bouclier du Captain Amakna; Ceinture du Strigide; Némès de Tal Kasha; Chevelure de Tal Kasha; Sandales de Tal Kasha; Dofus Turquoise; Dofus Pourpre; Dofus Ocre; Dokoko; Dofus Émeraude; Dolmanax; Muldo Indigo et Emeraude</t>
        </is>
      </c>
    </row>
    <row r="2526">
      <c r="A2526" t="inlineStr">
        <is>
          <t>Eau</t>
        </is>
      </c>
      <c r="B2526">
        <f>HYPERLINK("https://www.dofusbook.net/fr/equipement/993210-eau/objets", "link")</f>
        <v/>
      </c>
      <c r="C2526" t="n">
        <v>3</v>
      </c>
      <c r="D2526" t="inlineStr">
        <is>
          <t>Rapière aux Glyphes; Amulette du Sinistrofu; Bracelet des Fonds marins; Alliance Gloursonne; Bouclier du Captain Amakna; Poulpagne; Kidibonnet; Cape de Mantaze; Sandales des Fonds marins; Dofus Pourpre; Dofus Émeraude; Dofus Turquoise; Dokoko; Miraculé majeur; Chanceux majeur; Muldo Ebène</t>
        </is>
      </c>
    </row>
    <row r="2527">
      <c r="A2527" t="inlineStr">
        <is>
          <t>eeee</t>
        </is>
      </c>
      <c r="B2527">
        <f>HYPERLINK("https://www.dofusbook.net/fr/equipement/841394-eeee/objets", "link")</f>
        <v/>
      </c>
      <c r="C2527" t="n">
        <v>5</v>
      </c>
      <c r="D2527" t="inlineStr">
        <is>
          <t>La Baguette des Limbes; Amulette de Moon; Gelano; Alliance des Forestiers; Le Karde Cœur; Ceinture du Berserkoffre; La Bekille; Cape des Ecaflipuces; Bottes du Berserkoffre; Dofus Pourpre; Dokoko; Dofus Ocre; Dolmanax; Nomade; Remueur; Dragodinde Prune et Orchidée</t>
        </is>
      </c>
    </row>
    <row r="2528">
      <c r="A2528" t="inlineStr">
        <is>
          <t>s129</t>
        </is>
      </c>
      <c r="B2528">
        <f>HYPERLINK("https://www.dofusbook.net/fr/equipement/838633-s129/objets", "link")</f>
        <v/>
      </c>
      <c r="C2528" t="n">
        <v>4</v>
      </c>
      <c r="D2528" t="inlineStr">
        <is>
          <t>Dagues du Dragoeuf; Amulette Ementaire; Gelano; Alliance d'Elya Wood; Bouclier d'Asse; Xénature; Holoune; Caracape Minotoris; Bottes du Dragoeuf; Dofus Pourpre; Dokoko; Dofus Émeraude; Dolmanax; Remueur; Nomade; Muldo Ebène et Indigo</t>
        </is>
      </c>
    </row>
    <row r="2529">
      <c r="A2529" t="inlineStr">
        <is>
          <t>Stuff 1</t>
        </is>
      </c>
      <c r="B2529">
        <f>HYPERLINK("https://www.dofusbook.net/fr/equipement/728093-stuff-1/objets", "link")</f>
        <v/>
      </c>
      <c r="C2529" t="n">
        <v>5</v>
      </c>
      <c r="D2529" t="inlineStr">
        <is>
          <t>Dagues Érhy; Collier de la Dame du Hasard; Anneau de Nidas; Anneau Tamie; Ceinture Séculaire; Coiffe du Lévitrof; Cape de Nileza; Pataugastrique; Remueur; Enragé majeur; Nomade; Miraculé majeur; Érudit majeur</t>
        </is>
      </c>
    </row>
    <row r="2530">
      <c r="A2530" t="inlineStr">
        <is>
          <t>Stuff 3</t>
        </is>
      </c>
      <c r="B2530">
        <f>HYPERLINK("https://www.dofusbook.net/fr/equipement/546158-stuff-3/objets", "link")</f>
        <v/>
      </c>
      <c r="C2530" t="n">
        <v>8</v>
      </c>
      <c r="D2530" t="inlineStr">
        <is>
          <t>Hache du Chalœil; Amulette Luminescente; Bracelet du Piloztère; Alliance Gloursonne; Ceinture Luminescente; Casque du Chalœil; Voile d'encre; Pantoufles du Piloztère; Dofus Pourpre; Dofus Turquoise; Dofus Nébuleux; Dofus Ocre; Nomade; Remueur; Kramkram</t>
        </is>
      </c>
    </row>
    <row r="2531">
      <c r="A2531" t="inlineStr">
        <is>
          <t>Stuff 1</t>
        </is>
      </c>
      <c r="B2531">
        <f>HYPERLINK("https://www.dofusbook.net/fr/equipement/546167-stuff-1/objets", "link")</f>
        <v/>
      </c>
      <c r="C2531" t="n">
        <v>5</v>
      </c>
      <c r="D2531" t="inlineStr">
        <is>
          <t>Baguette Houffe-Craitien; Amulette de Moon; Bracelet Tmotiv; Gelano; Ceinture du Berserkoffre; La Bekille; Cape du Gorgouille; Bottes du Berserkoffre; Dofus des Glaces; Dofus Pourpre; Dofus Turquoise; Dévastateur Feu; Nomade; Remueur; Bisouglours</t>
        </is>
      </c>
    </row>
    <row r="2532">
      <c r="A2532" t="inlineStr">
        <is>
          <t>Stuff 2</t>
        </is>
      </c>
      <c r="B2532">
        <f>HYPERLINK("https://www.dofusbook.net/fr/equipement/546157-stuff-2/objets", "link")</f>
        <v/>
      </c>
      <c r="C2532" t="n">
        <v>9</v>
      </c>
      <c r="D2532" t="inlineStr">
        <is>
          <t>Arc du Chalœil; Torquistik; Bague Instable; Bague Trithon; Ceintacé; Casque Dragoeuf; Voile d'encre; Bottistik; Dofus Abyssal; Dofus Émeraude; Dokoko; Culbuteur majeur; Remueur; Bousculeur majeur; Muldo Ebène et Pourpre</t>
        </is>
      </c>
    </row>
    <row r="2533">
      <c r="A2533" t="inlineStr">
        <is>
          <t>Stuff 1</t>
        </is>
      </c>
      <c r="B2533">
        <f>HYPERLINK("https://www.dofusbook.net/fr/equipement/546156-stuff-1/objets", "link")</f>
        <v/>
      </c>
      <c r="C2533" t="n">
        <v>3</v>
      </c>
      <c r="D2533" t="inlineStr">
        <is>
          <t>Dagues Érhy; Amulette du Strigide; Bague Gloursonne; Chevalière du Roi Joueur; Ceinture de Gein; Chapeau de Gein; Voile d'encre; Bottes Innommables; Dofus Ocre; Dolmanax; Dofus Pourpre; Nomade; Remueur; Dragodinde en armure</t>
        </is>
      </c>
    </row>
    <row r="2534">
      <c r="A2534" t="inlineStr">
        <is>
          <t>Stuff 1</t>
        </is>
      </c>
      <c r="B2534">
        <f>HYPERLINK("https://www.dofusbook.net/fr/equipement/546154-stuff-1/objets", "link")</f>
        <v/>
      </c>
      <c r="C2534" t="n">
        <v>5</v>
      </c>
      <c r="D2534" t="inlineStr">
        <is>
          <t>Marteau R'ture; Amulette du Strigide; Anneau de Brouce; Bague Gloursonne; Bouclier du Captain Amakna; Ceintacé; Coiffe de la Reine des Voleurs; Voile d'encre; Bottes du Strigide; Dofus Émeraude; Dofus Turquoise; Dofus Pourpre; Enragé majeur; Remueur; Nomade; Kramkram</t>
        </is>
      </c>
    </row>
    <row r="2535">
      <c r="A2535" t="inlineStr">
        <is>
          <t>Stuff 3</t>
        </is>
      </c>
      <c r="B2535">
        <f>HYPERLINK("https://www.dofusbook.net/fr/equipement/546151-stuff-3/objets", "link")</f>
        <v/>
      </c>
      <c r="C2535" t="n">
        <v>1</v>
      </c>
      <c r="D2535" t="inlineStr">
        <is>
          <t>Dagoulinantes; Amulette de Shokkoth; Alliance Gloursonne; Poulpagne</t>
        </is>
      </c>
    </row>
    <row r="2536">
      <c r="A2536" t="inlineStr">
        <is>
          <t>Eau Feu ret Pm</t>
        </is>
      </c>
      <c r="B2536">
        <f>HYPERLINK("https://www.dofusbook.net/fr/equipement/6018478-eau-feu-ret-pm/objets", "link")</f>
        <v/>
      </c>
      <c r="C2536" t="n">
        <v>1</v>
      </c>
      <c r="D2536" t="inlineStr">
        <is>
          <t>Baguette Hique; Talisman Igans; Alliance Gloursonne; Pikano; Bouclier cubiste; Ceinture du Glourséleste; Kidibonnet; Cape de la Dame du Hasard; Bottes de la Dame du Hasard; Remueur; Nomade; Gwo Tofu Ventripotent</t>
        </is>
      </c>
    </row>
    <row r="2537">
      <c r="A2537" t="inlineStr">
        <is>
          <t>Full Eau Ret Pm</t>
        </is>
      </c>
      <c r="B2537">
        <f>HYPERLINK("https://www.dofusbook.net/fr/equipement/6018809-full-eau-ret-pm/objets", "link")</f>
        <v/>
      </c>
      <c r="C2537" t="n">
        <v>0</v>
      </c>
      <c r="D2537" t="inlineStr">
        <is>
          <t>Baguette Hique; Pikano; Alliance Gloursonne; Bouclier cubiste; Ceinture du Glourséleste; Kidibonnet; Cape de la Dame du Hasard; Bottes de la Dame du Hasard</t>
        </is>
      </c>
    </row>
    <row r="2538">
      <c r="A2538" t="inlineStr">
        <is>
          <t>Enu vu par enzo</t>
        </is>
      </c>
      <c r="B2538">
        <f>HYPERLINK("https://www.dofusbook.net/fr/equipement/6019005-enu-vu-par-enzo/objets", "link")</f>
        <v/>
      </c>
      <c r="C2538" t="n">
        <v>2</v>
      </c>
      <c r="D2538" t="inlineStr">
        <is>
          <t>Baguette Hique; Collier de la Dame du Hasard; Anneau Volkorne; Bracelet des Fonds marins; Quatre-feuilles; Pagne du Rykaon; Kidibonnet; Cape de la Dame du Hasard; Pataugastrique; Dofus Turquoise; Dofus Pourpre; Dofus des Glaces; Dévastateur Eau majeur; Chanceux majeur; Nomade; Pioute bleu</t>
        </is>
      </c>
    </row>
    <row r="2539">
      <c r="A2539" t="inlineStr">
        <is>
          <t>Terre Ret Pm</t>
        </is>
      </c>
      <c r="B2539">
        <f>HYPERLINK("https://www.dofusbook.net/fr/equipement/6018871-terre-ret-pm/objets", "link")</f>
        <v/>
      </c>
      <c r="C2539" t="n">
        <v>0</v>
      </c>
      <c r="D2539" t="inlineStr">
        <is>
          <t>Marteau R'ture; Amulette Volcanique; Chevalière du Roi Joueur; Pikano; Bouclier cubiste; Ceinture Volkorne; Couronne du Roi Joueur; Cape au Logis; Baleinabottes; Léopardo</t>
        </is>
      </c>
    </row>
    <row r="2540">
      <c r="A2540" t="inlineStr">
        <is>
          <t>Feu Eau no crit cac</t>
        </is>
      </c>
      <c r="B2540">
        <f>HYPERLINK("https://www.dofusbook.net/fr/equipement/5949177-feu-eau-no-crit-cac/objets", "link")</f>
        <v/>
      </c>
      <c r="C2540" t="n">
        <v>2</v>
      </c>
      <c r="D2540" t="inlineStr">
        <is>
          <t>Couteaux Sacrificiels; Amulette Volkorne; Anneau Kturne; Anneau Volkorne; Bouclier d'Ilyzaelle; Ceinture de l'Esprit Malsain; Casqnoar; Cape des Justiciers; Pataugastrique; Dofus Pourpre; Dofus des Glaces; Dofus Ivoire; Dofus Vulbis; Dofus Émeraude; Dofus Ébène; Walk</t>
        </is>
      </c>
    </row>
    <row r="2541">
      <c r="A2541" t="inlineStr">
        <is>
          <t>Feu Eau Air do crit</t>
        </is>
      </c>
      <c r="B2541">
        <f>HYPERLINK("https://www.dofusbook.net/fr/equipement/4998244-feu-eau-air-do-crit/objets", "link")</f>
        <v/>
      </c>
      <c r="C2541" t="n">
        <v>2</v>
      </c>
      <c r="D2541" t="inlineStr">
        <is>
          <t>Sabres d'Atcham; Amulette Volkorne; Anneau de Padgref; Anneau Volkorne; Bouclier du Captain Amakna; Ceintacé; Casque Volkorne; Cape d'Atcham; Sandales  d'Atcham; Dofus Ébène; Dofus Ivoire; Dofus Pourpre; Dofus des Glaces; Dofus Turquoise; Dofus Abyssal; Kokulte</t>
        </is>
      </c>
    </row>
    <row r="2542">
      <c r="A2542" t="inlineStr">
        <is>
          <t>Duo Capitaine Meno</t>
        </is>
      </c>
      <c r="B2542">
        <f>HYPERLINK("https://www.dofusbook.net/fr/equipement/5819976-duo-capitaine-meno/objets", "link")</f>
        <v/>
      </c>
      <c r="C2542" t="n">
        <v>2</v>
      </c>
      <c r="D2542" t="inlineStr">
        <is>
          <t>Manthache; Collier du Valet Veinard; Gant du Valet Veinard; Alliance Gloursonne; Bouclier d'Ilyzaelle; Menoture; Couronne d'Allister; Cape Martegel; Palmes Trithons; Dofus Pourpre; Dofus Abyssal; Dofus Ivoire; Dofus Ébène; Cascadeur majeur; Remueur; Muldo Roux</t>
        </is>
      </c>
    </row>
    <row r="2543">
      <c r="A2543" t="inlineStr">
        <is>
          <t>PvM Feu Soin</t>
        </is>
      </c>
      <c r="B2543">
        <f>HYPERLINK("https://www.dofusbook.net/fr/equipement/5645151-pvm-feu-soin/objets", "link")</f>
        <v/>
      </c>
      <c r="C2543" t="n">
        <v>3</v>
      </c>
      <c r="D2543" t="inlineStr">
        <is>
          <t>Le Thanos; Amulette d'Otomaï; Anneauræus; Anneau Rifique; Bouclier du Cycloïde; Ceinture de Vortex; Casque Cyclopéen; Cape de Diondin; Bottes Innommables; Dofus Ébène; Dofus Ivoire; Érudit majeur; Guérisseur majeur; Nomade; Remueur; Dragodinde Orchidée et Rousse</t>
        </is>
      </c>
    </row>
    <row r="2544">
      <c r="A2544" t="inlineStr">
        <is>
          <t>Feu Eau crit cac</t>
        </is>
      </c>
      <c r="B2544">
        <f>HYPERLINK("https://www.dofusbook.net/fr/equipement/5061922-feu-eau-crit-cac/objets", "link")</f>
        <v/>
      </c>
      <c r="C2544" t="n">
        <v>3</v>
      </c>
      <c r="D2544" t="inlineStr">
        <is>
          <t>Épée Brûlâme; Amulette Volkorne; Bague Trithon; Anneau Volkorne; Bouclier du Captain Amakna; Ceintacé; Masque Trithon; Cape de la Dame du Hasard; Bottes de la Dame du Hasard; Dofus Vulbis; Dofus Ébène; Dofus Turquoise; Dofus des Glaces; Dofus Ivoire; Dofus Ocre; Kokulte</t>
        </is>
      </c>
    </row>
    <row r="2545">
      <c r="A2545" t="inlineStr">
        <is>
          <t>Air 12/6 reine</t>
        </is>
      </c>
      <c r="B2545">
        <f>HYPERLINK("https://www.dofusbook.net/fr/equipement/5096974-air-12-6-reine/objets", "link")</f>
        <v/>
      </c>
      <c r="C2545" t="n">
        <v>4</v>
      </c>
      <c r="D2545" t="inlineStr">
        <is>
          <t>Arc de Koutoulou; Collier du Valet Veinard; Gant du Valet Veinard; Alliance Gloursonne; Bouclier du Stalak; Ceinture de la Reine des Voleurs; Coiffe de la Reine des Voleurs; Cape du Valet Veinard; Bottes de la Reine des Voleurs; Dofus Pourpre; Dofus Abyssal; Dofus Ivoire; Dofus des Glaces; Robuste majeur; Voyageur; Volkorne Ebène</t>
        </is>
      </c>
    </row>
    <row r="2546">
      <c r="A2546" t="inlineStr">
        <is>
          <t>Stuff de Reda</t>
        </is>
      </c>
      <c r="B2546">
        <f>HYPERLINK("https://www.dofusbook.net/fr/equipement/5917228-stuff-de-reda/objets", "link")</f>
        <v/>
      </c>
      <c r="C2546" t="n">
        <v>2</v>
      </c>
      <c r="D2546" t="inlineStr">
        <is>
          <t>Marteau R'ture; Amulette du Strigide; Anneau de Brouce; Bague Gloursonne; Bouclier du Captain Amakna; Ceinture du Strigide; Masque de Koutoulou; Cape au Logis; Baleinabottes; Dofus des Glaces; Dofus Ivoire; Dofus Pourpre; Dofus Ébène; Dofus Ocre; Dofus Abyssal; Dragodinde Ivoire et Pourpre</t>
        </is>
      </c>
    </row>
    <row r="2547">
      <c r="A2547" t="inlineStr">
        <is>
          <t>Eau Air cac</t>
        </is>
      </c>
      <c r="B2547">
        <f>HYPERLINK("https://www.dofusbook.net/fr/equipement/5918868-eau-air-cac/objets", "link")</f>
        <v/>
      </c>
      <c r="C2547" t="n">
        <v>2</v>
      </c>
      <c r="D2547" t="inlineStr">
        <is>
          <t>Arc de Koutoulou; Amulette Voldelor; Bracelet du Piloztère; Alliance Gloursonne; Ceinture Voldelor; Némès de Tal Kasha; Chevelure de Tal Kasha; Bottes Voldelor; Dofus des Glaces; Dofus Ébène; Dofus Abyssal; Dofus Émeraude; Dofus Pourpre; Dofus Ivoire; Mini Wa</t>
        </is>
      </c>
    </row>
    <row r="2548">
      <c r="A2548" t="inlineStr">
        <is>
          <t>Air esquive</t>
        </is>
      </c>
      <c r="B2548">
        <f>HYPERLINK("https://www.dofusbook.net/fr/equipement/5955300-air-esquive/objets", "link")</f>
        <v/>
      </c>
      <c r="C2548" t="n">
        <v>1</v>
      </c>
      <c r="D2548" t="inlineStr">
        <is>
          <t>Lance Horselé; Collier du Valet Veinard; Alliance Gloursonne; Gant du Valet Veinard; Cadran d'Air; Sangle Oriole; Chapeau de Tournoyé; Cape de Crânonier; Palmes Trithons; Dofus Vulbis; Dofus Ivoire; Dofus Abyssal; Dofus Ocre; Dofus Ébène; Imprenable majeur; Bwak d'Air</t>
        </is>
      </c>
    </row>
    <row r="2549">
      <c r="A2549" t="inlineStr">
        <is>
          <t>Terre Eau ret Pm</t>
        </is>
      </c>
      <c r="B2549">
        <f>HYPERLINK("https://www.dofusbook.net/fr/equipement/5954919-terre-eau-ret-pm/objets", "link")</f>
        <v/>
      </c>
      <c r="C2549" t="n">
        <v>1</v>
      </c>
      <c r="D2549" t="inlineStr">
        <is>
          <t>Dagues d'Ilyzaelle; Amulette du Cœur Saignant; Pikano; Anneau Volkorne; Quatre-feuilles; Ceinture Volkorne; Casquipik; Cape du Cœur Saignant; Bottes du Cœur Saignant; Dofus Ivoire; Dofus Vulbis; Dofus Ocre; Dofus Ébène; Dofus Turquoise; Dofus des Glaces; Gwo Tofu Ventripotent</t>
        </is>
      </c>
    </row>
    <row r="2550">
      <c r="A2550" t="inlineStr">
        <is>
          <t>Eau Air distance</t>
        </is>
      </c>
      <c r="B2550">
        <f>HYPERLINK("https://www.dofusbook.net/fr/equipement/5060427-eau-air-distance/objets", "link")</f>
        <v/>
      </c>
      <c r="C2550" t="n">
        <v>5</v>
      </c>
      <c r="D2550" t="inlineStr">
        <is>
          <t>Arc de Koutoulou; Amulette d'Ilyzaelle; Alliance Gloursonne; Gant du Valet Veinard; Bouclier du Stalak; Ceinture Voldelor; Casque d'Ilyzaelle; Cape Matelassée; Bottes de la Reine des Voleurs; Dofus des Glaces; Dofus Abyssal; Dofus Pourpre; Remueur; Vigoureux majeur; Nomade; Mini Wa</t>
        </is>
      </c>
    </row>
    <row r="2551">
      <c r="A2551" t="inlineStr">
        <is>
          <t>200 Ret Pa</t>
        </is>
      </c>
      <c r="B2551">
        <f>HYPERLINK("https://www.dofusbook.net/fr/equipement/5917948-200-ret-pa/objets", "link")</f>
        <v/>
      </c>
      <c r="C2551" t="n">
        <v>1</v>
      </c>
      <c r="D2551" t="inlineStr">
        <is>
          <t>Dagoulinantes; Amulette de l'Œil Attentif; Bracelet des Fonds marins; Alliance Gloursonne; Sept ans de malheur; Culotte de Bethel; Masque de Funespadon; Cape Matelassée; Pataugastrique; Dofus Ivoire; Dofus Ébène; Dofus Abyssal; Nomade; Paralyseur majeur; Étourdisseur majeur; Boskito</t>
        </is>
      </c>
    </row>
    <row r="2552">
      <c r="A2552" t="inlineStr">
        <is>
          <t>Feu Eau Air Pvm</t>
        </is>
      </c>
      <c r="B2552">
        <f>HYPERLINK("https://www.dofusbook.net/fr/equipement/4421203-feu-eau-air-pvm/objets", "link")</f>
        <v/>
      </c>
      <c r="C2552" t="n">
        <v>7</v>
      </c>
      <c r="D2552" t="inlineStr">
        <is>
          <t>Sabres d'Atcham; Amulette Volkorne; Anneau Volkorne; Bracelet du Piloztère; Bouclier du Captain Amakna; Ceinture du Strigide; Casque Volkorne; Cape d'Atcham; Sandales  d'Atcham; Dofus Pourpre; Dofus Ébène; Dofus Ocre; Dofus des Glaces; Dofus Turquoise; Dolmanax; Kokulte</t>
        </is>
      </c>
    </row>
    <row r="2553">
      <c r="A2553" t="inlineStr">
        <is>
          <t>Farming/PL</t>
        </is>
      </c>
      <c r="B2553">
        <f>HYPERLINK("https://www.dofusbook.net/fr/equipement/5860219-farming-pl/objets", "link")</f>
        <v/>
      </c>
      <c r="C2553" t="n">
        <v>5</v>
      </c>
      <c r="D2553" t="inlineStr">
        <is>
          <t>Crocobur; Collier de Tourthon; Anneau Volkorne; Anneau Chevelu; Droiture de Fallanster; Ceinture Volkorne; Masque de Koutoulou; Cape au Logis; Sabots Minables; Dofus Ivoire; Dofus Émeraude; Dofus Ébène; Dofus Pourpre; Dofus Abyssal; Obstructeur majeur; Bulbisou</t>
        </is>
      </c>
    </row>
    <row r="2554">
      <c r="A2554" t="inlineStr">
        <is>
          <t>Hupper Feu ret PA PvP</t>
        </is>
      </c>
      <c r="B2554">
        <f>HYPERLINK("https://www.dofusbook.net/fr/equipement/4942564-hupper-feu-ret-pa-pvp/objets", "link")</f>
        <v/>
      </c>
      <c r="C2554" t="n">
        <v>5</v>
      </c>
      <c r="D2554" t="inlineStr">
        <is>
          <t>Arc corrompu; Amulette Volkorne; Anneau Volkorne; Anneauræus; Bouclier du Stalak; Ceinture de Vortex; Heaume Oplate; Cape Ardente; Pataugastrique; Dofus Abyssal; Dofus Ébène; Dofus Ivoire; Nomade; Koalak Sanguin</t>
        </is>
      </c>
    </row>
    <row r="2555">
      <c r="A2555" t="inlineStr">
        <is>
          <t>PvP Terre</t>
        </is>
      </c>
      <c r="B2555">
        <f>HYPERLINK("https://www.dofusbook.net/fr/equipement/5847822-pvp-terre/objets", "link")</f>
        <v/>
      </c>
      <c r="C2555" t="n">
        <v>3</v>
      </c>
      <c r="D2555" t="inlineStr">
        <is>
          <t>Arc du Chalœil; Collier de Tourthon; Anneau Chevelu; Anneau Volkorne; Bouclier du Stalak; Ceinture Volkorne; Masque de Koutoulou; Cape au Logis; Baleinabottes; Dofus Abyssal; Dofus Ébène; Dofus Pourpre; Dofus des Glaces; Dofus Ivoire; Enragé majeur; Bulbisou</t>
        </is>
      </c>
    </row>
    <row r="2556">
      <c r="A2556" t="inlineStr">
        <is>
          <t>PVP Agi</t>
        </is>
      </c>
      <c r="B2556">
        <f>HYPERLINK("https://www.dofusbook.net/fr/equipement/4811046-pvp-agi/objets", "link")</f>
        <v/>
      </c>
      <c r="C2556" t="n">
        <v>16</v>
      </c>
      <c r="D2556" t="inlineStr">
        <is>
          <t>Manthache; Collier du Valet Veinard; Alliance Gloursonne; Gant du Valet Veinard; Bouclier du Stalak; Menoture; Casque Cyclopéen; Cape Martegel; Palmes Trithons; Dofus Abyssal; Dofus Ébène; Dofus des Glaces; Cascadeur majeur; Nomade; Remueur; Dragodinde Ebène et Ivoire</t>
        </is>
      </c>
    </row>
    <row r="2557">
      <c r="A2557" t="inlineStr">
        <is>
          <t>Full Eau PvM</t>
        </is>
      </c>
      <c r="B2557">
        <f>HYPERLINK("https://www.dofusbook.net/fr/equipement/5683778-full-eau-pvm/objets", "link")</f>
        <v/>
      </c>
      <c r="C2557" t="n">
        <v>4</v>
      </c>
      <c r="D2557" t="inlineStr">
        <is>
          <t>Dagoulinantes; Amulette de Shokkoth; Alliance Gloursonne; Pikano; Bouclier du Stalak; Poulpagne; Capuche de l'Œil Attentif; Cape du Sinistrofu; Bottes du Sinistrofu; Dofus Abyssal; Dofus Ocre; Dofus Ébène; Dofus Vulbis; Dofus Ivoire; Chanceux majeur; Kanigloups</t>
        </is>
      </c>
    </row>
    <row r="2558">
      <c r="A2558" t="inlineStr">
        <is>
          <t>PvP Do Eau</t>
        </is>
      </c>
      <c r="B2558">
        <f>HYPERLINK("https://www.dofusbook.net/fr/equipement/5838740-pvp-do-eau/objets", "link")</f>
        <v/>
      </c>
      <c r="C2558" t="n">
        <v>3</v>
      </c>
      <c r="D2558" t="inlineStr">
        <is>
          <t>Rapière aux Glyphes; Amulette de Shokkoth; Alliance Gloursonne; Pikano; Bouclier d'Ilyzaelle; Ceinture de la Reine des Voleurs; Kidibonnet; Cape Solution; Bottes de la Reine des Voleurs; Dofus Pourpre; Dofus Ivoire; Dofus Vulbis; Dofus Ébène; Dofus Abyssal; Chanceux majeur; Kanigloups</t>
        </is>
      </c>
    </row>
    <row r="2559">
      <c r="A2559" t="inlineStr">
        <is>
          <t>Terre do crit</t>
        </is>
      </c>
      <c r="B2559">
        <f>HYPERLINK("https://www.dofusbook.net/fr/equipement/5816591-terre-do-crit/objets", "link")</f>
        <v/>
      </c>
      <c r="C2559" t="n">
        <v>4</v>
      </c>
      <c r="D2559" t="inlineStr">
        <is>
          <t>Arc du Chalœil; Amulette du Cœur Saignant; Anneau Volkorne; Bague Gloursonne; Quatre-feuilles; Ceinture Volkorne; Corne de Torkélonia; Cape du Cœur Saignant; Bottes du Cœur Saignant; Dofus Abyssal; Dofus Turquoise; Dofus Ivoire; Dofus Ocre; Dofus Ébène; Dofus Vulbis; Pioute vert</t>
        </is>
      </c>
    </row>
    <row r="2560">
      <c r="A2560" t="inlineStr">
        <is>
          <t>Terre crit</t>
        </is>
      </c>
      <c r="B2560">
        <f>HYPERLINK("https://www.dofusbook.net/fr/equipement/5683725-terre-crit/objets", "link")</f>
        <v/>
      </c>
      <c r="C2560" t="n">
        <v>8</v>
      </c>
      <c r="D2560" t="inlineStr">
        <is>
          <t>Arc du Chalœil; Amulette du Cœur Saignant; Anneau Volkorne; Anneau Chevelu; Quatre-feuilles; Ceinture Volkorne; Masque de Koutoulou; Cape du Cœur Saignant; Bottes du Cœur Saignant; Dofus Turquoise; Dofus Ébène; Dofus Vulbis; Dofus Abyssal; Dofus Pourpre; Dofus Ivoire; Pioute vert</t>
        </is>
      </c>
    </row>
    <row r="2561">
      <c r="A2561" t="inlineStr">
        <is>
          <t>PvM Terre/Feu</t>
        </is>
      </c>
      <c r="B2561">
        <f>HYPERLINK("https://www.dofusbook.net/fr/equipement/5809023-pvm-terre-feu/objets", "link")</f>
        <v/>
      </c>
      <c r="C2561" t="n">
        <v>2</v>
      </c>
      <c r="D2561" t="inlineStr">
        <is>
          <t>Hache Téroïde; Amulette Volkorne; Bague Gloursonne; Chevalière du Roi Joueur; Quatre-feuilles; Ceinture Volkorne; Couronne du Roi Joueur; Voile d'encre; Bottes du Roi Joueur; Dofus Vulbis; Dofus Turquoise; Dofus Ivoire; Dofus Abyssal; Dofus Ocre; Dofus Ébène; Cromeugnon</t>
        </is>
      </c>
    </row>
    <row r="2562">
      <c r="A2562" t="inlineStr">
        <is>
          <t>PvM Do Crit</t>
        </is>
      </c>
      <c r="B2562">
        <f>HYPERLINK("https://www.dofusbook.net/fr/equipement/5751528-pvm-do-crit/objets", "link")</f>
        <v/>
      </c>
      <c r="C2562" t="n">
        <v>4</v>
      </c>
      <c r="D2562" t="inlineStr">
        <is>
          <t>Arc Nécrotique; Amulette Volkorne; Bracelet du Piloztère; Anneau Volkorne; Quatre-feuilles; Ceintacé; Capuche de l'Œil Putride; Cape de la Dame du Hasard; Bottes de la Dame du Hasard; Dofus Vulbis; Dofus des Glaces; Dofus Turquoise; Dofus Abyssal; Dofus Ocre; Dofus Ivoire; Kokulte</t>
        </is>
      </c>
    </row>
    <row r="2563">
      <c r="A2563" t="inlineStr">
        <is>
          <t>Air 12/6 Allister</t>
        </is>
      </c>
      <c r="B2563">
        <f>HYPERLINK("https://www.dofusbook.net/fr/equipement/5778383-air-12-6-allister/objets", "link")</f>
        <v/>
      </c>
      <c r="C2563" t="n">
        <v>3</v>
      </c>
      <c r="D2563" t="inlineStr">
        <is>
          <t>Manthache; Collier du Valet Veinard; Anneau d'Allister; Gant du Valet Veinard; Bouclier du Stalak; Sangle Oriole; Couronne d'Allister; Cape du Valet Veinard; Bottes d'Allister; Dofus Abyssal; Dofus Ivoire; Dofus des Glaces; Dofus Pourpre; Robuste majeur; Voyageur; Volkorne Ebène</t>
        </is>
      </c>
    </row>
    <row r="2564">
      <c r="A2564" t="inlineStr">
        <is>
          <t>PvP Feu classic</t>
        </is>
      </c>
      <c r="B2564">
        <f>HYPERLINK("https://www.dofusbook.net/fr/equipement/5699322-pvp-feu-classic/objets", "link")</f>
        <v/>
      </c>
      <c r="C2564" t="n">
        <v>1</v>
      </c>
      <c r="D2564" t="inlineStr">
        <is>
          <t>Arc corrompu; Amulette Volkorne; Anneauræus; Anneauræus; Bouclier du Stalak; Ceinture Volkorne; Heaume Oplate; Voile d'encre; Pataugastrique; Dofus Pourpre; Dofus Ébène; Dofus Vulbis; Dofus Abyssal; Dofus Ivoire; Érudit majeur; Bisouglours</t>
        </is>
      </c>
    </row>
    <row r="2565">
      <c r="A2565" t="inlineStr">
        <is>
          <t>Reda</t>
        </is>
      </c>
      <c r="B2565">
        <f>HYPERLINK("https://www.dofusbook.net/fr/equipement/5703978-reda-/objets", "link")</f>
        <v/>
      </c>
      <c r="C2565" t="n">
        <v>3</v>
      </c>
      <c r="D2565" t="inlineStr">
        <is>
          <t>Hache Téroïde; Amulette Volkorne; Anneau Volkorne; Bague Trithon; Quatre-feuilles; Ceinture Volkorne; Masque Trithon; Cape du Chalœil; Bottes Trithon; Dofus Abyssal; Dofus Pourpre; Dofus Ébène; Dofus Turquoise; Dofus Ocre; Dofus Ivoire; Kokulte</t>
        </is>
      </c>
    </row>
    <row r="2566">
      <c r="A2566" t="inlineStr">
        <is>
          <t>Terre Do Pou</t>
        </is>
      </c>
      <c r="B2566">
        <f>HYPERLINK("https://www.dofusbook.net/fr/equipement/5678117-terre-do-pou/objets", "link")</f>
        <v/>
      </c>
      <c r="C2566" t="n">
        <v>3</v>
      </c>
      <c r="D2566" t="inlineStr">
        <is>
          <t>Lav'Hache; Amulette du Cœur Saignant; Anneau Chevelu; Bague Trithon; Bouclier Taverne; Ceinture Gence; Masque de Koutoulou; Cape du Cœur Saignant; Bottes du Cœur Vaillant; Dofus Ivoire; Dofus Ébène; Dofus Abyssal; Bousculeur majeur; Nomade; Culbuteur majeur; Black Tiwabbit</t>
        </is>
      </c>
    </row>
    <row r="2567">
      <c r="A2567" t="inlineStr">
        <is>
          <t>PvP Eau Do Pou cc</t>
        </is>
      </c>
      <c r="B2567">
        <f>HYPERLINK("https://www.dofusbook.net/fr/equipement/5667402-pvp-eau-do-pou-cc/objets", "link")</f>
        <v/>
      </c>
      <c r="C2567" t="n">
        <v>3</v>
      </c>
      <c r="D2567" t="inlineStr">
        <is>
          <t>Rapière aux Glyphes; Amulette du Sinistrofu; Alliance Gloursonne; Bague Trithon; Bouclier Taverne; Sangle Ouare; Casque Dragoeuf; Cape Solution; Bottes Trithon; Dofus Ébène; Dofus Abyssal; Dofus Ivoire; Remueur; Culbuteur majeur; Bousculeur majeur; Écumouth</t>
        </is>
      </c>
    </row>
    <row r="2568">
      <c r="A2568" t="inlineStr">
        <is>
          <t>Eau Do pou no cc</t>
        </is>
      </c>
      <c r="B2568">
        <f>HYPERLINK("https://www.dofusbook.net/fr/equipement/5677980-eau-do-pou-no-cc/objets", "link")</f>
        <v/>
      </c>
      <c r="C2568" t="n">
        <v>3</v>
      </c>
      <c r="D2568" t="inlineStr">
        <is>
          <t>Rapière aux Glyphes; Amulette du Sinistrofu; Bague Trithon; Alliance Gloursonne; Bouclier Taverne; Sangle Ouare; Masque Paztek; Cape Solution; Sandales Paztek; Dofus Abyssal; Dofus Ivoire; Dofus Ébène; Bousculeur majeur; Remueur; Culbuteur majeur; Écumouth</t>
        </is>
      </c>
    </row>
    <row r="2569">
      <c r="A2569" t="inlineStr">
        <is>
          <t>Hupper Multi</t>
        </is>
      </c>
      <c r="B2569">
        <f>HYPERLINK("https://www.dofusbook.net/fr/equipement/5099134-hupper-multi/objets", "link")</f>
        <v/>
      </c>
      <c r="C2569" t="n">
        <v>11</v>
      </c>
      <c r="D2569" t="inlineStr">
        <is>
          <t>Arc Volkorne; Amulette Volkorne; Anneau de Padgref; Anneau Volkorne; Quatre-feuilles; Ceinture Volkorne; Coiffe de Padgref; Chevelure de Tal Kasha; Getas de Padgref; Dofus Turquoise; Dofus des Glaces; Dofus Ocre; Dofus Abyssal; Dofus Pourpre; Dofus Ébène; Kokulte</t>
        </is>
      </c>
    </row>
    <row r="2570">
      <c r="A2570" t="inlineStr">
        <is>
          <t>PvP Eau</t>
        </is>
      </c>
      <c r="B2570">
        <f>HYPERLINK("https://www.dofusbook.net/fr/equipement/5648864-pvp-eau/objets", "link")</f>
        <v/>
      </c>
      <c r="C2570" t="n">
        <v>2</v>
      </c>
      <c r="D2570" t="inlineStr">
        <is>
          <t>Sceptre du Roi Joueur; Amulette Volkorne; Alliance Gloursonne; Anneau Volkorne; Bouclier d'Ilyzaelle; Pagne du Rykaon; Kidibonnet; Cape de l'Œil Attentif; Pataugastrique; Dofus Abyssal; Dofus Ivoire; Dofus Pourpre; Dofus Ébène; Chanceux majeur; Nomade; Kanigloups</t>
        </is>
      </c>
    </row>
    <row r="2571">
      <c r="A2571" t="inlineStr">
        <is>
          <t>PvP Do Pou</t>
        </is>
      </c>
      <c r="B2571">
        <f>HYPERLINK("https://www.dofusbook.net/fr/equipement/5655374-pvp-do-pou/objets", "link")</f>
        <v/>
      </c>
      <c r="C2571" t="n">
        <v>2</v>
      </c>
      <c r="D2571" t="inlineStr">
        <is>
          <t>Arc du Chalœil; Torquistik; Bague Trithon; Bague Instable; Bouclier précieux; Sangle Ouare; Casque Dragoeuf; Cape Solution; Bottistik; Dofus Abyssal; Dofus Ivoire; Culbuteur majeur; Bousculeur majeur; Pousseur majeur; Volkorne Roux</t>
        </is>
      </c>
    </row>
    <row r="2572">
      <c r="A2572" t="inlineStr">
        <is>
          <t>PVP Feu</t>
        </is>
      </c>
      <c r="B2572">
        <f>HYPERLINK("https://www.dofusbook.net/fr/equipement/5294941-pvp-feu-/objets", "link")</f>
        <v/>
      </c>
      <c r="C2572" t="n">
        <v>6</v>
      </c>
      <c r="D2572" t="inlineStr">
        <is>
          <t>Baguette de Malléfisk; Amulette Volkorne; Anneauræus; Anneauræus; Bouclier du Cycloïde; Ceinture de Vortex; Heaume Oplate; Cape Ardente; Chaussures Ardentes; Dofus Vulbis; Dofus Ivoire; Dofus Ébène; Étourdisseur majeur; Érudit majeur; Remueur; Ross</t>
        </is>
      </c>
    </row>
    <row r="2573">
      <c r="A2573" t="inlineStr">
        <is>
          <t>Terre Do crit</t>
        </is>
      </c>
      <c r="B2573">
        <f>HYPERLINK("https://www.dofusbook.net/fr/equipement/5484757-terre-do-crit/objets", "link")</f>
        <v/>
      </c>
      <c r="C2573" t="n">
        <v>3</v>
      </c>
      <c r="D2573" t="inlineStr">
        <is>
          <t>Arc du Chalœil; Amulette du Cœur Saignant; Crocanneau; Anneau Volkorne; Quatre-feuilles; Ceinture Volkorne; Corne de Torkélonia; Carapace de Torkélonia; Bottes du Cœur Saignant; Dofus Ocre; Dofus Abyssal; Dofus Turquoise; Dofus Ivoire; Dofus Vulbis; Dofus Ébène; Kokulte</t>
        </is>
      </c>
    </row>
    <row r="2574">
      <c r="A2574" t="inlineStr">
        <is>
          <t>Terre Air Do crit</t>
        </is>
      </c>
      <c r="B2574">
        <f>HYPERLINK("https://www.dofusbook.net/fr/equipement/5379220-terre-air-do-crit/objets", "link")</f>
        <v/>
      </c>
      <c r="C2574" t="n">
        <v>2</v>
      </c>
      <c r="D2574" t="inlineStr">
        <is>
          <t>Dagues du Dragoeuf; Amulette du Strigide; Bague Gloursonne; Bague Trithon; Quatre-feuilles; Ceinture du Strigide; Corne de Torkélonia; Carapace de Torkélonia; Bottes Trithon; Dofus Vulbis; Dofus Ébène; Dofus Turquoise; Dofus des Glaces; Dofus Ivoire; Dofus Ocre; Kokulte</t>
        </is>
      </c>
    </row>
    <row r="2575">
      <c r="A2575" t="inlineStr">
        <is>
          <t>Do crit de ouf</t>
        </is>
      </c>
      <c r="B2575">
        <f>HYPERLINK("https://www.dofusbook.net/fr/equipement/5392128-do-crit-de-ouf/objets", "link")</f>
        <v/>
      </c>
      <c r="C2575" t="n">
        <v>5</v>
      </c>
      <c r="D2575" t="inlineStr">
        <is>
          <t>Baguette de Torkélonia; Amulette du Strigide; Bracelet du Piloztère; Anneau de Padgref; Quatre-feuilles; Ceinture du Strigide; Coiffe de Padgref; Carapace de Torkélonia; Getas de Padgref; Dofus Ocre; Dofus Ébène; Dofus Vulbis; Dofus des Glaces; Dofus Turquoise; Dofus Pourpre; Kokulte</t>
        </is>
      </c>
    </row>
    <row r="2576">
      <c r="A2576" t="inlineStr">
        <is>
          <t>PVM Full Feu</t>
        </is>
      </c>
      <c r="B2576">
        <f>HYPERLINK("https://www.dofusbook.net/fr/equipement/5294385-pvm-full-feu/objets", "link")</f>
        <v/>
      </c>
      <c r="C2576" t="n">
        <v>6</v>
      </c>
      <c r="D2576" t="inlineStr">
        <is>
          <t>Baguette de Malléfisk; Amulette Volkorne; Anneauræus; Anneauræus; Bivalve; Ceinture Volkorne; Heaume Oplate; Cape de Diondin; Bottes Innommables; Dofus Pourpre; Dofus Ébène; Dofus Vulbis; Dofus Ivoire; Guérisseur majeur; Érudit majeur; Dragodinde Orchidée et Rousse</t>
        </is>
      </c>
    </row>
    <row r="2577">
      <c r="A2577" t="inlineStr">
        <is>
          <t>do crit Low Cost</t>
        </is>
      </c>
      <c r="B2577">
        <f>HYPERLINK("https://www.dofusbook.net/fr/equipement/5057359-do-crit-low-cost/objets", "link")</f>
        <v/>
      </c>
      <c r="C2577" t="n">
        <v>8</v>
      </c>
      <c r="D2577" t="inlineStr">
        <is>
          <t>Hache du Chalœil; Amulette du Strigide; Anneau de Padgref; Bracelet du Piloztère; Quatre-feuilles; Ceinture du Strigide; Le Dorado; Cape des Justiciers; Bottes Honyme; Dofus Pourpre; Dofus des Glaces; Dofus Turquoise; Dofus Abyssal; Vigoureux majeur; Nomade; Kokulte</t>
        </is>
      </c>
    </row>
    <row r="2578">
      <c r="A2578" t="inlineStr">
        <is>
          <t>PVP Do Pou</t>
        </is>
      </c>
      <c r="B2578">
        <f>HYPERLINK("https://www.dofusbook.net/fr/equipement/4942528-pvp-do-pou/objets", "link")</f>
        <v/>
      </c>
      <c r="C2578" t="n">
        <v>4</v>
      </c>
      <c r="D2578" t="inlineStr">
        <is>
          <t>Arc du Chalœil; Torquistik; Bague Trithon; Baguistik; Bouclier précieux; Ceinture Gence; Casque Dragoeuf; Cape Solution; Bottes du Cul Botté; Dofus Ivoire; Dofus Abyssal; Pousseur majeur; Culbuteur; Culbuteur majeur; Bousculeur majeur; Balafreux</t>
        </is>
      </c>
    </row>
    <row r="2579">
      <c r="A2579" t="inlineStr">
        <is>
          <t>PVM Full Terre</t>
        </is>
      </c>
      <c r="B2579">
        <f>HYPERLINK("https://www.dofusbook.net/fr/equipement/5196252-pvm-full-terre/objets", "link")</f>
        <v/>
      </c>
      <c r="C2579" t="n">
        <v>1</v>
      </c>
      <c r="D2579" t="inlineStr">
        <is>
          <t>Marteau R'ture; Collier de Tourthon; Anneau de Brouce; Anneau Volkorne; Bouclier du Stalak; Ceinture Volkorne; Masque de Koutoulou; Cape au Logis; Bottes de la Cour Sombre; Dofus Pourpre; Dofus des Glaces; Dofus Ébène; Enragé majeur; Remueur; Vigoureux majeur; Bulbisou</t>
        </is>
      </c>
    </row>
    <row r="2580">
      <c r="A2580" t="inlineStr">
        <is>
          <t>PVM Full Air</t>
        </is>
      </c>
      <c r="B2580">
        <f>HYPERLINK("https://www.dofusbook.net/fr/equipement/5294344-pvm-full-air/objets", "link")</f>
        <v/>
      </c>
      <c r="C2580" t="n">
        <v>2</v>
      </c>
      <c r="D2580" t="inlineStr">
        <is>
          <t>Manthache; Collier du Valet Veinard; Alliance Gloursonne; Gant du Valet Veinard; Bouclier d'Ilyzaelle; Menoture; Couronne d'Allister; Cape Indescriptible; Palmes Trithons; Dofus Ivoire; Dofus Vulbis; Dofus Ébène; Dofus Pourpre; Remueur; Cascadeur majeur; Blérodoudou</t>
        </is>
      </c>
    </row>
    <row r="2581">
      <c r="A2581" t="inlineStr">
        <is>
          <t>PVM Full Eau</t>
        </is>
      </c>
      <c r="B2581">
        <f>HYPERLINK("https://www.dofusbook.net/fr/equipement/5293914-pvm-full-eau/objets", "link")</f>
        <v/>
      </c>
      <c r="C2581" t="n">
        <v>4</v>
      </c>
      <c r="D2581" t="inlineStr">
        <is>
          <t>Dagoulinantes; Amulette d'Ilyzaelle; Anneau Volkorne; Bracelet des Fonds marins; Bouclier d'Ilyzaelle; Ceinture de la Reine des Voleurs; Casque d'Ilyzaelle; Cape Solution; Bottes de la Reine des Voleurs; Dofus Abyssal; Dofus des Glaces; Dofus Pourpre; Dofus Ébène; Dofus Vulbis; Dofus Ivoire; Kanigloups</t>
        </is>
      </c>
    </row>
    <row r="2582">
      <c r="A2582" t="inlineStr">
        <is>
          <t>Do Cri</t>
        </is>
      </c>
      <c r="B2582">
        <f>HYPERLINK("https://www.dofusbook.net/fr/equipement/5148726-do-cri/objets", "link")</f>
        <v/>
      </c>
      <c r="C2582" t="n">
        <v>3</v>
      </c>
      <c r="D2582" t="inlineStr">
        <is>
          <t>Sabres d'Atcham; Amulette du Strigide; Bracelet du Piloztère; Anneau de Padgref; Bouclier du Captain Amakna; Ceinture du Strigide; Coiffe de Padgref; Cape d'Atcham; Getas de Padgref; Dofus Pourpre; Dofus Abyssal; Dofus Vulbis; Dofus Turquoise; Dofus Ocre; Dofus des Glaces; Kokulte</t>
        </is>
      </c>
    </row>
    <row r="2583">
      <c r="A2583" t="inlineStr">
        <is>
          <t>Tank</t>
        </is>
      </c>
      <c r="B2583">
        <f>HYPERLINK("https://www.dofusbook.net/fr/equipement/4382454-tank/objets", "link")</f>
        <v/>
      </c>
      <c r="C2583" t="n">
        <v>18</v>
      </c>
      <c r="D2583" t="inlineStr">
        <is>
          <t>Rouleau à Pâtisserie d'Aermyne; Collier Rophante; Bracelet du Piloztère; Alliance Gloursonne; Sept ans de malheur; Ceintacé; Masque d'Anerice; Cape d'Anerice; Pataugastrique; Dofus Émeraude; Dofus Abyssal; Dofus Ivoire; Bloqueur majeur; Obstructeur majeur; Carapace Eau majeur; Givrefoux</t>
        </is>
      </c>
    </row>
    <row r="2584">
      <c r="A2584" t="inlineStr">
        <is>
          <t>Ilyzaelle Terre Feu</t>
        </is>
      </c>
      <c r="B2584">
        <f>HYPERLINK("https://www.dofusbook.net/fr/equipement/4738085-ilyzaelle-terre-feu/objets", "link")</f>
        <v/>
      </c>
      <c r="C2584" t="n">
        <v>20</v>
      </c>
      <c r="D2584" t="inlineStr">
        <is>
          <t>Bâthon; Amulette Volkorne; Bague Gloursonne; Chevalière du Roi Joueur; Quatre-feuilles; Ceinture Volkorne; Chapeau de Gein; Cape des Justiciers; Bottes Honyme; Dofus Pourpre; Dofus des Glaces; Enragé majeur; Vigoureux majeur; Nomade; Érudit majeur; Cromeugnon</t>
        </is>
      </c>
    </row>
    <row r="2585">
      <c r="A2585" t="inlineStr">
        <is>
          <t>Skin Trompe la Mort</t>
        </is>
      </c>
      <c r="B2585">
        <f>HYPERLINK("https://www.dofusbook.net/fr/equipement/5053257-skin-trompe-la-mort/objets", "link")</f>
        <v/>
      </c>
      <c r="C2585" t="n">
        <v>2</v>
      </c>
      <c r="D2585" t="inlineStr">
        <is>
          <t>Trompe-la-Mort; Coiffe d'Ogivol; Cape d'Ogivol; Homlett</t>
        </is>
      </c>
    </row>
    <row r="2586">
      <c r="A2586" t="inlineStr">
        <is>
          <t>Hupper Teroide</t>
        </is>
      </c>
      <c r="B2586">
        <f>HYPERLINK("https://www.dofusbook.net/fr/equipement/5057330-hupper-teroide/objets", "link")</f>
        <v/>
      </c>
      <c r="C2586" t="n">
        <v>8</v>
      </c>
      <c r="D2586" t="inlineStr">
        <is>
          <t>Hache Téroïde; Amulette Volkorne; Bague Trithon; Anneau Volkorne; Quatre-feuilles; Ceinture Volkorne; Masque Trithon; Voile d'encre; Bottes Honyme; Dofus Ocre; Dofus Abyssal; Dofus Pourpre; Dofus Ébène; Dofus Turquoise; Dofus des Glaces; Kokulte</t>
        </is>
      </c>
    </row>
    <row r="2587">
      <c r="A2587" t="inlineStr">
        <is>
          <t>Zobal F 200</t>
        </is>
      </c>
      <c r="B2587">
        <f>HYPERLINK("https://www.dofusbook.net/fr/equipement/5054088-zobal-f-200/objets", "link")</f>
        <v/>
      </c>
      <c r="C2587" t="n">
        <v>1</v>
      </c>
      <c r="D2587" t="inlineStr">
        <is>
          <t>Arc Nécrotique; Amulette du Strigide; Alliance de Missiz Frizz; Bague Trithon; Quatre-feuilles; Ceintacé; Masque Trithon; Cape de la Dame du Hasard; Pataugastrique; Dofus des Glaces; Dofus Pourpre; Dofus Abyssal; Dofus Turquoise; Vigoureux majeur; Nomade; Kokulte</t>
        </is>
      </c>
    </row>
    <row r="2588">
      <c r="A2588" t="inlineStr">
        <is>
          <t>Xel Terre Eau PVM</t>
        </is>
      </c>
      <c r="B2588">
        <f>HYPERLINK("https://www.dofusbook.net/fr/equipement/5053170-xel-terre-eau-pvm/objets", "link")</f>
        <v/>
      </c>
      <c r="C2588" t="n">
        <v>4</v>
      </c>
      <c r="D2588" t="inlineStr">
        <is>
          <t>Pelle Fik; Amulette du Strigide; Alliance de Missiz Frizz; Anneau Volkorne; Bouclier du Captain Amakna; Ceinture Volkorne; Casque de Missiz Frizz; Cape Solution; Bottes du Strigide; Dofus Turquoise; Dofus Ébène; Dofus Ocre; Dofus des Glaces; Dofus Pourpre; Dofus Vulbis; Kokulte</t>
        </is>
      </c>
    </row>
    <row r="2589">
      <c r="A2589" t="inlineStr">
        <is>
          <t>Iop Eau Do cri PVM</t>
        </is>
      </c>
      <c r="B2589">
        <f>HYPERLINK("https://www.dofusbook.net/fr/equipement/5022170-iop-eau-do-cri-pvm/objets", "link")</f>
        <v/>
      </c>
      <c r="C2589" t="n">
        <v>1</v>
      </c>
      <c r="D2589" t="inlineStr">
        <is>
          <t>Crocobur; Amulette de l'Œil Attentif; Bracelet des Fonds marins; Anneau Volkorne; Bouclier du Captain Amakna; Pagne du Rykaon; Kidibonnet; Cape de la Dame du Hasard; Bottes de la Dame du Hasard; Dofus Turquoise; Dofus Ocre; Dofus des Glaces; Dofus Pourpre; Chanceux majeur; Nomade; Pioute bleu</t>
        </is>
      </c>
    </row>
    <row r="2590">
      <c r="A2590" t="inlineStr">
        <is>
          <t>Iop Terre Feu Pvm</t>
        </is>
      </c>
      <c r="B2590">
        <f>HYPERLINK("https://www.dofusbook.net/fr/equipement/5022125-iop-terre-feu-pvm/objets", "link")</f>
        <v/>
      </c>
      <c r="C2590" t="n">
        <v>4</v>
      </c>
      <c r="D2590" t="inlineStr">
        <is>
          <t>Bâthon; Amulette du Strigide; Chevalière du Roi Joueur; Bague Gloursonne; Quatre-feuilles; Ceintacé; Couronne du Roi Joueur; Cape de Jahash Jurgen; Bottes Honyme; Dofus Pourpre; Dofus des Glaces; Dofus Turquoise; Dofus Ébène; Vigoureux majeur; Nomade; Cromeugnon</t>
        </is>
      </c>
    </row>
    <row r="2591">
      <c r="A2591" t="inlineStr">
        <is>
          <t>SadiTerre Ret Pm PVM</t>
        </is>
      </c>
      <c r="B2591">
        <f>HYPERLINK("https://www.dofusbook.net/fr/equipement/5015968-saditerre-ret-pm-pvm/objets", "link")</f>
        <v/>
      </c>
      <c r="C2591" t="n">
        <v>17</v>
      </c>
      <c r="D2591" t="inlineStr">
        <is>
          <t>Marteau R'ture; Amulette du Cœur Saignant; Pikano; Bracelet du Piloztère; Bouclier cubiste; Ceinture Volkorne; Masque de Koutoulou; Cape au Logis; Bottes du Cœur Saignant; Dofus Turquoise; Dofus Ocre; Dofus des Glaces; Dofus Pourpre; Entraveur majeur; Temporiseur majeur; Gwo Tofu Ventripotent</t>
        </is>
      </c>
    </row>
    <row r="2592">
      <c r="A2592" t="inlineStr">
        <is>
          <t>Hupper Terre Eau cri</t>
        </is>
      </c>
      <c r="B2592">
        <f>HYPERLINK("https://www.dofusbook.net/fr/equipement/5005993-hupper-terre-eau-cri/objets", "link")</f>
        <v/>
      </c>
      <c r="C2592" t="n">
        <v>1</v>
      </c>
      <c r="D2592" t="inlineStr">
        <is>
          <t>Amulette du Strigide; Bague Trithon; Bracelet du Piloztère; Quatre-feuilles; Ceinture du Strigide; Masque Trithon; Cape du Chalœil; Bottes du Chalœil; Dofus Turquoise; Dofus Vulbis; Dofus Ivoire; Dofus des Glaces; Dofus Pourpre; Dofus Ocre; Sakochère</t>
        </is>
      </c>
    </row>
    <row r="2593">
      <c r="A2593" t="inlineStr">
        <is>
          <t>Hupper Terre do crit</t>
        </is>
      </c>
      <c r="B2593">
        <f>HYPERLINK("https://www.dofusbook.net/fr/equipement/5006141-hupper-terre-do-crit/objets", "link")</f>
        <v/>
      </c>
      <c r="C2593" t="n">
        <v>1</v>
      </c>
      <c r="D2593" t="inlineStr">
        <is>
          <t>Arc du Chalœil; Amulette du Cœur Saignant; Anneau Chevelu; Anneau Volkorne; Quatre-feuilles; Ceinture Volkorne; Masque de Koutoulou; Cape du Cœur Saignant; Bottes du Cœur Saignant; Dofus Vulbis; Dofus des Glaces; Dofus Pourpre; Dofus Ivoire; Dofus Turquoise; Dofus Ébène; Pioute vert</t>
        </is>
      </c>
    </row>
    <row r="2594">
      <c r="A2594" t="inlineStr">
        <is>
          <t>Eca Feu Do Crit PVP</t>
        </is>
      </c>
      <c r="B2594">
        <f>HYPERLINK("https://www.dofusbook.net/fr/equipement/4977056-eca-feu-do-crit-pvp/objets", "link")</f>
        <v/>
      </c>
      <c r="C2594" t="n">
        <v>3</v>
      </c>
      <c r="D2594" t="inlineStr">
        <is>
          <t>Dagues Ricol; Amulette de Gein; Anneauræus; Anneauræus; Bouclier du Stalak; Ceinture de Gein; Heaume Oplate; Cape de la Dame du Hasard; Pataugastrique; Dofus Ivoire; Dofus Ébène; Dofus Pourpre; Dofus Abyssal; Nomade; Érudit majeur; Pioute rouge</t>
        </is>
      </c>
    </row>
    <row r="2595">
      <c r="A2595" t="inlineStr">
        <is>
          <t>Eca Air Do Pou PVP</t>
        </is>
      </c>
      <c r="B2595">
        <f>HYPERLINK("https://www.dofusbook.net/fr/equipement/4950918-eca-air-do-pou-pvp/objets", "link")</f>
        <v/>
      </c>
      <c r="C2595" t="n">
        <v>1</v>
      </c>
      <c r="D2595" t="inlineStr">
        <is>
          <t>Plume de Buhorado; Amulette du Cœur Vaillant; Alliance Gloursonne; Gant du Valet Veinard; Bouclier du Stalak; Menoture; Chapibou; Capibou; Palmes Trithons; Dofus Pourpre; Dofus des Glaces; Dofus Ocre; Dofus Ivoire; Bousculeur majeur; Culbuteur majeur; Bouflux</t>
        </is>
      </c>
    </row>
    <row r="2596">
      <c r="A2596" t="inlineStr">
        <is>
          <t>Hupper Multi</t>
        </is>
      </c>
      <c r="B2596">
        <f>HYPERLINK("https://www.dofusbook.net/fr/equipement/4947857-hupper-multi-/objets", "link")</f>
        <v/>
      </c>
      <c r="C2596" t="n">
        <v>4</v>
      </c>
      <c r="D2596" t="inlineStr">
        <is>
          <t>Arc Honte; Amulette Volkorne; Alliance Gloursonne; Anneau Volkorne; Bouclier du Stalak; Ceinture Volkorne; Le Dorado; Cape de Jahash Jurgen; Bottes Honyme; Dofus Pourpre; Dofus des Glaces; Dofus Ivoire; Dofus Abyssal; Dofus Ébène; Dolmanax; Kramkram</t>
        </is>
      </c>
    </row>
    <row r="2597">
      <c r="A2597" t="inlineStr">
        <is>
          <t>Hupper Terre PVP</t>
        </is>
      </c>
      <c r="B2597">
        <f>HYPERLINK("https://www.dofusbook.net/fr/equipement/4943079-hupper-terre-pvp/objets", "link")</f>
        <v/>
      </c>
      <c r="C2597" t="n">
        <v>6</v>
      </c>
      <c r="D2597" t="inlineStr">
        <is>
          <t>Arc du Chalœil; Collier de Tourthon; Anneau Chevelu; Bague Gloursonne; Bouclier du Stalak; Ceinture de la Reine des Voleurs; Coiffe de la Reine des Voleurs; Cape au Logis; Baleinabottes; Dofus Pourpre; Dofus des Glaces; Dofus Ivoire; Dofus Abyssal; Dofus Ébène; Remueur; Dragodinde Ivoire et Pourpre</t>
        </is>
      </c>
    </row>
    <row r="2598">
      <c r="A2598" t="inlineStr">
        <is>
          <t>Sacrieur F 200</t>
        </is>
      </c>
      <c r="B2598">
        <f>HYPERLINK("https://www.dofusbook.net/fr/equipement/4919168-sacrieur-f-200/objets", "link")</f>
        <v/>
      </c>
      <c r="C2598" t="n">
        <v>1</v>
      </c>
      <c r="D2598" t="inlineStr"/>
    </row>
    <row r="2599">
      <c r="A2599" t="inlineStr">
        <is>
          <t>Enutrof M 200</t>
        </is>
      </c>
      <c r="B2599">
        <f>HYPERLINK("https://www.dofusbook.net/fr/equipement/4887833-enutrof-m-200/objets", "link")</f>
        <v/>
      </c>
      <c r="C2599" t="n">
        <v>4</v>
      </c>
      <c r="D2599" t="inlineStr">
        <is>
          <t>Marteau R'ture; Amulette des Chocomanciens; Anneau Tamie; Anneau Tamie; Bouclier cubiste; Ceinture des Chocomanciens; Casquipik; Cape de Léthaline; Pantoufles Émar; Temporiseur; Temporiseur majeur; Entraveur; Entraveur majeur; Ralentisseur majeur; Remueur; Gwo Tofu Ventripotent</t>
        </is>
      </c>
    </row>
    <row r="2600">
      <c r="A2600" t="inlineStr">
        <is>
          <t>Tempo Feu Eau</t>
        </is>
      </c>
      <c r="B2600">
        <f>HYPERLINK("https://www.dofusbook.net/fr/equipement/4518094-tempo-feu-eau/objets", "link")</f>
        <v/>
      </c>
      <c r="C2600" t="n">
        <v>12</v>
      </c>
      <c r="D2600" t="inlineStr">
        <is>
          <t>Épée Brûlâme; Amulette Volkorne; Anneau Volkorne; Bracelet du Piloztère; Bouclier Taverne; Ceintacé; Maskrobe; Cape de la Dame du Hasard; Pataugastrique; Dofus Pourpre; Dofus Turquoise; Dofus des Glaces; Observateur; Vigoureux majeur; Nomade; Kokulte</t>
        </is>
      </c>
    </row>
    <row r="2601">
      <c r="A2601" t="inlineStr">
        <is>
          <t>Tempo Eau</t>
        </is>
      </c>
      <c r="B2601">
        <f>HYPERLINK("https://www.dofusbook.net/fr/equipement/4600718-tempo-eau-/objets", "link")</f>
        <v/>
      </c>
      <c r="C2601" t="n">
        <v>8</v>
      </c>
      <c r="D2601" t="inlineStr">
        <is>
          <t>Épée Brûlâme; Collier de la Dame du Hasard; Bracelet du Piloztère; Alliance de Missiz Frizz; Bouclier Taverne; Sangle Ouare; Casquette de Meno; Cape de la Dame du Hasard; Pataugastrique; Dofus Turquoise; Dofus Pourpre; Dofus des Glaces; Vigoureux majeur; Nomade; Remueur; Kokulte</t>
        </is>
      </c>
    </row>
    <row r="2602">
      <c r="A2602" t="inlineStr">
        <is>
          <t>Tempo Multi</t>
        </is>
      </c>
      <c r="B2602">
        <f>HYPERLINK("https://www.dofusbook.net/fr/equipement/4497343-tempo-multi/objets", "link")</f>
        <v/>
      </c>
      <c r="C2602" t="n">
        <v>5</v>
      </c>
      <c r="D2602" t="inlineStr">
        <is>
          <t>Dagues Érhy; Amulette du Strigide; Bracelet Ventré; Chevalière du Roi Joueur; Bouclier Taverne; Ceinture du Strigide; Masque Brûlâme; Cape des Justiciers; Bottes du Cycloïde; Dofus Pourpre; Dofus Turquoise; Dofus des Glaces; Nomade; Remueur; Vigoureux majeur; Kramkram</t>
        </is>
      </c>
    </row>
    <row r="2603">
      <c r="A2603" t="inlineStr">
        <is>
          <t>Tempo Terre/Air</t>
        </is>
      </c>
      <c r="B2603">
        <f>HYPERLINK("https://www.dofusbook.net/fr/equipement/4670294-tempo-terre-air/objets", "link")</f>
        <v/>
      </c>
      <c r="C2603" t="n">
        <v>12</v>
      </c>
      <c r="D2603" t="inlineStr">
        <is>
          <t>Lance corrompue; Amulette du Kamasterisk; Bracelet du Piloztère; Anneau des égarés; Bouclier Taverne; Ceinture de l'Esprit Salvateur; Casque des égarés; Voilamibe; Baleinabottes; Dofus Pourpre; Dofus des Glaces; Remueur; Robuste majeur; Nomade; Vigoureux majeur; Siroko</t>
        </is>
      </c>
    </row>
    <row r="2604">
      <c r="A2604" t="inlineStr">
        <is>
          <t>Tempo Air/Eau</t>
        </is>
      </c>
      <c r="B2604">
        <f>HYPERLINK("https://www.dofusbook.net/fr/equipement/4543827-tempo-air-eau/objets", "link")</f>
        <v/>
      </c>
      <c r="C2604" t="n">
        <v>10</v>
      </c>
      <c r="D2604" t="inlineStr">
        <is>
          <t>Arc de Koutoulou; Amulette de l'Œil Putride; Anneau Glacial; Bracelet du Piloztère; Bouclier Taverne; Sangle Ouare; Kidibonnet; Chevelure de Tal Kasha; Sandales de Tal Kasha; Dofus Pourpre; Dofus Turquoise; Dofus des Glaces; Nomade; Remueur; Vigoureux majeur; Mini Wa</t>
        </is>
      </c>
    </row>
    <row r="2605">
      <c r="A2605" t="inlineStr">
        <is>
          <t>Feu Crit Pvm</t>
        </is>
      </c>
      <c r="B2605">
        <f>HYPERLINK("https://www.dofusbook.net/fr/equipement/4433806-feu-crit-pvm/objets", "link")</f>
        <v/>
      </c>
      <c r="C2605" t="n">
        <v>6</v>
      </c>
      <c r="D2605" t="inlineStr">
        <is>
          <t>Arc corrompu; Amulette Volkorne; Anneau de Padgref; Bague Gloursonne; Quatre-feuilles; Sangle Aise; Heaume Oplate; Cape de la Dame du Hasard; Getas de Padgref; Dofus Turquoise; Dofus Pourpre; Dofus des Glaces; Érudit majeur; Vigoureux majeur; Astucieux majeur; Muldo Prune et Doré</t>
        </is>
      </c>
    </row>
    <row r="2606">
      <c r="A2606" t="inlineStr">
        <is>
          <t>Terre Do Pou</t>
        </is>
      </c>
      <c r="B2606">
        <f>HYPERLINK("https://www.dofusbook.net/fr/equipement/4382998-terre-do-pou/objets", "link")</f>
        <v/>
      </c>
      <c r="C2606" t="n">
        <v>5</v>
      </c>
      <c r="D2606" t="inlineStr">
        <is>
          <t>Lav'Hache; Torquistik; Bague Trithon; Anneau Chevelu; Bouclier Taverne; Ceinture Gence; Casque Dragoeuf; Cape au Logis; Bottistik; Dofus Ivoire; Dofus Ébène; Dofus Pourpre; Culbuteur majeur; Remueur; Bousculeur majeur; Scarakiri</t>
        </is>
      </c>
    </row>
    <row r="2607">
      <c r="A2607" t="inlineStr">
        <is>
          <t>Hernelle Air no crit</t>
        </is>
      </c>
      <c r="B2607">
        <f>HYPERLINK("https://www.dofusbook.net/fr/equipement/4422765-hernelle-air-no-crit/objets", "link")</f>
        <v/>
      </c>
      <c r="C2607" t="n">
        <v>5</v>
      </c>
      <c r="D2607" t="inlineStr">
        <is>
          <t>Baguette Hernelle; Collier du Valet Veinard; Anneau de Padgref; Gant du Valet Veinard; Quatre-feuilles; Menoture; Casque Volkorne; Cape Indescriptible; Palmes Trithons; Dofus des Glaces; Dofus Ocre; Equilibriste majeur; Cascadeur majeur; Dévastateur Air majeur; Nomade; Blérodoudou</t>
        </is>
      </c>
    </row>
    <row r="2608">
      <c r="A2608" t="inlineStr">
        <is>
          <t>Hernelle Air Crit</t>
        </is>
      </c>
      <c r="B2608">
        <f>HYPERLINK("https://www.dofusbook.net/fr/equipement/4422690-hernelle-air-crit/objets", "link")</f>
        <v/>
      </c>
      <c r="C2608" t="n">
        <v>5</v>
      </c>
      <c r="D2608" t="inlineStr">
        <is>
          <t>Baguette Hernelle; Amulette du Granduk; Anneau de Padgref; Anneau d'Allister; Quatre-feuilles; Sangle Oriole; Coiffe de Padgref; Cape Indescriptible; Getas de Padgref; Dofus Pourpre; Dofus des Glaces; Dofus Turquoise; Dofus Ocre; Equilibriste majeur; Voyageur; Pioute jaune</t>
        </is>
      </c>
    </row>
    <row r="2609">
      <c r="A2609" t="inlineStr">
        <is>
          <t>Feu Eau Air Pvp</t>
        </is>
      </c>
      <c r="B2609">
        <f>HYPERLINK("https://www.dofusbook.net/fr/equipement/4395108-feu-eau-air-pvp/objets", "link")</f>
        <v/>
      </c>
      <c r="C2609" t="n">
        <v>7</v>
      </c>
      <c r="D2609" t="inlineStr">
        <is>
          <t>Sabres d'Atcham; Amulette Volkorne; Anneau Volkorne; Anneau Tique; Bouclier Taverne; Menoture; Casque Volkorne; Cape d'Atcham; Sandales  d'Atcham; Dofus Pourpre; Dofus Ivoire; Dofus des Glaces; Dofus Turquoise; Dofus Abyssal; Paralyseur majeur; Koalak Sanguin</t>
        </is>
      </c>
    </row>
    <row r="2610">
      <c r="A2610" t="inlineStr">
        <is>
          <t>Terre Eau Feu</t>
        </is>
      </c>
      <c r="B2610">
        <f>HYPERLINK("https://www.dofusbook.net/fr/equipement/4421174-terre-eau-feu-/objets", "link")</f>
        <v/>
      </c>
      <c r="C2610" t="n">
        <v>13</v>
      </c>
      <c r="D2610" t="inlineStr">
        <is>
          <t>Hache du Chalœil; Amulette Volkorne; Anneau Volkorne; Alliance du Lévitrof; Quatre-feuilles; Ceinture Volkorne; Coiffe du Lévitrof; Voile d'encre; Bottes du Lévitrof; Dofus Abyssal; Dofus Ébène; Dofus Turquoise; Dofus Ocre; Dofus Pourpre; Dofus des Glaces; Kokulte</t>
        </is>
      </c>
    </row>
    <row r="2611">
      <c r="A2611" t="inlineStr">
        <is>
          <t>Xel Pvm Glas</t>
        </is>
      </c>
      <c r="B2611">
        <f>HYPERLINK("https://www.dofusbook.net/fr/equipement/4345751-xel-pvm-glas/objets", "link")</f>
        <v/>
      </c>
      <c r="C2611" t="n">
        <v>8</v>
      </c>
      <c r="D2611" t="inlineStr">
        <is>
          <t>Arc Volkorne; Amulette de l'Indicible; Anneau Volkorne; Grésilanneau; Bouclier du Stalak; Ceinture de l'Esprit Salvateur; Casque Volkorne; Voilamibe; Bottes de l'Indicible; Dofus Ocre; Dofus Nébuleux; Dofus des Glaces; Dofus Pourpre; Dolmanax; Robuste majeur; Fëanor</t>
        </is>
      </c>
    </row>
    <row r="2612">
      <c r="A2612" t="inlineStr">
        <is>
          <t>Xélor Glas 1</t>
        </is>
      </c>
      <c r="B2612">
        <f>HYPERLINK("https://www.dofusbook.net/fr/equipement/4221956-xelor-glas-1/objets", "link")</f>
        <v/>
      </c>
      <c r="C2612" t="n">
        <v>7</v>
      </c>
      <c r="D2612" t="inlineStr">
        <is>
          <t>Arc Honte; Amulette Volkorne; Alliance Gloursonne; Anneau Volkorne; Bouclier du Stalak; Ceinture Volkorne; Casque du Chalœil; Cape du Chalœil; Bottes du Chalœil; Dofus des Glaces; Dofus Pourpre; Dolmanax; Dofus Ocre; Dofus Ivoire; Robuste majeur; Kramkram</t>
        </is>
      </c>
    </row>
    <row r="2613">
      <c r="A2613" t="inlineStr">
        <is>
          <t>Xelor Glas 2</t>
        </is>
      </c>
      <c r="B2613">
        <f>HYPERLINK("https://www.dofusbook.net/fr/equipement/4418528-xelor-glas-2/objets", "link")</f>
        <v/>
      </c>
      <c r="C2613" t="n">
        <v>8</v>
      </c>
      <c r="D2613" t="inlineStr">
        <is>
          <t>Arc Honte; Amulette Volkorne; Alliance Gloursonne; Anneau Volkorne; Bouclier du Stalak; Ceinture Volkorne; Masque de l'Esprit Salvateur; Voile d'encre; Bottes Honyme; Dofus des Glaces; Dofus Pourpre; Dolmanax; Dofus Ivoire; Dofus Ocre; Robuste majeur; Kramkram</t>
        </is>
      </c>
    </row>
    <row r="2614">
      <c r="A2614" t="inlineStr">
        <is>
          <t>Terre Feu Eau</t>
        </is>
      </c>
      <c r="B2614">
        <f>HYPERLINK("https://www.dofusbook.net/fr/equipement/4416467-terre-feu-eau/objets", "link")</f>
        <v/>
      </c>
      <c r="C2614" t="n">
        <v>4</v>
      </c>
      <c r="D2614" t="inlineStr">
        <is>
          <t>Hache du Chalœil; Amulette du Strigide; Alliance de Missiz Frizz; Bracelet du Piloztère; Bouclier du Stalak; Ceinture du Strigide; Masque de l'Esprit Salvateur; Cape des Justiciers; Bottes Honyme; Dofus Pourpre; Dofus Abyssal; Dofus Turquoise; Dofus des Glaces; Robuste majeur; Vigoureux majeur; Muldo Doré et Emeraude</t>
        </is>
      </c>
    </row>
    <row r="2615">
      <c r="A2615" t="inlineStr">
        <is>
          <t>PvP Terre dégat</t>
        </is>
      </c>
      <c r="B2615">
        <f>HYPERLINK("https://www.dofusbook.net/fr/equipement/4414349-pvp-terre-degat/objets", "link")</f>
        <v/>
      </c>
      <c r="C2615" t="n">
        <v>11</v>
      </c>
      <c r="D2615" t="inlineStr">
        <is>
          <t>Dagues Érhy; Collier de Tourthon; Anneau Chevelu; Pikano; Bouclier du Stalak; Ceinture de la Reine des Voleurs; Coiffe de la Reine des Voleurs; Cape au Logis; Sabots Minables; Dofus Pourpre; Dofus Ivoire; Dofus Ébène; Dofus des Glaces; Remueur; Enragé majeur; Dragodinde Dorée et Pourpre</t>
        </is>
      </c>
    </row>
    <row r="2616">
      <c r="A2616" t="inlineStr">
        <is>
          <t>pour fekah</t>
        </is>
      </c>
      <c r="B2616">
        <f>HYPERLINK("https://www.dofusbook.net/fr/equipement/4415102-pour-fekah/objets", "link")</f>
        <v/>
      </c>
      <c r="C2616" t="n">
        <v>12</v>
      </c>
      <c r="D2616" t="inlineStr">
        <is>
          <t>Arc du Chalœil; Amulette du Cœur Saignant; Bracelet du Piloztère; Anneau du Comte Harebourg; Quatre-feuilles; Ceinture de Brouce; Masque de Koutoulou; Cape au Logis; Bottes de Brouce; Dofus Turquoise; Dofus Ocre; Dofus Nébuleux; Dofus Pourpre; Vigoureux majeur; Enragé majeur; Pioute vert</t>
        </is>
      </c>
    </row>
    <row r="2617">
      <c r="A2617" t="inlineStr">
        <is>
          <t>PvM Full Force</t>
        </is>
      </c>
      <c r="B2617">
        <f>HYPERLINK("https://www.dofusbook.net/fr/equipement/2481507-pvm-full-force/objets", "link")</f>
        <v/>
      </c>
      <c r="C2617" t="n">
        <v>9</v>
      </c>
      <c r="D2617" t="inlineStr">
        <is>
          <t>Arc du Chalœil; Collier de Tourthon; Bracelet du Piloztère; Anneau Crustique; Quatre-feuilles; Ceinture de Brouce; Masque de Koutoulou; Cape au Logis; Bottes de Brouce; Dofus Ocre; Dofus Nébuleux; Dofus Pourpre; Dofus Turquoise; Vigoureux majeur; Enragé majeur; Kompost</t>
        </is>
      </c>
    </row>
    <row r="2618">
      <c r="A2618" t="inlineStr">
        <is>
          <t>Steamer F 200</t>
        </is>
      </c>
      <c r="B2618">
        <f>HYPERLINK("https://www.dofusbook.net/fr/equipement/4350728-steamer-f-200/objets", "link")</f>
        <v/>
      </c>
      <c r="C2618" t="n">
        <v>5</v>
      </c>
      <c r="D2618" t="inlineStr">
        <is>
          <t>Arc Nécrotique; Amulette Volkorne; Anneau de Padgref; Anneau Volkorne; Quatre-feuilles; Ceintacé; Coiffe de Padgref; Cape de la Dame du Hasard; Bottes de la Dame du Hasard; Dofus Pourpre; Dofus des Glaces; Dofus Turquoise; Dofus Ébène; Dofus Ocre; Voyageur; Kokulte</t>
        </is>
      </c>
    </row>
    <row r="2619">
      <c r="A2619" t="inlineStr">
        <is>
          <t>Feu Air</t>
        </is>
      </c>
      <c r="B2619">
        <f>HYPERLINK("https://www.dofusbook.net/fr/equipement/4414583-feu-air-/objets", "link")</f>
        <v/>
      </c>
      <c r="C2619" t="n">
        <v>3</v>
      </c>
      <c r="D2619" t="inlineStr">
        <is>
          <t>Arc Honte; Pendentif mignon de Koutoulou; Anneau Rifique; Anneau de Padgref; Bouclier du Stalak; Ceintacé; Masquegel; Cape Martegel; Getas de Padgref; Dofus Ébène; Dofus Ocre; Dofus Pourpre; Dofus Abyssal; Dofus des Glaces; Robuste majeur; Muldo Doré et Emeraude</t>
        </is>
      </c>
    </row>
    <row r="2620">
      <c r="A2620" t="inlineStr">
        <is>
          <t>Low cost Feu pvm</t>
        </is>
      </c>
      <c r="B2620">
        <f>HYPERLINK("https://www.dofusbook.net/fr/equipement/4408507-low-cost-feu-pvm/objets", "link")</f>
        <v/>
      </c>
      <c r="C2620" t="n">
        <v>4</v>
      </c>
      <c r="D2620" t="inlineStr">
        <is>
          <t>Arc corrompu; Amulette Volkorne; Anneau Tamie; Anneau Tamie; Bouclier du Stalak; Ceinture Séculaire; Heaume Oplate; Cape de Diondin; Bottes Innommables; Dofus Pourpre; Vigoureux majeur; Remueur; Érudit majeur; Astucieux majeur; Nomade; Bisouglours</t>
        </is>
      </c>
    </row>
    <row r="2621">
      <c r="A2621" t="inlineStr">
        <is>
          <t>SKIN</t>
        </is>
      </c>
      <c r="B2621">
        <f>HYPERLINK("https://www.dofusbook.net/fr/equipement/2800172-skin/objets", "link")</f>
        <v/>
      </c>
      <c r="C2621" t="n">
        <v>7</v>
      </c>
      <c r="D2621" t="inlineStr">
        <is>
          <t>Bouclier du Mont Kipou; Masque Brûlâme; Cape du Bretteur Céleste; Balafreux</t>
        </is>
      </c>
    </row>
    <row r="2622">
      <c r="A2622" t="inlineStr">
        <is>
          <t>Max Degat Terre</t>
        </is>
      </c>
      <c r="B2622">
        <f>HYPERLINK("https://www.dofusbook.net/fr/equipement/3010934-max-degat-terre/objets", "link")</f>
        <v/>
      </c>
      <c r="C2622" t="n">
        <v>12</v>
      </c>
      <c r="D2622" t="inlineStr">
        <is>
          <t>Arc du Chalœil; Collier de Tourthon; Anneau du Comte Harebourg; Anneau Crustique; Quatre-feuilles; Ceinture Gence; Masque de Koutoulou; Cape au Logis; Bottes du Comte Harebourg; Dofus Turquoise; Dofus Abyssal; Dofus Pourpre; Dofus des Glaces; Enragé majeur; Vigoureux majeur; Kompost</t>
        </is>
      </c>
    </row>
    <row r="2623">
      <c r="A2623" t="inlineStr">
        <is>
          <t>Terre Eau pvm</t>
        </is>
      </c>
      <c r="B2623">
        <f>HYPERLINK("https://www.dofusbook.net/fr/equipement/4403315-terre-eau-pvm/objets", "link")</f>
        <v/>
      </c>
      <c r="C2623" t="n">
        <v>4</v>
      </c>
      <c r="D2623" t="inlineStr">
        <is>
          <t>Épouvante; Amulette Luminescente; Bracelet du Piloztère; Anneau Volkorne; Bouclier du Captain Amakna; Ceinture Volkorne; Masque de Funespadon; Cape Luminescente; Bottes Honyme; Dofus Pourpre; Dofus des Glaces; Dofus Turquoise; Dofus Abyssal; Dofus Ocre; Voyageur; Bébé Pandawa</t>
        </is>
      </c>
    </row>
    <row r="2624">
      <c r="A2624" t="inlineStr">
        <is>
          <t>Réseau terre feu</t>
        </is>
      </c>
      <c r="B2624">
        <f>HYPERLINK("https://www.dofusbook.net/fr/equipement/4393884-reseau-terre-feu/objets", "link")</f>
        <v/>
      </c>
      <c r="C2624" t="n">
        <v>6</v>
      </c>
      <c r="D2624" t="inlineStr">
        <is>
          <t>Dagues Eudin; Amulette Volcanique; Bague Gloursonne; Chevalière du Roi Joueur; Bouclier du Stalak; Ceinture Gence; Masque de l'Esprit Salvateur; Cape Routh; Bottes du Roi Joueur; Dofus Pourpre; Dofus Ocre; Dofus des Glaces; Dofus Vulbis; Vigoureux majeur; Robuste majeur; Cromeugnon</t>
        </is>
      </c>
    </row>
    <row r="2625">
      <c r="A2625" t="inlineStr">
        <is>
          <t>Full Soin</t>
        </is>
      </c>
      <c r="B2625">
        <f>HYPERLINK("https://www.dofusbook.net/fr/equipement/4389474-full-soin/objets", "link")</f>
        <v/>
      </c>
      <c r="C2625" t="n">
        <v>3</v>
      </c>
      <c r="D2625" t="inlineStr">
        <is>
          <t>Le Thanos; Amulette d'Otomaï; Lavanneau; Anneau Rifique; Bouclier du Cycloïde; Ceintrigue; Casque Cyclopéen; Cape de Diondin; Bottes Innommables; Dofus Abyssal; Érudit majeur; Docteur majeur; Nomade; Guérisseur majeur; Remueur; Dragodinde Orchidée et Rousse</t>
        </is>
      </c>
    </row>
    <row r="2626">
      <c r="A2626" t="inlineStr">
        <is>
          <t>Eau Feu no crit</t>
        </is>
      </c>
      <c r="B2626">
        <f>HYPERLINK("https://www.dofusbook.net/fr/equipement/4389380-eau-feu-no-crit/objets", "link")</f>
        <v/>
      </c>
      <c r="C2626" t="n">
        <v>6</v>
      </c>
      <c r="D2626" t="inlineStr">
        <is>
          <t>Pyraguette; Amulette Volkorne; Anneau Volkorne; Anneau Kturne; Bouclier du Stalak; Ceintrigue; Le Dorado; Voilamibe; Bottes Owesli; Dofus Abyssal; Dofus Ocre; Dofus des Glaces; Dolmanax; Dofus Pourpre; Robuste majeur; Walk</t>
        </is>
      </c>
    </row>
    <row r="2627">
      <c r="A2627" t="inlineStr">
        <is>
          <t>Eau Feu crit</t>
        </is>
      </c>
      <c r="B2627">
        <f>HYPERLINK("https://www.dofusbook.net/fr/equipement/410693-eau-feu-crit/objets", "link")</f>
        <v/>
      </c>
      <c r="C2627" t="n">
        <v>2</v>
      </c>
      <c r="D2627" t="inlineStr">
        <is>
          <t>Arc Nécrotique; Amulette Volkorne; Anneau Volkorne; Anneau Toriété; Quatre-feuilles; Ceintacé; Capuche de l'Œil Putride; Cape de la Dame du Hasard; Bottes de la Dame du Hasard; Dofus Abyssal; Dofus Ocre; Dofus Turquoise; Dofus des Glaces; Dolmanax; Dofus Pourpre; Kokulte</t>
        </is>
      </c>
    </row>
    <row r="2628">
      <c r="A2628" t="inlineStr">
        <is>
          <t>Terre Air Pvm</t>
        </is>
      </c>
      <c r="B2628">
        <f>HYPERLINK("https://www.dofusbook.net/fr/equipement/4389069-terre-air-pvm/objets", "link")</f>
        <v/>
      </c>
      <c r="C2628" t="n">
        <v>4</v>
      </c>
      <c r="D2628" t="inlineStr">
        <is>
          <t>Héqache; Amulette du Strigide; Anneau de Padgref; Bracelet du Piloztère; Bouclier du Captain Amakna; Ceinture Volkorne; Casque Volkorne; Cape au Logis; Bottes du Strigide; Dofus Turquoise; Dofus Abyssal; Dolmanax; Dofus Ocre; Dofus Pourpre; Dofus des Glaces; Sakochère</t>
        </is>
      </c>
    </row>
    <row r="2629">
      <c r="A2629" t="inlineStr">
        <is>
          <t>Pvm Eau/Agi/Pui</t>
        </is>
      </c>
      <c r="B2629">
        <f>HYPERLINK("https://www.dofusbook.net/fr/equipement/812056-pvm-eau-agi-pui/objets", "link")</f>
        <v/>
      </c>
      <c r="C2629" t="n">
        <v>6</v>
      </c>
      <c r="D2629" t="inlineStr">
        <is>
          <t>Arc de Koutoulou; Amulette du Strigide; Anneau Toriété; Anneau Volkorne; Quatre-feuilles; Ceinture du Strigide; Casque Volkorne; Chevelure de Tal Kasha; Sandales de Tal Kasha; Dofus Abyssal; Dofus Ébène; Dofus Turquoise; Dofus des Glaces; Dofus Pourpre; Dofus Ocre; Sakochère</t>
        </is>
      </c>
    </row>
    <row r="2630">
      <c r="A2630" t="inlineStr">
        <is>
          <t>Poulpe Veinard</t>
        </is>
      </c>
      <c r="B2630">
        <f>HYPERLINK("https://www.dofusbook.net/fr/equipement/4387687-poulpe-veinard/objets", "link")</f>
        <v/>
      </c>
      <c r="C2630" t="n">
        <v>7</v>
      </c>
      <c r="D2630" t="inlineStr">
        <is>
          <t>Manthache; Collier du Valet Veinard; Gant du Valet Veinard; Alliance Gloursonne; Sept ans de malheur; Ceintouse; Chapoulpe; Cape du Valet Veinard; Tentassons; Dofus Ocre; Dofus Émeraude; Dofus Abyssal; Dofus Pourpre; Dofus Ivoire; Paralyseur majeur; Muldo Ebène</t>
        </is>
      </c>
    </row>
    <row r="2631">
      <c r="A2631" t="inlineStr">
        <is>
          <t>Full Do Pou</t>
        </is>
      </c>
      <c r="B2631">
        <f>HYPERLINK("https://www.dofusbook.net/fr/equipement/4386804-full-do-pou/objets", "link")</f>
        <v/>
      </c>
      <c r="C2631" t="n">
        <v>1</v>
      </c>
      <c r="D2631" t="inlineStr">
        <is>
          <t>Hachoirs de Viandargh; Torquistik; Bague Trithon; Bague Instable; Bouclier Taverne; Ceinture Gence; Casque Dragoeuf; Cape des Malveilleurs; Bottistik; Dofus Abyssal; Culbuteur; Culbuteur majeur; Pousseur majeur; Remueur; Bousculeur majeur; Balafreux</t>
        </is>
      </c>
    </row>
    <row r="2632">
      <c r="A2632" t="inlineStr">
        <is>
          <t>Eau Do Pou</t>
        </is>
      </c>
      <c r="B2632">
        <f>HYPERLINK("https://www.dofusbook.net/fr/equipement/4376629-eau-do-pou/objets", "link")</f>
        <v/>
      </c>
      <c r="C2632" t="n">
        <v>2</v>
      </c>
      <c r="D2632" t="inlineStr">
        <is>
          <t>Sceptre du Roi Joueur; Amulette d'Ilyzaelle; Alliance Gloursonne; Anneau Volkorne; Bouclier Taverne; Sangle Ouare; Masque Paztek; Cape Solution; Sandales Paztek; Dofus Pourpre; Dofus Ivoire; Dofus Ébène; Bousculeur majeur; Culbuteur majeur; Remueur; Écumouth</t>
        </is>
      </c>
    </row>
    <row r="2633">
      <c r="A2633" t="inlineStr">
        <is>
          <t>Feu Do Pou</t>
        </is>
      </c>
      <c r="B2633">
        <f>HYPERLINK("https://www.dofusbook.net/fr/equipement/4376513-feu-do-pou/objets", "link")</f>
        <v/>
      </c>
      <c r="C2633" t="n">
        <v>18</v>
      </c>
      <c r="D2633" t="inlineStr">
        <is>
          <t>Massier; Torquistik; Bague Trithon; Anneauræus; Bouclier Taverne; Sangle Ouare; Casque Dragoeuf; Cape de Diondin; Bottistik; Dofus Ivoire; Dofus Ébène; Dofus Pourpre; Culbuteur majeur; Remueur; Bousculeur majeur; Scarakiri</t>
        </is>
      </c>
    </row>
    <row r="2634">
      <c r="A2634" t="inlineStr">
        <is>
          <t>Feu Eau dégat</t>
        </is>
      </c>
      <c r="B2634">
        <f>HYPERLINK("https://www.dofusbook.net/fr/equipement/4376464-feu-eau-degat/objets", "link")</f>
        <v/>
      </c>
      <c r="C2634" t="n">
        <v>5</v>
      </c>
      <c r="D2634" t="inlineStr">
        <is>
          <t>Arc Nécrotique; Amulette Volkorne; Anneau Volkorne; Anneau de Padgref; Quatre-feuilles; Ceintacé; Kidibonnet; Cape de la Dame du Hasard; Bottes de la Dame du Hasard; Dofus Abyssal; Dofus des Glaces; Dolmanax; Dofus Turquoise; Dofus Pourpre; Muldo Prune et Emeraude</t>
        </is>
      </c>
    </row>
    <row r="2635">
      <c r="A2635" t="inlineStr">
        <is>
          <t>Rox Arc Honte</t>
        </is>
      </c>
      <c r="B2635">
        <f>HYPERLINK("https://www.dofusbook.net/fr/equipement/4376372-rox-arc-honte-/objets", "link")</f>
        <v/>
      </c>
      <c r="C2635" t="n">
        <v>9</v>
      </c>
      <c r="D2635" t="inlineStr">
        <is>
          <t>Arc Honte; Amulette Volkorne; Anneau Volkorne; Alliance Gloursonne; Bouclier cubiste; Ceinture de la Reine des Voleurs; Coiffe de la Reine des Voleurs; Voile d'encre; Bottes Honyme; Dofus Ocre; Dofus Ivoire; Dolmanax; Dofus des Glaces; Dofus Pourpre; Dofus Abyssal; Muldo Ebène et Pourpre</t>
        </is>
      </c>
    </row>
    <row r="2636">
      <c r="A2636" t="inlineStr">
        <is>
          <t>Max dégat feu</t>
        </is>
      </c>
      <c r="B2636">
        <f>HYPERLINK("https://www.dofusbook.net/fr/equipement/4376134-max-degat-feu/objets", "link")</f>
        <v/>
      </c>
      <c r="C2636" t="n">
        <v>5</v>
      </c>
      <c r="D2636" t="inlineStr">
        <is>
          <t>Massier; Amulette Volkorne; Anneau Tamie; Anneau Tamie; Bouclier du Stalak; Sangle Aise; Heaume Oplate; Voilamibe; Bottes Innommables; Dofus Pourpre; Dofus des Glaces; Dévastateur Feu majeur; Astucieux majeur; Saccageur Feu majeur; Érudit majeur; Bisouglours</t>
        </is>
      </c>
    </row>
    <row r="2637">
      <c r="A2637" t="inlineStr">
        <is>
          <t>Eau Do Crit</t>
        </is>
      </c>
      <c r="B2637">
        <f>HYPERLINK("https://www.dofusbook.net/fr/equipement/4373204-eau-do-crit/objets", "link")</f>
        <v/>
      </c>
      <c r="C2637" t="n">
        <v>9</v>
      </c>
      <c r="D2637" t="inlineStr">
        <is>
          <t>Sceptre du Roi Joueur; Collier de la Dame du Hasard; Anneau Volkorne; Anneau Glacial; Bouclier du Captain Amakna; Pagne du Rykaon; Kidibonnet; Chevelure de Tal Kasha; Bottes de la Dame du Hasard; Dofus Turquoise; Dofus Abyssal; Dofus Ocre; Dofus Pourpre; Dofus des Glaces; Nomade; Kokulte</t>
        </is>
      </c>
    </row>
    <row r="2638">
      <c r="A2638" t="inlineStr">
        <is>
          <t>PVP Eau Ret Pa</t>
        </is>
      </c>
      <c r="B2638">
        <f>HYPERLINK("https://www.dofusbook.net/fr/equipement/4373122-pvp-eau-ret-pa/objets", "link")</f>
        <v/>
      </c>
      <c r="C2638" t="n">
        <v>18</v>
      </c>
      <c r="D2638" t="inlineStr">
        <is>
          <t>Dagoulinantes; Amulette de Shokkoth; Alliance Gloursonne; Anneau Volkorne; Bouclier du Stalak; Culotte de Bethel; Kidibonnet; Cape Solution; Chaussons de Macrab; Dofus Pourpre; Dofus Ivoire; Dofus des Glaces; Nomade; Dévastateur Eau majeur; Chanceux majeur; Kanigloups</t>
        </is>
      </c>
    </row>
    <row r="2639">
      <c r="A2639" t="inlineStr">
        <is>
          <t>Terre Air</t>
        </is>
      </c>
      <c r="B2639">
        <f>HYPERLINK("https://www.dofusbook.net/fr/equipement/4372929-terre-air/objets", "link")</f>
        <v/>
      </c>
      <c r="C2639" t="n">
        <v>1</v>
      </c>
      <c r="D2639" t="inlineStr">
        <is>
          <t>Lance corrompue; Amulette de Nevark; Alliance Gloursonne; Alliance Brûlâme; Bouclier du Stalak; Ceinture de la Reine des Voleurs; Coiffe de la Reine des Voleurs; Cape de Nevark; Bottes de la Reine des Voleurs; Dofus Ocre; Dofus Ivoire; Dofus des Glaces; Dofus Pourpre; Dofus Abyssal; Féroce majeur; Muldo Ebène et Orchidée</t>
        </is>
      </c>
    </row>
    <row r="2640">
      <c r="A2640" t="inlineStr">
        <is>
          <t>Atcham Volkorn Trith</t>
        </is>
      </c>
      <c r="B2640">
        <f>HYPERLINK("https://www.dofusbook.net/fr/equipement/4371264-atcham-volkorn-trith/objets", "link")</f>
        <v/>
      </c>
      <c r="C2640" t="n">
        <v>6</v>
      </c>
      <c r="D2640" t="inlineStr">
        <is>
          <t>Sabres d'Atcham; Amulette Volkorne; Bague Trithon; Anneau Volkorne; Bouclier du Captain Amakna; Ceinture Volkorne; Masque Trithon; Cape d'Atcham; Bottes Trithon; Dolmanax; Dofus Ocre; Dofus Pourpre; Dofus des Glaces; Dofus Turquoise; Puissant majeur; Kokulte</t>
        </is>
      </c>
    </row>
    <row r="2641">
      <c r="A2641" t="inlineStr">
        <is>
          <t>Max Do Air</t>
        </is>
      </c>
      <c r="B2641">
        <f>HYPERLINK("https://www.dofusbook.net/fr/equipement/4371157-max-do-air/objets", "link")</f>
        <v/>
      </c>
      <c r="C2641" t="n">
        <v>2</v>
      </c>
      <c r="D2641" t="inlineStr">
        <is>
          <t>Crocobur; Collier du Valet Veinard; Gant du Valet Veinard; Anneau d'Allister; Bouclier du Stalak; Menoture; Coiffe de la Reine des Voleurs; Cape du Valet Veinard; Bottes de la Reine des Voleurs; Dofus des Glaces; Equilibriste majeur; Saccageur Air majeur; Voyageur; Féroce majeur; Ravageur Air majeur; Blérodoudou</t>
        </is>
      </c>
    </row>
    <row r="2642">
      <c r="A2642" t="inlineStr">
        <is>
          <t>Stuff Anti Eca</t>
        </is>
      </c>
      <c r="B2642">
        <f>HYPERLINK("https://www.dofusbook.net/fr/equipement/4369982-stuff-anti-eca/objets", "link")</f>
        <v/>
      </c>
      <c r="C2642" t="n">
        <v>9</v>
      </c>
      <c r="D2642" t="inlineStr">
        <is>
          <t>Lav'Hache; Collier de Tourthon; Bague Gloursonne; Baguistik; Bouclier du Stalak; Ceinture de la Reine des Voleurs; Coiffe de la Reine des Voleurs; Cape au Logis; Baleinabottes; Dofus Abyssal; Dofus Pourpre; Dofus Ivoire; Remueur; Enragé majeur; Vigoureux majeur; Wabbit</t>
        </is>
      </c>
    </row>
    <row r="2643">
      <c r="A2643" t="inlineStr">
        <is>
          <t>Ret Pa - Soin</t>
        </is>
      </c>
      <c r="B2643">
        <f>HYPERLINK("https://www.dofusbook.net/fr/equipement/4369896-ret-pa---soin/objets", "link")</f>
        <v/>
      </c>
      <c r="C2643" t="n">
        <v>3</v>
      </c>
      <c r="D2643" t="inlineStr">
        <is>
          <t>Arc corrompu; Talisman Igans; Bague Gloursonne; Anneau de Pol Ouatnos; Cadran de Feu; Ceinture de Vortex; Heaume Oplate; Cape Ardente; Chaussures Ardentes; Dofus Pourpre; Dofus Ivoire; Dofus Ocre; Dofus Abyssal</t>
        </is>
      </c>
    </row>
    <row r="2644">
      <c r="A2644" t="inlineStr">
        <is>
          <t>Ret Pa - Feu</t>
        </is>
      </c>
      <c r="B2644">
        <f>HYPERLINK("https://www.dofusbook.net/fr/equipement/4369802-ret-pa---feu/objets", "link")</f>
        <v/>
      </c>
      <c r="C2644" t="n">
        <v>10</v>
      </c>
      <c r="D2644" t="inlineStr">
        <is>
          <t>Arc corrompu; Amulette de Nileza; Bague Gloursonne; Anneau Tique; Sept ans de malheur; Ceinture de Vortex; Heaume Oplate; Cape Ardente; Chaussures Ardentes; Dofus Pourpre; Dofus Abyssal; Dofus Ivoire; Nomade; Remueur; Étourdisseur majeur; Koalak Sanguin</t>
        </is>
      </c>
    </row>
    <row r="2645">
      <c r="A2645" t="inlineStr">
        <is>
          <t>Skin</t>
        </is>
      </c>
      <c r="B2645">
        <f>HYPERLINK("https://www.dofusbook.net/fr/equipement/4349403-skin/objets", "link")</f>
        <v/>
      </c>
      <c r="C2645" t="n">
        <v>1</v>
      </c>
      <c r="D2645" t="inlineStr">
        <is>
          <t>Bouclier de Solar; Coiffe de la Reine des Voleurs; Cape du Bretteur Céleste; Balafreux</t>
        </is>
      </c>
    </row>
    <row r="2646">
      <c r="A2646" t="inlineStr">
        <is>
          <t>Terre/Air Do Pou</t>
        </is>
      </c>
      <c r="B2646">
        <f>HYPERLINK("https://www.dofusbook.net/fr/equipement/4351324-terre-air-do-pou/objets", "link")</f>
        <v/>
      </c>
      <c r="C2646" t="n">
        <v>5</v>
      </c>
      <c r="D2646" t="inlineStr">
        <is>
          <t>Héqache; Amulette du Cœur Vaillant; Alliance Gloursonne; Anneau Chevelu; Bouclier Taverne; Ceinture Gence; Masque de Koutoulou; Cape au Logis; Bottes du Cœur Vaillant; Dofus Turquoise; Dofus Ivoire; Dofus des Glaces; Dofus Pourpre; Dofus Abyssal; Carapace Terre majeur; Bouflux</t>
        </is>
      </c>
    </row>
    <row r="2647">
      <c r="A2647" t="inlineStr">
        <is>
          <t>PVP Terre degat</t>
        </is>
      </c>
      <c r="B2647">
        <f>HYPERLINK("https://www.dofusbook.net/fr/equipement/1132647-pvp-terre-degat/objets", "link")</f>
        <v/>
      </c>
      <c r="C2647" t="n">
        <v>14</v>
      </c>
      <c r="D2647" t="inlineStr">
        <is>
          <t>Héqache; Anneau Chevelu; Bague Gloursonne; Quatre-feuilles; Ceinture Gence; Masque de Koutoulou; Cape au Logis; Bottes du Strigide; Dofus Ivoire; Dofus Pourpre; Dofus Turquoise; Dofus Abyssal; Enragé majeur; Vigoureux majeur; Pioute vert</t>
        </is>
      </c>
    </row>
    <row r="2648">
      <c r="A2648" t="inlineStr">
        <is>
          <t>Full Do Eau/Air</t>
        </is>
      </c>
      <c r="B2648">
        <f>HYPERLINK("https://www.dofusbook.net/fr/equipement/4349526-full-do-eau-air/objets", "link")</f>
        <v/>
      </c>
      <c r="C2648" t="n">
        <v>1</v>
      </c>
      <c r="D2648" t="inlineStr">
        <is>
          <t>Marteau des Anciens Steamers; Amulette du Strigide; Anneau Volkorne; Alliance Gloursonne; Bouclier du Captain Amakna; Ceinture du Strigide; Casque Volkorne; Chevelure de Tal Kasha; Sandales de Tal Kasha; Dofus Turquoise; Dofus Ocre; Dofus Vulbis; Dofus des Glaces; Dolmanax; Dofus Pourpre; Sakochère</t>
        </is>
      </c>
    </row>
    <row r="2649">
      <c r="A2649" t="inlineStr">
        <is>
          <t>Full Do terre</t>
        </is>
      </c>
      <c r="B2649">
        <f>HYPERLINK("https://www.dofusbook.net/fr/equipement/4349773-full-do-terre/objets", "link")</f>
        <v/>
      </c>
      <c r="C2649" t="n">
        <v>2</v>
      </c>
      <c r="D2649" t="inlineStr">
        <is>
          <t>Marteau R'ture; Collier de Tourthon; Anneau Crustique; Anneau de Brouce; Bouclier du Stalak; Ceinture de la Reine des Voleurs; Coiffe de la Reine des Voleurs; Cape au Logis; Baleinabottes; Dofus Pourpre; Dofus Ocre; Dofus des Glaces; Enragé majeur; Saccageur Terre majeur; Dévastateur Terre majeur; Bulbisou</t>
        </is>
      </c>
    </row>
    <row r="2650">
      <c r="A2650" t="inlineStr">
        <is>
          <t>Pvm Pad/Stri/Atch</t>
        </is>
      </c>
      <c r="B2650">
        <f>HYPERLINK("https://www.dofusbook.net/fr/equipement/2613396-pvm-pad-stri-atch/objets", "link")</f>
        <v/>
      </c>
      <c r="C2650" t="n">
        <v>3</v>
      </c>
      <c r="D2650" t="inlineStr">
        <is>
          <t>Sabres d'Atcham; Amulette du Strigide; Anneau de Padgref; Kralano; Bouclier du Captain Amakna; Ceinture du Strigide; Coiffe de Padgref; Cape d'Atcham; Getas de Padgref; Dofus Vulbis; Dofus Turquoise; Dolmanax; Dofus des Glaces; Dofus Pourpre; Dofus Abyssal; Sakochère</t>
        </is>
      </c>
    </row>
    <row r="2651">
      <c r="A2651" t="inlineStr">
        <is>
          <t>Full Eau et 1/2 Air</t>
        </is>
      </c>
      <c r="B2651">
        <f>HYPERLINK("https://www.dofusbook.net/fr/equipement/4349643-full-eau-et-1-2-air/objets", "link")</f>
        <v/>
      </c>
      <c r="C2651" t="n">
        <v>2</v>
      </c>
      <c r="D2651" t="inlineStr">
        <is>
          <t>Arc de Koutoulou; Amulette d'Ilyzaelle; Alliance Gloursonne; Anneau Volkorne; Bouclier du Stalak; Ceinture de la Reine des Voleurs; Kidibonnet; Voilamibe; Bottes de la Reine des Voleurs; Dofus des Glaces; Dofus Pourpre; Dofus Ocre; Vigoureux majeur; Dévastateur Eau majeur; Robuste majeur; Mini Wa</t>
        </is>
      </c>
    </row>
    <row r="2652">
      <c r="A2652" t="inlineStr">
        <is>
          <t>Full air et 1/2 Eau</t>
        </is>
      </c>
      <c r="B2652">
        <f>HYPERLINK("https://www.dofusbook.net/fr/equipement/4349592-full-air-et-1-2-eau/objets", "link")</f>
        <v/>
      </c>
      <c r="C2652" t="n">
        <v>3</v>
      </c>
      <c r="D2652" t="inlineStr">
        <is>
          <t>Arc de Koutoulou; Amulette d'Ilyzaelle; Anneau d'Allister; Alliance Gloursonne; Bouclier du Stalak; Menoture; Coiffe de la Reine des Voleurs; Voilamibe; Bottes de la Reine des Voleurs; Dofus Pourpre; Dofus Ocre; Dofus des Glaces; Robuste majeur; Dévastateur Air majeur; Vigoureux majeur; Mini Wa</t>
        </is>
      </c>
    </row>
    <row r="2653">
      <c r="A2653" t="inlineStr">
        <is>
          <t>Full do air</t>
        </is>
      </c>
      <c r="B2653">
        <f>HYPERLINK("https://www.dofusbook.net/fr/equipement/4349427-full-do-air/objets", "link")</f>
        <v/>
      </c>
      <c r="C2653" t="n">
        <v>3</v>
      </c>
      <c r="D2653" t="inlineStr">
        <is>
          <t>Manthache; Collier du Valet Veinard; Alliance Gloursonne; Gant du Valet Veinard; Bouclier du Stalak; Menoture; Couronne d'Allister; Cape Indescriptible; Palmes Trithons; Dofus des Glaces; Dofus Pourpre; Dofus Ocre; Dévastateur Air majeur; Cascadeur majeur; Saccageur Air majeur; Blérodoudou</t>
        </is>
      </c>
    </row>
    <row r="2654">
      <c r="A2654" t="inlineStr">
        <is>
          <t>PVP Veinard/Poulpe</t>
        </is>
      </c>
      <c r="B2654">
        <f>HYPERLINK("https://www.dofusbook.net/fr/equipement/1419463-pvp-veinard-poulpe/objets", "link")</f>
        <v/>
      </c>
      <c r="C2654" t="n">
        <v>11</v>
      </c>
      <c r="D2654" t="inlineStr">
        <is>
          <t>Manthache; Collier du Valet Veinard; Alliance Gloursonne; Gant du Valet Veinard; Sept ans de malheur; Ceintouse; Chapoulpe; Cape du Valet Veinard; Tentassons; Dofus Émeraude; Dofus Ivoire; Dofus Pourpre; Dofus Abyssal; Dofus Ocre; Paralyseur majeur; Muldo Ebène et Indigo</t>
        </is>
      </c>
    </row>
    <row r="2655">
      <c r="A2655" t="inlineStr">
        <is>
          <t>Full Feu</t>
        </is>
      </c>
      <c r="B2655">
        <f>HYPERLINK("https://www.dofusbook.net/fr/equipement/4348736-full-feu/objets", "link")</f>
        <v/>
      </c>
      <c r="C2655" t="n">
        <v>3</v>
      </c>
      <c r="D2655" t="inlineStr">
        <is>
          <t>Harpelle; Amulette Volkorne; Anneau Tamie; Anneau de Padgref; Bouclier du Stalak; Ceinture Séculaire; Coiffe Séculaire; Cape de Diondin; Getas de Padgref; Dofus Vulbis; Dofus Ocre; Dofus Pourpre; Dofus des Glaces; Dofus Turquoise; Dofus Abyssal; Pioute rouge</t>
        </is>
      </c>
    </row>
    <row r="2656">
      <c r="A2656" t="inlineStr">
        <is>
          <t>PVM Terre/Feu skin</t>
        </is>
      </c>
      <c r="B2656">
        <f>HYPERLINK("https://www.dofusbook.net/fr/equipement/1457405-pvm-terre-feu-skin/objets", "link")</f>
        <v/>
      </c>
      <c r="C2656" t="n">
        <v>4</v>
      </c>
      <c r="D2656" t="inlineStr">
        <is>
          <t>Dagues Érhy; Amulette du Strigide; Bague Gloursonne; Chevalière du Roi Joueur; Quatre-feuilles; Ceinture du Strigide; Masque Brûlâme; Cape des Justiciers; Bottes du Roi Joueur; Dolmanax; Dofus Pourpre; Dofus Ocre; Dofus Turquoise; Dofus Abyssal; Dofus des Glaces; Muldo Prune et Doré</t>
        </is>
      </c>
    </row>
    <row r="2657">
      <c r="A2657" t="inlineStr">
        <is>
          <t>PvM Terre/Feu</t>
        </is>
      </c>
      <c r="B2657">
        <f>HYPERLINK("https://www.dofusbook.net/fr/equipement/2742383-pvm-terre-feu/objets", "link")</f>
        <v/>
      </c>
      <c r="C2657" t="n">
        <v>3</v>
      </c>
      <c r="D2657" t="inlineStr">
        <is>
          <t>Dagues Érhy; Amulette du Strigide; Bague Trithon; Chevalière du Roi Joueur; Quatre-feuilles; Ceinture du Strigide; Masque Trithon; Cape des Justiciers; Bottes du Roi Joueur; Dolmanax; Dofus Ocre; Dofus Pourpre; Dofus des Glaces; Dofus Turquoise; Dofus Abyssal; Muldo Prune et Emeraude</t>
        </is>
      </c>
    </row>
    <row r="2658">
      <c r="A2658" t="inlineStr">
        <is>
          <t>PvM Terre Do crit</t>
        </is>
      </c>
      <c r="B2658">
        <f>HYPERLINK("https://www.dofusbook.net/fr/equipement/2613455-pvm-terre-do-crit/objets", "link")</f>
        <v/>
      </c>
      <c r="C2658" t="n">
        <v>7</v>
      </c>
      <c r="D2658" t="inlineStr">
        <is>
          <t>Dagues d'Ilyzaelle; Amulette du Strigide; Anneau du Comte Harebourg; Alliance de Missiz Frizz; Bouclier du Captain Amakna; Ceinture du Strigide; Masque de Koutoulou; Cape du Cœur Saignant; Bottes du Cœur Saignant; Dofus des Glaces; Dofus Turquoise; Dofus Abyssal; Dofus Pourpre; Dofus Ocre; Forcené majeur; Kokulte</t>
        </is>
      </c>
    </row>
    <row r="2659">
      <c r="A2659" t="inlineStr">
        <is>
          <t>PvM Full Force</t>
        </is>
      </c>
      <c r="B2659">
        <f>HYPERLINK("https://www.dofusbook.net/fr/equipement/2450628-pvm-full-force-/objets", "link")</f>
        <v/>
      </c>
      <c r="C2659" t="n">
        <v>7</v>
      </c>
      <c r="D2659" t="inlineStr">
        <is>
          <t>Dagues d'Ilyzaelle; Amulette du Strigide; Anneau Crustique; Anneau Crustique; Bouclier du Captain Amakna; Ceinture de Brouce; Masque de Koutoulou; Cape au Logis; Bottes de Brouce; Dofus Pourpre; Dofus Turquoise; Vigoureux majeur; Enragé majeur; Forcené majeur; Remueur; Kompost</t>
        </is>
      </c>
    </row>
    <row r="2660">
      <c r="A2660" t="inlineStr">
        <is>
          <t>Full ré crit</t>
        </is>
      </c>
      <c r="B2660">
        <f>HYPERLINK("https://www.dofusbook.net/fr/equipement/4348106-full-re-crit/objets", "link")</f>
        <v/>
      </c>
      <c r="C2660" t="n">
        <v>11</v>
      </c>
      <c r="D2660" t="inlineStr">
        <is>
          <t>Dagues de Srambad; Torquistik; Goulano; Baguistik; Goulclier; Poulpagne; Casque du Chalœil; Cape du Chalœil; Goulbottes; Dofus Vulbis; Dofus Pourpre; Dofus Abyssal; Dofus Émeraude; Dofus Ivoire; Wabbit</t>
        </is>
      </c>
    </row>
    <row r="2661">
      <c r="A2661" t="inlineStr">
        <is>
          <t>Terre/Eau Ré Crit</t>
        </is>
      </c>
      <c r="B2661">
        <f>HYPERLINK("https://www.dofusbook.net/fr/equipement/4348064-terre-eau-re-crit/objets", "link")</f>
        <v/>
      </c>
      <c r="C2661" t="n">
        <v>5</v>
      </c>
      <c r="D2661" t="inlineStr">
        <is>
          <t>Dagues de Srambad; Torquistik; Goulano; Anneau en Grithril; Goulclier; Ceinture en Grithril; Casque en Grithril; Cape du Chalœil; Goulbottes; Dofus Émeraude; Dofus Abyssal; Dofus Vulbis; Dofus Ivoire; Dofus Pourpre; Dofus Ocre; Bontique</t>
        </is>
      </c>
    </row>
    <row r="2662">
      <c r="A2662" t="inlineStr">
        <is>
          <t>Ecaflip Terre/Eau rox</t>
        </is>
      </c>
      <c r="B2662">
        <f>HYPERLINK("https://www.dofusbook.net/fr/equipement/4341418-ecaflip-terre-eau-rox/objets", "link")</f>
        <v/>
      </c>
      <c r="C2662" t="n">
        <v>7</v>
      </c>
      <c r="D2662" t="inlineStr">
        <is>
          <t>Dagues de Srambad; Amulette du Strigide; Anneau Volkorne; Bracelet du Piloztère; Bouclier du Stalak; Ceinture Volkorne; Maskrobe; Cape Reski; Bottes du Strigide; Dofus Ocre; Dofus Pourpre; Dofus des Glaces; Dofus Turquoise; Dofus Abyssal; Robuste majeur; Volkorne Pourpre et Indigo</t>
        </is>
      </c>
    </row>
    <row r="2663">
      <c r="A2663" t="inlineStr">
        <is>
          <t>PvM Agi/Do fixe</t>
        </is>
      </c>
      <c r="B2663">
        <f>HYPERLINK("https://www.dofusbook.net/fr/equipement/3100192-pvm-agi-do-fixe/objets", "link")</f>
        <v/>
      </c>
      <c r="C2663" t="n">
        <v>1</v>
      </c>
      <c r="D2663" t="inlineStr">
        <is>
          <t>Manthache; Collier du Valet Veinard; Alliance Gloursonne; Gant du Valet Veinard; Bouclier du Stalak; Menoture; Couronne d'Allister; Cape Indescriptible; Palmes Trithons; Dofus Pourpre; Dofus Ocre; Dofus des Glaces; Cascadeur majeur; Dévastateur Air majeur; Saccageur Air majeur; Muldo Doré et Ebène</t>
        </is>
      </c>
    </row>
    <row r="2664">
      <c r="A2664" t="inlineStr">
        <is>
          <t>PVM Terre/Feu ret PM</t>
        </is>
      </c>
      <c r="B2664">
        <f>HYPERLINK("https://www.dofusbook.net/fr/equipement/3055966-pvm-terre-feu-ret-pm/objets", "link")</f>
        <v/>
      </c>
      <c r="C2664" t="n">
        <v>3</v>
      </c>
      <c r="D2664" t="inlineStr">
        <is>
          <t>Epée Toche; Amulette Volcanique; Bague Gloursonne; Chevalière du Roi Joueur; Bouclier cubiste; Ceinture Gence; Sabots Volcaniques; Dofus Pourpre; Dofus des Glaces; Dolmanax</t>
        </is>
      </c>
    </row>
    <row r="2665">
      <c r="A2665" t="inlineStr">
        <is>
          <t>Padgref</t>
        </is>
      </c>
      <c r="B2665">
        <f>HYPERLINK("https://www.dofusbook.net/fr/equipement/3030838-padgref/objets", "link")</f>
        <v/>
      </c>
      <c r="C2665" t="n">
        <v>1</v>
      </c>
      <c r="D2665" t="inlineStr">
        <is>
          <t>Bouclier de Solar; Coiffe de Padgref; Cape de Nevark; Phorrilax</t>
        </is>
      </c>
    </row>
    <row r="2666">
      <c r="A2666" t="inlineStr">
        <is>
          <t>Pvm Air CC</t>
        </is>
      </c>
      <c r="B2666">
        <f>HYPERLINK("https://www.dofusbook.net/fr/equipement/3012678-pvm-air-cc/objets", "link")</f>
        <v/>
      </c>
      <c r="C2666" t="n">
        <v>4</v>
      </c>
      <c r="D2666" t="inlineStr">
        <is>
          <t>Lance Horselé; Amulette du Strigide; Anneau d'Allister; Anneau de Padgref; Bouclier du Captain Amakna; Ceinture du Strigide; Coiffe de Padgref; Cape Indescriptible; Bottes d'Allister; Dofus Pourpre; Dofus Ocre; Dofus Turquoise; Dofus Nébuleux; Dofus des Glaces; Equilibriste majeur; Muldo Prune et Emeraude</t>
        </is>
      </c>
    </row>
    <row r="2667">
      <c r="A2667" t="inlineStr">
        <is>
          <t>Double pano atcham/.</t>
        </is>
      </c>
      <c r="B2667">
        <f>HYPERLINK("https://www.dofusbook.net/fr/equipement/2768982-double-pano-atcham--/objets", "link")</f>
        <v/>
      </c>
      <c r="C2667" t="n">
        <v>4</v>
      </c>
      <c r="D2667" t="inlineStr">
        <is>
          <t>Sabres d'Atcham; Amulette Séculaire; Anneau de Padgref; Bracelet du Piloztère; Bouclier du Captain Amakna; Ceinture Séculaire; Coiffe Séculaire; Cape d'Atcham; Sandales  d'Atcham; Dofus Pourpre; Dofus des Glaces; Dofus Turquoise; Dofus Abyssal; Dolmanax; Dofus Ocre; Muldo Prune et Doré</t>
        </is>
      </c>
    </row>
    <row r="2668">
      <c r="A2668" t="inlineStr">
        <is>
          <t>PvP Feu dégat</t>
        </is>
      </c>
      <c r="B2668">
        <f>HYPERLINK("https://www.dofusbook.net/fr/equipement/2964018-pvp-feu-degat/objets", "link")</f>
        <v/>
      </c>
      <c r="C2668" t="n">
        <v>7</v>
      </c>
      <c r="D2668" t="inlineStr">
        <is>
          <t>Massier; Amulette Séculaire; Anneauræus; Bague Gloursonne; Quatre-feuilles; Ceinture Séculaire; Heaume Oplate; Cape de Diondin; Bottes Innommables; Dofus Ivoire; Dofus Pourpre; Dofus Abyssal; Vigoureux majeur; Érudit majeur; Muldo Pourpre</t>
        </is>
      </c>
    </row>
    <row r="2669">
      <c r="A2669" t="inlineStr">
        <is>
          <t>PvM Terre/Eau</t>
        </is>
      </c>
      <c r="B2669">
        <f>HYPERLINK("https://www.dofusbook.net/fr/equipement/2852002-pvm-terre-eau/objets", "link")</f>
        <v/>
      </c>
      <c r="C2669" t="n">
        <v>2</v>
      </c>
      <c r="D2669" t="inlineStr">
        <is>
          <t>Épouvante; Amulette Luminescente; Pikano; Bracelet du Piloztère; Bouclier du Captain Amakna; Ceinture Luminescente; Masque de Funespadon; Cape des Justiciers; Chaussons de Macrab; Dofus Ocre; Dofus Abyssal; Dofus Pourpre; Dofus des Glaces; Dofus Turquoise; Dolmanax; Muldo Prune et Doré</t>
        </is>
      </c>
    </row>
    <row r="2670">
      <c r="A2670" t="inlineStr">
        <is>
          <t>PvM Multi</t>
        </is>
      </c>
      <c r="B2670">
        <f>HYPERLINK("https://www.dofusbook.net/fr/equipement/2789575-pvm-multi/objets", "link")</f>
        <v/>
      </c>
      <c r="C2670" t="n">
        <v>17</v>
      </c>
      <c r="D2670" t="inlineStr">
        <is>
          <t>Epée Gloursonne; Amulette de l'Œil Putride; Bague Gloursonne; Alliance Gloursonne; Quatre-feuilles; Ceinture de l'Indicible; Capuche de l'Œil Putride; Cape de l'Œil Putride; Bottes de l'Indicible; Dofus Émeraude; Dofus Turquoise; Dolmanax; Dofus Ocre; Dofus Pourpre; Dofus des Glaces; Muldo Prune et Doré</t>
        </is>
      </c>
    </row>
    <row r="2671">
      <c r="A2671" t="inlineStr">
        <is>
          <t>Quadruple bonus</t>
        </is>
      </c>
      <c r="B2671">
        <f>HYPERLINK("https://www.dofusbook.net/fr/equipement/2769097-quadruple-bonus/objets", "link")</f>
        <v/>
      </c>
      <c r="C2671" t="n">
        <v>4</v>
      </c>
      <c r="D2671" t="inlineStr">
        <is>
          <t>Sabres d'Atcham; Amulette du Strigide; Bague Trithon; Anneau de Padgref; Bouclier du Captain Amakna; Ceinture du Strigide; Coiffe de Padgref; Cape d'Atcham; Bottes Trithon; Dofus Turquoise; Dofus Abyssal; Dolmanax; Dofus Ocre; Dofus Pourpre; Dofus des Glaces; Muldo Prune et Emeraude</t>
        </is>
      </c>
    </row>
    <row r="2672">
      <c r="A2672" t="inlineStr">
        <is>
          <t>Triple bonus Feu</t>
        </is>
      </c>
      <c r="B2672">
        <f>HYPERLINK("https://www.dofusbook.net/fr/equipement/2769036-triple-bonus-feu/objets", "link")</f>
        <v/>
      </c>
      <c r="C2672" t="n">
        <v>3</v>
      </c>
      <c r="D2672" t="inlineStr">
        <is>
          <t>Épée d'Otomaï; Amulette d'Otomaï; Anneau de Padgref; Bague Gloursonne; Bouclier du Captain Amakna; Ceinture Séculaire; Coiffe Séculaire; Cape des Justiciers; Getas de Padgref; Dofus Ocre; Dofus Pourpre; Dofus des Glaces; Dofus Turquoise; Dofus Abyssal; Astucieux majeur; Muldo Prune et Emeraude</t>
        </is>
      </c>
    </row>
    <row r="2673">
      <c r="A2673" t="inlineStr">
        <is>
          <t>PvM Terre/Feu/Air</t>
        </is>
      </c>
      <c r="B2673">
        <f>HYPERLINK("https://www.dofusbook.net/fr/equipement/2742223-pvm-terre-feu-air/objets", "link")</f>
        <v/>
      </c>
      <c r="C2673" t="n">
        <v>4</v>
      </c>
      <c r="D2673" t="inlineStr">
        <is>
          <t>Marteau de Katrepat; Amulette du Strigide; Alliance Brûlâme; Anneau du Cycloïde; Bouclier du Captain Amakna; Ceinture du Strigide; Masque Brûlâme; Cape des Justiciers; Bottes du Cycloïde; Dofus Pourpre; Dofus Abyssal; Dofus Ocre; Dofus Turquoise; Dolmanax; Dofus des Glaces; Muldo Prune et Emeraude</t>
        </is>
      </c>
    </row>
    <row r="2674">
      <c r="A2674" t="inlineStr">
        <is>
          <t>PvM Feu/dégat</t>
        </is>
      </c>
      <c r="B2674">
        <f>HYPERLINK("https://www.dofusbook.net/fr/equipement/2741499-pvm-feu-degat/objets", "link")</f>
        <v/>
      </c>
      <c r="C2674" t="n">
        <v>6</v>
      </c>
      <c r="D2674" t="inlineStr">
        <is>
          <t>Harpelle; Collier de la Dame du Hasard; Bague Gloursonne; Anneau de Padgref; Bouclier du Captain Amakna; Ceinture Séculaire; Coiffe de Padgref; Cape de la Dame du Hasard; Getas de Padgref; Dofus Turquoise; Dolmanax; Dofus Ocre; Dofus Pourpre; Dofus des Glaces; Astucieux majeur; Muldo Prune et Emeraude</t>
        </is>
      </c>
    </row>
    <row r="2675">
      <c r="A2675" t="inlineStr">
        <is>
          <t>tzest</t>
        </is>
      </c>
      <c r="B2675">
        <f>HYPERLINK("https://www.dofusbook.net/fr/equipement/2716519-tzest/objets", "link")</f>
        <v/>
      </c>
      <c r="C2675" t="n">
        <v>4</v>
      </c>
      <c r="D2675" t="inlineStr">
        <is>
          <t>Arc Ahique; Amulette du Cœur Vaillant; Bague Gloursonne; Alliance Gloursonne; Quatre-feuilles; Ceinture de la Reine des Voleurs; Coiffe de la Reine des Voleurs; Cape du Cœur Vaillant; Bottes de la Reine des Voleurs; Dofus des Glaces; Dofus Ocre; Dofus Abyssal; Dolmanax; Dofus Turquoise; Dofus Pourpre; Muldo Prune et Doré</t>
        </is>
      </c>
    </row>
    <row r="2676">
      <c r="A2676" t="inlineStr">
        <is>
          <t>PvP Terre/Air/dégat</t>
        </is>
      </c>
      <c r="B2676">
        <f>HYPERLINK("https://www.dofusbook.net/fr/equipement/2716458-pvp-terre-air-degat/objets", "link")</f>
        <v/>
      </c>
      <c r="C2676" t="n">
        <v>8</v>
      </c>
      <c r="D2676" t="inlineStr">
        <is>
          <t>Lance corrompue; Amulette du Cœur Vaillant; Anneau Chevelu; Alliance Gloursonne; Bouclier d'Ilyzaelle; Ceintouse; Chapoulpe; Cape du Kamasterisk; Baleinabottes; Dofus Émeraude; Dofus des Glaces; Dofus Pourpre; Dofus Abyssal; Remueur; Vigoureux majeur; Muldo Ebène et Pourpre</t>
        </is>
      </c>
    </row>
    <row r="2677">
      <c r="A2677" t="inlineStr">
        <is>
          <t>PvM Terre/Eau/Air</t>
        </is>
      </c>
      <c r="B2677">
        <f>HYPERLINK("https://www.dofusbook.net/fr/equipement/2701216-pvm-terre-eau-air/objets", "link")</f>
        <v/>
      </c>
      <c r="C2677" t="n">
        <v>4</v>
      </c>
      <c r="D2677" t="inlineStr">
        <is>
          <t>Arc Ahique; Amulette de l'Indicible; Alliance Gloursonne; Bracelet du Piloztère; Bouclier du Stalak; Ceinture de la Reine des Voleurs; Coiffe de la Reine des Voleurs; Voilamibe; Bottes de la Reine des Voleurs; Dofus Pourpre; Dofus Abyssal; Dofus Ocre; Dolmanax; Dofus des Glaces; Féroce majeur; Kramkram</t>
        </is>
      </c>
    </row>
    <row r="2678">
      <c r="A2678" t="inlineStr">
        <is>
          <t>Stuff avant Fri3 - 1</t>
        </is>
      </c>
      <c r="B2678">
        <f>HYPERLINK("https://www.dofusbook.net/fr/equipement/2687365-stuff-avant-fri3---1/objets", "link")</f>
        <v/>
      </c>
      <c r="C2678" t="n">
        <v>4</v>
      </c>
      <c r="D2678" t="inlineStr">
        <is>
          <t>Bâton Brelle; Frimamulette; Alliance Gloursonne; Anneau d'Allister; Ceinture Rasboulaire du Rasboul; Couronne d'Allister; Voile d'encre; Bottes d'Allister; Dofus Pourpre; Dofus Émeraude; Dofus Turquoise; Dofus Vulbis; Dofus Ocre; Acrobate majeur; Dragodinde en armure</t>
        </is>
      </c>
    </row>
    <row r="2679">
      <c r="A2679" t="inlineStr">
        <is>
          <t>Pano cm</t>
        </is>
      </c>
      <c r="B2679">
        <f>HYPERLINK("https://www.dofusbook.net/fr/equipement/2683427-pano-cm/objets", "link")</f>
        <v/>
      </c>
      <c r="C2679" t="n">
        <v>1</v>
      </c>
      <c r="D2679" t="inlineStr">
        <is>
          <t>Talisman du Chêne Mou; Anneau du Chêne Mou; String Automnal du Chêne Mou; Coiffe du Chêne Mou; Cape Usée du Chêne Mou; Tongues du dimanche du Chêne Mou</t>
        </is>
      </c>
    </row>
    <row r="2680">
      <c r="A2680" t="inlineStr">
        <is>
          <t>PvM Feu/Eau</t>
        </is>
      </c>
      <c r="B2680">
        <f>HYPERLINK("https://www.dofusbook.net/fr/equipement/2678261-pvm-feu-eau/objets", "link")</f>
        <v/>
      </c>
      <c r="C2680" t="n">
        <v>5</v>
      </c>
      <c r="D2680" t="inlineStr">
        <is>
          <t>Épée Brûlâme; Collier de la Dame du Hasard; Bague Trithon; Bracelet du Piloztère; Bouclier du Captain Amakna; Ceintacé; Masque Trithon; Cape de la Dame du Hasard; Bottes de la Dame du Hasard; Dofus Nébuleux; Dofus Turquoise; Dolmanax; Dofus des Glaces; Dofus Pourpre; Dofus Abyssal; Muldo Prune et Emeraude</t>
        </is>
      </c>
    </row>
    <row r="2681">
      <c r="A2681" t="inlineStr">
        <is>
          <t>PvM Feu/Eau/Air</t>
        </is>
      </c>
      <c r="B2681">
        <f>HYPERLINK("https://www.dofusbook.net/fr/equipement/2662618-pvm-feu-eau-air/objets", "link")</f>
        <v/>
      </c>
      <c r="C2681" t="n">
        <v>6</v>
      </c>
      <c r="D2681" t="inlineStr">
        <is>
          <t>Sabres d'Atcham; Amulette de l'Œil Putride; Bracelet du Piloztère; Anneau de Padgref; Bouclier du Captain Amakna; Ceintacé; Capuche de l'Œil Putride; Cape d'Atcham; Sandales  d'Atcham; Muldo Prune et Emeraude</t>
        </is>
      </c>
    </row>
    <row r="2682">
      <c r="A2682" t="inlineStr">
        <is>
          <t>PvM Air/Do Crit</t>
        </is>
      </c>
      <c r="B2682">
        <f>HYPERLINK("https://www.dofusbook.net/fr/equipement/2662588-pvm-air-do-crit/objets", "link")</f>
        <v/>
      </c>
      <c r="C2682" t="n">
        <v>5</v>
      </c>
      <c r="D2682" t="inlineStr">
        <is>
          <t>Lance Horselé; Amulette de l'Œil Putride; Anneau de Padgref; Anneau d'Allister; Bouclier du Captain Amakna; Menoture; Coiffe de Padgref; Chevelure de Tal Kasha; Sandales de Tal Kasha; Dolmanax; Dofus Ocre; Dofus Pourpre; Dofus des Glaces; Dofus Turquoise; Dofus Abyssal; Muldo Prune et Emeraude</t>
        </is>
      </c>
    </row>
    <row r="2683">
      <c r="A2683" t="inlineStr">
        <is>
          <t>PvP Feu/Ret Pa</t>
        </is>
      </c>
      <c r="B2683">
        <f>HYPERLINK("https://www.dofusbook.net/fr/equipement/2662551-pvp-feu-ret-pa/objets", "link")</f>
        <v/>
      </c>
      <c r="C2683" t="n">
        <v>14</v>
      </c>
      <c r="D2683" t="inlineStr">
        <is>
          <t>Arc corrompu; Talisman Igans; Bague Gloursonne; Anneau Tique; Sept ans de malheur; Ceinture de Vortex; Heaume Oplate; Cape Ardente; Chaussures Ardentes; Dofus Émeraude; Carapace Feu majeur; Érudit majeur; Déserteur majeur; Remueur; Étourdisseur majeur; Muldo Orchidée et Pourpre</t>
        </is>
      </c>
    </row>
    <row r="2684">
      <c r="A2684" t="inlineStr">
        <is>
          <t>Pvm Rdv/Veinard/Arc</t>
        </is>
      </c>
      <c r="B2684">
        <f>HYPERLINK("https://www.dofusbook.net/fr/equipement/2659250-pvm-rdv-veinard-arc/objets", "link")</f>
        <v/>
      </c>
      <c r="C2684" t="n">
        <v>4</v>
      </c>
      <c r="D2684" t="inlineStr">
        <is>
          <t>Arc Ahique; Collier du Valet Veinard; Gant du Valet Veinard; Alliance Gloursonne; Bouclier du Stalak; Ceinture de la Reine des Voleurs; Coiffe de la Reine des Voleurs; Cape du Valet Veinard; Bottes de la Reine des Voleurs; Dokoko; Dofus Ocre; Dolmanax; Dofus des Glaces; Dofus Pourpre; Dofus Abyssal; Muldo Ebène</t>
        </is>
      </c>
    </row>
    <row r="2685">
      <c r="A2685" t="inlineStr">
        <is>
          <t>PvP Vita/Do pou</t>
        </is>
      </c>
      <c r="B2685">
        <f>HYPERLINK("https://www.dofusbook.net/fr/equipement/2647882-pvp-vita-do-pou/objets", "link")</f>
        <v/>
      </c>
      <c r="C2685" t="n">
        <v>1</v>
      </c>
      <c r="D2685" t="inlineStr">
        <is>
          <t>Héqache; Amulette de Pol Ouatnos; Bague Trithon; Alliance Gloursonne; Bouclier précieux; Pagne du Rykaon; Masque d'Anerice; Cape d'Anerice; Pataugastrique; Dofus Émeraude; Dofus Abyssal; Miraculé majeur; Culbuteur majeur; Bousculeur majeur; Remueur; Bounax</t>
        </is>
      </c>
    </row>
    <row r="2686">
      <c r="A2686" t="inlineStr">
        <is>
          <t>PvP Eau/ret Pa</t>
        </is>
      </c>
      <c r="B2686">
        <f>HYPERLINK("https://www.dofusbook.net/fr/equipement/2640417-pvp-eau-ret-pa/objets", "link")</f>
        <v/>
      </c>
      <c r="C2686" t="n">
        <v>22</v>
      </c>
      <c r="D2686" t="inlineStr">
        <is>
          <t>Sceptre du Roi Joueur; Amulette de Shokkoth; Bracelet des Fonds marins; Alliance Gloursonne; Sept ans de malheur; Culotte de Bethel; Kidibonnet; Chevelure de Tal Kasha; Chaussons de Macrab; Dofus Pourpre; Dofus Abyssal; Étourdisseur majeur; Carapace Eau majeur; Remueur; Carapace Air majeur; Muldo Indigo et Pourpre</t>
        </is>
      </c>
    </row>
    <row r="2687">
      <c r="A2687" t="inlineStr">
        <is>
          <t>PvP Terre/Air</t>
        </is>
      </c>
      <c r="B2687">
        <f>HYPERLINK("https://www.dofusbook.net/fr/equipement/2639581-pvp-terre-air/objets", "link")</f>
        <v/>
      </c>
      <c r="C2687" t="n">
        <v>7</v>
      </c>
      <c r="D2687" t="inlineStr">
        <is>
          <t>Héqache; Amulette du Cœur Vaillant; Anneau Crustique; Anneau Crustique; Sept ans de malheur; Ceintouse; Masque de Koutoulou; Cape du Cœur Vaillant; Baleinabottes; Dofus Pourpre; Dofus Turquoise; Dofus Émeraude; Dofus Abyssal; Muldo Ebène et Pourpre</t>
        </is>
      </c>
    </row>
    <row r="2688">
      <c r="A2688" t="inlineStr">
        <is>
          <t>PvM Eau</t>
        </is>
      </c>
      <c r="B2688">
        <f>HYPERLINK("https://www.dofusbook.net/fr/equipement/2613495-pvm-eau/objets", "link")</f>
        <v/>
      </c>
      <c r="C2688" t="n">
        <v>4</v>
      </c>
      <c r="D2688" t="inlineStr">
        <is>
          <t>Baguette Héroclite; Amulette de l'Œil Attentif; Bracelet des Fonds marins; Bracelet du Piloztère; Quatre-feuilles; Pagne du Rykaon; Kidibonnet; Cape Solution; Sandales des Fonds marins; Dofus Pourpre; Dofus Abyssal; Dofus Turquoise; Dofus des Glaces; Vigoureux majeur; Chanceux majeur; Muldo Prune et Emeraude</t>
        </is>
      </c>
    </row>
    <row r="2689">
      <c r="A2689" t="inlineStr">
        <is>
          <t>PvM Air/Eau new trop</t>
        </is>
      </c>
      <c r="B2689">
        <f>HYPERLINK("https://www.dofusbook.net/fr/equipement/2594845-pvm-air-eau-new-trop/objets", "link")</f>
        <v/>
      </c>
      <c r="C2689" t="n">
        <v>8</v>
      </c>
      <c r="D2689" t="inlineStr">
        <is>
          <t>Arc de Koutoulou; Amulette du Strigide; Bracelet du Piloztère; Alliance Gloursonne; Quatre-feuilles; Ceintacé; Némès de Tal Kasha; Chevelure de Tal Kasha; Bottes Voldelor; Dofus Turquoise; Dofus Abyssal; Dofus Ocre; Dofus Pourpre; Dofus des Glaces; Vigoureux majeur; Muldo Prune et Emeraude</t>
        </is>
      </c>
    </row>
    <row r="2690">
      <c r="A2690" t="inlineStr">
        <is>
          <t>PvM Air/Eau pp</t>
        </is>
      </c>
      <c r="B2690">
        <f>HYPERLINK("https://www.dofusbook.net/fr/equipement/2516427-pvm-air-eau-pp/objets", "link")</f>
        <v/>
      </c>
      <c r="C2690" t="n">
        <v>5</v>
      </c>
      <c r="D2690" t="inlineStr">
        <is>
          <t>Arc de Koutoulou; Amulette Voldelor; Alliance Gloursonne; Bracelet du Piloztère; Quatre-feuilles; Ceintacé; Némès de Tal Kasha; Chevelure de Tal Kasha; Bottes Voldelor; Dofus Turquoise; Dofus Abyssal; Dolmanax; Dofus Ocre; Dofus Pourpre; Dofus des Glaces; Muldo Prune et Emeraude</t>
        </is>
      </c>
    </row>
    <row r="2691">
      <c r="A2691" t="inlineStr">
        <is>
          <t>Item kani craftbrise</t>
        </is>
      </c>
      <c r="B2691">
        <f>HYPERLINK("https://www.dofusbook.net/fr/equipement/2590033-item-kani-craftbrise/objets", "link")</f>
        <v/>
      </c>
      <c r="C2691" t="n">
        <v>1</v>
      </c>
      <c r="D2691" t="inlineStr"/>
    </row>
    <row r="2692">
      <c r="A2692" t="inlineStr">
        <is>
          <t>PvM Terre/Air/Do Pou</t>
        </is>
      </c>
      <c r="B2692">
        <f>HYPERLINK("https://www.dofusbook.net/fr/equipement/2574063-pvm-terre-air-do-pou/objets", "link")</f>
        <v/>
      </c>
      <c r="C2692" t="n">
        <v>3</v>
      </c>
      <c r="D2692" t="inlineStr">
        <is>
          <t>Héqache; Amulette du Cœur Vaillant; Bague Trithon; Anneau Chevelu; Bouclier Taverne; Ceinture Gence; Masque Trithon; Cape du Cœur Vaillant; Bottes du Cœur Vaillant; Dofus Turquoise; Dolmanax; Dofus Pourpre; Dofus des Glaces; Pousseur majeur; Bousculeur majeur; Muldo Ebène et Pourpre</t>
        </is>
      </c>
    </row>
    <row r="2693">
      <c r="A2693" t="inlineStr">
        <is>
          <t>PvP Terre/Air/Do Pou</t>
        </is>
      </c>
      <c r="B2693">
        <f>HYPERLINK("https://www.dofusbook.net/fr/equipement/2581138-pvp-terre-air-do-pou/objets", "link")</f>
        <v/>
      </c>
      <c r="C2693" t="n">
        <v>3</v>
      </c>
      <c r="D2693" t="inlineStr">
        <is>
          <t>Héqache; Amulette du Cœur Vaillant; Anneau Chevelu; Bague Trithon; Bouclier Taverne; Ceinture Gence; Masque de Koutoulou; Cape du Cœur Vaillant; Pompes Funèbres; Dofus des Glaces; Dofus Pourpre; Dofus Abyssal; Dofus Turquoise; Culbuteur majeur; Bousculeur majeur; Muldo Ebène et Pourpre</t>
        </is>
      </c>
    </row>
    <row r="2694">
      <c r="A2694" t="inlineStr">
        <is>
          <t>Pvm Terre/Feu Ret PM</t>
        </is>
      </c>
      <c r="B2694">
        <f>HYPERLINK("https://www.dofusbook.net/fr/equipement/2542876-pvm-terre-feu-ret-pm/objets", "link")</f>
        <v/>
      </c>
      <c r="C2694" t="n">
        <v>2</v>
      </c>
      <c r="D2694" t="inlineStr">
        <is>
          <t>Epée Toche; Amulette Volcanique; Bague Gloursonne; Chevalière du Roi Joueur; Quatre-feuilles; Ceintacé; Couronne du Roi Joueur; Sac Volcanique; Bottes du Roi Joueur; Dolmanax; Dofus Turquoise; Dofus des Glaces; Dofus Nébuleux; Dofus Pourpre; Puissant majeur; Muldo Prune et Emeraude</t>
        </is>
      </c>
    </row>
    <row r="2695">
      <c r="A2695" t="inlineStr">
        <is>
          <t>Pvm Eau/air</t>
        </is>
      </c>
      <c r="B2695">
        <f>HYPERLINK("https://www.dofusbook.net/fr/equipement/2492030-pvm-eau-air/objets", "link")</f>
        <v/>
      </c>
      <c r="C2695" t="n">
        <v>8</v>
      </c>
      <c r="D2695" t="inlineStr">
        <is>
          <t>Hache du Korriandre; Amulette du Strigide; Bracelet du Piloztère; Alliance Gloursonne; Bouclier du Captain Amakna; Ceinture du Strigide; Némès de Tal Kasha; Chevelure de Tal Kasha; Sandales de Tal Kasha; Dofus Pourpre; Dofus des Glaces; Dofus Turquoise; Dofus Nébuleux; Dofus Abyssal; Dofus Ocre; Muldo Prune et Emeraude</t>
        </is>
      </c>
    </row>
    <row r="2696">
      <c r="A2696" t="inlineStr">
        <is>
          <t>PvM Multi/Chaloeil</t>
        </is>
      </c>
      <c r="B2696">
        <f>HYPERLINK("https://www.dofusbook.net/fr/equipement/2481482-pvm-multi-chaloeil/objets", "link")</f>
        <v/>
      </c>
      <c r="C2696" t="n">
        <v>6</v>
      </c>
      <c r="D2696" t="inlineStr">
        <is>
          <t>Arc du Chalœil; Amulette du Strigide; Chevalière du Roi Joueur; Bague Gloursonne; Bouclier du Captain Amakna; Ceinture du Strigide; Couronne du Roi Joueur; Voile d'encre; Bottes du Strigide; Dofus Turquoise; Dofus Nébuleux; Dofus Ocre; Dofus Pourpre; Dofus des Glaces; Forcené majeur; Muldo Prune et Doré</t>
        </is>
      </c>
    </row>
    <row r="2697">
      <c r="A2697" t="inlineStr">
        <is>
          <t>PODS</t>
        </is>
      </c>
      <c r="B2697">
        <f>HYPERLINK("https://www.dofusbook.net/fr/equipement/2463633-pods/objets", "link")</f>
        <v/>
      </c>
      <c r="C2697" t="n">
        <v>4</v>
      </c>
      <c r="D2697" t="inlineStr">
        <is>
          <t>Marteau R'ture; Collier de Tourthon; Anneau de Brouce; Anneau du Comte Harebourg; String Automnal du Chêne Mou; Coiffe du Comte Harebourg; Sac du Staca Noviste; Bottes de Brouce; Dolmanax; Forcené; Forcené majeur; Porteur majeur; Porteur mineur; Porteur; Fosfo</t>
        </is>
      </c>
    </row>
    <row r="2698">
      <c r="A2698" t="inlineStr">
        <is>
          <t>PvM Terre/Feu/Eau</t>
        </is>
      </c>
      <c r="B2698">
        <f>HYPERLINK("https://www.dofusbook.net/fr/equipement/2459924-pvm-terre-feu-eau/objets", "link")</f>
        <v/>
      </c>
      <c r="C2698" t="n">
        <v>3</v>
      </c>
      <c r="D2698" t="inlineStr">
        <is>
          <t>Arc Nécrotique; Talisman Igans; Bracelet du Piloztère; Bracelet des Fonds marins; Bouclier cubiste; Poulpagne; Masque du Glourséleste; Cape de la Dame du Hasard; Bottes de la Dame du Hasard; Dofus Turquoise; Dofus des Glaces; Dofus Pourpre; Dofus Nébuleux; Temporiseur majeur; Remueur; Muldo Prune et Emeraude</t>
        </is>
      </c>
    </row>
    <row r="2699">
      <c r="A2699" t="inlineStr">
        <is>
          <t>PvM Full eau/ret Pm</t>
        </is>
      </c>
      <c r="B2699">
        <f>HYPERLINK("https://www.dofusbook.net/fr/equipement/2445308-pvm-full-eau-ret-pm/objets", "link")</f>
        <v/>
      </c>
      <c r="C2699" t="n">
        <v>2</v>
      </c>
      <c r="D2699" t="inlineStr">
        <is>
          <t>Baguette Hique; Collier de la Dame du Hasard; Alliance Gloursonne; Bracelet des Fonds marins; Bouclier cubiste; Poulpagne; Kidibonnet; Cape de Meno; Bottes de Meno; Temporiseur majeur; Remueur; Observateur; Chanceux majeur; Entraveur majeur; Nomade; Muldo Prune et Doré</t>
        </is>
      </c>
    </row>
    <row r="2700">
      <c r="A2700" t="inlineStr">
        <is>
          <t>PVM Eau</t>
        </is>
      </c>
      <c r="B2700">
        <f>HYPERLINK("https://www.dofusbook.net/fr/equipement/2334275-pvm-eau/objets", "link")</f>
        <v/>
      </c>
      <c r="C2700" t="n">
        <v>4</v>
      </c>
      <c r="D2700" t="inlineStr">
        <is>
          <t>Dagoulinantes; Amulette de Shokkoth; Anneau Glacial; Bracelet des Fonds marins; Quatre-feuilles; Poulpagne; Kidibonnet; Cape de Mantaze; Sandales des Fonds marins; Dofus Pourpre; Dofus Turquoise; Dofus des Glaces; Vigoureux majeur; Nomade; Chanceux majeur; Dehluge</t>
        </is>
      </c>
    </row>
    <row r="2701">
      <c r="A2701" t="inlineStr">
        <is>
          <t>PVM Feu/Agi soin</t>
        </is>
      </c>
      <c r="B2701">
        <f>HYPERLINK("https://www.dofusbook.net/fr/equipement/2304963-pvm-feu-agi-soin/objets", "link")</f>
        <v/>
      </c>
      <c r="C2701" t="n">
        <v>1</v>
      </c>
      <c r="D2701" t="inlineStr">
        <is>
          <t>Harpelle; Amulette Séculaire; Anneau Rifique; Anneau de Padgref; Bouclier du Cycloïde; Ceinture Séculaire; Coiffe de Padgref; Cape Lati; Getas de Padgref; Dofus Pourpre; Dofus des Glaces; Dofus Turquoise; Dofus Émeraude; Dofus Ocre; Survivant majeur; Muldo Prune et Doré</t>
        </is>
      </c>
    </row>
    <row r="2702">
      <c r="A2702" t="inlineStr">
        <is>
          <t>PVM Feu soin</t>
        </is>
      </c>
      <c r="B2702">
        <f>HYPERLINK("https://www.dofusbook.net/fr/equipement/2304728-pvm-feu-soin/objets", "link")</f>
        <v/>
      </c>
      <c r="C2702" t="n">
        <v>4</v>
      </c>
      <c r="D2702" t="inlineStr">
        <is>
          <t>Arc Hétype; Amulette Séculaire; Anneauræus; Anneauræus; Bouclier du Cycloïde; Sangle Aise; Coiffe Séculaire; Cape de Diondin; Bottes Innommables; Dofus Pourpre; Miraculé majeur; Guérisseur majeur; Érudit majeur; Nomade; Astucieux majeur</t>
        </is>
      </c>
    </row>
    <row r="2703">
      <c r="A2703" t="inlineStr">
        <is>
          <t>Feu/Eau Ret PM</t>
        </is>
      </c>
      <c r="B2703">
        <f>HYPERLINK("https://www.dofusbook.net/fr/equipement/2292097-feu-eau-ret-pm/objets", "link")</f>
        <v/>
      </c>
      <c r="C2703" t="n">
        <v>2</v>
      </c>
      <c r="D2703" t="inlineStr">
        <is>
          <t>Arc Nécrotique; Collier de la Dame du Hasard; Anneau de Padgref; Anneau Tique; Bouclier cubiste; Ceintrigue; Kidibonnet; Cape de la Dame du Hasard; Bottes de Meno; Dofus Pourpre; Dofus Turquoise; Ralentisseur majeur; Temporiseur majeur; Entraveur majeur; Remueur; Muldo Prune et Doré</t>
        </is>
      </c>
    </row>
    <row r="2704">
      <c r="A2704" t="inlineStr">
        <is>
          <t>PvP Terre/Feu/Reseau</t>
        </is>
      </c>
      <c r="B2704">
        <f>HYPERLINK("https://www.dofusbook.net/fr/equipement/2043459-pvp-terre-feu-reseau/objets", "link")</f>
        <v/>
      </c>
      <c r="C2704" t="n">
        <v>1</v>
      </c>
      <c r="D2704" t="inlineStr"/>
    </row>
    <row r="2705">
      <c r="A2705" t="inlineStr">
        <is>
          <t>stuff terre air</t>
        </is>
      </c>
      <c r="B2705">
        <f>HYPERLINK("https://www.dofusbook.net/fr/equipement/1563842-stuff-terre-air/objets", "link")</f>
        <v/>
      </c>
      <c r="C2705" t="n">
        <v>1</v>
      </c>
      <c r="D2705" t="inlineStr">
        <is>
          <t>Héqache; Amulette du Strigide; Pikano; Alliance Gloursonne; Bouclier précieux; Ceinture du Strigide; Masque de Koutoulou; Voile d'encre; Dolmanax; Dofus Pourpre; Dofus des Glaces; Dofus Turquoise; Remueur; Nomade; Kramkram</t>
        </is>
      </c>
    </row>
    <row r="2706">
      <c r="A2706" t="inlineStr">
        <is>
          <t>PVP res ret PA</t>
        </is>
      </c>
      <c r="B2706">
        <f>HYPERLINK("https://www.dofusbook.net/fr/equipement/1419497-pvp-res-ret-pa/objets", "link")</f>
        <v/>
      </c>
      <c r="C2706" t="n">
        <v>16</v>
      </c>
      <c r="D2706" t="inlineStr">
        <is>
          <t>Pelle de la Cour Sombre; Amulette Voldelor; Anneau Tique; Alliance Gloursonne; Sept ans de malheur; Menoture; Casque Dragoeuf; Chevelure de Tal Kasha; Sandales de Tal Kasha; Dofus Abyssal; Dofus Émeraude; Étourdisseur majeur; Remueur; Paralyseur majeur; Muldo Ebène et Orchidée</t>
        </is>
      </c>
    </row>
    <row r="2707">
      <c r="A2707" t="inlineStr">
        <is>
          <t>Pvm Agi/Intel</t>
        </is>
      </c>
      <c r="B2707">
        <f>HYPERLINK("https://www.dofusbook.net/fr/equipement/812284-pvm-agi-intel/objets", "link")</f>
        <v/>
      </c>
      <c r="C2707" t="n">
        <v>5</v>
      </c>
      <c r="D2707" t="inlineStr">
        <is>
          <t>Baguette Range; Amulette du Strigide; Anneau de Padgref; Anneau Tique; Quatre-feuilles; Ceinture du Strigide; Coiffe de Padgref; Cape d'Atcham; Getas de Padgref; Dofus Ocre; Dofus Abyssal; Dofus Pourpre; Dolmanax; Dofus Turquoise; Dofus des Glaces; Muldo Prune et Emeraude</t>
        </is>
      </c>
    </row>
    <row r="2708">
      <c r="A2708" t="inlineStr">
        <is>
          <t>Terre/Eau full pano</t>
        </is>
      </c>
      <c r="B2708">
        <f>HYPERLINK("https://www.dofusbook.net/fr/equipement/1169969-terre-eau-full-pano-/objets", "link")</f>
        <v/>
      </c>
      <c r="C2708" t="n">
        <v>3</v>
      </c>
      <c r="D2708" t="inlineStr">
        <is>
          <t>Épouvante; Amulette Luminescente; Bracelet du Piloztère; Pikano; Bouclier du Stalak; Ceinture Luminescente; Casquipik; Cape Luminescente; Pikottes; Dofus Ocre; Dofus Pourpre; Dolmanax; Dofus Turquoise; Dofus des Glaces; Entraveur majeur; Muldo Indigo et Pourpre</t>
        </is>
      </c>
    </row>
    <row r="2709">
      <c r="A2709" t="inlineStr">
        <is>
          <t>PVP Eau/do pou</t>
        </is>
      </c>
      <c r="B2709">
        <f>HYPERLINK("https://www.dofusbook.net/fr/equipement/1027595-pvp-eau-do-pou/objets", "link")</f>
        <v/>
      </c>
      <c r="C2709" t="n">
        <v>1</v>
      </c>
      <c r="D2709" t="inlineStr">
        <is>
          <t>Rapière aux Glyphes; Amulette Luminescente; Alliance Gloursonne; Pikano; Bouclier précieux; Poulpagne; Kidibonnet; Cape Luminescente; Bottes Owesli; Dofus Pourpre; Dofus Émeraude; Chanceux majeur; Bousculeur majeur; Culbuteur majeur; Carapace Eau majeur; Muldo Ebène et Indigo</t>
        </is>
      </c>
    </row>
    <row r="2710">
      <c r="A2710" t="inlineStr">
        <is>
          <t>PVM Terre/Eau/do pou</t>
        </is>
      </c>
      <c r="B2710">
        <f>HYPERLINK("https://www.dofusbook.net/fr/equipement/1015567-pvm-terre-eau-do-pou/objets", "link")</f>
        <v/>
      </c>
      <c r="C2710" t="n">
        <v>4</v>
      </c>
      <c r="D2710" t="inlineStr">
        <is>
          <t>Dagues de Srambad; Amulette Luminescente; Alliance Gloursonne; Pikano; Bouclier précieux; Ceinture Luminescente; Coiffe de la Reine des Voleurs; Cape Luminescente; Bottes de la Reine des Voleurs; Dofus Émeraude; Dofus Ocre; Dofus des Glaces; Dolmanax; Dofus Pourpre; Bousculeur majeur; Muldo Prune et Doré</t>
        </is>
      </c>
    </row>
    <row r="2711">
      <c r="A2711" t="inlineStr">
        <is>
          <t>PVP Air/Terre trophe</t>
        </is>
      </c>
      <c r="B2711">
        <f>HYPERLINK("https://www.dofusbook.net/fr/equipement/410668-pvp-air-terre-trophe/objets", "link")</f>
        <v/>
      </c>
      <c r="C2711" t="n">
        <v>1</v>
      </c>
      <c r="D2711" t="inlineStr">
        <is>
          <t>Hache Ériphe; Amulette du Strigide; Anneau des égarés; Alliance Gloursonne; Ceinture de la Reine des Voleurs; Coiffe de la Reine des Voleurs; Cape du Kamasterisk; Baleinabottes; Dofus des Glaces; Dofus Ocre; Dofus Émeraude; Dofus Pourpre; Dofus Abyssal; Vigoureux majeur; Muldo Indigo et Orchidée</t>
        </is>
      </c>
    </row>
    <row r="2712">
      <c r="A2712" t="inlineStr">
        <is>
          <t>Full terre</t>
        </is>
      </c>
      <c r="B2712">
        <f>HYPERLINK("https://www.dofusbook.net/fr/equipement/410667-full-terre/objets", "link")</f>
        <v/>
      </c>
      <c r="C2712" t="n">
        <v>5</v>
      </c>
      <c r="D2712" t="inlineStr">
        <is>
          <t>Marteau R'ture; Collier de Tourthon; Anneau Crustique; Anneau du Comte Harebourg; Ceinture de la Cour Sombre; Masque de Koutoulou; Cape au Logis; Bottes de la Cour Sombre; Dofus Pourpre; Dofus Turquoise; Dofus des Glaces; Enragé majeur; Vigoureux majeur; Remueur; Kompost</t>
        </is>
      </c>
    </row>
    <row r="2713">
      <c r="A2713" t="inlineStr">
        <is>
          <t>Terre/Air no crit</t>
        </is>
      </c>
      <c r="B2713">
        <f>HYPERLINK("https://www.dofusbook.net/fr/equipement/410666-terre-air-no-crit/objets", "link")</f>
        <v/>
      </c>
      <c r="C2713" t="n">
        <v>1</v>
      </c>
      <c r="D2713" t="inlineStr">
        <is>
          <t>Hache Ériphe; Amulette de Nevark; Anneau des égarés; Anneau de Brouce; Ceinture de la Reine des Voleurs; Coiffe de la Reine des Voleurs; Cape de Nevark; Bottes de la Reine des Voleurs; Dofus Ocre; Dofus des Glaces; Dofus Pourpre; Dolmanax; Robuste majeur; Robuste; Muldo Doré et Ebène</t>
        </is>
      </c>
    </row>
    <row r="2714">
      <c r="A2714" t="inlineStr">
        <is>
          <t>PVP Terre/Air trophe</t>
        </is>
      </c>
      <c r="B2714">
        <f>HYPERLINK("https://www.dofusbook.net/fr/equipement/1004824-pvp-terre-air-trophe/objets", "link")</f>
        <v/>
      </c>
      <c r="C2714" t="n">
        <v>2</v>
      </c>
      <c r="D2714" t="inlineStr">
        <is>
          <t>Héqache; Amulette du Strigide; Alliance Gloursonne; Bracelet du Piloztère; Bouclier Taverne; Ceinture du Strigide; Masque de Koutoulou; Voile d'encre; Tentassons; Dofus Turquoise; Dofus Abyssal; Dofus Pourpre; Dofus Ocre; Dofus Émeraude; Dofus des Glaces; Muldo Indigo et Pourpre</t>
        </is>
      </c>
    </row>
    <row r="2715">
      <c r="A2715" t="inlineStr">
        <is>
          <t>Air/un peu terre-2</t>
        </is>
      </c>
      <c r="B2715">
        <f>HYPERLINK("https://www.dofusbook.net/fr/equipement/1004573-air-un-peu-terre-2/objets", "link")</f>
        <v/>
      </c>
      <c r="C2715" t="n">
        <v>1</v>
      </c>
      <c r="D2715" t="inlineStr">
        <is>
          <t>Hache Ériphe; Collier du Valet Veinard; Alliance Gloursonne; Gant du Valet Veinard; Bouclier cubiste; Ceinture de la Reine des Voleurs; Coiffe de la Reine des Voleurs; Cape du Valet Veinard; Bottes de la Reine des Voleurs; Dofus Pourpre; Dofus des Glaces; Dofus Ocre; Dofus Abyssal; Dofus Émeraude; Dolmanax; Muldo Ebène</t>
        </is>
      </c>
    </row>
    <row r="2716">
      <c r="A2716" t="inlineStr">
        <is>
          <t>PVP Terre/Air</t>
        </is>
      </c>
      <c r="B2716">
        <f>HYPERLINK("https://www.dofusbook.net/fr/equipement/1004466-pvp-terre-air/objets", "link")</f>
        <v/>
      </c>
      <c r="C2716" t="n">
        <v>2</v>
      </c>
      <c r="D2716" t="inlineStr">
        <is>
          <t>Hache Ériphe; Amulette du Kamasterisk; Alliance Gloursonne; Bague Gloursonne; Bouclier cubiste; Ceintouse; Chapoulpe; Cape du Kamasterisk; Tentassons; Dofus Pourpre; Dofus Abyssal; Dolmanax; Dofus Ocre; Dofus Émeraude; Dofus des Glaces; Muldo Indigo et Pourpre</t>
        </is>
      </c>
    </row>
    <row r="2717">
      <c r="A2717" t="inlineStr">
        <is>
          <t>Terre/Feu ret pm</t>
        </is>
      </c>
      <c r="B2717">
        <f>HYPERLINK("https://www.dofusbook.net/fr/equipement/996226-terre-feu-ret-pm/objets", "link")</f>
        <v/>
      </c>
      <c r="C2717" t="n">
        <v>3</v>
      </c>
      <c r="D2717" t="inlineStr">
        <is>
          <t>Epée Toche; Amulette de Gein; Bague Gloursonne; Chevalière du Roi Joueur; Quatre-feuilles; Ceinture de Gein; Chapeau de Gein; Voile d'encre; Bottes du Roi Joueur; Dofus Pourpre; Dofus Ocre; Dofus Nébuleux; Dolmanax; Dofus des Glaces; Dofus Turquoise; Muldo Ebène et Pourpre</t>
        </is>
      </c>
    </row>
    <row r="2718">
      <c r="A2718" t="inlineStr">
        <is>
          <t>Air/un peu terre</t>
        </is>
      </c>
      <c r="B2718">
        <f>HYPERLINK("https://www.dofusbook.net/fr/equipement/992201-air-un-peu-terre/objets", "link")</f>
        <v/>
      </c>
      <c r="C2718" t="n">
        <v>3</v>
      </c>
      <c r="D2718" t="inlineStr">
        <is>
          <t>Pelle de la Cour Sombre; Collier du Valet Veinard; Anneau des égarés; Gant du Valet Veinard; Ceintouse; Casque des égarés; Cape du Valet Veinard; Bottes des égarés; Dofus Ocre; Dofus Abyssal; Dofus Pourpre; Dofus Vulbis; Dofus Émeraude; Dofus des Glaces; Muldo Ebène et Pourpre</t>
        </is>
      </c>
    </row>
    <row r="2719">
      <c r="A2719" t="inlineStr">
        <is>
          <t>PVM Agi/Feu</t>
        </is>
      </c>
      <c r="B2719">
        <f>HYPERLINK("https://www.dofusbook.net/fr/equipement/957037-pvm-agi-feu/objets", "link")</f>
        <v/>
      </c>
      <c r="C2719" t="n">
        <v>1</v>
      </c>
      <c r="D2719" t="inlineStr">
        <is>
          <t>Dagues Érhy; Pendentif mignon de Koutoulou; Anneau de Padgref; Kralano; Bouclier du Stalak; Ceinture de Vortex; Casque Cyclopéen; Voilamibe; Pantoufles Émar; Dofus des Glaces; Dofus Pourpre; Dofus Ocre; Sanguinaire majeur; Féroce majeur; Vigoureux majeur; Dragodinde en armure</t>
        </is>
      </c>
    </row>
    <row r="2720">
      <c r="A2720" t="inlineStr">
        <is>
          <t>PVM Agi/Feu full pan</t>
        </is>
      </c>
      <c r="B2720">
        <f>HYPERLINK("https://www.dofusbook.net/fr/equipement/935454-pvm-agi-feu-full-pan/objets", "link")</f>
        <v/>
      </c>
      <c r="C2720" t="n">
        <v>2</v>
      </c>
      <c r="D2720" t="inlineStr">
        <is>
          <t>Dagues Érhy; Pendentif mignon de Koutoulou; Anneau de Padgref; Anneau Rifique; Bouclier du Stalak; Ceinture de Vortex; Casque Cyclopéen; Voilamibe; Sabots de Vortex; Dofus Ocre; Dolmanax; Dofus Pourpre; Dofus des Glaces; Robuste majeur; Féroce majeur; Kramkram</t>
        </is>
      </c>
    </row>
    <row r="2721">
      <c r="A2721" t="inlineStr">
        <is>
          <t>PVM Tri</t>
        </is>
      </c>
      <c r="B2721">
        <f>HYPERLINK("https://www.dofusbook.net/fr/equipement/935019-pvm-tri/objets", "link")</f>
        <v/>
      </c>
      <c r="C2721" t="n">
        <v>2</v>
      </c>
      <c r="D2721" t="inlineStr">
        <is>
          <t>Sabres d'Atcham; Amulette de l'Indicible; Alliance Gloursonne; Kralano; Quatre-feuilles; Ceintacé; Maskrobe; Cape d'Atcham; Pataugastrique; Dofus des Glaces; Dofus Turquoise; Dofus Pourpre; Dolmanax; Sanguinaire majeur; Vigoureux majeur; Kramkram</t>
        </is>
      </c>
    </row>
    <row r="2722">
      <c r="A2722" t="inlineStr">
        <is>
          <t>PVM Feu spe do</t>
        </is>
      </c>
      <c r="B2722">
        <f>HYPERLINK("https://www.dofusbook.net/fr/equipement/934854-pvm-feu-spe-do/objets", "link")</f>
        <v/>
      </c>
      <c r="C2722" t="n">
        <v>2</v>
      </c>
      <c r="D2722" t="inlineStr">
        <is>
          <t>Plumeau Bil; Talisman Igans; Bague Gloursonne; Anneauræus; Bouclier du Stalak; Sangle Aise; Casque Cyclopéen; Cape de Diondin; Bottes Owesli; Dofus Vulbis; Dofus Pourpre; Dofus des Glaces; Astucieux majeur; Dévastateur Feu majeur; Érudit majeur; Brûlih</t>
        </is>
      </c>
    </row>
    <row r="2723">
      <c r="A2723" t="inlineStr">
        <is>
          <t>PVM Feu/Eau</t>
        </is>
      </c>
      <c r="B2723">
        <f>HYPERLINK("https://www.dofusbook.net/fr/equipement/934769-pvm-feu-eau/objets", "link")</f>
        <v/>
      </c>
      <c r="C2723" t="n">
        <v>3</v>
      </c>
      <c r="D2723" t="inlineStr">
        <is>
          <t>Pyraguette; Talisman Igans; Anneau Cryochrone; Anneau Kturne; Bouclier du Stalak; Ceintrigue; Casqnoar; Cape de Diondin; Bottes Owesli; Dofus des Glaces; Dofus Ocre; Dolmanax; Dofus Pourpre; Féroce majeur; Robuste majeur; Dragodinde en armure</t>
        </is>
      </c>
    </row>
    <row r="2724">
      <c r="A2724" t="inlineStr">
        <is>
          <t>PVM Agi</t>
        </is>
      </c>
      <c r="B2724">
        <f>HYPERLINK("https://www.dofusbook.net/fr/equipement/410689-pvm-agi/objets", "link")</f>
        <v/>
      </c>
      <c r="C2724" t="n">
        <v>1</v>
      </c>
      <c r="D2724" t="inlineStr">
        <is>
          <t>Pelle de la Cour Sombre; Collier du Valet Veinard; Gant du Valet Veinard; Alliance Gloursonne; Ceinture du Nocturlabe; Couronne d'Allister; Voilamibe; Baleinabottes; Dofus des Glaces; Equilibriste majeur; Dévastateur Air majeur; Saccageur Air majeur; Remueur; Cascadeur majeur; Siroko</t>
        </is>
      </c>
    </row>
    <row r="2725">
      <c r="A2725" t="inlineStr">
        <is>
          <t>PVM Agi low cost</t>
        </is>
      </c>
      <c r="B2725">
        <f>HYPERLINK("https://www.dofusbook.net/fr/equipement/410688-pvm-agi-low-cost/objets", "link")</f>
        <v/>
      </c>
      <c r="C2725" t="n">
        <v>2</v>
      </c>
      <c r="D2725" t="inlineStr">
        <is>
          <t>Pelle de la Cour Sombre; Amulette de Nevark; Alliance Gloursonne; Anneau d'Allister; Ceinture Rasboulaire du Rasboul; Couronne d'Allister; Voilamibe; Pantoufles Émar; Vigoureux majeur; Dévastateur Air majeur; Nomade; Cascadeur majeur; Saccageur Air majeur; Remueur; Siroko</t>
        </is>
      </c>
    </row>
    <row r="2726">
      <c r="A2726" t="inlineStr">
        <is>
          <t>PVM Feu classique</t>
        </is>
      </c>
      <c r="B2726">
        <f>HYPERLINK("https://www.dofusbook.net/fr/equipement/410687-pvm-feu-classique/objets", "link")</f>
        <v/>
      </c>
      <c r="C2726" t="n">
        <v>2</v>
      </c>
      <c r="D2726" t="inlineStr">
        <is>
          <t>Arc Hétype; Amulette Séculaire; Anneau Tamie; Anneau Tamie; Sangle Aise; Coiffe Séculaire; Voilamibe; Pataugastrique; Dofus Pourpre; Dofus des Glaces; Astucieux majeur; Vigoureux majeur; Dévastateur Feu majeur; Érudit majeur; Brûlih</t>
        </is>
      </c>
    </row>
    <row r="2727">
      <c r="A2727" t="inlineStr">
        <is>
          <t>PVP Force/Chance</t>
        </is>
      </c>
      <c r="B2727">
        <f>HYPERLINK("https://www.dofusbook.net/fr/equipement/928254-pvp-force-chance/objets", "link")</f>
        <v/>
      </c>
      <c r="C2727" t="n">
        <v>18</v>
      </c>
      <c r="D2727" t="inlineStr">
        <is>
          <t>Dagues de Srambad; Amulette Luminescente; Alliance Gloursonne; Anneau Crustique; Sept ans de malheur; Ceinture de la Reine des Voleurs; Kidibonnet; Voile d'encre; Bottes de la Reine des Voleurs; Dofus Émeraude; Dofus Pourpre; Dolmanax; Remueur; Vigoureux majeur; Étourdisseur majeur; Muldo Ebène et Indigo</t>
        </is>
      </c>
    </row>
    <row r="2728">
      <c r="A2728" t="inlineStr">
        <is>
          <t>PVP Terre</t>
        </is>
      </c>
      <c r="B2728">
        <f>HYPERLINK("https://www.dofusbook.net/fr/equipement/921500-pvp-terre/objets", "link")</f>
        <v/>
      </c>
      <c r="C2728" t="n">
        <v>6</v>
      </c>
      <c r="D2728" t="inlineStr">
        <is>
          <t>Arc du Chalœil; Amulette du Strigide; Anneau Crustique; Anneau Crustique; Sept ans de malheur; Ceintacé; Chapoulpe; Voile d'encre; Tentassons; Dofus Pourpre; Dofus Turquoise; Dofus Abyssal; Enragé majeur; Remueur; Étourdisseur majeur; Muldo Ebène et Pourpre</t>
        </is>
      </c>
    </row>
    <row r="2729">
      <c r="A2729" t="inlineStr">
        <is>
          <t>Stuff 1</t>
        </is>
      </c>
      <c r="B2729">
        <f>HYPERLINK("https://www.dofusbook.net/fr/equipement/410660-stuff-1/objets", "link")</f>
        <v/>
      </c>
      <c r="C2729" t="n">
        <v>12</v>
      </c>
      <c r="D2729" t="inlineStr">
        <is>
          <t>Bâton Beau; Amulette du Strigide; Bracelet du Piloztère; Alliance de Missiz Frizz; Quatre-feuilles; Ceintacé; Maskrobe; Cape Reski; Bottes du Strigide; Dofus Pourpre; Dofus Turquoise; Dofus Ocre; Enragé majeur; Vigoureux majeur; Nomade; Kramkram</t>
        </is>
      </c>
    </row>
    <row r="2730">
      <c r="A2730" t="inlineStr">
        <is>
          <t>Pvm Agi/Cha/crit</t>
        </is>
      </c>
      <c r="B2730">
        <f>HYPERLINK("https://www.dofusbook.net/fr/equipement/854563-pvm-agi-cha-crit/objets", "link")</f>
        <v/>
      </c>
      <c r="C2730" t="n">
        <v>2</v>
      </c>
      <c r="D2730" t="inlineStr">
        <is>
          <t>Arc de Koutoulou; Amulette du Strigide; Bracelet du Piloztère; Alliance Gloursonne; Quatre-feuilles; Ceintacé; Némès de Tal Kasha; Chevelure de Tal Kasha; Bottes Voldelor; Dofus Turquoise; Dofus Pourpre; Chanceux majeur; Vigoureux majeur; Cascadeur majeur; Remueur; Muldo Prune et Doré</t>
        </is>
      </c>
    </row>
    <row r="2731">
      <c r="A2731" t="inlineStr">
        <is>
          <t>Multi pvm</t>
        </is>
      </c>
      <c r="B2731">
        <f>HYPERLINK("https://www.dofusbook.net/fr/equipement/810585-multi-pvm/objets", "link")</f>
        <v/>
      </c>
      <c r="C2731" t="n">
        <v>6</v>
      </c>
      <c r="D2731" t="inlineStr">
        <is>
          <t>Hache du Chalœil; Amulette du Strigide; Bague Gloursonne; Anneau de Padgref; Bouclier du Captain Amakna; Ceinture du Strigide; Le Dorado; Dofusteuse; Bottes du Chalœil; Dofus Turquoise; Dofus des Glaces; Dolmanax; Dofus Pourpre; Dofus Ocre; Vigoureux majeur; Muldo Prune et Doré</t>
        </is>
      </c>
    </row>
    <row r="2732">
      <c r="A2732" t="inlineStr">
        <is>
          <t>Stuff 1</t>
        </is>
      </c>
      <c r="B2732">
        <f>HYPERLINK("https://www.dofusbook.net/fr/equipement/410672-stuff-1/objets", "link")</f>
        <v/>
      </c>
      <c r="C2732" t="n">
        <v>2</v>
      </c>
      <c r="D2732" t="inlineStr">
        <is>
          <t>Harpelle; Pendentif affamé; Anneau Rifique; Anneau de Nidas; Ceinture de Vortex; Casquette de Meno; Cape de Diondin; Bottes de Meno; Dofus Pourpre; Vigoureux majeur; Guérisseur majeur; Nomade; Érudit majeur; Remueur; Brûlih</t>
        </is>
      </c>
    </row>
    <row r="2733">
      <c r="A2733" t="inlineStr">
        <is>
          <t>Stuff 3</t>
        </is>
      </c>
      <c r="B2733">
        <f>HYPERLINK("https://www.dofusbook.net/fr/equipement/410695-stuff-3/objets", "link")</f>
        <v/>
      </c>
      <c r="C2733" t="n">
        <v>0</v>
      </c>
      <c r="D2733" t="inlineStr">
        <is>
          <t>Hache du Chalœil; Amulette du Strigide; Anneau Chevelu; Bague Gloursonne; Ceintacé; Casque du Chalœil; Voile d'encre; Bottes du Chalœil; Dofus des Glaces; Dofus Pourpre; Dolmanax; Dofus Turquoise; Remueur; Nomade; Kramkram</t>
        </is>
      </c>
    </row>
    <row r="2734">
      <c r="A2734" t="inlineStr">
        <is>
          <t>Stuff 1</t>
        </is>
      </c>
      <c r="B2734">
        <f>HYPERLINK("https://www.dofusbook.net/fr/equipement/410690-stuff-1/objets", "link")</f>
        <v/>
      </c>
      <c r="C2734" t="n">
        <v>5</v>
      </c>
      <c r="D2734" t="inlineStr">
        <is>
          <t>Rapière aux Glyphes; Amulette du Sinistrofu; Bracelet des Fonds marins; Alliance Gloursonne; Ceinture Glaciale; Kidibonnet; Cape du Sinistrofu; Bottes du Nocturlabe; Dofus Pourpre; Vigoureux majeur; Nomade; Chanceux majeur; Remueur; Fonceur majeur; Kramkram</t>
        </is>
      </c>
    </row>
    <row r="2735">
      <c r="A2735" t="inlineStr">
        <is>
          <t>Stuff 2</t>
        </is>
      </c>
      <c r="B2735">
        <f>HYPERLINK("https://www.dofusbook.net/fr/equipement/410685-stuff-2/objets", "link")</f>
        <v/>
      </c>
      <c r="C2735" t="n">
        <v>2</v>
      </c>
      <c r="D2735" t="inlineStr">
        <is>
          <t>Sceptre du Roi Joueur; Amulette de Pol Ouatnos; Anneau de Nidas; Alliance Gloursonne; Ceinture Instable; Boucle d'oreille de Kongoku; Cape de Kongoku; Pataugastrique; Carapace Eau majeur; Étourdisseur majeur; Obstructeur majeur; Remueur; Carapace Feu majeur; Temporiseur majeur; El Scarador</t>
        </is>
      </c>
    </row>
    <row r="2736">
      <c r="A2736" t="inlineStr">
        <is>
          <t>Stuff 3</t>
        </is>
      </c>
      <c r="B2736">
        <f>HYPERLINK("https://www.dofusbook.net/fr/equipement/410674-stuff-3/objets", "link")</f>
        <v/>
      </c>
      <c r="C2736" t="n">
        <v>2</v>
      </c>
      <c r="D2736" t="inlineStr">
        <is>
          <t>Dagues Cacterre; Collier de la Dame du Hasard; Anneau de Nidas; Anneau Rifique; Ceintrigue; Casquette de Meno; Cape de Meno; Pataugastrique; Dofus Pourpre; Remueur; Chanceux majeur; Érudit majeur; Nomade; Vigoureux majeur; Brûlih</t>
        </is>
      </c>
    </row>
    <row r="2737">
      <c r="A2737" t="inlineStr">
        <is>
          <t>Stuff 1</t>
        </is>
      </c>
      <c r="B2737">
        <f>HYPERLINK("https://www.dofusbook.net/fr/equipement/410669-stuff-1/objets", "link")</f>
        <v/>
      </c>
      <c r="C2737" t="n">
        <v>3</v>
      </c>
      <c r="D2737" t="inlineStr">
        <is>
          <t>Marteau des Anciens Steamers; Amulette du Strigide; Pikano; Alliance Gloursonne; Ceintacé; Coiffe de la Reine des Voleurs; Dofusteuse; Bottes de la Reine des Voleurs; Dofus Turquoise; Dofus Pourpre; Dofus Nébuleux; Dofus des Glaces; Nomade; Remueur; Kramkram</t>
        </is>
      </c>
    </row>
    <row r="2738">
      <c r="A2738" t="inlineStr">
        <is>
          <t>Stuff 2</t>
        </is>
      </c>
      <c r="B2738">
        <f>HYPERLINK("https://www.dofusbook.net/fr/equipement/410700-stuff-2/objets", "link")</f>
        <v/>
      </c>
      <c r="C2738" t="n">
        <v>4</v>
      </c>
      <c r="D2738" t="inlineStr">
        <is>
          <t>Épouvante; Amulette Luminescente; Alliance Gloursonne; Anneau Chevelu; Ceinture Luminescente; Casque du Chalœil; Voile d'encre; Baleinabottes; Dofus Pourpre; Dofus Turquoise; Dofus des Glaces; Culbuteur majeur; Nomade; Remueur; Kramkram</t>
        </is>
      </c>
    </row>
    <row r="2739">
      <c r="A2739" t="inlineStr">
        <is>
          <t>Stuff 3</t>
        </is>
      </c>
      <c r="B2739">
        <f>HYPERLINK("https://www.dofusbook.net/fr/equipement/410692-stuff-3/objets", "link")</f>
        <v/>
      </c>
      <c r="C2739" t="n">
        <v>5</v>
      </c>
      <c r="D2739" t="inlineStr">
        <is>
          <t>Rapière aux Glyphes; Amulette de Shokkoth; Bracelet des Fonds marins; Alliance Gloursonne; Poulpagne; Kidibonnet; Cape de Mantaze; Sandales des Fonds marins; Dofus Pourpre; Dofus des Glaces; Chanceux majeur; Vigoureux majeur; Déserteur majeur; Carapace Eau majeur; Muldo Indigo et Pourpre</t>
        </is>
      </c>
    </row>
    <row r="2740">
      <c r="A2740" t="inlineStr">
        <is>
          <t>Stuff 2</t>
        </is>
      </c>
      <c r="B2740">
        <f>HYPERLINK("https://www.dofusbook.net/fr/equipement/410682-stuff-2/objets", "link")</f>
        <v/>
      </c>
      <c r="C2740" t="n">
        <v>1</v>
      </c>
      <c r="D2740" t="inlineStr">
        <is>
          <t>Pelle de Nidas; Amulette du Strigide; Anneau Chevelu; Pikano; Ceintacé; Coiffe de la Reine des Voleurs; Voile d'encre; Bottes de la Reine des Voleurs; Dofus Turquoise; Dofus des Glaces; Dolmanax; Remueur; Nomade; Miraculé majeur; Kramkram</t>
        </is>
      </c>
    </row>
    <row r="2741">
      <c r="A2741" t="inlineStr">
        <is>
          <t>Stuff 3</t>
        </is>
      </c>
      <c r="B2741">
        <f>HYPERLINK("https://www.dofusbook.net/fr/equipement/410671-stuff-3/objets", "link")</f>
        <v/>
      </c>
      <c r="C2741" t="n">
        <v>1</v>
      </c>
      <c r="D2741" t="inlineStr">
        <is>
          <t>Pelle de Nidas; Amulette Ementaire Deluxe; Anneau Chevelu; Alliance Gloursonne; Ceinture de la Reine des Voleurs; Coiffe de la Reine des Voleurs; Voile d'encre; Baleinabottes; Dolmanax; Dofus des Glaces; Dofus Pourpre; Évasif majeur; Remueur; Vigoureux majeur; Muldo Ebène et Indigo</t>
        </is>
      </c>
    </row>
    <row r="2742">
      <c r="A2742" t="inlineStr">
        <is>
          <t>Stuff 2</t>
        </is>
      </c>
      <c r="B2742">
        <f>HYPERLINK("https://www.dofusbook.net/fr/equipement/410694-stuff-2/objets", "link")</f>
        <v/>
      </c>
      <c r="C2742" t="n">
        <v>2</v>
      </c>
      <c r="D2742" t="inlineStr">
        <is>
          <t>Dagues Érhy; Amulette du Strigide; Chevalière du Roi Joueur; Anneau Chevelu; Ceintacé; Chapeau de Gein; Voile d'encre; Bottes du Roi Joueur; Dofus Pourpre; Dofus Turquoise; Temporiseur majeur; Nomade; Carapace Feu majeur; Remueur; El Scarador</t>
        </is>
      </c>
    </row>
    <row r="2743">
      <c r="A2743" t="inlineStr">
        <is>
          <t>Stuff 1</t>
        </is>
      </c>
      <c r="B2743">
        <f>HYPERLINK("https://www.dofusbook.net/fr/equipement/410684-stuff-1/objets", "link")</f>
        <v/>
      </c>
      <c r="C2743" t="n">
        <v>4</v>
      </c>
      <c r="D2743" t="inlineStr">
        <is>
          <t>Dagues Érhy; Amulette du Strigide; Bague Gloursonne; Anneau Chevelu; Ceinture de Gein; Chapeau de Gein; Voile d'encre; Pataugastrique; Dofus des Glaces; Dofus Turquoise; Temporiseur majeur; Nomade; Étourdisseur majeur; Remueur; Kramkram</t>
        </is>
      </c>
    </row>
    <row r="2744">
      <c r="A2744" t="inlineStr">
        <is>
          <t>Stuff 2</t>
        </is>
      </c>
      <c r="B2744">
        <f>HYPERLINK("https://www.dofusbook.net/fr/equipement/410673-stuff-2/objets", "link")</f>
        <v/>
      </c>
      <c r="C2744" t="n">
        <v>1</v>
      </c>
      <c r="D2744" t="inlineStr">
        <is>
          <t>Dagues Érhy; Pendentif affamé; Kralano; Anneau de Padgref; Sangle Aise; Coiffe de Padgref; Cape de la Dame du Hasard; Bottes du Cycloïde; Dofus Pourpre; Dofus Turquoise; Remueur; Érudit majeur; Vigoureux majeur; Nomade; Brûlih</t>
        </is>
      </c>
    </row>
    <row r="2745">
      <c r="A2745" t="inlineStr">
        <is>
          <t>Stuff 1</t>
        </is>
      </c>
      <c r="B2745">
        <f>HYPERLINK("https://www.dofusbook.net/fr/equipement/410699-stuff-1/objets", "link")</f>
        <v/>
      </c>
      <c r="C2745" t="n">
        <v>2</v>
      </c>
      <c r="D2745" t="inlineStr">
        <is>
          <t>Marteau R'ture; Collier de Tourthon; Anneau Chevelu; Bague Gloursonne; Ceintacé; Masque de Koutoulou; Cape au Logis; Bottes de la Cour Sombre; Dolmanax; Dofus des Glaces; Dofus Turquoise; Dofus Pourpre; Vigoureux majeur; Enragé majeur; Croum</t>
        </is>
      </c>
    </row>
    <row r="2746">
      <c r="A2746" t="inlineStr">
        <is>
          <t>Stuff 2</t>
        </is>
      </c>
      <c r="B2746">
        <f>HYPERLINK("https://www.dofusbook.net/fr/equipement/410691-stuff-2/objets", "link")</f>
        <v/>
      </c>
      <c r="C2746" t="n">
        <v>6</v>
      </c>
      <c r="D2746" t="inlineStr">
        <is>
          <t>Arc Hétype; Amulette de Pol Ouatnos; Chevalière du Roi Joueur; Bague Gloursonne; Ceinture de Gein; Chapeau de Gein; Voile d'encre; Bottes du Cycloïde; Dofus Ocre; Vigoureux majeur; Remueur; Érudit majeur; Carapace Terre majeur; Kramkram</t>
        </is>
      </c>
    </row>
    <row r="2747">
      <c r="A2747" t="inlineStr">
        <is>
          <t>Stuff 3</t>
        </is>
      </c>
      <c r="B2747">
        <f>HYPERLINK("https://www.dofusbook.net/fr/equipement/410686-stuff-3/objets", "link")</f>
        <v/>
      </c>
      <c r="C2747" t="n">
        <v>3</v>
      </c>
      <c r="D2747" t="inlineStr">
        <is>
          <t>Hache Ériphe; Amulette de Pol Ouatnos; Bracelet du Piloztère; Bague Gloursonne; Ceinture de la Cour Sombre; Dorabysses; Cape de la Cour Sombre; Baleinabottes; Étourdisseur majeur; Remueur; Carapace Feu majeur; Évasif majeur; Carapace Terre majeur; Croum</t>
        </is>
      </c>
    </row>
    <row r="2748">
      <c r="A2748" t="inlineStr">
        <is>
          <t>Stuff 1</t>
        </is>
      </c>
      <c r="B2748">
        <f>HYPERLINK("https://www.dofusbook.net/fr/equipement/410681-stuff-1/objets", "link")</f>
        <v/>
      </c>
      <c r="C2748" t="n">
        <v>2</v>
      </c>
      <c r="D2748" t="inlineStr">
        <is>
          <t>Arc du Chalœil; Amulette Luminescente; Pikano; Alliance Gloursonne; Sangle Ouare; Kidibonnet; Cape Luminescente; Bottes Trithon; Dofus Turquoise; Culbuteur majeur; Bousculeur majeur; Miraculé majeur; Carapace Terre majeur; Remueur; Kramkram</t>
        </is>
      </c>
    </row>
    <row r="2749">
      <c r="A2749" t="inlineStr">
        <is>
          <t>Stuff 3</t>
        </is>
      </c>
      <c r="B2749">
        <f>HYPERLINK("https://www.dofusbook.net/fr/equipement/410701-stuff-3/objets", "link")</f>
        <v/>
      </c>
      <c r="C2749" t="n">
        <v>2</v>
      </c>
      <c r="D2749" t="inlineStr">
        <is>
          <t>Arc Hétype; Amulette de Pol Ouatnos; Bague Gloursonne; Chevalière du Roi Joueur; Ceinture de Gein; Chapeau de Gein; Voile d'encre; Pataugastrique; Dofus des Glaces; Dolmanax; Dofus Pourpre; Érudit majeur; Évasif majeur; Remueur; Kramkram</t>
        </is>
      </c>
    </row>
    <row r="2750">
      <c r="A2750" t="inlineStr">
        <is>
          <t>Stuff 3</t>
        </is>
      </c>
      <c r="B2750">
        <f>HYPERLINK("https://www.dofusbook.net/fr/equipement/410683-stuff-3/objets", "link")</f>
        <v/>
      </c>
      <c r="C2750" t="n">
        <v>2</v>
      </c>
      <c r="D2750" t="inlineStr">
        <is>
          <t>Épouvante; Amulette Luminescente; Alliance Gloursonne; Anneau Chevelu; Sangle Ouare; Kidibonnet; Cape Luminescente; Pantoufles du Piloztère; Dolmanax; Dofus Pourpre; Remueur; Miraculé majeur; Kramkram</t>
        </is>
      </c>
    </row>
    <row r="2751">
      <c r="A2751" t="inlineStr">
        <is>
          <t>Stuff 1</t>
        </is>
      </c>
      <c r="B2751">
        <f>HYPERLINK("https://www.dofusbook.net/fr/equipement/410672-stuff-1/objets", "link")</f>
        <v/>
      </c>
      <c r="C2751" t="n">
        <v>2</v>
      </c>
      <c r="D2751" t="inlineStr">
        <is>
          <t>Harpelle; Pendentif affamé; Anneau Rifique; Anneau de Nidas; Ceinture de Vortex; Casquette de Meno; Cape de Diondin; Bottes de Meno; Dofus Pourpre; Érudit majeur; Remueur; Vigoureux majeur; Guérisseur majeur; Nomade; Brûlih</t>
        </is>
      </c>
    </row>
    <row r="2752">
      <c r="A2752" t="inlineStr">
        <is>
          <t>Stuff 3</t>
        </is>
      </c>
      <c r="B2752">
        <f>HYPERLINK("https://www.dofusbook.net/fr/equipement/410695-stuff-3/objets", "link")</f>
        <v/>
      </c>
      <c r="C2752" t="n">
        <v>0</v>
      </c>
      <c r="D2752" t="inlineStr">
        <is>
          <t>Hache du Chalœil; Amulette du Strigide; Anneau Chevelu; Bague Gloursonne; Ceintacé; Casque du Chalœil; Voile d'encre; Bottes du Chalœil; Dolmanax; Dofus Turquoise; Dofus des Glaces; Dofus Pourpre; Remueur; Nomade; Kramkram</t>
        </is>
      </c>
    </row>
    <row r="2753">
      <c r="A2753" t="inlineStr">
        <is>
          <t>Stuff 2</t>
        </is>
      </c>
      <c r="B2753">
        <f>HYPERLINK("https://www.dofusbook.net/fr/equipement/410661-stuff-2/objets", "link")</f>
        <v/>
      </c>
      <c r="C2753" t="n">
        <v>6</v>
      </c>
      <c r="D2753" t="inlineStr">
        <is>
          <t>Marteau R'ture; Amulette du Strigide; Anneau Crustique; Anneau du Comte Harebourg; Ceinture du Strigide; Masque de Koutoulou; Cape au Logis; Baleinabottes; Dofus Turquoise; Dofus Pourpre; Dofus Nébuleux; Forcené majeur; Enragé majeur; Vigoureux majeur; Kompost</t>
        </is>
      </c>
    </row>
    <row r="2754">
      <c r="A2754" t="inlineStr">
        <is>
          <t>Stuff 2</t>
        </is>
      </c>
      <c r="B2754">
        <f>HYPERLINK("https://www.dofusbook.net/fr/equipement/410640-stuff-2/objets", "link")</f>
        <v/>
      </c>
      <c r="C2754" t="n">
        <v>4</v>
      </c>
      <c r="D2754" t="inlineStr">
        <is>
          <t>Dagues Érhy; Amulette du Strigide; Anneau Chevelu; Bague Gloursonne; Ceinture du Strigide; Masque de Koutoulou; Cape au Logis; Bottes du Roi Joueur; Dolmanax; Dofus Turquoise; Dofus des Glaces; Dofus Pourpre; Remueur; Vigoureux majeur; Kramkram</t>
        </is>
      </c>
    </row>
    <row r="2755">
      <c r="A2755" t="inlineStr">
        <is>
          <t>Stuff 1</t>
        </is>
      </c>
      <c r="B2755">
        <f>HYPERLINK("https://www.dofusbook.net/fr/equipement/410639-stuff-1/objets", "link")</f>
        <v/>
      </c>
      <c r="C2755" t="n">
        <v>4</v>
      </c>
      <c r="D2755" t="inlineStr">
        <is>
          <t>Manthache; Collier du Valet Veinard; Alliance Gloursonne; Gant du Valet Veinard; Menoture; Couronne d'Allister; Cape Indescriptible; Palmes Trithons; Dofus Pourpre; Dofus des Glaces; Vigoureux majeur; Nomade; Remueur; Cascadeur majeur; Kramkram</t>
        </is>
      </c>
    </row>
    <row r="2756">
      <c r="A2756" t="inlineStr">
        <is>
          <t>Stuff 3</t>
        </is>
      </c>
      <c r="B2756">
        <f>HYPERLINK("https://www.dofusbook.net/fr/equipement/410641-stuff-3/objets", "link")</f>
        <v/>
      </c>
      <c r="C2756" t="n">
        <v>3</v>
      </c>
      <c r="D2756" t="inlineStr">
        <is>
          <t>Dagues Érhy; Amulette du Strigide; Anneau Chevelu; Bague Gloursonne; Ceinture du Strigide; Masque de Koutoulou; Voile d'encre; Bottes du Roi Joueur; Dofus des Glaces; Dofus Turquoise; Dolmanax; Dofus Pourpre; Vigoureux majeur; Remueur; Muldo Prune et Doré</t>
        </is>
      </c>
    </row>
    <row r="2757">
      <c r="A2757" t="inlineStr">
        <is>
          <t>200 Eau/Air no crit</t>
        </is>
      </c>
      <c r="B2757">
        <f>HYPERLINK("https://www.dofusbook.net/fr/equipement/5978230-200-eau-air-no-crit/objets", "link")</f>
        <v/>
      </c>
      <c r="C2757" t="n">
        <v>5</v>
      </c>
      <c r="D2757" t="inlineStr">
        <is>
          <t>Arc de Koutoulou; Amulette d'Ilyzaelle; Alliance Gloursonne; Bracelet du Piloztère; Bouclier du Stalak; Menoture; Casque d'Ilyzaelle; Voilamibe; Bottes du Strigide; Dofus Pourpre; Robuste majeur; Fonceur majeur; Nomade; Vigoureux majeur; Remueur; Mini Wa</t>
        </is>
      </c>
    </row>
    <row r="2758">
      <c r="A2758" t="inlineStr">
        <is>
          <t>200 Eau retrait Ini</t>
        </is>
      </c>
      <c r="B2758">
        <f>HYPERLINK("https://www.dofusbook.net/fr/equipement/4619987-200-eau-retrait-ini/objets", "link")</f>
        <v/>
      </c>
      <c r="C2758" t="n">
        <v>16</v>
      </c>
      <c r="D2758" t="inlineStr">
        <is>
          <t>Baguette Hique; Collier de la Dame du Hasard; Pikano; Alliance Gloursonne; Bouclier cubiste; Poulpagne; Voilamibe; Pikottes; Remueur; Nomade; Ralentisseur majeur; Temporiseur majeur; Chanceux majeur; Entraveur majeur; Léopardo</t>
        </is>
      </c>
    </row>
    <row r="2759">
      <c r="A2759" t="inlineStr">
        <is>
          <t>200 Eau-Feu Pyra</t>
        </is>
      </c>
      <c r="B2759">
        <f>HYPERLINK("https://www.dofusbook.net/fr/equipement/5229701-200-eau-feu-pyra/objets", "link")</f>
        <v/>
      </c>
      <c r="C2759" t="n">
        <v>2</v>
      </c>
      <c r="D2759" t="inlineStr">
        <is>
          <t>Pyraguette; Talisman Igans; Anneau Kturne; Bracelet du Piloztère; Bouclier du Stalak; Ceintrigue; Kidibonnet; Voilamibe; Bottes Antouche; Dofus Pourpre; Dofus des Glaces; Robuste majeur; Nomade; Vigoureux majeur; Remueur; Walk</t>
        </is>
      </c>
    </row>
    <row r="2760">
      <c r="A2760" t="inlineStr">
        <is>
          <t>200 Feu crit</t>
        </is>
      </c>
      <c r="B2760">
        <f>HYPERLINK("https://www.dofusbook.net/fr/equipement/5984073-200-feu-crit/objets", "link")</f>
        <v/>
      </c>
      <c r="C2760" t="n">
        <v>1</v>
      </c>
      <c r="D2760" t="inlineStr">
        <is>
          <t>Arc corrompu; Frimamulette; Anneau de Padgref; Kralano; Quatre-feuilles; Sangle Aise; Heaume Oplate; Cape Lati; Getas de Padgref; Dofus Pourpre; Dofus Turquoise; Nomade; Vigoureux majeur; Érudit majeur; Remueur; Bisouglours</t>
        </is>
      </c>
    </row>
    <row r="2761">
      <c r="A2761" t="inlineStr">
        <is>
          <t>200 Feu/Air crit</t>
        </is>
      </c>
      <c r="B2761">
        <f>HYPERLINK("https://www.dofusbook.net/fr/equipement/5046871-200-feu-air-crit/objets", "link")</f>
        <v/>
      </c>
      <c r="C2761" t="n">
        <v>19</v>
      </c>
      <c r="D2761" t="inlineStr">
        <is>
          <t>Amulette Volkorne; Kralano; Anneau de Padgref; Quatre-feuilles; Sangle Aise; Coiffe de Padgref; Cape des Malveilleurs; Pantoufles Émar; Dofus Turquoise; Dofus Pourpre; Vigoureux majeur; Érudit majeur; Remueur; Nomade; Kokulte</t>
        </is>
      </c>
    </row>
    <row r="2762">
      <c r="A2762" t="inlineStr">
        <is>
          <t>200 Eau/Feu Crit bott</t>
        </is>
      </c>
      <c r="B2762">
        <f>HYPERLINK("https://www.dofusbook.net/fr/equipement/2438242-200-eau-feu-crit-bott/objets", "link")</f>
        <v/>
      </c>
      <c r="C2762" t="n">
        <v>33</v>
      </c>
      <c r="D2762" t="inlineStr">
        <is>
          <t>Arc Nécrotique; Amulette Cryochrone; Lavanneau; Bracelet du Piloztère; Quatre-feuilles; Ceintacé; Coiffe Cryochrone; Cape de la Dame du Hasard; Dofus des Glaces; Dofus Pourpre; Dofus Turquoise; Remueur; Nomade; Kokulte</t>
        </is>
      </c>
    </row>
    <row r="2763">
      <c r="A2763" t="inlineStr">
        <is>
          <t>200 Terre/Air crit</t>
        </is>
      </c>
      <c r="B2763">
        <f>HYPERLINK("https://www.dofusbook.net/fr/equipement/5980266-200-terre-air-crit/objets", "link")</f>
        <v/>
      </c>
      <c r="C2763" t="n">
        <v>4</v>
      </c>
      <c r="D2763" t="inlineStr">
        <is>
          <t>Baguette de Torkélonia; Amulette du Strigide; Anneau de Padgref; Bracelet du Piloztère; Quatre-feuilles; Ceintacé; Corne de Torkélonia; Cape au Logis; Bottes du Cycloïde; Dofus Turquoise; Dofus Pourpre; Dofus des Glaces; Vigoureux majeur; Nomade; Remueur; Kokulte</t>
        </is>
      </c>
    </row>
    <row r="2764">
      <c r="A2764" t="inlineStr">
        <is>
          <t>200 Feu lowcost</t>
        </is>
      </c>
      <c r="B2764">
        <f>HYPERLINK("https://www.dofusbook.net/fr/equipement/5980114-200-feu-lowcost/objets", "link")</f>
        <v/>
      </c>
      <c r="C2764" t="n">
        <v>1</v>
      </c>
      <c r="D2764" t="inlineStr">
        <is>
          <t>Arc corrompu; Amulette de Nileza; Anneau Tamie; Gelano; Bouclier du Cycloïde; Sangle Aise; Masque du Glourséleste; Cape de Nileza; Bottes d'Otomaï; Nomade; Remueur; Brûlih</t>
        </is>
      </c>
    </row>
    <row r="2765">
      <c r="A2765" t="inlineStr">
        <is>
          <t>Crâ 12/6 Jahash</t>
        </is>
      </c>
      <c r="B2765">
        <f>HYPERLINK("https://www.dofusbook.net/fr/equipement/5978609-cra-12-6-jahash/objets", "link")</f>
        <v/>
      </c>
      <c r="C2765" t="n">
        <v>5</v>
      </c>
      <c r="D2765" t="inlineStr">
        <is>
          <t>Bâton Beau; Amulette du Strigide; Bracelet du Piloztère; Anneau de Padgref; Quatre-feuilles; Ceinture du Strigide; Coiffe de Padgref; Cape de Jahash Jurgen; Getas de Padgref; Dolmanax; Dofus des Glaces; Dofus Pourpre; Dofus Turquoise; Dofus Vulbis; Dofus Ocre; Sakochère</t>
        </is>
      </c>
    </row>
    <row r="2766">
      <c r="A2766" t="inlineStr">
        <is>
          <t>Crâ 12/6 VolkPadJah</t>
        </is>
      </c>
      <c r="B2766">
        <f>HYPERLINK("https://www.dofusbook.net/fr/equipement/5979046-cra-12-6-volkpadjah/objets", "link")</f>
        <v/>
      </c>
      <c r="C2766" t="n">
        <v>3</v>
      </c>
      <c r="D2766" t="inlineStr">
        <is>
          <t>Bâton Beau; Amulette Volkorne; Anneau Volkorne; Anneau de Padgref; Quatre-feuilles; Ceinture Volkorne; Coiffe de Padgref; Cape de Jahash Jurgen; Getas de Padgref; Dofus Ocre; Dolmanax; Dofus des Glaces; Dofus Pourpre; Dofus Turquoise; Sakochère</t>
        </is>
      </c>
    </row>
    <row r="2767">
      <c r="A2767" t="inlineStr">
        <is>
          <t>200 Multi classique</t>
        </is>
      </c>
      <c r="B2767">
        <f>HYPERLINK("https://www.dofusbook.net/fr/equipement/4424614-200-multi-classique/objets", "link")</f>
        <v/>
      </c>
      <c r="C2767" t="n">
        <v>8</v>
      </c>
      <c r="D2767" t="inlineStr">
        <is>
          <t>Bâton Beau; Amulette Volkorne; Anneau Volkorne; Bracelet du Piloztère; Quatre-feuilles; Ceinture Volkorne; Casque du Chalœil; Cape du Chalœil; Bottes du Chalœil; Dofus Ocre; Dofus des Glaces; Dofus Pourpre; Dolmanax; Dofus Turquoise; Kokulte</t>
        </is>
      </c>
    </row>
    <row r="2768">
      <c r="A2768" t="inlineStr">
        <is>
          <t>200 do crit 12/6</t>
        </is>
      </c>
      <c r="B2768">
        <f>HYPERLINK("https://www.dofusbook.net/fr/equipement/5865507-200-do-crit-12-6/objets", "link")</f>
        <v/>
      </c>
      <c r="C2768" t="n">
        <v>2</v>
      </c>
      <c r="D2768" t="inlineStr">
        <is>
          <t>Baguette de Torkélonia; Amulette du Strigide; Bracelet du Piloztère; Anneau de Padgref; Quatre-feuilles; Ceinture du Strigide; Coiffe de Padgref; Carapace de Torkélonia; Getas de Padgref; Dofus des Glaces; Dofus Pourpre; Dofus Turquoise; Dofus Ocre; Voyageur; Sakochère</t>
        </is>
      </c>
    </row>
    <row r="2769">
      <c r="A2769" t="inlineStr">
        <is>
          <t>200 Crit StriPadJah</t>
        </is>
      </c>
      <c r="B2769">
        <f>HYPERLINK("https://www.dofusbook.net/fr/equipement/5978385-200-crit-stripadjah/objets", "link")</f>
        <v/>
      </c>
      <c r="C2769" t="n">
        <v>2</v>
      </c>
      <c r="D2769" t="inlineStr">
        <is>
          <t>Bâton Beau; Amulette du Strigide; Anneau de Padgref; Bracelet du Piloztère; Quatre-feuilles; Ceinture du Strigide; Coiffe de Padgref; Cape de Jahash Jurgen; Getas de Padgref; Dofus Ocre; Dolmanax; Dofus Pourpre; Dofus Vulbis; Dofus Turquoise; Dofus des Glaces; Kokulte</t>
        </is>
      </c>
    </row>
    <row r="2770">
      <c r="A2770" t="inlineStr">
        <is>
          <t>200 StriTorkJah</t>
        </is>
      </c>
      <c r="B2770">
        <f>HYPERLINK("https://www.dofusbook.net/fr/equipement/5978353-200-stritorkjah/objets", "link")</f>
        <v/>
      </c>
      <c r="C2770" t="n">
        <v>4</v>
      </c>
      <c r="D2770" t="inlineStr">
        <is>
          <t>Baguette de Torkélonia; Amulette du Strigide; Anneau de Padgref; Bracelet du Piloztère; Quatre-feuilles; Ceinture du Strigide; Corne de Torkélonia; Cape de Jahash Jurgen; Bottes du Strigide; Dofus Ocre; Dofus Pourpre; Dofus Vulbis; Dofus Turquoise; Dolmanax; Dofus des Glaces; Kokulte</t>
        </is>
      </c>
    </row>
    <row r="2771">
      <c r="A2771" t="inlineStr">
        <is>
          <t>200 Multi Jahash</t>
        </is>
      </c>
      <c r="B2771">
        <f>HYPERLINK("https://www.dofusbook.net/fr/equipement/5978412-200-multi-jahash/objets", "link")</f>
        <v/>
      </c>
      <c r="C2771" t="n">
        <v>1</v>
      </c>
      <c r="D2771" t="inlineStr">
        <is>
          <t>Bâton Beau; Amulette du Strigide; Anneau de Padgref; Anneau Volkorne; Quatre-feuilles; Ceinture Volkorne; Le Dorado; Cape de Jahash Jurgen; Bottes du Strigide; Dofus Pourpre; Dofus Vulbis; Dofus Turquoise; Dolmanax; Dofus Ocre; Kokulte</t>
        </is>
      </c>
    </row>
    <row r="2772">
      <c r="A2772" t="inlineStr">
        <is>
          <t>200 Eau Air Cadran</t>
        </is>
      </c>
      <c r="B2772">
        <f>HYPERLINK("https://www.dofusbook.net/fr/equipement/4883183-200-eau-air-cadran/objets", "link")</f>
        <v/>
      </c>
      <c r="C2772" t="n">
        <v>4</v>
      </c>
      <c r="D2772" t="inlineStr">
        <is>
          <t>Arc de Koutoulou; Amulette d'Ilyzaelle; Alliance Gloursonne; Bracelet du Piloztère; Cadran d'Air; Ceintacé; Casque d'Ilyzaelle; Voilamibe; Bottes de la Reine des Voleurs; Dofus Pourpre; Dofus des Glaces; Robuste majeur; Vigoureux majeur; Remueur; Nomade; Mini Wa</t>
        </is>
      </c>
    </row>
    <row r="2773">
      <c r="A2773" t="inlineStr">
        <is>
          <t>200 Multi crit 12/6</t>
        </is>
      </c>
      <c r="B2773">
        <f>HYPERLINK("https://www.dofusbook.net/fr/equipement/5952083-200-multi-crit-12-6/objets", "link")</f>
        <v/>
      </c>
      <c r="C2773" t="n">
        <v>1</v>
      </c>
      <c r="D2773" t="inlineStr">
        <is>
          <t>Baguette de Torkélonia; Amulette du Strigide; Anneau de Padgref; Bracelet du Piloztère; Quatre-feuilles; Ceinture du Strigide; Coiffe de Padgref; Carapace de Torkélonia; Bottes du Strigide; Dofus Pourpre; Dofus Turquoise; Dofus Vulbis; Dofus Ocre; Dolmanax; Dofus des Glaces</t>
        </is>
      </c>
    </row>
    <row r="2774">
      <c r="A2774" t="inlineStr">
        <is>
          <t>200 Crit càc vdv</t>
        </is>
      </c>
      <c r="B2774">
        <f>HYPERLINK("https://www.dofusbook.net/fr/equipement/5772930-200-crit-cac-vdv/objets", "link")</f>
        <v/>
      </c>
      <c r="C2774" t="n">
        <v>4</v>
      </c>
      <c r="D2774" t="inlineStr">
        <is>
          <t>Epée Maudite du Saigneur Guerrier; Amulette Volkorne; Anneau de Padgref; Anneau Volkorne; Bouclier du Captain Amakna; Ceinture Volkorne; Coiffe de Padgref; Cape au Logis; Getas de Padgref; Dofus Ocre; Dofus des Glaces; Dolmanax; Dofus Pourpre; Dofus Émeraude; Dofus Turquoise; Kokulte</t>
        </is>
      </c>
    </row>
    <row r="2775">
      <c r="A2775" t="inlineStr">
        <is>
          <t>200 Terre Anneau</t>
        </is>
      </c>
      <c r="B2775">
        <f>HYPERLINK("https://www.dofusbook.net/fr/equipement/5711265-200-terre-anneau/objets", "link")</f>
        <v/>
      </c>
      <c r="C2775" t="n">
        <v>7</v>
      </c>
      <c r="D2775" t="inlineStr">
        <is>
          <t>Arc du Chalœil; Amulette du Strigide; Bague Gloursonne; Bague Harre; Quatre-feuilles; Ceinture du Strigide; Masque de Koutoulou; Cape au Logis; Bottes de Brouce; Dofus Turquoise; Dofus des Glaces; Dofus Pourpre; Remueur; Nomade; Enragé majeur; Pioute vert</t>
        </is>
      </c>
    </row>
    <row r="2776">
      <c r="A2776" t="inlineStr">
        <is>
          <t>200 Terreau ret</t>
        </is>
      </c>
      <c r="B2776">
        <f>HYPERLINK("https://www.dofusbook.net/fr/equipement/5817674-200-terreau-ret/objets", "link")</f>
        <v/>
      </c>
      <c r="C2776" t="n">
        <v>1</v>
      </c>
      <c r="D2776" t="inlineStr">
        <is>
          <t>Marteau R'ture; Racine Hueuse; Pikano; Bracelet du Piloztère; Bouclier cubiste; Sangle Cible; Coiffe d'Ogivol; Cape au Logis; Pikottes; Dofus Pourpre; Entraveur majeur; Remueur; Vigoureux majeur; Nomade; Temporiseur majeur; Volkorne Turquoise</t>
        </is>
      </c>
    </row>
    <row r="2777">
      <c r="A2777" t="inlineStr">
        <is>
          <t>200 Tank Anerice</t>
        </is>
      </c>
      <c r="B2777">
        <f>HYPERLINK("https://www.dofusbook.net/fr/equipement/3263850-200-tank-anerice/objets", "link")</f>
        <v/>
      </c>
      <c r="C2777" t="n">
        <v>13</v>
      </c>
      <c r="D2777" t="inlineStr">
        <is>
          <t>Rouleau à Pâtisserie d'Aermyne; Collier Rophante; Anneau de Pol Ouatnos; Alliance Gloursonne; Bouclier précieux; Ceinture de Kongoku; Masque d'Anerice; Cape d'Anerice; Pataugastrique; Dofus Émeraude; Obstructeur majeur; Tacleur majeur; Miraculé majeur; Remueur; Givrefoux</t>
        </is>
      </c>
    </row>
    <row r="2778">
      <c r="A2778" t="inlineStr">
        <is>
          <t>200 Multi Stri Torké</t>
        </is>
      </c>
      <c r="B2778">
        <f>HYPERLINK("https://www.dofusbook.net/fr/equipement/5803587-200-multi-stri-torke/objets", "link")</f>
        <v/>
      </c>
      <c r="C2778" t="n">
        <v>8</v>
      </c>
      <c r="D2778" t="inlineStr">
        <is>
          <t>Baguette de Torkélonia; Amulette du Strigide; Bracelet du Piloztère; Anneau de Padgref; Quatre-feuilles; Ceinture du Strigide; Corne de Torkélonia; Carapace de Torkélonia; Bottes du Strigide; Dofus Ocre; Dofus des Glaces; Dofus Ébène; Dofus Turquoise; Dofus Abyssal; Dofus Pourpre; Kokulte</t>
        </is>
      </c>
    </row>
    <row r="2779">
      <c r="A2779" t="inlineStr">
        <is>
          <t>200 Do crit Torké</t>
        </is>
      </c>
      <c r="B2779">
        <f>HYPERLINK("https://www.dofusbook.net/fr/equipement/5802669-200-do-crit-torke/objets", "link")</f>
        <v/>
      </c>
      <c r="C2779" t="n">
        <v>5</v>
      </c>
      <c r="D2779" t="inlineStr">
        <is>
          <t>Baguette de Torkélonia; Amulette Volkorne; Bracelet du Piloztère; Anneau Volkorne; Quatre-feuilles; Ceinture Volkorne; Corne de Torkélonia; Cape de la Dame du Hasard; Bottes Honyme; Dofus Ébène; Dofus Turquoise; Dofus Abyssal; Dofus Pourpre; Dofus Ocre; Dofus des Glaces; Kokulte</t>
        </is>
      </c>
    </row>
    <row r="2780">
      <c r="A2780" t="inlineStr">
        <is>
          <t>200 Terre Air</t>
        </is>
      </c>
      <c r="B2780">
        <f>HYPERLINK("https://www.dofusbook.net/fr/equipement/5090148-200-terre-air/objets", "link")</f>
        <v/>
      </c>
      <c r="C2780" t="n">
        <v>2</v>
      </c>
      <c r="D2780" t="inlineStr">
        <is>
          <t>Arc du Chalœil; Amulette du Strigide; Bracelet du Piloztère; Crocanneau; Quatre-feuilles; Ceintacé; Corne de Torkélonia; Carapace de Torkélonia; Bottes du Cycloïde; Dofus Turquoise; Dofus Pourpre; Vigoureux majeur; Enragé majeur; Remueur; Nomade; Kokulte</t>
        </is>
      </c>
    </row>
    <row r="2781">
      <c r="A2781" t="inlineStr">
        <is>
          <t>200 Terre Tank</t>
        </is>
      </c>
      <c r="B2781">
        <f>HYPERLINK("https://www.dofusbook.net/fr/equipement/5597535-200-terre-tank/objets", "link")</f>
        <v/>
      </c>
      <c r="C2781" t="n">
        <v>7</v>
      </c>
      <c r="D2781" t="inlineStr">
        <is>
          <t>L'Épée Nice; Amulette du Strigide; Anneau Chevelu; Anneau Volkorne; Bouclier précieux; Ceinture Volkorne; Casque Dragoeuf; Cape au Logis; Baleinabottes; Dofus Ivoire; Bloqueur majeur; Enragé majeur; Obstructeur majeur; Remueur; Givrefoux</t>
        </is>
      </c>
    </row>
    <row r="2782">
      <c r="A2782" t="inlineStr">
        <is>
          <t>200 Eau Feu Pyra</t>
        </is>
      </c>
      <c r="B2782">
        <f>HYPERLINK("https://www.dofusbook.net/fr/equipement/2777396-200-eau-feu-pyra/objets", "link")</f>
        <v/>
      </c>
      <c r="C2782" t="n">
        <v>32</v>
      </c>
      <c r="D2782" t="inlineStr">
        <is>
          <t>Pyraguette; Talisman Igans; Bracelet des Fonds marins; Alliance Gloursonne; Bouclier du Stalak; Ceintrigue; Casqnoar; Voilamibe; Pataugastrique; Dofus Pourpre; Vigoureux majeur; Remueur; Fonceur majeur; Robuste majeur; Nomade; Walk</t>
        </is>
      </c>
    </row>
    <row r="2783">
      <c r="A2783" t="inlineStr">
        <is>
          <t>200 Eau Feu Nécro</t>
        </is>
      </c>
      <c r="B2783">
        <f>HYPERLINK("https://www.dofusbook.net/fr/equipement/5076459-200-eau-feu-necro/objets", "link")</f>
        <v/>
      </c>
      <c r="C2783" t="n">
        <v>15</v>
      </c>
      <c r="D2783" t="inlineStr">
        <is>
          <t>Arc Nécrotique; Amulette Volkorne; Anneau Volkorne; Bracelet du Piloztère; Quatre-feuilles; Ceinture Volkorne; Casquette de Meno; Cape de Meno; Bottes de Meno; Dofus Pourpre; Dofus Abyssal; Dofus Turquoise; Dofus Ocre; Dofus des Glaces; Kokulte</t>
        </is>
      </c>
    </row>
    <row r="2784">
      <c r="A2784" t="inlineStr">
        <is>
          <t>200 TerreTank lowcost</t>
        </is>
      </c>
      <c r="B2784">
        <f>HYPERLINK("https://www.dofusbook.net/fr/equipement/5170374-200-terretank-lowcost/objets", "link")</f>
        <v/>
      </c>
      <c r="C2784" t="n">
        <v>8</v>
      </c>
      <c r="D2784" t="inlineStr">
        <is>
          <t>L'Épée Nice; Amulette du Strigide; Bracelet du Piloztère; Anneau de Pol Ouatnos; Bouclier précieux; Ceinture de XLII; Masque de Koutoulou; Cape au Logis; Bottes de XLII; Dolmanax; Dofus Émeraude; Obstructeur majeur; Remueur; Tacleur majeur; Dragodinde Amande et Ebène</t>
        </is>
      </c>
    </row>
    <row r="2785">
      <c r="A2785" t="inlineStr">
        <is>
          <t>200 Tank Aermyne</t>
        </is>
      </c>
      <c r="B2785">
        <f>HYPERLINK("https://www.dofusbook.net/fr/equipement/4076877-200-tank-aermyne/objets", "link")</f>
        <v/>
      </c>
      <c r="C2785" t="n">
        <v>6</v>
      </c>
      <c r="D2785" t="inlineStr">
        <is>
          <t>Rouleau à Pâtisserie d'Aermyne; Collier Rophante; Alliance Gloursonne; Anneau de Pol Ouatnos; Bouclier précieux; Ceinture de Kongoku; Casque Dragoeuf; Cape d'Aermyne; Pataugastrique; Dofus Émeraude; Obstructeur majeur; Tacleur majeur; Miraculé majeur; Remueur; Givrefoux</t>
        </is>
      </c>
    </row>
    <row r="2786">
      <c r="A2786" t="inlineStr">
        <is>
          <t>200 Feu Hétype</t>
        </is>
      </c>
      <c r="B2786">
        <f>HYPERLINK("https://www.dofusbook.net/fr/equipement/1874962-200-feu-hetype/objets", "link")</f>
        <v/>
      </c>
      <c r="C2786" t="n">
        <v>7</v>
      </c>
      <c r="D2786" t="inlineStr">
        <is>
          <t>Arc Hétype; Amulette de Nileza; Anneau Tamie; Anneau Tamie; Bivalve; Sangle Aise; Coiffe Séculaire; Cape de Nileza; Bottes Dogues; Dofus Abyssal; Dofus Pourpre; Érudit majeur; Nomade; Vigoureux majeur; Remueur; Volkorne Orchidée</t>
        </is>
      </c>
    </row>
    <row r="2787">
      <c r="A2787" t="inlineStr">
        <is>
          <t>200 Terre ret low</t>
        </is>
      </c>
      <c r="B2787">
        <f>HYPERLINK("https://www.dofusbook.net/fr/equipement/5776523-200-terre-ret-low/objets", "link")</f>
        <v/>
      </c>
      <c r="C2787" t="n">
        <v>2</v>
      </c>
      <c r="D2787" t="inlineStr">
        <is>
          <t>Marteau R'ture; Amulette Volcanique; Chevalière du Roi Joueur; Pikano; Bouclier cubiste; Sangle Cible; Masque de Koutoulou; Cape de Léthaline; Pikottes; Temporiseur majeur; Remueur; Ralentisseur majeur; Nomade; Temporiseur; Entraveur majeur; Volkorne Turquoise et Pourpre</t>
        </is>
      </c>
    </row>
    <row r="2788">
      <c r="A2788" t="inlineStr">
        <is>
          <t>200 Tank s/ Givrefoux</t>
        </is>
      </c>
      <c r="B2788">
        <f>HYPERLINK("https://www.dofusbook.net/fr/equipement/5708774-200-tank-s--givrefoux/objets", "link")</f>
        <v/>
      </c>
      <c r="C2788" t="n">
        <v>3</v>
      </c>
      <c r="D2788" t="inlineStr">
        <is>
          <t>Rouleau à Pâtisserie d'Aermyne; Collier Rophante; Anneau de Pol Ouatnos; Alliance Gloursonne; Bouclier précieux; Ceinture de Kongoku; Casque Dragoeuf; Cape d'Aermyne; Pataugastrique; Dofus Émeraude; Obstructeur majeur; Remueur; Bloqueur majeur; Dragodinde Amande et Ebène</t>
        </is>
      </c>
    </row>
    <row r="2789">
      <c r="A2789" t="inlineStr">
        <is>
          <t>200 Terre/Feu Lamelle</t>
        </is>
      </c>
      <c r="B2789">
        <f>HYPERLINK("https://www.dofusbook.net/fr/equipement/5323144-200-terre-feu-lamelle/objets", "link")</f>
        <v/>
      </c>
      <c r="C2789" t="n">
        <v>8</v>
      </c>
      <c r="D2789" t="inlineStr">
        <is>
          <t>Arc à Lamelles; Amulette du Strigide; Bracelet du Piloztère; Alliance de Missiz Frizz; Quatre-feuilles; Ceinture du Strigide; Couronne du Roi Joueur; Cape au Logis; Bottes Honyme; Dofus Pourpre; Dofus Turquoise; Dofus des Glaces; Vigoureux majeur; Nomade; Remueur; Kokulte</t>
        </is>
      </c>
    </row>
    <row r="2790">
      <c r="A2790" t="inlineStr">
        <is>
          <t>200 Eau ini lowcost</t>
        </is>
      </c>
      <c r="B2790">
        <f>HYPERLINK("https://www.dofusbook.net/fr/equipement/5615897-200-eau-ini-lowcost/objets", "link")</f>
        <v/>
      </c>
      <c r="C2790" t="n">
        <v>8</v>
      </c>
      <c r="D2790" t="inlineStr">
        <is>
          <t>Baguette Héroclite; Amulette de Danathor; Alliance Gloursonne; Bracelet du Piloztère; Cadran d'Air; Ceinture de Danathor; Kidibonnet; Voilamibe; Bottes du Nocturlabe; Dofus Pourpre; Robuste majeur; Chanceux majeur; Vigoureux majeur; Remueur; Nomade; Dragodinde Amande et Indigo</t>
        </is>
      </c>
    </row>
    <row r="2791">
      <c r="A2791" t="inlineStr">
        <is>
          <t>200 Eau crit</t>
        </is>
      </c>
      <c r="B2791">
        <f>HYPERLINK("https://www.dofusbook.net/fr/equipement/5619053-200-eau-crit/objets", "link")</f>
        <v/>
      </c>
      <c r="C2791" t="n">
        <v>8</v>
      </c>
      <c r="D2791" t="inlineStr">
        <is>
          <t>Baguette Hique; Amulette Volkorne; Bracelet du Piloztère; Anneau Volkorne; Quatre-feuilles; Pagne du Rykaon; Capuche de l'Œil Attentif; Cape de la Dame du Hasard; Pataugastrique; Dofus des Glaces; Dofus Turquoise; Dofus Pourpre; Dofus Ocre; Vigoureux majeur; Nomade; Kokulte</t>
        </is>
      </c>
    </row>
    <row r="2792">
      <c r="A2792" t="inlineStr">
        <is>
          <t>200 Tank lowcost</t>
        </is>
      </c>
      <c r="B2792">
        <f>HYPERLINK("https://www.dofusbook.net/fr/equipement/5696222-200-tank-lowcost/objets", "link")</f>
        <v/>
      </c>
      <c r="C2792" t="n">
        <v>6</v>
      </c>
      <c r="D2792" t="inlineStr">
        <is>
          <t>Rouleau à Pâtisserie d'Aermyne; Collier Rophante; Anneau de Pol Ouatnos; Alliance Gloursonne; Bouclier précieux; Ceinture de Kongoku; Casque Dragoeuf; Cape d'Aermyne; Pataugastrique; Dofus Émeraude; Bloqueur majeur; Obstructeur majeur; Tacleur majeur; Miraculé majeur; Remueur; Dragodinde Amande et Ebène</t>
        </is>
      </c>
    </row>
    <row r="2793">
      <c r="A2793" t="inlineStr">
        <is>
          <t>200 Air rés</t>
        </is>
      </c>
      <c r="B2793">
        <f>HYPERLINK("https://www.dofusbook.net/fr/equipement/5696563-200-air-res/objets", "link")</f>
        <v/>
      </c>
      <c r="C2793" t="n">
        <v>1</v>
      </c>
      <c r="D2793" t="inlineStr">
        <is>
          <t>Manthache; Collier du Valet Veinard; Alliance Gloursonne; Gant du Valet Veinard; Bouclier d'Ilyzaelle; Menoture; Casque Dragoeuf; Cape Indescriptible; Palmes Trithons; Dofus Ivoire; Dofus Ocre; Dofus Abyssal; Dofus Ébène; Nomade; Bwak d'Air</t>
        </is>
      </c>
    </row>
    <row r="2794">
      <c r="A2794" t="inlineStr">
        <is>
          <t>200 Crâ multi Jav2</t>
        </is>
      </c>
      <c r="B2794">
        <f>HYPERLINK("https://www.dofusbook.net/fr/equipement/5672597-200-cra-multi-jav2/objets", "link")</f>
        <v/>
      </c>
      <c r="C2794" t="n">
        <v>2</v>
      </c>
      <c r="D2794" t="inlineStr">
        <is>
          <t>Bâton Beau; Amulette Volkorne; Bracelet du Piloztère; Anneau Volkorne; Quatre-feuilles; Ceinture du Strigide; Le Dorado; Cape de Jahash Jurgen; Bottes du Strigide; Dofus des Glaces; Dofus Ocre; Dofus Vulbis; Dofus Pourpre; Dofus Ébène; Dofus Turquoise; Kokulte</t>
        </is>
      </c>
    </row>
    <row r="2795">
      <c r="A2795" t="inlineStr">
        <is>
          <t>200 Do crit Torké</t>
        </is>
      </c>
      <c r="B2795">
        <f>HYPERLINK("https://www.dofusbook.net/fr/equipement/5653697-200-do-crit-torke/objets", "link")</f>
        <v/>
      </c>
      <c r="C2795" t="n">
        <v>2</v>
      </c>
      <c r="D2795" t="inlineStr">
        <is>
          <t>Baguette de Torkélonia; Amulette du Strigide; Bracelet du Piloztère; Anneau de Padgref; Quatre-feuilles; Ceinture du Strigide; Coiffe de Padgref; Carapace de Torkélonia; Getas de Padgref; Dofus des Glaces; Dolmanax; Dofus Turquoise; Dofus Ocre; Dofus Pourpre; Dofus Vulbis; Kokulte</t>
        </is>
      </c>
    </row>
    <row r="2796">
      <c r="A2796" t="inlineStr">
        <is>
          <t>199 Feu crit</t>
        </is>
      </c>
      <c r="B2796">
        <f>HYPERLINK("https://www.dofusbook.net/fr/equipement/5130684-199-feu-crit/objets", "link")</f>
        <v/>
      </c>
      <c r="C2796" t="n">
        <v>11</v>
      </c>
      <c r="D2796" t="inlineStr">
        <is>
          <t>Baguette Hernelle; Amulette d'Otomaï; Kralano; Anneau de Padgref; Quatre-feuilles; Ceinture du Glourséleste; Coiffe de Padgref; Cape Hiculteur; Pantoufles Émar; Dofus Pourpre; Dofus Turquoise; Nomade; Remueur; Guérisseur majeur; Érudit majeur; Dragodinde Emeraude et Orchidée</t>
        </is>
      </c>
    </row>
    <row r="2797">
      <c r="A2797" t="inlineStr">
        <is>
          <t>200 Terre/Eau/Air</t>
        </is>
      </c>
      <c r="B2797">
        <f>HYPERLINK("https://www.dofusbook.net/fr/equipement/4437088-200-terre-eau-air/objets", "link")</f>
        <v/>
      </c>
      <c r="C2797" t="n">
        <v>9</v>
      </c>
      <c r="D2797" t="inlineStr">
        <is>
          <t>Arc Ahique; Amulette de l'Indicible; Bracelet du Piloztère; Alliance Gloursonne; Bouclier du Stalak; Ceinture de la Reine des Voleurs; Coiffe de la Reine des Voleurs; Voilamibe; Baleinabottes; Dofus Pourpre; Dofus des Glaces; Vigoureux majeur; Nomade; Remueur; Robuste majeur</t>
        </is>
      </c>
    </row>
    <row r="2798">
      <c r="A2798" t="inlineStr">
        <is>
          <t>200 Eau/Air no exo</t>
        </is>
      </c>
      <c r="B2798">
        <f>HYPERLINK("https://www.dofusbook.net/fr/equipement/4834667-200-eau-air-no-exo/objets", "link")</f>
        <v/>
      </c>
      <c r="C2798" t="n">
        <v>10</v>
      </c>
      <c r="D2798" t="inlineStr">
        <is>
          <t>Arc de Koutoulou; Amulette d'Ilyzaelle; Bracelet du Piloztère; Alliance Gloursonne; Cadran d'Air; Ceintacé; Casque d'Ilyzaelle; Voilamibe; Pantoufles Émar; Dofus Pourpre; Dofus des Glaces; Nomade; Remueur; Robuste majeur; Vigoureux majeur; Mini Wa</t>
        </is>
      </c>
    </row>
    <row r="2799">
      <c r="A2799" t="inlineStr">
        <is>
          <t>200 Eau/Air rés</t>
        </is>
      </c>
      <c r="B2799">
        <f>HYPERLINK("https://www.dofusbook.net/fr/equipement/5190706-200-eau-air-res/objets", "link")</f>
        <v/>
      </c>
      <c r="C2799" t="n">
        <v>1</v>
      </c>
      <c r="D2799" t="inlineStr">
        <is>
          <t>Arc de Koutoulou; Amulette d'Ilyzaelle; Alliance Gloursonne; Anneau Volkorne; Bouclier du Stalak; Sangle Ouare; Casque d'Ilyzaelle; Cape Matelassée; Bottes de la Reine des Voleurs; Dofus des Glaces; Dofus Pourpre; Dofus Ocre; Bwak d'Air</t>
        </is>
      </c>
    </row>
    <row r="2800">
      <c r="A2800" t="inlineStr">
        <is>
          <t>200 Lolcrit martal</t>
        </is>
      </c>
      <c r="B2800">
        <f>HYPERLINK("https://www.dofusbook.net/fr/equipement/5571940-200-lolcrit-martal/objets", "link")</f>
        <v/>
      </c>
      <c r="C2800" t="n">
        <v>2</v>
      </c>
      <c r="D2800" t="inlineStr">
        <is>
          <t>Marteau des égarés; Amulette Volkorne; Anneau Volkorne; Anneau de Padgref; Bouclier Taverne; Ceinture Volkorne; Corne de Torkélonia; Carapace de Torkélonia; Bottes Honyme; Dofus Turquoise; Dofus des Glaces; Dofus Ébène; Dofus Ocre; Dofus Pourpre; Dofus Abyssal; Kokulte</t>
        </is>
      </c>
    </row>
    <row r="2801">
      <c r="A2801" t="inlineStr">
        <is>
          <t>200 Double VV lowcost</t>
        </is>
      </c>
      <c r="B2801">
        <f>HYPERLINK("https://www.dofusbook.net/fr/equipement/188051-200-double-vv-lowcost/objets", "link")</f>
        <v/>
      </c>
      <c r="C2801" t="n">
        <v>1</v>
      </c>
      <c r="D2801" t="inlineStr">
        <is>
          <t>Karnak; Collier du Valet Veinard; Gant du Valet Veinard; Alliance Gloursonne; Cadran d'Air; Ceinture Billonnante; Couronne d'Allister; Cape Matelassée; Pantoufles Émar; Vigoureux majeur; Nomade; Cascadeur majeur; Remueur; Dragodinde Amande et Ebène</t>
        </is>
      </c>
    </row>
    <row r="2802">
      <c r="A2802" t="inlineStr">
        <is>
          <t>200 Epée Saigneur</t>
        </is>
      </c>
      <c r="B2802">
        <f>HYPERLINK("https://www.dofusbook.net/fr/equipement/5668884-200-epee-saigneur/objets", "link")</f>
        <v/>
      </c>
      <c r="C2802" t="n">
        <v>1</v>
      </c>
      <c r="D2802" t="inlineStr">
        <is>
          <t>Epée Maudite du Saigneur Guerrier; Amulette Volkorne; Anneau Volkorne; Anneau de Padgref; Bouclier du Captain Amakna; Ceinture Volkorne; Corne de Torkélonia; Carapace de Torkélonia; Bottes Honyme; Dofus Ocre; Dofus Turquoise; Dofus des Glaces; Dofus Pourpre; Kokulte</t>
        </is>
      </c>
    </row>
    <row r="2803">
      <c r="A2803" t="inlineStr">
        <is>
          <t>200 Eau Ret lowcost</t>
        </is>
      </c>
      <c r="B2803">
        <f>HYPERLINK("https://www.dofusbook.net/fr/equipement/5357280-200-eau-ret-lowcost/objets", "link")</f>
        <v/>
      </c>
      <c r="C2803" t="n">
        <v>4</v>
      </c>
      <c r="D2803" t="inlineStr">
        <is>
          <t>Pelle Dorado; Talisman Igans; Alliance Gloursonne; Pikano; Bouclier cubiste; Ceinture Glaciale; Maskrobe; Cape Matelassée; Pikottes; Temporiseur majeur; Ralentisseur majeur; Remueur; Entraveur majeur; Nomade; Chanceux majeur; Léopardo</t>
        </is>
      </c>
    </row>
    <row r="2804">
      <c r="A2804" t="inlineStr">
        <is>
          <t>200 Ret PM lowcost</t>
        </is>
      </c>
      <c r="B2804">
        <f>HYPERLINK("https://www.dofusbook.net/fr/equipement/188042-200-ret-pm-lowcost/objets", "link")</f>
        <v/>
      </c>
      <c r="C2804" t="n">
        <v>8</v>
      </c>
      <c r="D2804" t="inlineStr">
        <is>
          <t>Marteau R'ture; Amulette du Glourséleste; Anneau Tamie; Anneau Instable; Bouclier cubiste; Ceinture Instable; Casquipik; Cape de Léthaline; Pantoufles Émar; Entraveur majeur; Temporiseur; Temporiseur majeur; Remueur; Ralentisseur majeur; Entraveur; Volkorne Turquoise</t>
        </is>
      </c>
    </row>
    <row r="2805">
      <c r="A2805" t="inlineStr">
        <is>
          <t>200 Air 12/6</t>
        </is>
      </c>
      <c r="B2805">
        <f>HYPERLINK("https://www.dofusbook.net/fr/equipement/4361950-200-air-12-6/objets", "link")</f>
        <v/>
      </c>
      <c r="C2805" t="n">
        <v>14</v>
      </c>
      <c r="D2805" t="inlineStr">
        <is>
          <t>Lance Horselé; Collier du Valet Veinard; Gant du Valet Veinard; Anneau d'Allister; Bouclier du Stalak; Sangle Oriole; Couronne d'Allister; Cape du Valet Veinard; Bottes d'Allister; Dofus Vulbis; Dofus Ocre; Dofus des Glaces; Equilibriste majeur; Acrobate majeur; Saccageur Air majeur; Blérodoudou</t>
        </is>
      </c>
    </row>
    <row r="2806">
      <c r="A2806" t="inlineStr">
        <is>
          <t>200 Eau Air no crit</t>
        </is>
      </c>
      <c r="B2806">
        <f>HYPERLINK("https://www.dofusbook.net/fr/equipement/3834634-200-eau-air-no-crit/objets", "link")</f>
        <v/>
      </c>
      <c r="C2806" t="n">
        <v>13</v>
      </c>
      <c r="D2806" t="inlineStr">
        <is>
          <t>Arc de Koutoulou; Amulette d'Ilyzaelle; Alliance Gloursonne; Bracelet du Piloztère; Bouclier du Stalak; Ceinture Voldelor; Casque d'Ilyzaelle; Cape Matelassée; Bottes de la Reine des Voleurs; Dofus Ocre; Dofus des Glaces; Dofus Vulbis; Dofus Abyssal; Dofus Ivoire; Dofus Ébène; Bwak d'Air</t>
        </is>
      </c>
    </row>
    <row r="2807">
      <c r="A2807" t="inlineStr">
        <is>
          <t>200 Air Viandargh</t>
        </is>
      </c>
      <c r="B2807">
        <f>HYPERLINK("https://www.dofusbook.net/fr/equipement/5572059-200-air-viandargh/objets", "link")</f>
        <v/>
      </c>
      <c r="C2807" t="n">
        <v>8</v>
      </c>
      <c r="D2807" t="inlineStr">
        <is>
          <t>Hachoirs de Viandargh; Amulette du Strigide; Anneau de Padgref; Anneau d'Allister; Bouclier du Captain Amakna; Menoture; Corne de Torkélonia; Carapace de Torkélonia; Getas de Padgref; Dofus Pourpre; Dofus Vulbis; Dofus Ébène; Dofus Ocre; Dofus des Glaces; Dofus Turquoise; Kokulte</t>
        </is>
      </c>
    </row>
    <row r="2808">
      <c r="A2808" t="inlineStr">
        <is>
          <t>200 Feu lowcost</t>
        </is>
      </c>
      <c r="B2808">
        <f>HYPERLINK("https://www.dofusbook.net/fr/equipement/2110144-200-feu-lowcost/objets", "link")</f>
        <v/>
      </c>
      <c r="C2808" t="n">
        <v>3</v>
      </c>
      <c r="D2808" t="inlineStr">
        <is>
          <t>Arc corrompu; Amulette Séculaire; Anneau Tamie; Bague Gloursonne; Quatre-feuilles; Ceinture Séculaire; Heaume Oplate; Cape de la Dame du Hasard; Pataugastrique; Dofus Pourpre; Dofus Turquoise; Nomade; Érudit majeur; Vigoureux majeur; Remueur; Bisouglours</t>
        </is>
      </c>
    </row>
    <row r="2809">
      <c r="A2809" t="inlineStr">
        <is>
          <t>200 Eau Air Crit</t>
        </is>
      </c>
      <c r="B2809">
        <f>HYPERLINK("https://www.dofusbook.net/fr/equipement/3918853-200-eau-air-crit/objets", "link")</f>
        <v/>
      </c>
      <c r="C2809" t="n">
        <v>8</v>
      </c>
      <c r="D2809" t="inlineStr">
        <is>
          <t>Arc de Koutoulou; Amulette du Strigide; Bracelet du Piloztère; Alliance Gloursonne; Quatre-feuilles; Sangle Ouare; Némès de Tal Kasha; Cape Matelassée; Sandales de Tal Kasha; Dofus Pourpre; Dofus Turquoise; Dofus des Glaces; Remueur; Nomade; Vigoureux majeur; Kokulte</t>
        </is>
      </c>
    </row>
    <row r="2810">
      <c r="A2810" t="inlineStr">
        <is>
          <t>Crâ multi Jahash</t>
        </is>
      </c>
      <c r="B2810">
        <f>HYPERLINK("https://www.dofusbook.net/fr/equipement/5117974-cra-multi-jahash/objets", "link")</f>
        <v/>
      </c>
      <c r="C2810" t="n">
        <v>9</v>
      </c>
      <c r="D2810" t="inlineStr">
        <is>
          <t>Arc Volkorne; Amulette du Strigide; Bracelet du Piloztère; Anneau Volkorne; Quatre-feuilles; Ceinture Volkorne; Le Dorado; Cape de Jahash Jurgen; Bottes du Strigide; Dofus Ébène; Dofus Turquoise; Dofus des Glaces; Dofus Ocre; Dofus Vulbis; Dofus Pourpre; Kokulte</t>
        </is>
      </c>
    </row>
    <row r="2811">
      <c r="A2811" t="inlineStr">
        <is>
          <t>Sadi Air ret pm</t>
        </is>
      </c>
      <c r="B2811">
        <f>HYPERLINK("https://www.dofusbook.net/fr/equipement/5646150-sadi-air-ret-pm/objets", "link")</f>
        <v/>
      </c>
      <c r="C2811" t="n">
        <v>3</v>
      </c>
      <c r="D2811" t="inlineStr">
        <is>
          <t>Amibou; Anneau Vicieux; Alliance Gloursonne; Bouclier cubiste; Menoture; Couronne d'Allister; Capibou; Bottes du Glourséleste; Cascadeur majeur; Temporiseur majeur; Nomade; Gwo Tofu Ventripotent</t>
        </is>
      </c>
    </row>
    <row r="2812">
      <c r="A2812" t="inlineStr">
        <is>
          <t>Fullcritos</t>
        </is>
      </c>
      <c r="B2812">
        <f>HYPERLINK("https://www.dofusbook.net/fr/equipement/5634710-fullcritos/objets", "link")</f>
        <v/>
      </c>
      <c r="C2812" t="n">
        <v>1</v>
      </c>
      <c r="D2812" t="inlineStr">
        <is>
          <t>Baguette de Torkélonia; Amulette Volkorne; Anneau de Padgref; Anneau Volkorne; Quatre-feuilles; Ceinture Volkorne; Coiffe de Padgref; Carapace de Torkélonia; Getas de Padgref; Dofus Pourpre; Dofus Ocre; Dofus Turquoise; Dofus des Glaces; Kokulte</t>
        </is>
      </c>
    </row>
    <row r="2813">
      <c r="A2813" t="inlineStr">
        <is>
          <t>Multicheap</t>
        </is>
      </c>
      <c r="B2813">
        <f>HYPERLINK("https://www.dofusbook.net/fr/equipement/2827452-multicheap/objets", "link")</f>
        <v/>
      </c>
      <c r="C2813" t="n">
        <v>17</v>
      </c>
      <c r="D2813" t="inlineStr">
        <is>
          <t>Bâton Beau; Amulette du Strigide; Anneau de Padgref; Bracelet du Piloztère; Quatre-feuilles; Ceinture du Strigide; Maskrobe; Cape des Justiciers; Pataugastrique; Dofus Pourpre; Dofus Turquoise; Dolmanax; Remueur; Nomade; Kokulte</t>
        </is>
      </c>
    </row>
    <row r="2814">
      <c r="A2814" t="inlineStr">
        <is>
          <t>PadVolkAtcham</t>
        </is>
      </c>
      <c r="B2814">
        <f>HYPERLINK("https://www.dofusbook.net/fr/equipement/5319439-padvolkatcham/objets", "link")</f>
        <v/>
      </c>
      <c r="C2814" t="n">
        <v>2</v>
      </c>
      <c r="D2814" t="inlineStr">
        <is>
          <t>Sabres d'Atcham; Amulette Volkorne; Anneau de Padgref; Anneau Volkorne; Quatre-feuilles; Ceinture Volkorne; Coiffe de Padgref; Cape d'Atcham; Sandales  d'Atcham; Dofus Pourpre; Dofus des Glaces; Dofus Turquoise; Dofus Ébène; Dofus Ocre; Kokulte</t>
        </is>
      </c>
    </row>
    <row r="2815">
      <c r="A2815" t="inlineStr">
        <is>
          <t>Terre/Air crit</t>
        </is>
      </c>
      <c r="B2815">
        <f>HYPERLINK("https://www.dofusbook.net/fr/equipement/5547409-terre-air-crit/objets", "link")</f>
        <v/>
      </c>
      <c r="C2815" t="n">
        <v>2</v>
      </c>
      <c r="D2815" t="inlineStr">
        <is>
          <t>Baguette de Torkélonia; Amulette du Strigide; Anneau de Padgref; Bracelet du Piloztère; Quatre-feuilles; Ceinture du Strigide; Corne de Torkélonia; Carapace de Torkélonia; Bottes du Strigide; Dofus Abyssal; Dofus Pourpre; Dofus Ocre; Dofus Turquoise; Dofus Ébène; Dofus des Glaces; Kokulte</t>
        </is>
      </c>
    </row>
    <row r="2816">
      <c r="A2816" t="inlineStr">
        <is>
          <t>Air tank</t>
        </is>
      </c>
      <c r="B2816">
        <f>HYPERLINK("https://www.dofusbook.net/fr/equipement/5334089-air-tank/objets", "link")</f>
        <v/>
      </c>
      <c r="C2816" t="n">
        <v>4</v>
      </c>
      <c r="D2816" t="inlineStr">
        <is>
          <t>L'Épée Nice; Collier du Valet Veinard; Gant du Valet Veinard; Alliance Gloursonne; Cadran d'Air; Menoture; Dorabysses; Cape de Klime; Bottes d'Allister; Dofus Pourpre; Dofus Émeraude; Dofus Abyssal; Nomade; Cascadeur majeur; Remueur; Croum</t>
        </is>
      </c>
    </row>
    <row r="2817">
      <c r="A2817" t="inlineStr">
        <is>
          <t>StriPadAtcham</t>
        </is>
      </c>
      <c r="B2817">
        <f>HYPERLINK("https://www.dofusbook.net/fr/equipement/2132924-stripadatcham/objets", "link")</f>
        <v/>
      </c>
      <c r="C2817" t="n">
        <v>22</v>
      </c>
      <c r="D2817" t="inlineStr">
        <is>
          <t>Sabres d'Atcham; Amulette du Strigide; Anneau de Padgref; Bracelet du Piloztère; Quatre-feuilles; Ceinture du Strigide; Coiffe de Padgref; Cape d'Atcham; Sandales  d'Atcham; Dofus Pourpre; Dofus des Glaces; Dofus Vulbis; Dofus Turquoise; Dofus Ébène; Dofus Ocre; Kokulte</t>
        </is>
      </c>
    </row>
    <row r="2818">
      <c r="A2818" t="inlineStr">
        <is>
          <t>Multi classique</t>
        </is>
      </c>
      <c r="B2818">
        <f>HYPERLINK("https://www.dofusbook.net/fr/equipement/5311685-multi-classique/objets", "link")</f>
        <v/>
      </c>
      <c r="C2818" t="n">
        <v>4</v>
      </c>
      <c r="D2818" t="inlineStr">
        <is>
          <t>Hache du Chalœil; Amulette Volkorne; Bracelet du Piloztère; Anneau Volkorne; Quatre-feuilles; Ceinture Volkorne; Casque du Chalœil; Cape du Chalœil; Bottes du Chalœil; Dofus des Glaces; Dofus Ébène; Dofus Pourpre; Dofus Ocre; Dofus Turquoise; Dofus Abyssal; Kokulte</t>
        </is>
      </c>
    </row>
    <row r="2819">
      <c r="A2819" t="inlineStr">
        <is>
          <t>Feu-Air</t>
        </is>
      </c>
      <c r="B2819">
        <f>HYPERLINK("https://www.dofusbook.net/fr/equipement/1857952-feu-air/objets", "link")</f>
        <v/>
      </c>
      <c r="C2819" t="n">
        <v>11</v>
      </c>
      <c r="D2819" t="inlineStr">
        <is>
          <t>Sabres d'Atcham; Amulette du Strigide; Bracelet du Piloztère; Anneau de Padgref; Quatre-feuilles; Ceinture du Strigide; Coiffe de Padgref; Cape d'Atcham; Sandales  d'Atcham; Dofus Ocre; Dofus Abyssal; Dofus Pourpre; Dofus Turquoise; Dofus Vulbis; Dofus des Glaces; Kokulte</t>
        </is>
      </c>
    </row>
    <row r="2820">
      <c r="A2820" t="inlineStr">
        <is>
          <t>Terre ret</t>
        </is>
      </c>
      <c r="B2820">
        <f>HYPERLINK("https://www.dofusbook.net/fr/equipement/2867702-terre-ret/objets", "link")</f>
        <v/>
      </c>
      <c r="C2820" t="n">
        <v>6</v>
      </c>
      <c r="D2820" t="inlineStr">
        <is>
          <t>Bêche Asse; Amulette du Kamasterisk; Bracelet du Piloztère; Pikano; Bouclier cubiste; Ceinture Hanium; Coiffe Ranshi; Cape au Logis; Pikottes; Enragé majeur; Remueur; Entraveur majeur; Nomade; Robuste majeur; Temporiseur majeur; Volkorne Turquoise et Pourpre</t>
        </is>
      </c>
    </row>
    <row r="2821">
      <c r="A2821" t="inlineStr">
        <is>
          <t>Double VV</t>
        </is>
      </c>
      <c r="B2821">
        <f>HYPERLINK("https://www.dofusbook.net/fr/equipement/2064093-double-vv/objets", "link")</f>
        <v/>
      </c>
      <c r="C2821" t="n">
        <v>4</v>
      </c>
      <c r="D2821" t="inlineStr">
        <is>
          <t>Manthache; Collier du Valet Veinard; Gant du Valet Veinard; Alliance Gloursonne; Bouclier du Stalak; Menoture; Couronne d'Allister; Cape de Klime; Palmes Trithons; Dofus Pourpre; Nomade; Vigoureux majeur; Cascadeur majeur; Acrobate majeur; Remueur; Blérodoudou</t>
        </is>
      </c>
    </row>
    <row r="2822">
      <c r="A2822" t="inlineStr">
        <is>
          <t>Sadi Terre pvp</t>
        </is>
      </c>
      <c r="B2822">
        <f>HYPERLINK("https://www.dofusbook.net/fr/equipement/5275054-sadi-terre-pvp/objets", "link")</f>
        <v/>
      </c>
      <c r="C2822" t="n">
        <v>3</v>
      </c>
      <c r="D2822" t="inlineStr">
        <is>
          <t>Dagues Érhy; Amulette Volkorne; Anneau Chevelu; Anneau Crustique; Bouclier cubiste; Ceinture Volkorne; Masque de Koutoulou; Cape au Logis; Chaussons de Macrab; Dofus Ivoire; Dofus Ébène; Dofus Pourpre; Temporiseur majeur; Remueur; Enragé majeur; Bulbisou</t>
        </is>
      </c>
    </row>
    <row r="2823">
      <c r="A2823" t="inlineStr">
        <is>
          <t>Terre/Air 2.52</t>
        </is>
      </c>
      <c r="B2823">
        <f>HYPERLINK("https://www.dofusbook.net/fr/equipement/5261639-terre-air-2-52/objets", "link")</f>
        <v/>
      </c>
      <c r="C2823" t="n">
        <v>6</v>
      </c>
      <c r="D2823" t="inlineStr">
        <is>
          <t>Dague Hirr; Amulette du Strigide; Bracelet du Piloztère; Anneau Chevelu; Bouclier Taverne; Ceintacé; Chapoulpe; Cape de Nevark; Dofus Pourpre; Dofus Turquoise; Dofus des Glaces; Vigoureux majeur; Nomade; Remueur; Kokulte</t>
        </is>
      </c>
    </row>
    <row r="2824">
      <c r="A2824" t="inlineStr">
        <is>
          <t>Double Pad</t>
        </is>
      </c>
      <c r="B2824">
        <f>HYPERLINK("https://www.dofusbook.net/fr/equipement/3568068-double-pad-/objets", "link")</f>
        <v/>
      </c>
      <c r="C2824" t="n">
        <v>11</v>
      </c>
      <c r="D2824" t="inlineStr">
        <is>
          <t>Sabres d'Atcham; Amulette du Strigide; Alliance Gloursonne; Anneau de Padgref; Quatre-feuilles; Ceintacé; Coiffe de Padgref; Chevelure de Tal Kasha; Bottes de la Dame du Hasard; Dofus des Glaces; Dofus Turquoise; Dofus Pourpre; Remueur; Nomade; Vigoureux majeur; Kokulte</t>
        </is>
      </c>
    </row>
    <row r="2825">
      <c r="A2825" t="inlineStr">
        <is>
          <t>Multi crit</t>
        </is>
      </c>
      <c r="B2825">
        <f>HYPERLINK("https://www.dofusbook.net/fr/equipement/5250921-multi-crit/objets", "link")</f>
        <v/>
      </c>
      <c r="C2825" t="n">
        <v>3</v>
      </c>
      <c r="D2825" t="inlineStr">
        <is>
          <t>Arc Volkorne; Amulette Volkorne; Anneau Volkorne; Bracelet du Piloztère; Quatre-feuilles; Ceinture Volkorne; Casque du Chalœil; Cape du Chalœil; Bottes du Chalœil; Dofus Ébène; Dofus Turquoise; Dofus Abyssal; Dofus Ocre; Dofus Pourpre; Dofus des Glaces; Kokulte</t>
        </is>
      </c>
    </row>
    <row r="2826">
      <c r="A2826" t="inlineStr">
        <is>
          <t>Nécro</t>
        </is>
      </c>
      <c r="B2826">
        <f>HYPERLINK("https://www.dofusbook.net/fr/equipement/5240684-necro/objets", "link")</f>
        <v/>
      </c>
      <c r="C2826" t="n">
        <v>1</v>
      </c>
      <c r="D2826" t="inlineStr">
        <is>
          <t>Arc Nécrotique; Amulette Volkorne; Bracelet du Piloztère; Anneau Volkorne; Quatre-feuilles; Ceinture du Glourséleste; Casquette de Meno; Cape de la Dame du Hasard; Pataugastrique; Dofus des Glaces; Dofus Turquoise; Dofus Pourpre; Vigoureux majeur; Nomade; Remueur; Kokulte</t>
        </is>
      </c>
    </row>
    <row r="2827">
      <c r="A2827" t="inlineStr">
        <is>
          <t>Gngn Embuscade</t>
        </is>
      </c>
      <c r="B2827">
        <f>HYPERLINK("https://www.dofusbook.net/fr/equipement/2696985-gngn-embuscade/objets", "link")</f>
        <v/>
      </c>
      <c r="C2827" t="n">
        <v>7</v>
      </c>
      <c r="D2827" t="inlineStr">
        <is>
          <t>Hache du Chalœil; Amulette Volkorne; Anneau Volkorne; Bague Trithon; Quatre-feuilles; Ceinture Volkorne; Masque Trithon; Cape Peupret; Bottes Trithon; Dolmanax; Dofus Ocre; Dofus Pourpre; Dofus des Glaces; Dofus Turquoise; Kokulte</t>
        </is>
      </c>
    </row>
    <row r="2828">
      <c r="A2828" t="inlineStr">
        <is>
          <t>Tair</t>
        </is>
      </c>
      <c r="B2828">
        <f>HYPERLINK("https://www.dofusbook.net/fr/equipement/5218895-tair/objets", "link")</f>
        <v/>
      </c>
      <c r="C2828" t="n">
        <v>3</v>
      </c>
      <c r="D2828" t="inlineStr">
        <is>
          <t>Arc du Chalœil; Amulette du Strigide; Anneau Chevelu; Anneau Volkorne; Ceinture Volkorne; Masque de Koutoulou; Cape au Logis; Bottes du Cœur Saignant; Bulbisou</t>
        </is>
      </c>
    </row>
    <row r="2829">
      <c r="A2829" t="inlineStr">
        <is>
          <t>Bi Feu heal</t>
        </is>
      </c>
      <c r="B2829">
        <f>HYPERLINK("https://www.dofusbook.net/fr/equipement/5204529-bi-feu-heal/objets", "link")</f>
        <v/>
      </c>
      <c r="C2829" t="n">
        <v>4</v>
      </c>
      <c r="D2829" t="inlineStr">
        <is>
          <t>Baguette de Malléfisk; Talisman Igans; Anneau Cryochrone; Anneau Toriété; Bivalve; Ceintrigue; Coiffe Ranshi; Cape de la Dame du Hasard; Bottes de Meno; Dolmanax; Dofus Pourpre; Remueur; Soigneur majeur; Guérisseur majeur; Nomade; Walk</t>
        </is>
      </c>
    </row>
    <row r="2830">
      <c r="A2830" t="inlineStr">
        <is>
          <t>Support PVM</t>
        </is>
      </c>
      <c r="B2830">
        <f>HYPERLINK("https://www.dofusbook.net/fr/equipement/4589468-support-pvm/objets", "link")</f>
        <v/>
      </c>
      <c r="C2830" t="n">
        <v>7</v>
      </c>
      <c r="D2830" t="inlineStr">
        <is>
          <t>Baguette de Malléfisk; Amulette Séculaire; Anneau Tamie; Kralano; Bivalve; Sangle Aise; Coiffe Séculaire; Cape de Diondin; Bottes de Meno; Dofus Pourpre; Érudit majeur; Remueur; Nomade; Guérisseur majeur; Savant majeur; Bisouglours</t>
        </is>
      </c>
    </row>
    <row r="2831">
      <c r="A2831" t="inlineStr">
        <is>
          <t>Perco sans skill</t>
        </is>
      </c>
      <c r="B2831">
        <f>HYPERLINK("https://www.dofusbook.net/fr/equipement/5187013-perco-sans-skill/objets", "link")</f>
        <v/>
      </c>
      <c r="C2831" t="n">
        <v>8</v>
      </c>
      <c r="D2831" t="inlineStr">
        <is>
          <t>Arc corrompu; Amulette Martegel; Anneauræus; Anneauræus; Bouclier du Stalak; Ceinture de Vortex; Heaume Oplate; Cape Martegel; Bottes Innommables; Kougnard</t>
        </is>
      </c>
    </row>
    <row r="2832">
      <c r="A2832" t="inlineStr">
        <is>
          <t>Terre no crit RDV</t>
        </is>
      </c>
      <c r="B2832">
        <f>HYPERLINK("https://www.dofusbook.net/fr/equipement/5186908-terre-no-crit-rdv/objets", "link")</f>
        <v/>
      </c>
      <c r="C2832" t="n">
        <v>3</v>
      </c>
      <c r="D2832" t="inlineStr">
        <is>
          <t>Arc du Chalœil; Collier de Tourthon; Anneau de Brouce; Bracelet du Piloztère; Bouclier du Stalak; Ceinture de la Reine des Voleurs; Coiffe de la Reine des Voleurs; Cape au Logis; Baleinabottes; Dofus Ocre; Dofus Nébuleux; Dofus Pourpre; Enragé majeur; Nomade; Robuste majeur; Kompost</t>
        </is>
      </c>
    </row>
    <row r="2833">
      <c r="A2833" t="inlineStr">
        <is>
          <t>Terre-Feu crit full p</t>
        </is>
      </c>
      <c r="B2833">
        <f>HYPERLINK("https://www.dofusbook.net/fr/equipement/3788708-terre-feu-crit-full-p/objets", "link")</f>
        <v/>
      </c>
      <c r="C2833" t="n">
        <v>62</v>
      </c>
      <c r="D2833" t="inlineStr">
        <is>
          <t>Epée Toche; Amulette Volkorne; Chevalière du Roi Joueur; Anneau Volkorne; Bouclier Taverne; Ceinture Volkorne; Couronne du Roi Joueur; Voile d'encre; Bottes du Roi Joueur; Dofus Ébène; Dofus Ocre; Dofus des Glaces; Dofus Abyssal; Dofus Pourpre; Dofus Turquoise; Cromeugnon</t>
        </is>
      </c>
    </row>
    <row r="2834">
      <c r="A2834" t="inlineStr">
        <is>
          <t>Eau/Feu càc</t>
        </is>
      </c>
      <c r="B2834">
        <f>HYPERLINK("https://www.dofusbook.net/fr/equipement/5124385-eau-feu-cac/objets", "link")</f>
        <v/>
      </c>
      <c r="C2834" t="n">
        <v>12</v>
      </c>
      <c r="D2834" t="inlineStr">
        <is>
          <t>Couteaux Sacrificiels; Amulette Volkorne; Alliance Gloursonne; Anneau Volkorne; Bouclier Taverne; Ceintrigue; Masque Paztek; Cape de la Dame du Hasard; Pataugastrique; Dofus Pourpre; Dofus Abyssal; Dofus des Glaces; Nomade; Remueur; Robuste majeur; Walk</t>
        </is>
      </c>
    </row>
    <row r="2835">
      <c r="A2835" t="inlineStr">
        <is>
          <t>Eau/Air Ahique</t>
        </is>
      </c>
      <c r="B2835">
        <f>HYPERLINK("https://www.dofusbook.net/fr/equipement/5124304-eau-air-ahique/objets", "link")</f>
        <v/>
      </c>
      <c r="C2835" t="n">
        <v>5</v>
      </c>
      <c r="D2835" t="inlineStr">
        <is>
          <t>Arc Ahique; Amulette d'Ilyzaelle; Alliance Gloursonne; Bracelet du Piloztère; Cadran d'Air; Ceinture Voldelor; Casque d'Ilyzaelle; Voilamibe; Baleinabottes; Dofus Pourpre; Dofus des Glaces; Dolmanax; Vigoureux majeur; Nomade; Remueur; Mini Wa</t>
        </is>
      </c>
    </row>
    <row r="2836">
      <c r="A2836" t="inlineStr">
        <is>
          <t>Iop Feu classique</t>
        </is>
      </c>
      <c r="B2836">
        <f>HYPERLINK("https://www.dofusbook.net/fr/equipement/5072993-iop-feu-classique/objets", "link")</f>
        <v/>
      </c>
      <c r="C2836" t="n">
        <v>22</v>
      </c>
      <c r="D2836" t="inlineStr">
        <is>
          <t>Arc corrompu; Amulette Volkorne; Anneauræus; Anneauræus; Bouclier du Stalak; Ceinture Volkorne; Heaume Oplate; Voile d'encre; Bottes Innommables; Dofus Ivoire; Dofus Ébène; Dofus Ocre; Dofus Abyssal; Nomade; Érudit majeur; Bisouglours</t>
        </is>
      </c>
    </row>
    <row r="2837">
      <c r="A2837" t="inlineStr">
        <is>
          <t>Air tanky</t>
        </is>
      </c>
      <c r="B2837">
        <f>HYPERLINK("https://www.dofusbook.net/fr/equipement/5029837-air-tanky/objets", "link")</f>
        <v/>
      </c>
      <c r="C2837" t="n">
        <v>5</v>
      </c>
      <c r="D2837" t="inlineStr">
        <is>
          <t>Karnak; Collier du Valet Veinard; Alliance Gloursonne; Gant du Valet Veinard; Cadran de Terre; Ceinture Billonnante; Dorabysses; Cape Matelassée; Baleinabottes; Dofus Pourpre; Cascadeur majeur; Miraculé majeur; Nomade; Vigoureux majeur; Remueur; Bwak d'Air</t>
        </is>
      </c>
    </row>
    <row r="2838">
      <c r="A2838" t="inlineStr">
        <is>
          <t>Feu 200</t>
        </is>
      </c>
      <c r="B2838">
        <f>HYPERLINK("https://www.dofusbook.net/fr/equipement/4849313-feu-200/objets", "link")</f>
        <v/>
      </c>
      <c r="C2838" t="n">
        <v>8</v>
      </c>
      <c r="D2838" t="inlineStr">
        <is>
          <t>Arc Hétype; Amulette Volkorne; Anneau Tamie; Anneauræus; Bouclier du Stalak; Ceinture Volkorne; Heaume Oplate; Cape de Diondin; Bottes Innommables; Dofus des Glaces; Nomade; Astucieux majeur; Saccageur Feu majeur; Érudit majeur; Dévastateur Feu majeur; Bisouglours</t>
        </is>
      </c>
    </row>
    <row r="2839">
      <c r="A2839" t="inlineStr">
        <is>
          <t>VV Allister</t>
        </is>
      </c>
      <c r="B2839">
        <f>HYPERLINK("https://www.dofusbook.net/fr/equipement/5012667-vv-allister/objets", "link")</f>
        <v/>
      </c>
      <c r="C2839" t="n">
        <v>3</v>
      </c>
      <c r="D2839" t="inlineStr">
        <is>
          <t>Manthache; Collier du Valet Veinard; Anneau d'Allister; Gant du Valet Veinard; Bouclier du Stalak; Ceinture de Nevark; Couronne d'Allister; Cape du Valet Veinard; Bottes d'Allister; Dofus des Glaces; Dofus Abyssal; Dofus Pourpre; Dofus Ocre; Dofus Vulbis; Saccageur Air majeur; Blérodoudou</t>
        </is>
      </c>
    </row>
    <row r="2840">
      <c r="A2840" t="inlineStr">
        <is>
          <t>VV Reine</t>
        </is>
      </c>
      <c r="B2840">
        <f>HYPERLINK("https://www.dofusbook.net/fr/equipement/5012641-vv-reine/objets", "link")</f>
        <v/>
      </c>
      <c r="C2840" t="n">
        <v>4</v>
      </c>
      <c r="D2840" t="inlineStr">
        <is>
          <t>Manthache; Collier du Valet Veinard; Alliance Gloursonne; Gant du Valet Veinard; Bouclier du Stalak; Ceinture de la Reine des Voleurs; Coiffe de la Reine des Voleurs; Cape du Valet Veinard; Bottes de la Reine des Voleurs; Dofus Pourpre; Dofus Ocre; Dofus Vulbis; Dofus des Glaces; Dofus Abyssal; Saccageur Air majeur; Blérodoudou</t>
        </is>
      </c>
    </row>
    <row r="2841">
      <c r="A2841" t="inlineStr">
        <is>
          <t>Air support</t>
        </is>
      </c>
      <c r="B2841">
        <f>HYPERLINK("https://www.dofusbook.net/fr/equipement/4339625-air-support/objets", "link")</f>
        <v/>
      </c>
      <c r="C2841" t="n">
        <v>18</v>
      </c>
      <c r="D2841" t="inlineStr">
        <is>
          <t>Baguette de Malléfisk; Amulette d'Ilyzaelle; Alliance Gloursonne; Gant du Valet Veinard; Bivalve; Menoture; Casque d'Ilyzaelle; Cape Indescriptible; Palmes Trithons; Dofus des Glaces; Dévastateur Air majeur; Nomade; Guérisseur majeur; Remueur; Cascadeur majeur; Blérodoudou</t>
        </is>
      </c>
    </row>
    <row r="2842">
      <c r="A2842" t="inlineStr">
        <is>
          <t>EauAIr volk</t>
        </is>
      </c>
      <c r="B2842">
        <f>HYPERLINK("https://www.dofusbook.net/fr/equipement/4979831-eauair-volk/objets", "link")</f>
        <v/>
      </c>
      <c r="C2842" t="n">
        <v>3</v>
      </c>
      <c r="D2842" t="inlineStr">
        <is>
          <t>Arc de Koutoulou; Amulette d'Ilyzaelle; Anneau Volkorne; Alliance Gloursonne; Bouclier du Stalak; Menoture; Casque Volkorne; Voilamibe; Bottes de la Reine des Voleurs; Dofus Pourpre; Dofus des Glaces; Dévastateur Air majeur; Remueur; Nomade; Dévastateur Eau majeur; Mini Wa</t>
        </is>
      </c>
    </row>
    <row r="2843">
      <c r="A2843" t="inlineStr">
        <is>
          <t>AirEau lel</t>
        </is>
      </c>
      <c r="B2843">
        <f>HYPERLINK("https://www.dofusbook.net/fr/equipement/2217311-aireau-lel/objets", "link")</f>
        <v/>
      </c>
      <c r="C2843" t="n">
        <v>8</v>
      </c>
      <c r="D2843" t="inlineStr">
        <is>
          <t>Arc de Koutoulou; Amulette d'Ilyzaelle; Bracelet du Piloztère; Alliance Gloursonne; Bouclier du Stalak; Menoture; Casque d'Ilyzaelle; Voilamibe; Bottes de la Reine des Voleurs; Dofus des Glaces; Dofus Pourpre; Remueur; Nomade; Dévastateur Eau majeur; Dévastateur Air majeur; Mini Wa</t>
        </is>
      </c>
    </row>
    <row r="2844">
      <c r="A2844" t="inlineStr">
        <is>
          <t>Eau air crit</t>
        </is>
      </c>
      <c r="B2844">
        <f>HYPERLINK("https://www.dofusbook.net/fr/equipement/4893921-eau-air-crit/objets", "link")</f>
        <v/>
      </c>
      <c r="C2844" t="n">
        <v>6</v>
      </c>
      <c r="D2844" t="inlineStr">
        <is>
          <t>Arc de Koutoulou; Amulette du Strigide; Bracelet du Piloztère; Alliance Gloursonne; Quatre-feuilles; Ceinture du Strigide; Kidibonnet; Cape Matelassée; Sandales de Tal Kasha; Dofus Pourpre; Dofus des Glaces; Dofus Turquoise; Remueur; Vigoureux majeur; Nomade; Kokulte</t>
        </is>
      </c>
    </row>
    <row r="2845">
      <c r="A2845" t="inlineStr">
        <is>
          <t>Eau/Air CC</t>
        </is>
      </c>
      <c r="B2845">
        <f>HYPERLINK("https://www.dofusbook.net/fr/equipement/4240431-eau-air-cc/objets", "link")</f>
        <v/>
      </c>
      <c r="C2845" t="n">
        <v>12</v>
      </c>
      <c r="D2845" t="inlineStr">
        <is>
          <t>Arc de Koutoulou; Amulette du Strigide; Bracelet du Piloztère; Alliance Gloursonne; Quatre-feuilles; Ceintacé; Kidibonnet; Chevelure de Tal Kasha; Sandales de Tal Kasha; Dofus Pourpre; Dofus des Glaces; Dofus Turquoise; Vigoureux majeur; Remueur; Nomade; Kokulte</t>
        </is>
      </c>
    </row>
    <row r="2846">
      <c r="A2846" t="inlineStr">
        <is>
          <t>Multidocrit soko</t>
        </is>
      </c>
      <c r="B2846">
        <f>HYPERLINK("https://www.dofusbook.net/fr/equipement/4249034-multidocrit-soko/objets", "link")</f>
        <v/>
      </c>
      <c r="C2846" t="n">
        <v>12</v>
      </c>
      <c r="D2846" t="inlineStr">
        <is>
          <t>Hache du Chalœil; Amulette du Strigide; Anneau de Padgref; Bracelet du Piloztère; Quatre-feuilles; Ceinture du Strigide; Kidibonnet; Cape au Logis; Bottes du Chalœil; Dofus Turquoise; Dofus Pourpre; Dolmanax; Vigoureux majeur; Nomade; Remueur; Kokulte</t>
        </is>
      </c>
    </row>
    <row r="2847">
      <c r="A2847" t="inlineStr">
        <is>
          <t>Multi Téro</t>
        </is>
      </c>
      <c r="B2847">
        <f>HYPERLINK("https://www.dofusbook.net/fr/equipement/4451833-multi-tero/objets", "link")</f>
        <v/>
      </c>
      <c r="C2847" t="n">
        <v>5</v>
      </c>
      <c r="D2847" t="inlineStr">
        <is>
          <t>Hache Téroïde; Amulette du Strigide; Anneau de Padgref; Bracelet du Piloztère; Bouclier Taverne; Ceinture du Strigide; Maskrobe; Cape des Justiciers; Bottes du Chalœil; Dofus Turquoise; Dofus Pourpre; Dofus des Glaces; Nomade; Vigoureux majeur; Remueur; Kokulte</t>
        </is>
      </c>
    </row>
    <row r="2848">
      <c r="A2848" t="inlineStr">
        <is>
          <t>Terre/Feu double volk</t>
        </is>
      </c>
      <c r="B2848">
        <f>HYPERLINK("https://www.dofusbook.net/fr/equipement/4863986-terre-feu-double-volk/objets", "link")</f>
        <v/>
      </c>
      <c r="C2848" t="n">
        <v>13</v>
      </c>
      <c r="D2848" t="inlineStr">
        <is>
          <t>Epée Toche; Amulette Volkorne; Alliance de Missiz Frizz; Bague Gloursonne; Bouclier Taverne; Ceinture Volkorne; Masque de Koutoulou; Cape au Logis; Bottes du Roi Joueur; Dofus Pourpre; Dofus Turquoise; Enragé majeur; Nomade; Vigoureux majeur; Remueur; Cromeugnon</t>
        </is>
      </c>
    </row>
    <row r="2849">
      <c r="A2849" t="inlineStr">
        <is>
          <t>FeuAir</t>
        </is>
      </c>
      <c r="B2849">
        <f>HYPERLINK("https://www.dofusbook.net/fr/equipement/4854909-feuair/objets", "link")</f>
        <v/>
      </c>
      <c r="C2849" t="n">
        <v>4</v>
      </c>
      <c r="D2849" t="inlineStr">
        <is>
          <t>Baguette Range; Amulette du Strigide; Bracelet du Piloztère; Anneau de Padgref; Quatre-feuilles; Ceintacé; Coiffe de Padgref; Pantoufles Émar; Dofus des Glaces; Dofus Turquoise; Dofus Pourpre; Vigoureux majeur; Nomade; Remueur; Kokulte</t>
        </is>
      </c>
    </row>
    <row r="2850">
      <c r="A2850" t="inlineStr">
        <is>
          <t>Boostor</t>
        </is>
      </c>
      <c r="B2850">
        <f>HYPERLINK("https://www.dofusbook.net/fr/equipement/4075767-boostor/objets", "link")</f>
        <v/>
      </c>
      <c r="C2850" t="n">
        <v>7</v>
      </c>
      <c r="D2850" t="inlineStr">
        <is>
          <t>La Baguette des Limbes; Amulette du Glourséleste; Alliance Gloursonne; Mitaine Aibre; Bouclier du serrurier; Sangle Hyssérine; Coiffe Ainte; Cape Endaison; Bottes Opsy; Dofus Émeraude; Dofus Abyssal; Dokoko; Survivant majeur; Volkorne Doré</t>
        </is>
      </c>
    </row>
    <row r="2851">
      <c r="A2851" t="inlineStr">
        <is>
          <t>Air Karnak</t>
        </is>
      </c>
      <c r="B2851">
        <f>HYPERLINK("https://www.dofusbook.net/fr/equipement/2631099-air-karnak/objets", "link")</f>
        <v/>
      </c>
      <c r="C2851" t="n">
        <v>29</v>
      </c>
      <c r="D2851" t="inlineStr">
        <is>
          <t>Karnak; Collier du Valet Veinard; Gant du Valet Veinard; Alliance Gloursonne; Bouclier du Stalak; Menoture; Couronne d'Allister; Cape Indescriptible; Palmes Trithons; Dofus des Glaces; Dofus Pourpre; Dévastateur Air majeur; Nomade; Cascadeur majeur; Remueur; Blérodoudou</t>
        </is>
      </c>
    </row>
    <row r="2852">
      <c r="A2852" t="inlineStr">
        <is>
          <t>VolkPadJahasch</t>
        </is>
      </c>
      <c r="B2852">
        <f>HYPERLINK("https://www.dofusbook.net/fr/equipement/4835267-volkpadjahasch/objets", "link")</f>
        <v/>
      </c>
      <c r="C2852" t="n">
        <v>5</v>
      </c>
      <c r="D2852" t="inlineStr">
        <is>
          <t>Arc Volkorne; Amulette Volkorne; Anneau Volkorne; Anneau de Padgref; Quatre-feuilles; Ceinture Volkorne; Coiffe de Padgref; Cape de Jahash Jurgen; Getas de Padgref; Dofus Abyssal; Dofus Ocre; Dofus Ébène; Dofus Turquoise; Dofus Pourpre; Dofus des Glaces; Kokulte</t>
        </is>
      </c>
    </row>
    <row r="2853">
      <c r="A2853" t="inlineStr">
        <is>
          <t>Iop flotte</t>
        </is>
      </c>
      <c r="B2853">
        <f>HYPERLINK("https://www.dofusbook.net/fr/equipement/4828720-iop-flotte/objets", "link")</f>
        <v/>
      </c>
      <c r="C2853" t="n">
        <v>4</v>
      </c>
      <c r="D2853" t="inlineStr">
        <is>
          <t>Rapière aux Glyphes; Amulette de Shokkoth; Alliance Gloursonne; Bracelet des Fonds marins; Bouclier d'Ilyzaelle; Sangle Ouare; Casque d'Ilyzaelle; Cape Solution; Pataugastrique; Dofus Pourpre; Vigoureux majeur; Nomade; Remueur; Robuste majeur; Chanceux majeur; Kanigloups</t>
        </is>
      </c>
    </row>
    <row r="2854">
      <c r="A2854" t="inlineStr">
        <is>
          <t>Retrait 12PA</t>
        </is>
      </c>
      <c r="B2854">
        <f>HYPERLINK("https://www.dofusbook.net/fr/equipement/4804583-retrait-12pa/objets", "link")</f>
        <v/>
      </c>
      <c r="C2854" t="n">
        <v>4</v>
      </c>
      <c r="D2854" t="inlineStr">
        <is>
          <t>Bâton K'Tueuh; Amulette Luminescente; Pikano; Alliance Gloursonne; Bouclier cubiste; Ceinture Luminescente; Casquipik; Cape Luminescente; Pikottes; Volkorne Turquoise et Indigo</t>
        </is>
      </c>
    </row>
    <row r="2855">
      <c r="A2855" t="inlineStr">
        <is>
          <t>Fultair</t>
        </is>
      </c>
      <c r="B2855">
        <f>HYPERLINK("https://www.dofusbook.net/fr/equipement/4592408-fultair/objets", "link")</f>
        <v/>
      </c>
      <c r="C2855" t="n">
        <v>15</v>
      </c>
      <c r="D2855" t="inlineStr">
        <is>
          <t>Héqache; Amulette du Strigide; Anneau Crustique; Anneau Crustique; Bouclier Taverne; Ceinture du Strigide; Masque de Koutoulou; Cape au Logis; Bottes de Brouce; Dofus Pourpre; Dofus Turquoise; Enragé majeur; Vigoureux majeur; Nomade; Remueur; Pioute vert</t>
        </is>
      </c>
    </row>
    <row r="2856">
      <c r="A2856" t="inlineStr">
        <is>
          <t>Fultair lowcost</t>
        </is>
      </c>
      <c r="B2856">
        <f>HYPERLINK("https://www.dofusbook.net/fr/equipement/4749224-fultair-lowcost/objets", "link")</f>
        <v/>
      </c>
      <c r="C2856" t="n">
        <v>6</v>
      </c>
      <c r="D2856" t="inlineStr">
        <is>
          <t>Marteau R'ture; Amulette du Strigide; Bague Gloursonne; Anneau Crustique; Bouclier Taverne; Ceinture du Strigide; Masque de Koutoulou; Cape au Logis; Sabots Minables; Dofus Turquoise; Dofus Pourpre; Furibond majeur; Vigoureux majeur; Nomade; Enragé majeur; Bulbisou</t>
        </is>
      </c>
    </row>
    <row r="2857">
      <c r="A2857" t="inlineStr">
        <is>
          <t>POUI100CE</t>
        </is>
      </c>
      <c r="B2857">
        <f>HYPERLINK("https://www.dofusbook.net/fr/equipement/4733228-poui100ce/objets", "link")</f>
        <v/>
      </c>
      <c r="C2857" t="n">
        <v>4</v>
      </c>
      <c r="D2857" t="inlineStr">
        <is>
          <t>Bâton Beau; Amulette Volkorne; Anneau Volkorne; Bague Trithon; Quatre-feuilles; Ceinture Volkorne; Masque Trithon; Cape Peupret; Bottes Trithon; Dofus Pourpre; Dofus des Glaces; Dofus Turquoise; Dofus Ébène; Dofus Abyssal; Dofus Ocre; Kokulte</t>
        </is>
      </c>
    </row>
    <row r="2858">
      <c r="A2858" t="inlineStr">
        <is>
          <t>Prout</t>
        </is>
      </c>
      <c r="B2858">
        <f>HYPERLINK("https://www.dofusbook.net/fr/equipement/4602246-prout/objets", "link")</f>
        <v/>
      </c>
      <c r="C2858" t="n">
        <v>7</v>
      </c>
      <c r="D2858" t="inlineStr">
        <is>
          <t>Arc Volkorne; Amulette du Strigide; Bracelet du Piloztère; Anneau de Padgref; Quatre-feuilles; Ceinture du Strigide; Casque du Chalœil; Cape du Chalœil; Bottes du Chalœil; Dofus des Glaces; Dofus Ocre; Dofus Ébène; Dofus Pourpre; Dofus Vulbis; Dofus Turquoise; Sakochère</t>
        </is>
      </c>
    </row>
    <row r="2859">
      <c r="A2859" t="inlineStr">
        <is>
          <t>LE FEU</t>
        </is>
      </c>
      <c r="B2859">
        <f>HYPERLINK("https://www.dofusbook.net/fr/equipement/4092735-le-feu/objets", "link")</f>
        <v/>
      </c>
      <c r="C2859" t="n">
        <v>19</v>
      </c>
      <c r="D2859" t="inlineStr">
        <is>
          <t>Arc corrompu; Amulette de Nileza; Anneauræus; Bague Gloursonne; Bouclier du Stalak; Ceinture de Vortex; Heaume Oplate; Cape de Nileza; Bottes de Meno; Dofus Pourpre; Vigoureux majeur; Érudit majeur; Remueur; Nomade; Kougnard</t>
        </is>
      </c>
    </row>
    <row r="2860">
      <c r="A2860" t="inlineStr">
        <is>
          <t>Iop distance</t>
        </is>
      </c>
      <c r="B2860">
        <f>HYPERLINK("https://www.dofusbook.net/fr/equipement/4530414-iop-distance/objets", "link")</f>
        <v/>
      </c>
      <c r="C2860" t="n">
        <v>8</v>
      </c>
      <c r="D2860" t="inlineStr">
        <is>
          <t>Arc du Chalœil; Amulette du Strigide; Bague Gloursonne; Anneau Volkorne; Quatre-feuilles; Ceinture Volkorne; Masque de Koutoulou; Cape au Logis; Bottes de la Cour Sombre; Dofus Pourpre; Dofus Turquoise; Vigoureux majeur; Nomade; Remueur; Enragé majeur; Bulbisou</t>
        </is>
      </c>
    </row>
    <row r="2861">
      <c r="A2861" t="inlineStr">
        <is>
          <t>Fultair</t>
        </is>
      </c>
      <c r="B2861">
        <f>HYPERLINK("https://www.dofusbook.net/fr/equipement/4147123-fultair/objets", "link")</f>
        <v/>
      </c>
      <c r="C2861" t="n">
        <v>16</v>
      </c>
      <c r="D2861" t="inlineStr">
        <is>
          <t>Arc du Chalœil; Amulette du Strigide; Anneau Crustique; Anneau Volkorne; Quatre-feuilles; Ceinture Volkorne; Masque de Koutoulou; Cape au Logis; Bottes du Roi Joueur; Dofus Turquoise; Dofus Pourpre; Remueur; Enragé majeur; Nomade; Vigoureux majeur; Bulbisou</t>
        </is>
      </c>
    </row>
    <row r="2862">
      <c r="A2862" t="inlineStr">
        <is>
          <t>Multidocrit v2</t>
        </is>
      </c>
      <c r="B2862">
        <f>HYPERLINK("https://www.dofusbook.net/fr/equipement/3769794-multidocrit-v2/objets", "link")</f>
        <v/>
      </c>
      <c r="C2862" t="n">
        <v>37</v>
      </c>
      <c r="D2862" t="inlineStr">
        <is>
          <t>Arc Volkorne; Amulette du Strigide; Bracelet du Piloztère; Anneau de Padgref; Quatre-feuilles; Ceinture du Strigide; Le Dorado; Cape au Logis; Bottes du Chalœil; Dolmanax; Dofus Ocre; Dofus Pourpre; Dofus des Glaces; Dofus Turquoise; Vigoureux majeur; Kokulte</t>
        </is>
      </c>
    </row>
    <row r="2863">
      <c r="A2863" t="inlineStr">
        <is>
          <t>Volkorne</t>
        </is>
      </c>
      <c r="B2863">
        <f>HYPERLINK("https://www.dofusbook.net/fr/equipement/4333479-volkorne/objets", "link")</f>
        <v/>
      </c>
      <c r="C2863" t="n">
        <v>11</v>
      </c>
      <c r="D2863" t="inlineStr">
        <is>
          <t>Arc Volkorne; Amulette Volkorne; Bracelet du Piloztère; Anneau Volkorne; Quatre-feuilles; Ceinture Volkorne; Casque du Chalœil; Cape du Chalœil; Bottes du Chalœil; Dofus Ébène; Dofus Turquoise; Dofus Pourpre; Dofus des Glaces; Dofus Abyssal; Dofus Ocre; Kokulte</t>
        </is>
      </c>
    </row>
    <row r="2864">
      <c r="A2864" t="inlineStr">
        <is>
          <t>Multi anti rés crit</t>
        </is>
      </c>
      <c r="B2864">
        <f>HYPERLINK("https://www.dofusbook.net/fr/equipement/2763110-multi-anti-res-crit/objets", "link")</f>
        <v/>
      </c>
      <c r="C2864" t="n">
        <v>11</v>
      </c>
      <c r="D2864" t="inlineStr">
        <is>
          <t>Arc Volkorne; Amulette Volkorne; Anneau Volkorne; Bracelet du Piloztère; Bouclier du Stalak; Ceinture de la Reine des Voleurs; Coiffe de la Reine des Voleurs; Voilamibe; Bottes Honyme; Dofus Ocre; Dolmanax; Dofus des Glaces; Dofus Pourpre; Robuste; Robuste majeur; Dragodinde Ivoire</t>
        </is>
      </c>
    </row>
    <row r="2865">
      <c r="A2865" t="inlineStr">
        <is>
          <t>Terre-Feu 12 pa</t>
        </is>
      </c>
      <c r="B2865">
        <f>HYPERLINK("https://www.dofusbook.net/fr/equipement/3788220-terre-feu-12-pa/objets", "link")</f>
        <v/>
      </c>
      <c r="C2865" t="n">
        <v>17</v>
      </c>
      <c r="D2865" t="inlineStr">
        <is>
          <t>Hache Téroïde; Amulette Volkorne; Chevalière du Roi Joueur; Anneau Volkorne; Bouclier Taverne; Ceinture Volkorne; Couronne du Roi Joueur; Voile d'encre; Bottes du Roi Joueur; Dofus Ébène; Dofus Abyssal; Dofus Turquoise; Dofus Pourpre; Dofus des Glaces; Fëanor</t>
        </is>
      </c>
    </row>
    <row r="2866">
      <c r="A2866" t="inlineStr">
        <is>
          <t>FullAir 11/6</t>
        </is>
      </c>
      <c r="B2866">
        <f>HYPERLINK("https://www.dofusbook.net/fr/equipement/188049-fullair-11-6/objets", "link")</f>
        <v/>
      </c>
      <c r="C2866" t="n">
        <v>16</v>
      </c>
      <c r="D2866" t="inlineStr">
        <is>
          <t>Manthache; Collier du Valet Veinard; Gant du Valet Veinard; Alliance Gloursonne; Bouclier du Stalak; Menoture; Couronne d'Allister; Cape Indescriptible; Palmes Trithons; Dofus des Glaces; Nomade; Saccageur Air majeur; Cascadeur majeur; Remueur; Dévastateur Air majeur; Blérodoudou</t>
        </is>
      </c>
    </row>
    <row r="2867">
      <c r="A2867" t="inlineStr">
        <is>
          <t>Multidocrit</t>
        </is>
      </c>
      <c r="B2867">
        <f>HYPERLINK("https://www.dofusbook.net/fr/equipement/2246734-multidocrit/objets", "link")</f>
        <v/>
      </c>
      <c r="C2867" t="n">
        <v>28</v>
      </c>
      <c r="D2867" t="inlineStr">
        <is>
          <t>Arc Volkorne; Amulette Volkorne; Bracelet du Piloztère; Anneau Volkorne; Quatre-feuilles; Ceinture Volkorne; Casque du Chalœil; Cape du Chalœil; Bottes du Chalœil; Dofus Ivoire; Dofus Ocre; Dofus Vulbis; Dofus Pourpre; Dofus des Glaces; Dofus Turquoise; Kokulte</t>
        </is>
      </c>
    </row>
    <row r="2868">
      <c r="A2868" t="inlineStr">
        <is>
          <t>Feu do pou</t>
        </is>
      </c>
      <c r="B2868">
        <f>HYPERLINK("https://www.dofusbook.net/fr/equipement/4262779-feu-do-pou/objets", "link")</f>
        <v/>
      </c>
      <c r="C2868" t="n">
        <v>12</v>
      </c>
      <c r="D2868" t="inlineStr">
        <is>
          <t>Massier; Torquistik; Anneauræus; Baguistik; Bouclier Taverne; Sangle Ouare; Heaume Oplate; Voile d'encre; Bottes Owesli; Dofus Ivoire; Dofus Ocre; Carapace Feu majeur; Culbuteur majeur; Culbuteur; Bousculeur majeur; Scarakiri</t>
        </is>
      </c>
    </row>
    <row r="2869">
      <c r="A2869" t="inlineStr">
        <is>
          <t>Multidocrit</t>
        </is>
      </c>
      <c r="B2869">
        <f>HYPERLINK("https://www.dofusbook.net/fr/equipement/2699081-multidocrit/objets", "link")</f>
        <v/>
      </c>
      <c r="C2869" t="n">
        <v>13</v>
      </c>
      <c r="D2869" t="inlineStr">
        <is>
          <t>Hache du Chalœil; Amulette du Strigide; Anneau de Padgref; Bracelet du Piloztère; Quatre-feuilles; Ceintacé; Casque du Chalœil; Cape au Logis; Bottes du Chalœil; Dofus Turquoise; Dofus Pourpre; Dolmanax; Vigoureux majeur; Nomade; Remueur; Kokulte</t>
        </is>
      </c>
    </row>
    <row r="2870">
      <c r="A2870" t="inlineStr">
        <is>
          <t>Eau/Air</t>
        </is>
      </c>
      <c r="B2870">
        <f>HYPERLINK("https://www.dofusbook.net/fr/equipement/1983057-eau-air/objets", "link")</f>
        <v/>
      </c>
      <c r="C2870" t="n">
        <v>13</v>
      </c>
      <c r="D2870" t="inlineStr">
        <is>
          <t>Bâtonnet Ronien; Amulette du Strigide; Bracelet du Piloztère; Alliance Gloursonne; Quatre-feuilles; Ceintacé; Némès de Tal Kasha; Chevelure de Tal Kasha; Bottes Voldelor; Dofus Pourpre; Dofus des Glaces; Dofus Turquoise; Vigoureux majeur; Remueur; Nomade; Kokulte</t>
        </is>
      </c>
    </row>
    <row r="2871">
      <c r="A2871" t="inlineStr">
        <is>
          <t>Tri classique</t>
        </is>
      </c>
      <c r="B2871">
        <f>HYPERLINK("https://www.dofusbook.net/fr/equipement/4230822-tri-classique/objets", "link")</f>
        <v/>
      </c>
      <c r="C2871" t="n">
        <v>3</v>
      </c>
      <c r="D2871" t="inlineStr">
        <is>
          <t>Hache du Chalœil; Amulette du Strigide; Anneau Volkorne; Bracelet du Piloztère; Quatre-feuilles; Ceinture Volkorne; Casque de Missiz Frizz; Cape au Logis; Bottes Honyme; Dofus des Glaces; Dofus Pourpre; Dofus Turquoise; Remueur; Vigoureux majeur; Nomade; Kokulte</t>
        </is>
      </c>
    </row>
    <row r="2872">
      <c r="A2872" t="inlineStr">
        <is>
          <t>Flotte</t>
        </is>
      </c>
      <c r="B2872">
        <f>HYPERLINK("https://www.dofusbook.net/fr/equipement/4140847-flotte/objets", "link")</f>
        <v/>
      </c>
      <c r="C2872" t="n">
        <v>14</v>
      </c>
      <c r="D2872" t="inlineStr">
        <is>
          <t>Dagoulinantes; Collier de la Dame du Hasard; Anneau Volkorne; Alliance Gloursonne; Quatre-feuilles; Poulpagne; Capuche de l'Œil Attentif; Cape de la Dame du Hasard; Bottes de Meno; Dofus Turquoise; Dofus Pourpre; Nomade; Chanceux majeur; Remueur; Vigoureux majeur; Kokulte</t>
        </is>
      </c>
    </row>
    <row r="2873">
      <c r="A2873" t="inlineStr">
        <is>
          <t>Multidocrit</t>
        </is>
      </c>
      <c r="B2873">
        <f>HYPERLINK("https://www.dofusbook.net/fr/equipement/2619116-multidocrit/objets", "link")</f>
        <v/>
      </c>
      <c r="C2873" t="n">
        <v>10</v>
      </c>
      <c r="D2873" t="inlineStr">
        <is>
          <t>Hache du Chalœil; Amulette du Strigide; Alliance de Missiz Frizz; Bracelet du Piloztère; Quatre-feuilles; Ceinture du Strigide; Chapeau Lisson; Cape au Logis; Bottes Honyme; Dofus Pourpre; Dofus des Glaces; Dofus Turquoise; Nomade; Vigoureux majeur; Remueur; Kokulte</t>
        </is>
      </c>
    </row>
    <row r="2874">
      <c r="A2874" t="inlineStr">
        <is>
          <t>Feu cheapos</t>
        </is>
      </c>
      <c r="B2874">
        <f>HYPERLINK("https://www.dofusbook.net/fr/equipement/3793769-feu-cheapos/objets", "link")</f>
        <v/>
      </c>
      <c r="C2874" t="n">
        <v>15</v>
      </c>
      <c r="D2874" t="inlineStr">
        <is>
          <t>Baguette de Malléfisk; Amulette de Nileza; Anneau Tamie; Anneau Tamie; Bouclier du Stalak; Sangle Aise; Calotte Spot; Cape de Nileza; Pantoufles Émar; Dofus des Glaces; Remueur; Astucieux majeur; Dévastateur Feu majeur; Nomade; Érudit majeur; Muldo Doré</t>
        </is>
      </c>
    </row>
    <row r="2875">
      <c r="A2875" t="inlineStr">
        <is>
          <t>Stuff 2</t>
        </is>
      </c>
      <c r="B2875">
        <f>HYPERLINK("https://www.dofusbook.net/fr/equipement/188082-stuff-2/objets", "link")</f>
        <v/>
      </c>
      <c r="C2875" t="n">
        <v>10</v>
      </c>
      <c r="D2875" t="inlineStr">
        <is>
          <t>Marteau R'ture; Collier de Tourthon; Anneau Crustique; Anneau du Comte Harebourg; Bouclier du Captain Amakna; Ceinture de la Cour Sombre; Coiffe du Comte Harebourg; Cape au Logis; Bottes du Comte Harebourg; Dofus Pourpre; Dofus Ocre; Forcené majeur; Forcené; Robuste majeur; Furibond majeur; Kompost</t>
        </is>
      </c>
    </row>
    <row r="2876">
      <c r="A2876" t="inlineStr">
        <is>
          <t>Terre Lowcost</t>
        </is>
      </c>
      <c r="B2876">
        <f>HYPERLINK("https://www.dofusbook.net/fr/equipement/3726074-terre-lowcost/objets", "link")</f>
        <v/>
      </c>
      <c r="C2876" t="n">
        <v>26</v>
      </c>
      <c r="D2876" t="inlineStr">
        <is>
          <t>Bêche Asse; Amulette du Nocturlabe; Anneau de Brouce; Anneau Chevelu; Bouclier Taverne; Ceinture de Brouce; Coiffe Ranshi; Cape au Logis; Sabots Minables; Enragé majeur; Nomade; Robuste majeur; Vigoureux majeur; Forcené majeur; Remueur; Dragodinde Ivoire et Pourpre</t>
        </is>
      </c>
    </row>
    <row r="2877">
      <c r="A2877" t="inlineStr">
        <is>
          <t>Soins v2</t>
        </is>
      </c>
      <c r="B2877">
        <f>HYPERLINK("https://www.dofusbook.net/fr/equipement/3622766-soins-v2/objets", "link")</f>
        <v/>
      </c>
      <c r="C2877" t="n">
        <v>2</v>
      </c>
      <c r="D2877" t="inlineStr">
        <is>
          <t>Baguette de Malléfisk; Pendentif affamé; Kralano; Anneau Rifique; Carapar; Ceinture de Vortex; Masque Ardent; Cape de Diondin; Chaussures Ardentes; Dofus Pourpre; Dofus Abyssal; Érudit majeur; Nomade; Guérisseur majeur; Remueur; Bisouglours</t>
        </is>
      </c>
    </row>
    <row r="2878">
      <c r="A2878" t="inlineStr">
        <is>
          <t>Multidocrit v4</t>
        </is>
      </c>
      <c r="B2878">
        <f>HYPERLINK("https://www.dofusbook.net/fr/equipement/4015114-multidocrit-v4/objets", "link")</f>
        <v/>
      </c>
      <c r="C2878" t="n">
        <v>9</v>
      </c>
      <c r="D2878" t="inlineStr">
        <is>
          <t>Arc Volkorne; Amulette Volkorne; Anneau Volkorne; Bracelet du Piloztère; Quatre-feuilles; Ceinture Volkorne; Le Dorado; Chevelure de Tal Kasha; Bottes du Chalœil; Dofus Pourpre; Dolmanax; Dofus Abyssal; Dofus Turquoise; Dofus des Glaces; Dofus Ocre; Kokulte</t>
        </is>
      </c>
    </row>
    <row r="2879">
      <c r="A2879" t="inlineStr">
        <is>
          <t>Multidocrit v3</t>
        </is>
      </c>
      <c r="B2879">
        <f>HYPERLINK("https://www.dofusbook.net/fr/equipement/4007958-multidocrit-v3/objets", "link")</f>
        <v/>
      </c>
      <c r="C2879" t="n">
        <v>5</v>
      </c>
      <c r="D2879" t="inlineStr">
        <is>
          <t>Arc Volkorne; Amulette du Strigide; Anneau Toriété; Bracelet du Piloztère; Quatre-feuilles; Ceinture du Strigide; Casque du Chalœil; Cape du Chalœil; Bottes du Chalœil; Dofus Abyssal; Dofus Turquoise; Dolmanax; Dofus Ocre; Dofus Pourpre; Dofus des Glaces; Kokulte</t>
        </is>
      </c>
    </row>
    <row r="2880">
      <c r="A2880" t="inlineStr">
        <is>
          <t>Classik</t>
        </is>
      </c>
      <c r="B2880">
        <f>HYPERLINK("https://www.dofusbook.net/fr/equipement/2437014-classik/objets", "link")</f>
        <v/>
      </c>
      <c r="C2880" t="n">
        <v>8</v>
      </c>
      <c r="D2880" t="inlineStr">
        <is>
          <t>Marteau des égarés; Amulette du Strigide; Bracelet du Piloztère; Anneau de Padgref; Quatre-feuilles; Ceinture du Strigide; Némès de Tal Kasha; Voile d'encre; Bottes Honyme; Dofus des Glaces; Dofus Ocre; Dolmanax; Dofus Pourpre; Dofus Nébuleux; Nomade; Kokulte</t>
        </is>
      </c>
    </row>
    <row r="2881">
      <c r="A2881" t="inlineStr">
        <is>
          <t>Test pvm</t>
        </is>
      </c>
      <c r="B2881">
        <f>HYPERLINK("https://www.dofusbook.net/fr/equipement/3939538-test-pvm/objets", "link")</f>
        <v/>
      </c>
      <c r="C2881" t="n">
        <v>10</v>
      </c>
      <c r="D2881" t="inlineStr">
        <is>
          <t>Hache du Chalœil; Amulette du Strigide; Bracelet du Piloztère; Anneau de Padgref; Quatre-feuilles; Ceinture du Strigide; Maskrobe; Voile d'encre; Pataugastrique; Dofus Pourpre; Dofus des Glaces; Dofus Nébuleux; Dofus Turquoise; Dolmanax; Dofus Ocre; Kokulte</t>
        </is>
      </c>
    </row>
    <row r="2882">
      <c r="A2882" t="inlineStr">
        <is>
          <t>Volkorne</t>
        </is>
      </c>
      <c r="B2882">
        <f>HYPERLINK("https://www.dofusbook.net/fr/equipement/3959178-volkorne/objets", "link")</f>
        <v/>
      </c>
      <c r="C2882" t="n">
        <v>8</v>
      </c>
      <c r="D2882" t="inlineStr">
        <is>
          <t>Arc Volkorne; Amulette Volkorne; Anneau de Padgref; Anneau Volkorne; Quatre-feuilles; Ceinture Volkorne; Coiffe de Padgref; Chevelure de Tal Kasha; Getas de Padgref; Dofus Pourpre; Dofus des Glaces; Dofus Ocre; Dolmanax; Dofus Turquoise; Dofus Nébuleux; Kokulte</t>
        </is>
      </c>
    </row>
    <row r="2883">
      <c r="A2883" t="inlineStr">
        <is>
          <t>Crâkoli</t>
        </is>
      </c>
      <c r="B2883">
        <f>HYPERLINK("https://www.dofusbook.net/fr/equipement/3941471-crakoli/objets", "link")</f>
        <v/>
      </c>
      <c r="C2883" t="n">
        <v>4</v>
      </c>
      <c r="D2883" t="inlineStr">
        <is>
          <t>Sceptre du Roi Joueur; Amulette de Shokkoth; Anneau Volkorne; Alliance Gloursonne; Cadran d'Air; Sangle Ouare; Kidibonnet; Cape du Sinistrofu; Bottes du Sinistrofu; Bwak de Feu</t>
        </is>
      </c>
    </row>
    <row r="2884">
      <c r="A2884" t="inlineStr">
        <is>
          <t>Crâ F 200</t>
        </is>
      </c>
      <c r="B2884">
        <f>HYPERLINK("https://www.dofusbook.net/fr/equipement/3858977-cra-f-200/objets", "link")</f>
        <v/>
      </c>
      <c r="C2884" t="n">
        <v>10</v>
      </c>
      <c r="D2884" t="inlineStr">
        <is>
          <t>Sabres d'Atcham; Amulette Volkorne; Anneau de Padgref; Anneau Volkorne; Quatre-feuilles; Ceinture du Strigide; Coiffe de Padgref; Cape d'Atcham; Sandales  d'Atcham; Dofus Abyssal; Dofus Turquoise; Dofus Pourpre; Dofus Nébuleux; Dolmanax; Dofus des Glaces; Muldo Prune et Doré</t>
        </is>
      </c>
    </row>
    <row r="2885">
      <c r="A2885" t="inlineStr">
        <is>
          <t>Stri 11/6</t>
        </is>
      </c>
      <c r="B2885">
        <f>HYPERLINK("https://www.dofusbook.net/fr/equipement/188027-stri-11-6/objets", "link")</f>
        <v/>
      </c>
      <c r="C2885" t="n">
        <v>13</v>
      </c>
      <c r="D2885" t="inlineStr">
        <is>
          <t>Hache Téroïde; Amulette du Strigide; Bague Gloursonne; Bracelet du Piloztère; Bouclier du Captain Amakna; Ceinture du Strigide; Chapeau de Gein; Voile d'encre; Bottes Honyme; Dofus Turquoise; Dolmanax; Dofus Pourpre; Vigoureux majeur; Remueur; Nomade; Muldo Prune et Doré</t>
        </is>
      </c>
    </row>
    <row r="2886">
      <c r="A2886" t="inlineStr">
        <is>
          <t>Multidocrit v2 ret</t>
        </is>
      </c>
      <c r="B2886">
        <f>HYPERLINK("https://www.dofusbook.net/fr/equipement/3793895-multidocrit-v2-ret/objets", "link")</f>
        <v/>
      </c>
      <c r="C2886" t="n">
        <v>5</v>
      </c>
      <c r="D2886" t="inlineStr">
        <is>
          <t>Sabres d'Atcham; Amulette du Strigide; Bracelet du Piloztère; Anneau de Padgref; Bouclier cubiste; Ceinture du Strigide; Maskrobe; Cape d'Atcham; Bottes du Strigide; Dofus Pourpre; Dofus des Glaces; Dofus Turquoise; Dolmanax; Dofus Ocre; Entraveur majeur; Léopardo</t>
        </is>
      </c>
    </row>
    <row r="2887">
      <c r="A2887" t="inlineStr">
        <is>
          <t>Fullforce</t>
        </is>
      </c>
      <c r="B2887">
        <f>HYPERLINK("https://www.dofusbook.net/fr/equipement/2457038-fullforce/objets", "link")</f>
        <v/>
      </c>
      <c r="C2887" t="n">
        <v>23</v>
      </c>
      <c r="D2887" t="inlineStr">
        <is>
          <t>Arc du Chalœil; Amulette du Strigide; Anneau Crustique; Anneau Chevelu; Bouclier Taverne; Ceinture Gence; Chapeau de Gein; Cape au Logis; Bottes du Strigide; Dofus Turquoise; Dofus Pourpre; Dofus Ocre; Nomade; Enragé majeur; Vigoureux majeur; Dragodinde Emeraude et Ivoire</t>
        </is>
      </c>
    </row>
    <row r="2888">
      <c r="A2888" t="inlineStr">
        <is>
          <t>Terre-Eau</t>
        </is>
      </c>
      <c r="B2888">
        <f>HYPERLINK("https://www.dofusbook.net/fr/equipement/3096118-terre-eau/objets", "link")</f>
        <v/>
      </c>
      <c r="C2888" t="n">
        <v>7</v>
      </c>
      <c r="D2888" t="inlineStr">
        <is>
          <t>Marteau des égarés; Amulette du Strigide; Anneau de Padgref; Bracelet du Piloztère; Quatre-feuilles; Ceintacé; Casque du Chalœil; Bottes du Strigide; Dolmanax; Dofus Pourpre; Dofus Turquoise; Vigoureux majeur; Remueur; Nomade; Dragodinde Emeraude et Ivoire</t>
        </is>
      </c>
    </row>
    <row r="2889">
      <c r="A2889" t="inlineStr">
        <is>
          <t>SOins</t>
        </is>
      </c>
      <c r="B2889">
        <f>HYPERLINK("https://www.dofusbook.net/fr/equipement/2679653-soins/objets", "link")</f>
        <v/>
      </c>
      <c r="C2889" t="n">
        <v>2</v>
      </c>
      <c r="D2889" t="inlineStr">
        <is>
          <t>Baguette de Malléfisk; Pendentif affamé; Kralano; Anneau de Padgref; Bouclier du Cycloïde; Ceinture Séculaire; Coiffe Séculaire; Cape de Diondin; Bottes de Meno; Dofus Turquoise; Guérisseur majeur; Nomade; Érudit majeur; Docteur majeur; Remueur; Muldo Prune et Orchidée</t>
        </is>
      </c>
    </row>
    <row r="2890">
      <c r="A2890" t="inlineStr">
        <is>
          <t>Retrait PM</t>
        </is>
      </c>
      <c r="B2890">
        <f>HYPERLINK("https://www.dofusbook.net/fr/equipement/2475145-retrait-pm/objets", "link")</f>
        <v/>
      </c>
      <c r="C2890" t="n">
        <v>11</v>
      </c>
      <c r="D2890" t="inlineStr">
        <is>
          <t>Arc Hétype; Amulette de Nileza; Anneau de Nidas; Anneau de Padgref; Bouclier cubiste; Ceinture Séculaire; Coiffe Séculaire; Cape du Glourséleste; Pantoufles Émar; Dofus Turquoise; Dofus Pourpre; Remueur; Nomade; Entraveur majeur; Temporiseur majeur; Muldo Prune et Doré</t>
        </is>
      </c>
    </row>
    <row r="2891">
      <c r="A2891" t="inlineStr">
        <is>
          <t>Eau-Feu PvM</t>
        </is>
      </c>
      <c r="B2891">
        <f>HYPERLINK("https://www.dofusbook.net/fr/equipement/2545811-eau-feu-pvm/objets", "link")</f>
        <v/>
      </c>
      <c r="C2891" t="n">
        <v>13</v>
      </c>
      <c r="D2891" t="inlineStr">
        <is>
          <t>Arc Hétype; Collier de la Dame du Hasard; Anneau de Nidas; Anneau Tique; Bouclier cubiste; Ceinture de Kongoku; Casquette de Meno; Cape de Meno; Pataugastrique; Dofus Pourpre; Dofus des Glaces; Nomade; Entraveur majeur; Remueur; Temporiseur majeur; Muldo Orchidée et Pourpre</t>
        </is>
      </c>
    </row>
    <row r="2892">
      <c r="A2892" t="inlineStr">
        <is>
          <t>Feu-Eau docrit</t>
        </is>
      </c>
      <c r="B2892">
        <f>HYPERLINK("https://www.dofusbook.net/fr/equipement/3259375-feu-eau-docrit/objets", "link")</f>
        <v/>
      </c>
      <c r="C2892" t="n">
        <v>3</v>
      </c>
      <c r="D2892" t="inlineStr">
        <is>
          <t>Arc Hétype; Collier de la Dame du Hasard; Anneau de Nidas; Bouclier cubiste; Casquette de Meno; Cape de Meno; Pantoufles Émar; Dofus Pourpre; Dofus Turquoise; Remueur; Entraveur majeur; Nomade; Temporiseur majeur; Muldo Prune et Doré</t>
        </is>
      </c>
    </row>
    <row r="2893">
      <c r="A2893" t="inlineStr">
        <is>
          <t>PVM Feu</t>
        </is>
      </c>
      <c r="B2893">
        <f>HYPERLINK("https://www.dofusbook.net/fr/equipement/2254059-pvm-feu/objets", "link")</f>
        <v/>
      </c>
      <c r="C2893" t="n">
        <v>9</v>
      </c>
      <c r="D2893" t="inlineStr">
        <is>
          <t>Arc Hétype; Talisman Igans; Anneau Tamie; Anneau Tamie; Bouclier du Stalak; Ceintrigue; Coiffe Séculaire; Cape de Diondin; Pataugastrique; Dofus des Glaces; Nomade; Érudit majeur; Astucieux majeur; Dévastateur Feu majeur; Saccageur Feu majeur; Brûlih</t>
        </is>
      </c>
    </row>
    <row r="2894">
      <c r="A2894" t="inlineStr">
        <is>
          <t>Full terre Arc Chal</t>
        </is>
      </c>
      <c r="B2894">
        <f>HYPERLINK("https://www.dofusbook.net/fr/equipement/2786944-full-terre-arc-chal/objets", "link")</f>
        <v/>
      </c>
      <c r="C2894" t="n">
        <v>7</v>
      </c>
      <c r="D2894" t="inlineStr">
        <is>
          <t>Héqache; Amulette du Strigide; Bracelet du Piloztère; Anneau du Comte Harebourg; Bouclier cubiste; Ceinture du Strigide; Masque d'Anerice; Cape du Kamasterisk; Baleinabottes; Dofus Turquoise; Dofus Pourpre; Nomade; Miraculé majeur; Temporiseur majeur; Remueur; Muldo Prune et Pourpre</t>
        </is>
      </c>
    </row>
    <row r="2895">
      <c r="A2895" t="inlineStr">
        <is>
          <t>Air Ahique</t>
        </is>
      </c>
      <c r="B2895">
        <f>HYPERLINK("https://www.dofusbook.net/fr/equipement/2788858-air-ahique/objets", "link")</f>
        <v/>
      </c>
      <c r="C2895" t="n">
        <v>2</v>
      </c>
      <c r="D2895" t="inlineStr">
        <is>
          <t>Arc Ahique; Collier du Valet Veinard; Anneau d'Allister; Alliance Gloursonne; Bouclier du Stalak; Menoture; Coiffe de la Reine des Voleurs; Cape Indescriptible; Bottes de la Reine des Voleurs; Dofus des Glaces; Cascadeur majeur; Nomade; Dévastateur Air majeur; Saccageur Air majeur; Remueur; Muldo Doré et Ebène</t>
        </is>
      </c>
    </row>
    <row r="2896">
      <c r="A2896" t="inlineStr">
        <is>
          <t>Feu/Eau</t>
        </is>
      </c>
      <c r="B2896">
        <f>HYPERLINK("https://www.dofusbook.net/fr/equipement/2786816-feu-eau/objets", "link")</f>
        <v/>
      </c>
      <c r="C2896" t="n">
        <v>1</v>
      </c>
      <c r="D2896" t="inlineStr">
        <is>
          <t>Arc Hétype; Talisman Igans; Anneau de Nidas; Anneau Tique; Bouclier cubiste; Poulpagne; Casquette de Meno; Cape de la Dame du Hasard; Bottes de Meno; Dofus Pourpre; Dolmanax; Temporiseur majeur; Nomade; Guérisseur majeur; Remueur; Muldo Ebène et Orchidée</t>
        </is>
      </c>
    </row>
    <row r="2897">
      <c r="A2897" t="inlineStr">
        <is>
          <t>Multi</t>
        </is>
      </c>
      <c r="B2897">
        <f>HYPERLINK("https://www.dofusbook.net/fr/equipement/2763287-multi/objets", "link")</f>
        <v/>
      </c>
      <c r="C2897" t="n">
        <v>15</v>
      </c>
      <c r="D2897" t="inlineStr">
        <is>
          <t>Hache du Chalœil; Amulette du Strigide; Bracelet du Piloztère; Alliance Gloursonne; Quatre-feuilles; Ceintacé; Casque du Chalœil; Voile d'encre; Bottes du Strigide; Dofus Turquoise; Dolmanax; Dofus Pourpre; Remueur; Nomade; Vigoureux majeur; Muldo Prune et Doré</t>
        </is>
      </c>
    </row>
    <row r="2898">
      <c r="A2898" t="inlineStr">
        <is>
          <t>Multiclochard</t>
        </is>
      </c>
      <c r="B2898">
        <f>HYPERLINK("https://www.dofusbook.net/fr/equipement/2750859-multiclochard/objets", "link")</f>
        <v/>
      </c>
      <c r="C2898" t="n">
        <v>10</v>
      </c>
      <c r="D2898" t="inlineStr">
        <is>
          <t>Bâton Beau; Amulette du Strigide; Alliance de Missiz Frizz; Bracelet du Piloztère; Quatre-feuilles; Ceintacé; Coiffe Ranshi; Cape Reski; Bottes du Strigide; Dofus Turquoise; Dolmanax; Dofus Pourpre; Nomade; Vigoureux majeur; Remueur; Muldo Prune et Doré</t>
        </is>
      </c>
    </row>
    <row r="2899">
      <c r="A2899" t="inlineStr">
        <is>
          <t>Terre-Air support</t>
        </is>
      </c>
      <c r="B2899">
        <f>HYPERLINK("https://www.dofusbook.net/fr/equipement/2740962-terre-air-support/objets", "link")</f>
        <v/>
      </c>
      <c r="C2899" t="n">
        <v>7</v>
      </c>
      <c r="D2899" t="inlineStr">
        <is>
          <t>Marteau R'ture; Collier de Tourthon; Bracelet du Piloztère; Alliance Gloursonne; Bouclier cubiste; Ceinture de la Reine des Voleurs; Coiffe de la Reine des Voleurs; Cape du Kamasterisk; Baleinabottes; Dolmanax; Dofus Émeraude; Miraculé majeur; Remueur; Temporiseur majeur; Nomade; Muldo Doré et Indigo</t>
        </is>
      </c>
    </row>
    <row r="2900">
      <c r="A2900" t="inlineStr">
        <is>
          <t>Terre-Feu Ini</t>
        </is>
      </c>
      <c r="B2900">
        <f>HYPERLINK("https://www.dofusbook.net/fr/equipement/2740516-terre-feu-ini/objets", "link")</f>
        <v/>
      </c>
      <c r="C2900" t="n">
        <v>8</v>
      </c>
      <c r="D2900" t="inlineStr">
        <is>
          <t>Baguette Nolog; Amulette du Strigide; Alliance de Missiz Frizz; Bracelet du Piloztère; Quatre-feuilles; Ceintacé; Coiffe du Lévitrof; Voile d'encre; Bottes du Lévitrof; Dofus Pourpre; Dofus Turquoise; Dolmanax; Nomade; Vigoureux majeur; Remueur; Muldo Prune et Doré</t>
        </is>
      </c>
    </row>
    <row r="2901">
      <c r="A2901" t="inlineStr">
        <is>
          <t>Eau-Air</t>
        </is>
      </c>
      <c r="B2901">
        <f>HYPERLINK("https://www.dofusbook.net/fr/equipement/2730253-eau-air/objets", "link")</f>
        <v/>
      </c>
      <c r="C2901" t="n">
        <v>3</v>
      </c>
      <c r="D2901" t="inlineStr">
        <is>
          <t>Arc de Koutoulou; Amulette du Strigide; Bracelet du Piloztère; Alliance Gloursonne; Ceintacé; Némès de Tal Kasha; Chevelure de Tal Kasha; Bottes du Cycloïde; Dofus Émeraude; Dofus Pourpre; Dofus Turquoise; Miraculé majeur; Remueur; Nomade; Muldo Prune et Doré</t>
        </is>
      </c>
    </row>
    <row r="2902">
      <c r="A2902" t="inlineStr">
        <is>
          <t>Terre-Eau</t>
        </is>
      </c>
      <c r="B2902">
        <f>HYPERLINK("https://www.dofusbook.net/fr/equipement/2591507-terre-eau/objets", "link")</f>
        <v/>
      </c>
      <c r="C2902" t="n">
        <v>6</v>
      </c>
      <c r="D2902" t="inlineStr">
        <is>
          <t>Marteau R'ture; Amulette Luminescente; Pikano; Bracelet du Piloztère; Bouclier cubiste; Ceinture de la Reine des Voleurs; Masque de Koutoulou; Cape d'Anerice; Pikottes; Dofus Turquoise; Dofus Émeraude; Dofus Pourpre; Remueur; Nomade; Miraculé majeur; Muldo Prune et Indigo</t>
        </is>
      </c>
    </row>
    <row r="2903">
      <c r="A2903" t="inlineStr">
        <is>
          <t>Terre-Feu 199</t>
        </is>
      </c>
      <c r="B2903">
        <f>HYPERLINK("https://www.dofusbook.net/fr/equipement/2697547-terre-feu-199/objets", "link")</f>
        <v/>
      </c>
      <c r="C2903" t="n">
        <v>4</v>
      </c>
      <c r="D2903" t="inlineStr">
        <is>
          <t>Hache du Guerrier Zoth; Kralamansion; Alliance de Missiz Frizz; Bague Gloursonne; Quatre-feuilles; Ceinture d'Henual; Casque de Missiz Frizz; Voile d'encre; Chaussures Hau; Dolmanax; Dofus Pourpre; Dofus Cawotte; Dofus Turquoise; Remueur; Nomade; Muldo Prune et Doré</t>
        </is>
      </c>
    </row>
    <row r="2904">
      <c r="A2904" t="inlineStr">
        <is>
          <t>Terre-Feu crit</t>
        </is>
      </c>
      <c r="B2904">
        <f>HYPERLINK("https://www.dofusbook.net/fr/equipement/188059-terre-feu-crit/objets", "link")</f>
        <v/>
      </c>
      <c r="C2904" t="n">
        <v>11</v>
      </c>
      <c r="D2904" t="inlineStr">
        <is>
          <t>Arc du Chalœil; Amulette du Strigide; Bracelet du Piloztère; Bague Gloursonne; Quatre-feuilles; Ceintacé; Chapeau de Gein; Voile d'encre; Bottes du Strigide; Dofus Pourpre; Dofus Turquoise; Dolmanax; Vigoureux majeur; Remueur; Nomade; Muldo Prune et Doré</t>
        </is>
      </c>
    </row>
    <row r="2905">
      <c r="A2905" t="inlineStr">
        <is>
          <t>Feu intermédiaire</t>
        </is>
      </c>
      <c r="B2905">
        <f>HYPERLINK("https://www.dofusbook.net/fr/equipement/2670571-feu-intermediaire/objets", "link")</f>
        <v/>
      </c>
      <c r="C2905" t="n">
        <v>2</v>
      </c>
      <c r="D2905" t="inlineStr">
        <is>
          <t>Baguette Hernelle; Frimamulette; Gelano; Anneau des Prophètes; Cadran de Terre; Ceinture du Tengu Givrefoux; Chapeau de Dremoan; Cape de Dremoan; Bottes d'Otomaï; Dofus Pourpre; Dofus Cawotte; Dévastateur Feu majeur; Remueur; Érudit majeur; Nomade; Brûlih</t>
        </is>
      </c>
    </row>
    <row r="2906">
      <c r="A2906" t="inlineStr">
        <is>
          <t>Feu 198</t>
        </is>
      </c>
      <c r="B2906">
        <f>HYPERLINK("https://www.dofusbook.net/fr/equipement/188048-feu-198/objets", "link")</f>
        <v/>
      </c>
      <c r="C2906" t="n">
        <v>1</v>
      </c>
      <c r="D2906" t="inlineStr">
        <is>
          <t>La Baguette des Limbes; Amulette de Nileza; Anneau Tamie; Anneau Tamie; Cadran d'Air; Ceinture Hanium; Calotte Spot; Cape de Nileza; Pantoufles Émar; Érudit majeur; Remueur; Saccageur Feu majeur; Dévastateur Feu majeur; Vigoureux majeur; Nomade; Brûlih</t>
        </is>
      </c>
    </row>
    <row r="2907">
      <c r="A2907" t="inlineStr">
        <is>
          <t>FullFeu lowcost</t>
        </is>
      </c>
      <c r="B2907">
        <f>HYPERLINK("https://www.dofusbook.net/fr/equipement/188050-fullfeu-lowcost/objets", "link")</f>
        <v/>
      </c>
      <c r="C2907" t="n">
        <v>8</v>
      </c>
      <c r="D2907" t="inlineStr">
        <is>
          <t>Arc corrompu; Talisman Igans; Anneau Tamie; Anneauræus; Bouclier du Stalak; Ceintrigue; Coiffe Séculaire; Cape de Diondin; Pataugastrique; Dofus des Glaces; Dofus Pourpre; Dévastateur Feu majeur; Remueur; Nomade; Érudit majeur; Muldo Doré et Orchidée</t>
        </is>
      </c>
    </row>
    <row r="2908">
      <c r="A2908" t="inlineStr">
        <is>
          <t>Terre-Air Brulame</t>
        </is>
      </c>
      <c r="B2908">
        <f>HYPERLINK("https://www.dofusbook.net/fr/equipement/2607362-terre-air-brulame/objets", "link")</f>
        <v/>
      </c>
      <c r="C2908" t="n">
        <v>15</v>
      </c>
      <c r="D2908" t="inlineStr">
        <is>
          <t>Lance corrompue; Amulette de Nevark; Alliance Brûlâme; Anneau Crustique; Bouclier du Captain Amakna; Ceinture de Nevark; Masque Brûlâme; Cape de Nevark; Pompes Funèbres; Dofus Ocre; Dofus des Glaces; Dofus Pourpre; Robuste majeur; Turbulent; Féroce majeur; Muldo Doré et Ebène</t>
        </is>
      </c>
    </row>
    <row r="2909">
      <c r="A2909" t="inlineStr">
        <is>
          <t>Nevark Egarés</t>
        </is>
      </c>
      <c r="B2909">
        <f>HYPERLINK("https://www.dofusbook.net/fr/equipement/2607200-nevark-egares/objets", "link")</f>
        <v/>
      </c>
      <c r="C2909" t="n">
        <v>7</v>
      </c>
      <c r="D2909" t="inlineStr">
        <is>
          <t>Lance corrompue; Amulette de Nevark; Anneau des égarés; Anneau Toriété; Bouclier Taverne; Ceinture de Nevark; Casque des égarés; Cape de Nevark; Bottes des égarés; Dofus des Glaces; Dofus Pourpre; Dofus Ocre; Turbulent; Féroce majeur; Robuste majeur; Muldo Doré et Pourpre</t>
        </is>
      </c>
    </row>
    <row r="2910">
      <c r="A2910" t="inlineStr">
        <is>
          <t>Terre-Air full pano</t>
        </is>
      </c>
      <c r="B2910">
        <f>HYPERLINK("https://www.dofusbook.net/fr/equipement/2605898-terre-air-full-pano/objets", "link")</f>
        <v/>
      </c>
      <c r="C2910" t="n">
        <v>5</v>
      </c>
      <c r="D2910" t="inlineStr">
        <is>
          <t>Lance corrompue; Amulette de Nevark; Bague Gloursonne; Alliance Gloursonne; Bouclier Taverne; Ceinture de la Reine des Voleurs; Coiffe de la Reine des Voleurs; Cape de Nevark; Bottes de la Reine des Voleurs; Dofus des Glaces; Dofus Pourpre; Dofus Nébuleux; Dofus Abyssal; Dofus Ocre; Robuste majeur; Muldo Doré et Ebène</t>
        </is>
      </c>
    </row>
    <row r="2911">
      <c r="A2911" t="inlineStr">
        <is>
          <t>Muleretrait</t>
        </is>
      </c>
      <c r="B2911">
        <f>HYPERLINK("https://www.dofusbook.net/fr/equipement/2560443-muleretrait/objets", "link")</f>
        <v/>
      </c>
      <c r="C2911" t="n">
        <v>5</v>
      </c>
      <c r="D2911" t="inlineStr">
        <is>
          <t>Hachoirs de Viandargh; Amulette Hale; Anneau Vicieux; Anneau Pwal; Bouclier cubiste; Ceinture de Léthaline; Coiffe d'Ogivol; Cape de Léthaline; Pantoufles Émar; Temporiseur majeur; Ralentisseur majeur; Remueur; Entraveur majeur; Nomade; Drakopin</t>
        </is>
      </c>
    </row>
    <row r="2912">
      <c r="A2912" t="inlineStr">
        <is>
          <t>MultiPvM</t>
        </is>
      </c>
      <c r="B2912">
        <f>HYPERLINK("https://www.dofusbook.net/fr/equipement/188063-multipvm/objets", "link")</f>
        <v/>
      </c>
      <c r="C2912" t="n">
        <v>2</v>
      </c>
      <c r="D2912" t="inlineStr">
        <is>
          <t>Hache du Chalœil; Amulette du Strigide; Bague Gloursonne; Alliance Gloursonne; Quatre-feuilles; Ceinture du Strigide; Le Dorado; Cape de la Dame du Hasard; Bottes du Strigide; Dofus Abyssal; Dofus Turquoise; Dofus Nébuleux; Dolmanax; Dofus des Glaces; Dofus Pourpre; Muldo Prune et Emeraude</t>
        </is>
      </c>
    </row>
    <row r="2913">
      <c r="A2913" t="inlineStr">
        <is>
          <t>Terre-Feu</t>
        </is>
      </c>
      <c r="B2913">
        <f>HYPERLINK("https://www.dofusbook.net/fr/equipement/188069-terre-feu/objets", "link")</f>
        <v/>
      </c>
      <c r="C2913" t="n">
        <v>4</v>
      </c>
      <c r="D2913" t="inlineStr">
        <is>
          <t>Hache Téroïde; Amulette du Strigide; Alliance du Lévitrof; Anneau Pwal; Bouclier cubiste; Ceintacé; Coiffe du Lévitrof; Cape de la Dame du Hasard; Bottes du Roi Joueur; Dofus Pourpre; Dofus Turquoise; Vigoureux majeur; Nomade; Temporiseur majeur; Remueur; Muldo Prune et Emeraude</t>
        </is>
      </c>
    </row>
    <row r="2914">
      <c r="A2914" t="inlineStr">
        <is>
          <t>Terre-Air</t>
        </is>
      </c>
      <c r="B2914">
        <f>HYPERLINK("https://www.dofusbook.net/fr/equipement/2424406-terre-air/objets", "link")</f>
        <v/>
      </c>
      <c r="C2914" t="n">
        <v>3</v>
      </c>
      <c r="D2914" t="inlineStr">
        <is>
          <t>Marteau R'ture; Amulette du Strigide; Pikano; Bracelet du Piloztère; Bouclier cubiste; Ceintacé; Coiffe d'Ogivol; Cape du Kamasterisk; Bottes du Strigide; Dofus Turquoise; Dofus des Glaces; Dofus Pourpre; Temporiseur majeur; Nomade; Remueur; Muldo Prune et Emeraude</t>
        </is>
      </c>
    </row>
    <row r="2915">
      <c r="A2915" t="inlineStr">
        <is>
          <t>Tri 199</t>
        </is>
      </c>
      <c r="B2915">
        <f>HYPERLINK("https://www.dofusbook.net/fr/equipement/2406754-tri-199/objets", "link")</f>
        <v/>
      </c>
      <c r="C2915" t="n">
        <v>4</v>
      </c>
      <c r="D2915" t="inlineStr">
        <is>
          <t>Arc de Guten Tak; Kralamansion; Gelano; Annolamour; Quatre-feuilles; Ougature; Casque de Missiz Frizz; Cape Peupret; Sabots Minables; Dofus Turquoise; Dofus Pourpre; Dofus Cawotte; Vigoureux majeur; Remueur; Nomade; Dragoune Dorée</t>
        </is>
      </c>
    </row>
    <row r="2916">
      <c r="A2916" t="inlineStr">
        <is>
          <t>Retraitroxxterre</t>
        </is>
      </c>
      <c r="B2916">
        <f>HYPERLINK("https://www.dofusbook.net/fr/equipement/2372782-retraitroxxterre/objets", "link")</f>
        <v/>
      </c>
      <c r="C2916" t="n">
        <v>1</v>
      </c>
      <c r="D2916" t="inlineStr"/>
    </row>
    <row r="2917">
      <c r="A2917" t="inlineStr">
        <is>
          <t>Tri PvM</t>
        </is>
      </c>
      <c r="B2917">
        <f>HYPERLINK("https://www.dofusbook.net/fr/equipement/2296098-tri-pvm/objets", "link")</f>
        <v/>
      </c>
      <c r="C2917" t="n">
        <v>1</v>
      </c>
      <c r="D2917" t="inlineStr">
        <is>
          <t>Hache du Chalœil; Amulette du Strigide; Bracelet du Piloztère; Bague Gloursonne; Bouclier cubiste; Ceintacé; Casquipik; Cape de la Dame du Hasard; Bottes du Strigide; Dolmanax; Dofus des Glaces; Dofus Pourpre; Dofus Turquoise; Remueur; Vigoureux majeur; Muldo Prune et Doré</t>
        </is>
      </c>
    </row>
    <row r="2918">
      <c r="A2918" t="inlineStr">
        <is>
          <t>Stri 12/6</t>
        </is>
      </c>
      <c r="B2918">
        <f>HYPERLINK("https://www.dofusbook.net/fr/equipement/188028-stri-12-6/objets", "link")</f>
        <v/>
      </c>
      <c r="C2918" t="n">
        <v>7</v>
      </c>
      <c r="D2918" t="inlineStr">
        <is>
          <t>Dagues Érhy; Amulette du Strigide; Bague Gloursonne; Anneau Chevelu; Bouclier Taverne; Ceinture du Strigide; Bonnet Ko; Voile d'encre; Bottes du Roi Joueur; Dofus Turquoise; Dofus Ocre; Dofus Pourpre; Remueur; Nomade; Vigoureux majeur; Muldo Prune et Doré</t>
        </is>
      </c>
    </row>
    <row r="2919">
      <c r="A2919" t="inlineStr">
        <is>
          <t>PVP Air</t>
        </is>
      </c>
      <c r="B2919">
        <f>HYPERLINK("https://www.dofusbook.net/fr/equipement/2254150-pvp-air/objets", "link")</f>
        <v/>
      </c>
      <c r="C2919" t="n">
        <v>4</v>
      </c>
      <c r="D2919" t="inlineStr">
        <is>
          <t>Manthache; Collier du Valet Veinard; Alliance Gloursonne; Gant du Valet Veinard; Bouclier du Stalak; Menoture; Casque Dragoeuf; Cape Indescriptible; Palmes Trithons; Dofus Pourpre; Dofus Émeraude; Dofus des Glaces; Remueur; Miraculé majeur; Cascadeur majeur; Muldo Ebène</t>
        </is>
      </c>
    </row>
    <row r="2920">
      <c r="A2920" t="inlineStr">
        <is>
          <t>Stri-Bonnet ko 12/5</t>
        </is>
      </c>
      <c r="B2920">
        <f>HYPERLINK("https://www.dofusbook.net/fr/equipement/188026-stri-bonnet-ko-12-5/objets", "link")</f>
        <v/>
      </c>
      <c r="C2920" t="n">
        <v>6</v>
      </c>
      <c r="D2920" t="inlineStr">
        <is>
          <t>Dagues Érhy; Amulette du Strigide; Chevalière du Roi Joueur; Bague Gloursonne; Bouclier Taverne; Ceinture du Strigide; Bonnet Ko; Voile d'encre; Bottes du Strigide; Dofus Ocre; Dofus Pourpre; Dofus Turquoise; Dokoko; Dolmanax; Puissant majeur; Muldo Prune et Doré</t>
        </is>
      </c>
    </row>
    <row r="2921">
      <c r="A2921" t="inlineStr">
        <is>
          <t>Feu-Eau</t>
        </is>
      </c>
      <c r="B2921">
        <f>HYPERLINK("https://www.dofusbook.net/fr/equipement/2230030-feu-eau/objets", "link")</f>
        <v/>
      </c>
      <c r="C2921" t="n">
        <v>2</v>
      </c>
      <c r="D2921" t="inlineStr">
        <is>
          <t>Pyraguette; Talisman Igans; Bracelet du Piloztère; Alliance du Lévitrof; Bouclier du Stalak; Ceintrigue; Casqnoar; Cape de la Dame du Hasard; Pataugastrique; Dofus Pourpre; Dofus des Glaces; Nomade; Dévastateur Eau majeur; Vigoureux majeur; Remueur; Bisouglours</t>
        </is>
      </c>
    </row>
    <row r="2922">
      <c r="A2922" t="inlineStr">
        <is>
          <t>Terre-Feu</t>
        </is>
      </c>
      <c r="B2922">
        <f>HYPERLINK("https://www.dofusbook.net/fr/equipement/2150946-terre-feu/objets", "link")</f>
        <v/>
      </c>
      <c r="C2922" t="n">
        <v>2</v>
      </c>
      <c r="D2922" t="inlineStr">
        <is>
          <t>Arc Hétype; Torquistik; Bague Gloursonne; Chevalière du Roi Joueur; Bouclier cubiste; Ceintacé; Chapeau de Gein; Voile d'encre; Bottistik; Dolmanax; Érudit majeur; Temporiseur majeur; Remueur; Enragé majeur; Nomade; Muldo Doré</t>
        </is>
      </c>
    </row>
    <row r="2923">
      <c r="A2923" t="inlineStr">
        <is>
          <t>Terre-Eau</t>
        </is>
      </c>
      <c r="B2923">
        <f>HYPERLINK("https://www.dofusbook.net/fr/equipement/188064-terre-eau/objets", "link")</f>
        <v/>
      </c>
      <c r="C2923" t="n">
        <v>1</v>
      </c>
      <c r="D2923" t="inlineStr">
        <is>
          <t>Dagues de Srambad; Amulette de Pol Ouatnos; Bracelet du Piloztère; Alliance Gloursonne; Ceinture de la Reine des Voleurs; Coiffe de la Reine des Voleurs; Baleinabottes; Dolmanax; Robuste majeur; Vigoureux majeur; Remueur; Carapace Air majeur; Nomade; Kramkram</t>
        </is>
      </c>
    </row>
    <row r="2924">
      <c r="A2924" t="inlineStr">
        <is>
          <t>Air PvPm</t>
        </is>
      </c>
      <c r="B2924">
        <f>HYPERLINK("https://www.dofusbook.net/fr/equipement/2050697-air-pvpm/objets", "link")</f>
        <v/>
      </c>
      <c r="C2924" t="n">
        <v>1</v>
      </c>
      <c r="D2924" t="inlineStr">
        <is>
          <t>Manthache; Collier du Valet Veinard; Alliance Gloursonne; Gant du Valet Veinard; Bouclier du Stalak; Menoture; Casque Dragoeuf; Cape Indescriptible; Palmes Trithons; Dofus des Glaces; Dofus Pourpre; Dofus Ivoire; Remueur; Miraculé majeur; Cascadeur majeur; Muldo Ebène</t>
        </is>
      </c>
    </row>
    <row r="2925">
      <c r="A2925" t="inlineStr">
        <is>
          <t>PvM</t>
        </is>
      </c>
      <c r="B2925">
        <f>HYPERLINK("https://www.dofusbook.net/fr/equipement/1982988-pvm/objets", "link")</f>
        <v/>
      </c>
      <c r="C2925" t="n">
        <v>2</v>
      </c>
      <c r="D2925" t="inlineStr">
        <is>
          <t>Hache Téroïde; Amulette du Strigide; Anneau Pwal; Chevalière du Roi Joueur; Bouclier cubiste; Ceintacé; Coiffe du Lévitrof; Cape Peupret; Bottes du Roi Joueur; Dofus Turquoise; Dofus Pourpre; Nomade; Remueur; Temporiseur majeur; Carapace Terre majeur; Muldo Prune et Doré</t>
        </is>
      </c>
    </row>
    <row r="2926">
      <c r="A2926" t="inlineStr">
        <is>
          <t>Air vita</t>
        </is>
      </c>
      <c r="B2926">
        <f>HYPERLINK("https://www.dofusbook.net/fr/equipement/1902581-air-vita/objets", "link")</f>
        <v/>
      </c>
      <c r="C2926" t="n">
        <v>1</v>
      </c>
      <c r="D2926" t="inlineStr">
        <is>
          <t>Manthache; Collier du Valet Veinard; Gant du Valet Veinard; Alliance Gloursonne; Bouclier du Stalak; Menoture; Couronne d'Allister; Cape Indescriptible; Palmes Trithons; Dokoko; Dofus Pourpre; Cascadeur majeur; Nomade; Acrobate majeur; Remueur; Muldo Ebène</t>
        </is>
      </c>
    </row>
    <row r="2927">
      <c r="A2927" t="inlineStr">
        <is>
          <t>Air res</t>
        </is>
      </c>
      <c r="B2927">
        <f>HYPERLINK("https://www.dofusbook.net/fr/equipement/188052-air-res/objets", "link")</f>
        <v/>
      </c>
      <c r="C2927" t="n">
        <v>1</v>
      </c>
      <c r="D2927" t="inlineStr">
        <is>
          <t>Pelle de la Cour Sombre; Collier du Valet Veinard; Gant du Valet Veinard; Alliance Gloursonne; Bouclier du Stalak; Ceinture Billonnante; Dorabysses; Cape Matelassée; Palmes Trithons; Dolmanax; Cascadeur majeur; Remueur; Fonceur majeur; Acrobate majeur; Nomade; Muldo Ebène</t>
        </is>
      </c>
    </row>
    <row r="2928">
      <c r="A2928" t="inlineStr">
        <is>
          <t>Feu soins</t>
        </is>
      </c>
      <c r="B2928">
        <f>HYPERLINK("https://www.dofusbook.net/fr/equipement/188070-feu-soins/objets", "link")</f>
        <v/>
      </c>
      <c r="C2928" t="n">
        <v>1</v>
      </c>
      <c r="D2928" t="inlineStr">
        <is>
          <t>Le Thanos; Amulette Ementaire Deluxe; Bague Gloursonne; Anneau de Nidas; Ceinture de Vortex; Couronne de Nidas; Voile d'encre; Pataugastrique; Dolmanax; Dofus Turquoise; Remueur; Érudit majeur; Carapace Neutre majeur; Temporiseur majeur; Muldo Orchidée et Amande</t>
        </is>
      </c>
    </row>
    <row r="2929">
      <c r="A2929" t="inlineStr">
        <is>
          <t>Stuff 1</t>
        </is>
      </c>
      <c r="B2929">
        <f>HYPERLINK("https://www.dofusbook.net/fr/equipement/188057-stuff-1/objets", "link")</f>
        <v/>
      </c>
      <c r="C2929" t="n">
        <v>5</v>
      </c>
      <c r="D2929" t="inlineStr">
        <is>
          <t>Dagues du Dragoeuf; La Meulette; Anneau du Chêne Mou; Gelano; Ceinture Phossile; Bonnet Ko; Cape Phossile; Sandales Gorithme; Dofus Cawotte; Vigoureux majeur; Remueur; Nomade; Observateur; Dragodinde Prune et Emeraude</t>
        </is>
      </c>
    </row>
    <row r="2930">
      <c r="A2930" t="inlineStr">
        <is>
          <t>Stuff 1</t>
        </is>
      </c>
      <c r="B2930">
        <f>HYPERLINK("https://www.dofusbook.net/fr/equipement/188081-stuff-1/objets", "link")</f>
        <v/>
      </c>
      <c r="C2930" t="n">
        <v>4</v>
      </c>
      <c r="D2930" t="inlineStr">
        <is>
          <t>Le Thanos; Pendentif Oton; Alliance Gloursonne; Anneau Kturne; Ceinture de Léthaline; Binocle Airvoyant; Cape Matelassée; Bottes du Glourséleste; Dofus Turquoise; Docteur majeur; Nomade; Guérisseur majeur; Fonceur majeur; Remueur</t>
        </is>
      </c>
    </row>
    <row r="2931">
      <c r="A2931" t="inlineStr">
        <is>
          <t>Stuff 3</t>
        </is>
      </c>
      <c r="B2931">
        <f>HYPERLINK("https://www.dofusbook.net/fr/equipement/188071-stuff-3/objets", "link")</f>
        <v/>
      </c>
      <c r="C2931" t="n">
        <v>2</v>
      </c>
      <c r="D2931" t="inlineStr">
        <is>
          <t>Pelle Aigante; La Meulette; Anneau de Frigostine; Gelano; Ceinture Phossile; Bonnet Ko; Cape Usée du Chêne Mou; Bottes Phossiles; Dofus Cawotte; Vigoureux majeur; Remueur; Observateur; Nomade; Temporiseur majeur; Muldo Orchidée et Pourpre</t>
        </is>
      </c>
    </row>
    <row r="2932">
      <c r="A2932" t="inlineStr">
        <is>
          <t>Eau air 200 mdr deja</t>
        </is>
      </c>
      <c r="B2932">
        <f>HYPERLINK("https://www.dofusbook.net/fr/equipement/5528955-eau-air-200-mdr-deja/objets", "link")</f>
        <v/>
      </c>
      <c r="C2932" t="n">
        <v>6</v>
      </c>
      <c r="D2932" t="inlineStr">
        <is>
          <t>Rapière aux Glyphes; Amulette Volkorne; Anneau Volkorne; Alliance Gloursonne; Bouclier Taverne; Poulpagne; Casque Volkorne; Cape Indescriptible; Bottes du Nocturlabe; Dofus Ocre; Dolmanax; Dofus Pourpre; Dofus Ivoire; Dofus des Glaces; Dofus Ébène; Mini Wa</t>
        </is>
      </c>
    </row>
    <row r="2933">
      <c r="A2933" t="inlineStr">
        <is>
          <t>200deja mdrrr</t>
        </is>
      </c>
      <c r="B2933">
        <f>HYPERLINK("https://www.dofusbook.net/fr/equipement/5525898-200deja-mdrrr/objets", "link")</f>
        <v/>
      </c>
      <c r="C2933" t="n">
        <v>5</v>
      </c>
      <c r="D2933" t="inlineStr">
        <is>
          <t>Dagues de Srambad; Amulette Volkorne; Anneau en Grithril; Anneau Volkorne; Bouclier Taverne; Ceinture Volkorne; Casque en Grithril; Voile d'encre; Bottes Honyme; Dofus Ocre; Dofus Ivoire; Dofus des Glaces; Dofus Ébène; Dofus Pourpre; Dolmanax; Bébé Pandawa</t>
        </is>
      </c>
    </row>
    <row r="2934">
      <c r="A2934" t="inlineStr">
        <is>
          <t>Songes</t>
        </is>
      </c>
      <c r="B2934">
        <f>HYPERLINK("https://www.dofusbook.net/fr/equipement/5856302-songes/objets", "link")</f>
        <v/>
      </c>
      <c r="C2934" t="n">
        <v>1</v>
      </c>
      <c r="D2934" t="inlineStr">
        <is>
          <t>L'Épée Nice; Kralamansion; Alliance Gloursonne; Anneau de XLII; Droiture de Fallanster; Ceinture de XLII; Masque d'Anerice; Cape d'Anerice; Bottes de XLII; Kougnard</t>
        </is>
      </c>
    </row>
    <row r="2935">
      <c r="A2935" t="inlineStr">
        <is>
          <t>Huppermage M 200</t>
        </is>
      </c>
      <c r="B2935">
        <f>HYPERLINK("https://www.dofusbook.net/fr/equipement/5733024-huppermage-m-200/objets", "link")</f>
        <v/>
      </c>
      <c r="C2935" t="n">
        <v>1</v>
      </c>
      <c r="D2935" t="inlineStr">
        <is>
          <t>Cape Endaison</t>
        </is>
      </c>
    </row>
    <row r="2936">
      <c r="A2936" t="inlineStr">
        <is>
          <t>test</t>
        </is>
      </c>
      <c r="B2936">
        <f>HYPERLINK("https://www.dofusbook.net/fr/equipement/5472707-test/objets", "link")</f>
        <v/>
      </c>
      <c r="C2936" t="n">
        <v>8</v>
      </c>
      <c r="D2936" t="inlineStr">
        <is>
          <t>Baguette de Torkélonia; Amulette du Strigide; Bague Trithon; Anneau Vicieux; Quatre-feuilles; Ceinture du Strigide; Masque Trithon; Carapace de Torkélonia; Bottes Trithon; Dofus Ébène; Dofus Pourpre; Dofus Ivoire; Dofus Ocre; Dofus Turquoise; Dofus Vulbis; Kokulte</t>
        </is>
      </c>
    </row>
    <row r="2937">
      <c r="A2937" t="inlineStr">
        <is>
          <t>Zobal M 200</t>
        </is>
      </c>
      <c r="B2937">
        <f>HYPERLINK("https://www.dofusbook.net/fr/equipement/5486397-zobal-m-200/objets", "link")</f>
        <v/>
      </c>
      <c r="C2937" t="n">
        <v>4</v>
      </c>
      <c r="D2937" t="inlineStr">
        <is>
          <t>Arc du Chalœil; Torquistik; Bague Instable; Baguistik; Bouclier précieux; Ceinture Glaciale; Masque de Kao; Cape Solution; Bottes Trithon; Dofus Ocre; Dofus Ivoire; Dofus Abyssal; Culbuteur majeur; Bousculeur majeur; Pousseur majeur; Péki</t>
        </is>
      </c>
    </row>
    <row r="2938">
      <c r="A2938" t="inlineStr">
        <is>
          <t>test</t>
        </is>
      </c>
      <c r="B2938">
        <f>HYPERLINK("https://www.dofusbook.net/fr/equipement/5352770-test/objets", "link")</f>
        <v/>
      </c>
      <c r="C2938" t="n">
        <v>9</v>
      </c>
      <c r="D2938" t="inlineStr">
        <is>
          <t>Lav'Hache; Amulette Volkorne; Bague Gloursonne; Anneau Volkorne; Bouclier du Stalak; Ceinture Volkorne; Masque de Koutoulou; Cape du Cœur Saignant; Bottes du Cœur Saignant; Dofus Pourpre; Dofus Ivoire; Dofus Abyssal; Dofus Ocre; Dofus des Glaces; Dofus Ébène; Dragodinde Ivoire et Pourpre</t>
        </is>
      </c>
    </row>
    <row r="2939">
      <c r="A2939" t="inlineStr">
        <is>
          <t>pvm</t>
        </is>
      </c>
      <c r="B2939">
        <f>HYPERLINK("https://www.dofusbook.net/fr/equipement/5300602-pvm/objets", "link")</f>
        <v/>
      </c>
      <c r="C2939" t="n">
        <v>1</v>
      </c>
      <c r="D2939" t="inlineStr">
        <is>
          <t>Couteaux Sacrificiels; Amulette Volkorne; Anneau de XLII; Anneau Volkorne; Droiture de Fallanster; Ceinture de XLII; Casque Volkorne; Cape d'Anerice; Bottes de XLII; Kougnard</t>
        </is>
      </c>
    </row>
    <row r="2940">
      <c r="A2940" t="inlineStr">
        <is>
          <t>mulaboost</t>
        </is>
      </c>
      <c r="B2940">
        <f>HYPERLINK("https://www.dofusbook.net/fr/equipement/5167866-mulaboost/objets", "link")</f>
        <v/>
      </c>
      <c r="C2940" t="n">
        <v>3</v>
      </c>
      <c r="D2940" t="inlineStr">
        <is>
          <t>Le Thanos; Amulette Martegel; Mitaine Aibre; Carapar; Sangle Hyssérine; Coiffe Ainte; Cape Endaison; Bottes Opsy; Dofus Ivoire; Dofus Ocre; Dofus Ébène; Docteur majeur; Voyageur; Soigneur majeur; Kougnard</t>
        </is>
      </c>
    </row>
    <row r="2941">
      <c r="A2941" t="inlineStr">
        <is>
          <t>vol de vie eau</t>
        </is>
      </c>
      <c r="B2941">
        <f>HYPERLINK("https://www.dofusbook.net/fr/equipement/5164572-vol-de-vie-eau/objets", "link")</f>
        <v/>
      </c>
      <c r="C2941" t="n">
        <v>8</v>
      </c>
      <c r="D2941" t="inlineStr">
        <is>
          <t>Épée Brûlâme; Amulette Volkorne; Anneau Volkorne; Alliance Gloursonne; Bouclier précieux; Sangle Ouare; Kidibonnet; Cape de Mantaze; Pataugastrique; Dofus Émeraude; Dofus Ivoire; Dofus Ébène; Bloqueur majeur; Chanceux majeur; Obstructeur majeur; Dragodinde Indigo et Ivoire</t>
        </is>
      </c>
    </row>
    <row r="2942">
      <c r="A2942" t="inlineStr">
        <is>
          <t>ret pm</t>
        </is>
      </c>
      <c r="B2942">
        <f>HYPERLINK("https://www.dofusbook.net/fr/equipement/5130520-ret-pm/objets", "link")</f>
        <v/>
      </c>
      <c r="C2942" t="n">
        <v>3</v>
      </c>
      <c r="D2942" t="inlineStr">
        <is>
          <t>Marteau R'ture; Amulette des Chocomanciens; Anneau Vicieux; Anneau Tamie; Bouclier cubiste; Capuche de l'Œil Putride; Cape de l'Œil Putride; Pantoufles Émar; Dofus Ocre; Dofus Abyssal; Temporiseur majeur; Ralentisseur majeur; Entraveur majeur; Temporiseur; Gwo Tofu Ventripotent</t>
        </is>
      </c>
    </row>
    <row r="2943">
      <c r="A2943" t="inlineStr">
        <is>
          <t>ret pa songes</t>
        </is>
      </c>
      <c r="B2943">
        <f>HYPERLINK("https://www.dofusbook.net/fr/equipement/5125057-ret-pa-songes/objets", "link")</f>
        <v/>
      </c>
      <c r="C2943" t="n">
        <v>7</v>
      </c>
      <c r="D2943" t="inlineStr">
        <is>
          <t>Pelle Vice; Amulette d'Oshimo; Anneau du Professeur Xa; Anneau de Guten Tak; Sept ans de malheur; Menoture; Masque Ardent; Cape Ardente; Pataugastrique; Engourdisseur majeur; Paralyseur; Paralyseur majeur; Étourdisseur; Étourdisseur majeur; Kouin-Kouin Noir</t>
        </is>
      </c>
    </row>
    <row r="2944">
      <c r="A2944" t="inlineStr">
        <is>
          <t>iop eau</t>
        </is>
      </c>
      <c r="B2944">
        <f>HYPERLINK("https://www.dofusbook.net/fr/equipement/5094311-iop-eau/objets", "link")</f>
        <v/>
      </c>
      <c r="C2944" t="n">
        <v>4</v>
      </c>
      <c r="D2944" t="inlineStr">
        <is>
          <t>Crocobur; Amulette de Shokkoth; Alliance Gloursonne; Anneau Volkorne; Bouclier d'Ilyzaelle; Ceinture de Dame Jhessica; Kidibonnet; Cape du Sinistrofu; Bottes du Sinistrofu; Dofus Pourpre; Dofus Ébène; Dofus Vulbis; Dofus Ivoire; Dofus Ocre; Chanceux majeur; Kanigloups</t>
        </is>
      </c>
    </row>
    <row r="2945">
      <c r="A2945" t="inlineStr">
        <is>
          <t>do pou terre air</t>
        </is>
      </c>
      <c r="B2945">
        <f>HYPERLINK("https://www.dofusbook.net/fr/equipement/5082857-do-pou-terre-air/objets", "link")</f>
        <v/>
      </c>
      <c r="C2945" t="n">
        <v>3</v>
      </c>
      <c r="D2945" t="inlineStr">
        <is>
          <t>Crocobur; Amulette Luminescente; Alliance Gloursonne; Anneau Volkorne; Bouclier du Stalak; Ceinture Volkorne; Casque Dragoeuf; Cape au Logis; Bottes Honyme; Dofus Pourpre; Dofus Abyssal; Dofus des Glaces; Dofus Ébène; Dofus Ocre; Dofus Ivoire; Bulbisou</t>
        </is>
      </c>
    </row>
    <row r="2946">
      <c r="A2946" t="inlineStr">
        <is>
          <t>Feu dégats</t>
        </is>
      </c>
      <c r="B2946">
        <f>HYPERLINK("https://www.dofusbook.net/fr/equipement/5079440-feu-degats/objets", "link")</f>
        <v/>
      </c>
      <c r="C2946" t="n">
        <v>5</v>
      </c>
      <c r="D2946" t="inlineStr">
        <is>
          <t>Arc corrompu; Amulette Volkorne; Anneauræus; Anneauræus; Bouclier du Stalak; Ceinture Volkorne; Casque Dragoeuf; Bravoure de Rykke Errel; Bottes Honyme; Dofus Abyssal; Dofus Ébène; Dofus Vulbis; Dofus Ivoire; Dofus Ocre; Érudit majeur; Dragodinde Ivoire et Orchidée</t>
        </is>
      </c>
    </row>
    <row r="2947">
      <c r="A2947" t="inlineStr">
        <is>
          <t>feu soutient</t>
        </is>
      </c>
      <c r="B2947">
        <f>HYPERLINK("https://www.dofusbook.net/fr/equipement/4393214-feu-soutient/objets", "link")</f>
        <v/>
      </c>
      <c r="C2947" t="n">
        <v>9</v>
      </c>
      <c r="D2947" t="inlineStr">
        <is>
          <t>Arc Hétype; Amulette Volkorne; Anneau Tique; Anneauræus; Droiture de Fallanster; Ceinture Volkorne; Casque Dragoeuf; Bravoure de Rykke Errel; Bottes Honyme; Dofus Vulbis; Dofus Ivoire; Dofus Ocre; Dofus Abyssal; Dofus Ébène; Érudit majeur; Dragodinde Ivoire et Orchidée</t>
        </is>
      </c>
    </row>
    <row r="2948">
      <c r="A2948" t="inlineStr">
        <is>
          <t>Songes</t>
        </is>
      </c>
      <c r="B2948">
        <f>HYPERLINK("https://www.dofusbook.net/fr/equipement/5031433-songes/objets", "link")</f>
        <v/>
      </c>
      <c r="C2948" t="n">
        <v>1</v>
      </c>
      <c r="D2948" t="inlineStr">
        <is>
          <t>La Baguette des Limbes; Talisman Glouti; Alliance Gloursonne; Anneau Tique; Droiture de Fallanster; Ceinture de Kongoku; Dorabysses; Cape Wéra; Getas Bernacle; Dofus Ivoire; Dofus Abyssal; Dofus Émeraude; Dofus Ocre; Survivant majeur; Bloqueur majeur; Platypus</t>
        </is>
      </c>
    </row>
    <row r="2949">
      <c r="A2949" t="inlineStr">
        <is>
          <t>Féca M 200</t>
        </is>
      </c>
      <c r="B2949">
        <f>HYPERLINK("https://www.dofusbook.net/fr/equipement/4519474-feca-m-200/objets", "link")</f>
        <v/>
      </c>
      <c r="C2949" t="n">
        <v>9</v>
      </c>
      <c r="D2949" t="inlineStr">
        <is>
          <t>Crocobur; Amulette du Strigide; Anneau Crustique; Anneau Toriété; Droiture de Fallanster; Ceintouse; Casque Dragoeuf; Bravoure de Rykke Errel; Tentassons; Dofus Abyssal; Dofus Ivoire; Dofus Ocre; Enragé majeur; Remueur; Étourdisseur majeur; Minimino</t>
        </is>
      </c>
    </row>
    <row r="2950">
      <c r="A2950" t="inlineStr">
        <is>
          <t>Ecaflip M 200</t>
        </is>
      </c>
      <c r="B2950">
        <f>HYPERLINK("https://www.dofusbook.net/fr/equipement/4449999-ecaflip-m-200/objets", "link")</f>
        <v/>
      </c>
      <c r="C2950" t="n">
        <v>3</v>
      </c>
      <c r="D2950" t="inlineStr">
        <is>
          <t>Plume de Buhorado; Amibou; Alliance Brûlâme; Bague Trithon; Bouclier Taverne; Menoture; Casque Dragoeuf; Capibou; Bottes Trithon; Dofus Ivoire; Dofus Pourpre; Dofus Abyssal; Dofus Ocre; Bousculeur majeur; Tofoudre</t>
        </is>
      </c>
    </row>
    <row r="2951">
      <c r="A2951" t="inlineStr">
        <is>
          <t>Ecaflip M 200</t>
        </is>
      </c>
      <c r="B2951">
        <f>HYPERLINK("https://www.dofusbook.net/fr/equipement/4449927-ecaflip-m-200/objets", "link")</f>
        <v/>
      </c>
      <c r="C2951" t="n">
        <v>3</v>
      </c>
      <c r="D2951" t="inlineStr">
        <is>
          <t>Plume de Buhorado; Amulette du Strigide; Bague Trithon; Alliance Gloursonne; Bouclier Taverne; Ceinture Gence; Casque Dragoeuf; Cape du Cœur Vaillant; Bottes Trithon; Dofus Ocre; Dofus Ivoire; Dofus Abyssal; Dofus Pourpre; Bousculeur majeur; Culbuteur majeur; Bouflux</t>
        </is>
      </c>
    </row>
    <row r="2952">
      <c r="A2952" t="inlineStr">
        <is>
          <t>feu do pou</t>
        </is>
      </c>
      <c r="B2952">
        <f>HYPERLINK("https://www.dofusbook.net/fr/equipement/4446496-feu-do-pou/objets", "link")</f>
        <v/>
      </c>
      <c r="C2952" t="n">
        <v>5</v>
      </c>
      <c r="D2952" t="inlineStr">
        <is>
          <t>Dagues Ricol; Torquistik; Anneau de Pol Ouatnos; Baguistik; Bouclier Taverne; Ceintacé; Casque Dragoeuf; Bravoure de Rykke Errel; Sandales Paztek; Dofus Abyssal; Dofus Ébène; Dofus Ocre; Dofus Ivoire; Érudit majeur; Culbuteur majeur; Scarakiri</t>
        </is>
      </c>
    </row>
    <row r="2953">
      <c r="A2953" t="inlineStr">
        <is>
          <t>terre res distance</t>
        </is>
      </c>
      <c r="B2953">
        <f>HYPERLINK("https://www.dofusbook.net/fr/equipement/4380164-terre-res-distance/objets", "link")</f>
        <v/>
      </c>
      <c r="C2953" t="n">
        <v>11</v>
      </c>
      <c r="D2953" t="inlineStr">
        <is>
          <t>Dagues Érhy; Amulette du Strigide; Anneau Chevelu; Chevalière du Roi Joueur; Droiture de Fallanster; Ceinture Gence; Casque Dragoeuf; Bravoure de Rykke Errel; Bottes du Roi Joueur; Dofus Abyssal; Dofus Ébène; Dofus Vulbis; Dofus Ivoire; Dofus Pourpre; Dofus Ocre; Dragodinde Ivoire et Pourpre</t>
        </is>
      </c>
    </row>
    <row r="2954">
      <c r="A2954" t="inlineStr">
        <is>
          <t>do pou</t>
        </is>
      </c>
      <c r="B2954">
        <f>HYPERLINK("https://www.dofusbook.net/fr/equipement/4374527-do-pou/objets", "link")</f>
        <v/>
      </c>
      <c r="C2954" t="n">
        <v>3</v>
      </c>
      <c r="D2954" t="inlineStr">
        <is>
          <t>Arc du Chalœil; Torquistik; Baguistik; Bague Trithon; Bouclier précieux; Ceinture Gence; Casque Dragoeuf; Cape Luminescente; Bottes du Cul Botté; Dofus Ivoire; Dofus Ocre; Dofus Abyssal; Culbuteur majeur; Pousseur majeur; Bousculeur majeur; Balafreux</t>
        </is>
      </c>
    </row>
    <row r="2955">
      <c r="A2955" t="inlineStr">
        <is>
          <t>terre res distance</t>
        </is>
      </c>
      <c r="B2955">
        <f>HYPERLINK("https://www.dofusbook.net/fr/equipement/4383620-terre-res-distance/objets", "link")</f>
        <v/>
      </c>
      <c r="C2955" t="n">
        <v>4</v>
      </c>
      <c r="D2955" t="inlineStr">
        <is>
          <t>Arc du Chalœil; Amulette de Gein; Anneau Volkorne; Anneau Chevelu; Droiture de Fallanster; Ceinture Volkorne; Casque Dragoeuf; Bravoure de Rykke Errel; Bottes Honyme; Dofus Vulbis; Dofus Ivoire; Dofus Ocre; Dofus Pourpre; Dofus Ébène; Enragé majeur; Dragodinde Ivoire et Pourpre</t>
        </is>
      </c>
    </row>
    <row r="2956">
      <c r="A2956" t="inlineStr">
        <is>
          <t>terre res distance</t>
        </is>
      </c>
      <c r="B2956">
        <f>HYPERLINK("https://www.dofusbook.net/fr/equipement/4380057-terre-res-distance/objets", "link")</f>
        <v/>
      </c>
      <c r="C2956" t="n">
        <v>8</v>
      </c>
      <c r="D2956" t="inlineStr">
        <is>
          <t>Bêche Asse; Collier de Tourthon; Anneau Toriété; Anneau Volkorne; Droiture de Fallanster; Ceinture Volkorne; Casque Dragoeuf; Bravoure de Rykke Errel; Bottes Honyme; Dofus Pourpre; Dofus Ébène; Dofus Abyssal; Dofus Ivoire; Dofus Ocre; Enragé majeur; Dragodinde Ivoire et Pourpre</t>
        </is>
      </c>
    </row>
    <row r="2957">
      <c r="A2957" t="inlineStr">
        <is>
          <t>Poison eau</t>
        </is>
      </c>
      <c r="B2957">
        <f>HYPERLINK("https://www.dofusbook.net/fr/equipement/4377962-poison-eau/objets", "link")</f>
        <v/>
      </c>
      <c r="C2957" t="n">
        <v>5</v>
      </c>
      <c r="D2957" t="inlineStr">
        <is>
          <t>Dagoulinantes; Amulette de Shokkoth; Anneau Volkorne; Alliance Gloursonne; Bouclier du Stalak; Sangle Ouare; Casque Volkorne; Cape Solution; Bottes de Meno; Dofus Abyssal; Dofus Ivoire; Dofus Ocre; Dofus Pourpre; Dofus Ébène; Chanceux majeur; Dragodinde Indigo et Ivoire</t>
        </is>
      </c>
    </row>
    <row r="2958">
      <c r="A2958" t="inlineStr">
        <is>
          <t>Poison</t>
        </is>
      </c>
      <c r="B2958">
        <f>HYPERLINK("https://www.dofusbook.net/fr/equipement/4377952-poison/objets", "link")</f>
        <v/>
      </c>
      <c r="C2958" t="n">
        <v>6</v>
      </c>
      <c r="D2958" t="inlineStr">
        <is>
          <t>Plume de Buhorado; Collier du Valet Veinard; Alliance Gloursonne; Gant du Valet Veinard; Bouclier du Stalak; Menoture; Couronne d'Allister; Cape Indescriptible; Palmes Trithons; Dofus Pourpre; Dofus Abyssal; Dofus Ivoire; Dofus Ocre; Dofus Ébène; Cascadeur majeur; Blérodoudou</t>
        </is>
      </c>
    </row>
    <row r="2959">
      <c r="A2959" t="inlineStr">
        <is>
          <t>terre res distance</t>
        </is>
      </c>
      <c r="B2959">
        <f>HYPERLINK("https://www.dofusbook.net/fr/equipement/4377899-terre-res-distance/objets", "link")</f>
        <v/>
      </c>
      <c r="C2959" t="n">
        <v>5</v>
      </c>
      <c r="D2959" t="inlineStr">
        <is>
          <t>Lav'Hache; Collier de Tourthon; Anneau Volkorne; Anneau Chevelu; Droiture de Fallanster; Ceinture Volkorne; Casque Dragoeuf; Bravoure de Rykke Errel; Bottes Honyme; Dofus Ocre; Dofus Ivoire; Dofus Vulbis; Dofus Ébène; Dofus Pourpre; Enragé majeur; Dragodinde Ivoire et Pourpre</t>
        </is>
      </c>
    </row>
    <row r="2960">
      <c r="A2960" t="inlineStr">
        <is>
          <t>feu ret pa soutient</t>
        </is>
      </c>
      <c r="B2960">
        <f>HYPERLINK("https://www.dofusbook.net/fr/equipement/3897084-feu-ret-pa-soutient/objets", "link")</f>
        <v/>
      </c>
      <c r="C2960" t="n">
        <v>4</v>
      </c>
      <c r="D2960" t="inlineStr">
        <is>
          <t>Harpelle; Amulette de Nileza; Anneauræus; Anneau Tique; Droiture de Fallanster; Ceinture de Vortex; Cagoule de Vortex; Bravoure de Rykke Errel; Chaussures Ardentes; Dofus Ocre; Dofus Vulbis; Dofus Ivoire; Dofus Ébène; Érudit majeur; Remueur; Minimino</t>
        </is>
      </c>
    </row>
    <row r="2961">
      <c r="A2961" t="inlineStr">
        <is>
          <t>feu soutient</t>
        </is>
      </c>
      <c r="B2961">
        <f>HYPERLINK("https://www.dofusbook.net/fr/equipement/4374667-feu-soutient/objets", "link")</f>
        <v/>
      </c>
      <c r="C2961" t="n">
        <v>5</v>
      </c>
      <c r="D2961" t="inlineStr">
        <is>
          <t>Arc Nécrotique; Amulette Volkorne; Anneauræus; Anneau Volkorne; Carapar; Protopagne; Casque Dragoeuf; Bravoure de Rykke Errel; Bottes Innommables; Dofus Ocre; Dofus Ivoire; Dolmanax; Dofus Abyssal; Remueur; Érudit majeur; Dragodinde Dorée et Orchidée</t>
        </is>
      </c>
    </row>
    <row r="2962">
      <c r="A2962" t="inlineStr">
        <is>
          <t>do pou crit</t>
        </is>
      </c>
      <c r="B2962">
        <f>HYPERLINK("https://www.dofusbook.net/fr/equipement/4364459-do-pou-crit/objets", "link")</f>
        <v/>
      </c>
      <c r="C2962" t="n">
        <v>4</v>
      </c>
      <c r="D2962" t="inlineStr">
        <is>
          <t>Plume de Buhorado; Amulette du Cœur Vaillant; Alliance Gloursonne; Bague Instable; Bouclier Taverne; Ceinture Gence; Masque d'Anerice; Cape d'Anerice; Bottes Trithon; Dofus Turquoise; Dofus Ivoire; Dofus Ocre; Dofus Abyssal; Bousculeur majeur; Culbuteur majeur; Kafarce</t>
        </is>
      </c>
    </row>
    <row r="2963">
      <c r="A2963" t="inlineStr">
        <is>
          <t>vaudou</t>
        </is>
      </c>
      <c r="B2963">
        <f>HYPERLINK("https://www.dofusbook.net/fr/equipement/4257767-vaudou/objets", "link")</f>
        <v/>
      </c>
      <c r="C2963" t="n">
        <v>14</v>
      </c>
      <c r="D2963" t="inlineStr">
        <is>
          <t>Couteaux Sacrificiels; Talisman Igans; Alliance Gloursonne; Anneau Volkorne; Bouclier cubiste; Ceintrigue; Masque Paztek; Cape de l'Œil Putride; Pataugastrique; Dofus Vulbis; Dofus Ivoire; Dofus des Glaces; Dofus Ocre; Dofus Pourpre; Dofus Abyssal; Walk</t>
        </is>
      </c>
    </row>
    <row r="2964">
      <c r="A2964" t="inlineStr">
        <is>
          <t>PVM Fuite ini</t>
        </is>
      </c>
      <c r="B2964">
        <f>HYPERLINK("https://www.dofusbook.net/fr/equipement/4175083-pvm-fuite-ini/objets", "link")</f>
        <v/>
      </c>
      <c r="C2964" t="n">
        <v>4</v>
      </c>
      <c r="D2964" t="inlineStr">
        <is>
          <t>Marteau R'ture; Pendentif affamé; Alliance Gloursonne; Alliance du Lévitrof; Bouclier du serrurier; Ceinture Séculaire; Coiffe du Lévitrof; Cape Glaciale; Bottes du Lévitrof; Dofus Ocre; Dofus Abyssal; Vagabond; Voyageur; Fuyard majeur; Vagabond majeur; Kougnard</t>
        </is>
      </c>
    </row>
    <row r="2965">
      <c r="A2965" t="inlineStr">
        <is>
          <t>terre 12/6/6</t>
        </is>
      </c>
      <c r="B2965">
        <f>HYPERLINK("https://www.dofusbook.net/fr/equipement/4170430-terre-12-6-6/objets", "link")</f>
        <v/>
      </c>
      <c r="C2965" t="n">
        <v>15</v>
      </c>
      <c r="D2965" t="inlineStr">
        <is>
          <t>Arc du Chalœil; Collier de Tourthon; Chevalière du Roi Joueur; Anneau Volkorne; Quatre-feuilles; Ceinture Volkorne; Couronne du Roi Joueur; Voile d'encre; Bottes du Roi Joueur; Dofus Vulbis; Dofus Ivoire; Dofus Pourpre; Dofus Ocre; Dofus Nébuleux; Dofus Abyssal; Kougnard</t>
        </is>
      </c>
    </row>
    <row r="2966">
      <c r="A2966" t="inlineStr">
        <is>
          <t>terre bourrin</t>
        </is>
      </c>
      <c r="B2966">
        <f>HYPERLINK("https://www.dofusbook.net/fr/equipement/4169177-terre-bourrin/objets", "link")</f>
        <v/>
      </c>
      <c r="C2966" t="n">
        <v>9</v>
      </c>
      <c r="D2966" t="inlineStr">
        <is>
          <t>Arc du Chalœil; Amulette du Strigide; Anneau de Brouce; Anneau Volkorne; Quatre-feuilles; Ceinture Volkorne; Masque de Koutoulou; Cape au Logis; Bottes du Cœur Saignant; Dofus Nébuleux; Dofus Abyssal; Dofus Pourpre; Dofus Ivoire; Dofus Ocre; Enragé majeur; Dragodinde Ivoire et Pourpre</t>
        </is>
      </c>
    </row>
    <row r="2967">
      <c r="A2967" t="inlineStr">
        <is>
          <t>do pou esquive pa</t>
        </is>
      </c>
      <c r="B2967">
        <f>HYPERLINK("https://www.dofusbook.net/fr/equipement/4161705-do-pou-esquive-pa/objets", "link")</f>
        <v/>
      </c>
      <c r="C2967" t="n">
        <v>7</v>
      </c>
      <c r="D2967" t="inlineStr">
        <is>
          <t>Rapière aux Glyphes; Amulette de l'Œil Attentif; Alliance Gloursonne; Bague Trithon; Bouclier Taverne; Poulpagne; Casque Dragoeuf; Cape de l'Œil Attentif; Bottes Trithon; Dofus Pourpre; Dofus Abyssal; Dofus Vulbis; Dofus Ivoire; Dofus Ocre; Bousculeur majeur; Écumouth</t>
        </is>
      </c>
    </row>
    <row r="2968">
      <c r="A2968" t="inlineStr">
        <is>
          <t>tac esquive pa ini</t>
        </is>
      </c>
      <c r="B2968">
        <f>HYPERLINK("https://www.dofusbook.net/fr/equipement/4165125-tac-esquive-pa-ini/objets", "link")</f>
        <v/>
      </c>
      <c r="C2968" t="n">
        <v>12</v>
      </c>
      <c r="D2968" t="inlineStr">
        <is>
          <t>Baguette de Malléfisk; Amulette Martegel; Anneauræus; Anneauræus; Cadran de Feu; Protopagne; Masquegel; Cape de Diondin; Chaussures Ardentes; Dofus Ivoire; Dofus Ocre; Dofus Abyssal; Érudit majeur; Obstructeur majeur; Carapace Feu majeur; Givrefoux</t>
        </is>
      </c>
    </row>
    <row r="2969">
      <c r="A2969" t="inlineStr">
        <is>
          <t>ret pa tyra</t>
        </is>
      </c>
      <c r="B2969">
        <f>HYPERLINK("https://www.dofusbook.net/fr/equipement/4161671-ret-pa-tyra/objets", "link")</f>
        <v/>
      </c>
      <c r="C2969" t="n">
        <v>3</v>
      </c>
      <c r="D2969" t="inlineStr">
        <is>
          <t>Baguette de Malléfisk; Amulette Martegel; Anneauræus; Alliance Gloursonne; Bouclier du Stalak; Ceinture de Vortex; Heaume Oplate; Cape Martegel; Sabots de Vortex; Dofus Ocre; Dofus Ivoire; Dofus des Glaces; Dofus Vulbis; Dofus Abyssal; Imprenable majeur; Ross</t>
        </is>
      </c>
    </row>
    <row r="2970">
      <c r="A2970" t="inlineStr">
        <is>
          <t>Eau classique</t>
        </is>
      </c>
      <c r="B2970">
        <f>HYPERLINK("https://www.dofusbook.net/fr/equipement/4154101-eau-classique/objets", "link")</f>
        <v/>
      </c>
      <c r="C2970" t="n">
        <v>9</v>
      </c>
      <c r="D2970" t="inlineStr">
        <is>
          <t>Dagoulinantes; Amulette de Shokkoth; Anneau Volkorne; Alliance Gloursonne; Cadran de Terre; Culotte de Bethel; Casque Dragoeuf; Cape Solution; Chaussons de Macrab; Dofus Abyssal; Dofus Ocre; Dofus Ivoire; Dofus Vulbis; Chanceux majeur; Étourdisseur majeur; Dragodinde Indigo et Ivoire</t>
        </is>
      </c>
    </row>
    <row r="2971">
      <c r="A2971" t="inlineStr">
        <is>
          <t>eau ret esquive pa</t>
        </is>
      </c>
      <c r="B2971">
        <f>HYPERLINK("https://www.dofusbook.net/fr/equipement/4135251-eau-ret-esquive-pa/objets", "link")</f>
        <v/>
      </c>
      <c r="C2971" t="n">
        <v>10</v>
      </c>
      <c r="D2971" t="inlineStr">
        <is>
          <t>Sceptre du Roi Joueur; Amulette de Shokkoth; Alliance Gloursonne; Anneau Volkorne; Cadran de Terre; Culotte de Bethel; Masque de Funespadon; Cape de l'Œil Attentif; Pataugastrique; Dofus Vulbis; Dofus Ivoire; Dofus Abyssal; Miraculé majeur; Chanceux majeur; Étourdisseur majeur; Chienchien Tigré</t>
        </is>
      </c>
    </row>
    <row r="2972">
      <c r="A2972" t="inlineStr">
        <is>
          <t>ret pa soins</t>
        </is>
      </c>
      <c r="B2972">
        <f>HYPERLINK("https://www.dofusbook.net/fr/equipement/4108912-ret-pa-soins/objets", "link")</f>
        <v/>
      </c>
      <c r="C2972" t="n">
        <v>14</v>
      </c>
      <c r="D2972" t="inlineStr">
        <is>
          <t>Baguette de Malléfisk; Amulette Volkorne; Anneauræus; Anneau Tique; Sept ans de malheur; Protopagne; Heaume Oplate; Cape Ardente; Chaussures Ardentes; Dofus Abyssal; Dofus Ivoire; Dofus Ocre; Étourdisseur majeur; Érudit majeur; Évasif majeur; Ross</t>
        </is>
      </c>
    </row>
    <row r="2973">
      <c r="A2973" t="inlineStr">
        <is>
          <t>feu dégats</t>
        </is>
      </c>
      <c r="B2973">
        <f>HYPERLINK("https://www.dofusbook.net/fr/equipement/4086330-feu-degats/objets", "link")</f>
        <v/>
      </c>
      <c r="C2973" t="n">
        <v>8</v>
      </c>
      <c r="D2973" t="inlineStr">
        <is>
          <t>Arc Hétype; Amulette Volkorne; Anneauræus; Anneauræus; Bouclier du Stalak; Ceinture Volkorne; Casque Dragoeuf; Cape de Diondin; Bottes Innommables; Dofus Vulbis; Dofus Ivoire; Dofus Ocre; Dofus Abyssal; Érudit majeur; Miraculé majeur; Dragodinde Ivoire et Orchidée</t>
        </is>
      </c>
    </row>
    <row r="2974">
      <c r="A2974" t="inlineStr">
        <is>
          <t>Necro</t>
        </is>
      </c>
      <c r="B2974">
        <f>HYPERLINK("https://www.dofusbook.net/fr/equipement/4112563-necro/objets", "link")</f>
        <v/>
      </c>
      <c r="C2974" t="n">
        <v>4</v>
      </c>
      <c r="D2974" t="inlineStr">
        <is>
          <t>Arc Nécrotique; Amulette Volkorne; Anneau Volkorne; Bague Trithon; Quatre-feuilles; Ceintacé; Masque Trithon; Cape de la Dame du Hasard; Bottes de la Dame du Hasard; Dofus Ocre; Dofus Turquoise; Dofus Vulbis; Dofus Abyssal; Dofus Pourpre; Dofus Ivoire; Kokulte</t>
        </is>
      </c>
    </row>
    <row r="2975">
      <c r="A2975" t="inlineStr">
        <is>
          <t>pvm bourrin</t>
        </is>
      </c>
      <c r="B2975">
        <f>HYPERLINK("https://www.dofusbook.net/fr/equipement/4105325-pvm-bourrin/objets", "link")</f>
        <v/>
      </c>
      <c r="C2975" t="n">
        <v>5</v>
      </c>
      <c r="D2975" t="inlineStr">
        <is>
          <t>Arc du Chalœil; Collier de Tourthon; Anneau Crustique; Anneau Crustique; Bouclier du Stalak; Ceinture de la Reine des Voleurs; Coiffe de la Reine des Voleurs; Cape au Logis; Sabots Minables; Dofus des Glaces; Dofus Ocre; Dofus Pourpre; Dévastateur Terre majeur; Enragé majeur; Vigoureux majeur; Bulbisou</t>
        </is>
      </c>
    </row>
    <row r="2976">
      <c r="A2976" t="inlineStr">
        <is>
          <t>pvm bourrin</t>
        </is>
      </c>
      <c r="B2976">
        <f>HYPERLINK("https://www.dofusbook.net/fr/equipement/4105286-pvm-bourrin/objets", "link")</f>
        <v/>
      </c>
      <c r="C2976" t="n">
        <v>10</v>
      </c>
      <c r="D2976" t="inlineStr">
        <is>
          <t>Arc corrompu; Amulette Volkorne; Anneauræus; Anneauræus; Bouclier du Stalak; Ceinture Volkorne; Heaume Oplate; Cape de Diondin; Bottes Innommables; Dofus Pourpre; Dofus Vulbis; Dofus Abyssal; Miraculé majeur; Astucieux majeur; Érudit majeur; Dragodinde Ivoire et Orchidée</t>
        </is>
      </c>
    </row>
    <row r="2977">
      <c r="A2977" t="inlineStr">
        <is>
          <t>Terre air nébu</t>
        </is>
      </c>
      <c r="B2977">
        <f>HYPERLINK("https://www.dofusbook.net/fr/equipement/4084401-terre-air-nebu/objets", "link")</f>
        <v/>
      </c>
      <c r="C2977" t="n">
        <v>3</v>
      </c>
      <c r="D2977" t="inlineStr">
        <is>
          <t>Hache Ériphe; Amulette du Kamasterisk; Anneau des égarés; Anneau Volkorne; Quatre-feuilles; Ceinture Volkorne; Casque Volkorne; Cape du Kamasterisk; Bottes du Kamasterisk; Dofus Turquoise; Dofus Ocre; Dofus Nébuleux; Dofus Ivoire; Dolmanax; Dofus Pourpre; Dragodinde Emeraude et Ivoire</t>
        </is>
      </c>
    </row>
    <row r="2978">
      <c r="A2978" t="inlineStr">
        <is>
          <t>feu esquive</t>
        </is>
      </c>
      <c r="B2978">
        <f>HYPERLINK("https://www.dofusbook.net/fr/equipement/4057557-feu-esquive/objets", "link")</f>
        <v/>
      </c>
      <c r="C2978" t="n">
        <v>13</v>
      </c>
      <c r="D2978" t="inlineStr">
        <is>
          <t>Arc corrompu; Amulette Volkorne; Anneauræus; Anneauræus; Bouclier du Stalak; Ceinture Volkorne; Casque Dragoeuf; Cape de Diondin; Chaussures Ardentes; Dofus Abyssal; Dofus Ivoire; Miraculé majeur; Érudit majeur; Évasif majeur; Déserteur majeur; Chienchien Tigré</t>
        </is>
      </c>
    </row>
    <row r="2979">
      <c r="A2979" t="inlineStr">
        <is>
          <t>Osamodas F 200</t>
        </is>
      </c>
      <c r="B2979">
        <f>HYPERLINK("https://www.dofusbook.net/fr/equipement/4057641-osamodas-f-200/objets", "link")</f>
        <v/>
      </c>
      <c r="C2979" t="n">
        <v>7</v>
      </c>
      <c r="D2979" t="inlineStr">
        <is>
          <t>Manthache; Collier du Valet Veinard; Gant du Valet Veinard; Alliance Gloursonne; Bouclier du Stalak; Ceintouse; Couronne d'Allister; Cape d'Anerice; Palmes Trithons; Dofus Vulbis; Dofus Abyssal; Dofus Ocre; Dofus Ivoire; Miraculé majeur; Cascadeur majeur; Chienchien Tigré</t>
        </is>
      </c>
    </row>
    <row r="2980">
      <c r="A2980" t="inlineStr">
        <is>
          <t>air esquive pa</t>
        </is>
      </c>
      <c r="B2980">
        <f>HYPERLINK("https://www.dofusbook.net/fr/equipement/4057573-air-esquive-pa/objets", "link")</f>
        <v/>
      </c>
      <c r="C2980" t="n">
        <v>5</v>
      </c>
      <c r="D2980" t="inlineStr">
        <is>
          <t>Dagues Érhy; Collier Rophante; Gant du Valet Veinard; Alliance Gloursonne; Bouclier du Stalak; Ceintouse; Casque Dragoeuf; Cape du Valet Veinard; Palmes Trithons; Dofus Ivoire; Dofus Abyssal; Évasif majeur; Cascadeur majeur; Miraculé majeur; Chienchien Tigré</t>
        </is>
      </c>
    </row>
    <row r="2981">
      <c r="A2981" t="inlineStr">
        <is>
          <t>malé res crit</t>
        </is>
      </c>
      <c r="B2981">
        <f>HYPERLINK("https://www.dofusbook.net/fr/equipement/4056680-male-res-crit/objets", "link")</f>
        <v/>
      </c>
      <c r="C2981" t="n">
        <v>5</v>
      </c>
      <c r="D2981" t="inlineStr">
        <is>
          <t>Dagues Érhy; Pendentif mignon de Koutoulou; Anneau Rifique; Baguistik; Bouclier Bontarien; Protopagne; Casque Dragoeuf; Voile d'encre; Chaussures Ardentes; Dofus Ivoire; Dofus Ocre; Dofus Abyssal; Remueur; Érudit majeur; Miraculé majeur; Dragodinde Dorée et Orchidée</t>
        </is>
      </c>
    </row>
    <row r="2982">
      <c r="A2982" t="inlineStr">
        <is>
          <t>terre re crit</t>
        </is>
      </c>
      <c r="B2982">
        <f>HYPERLINK("https://www.dofusbook.net/fr/equipement/4054843-terre-re-crit/objets", "link")</f>
        <v/>
      </c>
      <c r="C2982" t="n">
        <v>5</v>
      </c>
      <c r="D2982" t="inlineStr">
        <is>
          <t>Lav'Hache; Amulette du Kamasterisk; Pikano; Goulano; Bouclier Bontarien; Ceinture Volkorne; Casque Dragoeuf; Cape au Logis; Goulbottes; Dofus Abyssal; Dofus Ivoire; Dofus Ocre; Enragé majeur; Remueur; Miraculé majeur; Dragodinde Dorée et Pourpre</t>
        </is>
      </c>
    </row>
    <row r="2983">
      <c r="A2983" t="inlineStr">
        <is>
          <t>air malé</t>
        </is>
      </c>
      <c r="B2983">
        <f>HYPERLINK("https://www.dofusbook.net/fr/equipement/4053396-air-male/objets", "link")</f>
        <v/>
      </c>
      <c r="C2983" t="n">
        <v>3</v>
      </c>
      <c r="D2983" t="inlineStr">
        <is>
          <t>Baguette de Malléfisk; Collier du Valet Veinard; Alliance Brûlâme; Alliance Gloursonne; Bouclier du Stalak; Menoture; Casque Cyclopéen; Cape du Valet Veinard; Pompes Funèbres; Dofus Vulbis; Dofus Ivoire; Dofus Émeraude; Dofus Ocre; Dolmanax; Dofus Abyssal; Dragodinde Ebène et Rousse</t>
        </is>
      </c>
    </row>
    <row r="2984">
      <c r="A2984" t="inlineStr">
        <is>
          <t>Iop M 200</t>
        </is>
      </c>
      <c r="B2984">
        <f>HYPERLINK("https://www.dofusbook.net/fr/equipement/4046192-iop-m-200/objets", "link")</f>
        <v/>
      </c>
      <c r="C2984" t="n">
        <v>11</v>
      </c>
      <c r="D2984" t="inlineStr">
        <is>
          <t>Arc corrompu; Amulette Volkorne; Anneauræus; Bague Gloursonne; Bouclier du Stalak; Ceinture Volkorne; Casque Dragoeuf; Cape de Diondin; Bottes Innommables; Dofus Ocre; Dofus Abyssal; Dofus Vulbis; Dofus Ivoire; Dofus Pourpre; Érudit majeur; Dragodinde Ivoire et Orchidée</t>
        </is>
      </c>
    </row>
    <row r="2985">
      <c r="A2985" t="inlineStr">
        <is>
          <t>Feu anti zozo</t>
        </is>
      </c>
      <c r="B2985">
        <f>HYPERLINK("https://www.dofusbook.net/fr/equipement/4043374-feu-anti-zozo/objets", "link")</f>
        <v/>
      </c>
      <c r="C2985" t="n">
        <v>9</v>
      </c>
      <c r="D2985" t="inlineStr">
        <is>
          <t>Arc corrompu; Pendentif mignon de Koutoulou; Anneau Rifique; Bague Gloursonne; Bouclier du Stalak; Protopagne; Casque Dragoeuf; Cape de Diondin; Bottes Innommables; Dofus Ivoire; Dofus Forgelave; Dofus Ocre; Dofus Abyssal; Érudit majeur; Miraculé majeur; Dragodinde Orchidée</t>
        </is>
      </c>
    </row>
    <row r="2986">
      <c r="A2986" t="inlineStr">
        <is>
          <t>feu res crit</t>
        </is>
      </c>
      <c r="B2986">
        <f>HYPERLINK("https://www.dofusbook.net/fr/equipement/4037064-feu-res-crit/objets", "link")</f>
        <v/>
      </c>
      <c r="C2986" t="n">
        <v>4</v>
      </c>
      <c r="D2986" t="inlineStr">
        <is>
          <t>Arc corrompu; Pendentif mignon de Koutoulou; Anneauræus; Anneau Rifique; Bouclier du Stalak; Protopagne; Casque Dragoeuf; Cape de Diondin; Bottes Innommables; Dolmanax; Dofus Ocre; Dofus Abyssal; Dofus Ivoire; Miraculé majeur; Érudit majeur; Bouftor</t>
        </is>
      </c>
    </row>
    <row r="2987">
      <c r="A2987" t="inlineStr">
        <is>
          <t>eau cac distance</t>
        </is>
      </c>
      <c r="B2987">
        <f>HYPERLINK("https://www.dofusbook.net/fr/equipement/4038501-eau-cac-distance/objets", "link")</f>
        <v/>
      </c>
      <c r="C2987" t="n">
        <v>2</v>
      </c>
      <c r="D2987" t="inlineStr">
        <is>
          <t>Baguette Héroclite; Amulette de Shokkoth; Alliance Gloursonne; Anneau Volkorne; Bouclier du Stalak; Poulpagne; Capuche de l'Œil Attentif; Cape de l'Œil Attentif; Chaussons de Macrab; Dofus Pourpre; Chanceux majeur; Dragodinde Indigo et Ivoire</t>
        </is>
      </c>
    </row>
    <row r="2988">
      <c r="A2988" t="inlineStr">
        <is>
          <t>feu soins</t>
        </is>
      </c>
      <c r="B2988">
        <f>HYPERLINK("https://www.dofusbook.net/fr/equipement/4021014-feu-soins/objets", "link")</f>
        <v/>
      </c>
      <c r="C2988" t="n">
        <v>11</v>
      </c>
      <c r="D2988" t="inlineStr">
        <is>
          <t>Baguette de Malléfisk; Pendentif mignon de Koutoulou; Alliance Brûlâme; Anneau Rifique; Bouclier du Stalak; Protopagne; Casque Dragoeuf; Cape de Diondin; Bottes Innommables; Dofus Ivoire; Dolmanax; Dofus Ocre; Dofus Abyssal; Érudit majeur; Miraculé majeur; Dragodinde Orchidée</t>
        </is>
      </c>
    </row>
    <row r="2989">
      <c r="A2989" t="inlineStr">
        <is>
          <t>feu fuite tank</t>
        </is>
      </c>
      <c r="B2989">
        <f>HYPERLINK("https://www.dofusbook.net/fr/equipement/4020817-feu-fuite-tank/objets", "link")</f>
        <v/>
      </c>
      <c r="C2989" t="n">
        <v>5</v>
      </c>
      <c r="D2989" t="inlineStr">
        <is>
          <t>Arc corrompu; Amulette Volkorne; Anneauræus; Anneau Rifique; Bouclier du Stalak; Ceinture Volkorne; Casque Dragoeuf; Cape de Diondin; Bottes Innommables; Dofus Vulbis; Dofus Abyssal; Dofus Ocre; Dofus Ivoire; Déserteur majeur; Érudit majeur; Dragoune Rose</t>
        </is>
      </c>
    </row>
    <row r="2990">
      <c r="A2990" t="inlineStr">
        <is>
          <t>Zobal M 200</t>
        </is>
      </c>
      <c r="B2990">
        <f>HYPERLINK("https://www.dofusbook.net/fr/equipement/4010967-zobal-m-200/objets", "link")</f>
        <v/>
      </c>
      <c r="C2990" t="n">
        <v>10</v>
      </c>
      <c r="D2990" t="inlineStr">
        <is>
          <t>Arc du Chalœil; Torquistik; Bague Instable; Bague Trithon; Bouclier précieux; Sangle Ouare; Casque Dragoeuf; Cape Solution; Bottistik; Dofus Ivoire; Dofus Abyssal; Culbuteur majeur; Culbuteur; Évasif majeur; Bousculeur majeur; Chienchien Tigré</t>
        </is>
      </c>
    </row>
    <row r="2991">
      <c r="A2991" t="inlineStr">
        <is>
          <t>eau ret pa</t>
        </is>
      </c>
      <c r="B2991">
        <f>HYPERLINK("https://www.dofusbook.net/fr/equipement/4008021-eau-ret-pa/objets", "link")</f>
        <v/>
      </c>
      <c r="C2991" t="n">
        <v>13</v>
      </c>
      <c r="D2991" t="inlineStr">
        <is>
          <t>Dagoulinantes; Amulette de Shokkoth; Alliance Gloursonne; Anneau Volkorne; Cadran de Terre; Culotte de Bethel; Masque de Funespadon; Cape Solution; Pataugastrique; Dofus Vulbis; Dofus Abyssal; Dofus des Glaces; Dofus Ivoire; Carapace Terre majeur; Boskito</t>
        </is>
      </c>
    </row>
    <row r="2992">
      <c r="A2992" t="inlineStr">
        <is>
          <t>feu fuite esquive</t>
        </is>
      </c>
      <c r="B2992">
        <f>HYPERLINK("https://www.dofusbook.net/fr/equipement/4008394-feu-fuite-esquive/objets", "link")</f>
        <v/>
      </c>
      <c r="C2992" t="n">
        <v>6</v>
      </c>
      <c r="D2992" t="inlineStr">
        <is>
          <t>Arc corrompu; Pendentif affamé; Anneau Rifique; Anneauræus; Bouclier du Stalak; Protopagne; Casque Cyclopéen; Voile d'encre; Pataugastrique; Dofus Abyssal; Dofus Ivoire; Vagabond majeur; Déserteur majeur; Miraculé majeur; Érudit majeur; Chienchien Tigré</t>
        </is>
      </c>
    </row>
    <row r="2993">
      <c r="A2993" t="inlineStr">
        <is>
          <t>feu fuite</t>
        </is>
      </c>
      <c r="B2993">
        <f>HYPERLINK("https://www.dofusbook.net/fr/equipement/4007960-feu-fuite/objets", "link")</f>
        <v/>
      </c>
      <c r="C2993" t="n">
        <v>10</v>
      </c>
      <c r="D2993" t="inlineStr">
        <is>
          <t>Arc corrompu; Pendentif affamé; Anneau Rifique; Anneauræus; Bouclier du Stalak; Ceinture de Vortex; Casque Cyclopéen; Voile d'encre; Chaussures Ardentes; Dofus Vulbis; Dofus Abyssal; Dofus Ivoire; Dofus Ocre; Remueur; Érudit majeur; Dragoune Rose</t>
        </is>
      </c>
    </row>
    <row r="2994">
      <c r="A2994" t="inlineStr">
        <is>
          <t>Multi - dégat</t>
        </is>
      </c>
      <c r="B2994">
        <f>HYPERLINK("https://www.dofusbook.net/fr/equipement/3268983-multi---degat/objets", "link")</f>
        <v/>
      </c>
      <c r="C2994" t="n">
        <v>54</v>
      </c>
      <c r="D2994" t="inlineStr">
        <is>
          <t>Arc Honte; Amulette de l'Œil Putride; Bague Gloursonne; Alliance Gloursonne; Bouclier cubiste; Ceinture de l'Esprit Salvateur; Masque de l'Esprit Salvateur; Cape de l'Œil Putride; Bottes de l'Esprit Salvateur; Dolmanax; Dofus des Glaces; Dofus Pourpre; Dofus Abyssal; Dofus Ocre; Dofus Ivoire; Gwo Tofu Ventripotent</t>
        </is>
      </c>
    </row>
    <row r="2995">
      <c r="A2995" t="inlineStr">
        <is>
          <t>dégat ret</t>
        </is>
      </c>
      <c r="B2995">
        <f>HYPERLINK("https://www.dofusbook.net/fr/equipement/3979678-degat-ret/objets", "link")</f>
        <v/>
      </c>
      <c r="C2995" t="n">
        <v>9</v>
      </c>
      <c r="D2995" t="inlineStr">
        <is>
          <t>Baguette de Malléfisk; Amulette Volkorne; Anneau Tique; Anneau Toriété; Cadran de Terre; Ceinture de Vortex; Heaume Oplate; Cape Ardente; Chaussures Ardentes; Dofus Abyssal; Dofus Ivoire; Dofus Ocre; Étourdisseur majeur; Érudit majeur; Paralyseur majeur; Ross</t>
        </is>
      </c>
    </row>
    <row r="2996">
      <c r="A2996" t="inlineStr">
        <is>
          <t>ret pa dégats</t>
        </is>
      </c>
      <c r="B2996">
        <f>HYPERLINK("https://www.dofusbook.net/fr/equipement/3979653-ret-pa-degats/objets", "link")</f>
        <v/>
      </c>
      <c r="C2996" t="n">
        <v>12</v>
      </c>
      <c r="D2996" t="inlineStr">
        <is>
          <t>Dagoulinantes; Amulette de Shokkoth; Anneau Toriété; Alliance Gloursonne; Cadran de Terre; Culotte de Bethel; Masque de Funespadon; Chevelure de Tal Kasha; Pataugastrique; Dofus des Glaces; Dofus Abyssal; Dofus Ocre; Dofus Ivoire; Carapace Terre majeur; Étourdisseur majeur; Minimino</t>
        </is>
      </c>
    </row>
    <row r="2997">
      <c r="A2997" t="inlineStr">
        <is>
          <t>terre classique</t>
        </is>
      </c>
      <c r="B2997">
        <f>HYPERLINK("https://www.dofusbook.net/fr/equipement/3113884-terre-classique/objets", "link")</f>
        <v/>
      </c>
      <c r="C2997" t="n">
        <v>7</v>
      </c>
      <c r="D2997" t="inlineStr">
        <is>
          <t>Marteau R'ture; Amulette Volkorne; Pikano; Anneau Chevelu; Bouclier cubiste; Ceinture Volkorne; Chapeau de Gein; Cape au Logis; Bottes du Cœur Saignant; Dolmanax; Dofus Ivoire; Dofus des Glaces; Dofus Turquoise; Dofus Pourpre; Dofus Ocre; Gwo Tofu Ventripotent</t>
        </is>
      </c>
    </row>
    <row r="2998">
      <c r="A2998" t="inlineStr">
        <is>
          <t>ret pa thanos</t>
        </is>
      </c>
      <c r="B2998">
        <f>HYPERLINK("https://www.dofusbook.net/fr/equipement/3918280-ret-pa-thanos/objets", "link")</f>
        <v/>
      </c>
      <c r="C2998" t="n">
        <v>17</v>
      </c>
      <c r="D2998" t="inlineStr">
        <is>
          <t>Le Thanos; Collier Rophante; Anneau Tique; Alliance Gloursonne; Bouclier du Mont Kipou; Ceinture de Vortex; Coiffe d'Aermyne; Cape d'Aermyne; Pataugastrique; Dofus Ocre; Dofus Ivoire; Dofus Abyssal; Engourdisseur majeur; Étourdisseur majeur; Guérisseur majeur; Ross</t>
        </is>
      </c>
    </row>
    <row r="2999">
      <c r="A2999" t="inlineStr">
        <is>
          <t>Air - classique</t>
        </is>
      </c>
      <c r="B2999">
        <f>HYPERLINK("https://www.dofusbook.net/fr/equipement/3116294-air---classique/objets", "link")</f>
        <v/>
      </c>
      <c r="C2999" t="n">
        <v>10</v>
      </c>
      <c r="D2999" t="inlineStr">
        <is>
          <t>Pelle de la Cour Sombre; Collier du Valet Veinard; Alliance Gloursonne; Gant du Valet Veinard; Bouclier cubiste; Sangle Ouare; Dorabysses; Cape Tif; Palmes Trithons; Dofus Ocre; Dofus Abyssal; Dofus Ivoire; Miraculé majeur; Cascadeur majeur; Remueur; Léopardo</t>
        </is>
      </c>
    </row>
    <row r="3000">
      <c r="A3000" t="inlineStr">
        <is>
          <t>Feu - Classique</t>
        </is>
      </c>
      <c r="B3000">
        <f>HYPERLINK("https://www.dofusbook.net/fr/equipement/2787827-feu---classique/objets", "link")</f>
        <v/>
      </c>
      <c r="C3000" t="n">
        <v>9</v>
      </c>
      <c r="D3000" t="inlineStr">
        <is>
          <t>Arc corrompu; Amulette Volkorne; Anneau Volkorne; Bague Gloursonne; Cadran de Terre; Protopagne; Heaume Oplate; Voile d'encre; Bottes Innommables; Dofus Ocre; Dofus Pourpre; Dofus Ivoire; Érudit majeur; Dragodinde Orchidée</t>
        </is>
      </c>
    </row>
    <row r="3001">
      <c r="A3001" t="inlineStr">
        <is>
          <t>Eau - classique</t>
        </is>
      </c>
      <c r="B3001">
        <f>HYPERLINK("https://www.dofusbook.net/fr/equipement/3135128-eau---classique/objets", "link")</f>
        <v/>
      </c>
      <c r="C3001" t="n">
        <v>13</v>
      </c>
      <c r="D3001" t="inlineStr">
        <is>
          <t>Sceptre du Roi Joueur; Amulette de Shokkoth; Alliance Gloursonne; Anneau Volkorne; Bouclier du Stalak; Ceinture Volkorne; Casque d'Ilyzaelle; Cape du Sinistrofu; Chaussons de Macrab; Dofus Ocre; Dofus Pourpre; Chanceux majeur; Nomade; Miraculé majeur; Remueur; Volkorne Saphir et Améthyste</t>
        </is>
      </c>
    </row>
    <row r="3002">
      <c r="A3002" t="inlineStr">
        <is>
          <t>Feu soutient</t>
        </is>
      </c>
      <c r="B3002">
        <f>HYPERLINK("https://www.dofusbook.net/fr/equipement/1915037-feu-soutient/objets", "link")</f>
        <v/>
      </c>
      <c r="C3002" t="n">
        <v>31</v>
      </c>
      <c r="D3002" t="inlineStr">
        <is>
          <t>Dagues Érhy; Amulette Volkorne; Anneau Rifique; Anneauræus; Bouclier de Solar; Ceinture Volkorne; Casque Dragoeuf; Voile d'encre; Chaussures Ardentes; Dofus Ivoire; Dofus Ocre; Dolmanax; Miraculé majeur; Remueur; Érudit majeur; Muldo Ebène et Pourpre</t>
        </is>
      </c>
    </row>
    <row r="3003">
      <c r="A3003" t="inlineStr">
        <is>
          <t>Xélor F 200</t>
        </is>
      </c>
      <c r="B3003">
        <f>HYPERLINK("https://www.dofusbook.net/fr/equipement/3918566-xelor-f-200/objets", "link")</f>
        <v/>
      </c>
      <c r="C3003" t="n">
        <v>7</v>
      </c>
      <c r="D3003" t="inlineStr">
        <is>
          <t>Sceptre du Roi Joueur; Amulette de Shokkoth; Anneau Volkorne; Alliance Gloursonne; Cadran de Terre; Sangle Ouare; Masque de Funespadon; Cape Solution; Chaussons de Macrab; Dofus Abyssal; Dofus des Glaces; Dofus Ivoire; Dofus Ocre; Chanceux majeur; Étourdisseur majeur; Kanigloups</t>
        </is>
      </c>
    </row>
    <row r="3004">
      <c r="A3004" t="inlineStr">
        <is>
          <t>Terre dégâts</t>
        </is>
      </c>
      <c r="B3004">
        <f>HYPERLINK("https://www.dofusbook.net/fr/equipement/3918301-terre-degats/objets", "link")</f>
        <v/>
      </c>
      <c r="C3004" t="n">
        <v>9</v>
      </c>
      <c r="D3004" t="inlineStr">
        <is>
          <t>Arc du Chalœil; Amulette du Strigide; Anneau Chevelu; Anneau Volkorne; Quatre-feuilles; Ceinture Volkorne; Masque de Koutoulou; Cape au Logis; Bottes du Cœur Saignant; Dofus Abyssal; Dofus Turquoise; Dofus Ocre; Dofus Pourpre; Dofus Ivoire; Enragé majeur; Dragodinde Ivoire et Pourpre</t>
        </is>
      </c>
    </row>
    <row r="3005">
      <c r="A3005" t="inlineStr">
        <is>
          <t>do crit</t>
        </is>
      </c>
      <c r="B3005">
        <f>HYPERLINK("https://www.dofusbook.net/fr/equipement/3807551-do-crit/objets", "link")</f>
        <v/>
      </c>
      <c r="C3005" t="n">
        <v>6</v>
      </c>
      <c r="D3005" t="inlineStr">
        <is>
          <t>Hache du Chalœil; Amulette Volkorne; Bague Trithon; Anneau Volkorne; Quatre-feuilles; Ceinture Volkorne; Masque d'Anerice; Cape d'Anerice; Bottes Trithon; Dofus Turquoise; Dofus Ocre; Dofus Émeraude; Dofus Ivoire; Dofus Pourpre; Dofus des Glaces</t>
        </is>
      </c>
    </row>
    <row r="3006">
      <c r="A3006" t="inlineStr">
        <is>
          <t>ret pa esqui pm</t>
        </is>
      </c>
      <c r="B3006">
        <f>HYPERLINK("https://www.dofusbook.net/fr/equipement/3902920-ret-pa-esqui-pm/objets", "link")</f>
        <v/>
      </c>
      <c r="C3006" t="n">
        <v>7</v>
      </c>
      <c r="D3006" t="inlineStr">
        <is>
          <t>Epée Loponèze; Amulette d'Ilyzaelle; Alliance Gloursonne; Anneau Volkorne; Cadran de Terre; Protopagne; Casque d'Ilyzaelle; Cape du Barbétoal; Pataugastrique; Dofus Ocre; Dofus des Glaces; Dofus Abyssal; Dofus Ivoire; Étourdisseur majeur; Chanceux majeur; Dragodinde Amande et Indigo</t>
        </is>
      </c>
    </row>
    <row r="3007">
      <c r="A3007" t="inlineStr">
        <is>
          <t>air crit</t>
        </is>
      </c>
      <c r="B3007">
        <f>HYPERLINK("https://www.dofusbook.net/fr/equipement/3899731-air-crit/objets", "link")</f>
        <v/>
      </c>
      <c r="C3007" t="n">
        <v>3</v>
      </c>
      <c r="D3007" t="inlineStr">
        <is>
          <t>Sabres d'Atcham; Amulette du Strigide; Bague Gloursonne; Anneau de Padgref; Bouclier du Captain Amakna; Ceinture du Strigide; Coiffe de Padgref; Cape d'Atcham; Getas de Padgref; Dofus Pourpre; Dofus Ocre; Dofus Turquoise; Dofus Ivoire; Dofus Abyssal; Dofus Émeraude; Kokulte</t>
        </is>
      </c>
    </row>
    <row r="3008">
      <c r="A3008" t="inlineStr">
        <is>
          <t>air distance</t>
        </is>
      </c>
      <c r="B3008">
        <f>HYPERLINK("https://www.dofusbook.net/fr/equipement/3897068-air-distance/objets", "link")</f>
        <v/>
      </c>
      <c r="C3008" t="n">
        <v>3</v>
      </c>
      <c r="D3008" t="inlineStr">
        <is>
          <t>L'Épée Nice; Collier du Valet Veinard; Gant du Valet Veinard; Alliance Gloursonne; Bouclier du Stalak; Ceintouse; Dorabysses; Cape du Valet Veinard; Tentassons; Dofus Ocre; Dofus Abyssal; Dofus des Glaces; Dofus Émeraude; Dofus Ivoire; Robuste majeur; Blérodoudou</t>
        </is>
      </c>
    </row>
    <row r="3009">
      <c r="A3009" t="inlineStr">
        <is>
          <t>eau ero cac</t>
        </is>
      </c>
      <c r="B3009">
        <f>HYPERLINK("https://www.dofusbook.net/fr/equipement/3897059-eau-ero-cac/objets", "link")</f>
        <v/>
      </c>
      <c r="C3009" t="n">
        <v>6</v>
      </c>
      <c r="D3009" t="inlineStr">
        <is>
          <t>Sceptre du Roi Joueur; Amulette du Sinistrofu; Pikano; Alliance Gloursonne; Cadran d'Eau; Sangle Ouare; Masque de Funespadon; Cape Solution; Bottes du Sinistrofu; Dofus Ocre; Dofus Pourpre; Dofus Ivoire; Dofus Émeraude; Dofus Abyssal; Chanceux majeur; Kramkram</t>
        </is>
      </c>
    </row>
    <row r="3010">
      <c r="A3010" t="inlineStr">
        <is>
          <t>12pa ini</t>
        </is>
      </c>
      <c r="B3010">
        <f>HYPERLINK("https://www.dofusbook.net/fr/equipement/3886439-12pa-ini/objets", "link")</f>
        <v/>
      </c>
      <c r="C3010" t="n">
        <v>9</v>
      </c>
      <c r="D3010" t="inlineStr">
        <is>
          <t>L'Épée Nice; Amulette Ementaire Deluxe; Pikano; Anneau Volkorne; Bouclier Bontarien; Ceinture Volkorne; Chapeau de Gein; Voile d'encre; Bottes de la Cour Sombre; Dofus Émeraude; Dofus Ocre; Dofus Ivoire; Remueur; Miraculé majeur; Enragé majeur; Kougnard</t>
        </is>
      </c>
    </row>
    <row r="3011">
      <c r="A3011" t="inlineStr">
        <is>
          <t>lavhache</t>
        </is>
      </c>
      <c r="B3011">
        <f>HYPERLINK("https://www.dofusbook.net/fr/equipement/3885452-lavhache/objets", "link")</f>
        <v/>
      </c>
      <c r="C3011" t="n">
        <v>8</v>
      </c>
      <c r="D3011" t="inlineStr">
        <is>
          <t>Lav'Hache; Collier de Tourthon; Anneau Chevelu; Anneau Volkorne; Bouclier du Stalak; Ceinture Volkorne; Casque Dragoeuf; Ankhape; Bottes Dogues; Dofus Ocre; Dofus des Glaces; Dofus Ivoire; Enragé majeur; Miraculé majeur; Remueur; Bulbisou</t>
        </is>
      </c>
    </row>
    <row r="3012">
      <c r="A3012" t="inlineStr">
        <is>
          <t>terre ret pm</t>
        </is>
      </c>
      <c r="B3012">
        <f>HYPERLINK("https://www.dofusbook.net/fr/equipement/3838123-terre-ret-pm/objets", "link")</f>
        <v/>
      </c>
      <c r="C3012" t="n">
        <v>7</v>
      </c>
      <c r="D3012" t="inlineStr">
        <is>
          <t>Lav'Hache; Collier de Tourthon; Anneau Crustique; Anneau de Brouce; Bouclier du Stalak; Ceinture Volkorne; Casque Dragoeuf; Cape de la Cour Sombre; Bottes de la Cour Sombre; Dofus Ocre; Dofus des Glaces; Dofus Ivoire; Remueur; Nomade; Dévastateur Terre majeur; Bulbisou</t>
        </is>
      </c>
    </row>
    <row r="3013">
      <c r="A3013" t="inlineStr">
        <is>
          <t>feu crit</t>
        </is>
      </c>
      <c r="B3013">
        <f>HYPERLINK("https://www.dofusbook.net/fr/equipement/3837920-feu-crit/objets", "link")</f>
        <v/>
      </c>
      <c r="C3013" t="n">
        <v>6</v>
      </c>
      <c r="D3013" t="inlineStr">
        <is>
          <t>Baguette de Malléfisk; Amulette Volkorne; Anneauræus; Anneauræus; Bouclier d'Ilyzaelle; Ceinture Volkorne; Heaume Oplate; Cape d'Anerice; Bottes Innommables; Dofus Ivoire; Dofus Turquoise; Dofus Ocre; Érudit majeur; Nomade; Dragodinde Emeraude et Orchidée</t>
        </is>
      </c>
    </row>
    <row r="3014">
      <c r="A3014" t="inlineStr">
        <is>
          <t>do pou</t>
        </is>
      </c>
      <c r="B3014">
        <f>HYPERLINK("https://www.dofusbook.net/fr/equipement/3819219-do-pou/objets", "link")</f>
        <v/>
      </c>
      <c r="C3014" t="n">
        <v>6</v>
      </c>
      <c r="D3014" t="inlineStr">
        <is>
          <t>Lav'Hache; Torquistik; Bague Instable; Bague Trithon; Bouclier précieux; Sangle Ouare; Casque Dragoeuf; Cape Solution; Bottistik; Dofus Ocre; Dofus Ivoire; Pousseur majeur; Bousculeur majeur; Culbuteur; Culbuteur majeur; Gelutin</t>
        </is>
      </c>
    </row>
    <row r="3015">
      <c r="A3015" t="inlineStr">
        <is>
          <t>do pou soins</t>
        </is>
      </c>
      <c r="B3015">
        <f>HYPERLINK("https://www.dofusbook.net/fr/equipement/3819136-do-pou-soins/objets", "link")</f>
        <v/>
      </c>
      <c r="C3015" t="n">
        <v>3</v>
      </c>
      <c r="D3015" t="inlineStr">
        <is>
          <t>Baguette de Malléfisk; Torquistik; Bague Instable; Alliance Gloursonne; Bouclier précieux; Sangle Ouare; Casque Dragoeuf; Cape Solution; Bottistik; Dofus Ocre; Dofus Ivoire; Bousculeur majeur; Culbuteur majeur; Miraculé majeur; Guérisseur majeur; Scarakiri</t>
        </is>
      </c>
    </row>
    <row r="3016">
      <c r="A3016" t="inlineStr">
        <is>
          <t>Esquive pa</t>
        </is>
      </c>
      <c r="B3016">
        <f>HYPERLINK("https://www.dofusbook.net/fr/equipement/3814493-esquive-pa/objets", "link")</f>
        <v/>
      </c>
      <c r="C3016" t="n">
        <v>2</v>
      </c>
      <c r="D3016" t="inlineStr">
        <is>
          <t>Baguette de Malléfisk; Amulette Martegel; Anneauræus; Anneauræus; Bouclier d'Ilyzaelle; Protopagne; Casque Dragoeuf; Cape de Nileza; Bottes de Nileza; Dofus Abyssal; Dofus Ocre; Dofus Ivoire; Dofus Émeraude; Érudit majeur; Évasif majeur; Chienchien Tigré</t>
        </is>
      </c>
    </row>
    <row r="3017">
      <c r="A3017" t="inlineStr">
        <is>
          <t>classique</t>
        </is>
      </c>
      <c r="B3017">
        <f>HYPERLINK("https://www.dofusbook.net/fr/equipement/2827289-classique/objets", "link")</f>
        <v/>
      </c>
      <c r="C3017" t="n">
        <v>7</v>
      </c>
      <c r="D3017" t="inlineStr">
        <is>
          <t>Masse Ossiale; Amulette du Sinistrofu; Bague Trithon; Alliance Gloursonne; Bouclier Taverne; Sangle Ouare; Casque Dragoeuf; Cape Solution; Bottes Trithon; Dofus Ivoire; Dofus Pourpre; Dofus Ocre; Bousculeur majeur; Culbuteur majeur; Chanceux majeur; Écumouth</t>
        </is>
      </c>
    </row>
    <row r="3018">
      <c r="A3018" t="inlineStr">
        <is>
          <t>ret pm</t>
        </is>
      </c>
      <c r="B3018">
        <f>HYPERLINK("https://www.dofusbook.net/fr/equipement/3803340-ret-pm/objets", "link")</f>
        <v/>
      </c>
      <c r="C3018" t="n">
        <v>10</v>
      </c>
      <c r="D3018" t="inlineStr">
        <is>
          <t>Dagues Érhy; Collier de Tourthon; Chevalière du Roi Joueur; Anneau Chevelu; Bouclier du Stalak; Ceinture Volkorne; Masque de Koutoulou; Cape au Logis; Bottes du Roi Joueur; Dofus Pourpre; Dofus Ivoire; Dofus Ocre; Vigoureux majeur; Enragé majeur; Temporiseur majeur; Gwo Tofu Ventripotent</t>
        </is>
      </c>
    </row>
    <row r="3019">
      <c r="A3019" t="inlineStr">
        <is>
          <t>Terre - Bourrin</t>
        </is>
      </c>
      <c r="B3019">
        <f>HYPERLINK("https://www.dofusbook.net/fr/equipement/2857447-terre---bourrin/objets", "link")</f>
        <v/>
      </c>
      <c r="C3019" t="n">
        <v>11</v>
      </c>
      <c r="D3019" t="inlineStr">
        <is>
          <t>Marteau R'ture; Amulette du Strigide; Anneau Chevelu; Anneau Crustique; Bouclier alvéolé; Protopagne; Chapoulpe; Voile d'encre; Tentassons; Dofus Pourpre; Dofus Ivoire; Dofus Ocre; Enragé majeur; Remueur; Étourdisseur majeur; Drakopin</t>
        </is>
      </c>
    </row>
    <row r="3020">
      <c r="A3020" t="inlineStr">
        <is>
          <t>eau do cris</t>
        </is>
      </c>
      <c r="B3020">
        <f>HYPERLINK("https://www.dofusbook.net/fr/equipement/3777141-eau-do-cris/objets", "link")</f>
        <v/>
      </c>
      <c r="C3020" t="n">
        <v>8</v>
      </c>
      <c r="D3020" t="inlineStr">
        <is>
          <t>Sceptre du Roi Joueur; Collier de la Dame du Hasard; Anneau Volkorne; Alliance Gloursonne; Bouclier du Stalak; Sangle Ouare; Némès de Tal Kasha; Chevelure de Tal Kasha; Pataugastrique; Dofus Pourpre; Dofus Turquoise; Dofus Ocre; Dofus Ivoire; Vigoureux majeur; Robuste majeur; Pioute bleu</t>
        </is>
      </c>
    </row>
    <row r="3021">
      <c r="A3021" t="inlineStr">
        <is>
          <t>do pou thanos</t>
        </is>
      </c>
      <c r="B3021">
        <f>HYPERLINK("https://www.dofusbook.net/fr/equipement/3692174-do-pou-thanos/objets", "link")</f>
        <v/>
      </c>
      <c r="C3021" t="n">
        <v>10</v>
      </c>
      <c r="D3021" t="inlineStr">
        <is>
          <t>Le Thanos; Torquistik; Bague Trithon; Bague Instable; Bouclier précieux; Sangle Ouare; Casque Dragoeuf; Cape Solution; Bottistik; Dofus Abyssal; Dofus Ivoire; Docteur majeur; Culbuteur majeur; Guérisseur majeur; Bousculeur majeur; Volkorne Roux</t>
        </is>
      </c>
    </row>
    <row r="3022">
      <c r="A3022" t="inlineStr">
        <is>
          <t>truc foireux</t>
        </is>
      </c>
      <c r="B3022">
        <f>HYPERLINK("https://www.dofusbook.net/fr/equipement/3674630-truc-foireux/objets", "link")</f>
        <v/>
      </c>
      <c r="C3022" t="n">
        <v>31</v>
      </c>
      <c r="D3022" t="inlineStr">
        <is>
          <t>Rapière aux Glyphes; Amulette du Strigide; Alliance Gloursonne; Anneau Volkorne; Bouclier Taverne; Sangle Ouare; Kidibonnet; Chevelure de Tal Kasha; Sandales de Tal Kasha; Dolmanax; Dofus Ivoire; Dofus Turquoise; Dofus Pourpre; Vigoureux majeur; Volkorne Rubis et Ivoire</t>
        </is>
      </c>
    </row>
    <row r="3023">
      <c r="A3023" t="inlineStr">
        <is>
          <t>Test</t>
        </is>
      </c>
      <c r="B3023">
        <f>HYPERLINK("https://www.dofusbook.net/fr/equipement/3617598-test/objets", "link")</f>
        <v/>
      </c>
      <c r="C3023" t="n">
        <v>2</v>
      </c>
      <c r="D3023" t="inlineStr">
        <is>
          <t>Baguette de Malléfisk; Pendentif mignon de Koutoulou; Anneau Rifique; Anneauræus; Bouclier d'Anerice; Protopagne; Casque Dragoeuf; Cape d'Anerice; Bottes Honyme; Dolmanax; Dofus Ocre; Dofus Émeraude; Dofus Forgelave; Dofus Abyssal; Dofus Ivoire; Dragodinde Orchidée</t>
        </is>
      </c>
    </row>
    <row r="3024">
      <c r="A3024" t="inlineStr">
        <is>
          <t>air 12 6</t>
        </is>
      </c>
      <c r="B3024">
        <f>HYPERLINK("https://www.dofusbook.net/fr/equipement/3633682-air-12-6-/objets", "link")</f>
        <v/>
      </c>
      <c r="C3024" t="n">
        <v>25</v>
      </c>
      <c r="D3024" t="inlineStr">
        <is>
          <t>Dagues Érhy; Collier du Valet Veinard; Gant du Valet Veinard; Alliance Gloursonne; Bouclier de Solar; Ceinture du Barbétoal; Casque Dragoeuf; Cape Martegel; Bottes de l'Indicible; Dofus Ivoire; Dofus Vulbis; Dofus des Glaces; Dofus Ocre; Fonceur majeur; Remueur; Volkorne Améthyste et Ebène</t>
        </is>
      </c>
    </row>
    <row r="3025">
      <c r="A3025" t="inlineStr">
        <is>
          <t>12 pa eau air</t>
        </is>
      </c>
      <c r="B3025">
        <f>HYPERLINK("https://www.dofusbook.net/fr/equipement/3657994-12-pa-eau-air/objets", "link")</f>
        <v/>
      </c>
      <c r="C3025" t="n">
        <v>4</v>
      </c>
      <c r="D3025" t="inlineStr">
        <is>
          <t>Baguette de Malléfisk; Amulette du Strigide; Anneau Volkorne; Alliance Gloursonne; Bouclier du Stalak; Ceinture du Strigide; Casque Dragoeuf; Cape de l'Œil Putride; Bottes du Strigide; Dolmanax; Dofus Ocre; Dofus Pourpre; Dofus Ivoire; Dofus Vulbis; Robuste majeur; Volkorne Jade</t>
        </is>
      </c>
    </row>
    <row r="3026">
      <c r="A3026" t="inlineStr">
        <is>
          <t>test</t>
        </is>
      </c>
      <c r="B3026">
        <f>HYPERLINK("https://www.dofusbook.net/fr/equipement/3657939-test/objets", "link")</f>
        <v/>
      </c>
      <c r="C3026" t="n">
        <v>8</v>
      </c>
      <c r="D3026" t="inlineStr">
        <is>
          <t>Marteau des Anciens Steamers; Amulette du Strigide; Alliance Gloursonne; Anneau Volkorne; Bouclier du Stalak; Ceintacé; Casque Volkorne; Cape d'Anerice; Bottes du Strigide; Dolmanax; Dofus Vulbis; Dofus Ocre; Dofus Pourpre; Dofus Ivoire; Robuste majeur; Kramkram</t>
        </is>
      </c>
    </row>
    <row r="3027">
      <c r="A3027" t="inlineStr">
        <is>
          <t>Ecaflip M 200</t>
        </is>
      </c>
      <c r="B3027">
        <f>HYPERLINK("https://www.dofusbook.net/fr/equipement/3654818-ecaflip-m-200/objets", "link")</f>
        <v/>
      </c>
      <c r="C3027" t="n">
        <v>5</v>
      </c>
      <c r="D3027" t="inlineStr">
        <is>
          <t>Baguette de Malléfisk; Amulette du Strigide; Alliance Gloursonne; Anneau Volkorne; Bouclier du Stalak; Ceintacé; Casque Dragoeuf; Cape Tif; Bottes du Strigide; Dofus Pourpre; Dofus Vulbis; Dofus Ivoire; Dofus Ocre; Vigoureux majeur; Robuste majeur; Dragodinde Amande et Ivoire</t>
        </is>
      </c>
    </row>
    <row r="3028">
      <c r="A3028" t="inlineStr">
        <is>
          <t>eau air</t>
        </is>
      </c>
      <c r="B3028">
        <f>HYPERLINK("https://www.dofusbook.net/fr/equipement/3646619-eau-air/objets", "link")</f>
        <v/>
      </c>
      <c r="C3028" t="n">
        <v>22</v>
      </c>
      <c r="D3028" t="inlineStr">
        <is>
          <t>Sceptre du Roi Joueur; Amulette du Strigide; Alliance Gloursonne; Anneau Volkorne; Cadran d'Air; Ceintacé; Casque Dragoeuf; Chevelure de Tal Kasha; Bottes du Strigide; Dofus Pourpre; Dofus Ivoire; Dofus Ocre; Dolmanax; Dofus Vulbis; Vigoureux majeur; Dragodinde Indigo et Ivoire</t>
        </is>
      </c>
    </row>
    <row r="3029">
      <c r="A3029" t="inlineStr">
        <is>
          <t>12 6 terre</t>
        </is>
      </c>
      <c r="B3029">
        <f>HYPERLINK("https://www.dofusbook.net/fr/equipement/3636275-12-6-terre/objets", "link")</f>
        <v/>
      </c>
      <c r="C3029" t="n">
        <v>15</v>
      </c>
      <c r="D3029" t="inlineStr">
        <is>
          <t>Dagues Érhy; Collier de Tourthon; Anneau Chevelu; Alliance Brûlâme; Bouclier de Solar; Ceinture de la Cour Sombre; Casque Dragoeuf; Cape du Cœur Saignant; Pompes Funèbres; Dofus Forgelave; Dofus Vulbis; Dofus Ivoire; Dofus Ocre; Remueur; Enragé majeur; Volkorne Saphir et Amande</t>
        </is>
      </c>
    </row>
    <row r="3030">
      <c r="A3030" t="inlineStr">
        <is>
          <t>12 6</t>
        </is>
      </c>
      <c r="B3030">
        <f>HYPERLINK("https://www.dofusbook.net/fr/equipement/3633680-12-6-/objets", "link")</f>
        <v/>
      </c>
      <c r="C3030" t="n">
        <v>8</v>
      </c>
      <c r="D3030" t="inlineStr">
        <is>
          <t>Lance Horselé; Collier du Valet Veinard; Anneau de XLII; Gant du Valet Veinard; Bouclier de Solar; Ceinture de XLII; Casque Dragoeuf; Cape du Valet Veinard; Bottes de l'Indicible; Dofus Vulbis; Dofus Ivoire; Dofus Ocre; Dofus Abyssal; Dofus Émeraude; Dofus des Glaces; Volkorne Améthyste</t>
        </is>
      </c>
    </row>
    <row r="3031">
      <c r="A3031" t="inlineStr">
        <is>
          <t>Anti tyra ini</t>
        </is>
      </c>
      <c r="B3031">
        <f>HYPERLINK("https://www.dofusbook.net/fr/equipement/3629898-anti-tyra-ini/objets", "link")</f>
        <v/>
      </c>
      <c r="C3031" t="n">
        <v>4</v>
      </c>
      <c r="D3031" t="inlineStr">
        <is>
          <t>Sceptre du Roi Joueur; Amulette de l'Œil Putride; Anneau Volkorne; Alliance Gloursonne; Cadran d'Air; Sangle Ouare; Casque Dragoeuf; Cape de l'Œil Putride; Bottes Honyme; Dofus Pourpre; Dofus Forgelave; Dofus Ocre; Dofus Turquoise; Dofus Ivoire; Chanceux majeur; Dragodinde Amande et Indigo</t>
        </is>
      </c>
    </row>
    <row r="3032">
      <c r="A3032" t="inlineStr">
        <is>
          <t>Anti tyra ini</t>
        </is>
      </c>
      <c r="B3032">
        <f>HYPERLINK("https://www.dofusbook.net/fr/equipement/3629868-anti-tyra-ini/objets", "link")</f>
        <v/>
      </c>
      <c r="C3032" t="n">
        <v>13</v>
      </c>
      <c r="D3032" t="inlineStr">
        <is>
          <t>Baguette de Malléfisk; Amulette de Nileza; Chevalière du Roi Joueur; Anneauræus; Cadran d'Air; Protopagne; Casque Dragoeuf; Cape de Nileza; Bottes Innommables; Dofus Abyssal; Dofus Ocre; Dofus Ivoire; Dofus Forgelave; Remueur; Érudit majeur; Dragodinde Amande et Orchidée</t>
        </is>
      </c>
    </row>
    <row r="3033">
      <c r="A3033" t="inlineStr">
        <is>
          <t>Force</t>
        </is>
      </c>
      <c r="B3033">
        <f>HYPERLINK("https://www.dofusbook.net/fr/equipement/1900197-force/objets", "link")</f>
        <v/>
      </c>
      <c r="C3033" t="n">
        <v>30</v>
      </c>
      <c r="D3033" t="inlineStr">
        <is>
          <t>Dagues Érhy; Amulette Volkorne; Pikano; Anneau Chevelu; Bouclier Bontarien; Ceinture Volkorne; Casque Dragoeuf; Cape au Logis; Sabots Minables; Dofus Abyssal; Dofus Ivoire; Dofus Ocre; Enragé majeur; Carapace Terre majeur; Miraculé majeur; Dragodinde Pourpre</t>
        </is>
      </c>
    </row>
    <row r="3034">
      <c r="A3034" t="inlineStr">
        <is>
          <t>Soins do pou</t>
        </is>
      </c>
      <c r="B3034">
        <f>HYPERLINK("https://www.dofusbook.net/fr/equipement/3583806-soins-do-pou/objets", "link")</f>
        <v/>
      </c>
      <c r="C3034" t="n">
        <v>11</v>
      </c>
      <c r="D3034" t="inlineStr">
        <is>
          <t>Massier; Torquistik; Anneauræus; Anneauræus; Bouclier précieux; Sangle Ouare; Casque Dragoeuf; Cape des Malveilleurs; Bottistik; Dofus Ivoire; Dofus Ocre; Bousculeur majeur; Miraculé majeur; Culbuteur majeur; Érudit majeur; Volkorne Rubis et Roux</t>
        </is>
      </c>
    </row>
    <row r="3035">
      <c r="A3035" t="inlineStr">
        <is>
          <t>eau soins</t>
        </is>
      </c>
      <c r="B3035">
        <f>HYPERLINK("https://www.dofusbook.net/fr/equipement/1460862-eau-soins/objets", "link")</f>
        <v/>
      </c>
      <c r="C3035" t="n">
        <v>9</v>
      </c>
      <c r="D3035" t="inlineStr">
        <is>
          <t>Le Thanos; Amulette d'Ilyzaelle; Alliance Gloursonne; Anneau Volkorne; Carapar; Sangle Ouare; Casque d'Ilyzaelle; Cape du Sinistrofu; Pataugastrique; Dofus Abyssal; Dofus Ivoire; Dofus Ocre; Chanceux majeur; Carapace Air majeur; Miraculé majeur; Dragodinde Indigo et Rousse</t>
        </is>
      </c>
    </row>
    <row r="3036">
      <c r="A3036" t="inlineStr">
        <is>
          <t>Do pou</t>
        </is>
      </c>
      <c r="B3036">
        <f>HYPERLINK("https://www.dofusbook.net/fr/equipement/2830334-do-pou/objets", "link")</f>
        <v/>
      </c>
      <c r="C3036" t="n">
        <v>16</v>
      </c>
      <c r="D3036" t="inlineStr">
        <is>
          <t>Lav'Hache; Amulette du Cœur Vaillant; Bague Instable; Bague Trithon; Bouclier précieux; Sangle Ouare; Cape du Cœur Vaillant; Bottistik; Dofus Ocre; Dofus Abyssal; Dofus Ivoire; Bousculeur majeur; Culbuteur majeur; Volkorne Roux</t>
        </is>
      </c>
    </row>
    <row r="3037">
      <c r="A3037" t="inlineStr">
        <is>
          <t>Feu - Tank</t>
        </is>
      </c>
      <c r="B3037">
        <f>HYPERLINK("https://www.dofusbook.net/fr/equipement/2975728-feu---tank/objets", "link")</f>
        <v/>
      </c>
      <c r="C3037" t="n">
        <v>20</v>
      </c>
      <c r="D3037" t="inlineStr">
        <is>
          <t>Baguette de Malléfisk; Amulette de Nileza; Anneauræus; Anneau Toriété; Bouclier de Solar; Ceinture de l'Esprit Malsain; Casque Dragoeuf; Cape de Nileza; Bottes Honyme; Dofus Émeraude; Dofus Abyssal; Dofus Ivoire; Remueur; Miraculé majeur; Érudit majeur; Dragodinde Orchidée</t>
        </is>
      </c>
    </row>
    <row r="3038">
      <c r="A3038" t="inlineStr">
        <is>
          <t>thanos</t>
        </is>
      </c>
      <c r="B3038">
        <f>HYPERLINK("https://www.dofusbook.net/fr/equipement/3527051-thanos/objets", "link")</f>
        <v/>
      </c>
      <c r="C3038" t="n">
        <v>10</v>
      </c>
      <c r="D3038" t="inlineStr">
        <is>
          <t>Le Thanos; Collier Rophante; Alliance Gloursonne; Anneau Tique; Bouclier d'Ilyzaelle; Menoture; Casque d'Ilyzaelle; Cape du Valet Veinard; Bottes de l'Indicible; Dofus Abyssal; Dofus des Glaces; Dofus Ivoire; Dofus Ocre; Dévastateur Air majeur; Guérisseur majeur; Dragodinde Ebène et Rousse</t>
        </is>
      </c>
    </row>
    <row r="3039">
      <c r="A3039" t="inlineStr">
        <is>
          <t>esquive pa</t>
        </is>
      </c>
      <c r="B3039">
        <f>HYPERLINK("https://www.dofusbook.net/fr/equipement/3510346-esquive-pa/objets", "link")</f>
        <v/>
      </c>
      <c r="C3039" t="n">
        <v>2</v>
      </c>
      <c r="D3039" t="inlineStr">
        <is>
          <t>Arc corrompu; Pendentif mignon de Koutoulou; Anneauræus; Anneau Rifique; Bouclier du Stalak; Ceinture de Gein; Heaume Oplate; Voile d'encre; Chaussures Ardentes; Dofus Ivoire; Dofus Pourpre; Dofus Abyssal; Évasif majeur; Remueur; Érudit majeur</t>
        </is>
      </c>
    </row>
    <row r="3040">
      <c r="A3040" t="inlineStr">
        <is>
          <t>tank thanos</t>
        </is>
      </c>
      <c r="B3040">
        <f>HYPERLINK("https://www.dofusbook.net/fr/equipement/3477808-tank-thanos/objets", "link")</f>
        <v/>
      </c>
      <c r="C3040" t="n">
        <v>6</v>
      </c>
      <c r="D3040" t="inlineStr">
        <is>
          <t>Le Thanos; Collier Rophante; Anneau Rifique; Anneauræus; Bouclier d'Anerice; Ceinture de Vortex; Casque Dragoeuf; Cape d'Anerice; Bottes Innommables; Dofus Émeraude; Dofus Abyssal; Dofus Ocre; Dofus Ivoire; Remueur; Guérisseur majeur; Dragodinde Amande et Rousse</t>
        </is>
      </c>
    </row>
    <row r="3041">
      <c r="A3041" t="inlineStr">
        <is>
          <t>Bourrin</t>
        </is>
      </c>
      <c r="B3041">
        <f>HYPERLINK("https://www.dofusbook.net/fr/equipement/3452406-bourrin/objets", "link")</f>
        <v/>
      </c>
      <c r="C3041" t="n">
        <v>4</v>
      </c>
      <c r="D3041" t="inlineStr">
        <is>
          <t>Sceptre du Roi Joueur; Amulette de Shokkoth; Alliance Gloursonne; Pikano; Quatre-feuilles; Poulpagne; Masque de Funespadon; Cape du Sinistrofu; Bottes du Sinistrofu; Dofus Turquoise; Dofus Pourpre; Dofus Émeraude; Chanceux majeur; Miraculé majeur; Remueur</t>
        </is>
      </c>
    </row>
    <row r="3042">
      <c r="A3042" t="inlineStr">
        <is>
          <t>vaudou soins</t>
        </is>
      </c>
      <c r="B3042">
        <f>HYPERLINK("https://www.dofusbook.net/fr/equipement/3448545-vaudou-soins/objets", "link")</f>
        <v/>
      </c>
      <c r="C3042" t="n">
        <v>8</v>
      </c>
      <c r="D3042" t="inlineStr">
        <is>
          <t>Arc Hétype; Collier de la Dame du Hasard; Anneau de Nidas; Anneau Rifique; Bouclier cubiste; Ceinture de Vortex; Casque Cyclopéen; Voile d'encre; Pataugastrique; Dofus Ivoire; Dofus Abyssal; Dofus Pourpre; Dofus des Glaces; Temporiseur majeur; Remueur</t>
        </is>
      </c>
    </row>
    <row r="3043">
      <c r="A3043" t="inlineStr">
        <is>
          <t>Terre - Bourrin</t>
        </is>
      </c>
      <c r="B3043">
        <f>HYPERLINK("https://www.dofusbook.net/fr/equipement/2637819-terre---bourrin/objets", "link")</f>
        <v/>
      </c>
      <c r="C3043" t="n">
        <v>8</v>
      </c>
      <c r="D3043" t="inlineStr">
        <is>
          <t>Arc du Chalœil; Amulette du Strigide; Anneau Chevelu; Bague Gloursonne; Bouclier du Stalak; Ceintacé; Masque de Koutoulou; Voile d'encre; Bottes du Strigide; Dofus Turquoise; Dofus Pourpre; Dofus Ivoire; Vigoureux majeur; Miraculé majeur; Enragé majeur; Muldo Pourpre</t>
        </is>
      </c>
    </row>
    <row r="3044">
      <c r="A3044" t="inlineStr">
        <is>
          <t>test</t>
        </is>
      </c>
      <c r="B3044">
        <f>HYPERLINK("https://www.dofusbook.net/fr/equipement/3443849-test/objets", "link")</f>
        <v/>
      </c>
      <c r="C3044" t="n">
        <v>4</v>
      </c>
      <c r="D3044" t="inlineStr">
        <is>
          <t>Sceptre du Minotot; Amulette du Strigide; Anneau Chevelu; Bague Trithon; Bouclier d'Ilyzaelle; Ceinture du Strigide; Masque Trithon; Cape au Logis; Bottes Trithon; Dofus Émeraude; Dofus Ocre; Dofus Pourpre; Dofus Ivoire; Dofus Abyssal; Dofus Turquoise; Dragodinde Emeraude et Pourpre</t>
        </is>
      </c>
    </row>
    <row r="3045">
      <c r="A3045" t="inlineStr">
        <is>
          <t>Harpelle</t>
        </is>
      </c>
      <c r="B3045">
        <f>HYPERLINK("https://www.dofusbook.net/fr/equipement/3443776-harpelle/objets", "link")</f>
        <v/>
      </c>
      <c r="C3045" t="n">
        <v>11</v>
      </c>
      <c r="D3045" t="inlineStr">
        <is>
          <t>Harpelle; Amulette Volkorne; Anneauræus; Bague Gloursonne; Bouclier d'Ilyzaelle; Ceinture Volkorne; Heaume Oplate; Voile d'encre; Bottes Innommables; Dofus Pourpre; Dofus Turquoise; Dofus Ivoire; Érudit majeur; Nomade; Remueur; Dragodinde Emeraude et Orchidée</t>
        </is>
      </c>
    </row>
    <row r="3046">
      <c r="A3046" t="inlineStr">
        <is>
          <t>Test</t>
        </is>
      </c>
      <c r="B3046">
        <f>HYPERLINK("https://www.dofusbook.net/fr/equipement/3394224-test/objets", "link")</f>
        <v/>
      </c>
      <c r="C3046" t="n">
        <v>4</v>
      </c>
      <c r="D3046" t="inlineStr">
        <is>
          <t>Lance corrompue; Amulette de Nevark; Anneau des égarés; Alliance Gloursonne; Bouclier du Stalak; Menoture; Casque Dragoeuf; Cape de Nevark; Bottes de l'Indicible; Dofus des Glaces; Dofus Pourpre; Dofus Ivoire; Sanguinaire majeur; Remueur; Féroce majeur; Muldo Ebène et Indigo</t>
        </is>
      </c>
    </row>
    <row r="3047">
      <c r="A3047" t="inlineStr">
        <is>
          <t>Vaudou</t>
        </is>
      </c>
      <c r="B3047">
        <f>HYPERLINK("https://www.dofusbook.net/fr/equipement/3387159-vaudou/objets", "link")</f>
        <v/>
      </c>
      <c r="C3047" t="n">
        <v>5</v>
      </c>
      <c r="D3047" t="inlineStr">
        <is>
          <t>Epée Gloursonne; Talisman Igans; Bague Gloursonne; Alliance Gloursonne; Quatre-feuilles; Ceintrigue; Casquette de Meno; Cape de Meno; Bottes de Meno; Dofus Pourpre; Dofus des Glaces; Dofus Turquoise; Dofus Ocre; Saccageur Feu majeur; Voyageur; Dehluge</t>
        </is>
      </c>
    </row>
    <row r="3048">
      <c r="A3048" t="inlineStr">
        <is>
          <t>12 pa</t>
        </is>
      </c>
      <c r="B3048">
        <f>HYPERLINK("https://www.dofusbook.net/fr/equipement/3388192-12-pa-/objets", "link")</f>
        <v/>
      </c>
      <c r="C3048" t="n">
        <v>4</v>
      </c>
      <c r="D3048" t="inlineStr">
        <is>
          <t>Sabres d'Atcham; Amulette Séculaire; Bague Gloursonne; Alliance Gloursonne; Quatre-feuilles; Ceinture Séculaire; Coiffe Séculaire; Cape d'Atcham; Sandales  d'Atcham; Dofus Turquoise; Dolmanax; Dofus Ocre; Dofus Pourpre; Dofus des Glaces; Voyageur; Brûlih</t>
        </is>
      </c>
    </row>
    <row r="3049">
      <c r="A3049" t="inlineStr">
        <is>
          <t>Terre - classique</t>
        </is>
      </c>
      <c r="B3049">
        <f>HYPERLINK("https://www.dofusbook.net/fr/equipement/3129055-terre---classique/objets", "link")</f>
        <v/>
      </c>
      <c r="C3049" t="n">
        <v>6</v>
      </c>
      <c r="D3049" t="inlineStr">
        <is>
          <t>Lav'Hache; Collier de Tourthon; Anneau Chevelu; Bague Gloursonne; Quatre-feuilles; Ceinture de la Cour Sombre; Masque de Koutoulou; Cape du Kamasterisk; Bottes de la Cour Sombre; Dofus Ivoire; Dofus Pourpre; Dofus Abyssal; Remueur; Enragé majeur; Vigoureux majeur; Muldo Indigo et Pourpre</t>
        </is>
      </c>
    </row>
    <row r="3050">
      <c r="A3050" t="inlineStr">
        <is>
          <t>tyranique 2</t>
        </is>
      </c>
      <c r="B3050">
        <f>HYPERLINK("https://www.dofusbook.net/fr/equipement/3364180-tyranique-2/objets", "link")</f>
        <v/>
      </c>
      <c r="C3050" t="n">
        <v>5</v>
      </c>
      <c r="D3050" t="inlineStr">
        <is>
          <t>Manthache; Collier du Valet Veinard; Alliance Gloursonne; Gant du Valet Veinard; Bouclier du Stalak; Menoture; Capuche de Moum-Ra; Cape Indescriptible; Palmes Trithons; Dofus Abyssal; Dofus des Glaces; Dofus Ivoire; Cascadeur majeur; Remueur; Dévastateur Air majeur; Muldo Ebène</t>
        </is>
      </c>
    </row>
    <row r="3051">
      <c r="A3051" t="inlineStr">
        <is>
          <t>tyranique</t>
        </is>
      </c>
      <c r="B3051">
        <f>HYPERLINK("https://www.dofusbook.net/fr/equipement/3363997-tyranique/objets", "link")</f>
        <v/>
      </c>
      <c r="C3051" t="n">
        <v>12</v>
      </c>
      <c r="D3051" t="inlineStr">
        <is>
          <t>Arc de Koutoulou; Amulette d'Ilyzaelle; Alliance Gloursonne; Gant du Valet Veinard; Bouclier d'Ilyzaelle; Menoture; Coiffe de la Reine des Voleurs; Cape du Valet Veinard; Bottes de la Reine des Voleurs; Dofus Ocre; Dofus Ivoire; Dofus Émeraude; Dofus des Glaces; Dofus Pourpre; Dofus Abyssal; Muldo Ebène</t>
        </is>
      </c>
    </row>
    <row r="3052">
      <c r="A3052" t="inlineStr">
        <is>
          <t>Bêche carnivore</t>
        </is>
      </c>
      <c r="B3052">
        <f>HYPERLINK("https://www.dofusbook.net/fr/equipement/3362498-beche-carnivore/objets", "link")</f>
        <v/>
      </c>
      <c r="C3052" t="n">
        <v>5</v>
      </c>
      <c r="D3052" t="inlineStr">
        <is>
          <t>Arc de Flèche Mauve; Amulette d'Ilyzaelle; Pikano; Alliance Gloursonne; Bouclier du Stalak; Poulpagne; Casque d'Ilyzaelle; Chevelure de Tal Kasha; Pataugastrique; Dofus des Glaces; Dofus Abyssal; Dofus Ivoire; Miraculé majeur; Dévastateur Eau majeur; Carapace Eau majeur; Muldo Indigo et Pourpre</t>
        </is>
      </c>
    </row>
    <row r="3053">
      <c r="A3053" t="inlineStr">
        <is>
          <t>Anti Sadi</t>
        </is>
      </c>
      <c r="B3053">
        <f>HYPERLINK("https://www.dofusbook.net/fr/equipement/3354005-anti-sadi/objets", "link")</f>
        <v/>
      </c>
      <c r="C3053" t="n">
        <v>3</v>
      </c>
      <c r="D3053" t="inlineStr">
        <is>
          <t>Dagues Érhy; Amulette du Strigide; Anneau Chevelu; Bague Gloursonne; Bouclier du Stalak; Ceinture de Gein; Chapeau de Gein; Voile d'encre; Bottes Honyme; Dofus Pourpre; Dofus Abyssal; Dofus Ivoire; Miraculé majeur; Vigoureux majeur; Remueur; Muldo Orchidée et Pourpre</t>
        </is>
      </c>
    </row>
    <row r="3054">
      <c r="A3054" t="inlineStr">
        <is>
          <t>Air - Ret pa</t>
        </is>
      </c>
      <c r="B3054">
        <f>HYPERLINK("https://www.dofusbook.net/fr/equipement/3353973-air---ret-pa/objets", "link")</f>
        <v/>
      </c>
      <c r="C3054" t="n">
        <v>7</v>
      </c>
      <c r="D3054" t="inlineStr">
        <is>
          <t>Lance Horselé; Collier du Valet Veinard; Alliance Gloursonne; Gant du Valet Veinard; Cadran de Terre; Menoture; Chapeau de Tournoyé; Chevelure de Tal Kasha; Palmes Trithons; Dofus Pourpre; Dofus Abyssal; Dofus Ivoire; Cascadeur majeur; Étourdisseur majeur; Remueur; Muldo Ebène</t>
        </is>
      </c>
    </row>
    <row r="3055">
      <c r="A3055" t="inlineStr">
        <is>
          <t>Enutrof F 200</t>
        </is>
      </c>
      <c r="B3055">
        <f>HYPERLINK("https://www.dofusbook.net/fr/equipement/3353944-enutrof-f-200/objets", "link")</f>
        <v/>
      </c>
      <c r="C3055" t="n">
        <v>3</v>
      </c>
      <c r="D3055" t="inlineStr">
        <is>
          <t>Dagues Érhy; Amulette du Strigide; Bracelet du Piloztère; Anneau Chevelu; Quatre-feuilles; Ceinture de la Cour Sombre; Masque de Koutoulou; Voile d'encre; Bottes de la Cour Sombre; Dofus Pourpre; Dofus Ivoire; Dofus Turquoise; Dofus Abyssal; Enragé majeur; Remueur; Muldo Indigo et Pourpre</t>
        </is>
      </c>
    </row>
    <row r="3056">
      <c r="A3056" t="inlineStr">
        <is>
          <t>Prospection</t>
        </is>
      </c>
      <c r="B3056">
        <f>HYPERLINK("https://www.dofusbook.net/fr/equipement/3299935-prospection/objets", "link")</f>
        <v/>
      </c>
      <c r="C3056" t="n">
        <v>4</v>
      </c>
      <c r="D3056" t="inlineStr">
        <is>
          <t>Pelle Emélaka; Kralamansion; Anneau Moutheur; Bouclier du Stalak; Ceinture de Danathor; Doro le Blak; Cape du Minotot; Bottines des sous-bois; Dofus Kaliptus; Chanceux; Chanceux majeur; Joueur majeur; Taquin; Taquin majeur</t>
        </is>
      </c>
    </row>
    <row r="3057">
      <c r="A3057" t="inlineStr">
        <is>
          <t>Eau - soins</t>
        </is>
      </c>
      <c r="B3057">
        <f>HYPERLINK("https://www.dofusbook.net/fr/equipement/3283517-eau---soins/objets", "link")</f>
        <v/>
      </c>
      <c r="C3057" t="n">
        <v>7</v>
      </c>
      <c r="D3057" t="inlineStr">
        <is>
          <t>Baguette de Malléfisk; Amulette d'Ilyzaelle; Lavanneau; Alliance Gloursonne; Carapar; Sangle Ouare; Casque d'Ilyzaelle; Cape de Meno; Pataugastrique; Dofus Ivoire; Dofus Abyssal; Miraculé majeur; Remueur; Guérisseur majeur; Chanceux majeur; Muldo Pourpre</t>
        </is>
      </c>
    </row>
    <row r="3058">
      <c r="A3058" t="inlineStr">
        <is>
          <t>Terre Feu - roxx</t>
        </is>
      </c>
      <c r="B3058">
        <f>HYPERLINK("https://www.dofusbook.net/fr/equipement/3261203-terre-feu---roxx/objets", "link")</f>
        <v/>
      </c>
      <c r="C3058" t="n">
        <v>6</v>
      </c>
      <c r="D3058" t="inlineStr">
        <is>
          <t>Epée Toche; Amulette du Strigide; Chevalière du Roi Joueur; Bague Gloursonne; Quatre-feuilles; Ceinture du Strigide; Couronne du Roi Joueur; Voile d'encre; Bottes du Roi Joueur; Dofus Ocre; Dofus Ivoire; Dofus Pourpre; Dofus Nébuleux; Dofus Turquoise; Dofus Abyssal; Muldo Orchidée et Pourpre</t>
        </is>
      </c>
    </row>
    <row r="3059">
      <c r="A3059" t="inlineStr">
        <is>
          <t>Air degats</t>
        </is>
      </c>
      <c r="B3059">
        <f>HYPERLINK("https://www.dofusbook.net/fr/equipement/1955424-air-degats/objets", "link")</f>
        <v/>
      </c>
      <c r="C3059" t="n">
        <v>13</v>
      </c>
      <c r="D3059" t="inlineStr">
        <is>
          <t>Dagues Érhy; Amulette Ementaire Deluxe; Alliance Gloursonne; Gant du Valet Veinard; Bouclier Bontarien; Ceinture du Barbétoal; Casque Dragoeuf; Cape du Valet Veinard; Palmes Trithons; Dofus Abyssal; Dolmanax; Dofus Ocre; Dofus Ivoire; Remueur; Miraculé majeur; Muldo Ebène</t>
        </is>
      </c>
    </row>
    <row r="3060">
      <c r="A3060" t="inlineStr">
        <is>
          <t>Padgref stri atc</t>
        </is>
      </c>
      <c r="B3060">
        <f>HYPERLINK("https://www.dofusbook.net/fr/equipement/3257804-padgref-stri-atc/objets", "link")</f>
        <v/>
      </c>
      <c r="C3060" t="n">
        <v>5</v>
      </c>
      <c r="D3060" t="inlineStr">
        <is>
          <t>Sabres d'Atcham; Amulette du Strigide; Alliance Gloursonne; Anneau de Padgref; Quatre-feuilles; Ceinture du Strigide; Coiffe de Padgref; Cape d'Atcham; Getas de Padgref; Dofus Ocre; Dofus Abyssal; Dofus Pourpre; Dofus Ivoire; Dofus Turquoise; Dofus Nébuleux; Muldo Indigo et Orchidée</t>
        </is>
      </c>
    </row>
    <row r="3061">
      <c r="A3061" t="inlineStr">
        <is>
          <t>Eau - dégats</t>
        </is>
      </c>
      <c r="B3061">
        <f>HYPERLINK("https://www.dofusbook.net/fr/equipement/3256871-eau---degats/objets", "link")</f>
        <v/>
      </c>
      <c r="C3061" t="n">
        <v>12</v>
      </c>
      <c r="D3061" t="inlineStr">
        <is>
          <t>Sceptre du Roi Joueur; Collier de la Dame du Hasard; Alliance Gloursonne; Pikano; Quatre-feuilles; Poulpagne; Masque de Funespadon; Cape Solution; Bottes de la Dame du Hasard; Dofus Abyssal; Dofus Pourpre; Dofus Ivoire; Chanceux majeur; Miraculé majeur; Carapace Eau majeur; Muldo Ebène et Indigo</t>
        </is>
      </c>
    </row>
    <row r="3062">
      <c r="A3062" t="inlineStr">
        <is>
          <t>Force</t>
        </is>
      </c>
      <c r="B3062">
        <f>HYPERLINK("https://www.dofusbook.net/fr/equipement/943429-force/objets", "link")</f>
        <v/>
      </c>
      <c r="C3062" t="n">
        <v>13</v>
      </c>
      <c r="D3062" t="inlineStr">
        <is>
          <t>Héqache; Amulette du Strigide; Bague Gloursonne; Anneau Chevelu; Bouclier d'Ilyzaelle; Ceintacé; Masque de Koutoulou; Voile d'encre; Bottes du Strigide; Dofus Pourpre; Dofus Abyssal; Dofus Turquoise; Dofus Ivoire; Remueur; Enragé majeur; Muldo Ebène et Pourpre</t>
        </is>
      </c>
    </row>
    <row r="3063">
      <c r="A3063" t="inlineStr">
        <is>
          <t>Feu - do pou</t>
        </is>
      </c>
      <c r="B3063">
        <f>HYPERLINK("https://www.dofusbook.net/fr/equipement/3254275-feu---do-pou/objets", "link")</f>
        <v/>
      </c>
      <c r="C3063" t="n">
        <v>8</v>
      </c>
      <c r="D3063" t="inlineStr">
        <is>
          <t>Baguette de Malléfisk; Pendentif mignon de Koutoulou; Anneau Rifique; Anneau Tique; Bouclier d'Ilyzaelle; Ceinture de Gein; Heaume Oplate; Voile d'encre; Bottes Innommables; Dofus Abyssal; Dofus Ivoire; Carapace Terre majeur; Remueur; Guérisseur majeur; Érudit majeur; Muldo Pourpre</t>
        </is>
      </c>
    </row>
    <row r="3064">
      <c r="A3064" t="inlineStr">
        <is>
          <t>Feu - dégats</t>
        </is>
      </c>
      <c r="B3064">
        <f>HYPERLINK("https://www.dofusbook.net/fr/equipement/3256197-feu---degats/objets", "link")</f>
        <v/>
      </c>
      <c r="C3064" t="n">
        <v>10</v>
      </c>
      <c r="D3064" t="inlineStr">
        <is>
          <t>Arc corrompu; Amulette de Gein; Anneauræus; Anneauræus; Bouclier du Stalak; Ceinture de Gein; Heaume Oplate; Voile d'encre; Bottes Innommables; Dofus Ivoire; Dofus Pourpre; Dofus Abyssal; Érudit majeur; Remueur; Carapace Terre majeur; Muldo Pourpre</t>
        </is>
      </c>
    </row>
    <row r="3065">
      <c r="A3065" t="inlineStr">
        <is>
          <t>Force 2</t>
        </is>
      </c>
      <c r="B3065">
        <f>HYPERLINK("https://www.dofusbook.net/fr/equipement/984461-force-2/objets", "link")</f>
        <v/>
      </c>
      <c r="C3065" t="n">
        <v>8</v>
      </c>
      <c r="D3065" t="inlineStr">
        <is>
          <t>Arc du Chalœil; Amulette de Gein; Anneau Chevelu; Bague Gloursonne; Bouclier d'Ilyzaelle; Ceinture Gence; Chapeau de Gein; Cape au Logis; Bottes du Cœur Saignant; Dofus Pourpre; Dofus Ivoire; Dofus Abyssal; Dofus Ocre; Enragé majeur; Miraculé majeur; Muldo Orchidée et Pourpre</t>
        </is>
      </c>
    </row>
    <row r="3066">
      <c r="A3066" t="inlineStr">
        <is>
          <t>Terre/Air</t>
        </is>
      </c>
      <c r="B3066">
        <f>HYPERLINK("https://www.dofusbook.net/fr/equipement/1209878-terre-air/objets", "link")</f>
        <v/>
      </c>
      <c r="C3066" t="n">
        <v>6</v>
      </c>
      <c r="D3066" t="inlineStr">
        <is>
          <t>Héqache; Amulette du Strigide; Bague Gloursonne; Bracelet du Piloztère; Bouclier d'Ilyzaelle; Ceinture du Strigide; Masque de Koutoulou; Voile d'encre; Tentassons; Dofus Pourpre; Dofus Émeraude; Dofus Abyssal; Dofus Turquoise; Remueur; Vigoureux majeur</t>
        </is>
      </c>
    </row>
    <row r="3067">
      <c r="A3067" t="inlineStr">
        <is>
          <t>Air - 12pa</t>
        </is>
      </c>
      <c r="B3067">
        <f>HYPERLINK("https://www.dofusbook.net/fr/equipement/3250438-air---12pa/objets", "link")</f>
        <v/>
      </c>
      <c r="C3067" t="n">
        <v>6</v>
      </c>
      <c r="D3067" t="inlineStr">
        <is>
          <t>Rouleau à Pâtisserie d'Aermyne; Collier du Valet Veinard; Gant du Valet Veinard; Anneau d'Allister; Bouclier du Stalak; Sangle Oriole; Couronne d'Allister; Cape du Valet Veinard; Bottes d'Allister; Dofus Pourpre; Dofus Abyssal; Dofus Ocre; Dofus Ivoire; Dofus Émeraude; Dofus des Glaces; Muldo Ebène et Orchidée</t>
        </is>
      </c>
    </row>
    <row r="3068">
      <c r="A3068" t="inlineStr">
        <is>
          <t>Terre - Anti Feca</t>
        </is>
      </c>
      <c r="B3068">
        <f>HYPERLINK("https://www.dofusbook.net/fr/equipement/3244404-terre---anti-feca/objets", "link")</f>
        <v/>
      </c>
      <c r="C3068" t="n">
        <v>9</v>
      </c>
      <c r="D3068" t="inlineStr">
        <is>
          <t>Lav'Hache; Amulette du Strigide; Anneau Chevelu; Pikano; Quatre-feuilles; Ceinture Gence; Masque de Koutoulou; Cape du Kamasterisk; Bottes du Strigide; Dofus Pourpre; Dofus Ivoire; Dofus Abyssal; Miraculé majeur; Carapace Terre majeur; Évasif majeur; Muldo Indigo</t>
        </is>
      </c>
    </row>
    <row r="3069">
      <c r="A3069" t="inlineStr">
        <is>
          <t>Terre - Foene</t>
        </is>
      </c>
      <c r="B3069">
        <f>HYPERLINK("https://www.dofusbook.net/fr/equipement/3235877-terre---foene/objets", "link")</f>
        <v/>
      </c>
      <c r="C3069" t="n">
        <v>4</v>
      </c>
      <c r="D3069" t="inlineStr">
        <is>
          <t>Arc du Chalœil; Amulette Luminescente; Bague Gloursonne; Anneau Chevelu; Quatre-feuilles; Ceinture de la Reine des Voleurs; Coiffe de la Reine des Voleurs; Voile d'encre; Sabots Minables; Dofus Ivoire; Dofus Pourpre; Dofus Turquoise; Dofus Abyssal; Enragé majeur; Remueur; Muldo Indigo et Orchidée</t>
        </is>
      </c>
    </row>
    <row r="3070">
      <c r="A3070" t="inlineStr">
        <is>
          <t>Terre - cac</t>
        </is>
      </c>
      <c r="B3070">
        <f>HYPERLINK("https://www.dofusbook.net/fr/equipement/3233841-terre---cac/objets", "link")</f>
        <v/>
      </c>
      <c r="C3070" t="n">
        <v>6</v>
      </c>
      <c r="D3070" t="inlineStr">
        <is>
          <t>Héqache; Amulette du Strigide; Anneau Chevelu; Bague Gloursonne; Bouclier d'Ilyzaelle; Ceintacé; Masque de Koutoulou; Cape du Kamasterisk; Bottes du Strigide; Dofus Pourpre; Dofus Abyssal; Dofus Ivoire; Miraculé majeur; Évasif majeur; Enragé majeur; Muldo Pourpre</t>
        </is>
      </c>
    </row>
    <row r="3071">
      <c r="A3071" t="inlineStr">
        <is>
          <t>Eau - Vaudou</t>
        </is>
      </c>
      <c r="B3071">
        <f>HYPERLINK("https://www.dofusbook.net/fr/equipement/3097300-eau---vaudou/objets", "link")</f>
        <v/>
      </c>
      <c r="C3071" t="n">
        <v>10</v>
      </c>
      <c r="D3071" t="inlineStr">
        <is>
          <t>Pyraguette; Amulette d'Ilyzaelle; Pikano; Alliance Gloursonne; Cadran d'Air; Ceinture Glaciale; Casque d'Ilyzaelle; Cape Solution; Sandales des Fonds marins; Dofus Abyssal; Dofus Pourpre; Dofus des Glaces; Dofus Ivoire; Chanceux majeur; Remueur; Muldo Indigo</t>
        </is>
      </c>
    </row>
    <row r="3072">
      <c r="A3072" t="inlineStr">
        <is>
          <t>Do pou - esq pa</t>
        </is>
      </c>
      <c r="B3072">
        <f>HYPERLINK("https://www.dofusbook.net/fr/equipement/3227137-do-pou---esq-pa/objets", "link")</f>
        <v/>
      </c>
      <c r="C3072" t="n">
        <v>5</v>
      </c>
      <c r="D3072" t="inlineStr">
        <is>
          <t>Héqache; Amulette Luminescente; Alliance Gloursonne; Bague Instable; Bouclier précieux; Ceinture Gence; Masque d'Anerice; Cape d'Anerice; Bottes Trithon; Dofus Ivoire; Dofus Abyssal; Bousculeur majeur; Remueur; Évasif majeur; Culbuteur majeur</t>
        </is>
      </c>
    </row>
    <row r="3073">
      <c r="A3073" t="inlineStr">
        <is>
          <t>Air - Esq pa</t>
        </is>
      </c>
      <c r="B3073">
        <f>HYPERLINK("https://www.dofusbook.net/fr/equipement/3228803-air---esq-pa/objets", "link")</f>
        <v/>
      </c>
      <c r="C3073" t="n">
        <v>9</v>
      </c>
      <c r="D3073" t="inlineStr">
        <is>
          <t>Manthache; Amulette du Strigide; Alliance Brûlâme; Alliance Gloursonne; Quatre-feuilles; Menoture; Chapeau de Tournoyé; Cape de Crânonier; Palmes Trithons; Dofus Ivoire; Dofus Émeraude; Dofus Abyssal; Dofus Pourpre; Remueur; Cascadeur majeur; Muldo Ebène et Orchidée</t>
        </is>
      </c>
    </row>
    <row r="3074">
      <c r="A3074" t="inlineStr">
        <is>
          <t>Air - dégat</t>
        </is>
      </c>
      <c r="B3074">
        <f>HYPERLINK("https://www.dofusbook.net/fr/equipement/3208947-air---degat/objets", "link")</f>
        <v/>
      </c>
      <c r="C3074" t="n">
        <v>4</v>
      </c>
      <c r="D3074" t="inlineStr">
        <is>
          <t>Lance Horselé; Amulette du Strigide; Alliance Gloursonne; Alliance Brûlâme; Quatre-feuilles; Menoture; Chapeau de Tournoyé; Cape Tif; Bottes du Strigide; Dofus Pourpre; Dofus Abyssal; Dofus Turquoise; Dofus Ivoire; Remueur; Miraculé majeur; Muldo Ebène et Indigo</t>
        </is>
      </c>
    </row>
    <row r="3075">
      <c r="A3075" t="inlineStr">
        <is>
          <t>Terre - Anti Foene</t>
        </is>
      </c>
      <c r="B3075">
        <f>HYPERLINK("https://www.dofusbook.net/fr/equipement/3192590-terre---anti-foene/objets", "link")</f>
        <v/>
      </c>
      <c r="C3075" t="n">
        <v>4</v>
      </c>
      <c r="D3075" t="inlineStr">
        <is>
          <t>Lav'Hache; Amulette de Gein; Bague Gloursonne; Anneau Chevelu; Quatre-feuilles; Ceintacé; Chapeau de Gein; Cape du Kamasterisk; Bottes du Cœur Saignant; Dofus Ivoire; Dofus Abyssal; Dofus Pourpre; Carapace Feu majeur; Enragé majeur; Muldo Ebène et Pourpre</t>
        </is>
      </c>
    </row>
    <row r="3076">
      <c r="A3076" t="inlineStr">
        <is>
          <t>test</t>
        </is>
      </c>
      <c r="B3076">
        <f>HYPERLINK("https://www.dofusbook.net/fr/equipement/3198208-test/objets", "link")</f>
        <v/>
      </c>
      <c r="C3076" t="n">
        <v>2</v>
      </c>
      <c r="D3076" t="inlineStr">
        <is>
          <t>Baguette de Malléfisk; Amulette Volcanique; Anneauræus; Bague Gloursonne; Ceinture de Gein; Chapeau de Gein; Cape de Diondin; Bottes du Roi Joueur; Dofus Pourpre; Dofus Ivoire; Dofus Émeraude; Dofus Abyssal; Dolmanax; Dofus Ocre</t>
        </is>
      </c>
    </row>
    <row r="3077">
      <c r="A3077" t="inlineStr">
        <is>
          <t>test 2</t>
        </is>
      </c>
      <c r="B3077">
        <f>HYPERLINK("https://www.dofusbook.net/fr/equipement/3198395-test-2/objets", "link")</f>
        <v/>
      </c>
      <c r="C3077" t="n">
        <v>1</v>
      </c>
      <c r="D3077" t="inlineStr">
        <is>
          <t>Baguette de Malléfisk; Amulette d'Ilyzaelle; Alliance Gloursonne; Anneau Rifique; Bouclier d'Ilyzaelle; Ceinture de Vortex; Casque Cyclopéen; Cape de Diondin; Sabots de Vortex; Dofus Ocre; Dofus Émeraude; Dofus des Glaces; Dofus Pourpre; Dofus Abyssal; Dofus Ivoire; Muldo Pourpre</t>
        </is>
      </c>
    </row>
    <row r="3078">
      <c r="A3078" t="inlineStr">
        <is>
          <t>Eau - soins</t>
        </is>
      </c>
      <c r="B3078">
        <f>HYPERLINK("https://www.dofusbook.net/fr/equipement/3190079-eau---soins/objets", "link")</f>
        <v/>
      </c>
      <c r="C3078" t="n">
        <v>4</v>
      </c>
      <c r="D3078" t="inlineStr">
        <is>
          <t>Baguette de Malléfisk; Talisman Igans; Alliance Gloursonne; Lavanneau; Bouclier d'Ilyzaelle; Ceintrigue; Casque d'Ilyzaelle; Voile d'encre; Bottes Owesli; Dofus des Glaces; Dofus Ocre; Dofus Émeraude; Dofus Ivoire; Dolmanax; Dofus Abyssal; Muldo Indigo et Orchidée</t>
        </is>
      </c>
    </row>
    <row r="3079">
      <c r="A3079" t="inlineStr">
        <is>
          <t>Feu - hétype</t>
        </is>
      </c>
      <c r="B3079">
        <f>HYPERLINK("https://www.dofusbook.net/fr/equipement/3135062-feu---hetype/objets", "link")</f>
        <v/>
      </c>
      <c r="C3079" t="n">
        <v>2</v>
      </c>
      <c r="D3079" t="inlineStr">
        <is>
          <t>Arc Hétype; Amulette Volcanique; Anneau de Nidas; Anneauræus; Bouclier cubiste; Ceinture de Gein; Couronne de Nidas; Voile d'encre; Bottes Innommables; Dofus Ivoire; Dofus Abyssal; Dofus Ocre; Miraculé majeur; Érudit majeur; Remueur; Muldo Ebène et Indigo</t>
        </is>
      </c>
    </row>
    <row r="3080">
      <c r="A3080" t="inlineStr">
        <is>
          <t>Do pou</t>
        </is>
      </c>
      <c r="B3080">
        <f>HYPERLINK("https://www.dofusbook.net/fr/equipement/1148137-do-pou-/objets", "link")</f>
        <v/>
      </c>
      <c r="C3080" t="n">
        <v>16</v>
      </c>
      <c r="D3080" t="inlineStr">
        <is>
          <t>Arc du Chalœil; Amulette Luminescente; Bague Instable; Alliance Gloursonne; Bouclier précieux; Ceinture Gence; Masque d'Anerice; Cape d'Anerice; Bottes Trithon; Dofus Ivoire; Dofus Abyssal; Fonceur majeur; Bousculeur majeur; Remueur; Culbuteur majeur; Muldo Orchidée et Pourpre</t>
        </is>
      </c>
    </row>
    <row r="3081">
      <c r="A3081" t="inlineStr">
        <is>
          <t>Terre - 12pa</t>
        </is>
      </c>
      <c r="B3081">
        <f>HYPERLINK("https://www.dofusbook.net/fr/equipement/1533384-terre---12pa/objets", "link")</f>
        <v/>
      </c>
      <c r="C3081" t="n">
        <v>4</v>
      </c>
      <c r="D3081" t="inlineStr">
        <is>
          <t>Arc du Chalœil; Amulette du Strigide; Bague Gloursonne; Anneau Chevelu; Quatre-feuilles; Ceinture du Strigide; Casque de Missiz Frizz; Cape du Professeur Xa; Bottes du Roi Joueur; Dofus Pourpre; Dofus Ivoire; Dofus Abyssal; Dofus Ocre; Miraculé majeur; Remueur; Kramkram</t>
        </is>
      </c>
    </row>
    <row r="3082">
      <c r="A3082" t="inlineStr">
        <is>
          <t>Terre - classique</t>
        </is>
      </c>
      <c r="B3082">
        <f>HYPERLINK("https://www.dofusbook.net/fr/equipement/3163190-terre---classique/objets", "link")</f>
        <v/>
      </c>
      <c r="C3082" t="n">
        <v>4</v>
      </c>
      <c r="D3082" t="inlineStr">
        <is>
          <t>Arc du Chalœil; Amulette du Strigide; Anneau Chevelu; Anneau de Brouce; Quatre-feuilles; Ceinture de Brouce; Casque de Missiz Frizz; Cape du Kamasterisk; Sabots Minables; Dofus Abyssal; Dofus Ivoire; Dofus Pourpre; Vigoureux majeur; Enragé majeur; Remueur; Muldo Indigo et Pourpre</t>
        </is>
      </c>
    </row>
    <row r="3083">
      <c r="A3083" t="inlineStr">
        <is>
          <t>terre - 12/6 ret pm</t>
        </is>
      </c>
      <c r="B3083">
        <f>HYPERLINK("https://www.dofusbook.net/fr/equipement/3118555-terre---12-6-ret-pm/objets", "link")</f>
        <v/>
      </c>
      <c r="C3083" t="n">
        <v>5</v>
      </c>
      <c r="D3083" t="inlineStr">
        <is>
          <t>Marteau R'ture; Amulette Luminescente; Bracelet du Piloztère; Pikano; Bouclier cubiste; Ceinture Luminescente; Casquipik; Cape Luminescente; Pikottes; Dofus Nébuleux; Dofus Pourpre; Dofus Ocre; Voyageur; Entraveur majeur; Forcené majeur; Kompost</t>
        </is>
      </c>
    </row>
    <row r="3084">
      <c r="A3084" t="inlineStr">
        <is>
          <t>Feu - Nébu bourrin</t>
        </is>
      </c>
      <c r="B3084">
        <f>HYPERLINK("https://www.dofusbook.net/fr/equipement/3126347-feu---nebu-bourrin/objets", "link")</f>
        <v/>
      </c>
      <c r="C3084" t="n">
        <v>2</v>
      </c>
      <c r="D3084" t="inlineStr"/>
    </row>
    <row r="3085">
      <c r="A3085" t="inlineStr">
        <is>
          <t>terre feu - classiqu</t>
        </is>
      </c>
      <c r="B3085">
        <f>HYPERLINK("https://www.dofusbook.net/fr/equipement/3125252-terre-feu---classiqu/objets", "link")</f>
        <v/>
      </c>
      <c r="C3085" t="n">
        <v>6</v>
      </c>
      <c r="D3085" t="inlineStr">
        <is>
          <t>Hache Téroïde; Amulette du Strigide; Anneau Chevelu; Bague Gloursonne; Quatre-feuilles; Ceinture du Strigide; Masque Trithon; Voile d'encre; Bottes du Roi Joueur; Dofus Pourpre; Dofus Abyssal; Dofus Ivoire; Vigoureux majeur; Remueur; Kramkram</t>
        </is>
      </c>
    </row>
    <row r="3086">
      <c r="A3086" t="inlineStr">
        <is>
          <t>air - 12/6 bourrin</t>
        </is>
      </c>
      <c r="B3086">
        <f>HYPERLINK("https://www.dofusbook.net/fr/equipement/3118535-air---12-6-bourrin/objets", "link")</f>
        <v/>
      </c>
      <c r="C3086" t="n">
        <v>2</v>
      </c>
      <c r="D3086" t="inlineStr">
        <is>
          <t>Manthache; Collier du Valet Veinard; Gant du Valet Veinard; Anneau d'Allister; Bouclier du Stalak; Sangle Oriole; Couronne d'Allister; Cape du Valet Veinard; Bottes d'Allister; Dofus Abyssal; Dofus Ocre; Dofus des Glaces; Dofus Pourpre; Voyageur; Equilibriste majeur; Siroko</t>
        </is>
      </c>
    </row>
    <row r="3087">
      <c r="A3087" t="inlineStr">
        <is>
          <t>Terre Eau - Classiqu</t>
        </is>
      </c>
      <c r="B3087">
        <f>HYPERLINK("https://www.dofusbook.net/fr/equipement/3106859-terre-eau---classiqu/objets", "link")</f>
        <v/>
      </c>
      <c r="C3087" t="n">
        <v>2</v>
      </c>
      <c r="D3087" t="inlineStr">
        <is>
          <t>Dagues de Srambad; Amulette de Shokkoth; Pikano; Alliance Gloursonne; Bouclier du Stalak; Ceinture de la Reine des Voleurs; Masque de Funespadon; Cape Solution; Bottes de la Reine des Voleurs; Dofus Abyssal; Dofus des Glaces; Dofus Ivoire; Dofus Pourpre; Vigoureux majeur; Remueur; Muldo Ebène et Indigo</t>
        </is>
      </c>
    </row>
    <row r="3088">
      <c r="A3088" t="inlineStr">
        <is>
          <t>Eau Feu - Classique</t>
        </is>
      </c>
      <c r="B3088">
        <f>HYPERLINK("https://www.dofusbook.net/fr/equipement/3098682-eau-feu---classique/objets", "link")</f>
        <v/>
      </c>
      <c r="C3088" t="n">
        <v>2</v>
      </c>
      <c r="D3088" t="inlineStr">
        <is>
          <t>Pyraguette; Amulette de Shokkoth; Anneau de Nidas; Alliance Gloursonne; Bouclier cubiste; Poulpagne; Casque Dragoeuf; Cape de Meno; Bottes de Meno; Dofus des Glaces; Dofus Pourpre; Dofus Ivoire; Remueur; Miraculé majeur; Temporiseur majeur; Muldo Indigo et Amande</t>
        </is>
      </c>
    </row>
    <row r="3089">
      <c r="A3089" t="inlineStr">
        <is>
          <t>Air - Classique</t>
        </is>
      </c>
      <c r="B3089">
        <f>HYPERLINK("https://www.dofusbook.net/fr/equipement/3088303-air---classique/objets", "link")</f>
        <v/>
      </c>
      <c r="C3089" t="n">
        <v>3</v>
      </c>
      <c r="D3089" t="inlineStr">
        <is>
          <t>Manthache; Collier du Valet Veinard; Gant du Valet Veinard; Alliance Gloursonne; Bouclier du Stalak; Menoture; Dorabysses; Cape Indescriptible; Palmes Trithons; Dofus Ivoire; Dofus Pourpre; Vigoureux majeur; Miraculé majeur; Cascadeur majeur; Remueur; Muldo Ebène</t>
        </is>
      </c>
    </row>
    <row r="3090">
      <c r="A3090" t="inlineStr">
        <is>
          <t>Terre - Esquive pm</t>
        </is>
      </c>
      <c r="B3090">
        <f>HYPERLINK("https://www.dofusbook.net/fr/equipement/2989313-terre---esquive-pm/objets", "link")</f>
        <v/>
      </c>
      <c r="C3090" t="n">
        <v>3</v>
      </c>
      <c r="D3090" t="inlineStr">
        <is>
          <t>Marteau R'ture; Amulette du Strigide; Anneau Chevelu; Anneau de Brouce; Bouclier alvéolé; Ceinture Gence; Chapoulpe; Voile d'encre; Tentassons; Dofus Pourpre; Dofus Abyssal; Dofus Ivoire; Cavaleur majeur; Étourdisseur majeur; Remueur; Muldo Indigo et Orchidée</t>
        </is>
      </c>
    </row>
    <row r="3091">
      <c r="A3091" t="inlineStr">
        <is>
          <t>Feu - Dégats</t>
        </is>
      </c>
      <c r="B3091">
        <f>HYPERLINK("https://www.dofusbook.net/fr/equipement/2986611-feu---degats/objets", "link")</f>
        <v/>
      </c>
      <c r="C3091" t="n">
        <v>1</v>
      </c>
      <c r="D3091" t="inlineStr">
        <is>
          <t>Arc corrompu; Amulette du Strigide; Anneau Tique; Ceinture du Strigide; Heaume Oplate; Voile d'encre; Bottes du Roi Joueur</t>
        </is>
      </c>
    </row>
    <row r="3092">
      <c r="A3092" t="inlineStr">
        <is>
          <t>Terre - Roxx</t>
        </is>
      </c>
      <c r="B3092">
        <f>HYPERLINK("https://www.dofusbook.net/fr/equipement/2983527-terre---roxx/objets", "link")</f>
        <v/>
      </c>
      <c r="C3092" t="n">
        <v>6</v>
      </c>
      <c r="D3092" t="inlineStr">
        <is>
          <t>Arc du Chalœil; Amulette du Strigide; Anneau Chevelu; Bague Gloursonne; Quatre-feuilles; Ceinture du Strigide; Masque de Koutoulou; Cape de la Cour Sombre; Bottes de la Cour Sombre; Dofus Pourpre; Dofus Ivoire; Dolmanax; Dofus Ocre; Dofus Turquoise; Dofus Abyssal; Muldo Indigo</t>
        </is>
      </c>
    </row>
    <row r="3093">
      <c r="A3093" t="inlineStr">
        <is>
          <t>Multi - dégats</t>
        </is>
      </c>
      <c r="B3093">
        <f>HYPERLINK("https://www.dofusbook.net/fr/equipement/2984889-multi---degats/objets", "link")</f>
        <v/>
      </c>
      <c r="C3093" t="n">
        <v>7</v>
      </c>
      <c r="D3093" t="inlineStr">
        <is>
          <t>Marteau R'ture; Amulette du Strigide; Anneau Chevelu; Bague Gloursonne; Bouclier alvéolé; Ceinture du Strigide; Chapeau de Gein; Voile d'encre; Bottes Honyme; Dofus des Glaces; Dofus Abyssal; Dofus Pourpre; Dofus Ivoire; Vigoureux majeur; Remueur; Muldo Indigo et Orchidée</t>
        </is>
      </c>
    </row>
    <row r="3094">
      <c r="A3094" t="inlineStr">
        <is>
          <t>Eau - Classique</t>
        </is>
      </c>
      <c r="B3094">
        <f>HYPERLINK("https://www.dofusbook.net/fr/equipement/2965627-eau---classique/objets", "link")</f>
        <v/>
      </c>
      <c r="C3094" t="n">
        <v>3</v>
      </c>
      <c r="D3094" t="inlineStr">
        <is>
          <t>Baguette Héroclite; Amulette Cryochrone; Bracelet des Fonds marins; Alliance Gloursonne; Cadran de Terre; Culotte de Bethel; Kidibonnet; Chevelure de Tal Kasha; Chaussons de Macrab; Dofus Abyssal; Dofus Ivoire; Remueur; Chanceux majeur; Obstructeur majeur; Étourdisseur majeur; Muldo Indigo et Pourpre</t>
        </is>
      </c>
    </row>
    <row r="3095">
      <c r="A3095" t="inlineStr">
        <is>
          <t>Eau - Bourrin</t>
        </is>
      </c>
      <c r="B3095">
        <f>HYPERLINK("https://www.dofusbook.net/fr/equipement/2646770-eau---bourrin/objets", "link")</f>
        <v/>
      </c>
      <c r="C3095" t="n">
        <v>1</v>
      </c>
      <c r="D3095" t="inlineStr">
        <is>
          <t>Sceptre du Roi Joueur; Amulette de Shokkoth; Alliance Gloursonne; Poulpagne; Masque de Funespadon; Cape du Sinistrofu; Bottes du Sinistrofu</t>
        </is>
      </c>
    </row>
    <row r="3096">
      <c r="A3096" t="inlineStr">
        <is>
          <t>Kikooroxx</t>
        </is>
      </c>
      <c r="B3096">
        <f>HYPERLINK("https://www.dofusbook.net/fr/equipement/2957725-kikooroxx/objets", "link")</f>
        <v/>
      </c>
      <c r="C3096" t="n">
        <v>2</v>
      </c>
      <c r="D3096" t="inlineStr">
        <is>
          <t>Dagues d'Ilyzaelle; Amulette Séculaire; Anneauræus; Chevalière du Roi Joueur; Ceinture Séculaire; Masque d'Anerice; Cape d'Anerice; Pataugastrique</t>
        </is>
      </c>
    </row>
    <row r="3097">
      <c r="A3097" t="inlineStr">
        <is>
          <t>Eau - bourrin</t>
        </is>
      </c>
      <c r="B3097">
        <f>HYPERLINK("https://www.dofusbook.net/fr/equipement/2957448-eau---bourrin/objets", "link")</f>
        <v/>
      </c>
      <c r="C3097" t="n">
        <v>4</v>
      </c>
      <c r="D3097" t="inlineStr">
        <is>
          <t>Rapière aux Glyphes; Amulette du Strigide; Alliance Gloursonne; Bracelet des Fonds marins; Quatre-feuilles; Poulpagne; Kidibonnet; Cape du Sinistrofu; Bottes du Sinistrofu; Dofus Pourpre; Dofus Abyssal; Dofus Turquoise; Dofus Ivoire; Carapace Eau majeur; Miraculé majeur; Muldo Ebène et Indigo</t>
        </is>
      </c>
    </row>
    <row r="3098">
      <c r="A3098" t="inlineStr">
        <is>
          <t>Feu - dégats</t>
        </is>
      </c>
      <c r="B3098">
        <f>HYPERLINK("https://www.dofusbook.net/fr/equipement/2957098-feu---degats/objets", "link")</f>
        <v/>
      </c>
      <c r="C3098" t="n">
        <v>2</v>
      </c>
      <c r="D3098" t="inlineStr">
        <is>
          <t>Arc corrompu; Pendentif affamé; Anneauræus; Anneauræus; Bouclier du Stalak; Ceinture de Gein; Chapeau de Gein; Voile d'encre; Bottes Innommables; Dofus Ivoire; Dofus Abyssal; Dofus Ocre; Miraculé majeur; Érudit majeur; Remueur; Muldo Ebène et Orchidée</t>
        </is>
      </c>
    </row>
    <row r="3099">
      <c r="A3099" t="inlineStr">
        <is>
          <t>Air - Ret pm</t>
        </is>
      </c>
      <c r="B3099">
        <f>HYPERLINK("https://www.dofusbook.net/fr/equipement/2956732-air---ret-pm/objets", "link")</f>
        <v/>
      </c>
      <c r="C3099" t="n">
        <v>3</v>
      </c>
      <c r="D3099" t="inlineStr">
        <is>
          <t>Hachoirs de Viandargh; Collier du Valet Veinard; Alliance Gloursonne; Gant du Valet Veinard; Bouclier cubiste; Menoture; Dorabysses; Cape de l'Œil Putride; Palmes Trithons; Dofus Abyssal; Dofus Ivoire; Temporiseur majeur; Remueur; Miraculé majeur; Cascadeur majeur; Muldo Ebène</t>
        </is>
      </c>
    </row>
    <row r="3100">
      <c r="A3100" t="inlineStr">
        <is>
          <t>Feu - Tac Ret pa</t>
        </is>
      </c>
      <c r="B3100">
        <f>HYPERLINK("https://www.dofusbook.net/fr/equipement/2798556-feu---tac-ret-pa/objets", "link")</f>
        <v/>
      </c>
      <c r="C3100" t="n">
        <v>4</v>
      </c>
      <c r="D3100" t="inlineStr">
        <is>
          <t>Arc Hétype; Amulette de Nileza; Anneau Tique; Anneau Rifique; Sept ans de malheur; Ceinture de Vortex; Masque Ardent; Cape de Diondin; Chaussures Ardentes; Dofus Ivoire; Dofus Abyssal; Dofus Émeraude; Érudit majeur; Étourdisseur majeur; Remueur; Muldo Indigo et Pourpre</t>
        </is>
      </c>
    </row>
    <row r="3101">
      <c r="A3101" t="inlineStr">
        <is>
          <t>test</t>
        </is>
      </c>
      <c r="B3101">
        <f>HYPERLINK("https://www.dofusbook.net/fr/equipement/2954091-test/objets", "link")</f>
        <v/>
      </c>
      <c r="C3101" t="n">
        <v>1</v>
      </c>
      <c r="D3101" t="inlineStr">
        <is>
          <t>Baguette de Malléfisk; Pendentif affamé; Anneau de Nidas; Anneau Tique; Bouclier cubiste; Ceinture de Vortex; Heaume Oplate; Cape Ardente; Chaussures Ardentes; Dofus Ivoire; Dofus Abyssal; Dofus Forgelave; Érudit majeur; Remueur; Temporiseur majeur; Muldo Orchidée</t>
        </is>
      </c>
    </row>
    <row r="3102">
      <c r="A3102" t="inlineStr">
        <is>
          <t>Feu - Ret pm</t>
        </is>
      </c>
      <c r="B3102">
        <f>HYPERLINK("https://www.dofusbook.net/fr/equipement/2950620-feu---ret-pm/objets", "link")</f>
        <v/>
      </c>
      <c r="C3102" t="n">
        <v>4</v>
      </c>
      <c r="D3102" t="inlineStr">
        <is>
          <t>Arc Hétype; Collier de la Dame du Hasard; Anneau Tique; Anneau de Nidas; Bouclier cubiste; Ceinture de Vortex; Heaume Oplate; Cape de la Dame du Hasard; Bottes Innommables; Dofus Forgelave; Dofus Ivoire; Dofus Abyssal; Érudit majeur; Temporiseur majeur; Remueur; Muldo Orchidée et Pourpre</t>
        </is>
      </c>
    </row>
    <row r="3103">
      <c r="A3103" t="inlineStr">
        <is>
          <t>Feu - Bourrin</t>
        </is>
      </c>
      <c r="B3103">
        <f>HYPERLINK("https://www.dofusbook.net/fr/equipement/2943707-feu---bourrin/objets", "link")</f>
        <v/>
      </c>
      <c r="C3103" t="n">
        <v>2</v>
      </c>
      <c r="D3103" t="inlineStr">
        <is>
          <t>Arc Hétype; Pendentif affamé; Anneau Tique; Anneauræus; Bouclier du Stalak; Ceinture de Gein; Chapeau de Gein; Voile d'encre; Bottes Innommables; Dofus Ocre; Dofus Abyssal; Dofus Ivoire; Érudit majeur; Miraculé majeur; Remueur; Muldo Ebène et Orchidée</t>
        </is>
      </c>
    </row>
    <row r="3104">
      <c r="A3104" t="inlineStr">
        <is>
          <t>LOUL</t>
        </is>
      </c>
      <c r="B3104">
        <f>HYPERLINK("https://www.dofusbook.net/fr/equipement/1743747-loul/objets", "link")</f>
        <v/>
      </c>
      <c r="C3104" t="n">
        <v>1</v>
      </c>
      <c r="D3104" t="inlineStr">
        <is>
          <t>Marteau de Katrepat; Amulette du Strigide; Alliance Brûlâme; Alliance Gloursonne; Bouclier d'Anerice; Ceinture du Strigide; Masque Brûlâme; Cape d'Anerice; Pompes Funèbres; Dofus Ocre; Dofus Ivoire; Dofus Pourpre; Dofus des Glaces; Dofus Turquoise; Dofus Abyssal; Muldo Ebène et Orchidée</t>
        </is>
      </c>
    </row>
    <row r="3105">
      <c r="A3105" t="inlineStr">
        <is>
          <t>plop 12pa</t>
        </is>
      </c>
      <c r="B3105">
        <f>HYPERLINK("https://www.dofusbook.net/fr/equipement/2942942-plop-12pa/objets", "link")</f>
        <v/>
      </c>
      <c r="C3105" t="n">
        <v>1</v>
      </c>
      <c r="D3105" t="inlineStr"/>
    </row>
    <row r="3106">
      <c r="A3106" t="inlineStr">
        <is>
          <t>Terre Feu - Hétype</t>
        </is>
      </c>
      <c r="B3106">
        <f>HYPERLINK("https://www.dofusbook.net/fr/equipement/2941347-terre-feu---hetype/objets", "link")</f>
        <v/>
      </c>
      <c r="C3106" t="n">
        <v>1</v>
      </c>
      <c r="D3106" t="inlineStr">
        <is>
          <t>Arc Hétype; Amulette Volcanique; Alliance Brûlâme; Bague Gloursonne; Bouclier cubiste; Ceinture de Gein; Chapeau de Gein; Sac Volcanique; Sabots Volcaniques; Dofus Émeraude; Dofus Ocre; Dolmanax; Dofus Abyssal; Dofus Pourpre; Dofus Ivoire; Muldo Indigo et Orchidée</t>
        </is>
      </c>
    </row>
    <row r="3107">
      <c r="A3107" t="inlineStr">
        <is>
          <t>Air Feu - hétype</t>
        </is>
      </c>
      <c r="B3107">
        <f>HYPERLINK("https://www.dofusbook.net/fr/equipement/2941002-air-feu---hetype/objets", "link")</f>
        <v/>
      </c>
      <c r="C3107" t="n">
        <v>1</v>
      </c>
      <c r="D3107" t="inlineStr">
        <is>
          <t>Arc Hétype; Pendentif mignon de Koutoulou; Alliance Gloursonne; Anneau Rifique; Cadran d'Air; Ceinture de Vortex; Casque Cyclopéen; Voile d'encre; Sabots de Vortex; Dolmanax; Dofus Abyssal; Dofus Pourpre; Dofus Ivoire; Dofus Émeraude; Dofus Ocre; Muldo Ebène et Pourpre</t>
        </is>
      </c>
    </row>
    <row r="3108">
      <c r="A3108" t="inlineStr">
        <is>
          <t>Air - Soutient</t>
        </is>
      </c>
      <c r="B3108">
        <f>HYPERLINK("https://www.dofusbook.net/fr/equipement/2940932-air---soutient/objets", "link")</f>
        <v/>
      </c>
      <c r="C3108" t="n">
        <v>2</v>
      </c>
      <c r="D3108" t="inlineStr">
        <is>
          <t>Baguette de Malléfisk; Amulette d'Ilyzaelle; Anneau Rifique; Alliance Gloursonne; Bouclier d'Ilyzaelle; Ceinture de Vortex; Casque Cyclopéen; Cape des Justiciers; Sabots de Vortex; Dofus Émeraude; Dofus Ocre; Dolmanax; Dofus Abyssal; Dofus Pourpre; Dofus Ivoire; Muldo Pourpre</t>
        </is>
      </c>
    </row>
    <row r="3109">
      <c r="A3109" t="inlineStr">
        <is>
          <t>Air - Rox</t>
        </is>
      </c>
      <c r="B3109">
        <f>HYPERLINK("https://www.dofusbook.net/fr/equipement/2897971-air---rox/objets", "link")</f>
        <v/>
      </c>
      <c r="C3109" t="n">
        <v>1</v>
      </c>
      <c r="D3109" t="inlineStr">
        <is>
          <t>Pelle de la Cour Sombre; Collier du Valet Veinard; Gant du Valet Veinard; Alliance Gloursonne; Sept ans de malheur; Menoture; Chapoulpe; Chevelure de Tal Kasha; Palmes Trithons; Dofus Cawotte; Dofus Ivoire; Dofus Émeraude; Dolmanax; Cascadeur majeur; Remueur; Muldo Ebène</t>
        </is>
      </c>
    </row>
    <row r="3110">
      <c r="A3110" t="inlineStr">
        <is>
          <t>air - 12pa</t>
        </is>
      </c>
      <c r="B3110">
        <f>HYPERLINK("https://www.dofusbook.net/fr/equipement/2827978-air---12pa/objets", "link")</f>
        <v/>
      </c>
      <c r="C3110" t="n">
        <v>1</v>
      </c>
      <c r="D3110" t="inlineStr">
        <is>
          <t>Pelle de la Cour Sombre; Collier du Valet Veinard; Alliance Gloursonne; Gant du Valet Veinard; Bouclier d'Ilyzaelle; Ceintouse; Chapoulpe; Cape du Valet Veinard; Tentassons; Dolmanax; Dofus Cawotte; Dofus Pourpre; Dofus Ivoire; Dofus Émeraude; Dofus Ocre; Muldo Ebène</t>
        </is>
      </c>
    </row>
    <row r="3111">
      <c r="A3111" t="inlineStr">
        <is>
          <t>skin</t>
        </is>
      </c>
      <c r="B3111">
        <f>HYPERLINK("https://www.dofusbook.net/fr/equipement/2924966-skin/objets", "link")</f>
        <v/>
      </c>
      <c r="C3111" t="n">
        <v>3</v>
      </c>
      <c r="D3111" t="inlineStr">
        <is>
          <t>Colorivant 6; Colorivant 5</t>
        </is>
      </c>
    </row>
    <row r="3112">
      <c r="A3112" t="inlineStr">
        <is>
          <t>Skin</t>
        </is>
      </c>
      <c r="B3112">
        <f>HYPERLINK("https://www.dofusbook.net/fr/equipement/2924956-skin/objets", "link")</f>
        <v/>
      </c>
      <c r="C3112" t="n">
        <v>2</v>
      </c>
      <c r="D3112" t="inlineStr">
        <is>
          <t>Muldo Caméléon; Colorivant 6; Colorivant 5</t>
        </is>
      </c>
    </row>
    <row r="3113">
      <c r="A3113" t="inlineStr">
        <is>
          <t>Skin</t>
        </is>
      </c>
      <c r="B3113">
        <f>HYPERLINK("https://www.dofusbook.net/fr/equipement/2924880-skin/objets", "link")</f>
        <v/>
      </c>
      <c r="C3113" t="n">
        <v>1</v>
      </c>
      <c r="D3113" t="inlineStr">
        <is>
          <t>Colorivant 6; Colorivant 5</t>
        </is>
      </c>
    </row>
    <row r="3114">
      <c r="A3114" t="inlineStr">
        <is>
          <t>whhsg</t>
        </is>
      </c>
      <c r="B3114">
        <f>HYPERLINK("https://www.dofusbook.net/fr/equipement/2922997-whhsg/objets", "link")</f>
        <v/>
      </c>
      <c r="C3114" t="n">
        <v>4</v>
      </c>
      <c r="D3114" t="inlineStr">
        <is>
          <t>Marteau R'ture; Amulette du Strigide; Anneau de Brouce; Anneau Chevelu; Cadran de Terre; Ceintacé; Masque de Koutoulou; Cape du Cœur Saignant; Bottes du Cœur Saignant; Dofus Pourpre; Dofus Turquoise; Dofus Ivoire; Enragé majeur; Vigoureux majeur; Muldo Indigo et Orchidée</t>
        </is>
      </c>
    </row>
    <row r="3115">
      <c r="A3115" t="inlineStr">
        <is>
          <t>Multi</t>
        </is>
      </c>
      <c r="B3115">
        <f>HYPERLINK("https://www.dofusbook.net/fr/equipement/2907816-multi/objets", "link")</f>
        <v/>
      </c>
      <c r="C3115" t="n">
        <v>4</v>
      </c>
      <c r="D3115" t="inlineStr">
        <is>
          <t>Massier; Amulette du Strigide; Bracelet du Piloztère; Anneau Toriété; Bouclier d'Anerice; Ceinture du Comte Razof; Masque d'Anerice; Voile d'encre; Pompes Funèbres; Dofus Pourpre; Dofus Ivoire; Dofus Émeraude; Dofus Ocre; Vigoureux majeur; Remueur; Kramkram</t>
        </is>
      </c>
    </row>
    <row r="3116">
      <c r="A3116" t="inlineStr">
        <is>
          <t>Feu - Ret pa Tac Res</t>
        </is>
      </c>
      <c r="B3116">
        <f>HYPERLINK("https://www.dofusbook.net/fr/equipement/2880826-feu---ret-pa-tac-res/objets", "link")</f>
        <v/>
      </c>
      <c r="C3116" t="n">
        <v>2</v>
      </c>
      <c r="D3116" t="inlineStr">
        <is>
          <t>Arc Hétype; Pendentif mignon de Koutoulou; Anneau Rifique; Anneau Tique; Sept ans de malheur; Ceinture de Vortex; Casque Dragoeuf; Cape de Diondin; Pataugastrique; Dofus Émeraude; Dofus Abyssal; Dolmanax; Dofus Ivoire; Étourdisseur majeur; Érudit majeur; Muldo Roux et Orchidée</t>
        </is>
      </c>
    </row>
    <row r="3117">
      <c r="A3117" t="inlineStr">
        <is>
          <t>Air - Bourrin</t>
        </is>
      </c>
      <c r="B3117">
        <f>HYPERLINK("https://www.dofusbook.net/fr/equipement/2859391-air---bourrin/objets", "link")</f>
        <v/>
      </c>
      <c r="C3117" t="n">
        <v>2</v>
      </c>
      <c r="D3117" t="inlineStr">
        <is>
          <t>Manthache; Amulette d'Ilyzaelle; Alliance Gloursonne; Anneau Rifique; Bouclier cubiste; Menoture; Casque des égarés; Cape Tif; Chaussures Face; Dofus Abyssal; Dolmanax; Dofus Pourpre; Remueur; Carapace Eau majeur; Cascadeur majeur; Muldo Ebène et Indigo</t>
        </is>
      </c>
    </row>
    <row r="3118">
      <c r="A3118" t="inlineStr">
        <is>
          <t>Atcham</t>
        </is>
      </c>
      <c r="B3118">
        <f>HYPERLINK("https://www.dofusbook.net/fr/equipement/2857652-atcham/objets", "link")</f>
        <v/>
      </c>
      <c r="C3118" t="n">
        <v>1</v>
      </c>
      <c r="D3118" t="inlineStr">
        <is>
          <t>Sabres d'Atcham; Amulette du Strigide; Bague Gloursonne; Bague Trithon; Bouclier alvéolé; Ceinture du Strigide; Masque Trithon; Cape d'Atcham; Sandales  d'Atcham; Dofus Pourpre; Dolmanax; Dofus Turquoise; Dofus Émeraude; Dofus Ocre; Dofus Ivoire; Muldo Ebène et Orchidée</t>
        </is>
      </c>
    </row>
    <row r="3119">
      <c r="A3119" t="inlineStr">
        <is>
          <t>Soutient</t>
        </is>
      </c>
      <c r="B3119">
        <f>HYPERLINK("https://www.dofusbook.net/fr/equipement/2854727-soutient/objets", "link")</f>
        <v/>
      </c>
      <c r="C3119" t="n">
        <v>2</v>
      </c>
      <c r="D3119" t="inlineStr">
        <is>
          <t>Arc Honte; Amulette Volcanique; Anneau Rifique; Anneau de Nidas; Bouclier cubiste; Ceinture de Gein; Casque Dragoeuf; Voile d'encre; Sabots Volcaniques; Dofus Ivoire; Dofus Ocre; Dolmanax; Remueur; Vigoureux majeur; Érudit majeur; Muldo Pourpre</t>
        </is>
      </c>
    </row>
    <row r="3120">
      <c r="A3120" t="inlineStr">
        <is>
          <t>Res - Do pou</t>
        </is>
      </c>
      <c r="B3120">
        <f>HYPERLINK("https://www.dofusbook.net/fr/equipement/2854570-res---do-pou/objets", "link")</f>
        <v/>
      </c>
      <c r="C3120" t="n">
        <v>6</v>
      </c>
      <c r="D3120" t="inlineStr">
        <is>
          <t>Lav'Hache; Torquistik; Bague Trithon; Bague Instable; Bouclier précieux; Ceinture Gence; Masque d'Anerice; Cape d'Anerice; Bottes du Cœur Vaillant; Dofus Abyssal; Dofus Ivoire; Remueur; Culbuteur majeur; Pousseur majeur; Bousculeur majeur; Muldo Ebène et Pourpre</t>
        </is>
      </c>
    </row>
    <row r="3121">
      <c r="A3121" t="inlineStr">
        <is>
          <t>test 2</t>
        </is>
      </c>
      <c r="B3121">
        <f>HYPERLINK("https://www.dofusbook.net/fr/equipement/2848484-test-2/objets", "link")</f>
        <v/>
      </c>
      <c r="C3121" t="n">
        <v>1</v>
      </c>
      <c r="D3121" t="inlineStr">
        <is>
          <t>Arc Nécrotique; Talisman Igans; Alliance Gloursonne; Anneau Kturne; Bouclier d'Anerice; Ceintrigue; Casqnoar; Cape d'Anerice; Bottes Owesli; Dofus Ocre; Dofus Ivoire; Dolmanax; Dofus des Glaces; Dofus Pourpre; Dofus Abyssal; Muldo Indigo et Orchidée</t>
        </is>
      </c>
    </row>
    <row r="3122">
      <c r="A3122" t="inlineStr">
        <is>
          <t>Feu - Roxx</t>
        </is>
      </c>
      <c r="B3122">
        <f>HYPERLINK("https://www.dofusbook.net/fr/equipement/2847324-feu---roxx/objets", "link")</f>
        <v/>
      </c>
      <c r="C3122" t="n">
        <v>2</v>
      </c>
      <c r="D3122" t="inlineStr">
        <is>
          <t>Arc corrompu; Amulette Séculaire; Anneauræus; Anneauræus; Bouclier du Stalak; Ceinture Séculaire; Casque Dragoeuf; Voile d'encre; Bottes Innommables; Dofus Ocre; Dofus Ivoire; Dofus Abyssal; Remueur; Miraculé majeur; Érudit majeur; Muldo Orchidée et Pourpre</t>
        </is>
      </c>
    </row>
    <row r="3123">
      <c r="A3123" t="inlineStr">
        <is>
          <t>test</t>
        </is>
      </c>
      <c r="B3123">
        <f>HYPERLINK("https://www.dofusbook.net/fr/equipement/2846246-test/objets", "link")</f>
        <v/>
      </c>
      <c r="C3123" t="n">
        <v>1</v>
      </c>
      <c r="D3123" t="inlineStr">
        <is>
          <t>Massier; Amulette de Gein; Bague Gloursonne; Chevalière du Roi Joueur; Bouclier d'Anerice; Ceinture de Gein; Chapeau de Gein; Cape d'Anerice; Bottes du Roi Joueur; Dofus Ocre; Dofus Ivoire; Dolmanax; Dofus Turquoise; Dofus Pourpre; Dofus Abyssal; Muldo Ebène et Pourpre</t>
        </is>
      </c>
    </row>
    <row r="3124">
      <c r="A3124" t="inlineStr">
        <is>
          <t>Eau Feu - test</t>
        </is>
      </c>
      <c r="B3124">
        <f>HYPERLINK("https://www.dofusbook.net/fr/equipement/2810410-eau-feu---test/objets", "link")</f>
        <v/>
      </c>
      <c r="C3124" t="n">
        <v>1</v>
      </c>
      <c r="D3124" t="inlineStr">
        <is>
          <t>Arc Nécrotique; Collier de la Dame du Hasard; Alliance Gloursonne; Anneau Toriété; Bouclier d'Anerice; Poulpagne; Masque d'Anerice; Cape de la Dame du Hasard; Bottes de la Dame du Hasard; Dofus Turquoise; Dofus Abyssal; Dofus Ocre; Dofus Ivoire; Dofus des Glaces; Dolmanax; Kramkram</t>
        </is>
      </c>
    </row>
    <row r="3125">
      <c r="A3125" t="inlineStr">
        <is>
          <t>Eau Air - tac ret pa</t>
        </is>
      </c>
      <c r="B3125">
        <f>HYPERLINK("https://www.dofusbook.net/fr/equipement/2839576-eau-air---tac-ret-pa/objets", "link")</f>
        <v/>
      </c>
      <c r="C3125" t="n">
        <v>3</v>
      </c>
      <c r="D3125" t="inlineStr">
        <is>
          <t>Arc de Koutoulou; Amulette d'Ilyzaelle; Gant du Valet Veinard; Alliance Gloursonne; Bouclier alvéolé; Sangle Ouare; Casque d'Ilyzaelle; Chevelure de Tal Kasha; Pataugastrique; Dofus Pourpre; Dolmanax; Dofus Émeraude; Obstructeur majeur; Étourdisseur majeur; Remueur; Kramkram</t>
        </is>
      </c>
    </row>
    <row r="3126">
      <c r="A3126" t="inlineStr">
        <is>
          <t>terre eau - srambad</t>
        </is>
      </c>
      <c r="B3126">
        <f>HYPERLINK("https://www.dofusbook.net/fr/equipement/2833079-terre-eau---srambad/objets", "link")</f>
        <v/>
      </c>
      <c r="C3126" t="n">
        <v>2</v>
      </c>
      <c r="D3126" t="inlineStr">
        <is>
          <t>Dagues de Srambad; Amulette Luminescente; Pikano; Alliance Gloursonne; Sept ans de malheur; Ceinture de la Reine des Voleurs; Coiffe de la Reine des Voleurs; Voile d'encre; Pataugastrique; Dofus Émeraude; Dofus Ivoire; Dolmanax; Dofus des Glaces; Étourdisseur majeur; Remueur; Muldo Indigo</t>
        </is>
      </c>
    </row>
    <row r="3127">
      <c r="A3127" t="inlineStr">
        <is>
          <t>Terre - Tac Ret pa</t>
        </is>
      </c>
      <c r="B3127">
        <f>HYPERLINK("https://www.dofusbook.net/fr/equipement/2776979-terre---tac-ret-pa/objets", "link")</f>
        <v/>
      </c>
      <c r="C3127" t="n">
        <v>2</v>
      </c>
      <c r="D3127" t="inlineStr">
        <is>
          <t>Lav'Hache; Amulette du Strigide; Anneau Crustique; Anneau Chevelu; Sept ans de malheur; Ceinture de la Cour Sombre; Masque de Koutoulou; Cape de la Cour Sombre; Bottes du Cœur Vaillant; Dolmanax; Dofus Cawotte; Dofus Pourpre; Dofus Émeraude; Remueur; Obstructeur majeur; Muldo Indigo et Orchidée</t>
        </is>
      </c>
    </row>
    <row r="3128">
      <c r="A3128" t="inlineStr">
        <is>
          <t>Eau Air - bourrin</t>
        </is>
      </c>
      <c r="B3128">
        <f>HYPERLINK("https://www.dofusbook.net/fr/equipement/2807383-eau-air---bourrin/objets", "link")</f>
        <v/>
      </c>
      <c r="C3128" t="n">
        <v>3</v>
      </c>
      <c r="D3128" t="inlineStr">
        <is>
          <t>Arc de Koutoulou; Amulette du Strigide; Alliance Gloursonne; Bouclier du Stalak; Ceintacé; Casque d'Ilyzaelle; Chevelure de Tal Kasha; Bottes du Strigide; Dofus Pourpre; Dofus Turquoise; Robuste majeur; Vigoureux majeur; Remueur</t>
        </is>
      </c>
    </row>
    <row r="3129">
      <c r="A3129" t="inlineStr">
        <is>
          <t>Terre Air - do pou</t>
        </is>
      </c>
      <c r="B3129">
        <f>HYPERLINK("https://www.dofusbook.net/fr/equipement/2806962-terre-air---do-pou/objets", "link")</f>
        <v/>
      </c>
      <c r="C3129" t="n">
        <v>1</v>
      </c>
      <c r="D3129" t="inlineStr">
        <is>
          <t>Héqache; Amulette du Cœur Vaillant; Alliance Gloursonne; Bague Trithon; Bouclier Taverne; Ceinture Gence; Masque Trithon; Cape du Cœur Vaillant; Bottes Trithon; Dofus Turquoise; Dolmanax; Dofus des Glaces; Dofus Pourpre; Bousculeur majeur; Muldo Ebène et Pourpre</t>
        </is>
      </c>
    </row>
    <row r="3130">
      <c r="A3130" t="inlineStr">
        <is>
          <t>Terre - Dommage</t>
        </is>
      </c>
      <c r="B3130">
        <f>HYPERLINK("https://www.dofusbook.net/fr/equipement/2779134-terre---dommage/objets", "link")</f>
        <v/>
      </c>
      <c r="C3130" t="n">
        <v>1</v>
      </c>
      <c r="D3130" t="inlineStr">
        <is>
          <t>Hache Ériphe; Amulette du Kamasterisk; Anneau Chevelu; Anneau de Brouce; Cadran d'Air; Ceinture de la Reine des Voleurs; Coiffe de la Reine des Voleurs; Voile d'encre; Sabots Minables; Dofus Émeraude; Dolmanax; Dofus Ocre; Dofus Pourpre; Dofus Abyssal; Dofus des Glaces; Muldo Orchidée et Pourpre</t>
        </is>
      </c>
    </row>
    <row r="3131">
      <c r="A3131" t="inlineStr">
        <is>
          <t>Feu - Entrave Soins</t>
        </is>
      </c>
      <c r="B3131">
        <f>HYPERLINK("https://www.dofusbook.net/fr/equipement/2756201-feu---entrave-soins/objets", "link")</f>
        <v/>
      </c>
      <c r="C3131" t="n">
        <v>3</v>
      </c>
      <c r="D3131" t="inlineStr">
        <is>
          <t>Baguette de Malléfisk; Pendentif affamé; Anneau Tique; Anneau de Nidas; Bouclier cubiste; Ceinture de Vortex; Heaume Oplate; Cape Ardente; Chaussures Ardentes; Dolmanax; Dofus Cawotte; Guérisseur majeur; Temporiseur majeur; Remueur; Érudit majeur; Muldo Indigo et Orchidée</t>
        </is>
      </c>
    </row>
    <row r="3132">
      <c r="A3132" t="inlineStr">
        <is>
          <t>Terre Air - ret pa</t>
        </is>
      </c>
      <c r="B3132">
        <f>HYPERLINK("https://www.dofusbook.net/fr/equipement/2756260-terre-air---ret-pa/objets", "link")</f>
        <v/>
      </c>
      <c r="C3132" t="n">
        <v>3</v>
      </c>
      <c r="D3132" t="inlineStr">
        <is>
          <t>Marteau R'ture; Amulette du Cœur Vaillant; Alliance Brûlâme; Alliance Gloursonne; Cadran de Terre; Ceintouse; Chapoulpe; Cape du Cœur Vaillant; Tentassons; Dofus des Glaces; Dofus Pourpre; Dofus Abyssal; Dofus Ocre; Dofus Cawotte; Muldo Indigo et Pourpre</t>
        </is>
      </c>
    </row>
    <row r="3133">
      <c r="A3133" t="inlineStr">
        <is>
          <t>Air - Ret pa/pm</t>
        </is>
      </c>
      <c r="B3133">
        <f>HYPERLINK("https://www.dofusbook.net/fr/equipement/2756237-air---ret-pa-pm/objets", "link")</f>
        <v/>
      </c>
      <c r="C3133" t="n">
        <v>5</v>
      </c>
      <c r="D3133" t="inlineStr">
        <is>
          <t>Manthache; Amibou; Alliance Gloursonne; Gant du Valet Veinard; Bouclier cubiste; Menoture; Dorabysses; Capibou; Palmes Trithons; Dofus Cawotte; Étourdisseur majeur; Cascadeur majeur; Remueur; Temporiseur majeur; Muldo Ebène</t>
        </is>
      </c>
    </row>
    <row r="3134">
      <c r="A3134" t="inlineStr">
        <is>
          <t>mulaboost</t>
        </is>
      </c>
      <c r="B3134">
        <f>HYPERLINK("https://www.dofusbook.net/fr/equipement/2652545-mulaboost/objets", "link")</f>
        <v/>
      </c>
      <c r="C3134" t="n">
        <v>3</v>
      </c>
      <c r="D3134" t="inlineStr">
        <is>
          <t>La Baguette des Limbes; Plimclik; Mitaine Aibre; Gelano; Sangle Hyssérine; Coiffe Ainte; Cape Endaison; Bottes Opsy; Kwaltess</t>
        </is>
      </c>
    </row>
    <row r="3135">
      <c r="A3135" t="inlineStr">
        <is>
          <t>Multi - do crit</t>
        </is>
      </c>
      <c r="B3135">
        <f>HYPERLINK("https://www.dofusbook.net/fr/equipement/2380942-multi---do-crit/objets", "link")</f>
        <v/>
      </c>
      <c r="C3135" t="n">
        <v>4</v>
      </c>
      <c r="D3135" t="inlineStr">
        <is>
          <t>Héqache; Amulette du Strigide; Alliance Gloursonne; Anneau Chevelu; Bouclier Taverne; Sangle Ouare; Masque Trithon; Voile d'encre; Bottes Trithon; Dofus des Glaces; Dofus Pourpre; Dofus Turquoise; Dofus Ocre; Remueur; Kramkram</t>
        </is>
      </c>
    </row>
    <row r="3136">
      <c r="A3136" t="inlineStr">
        <is>
          <t>Eau Air - Ily Reine</t>
        </is>
      </c>
      <c r="B3136">
        <f>HYPERLINK("https://www.dofusbook.net/fr/equipement/2631928-eau-air---ily-reine/objets", "link")</f>
        <v/>
      </c>
      <c r="C3136" t="n">
        <v>1</v>
      </c>
      <c r="D3136" t="inlineStr">
        <is>
          <t>Rapière aux Glyphes; Amulette d'Ilyzaelle; Pikano; Alliance Gloursonne; Bouclier d'Ilyzaelle; Poulpagne; Coiffe de la Reine des Voleurs; Chevelure de Tal Kasha; Bottes de la Reine des Voleurs; Dofus Émeraude; Dofus Ocre; Dolmanax; Dofus des Glaces; Dofus Abyssal; Dofus Pourpre; Muldo Ebène et Pourpre</t>
        </is>
      </c>
    </row>
    <row r="3137">
      <c r="A3137" t="inlineStr">
        <is>
          <t>Terre Eau - Srambad</t>
        </is>
      </c>
      <c r="B3137">
        <f>HYPERLINK("https://www.dofusbook.net/fr/equipement/2571580-terre-eau---srambad/objets", "link")</f>
        <v/>
      </c>
      <c r="C3137" t="n">
        <v>1</v>
      </c>
      <c r="D3137" t="inlineStr">
        <is>
          <t>Dagues de Srambad; Amulette du Piloztère; Alliance Gloursonne; Cadran de Terre; Ceinture de la Reine des Voleurs; Coiffe de la Reine des Voleurs; Voile d'encre; Sabots Minables; Dolmanax; Dofus Pourpre; Dofus des Glaces; Étourdisseur majeur; Remueur; Muldo Ebène et Indigo</t>
        </is>
      </c>
    </row>
    <row r="3138">
      <c r="A3138" t="inlineStr">
        <is>
          <t>Force -</t>
        </is>
      </c>
      <c r="B3138">
        <f>HYPERLINK("https://www.dofusbook.net/fr/equipement/2567691-force--/objets", "link")</f>
        <v/>
      </c>
      <c r="C3138" t="n">
        <v>4</v>
      </c>
      <c r="D3138" t="inlineStr">
        <is>
          <t>Dagues de Srambad; Amulette du Piloztère; Anneau Chevelu; Pikano; Bouclier alvéolé; Ceinture de la Reine des Voleurs; Masque de Koutoulou; Voile d'encre; Bottes de la Reine des Voleurs; Dolmanax; Dofus Ocre; Dofus Pourpre; Dofus des Glaces; Chanceux majeur; Remueur; Muldo Ebène et Pourpre</t>
        </is>
      </c>
    </row>
    <row r="3139">
      <c r="A3139" t="inlineStr">
        <is>
          <t>Ret pm et ini</t>
        </is>
      </c>
      <c r="B3139">
        <f>HYPERLINK("https://www.dofusbook.net/fr/equipement/1087256-ret-pm-et-ini/objets", "link")</f>
        <v/>
      </c>
      <c r="C3139" t="n">
        <v>7</v>
      </c>
      <c r="D3139" t="inlineStr">
        <is>
          <t>Arc Hétype; Amulette du Glourséleste; Anneau Instable; Pikano; Bouclier cubiste; Ceinture Instable; Maskrobe; Cape Tif; Pantoufles Émar; Ralentisseur majeur; Temporiseur majeur; Entraveur; Remueur; Temporiseur; Entraveur majeur; Kwaltess</t>
        </is>
      </c>
    </row>
    <row r="3140">
      <c r="A3140" t="inlineStr">
        <is>
          <t>Filitiste</t>
        </is>
      </c>
      <c r="B3140">
        <f>HYPERLINK("https://www.dofusbook.net/fr/equipement/5733719-filitiste/objets", "link")</f>
        <v/>
      </c>
      <c r="C3140" t="n">
        <v>2</v>
      </c>
      <c r="D3140" t="inlineStr">
        <is>
          <t>Crocobur; Amulette Volkorne; Anneauræus; Anneauræus; Bouclier d'Ilyzaelle; Croture; Heaume Oplate; Cape de Jahash Jurgen; Bottes Innommables; Dofus des Glaces; Dofus Ivoire; Dofus Émeraude; Dofus Ébène; Dofus Ocre; Dofus Abyssal; Bisouglours</t>
        </is>
      </c>
    </row>
    <row r="3141">
      <c r="A3141" t="inlineStr">
        <is>
          <t>Eaudopou</t>
        </is>
      </c>
      <c r="B3141">
        <f>HYPERLINK("https://www.dofusbook.net/fr/equipement/5697995-eaudopou/objets", "link")</f>
        <v/>
      </c>
      <c r="C3141" t="n">
        <v>2</v>
      </c>
      <c r="D3141" t="inlineStr">
        <is>
          <t>Crocobur; Amulette du Sinistrofu; Alliance Gloursonne; Anneau Volkorne; Bouclier d'Ilyzaelle; Sangle Ouare; Masque des Fonds marins; Cape Solution; Bottes du Sinistrofu; Dofus Ébène; Dofus Abyssal; Dofus Ocre; Dofus Ivoire; Culbuteur majeur; Bousculeur majeur; Écumouth</t>
        </is>
      </c>
    </row>
    <row r="3142">
      <c r="A3142" t="inlineStr">
        <is>
          <t>Feulolilol</t>
        </is>
      </c>
      <c r="B3142">
        <f>HYPERLINK("https://www.dofusbook.net/fr/equipement/5618218-feulolilol/objets", "link")</f>
        <v/>
      </c>
      <c r="C3142" t="n">
        <v>7</v>
      </c>
      <c r="D3142" t="inlineStr">
        <is>
          <t>Arc corrompu; Amulette Volkorne; Anneauræus; Anneauræus; Bouclier du Stalak; Croture; Heaume Oplate; Cape de Diondin; Bottes Innommables; Dofus Ébène; Dofus des Glaces; Dofus Abyssal; Dofus Ivoire; Érudit majeur; Nomade; Bisouglours</t>
        </is>
      </c>
    </row>
    <row r="3143">
      <c r="A3143" t="inlineStr">
        <is>
          <t>Zobal M 200</t>
        </is>
      </c>
      <c r="B3143">
        <f>HYPERLINK("https://www.dofusbook.net/fr/equipement/5606783-zobal-m-200/objets", "link")</f>
        <v/>
      </c>
      <c r="C3143" t="n">
        <v>5</v>
      </c>
      <c r="D3143" t="inlineStr">
        <is>
          <t>Arc Nécrotique; Amulette Volkorne; Bague Trithon; Anneau Volkorne; Quatre-feuilles; Ceinture Volkorne; Masque Trithon; Dofusteuse; Bottes Trithon; Dofus Ocre; Dofus Abyssal; Dofus Pourpre; Dofus Ivoire; Dofus Turquoise; Dofus des Glaces; Kokulte</t>
        </is>
      </c>
    </row>
    <row r="3144">
      <c r="A3144" t="inlineStr">
        <is>
          <t>feudsldetredslbb</t>
        </is>
      </c>
      <c r="B3144">
        <f>HYPERLINK("https://www.dofusbook.net/fr/equipement/5585169-feudsldetredslbb/objets", "link")</f>
        <v/>
      </c>
      <c r="C3144" t="n">
        <v>7</v>
      </c>
      <c r="D3144" t="inlineStr">
        <is>
          <t>Arc corrompu; Amulette Volkorne; Anneauræus; Anneauræus; Bouclier du Stalak; Croture; Heaume Oplate; Cape de Diondin; Bottes Innommables; Dofus des Glaces; Dofus Abyssal; Dofus Ivoire; Dofus Ébène; Érudit majeur; Nomade; Bisouglours</t>
        </is>
      </c>
    </row>
    <row r="3145">
      <c r="A3145" t="inlineStr">
        <is>
          <t>airdocrit</t>
        </is>
      </c>
      <c r="B3145">
        <f>HYPERLINK("https://www.dofusbook.net/fr/equipement/5424009-airdocrit/objets", "link")</f>
        <v/>
      </c>
      <c r="C3145" t="n">
        <v>15</v>
      </c>
      <c r="D3145" t="inlineStr">
        <is>
          <t>Manthache; Collier du Valet Veinard; Gant du Valet Veinard; Alliance Gloursonne; Bouclier du Stalak; Menoture; Couronne d'Allister; Cape Indescriptible; Palmes Trithons; Dofus Ivoire; Dofus Abyssal; Dofus Vulbis; Dofus Ébène; Dofus Ocre; Dofus des Glaces; Blérodoudou</t>
        </is>
      </c>
    </row>
    <row r="3146">
      <c r="A3146" t="inlineStr">
        <is>
          <t>feu opti dsl</t>
        </is>
      </c>
      <c r="B3146">
        <f>HYPERLINK("https://www.dofusbook.net/fr/equipement/5445316-feu-opti-dsl/objets", "link")</f>
        <v/>
      </c>
      <c r="C3146" t="n">
        <v>6</v>
      </c>
      <c r="D3146" t="inlineStr">
        <is>
          <t>Arc corrompu; Amulette Volkorne; Anneauræus; Anneauræus; Quatre-feuilles; Ceinture Volkorne; Heaume Oplate; Voile d'encre; Bottes Innommables; Dofus Ocre; Dofus Ébène; Dofus Ivoire; Dofus Abyssal; Dofus des Glaces; Dévastateur Feu majeur; Dragodinde Dorée et Orchidée</t>
        </is>
      </c>
    </row>
    <row r="3147">
      <c r="A3147" t="inlineStr">
        <is>
          <t>dslducheatbb</t>
        </is>
      </c>
      <c r="B3147">
        <f>HYPERLINK("https://www.dofusbook.net/fr/equipement/5490302-dslducheatbb/objets", "link")</f>
        <v/>
      </c>
      <c r="C3147" t="n">
        <v>3</v>
      </c>
      <c r="D3147" t="inlineStr">
        <is>
          <t>Arc corrompu; Amulette Volkorne; Anneauræus; Anneauræus; Ceinture Volkorne; Heaume Oplate; Voile d'encre; Bottes Innommables</t>
        </is>
      </c>
    </row>
    <row r="3148">
      <c r="A3148" t="inlineStr">
        <is>
          <t>cheatnerfpliz</t>
        </is>
      </c>
      <c r="B3148">
        <f>HYPERLINK("https://www.dofusbook.net/fr/equipement/5432122-cheatnerfpliz/objets", "link")</f>
        <v/>
      </c>
      <c r="C3148" t="n">
        <v>7</v>
      </c>
      <c r="D3148" t="inlineStr">
        <is>
          <t>Manthache; Collier du Valet Veinard; Gant du Valet Veinard; Alliance Gloursonne; Bouclier d'Ilyzaelle; Menoture; Casque d'Ilyzaelle; Cape Indescriptible; Palmes Trithons; Dofus Émeraude; Dofus Abyssal; Dofus Argenté; Dofus Ivoire; Dofus Ocre; Dofus Ébène; Blérodoudou</t>
        </is>
      </c>
    </row>
    <row r="3149">
      <c r="A3149" t="inlineStr">
        <is>
          <t>foer</t>
        </is>
      </c>
      <c r="B3149">
        <f>HYPERLINK("https://www.dofusbook.net/fr/equipement/5420521-foer/objets", "link")</f>
        <v/>
      </c>
      <c r="C3149" t="n">
        <v>10</v>
      </c>
      <c r="D3149" t="inlineStr">
        <is>
          <t>Baguette de Torkélonia; Amulette du Strigide; Gant du Valet Veinard; Alliance Gloursonne; Quatre-feuilles; Ceinture du Strigide; Corne de Torkélonia; Carapace de Torkélonia; Bottes du Strigide; Dofus Ivoire; Dofus Abyssal; Dofus Turquoise; Dofus Ébène; Dofus Ocre; Dofus des Glaces; Pioute jaune</t>
        </is>
      </c>
    </row>
    <row r="3150">
      <c r="A3150" t="inlineStr">
        <is>
          <t>pvm</t>
        </is>
      </c>
      <c r="B3150">
        <f>HYPERLINK("https://www.dofusbook.net/fr/equipement/5409577-pvm/objets", "link")</f>
        <v/>
      </c>
      <c r="C3150" t="n">
        <v>3</v>
      </c>
      <c r="D3150" t="inlineStr">
        <is>
          <t>Arc du Chalœil; Collier de Tourthon; Anneau de Brouce; Anneau Volkorne; Quatre-feuilles; Ceinture Volkorne; Masque de Koutoulou; Cape de Jahash Jurgen; Bottes du Cœur Saignant; Dofus Ocre; Dofus Ébène; Dofus Vulbis; Dofus Nébuleux; Forcené majeur; Enragé majeur; Bulbisou</t>
        </is>
      </c>
    </row>
    <row r="3151">
      <c r="A3151" t="inlineStr">
        <is>
          <t>nercra</t>
        </is>
      </c>
      <c r="B3151">
        <f>HYPERLINK("https://www.dofusbook.net/fr/equipement/5404391-nercra/objets", "link")</f>
        <v/>
      </c>
      <c r="C3151" t="n">
        <v>3</v>
      </c>
      <c r="D3151" t="inlineStr">
        <is>
          <t>Baguette de Torkélonia; Amulette du Strigide; Bague Gloursonne; Alliance Gloursonne; Quatre-feuilles; Ceinture du Strigide; Corne de Torkélonia; Carapace de Torkélonia; Bottes du Strigide; Dofus Ocre; Dofus Ébène; Dofus Turquoise; Dofus Abyssal; Dofus Nébuleux; Dofus Ivoire; Sakochère</t>
        </is>
      </c>
    </row>
    <row r="3152">
      <c r="A3152" t="inlineStr">
        <is>
          <t>fullfeuxd</t>
        </is>
      </c>
      <c r="B3152">
        <f>HYPERLINK("https://www.dofusbook.net/fr/equipement/5370007-fullfeuxd/objets", "link")</f>
        <v/>
      </c>
      <c r="C3152" t="n">
        <v>5</v>
      </c>
      <c r="D3152" t="inlineStr">
        <is>
          <t>Arc corrompu; Amulette Volkorne; Anneauræus; Anneauræus; Quatre-feuilles; Ceinture Volkorne; Heaume Oplate; Cape de Diondin; Bottes Innommables; Dofus Pourpre; Dofus des Glaces; Dofus Ivoire; Dofus Abyssal; Dofus Ébène; Érudit majeur; Bisouglours</t>
        </is>
      </c>
    </row>
    <row r="3153">
      <c r="A3153" t="inlineStr">
        <is>
          <t>nerfpliz</t>
        </is>
      </c>
      <c r="B3153">
        <f>HYPERLINK("https://www.dofusbook.net/fr/equipement/5406009-nerfpliz/objets", "link")</f>
        <v/>
      </c>
      <c r="C3153" t="n">
        <v>3</v>
      </c>
      <c r="D3153" t="inlineStr">
        <is>
          <t>Manthache; Collier du Valet Veinard; Alliance Gloursonne; Gant du Valet Veinard; Bouclier d'Ilyzaelle; Menoture; Couronne d'Allister; Cape Indescriptible; Palmes Trithons; Dofus Ébène; Dofus Abyssal; Dofus Argenté; Dofus Ivoire; Remueur; Nomade; Dragodinde Ebène et Ivoire</t>
        </is>
      </c>
    </row>
    <row r="3154">
      <c r="A3154" t="inlineStr">
        <is>
          <t>LOLILOLILOL</t>
        </is>
      </c>
      <c r="B3154">
        <f>HYPERLINK("https://www.dofusbook.net/fr/equipement/5404421-lolilolilol/objets", "link")</f>
        <v/>
      </c>
      <c r="C3154" t="n">
        <v>7</v>
      </c>
      <c r="D3154" t="inlineStr">
        <is>
          <t>Arc du Chalœil; Collier de Tourthon; Anneau Volkorne; Bague Gloursonne; Quatre-feuilles; Ceinture Volkorne; Masque de Koutoulou; Cape au Logis; Bottes du Cœur Saignant; Dofus Ocre; Dofus Abyssal; Dofus Nébuleux; Dofus Ivoire; Dofus Turquoise; Dofus Ébène; Pioute vert</t>
        </is>
      </c>
    </row>
    <row r="3155">
      <c r="A3155" t="inlineStr">
        <is>
          <t>rescrit</t>
        </is>
      </c>
      <c r="B3155">
        <f>HYPERLINK("https://www.dofusbook.net/fr/equipement/5404317-rescrit/objets", "link")</f>
        <v/>
      </c>
      <c r="C3155" t="n">
        <v>3</v>
      </c>
      <c r="D3155" t="inlineStr">
        <is>
          <t>Crocobur; Collier de Tourthon; Bague Gloursonne; Anneau Volkorne; Bouclier d'Ilyzaelle; Ceinture Volkorne; Masque de Koutoulou; Cape au Logis; Baleinabottes; Dofus Ivoire; Dofus Ocre; Dofus Abyssal; Dofus Ébène; Bouftor</t>
        </is>
      </c>
    </row>
    <row r="3156">
      <c r="A3156" t="inlineStr">
        <is>
          <t>lolimol</t>
        </is>
      </c>
      <c r="B3156">
        <f>HYPERLINK("https://www.dofusbook.net/fr/equipement/5386728-lolimol/objets", "link")</f>
        <v/>
      </c>
      <c r="C3156" t="n">
        <v>8</v>
      </c>
      <c r="D3156" t="inlineStr">
        <is>
          <t>Arc Nécrotique; Amulette Volkorne; Anneau Volkorne; Bague Trithon; Quatre-feuilles; Ceinture Volkorne; Masque Trithon; Dofusteuse; Bottes Trithon; Dofus Pourpre; Dofus Abyssal; Dofus Turquoise; Dofus des Glaces; Dofus Ocre; Dofus Ivoire; Kokulte</t>
        </is>
      </c>
    </row>
    <row r="3157">
      <c r="A3157" t="inlineStr">
        <is>
          <t>lolilolilol</t>
        </is>
      </c>
      <c r="B3157">
        <f>HYPERLINK("https://www.dofusbook.net/fr/equipement/5387943-lolilolilol/objets", "link")</f>
        <v/>
      </c>
      <c r="C3157" t="n">
        <v>6</v>
      </c>
      <c r="D3157" t="inlineStr">
        <is>
          <t>Epée Gloursonne; Amulette de l'Indicible; Alliance Gloursonne; Bague Gloursonne; Goulclier; Ceinture de la Reine des Voleurs; Casque du Chalœil; Cape du Chalœil; Bottes du Chalœil; Dofus Émeraude; Dofus Ivoire; Dofus Pourpre; Dofus des Glaces; Dofus Ocre; Dofus Abyssal; Bouftor</t>
        </is>
      </c>
    </row>
    <row r="3158">
      <c r="A3158" t="inlineStr">
        <is>
          <t>docrit dsl</t>
        </is>
      </c>
      <c r="B3158">
        <f>HYPERLINK("https://www.dofusbook.net/fr/equipement/5381997-docrit-dsl/objets", "link")</f>
        <v/>
      </c>
      <c r="C3158" t="n">
        <v>12</v>
      </c>
      <c r="D3158" t="inlineStr">
        <is>
          <t>Dagues du Dragoeuf; Amulette Volkorne; Anneau Volkorne; Bague Trithon; Bouclier du Captain Amakna; Ceinture Volkorne; Masque Trithon; Dofusteuse; Bottes Trithon; Dofus Ocre; Dofus Ivoire; Dofus Pourpre; Dofus des Glaces; Dofus Turquoise; Dofus Abyssal; Kougnard Albâtre</t>
        </is>
      </c>
    </row>
    <row r="3159">
      <c r="A3159" t="inlineStr">
        <is>
          <t>Overcheat</t>
        </is>
      </c>
      <c r="B3159">
        <f>HYPERLINK("https://www.dofusbook.net/fr/equipement/5371204-overcheat/objets", "link")</f>
        <v/>
      </c>
      <c r="C3159" t="n">
        <v>14</v>
      </c>
      <c r="D3159" t="inlineStr">
        <is>
          <t>Crocobur; Collier du Valet Veinard; Gant du Valet Veinard; Alliance Gloursonne; Bouclier d'Ilyzaelle; Menoture; Casque Volkorne; Cape Martegel; Palmes Trithons; Dofus Abyssal; Dofus Ivoire; Dofus Émeraude; Dofus Ébène; Remueur; Blérodoudou</t>
        </is>
      </c>
    </row>
    <row r="3160">
      <c r="A3160" t="inlineStr">
        <is>
          <t>xdey</t>
        </is>
      </c>
      <c r="B3160">
        <f>HYPERLINK("https://www.dofusbook.net/fr/equipement/5371063-xdey/objets", "link")</f>
        <v/>
      </c>
      <c r="C3160" t="n">
        <v>7</v>
      </c>
      <c r="D3160" t="inlineStr">
        <is>
          <t>Hache Téroïde; Amulette Volkorne; Bague Gloursonne; Bague Trithon; Bouclier du Captain Amakna; Ceinture Volkorne; Masque de Koutoulou; Cape du Cœur Saignant; Bottes du Cœur Saignant; Dofus Turquoise; Dofus des Glaces; Dofus Ocre; Dofus Abyssal; Dofus Pourpre; Dofus Ivoire; Pioute vert</t>
        </is>
      </c>
    </row>
    <row r="3161">
      <c r="A3161" t="inlineStr">
        <is>
          <t>Fullonocrit</t>
        </is>
      </c>
      <c r="B3161">
        <f>HYPERLINK("https://www.dofusbook.net/fr/equipement/5359102-fullonocrit/objets", "link")</f>
        <v/>
      </c>
      <c r="C3161" t="n">
        <v>7</v>
      </c>
      <c r="D3161" t="inlineStr">
        <is>
          <t>Crocobur; Amulette d'Ilyzaelle; Alliance Gloursonne; Anneau Volkorne; Bouclier d'Ilyzaelle; Ceinture Volkorne; Casque d'Ilyzaelle; Cape Solution; Bottes du Sinistrofu; Dofus Émeraude; Dofus Abyssal; Dofus Ivoire; Dofus des Glaces; Dofus Ébène</t>
        </is>
      </c>
    </row>
    <row r="3162">
      <c r="A3162" t="inlineStr">
        <is>
          <t>Eau re crit</t>
        </is>
      </c>
      <c r="B3162">
        <f>HYPERLINK("https://www.dofusbook.net/fr/equipement/5363103-eau-re-crit/objets", "link")</f>
        <v/>
      </c>
      <c r="C3162" t="n">
        <v>2</v>
      </c>
      <c r="D3162" t="inlineStr">
        <is>
          <t>Crocobur; Amulette de Pol Ouatnos; Alliance Gloursonne; Anneau Volkorne; Bouclier d'Ilyzaelle; Ceinture de la Reine des Voleurs; Masque du Barbétoal; Cape Solution; Bottes de la Reine des Voleurs; Dofus Émeraude; Dofus Ébène; Dofus Ocre; Dofus Abyssal; Dofus Ivoire; Fortification majeure; Wabbit</t>
        </is>
      </c>
    </row>
    <row r="3163">
      <c r="A3163" t="inlineStr">
        <is>
          <t>feutulipe</t>
        </is>
      </c>
      <c r="B3163">
        <f>HYPERLINK("https://www.dofusbook.net/fr/equipement/5328121-feutulipe/objets", "link")</f>
        <v/>
      </c>
      <c r="C3163" t="n">
        <v>7</v>
      </c>
      <c r="D3163" t="inlineStr">
        <is>
          <t>Arc corrompu; Amulette Volkorne; Anneauræus; Anneauræus; Bouclier du Stalak; Ceinture Volkorne; Heaume Oplate; Cape de Jahash Jurgen; Bottes Innommables; Dofus Ocre; Dofus des Glaces; Dofus Ivoire; Dofus Abyssal; Dofus Ébène; Nomade; Bisouglours</t>
        </is>
      </c>
    </row>
    <row r="3164">
      <c r="A3164" t="inlineStr">
        <is>
          <t>Krystalia</t>
        </is>
      </c>
      <c r="B3164">
        <f>HYPERLINK("https://www.dofusbook.net/fr/equipement/5333580-krystalia/objets", "link")</f>
        <v/>
      </c>
      <c r="C3164" t="n">
        <v>4</v>
      </c>
      <c r="D3164" t="inlineStr">
        <is>
          <t>Sabres d'Atcham; Amulette du Strigide; Anneau Volkorne; Bague Trithon; Quatre-feuilles; Ceinture Volkorne; Masque Trithon; Cape d'Atcham; Bottes Trithon; Dofus Turquoise; Dofus des Glaces; Dofus Pourpre; Dofus Abyssal; Dofus Ivoire; Voyageur; Sakochère</t>
        </is>
      </c>
    </row>
    <row r="3165">
      <c r="A3165" t="inlineStr">
        <is>
          <t>holilol</t>
        </is>
      </c>
      <c r="B3165">
        <f>HYPERLINK("https://www.dofusbook.net/fr/equipement/5320927-holilol/objets", "link")</f>
        <v/>
      </c>
      <c r="C3165" t="n">
        <v>11</v>
      </c>
      <c r="D3165" t="inlineStr">
        <is>
          <t>Crocobur; Amulette du Strigide; Alliance Gloursonne; Anneau Volkorne; Bouclier d'Ilyzaelle; Sangle Ouare; Kidibonnet; Cape de la Dame du Hasard; Bottes de la Dame du Hasard; Dofus Ocre; Dofus Ébène; Dofus Turquoise; Dofus Abyssal; Dofus Émeraude; Dofus Ivoire; Pioute bleu</t>
        </is>
      </c>
    </row>
    <row r="3166">
      <c r="A3166" t="inlineStr">
        <is>
          <t>zobcheat</t>
        </is>
      </c>
      <c r="B3166">
        <f>HYPERLINK("https://www.dofusbook.net/fr/equipement/5318367-zobcheat/objets", "link")</f>
        <v/>
      </c>
      <c r="C3166" t="n">
        <v>8</v>
      </c>
      <c r="D3166" t="inlineStr">
        <is>
          <t>Crocobur; Amulette du Strigide; Anneau Volkorne; Bague Trithon; Bouclier du Captain Amakna; Ceinture Volkorne; Masque de Koutoulou; Cape au Logis; Bottes du Cœur Saignant; Dofus Turquoise; Dofus Ivoire; Dofus des Glaces; Dofus Pourpre; Dofus Abyssal; Remueur; Pioute vert</t>
        </is>
      </c>
    </row>
    <row r="3167">
      <c r="A3167" t="inlineStr">
        <is>
          <t>teredsl</t>
        </is>
      </c>
      <c r="B3167">
        <f>HYPERLINK("https://www.dofusbook.net/fr/equipement/5176577-teredsl/objets", "link")</f>
        <v/>
      </c>
      <c r="C3167" t="n">
        <v>4</v>
      </c>
      <c r="D3167" t="inlineStr">
        <is>
          <t>Arc du Chalœil; Collier de Tourthon; Anneau Crustique; Anneau Volkorne; Bouclier du Stalak; Ceinture Volkorne; Masque de Koutoulou; Bravoure de Rykke Errel; Bottes du Cœur Saignant; Dofus Ocre; Dofus Ivoire; Dofus Argenté; Dofus Ébène; Dofus des Glaces; Dofus Abyssal; Bulbisou</t>
        </is>
      </c>
    </row>
    <row r="3168">
      <c r="A3168" t="inlineStr">
        <is>
          <t>Foulfeu</t>
        </is>
      </c>
      <c r="B3168">
        <f>HYPERLINK("https://www.dofusbook.net/fr/equipement/5123871-foulfeu/objets", "link")</f>
        <v/>
      </c>
      <c r="C3168" t="n">
        <v>4</v>
      </c>
      <c r="D3168" t="inlineStr">
        <is>
          <t>Arc corrompu; Amulette Volkorne; Anneauræus; Anneauræus; Bouclier du Stalak; Ceinture Volkorne; Heaume Oplate; Cape de Jahash Jurgen; Bottes Innommables; Dofus Argenté; Dofus Ébène; Dofus Ocre; Dofus des Glaces; Dofus Ivoire; Dofus Abyssal; Bisouglours</t>
        </is>
      </c>
    </row>
    <row r="3169">
      <c r="A3169" t="inlineStr">
        <is>
          <t>docitcrco</t>
        </is>
      </c>
      <c r="B3169">
        <f>HYPERLINK("https://www.dofusbook.net/fr/equipement/5092448-docitcrco/objets", "link")</f>
        <v/>
      </c>
      <c r="C3169" t="n">
        <v>17</v>
      </c>
      <c r="D3169" t="inlineStr">
        <is>
          <t>Crocobur; Amulette Volkorne; Bague Trithon; Anneau Volkorne; Bouclier du Captain Amakna; Ceinture Volkorne; Casque Volkorne; Bravoure de Rykke Errel; Bottes Trithon; Dofus Turquoise; Dofus Ivoire; Dofus Ocre; Dofus Abyssal; Dofus Pourpre; Dofus des Glaces; Kokulte</t>
        </is>
      </c>
    </row>
    <row r="3170">
      <c r="A3170" t="inlineStr">
        <is>
          <t>terredsldetredsl</t>
        </is>
      </c>
      <c r="B3170">
        <f>HYPERLINK("https://www.dofusbook.net/fr/equipement/4949627-terredsldetredsl/objets", "link")</f>
        <v/>
      </c>
      <c r="C3170" t="n">
        <v>4</v>
      </c>
      <c r="D3170" t="inlineStr">
        <is>
          <t>Crocobur; Collier de Tourthon; Anneau Volkorne; Bague Gloursonne; Bouclier d'Ilyzaelle; Ceinture Volkorne; Masque de Koutoulou; Cape au Logis; Bottes du Cœur Saignant; Dofus Ébène; Dofus Abyssal; Dofus des Glaces; Dofus Ocre; Dofus Ivoire; Enragé majeur; Bwak de Terre</t>
        </is>
      </c>
    </row>
    <row r="3171">
      <c r="A3171" t="inlineStr">
        <is>
          <t>eauroxilolilol</t>
        </is>
      </c>
      <c r="B3171">
        <f>HYPERLINK("https://www.dofusbook.net/fr/equipement/4888141-eauroxilolilol/objets", "link")</f>
        <v/>
      </c>
      <c r="C3171" t="n">
        <v>6</v>
      </c>
      <c r="D3171" t="inlineStr">
        <is>
          <t>Baguette Hique; Amulette de Shokkoth; Alliance Gloursonne; Anneau Volkorne; Bouclier du Stalak; Pagne du Rykaon; Kidibonnet; Cape de la Dame du Hasard; Bottes de la Dame du Hasard; Dofus Ivoire; Dofus Ocre; Dofus Ébène; Dofus Turquoise; Dofus Abyssal; Chanceux majeur; Pioute bleu</t>
        </is>
      </c>
    </row>
    <row r="3172">
      <c r="A3172" t="inlineStr">
        <is>
          <t>foulfeu lol</t>
        </is>
      </c>
      <c r="B3172">
        <f>HYPERLINK("https://www.dofusbook.net/fr/equipement/4716887-foulfeu-lol/objets", "link")</f>
        <v/>
      </c>
      <c r="C3172" t="n">
        <v>10</v>
      </c>
      <c r="D3172" t="inlineStr">
        <is>
          <t>Arc corrompu; Amulette Volkorne; Anneauræus; Anneauræus; Bouclier du Stalak; Ceinture Volkorne; Heaume Oplate; Cape de Diondin; Bottes Innommables; Dofus Ivoire; Dofus des Glaces; Dofus Ébène; Dokoko; Dofus Abyssal; Érudit majeur; Bisouglours</t>
        </is>
      </c>
    </row>
    <row r="3173">
      <c r="A3173" t="inlineStr">
        <is>
          <t>elyfeu</t>
        </is>
      </c>
      <c r="B3173">
        <f>HYPERLINK("https://www.dofusbook.net/fr/equipement/4809314-elyfeu/objets", "link")</f>
        <v/>
      </c>
      <c r="C3173" t="n">
        <v>12</v>
      </c>
      <c r="D3173" t="inlineStr">
        <is>
          <t>Épée Brûlâme; Amulette Volkorne; Bague Trithon; Anneau Volkorne; Bouclier du Captain Amakna; Ceintacé; Masque Trithon; Cape de la Dame du Hasard; Bottes de la Dame du Hasard; Dofus Ocre; Dofus Abyssal; Dofus Turquoise; Dofus Ivoire; Dofus Pourpre; Dofus des Glaces; Kougnard Albâtre</t>
        </is>
      </c>
    </row>
    <row r="3174">
      <c r="A3174" t="inlineStr">
        <is>
          <t>Terredoxrit</t>
        </is>
      </c>
      <c r="B3174">
        <f>HYPERLINK("https://www.dofusbook.net/fr/equipement/4771594-terredoxrit/objets", "link")</f>
        <v/>
      </c>
      <c r="C3174" t="n">
        <v>14</v>
      </c>
      <c r="D3174" t="inlineStr">
        <is>
          <t>Arc du Chalœil; Amulette du Strigide; Bague Gloursonne; Anneau de Brouce; Quatre-feuilles; Ceinture du Strigide; Masque de Koutoulou; Cape du Cœur Saignant; Bottes du Cœur Saignant; Dofus Ocre; Dofus Ivoire; Dofus Nébuleux; Dofus Ébène; Dofus Turquoise; Dofus Abyssal</t>
        </is>
      </c>
    </row>
    <row r="3175">
      <c r="A3175" t="inlineStr">
        <is>
          <t>iopolol</t>
        </is>
      </c>
      <c r="B3175">
        <f>HYPERLINK("https://www.dofusbook.net/fr/equipement/4729582-iopolol/objets", "link")</f>
        <v/>
      </c>
      <c r="C3175" t="n">
        <v>8</v>
      </c>
      <c r="D3175" t="inlineStr">
        <is>
          <t>Sceptre du Roi Joueur; Amulette d'Ilyzaelle; Alliance Gloursonne; Anneau Volkorne; Bouclier d'Ilyzaelle; Ceinture de la Reine des Voleurs; Casque d'Ilyzaelle; Cape Solution; Bottes de la Reine des Voleurs; Dofus Ivoire; Dofus Ébène; Dofus des Glaces; Dofus Abyssal; Dokoko; Voyageur; Kanigloups</t>
        </is>
      </c>
    </row>
    <row r="3176">
      <c r="A3176" t="inlineStr">
        <is>
          <t>FOULAIR</t>
        </is>
      </c>
      <c r="B3176">
        <f>HYPERLINK("https://www.dofusbook.net/fr/equipement/4716906-foulair/objets", "link")</f>
        <v/>
      </c>
      <c r="C3176" t="n">
        <v>10</v>
      </c>
      <c r="D3176" t="inlineStr">
        <is>
          <t>Manthache; Collier du Valet Veinard; Alliance Gloursonne; Gant du Valet Veinard; Bouclier du Stalak; Menoture; Casque Volkorne; Cape Martegel; Palmes Trithons; Dofus Ocre; Dofus Abyssal; Dokoko; Dofus Ivoire; Dofus des Glaces; Dofus Ébène; Blérodoudou</t>
        </is>
      </c>
    </row>
    <row r="3177">
      <c r="A3177" t="inlineStr">
        <is>
          <t>Eaydsl</t>
        </is>
      </c>
      <c r="B3177">
        <f>HYPERLINK("https://www.dofusbook.net/fr/equipement/4707653-eaydsl/objets", "link")</f>
        <v/>
      </c>
      <c r="C3177" t="n">
        <v>7</v>
      </c>
      <c r="D3177" t="inlineStr">
        <is>
          <t>Dagoulinantes; Amulette de Shokkoth; Anneau Volkorne; Bracelet des Fonds marins; Bouclier du Stalak; Ceinture de la Reine des Voleurs; Casque d'Ilyzaelle; Cape Solution; Pataugastrique; Dofus Abyssal; Dofus Ébène; Dofus des Glaces; Dofus Ivoire; Dévastateur Eau majeur; Chanceux majeur; Kanigloups</t>
        </is>
      </c>
    </row>
    <row r="3178">
      <c r="A3178" t="inlineStr">
        <is>
          <t>Fullterrerox</t>
        </is>
      </c>
      <c r="B3178">
        <f>HYPERLINK("https://www.dofusbook.net/fr/equipement/4692558-fullterrerox/objets", "link")</f>
        <v/>
      </c>
      <c r="C3178" t="n">
        <v>11</v>
      </c>
      <c r="D3178" t="inlineStr">
        <is>
          <t>Arc du Chalœil; Collier de Tourthon; Anneau de Brouce; Anneau Volkorne; Quatre-feuilles; Ceinture Volkorne; Masque de Koutoulou; Cape au Logis; Bottes du Cœur Saignant; Dofus Ocre; Dofus Ivoire; Dofus Nébuleux; Dofus Ébène; Dofus Pourpre; Dofus Abyssal; Dragodinde Amande et Pourpre</t>
        </is>
      </c>
    </row>
    <row r="3179">
      <c r="A3179" t="inlineStr">
        <is>
          <t>MEU</t>
        </is>
      </c>
      <c r="B3179">
        <f>HYPERLINK("https://www.dofusbook.net/fr/equipement/4643218-meu/objets", "link")</f>
        <v/>
      </c>
      <c r="C3179" t="n">
        <v>1</v>
      </c>
      <c r="D3179" t="inlineStr">
        <is>
          <t>Bâton Champmanique; Kralamansion; Annolamour; Kralano; Ceinture Mycosine; Solomonk; Voile d'encre; Chaussons Pignons; Dofus Émeraude; Dofus Ocre; Dofawa; Dofus Pourpre; Dofus Cawotte; Dofus Turquoise; Dragodinde Caméléone</t>
        </is>
      </c>
    </row>
    <row r="3180">
      <c r="A3180" t="inlineStr">
        <is>
          <t>Stuff 1</t>
        </is>
      </c>
      <c r="B3180">
        <f>HYPERLINK("https://www.dofusbook.net/fr/equipement/314938-stuff-1/objets", "link")</f>
        <v/>
      </c>
      <c r="C3180" t="n">
        <v>14</v>
      </c>
      <c r="D3180" t="inlineStr">
        <is>
          <t>Arc corrompu; Amulette Volkorne; Anneauræus; Anneauræus; Bouclier du Stalak; Ceinture Volkorne; Casque Dragoeuf; Cape de Diondin; Bottes Innommables; Dofus Ivoire; Dofus Pourpre; Dofus Ocre; Dofus Ébène; Dofus Abyssal; Nomade; Dragodinde Ivoire et Orchidée</t>
        </is>
      </c>
    </row>
    <row r="3181">
      <c r="A3181" t="inlineStr">
        <is>
          <t>Stuff 2</t>
        </is>
      </c>
      <c r="B3181">
        <f>HYPERLINK("https://www.dofusbook.net/fr/equipement/314939-stuff-2/objets", "link")</f>
        <v/>
      </c>
      <c r="C3181" t="n">
        <v>4</v>
      </c>
      <c r="D3181" t="inlineStr">
        <is>
          <t>Baguette Hernelle; Amulette Séculaire; Anneau de Padgref; Kralano; Quatre-feuilles; Ceinture Séculaire; Coiffe de Padgref; Cape d'Atcham; Getas de Padgref; Dofus Turquoise; Dofus Ocre; Dolmanax; Dofus Pourpre; Dofus des Glaces; Dofus Abyssal; Muldo Prune et Emeraude</t>
        </is>
      </c>
    </row>
    <row r="3182">
      <c r="A3182" t="inlineStr">
        <is>
          <t>Stuff 3</t>
        </is>
      </c>
      <c r="B3182">
        <f>HYPERLINK("https://www.dofusbook.net/fr/equipement/314940-stuff-3/objets", "link")</f>
        <v/>
      </c>
      <c r="C3182" t="n">
        <v>6</v>
      </c>
      <c r="D3182" t="inlineStr">
        <is>
          <t>Arc corrompu; Amulette Volkorne; Anneauræus; Anneauræus; Bouclier du Stalak; Ceinture Volkorne; Casque Dragoeuf; Cape de Diondin; Bottes Innommables; Dofus Ivoire; Dofus Ocre; Dofus Ébène; Dofus Abyssal; Nomade; Érudit majeur; Dragodinde Ivoire et Orchidée</t>
        </is>
      </c>
    </row>
    <row r="3183">
      <c r="A3183" t="inlineStr">
        <is>
          <t>Stuff 2</t>
        </is>
      </c>
      <c r="B3183">
        <f>HYPERLINK("https://www.dofusbook.net/fr/equipement/314966-stuff-2/objets", "link")</f>
        <v/>
      </c>
      <c r="C3183" t="n">
        <v>9</v>
      </c>
      <c r="D3183" t="inlineStr">
        <is>
          <t>Arc corrompu; Amulette Volkorne; Anneauræus; Anneauræus; Bouclier du Stalak; Ceinture Volkorne; Casque Dragoeuf; Cape de Diondin; Bottes Innommables; Dofus Ivoire; Dofus Pourpre; Dofus Ocre; Dofus Abyssal; Érudit majeur; Nomade; Dragodinde Ivoire et Orchidée</t>
        </is>
      </c>
    </row>
    <row r="3184">
      <c r="A3184" t="inlineStr">
        <is>
          <t>Stuff 3</t>
        </is>
      </c>
      <c r="B3184">
        <f>HYPERLINK("https://www.dofusbook.net/fr/equipement/314967-stuff-3/objets", "link")</f>
        <v/>
      </c>
      <c r="C3184" t="n">
        <v>6</v>
      </c>
      <c r="D3184" t="inlineStr">
        <is>
          <t>Arc corrompu; Amulette de l'Œil Putride; Anneauræus; Anneau de Nidas; Bouclier du Stalak; Ceinture de Gein; Heaume Oplate; Cape de l'Œil Putride; Bottes Innommables</t>
        </is>
      </c>
    </row>
    <row r="3185">
      <c r="A3185" t="inlineStr">
        <is>
          <t>Stuff 1</t>
        </is>
      </c>
      <c r="B3185">
        <f>HYPERLINK("https://www.dofusbook.net/fr/equipement/314965-stuff-1/objets", "link")</f>
        <v/>
      </c>
      <c r="C3185" t="n">
        <v>6</v>
      </c>
      <c r="D3185" t="inlineStr">
        <is>
          <t>Marteau R'ture; Collier de la Dame du Hasard; Pikano; Alliance Gloursonne; Bouclier cubiste; Ceinture Glaciale; Maskrobe; Cape de Léthaline; Pikottes; Dofus Ocre; Remueur; Temporiseur; Entraveur majeur; Fonceur majeur; Temporiseur majeur; Tifoux</t>
        </is>
      </c>
    </row>
    <row r="3186">
      <c r="A3186" t="inlineStr">
        <is>
          <t>Féca M 200</t>
        </is>
      </c>
      <c r="B3186">
        <f>HYPERLINK("https://www.dofusbook.net/fr/equipement/6011813-feca-m-200/objets", "link")</f>
        <v/>
      </c>
      <c r="C3186" t="n">
        <v>0</v>
      </c>
      <c r="D3186" t="inlineStr"/>
    </row>
    <row r="3187">
      <c r="A3187" t="inlineStr">
        <is>
          <t>fff</t>
        </is>
      </c>
      <c r="B3187">
        <f>HYPERLINK("https://www.dofusbook.net/fr/equipement/1827431-fff/objets", "link")</f>
        <v/>
      </c>
      <c r="C3187" t="n">
        <v>2</v>
      </c>
      <c r="D3187" t="inlineStr">
        <is>
          <t>Arc corrompu; Amulette du Strigide; Anneau Toriété; Bague Trithon; Bouclier d'Anerice; Ceinture du Strigide; Masque du Granduk; Cape d'Anerice; Bottes Trithon; Dofus Ébène; Dofus Turquoise; Dofus Pourpre; Dofus Nébuleux; Dofus Ocre; Dofus Ivoire; Kokulte</t>
        </is>
      </c>
    </row>
    <row r="3188">
      <c r="A3188" t="inlineStr">
        <is>
          <t>stuff 3</t>
        </is>
      </c>
      <c r="B3188">
        <f>HYPERLINK("https://www.dofusbook.net/fr/equipement/2188038-stuff--3/objets", "link")</f>
        <v/>
      </c>
      <c r="C3188" t="n">
        <v>2</v>
      </c>
      <c r="D3188" t="inlineStr">
        <is>
          <t>Amulette du Strigide; Bague Trithon; Quatre-feuilles; Ceinture du Strigide; Masque Trithon; Bottes du Strigide; Dofus Turquoise; Dofus Ébène; Dofus Nébuleux; Dofus Ivoire; Dofus Pourpre; Dofus Ocre; Kokulte</t>
        </is>
      </c>
    </row>
    <row r="3189">
      <c r="A3189" t="inlineStr">
        <is>
          <t>stuff 4</t>
        </is>
      </c>
      <c r="B3189">
        <f>HYPERLINK("https://www.dofusbook.net/fr/equipement/2188126-stuff-4/objets", "link")</f>
        <v/>
      </c>
      <c r="C3189" t="n">
        <v>7</v>
      </c>
      <c r="D3189" t="inlineStr">
        <is>
          <t>Héqache; Torquistik; Bague Instable; Bague Trithon; Bouclier précieux; Sangle Ouare; Casque Dragoeuf; Cape Solution; Bottistik; Dofus Ivoire; Pousseur majeur; Obstructeur majeur; Culbuteur; Culbuteur majeur; Péki</t>
        </is>
      </c>
    </row>
    <row r="3190">
      <c r="A3190" t="inlineStr">
        <is>
          <t>stuff 4</t>
        </is>
      </c>
      <c r="B3190">
        <f>HYPERLINK("https://www.dofusbook.net/fr/equipement/2000069-stuff-4/objets", "link")</f>
        <v/>
      </c>
      <c r="C3190" t="n">
        <v>12</v>
      </c>
      <c r="D3190" t="inlineStr">
        <is>
          <t>Crocobur; Amulette du Cœur Saignant; Anneau Chevelu; Anneau Crustique; Bouclier du Captain Amakna; Ceinture Volkorne; Masque de Koutoulou; Cape au Logis; Bottes du Cœur Saignant; Dofus Ocre; Dofus Turquoise; Dofus Nébuleux; Dofus Ébène; Dofus Pourpre; Enragé majeur; Pioute vert</t>
        </is>
      </c>
    </row>
    <row r="3191">
      <c r="A3191" t="inlineStr">
        <is>
          <t>mmm</t>
        </is>
      </c>
      <c r="B3191">
        <f>HYPERLINK("https://www.dofusbook.net/fr/equipement/1161721-mmm/objets", "link")</f>
        <v/>
      </c>
      <c r="C3191" t="n">
        <v>9</v>
      </c>
      <c r="D3191" t="inlineStr">
        <is>
          <t>Arc du Chalœil; Amulette du Strigide; Bague Trithon; Bracelet du Piloztère; Bouclier du Stalak; Ceinture du Strigide; Masque Trithon; Cape au Logis; Bottes Trithon; Dokoko; Dofus Ivoire; Dofus Ocre; Dofus Ébène; Dofus Pourpre; Dofus Turquoise; Bulbisou</t>
        </is>
      </c>
    </row>
    <row r="3192">
      <c r="A3192" t="inlineStr">
        <is>
          <t>fdhdfbd</t>
        </is>
      </c>
      <c r="B3192">
        <f>HYPERLINK("https://www.dofusbook.net/fr/equipement/1161288-fdhdfbd/objets", "link")</f>
        <v/>
      </c>
      <c r="C3192" t="n">
        <v>10</v>
      </c>
      <c r="D3192" t="inlineStr">
        <is>
          <t>Arc du Chalœil; Collier de Tourthon; Bracelet du Piloztère; Anneau Volkorne; Bouclier du Stalak; Ceinture Volkorne; Masque de Koutoulou; Cape au Logis; Baleinabottes; Dofus Turquoise; Dofus Ébène; Dofus Nébuleux; Dofus Pourpre; Dofus Ivoire; Enragé majeur; Bulbisou</t>
        </is>
      </c>
    </row>
    <row r="3193">
      <c r="A3193" t="inlineStr">
        <is>
          <t>Iop M 200</t>
        </is>
      </c>
      <c r="B3193">
        <f>HYPERLINK("https://www.dofusbook.net/fr/equipement/5923458-iop-m-200/objets", "link")</f>
        <v/>
      </c>
      <c r="C3193" t="n">
        <v>1</v>
      </c>
      <c r="D3193" t="inlineStr">
        <is>
          <t>Arc du Chalœil; Collier de Tourthon; Bracelet du Piloztère; Anneau Volkorne; Bouclier du Stalak; Ceinture Volkorne; Masque de Koutoulou; Cape au Logis; Baleinabottes; Dofus Pourpre; Dofus Ivoire; Dofus Turquoise; Dofus Ébène; Dofus Nébuleux; Enragé majeur; Bulbisou</t>
        </is>
      </c>
    </row>
    <row r="3194">
      <c r="A3194" t="inlineStr">
        <is>
          <t>Stuff 2</t>
        </is>
      </c>
      <c r="B3194">
        <f>HYPERLINK("https://www.dofusbook.net/fr/equipement/236892-stuff-2/objets", "link")</f>
        <v/>
      </c>
      <c r="C3194" t="n">
        <v>10</v>
      </c>
      <c r="D3194" t="inlineStr">
        <is>
          <t>Marteau R'ture; Collier de Tourthon; Anneau Volkorne; Bracelet du Piloztère; Bouclier du Captain Amakna; Ceinture Volkorne; Masque de Koutoulou; Cape au Logis; Baleinabottes; Dofus Pourpre; Dofus Ivoire; Dofus Émeraude; Dofus Ébène; Dofus Turquoise; Pioute vert</t>
        </is>
      </c>
    </row>
    <row r="3195">
      <c r="A3195" t="inlineStr">
        <is>
          <t>Stuff 3</t>
        </is>
      </c>
      <c r="B3195">
        <f>HYPERLINK("https://www.dofusbook.net/fr/equipement/236893-stuff-3/objets", "link")</f>
        <v/>
      </c>
      <c r="C3195" t="n">
        <v>22</v>
      </c>
      <c r="D3195" t="inlineStr">
        <is>
          <t>Arc du Chalœil; Amulette du Strigide; Anneau Crustique; Bracelet du Piloztère; Ceinture du Strigide; Masque de Koutoulou; Cape au Logis; Bottes du Strigide; Dokoko; Dofus Pourpre; Dofus Ocre; Dofus Turquoise; Dofus Ébène; Dofus Ivoire; Kokulte</t>
        </is>
      </c>
    </row>
    <row r="3196">
      <c r="A3196" t="inlineStr">
        <is>
          <t>stuff 4</t>
        </is>
      </c>
      <c r="B3196">
        <f>HYPERLINK("https://www.dofusbook.net/fr/equipement/2089741-stuff-4/objets", "link")</f>
        <v/>
      </c>
      <c r="C3196" t="n">
        <v>2</v>
      </c>
      <c r="D3196" t="inlineStr">
        <is>
          <t>Plume de Buhorado; Collier du Valet Veinard; Alliance Gloursonne; Gant du Valet Veinard; Ceinture de la Reine des Voleurs; Coiffe de la Reine des Voleurs; Cape du Valet Veinard; Bottes de la Reine des Voleurs; Dofus Vulbis; Dofus Ocre; Dofus Pourpre; Dofus Nébuleux; Dofus Turquoise; Dofus Ivoire; Croum</t>
        </is>
      </c>
    </row>
    <row r="3197">
      <c r="A3197" t="inlineStr">
        <is>
          <t>stuff 4</t>
        </is>
      </c>
      <c r="B3197">
        <f>HYPERLINK("https://www.dofusbook.net/fr/equipement/2124051-stuff-4/objets", "link")</f>
        <v/>
      </c>
      <c r="C3197" t="n">
        <v>3</v>
      </c>
      <c r="D3197" t="inlineStr">
        <is>
          <t>Dagues de Srambad; Torquistik; Baguistik; Goulano; Goulclier; Ceinture de la Reine des Voleurs; Coiffe de la Reine des Voleurs; Voile d'encre; Bottes de la Reine des Voleurs; Dofus Ocre; Dofus Ivoire; Dolmanax; Dofus des Glaces; Dofus Pourpre; Dofus Vulbis</t>
        </is>
      </c>
    </row>
    <row r="3198">
      <c r="A3198" t="inlineStr">
        <is>
          <t>Roublard M 200</t>
        </is>
      </c>
      <c r="B3198">
        <f>HYPERLINK("https://www.dofusbook.net/fr/equipement/5808117-roublard-m-200/objets", "link")</f>
        <v/>
      </c>
      <c r="C3198" t="n">
        <v>4</v>
      </c>
      <c r="D3198" t="inlineStr">
        <is>
          <t>Arc corrompu; Amulette Volkorne; Anneauræus; Anneauræus; Bouclier du Stalak; Croture; Heaume Oplate; Cape de Diondin; Bottes Innommables; Dofus Ivoire; Dofus des Glaces; Dofus Ébène; Érudit majeur; Dévastateur Feu majeur; Saccageur Feu majeur; Bisouglours</t>
        </is>
      </c>
    </row>
    <row r="3199">
      <c r="A3199" t="inlineStr">
        <is>
          <t>dfghjk</t>
        </is>
      </c>
      <c r="B3199">
        <f>HYPERLINK("https://www.dofusbook.net/fr/equipement/3084419-dfghjk/objets", "link")</f>
        <v/>
      </c>
      <c r="C3199" t="n">
        <v>11</v>
      </c>
      <c r="D3199" t="inlineStr">
        <is>
          <t>Massier; Amulette Volkorne; Anneauræus; Anneauræus; Bouclier du Captain Amakna; Croture; Heaume Oplate; Cape de Diondin; Bottes Innommables; Dofus Ivoire; Dokoko; Dofus Ébène; Dofus Pourpre; Érudit majeur; Dévastateur Feu majeur; Bisouglours</t>
        </is>
      </c>
    </row>
    <row r="3200">
      <c r="A3200" t="inlineStr">
        <is>
          <t>Stuff 1</t>
        </is>
      </c>
      <c r="B3200">
        <f>HYPERLINK("https://www.dofusbook.net/fr/equipement/236902-stuff-1/objets", "link")</f>
        <v/>
      </c>
      <c r="C3200" t="n">
        <v>5</v>
      </c>
      <c r="D3200" t="inlineStr">
        <is>
          <t>Massier; Amulette Volkorne; Anneauræus; Anneauræus; Bouclier du Captain Amakna; Croture; Heaume Oplate; Cape de Diondin; Bottes Innommables; Dofus Pourpre; Dokoko; Dofus Ivoire; Dofus Ébène; Érudit majeur; Nomade; Bisouglours</t>
        </is>
      </c>
    </row>
    <row r="3201">
      <c r="A3201" t="inlineStr">
        <is>
          <t>stuff 6</t>
        </is>
      </c>
      <c r="B3201">
        <f>HYPERLINK("https://www.dofusbook.net/fr/equipement/1859714-stuff-6/objets", "link")</f>
        <v/>
      </c>
      <c r="C3201" t="n">
        <v>2</v>
      </c>
      <c r="D3201" t="inlineStr">
        <is>
          <t>Arc corrompu; Amulette Volkorne; Anneauræus; Anneauræus; Bouclier du Captain Amakna; Croture; Heaume Oplate; Cape de Diondin; Bottes Innommables; Dofus Ivoire; Dofus Émeraude; Dofus Ébène; Dévastateur Feu majeur; Érudit majeur; Nomade; Bisouglours</t>
        </is>
      </c>
    </row>
    <row r="3202">
      <c r="A3202" t="inlineStr">
        <is>
          <t>kjhgf</t>
        </is>
      </c>
      <c r="B3202">
        <f>HYPERLINK("https://www.dofusbook.net/fr/equipement/1161482-kjhgf/objets", "link")</f>
        <v/>
      </c>
      <c r="C3202" t="n">
        <v>11</v>
      </c>
      <c r="D3202" t="inlineStr">
        <is>
          <t>Arc corrompu; Amulette Volkorne; Anneauræus; Anneauræus; Bouclier du Stalak; Croture; Heaume Oplate; Cape de Diondin; Bottes Innommables; Dofus Pourpre; Dofus Turquoise; Dofus Ivoire; Dofus Ébène; Érudit majeur; Nomade; Bisouglours</t>
        </is>
      </c>
    </row>
    <row r="3203">
      <c r="A3203" t="inlineStr">
        <is>
          <t>Stuff 2</t>
        </is>
      </c>
      <c r="B3203">
        <f>HYPERLINK("https://www.dofusbook.net/fr/equipement/236895-stuff-2/objets", "link")</f>
        <v/>
      </c>
      <c r="C3203" t="n">
        <v>3</v>
      </c>
      <c r="D3203" t="inlineStr">
        <is>
          <t>Arc corrompu; Amulette Volkorne; Anneauræus; Anneauræus; Bouclier du Stalak; Croture; Heaume Oplate; Cape de Diondin; Bottes Innommables; Dofus Pourpre; Dofus Turquoise; Dofus Ivoire; Dofus Ébène; Érudit majeur; Nomade; Bisouglours</t>
        </is>
      </c>
    </row>
    <row r="3204">
      <c r="A3204" t="inlineStr">
        <is>
          <t>stuff 2</t>
        </is>
      </c>
      <c r="B3204">
        <f>HYPERLINK("https://www.dofusbook.net/fr/equipement/2084160-stuff-2-/objets", "link")</f>
        <v/>
      </c>
      <c r="C3204" t="n">
        <v>2</v>
      </c>
      <c r="D3204" t="inlineStr">
        <is>
          <t>Arc de Guten Tak; Amulette du Strigide; Alliance de Guten Tak; Anneau de Guten Tak; Bouclier du Captain Amakna; Ceinture du Strigide; Coiffe du Glourséleste; Cape du Sinistrofu; Bottes du Strigide; Dofus Pourpre; Dofus Turquoise; Dofus Ocre; Dofus Ivoire; Kanigloups</t>
        </is>
      </c>
    </row>
    <row r="3205">
      <c r="A3205" t="inlineStr">
        <is>
          <t>Stuff 3</t>
        </is>
      </c>
      <c r="B3205">
        <f>HYPERLINK("https://www.dofusbook.net/fr/equipement/236912-stuff-3/objets", "link")</f>
        <v/>
      </c>
      <c r="C3205" t="n">
        <v>4</v>
      </c>
      <c r="D3205" t="inlineStr">
        <is>
          <t>Arc corrompu; Amulette Volkorne; Anneauræus; Anneauræus; Bouclier du Stalak; Croture; Heaume Oplate; Cape de Diondin; Bottes Innommables; Dofus Ivoire; Dofus Ébène; Dofus Pourpre; Dofus Turquoise; Érudit majeur; Nomade; Bisouglours</t>
        </is>
      </c>
    </row>
    <row r="3206">
      <c r="A3206" t="inlineStr">
        <is>
          <t>Roublard M 200</t>
        </is>
      </c>
      <c r="B3206">
        <f>HYPERLINK("https://www.dofusbook.net/fr/equipement/5845851-roublard-m-200/objets", "link")</f>
        <v/>
      </c>
      <c r="C3206" t="n">
        <v>3</v>
      </c>
      <c r="D3206" t="inlineStr">
        <is>
          <t>Arc du Chalœil; Collier de Tourthon; Bracelet du Piloztère; Anneau Volkorne; Bouclier du Stalak; Ceinture Volkorne; Masque de Koutoulou; Cape au Logis; Bottes de la Cour Sombre; Dofus Ocre; Dofus Ébène; Dofus Ivoire; Dofus des Glaces; Dokoko; Dofus Abyssal; Bulbisou</t>
        </is>
      </c>
    </row>
    <row r="3207">
      <c r="A3207" t="inlineStr">
        <is>
          <t>Roublard M 200</t>
        </is>
      </c>
      <c r="B3207">
        <f>HYPERLINK("https://www.dofusbook.net/fr/equipement/5818527-roublard-m-200/objets", "link")</f>
        <v/>
      </c>
      <c r="C3207" t="n">
        <v>4</v>
      </c>
      <c r="D3207" t="inlineStr">
        <is>
          <t>Arc corrompu; Talisman Igans; Anneauræus; Anneauræus; Bouclier du Stalak; Ceintrigue; Heaume Oplate; Cape de Diondin; Bottes Owesli; Dokoko; Dofus des Glaces; Dofus Émeraude; Dofus Ivoire; Dofus Pourpre; Dofus Ébène; Bisouglours</t>
        </is>
      </c>
    </row>
    <row r="3208">
      <c r="A3208" t="inlineStr">
        <is>
          <t>stuff 3</t>
        </is>
      </c>
      <c r="B3208">
        <f>HYPERLINK("https://www.dofusbook.net/fr/equipement/1288111-stuff-3/objets", "link")</f>
        <v/>
      </c>
      <c r="C3208" t="n">
        <v>5</v>
      </c>
      <c r="D3208" t="inlineStr">
        <is>
          <t>Arc corrompu; Amulette Volkorne; Anneauræus; Anneauræus; Bouclier du Stalak; Croture; Casque Volkorne; Cape de Diondin; Bottes Innommables; Dofus Ocre; Dofus Turquoise; Dofus Pourpre; Dofus Ivoire; Dofus Ébène; Dofus des Glaces; Bisouglours</t>
        </is>
      </c>
    </row>
    <row r="3209">
      <c r="A3209" t="inlineStr">
        <is>
          <t>Stuff 1</t>
        </is>
      </c>
      <c r="B3209">
        <f>HYPERLINK("https://www.dofusbook.net/fr/equipement/236899-stuff-1/objets", "link")</f>
        <v/>
      </c>
      <c r="C3209" t="n">
        <v>11</v>
      </c>
      <c r="D3209" t="inlineStr">
        <is>
          <t>Baguette de Torkélonia; Amulette du Cœur Vaillant; Bracelet du Piloztère; Bague Trithon; Quatre-feuilles; Ceinture de la Reine des Voleurs; Corne de Torkélonia; Carapace de Torkélonia; Bottes de la Reine des Voleurs; Dofus Ocre; Dofus Ivoire; Dofus Pourpre; Dofus Nébuleux; Dofus Ébène; Dofus Turquoise; Muldo Ebène et Indigo</t>
        </is>
      </c>
    </row>
    <row r="3210">
      <c r="A3210" t="inlineStr">
        <is>
          <t>stuff 1</t>
        </is>
      </c>
      <c r="B3210">
        <f>HYPERLINK("https://www.dofusbook.net/fr/equipement/1827165-stuff-1/objets", "link")</f>
        <v/>
      </c>
      <c r="C3210" t="n">
        <v>8</v>
      </c>
      <c r="D3210" t="inlineStr">
        <is>
          <t>Baguette de Torkélonia; Amulette du Cœur Vaillant; Bague Trithon; Bracelet du Piloztère; Quatre-feuilles; Ceinture de la Reine des Voleurs; Corne de Torkélonia; Carapace de Torkélonia; Bottes de la Reine des Voleurs; Dokoko; Dofus des Glaces; Dofus Ocre; Dofus Ivoire; Dofus Pourpre; Dolmanax; Muldo Ebène et Indigo</t>
        </is>
      </c>
    </row>
    <row r="3211">
      <c r="A3211" t="inlineStr">
        <is>
          <t>fff</t>
        </is>
      </c>
      <c r="B3211">
        <f>HYPERLINK("https://www.dofusbook.net/fr/equipement/1827429-fff/objets", "link")</f>
        <v/>
      </c>
      <c r="C3211" t="n">
        <v>6</v>
      </c>
      <c r="D3211" t="inlineStr">
        <is>
          <t>Dagues du Dragoeuf; Amulette Volkorne; Anneau Volkorne; Bague Trithon; Bouclier du Captain Amakna; Ceinture Volkorne; Masque Trithon; Voile d'encre; Bottes Trithon; Dofus Turquoise; Dofus Ébène; Dofus Abyssal; Dofus Ivoire; Dofus Pourpre; Dofus Ocre; Kokulte</t>
        </is>
      </c>
    </row>
    <row r="3212">
      <c r="A3212" t="inlineStr">
        <is>
          <t>stuff 3</t>
        </is>
      </c>
      <c r="B3212">
        <f>HYPERLINK("https://www.dofusbook.net/fr/equipement/481231-stuff-3/objets", "link")</f>
        <v/>
      </c>
      <c r="C3212" t="n">
        <v>4</v>
      </c>
      <c r="D3212" t="inlineStr">
        <is>
          <t>Hache Téroïde; Amulette du Strigide; Baguistik; Bague Gloursonne; Bouclier du Captain Amakna; Ceinture de la Cour Sombre; Masque de Koutoulou; Voile d'encre; Bottes du Strigide; Dofus Turquoise; Dofus des Glaces; Dofus Vulbis; Dofus Nébuleux; Dofus Pourpre; Dofus Ocre</t>
        </is>
      </c>
    </row>
    <row r="3213">
      <c r="A3213" t="inlineStr">
        <is>
          <t>Stuff 2</t>
        </is>
      </c>
      <c r="B3213">
        <f>HYPERLINK("https://www.dofusbook.net/fr/equipement/236900-stuff-2/objets", "link")</f>
        <v/>
      </c>
      <c r="C3213" t="n">
        <v>12</v>
      </c>
      <c r="D3213" t="inlineStr">
        <is>
          <t>Baguette de Torkélonia; Amulette du Strigide; Alliance Gloursonne; Bague Gloursonne; Bouclier du Stalak; Ceinture du Strigide; Corne de Torkélonia; Carapace de Torkélonia; Bottes du Strigide; Dofus Ocre; Dofus Turquoise; Dofus Ivoire; Dofus Ébène; Dofus Pourpre; Dofus Nébuleux; Kokulte</t>
        </is>
      </c>
    </row>
    <row r="3214">
      <c r="A3214" t="inlineStr">
        <is>
          <t>stuff 3</t>
        </is>
      </c>
      <c r="B3214">
        <f>HYPERLINK("https://www.dofusbook.net/fr/equipement/1959012-stuff-3/objets", "link")</f>
        <v/>
      </c>
      <c r="C3214" t="n">
        <v>6</v>
      </c>
      <c r="D3214" t="inlineStr">
        <is>
          <t>Spatule Tranche-Gourmands; Amulette Volkorne; Anneau Volkorne; Bague Trithon; Bouclier du Captain Amakna; Ceinture Volkorne; Masque Trithon; Voile d'encre; Bottes Trithon; Dofus Ocre; Dofus Pourpre; Dofus Ivoire; Dofus Émeraude; Dofus Turquoise; Dofus Argenté; Titard</t>
        </is>
      </c>
    </row>
    <row r="3215">
      <c r="A3215" t="inlineStr">
        <is>
          <t>stuff 2</t>
        </is>
      </c>
      <c r="B3215">
        <f>HYPERLINK("https://www.dofusbook.net/fr/equipement/1840185-stuff-2-/objets", "link")</f>
        <v/>
      </c>
      <c r="C3215" t="n">
        <v>6</v>
      </c>
      <c r="D3215" t="inlineStr">
        <is>
          <t>Sabres d'Atcham; Amulette Volkorne; Alliance Gloursonne; Anneau Volkorne; Bouclier du Captain Amakna; Ceinture Volkorne; Casque Volkorne; Cape d'Atcham; Sandales  d'Atcham; Dofus Pourpre; Dofus Nébuleux; Dofus Turquoise; Dofus Ivoire; Dofus Vulbis; Dofus Ocre; Kokulte</t>
        </is>
      </c>
    </row>
    <row r="3216">
      <c r="A3216" t="inlineStr">
        <is>
          <t>Stuff 2</t>
        </is>
      </c>
      <c r="B3216">
        <f>HYPERLINK("https://www.dofusbook.net/fr/equipement/236903-stuff-2/objets", "link")</f>
        <v/>
      </c>
      <c r="C3216" t="n">
        <v>10</v>
      </c>
      <c r="D3216" t="inlineStr">
        <is>
          <t>Dagues Açantes; Amulette de Shokkoth; Bracelet des Fonds marins; Alliance Gloursonne; Bouclier d'Ilyzaelle; Ceintacé; Némès de Tal Kasha; Cape Solution; Sandales de Tal Kasha; Dofus Émeraude; Dofus Pourpre; Dofus Turquoise; Dofus Ivoire; Nomade; Remueur</t>
        </is>
      </c>
    </row>
    <row r="3217">
      <c r="A3217" t="inlineStr">
        <is>
          <t>Alex pas touché</t>
        </is>
      </c>
      <c r="B3217">
        <f>HYPERLINK("https://www.dofusbook.net/fr/equipement/4016989-alex-pas-touche-/objets", "link")</f>
        <v/>
      </c>
      <c r="C3217" t="n">
        <v>11</v>
      </c>
      <c r="D3217" t="inlineStr">
        <is>
          <t>Kralamansion; Annolamour; Kralano; Ceinture des Vents; Casque Harnage; Cape du Minotot; Sandales Circulaires du Kimbo; Dofus Émeraude; Dofus Pourpre; Dofus Cawotte; Dofus Ocre; Dokille; Dofus Turquoise</t>
        </is>
      </c>
    </row>
    <row r="3218">
      <c r="A3218" t="inlineStr">
        <is>
          <t>Féca M 200</t>
        </is>
      </c>
      <c r="B3218">
        <f>HYPERLINK("https://www.dofusbook.net/fr/equipement/4441915-feca-m-200/objets", "link")</f>
        <v/>
      </c>
      <c r="C3218" t="n">
        <v>1</v>
      </c>
      <c r="D3218" t="inlineStr">
        <is>
          <t>Rhizome du Tynril; Kralamansion; Annolamour; Kralano; Ceinture Rasboulaire du Rasboul; Coiffe du Chêne Mou; Voile d'encre; Sandales Circulaires du Kimbo</t>
        </is>
      </c>
    </row>
    <row r="3219">
      <c r="A3219" t="inlineStr">
        <is>
          <t>Crâ M 200</t>
        </is>
      </c>
      <c r="B3219">
        <f>HYPERLINK("https://www.dofusbook.net/fr/equipement/3602624-cra-m-200/objets", "link")</f>
        <v/>
      </c>
      <c r="C3219" t="n">
        <v>13</v>
      </c>
      <c r="D3219" t="inlineStr">
        <is>
          <t>Pelle de la Cour Sombre; Talisman Glouti; Alliance Gloursonne; Gant du Valet Veinard; Bouclier de Solar; Ceintacé; Bandeau Culaire; Cape Parition; Palmes Trithons; Dofus Pourpre; Dofus Forgelave; Dofus Turquoise; Dofus Ivoire; Nomade; Remueur; Croum</t>
        </is>
      </c>
    </row>
    <row r="3220">
      <c r="A3220" t="inlineStr">
        <is>
          <t>hgghhg</t>
        </is>
      </c>
      <c r="B3220">
        <f>HYPERLINK("https://www.dofusbook.net/fr/equipement/3606473-hgghhg/objets", "link")</f>
        <v/>
      </c>
      <c r="C3220" t="n">
        <v>6</v>
      </c>
      <c r="D3220" t="inlineStr">
        <is>
          <t>Arc corrompu; Pendentif affamé; Anneau de Nidas; Anneau Tique; Carapar; Ceinture de Vortex; Masque d'Anerice; Cape d'Anerice; Pataugastrique; Dofus Ivoire; Érudit majeur; Nomade; Remueur; Savant majeur; Guérisseur majeur; Croum</t>
        </is>
      </c>
    </row>
    <row r="3221">
      <c r="A3221" t="inlineStr">
        <is>
          <t>gffff</t>
        </is>
      </c>
      <c r="B3221">
        <f>HYPERLINK("https://www.dofusbook.net/fr/equipement/1185341-gffff/objets", "link")</f>
        <v/>
      </c>
      <c r="C3221" t="n">
        <v>6</v>
      </c>
      <c r="D3221" t="inlineStr">
        <is>
          <t>Pelle de la Cour Sombre; Collier du Valet Veinard; Anneau d'Allister; Gant du Valet Veinard; Quatre-feuilles; Ceinture Rasboulaire du Rasboul; Couronne d'Allister; Cape du Valet Veinard; Bottes d'Allister; Dofus Pourpre; Dofus des Glaces; Dofus Turquoise; Dofus Nébuleux; Dofus Ivoire; Dofus Ocre; Croum</t>
        </is>
      </c>
    </row>
    <row r="3222">
      <c r="A3222" t="inlineStr">
        <is>
          <t>stuff 3</t>
        </is>
      </c>
      <c r="B3222">
        <f>HYPERLINK("https://www.dofusbook.net/fr/equipement/389335-stuff-3/objets", "link")</f>
        <v/>
      </c>
      <c r="C3222" t="n">
        <v>3</v>
      </c>
      <c r="D3222" t="inlineStr">
        <is>
          <t>Dagues de Srambad; Amulette Luminescente; Alliance Gloursonne; Bracelet du Piloztère; Quatre-feuilles; Ceinture de la Reine des Voleurs; Coiffe de la Reine des Voleurs; Voile d'encre; Bottes de la Reine des Voleurs; Vigoureux majeur; Remueur; Déserteur majeur; Sanguinaire majeur; Féroce majeur; Nomade; Kramkram</t>
        </is>
      </c>
    </row>
    <row r="3223">
      <c r="A3223" t="inlineStr">
        <is>
          <t>stuff 1</t>
        </is>
      </c>
      <c r="B3223">
        <f>HYPERLINK("https://www.dofusbook.net/fr/equipement/1500737-stuff-1/objets", "link")</f>
        <v/>
      </c>
      <c r="C3223" t="n">
        <v>6</v>
      </c>
      <c r="D3223" t="inlineStr">
        <is>
          <t>Arc corrompu; Pendentif affamé; Anneau de Nidas; Anneau Tique; Carapar; Ceinture de Vortex; Masque d'Anerice; Cape d'Anerice; Pataugastrique; Dofus Ivoire; Érudit majeur; Nomade; Remueur; Savant majeur; Guérisseur majeur; Croum</t>
        </is>
      </c>
    </row>
    <row r="3224">
      <c r="A3224" t="inlineStr">
        <is>
          <t>stuff 2</t>
        </is>
      </c>
      <c r="B3224">
        <f>HYPERLINK("https://www.dofusbook.net/fr/equipement/2063838-stuff-2/objets", "link")</f>
        <v/>
      </c>
      <c r="C3224" t="n">
        <v>12</v>
      </c>
      <c r="D3224" t="inlineStr">
        <is>
          <t>Manthache; Collier du Valet Veinard; Alliance Gloursonne; Gant du Valet Veinard; Bouclier d'Ilyzaelle; Menoture; Capuche de Moum-Ra; Cape Indescriptible; Palmes Trithons; Dofus Pourpre; Dokoko; Dofus Ivoire; Dofus Émeraude; Dofus Turquoise; Miraculé majeur</t>
        </is>
      </c>
    </row>
    <row r="3225">
      <c r="A3225" t="inlineStr">
        <is>
          <t>dfghjk</t>
        </is>
      </c>
      <c r="B3225">
        <f>HYPERLINK("https://www.dofusbook.net/fr/equipement/3089012-dfghjk/objets", "link")</f>
        <v/>
      </c>
      <c r="C3225" t="n">
        <v>8</v>
      </c>
      <c r="D3225" t="inlineStr">
        <is>
          <t>Arc corrompu; Pendentif affamé; Anneau Tique; Anneau de Nidas; Carapar; Ceinture de Vortex; Masque d'Anerice; Cape d'Anerice; Pataugastrique; Dofus Ivoire; Nomade; Remueur; Savant majeur; Guérisseur majeur; Érudit majeur; Croum</t>
        </is>
      </c>
    </row>
    <row r="3226">
      <c r="A3226" t="inlineStr">
        <is>
          <t>dfghjk</t>
        </is>
      </c>
      <c r="B3226">
        <f>HYPERLINK("https://www.dofusbook.net/fr/equipement/3084326-dfghjk/objets", "link")</f>
        <v/>
      </c>
      <c r="C3226" t="n">
        <v>1</v>
      </c>
      <c r="D3226" t="inlineStr">
        <is>
          <t>L'Épée Nice; Amulette du Strigide; Alliance Gloursonne; Bracelet du Piloztère; Bouclier du Captain Amakna; Ceinture du Strigide; Casque Dragoeuf; Voile d'encre; Bottes Trithon; Dofus Émeraude; Dofus Ocre; Dofus Pourpre; Dokoko; Remueur; Homlett</t>
        </is>
      </c>
    </row>
    <row r="3227">
      <c r="A3227" t="inlineStr">
        <is>
          <t>dfghjk</t>
        </is>
      </c>
      <c r="B3227">
        <f>HYPERLINK("https://www.dofusbook.net/fr/equipement/3089004-dfghjk/objets", "link")</f>
        <v/>
      </c>
      <c r="C3227" t="n">
        <v>7</v>
      </c>
      <c r="D3227" t="inlineStr">
        <is>
          <t>Baguette Hique; Amulette de Shokkoth; Alliance Gloursonne; Bracelet des Fonds marins; Quatre-feuilles; Poulpagne; Casque Dragoeuf; Cape de la Dame du Hasard; Bottes de la Dame du Hasard; Dofus Pourpre; Dofus Turquoise; Dofus Nébuleux; Dofus Ocre; Dofus Ivoire; Muldo Prune et Emeraude</t>
        </is>
      </c>
    </row>
    <row r="3228">
      <c r="A3228" t="inlineStr">
        <is>
          <t>stuff 4</t>
        </is>
      </c>
      <c r="B3228">
        <f>HYPERLINK("https://www.dofusbook.net/fr/equipement/2119910-stuff-4/objets", "link")</f>
        <v/>
      </c>
      <c r="C3228" t="n">
        <v>5</v>
      </c>
      <c r="D3228" t="inlineStr">
        <is>
          <t>Baguette Hique; Collier de la Dame du Hasard; Alliance Gloursonne; Bracelet des Fonds marins; Quatre-feuilles; Ceinture de l'Esprit Malsain; Masque de l'Esprit Malsain; Cape Solution; Bottes de la Dame du Hasard; Dofus Ivoire; Dofus Turquoise; Dofus Nébuleux; Dofus Ocre; Dofus Pourpre; Dofus Émeraude; Muldo Prune et Emeraude</t>
        </is>
      </c>
    </row>
    <row r="3229">
      <c r="A3229" t="inlineStr">
        <is>
          <t>stuff 3</t>
        </is>
      </c>
      <c r="B3229">
        <f>HYPERLINK("https://www.dofusbook.net/fr/equipement/2067784-stuff-3/objets", "link")</f>
        <v/>
      </c>
      <c r="C3229" t="n">
        <v>6</v>
      </c>
      <c r="D3229" t="inlineStr">
        <is>
          <t>Baguette Héroclite; Amulette du Strigide; Bracelet des Fonds marins; Alliance Gloursonne; Quatre-feuilles; Ceinture du Strigide; Némès de Tal Kasha; Chevelure de Tal Kasha; Sandales de Tal Kasha; Dofus Ocre; Dofus Abyssal; Dofus Pourpre; Dofus Ivoire; Dofus Turquoise; Dofus Nébuleux; Muldo Prune et Emeraude</t>
        </is>
      </c>
    </row>
    <row r="3230">
      <c r="A3230" t="inlineStr">
        <is>
          <t>fff</t>
        </is>
      </c>
      <c r="B3230">
        <f>HYPERLINK("https://www.dofusbook.net/fr/equipement/1827435-fff/objets", "link")</f>
        <v/>
      </c>
      <c r="C3230" t="n">
        <v>1</v>
      </c>
      <c r="D3230" t="inlineStr">
        <is>
          <t>Marteau des égarés; Amulette de l'Œil Putride; Bague Gloursonne; Alliance Gloursonne; Bouclier d'Ilyzaelle; Ceinture de la Reine des Voleurs; Capuche de l'Œil Putride; Cape de l'Œil Putride; Bottes de la Reine des Voleurs; Dofus Vulbis; Dofus Turquoise; Dofus Ocre; Dofus Pourpre; Dofus Ivoire; Croum</t>
        </is>
      </c>
    </row>
    <row r="3231">
      <c r="A3231" t="inlineStr">
        <is>
          <t>Stuff 1</t>
        </is>
      </c>
      <c r="B3231">
        <f>HYPERLINK("https://www.dofusbook.net/fr/equipement/236907-stuff-1/objets", "link")</f>
        <v/>
      </c>
      <c r="C3231" t="n">
        <v>5</v>
      </c>
      <c r="D3231" t="inlineStr">
        <is>
          <t>Dagues Érhy; Amulette Ementaire Deluxe; Gant du Valet Veinard; Alliance Gloursonne; Carapar; Ceinture du Barbétoal; Casque Cyclopéen; Cape du Valet Veinard; Baleinabottes; Dokoko; Dofus Émeraude; Dolmanax; Dofus Ivoire; Nomade; Remueur; Croum</t>
        </is>
      </c>
    </row>
    <row r="3232">
      <c r="A3232" t="inlineStr">
        <is>
          <t>stuff 4</t>
        </is>
      </c>
      <c r="B3232">
        <f>HYPERLINK("https://www.dofusbook.net/fr/equipement/1973587-stuff-4/objets", "link")</f>
        <v/>
      </c>
      <c r="C3232" t="n">
        <v>2</v>
      </c>
      <c r="D3232" t="inlineStr">
        <is>
          <t>Baguette de Malléfisk; Talisman Igans; Anneau Tique; Alliance Gloursonne; Carapar; Protopagne; Kidibonnet; Cape du Sinistrofu; Bottes Owesli; Dofus des Veilleurs; Dofus Émeraude; Remueur; Bousculeur majeur; Culbuteur majeur; Miraculé majeur; Péki</t>
        </is>
      </c>
    </row>
    <row r="3233">
      <c r="A3233" t="inlineStr">
        <is>
          <t>stuff 4</t>
        </is>
      </c>
      <c r="B3233">
        <f>HYPERLINK("https://www.dofusbook.net/fr/equipement/2385471-stuff-4/objets", "link")</f>
        <v/>
      </c>
      <c r="C3233" t="n">
        <v>8</v>
      </c>
      <c r="D3233" t="inlineStr">
        <is>
          <t>Hache du Korriandre; Amulette de l'Œil Putride; Anneau de Padgref; Alliance Gloursonne; Bouclier cubiste; Ceinture du Barbétoal; Némès de Tal Kasha; Chevelure de Tal Kasha; Pataugastrique; Dofus Turquoise; Dofus Émeraude; Dofus Ocre; Dofus Pourpre; Dofus des Glaces; Temporiseur majeur; Muldo Ebène et Indigo</t>
        </is>
      </c>
    </row>
    <row r="3234">
      <c r="A3234" t="inlineStr">
        <is>
          <t>stuff 5Stuff</t>
        </is>
      </c>
      <c r="B3234">
        <f>HYPERLINK("https://www.dofusbook.net/fr/equipement/2511551-stuff-5stuff/objets", "link")</f>
        <v/>
      </c>
      <c r="C3234" t="n">
        <v>4</v>
      </c>
      <c r="D3234" t="inlineStr">
        <is>
          <t>Arc Nécrotique; Amulette Ementaire Deluxe; Alliance Gloursonne; Anneau Tique; Bouclier cubiste; Ceintacé; Casquette de Meno; Cape de Meno; Bottes de l'Indicible; Dofus Ocre; Dolmanax; Dofus des Glaces; Dofus Pourpre; Déserteur majeur; Temporiseur majeur; Croum</t>
        </is>
      </c>
    </row>
    <row r="3235">
      <c r="A3235" t="inlineStr">
        <is>
          <t>fff</t>
        </is>
      </c>
      <c r="B3235">
        <f>HYPERLINK("https://www.dofusbook.net/fr/equipement/1827433-fff/objets", "link")</f>
        <v/>
      </c>
      <c r="C3235" t="n">
        <v>6</v>
      </c>
      <c r="D3235" t="inlineStr">
        <is>
          <t>Dagues de Srambad; Torquistik; Baguistik; Goulano; Goulclier; Ceinture de la Reine des Voleurs; Coiffe de la Reine des Voleurs; Voile d'encre; Bottes de la Reine des Voleurs; Dofus Vulbis; Dofus des Glaces; Dofus Ocre; Dofus Abyssal; Dofus Pourpre; Dofus Émeraude; Kramkram</t>
        </is>
      </c>
    </row>
    <row r="3236">
      <c r="A3236" t="inlineStr">
        <is>
          <t>stuff 2</t>
        </is>
      </c>
      <c r="B3236">
        <f>HYPERLINK("https://www.dofusbook.net/fr/equipement/2169792-stuff-2/objets", "link")</f>
        <v/>
      </c>
      <c r="C3236" t="n">
        <v>3</v>
      </c>
      <c r="D3236" t="inlineStr">
        <is>
          <t>Dagues de Srambad; Torquistik; Baguistik; Goulano; Goulclier; Ceinture de la Reine des Voleurs; Coiffe de la Reine des Voleurs; Voile d'encre; Bottes de la Reine des Voleurs; Dofus Ocre; Dofus Vulbis; Dofus Turquoise; Dofus des Glaces; Dofus Ivoire; Kramkram</t>
        </is>
      </c>
    </row>
    <row r="3237">
      <c r="A3237" t="inlineStr">
        <is>
          <t>stuff 3</t>
        </is>
      </c>
      <c r="B3237">
        <f>HYPERLINK("https://www.dofusbook.net/fr/equipement/2089618-stuff-3/objets", "link")</f>
        <v/>
      </c>
      <c r="C3237" t="n">
        <v>4</v>
      </c>
      <c r="D3237" t="inlineStr">
        <is>
          <t>Dagoulinantes; Amulette de Shokkoth; Bracelet des Fonds marins; Alliance Gloursonne; Cadran d'Eau; Poulpagne; Coiffe du Glourséleste; Voile d'encre; Bottes de la Reine des Voleurs; Dofus Vulbis; Dofus Ocre; Dofus Pourpre; Dofus Nébuleux; Dofus Turquoise; Dofus Ivoire; Croum</t>
        </is>
      </c>
    </row>
    <row r="3238">
      <c r="A3238" t="inlineStr">
        <is>
          <t>stuff 2</t>
        </is>
      </c>
      <c r="B3238">
        <f>HYPERLINK("https://www.dofusbook.net/fr/equipement/2087550-stuff-2/objets", "link")</f>
        <v/>
      </c>
      <c r="C3238" t="n">
        <v>2</v>
      </c>
      <c r="D3238" t="inlineStr">
        <is>
          <t>Marteau des égarés; Amulette du Strigide; Alliance Gloursonne; Bague Gloursonne; Bouclier d'Ilyzaelle; Ceinture de la Reine des Voleurs; Coiffe de la Reine des Voleurs; Voile d'encre; Bottes de la Reine des Voleurs; Dofus Ocre; Dofus Émeraude; Dofus Ivoire; Dofus des Glaces; Dofus Pourpre; Dofus Turquoise; Croum</t>
        </is>
      </c>
    </row>
    <row r="3239">
      <c r="A3239" t="inlineStr">
        <is>
          <t>Stuff 3</t>
        </is>
      </c>
      <c r="B3239">
        <f>HYPERLINK("https://www.dofusbook.net/fr/equipement/236896-stuff-3/objets", "link")</f>
        <v/>
      </c>
      <c r="C3239" t="n">
        <v>2</v>
      </c>
      <c r="D3239" t="inlineStr">
        <is>
          <t>Épée Brûlâme; Talisman Igans; Alliance Brûlâme; Bague Trithon; Bouclier Pandawa; Ceintacé; Coiffe du Glourséleste; Voile d'encre; Bottes Owesli; Dofus Ocre; Dofus Nébuleux; Dofus Pourpre; Dofus Ivoire; Dofus Vulbis; Dofus Turquoise; Croum</t>
        </is>
      </c>
    </row>
    <row r="3240">
      <c r="A3240" t="inlineStr">
        <is>
          <t>Stuff 2</t>
        </is>
      </c>
      <c r="B3240">
        <f>HYPERLINK("https://www.dofusbook.net/fr/equipement/236908-stuff-2/objets", "link")</f>
        <v/>
      </c>
      <c r="C3240" t="n">
        <v>5</v>
      </c>
      <c r="D3240" t="inlineStr">
        <is>
          <t>L'Épée Nice; Amulette du Strigide; Bague Gloursonne; Anneau Chevelu; Bouclier du Captain Amakna; Ceintacé; Coiffe du Glourséleste; Voile d'encre; Bottes du Strigide; Dofus Ivoire; Dofus Nébuleux; Dofus Pourpre; Dofus Turquoise; Dofus Ocre; Dofus Émeraude; Croum</t>
        </is>
      </c>
    </row>
    <row r="3241">
      <c r="A3241" t="inlineStr">
        <is>
          <t>Feca - H</t>
        </is>
      </c>
      <c r="B3241">
        <f>HYPERLINK("https://www.dofusbook.net/fr/equipement/5486961-feca---h/objets", "link")</f>
        <v/>
      </c>
      <c r="C3241" t="n">
        <v>1</v>
      </c>
      <c r="D3241" t="inlineStr">
        <is>
          <t>Le Thanos; Amulette Volkorne; Anneauræus; Anneauræus; Carapar; Ceinture de Vortex; Casque Dragoeuf; Cape de Diondin; Pataugastrique; Dofus Vulbis; Dofus Abyssal; Dofus Émeraude; Dofus Ivoire; Miraculé majeur; Érudit majeur; Dragodinde Orchidée et Rousse</t>
        </is>
      </c>
    </row>
    <row r="3242">
      <c r="A3242" t="inlineStr">
        <is>
          <t>Over 1CC</t>
        </is>
      </c>
      <c r="B3242">
        <f>HYPERLINK("https://www.dofusbook.net/fr/equipement/5831858-over-1cc/objets", "link")</f>
        <v/>
      </c>
      <c r="C3242" t="n">
        <v>4</v>
      </c>
      <c r="D3242" t="inlineStr">
        <is>
          <t>Hachoirs de Viandargh; Amulette du Strigide; Anneau d'Allister; Anneau de Padgref; Bouclier du Captain Amakna; Ceinture du Strigide; Coiffe de Padgref; Carapace de Torkélonia; Getas de Padgref; Dofus Turquoise; Dofus Nébuleux; Dofus Vulbis; Dofus Abyssal; Dofus Ébène; Dofus Ocre; Kokulte</t>
        </is>
      </c>
    </row>
    <row r="3243">
      <c r="A3243" t="inlineStr">
        <is>
          <t>CRITCRITCRIT</t>
        </is>
      </c>
      <c r="B3243">
        <f>HYPERLINK("https://www.dofusbook.net/fr/equipement/5633178-critcritcrit/objets", "link")</f>
        <v/>
      </c>
      <c r="C3243" t="n">
        <v>1</v>
      </c>
      <c r="D3243" t="inlineStr">
        <is>
          <t>Hachoirs de Viandargh; Amulette du Strigide; Anneau de Padgref; Anneau d'Allister; Bouclier du Captain Amakna; Ceinture du Strigide; Coiffe de Padgref; Carapace de Torkélonia; Getas de Padgref; Dofus Ocre; Dofus des Glaces; Dofus Vulbis; Dofus Abyssal; Dofus Turquoise; Dofus Nébuleux; Kokulte</t>
        </is>
      </c>
    </row>
    <row r="3244">
      <c r="A3244" t="inlineStr">
        <is>
          <t>Panda</t>
        </is>
      </c>
      <c r="B3244">
        <f>HYPERLINK("https://www.dofusbook.net/fr/equipement/5818675-panda/objets", "link")</f>
        <v/>
      </c>
      <c r="C3244" t="n">
        <v>4</v>
      </c>
      <c r="D3244" t="inlineStr">
        <is>
          <t>Dagoulinantes; Amulette de Shokkoth; Anneau Volkorne; Bracelet des Fonds marins; Quatre-feuilles; Poulpagne; Capuche de l'Œil Attentif; Cape Solution; Sandales des Fonds marins; Dofus Vulbis; Dofus Abyssal; Dofus Pourpre; Dofus Turquoise; Dofus Nébuleux; Chanceux majeur; Kanigloups</t>
        </is>
      </c>
    </row>
    <row r="3245">
      <c r="A3245" t="inlineStr">
        <is>
          <t>Over 2cc 12Docri</t>
        </is>
      </c>
      <c r="B3245">
        <f>HYPERLINK("https://www.dofusbook.net/fr/equipement/5774360-over-2cc-12docri/objets", "link")</f>
        <v/>
      </c>
      <c r="C3245" t="n">
        <v>4</v>
      </c>
      <c r="D3245" t="inlineStr">
        <is>
          <t>Arc Nécrotique; Amulette Volkorne; Anneau Volkorne; Anneau de Padgref; Quatre-feuilles; Pagne du Rykaon; Coiffe de Padgref; Cape de la Dame du Hasard; Getas de Padgref; Dofus Vulbis; Dofus Nébuleux; Dofus Turquoise; Dofus Abyssal; Dofus Ébène; Dofus Ocre; Kokulte</t>
        </is>
      </c>
    </row>
    <row r="3246">
      <c r="A3246" t="inlineStr">
        <is>
          <t>Multi</t>
        </is>
      </c>
      <c r="B3246">
        <f>HYPERLINK("https://www.dofusbook.net/fr/equipement/5813657-multi/objets", "link")</f>
        <v/>
      </c>
      <c r="C3246" t="n">
        <v>1</v>
      </c>
      <c r="D3246" t="inlineStr"/>
    </row>
    <row r="3247">
      <c r="A3247" t="inlineStr">
        <is>
          <t>Feca full flotte</t>
        </is>
      </c>
      <c r="B3247">
        <f>HYPERLINK("https://www.dofusbook.net/fr/equipement/5618742-feca-full-flotte/objets", "link")</f>
        <v/>
      </c>
      <c r="C3247" t="n">
        <v>5</v>
      </c>
      <c r="D3247" t="inlineStr">
        <is>
          <t>Baguette Hique; Amulette de Shokkoth; Anneau Volkorne; Alliance Gloursonne; Quatre-feuilles; Pagne du Rykaon; Kidibonnet; Cape de la Dame du Hasard; Bottes de la Dame du Hasard; Dofus Ocre; Dofus Abyssal; Dofus Turquoise; Dofus Nébuleux; Dofus Vulbis; Dofus Ivoire; Kokulte</t>
        </is>
      </c>
    </row>
    <row r="3248">
      <c r="A3248" t="inlineStr">
        <is>
          <t>Fee caca</t>
        </is>
      </c>
      <c r="B3248">
        <f>HYPERLINK("https://www.dofusbook.net/fr/equipement/5673600-fee-caca/objets", "link")</f>
        <v/>
      </c>
      <c r="C3248" t="n">
        <v>7</v>
      </c>
      <c r="D3248" t="inlineStr">
        <is>
          <t>Arc Nécrotique; Amulette Volkorne; Anneau Volkorne; Anneau de Padgref; Quatre-feuilles; Pagne du Rykaon; Le Dorado; Cape de la Dame du Hasard; Bottes de la Dame du Hasard; Dofus Turquoise; Dofus Abyssal; Dofus Ocre; Dofus Nébuleux; Dofus Vulbis; Dofus Ébène; Kokulte</t>
        </is>
      </c>
    </row>
    <row r="3249">
      <c r="A3249" t="inlineStr">
        <is>
          <t>Actu</t>
        </is>
      </c>
      <c r="B3249">
        <f>HYPERLINK("https://www.dofusbook.net/fr/equipement/5356775-actu/objets", "link")</f>
        <v/>
      </c>
      <c r="C3249" t="n">
        <v>8</v>
      </c>
      <c r="D3249" t="inlineStr">
        <is>
          <t>Arc Nécrotique; Amulette Volkorne; Anneau Volkorne; Alliance Gloursonne; Quatre-feuilles; Ceintacé; Casque Volkorne; Cape de la Dame du Hasard; Bottes de la Dame du Hasard; Dofus Nébuleux; Dofus Vulbis; Dofus Turquoise; Dofus Ocre; Dofus Abyssal; Dofus Ébène; Kokulte</t>
        </is>
      </c>
    </row>
    <row r="3250">
      <c r="A3250" t="inlineStr">
        <is>
          <t>Féca F 200</t>
        </is>
      </c>
      <c r="B3250">
        <f>HYPERLINK("https://www.dofusbook.net/fr/equipement/5426255-feca-f-200/objets", "link")</f>
        <v/>
      </c>
      <c r="C3250" t="n">
        <v>3</v>
      </c>
      <c r="D3250" t="inlineStr">
        <is>
          <t>Arc Nécrotique; Amulette Volkorne; Alliance Gloursonne; Anneau Volkorne; Quatre-feuilles; Ceintacé; Capuche de l'Œil Putride; Cape de la Dame du Hasard; Bottes de la Dame du Hasard; Dofus Vulbis; Dofus Nébuleux; Dofus Turquoise; Dofus Abyssal; Dofus Ébène; Dofus Ocre; Kokulte</t>
        </is>
      </c>
    </row>
    <row r="3251">
      <c r="A3251" t="inlineStr">
        <is>
          <t>Ougi</t>
        </is>
      </c>
      <c r="B3251">
        <f>HYPERLINK("https://www.dofusbook.net/fr/equipement/5271309-ougi/objets", "link")</f>
        <v/>
      </c>
      <c r="C3251" t="n">
        <v>13</v>
      </c>
      <c r="D3251" t="inlineStr">
        <is>
          <t>Manthache; Collier du Valet Veinard; Alliance Gloursonne; Gant du Valet Veinard; Bouclier d'Ilyzaelle; Menoture; Casque Volkorne; Cape Indescriptible; Palmes Trithons; Dofus Émeraude; Dofus Pourpre; Dofus Nébuleux; Dofus Abyssal; Dofus Ocre; Nomade; Blérodoudou</t>
        </is>
      </c>
    </row>
    <row r="3252">
      <c r="A3252" t="inlineStr">
        <is>
          <t>Feca</t>
        </is>
      </c>
      <c r="B3252">
        <f>HYPERLINK("https://www.dofusbook.net/fr/equipement/5696705-feca/objets", "link")</f>
        <v/>
      </c>
      <c r="C3252" t="n">
        <v>2</v>
      </c>
      <c r="D3252" t="inlineStr">
        <is>
          <t>Arc Nécrotique; Amulette Volkorne; Bague Trithon; Anneau Volkorne; Quatre-feuilles; Pagne du Rykaon; Masque Trithon; Cape de la Dame du Hasard; Bottes Trithon; Dofus Vulbis; Dofus Abyssal; Dofus Ébène; Dofus Turquoise; Dofus Ocre; Dofus Nébuleux; Sakochère</t>
        </is>
      </c>
    </row>
    <row r="3253">
      <c r="A3253" t="inlineStr">
        <is>
          <t>Volkorne</t>
        </is>
      </c>
      <c r="B3253">
        <f>HYPERLINK("https://www.dofusbook.net/fr/equipement/5678519-volkorne/objets", "link")</f>
        <v/>
      </c>
      <c r="C3253" t="n">
        <v>3</v>
      </c>
      <c r="D3253" t="inlineStr">
        <is>
          <t>Arc Volkorne; Amulette du Strigide; Anneau de Padgref; Bague Trithon; Quatre-feuilles; Ceinture du Strigide; Masque Trithon; Chevelure de Tal Kasha; Bottes Trithon; Dofus Vulbis; Dofus Nébuleux; Dofus Turquoise; Dolmanax; Dofus Ocre; Dofus Ébène; Kokulte</t>
        </is>
      </c>
    </row>
    <row r="3254">
      <c r="A3254" t="inlineStr">
        <is>
          <t>Féca F 200</t>
        </is>
      </c>
      <c r="B3254">
        <f>HYPERLINK("https://www.dofusbook.net/fr/equipement/5670266-feca-f-200/objets", "link")</f>
        <v/>
      </c>
      <c r="C3254" t="n">
        <v>3</v>
      </c>
      <c r="D3254" t="inlineStr">
        <is>
          <t>Arc Nécrotique; Amulette Volkorne; Bague Trithon; Anneau Volkorne; Quatre-feuilles; Ceintacé; Masque Trithon; Cape de la Dame du Hasard; Bottes de la Dame du Hasard; Dofus Ocre; Dofus Abyssal; Dofus Ébène; Dofus Turquoise; Dofus Vulbis; Dofus Nébuleux; Kokulte</t>
        </is>
      </c>
    </row>
    <row r="3255">
      <c r="A3255" t="inlineStr">
        <is>
          <t>Iop F 200</t>
        </is>
      </c>
      <c r="B3255">
        <f>HYPERLINK("https://www.dofusbook.net/fr/equipement/5672213-iop-f-200/objets", "link")</f>
        <v/>
      </c>
      <c r="C3255" t="n">
        <v>3</v>
      </c>
      <c r="D3255" t="inlineStr">
        <is>
          <t>Arc du Chalœil; Amulette du Strigide; Bague Gloursonne; Anneau Crustique; Quatre-feuilles; Ceinture du Strigide; Masque de Koutoulou; Cape au Logis; Bottes du Roi Joueur; Dofus Turquoise; Dofus Pourpre; Enragé majeur; Vigoureux majeur; Remueur; Forcené majeur; Dragodinde Ivoire et Pourpre</t>
        </is>
      </c>
    </row>
    <row r="3256">
      <c r="A3256" t="inlineStr">
        <is>
          <t>Kinssé</t>
        </is>
      </c>
      <c r="B3256">
        <f>HYPERLINK("https://www.dofusbook.net/fr/equipement/5533226-kinsse/objets", "link")</f>
        <v/>
      </c>
      <c r="C3256" t="n">
        <v>3</v>
      </c>
      <c r="D3256" t="inlineStr">
        <is>
          <t>Dagues d'Ilyzaelle; Amulette du Strigide; Anneau Volkorne; Anneau Crustique; Bouclier du Captain Amakna; Ceinture Volkorne; Masque de Koutoulou; Cape au Logis; Bottes de la Cour Sombre; Dofus Pourpre; Dofus Ocre; Dofus Nébuleux; Dofus Abyssal; Dofus Turquoise; Enragé majeur; Dragodinde Ivoire et Pourpre</t>
        </is>
      </c>
    </row>
    <row r="3257">
      <c r="A3257" t="inlineStr">
        <is>
          <t>Kamimashita</t>
        </is>
      </c>
      <c r="B3257">
        <f>HYPERLINK("https://www.dofusbook.net/fr/equipement/5526209-kamimashita/objets", "link")</f>
        <v/>
      </c>
      <c r="C3257" t="n">
        <v>1</v>
      </c>
      <c r="D3257" t="inlineStr"/>
    </row>
    <row r="3258">
      <c r="A3258" t="inlineStr">
        <is>
          <t>Kamimashita</t>
        </is>
      </c>
      <c r="B3258">
        <f>HYPERLINK("https://www.dofusbook.net/fr/equipement/5526208-kamimashita/objets", "link")</f>
        <v/>
      </c>
      <c r="C3258" t="n">
        <v>1</v>
      </c>
      <c r="D3258" t="inlineStr"/>
    </row>
    <row r="3259">
      <c r="A3259" t="inlineStr">
        <is>
          <t>Feca heal</t>
        </is>
      </c>
      <c r="B3259">
        <f>HYPERLINK("https://www.dofusbook.net/fr/equipement/5471231-feca-heal/objets", "link")</f>
        <v/>
      </c>
      <c r="C3259" t="n">
        <v>4</v>
      </c>
      <c r="D3259" t="inlineStr">
        <is>
          <t>Le Thanos; Amulette Volkorne; Anneauræus; Anneau Tique; Carapar; Ceinture Volkorne; Casque Dragoeuf; Cape de Diondin; Pataugastrique; Dofus Ivoire; Dofus Abyssal; Dofus Émeraude; Érudit majeur; Carapace Feu majeur; Nomade; Dragodinde Orchidée et Rousse</t>
        </is>
      </c>
    </row>
    <row r="3260">
      <c r="A3260" t="inlineStr">
        <is>
          <t>Ougi Res</t>
        </is>
      </c>
      <c r="B3260">
        <f>HYPERLINK("https://www.dofusbook.net/fr/equipement/5469924-ougi-res/objets", "link")</f>
        <v/>
      </c>
      <c r="C3260" t="n">
        <v>2</v>
      </c>
      <c r="D3260" t="inlineStr">
        <is>
          <t>Pelle de la Cour Sombre; Collier du Valet Veinard; Gant du Valet Veinard; Alliance Gloursonne; Bouclier d'Ilyzaelle; Menoture; Casque Dragoeuf; Cape Indescriptible; Palmes Trithons; Dofus Nébuleux; Dofus Ivoire; Dofus Ocre; Cascadeur majeur; Carapace Air majeur; Nomade; Dragodinde Ebène et Ivoire</t>
        </is>
      </c>
    </row>
    <row r="3261">
      <c r="A3261" t="inlineStr">
        <is>
          <t>Ouginak F 200</t>
        </is>
      </c>
      <c r="B3261">
        <f>HYPERLINK("https://www.dofusbook.net/fr/equipement/5358189-ouginak-f-200/objets", "link")</f>
        <v/>
      </c>
      <c r="C3261" t="n">
        <v>5</v>
      </c>
      <c r="D3261" t="inlineStr">
        <is>
          <t>Collier du Valet Veinard; Alliance Gloursonne; Gant du Valet Veinard; Bouclier d'Ilyzaelle; Menoture; Cape Indescriptible; Palmes Trithons; Dofus Ocre; Dofus Émeraude; Dofus Abyssal; Dofus Nébuleux; Dofus Pourpre; Cascadeur majeur; Dragodinde Ebène et Ivoire</t>
        </is>
      </c>
    </row>
    <row r="3262">
      <c r="A3262" t="inlineStr">
        <is>
          <t>Feu</t>
        </is>
      </c>
      <c r="B3262">
        <f>HYPERLINK("https://www.dofusbook.net/fr/equipement/5323596-feu/objets", "link")</f>
        <v/>
      </c>
      <c r="C3262" t="n">
        <v>2</v>
      </c>
      <c r="D3262" t="inlineStr">
        <is>
          <t>Harpelle; Amulette Volkorne; Anneauræus; Anneauræus; Bouclier d'Ilyzaelle; Ceinture Séculaire; Heaume Oplate; Voile d'encre; Bottes Innommables; Dofus Ocre; Dofus Abyssal; Dofus Vulbis; Dofus Ivoire; Érudit majeur; Bisouglours</t>
        </is>
      </c>
    </row>
    <row r="3263">
      <c r="A3263" t="inlineStr">
        <is>
          <t>Res</t>
        </is>
      </c>
      <c r="B3263">
        <f>HYPERLINK("https://www.dofusbook.net/fr/equipement/5274356-res/objets", "link")</f>
        <v/>
      </c>
      <c r="C3263" t="n">
        <v>6</v>
      </c>
      <c r="D3263" t="inlineStr">
        <is>
          <t>Karnak; Collier du Valet Veinard; Alliance Gloursonne; Gant du Valet Veinard; Bouclier d'Ilyzaelle; Menoture; Casque Volkorne; Cape Indescriptible; Palmes Trithons; Dofus Émeraude; Dofus Nébuleux; Dofus Abyssal; Dofus Ocre; Vigoureux majeur; Cascadeur majeur; Dragodinde Ebène et Ivoire</t>
        </is>
      </c>
    </row>
    <row r="3264">
      <c r="A3264" t="inlineStr">
        <is>
          <t>Tank 2</t>
        </is>
      </c>
      <c r="B3264">
        <f>HYPERLINK("https://www.dofusbook.net/fr/equipement/5273366-tank-2/objets", "link")</f>
        <v/>
      </c>
      <c r="C3264" t="n">
        <v>2</v>
      </c>
      <c r="D3264" t="inlineStr">
        <is>
          <t>Rouleau à Pâtisserie d'Aermyne; Collier Rophante; Anneau de Pol Ouatnos; Alliance Gloursonne; Bouclier précieux; Ceinture de Kongoku; Casque Dragoeuf; Cape d'Aermyne; Pataugastrique; Dofus Abyssal; Dofus Émeraude; Dofus Ivoire; Obstructeur majeur; Miraculé majeur</t>
        </is>
      </c>
    </row>
    <row r="3265">
      <c r="A3265" t="inlineStr">
        <is>
          <t>Tank</t>
        </is>
      </c>
      <c r="B3265">
        <f>HYPERLINK("https://www.dofusbook.net/fr/equipement/5265341-tank/objets", "link")</f>
        <v/>
      </c>
      <c r="C3265" t="n">
        <v>3</v>
      </c>
      <c r="D3265" t="inlineStr">
        <is>
          <t>Rouleau à Pâtisserie d'Aermyne; Collier Rophante; Alliance Gloursonne; Anneau de Pol Ouatnos; Ceintacé; Masque d'Anerice; Cape d'Anerice; Pataugastrique; Dofus Ivoire; Dofus Abyssal; Dofus Émeraude; Obstructeur majeur; Miraculé majeur</t>
        </is>
      </c>
    </row>
    <row r="3266">
      <c r="A3266" t="inlineStr">
        <is>
          <t>Souin ma</t>
        </is>
      </c>
      <c r="B3266">
        <f>HYPERLINK("https://www.dofusbook.net/fr/equipement/5271519-souin-ma/objets", "link")</f>
        <v/>
      </c>
      <c r="C3266" t="n">
        <v>2</v>
      </c>
      <c r="D3266" t="inlineStr">
        <is>
          <t>Arc corrompu; Pendentif mignon de Koutoulou; Anneau de Nidas; Anneau Rifique; Bouclier du Cycloïde; Ceinture Séculaire; Heaume Oplate; Cape de Diondin; Bottes Innommables; Dofus Ocre; Dofus Émeraude; Dofus Vulbis; Guérisseur majeur; Érudit majeur; Bisouglours</t>
        </is>
      </c>
    </row>
    <row r="3267">
      <c r="A3267" t="inlineStr">
        <is>
          <t>Souin</t>
        </is>
      </c>
      <c r="B3267">
        <f>HYPERLINK("https://www.dofusbook.net/fr/equipement/5271499-souin/objets", "link")</f>
        <v/>
      </c>
      <c r="C3267" t="n">
        <v>2</v>
      </c>
      <c r="D3267" t="inlineStr">
        <is>
          <t>Arc corrompu; Amulette Volkorne; Anneau Tique; Anneau de Nidas; Bouclier du Cycloïde; Sangle Aise; Coiffe Séculaire; Cape de Diondin; Bottes Innommables; Dofus Émeraude; Nomade; Guérisseur majeur; Remueur; Érudit majeur; Bisouglours</t>
        </is>
      </c>
    </row>
    <row r="3268">
      <c r="A3268" t="inlineStr">
        <is>
          <t>Feca Agi</t>
        </is>
      </c>
      <c r="B3268">
        <f>HYPERLINK("https://www.dofusbook.net/fr/equipement/5258542-feca-agi/objets", "link")</f>
        <v/>
      </c>
      <c r="C3268" t="n">
        <v>2</v>
      </c>
      <c r="D3268" t="inlineStr">
        <is>
          <t>Manthache; Collier du Valet Veinard; Alliance Gloursonne; Gant du Valet Veinard; Droiture de Fallanster; Menoture; Dorabysses; Cape Martegel; Palmes Trithons; Dofus Émeraude; Dofus Ivoire; Dofus Vulbis; Dofus Abyssal; Dofus Ocre; Carapace Feu majeur; Dragodinde Ebène et Ivoire</t>
        </is>
      </c>
    </row>
    <row r="3269">
      <c r="A3269" t="inlineStr">
        <is>
          <t>Iop F 200</t>
        </is>
      </c>
      <c r="B3269">
        <f>HYPERLINK("https://www.dofusbook.net/fr/equipement/5212605-iop-f-200/objets", "link")</f>
        <v/>
      </c>
      <c r="C3269" t="n">
        <v>3</v>
      </c>
      <c r="D3269" t="inlineStr">
        <is>
          <t>Dagues du Dragoeuf; Amulette Volkorne; Bague Gloursonne; Chevalière du Roi Joueur; Quatre-feuilles; Ceinture Volkorne; Couronne du Roi Joueur; Cape de Jahash Jurgen; Bottes du Roi Joueur; Dofus Vulbis; Dofus Ocre; Dofus Pourpre; Dofus Ivoire; Dofus Turquoise; Dofus Abyssal; Pioute rouge</t>
        </is>
      </c>
    </row>
    <row r="3270">
      <c r="A3270" t="inlineStr">
        <is>
          <t>Panda Multi</t>
        </is>
      </c>
      <c r="B3270">
        <f>HYPERLINK("https://www.dofusbook.net/fr/equipement/5170000-panda-multi/objets", "link")</f>
        <v/>
      </c>
      <c r="C3270" t="n">
        <v>2</v>
      </c>
      <c r="D3270" t="inlineStr">
        <is>
          <t>Hache du Chalœil; Amulette Volkorne; Anneau Volkorne; Anneau de Padgref; Quatre-feuilles; Ceinture Volkorne; Coiffe de Padgref; Cape de la Dame du Hasard; Getas de Padgref; Dofus Pourpre; Dofus des Glaces; Dofus Turquoise; Dofus Abyssal; Dofus Ébène; Dofus Ocre; Kokulte</t>
        </is>
      </c>
    </row>
    <row r="3271">
      <c r="A3271" t="inlineStr">
        <is>
          <t>full feu</t>
        </is>
      </c>
      <c r="B3271">
        <f>HYPERLINK("https://www.dofusbook.net/fr/equipement/5169797-full-feu/objets", "link")</f>
        <v/>
      </c>
      <c r="C3271" t="n">
        <v>1</v>
      </c>
      <c r="D3271" t="inlineStr">
        <is>
          <t>Dagues Ricol; Amulette du Strigide; Anneau de Padgref; Bague Trithon; Bouclier du Captain Amakna; Ceinture du Strigide; Coiffe de Padgref; Cape de la Dame du Hasard; Getas de Padgref; Dofus Ocre; Dofus des Glaces; Dofus Pourpre; Dofus Abyssal; Dofus Turquoise; Dofus Vulbis; Kokulte</t>
        </is>
      </c>
    </row>
    <row r="3272">
      <c r="A3272" t="inlineStr">
        <is>
          <t>Pandawa F 200</t>
        </is>
      </c>
      <c r="B3272">
        <f>HYPERLINK("https://www.dofusbook.net/fr/equipement/5160360-pandawa-f-200/objets", "link")</f>
        <v/>
      </c>
      <c r="C3272" t="n">
        <v>2</v>
      </c>
      <c r="D3272" t="inlineStr">
        <is>
          <t>Rouleau à Pâtisserie d'Aermyne; Collier Rophante; Anneau de Pol Ouatnos; Alliance Gloursonne; Sept ans de malheur; Ceintacé; Masque d'Anerice; Cape d'Anerice; Pataugastrique; Dofus Ivoire; Dofus Abyssal; Dofus Émeraude; Dokoko; Obstructeur majeur; Miraculé majeur; Givrefoux</t>
        </is>
      </c>
    </row>
    <row r="3273">
      <c r="A3273" t="inlineStr">
        <is>
          <t>Féca F 200</t>
        </is>
      </c>
      <c r="B3273">
        <f>HYPERLINK("https://www.dofusbook.net/fr/equipement/5168426-feca-f-200/objets", "link")</f>
        <v/>
      </c>
      <c r="C3273" t="n">
        <v>1</v>
      </c>
      <c r="D3273" t="inlineStr">
        <is>
          <t>Baguette de Malléfisk; Amulette Volkorne; Anneauræus; Anneauræus; Bouclier du Stalak; Ceinture Volkorne; Casque Dragoeuf; Cape de Diondin; Bottes Innommables; Dofus Ivoire; Dofus Abyssal; Dofus Ocre; Dofus Émeraude; Érudit majeur; Nomade; Dragodinde Ivoire et Orchidée</t>
        </is>
      </c>
    </row>
    <row r="3274">
      <c r="A3274" t="inlineStr">
        <is>
          <t>Nianian</t>
        </is>
      </c>
      <c r="B3274">
        <f>HYPERLINK("https://www.dofusbook.net/fr/equipement/4475157-nianian/objets", "link")</f>
        <v/>
      </c>
      <c r="C3274" t="n">
        <v>7</v>
      </c>
      <c r="D3274" t="inlineStr">
        <is>
          <t>Arc Volkorne; Amulette Volkorne; Anneau Volkorne; Alliance Gloursonne; Quatre-feuilles; Ceintacé; Casque Volkorne; Cape de la Dame du Hasard; Bottes de la Dame du Hasard; Dofus des Glaces; Dofus Nébuleux; Dofus Ébène; Dofus Turquoise; Dofus Ocre; Dofus Pourpre; Kokulte</t>
        </is>
      </c>
    </row>
    <row r="3275">
      <c r="A3275" t="inlineStr">
        <is>
          <t>Sadi Air</t>
        </is>
      </c>
      <c r="B3275">
        <f>HYPERLINK("https://www.dofusbook.net/fr/equipement/5167905-sadi-air/objets", "link")</f>
        <v/>
      </c>
      <c r="C3275" t="n">
        <v>2</v>
      </c>
      <c r="D3275" t="inlineStr">
        <is>
          <t>Hache du Guerrier Zoth; Collier du Valet Veinard; Alliance Gloursonne; Gant du Valet Veinard; Bouclier du Stalak; Casque Volkorne; Cape Indescriptible; Palmes Trithons; Dofus Ocre; Dofus Abyssal; Déserteur majeur; Nomade; Vagabond majeur; Remueur; Tofu Givré</t>
        </is>
      </c>
    </row>
    <row r="3276">
      <c r="A3276" t="inlineStr">
        <is>
          <t>Sadi Force</t>
        </is>
      </c>
      <c r="B3276">
        <f>HYPERLINK("https://www.dofusbook.net/fr/equipement/5168201-sadi-force/objets", "link")</f>
        <v/>
      </c>
      <c r="C3276" t="n">
        <v>1</v>
      </c>
      <c r="D3276" t="inlineStr">
        <is>
          <t>Marteau R'ture; Amulette du Strigide; Anneau Crustique; Anneau de Brouce; Bouclier du Stalak; Ceinture de Brouce; Coiffe du Comte Harebourg; Cape au Logis; Bottes de Brouce; Dofus Pourpre; Dolmanax; Dofus Ocre; Dofus Nébuleux; Furibond majeur; Forcené majeur; Pioute vert</t>
        </is>
      </c>
    </row>
    <row r="3277">
      <c r="A3277" t="inlineStr">
        <is>
          <t>200</t>
        </is>
      </c>
      <c r="B3277">
        <f>HYPERLINK("https://www.dofusbook.net/fr/equipement/4979431-200/objets", "link")</f>
        <v/>
      </c>
      <c r="C3277" t="n">
        <v>1</v>
      </c>
      <c r="D3277" t="inlineStr">
        <is>
          <t>Arc Volkorne; Amulette Volkorne; Anneau de Padgref; Anneau Volkorne; Quatre-feuilles; Ceinture Volkorne; Coiffe de Padgref; Cape d'Atcham; Getas de Padgref; Dofus Ocre; Dofus des Glaces; Dofus Nébuleux; Dofus Abyssal; Dofus Turquoise; Dofus Ébène; Kokulte</t>
        </is>
      </c>
    </row>
    <row r="3278">
      <c r="A3278" t="inlineStr">
        <is>
          <t>FullO</t>
        </is>
      </c>
      <c r="B3278">
        <f>HYPERLINK("https://www.dofusbook.net/fr/equipement/4901288-fullo/objets", "link")</f>
        <v/>
      </c>
      <c r="C3278" t="n">
        <v>20</v>
      </c>
      <c r="D3278" t="inlineStr">
        <is>
          <t>Dagoulinantes; Amulette de Shokkoth; Bracelet des Fonds marins; Alliance Gloursonne; Quatre-feuilles; Sangle Ouare; Capuche de l'Œil Attentif; Cape Solution; Pataugastrique; Dofus Pourpre; Dofus Turquoise; Nomade; Remueur; Chanceux majeur; Kanigloups</t>
        </is>
      </c>
    </row>
    <row r="3279">
      <c r="A3279" t="inlineStr">
        <is>
          <t>Pandawa F 200</t>
        </is>
      </c>
      <c r="B3279">
        <f>HYPERLINK("https://www.dofusbook.net/fr/equipement/4842070-pandawa-f-200/objets", "link")</f>
        <v/>
      </c>
      <c r="C3279" t="n">
        <v>6</v>
      </c>
      <c r="D3279" t="inlineStr">
        <is>
          <t>Rouleau à Pâtisserie d'Aermyne; Collier Rophante; Bague Trithon; Alliance Gloursonne; Sept ans de malheur; Sangle Ouare; Masque d'Anerice; Cape d'Anerice; Pataugastrique; Dofus Émeraude; Dofus Ivoire; Dokoko; Dofus Abyssal; Miraculé majeur; Remueur; Gupin</t>
        </is>
      </c>
    </row>
    <row r="3280">
      <c r="A3280" t="inlineStr">
        <is>
          <t>Iop F 200</t>
        </is>
      </c>
      <c r="B3280">
        <f>HYPERLINK("https://www.dofusbook.net/fr/equipement/4626756-iop-f-200/objets", "link")</f>
        <v/>
      </c>
      <c r="C3280" t="n">
        <v>9</v>
      </c>
      <c r="D3280" t="inlineStr">
        <is>
          <t>Hache Téroïde; Amulette du Strigide; Chevalière du Roi Joueur; Bague Gloursonne; Bouclier du Captain Amakna; Ceintacé; Masque de Koutoulou; Cape au Logis; Bottes du Strigide; Dofus Pourpre; Dofus Turquoise; Remueur; Vigoureux majeur; Nomade; Enragé majeur; Kokulte</t>
        </is>
      </c>
    </row>
    <row r="3281">
      <c r="A3281" t="inlineStr">
        <is>
          <t>Kinsey</t>
        </is>
      </c>
      <c r="B3281">
        <f>HYPERLINK("https://www.dofusbook.net/fr/equipement/4231454-kinsey/objets", "link")</f>
        <v/>
      </c>
      <c r="C3281" t="n">
        <v>35</v>
      </c>
      <c r="D3281" t="inlineStr">
        <is>
          <t>Marteau R'ture; Amulette du Strigide; Anneau Crustique; Anneau Volkorne; Bouclier du Captain Amakna; Ceinture Volkorne; Masque de Koutoulou; Cape au Logis; Bottes de la Cour Sombre; Dofus Ocre; Dofus Pourpre; Dofus Turquoise; Forcené majeur; Vigoureux majeur; Enragé majeur; Dragodinde Ivoire et Pourpre</t>
        </is>
      </c>
    </row>
    <row r="3282">
      <c r="A3282" t="inlineStr">
        <is>
          <t>Fuite</t>
        </is>
      </c>
      <c r="B3282">
        <f>HYPERLINK("https://www.dofusbook.net/fr/equipement/4569253-fuite/objets", "link")</f>
        <v/>
      </c>
      <c r="C3282" t="n">
        <v>2</v>
      </c>
      <c r="D3282" t="inlineStr">
        <is>
          <t>Hache du Guerrier Zoth; Collier du Valet Veinard; Gant du Valet Veinard; Alliance Gloursonne; Bouclier du Stalak; Couronne d'Allister; Cape Indescriptible; Palmes Trithons; Dofus Ocre; Dofus Abyssal; Cascadeur majeur; Nomade; Déserteur majeur; Remueur; Tofu Givré</t>
        </is>
      </c>
    </row>
    <row r="3283">
      <c r="A3283" t="inlineStr">
        <is>
          <t>Sadida F 200</t>
        </is>
      </c>
      <c r="B3283">
        <f>HYPERLINK("https://www.dofusbook.net/fr/equipement/4312431-sadida-f-200/objets", "link")</f>
        <v/>
      </c>
      <c r="C3283" t="n">
        <v>4</v>
      </c>
      <c r="D3283" t="inlineStr">
        <is>
          <t>L'Épée Nice; Collier du Valet Veinard; Gelano; Gant du Valet Veinard; Bouclier du Stalak; Couronne d'Allister; Cape du Valet Veinard; Bottes d'Allister; Dolmanax; Dofus Abyssal; Dofus Émeraude; Dofus Ocre; Vagabond majeur; Tofu Givré</t>
        </is>
      </c>
    </row>
    <row r="3284">
      <c r="A3284" t="inlineStr">
        <is>
          <t>Force</t>
        </is>
      </c>
      <c r="B3284">
        <f>HYPERLINK("https://www.dofusbook.net/fr/equipement/4558594-force/objets", "link")</f>
        <v/>
      </c>
      <c r="C3284" t="n">
        <v>1</v>
      </c>
      <c r="D3284" t="inlineStr">
        <is>
          <t>Marteau R'ture; Collier de Tourthon; Anneau de Brouce; Anneau Crustique; Bouclier du Stalak; Ceinture Volkorne; Coiffe du Comte Harebourg; Cape de Jahash Jurgen; Bottes du Comte Harebourg; Dofus Pourpre; Dofus Nébuleux; Forcené majeur; Enragé majeur; Robuste majeur; Vigoureux majeur; Bulbisou</t>
        </is>
      </c>
    </row>
    <row r="3285">
      <c r="A3285" t="inlineStr">
        <is>
          <t>Victra</t>
        </is>
      </c>
      <c r="B3285">
        <f>HYPERLINK("https://www.dofusbook.net/fr/equipement/4278951-victra/objets", "link")</f>
        <v/>
      </c>
      <c r="C3285" t="n">
        <v>1</v>
      </c>
      <c r="D3285" t="inlineStr">
        <is>
          <t>Marteau R'ture; Amulette du Strigide; Anneau de Brouce; Anneau du Comte Harebourg; Bouclier du Stalak; Ceinture de Brouce; Coiffe du Comte Harebourg; Cape au Logis; Bottes de Brouce; Dofus des Glaces; Dofus Ocre; Dofus Pourpre; Dofus Nébuleux; Furibond majeur; Forcené majeur; Kompost</t>
        </is>
      </c>
    </row>
    <row r="3286">
      <c r="A3286" t="inlineStr">
        <is>
          <t>Mensae</t>
        </is>
      </c>
      <c r="B3286">
        <f>HYPERLINK("https://www.dofusbook.net/fr/equipement/4363728-mensae/objets", "link")</f>
        <v/>
      </c>
      <c r="C3286" t="n">
        <v>5</v>
      </c>
      <c r="D3286" t="inlineStr">
        <is>
          <t>Hache du Chalœil; Amulette du Strigide; Alliance Gloursonne; Bracelet du Piloztère; Bouclier du Stalak; Ceintacé; Le Dorado; Voile d'encre; Bottes du Strigide; Dofus Pourpre; Dofus Nébuleux; Dofus Turquoise; Dofus Abyssal; Vigoureux majeur; Robuste majeur; Muldo Doré et Emeraude</t>
        </is>
      </c>
    </row>
    <row r="3287">
      <c r="A3287" t="inlineStr">
        <is>
          <t>Ecaflip F 200</t>
        </is>
      </c>
      <c r="B3287">
        <f>HYPERLINK("https://www.dofusbook.net/fr/equipement/4312960-ecaflip-f-200/objets", "link")</f>
        <v/>
      </c>
      <c r="C3287" t="n">
        <v>3</v>
      </c>
      <c r="D3287" t="inlineStr">
        <is>
          <t>Hache du Chalœil; Amulette Volkorne; Anneau Volkorne; Bague Trithon; Bouclier du Stalak; Ceinture Volkorne; Masque Trithon; Voile d'encre; Bottes Trithon; Dofus Pourpre; Dofus Abyssal; Dofus Ocre; Dofus Nébuleux; Dofus Turquoise; Robuste majeur; Chacha Angora</t>
        </is>
      </c>
    </row>
    <row r="3288">
      <c r="A3288" t="inlineStr">
        <is>
          <t>Padgref</t>
        </is>
      </c>
      <c r="B3288">
        <f>HYPERLINK("https://www.dofusbook.net/fr/equipement/4259687-padgref/objets", "link")</f>
        <v/>
      </c>
      <c r="C3288" t="n">
        <v>14</v>
      </c>
      <c r="D3288" t="inlineStr">
        <is>
          <t>Sabres d'Atcham; Amulette du Strigide; Bracelet du Piloztère; Anneau de Padgref; Quatre-feuilles; Ceinture du Strigide; Coiffe de Padgref; Cape d'Atcham; Getas de Padgref; Dofus Ocre; Dofus Nébuleux; Dofus Turquoise; Dofus Pourpre; Dofus des Glaces; Voyageur; Kokulte</t>
        </is>
      </c>
    </row>
    <row r="3289">
      <c r="A3289" t="inlineStr">
        <is>
          <t>Mensae lul</t>
        </is>
      </c>
      <c r="B3289">
        <f>HYPERLINK("https://www.dofusbook.net/fr/equipement/4312935-mensae-lul/objets", "link")</f>
        <v/>
      </c>
      <c r="C3289" t="n">
        <v>4</v>
      </c>
      <c r="D3289" t="inlineStr">
        <is>
          <t>Hache du Chalœil; Amulette du Strigide; Bracelet du Piloztère; Bague Trithon; Bouclier du Stalak; Ceintacé; Masque Trithon; Voile d'encre; Bottes du Strigide; Dofus Nébuleux; Dofus Ocre; Dofus Pourpre; Dofus Abyssal; Dofus Turquoise; Robuste majeur; Muldo Doré et Emeraude</t>
        </is>
      </c>
    </row>
    <row r="3290">
      <c r="A3290" t="inlineStr">
        <is>
          <t>Pandawa F 200</t>
        </is>
      </c>
      <c r="B3290">
        <f>HYPERLINK("https://www.dofusbook.net/fr/equipement/4353939-pandawa-f-200/objets", "link")</f>
        <v/>
      </c>
      <c r="C3290" t="n">
        <v>10</v>
      </c>
      <c r="D3290" t="inlineStr">
        <is>
          <t>Dagues d'Ilyzaelle; Amulette du Strigide; Anneau Volkorne; Bague Gloursonne; Bouclier précieux; Ceinture Volkorne; Masque de Koutoulou; Cape au Logis; Baleinabottes; Dofus Abyssal; Dofus Émeraude; Obstructeur majeur; Carapace Air majeur; Enragé majeur; Bloqueur majeur; Platypus</t>
        </is>
      </c>
    </row>
    <row r="3291">
      <c r="A3291" t="inlineStr">
        <is>
          <t>Crâ F 200</t>
        </is>
      </c>
      <c r="B3291">
        <f>HYPERLINK("https://www.dofusbook.net/fr/equipement/4338389-cra-f-200/objets", "link")</f>
        <v/>
      </c>
      <c r="C3291" t="n">
        <v>5</v>
      </c>
      <c r="D3291" t="inlineStr">
        <is>
          <t>Epée Gloursonne; Amulette du Strigide; Bague Gloursonne; Alliance Gloursonne; Quatre-feuilles; Ceinture du Strigide; Masque Vaudou Tam; Cape Reski; Bottes du Strigide; Dofus Vulbis; Dofus Ocre; Dofus Pourpre; Dofus Nébuleux; Dofus des Glaces; Dofus Turquoise; Kokulte</t>
        </is>
      </c>
    </row>
    <row r="3292">
      <c r="A3292" t="inlineStr">
        <is>
          <t>Xaa</t>
        </is>
      </c>
      <c r="B3292">
        <f>HYPERLINK("https://www.dofusbook.net/fr/equipement/4276823-xaa/objets", "link")</f>
        <v/>
      </c>
      <c r="C3292" t="n">
        <v>7</v>
      </c>
      <c r="D3292" t="inlineStr">
        <is>
          <t>Harpelle; Amulette Volkorne; Anneauræus; Anneauræus; Bouclier d'Ilyzaelle; Ceinture Volkorne; Casque Dragoeuf; Cape de Diondin; Bottes Innommables; Dofus Abyssal; Dofus Ivoire; Dofus Ocre; Érudit majeur; Miraculé majeur; Nomade; Dragodinde Ivoire et Orchidée</t>
        </is>
      </c>
    </row>
    <row r="3293">
      <c r="A3293" t="inlineStr">
        <is>
          <t>Zaa</t>
        </is>
      </c>
      <c r="B3293">
        <f>HYPERLINK("https://www.dofusbook.net/fr/equipement/4276774-zaa/objets", "link")</f>
        <v/>
      </c>
      <c r="C3293" t="n">
        <v>10</v>
      </c>
      <c r="D3293" t="inlineStr">
        <is>
          <t>Marteau des égarés; Amulette Volkorne; Anneau Volkorne; Alliance Brûlâme; Bouclier du Captain Amakna; Ceinture Volkorne; Casque du Chalœil; Cape du Chalœil; Bottes du Chalœil; Dofus Pourpre; Dofus Abyssal; Dofus Ivoire; Dofus Turquoise; Dofus des Glaces; Dofus Ocre; Dragodinde en armure</t>
        </is>
      </c>
    </row>
    <row r="3294">
      <c r="A3294" t="inlineStr">
        <is>
          <t>Crâ F 200</t>
        </is>
      </c>
      <c r="B3294">
        <f>HYPERLINK("https://www.dofusbook.net/fr/equipement/4259636-cra-f-200/objets", "link")</f>
        <v/>
      </c>
      <c r="C3294" t="n">
        <v>4</v>
      </c>
      <c r="D3294" t="inlineStr">
        <is>
          <t>Sabres d'Atcham; Amulette Volkorne; Bague Trithon; Anneau Volkorne; Quatre-feuilles; Ceintacé; Casque Volkorne; Cape d'Atcham; Bottes Trithon; Dofus Nébuleux; Dolmanax; Dofus Turquoise; Dofus Abyssal; Dofus Ocre; Dofus Pourpre; Kokulte</t>
        </is>
      </c>
    </row>
    <row r="3295">
      <c r="A3295" t="inlineStr">
        <is>
          <t>Pandawa F 200</t>
        </is>
      </c>
      <c r="B3295">
        <f>HYPERLINK("https://www.dofusbook.net/fr/equipement/4216566-pandawa-f-200/objets", "link")</f>
        <v/>
      </c>
      <c r="C3295" t="n">
        <v>7</v>
      </c>
      <c r="D3295" t="inlineStr">
        <is>
          <t>Baguette Hique; Amulette Volkorne; Alliance Gloursonne; Anneau Volkorne; Quatre-feuilles; Ceinture Volkorne; Le Dorado; Cape de la Dame du Hasard; Bottes de la Dame du Hasard; Dofus Pourpre; Dofus Ocre; Dofus Turquoise; Dofus Abyssal; Dofus des Glaces; Dofus Nébuleux; Dragodinde Indigo et Ivoire</t>
        </is>
      </c>
    </row>
    <row r="3296">
      <c r="A3296" t="inlineStr">
        <is>
          <t>Kinuye</t>
        </is>
      </c>
      <c r="B3296">
        <f>HYPERLINK("https://www.dofusbook.net/fr/equipement/4191580-kinuye/objets", "link")</f>
        <v/>
      </c>
      <c r="C3296" t="n">
        <v>5</v>
      </c>
      <c r="D3296" t="inlineStr">
        <is>
          <t>Baguette Hique; Amulette de Shokkoth; Alliance Gloursonne; Anneau Volkorne; Quatre-feuilles; Pagne du Rykaon; Kidibonnet; Cape de la Dame du Hasard; Bottes de la Dame du Hasard; Dofus Nébuleux; Dofus Turquoise; Dofus Abyssal; Dofus Ocre; Nomade; Chanceux majeur; Dragodinde Indigo et Ivoire</t>
        </is>
      </c>
    </row>
    <row r="3297">
      <c r="A3297" t="inlineStr">
        <is>
          <t>Panda</t>
        </is>
      </c>
      <c r="B3297">
        <f>HYPERLINK("https://www.dofusbook.net/fr/equipement/4219140-panda-/objets", "link")</f>
        <v/>
      </c>
      <c r="C3297" t="n">
        <v>2</v>
      </c>
      <c r="D3297" t="inlineStr"/>
    </row>
    <row r="3298">
      <c r="A3298" t="inlineStr">
        <is>
          <t>Waa</t>
        </is>
      </c>
      <c r="B3298">
        <f>HYPERLINK("https://www.dofusbook.net/fr/equipement/4252634-waa/objets", "link")</f>
        <v/>
      </c>
      <c r="C3298" t="n">
        <v>4</v>
      </c>
      <c r="D3298" t="inlineStr">
        <is>
          <t>Marteau des égarés; Amulette du Strigide; Anneau Tique; Alliance Gloursonne; Bouclier du Captain Amakna; Ceintacé; Coiffe de la Reine des Voleurs; Voile d'encre; Bottes du Strigide; Dofus des Glaces; Dofus Abyssal; Dofus Turquoise; Dofus Ivoire; Dolmanax; Dofus Ocre; Muldo Pourpre</t>
        </is>
      </c>
    </row>
    <row r="3299">
      <c r="A3299" t="inlineStr">
        <is>
          <t>Yaa</t>
        </is>
      </c>
      <c r="B3299">
        <f>HYPERLINK("https://www.dofusbook.net/fr/equipement/4252583-yaa/objets", "link")</f>
        <v/>
      </c>
      <c r="C3299" t="n">
        <v>5</v>
      </c>
      <c r="D3299" t="inlineStr">
        <is>
          <t>Marteau des égarés; Amulette Volkorne; Anneau Volkorne; Bague Trithon; Bouclier du Captain Amakna; Ceinture Volkorne; Masque Trithon; Voile d'encre; Bottes Trithon; Dofus Turquoise; Dofus Ivoire; Dofus Pourpre; Dofus des Glaces; Dofus Ocre; Dofus Abyssal; Bwak d'Air</t>
        </is>
      </c>
    </row>
    <row r="3300">
      <c r="A3300" t="inlineStr">
        <is>
          <t>Terre/Feu</t>
        </is>
      </c>
      <c r="B3300">
        <f>HYPERLINK("https://www.dofusbook.net/fr/equipement/4252426-terre-feu/objets", "link")</f>
        <v/>
      </c>
      <c r="C3300" t="n">
        <v>7</v>
      </c>
      <c r="D3300" t="inlineStr">
        <is>
          <t>Arc du Chalœil; Amulette Volkorne; Anneau Volkorne; Chevalière du Roi Joueur; Quatre-feuilles; Ceinture Volkorne; Couronne du Roi Joueur; Voile d'encre; Bottes du Roi Joueur; Dofus Pourpre; Dofus Nébuleux; Dofus Turquoise; Dofus Abyssal; Dofus Ocre; Forcené majeur; Dragodinde Ivoire et Pourpre</t>
        </is>
      </c>
    </row>
    <row r="3301">
      <c r="A3301" t="inlineStr">
        <is>
          <t>Kinsey 2</t>
        </is>
      </c>
      <c r="B3301">
        <f>HYPERLINK("https://www.dofusbook.net/fr/equipement/4252181-kinsey-2/objets", "link")</f>
        <v/>
      </c>
      <c r="C3301" t="n">
        <v>11</v>
      </c>
      <c r="D3301" t="inlineStr">
        <is>
          <t>Arc du Chalœil; Amulette du Cœur Saignant; Anneau Volkorne; Anneau Crustique; Quatre-feuilles; Ceinture Volkorne; Casque Volkorne; Cape du Cœur Saignant; Bottes du Cœur Saignant; Dofus Turquoise; Dofus Abyssal; Dofus Pourpre; Dofus Nébuleux; Dofus Ocre; Forcené majeur; Dragodinde Ivoire et Pourpre</t>
        </is>
      </c>
    </row>
    <row r="3302">
      <c r="A3302" t="inlineStr">
        <is>
          <t>Kinuye Actu</t>
        </is>
      </c>
      <c r="B3302">
        <f>HYPERLINK("https://www.dofusbook.net/fr/equipement/4216536-kinuye-actu/objets", "link")</f>
        <v/>
      </c>
      <c r="C3302" t="n">
        <v>8</v>
      </c>
      <c r="D3302" t="inlineStr">
        <is>
          <t>Dagoulinantes; Amulette du Strigide; Alliance Gloursonne; Bracelet des Fonds marins; Quatre-feuilles; Ceinture du Strigide; Capuche de l'Œil Attentif; Cape de la Dame du Hasard; Pataugastrique; Dofus Pourpre; Dofus Abyssal; Dofus Turquoise; Dofus Nébuleux; Nomade; Remueur; Pioute bleu</t>
        </is>
      </c>
    </row>
    <row r="3303">
      <c r="A3303" t="inlineStr">
        <is>
          <t>Kereska 2</t>
        </is>
      </c>
      <c r="B3303">
        <f>HYPERLINK("https://www.dofusbook.net/fr/equipement/4191471-kereska-2/objets", "link")</f>
        <v/>
      </c>
      <c r="C3303" t="n">
        <v>5</v>
      </c>
      <c r="D3303" t="inlineStr">
        <is>
          <t>Arc corrompu; Pendentif mignon de Koutoulou; Anneau Rifique; Anneau Tique; Quatre-feuilles; Ceinture de Vortex; Coiffe Séculaire; Cape de Diondin; Bottes Innommables; Dofus Pourpre; Dofus Abyssal; Dofus Turquoise; Dofus Ocre; Nomade; Carapace Feu majeur; Brûlih</t>
        </is>
      </c>
    </row>
    <row r="3304">
      <c r="A3304" t="inlineStr">
        <is>
          <t>Kereska Res</t>
        </is>
      </c>
      <c r="B3304">
        <f>HYPERLINK("https://www.dofusbook.net/fr/equipement/4191441-kereska-res/objets", "link")</f>
        <v/>
      </c>
      <c r="C3304" t="n">
        <v>9</v>
      </c>
      <c r="D3304" t="inlineStr">
        <is>
          <t>Arc corrompu; Pendentif mignon de Koutoulou; Anneau Tique; Anneau Rifique; Bouclier du Stalak; Ceinture de Vortex; Casque Dragoeuf; Cape de Diondin; Pataugastrique; Dofus Pourpre; Dofus Abyssal; Érudit majeur; Nomade; Carapace Feu majeur; Bwak de Terre</t>
        </is>
      </c>
    </row>
    <row r="3305">
      <c r="A3305" t="inlineStr">
        <is>
          <t>Enutrof F 200</t>
        </is>
      </c>
      <c r="B3305">
        <f>HYPERLINK("https://www.dofusbook.net/fr/equipement/4215087-enutrof-f-200/objets", "link")</f>
        <v/>
      </c>
      <c r="C3305" t="n">
        <v>10</v>
      </c>
      <c r="D3305" t="inlineStr">
        <is>
          <t>Baguette Hique; Amulette de Shokkoth; Alliance Gloursonne; Anneau Volkorne; Bouclier cubiste; Poulpagne; Capuche de l'Œil Attentif; Cape de la Dame du Hasard; Bottes de la Dame du Hasard; Dofus des Glaces; Remueur; Temporiseur majeur; Ralentisseur majeur; Nomade; Entraveur majeur; Léopardo</t>
        </is>
      </c>
    </row>
    <row r="3306">
      <c r="A3306" t="inlineStr">
        <is>
          <t>Actuel</t>
        </is>
      </c>
      <c r="B3306">
        <f>HYPERLINK("https://www.dofusbook.net/fr/equipement/4191492-actuel/objets", "link")</f>
        <v/>
      </c>
      <c r="C3306" t="n">
        <v>6</v>
      </c>
      <c r="D3306" t="inlineStr">
        <is>
          <t>Arc corrompu; Amulette Volkorne; Anneauræus; Anneau de Padgref; Quatre-feuilles; Ceinture Séculaire; Coiffe Séculaire; Cape de Diondin; Bottes Innommables; Dofus Ocre; Dofus Abyssal; Dofus Turquoise; Érudit majeur; Nomade; Pioute rouge</t>
        </is>
      </c>
    </row>
    <row r="3307">
      <c r="A3307" t="inlineStr">
        <is>
          <t>Sram M 200</t>
        </is>
      </c>
      <c r="B3307">
        <f>HYPERLINK("https://www.dofusbook.net/fr/equipement/5980279-sram-m-200/objets", "link")</f>
        <v/>
      </c>
      <c r="C3307" t="n">
        <v>1</v>
      </c>
      <c r="D3307" t="inlineStr">
        <is>
          <t>Héqache; Amulette du Strigide; Anneau Chevelu; Anneau de Brouce; Bouclier du Captain Amakna; Ceinture de Brouce; Corne de Torkélonia; Carapace de Torkélonia; Bottes de Brouce; Dofus Turquoise; Dofus Ébène; Dofus Ocre; Dofus Abyssal; Dofus Pourpre; Dofus Vulbis; Kokulte</t>
        </is>
      </c>
    </row>
    <row r="3308">
      <c r="A3308" t="inlineStr">
        <is>
          <t>Sram M 200</t>
        </is>
      </c>
      <c r="B3308">
        <f>HYPERLINK("https://www.dofusbook.net/fr/equipement/5977677-sram-m-200/objets", "link")</f>
        <v/>
      </c>
      <c r="C3308" t="n">
        <v>2</v>
      </c>
      <c r="D3308" t="inlineStr">
        <is>
          <t>Manthache; Collier du Valet Veinard; Alliance Gloursonne; Gant du Valet Veinard; Droiture de Fallanster; Menoture; Dorabysses; Cape Martegel; Palmes Trithons; Dofus Ocre; Dofus Abyssal; Dofus Pourpre; Dofus Ivoire; Dofus Vulbis; Dofus Ébène; Blérodoudou</t>
        </is>
      </c>
    </row>
    <row r="3309">
      <c r="A3309" t="inlineStr">
        <is>
          <t>Féca M 200</t>
        </is>
      </c>
      <c r="B3309">
        <f>HYPERLINK("https://www.dofusbook.net/fr/equipement/5903542-feca-m-200/objets", "link")</f>
        <v/>
      </c>
      <c r="C3309" t="n">
        <v>2</v>
      </c>
      <c r="D3309" t="inlineStr">
        <is>
          <t>Baguette de Torkélonia; Amulette du Strigide; Bracelet du Piloztère; Anneau de Padgref; Quatre-feuilles; Ceinture du Strigide; Corne de Torkélonia; Carapace de Torkélonia; Bottes du Strigide; Dofus Ocre; Dofus Ébène; Dofus Vulbis; Dofus des Glaces; Dofus Turquoise; Dofus Pourpre; Kokulte</t>
        </is>
      </c>
    </row>
    <row r="3310">
      <c r="A3310" t="inlineStr">
        <is>
          <t>Roublard M 200</t>
        </is>
      </c>
      <c r="B3310">
        <f>HYPERLINK("https://www.dofusbook.net/fr/equipement/5903487-roublard-m-200/objets", "link")</f>
        <v/>
      </c>
      <c r="C3310" t="n">
        <v>1</v>
      </c>
      <c r="D3310" t="inlineStr">
        <is>
          <t>Arc du Chalœil; Collier de Tourthon; Anneau de Brouce; Bracelet du Piloztère; Bouclier du Stalak; Ceinture de la Reine des Voleurs; Coiffe de la Reine des Voleurs; Cape au Logis; Baleinabottes; Dofus des Glaces; Dofus Abyssal; Dofus Pourpre; Dofus Ocre; Enragé majeur; Dévastateur Terre majeur; Bulbisou</t>
        </is>
      </c>
    </row>
    <row r="3311">
      <c r="A3311" t="inlineStr">
        <is>
          <t>Enutrof M 200</t>
        </is>
      </c>
      <c r="B3311">
        <f>HYPERLINK("https://www.dofusbook.net/fr/equipement/5898945-enutrof-m-200/objets", "link")</f>
        <v/>
      </c>
      <c r="C3311" t="n">
        <v>4</v>
      </c>
      <c r="D3311" t="inlineStr">
        <is>
          <t>Bagdette Café; Amulette de Danathor; Bracelet du Piloztère; Anneau Volkorne; Quatre-feuilles; Ceinture de Danathor; Coiffe de Danathor; Cape de la Dame du Hasard; Bottes de la Dame du Hasard; Dofus Vulbis; Dofus Abyssal; Dofus Turquoise; Dofus des Glaces; Dofus Ocre; Dofus Ébène; Kokulte</t>
        </is>
      </c>
    </row>
    <row r="3312">
      <c r="A3312" t="inlineStr">
        <is>
          <t>Enutrof M 200</t>
        </is>
      </c>
      <c r="B3312">
        <f>HYPERLINK("https://www.dofusbook.net/fr/equipement/5903330-enutrof-m-200/objets", "link")</f>
        <v/>
      </c>
      <c r="C3312" t="n">
        <v>1</v>
      </c>
      <c r="D3312" t="inlineStr">
        <is>
          <t>Baguette de Kouartz; Amulette de Shokkoth; Anneau Volkorne; Alliance Gloursonne; Bouclier du Stalak; Ceinture de la Reine des Voleurs; Kidibonnet; Cape de Mantaze; Bottes de la Reine des Voleurs; Dofus Ocre; Dofus des Glaces; Dofus Pourpre; Dofus Abyssal; Dofus Vulbis; Dofus Ébène; Kanigloups</t>
        </is>
      </c>
    </row>
    <row r="3313">
      <c r="A3313" t="inlineStr">
        <is>
          <t>Enutrof M 200</t>
        </is>
      </c>
      <c r="B3313">
        <f>HYPERLINK("https://www.dofusbook.net/fr/equipement/5818201-enutrof-m-200/objets", "link")</f>
        <v/>
      </c>
      <c r="C3313" t="n">
        <v>2</v>
      </c>
      <c r="D3313" t="inlineStr">
        <is>
          <t>Pyraguette; Amulette Volkorne; Alliance Gloursonne; Anneau Volkorne; Bouclier du Stalak; Ceinture de l'Esprit Salvateur; Masque de l'Esprit Salvateur; Voilamibe; Bottes de l'Esprit Salvateur; Dofus Ocre; Dofus des Glaces; Dofus Ivoire; Dofus Abyssal; Dofus Pourpre; Dofus Ébène; Walk</t>
        </is>
      </c>
    </row>
    <row r="3314">
      <c r="A3314" t="inlineStr">
        <is>
          <t>Steamer M 200</t>
        </is>
      </c>
      <c r="B3314">
        <f>HYPERLINK("https://www.dofusbook.net/fr/equipement/5818067-steamer-m-200/objets", "link")</f>
        <v/>
      </c>
      <c r="C3314" t="n">
        <v>1</v>
      </c>
      <c r="D3314" t="inlineStr">
        <is>
          <t>Arc Nécrotique; Amulette Volkorne; Bague Trithon; Anneau Volkorne; Quatre-feuilles; Ceintacé; Masque Trithon; Cape de la Dame du Hasard; Bottes de la Dame du Hasard; Dofus Ocre; Dofus Abyssal; Dofus Vulbis; Dofus Ivoire; Dofus Turquoise; Dofus Ébène; Kokulte</t>
        </is>
      </c>
    </row>
    <row r="3315">
      <c r="A3315" t="inlineStr">
        <is>
          <t>Xélor F 200</t>
        </is>
      </c>
      <c r="B3315">
        <f>HYPERLINK("https://www.dofusbook.net/fr/equipement/5776932-xelor-f-200/objets", "link")</f>
        <v/>
      </c>
      <c r="C3315" t="n">
        <v>2</v>
      </c>
      <c r="D3315" t="inlineStr">
        <is>
          <t>Cadran d'Eau</t>
        </is>
      </c>
    </row>
    <row r="3316">
      <c r="A3316" t="inlineStr">
        <is>
          <t>Sacrieur M 200</t>
        </is>
      </c>
      <c r="B3316">
        <f>HYPERLINK("https://www.dofusbook.net/fr/equipement/5776714-sacrieur-m-200/objets", "link")</f>
        <v/>
      </c>
      <c r="C3316" t="n">
        <v>3</v>
      </c>
      <c r="D3316" t="inlineStr">
        <is>
          <t>Épée Brûlâme; Amulette Volkorne; Anneau Volkorne; Anneau Cryochrone; Cadran d'Eau; Ceintacé; Coiffe Cryochrone; Cape de la Dame du Hasard; Bottes de la Dame du Hasard; Dofus Vulbis; Dofus Ivoire; Dofus Turquoise; Dofus Abyssal; Dofus Émeraude; Dofus Ocre; Kokulte</t>
        </is>
      </c>
    </row>
    <row r="3317">
      <c r="A3317" t="inlineStr">
        <is>
          <t>Iop M 200</t>
        </is>
      </c>
      <c r="B3317">
        <f>HYPERLINK("https://www.dofusbook.net/fr/equipement/5776717-iop-m-200/objets", "link")</f>
        <v/>
      </c>
      <c r="C3317" t="n">
        <v>2</v>
      </c>
      <c r="D3317" t="inlineStr">
        <is>
          <t>Marteau R'ture; Collier de Tourthon; Anneau Chevelu; Anneau de Brouce; Cadran d'Eau; Ceinture Gence; Masque de Koutoulou; Cape au Logis; Bottes de Brouce; Dofus Émeraude; Dofus Turquoise; Dofus Pourpre; Dofus Abyssal; Enragé majeur; Forcené majeur; Bulbisou</t>
        </is>
      </c>
    </row>
    <row r="3318">
      <c r="A3318" t="inlineStr">
        <is>
          <t>Steamer M 200</t>
        </is>
      </c>
      <c r="B3318">
        <f>HYPERLINK("https://www.dofusbook.net/fr/equipement/5776672-steamer-m-200/objets", "link")</f>
        <v/>
      </c>
      <c r="C3318" t="n">
        <v>1</v>
      </c>
      <c r="D3318" t="inlineStr">
        <is>
          <t>Arc corrompu; Amulette Volkorne; Anneauræus; Anneauræus; Bouclier du Stalak; Ceinture Volkorne; Heaume Oplate; Voile d'encre; Bottes Innommables; Dofus Pourpre; Dofus Ivoire; Dofus Ocre; Dofus Ébène; Dofus Vulbis; Dofus Abyssal; Bisouglours</t>
        </is>
      </c>
    </row>
    <row r="3319">
      <c r="A3319" t="inlineStr">
        <is>
          <t>Huppermage M 200</t>
        </is>
      </c>
      <c r="B3319">
        <f>HYPERLINK("https://www.dofusbook.net/fr/equipement/5730864-huppermage-m-200/objets", "link")</f>
        <v/>
      </c>
      <c r="C3319" t="n">
        <v>4</v>
      </c>
      <c r="D3319" t="inlineStr">
        <is>
          <t>Épée du Granduk; Amulette du Granduk; Alliance Gloursonne; Anneau d'Allister; Cadran d'Eau; Ceinture de Klime; Masque du Granduk; Cape de Klime; Bottes d'Allister; Dofus Pourpre; Dofus Ivoire; Dofus Turquoise; Dofus Abyssal; Dofus des Glaces; Dofus Ocre; Kokulte</t>
        </is>
      </c>
    </row>
    <row r="3320">
      <c r="A3320" t="inlineStr">
        <is>
          <t>Sram M 200</t>
        </is>
      </c>
      <c r="B3320">
        <f>HYPERLINK("https://www.dofusbook.net/fr/equipement/5722222-sram-m-200/objets", "link")</f>
        <v/>
      </c>
      <c r="C3320" t="n">
        <v>1</v>
      </c>
      <c r="D3320" t="inlineStr">
        <is>
          <t>Lav'Hache; Collier de Tourthon; Anneau Chevelu; Anneau de Brouce; Cadran d'Eau; Ceinture Gence; Masque de Koutoulou; Cape au Logis; Bottes de Brouce; Dofus Turquoise; Dofus Ivoire; Dofus Pourpre; Dofus Abyssal; Dofus Vulbis; Enragé majeur; Bulbisou</t>
        </is>
      </c>
    </row>
    <row r="3321">
      <c r="A3321" t="inlineStr">
        <is>
          <t>Huppermage Roijoueur</t>
        </is>
      </c>
      <c r="B3321">
        <f>HYPERLINK("https://www.dofusbook.net/fr/equipement/5722159-huppermage-roijoueur/objets", "link")</f>
        <v/>
      </c>
      <c r="C3321" t="n">
        <v>3</v>
      </c>
      <c r="D3321" t="inlineStr">
        <is>
          <t>Hache Téroïde; Amulette du Strigide; Chevalière du Roi Joueur; Anneau Chevelu; Cadran d'Eau; Ceinture du Strigide; Couronne du Roi Joueur; Cape au Logis; Bottes du Roi Joueur; Dofus Pourpre; Dofus Ivoire; Dofus Turquoise; Dofus Ébène; Dofus Ocre; Dofus Abyssal; Kokulte</t>
        </is>
      </c>
    </row>
    <row r="3322">
      <c r="A3322" t="inlineStr">
        <is>
          <t>Zobal triton</t>
        </is>
      </c>
      <c r="B3322">
        <f>HYPERLINK("https://www.dofusbook.net/fr/equipement/5678997-zobal-triton/objets", "link")</f>
        <v/>
      </c>
      <c r="C3322" t="n">
        <v>5</v>
      </c>
      <c r="D3322" t="inlineStr">
        <is>
          <t>Hache Téroïde; Amulette du Strigide; Anneau Chevelu; Bague Trithon; Cadran d'Eau; Ceinture du Strigide; Masque Trithon; Cape au Logis; Bottes Trithon; Dofus Turquoise; Dofus Ébène; Dofus Ocre; Dofus Abyssal; Dofus Ivoire; Kokulte</t>
        </is>
      </c>
    </row>
    <row r="3323">
      <c r="A3323" t="inlineStr">
        <is>
          <t>Sacrieur F 200</t>
        </is>
      </c>
      <c r="B3323">
        <f>HYPERLINK("https://www.dofusbook.net/fr/equipement/5728085-sacrieur-f-200/objets", "link")</f>
        <v/>
      </c>
      <c r="C3323" t="n">
        <v>2</v>
      </c>
      <c r="D3323" t="inlineStr">
        <is>
          <t>Sabres d'Atcham; Amulette Volkorne; Anneau Volkorne; Alliance de Missiz Frizz; Cadran d'Eau; Ceintacé; Casque Volkorne; Cape d'Atcham; Sandales  d'Atcham; Dofus Pourpre; Dofus Ivoire; Dofus Turquoise; Dofus Ébène; Dofus des Glaces; Dofus Abyssal; Kokulte</t>
        </is>
      </c>
    </row>
    <row r="3324">
      <c r="A3324" t="inlineStr">
        <is>
          <t>Pandawa M 200</t>
        </is>
      </c>
      <c r="B3324">
        <f>HYPERLINK("https://www.dofusbook.net/fr/equipement/5712841-pandawa-m-200/objets", "link")</f>
        <v/>
      </c>
      <c r="C3324" t="n">
        <v>1</v>
      </c>
      <c r="D3324" t="inlineStr">
        <is>
          <t>Dagoulinantes; Amulette de Shokkoth; Bracelet des Fonds marins; Alliance Gloursonne; Cadran d'Eau; Pagne du Rykaon; Kidibonnet; Cape de la Dame du Hasard; Bottes de la Dame du Hasard; Dofus Pourpre; Dofus Ivoire; Dofus Turquoise; Dofus Abyssal; Dofus Vulbis; Dofus Ocre; Kanigloups</t>
        </is>
      </c>
    </row>
    <row r="3325">
      <c r="A3325" t="inlineStr">
        <is>
          <t>Eniripsa F 200</t>
        </is>
      </c>
      <c r="B3325">
        <f>HYPERLINK("https://www.dofusbook.net/fr/equipement/5712362-eniripsa-f-200/objets", "link")</f>
        <v/>
      </c>
      <c r="C3325" t="n">
        <v>1</v>
      </c>
      <c r="D3325" t="inlineStr">
        <is>
          <t>Dagues Ricol; Amulette Séculaire; Anneau de Padgref; Bague Gloursonne; Cadran d'Eau; Ceinture Séculaire; Coiffe de Padgref; Voile d'encre; Getas de Padgref; Dofus Émeraude; Dofus Ocre; Dofus Pourpre; Dofus Vulbis; Dofus Turquoise; Dofus Abyssal; Kokulte</t>
        </is>
      </c>
    </row>
    <row r="3326">
      <c r="A3326" t="inlineStr">
        <is>
          <t>Enutrof M 200</t>
        </is>
      </c>
      <c r="B3326">
        <f>HYPERLINK("https://www.dofusbook.net/fr/equipement/5699921-enutrof-m-200/objets", "link")</f>
        <v/>
      </c>
      <c r="C3326" t="n">
        <v>2</v>
      </c>
      <c r="D3326" t="inlineStr">
        <is>
          <t>Dagoulinantes; Amulette de Shokkoth; Alliance Gloursonne; Anneau Volkorne; Cadran d'Eau; Poulpagne; Kidibonnet; Cape de la Dame du Hasard; Bottes de la Dame du Hasard; Dofus Ébène; Dofus Vulbis; Dofus Abyssal; Dofus Turquoise; Dofus Ivoire; Chanceux majeur; Kokulte</t>
        </is>
      </c>
    </row>
    <row r="3327">
      <c r="A3327" t="inlineStr">
        <is>
          <t>Enutrof M 200</t>
        </is>
      </c>
      <c r="B3327">
        <f>HYPERLINK("https://www.dofusbook.net/fr/equipement/5699493-enutrof-m-200/objets", "link")</f>
        <v/>
      </c>
      <c r="C3327" t="n">
        <v>2</v>
      </c>
      <c r="D3327" t="inlineStr">
        <is>
          <t>Hache du Guerrier Zoth; Amulette du Glourséleste; Alliance Gloursonne; Bague Instable; Bouclier cubiste; Ceinture Instable; Casquipik; Cape de Léthaline; Pantoufles Émar; Dofus Abyssal; Temporiseur; Temporiseur majeur; Entraveur majeur; Ralentisseur majeur; Entraveur; Gwo Tofu Ventripotent</t>
        </is>
      </c>
    </row>
    <row r="3328">
      <c r="A3328" t="inlineStr">
        <is>
          <t>Enutrof M 200</t>
        </is>
      </c>
      <c r="B3328">
        <f>HYPERLINK("https://www.dofusbook.net/fr/equipement/5699392-enutrof-m-200/objets", "link")</f>
        <v/>
      </c>
      <c r="C3328" t="n">
        <v>1</v>
      </c>
      <c r="D3328" t="inlineStr">
        <is>
          <t>Baguette Hique; Amulette de Shokkoth; Anneau Volkorne; Alliance Gloursonne; Quatre-feuilles; Pagne du Rykaon; Kidibonnet; Cape de la Dame du Hasard; Bottes de la Dame du Hasard; Dofus Abyssal; Dofus Turquoise; Dofus Ivoire; Dofus Ocre; Dofus Ébène; Dofus Vulbis; Kokulte</t>
        </is>
      </c>
    </row>
    <row r="3329">
      <c r="A3329" t="inlineStr">
        <is>
          <t>Enutrof M 200</t>
        </is>
      </c>
      <c r="B3329">
        <f>HYPERLINK("https://www.dofusbook.net/fr/equipement/5699349-enutrof-m-200/objets", "link")</f>
        <v/>
      </c>
      <c r="C3329" t="n">
        <v>3</v>
      </c>
      <c r="D3329" t="inlineStr">
        <is>
          <t>Manthache; Collier du Valet Veinard; Gant du Valet Veinard; Alliance Gloursonne; Bouclier du Stalak; Menoture; Dorabysses; Cape Martegel; Palmes Trithons; Dofus Ocre; Dofus Ébène; Dofus Vulbis; Dofus Abyssal; Dofus Ivoire; Cascadeur majeur; Blérodoudou</t>
        </is>
      </c>
    </row>
    <row r="3330">
      <c r="A3330" t="inlineStr">
        <is>
          <t>Iop M 200</t>
        </is>
      </c>
      <c r="B3330">
        <f>HYPERLINK("https://www.dofusbook.net/fr/equipement/5672241-iop-m-200/objets", "link")</f>
        <v/>
      </c>
      <c r="C3330" t="n">
        <v>4</v>
      </c>
      <c r="D3330" t="inlineStr">
        <is>
          <t>Hache Téroïde; Amulette du Strigide; Anneau Chevelu; Chevalière du Roi Joueur; Cadran d'Eau; Ceinture du Strigide; Couronne du Roi Joueur; Cape au Logis; Bottes du Roi Joueur; Dofus Ivoire; Dofus Turquoise; Dofus Ébène; Dofus Ocre; Dofus Abyssal</t>
        </is>
      </c>
    </row>
    <row r="3331">
      <c r="A3331" t="inlineStr">
        <is>
          <t>Eniripsa M 200</t>
        </is>
      </c>
      <c r="B3331">
        <f>HYPERLINK("https://www.dofusbook.net/fr/equipement/5682984-eniripsa-m-200/objets", "link")</f>
        <v/>
      </c>
      <c r="C3331" t="n">
        <v>1</v>
      </c>
      <c r="D3331" t="inlineStr"/>
    </row>
    <row r="3332">
      <c r="A3332" t="inlineStr">
        <is>
          <t>Zobal Roi joueur</t>
        </is>
      </c>
      <c r="B3332">
        <f>HYPERLINK("https://www.dofusbook.net/fr/equipement/5679037-zobal-roi-joueur/objets", "link")</f>
        <v/>
      </c>
      <c r="C3332" t="n">
        <v>2</v>
      </c>
      <c r="D3332" t="inlineStr">
        <is>
          <t>Hache Téroïde; Amulette du Strigide; Chevalière du Roi Joueur; Anneau Chevelu; Cadran d'Eau; Ceinture du Strigide; Couronne du Roi Joueur; Cape au Logis; Bottes du Roi Joueur; Dofus Abyssal; Dofus Pourpre; Dofus Ivoire; Dofus Turquoise; Dofus Ébène; Dofus Ocre; Kokulte</t>
        </is>
      </c>
    </row>
    <row r="3333">
      <c r="A3333" t="inlineStr">
        <is>
          <t>Zobal M 200</t>
        </is>
      </c>
      <c r="B3333">
        <f>HYPERLINK("https://www.dofusbook.net/fr/equipement/5678829-zobal-m-200/objets", "link")</f>
        <v/>
      </c>
      <c r="C3333" t="n">
        <v>2</v>
      </c>
      <c r="D3333" t="inlineStr">
        <is>
          <t>Dague Hirr; Amulette du Strigide; Bague Gloursonne; Alliance de Missiz Frizz; Cadran d'Eau; Ceinture du Strigide; Corne de Torkélonia; Carapace de Torkélonia; Bottes du Strigide; Dofus Vulbis; Dofus Ébène; Dofus Ocre; Dofus Abyssal; Dofus Turquoise; Dofus Ivoire; Kokulte</t>
        </is>
      </c>
    </row>
    <row r="3334">
      <c r="A3334" t="inlineStr">
        <is>
          <t>Zobal M 200</t>
        </is>
      </c>
      <c r="B3334">
        <f>HYPERLINK("https://www.dofusbook.net/fr/equipement/5676585-zobal-m-200/objets", "link")</f>
        <v/>
      </c>
      <c r="C3334" t="n">
        <v>3</v>
      </c>
      <c r="D3334" t="inlineStr">
        <is>
          <t>Sceptre du Roi Joueur; Amulette de Shokkoth; Bague Trithon; Alliance Gloursonne; Bouclier Taverne; Sangle Ouare; Masque des Fonds marins; Cape Solution; Bottes Trithon; Dofus Abyssal; Dofus Ivoire; Dofus Ocre; Dofus Ébène; Culbuteur majeur; Bousculeur majeur; Écumouth</t>
        </is>
      </c>
    </row>
    <row r="3335">
      <c r="A3335" t="inlineStr">
        <is>
          <t>Iopeau</t>
        </is>
      </c>
      <c r="B3335">
        <f>HYPERLINK("https://www.dofusbook.net/fr/equipement/5672154-iopeau/objets", "link")</f>
        <v/>
      </c>
      <c r="C3335" t="n">
        <v>1</v>
      </c>
      <c r="D3335" t="inlineStr">
        <is>
          <t>Dagoulinantes; Amulette de Shokkoth; Alliance Gloursonne; Anneau Volkorne; Bouclier d'Ilyzaelle; Ceinture Volkorne; Masque des Fonds marins; Cape Solution; Bottes du Sinistrofu; Dofus Ocre; Dofus Abyssal; Dofus Ivoire; Dofus Vulbis; Dofus Ébène; Chanceux majeur; Kanigloups</t>
        </is>
      </c>
    </row>
    <row r="3336">
      <c r="A3336" t="inlineStr">
        <is>
          <t>Iopfullpano</t>
        </is>
      </c>
      <c r="B3336">
        <f>HYPERLINK("https://www.dofusbook.net/fr/equipement/5672104-iopfullpano/objets", "link")</f>
        <v/>
      </c>
      <c r="C3336" t="n">
        <v>3</v>
      </c>
      <c r="D3336" t="inlineStr">
        <is>
          <t>Rapière aux Glyphes; Amulette de l'Œil Attentif; Bracelet des Fonds marins; Anneau Volkorne; Bouclier d'Ilyzaelle; Ceinture Volkorne; Masque des Fonds marins; Cape de l'Œil Attentif; Sandales des Fonds marins; Dofus Pourpre; Dofus Ivoire; Dofus Vulbis; Dofus Ébène; Dofus Ocre; Dofus Abyssal; Kanigloups</t>
        </is>
      </c>
    </row>
    <row r="3337">
      <c r="A3337" t="inlineStr">
        <is>
          <t>Ouginak M 200</t>
        </is>
      </c>
      <c r="B3337">
        <f>HYPERLINK("https://www.dofusbook.net/fr/equipement/5671119-ouginak-m-200/objets", "link")</f>
        <v/>
      </c>
      <c r="C3337" t="n">
        <v>1</v>
      </c>
      <c r="D3337" t="inlineStr">
        <is>
          <t>Massier; Torquistik; Anneauræus; Anneauræus; Bouclier Taverne; Audace de Dodge; Casque Dragoeuf; Cape de Diondin; Bottistik; Dofus Vulbis; Dofus Abyssal; Dofus Ivoire; Dofus Ocre; Culbuteur majeur; Bousculeur majeur; Scarakiri</t>
        </is>
      </c>
    </row>
    <row r="3338">
      <c r="A3338" t="inlineStr">
        <is>
          <t>Sacrieur M 200</t>
        </is>
      </c>
      <c r="B3338">
        <f>HYPERLINK("https://www.dofusbook.net/fr/equipement/5670826-sacrieur-m-200/objets", "link")</f>
        <v/>
      </c>
      <c r="C3338" t="n">
        <v>3</v>
      </c>
      <c r="D3338" t="inlineStr">
        <is>
          <t>Manthache; Amulette Martegel; Gant du Valet Veinard; Alliance Gloursonne; Bouclier d'Ilyzaelle; Menoture; Dorabysses; Cape Martegel; Palmes Trithons; Dofus Émeraude; Dofus Ivoire; Dofus Vulbis; Dofus Ébène; Dofus Ocre; Dofus Abyssal; Eliôme</t>
        </is>
      </c>
    </row>
    <row r="3339">
      <c r="A3339" t="inlineStr">
        <is>
          <t>Pandawa M 200</t>
        </is>
      </c>
      <c r="B3339">
        <f>HYPERLINK("https://www.dofusbook.net/fr/equipement/5670148-pandawa-m-200/objets", "link")</f>
        <v/>
      </c>
      <c r="C3339" t="n">
        <v>1</v>
      </c>
      <c r="D3339" t="inlineStr"/>
    </row>
    <row r="3340">
      <c r="A3340" t="inlineStr">
        <is>
          <t>Crâcomte</t>
        </is>
      </c>
      <c r="B3340">
        <f>HYPERLINK("https://www.dofusbook.net/fr/equipement/5655746-cracomte/objets", "link")</f>
        <v/>
      </c>
      <c r="C3340" t="n">
        <v>1</v>
      </c>
      <c r="D3340" t="inlineStr">
        <is>
          <t>Arc du Chalœil; Amulette du Cœur Saignant; Anneau du Comte Harebourg; Anneau de Brouce; Quatre-feuilles; Ceinture de Brouce; Coiffe du Comte Harebourg; Cape de Jahash Jurgen; Bottes de Brouce; Dofus Vulbis; Dofus Abyssal; Dofus Nébuleux; Dofus Ivoire; Dofus Ocre; Dofus Ébène; Bulbisou</t>
        </is>
      </c>
    </row>
    <row r="3341">
      <c r="A3341" t="inlineStr">
        <is>
          <t>Crâroijoueur</t>
        </is>
      </c>
      <c r="B3341">
        <f>HYPERLINK("https://www.dofusbook.net/fr/equipement/5558600-craroijoueur/objets", "link")</f>
        <v/>
      </c>
      <c r="C3341" t="n">
        <v>5</v>
      </c>
      <c r="D3341" t="inlineStr">
        <is>
          <t>Arc du Chalœil; Amulette du Cœur Saignant; Chevalière du Roi Joueur; Anneau Volkorne; Quatre-feuilles; Ceinture Volkorne; Masque de Koutoulou; Cape de Jahash Jurgen; Bottes du Cœur Saignant; Dofus Nébuleux; Dofus Ivoire; Dofus Ocre; Dofus Ébène; Dofus Vulbis; Dofus Abyssal; Bulbisou</t>
        </is>
      </c>
    </row>
    <row r="3342">
      <c r="A3342" t="inlineStr">
        <is>
          <t>Iop M 200</t>
        </is>
      </c>
      <c r="B3342">
        <f>HYPERLINK("https://www.dofusbook.net/fr/equipement/5622844-iop-m-200/objets", "link")</f>
        <v/>
      </c>
      <c r="C3342" t="n">
        <v>2</v>
      </c>
      <c r="D3342" t="inlineStr">
        <is>
          <t>Épée Brûlâme; Amulette Volkorne; Alliance de Missiz Frizz; Anneau Volkorne; Cadran d'Eau; Ceinture Volkorne; Kidibonnet; Cape de la Dame du Hasard; Bottes de la Dame du Hasard; Dofus des Glaces; Dofus Turquoise; Dofus Émeraude; Dofus Ocre; Dofus Pourpre; Dofus Abyssal; Kokulte</t>
        </is>
      </c>
    </row>
    <row r="3343">
      <c r="A3343" t="inlineStr">
        <is>
          <t>Ecaflip M 200</t>
        </is>
      </c>
      <c r="B3343">
        <f>HYPERLINK("https://www.dofusbook.net/fr/equipement/5616781-ecaflip-m-200/objets", "link")</f>
        <v/>
      </c>
      <c r="C3343" t="n">
        <v>1</v>
      </c>
      <c r="D3343" t="inlineStr">
        <is>
          <t>Sceptre du Roi Joueur; Collier de la Dame du Hasard; Anneau Volkorne; Alliance Gloursonne; Quatre-feuilles; Pagne du Rykaon; Casque Dragoeuf; Cape de la Dame du Hasard; Bottes de la Dame du Hasard; Dofus Turquoise; Dofus Ivoire; Dofus Vulbis; Dofus Ébène; Dofus Ocre; Dofus Abyssal</t>
        </is>
      </c>
    </row>
    <row r="3344">
      <c r="A3344" t="inlineStr">
        <is>
          <t>Ecaflip M 200</t>
        </is>
      </c>
      <c r="B3344">
        <f>HYPERLINK("https://www.dofusbook.net/fr/equipement/5573240-ecaflip-m-200/objets", "link")</f>
        <v/>
      </c>
      <c r="C3344" t="n">
        <v>1</v>
      </c>
      <c r="D3344" t="inlineStr">
        <is>
          <t>Dague Hirr; Amulette du Strigide; Bague Gloursonne; Alliance Gloursonne; Cadran d'Eau; Ceinture du Strigide; Corne de Torkélonia; Carapace de Torkélonia; Bottes du Strigide; Dofus Turquoise; Dofus Ivoire; Dofus Ocre; Dofus Abyssal; Dofus Pourpre; Dofus Vulbis; Kokulte</t>
        </is>
      </c>
    </row>
    <row r="3345">
      <c r="A3345" t="inlineStr">
        <is>
          <t>Ecaflipterredopoupvm</t>
        </is>
      </c>
      <c r="B3345">
        <f>HYPERLINK("https://www.dofusbook.net/fr/equipement/5561950-ecaflipterredopoupvm/objets", "link")</f>
        <v/>
      </c>
      <c r="C3345" t="n">
        <v>2</v>
      </c>
      <c r="D3345" t="inlineStr">
        <is>
          <t>Lav'Hache; Amulette du Strigide; Anneau Chevelu; Bague Trithon; Bouclier Taverne; Ceinture Gence; Masque de Koutoulou; Cape au Logis; Bottes Trithon; Dofus Ébène; Dofus Pourpre; Dofus Abyssal; Dofus Ivoire; Bousculeur majeur; Culbuteur majeur; Black Tiwabbit</t>
        </is>
      </c>
    </row>
    <row r="3346">
      <c r="A3346" t="inlineStr">
        <is>
          <t>Ecaflipterrepvm</t>
        </is>
      </c>
      <c r="B3346">
        <f>HYPERLINK("https://www.dofusbook.net/fr/equipement/5562185-ecaflipterrepvm/objets", "link")</f>
        <v/>
      </c>
      <c r="C3346" t="n">
        <v>2</v>
      </c>
      <c r="D3346" t="inlineStr">
        <is>
          <t>Marteau R'ture; Amulette du Strigide; Anneau Chevelu; Anneau de Brouce; Cadran d'Eau; Ceinture Gence; Masque de Koutoulou; Cape au Logis; Bottes de Brouce; Dofus Turquoise; Dofus Ivoire; Dofus Ébène; Dofus Abyssal; Vigoureux majeur; Enragé majeur; Bulbisou</t>
        </is>
      </c>
    </row>
    <row r="3347">
      <c r="A3347" t="inlineStr">
        <is>
          <t>Ecaflipistik</t>
        </is>
      </c>
      <c r="B3347">
        <f>HYPERLINK("https://www.dofusbook.net/fr/equipement/5562679-ecaflipistik/objets", "link")</f>
        <v/>
      </c>
      <c r="C3347" t="n">
        <v>2</v>
      </c>
      <c r="D3347" t="inlineStr">
        <is>
          <t>Lav'Hache; Torquistik; Anneau Chevelu; Bague Trithon; Bouclier d'Ilyzaelle; Ceinture Gence; Masque de Koutoulou; Cape au Logis; Bottistik; Dofus Ébène; Dofus Pourpre; Dofus Abyssal; Dofus Ivoire; Bousculeur majeur; Culbuteur majeur; Tatouf</t>
        </is>
      </c>
    </row>
    <row r="3348">
      <c r="A3348" t="inlineStr">
        <is>
          <t>Sadida M 200</t>
        </is>
      </c>
      <c r="B3348">
        <f>HYPERLINK("https://www.dofusbook.net/fr/equipement/5557114-sadida-m-200/objets", "link")</f>
        <v/>
      </c>
      <c r="C3348" t="n">
        <v>3</v>
      </c>
      <c r="D3348" t="inlineStr">
        <is>
          <t>Dagues Érhy; Amulette Martegel; Bague Gloursonne; Alliance Gloursonne; Bouclier du Stalak; Ceinture de l'Esprit Salvateur; Masque de l'Esprit Salvateur; Cape Martegel; Bottes de l'Esprit Salvateur; Dofus Ocre; Dofus des Glaces; Dofus Ivoire; Dofus Abyssal; Dofus Vulbis; Dofus Ébène; Kramkram</t>
        </is>
      </c>
    </row>
    <row r="3349">
      <c r="A3349" t="inlineStr">
        <is>
          <t>Sadidaputride</t>
        </is>
      </c>
      <c r="B3349">
        <f>HYPERLINK("https://www.dofusbook.net/fr/equipement/5558852-sadidaputride/objets", "link")</f>
        <v/>
      </c>
      <c r="C3349" t="n">
        <v>4</v>
      </c>
      <c r="D3349" t="inlineStr">
        <is>
          <t>Arc Honte; Amulette de l'Œil Putride; Alliance Gloursonne; Bague Gloursonne; Bouclier du Stalak; Ceinture de l'Esprit Salvateur; Masque de l'Esprit Salvateur; Cape de l'Œil Putride; Bottes de l'Esprit Salvateur; Dofus Vulbis; Dofus Ébène; Dofus Ocre; Dofus des Glaces; Dofus Ivoire; Dofus Abyssal; Kramkram</t>
        </is>
      </c>
    </row>
    <row r="3350">
      <c r="A3350" t="inlineStr">
        <is>
          <t>Crakoutoulou</t>
        </is>
      </c>
      <c r="B3350">
        <f>HYPERLINK("https://www.dofusbook.net/fr/equipement/5558192-crakoutoulou/objets", "link")</f>
        <v/>
      </c>
      <c r="C3350" t="n">
        <v>4</v>
      </c>
      <c r="D3350" t="inlineStr">
        <is>
          <t>Arc du Chalœil; Amulette du Cœur Saignant; Anneau Volkorne; Anneau Chevelu; Quatre-feuilles; Ceinture Volkorne; Masque de Koutoulou; Cape du Cœur Saignant; Bottes du Cœur Saignant; Dofus Ocre; Dofus Ébène; Dofus Vulbis; Dofus Abyssal; Dofus Pourpre; Dofus Ivoire; Dragodinde Amande et Pourpre</t>
        </is>
      </c>
    </row>
    <row r="3351">
      <c r="A3351" t="inlineStr">
        <is>
          <t>Sadida M 200</t>
        </is>
      </c>
      <c r="B3351">
        <f>HYPERLINK("https://www.dofusbook.net/fr/equipement/5558717-sadida-m-200/objets", "link")</f>
        <v/>
      </c>
      <c r="C3351" t="n">
        <v>2</v>
      </c>
      <c r="D3351" t="inlineStr">
        <is>
          <t>Hache Téroïde; Amulette du Strigide; Chevalière du Roi Joueur; Anneau Chevelu; Quatre-feuilles; Ceinture du Strigide; Couronne du Roi Joueur; Voile d'encre; Bottes du Roi Joueur; Dofus Ocre; Dofus Abyssal; Dofus Pourpre; Dofus Ivoire; Dofus Vulbis; Dofus Ébène</t>
        </is>
      </c>
    </row>
    <row r="3352">
      <c r="A3352" t="inlineStr">
        <is>
          <t>Sadida M 200</t>
        </is>
      </c>
      <c r="B3352">
        <f>HYPERLINK("https://www.dofusbook.net/fr/equipement/5558131-sadida-m-200/objets", "link")</f>
        <v/>
      </c>
      <c r="C3352" t="n">
        <v>1</v>
      </c>
      <c r="D3352" t="inlineStr">
        <is>
          <t>Pyraguette; Amulette Volkorne; Anneau Volkorne; Alliance Gloursonne; Bouclier du Stalak; Ceinture de l'Esprit Salvateur; Masque de l'Esprit Salvateur; Voile d'encre; Bottes de l'Esprit Salvateur; Dofus Ivoire; Dofus Abyssal; Dofus Vulbis; Dofus Ébène; Dofus Ocre; Dofus des Glaces; Dragodinde Indigo et Orchidée</t>
        </is>
      </c>
    </row>
    <row r="3353">
      <c r="A3353" t="inlineStr">
        <is>
          <t>Sadidaeaudistance</t>
        </is>
      </c>
      <c r="B3353">
        <f>HYPERLINK("https://www.dofusbook.net/fr/equipement/5554007-sadidaeaudistance/objets", "link")</f>
        <v/>
      </c>
      <c r="C3353" t="n">
        <v>2</v>
      </c>
      <c r="D3353" t="inlineStr">
        <is>
          <t>Sceptre du Roi Joueur; Amulette de l'Œil Attentif; Anneau Volkorne; Bracelet des Fonds marins; Bouclier d'Ilyzaelle; Ceinture Volkorne; Masque des Fonds marins; Cape de l'Œil Attentif; Sandales des Fonds marins; Dofus Ocre; Dofus Abyssal; Dofus Pourpre; Dofus Ivoire; Dofus Vulbis; Dofus Ébène; Volkorne Saphir et Améthyste</t>
        </is>
      </c>
    </row>
    <row r="3354">
      <c r="A3354" t="inlineStr">
        <is>
          <t>Sadidaeau12/6cac</t>
        </is>
      </c>
      <c r="B3354">
        <f>HYPERLINK("https://www.dofusbook.net/fr/equipement/5553967-sadidaeau12-6cac/objets", "link")</f>
        <v/>
      </c>
      <c r="C3354" t="n">
        <v>2</v>
      </c>
      <c r="D3354" t="inlineStr">
        <is>
          <t>Sceptre du Roi Joueur; Amulette de l'Œil Attentif; Bracelet des Fonds marins; Anneau Volkorne; Bouclier d'Ilyzaelle; Ceinture Volkorne; Masque des Fonds marins; Cape de l'Œil Attentif; Sandales des Fonds marins; Dofus Vulbis; Dofus Ébène; Dofus Ocre; Dofus Abyssal; Dofus Pourpre; Dofus Ivoire; Volkorne Améthyste et Indigo</t>
        </is>
      </c>
    </row>
    <row r="3355">
      <c r="A3355" t="inlineStr">
        <is>
          <t>Ouginak dragoeuf</t>
        </is>
      </c>
      <c r="B3355">
        <f>HYPERLINK("https://www.dofusbook.net/fr/equipement/5549713-ouginak-dragoeuf/objets", "link")</f>
        <v/>
      </c>
      <c r="C3355" t="n">
        <v>2</v>
      </c>
      <c r="D3355" t="inlineStr">
        <is>
          <t>Rapière aux Glyphes; Amulette de Shokkoth; Anneau Volkorne; Alliance Gloursonne; Bouclier d'Ilyzaelle; Poulpagne; Casque Dragoeuf; Cape du Sinistrofu; Bottes du Sinistrofu; Dofus Ocre; Dofus Abyssal; Dofus Ivoire; Dofus Vulbis; Dofus Ébène; Chanceux majeur; Kanigloups</t>
        </is>
      </c>
    </row>
    <row r="3356">
      <c r="A3356" t="inlineStr">
        <is>
          <t>Pandawa M 200</t>
        </is>
      </c>
      <c r="B3356">
        <f>HYPERLINK("https://www.dofusbook.net/fr/equipement/5547211-pandawa-m-200/objets", "link")</f>
        <v/>
      </c>
      <c r="C3356" t="n">
        <v>4</v>
      </c>
      <c r="D3356" t="inlineStr">
        <is>
          <t>Rapière aux Glyphes; Amulette de l'Œil Attentif; Anneau Volkorne; Bracelet des Fonds marins; Bouclier d'Ilyzaelle; Ceinture Volkorne; Masque des Fonds marins; Cape de l'Œil Attentif; Sandales des Fonds marins; Dofus Ocre; Dofus Abyssal; Dofus Pourpre; Dofus Ivoire; Dofus Vulbis; Dofus Ébène; Kanigloups</t>
        </is>
      </c>
    </row>
    <row r="3357">
      <c r="A3357" t="inlineStr">
        <is>
          <t>Pandawa fullagionze6</t>
        </is>
      </c>
      <c r="B3357">
        <f>HYPERLINK("https://www.dofusbook.net/fr/equipement/5548190-pandawa-fullagionze6/objets", "link")</f>
        <v/>
      </c>
      <c r="C3357" t="n">
        <v>3</v>
      </c>
      <c r="D3357" t="inlineStr">
        <is>
          <t>Plume de Buhorado; Collier du Valet Veinard; Gant du Valet Veinard; Alliance Gloursonne; Bouclier d'Ilyzaelle; Menoture; Dorabysses; Cape Martegel; Palmes Trithons; Dofus Pourpre; Dofus Abyssal; Dofus Ivoire; Dofus Ocre; Dofus Ébène; Cascadeur majeur; Blérodoudou</t>
        </is>
      </c>
    </row>
    <row r="3358">
      <c r="A3358" t="inlineStr">
        <is>
          <t>Ouginak M 200</t>
        </is>
      </c>
      <c r="B3358">
        <f>HYPERLINK("https://www.dofusbook.net/fr/equipement/5549453-ouginak-m-200/objets", "link")</f>
        <v/>
      </c>
      <c r="C3358" t="n">
        <v>1</v>
      </c>
      <c r="D3358" t="inlineStr">
        <is>
          <t>Bêche Asse; Torquistik; Anneau Crustique; Baguistik; Bouclier d'Ilyzaelle; Ceinture de la Reine des Voleurs; Coiffe de la Reine des Voleurs; Cape au Logis; Bottistik; Dofus Pourpre; Dofus Ébène; Dofus Ocre; Dofus Abyssal; Dofus des Glaces; Dofus Ivoire; Bulbisou</t>
        </is>
      </c>
    </row>
    <row r="3359">
      <c r="A3359" t="inlineStr">
        <is>
          <t>Steamer M 200</t>
        </is>
      </c>
      <c r="B3359">
        <f>HYPERLINK("https://www.dofusbook.net/fr/equipement/5539943-steamer-m-200/objets", "link")</f>
        <v/>
      </c>
      <c r="C3359" t="n">
        <v>2</v>
      </c>
      <c r="D3359" t="inlineStr">
        <is>
          <t>Pyraguette; Amulette Volkorne; Alliance Gloursonne; Anneau Volkorne; Bouclier du Stalak; Ceinture de l'Esprit Salvateur; Masque de l'Esprit Salvateur; Voilamibe; Bottes de l'Esprit Salvateur; Dofus Ocre; Dofus des Glaces; Dofus Ivoire; Dofus Abyssal; Dofus Pourpre; Dofus Ébène; Kramkram</t>
        </is>
      </c>
    </row>
    <row r="3360">
      <c r="A3360" t="inlineStr">
        <is>
          <t>Sadida M 200</t>
        </is>
      </c>
      <c r="B3360">
        <f>HYPERLINK("https://www.dofusbook.net/fr/equipement/5548969-sadida-m-200/objets", "link")</f>
        <v/>
      </c>
      <c r="C3360" t="n">
        <v>1</v>
      </c>
      <c r="D3360" t="inlineStr">
        <is>
          <t>Arc corrompu; Amulette Volkorne; Anneau Volkorne; Anneauræus; Bouclier du Stalak; Ceinture Séculaire; Coiffe Séculaire; Voile d'encre; Dofus Ébène; Dofus Vulbis; Dofus Abyssal; Dofus Ivoire; Bisouglours</t>
        </is>
      </c>
    </row>
    <row r="3361">
      <c r="A3361" t="inlineStr">
        <is>
          <t>sadifullfeu 200</t>
        </is>
      </c>
      <c r="B3361">
        <f>HYPERLINK("https://www.dofusbook.net/fr/equipement/5548039-sadifullfeu-200/objets", "link")</f>
        <v/>
      </c>
      <c r="C3361" t="n">
        <v>2</v>
      </c>
      <c r="D3361" t="inlineStr">
        <is>
          <t>Arc corrompu; Amulette Volkorne; Anneauræus; Anneauræus; Bouclier du Stalak; Ceinture Volkorne; Heaume Oplate; Voile d'encre; Bottes Innommables; Dofus Ocre; Dofus Ébène; Dofus Vulbis; Dofus Abyssal; Dofus Pourpre; Dofus Ivoire; Bisouglours</t>
        </is>
      </c>
    </row>
    <row r="3362">
      <c r="A3362" t="inlineStr">
        <is>
          <t>Sadida M 200</t>
        </is>
      </c>
      <c r="B3362">
        <f>HYPERLINK("https://www.dofusbook.net/fr/equipement/5548747-sadida-m-200/objets", "link")</f>
        <v/>
      </c>
      <c r="C3362" t="n">
        <v>3</v>
      </c>
      <c r="D3362" t="inlineStr">
        <is>
          <t>Hache Téroïde; Amulette du Strigide; Anneau Chevelu; Chevalière du Roi Joueur; Ceinture du Strigide; Couronne du Roi Joueur; Voile d'encre; Bottes du Roi Joueur; Dofus Vulbis; Dofus Abyssal; Dofus Nébuleux; Dofus Ivoire; Dofus Ocre; Dofus Ébène</t>
        </is>
      </c>
    </row>
    <row r="3363">
      <c r="A3363" t="inlineStr">
        <is>
          <t>fullterre</t>
        </is>
      </c>
      <c r="B3363">
        <f>HYPERLINK("https://www.dofusbook.net/fr/equipement/5548676-fullterre/objets", "link")</f>
        <v/>
      </c>
      <c r="C3363" t="n">
        <v>3</v>
      </c>
      <c r="D3363" t="inlineStr">
        <is>
          <t>Lav'Hache; Amulette du Cœur Saignant; Anneau Chevelu; Anneau Volkorne; Bouclier du Stalak; Ceinture Volkorne; Masque de Koutoulou; Cape du Cœur Saignant; Bottes du Cœur Saignant; Dofus Ébène; Dofus Turquoise; Dofus Abyssal; Dofus Vulbis; Dofus Ivoire; Dofus Pourpre; Bulbisou</t>
        </is>
      </c>
    </row>
    <row r="3364">
      <c r="A3364" t="inlineStr">
        <is>
          <t>Steamer M 200</t>
        </is>
      </c>
      <c r="B3364">
        <f>HYPERLINK("https://www.dofusbook.net/fr/equipement/5548587-steamer-m-200/objets", "link")</f>
        <v/>
      </c>
      <c r="C3364" t="n">
        <v>1</v>
      </c>
      <c r="D3364" t="inlineStr">
        <is>
          <t>Arc Honte; Amulette de l'Œil Putride; Alliance Gloursonne; Bague Gloursonne; Bouclier du Stalak; Ceinture de l'Esprit Salvateur; Masque de l'Esprit Salvateur; Cape de l'Œil Putride; Bottes de l'Esprit Salvateur; Dofus Ocre; Dofus des Glaces; Dofus Ivoire; Dofus Abyssal; Dofus Vulbis; Dofus Ébène</t>
        </is>
      </c>
    </row>
    <row r="3365">
      <c r="A3365" t="inlineStr">
        <is>
          <t>Crâ M 200</t>
        </is>
      </c>
      <c r="B3365">
        <f>HYPERLINK("https://www.dofusbook.net/fr/equipement/5548266-cra-m-200/objets", "link")</f>
        <v/>
      </c>
      <c r="C3365" t="n">
        <v>1</v>
      </c>
      <c r="D3365" t="inlineStr"/>
    </row>
    <row r="3366">
      <c r="A3366" t="inlineStr">
        <is>
          <t>Pandawa M 200</t>
        </is>
      </c>
      <c r="B3366">
        <f>HYPERLINK("https://www.dofusbook.net/fr/equipement/5548248-pandawa-m-200/objets", "link")</f>
        <v/>
      </c>
      <c r="C3366" t="n">
        <v>1</v>
      </c>
      <c r="D3366" t="inlineStr"/>
    </row>
    <row r="3367">
      <c r="A3367" t="inlineStr">
        <is>
          <t>Pandawa M 200</t>
        </is>
      </c>
      <c r="B3367">
        <f>HYPERLINK("https://www.dofusbook.net/fr/equipement/5547258-pandawa-m-200/objets", "link")</f>
        <v/>
      </c>
      <c r="C3367" t="n">
        <v>4</v>
      </c>
      <c r="D3367" t="inlineStr">
        <is>
          <t>Epée Loponèze; Collier du Valet Veinard; Alliance Gloursonne; Gant du Valet Veinard; Cadran d'Air; Ceintouse; Chapoulpe; Cape du Valet Veinard; Tentassons; Dofus Ocre; Dofus Ébène; Dofus Vulbis; Dofus Abyssal; Dofus Pourpre; Dofus Ivoire; Blérodoudou</t>
        </is>
      </c>
    </row>
    <row r="3368">
      <c r="A3368" t="inlineStr">
        <is>
          <t>reine</t>
        </is>
      </c>
      <c r="B3368">
        <f>HYPERLINK("https://www.dofusbook.net/fr/equipement/5525624-reine/objets", "link")</f>
        <v/>
      </c>
      <c r="C3368" t="n">
        <v>1</v>
      </c>
      <c r="D3368" t="inlineStr">
        <is>
          <t>Arc du Chalœil; Amulette Héroclite; Bague Gloursonne; Anneau Chevelu; Bouclier du Stalak; Ceinture de la Reine des Voleurs; Coiffe de la Reine des Voleurs; Voile d'encre; Baleinabottes; Dofus Vulbis; Dofus Ébène; Dofus Ocre; Dofus Ivoire; Dofus Abyssal; Enragé majeur; Bulbisou</t>
        </is>
      </c>
    </row>
    <row r="3369">
      <c r="A3369" t="inlineStr">
        <is>
          <t>Osamodas M 200</t>
        </is>
      </c>
      <c r="B3369">
        <f>HYPERLINK("https://www.dofusbook.net/fr/equipement/5546235-osamodas-m-200/objets", "link")</f>
        <v/>
      </c>
      <c r="C3369" t="n">
        <v>1</v>
      </c>
      <c r="D3369" t="inlineStr">
        <is>
          <t>Lav'Hache; Collier de Tourthon; Bague Gloursonne; Anneau Chevelu; Droiture de Fallanster; Ceinture de la Reine des Voleurs; Coiffe de la Reine des Voleurs; Cape au Logis; Sabots Minables; Dofus Ivoire; Dofus Pourpre; Dofus Ébène; Dofus Ocre; Dofus Abyssal; Enragé majeur</t>
        </is>
      </c>
    </row>
    <row r="3370">
      <c r="A3370" t="inlineStr">
        <is>
          <t>Iop M 200</t>
        </is>
      </c>
      <c r="B3370">
        <f>HYPERLINK("https://www.dofusbook.net/fr/equipement/5544702-iop-m-200/objets", "link")</f>
        <v/>
      </c>
      <c r="C3370" t="n">
        <v>1</v>
      </c>
      <c r="D3370" t="inlineStr">
        <is>
          <t>Dagues d'Ilyzaelle; Collier de Tourthon; Anneau Chevelu; Anneau de Brouce; Cadran d'Eau; Ceinture Gence; Masque de Koutoulou; Cape au Logis; Bottes de Brouce; Dofus Pourpre; Dofus Abyssal; Dofus Turquoise; Dofus Émeraude; Vigoureux majeur; Enragé majeur; Bulbisou</t>
        </is>
      </c>
    </row>
    <row r="3371">
      <c r="A3371" t="inlineStr">
        <is>
          <t>Iop M 200</t>
        </is>
      </c>
      <c r="B3371">
        <f>HYPERLINK("https://www.dofusbook.net/fr/equipement/5544685-iop-m-200/objets", "link")</f>
        <v/>
      </c>
      <c r="C3371" t="n">
        <v>4</v>
      </c>
      <c r="D3371" t="inlineStr">
        <is>
          <t>Epée Toche; Amulette du Strigide; Bague Gloursonne; Chevalière du Roi Joueur; Cadran d'Eau; Ceinture du Strigide; Couronne du Roi Joueur; Cape au Logis; Bottes du Roi Joueur; Dofus Turquoise; Dofus Émeraude; Dofus Ocre; Dofus Pourpre; Dofus Abyssal; Puissant majeur; Cromeugnon</t>
        </is>
      </c>
    </row>
    <row r="3372">
      <c r="A3372" t="inlineStr">
        <is>
          <t>Steamer M 200</t>
        </is>
      </c>
      <c r="B3372">
        <f>HYPERLINK("https://www.dofusbook.net/fr/equipement/5525985-steamer-m-200/objets", "link")</f>
        <v/>
      </c>
      <c r="C3372" t="n">
        <v>2</v>
      </c>
      <c r="D3372" t="inlineStr">
        <is>
          <t>Arc Nécrotique; Amulette Volkorne; Anneau Volkorne; Bague Trithon; Quatre-feuilles; Ceintacé; Masque Trithon; Cape de la Dame du Hasard; Bottes de la Dame du Hasard; Dofus Turquoise; Dofus Ivoire; Dofus Ocre; Dofus Ébène; Dofus Vulbis; Dofus Abyssal; Kokulte</t>
        </is>
      </c>
    </row>
    <row r="3373">
      <c r="A3373" t="inlineStr">
        <is>
          <t>Steamer padgref</t>
        </is>
      </c>
      <c r="B3373">
        <f>HYPERLINK("https://www.dofusbook.net/fr/equipement/5526064-steamer-padgref/objets", "link")</f>
        <v/>
      </c>
      <c r="C3373" t="n">
        <v>3</v>
      </c>
      <c r="D3373" t="inlineStr">
        <is>
          <t>Baguette Range; Amulette du Strigide; Bague Trithon; Anneau de Padgref; Quatre-feuilles; Ceinture du Strigide; Coiffe de Padgref; Voile d'encre; Getas de Padgref; Dofus Ocre; Dofus Abyssal; Dofus Vulbis; Dofus Ivoire; Dofus Turquoise; Dofus Ébène; Kokulte</t>
        </is>
      </c>
    </row>
    <row r="3374">
      <c r="A3374" t="inlineStr">
        <is>
          <t>Sadida M 200</t>
        </is>
      </c>
      <c r="B3374">
        <f>HYPERLINK("https://www.dofusbook.net/fr/equipement/5525846-sadida-m-200/objets", "link")</f>
        <v/>
      </c>
      <c r="C3374" t="n">
        <v>1</v>
      </c>
      <c r="D3374" t="inlineStr">
        <is>
          <t>Dagues Érhy; Amulette Martegel; Bague Gloursonne; Alliance Gloursonne; Bouclier cubiste; Ceinture de l'Esprit Salvateur; Masque de l'Esprit Salvateur; Cape Martegel; Bottes de l'Esprit Salvateur; Dofus Ivoire; Dofus Abyssal; Dofus Vulbis; Dofus Ébène; Dofus Ocre; Dofus des Glaces; Willy le Relou</t>
        </is>
      </c>
    </row>
    <row r="3375">
      <c r="A3375" t="inlineStr">
        <is>
          <t>douzepavolkorne</t>
        </is>
      </c>
      <c r="B3375">
        <f>HYPERLINK("https://www.dofusbook.net/fr/equipement/5525177-douzepavolkorne/objets", "link")</f>
        <v/>
      </c>
      <c r="C3375" t="n">
        <v>3</v>
      </c>
      <c r="D3375" t="inlineStr">
        <is>
          <t>Arc du Chalœil; Amulette du Cœur Saignant; Anneau Chevelu; Anneau Volkorne; Quatre-feuilles; Ceinture Volkorne; Le Kim; Cape du Cœur Saignant; Bottes du Cœur Saignant; Dofus Vulbis; Dofus Abyssal; Dofus Turquoise; Dofus Ivoire; Dofus Ocre; Dofus Ébène; Bulbisou</t>
        </is>
      </c>
    </row>
    <row r="3376">
      <c r="A3376" t="inlineStr">
        <is>
          <t>Féca pnose</t>
        </is>
      </c>
      <c r="B3376">
        <f>HYPERLINK("https://www.dofusbook.net/fr/equipement/5503312-feca-pnose/objets", "link")</f>
        <v/>
      </c>
      <c r="C3376" t="n">
        <v>2</v>
      </c>
      <c r="D3376" t="inlineStr">
        <is>
          <t>Couteaux Sacrificiels; Talisman Igans; Anneau Tique; Alliance Gloursonne; Bouclier alvéolé; Ceintrigue; Masque Paztek; Voilamibe; Pataugastrique; Dofus Pourpre; Dofus des Glaces; Dofus Abyssal; Dofus Émeraude; Remueur; Nomade; Eliôme</t>
        </is>
      </c>
    </row>
    <row r="3377">
      <c r="A3377" t="inlineStr">
        <is>
          <t>Féca M 200</t>
        </is>
      </c>
      <c r="B3377">
        <f>HYPERLINK("https://www.dofusbook.net/fr/equipement/5512030-feca-m-200/objets", "link")</f>
        <v/>
      </c>
      <c r="C3377" t="n">
        <v>2</v>
      </c>
      <c r="D3377" t="inlineStr">
        <is>
          <t>Couteaux Sacrificiels; Amulette Volkorne; Anneau Volkorne; Alliance Gloursonne; Bouclier alvéolé; Ceinture Volkorne; Masque Paztek; Cape Paztek; Pataugastrique; Dofus Ocre; Dofus Émeraude; Dofus Ivoire; Dofus Pourpre; Dofus des Glaces; Dofus Abyssal; Eliôme</t>
        </is>
      </c>
    </row>
    <row r="3378">
      <c r="A3378" t="inlineStr">
        <is>
          <t>Ouginak M 200</t>
        </is>
      </c>
      <c r="B3378">
        <f>HYPERLINK("https://www.dofusbook.net/fr/equipement/5512015-ouginak-m-200/objets", "link")</f>
        <v/>
      </c>
      <c r="C3378" t="n">
        <v>1</v>
      </c>
      <c r="D3378" t="inlineStr">
        <is>
          <t>Alliance Gloursonne; Gant du Valet Veinard; Bouclier d'Ilyzaelle; Meuch</t>
        </is>
      </c>
    </row>
    <row r="3379">
      <c r="A3379" t="inlineStr">
        <is>
          <t>Pandawa M 200</t>
        </is>
      </c>
      <c r="B3379">
        <f>HYPERLINK("https://www.dofusbook.net/fr/equipement/5511983-pandawa-m-200/objets", "link")</f>
        <v/>
      </c>
      <c r="C3379" t="n">
        <v>3</v>
      </c>
      <c r="D3379" t="inlineStr">
        <is>
          <t>Couteaux Sacrificiels; Collier Rophante; Anneau Tique; Alliance Gloursonne; Droiture de Fallanster; Ceinture de Dame Jhessica; Masque d'Anerice; Cape d'Anerice; Pataugastrique; Dofus Ivoire; Dofus Abyssal; Dofus Émeraude; Dofus des Glaces; Dofus Pourpre; Remueur; Givrefoux</t>
        </is>
      </c>
    </row>
    <row r="3380">
      <c r="A3380" t="inlineStr">
        <is>
          <t>Pandawa M 200</t>
        </is>
      </c>
      <c r="B3380">
        <f>HYPERLINK("https://www.dofusbook.net/fr/equipement/5511919-pandawa-m-200/objets", "link")</f>
        <v/>
      </c>
      <c r="C3380" t="n">
        <v>2</v>
      </c>
      <c r="D3380" t="inlineStr">
        <is>
          <t>Lav'Hache; Collier de Tourthon; Anneau de XLII; Anneau Chevelu; Droiture de Fallanster; Ceinture de XLII; Casque Dragoeuf; Cape au Logis; Baleinabottes; Dofus Abyssal; Dofus Émeraude; Dofus Ivoire; Remueur; Enragé majeur; Miraculé majeur; Givrefoux</t>
        </is>
      </c>
    </row>
    <row r="3381">
      <c r="A3381" t="inlineStr">
        <is>
          <t>Ouginak M 200</t>
        </is>
      </c>
      <c r="B3381">
        <f>HYPERLINK("https://www.dofusbook.net/fr/equipement/5504460-ouginak-m-200/objets", "link")</f>
        <v/>
      </c>
      <c r="C3381" t="n">
        <v>1</v>
      </c>
      <c r="D3381" t="inlineStr">
        <is>
          <t>Anneau Nos; Ceinture Leumant; Chapeau Devin; Cape Hoile; Bottes Harcie</t>
        </is>
      </c>
    </row>
    <row r="3382">
      <c r="A3382" t="inlineStr">
        <is>
          <t>Ouginak M 200</t>
        </is>
      </c>
      <c r="B3382">
        <f>HYPERLINK("https://www.dofusbook.net/fr/equipement/5503916-ouginak-m-200/objets", "link")</f>
        <v/>
      </c>
      <c r="C3382" t="n">
        <v>1</v>
      </c>
      <c r="D3382" t="inlineStr">
        <is>
          <t>Manthache; Collier du Valet Veinard; Alliance Gloursonne; Gant du Valet Veinard; Droiture de Fallanster; Menoture; Dorabysses; Cape Martegel; Palmes Trithons; Dofus Vulbis; Dofus Ébène; Dofus Ocre; Dofus Abyssal; Dofus Ivoire; Cascadeur majeur; La Chose</t>
        </is>
      </c>
    </row>
    <row r="3383">
      <c r="A3383" t="inlineStr">
        <is>
          <t>Iop M 200</t>
        </is>
      </c>
      <c r="B3383">
        <f>HYPERLINK("https://www.dofusbook.net/fr/equipement/5466311-iop-m-200/objets", "link")</f>
        <v/>
      </c>
      <c r="C3383" t="n">
        <v>10</v>
      </c>
      <c r="D3383" t="inlineStr">
        <is>
          <t>Rapière aux Glyphes; Amulette de l'Œil Attentif; Anneau Volkorne; Bracelet des Fonds marins; Droiture de Fallanster; Ceinture Volkorne; Masque des Fonds marins; Cape de l'Œil Attentif; Sandales des Fonds marins; Dofus Ocre; Dofus Ébène; Dofus Vulbis; Dofus Abyssal; Dofus Émeraude; Dofus Ivoire; Kanigloups</t>
        </is>
      </c>
    </row>
    <row r="3384">
      <c r="A3384" t="inlineStr">
        <is>
          <t>Pandawa M 200</t>
        </is>
      </c>
      <c r="B3384">
        <f>HYPERLINK("https://www.dofusbook.net/fr/equipement/5504044-pandawa-m-200/objets", "link")</f>
        <v/>
      </c>
      <c r="C3384" t="n">
        <v>1</v>
      </c>
      <c r="D3384" t="inlineStr"/>
    </row>
    <row r="3385">
      <c r="A3385" t="inlineStr">
        <is>
          <t>Ouginak M 200</t>
        </is>
      </c>
      <c r="B3385">
        <f>HYPERLINK("https://www.dofusbook.net/fr/equipement/5503812-ouginak-m-200/objets", "link")</f>
        <v/>
      </c>
      <c r="C3385" t="n">
        <v>1</v>
      </c>
      <c r="D3385" t="inlineStr">
        <is>
          <t>Marteau R'ture; Amulette du Strigide; Anneau Chevelu; Anneau Crustique; Droiture de Fallanster; Ceinture de la Cour Sombre; Masque de Koutoulou; Cape au Logis; Bottes de la Cour Sombre; Dofus Ivoire; Dofus Pourpre; Dofus Ébène; Dofus Ocre; Dofus Abyssal; Enragé majeur; Bulbisou</t>
        </is>
      </c>
    </row>
    <row r="3386">
      <c r="A3386" t="inlineStr">
        <is>
          <t>Ouginak M 200</t>
        </is>
      </c>
      <c r="B3386">
        <f>HYPERLINK("https://www.dofusbook.net/fr/equipement/5499804-ouginak-m-200/objets", "link")</f>
        <v/>
      </c>
      <c r="C3386" t="n">
        <v>2</v>
      </c>
      <c r="D3386" t="inlineStr">
        <is>
          <t>Marteau R'ture; Amulette du Strigide; Anneau de Brouce; Anneau Chevelu; Droiture de Fallanster; Ceinture Volkorne; Masque de Koutoulou; Cape au Logis; Bottes de Brouce; Dofus Ivoire; Dofus Pourpre; Dofus Ébène; Dofus Ocre; Dofus Abyssal; Enragé majeur; Bulbisou</t>
        </is>
      </c>
    </row>
    <row r="3387">
      <c r="A3387" t="inlineStr">
        <is>
          <t>Xélor M 200</t>
        </is>
      </c>
      <c r="B3387">
        <f>HYPERLINK("https://www.dofusbook.net/fr/equipement/5503545-xelor-m-200/objets", "link")</f>
        <v/>
      </c>
      <c r="C3387" t="n">
        <v>5</v>
      </c>
      <c r="D3387" t="inlineStr">
        <is>
          <t>Canne Harr; Amulette Martegel; Bague Gloursonne; Alliance Gloursonne; Bouclier d'Ilyzaelle; Ceinture de l'Esprit Salvateur; Masque de l'Esprit Salvateur; Cape Martegel; Bottes de l'Esprit Salvateur; Dofus Ivoire; Dofus des Glaces; Dofus Ocre; Dofus Abyssal; Dofus Vulbis; Dofus Ébène; Willy le Relou</t>
        </is>
      </c>
    </row>
    <row r="3388">
      <c r="A3388" t="inlineStr">
        <is>
          <t>Iop M 200</t>
        </is>
      </c>
      <c r="B3388">
        <f>HYPERLINK("https://www.dofusbook.net/fr/equipement/5491673-iop-m-200/objets", "link")</f>
        <v/>
      </c>
      <c r="C3388" t="n">
        <v>3</v>
      </c>
      <c r="D3388" t="inlineStr">
        <is>
          <t>Baguette Range; Amulette du Strigide; Bague Trithon; Anneau de Padgref; Quatre-feuilles; Ceinture du Strigide; Coiffe de Padgref; Voile d'encre; Getas de Padgref; Dofus Ocre; Dofus Ébène; Dofus Vulbis; Dofus Abyssal; Dofus Turquoise; Dofus Ivoire; Kokulte</t>
        </is>
      </c>
    </row>
    <row r="3389">
      <c r="A3389" t="inlineStr">
        <is>
          <t>Iop nébuRlygluglu</t>
        </is>
      </c>
      <c r="B3389">
        <f>HYPERLINK("https://www.dofusbook.net/fr/equipement/5465746-iop-neburlygluglu/objets", "link")</f>
        <v/>
      </c>
      <c r="C3389" t="n">
        <v>6</v>
      </c>
      <c r="D3389" t="inlineStr">
        <is>
          <t>Harpelle; Pendentif mignon de Koutoulou; Anneau Rifique; Anneauræus; Cadran d'Eau; Croture; Casque Cyclopéen; Voile d'encre; Bottes Innommables; Dofus Vulbis; Dofus Abyssal; Dofus Nébuleux; Dofus Ivoire; Dofus Ocre; Dofus Ébène; Volkorne Rubis et Orchidée</t>
        </is>
      </c>
    </row>
    <row r="3390">
      <c r="A3390" t="inlineStr">
        <is>
          <t>Iop padgref</t>
        </is>
      </c>
      <c r="B3390">
        <f>HYPERLINK("https://www.dofusbook.net/fr/equipement/5465652-iop-padgref/objets", "link")</f>
        <v/>
      </c>
      <c r="C3390" t="n">
        <v>3</v>
      </c>
      <c r="D3390" t="inlineStr">
        <is>
          <t>Canne Harr; Amulette du Strigide; Bague Trithon; Anneau de Padgref; Cadran d'Eau; Ceinture du Strigide; Coiffe de Padgref; Voile d'encre; Getas de Padgref; Dofus Ivoire; Dofus Ocre; Dofus Ébène; Dofus Vulbis; Dofus Abyssal; Dofus Nébuleux; Volkorne Emeraude et Orchidée</t>
        </is>
      </c>
    </row>
    <row r="3391">
      <c r="A3391" t="inlineStr">
        <is>
          <t>Iop padgrefdouzesix</t>
        </is>
      </c>
      <c r="B3391">
        <f>HYPERLINK("https://www.dofusbook.net/fr/equipement/5465800-iop-padgrefdouzesix/objets", "link")</f>
        <v/>
      </c>
      <c r="C3391" t="n">
        <v>1</v>
      </c>
      <c r="D3391" t="inlineStr">
        <is>
          <t>Dofus Ocre; Dofus Ivoire; Dofus Nébuleux; Dofus Ébène; Dofus Vulbis; Dofus Abyssal</t>
        </is>
      </c>
    </row>
    <row r="3392">
      <c r="A3392" t="inlineStr">
        <is>
          <t>Iop M 200</t>
        </is>
      </c>
      <c r="B3392">
        <f>HYPERLINK("https://www.dofusbook.net/fr/equipement/5463365-iop-m-200/objets", "link")</f>
        <v/>
      </c>
      <c r="C3392" t="n">
        <v>2</v>
      </c>
      <c r="D3392" t="inlineStr">
        <is>
          <t>Amulette du Strigide; Bague Gloursonne; Alliance Gloursonne; Cadran d'Eau; Ceinture du Strigide; Corne de Torkélonia; Carapace de Torkélonia; Bottes du Strigide; Dofus Pourpre; Dofus Abyssal; Dofus Ocre; Dofus Ébène; Dofus Vulbis; Dofus Turquoise; Kokulte</t>
        </is>
      </c>
    </row>
    <row r="3393">
      <c r="A3393" t="inlineStr">
        <is>
          <t>Iop brouce</t>
        </is>
      </c>
      <c r="B3393">
        <f>HYPERLINK("https://www.dofusbook.net/fr/equipement/5461496-iop-brouce/objets", "link")</f>
        <v/>
      </c>
      <c r="C3393" t="n">
        <v>3</v>
      </c>
      <c r="D3393" t="inlineStr">
        <is>
          <t>Marteau R'ture; Amulette du Strigide; Anneau de Brouce; Anneau Chevelu; Cadran d'Eau; Ceinture Volkorne; Masque de Koutoulou; Cape au Logis; Bottes de Brouce; Dofus Ébène; Dofus Abyssal; Dofus Ivoire; Dofus Ocre; Enragé majeur; Bulbisou</t>
        </is>
      </c>
    </row>
    <row r="3394">
      <c r="A3394" t="inlineStr">
        <is>
          <t>Iop coeur saignant</t>
        </is>
      </c>
      <c r="B3394">
        <f>HYPERLINK("https://www.dofusbook.net/fr/equipement/5461415-iop-coeur-saignant/objets", "link")</f>
        <v/>
      </c>
      <c r="C3394" t="n">
        <v>3</v>
      </c>
      <c r="D3394" t="inlineStr">
        <is>
          <t>Marteau R'ture; Amulette du Cœur Saignant; Anneau Chevelu; Anneau Volkorne; Cadran d'Eau; Ceinture Volkorne; Masque de Koutoulou; Cape au Logis; Bottes du Cœur Saignant; Dofus Pourpre; Dofus Ivoire; Dofus Ocre; Dofus Ébène; Dofus Turquoise; Dofus Abyssal; Bulbisou</t>
        </is>
      </c>
    </row>
    <row r="3395">
      <c r="A3395" t="inlineStr">
        <is>
          <t>Ouginak M 200</t>
        </is>
      </c>
      <c r="B3395">
        <f>HYPERLINK("https://www.dofusbook.net/fr/equipement/4838419-ouginak-m-200/objets", "link")</f>
        <v/>
      </c>
      <c r="C3395" t="n">
        <v>5</v>
      </c>
      <c r="D3395" t="inlineStr">
        <is>
          <t>Amulette du Cœur Saignant; Chevalière du Roi Joueur; Anneau Volkorne; Bouclier d'Ilyzaelle; Ceinture Volkorne; Couronne du Roi Joueur; Cape du Cœur Saignant; Bottes du Cœur Saignant; Dofus Pourpre; Dofus Abyssal; Dofus Vulbis; Dofus Ivoire; Dofus Ocre; Dofus Ébène</t>
        </is>
      </c>
    </row>
    <row r="3396">
      <c r="A3396" t="inlineStr">
        <is>
          <t>Iop</t>
        </is>
      </c>
      <c r="B3396">
        <f>HYPERLINK("https://www.dofusbook.net/fr/equipement/4852421-iop/objets", "link")</f>
        <v/>
      </c>
      <c r="C3396" t="n">
        <v>5</v>
      </c>
      <c r="D3396" t="inlineStr">
        <is>
          <t>Marteau R'ture; Anneau Chevelu; Anneau Volkorne; Cadran d'Eau; Ceinture Volkorne; Masque de Koutoulou; Cape au Logis; Bottes du Cœur Saignant; Dofus Pourpre; Dofus Ivoire; Dofus Ocre; Dofus Ébène; Dofus Turquoise; Dofus Abyssal; Bulbisou</t>
        </is>
      </c>
    </row>
    <row r="3397">
      <c r="A3397" t="inlineStr">
        <is>
          <t>Ouginak M 200</t>
        </is>
      </c>
      <c r="B3397">
        <f>HYPERLINK("https://www.dofusbook.net/fr/equipement/4850740-ouginak-m-200/objets", "link")</f>
        <v/>
      </c>
      <c r="C3397" t="n">
        <v>4</v>
      </c>
      <c r="D3397" t="inlineStr">
        <is>
          <t>Anneau Chevelu; Anneau de Brouce; Ceinture Volkorne; Masque de Koutoulou; Cape au Logis; Bottes de Brouce; Dofus Abyssal; Dofus Pourpre; Dofus Ivoire; Dofus Ocre; Dofus Ébène; Enragé majeur; Bulbisou</t>
        </is>
      </c>
    </row>
    <row r="3398">
      <c r="A3398" t="inlineStr">
        <is>
          <t>Huppermage M 200</t>
        </is>
      </c>
      <c r="B3398">
        <f>HYPERLINK("https://www.dofusbook.net/fr/equipement/5460855-huppermage-m-200/objets", "link")</f>
        <v/>
      </c>
      <c r="C3398" t="n">
        <v>4</v>
      </c>
      <c r="D3398" t="inlineStr">
        <is>
          <t>Epée Loponèze; Amulette d'Ilyzaelle; Alliance Gloursonne; Bague Gloursonne; Bouclier d'Ilyzaelle; Ceinture de la Reine des Voleurs; Casque d'Ilyzaelle; Dofusteuse; Bottes de la Reine des Voleurs; Dofus Abyssal; Dofus Vulbis; Dofus Ivoire; Dofus Nébuleux; Dofus des Glaces; Dofus Ocre; Kougnard</t>
        </is>
      </c>
    </row>
    <row r="3399">
      <c r="A3399" t="inlineStr">
        <is>
          <t>Zobal M 200</t>
        </is>
      </c>
      <c r="B3399">
        <f>HYPERLINK("https://www.dofusbook.net/fr/equipement/5460735-zobal-m-200/objets", "link")</f>
        <v/>
      </c>
      <c r="C3399" t="n">
        <v>3</v>
      </c>
      <c r="D3399" t="inlineStr">
        <is>
          <t>Hache Téroïde; Amulette du Strigide; Bague Gloursonne; Bague Trithon; Cadran d'Eau; Ceinture du Strigide; Masque Trithon; Cape au Logis; Bottes Trithon; Dofus Pourpre; Dofus Ivoire; Dofus Turquoise; Dofus Ébène; Dofus Abyssal; Dofus Ocre; Kokulte</t>
        </is>
      </c>
    </row>
    <row r="3400">
      <c r="A3400" t="inlineStr">
        <is>
          <t>Pandawa M 200</t>
        </is>
      </c>
      <c r="B3400">
        <f>HYPERLINK("https://www.dofusbook.net/fr/equipement/5460666-pandawa-m-200/objets", "link")</f>
        <v/>
      </c>
      <c r="C3400" t="n">
        <v>9</v>
      </c>
      <c r="D3400" t="inlineStr">
        <is>
          <t>Rouleau à Pâtisserie d'Aermyne; Collier Rophante; Anneau de Pol Ouatnos; Alliance Gloursonne; Bouclier précieux; Sangle Huée; Masque d'Anerice; Cape d'Anerice; Baleinabottes; Dofus Abyssal; Dofus Émeraude; Dofus Ivoire; Dokoko; Obstructeur majeur; Remueur; Givrefoux</t>
        </is>
      </c>
    </row>
    <row r="3401">
      <c r="A3401" t="inlineStr">
        <is>
          <t>Ecaflip M 200</t>
        </is>
      </c>
      <c r="B3401">
        <f>HYPERLINK("https://www.dofusbook.net/fr/equipement/5341872-ecaflip-m-200/objets", "link")</f>
        <v/>
      </c>
      <c r="C3401" t="n">
        <v>5</v>
      </c>
      <c r="D3401" t="inlineStr">
        <is>
          <t>Rapière aux Glyphes; Amulette de l'Œil Attentif; Bracelet des Fonds marins; Anneau Volkorne; Bouclier d'Ilyzaelle; Ceinture Volkorne; Diadème de Ganymède; Cape de l'Œil Attentif; Bottes du Sinistrofu; Dofus Ocre; Dofus Abyssal; Dofus Nébuleux; Dofus Ivoire; Dofus Vulbis; Dofus Ébène; Kanigloups</t>
        </is>
      </c>
    </row>
    <row r="3402">
      <c r="A3402" t="inlineStr">
        <is>
          <t>Iop M 200</t>
        </is>
      </c>
      <c r="B3402">
        <f>HYPERLINK("https://www.dofusbook.net/fr/equipement/5443038-iop-m-200/objets", "link")</f>
        <v/>
      </c>
      <c r="C3402" t="n">
        <v>1</v>
      </c>
      <c r="D3402" t="inlineStr">
        <is>
          <t>Cadran d'Eau; Diadème de Ganymède; Voile d'encre; Dofus Ocre; Dofus Abyssal; Dofus Pourpre; Dofus Ivoire; Dofus Vulbis; Dofus Ébène</t>
        </is>
      </c>
    </row>
    <row r="3403">
      <c r="A3403" t="inlineStr">
        <is>
          <t>Iop M 200</t>
        </is>
      </c>
      <c r="B3403">
        <f>HYPERLINK("https://www.dofusbook.net/fr/equipement/5430741-iop-m-200/objets", "link")</f>
        <v/>
      </c>
      <c r="C3403" t="n">
        <v>1</v>
      </c>
      <c r="D3403" t="inlineStr">
        <is>
          <t>Plumeau Bil; Amulette Volkorne; Anneauræus; Anneauræus; Cadran d'Eau; Ceinture Volkorne; Heaume Oplate; Cape Sulhit; Bottes Innommables; Dofus Pourpre; Dofus Émeraude; Dofus Abyssal; Dofus Vulbis; Érudit majeur; Remueur; Bisouglours</t>
        </is>
      </c>
    </row>
    <row r="3404">
      <c r="A3404" t="inlineStr">
        <is>
          <t>Iop M 200</t>
        </is>
      </c>
      <c r="B3404">
        <f>HYPERLINK("https://www.dofusbook.net/fr/equipement/5442782-iop-m-200/objets", "link")</f>
        <v/>
      </c>
      <c r="C3404" t="n">
        <v>1</v>
      </c>
      <c r="D3404" t="inlineStr">
        <is>
          <t>Épée Brûlâme; Amulette Volkorne; Alliance de Missiz Frizz; Anneau Volkorne; Cadran d'Eau; Ceinture Volkorne; Kidibonnet; Cape de la Dame du Hasard; Bottes de la Dame du Hasard; Dofus Émeraude; Dofus Ocre; Dofus Pourpre; Dofus Abyssal; Dofus Turquoise; Puissant majeur; Kokulte</t>
        </is>
      </c>
    </row>
    <row r="3405">
      <c r="A3405" t="inlineStr">
        <is>
          <t>Iop brouce</t>
        </is>
      </c>
      <c r="B3405">
        <f>HYPERLINK("https://www.dofusbook.net/fr/equipement/5438038-iop-brouce/objets", "link")</f>
        <v/>
      </c>
      <c r="C3405" t="n">
        <v>2</v>
      </c>
      <c r="D3405" t="inlineStr">
        <is>
          <t>Dagoulinantes; Amulette de l'Œil Attentif; Bracelet des Fonds marins; Anneau Volkorne; Cadran d'Eau; Ceinture Volkorne; Capuche de l'Œil Attentif; Cape de l'Œil Attentif; Bottes du Sinistrofu; Dofus Ocre; Dofus Abyssal; Dofus Pourpre; Dofus Ivoire; Dofus Vulbis; Dofus Ébène</t>
        </is>
      </c>
    </row>
    <row r="3406">
      <c r="A3406" t="inlineStr">
        <is>
          <t>Eniripsa F 200</t>
        </is>
      </c>
      <c r="B3406">
        <f>HYPERLINK("https://www.dofusbook.net/fr/equipement/5438253-eniripsa-f-200/objets", "link")</f>
        <v/>
      </c>
      <c r="C3406" t="n">
        <v>1</v>
      </c>
      <c r="D3406" t="inlineStr">
        <is>
          <t>Cape Sulhit</t>
        </is>
      </c>
    </row>
    <row r="3407">
      <c r="A3407" t="inlineStr">
        <is>
          <t>Iop saignant</t>
        </is>
      </c>
      <c r="B3407">
        <f>HYPERLINK("https://www.dofusbook.net/fr/equipement/5437994-iop-saignant/objets", "link")</f>
        <v/>
      </c>
      <c r="C3407" t="n">
        <v>2</v>
      </c>
      <c r="D3407" t="inlineStr">
        <is>
          <t>Marteau R'ture; Amulette du Cœur Saignant; Anneau Volkorne; Anneau Chevelu; Cadran d'Eau; Ceinture Volkorne; Masque de Koutoulou; Cape au Logis; Bottes du Cœur Saignant; Dofus Émeraude; Dofus Ivoire; Dofus Pourpre; Dofus Ébène; Dofus Ocre; Dofus Abyssal; Bulbisou</t>
        </is>
      </c>
    </row>
    <row r="3408">
      <c r="A3408" t="inlineStr">
        <is>
          <t>Iop M 200</t>
        </is>
      </c>
      <c r="B3408">
        <f>HYPERLINK("https://www.dofusbook.net/fr/equipement/5430719-iop-m-200/objets", "link")</f>
        <v/>
      </c>
      <c r="C3408" t="n">
        <v>1</v>
      </c>
      <c r="D3408" t="inlineStr">
        <is>
          <t>Hache Téroïde; Amulette du Strigide; Bague Gloursonne; Bague Trithon; Cadran d'Eau; Ceinture du Strigide; Masque Trithon; Cape au Logis; Bottes Trithon; Dofus Nébuleux; Dofus Abyssal; Dofus Ocre; Dofus Ébène; Dofus Turquoise; Dofus Ivoire; Kokulte</t>
        </is>
      </c>
    </row>
    <row r="3409">
      <c r="A3409" t="inlineStr">
        <is>
          <t>Steamer M 200</t>
        </is>
      </c>
      <c r="B3409">
        <f>HYPERLINK("https://www.dofusbook.net/fr/equipement/5425449-steamer-m-200/objets", "link")</f>
        <v/>
      </c>
      <c r="C3409" t="n">
        <v>1</v>
      </c>
      <c r="D3409" t="inlineStr">
        <is>
          <t>Arc Volkorne; Amulette Volkorne; Anneau de Padgref; Anneau Volkorne; Quatre-feuilles; Ceinture Volkorne; Coiffe de Padgref; Cape de Jahash Jurgen; Getas de Padgref; Dofus Pourpre; Dofus Ébène; Dofus Turquoise; Dofus des Glaces; Dofus Ocre; Dofus Abyssal; Kokulte</t>
        </is>
      </c>
    </row>
    <row r="3410">
      <c r="A3410" t="inlineStr">
        <is>
          <t>Xel feu</t>
        </is>
      </c>
      <c r="B3410">
        <f>HYPERLINK("https://www.dofusbook.net/fr/equipement/5415720-xel-feu/objets", "link")</f>
        <v/>
      </c>
      <c r="C3410" t="n">
        <v>3</v>
      </c>
      <c r="D3410" t="inlineStr">
        <is>
          <t>Massier; Amulette Volkorne; Anneauræus; Anneau Rifique; Bouclier d'Ilyzaelle; Ceinture Volkorne; Casque Cyclopéen; Voile d'encre; Pataugastrique; Dofus Vulbis; Dofus des Glaces; Dofus Ivoire; Dofus Abyssal; Dofus Ocre; Dofus Ébène; Bisouglours</t>
        </is>
      </c>
    </row>
    <row r="3411">
      <c r="A3411" t="inlineStr">
        <is>
          <t>Enutrof pyraguette</t>
        </is>
      </c>
      <c r="B3411">
        <f>HYPERLINK("https://www.dofusbook.net/fr/equipement/5335741-enutrof-pyraguette/objets", "link")</f>
        <v/>
      </c>
      <c r="C3411" t="n">
        <v>7</v>
      </c>
      <c r="D3411" t="inlineStr">
        <is>
          <t>Pyraguette; Amulette Volkorne; Anneau Volkorne; Alliance Gloursonne; Bouclier du Stalak; Ceinture de l'Esprit Salvateur; Masque de l'Esprit Salvateur; Voilamibe; Bottes de l'Esprit Salvateur; Dofus Ocre; Dofus Abyssal; Dofus des Glaces; Dofus Ivoire; Dofus Pourpre; Dofus Ébène; Kramkram</t>
        </is>
      </c>
    </row>
    <row r="3412">
      <c r="A3412" t="inlineStr">
        <is>
          <t>Iop M 200</t>
        </is>
      </c>
      <c r="B3412">
        <f>HYPERLINK("https://www.dofusbook.net/fr/equipement/5388595-iop-m-200/objets", "link")</f>
        <v/>
      </c>
      <c r="C3412" t="n">
        <v>2</v>
      </c>
      <c r="D3412" t="inlineStr">
        <is>
          <t>Harpelle; Amulette Volkorne; Anneauræus; Anneauræus; Cadran d'Eau; Ceinture Volkorne; Heaume Oplate; Voile d'encre; Bottes d'Otomaï; Dofus Ocre; Dofus Abyssal; Dofus Vulbis; Dofus Ébène; Dofus Turquoise; Dofus Ivoire</t>
        </is>
      </c>
    </row>
    <row r="3413">
      <c r="A3413" t="inlineStr">
        <is>
          <t>Sadida M 200</t>
        </is>
      </c>
      <c r="B3413">
        <f>HYPERLINK("https://www.dofusbook.net/fr/equipement/5409832-sadida-m-200/objets", "link")</f>
        <v/>
      </c>
      <c r="C3413" t="n">
        <v>2</v>
      </c>
      <c r="D3413" t="inlineStr"/>
    </row>
    <row r="3414">
      <c r="A3414" t="inlineStr">
        <is>
          <t>Pandawa M 200</t>
        </is>
      </c>
      <c r="B3414">
        <f>HYPERLINK("https://www.dofusbook.net/fr/equipement/5388979-pandawa-m-200/objets", "link")</f>
        <v/>
      </c>
      <c r="C3414" t="n">
        <v>1</v>
      </c>
      <c r="D3414" t="inlineStr">
        <is>
          <t>Crocobur; Collier de Tourthon; Anneau Chevelu; Anneau de Brouce; Bouclier d'Ilyzaelle; Ceinture de la Cour Sombre; Masque de Koutoulou; Cape au Logis; Bottes de la Cour Sombre; Dofus Pourpre; Dofus Turquoise; Dofus Ivoire; Dofus Émeraude; Remueur; Enragé majeur; Bulbisou</t>
        </is>
      </c>
    </row>
    <row r="3415">
      <c r="A3415" t="inlineStr">
        <is>
          <t>Iop M 200</t>
        </is>
      </c>
      <c r="B3415">
        <f>HYPERLINK("https://www.dofusbook.net/fr/equipement/5388560-iop-m-200/objets", "link")</f>
        <v/>
      </c>
      <c r="C3415" t="n">
        <v>2</v>
      </c>
      <c r="D3415" t="inlineStr">
        <is>
          <t>Epée Toche; Amulette du Strigide; Bague Gloursonne; Chevalière du Roi Joueur; Cadran d'Eau; Ceinture du Strigide; Couronne du Roi Joueur; Cape au Logis; Bottes du Roi Joueur; Dofus Turquoise; Dofus Ivoire; Dofus Ocre; Dofus Abyssal; Dofus Pourpre; Dofus Ébène; Cromeugnon</t>
        </is>
      </c>
    </row>
    <row r="3416">
      <c r="A3416" t="inlineStr">
        <is>
          <t>Steamer Triton</t>
        </is>
      </c>
      <c r="B3416">
        <f>HYPERLINK("https://www.dofusbook.net/fr/equipement/5350743-steamer-triton/objets", "link")</f>
        <v/>
      </c>
      <c r="C3416" t="n">
        <v>3</v>
      </c>
      <c r="D3416" t="inlineStr">
        <is>
          <t>Arc Nécrotique; Amulette Volkorne; Bague Trithon; Anneau Volkorne; Quatre-feuilles; Ceintacé; Masque Trithon; Cape de la Dame du Hasard; Bottes de la Dame du Hasard; Dofus Turquoise; Dofus Vulbis; Dofus Ivoire; Dofus Abyssal; Dofus Ocre; Dofus Ébène; Kokulte</t>
        </is>
      </c>
    </row>
    <row r="3417">
      <c r="A3417" t="inlineStr">
        <is>
          <t>Steamer M 200</t>
        </is>
      </c>
      <c r="B3417">
        <f>HYPERLINK("https://www.dofusbook.net/fr/equipement/5350774-steamer-m-200/objets", "link")</f>
        <v/>
      </c>
      <c r="C3417" t="n">
        <v>4</v>
      </c>
      <c r="D3417" t="inlineStr">
        <is>
          <t>Arc Nécrotique; Amulette Volkorne; Anneau Volkorne; Bague Trithon; Quatre-feuilles; Ceinture Volkorne; Masque Trithon; Voile d'encre; Bottes Trithon; Dofus Ivoire; Dofus Abyssal; Dofus Ocre; Dofus Ébène; Dofus Turquoise; Dofus des Glaces; Kokulte</t>
        </is>
      </c>
    </row>
    <row r="3418">
      <c r="A3418" t="inlineStr">
        <is>
          <t>Steamer Kidibonnet</t>
        </is>
      </c>
      <c r="B3418">
        <f>HYPERLINK("https://www.dofusbook.net/fr/equipement/5350671-steamer-kidibonnet/objets", "link")</f>
        <v/>
      </c>
      <c r="C3418" t="n">
        <v>3</v>
      </c>
      <c r="D3418" t="inlineStr">
        <is>
          <t>Arc Nécrotique; Amulette Volkorne; Anneau Volkorne; Alliance Gloursonne; Quatre-feuilles; Ceinture Volkorne; Kidibonnet; Cape de la Dame du Hasard; Bottes de la Dame du Hasard; Dofus Ivoire; Dofus Abyssal; Dofus Ocre; Dofus Ébène; Dofus Turquoise; Dofus des Glaces; Kokulte</t>
        </is>
      </c>
    </row>
    <row r="3419">
      <c r="A3419" t="inlineStr">
        <is>
          <t>Enutrof eau air</t>
        </is>
      </c>
      <c r="B3419">
        <f>HYPERLINK("https://www.dofusbook.net/fr/equipement/5335864-enutrof-eau-air/objets", "link")</f>
        <v/>
      </c>
      <c r="C3419" t="n">
        <v>6</v>
      </c>
      <c r="D3419" t="inlineStr">
        <is>
          <t>Arc de Koutoulou; Amulette d'Ilyzaelle; Alliance Gloursonne; Anneau Volkorne; Bouclier du Stalak; Ceinture de la Reine des Voleurs; Casque d'Ilyzaelle; Cape des Justiciers; Bottes de la Reine des Voleurs; Dofus Ivoire; Dofus des Glaces; Dofus Ocre; Dofus Abyssal; Dofus Vulbis; Dofus Ébène; Mini Wa</t>
        </is>
      </c>
    </row>
    <row r="3420">
      <c r="A3420" t="inlineStr">
        <is>
          <t>Enutrof air</t>
        </is>
      </c>
      <c r="B3420">
        <f>HYPERLINK("https://www.dofusbook.net/fr/equipement/5335811-enutrof-air/objets", "link")</f>
        <v/>
      </c>
      <c r="C3420" t="n">
        <v>6</v>
      </c>
      <c r="D3420" t="inlineStr">
        <is>
          <t>Manthache; Collier du Valet Veinard; Alliance Gloursonne; Gant du Valet Veinard; Bouclier du Stalak; Menoture; Dorabysses; Cape Martegel; Palmes Trithons; Dofus Vulbis; Dofus Ébène; Dofus Ocre; Dofus Abyssal; Dofus Ivoire; Cascadeur majeur; Blérodoudou</t>
        </is>
      </c>
    </row>
    <row r="3421">
      <c r="A3421" t="inlineStr">
        <is>
          <t>Enutrof terrepvp</t>
        </is>
      </c>
      <c r="B3421">
        <f>HYPERLINK("https://www.dofusbook.net/fr/equipement/5335825-enutrof-terrepvp/objets", "link")</f>
        <v/>
      </c>
      <c r="C3421" t="n">
        <v>5</v>
      </c>
      <c r="D3421" t="inlineStr">
        <is>
          <t>Arc du Chalœil; Amulette du Cœur Saignant; Anneau Volkorne; Anneau Chevelu; Quatre-feuilles; Ceinture Volkorne; Masque de Koutoulou; Cape au Logis; Bottes du Cœur Saignant; Dofus Ocre; Dofus Abyssal; Dofus Nébuleux; Dofus Ivoire; Dofus Turquoise; Dofus Ébène; Bulbisou</t>
        </is>
      </c>
    </row>
    <row r="3422">
      <c r="A3422" t="inlineStr">
        <is>
          <t>Crâ M 200</t>
        </is>
      </c>
      <c r="B3422">
        <f>HYPERLINK("https://www.dofusbook.net/fr/equipement/5335661-cra-m-200/objets", "link")</f>
        <v/>
      </c>
      <c r="C3422" t="n">
        <v>5</v>
      </c>
      <c r="D3422" t="inlineStr">
        <is>
          <t>Baguette des égarés; Amulette Luminescente; Anneau en Grithril; Pikano; Bouclier cubiste; Ceinture Luminescente; Casquipik; Cape Luminescente; Pikottes; Dofus Vulbis; Dofus Ocre; Dofus Nébuleux; Dofus Abyssal; Dofus Pourpre; Entraveur majeur; Léopardo</t>
        </is>
      </c>
    </row>
    <row r="3423">
      <c r="A3423" t="inlineStr">
        <is>
          <t>Eliotrope M 200</t>
        </is>
      </c>
      <c r="B3423">
        <f>HYPERLINK("https://www.dofusbook.net/fr/equipement/5335326-eliotrope-m-200/objets", "link")</f>
        <v/>
      </c>
      <c r="C3423" t="n">
        <v>1</v>
      </c>
      <c r="D3423" t="inlineStr"/>
    </row>
    <row r="3424">
      <c r="A3424" t="inlineStr">
        <is>
          <t>Pandawa M 200</t>
        </is>
      </c>
      <c r="B3424">
        <f>HYPERLINK("https://www.dofusbook.net/fr/equipement/5335272-pandawa-m-200/objets", "link")</f>
        <v/>
      </c>
      <c r="C3424" t="n">
        <v>1</v>
      </c>
      <c r="D3424" t="inlineStr"/>
    </row>
    <row r="3425">
      <c r="A3425" t="inlineStr">
        <is>
          <t>Pandawa M 200</t>
        </is>
      </c>
      <c r="B3425">
        <f>HYPERLINK("https://www.dofusbook.net/fr/equipement/5282706-pandawa-m-200/objets", "link")</f>
        <v/>
      </c>
      <c r="C3425" t="n">
        <v>1</v>
      </c>
      <c r="D3425" t="inlineStr">
        <is>
          <t>Rouleau à Pâtisserie d'Aermyne; Collier Rophante; Alliance Gloursonne; Bague Trithon; Droiture de Fallanster; Sangle Huée; Masque d'Anerice; Cape d'Anerice; Baleinabottes; Dofus Abyssal; Dofus Émeraude; Dofus Ivoire; Bloqueur majeur; Obstructeur majeur; Remueur; Givrefoux</t>
        </is>
      </c>
    </row>
    <row r="3426">
      <c r="A3426" t="inlineStr">
        <is>
          <t>Iop M 200</t>
        </is>
      </c>
      <c r="B3426">
        <f>HYPERLINK("https://www.dofusbook.net/fr/equipement/5282661-iop-m-200/objets", "link")</f>
        <v/>
      </c>
      <c r="C3426" t="n">
        <v>1</v>
      </c>
      <c r="D3426" t="inlineStr">
        <is>
          <t>Dagues du Dragoeuf; Amulette du Strigide; Bague Gloursonne; Chevalière du Roi Joueur; Quatre-feuilles; Ceinture du Strigide; Couronne du Roi Joueur; Voile d'encre; Bottes du Roi Joueur; Dofus Vulbis; Dofus Ivoire; Dofus Pourpre; Dofus Abyssal; Dofus Turquoise; Dofus Ocre; Cromeugnon</t>
        </is>
      </c>
    </row>
    <row r="3427">
      <c r="A3427" t="inlineStr">
        <is>
          <t>Fécamanthache</t>
        </is>
      </c>
      <c r="B3427">
        <f>HYPERLINK("https://www.dofusbook.net/fr/equipement/5282917-fecamanthache/objets", "link")</f>
        <v/>
      </c>
      <c r="C3427" t="n">
        <v>1</v>
      </c>
      <c r="D3427" t="inlineStr">
        <is>
          <t>Manthache; Collier du Valet Veinard; Gant du Valet Veinard; Alliance Gloursonne; Cadran d'Eau; Menoture; Dorabysses; Cape Indescriptible; Palmes Trithons; Dofus Émeraude; Dofus Ocre; Dofus Abyssal; Dofus Ivoire; Dofus Vulbis; Cascadeur majeur; La Chose</t>
        </is>
      </c>
    </row>
    <row r="3428">
      <c r="A3428" t="inlineStr">
        <is>
          <t>Féca M 200</t>
        </is>
      </c>
      <c r="B3428">
        <f>HYPERLINK("https://www.dofusbook.net/fr/equipement/5322287-feca-m-200/objets", "link")</f>
        <v/>
      </c>
      <c r="C3428" t="n">
        <v>1</v>
      </c>
      <c r="D3428" t="inlineStr">
        <is>
          <t>Épée du Granduk; Amulette du Granduk; Anneau d'Allister; Alliance Gloursonne; Cadran d'Eau; Ceinture de Klime; Masque du Granduk; Cape Indescriptible; Bottes d'Allister; Dofus Turquoise; Dofus Abyssal; Dofus Émeraude; Dofus Ocre; Dofus Pourpre; Dofus Ivoire; Kokulte</t>
        </is>
      </c>
    </row>
    <row r="3429">
      <c r="A3429" t="inlineStr">
        <is>
          <t>Enutrof M 200</t>
        </is>
      </c>
      <c r="B3429">
        <f>HYPERLINK("https://www.dofusbook.net/fr/equipement/5282879-enutrof-m-200/objets", "link")</f>
        <v/>
      </c>
      <c r="C3429" t="n">
        <v>3</v>
      </c>
      <c r="D3429" t="inlineStr">
        <is>
          <t>Rapière aux Glyphes; Amulette de Shokkoth; Alliance Gloursonne; Bracelet des Fonds marins; Cadran d'Eau; Pagne du Rykaon; Kidibonnet; Cape de la Dame du Hasard; Bottes de la Dame du Hasard; Dofus Turquoise; Dofus Abyssal; Dofus Ocre; Dofus Vulbis; Dofus Ivoire; Chanceux majeur; Kokulte</t>
        </is>
      </c>
    </row>
    <row r="3430">
      <c r="A3430" t="inlineStr">
        <is>
          <t>Sacrieur M 200</t>
        </is>
      </c>
      <c r="B3430">
        <f>HYPERLINK("https://www.dofusbook.net/fr/equipement/5276114-sacrieur-m-200/objets", "link")</f>
        <v/>
      </c>
      <c r="C3430" t="n">
        <v>3</v>
      </c>
      <c r="D3430" t="inlineStr">
        <is>
          <t>Plume de Buhorado; Collier du Valet Veinard; Alliance Gloursonne; Gant du Valet Veinard; Droiture de Fallanster; Menoture; Dorabysses; Cape Martegel; Palmes Trithons; Dofus Émeraude; Dofus Ébène; Dofus Ocre; Dofus Abyssal; Dofus Ivoire; Cascadeur majeur; Dauge</t>
        </is>
      </c>
    </row>
    <row r="3431">
      <c r="A3431" t="inlineStr">
        <is>
          <t>Sacrieur stri</t>
        </is>
      </c>
      <c r="B3431">
        <f>HYPERLINK("https://www.dofusbook.net/fr/equipement/5275979-sacrieur-stri/objets", "link")</f>
        <v/>
      </c>
      <c r="C3431" t="n">
        <v>1</v>
      </c>
      <c r="D3431" t="inlineStr">
        <is>
          <t>Baguette Hique; Amulette Volkorne; Anneau Volkorne; Quatre-feuilles; Ceintacé; Cape de la Dame du Hasard; Bottes de la Dame du Hasard; Dofus Ivoire; Dofus Abyssal; Dofus Turquoise; Dofus Pourpre; Dofus Ocre; Dofus Ébène; Kokulte</t>
        </is>
      </c>
    </row>
    <row r="3432">
      <c r="A3432" t="inlineStr">
        <is>
          <t>Sacrieur kidi</t>
        </is>
      </c>
      <c r="B3432">
        <f>HYPERLINK("https://www.dofusbook.net/fr/equipement/5273205-sacrieur-kidi/objets", "link")</f>
        <v/>
      </c>
      <c r="C3432" t="n">
        <v>2</v>
      </c>
      <c r="D3432" t="inlineStr">
        <is>
          <t>Baguette Hique; Amulette Volkorne; Anneau Volkorne; Bracelet du Piloztère; Quatre-feuilles; Ceintacé; Casque Volkorne; Cape de la Dame du Hasard; Bottes de la Dame du Hasard; Dofus Ocre; Dofus Ébène; Dofus Ivoire; Dofus Abyssal; Dofus Turquoise; Dofus Pourpre; Kokulte</t>
        </is>
      </c>
    </row>
    <row r="3433">
      <c r="A3433" t="inlineStr">
        <is>
          <t>Sacrieur volk</t>
        </is>
      </c>
      <c r="B3433">
        <f>HYPERLINK("https://www.dofusbook.net/fr/equipement/5275900-sacrieur-volk/objets", "link")</f>
        <v/>
      </c>
      <c r="C3433" t="n">
        <v>1</v>
      </c>
      <c r="D3433" t="inlineStr">
        <is>
          <t>Baguette Hique; Amulette Volkorne; Bracelet du Piloztère; Anneau Volkorne; Quatre-feuilles; Ceinture Volkorne; Kidibonnet; Cape de la Dame du Hasard; Bottes de la Dame du Hasard; Dofus Turquoise; Dofus Pourpre; Dofus Ocre; Dofus Ébène; Dofus Ivoire; Dofus Abyssal; Kokulte</t>
        </is>
      </c>
    </row>
    <row r="3434">
      <c r="A3434" t="inlineStr">
        <is>
          <t>Eliotrope M 200</t>
        </is>
      </c>
      <c r="B3434">
        <f>HYPERLINK("https://www.dofusbook.net/fr/equipement/5273094-eliotrope-m-200/objets", "link")</f>
        <v/>
      </c>
      <c r="C3434" t="n">
        <v>1</v>
      </c>
      <c r="D3434" t="inlineStr"/>
    </row>
    <row r="3435">
      <c r="A3435" t="inlineStr">
        <is>
          <t>Sacrieur M 200</t>
        </is>
      </c>
      <c r="B3435">
        <f>HYPERLINK("https://www.dofusbook.net/fr/equipement/5272364-sacrieur-m-200/objets", "link")</f>
        <v/>
      </c>
      <c r="C3435" t="n">
        <v>1</v>
      </c>
      <c r="D3435" t="inlineStr"/>
    </row>
    <row r="3436">
      <c r="A3436" t="inlineStr">
        <is>
          <t>Sram M 200</t>
        </is>
      </c>
      <c r="B3436">
        <f>HYPERLINK("https://www.dofusbook.net/fr/equipement/5270935-sram-m-200/objets", "link")</f>
        <v/>
      </c>
      <c r="C3436" t="n">
        <v>1</v>
      </c>
      <c r="D3436" t="inlineStr">
        <is>
          <t>Rapière aux Glyphes; Amulette de Shokkoth; Anneau Volkorne; Alliance Gloursonne; Cadran d'Eau; Pagne du Rykaon; Kidibonnet; Cape de la Dame du Hasard; Bottes de la Dame du Hasard; Dofus Turquoise; Dofus Pourpre; Dofus Abyssal; Nomade; Chanceux majeur; Remueur; Kanigloups</t>
        </is>
      </c>
    </row>
    <row r="3437">
      <c r="A3437" t="inlineStr">
        <is>
          <t>Féca sacrificielle</t>
        </is>
      </c>
      <c r="B3437">
        <f>HYPERLINK("https://www.dofusbook.net/fr/equipement/5270888-feca-sacrificielle/objets", "link")</f>
        <v/>
      </c>
      <c r="C3437" t="n">
        <v>1</v>
      </c>
      <c r="D3437" t="inlineStr">
        <is>
          <t>Couteaux Sacrificiels; Talisman Igans; Anneau Tique; Alliance Gloursonne; Cadran d'Eau; Ceintrigue; Masque Paztek; Voilamibe; Pataugastrique; Dofus Émeraude; Dofus des Glaces; Dofus Pourpre; Dofus Abyssal; Dofus Ivoire; Remueur; Walk</t>
        </is>
      </c>
    </row>
    <row r="3438">
      <c r="A3438" t="inlineStr">
        <is>
          <t>Ouginak M 200</t>
        </is>
      </c>
      <c r="B3438">
        <f>HYPERLINK("https://www.dofusbook.net/fr/equipement/4835489-ouginak-m-200/objets", "link")</f>
        <v/>
      </c>
      <c r="C3438" t="n">
        <v>5</v>
      </c>
      <c r="D3438" t="inlineStr">
        <is>
          <t>Plumeau Bil; Amulette Volkorne; Anneauræus; Anneauræus; Cadran d'Eau; Ceinture Volkorne; Heaume Oplate; Cape de Diondin; Bottes Innommables; Dofus Pourpre; Dofus Ivoire; Dofus Abyssal; Nomade; Astucieux majeur; Érudit majeur; Bisouglours</t>
        </is>
      </c>
    </row>
    <row r="3439">
      <c r="A3439" t="inlineStr">
        <is>
          <t>Féca M 200</t>
        </is>
      </c>
      <c r="B3439">
        <f>HYPERLINK("https://www.dofusbook.net/fr/equipement/5248842-feca-m-200/objets", "link")</f>
        <v/>
      </c>
      <c r="C3439" t="n">
        <v>1</v>
      </c>
      <c r="D3439" t="inlineStr">
        <is>
          <t>Couteaux Sacrificiels; Amulette Volkorne; Anneau Volkorne; Alliance Gloursonne; Bouclier alvéolé; Pataugastrique; Dofus des Glaces; Dofus Abyssal; Dofus Pourpre; Dolmanax; Dofus Ivoire</t>
        </is>
      </c>
    </row>
    <row r="3440">
      <c r="A3440" t="inlineStr">
        <is>
          <t>Féca full stuff</t>
        </is>
      </c>
      <c r="B3440">
        <f>HYPERLINK("https://www.dofusbook.net/fr/equipement/5248761-feca-full-stuff/objets", "link")</f>
        <v/>
      </c>
      <c r="C3440" t="n">
        <v>2</v>
      </c>
      <c r="D3440" t="inlineStr">
        <is>
          <t>Couteaux Sacrificiels; Amulette Volkorne; Alliance Gloursonne; Anneau Volkorne; Bouclier alvéolé; Ceinture Volkorne; Masque Paztek; Cape Paztek; Pataugastrique; Dofus des Glaces; Dofus Ivoire; Dofus Ocre; Dofus Abyssal; Dolmanax; Dofus Pourpre</t>
        </is>
      </c>
    </row>
    <row r="3441">
      <c r="A3441" t="inlineStr">
        <is>
          <t>Ouginak M 200</t>
        </is>
      </c>
      <c r="B3441">
        <f>HYPERLINK("https://www.dofusbook.net/fr/equipement/5246808-ouginak-m-200/objets", "link")</f>
        <v/>
      </c>
      <c r="C3441" t="n">
        <v>1</v>
      </c>
      <c r="D3441" t="inlineStr">
        <is>
          <t>Marteau R'ture; Amulette du Cœur Saignant; Anneau Chevelu; Anneau Volkorne; Droiture de Fallanster; Ceinture Volkorne; Masque de Koutoulou; Bravoure de Rykke Errel; Bottes du Cœur Saignant; Dofus Vulbis; Dofus Ivoire; Dofus Pourpre; Dofus Ébène; Dofus Abyssal; Dofus Ocre</t>
        </is>
      </c>
    </row>
    <row r="3442">
      <c r="A3442" t="inlineStr">
        <is>
          <t>Ouginak M 200</t>
        </is>
      </c>
      <c r="B3442">
        <f>HYPERLINK("https://www.dofusbook.net/fr/equipement/4852319-ouginak-m-200/objets", "link")</f>
        <v/>
      </c>
      <c r="C3442" t="n">
        <v>1</v>
      </c>
      <c r="D3442" t="inlineStr">
        <is>
          <t>Marteau R'ture; Collier de Tourthon; Anneau de Brouce; Anneau Chevelu; Droiture de Fallanster; Ceinture Gence; Casque Dragoeuf; Cape au Logis; Bottes de Brouce; Dofus Ocre; Dofus Abyssal; Dofus Ivoire; Dofus Pourpre; Dofus Ébène; Enragé majeur; Bulbisou</t>
        </is>
      </c>
    </row>
    <row r="3443">
      <c r="A3443" t="inlineStr">
        <is>
          <t>Ouginak terrevolkorne</t>
        </is>
      </c>
      <c r="B3443">
        <f>HYPERLINK("https://www.dofusbook.net/fr/equipement/5239410-ouginak-terrevolkorne/objets", "link")</f>
        <v/>
      </c>
      <c r="C3443" t="n">
        <v>2</v>
      </c>
      <c r="D3443" t="inlineStr">
        <is>
          <t>Marteau R'ture; Collier de Tourthon; Anneau Volkorne; Anneau Chevelu; Droiture de Fallanster; Ceinture Volkorne; Casque Dragoeuf; Cape au Logis; Sabots Minables; Dofus Ocre; Dofus Abyssal; Dofus Ivoire; Dofus Pourpre; Dofus Ébène; Enragé majeur; Bulbisou</t>
        </is>
      </c>
    </row>
    <row r="3444">
      <c r="A3444" t="inlineStr">
        <is>
          <t>Ouginak M 200</t>
        </is>
      </c>
      <c r="B3444">
        <f>HYPERLINK("https://www.dofusbook.net/fr/equipement/5224809-ouginak-m-200/objets", "link")</f>
        <v/>
      </c>
      <c r="C3444" t="n">
        <v>1</v>
      </c>
      <c r="D3444" t="inlineStr">
        <is>
          <t>Marteau R'ture; Amulette Volkorne; Bague Gloursonne; Anneau Chevelu; Droiture de Fallanster; Ceinture Volkorne; Casque Dragoeuf; Bravoure de Rykke Errel; Baleinabottes; Dofus Ébène; Dofus Ocre; Dofus Abyssal; Dofus Ivoire; Enragé majeur; Nomade; Bulbisou</t>
        </is>
      </c>
    </row>
    <row r="3445">
      <c r="A3445" t="inlineStr">
        <is>
          <t>Ouginak M 200</t>
        </is>
      </c>
      <c r="B3445">
        <f>HYPERLINK("https://www.dofusbook.net/fr/equipement/5223947-ouginak-m-200/objets", "link")</f>
        <v/>
      </c>
      <c r="C3445" t="n">
        <v>1</v>
      </c>
      <c r="D3445" t="inlineStr">
        <is>
          <t>Plume de Buhorado; Collier du Valet Veinard; Gant du Valet Veinard; Alliance Gloursonne; Droiture de Fallanster; Menoture; Casque Dragoeuf; Cape du Kamasterisk; Palmes Trithons; Dofus Ocre; Dofus Ébène; Dofus Abyssal; Dofus Pourpre; Dofus Ivoire; Cascadeur majeur; La Chose</t>
        </is>
      </c>
    </row>
    <row r="3446">
      <c r="A3446" t="inlineStr">
        <is>
          <t>Féca M 200</t>
        </is>
      </c>
      <c r="B3446">
        <f>HYPERLINK("https://www.dofusbook.net/fr/equipement/4923595-feca-m-200/objets", "link")</f>
        <v/>
      </c>
      <c r="C3446" t="n">
        <v>1</v>
      </c>
      <c r="D3446" t="inlineStr">
        <is>
          <t>Couteaux Sacrificiels; Amulette Volkorne; Alliance Gloursonne; Anneau Volkorne; Bouclier alvéolé; Ceinture Volkorne; Masque Paztek; Cape Paztek; Pataugastrique; Dofus Émeraude; Dofus Ivoire; Dofus Pourpre; Dofus Abyssal; Dolmanax; Dofus Ocre; Eliôme</t>
        </is>
      </c>
    </row>
    <row r="3447">
      <c r="A3447" t="inlineStr">
        <is>
          <t>Ouginak M 200</t>
        </is>
      </c>
      <c r="B3447">
        <f>HYPERLINK("https://www.dofusbook.net/fr/equipement/4923566-ouginak-m-200/objets", "link")</f>
        <v/>
      </c>
      <c r="C3447" t="n">
        <v>1</v>
      </c>
      <c r="D3447" t="inlineStr">
        <is>
          <t>Lance Horselé; Collier du Valet Veinard; Alliance Gloursonne; Gant du Valet Veinard; Bouclier d'Ilyzaelle; Menoture; Dorabysses; Cape Martegel; Palmes Trithons; Dofus Ocre; Dofus Abyssal; Dofus Pourpre; Dofus Émeraude; Nomade; Cascadeur majeur; Blérodoudou</t>
        </is>
      </c>
    </row>
    <row r="3448">
      <c r="A3448" t="inlineStr">
        <is>
          <t>Féca M 200</t>
        </is>
      </c>
      <c r="B3448">
        <f>HYPERLINK("https://www.dofusbook.net/fr/equipement/4917702-feca-m-200/objets", "link")</f>
        <v/>
      </c>
      <c r="C3448" t="n">
        <v>6</v>
      </c>
      <c r="D3448" t="inlineStr">
        <is>
          <t>Marteau R'ture; Amulette du Cœur Saignant; Anneau Volkorne; Anneau Chevelu; Cadran d'Eau; Ceinture Volkorne; Masque de Koutoulou; Bravoure de Rykke Errel; Bottes du Cœur Saignant</t>
        </is>
      </c>
    </row>
    <row r="3449">
      <c r="A3449" t="inlineStr">
        <is>
          <t>Zobal M 200</t>
        </is>
      </c>
      <c r="B3449">
        <f>HYPERLINK("https://www.dofusbook.net/fr/equipement/4916176-zobal-m-200/objets", "link")</f>
        <v/>
      </c>
      <c r="C3449" t="n">
        <v>1</v>
      </c>
      <c r="D3449" t="inlineStr">
        <is>
          <t>Hache Téroïde; Amulette du Strigide; Bague Gloursonne; Bague Trithon; Cadran d'Eau; Ceinture du Strigide; Masque Trithon; Cape au Logis; Bottes Trithon; Dofus Turquoise; Dofus des Glaces; Dofus Ocre; Dofus Abyssal; Dofus Pourpre; Dofus des Veilleurs; Kokulte</t>
        </is>
      </c>
    </row>
    <row r="3450">
      <c r="A3450" t="inlineStr">
        <is>
          <t>Zobal M 200</t>
        </is>
      </c>
      <c r="B3450">
        <f>HYPERLINK("https://www.dofusbook.net/fr/equipement/4916096-zobal-m-200/objets", "link")</f>
        <v/>
      </c>
      <c r="C3450" t="n">
        <v>5</v>
      </c>
      <c r="D3450" t="inlineStr">
        <is>
          <t>Hache Téroïde; Amulette du Strigide; Bague Gloursonne; Chevalière du Roi Joueur; Cadran d'Eau; Ceinture du Strigide; Couronne du Roi Joueur; Cape au Logis; Bottes du Roi Joueur; Dofus Pourpre; Dofus Ivoire; Dofus Turquoise; Dofus des Glaces; Dofus Ocre; Dofus Abyssal; Kokulte</t>
        </is>
      </c>
    </row>
    <row r="3451">
      <c r="A3451" t="inlineStr">
        <is>
          <t>Sacrieur F 200</t>
        </is>
      </c>
      <c r="B3451">
        <f>HYPERLINK("https://www.dofusbook.net/fr/equipement/4902318-sacrieur-f-200/objets", "link")</f>
        <v/>
      </c>
      <c r="C3451" t="n">
        <v>5</v>
      </c>
      <c r="D3451" t="inlineStr">
        <is>
          <t>Baguette Hique; Amulette de Shokkoth; Anneau Volkorne; Alliance Gloursonne; Quatre-feuilles; Sangle Ouare; Kidibonnet; Cape de la Dame du Hasard; Bottes de la Dame du Hasard; Dofus Pourpre; Dofus Ébène; Dofus Turquoise; Dofus Abyssal; Dofus Ocre; Chanceux majeur; Kanigloups</t>
        </is>
      </c>
    </row>
    <row r="3452">
      <c r="A3452" t="inlineStr">
        <is>
          <t>Roublard M 200</t>
        </is>
      </c>
      <c r="B3452">
        <f>HYPERLINK("https://www.dofusbook.net/fr/equipement/4902297-roublard-m-200/objets", "link")</f>
        <v/>
      </c>
      <c r="C3452" t="n">
        <v>2</v>
      </c>
      <c r="D3452" t="inlineStr">
        <is>
          <t>Arc du Chalœil; Collier de Tourthon; Anneau de Brouce; Bracelet du Piloztère; Bouclier du Stalak; Ceinture de la Reine des Voleurs; Coiffe de la Reine des Voleurs; Cape au Logis; Baleinabottes; Dofus des Glaces; Dofus Pourpre; Dofus Abyssal; Enragé majeur; Nomade; Remueur; Bulbisou</t>
        </is>
      </c>
    </row>
    <row r="3453">
      <c r="A3453" t="inlineStr">
        <is>
          <t>Ouginak M 200</t>
        </is>
      </c>
      <c r="B3453">
        <f>HYPERLINK("https://www.dofusbook.net/fr/equipement/4898938-ouginak-m-200/objets", "link")</f>
        <v/>
      </c>
      <c r="C3453" t="n">
        <v>1</v>
      </c>
      <c r="D3453" t="inlineStr">
        <is>
          <t>Baguette Héroclite; Bouclier du Stalak</t>
        </is>
      </c>
    </row>
    <row r="3454">
      <c r="A3454" t="inlineStr">
        <is>
          <t>Ouginak M 200</t>
        </is>
      </c>
      <c r="B3454">
        <f>HYPERLINK("https://www.dofusbook.net/fr/equipement/4856439-ouginak-m-200/objets", "link")</f>
        <v/>
      </c>
      <c r="C3454" t="n">
        <v>3</v>
      </c>
      <c r="D3454" t="inlineStr">
        <is>
          <t>Manthache; Collier du Valet Veinard; Gant du Valet Veinard; Alliance Gloursonne; Bouclier d'Ilyzaelle; Menoture; Dorabysses; Cape du Kamasterisk; Palmes Trithons; Dofus Ocre; Dofus Abyssal; Dofus Ivoire; Dofus Ébène; Cascadeur majeur; Nomade; La Chose</t>
        </is>
      </c>
    </row>
    <row r="3455">
      <c r="A3455" t="inlineStr">
        <is>
          <t>Pandawa M 200</t>
        </is>
      </c>
      <c r="B3455">
        <f>HYPERLINK("https://www.dofusbook.net/fr/equipement/4849785-pandawa-m-200/objets", "link")</f>
        <v/>
      </c>
      <c r="C3455" t="n">
        <v>5</v>
      </c>
      <c r="D3455" t="inlineStr">
        <is>
          <t>Crocobur; Collier de Tourthon; Anneau Crustique; Anneau Chevelu; Bouclier d'Ilyzaelle; Ceinture de la Cour Sombre; Casque Dragoeuf; Cape de la Cour Sombre; Baleinabottes; Dofus Abyssal; Dofus Ivoire; Dofus Émeraude; Nomade; Remueur; Enragé majeur; Platypus</t>
        </is>
      </c>
    </row>
    <row r="3456">
      <c r="A3456" t="inlineStr">
        <is>
          <t>Pandawa M 200</t>
        </is>
      </c>
      <c r="B3456">
        <f>HYPERLINK("https://www.dofusbook.net/fr/equipement/4848715-pandawa-m-200/objets", "link")</f>
        <v/>
      </c>
      <c r="C3456" t="n">
        <v>1</v>
      </c>
      <c r="D3456" t="inlineStr">
        <is>
          <t>Arc corrompu; Amulette Volkorne; Anneauræus; Anneauræus; Quatre-feuilles; Ceinture Volkorne; Heaume Oplate; Cape de Diondin; Getas Bernacle; Dofus Pourpre; Dofus Turquoise; Dofus Abyssal; Érudit majeur; Astucieux majeur; Nomade; Bisouglours</t>
        </is>
      </c>
    </row>
    <row r="3457">
      <c r="A3457" t="inlineStr">
        <is>
          <t>Ouginak M 200</t>
        </is>
      </c>
      <c r="B3457">
        <f>HYPERLINK("https://www.dofusbook.net/fr/equipement/4848484-ouginak-m-200/objets", "link")</f>
        <v/>
      </c>
      <c r="C3457" t="n">
        <v>2</v>
      </c>
      <c r="D3457" t="inlineStr">
        <is>
          <t>Manthache; Collier du Valet Veinard; Gant du Valet Veinard; Alliance Gloursonne; Droiture de Fallanster; Menoture; Dorabysses; Cape Martegel; Palmes Trithons; Dofus Ocre; Dofus Ivoire; Dofus Vulbis; Dofus Abyssal; Dofus Pourpre; Dofus Ébène; Blérodoudou</t>
        </is>
      </c>
    </row>
    <row r="3458">
      <c r="A3458" t="inlineStr">
        <is>
          <t>Féca M 200</t>
        </is>
      </c>
      <c r="B3458">
        <f>HYPERLINK("https://www.dofusbook.net/fr/equipement/4848661-feca-m-200/objets", "link")</f>
        <v/>
      </c>
      <c r="C3458" t="n">
        <v>2</v>
      </c>
      <c r="D3458" t="inlineStr">
        <is>
          <t>Sceptre du Roi Joueur; Amulette de Shokkoth; Anneau Volkorne; Alliance Gloursonne; Bouclier d'Ilyzaelle; Sangle Ouare; Capuche de l'Œil Attentif; Cape de l'Œil Attentif; Pataugastrique; Dofus Pourpre; Dofus Ivoire; Dofus Ocre; Dofus Ébène; Dofus Abyssal; Chanceux majeur; Eliôme</t>
        </is>
      </c>
    </row>
    <row r="3459">
      <c r="A3459" t="inlineStr">
        <is>
          <t>Ouginak M 200</t>
        </is>
      </c>
      <c r="B3459">
        <f>HYPERLINK("https://www.dofusbook.net/fr/equipement/4839544-ouginak-m-200/objets", "link")</f>
        <v/>
      </c>
      <c r="C3459" t="n">
        <v>4</v>
      </c>
      <c r="D3459" t="inlineStr">
        <is>
          <t>Pelle de la Cour Sombre; Collier du Valet Veinard; Anneau Rifique; Gant du Valet Veinard; Bouclier d'Ilyzaelle; Ceintouse; Casque Cyclopéen; Cape du Valet Veinard; Tentassons; Dofus Vulbis; Dofus Ébène; Dofus Ocre; Dofus Ivoire; Dofus Pourpre; Dofus Abyssal; Volkorne Rubis et Améthyste</t>
        </is>
      </c>
    </row>
    <row r="3460">
      <c r="A3460" t="inlineStr">
        <is>
          <t>Ouginak M 200</t>
        </is>
      </c>
      <c r="B3460">
        <f>HYPERLINK("https://www.dofusbook.net/fr/equipement/4848352-ouginak-m-200/objets", "link")</f>
        <v/>
      </c>
      <c r="C3460" t="n">
        <v>2</v>
      </c>
      <c r="D3460" t="inlineStr">
        <is>
          <t>Dagues Érhy; Amulette Martegel; Bague Gloursonne; Alliance Gloursonne; Bouclier cubiste; Ceinture de l'Esprit Salvateur; Masque de l'Esprit Salvateur; Cape Martegel; Bottes de l'Esprit Salvateur; Dofus Vulbis; Dofus Abyssal; Dofus Pourpre; Dofus Ivoire; Dofus des Glaces; Dofus Ocre; Volkorne Améthyste et Turquoise</t>
        </is>
      </c>
    </row>
    <row r="3461">
      <c r="A3461" t="inlineStr">
        <is>
          <t>Ouginak M 200</t>
        </is>
      </c>
      <c r="B3461">
        <f>HYPERLINK("https://www.dofusbook.net/fr/equipement/4848144-ouginak-m-200/objets", "link")</f>
        <v/>
      </c>
      <c r="C3461" t="n">
        <v>1</v>
      </c>
      <c r="D3461" t="inlineStr">
        <is>
          <t>Baguette Héroclite; Amulette d'Ilyzaelle; Anneau Volkorne; Alliance Gloursonne; Bouclier d'Ilyzaelle; Ceinture Volkorne; Casque d'Ilyzaelle; Cape du Sinistrofu; Bottes du Sinistrofu; Dofus Ocre; Dofus Ébène; Dofus Vulbis; Dofus Abyssal; Dofus Pourpre; Dofus Ivoire; Volkorne Rubis et Améthyste</t>
        </is>
      </c>
    </row>
    <row r="3462">
      <c r="A3462" t="inlineStr">
        <is>
          <t>Ouginak M 200</t>
        </is>
      </c>
      <c r="B3462">
        <f>HYPERLINK("https://www.dofusbook.net/fr/equipement/4839485-ouginak-m-200/objets", "link")</f>
        <v/>
      </c>
      <c r="C3462" t="n">
        <v>4</v>
      </c>
      <c r="D3462" t="inlineStr">
        <is>
          <t>Baguette Héroclite; Amulette de l'Œil Attentif; Bracelet des Fonds marins; Anneau Volkorne; Bouclier d'Ilyzaelle; Ceinture Volkorne; Capuche de l'Œil Attentif; Cape de l'Œil Attentif; Sandales des Fonds marins; Dofus Pourpre; Dofus Ivoire; Dofus Ocre; Dofus Ébène; Dofus Vulbis; Dofus Abyssal; Volkorne Rubis et Améthyste</t>
        </is>
      </c>
    </row>
    <row r="3463">
      <c r="A3463" t="inlineStr">
        <is>
          <t>Ouginak M 200</t>
        </is>
      </c>
      <c r="B3463">
        <f>HYPERLINK("https://www.dofusbook.net/fr/equipement/4839509-ouginak-m-200/objets", "link")</f>
        <v/>
      </c>
      <c r="C3463" t="n">
        <v>3</v>
      </c>
      <c r="D3463" t="inlineStr">
        <is>
          <t>Plumeau Bil; Pendentif mignon de Koutoulou; Anneau Rifique; Anneauræus; Bouclier d'Ilyzaelle; Ceinture de Vortex; Casque Cyclopéen; Bravoure de Rykke Errel; Chaussures Ardentes; Dofus Ocre; Dofus Ébène; Dofus Pourpre; Dofus Abyssal; Dofus Vulbis; Dofus Ivoire; Volkorne Rubis et Améthyste</t>
        </is>
      </c>
    </row>
    <row r="3464">
      <c r="A3464" t="inlineStr">
        <is>
          <t>Pvm</t>
        </is>
      </c>
      <c r="B3464">
        <f>HYPERLINK("https://www.dofusbook.net/fr/equipement/4828565-pvm-/objets", "link")</f>
        <v/>
      </c>
      <c r="C3464" t="n">
        <v>2</v>
      </c>
      <c r="D3464" t="inlineStr">
        <is>
          <t>Bêche Asse; Amulette Héroclite; Bague Gloursonne; Anneau de Brouce; Bouclier d'Ilyzaelle; Ceinture de Brouce; Masque de Koutoulou; Cape au Logis; Baleinabottes; Dofus Pourpre; Dofus Abyssal; Dofus Turquoise; Remueur; Enragé majeur; Givrefoux</t>
        </is>
      </c>
    </row>
    <row r="3465">
      <c r="A3465" t="inlineStr">
        <is>
          <t>Féca M 200</t>
        </is>
      </c>
      <c r="B3465">
        <f>HYPERLINK("https://www.dofusbook.net/fr/equipement/4833200-feca-m-200/objets", "link")</f>
        <v/>
      </c>
      <c r="C3465" t="n">
        <v>4</v>
      </c>
      <c r="D3465" t="inlineStr">
        <is>
          <t>Baguette Hique; Amulette de Shokkoth; Alliance Gloursonne; Bracelet des Fonds marins; Quatre-feuilles; Pagne du Rykaon; Kidibonnet; Cape de la Dame du Hasard; Bottes de la Dame du Hasard; Dofus Turquoise; Dofus Abyssal; Dofus Pourpre; Chanceux majeur; Nomade; Remueur; Kanigloups</t>
        </is>
      </c>
    </row>
    <row r="3466">
      <c r="A3466" t="inlineStr">
        <is>
          <t>Pandawa M 200</t>
        </is>
      </c>
      <c r="B3466">
        <f>HYPERLINK("https://www.dofusbook.net/fr/equipement/4836541-pandawa-m-200/objets", "link")</f>
        <v/>
      </c>
      <c r="C3466" t="n">
        <v>1</v>
      </c>
      <c r="D3466" t="inlineStr">
        <is>
          <t>Rouleau à Pâtisserie d'Aermyne; Collier Rophante; Bague Trithon; Alliance Gloursonne; Bouclier précieux; Poulpagne; Masque d'Anerice; Cape d'Anerice; Getas Bernacle; Dofus Ivoire; Dofus Émeraude; Dofus Abyssal; Remueur; Obstructeur majeur; Nomade; Givrefoux</t>
        </is>
      </c>
    </row>
    <row r="3467">
      <c r="A3467" t="inlineStr">
        <is>
          <t>Pandawa M 200</t>
        </is>
      </c>
      <c r="B3467">
        <f>HYPERLINK("https://www.dofusbook.net/fr/equipement/4836520-pandawa-m-200/objets", "link")</f>
        <v/>
      </c>
      <c r="C3467" t="n">
        <v>1</v>
      </c>
      <c r="D3467" t="inlineStr">
        <is>
          <t>Rouleau à Pâtisserie d'Aermyne; Collier Rophante; Bague Gloursonne; Bague Trithon; Bouclier précieux; Sangle Huée; Casque Dragoeuf; Cape Matelassée; Getas Bernacle; Dofus Émeraude; Dofus Ivoire; Dofus Abyssal; Miraculé majeur; Obstructeur majeur; Remueur; Givrefoux</t>
        </is>
      </c>
    </row>
    <row r="3468">
      <c r="A3468" t="inlineStr">
        <is>
          <t>Ougifeudragoeuf</t>
        </is>
      </c>
      <c r="B3468">
        <f>HYPERLINK("https://www.dofusbook.net/fr/equipement/4835537-ougifeudragoeuf/objets", "link")</f>
        <v/>
      </c>
      <c r="C3468" t="n">
        <v>3</v>
      </c>
      <c r="D3468" t="inlineStr">
        <is>
          <t>Plumeau Bil; Amulette Volkorne; Anneauræus; Anneauræus; Bouclier d'Ilyzaelle; Ceinture Volkorne; Casque Dragoeuf; Cape de Diondin; Bottes Innommables; Dofus Ocre; Dofus Ébène; Dofus Abyssal; Dofus Ivoire; Érudit majeur; Nomade; Bisouglours</t>
        </is>
      </c>
    </row>
    <row r="3469">
      <c r="A3469" t="inlineStr">
        <is>
          <t>Iopterrepvm</t>
        </is>
      </c>
      <c r="B3469">
        <f>HYPERLINK("https://www.dofusbook.net/fr/equipement/4833401-iopterrepvm/objets", "link")</f>
        <v/>
      </c>
      <c r="C3469" t="n">
        <v>5</v>
      </c>
      <c r="D3469" t="inlineStr">
        <is>
          <t>Marteau R'ture; Amulette du Strigide; Anneau Chevelu; Anneau de Brouce; Bouclier du Captain Amakna; Ceinture Gence; Masque de Koutoulou; Cape au Logis; Bottes de Brouce; Dofus Pourpre; Dofus Turquoise; Dofus Abyssal; Vigoureux majeur; Forcené majeur; Enragé majeur; Bulbisou</t>
        </is>
      </c>
    </row>
    <row r="3470">
      <c r="A3470" t="inlineStr">
        <is>
          <t>Pandawafulltankclasse</t>
        </is>
      </c>
      <c r="B3470">
        <f>HYPERLINK("https://www.dofusbook.net/fr/equipement/4833301-pandawafulltankclasse/objets", "link")</f>
        <v/>
      </c>
      <c r="C3470" t="n">
        <v>3</v>
      </c>
      <c r="D3470" t="inlineStr">
        <is>
          <t>Rouleau à Pâtisserie d'Aermyne; Collier Rophante; Bague Gloursonne; Anneau Crustique; Droiture de Fallanster; Sangle Huée; Masque d'Anerice; Cape d'Anerice; Getas Bernacle; Dofus Ocre; Dofus Abyssal; Dofus Émeraude; Dofus Ivoire; Tacleur majeur; Bloqueur majeur; Kougnard</t>
        </is>
      </c>
    </row>
    <row r="3471">
      <c r="A3471" t="inlineStr">
        <is>
          <t>Pandawatankpvmterre</t>
        </is>
      </c>
      <c r="B3471">
        <f>HYPERLINK("https://www.dofusbook.net/fr/equipement/4833267-pandawatankpvmterre/objets", "link")</f>
        <v/>
      </c>
      <c r="C3471" t="n">
        <v>1</v>
      </c>
      <c r="D3471" t="inlineStr">
        <is>
          <t>Bêche Asse; Collier Rophante; Bague Gloursonne; Anneau de Brouce; Bouclier d'Ilyzaelle; Ceinture Volkorne; Masque d'Anerice; Cape d'Anerice; Baleinabottes; Dofus Émeraude; Dofus Abyssal; Dofus Ivoire; Obstructeur majeur; Enragé majeur; Remueur; Givrefoux</t>
        </is>
      </c>
    </row>
    <row r="3472">
      <c r="A3472" t="inlineStr">
        <is>
          <t>Féca M 200</t>
        </is>
      </c>
      <c r="B3472">
        <f>HYPERLINK("https://www.dofusbook.net/fr/equipement/4833156-feca-m-200/objets", "link")</f>
        <v/>
      </c>
      <c r="C3472" t="n">
        <v>1</v>
      </c>
      <c r="D3472" t="inlineStr">
        <is>
          <t>Manthache; Collier du Valet Veinard; Alliance Gloursonne; Gant du Valet Veinard; Bouclier du Captain Amakna; Menoture; Couronne d'Allister; Cape du Kamasterisk; Palmes Trithons; Dofus Abyssal; Dofus Pourpre; Remueur; Equilibriste majeur; Cascadeur majeur; Nomade; Blérodoudou</t>
        </is>
      </c>
    </row>
    <row r="3473">
      <c r="A3473" t="inlineStr">
        <is>
          <t>Ouginak M 200</t>
        </is>
      </c>
      <c r="B3473">
        <f>HYPERLINK("https://www.dofusbook.net/fr/equipement/4833120-ouginak-m-200/objets", "link")</f>
        <v/>
      </c>
      <c r="C3473" t="n">
        <v>1</v>
      </c>
      <c r="D3473" t="inlineStr">
        <is>
          <t>Plume de Buhorado; Amulette Martegel; Gant du Valet Veinard; Alliance Gloursonne; Bouclier d'Ilyzaelle; Menoture; Dorabysses; Cape Martegel; Palmes Trithons; Dofus Abyssal; Dofus Ivoire; Dofus Ocre; Dofus Ébène; Carapace Feu majeur; Cascadeur majeur; La Chose</t>
        </is>
      </c>
    </row>
    <row r="3474">
      <c r="A3474" t="inlineStr">
        <is>
          <t>Ouginak M 200</t>
        </is>
      </c>
      <c r="B3474">
        <f>HYPERLINK("https://www.dofusbook.net/fr/equipement/4832815-ouginak-m-200/objets", "link")</f>
        <v/>
      </c>
      <c r="C3474" t="n">
        <v>2</v>
      </c>
      <c r="D3474" t="inlineStr">
        <is>
          <t>Baguette Héroclite; Amulette de Shokkoth; Anneau Volkorne; Alliance Gloursonne; Bouclier du Stalak; Sangle Ouare; Kidibonnet; Cape du Sinistrofu; Bottes du Sinistrofu; Dofus Pourpre; Dofus Ébène; Dofus Ocre; Dofus Abyssal; Taquin majeur; Chanceux majeur; Kanigloups</t>
        </is>
      </c>
    </row>
    <row r="3475">
      <c r="A3475" t="inlineStr">
        <is>
          <t>Ouginak M 200</t>
        </is>
      </c>
      <c r="B3475">
        <f>HYPERLINK("https://www.dofusbook.net/fr/equipement/4827064-ouginak-m-200/objets", "link")</f>
        <v/>
      </c>
      <c r="C3475" t="n">
        <v>1</v>
      </c>
      <c r="D3475" t="inlineStr">
        <is>
          <t>Plume de Buhorado; Collier du Valet Veinard; Alliance Gloursonne; Gant du Valet Veinard; Bouclier d'Ilyzaelle; Menoture; Dorabysses; Cape du Kamasterisk; Palmes Trithons; Dofus Pourpre; Dofus Ivoire; Dofus Ocre; Dofus Ébène; Dofus Abyssal; Cascadeur majeur; La Chose</t>
        </is>
      </c>
    </row>
    <row r="3476">
      <c r="A3476" t="inlineStr">
        <is>
          <t>Ouginak M 200</t>
        </is>
      </c>
      <c r="B3476">
        <f>HYPERLINK("https://www.dofusbook.net/fr/equipement/4827147-ouginak-m-200/objets", "link")</f>
        <v/>
      </c>
      <c r="C3476" t="n">
        <v>2</v>
      </c>
      <c r="D3476" t="inlineStr">
        <is>
          <t>Sceptre du Roi Joueur; Amulette de Shokkoth; Anneau Volkorne; Alliance Gloursonne; Bouclier d'Ilyzaelle; Sangle Ouare; Capuche de l'Œil Attentif; Cape de l'Œil Attentif; Pataugastrique; Dofus Ocre; Dofus Ébène; Dofus Abyssal; Dofus Pourpre; Dofus Ivoire; Chanceux majeur; Kanigloups</t>
        </is>
      </c>
    </row>
    <row r="3477">
      <c r="A3477" t="inlineStr">
        <is>
          <t>Ouginak M 200</t>
        </is>
      </c>
      <c r="B3477">
        <f>HYPERLINK("https://www.dofusbook.net/fr/equipement/4827189-ouginak-m-200/objets", "link")</f>
        <v/>
      </c>
      <c r="C3477" t="n">
        <v>1</v>
      </c>
      <c r="D3477" t="inlineStr">
        <is>
          <t>Sceptre du Roi Joueur; Amulette de Shokkoth; Alliance Gloursonne; Anneau Volkorne; Bouclier d'Ilyzaelle; Sangle Ouare; Casque Dragoeuf; Cape de Mantaze; Pataugastrique; Dofus Abyssal; Dofus Vulbis; Dofus Ivoire; Dofus Ocre; Dofus Ébène; Chanceux majeur; Kanigloups</t>
        </is>
      </c>
    </row>
    <row r="3478">
      <c r="A3478" t="inlineStr">
        <is>
          <t>oui M 200</t>
        </is>
      </c>
      <c r="B3478">
        <f>HYPERLINK("https://www.dofusbook.net/fr/equipement/4827105-oui-m-200/objets", "link")</f>
        <v/>
      </c>
      <c r="C3478" t="n">
        <v>1</v>
      </c>
      <c r="D3478" t="inlineStr">
        <is>
          <t>Plumeau Bil; Amulette Volkorne; Anneauræus; Anneauræus; Bouclier du Captain Amakna; Ceinture Volkorne; Heaume Oplate; Cape de Diondin; Bottes Innommables; Dofus Turquoise; Dofus Vulbis; Dofus Abyssal; Dofus Pourpre; Dofus Ébène; Érudit majeur; Bisouglours</t>
        </is>
      </c>
    </row>
    <row r="3479">
      <c r="A3479" t="inlineStr">
        <is>
          <t>Sadida M 200</t>
        </is>
      </c>
      <c r="B3479">
        <f>HYPERLINK("https://www.dofusbook.net/fr/equipement/4825573-sadida-m-200/objets", "link")</f>
        <v/>
      </c>
      <c r="C3479" t="n">
        <v>3</v>
      </c>
      <c r="D3479" t="inlineStr">
        <is>
          <t>Arc Honte; Amulette de l'Œil Putride; Bague Gloursonne; Alliance Gloursonne; Bouclier cubiste; Ceinture de l'Esprit Salvateur; Masque de l'Esprit Salvateur; Cape de l'Œil Putride; Bottes de l'Esprit Salvateur; Dofus Pourpre; Dofus Ivoire; Dofus des Glaces; Dofus Ocre; Dofus Vulbis; Dofus Abyssal; Kramkram</t>
        </is>
      </c>
    </row>
    <row r="3480">
      <c r="A3480" t="inlineStr">
        <is>
          <t>Osamodas F 200</t>
        </is>
      </c>
      <c r="B3480">
        <f>HYPERLINK("https://www.dofusbook.net/fr/equipement/4826300-osamodas-f-200/objets", "link")</f>
        <v/>
      </c>
      <c r="C3480" t="n">
        <v>4</v>
      </c>
      <c r="D3480" t="inlineStr">
        <is>
          <t>Lav'Hache; Amulette Volkorne; Bague Gloursonne; Anneau Chevelu; Bouclier d'Ilyzaelle; Ceinture Volkorne; Casque Dragoeuf; Bravoure de Rykke Errel; Sabots Minables; Dofus Ocre; Dofus Abyssal; Dofus Vulbis; Dofus Ivoire; Enragé majeur; Miraculé majeur; Shushu de Rushu</t>
        </is>
      </c>
    </row>
    <row r="3481">
      <c r="A3481" t="inlineStr">
        <is>
          <t>Ecaflip M 200</t>
        </is>
      </c>
      <c r="B3481">
        <f>HYPERLINK("https://www.dofusbook.net/fr/equipement/4825506-ecaflip-m-200/objets", "link")</f>
        <v/>
      </c>
      <c r="C3481" t="n">
        <v>1</v>
      </c>
      <c r="D3481" t="inlineStr">
        <is>
          <t>Sceptre du Roi Joueur; Amulette du Strigide; Anneau Volkorne; Alliance Gloursonne; Bouclier du Stalak; Sangle Ouare; Masque des Fonds marins; Cape Solution; Bottes du Strigide; Dofus Pourpre; Dofus Ocre; Dofus Abyssal; Dofus Ivoire; Carapace Air majeur; Chanceux majeur; Pioute bleu</t>
        </is>
      </c>
    </row>
    <row r="3482">
      <c r="A3482" t="inlineStr">
        <is>
          <t>Crâ M 200</t>
        </is>
      </c>
      <c r="B3482">
        <f>HYPERLINK("https://www.dofusbook.net/fr/equipement/4823765-cra-m-200/objets", "link")</f>
        <v/>
      </c>
      <c r="C3482" t="n">
        <v>3</v>
      </c>
      <c r="D3482" t="inlineStr">
        <is>
          <t>Marteau R'ture; Amulette du Cœur Saignant; Chevalière du Roi Joueur; Anneau Volkorne; Cadran d'Eau; Ceinture Volkorne; Couronne du Roi Joueur; Cape du Cœur Saignant; Bottes du Cœur Saignant; Dofus Nébuleux; Dofus Ivoire; Dofus Vulbis; Dofus Abyssal; Dofus Ocre; Dofus Ébène; Volkorne Rubis et Pourpre</t>
        </is>
      </c>
    </row>
    <row r="3483">
      <c r="A3483" t="inlineStr">
        <is>
          <t>Crâ M 200</t>
        </is>
      </c>
      <c r="B3483">
        <f>HYPERLINK("https://www.dofusbook.net/fr/equipement/4823844-cra-m-200/objets", "link")</f>
        <v/>
      </c>
      <c r="C3483" t="n">
        <v>8</v>
      </c>
      <c r="D3483" t="inlineStr">
        <is>
          <t>Arc du Chalœil; Amulette du Cœur Saignant; Anneau Chevelu; Anneau Volkorne; Bouclier du Stalak; Ceinture Volkorne; Masque de Koutoulou; Cape au Logis; Bottes du Cœur Saignant; Dofus Nébuleux; Dofus Ébène; Dokoko; Dofus Abyssal; Dofus Ocre; Dofus Ivoire; Dragodinde Amande et Pourpre</t>
        </is>
      </c>
    </row>
    <row r="3484">
      <c r="A3484" t="inlineStr">
        <is>
          <t>Iopterre</t>
        </is>
      </c>
      <c r="B3484">
        <f>HYPERLINK("https://www.dofusbook.net/fr/equipement/4823817-iopterre/objets", "link")</f>
        <v/>
      </c>
      <c r="C3484" t="n">
        <v>5</v>
      </c>
      <c r="D3484" t="inlineStr">
        <is>
          <t>Marteau R'ture; Amulette du Cœur Saignant; Chevalière du Roi Joueur; Anneau Volkorne; Cadran d'Eau; Ceinture Volkorne; Couronne du Roi Joueur; Cape du Cœur Saignant; Bottes du Cœur Saignant; Dofus Vulbis; Dofus Abyssal; Dofus Ocre; Dofus Ébène; Dofus Turquoise; Dofus Ivoire; Volkorne Emeraude et Pourpre</t>
        </is>
      </c>
    </row>
    <row r="3485">
      <c r="A3485" t="inlineStr">
        <is>
          <t>Sadida M 200</t>
        </is>
      </c>
      <c r="B3485">
        <f>HYPERLINK("https://www.dofusbook.net/fr/equipement/4823207-sadida-m-200/objets", "link")</f>
        <v/>
      </c>
      <c r="C3485" t="n">
        <v>3</v>
      </c>
      <c r="D3485" t="inlineStr">
        <is>
          <t>Baguette Hique; Collier de la Dame du Hasard; Bague Gloursonne; Alliance Gloursonne; Quatre-feuilles; Pagne du Rykaon; Casque Dragoeuf; Cape de la Dame du Hasard; Bottes de la Dame du Hasard; Dofus Vulbis; Dofus Abyssal; Dofus Ocre; Dofus Ivoire; Dofus Turquoise; Dofus Ébène; Volkorne Doré et Emeraude</t>
        </is>
      </c>
    </row>
    <row r="3486">
      <c r="A3486" t="inlineStr">
        <is>
          <t>Ecaflip M 200</t>
        </is>
      </c>
      <c r="B3486">
        <f>HYPERLINK("https://www.dofusbook.net/fr/equipement/4821494-ecaflip-m-200/objets", "link")</f>
        <v/>
      </c>
      <c r="C3486" t="n">
        <v>5</v>
      </c>
      <c r="D3486" t="inlineStr">
        <is>
          <t>Amulette du Cœur Saignant; Anneau Volkorne; Ceinture Volkorne; Cape du Cœur Saignant; Bottes du Cœur Saignant; Dofus Pourpre; Dofus Ocre; Dofus Ébène; Dofus Abyssal; Dofus Vulbis; Dofus Ivoire</t>
        </is>
      </c>
    </row>
    <row r="3487">
      <c r="A3487" t="inlineStr">
        <is>
          <t>Crâ M 200</t>
        </is>
      </c>
      <c r="B3487">
        <f>HYPERLINK("https://www.dofusbook.net/fr/equipement/4821307-cra-m-200/objets", "link")</f>
        <v/>
      </c>
      <c r="C3487" t="n">
        <v>1</v>
      </c>
      <c r="D3487" t="inlineStr">
        <is>
          <t>Arc corrompu; Amulette de Nileza; Anneauræus; Anneauræus; Bouclier du Stalak; Ceinture de Vortex; Cagoule de Vortex; Cape de Nileza; Sabots de Vortex; Dofus Pourpre; Dofus Abyssal; Dofus Vulbis; Dofus Ivoire; Dofus Ébène; Dofus Ocre; Volkorne Ivoire et Orchidée</t>
        </is>
      </c>
    </row>
    <row r="3488">
      <c r="A3488" t="inlineStr">
        <is>
          <t>Iop M 200</t>
        </is>
      </c>
      <c r="B3488">
        <f>HYPERLINK("https://www.dofusbook.net/fr/equipement/4821371-iop-m-200/objets", "link")</f>
        <v/>
      </c>
      <c r="C3488" t="n">
        <v>5</v>
      </c>
      <c r="D3488" t="inlineStr">
        <is>
          <t>Arc du Chalœil; Amulette du Cœur Saignant; Anneau Crustique; Anneau Volkorne; Quatre-feuilles; Ceinture Volkorne; Casque Dragoeuf; Cape du Cœur Saignant; Bottes du Cœur Saignant; Dofus Vulbis; Dofus Ivoire; Dofus Ocre; Dofus Ébène; Dofus Turquoise; Dofus Abyssal; Volkorne Turquoise et Pourpre</t>
        </is>
      </c>
    </row>
    <row r="3489">
      <c r="A3489" t="inlineStr">
        <is>
          <t>Iop M 200</t>
        </is>
      </c>
      <c r="B3489">
        <f>HYPERLINK("https://www.dofusbook.net/fr/equipement/4821432-iop-m-200/objets", "link")</f>
        <v/>
      </c>
      <c r="C3489" t="n">
        <v>1</v>
      </c>
      <c r="D3489" t="inlineStr"/>
    </row>
    <row r="3490">
      <c r="A3490" t="inlineStr">
        <is>
          <t>Steamer M 200</t>
        </is>
      </c>
      <c r="B3490">
        <f>HYPERLINK("https://www.dofusbook.net/fr/equipement/4821402-steamer-m-200/objets", "link")</f>
        <v/>
      </c>
      <c r="C3490" t="n">
        <v>2</v>
      </c>
      <c r="D3490" t="inlineStr">
        <is>
          <t>Arc du Chalœil; Amulette du Cœur Saignant; Bague Trithon; Anneau Volkorne; Bouclier du Stalak; Ceinture Volkorne; Scaphandre Ojine; Cape du Cœur Saignant; Bottes Trithon; Dofus Vulbis; Dofus Abyssal; Dofus des Glaces; Dofus Ivoire; Dofus Ocre; Bousculeur majeur; Volkorne Roux et Pourpre</t>
        </is>
      </c>
    </row>
    <row r="3491">
      <c r="A3491" t="inlineStr">
        <is>
          <t>Huppermage M 200</t>
        </is>
      </c>
      <c r="B3491">
        <f>HYPERLINK("https://www.dofusbook.net/fr/equipement/4821351-huppermage-m-200/objets", "link")</f>
        <v/>
      </c>
      <c r="C3491" t="n">
        <v>2</v>
      </c>
      <c r="D3491" t="inlineStr">
        <is>
          <t>Harpelle; Amulette Séculaire; Anneauræus; Anneauræus; Cadran d'Eau; Ceinture Séculaire; Coiffe Séculaire; Voile d'encre; Bottes Innommables; Dofus Vulbis; Dofus Abyssal; Dofus Turquoise; Dofus Ivoire; Dofus Ocre; Dofus Ébène; Volkorne Prune et Emeraude</t>
        </is>
      </c>
    </row>
    <row r="3492">
      <c r="A3492" t="inlineStr">
        <is>
          <t>Pandawa M 200</t>
        </is>
      </c>
      <c r="B3492">
        <f>HYPERLINK("https://www.dofusbook.net/fr/equipement/4820961-pandawa-m-200/objets", "link")</f>
        <v/>
      </c>
      <c r="C3492" t="n">
        <v>1</v>
      </c>
      <c r="D3492" t="inlineStr">
        <is>
          <t>Pyraguette; Amulette Volkorne; Anneau Volkorne; Alliance Gloursonne; Bouclier du Stalak; Ceinture de l'Esprit Salvateur; Masque de l'Esprit Salvateur; Voilamibe; Bottes de l'Esprit Salvateur; Dofus des Glaces; Dofus Abyssal; Dofus Ivoire; Dofus Ébène; Dofus Ocre; Robuste majeur</t>
        </is>
      </c>
    </row>
    <row r="3493">
      <c r="A3493" t="inlineStr">
        <is>
          <t>Ouginak M 200</t>
        </is>
      </c>
      <c r="B3493">
        <f>HYPERLINK("https://www.dofusbook.net/fr/equipement/4821313-ouginak-m-200/objets", "link")</f>
        <v/>
      </c>
      <c r="C3493" t="n">
        <v>1</v>
      </c>
      <c r="D3493" t="inlineStr">
        <is>
          <t>Rapière aux Glyphes; Amulette de l'Œil Attentif; Anneau Volkorne; Bracelet des Fonds marins; Bouclier d'Ilyzaelle; Ceinture Volkorne; Capuche de l'Œil Attentif; Cape de l'Œil Attentif; Sandales des Fonds marins; Dofus Vulbis; Dofus Ébène; Dofus Ivoire; Dofus Ocre; Dofus Pourpre; Dofus Abyssal</t>
        </is>
      </c>
    </row>
    <row r="3494">
      <c r="A3494" t="inlineStr">
        <is>
          <t>Ecaflip M 200</t>
        </is>
      </c>
      <c r="B3494">
        <f>HYPERLINK("https://www.dofusbook.net/fr/equipement/4821216-ecaflip-m-200/objets", "link")</f>
        <v/>
      </c>
      <c r="C3494" t="n">
        <v>5</v>
      </c>
      <c r="D3494" t="inlineStr">
        <is>
          <t>Arc du Chalœil; Amulette du Cœur Saignant; Anneau Crustique; Anneau Volkorne; Quatre-feuilles; Ceinture Volkorne; Casque Dragoeuf; Cape du Cœur Saignant; Bottes du Cœur Saignant; Dofus Nébuleux; Dofus Ivoire; Dofus Ocre; Dofus Ébène; Dofus Vulbis; Dofus Abyssal; Volkorne Turquoise et Pourpre</t>
        </is>
      </c>
    </row>
    <row r="3495">
      <c r="A3495" t="inlineStr">
        <is>
          <t>Eliotrope M 200</t>
        </is>
      </c>
      <c r="B3495">
        <f>HYPERLINK("https://www.dofusbook.net/fr/equipement/4821294-eliotrope-m-200/objets", "link")</f>
        <v/>
      </c>
      <c r="C3495" t="n">
        <v>1</v>
      </c>
      <c r="D3495" t="inlineStr">
        <is>
          <t>Casque Dragoeuf</t>
        </is>
      </c>
    </row>
    <row r="3496">
      <c r="A3496" t="inlineStr">
        <is>
          <t>Steamer M 200</t>
        </is>
      </c>
      <c r="B3496">
        <f>HYPERLINK("https://www.dofusbook.net/fr/equipement/4821029-steamer-m-200/objets", "link")</f>
        <v/>
      </c>
      <c r="C3496" t="n">
        <v>1</v>
      </c>
      <c r="D3496" t="inlineStr"/>
    </row>
    <row r="3497">
      <c r="A3497" t="inlineStr">
        <is>
          <t>Crâ F 200</t>
        </is>
      </c>
      <c r="B3497">
        <f>HYPERLINK("https://www.dofusbook.net/fr/equipement/4820724-cra-f-200/objets", "link")</f>
        <v/>
      </c>
      <c r="C3497" t="n">
        <v>4</v>
      </c>
      <c r="D3497" t="inlineStr">
        <is>
          <t>La Baguette des Limbes; Amulette du Strigide; Bague Gloursonne; Alliance Gloursonne; Quatre-feuilles; Ceinture du Strigide; Masque Vaudou Tam; Cape Reski; Bottes du Strigide; Dofus Turquoise; Dofus Nébuleux; Dofus des Glaces; Dofus Pourpre; Dofus Ocre; Dofus Abyssal; Kokulte</t>
        </is>
      </c>
    </row>
    <row r="3498">
      <c r="A3498" t="inlineStr">
        <is>
          <t>Crâ M 200</t>
        </is>
      </c>
      <c r="B3498">
        <f>HYPERLINK("https://www.dofusbook.net/fr/equipement/4820849-cra-m-200/objets", "link")</f>
        <v/>
      </c>
      <c r="C3498" t="n">
        <v>5</v>
      </c>
      <c r="D3498" t="inlineStr">
        <is>
          <t>Baguette Héroclite; Amulette de Shokkoth; Alliance Gloursonne; Bracelet des Fonds marins; Quatre-feuilles; Ceinture de la Reine des Voleurs; Kidibonnet; Cape Solution; Bottes de la Reine des Voleurs; Dofus Pourpre; Dofus des Glaces; Dofus Abyssal; Dévastateur Eau majeur; Nomade; Chanceux majeur; Kanigloups</t>
        </is>
      </c>
    </row>
    <row r="3499">
      <c r="A3499" t="inlineStr">
        <is>
          <t>Crâ M 200</t>
        </is>
      </c>
      <c r="B3499">
        <f>HYPERLINK("https://www.dofusbook.net/fr/equipement/4820803-cra-m-200/objets", "link")</f>
        <v/>
      </c>
      <c r="C3499" t="n">
        <v>2</v>
      </c>
      <c r="D3499" t="inlineStr">
        <is>
          <t>Arc du Chalœil; Amulette du Strigide; Anneau Chevelu; Anneau de Brouce; Quatre-feuilles; Ceinture de Brouce; Masque de Koutoulou; Cape au Logis; Baleinabottes; Dofus Nébuleux; Dofus Pourpre; Dofus Abyssal; Dofus Turquoise; Enragé majeur; Forcené majeur; Bulbisou</t>
        </is>
      </c>
    </row>
    <row r="3500">
      <c r="A3500" t="inlineStr">
        <is>
          <t>Crâ M 200</t>
        </is>
      </c>
      <c r="B3500">
        <f>HYPERLINK("https://www.dofusbook.net/fr/equipement/4819753-cra-m-200/objets", "link")</f>
        <v/>
      </c>
      <c r="C3500" t="n">
        <v>5</v>
      </c>
      <c r="D3500" t="inlineStr">
        <is>
          <t>Arc corrompu; Amulette Volkorne; Anneauræus; Anneauræus; Bouclier du Stalak; Ceinture Volkorne; Heaume Oplate; Voile d'encre; Bottes Innommables; Dofus Ivoire; Dofus Ébène; Dofus Ocre; Dofus Vulbis; Dofus Abyssal; Érudit majeur; Boskito</t>
        </is>
      </c>
    </row>
    <row r="3501">
      <c r="A3501" t="inlineStr">
        <is>
          <t>Ouginak M 200</t>
        </is>
      </c>
      <c r="B3501">
        <f>HYPERLINK("https://www.dofusbook.net/fr/equipement/4820535-ouginak-m-200/objets", "link")</f>
        <v/>
      </c>
      <c r="C3501" t="n">
        <v>4</v>
      </c>
      <c r="D3501" t="inlineStr">
        <is>
          <t>Plumeau Bil; Torquistik; Anneauræus; Anneauræus; Bouclier Taverne; Ceinture de Vortex; Casque Dragoeuf; Cape de Diondin; Bottistik; Dofus Abyssal; Dofus Vulbis; Dofus Ivoire; Dofus Ocre; Bousculeur majeur; Culbuteur majeur; Scarakiri</t>
        </is>
      </c>
    </row>
    <row r="3502">
      <c r="A3502" t="inlineStr">
        <is>
          <t>Eliotrope M 200</t>
        </is>
      </c>
      <c r="B3502">
        <f>HYPERLINK("https://www.dofusbook.net/fr/equipement/4819689-eliotrope-m-200/objets", "link")</f>
        <v/>
      </c>
      <c r="C3502" t="n">
        <v>5</v>
      </c>
      <c r="D3502" t="inlineStr">
        <is>
          <t>Sceptre du Roi Joueur; Amulette de Shokkoth; Bracelet des Fonds marins; Alliance Gloursonne; Bouclier d'Ilyzaelle; Ceinture Glaciale; Kidibonnet; Cape du Sinistrofu; Bottes du Sinistrofu; Dofus Ébène; Dofus Abyssal; Dofus Vulbis; Dofus Ivoire; Dofus Ocre; Chanceux majeur; Kanigloups</t>
        </is>
      </c>
    </row>
    <row r="3503">
      <c r="A3503" t="inlineStr">
        <is>
          <t>Sadida M 200</t>
        </is>
      </c>
      <c r="B3503">
        <f>HYPERLINK("https://www.dofusbook.net/fr/equipement/4819723-sadida-m-200/objets", "link")</f>
        <v/>
      </c>
      <c r="C3503" t="n">
        <v>2</v>
      </c>
      <c r="D3503" t="inlineStr">
        <is>
          <t>Arc Honte; Amulette de l'Œil Putride; Alliance Gloursonne; Bague Gloursonne; Bouclier cubiste; Ceinture de l'Esprit Salvateur; Masque de l'Esprit Salvateur; Cape de l'Œil Putride; Bottes de l'Esprit Salvateur; Dofus Pourpre; Dofus Abyssal; Dofus Ocre; Dofus Ivoire; Dofus Vulbis; Dofus des Glaces; Gwo Tofu Ventripotent</t>
        </is>
      </c>
    </row>
    <row r="3504">
      <c r="A3504" t="inlineStr">
        <is>
          <t>Crâ M 200</t>
        </is>
      </c>
      <c r="B3504">
        <f>HYPERLINK("https://www.dofusbook.net/fr/equipement/4818561-cra-m-200/objets", "link")</f>
        <v/>
      </c>
      <c r="C3504" t="n">
        <v>2</v>
      </c>
      <c r="D3504" t="inlineStr">
        <is>
          <t>Arc du Chalœil; Amulette du Cœur Saignant; Anneau Chevelu; Anneau Volkorne; Bouclier du Stalak; Ceinture Volkorne; Masque de Koutoulou; Bottes du Cœur Saignant; Dofus Abyssal; Dofus Ivoire; Dofus Vulbis; Dofus Nébuleux; Dofus Ocre; Dofus Ébène</t>
        </is>
      </c>
    </row>
    <row r="3505">
      <c r="A3505" t="inlineStr">
        <is>
          <t>Crâ M 200</t>
        </is>
      </c>
      <c r="B3505">
        <f>HYPERLINK("https://www.dofusbook.net/fr/equipement/4818511-cra-m-200/objets", "link")</f>
        <v/>
      </c>
      <c r="C3505" t="n">
        <v>2</v>
      </c>
      <c r="D3505" t="inlineStr">
        <is>
          <t>Arc corrompu; Amulette Volkorne; Anneauræus; Anneauræus; Quatre-feuilles; Ceinture Volkorne; Heaume Oplate; Cape de Diondin; Bottes Innommables; Dofus Abyssal; Dofus Ébène; Dofus Turquoise; Nomade; Érudit majeur; Astucieux majeur; Bisouglours</t>
        </is>
      </c>
    </row>
    <row r="3506">
      <c r="A3506" t="inlineStr">
        <is>
          <t>Crâ M 200</t>
        </is>
      </c>
      <c r="B3506">
        <f>HYPERLINK("https://www.dofusbook.net/fr/equipement/4818474-cra-m-200/objets", "link")</f>
        <v/>
      </c>
      <c r="C3506" t="n">
        <v>3</v>
      </c>
      <c r="D3506" t="inlineStr">
        <is>
          <t>Sceptre du Roi Joueur; Amulette de Shokkoth; Anneau Volkorne; Alliance Gloursonne; Cadran de Terre; Ceinture Glaciale; Masque de Funespadon; Cape Solution; Chaussons de Macrab; Dofus Ocre; Dofus Abyssal; Dofus Ébène; Dofus Ivoire; Nomade; Chanceux majeur; Kanigloups</t>
        </is>
      </c>
    </row>
    <row r="3507">
      <c r="A3507" t="inlineStr">
        <is>
          <t>Roublard F 200</t>
        </is>
      </c>
      <c r="B3507">
        <f>HYPERLINK("https://www.dofusbook.net/fr/equipement/4813761-roublard-f-200/objets", "link")</f>
        <v/>
      </c>
      <c r="C3507" t="n">
        <v>1</v>
      </c>
      <c r="D3507" t="inlineStr">
        <is>
          <t>Arc du Chalœil; Collier de Tourthon; Anneau Crustique; Bracelet du Piloztère; Bouclier d'Ilyzaelle; Ceinture de la Reine des Voleurs; Coiffe de la Reine des Voleurs; Cape au Logis; Baleinabottes; Dofus des Glaces; Dofus Pourpre; Dofus Abyssal; Enragé majeur; Dévastateur Terre majeur; Remueur; Bulbisou</t>
        </is>
      </c>
    </row>
    <row r="3508">
      <c r="A3508" t="inlineStr">
        <is>
          <t>Sacrieurpvm</t>
        </is>
      </c>
      <c r="B3508">
        <f>HYPERLINK("https://www.dofusbook.net/fr/equipement/4813675-sacrieurpvm/objets", "link")</f>
        <v/>
      </c>
      <c r="C3508" t="n">
        <v>1</v>
      </c>
      <c r="D3508" t="inlineStr">
        <is>
          <t>Baguette Hique; Amulette de Shokkoth; Anneau Volkorne; Alliance Gloursonne; Quatre-feuilles; Pagne du Rykaon; Kidibonnet; Cape de la Dame du Hasard; Bottes de la Dame du Hasard; Dofus Vulbis; Dofus Abyssal; Dofus Ébène; Dofus Turquoise; Dofus Ocre; Chanceux majeur; Kokulte</t>
        </is>
      </c>
    </row>
    <row r="3509">
      <c r="A3509" t="inlineStr">
        <is>
          <t>Sacriairpvp</t>
        </is>
      </c>
      <c r="B3509">
        <f>HYPERLINK("https://www.dofusbook.net/fr/equipement/4813437-sacriairpvp/objets", "link")</f>
        <v/>
      </c>
      <c r="C3509" t="n">
        <v>5</v>
      </c>
      <c r="D3509" t="inlineStr">
        <is>
          <t>Manthache; Amulette Martegel; Alliance Gloursonne; Gant du Valet Veinard; Bouclier d'Ilyzaelle; Ceinture du Barbétoal; Dorabysses; Cape Martegel; Baleinabottes; Dofus Ocre; Dofus Abyssal; Dofus Vulbis; Dofus Ivoire; Dofus Ébène; Cascadeur majeur; Eliôme</t>
        </is>
      </c>
    </row>
    <row r="3510">
      <c r="A3510" t="inlineStr">
        <is>
          <t>Steamer M 200</t>
        </is>
      </c>
      <c r="B3510">
        <f>HYPERLINK("https://www.dofusbook.net/fr/equipement/4810305-steamer-m-200/objets", "link")</f>
        <v/>
      </c>
      <c r="C3510" t="n">
        <v>1</v>
      </c>
      <c r="D3510" t="inlineStr"/>
    </row>
    <row r="3511">
      <c r="A3511" t="inlineStr">
        <is>
          <t>Steamer M 200</t>
        </is>
      </c>
      <c r="B3511">
        <f>HYPERLINK("https://www.dofusbook.net/fr/equipement/4810096-steamer-m-200/objets", "link")</f>
        <v/>
      </c>
      <c r="C3511" t="n">
        <v>1</v>
      </c>
      <c r="D3511" t="inlineStr">
        <is>
          <t>Pyraguette; Amulette Volkorne; Anneau Volkorne; Alliance Gloursonne; Bouclier du Stalak; Ceinture de l'Esprit Salvateur; Masque de l'Esprit Salvateur; Voile d'encre; Bottes de l'Esprit Salvateur; Dofus Ocre; Dofus Ivoire; Dofus Pourpre; Dofus Abyssal; Dofus Vulbis; Dofus des Glaces; Walk</t>
        </is>
      </c>
    </row>
    <row r="3512">
      <c r="A3512" t="inlineStr">
        <is>
          <t>Ouginak M 200</t>
        </is>
      </c>
      <c r="B3512">
        <f>HYPERLINK("https://www.dofusbook.net/fr/equipement/4809970-ouginak-m-200/objets", "link")</f>
        <v/>
      </c>
      <c r="C3512" t="n">
        <v>1</v>
      </c>
      <c r="D3512" t="inlineStr">
        <is>
          <t>Collier de la Dame du Hasard; Alliance Gloursonne; Anneau Volkorne; Dofus Abyssal; Dofus Pourpre; Dofus Ébène; Dofus Ocre; Dofus Ivoire; Dofus Vulbis; Kanigloups</t>
        </is>
      </c>
    </row>
    <row r="3513">
      <c r="A3513" t="inlineStr">
        <is>
          <t>Enutrof F 200</t>
        </is>
      </c>
      <c r="B3513">
        <f>HYPERLINK("https://www.dofusbook.net/fr/equipement/4806531-enutrof-f-200/objets", "link")</f>
        <v/>
      </c>
      <c r="C3513" t="n">
        <v>2</v>
      </c>
      <c r="D3513" t="inlineStr">
        <is>
          <t>Amulette du Cœur Saignant; Bague Gloursonne; Anneau Volkorne; Bouclier d'Ilyzaelle; Ceinture Volkorne; Casque Dragoeuf; Cape du Cœur Saignant; Sabots Minables; Dofus Vulbis; Dofus Ivoire; Dofus Pourpre; Dofus Ocre; Dofus Abyssal; Enragé majeur; Givrefoux</t>
        </is>
      </c>
    </row>
    <row r="3514">
      <c r="A3514" t="inlineStr">
        <is>
          <t>Iop Z</t>
        </is>
      </c>
      <c r="B3514">
        <f>HYPERLINK("https://www.dofusbook.net/fr/equipement/4807654-iop-z/objets", "link")</f>
        <v/>
      </c>
      <c r="C3514" t="n">
        <v>3</v>
      </c>
      <c r="D3514" t="inlineStr">
        <is>
          <t>Lav'Hache; Torquistik; Anneau Chevelu; Bague Trithon; Bouclier d'Ilyzaelle; Ceinture Gence; Casque Dragoeuf; Cape au Logis; Bottistik; Dofus Ivoire; Dofus Ocre; Dofus Abyssal; Culbuteur majeur; Enragé majeur; Bousculeur majeur; Black Tiwabbit</t>
        </is>
      </c>
    </row>
    <row r="3515">
      <c r="A3515" t="inlineStr">
        <is>
          <t>Iop M 200</t>
        </is>
      </c>
      <c r="B3515">
        <f>HYPERLINK("https://www.dofusbook.net/fr/equipement/4807586-iop-m-200/objets", "link")</f>
        <v/>
      </c>
      <c r="C3515" t="n">
        <v>5</v>
      </c>
      <c r="D3515" t="inlineStr">
        <is>
          <t>Lav'Hache; Amulette du Strigide; Anneau Chevelu; Bague Trithon; Bouclier Taverne; Ceinture Gence; Casque Dragoeuf; Cape au Logis; Bottes Trithon; Dofus Abyssal; Dofus Ivoire; Dofus Ocre; Culbuteur majeur; Bousculeur majeur; Enragé majeur; Black Tiwabbit</t>
        </is>
      </c>
    </row>
    <row r="3516">
      <c r="A3516" t="inlineStr">
        <is>
          <t>Crâ M 200</t>
        </is>
      </c>
      <c r="B3516">
        <f>HYPERLINK("https://www.dofusbook.net/fr/equipement/4806380-cra-m-200/objets", "link")</f>
        <v/>
      </c>
      <c r="C3516" t="n">
        <v>4</v>
      </c>
      <c r="D3516" t="inlineStr">
        <is>
          <t>Plumeau Bil; Baguistik; Anneauræus; Bouclier Taverne; Ceinture de Vortex; Casque Dragoeuf; Bravoure de Rykke Errel; Pataugastrique; Dofus Vulbis; Dofus Ivoire; Dofus Ocre; Dofus Abyssal; Bousculeur majeur; Culbuteur majeur; Scarakiri</t>
        </is>
      </c>
    </row>
    <row r="3517">
      <c r="A3517" t="inlineStr">
        <is>
          <t>Osamodas M 200</t>
        </is>
      </c>
      <c r="B3517">
        <f>HYPERLINK("https://www.dofusbook.net/fr/equipement/4806151-osamodas-m-200/objets", "link")</f>
        <v/>
      </c>
      <c r="C3517" t="n">
        <v>2</v>
      </c>
      <c r="D3517" t="inlineStr">
        <is>
          <t>Dofus Ocre; Dofus Abyssal; Dofus Vulbis; Dofus Ivoire; Enragé majeur</t>
        </is>
      </c>
    </row>
    <row r="3518">
      <c r="A3518" t="inlineStr">
        <is>
          <t>Steamer M 200</t>
        </is>
      </c>
      <c r="B3518">
        <f>HYPERLINK("https://www.dofusbook.net/fr/equipement/4803215-steamer-m-200/objets", "link")</f>
        <v/>
      </c>
      <c r="C3518" t="n">
        <v>1</v>
      </c>
      <c r="D3518" t="inlineStr">
        <is>
          <t>Plume de Buhorado; Amulette du Cœur Vaillant; Alliance Gloursonne; Bague Trithon; Bouclier Taverne; Menoture; Casque Dragoeuf; Cape des Malveilleurs; Bottes Trithon; Dofus Ivoire; Dofus Ocre; Dofus Abyssal; Cascadeur majeur; Bousculeur majeur; Culbuteur majeur; Tofoudre</t>
        </is>
      </c>
    </row>
    <row r="3519">
      <c r="A3519" t="inlineStr">
        <is>
          <t>Sadida M 200</t>
        </is>
      </c>
      <c r="B3519">
        <f>HYPERLINK("https://www.dofusbook.net/fr/equipement/4751711-sadida-m-200/objets", "link")</f>
        <v/>
      </c>
      <c r="C3519" t="n">
        <v>4</v>
      </c>
      <c r="D3519" t="inlineStr">
        <is>
          <t>Plume de Buhorado; Amulette du Cœur Vaillant; Bague Trithon; Alliance Gloursonne; Bouclier Taverne; Menoture; Casque Dragoeuf; Cape des Malveilleurs; Bottes des Malveilleurs; Dofus Ocre; Dofus Ivoire; Dofus Abyssal; Cascadeur majeur; Bousculeur majeur; Culbuteur majeur; Tofoudre</t>
        </is>
      </c>
    </row>
    <row r="3520">
      <c r="A3520" t="inlineStr">
        <is>
          <t>Steamer M 200</t>
        </is>
      </c>
      <c r="B3520">
        <f>HYPERLINK("https://www.dofusbook.net/fr/equipement/4794146-steamer-m-200/objets", "link")</f>
        <v/>
      </c>
      <c r="C3520" t="n">
        <v>1</v>
      </c>
      <c r="D3520" t="inlineStr">
        <is>
          <t>Rouleau à Pâtisserie d'Aermyne; Kralamansion; Anneau de Pol Ouatnos; Anneau Raille; Bouclier du serrurier; Sangle Huée; Chapeau Lithique; Cape Wéra; Getas Bernacle; Dofus Émeraude; Dofus Abyssal; Dolmanax; Dofus Ivoire; Dofus des Veilleurs; Examinateur; Kougnard</t>
        </is>
      </c>
    </row>
    <row r="3521">
      <c r="A3521" t="inlineStr">
        <is>
          <t>Zobal M 200</t>
        </is>
      </c>
      <c r="B3521">
        <f>HYPERLINK("https://www.dofusbook.net/fr/equipement/4793700-zobal-m-200/objets", "link")</f>
        <v/>
      </c>
      <c r="C3521" t="n">
        <v>3</v>
      </c>
      <c r="D3521" t="inlineStr">
        <is>
          <t>Arc Nécrotique; Amulette Volkorne; Anneau Volkorne; Bague Trithon; Quatre-feuilles; Ceinture Volkorne; Kidibonnet; Cape de la Dame du Hasard; Bottes de la Dame du Hasard; Dofus Turquoise; Dofus Ivoire; Dofus Pourpre; Dofus des Glaces; Dofus Ocre; Dofus Abyssal; Kokulte</t>
        </is>
      </c>
    </row>
    <row r="3522">
      <c r="A3522" t="inlineStr">
        <is>
          <t>Sadida M 200</t>
        </is>
      </c>
      <c r="B3522">
        <f>HYPERLINK("https://www.dofusbook.net/fr/equipement/4793014-sadida-m-200/objets", "link")</f>
        <v/>
      </c>
      <c r="C3522" t="n">
        <v>2</v>
      </c>
      <c r="D3522" t="inlineStr">
        <is>
          <t>Arc Nécrotique; Amulette Volkorne; Bague Trithon; Anneau Volkorne; Quatre-feuilles; Ceintacé; Masque Trithon; Cape de la Dame du Hasard; Bottes de la Dame du Hasard; Dofus Pourpre; Dofus Abyssal; Dofus Turquoise; Dofus Ivoire; Dofus Vulbis; Dofus Ocre; Kokulte</t>
        </is>
      </c>
    </row>
    <row r="3523">
      <c r="A3523" t="inlineStr">
        <is>
          <t>Ecaflip M 200</t>
        </is>
      </c>
      <c r="B3523">
        <f>HYPERLINK("https://www.dofusbook.net/fr/equipement/4791692-ecaflip-m-200/objets", "link")</f>
        <v/>
      </c>
      <c r="C3523" t="n">
        <v>1</v>
      </c>
      <c r="D3523" t="inlineStr">
        <is>
          <t>Arc corrompu; Amulette Volkorne; Anneauræus; Anneauræus; Bouclier du Stalak; Ceinture Volkorne; Casque Dragoeuf; Bravoure de Rykke Errel; Pataugastrique; Dofus Vulbis; Dofus Abyssal; Dofus Ocre; Dofus Ivoire; Érudit majeur; Carapace Feu majeur; Dragodinde Orchidée</t>
        </is>
      </c>
    </row>
    <row r="3524">
      <c r="A3524" t="inlineStr">
        <is>
          <t>Steamer M 200</t>
        </is>
      </c>
      <c r="B3524">
        <f>HYPERLINK("https://www.dofusbook.net/fr/equipement/4792335-steamer-m-200/objets", "link")</f>
        <v/>
      </c>
      <c r="C3524" t="n">
        <v>1</v>
      </c>
      <c r="D3524" t="inlineStr">
        <is>
          <t>Arc corrompu; Amulette Volkorne; Anneauræus; Anneauræus; Bouclier du Stalak; Ceinture Volkorne; Casque Dragoeuf; Cape de Diondin; Bottes Dogues; Dofus Ocre; Dofus Ébène; Dofus Abyssal; Dofus Pourpre; Dofus Ivoire; Érudit majeur; Dragodinde Amande et Orchidée</t>
        </is>
      </c>
    </row>
    <row r="3525">
      <c r="A3525" t="inlineStr">
        <is>
          <t>Ecadopou</t>
        </is>
      </c>
      <c r="B3525">
        <f>HYPERLINK("https://www.dofusbook.net/fr/equipement/4791727-ecadopou/objets", "link")</f>
        <v/>
      </c>
      <c r="C3525" t="n">
        <v>1</v>
      </c>
      <c r="D3525" t="inlineStr">
        <is>
          <t>Sceptre du Roi Joueur; Amulette de l'Œil Attentif; Anneau Volkorne; Alliance Gloursonne; Bouclier du Stalak; Pagne du Rykaon; Casque Dragoeuf; Cape de l'Œil Attentif; Pataugastrique; Dofus Pourpre; Dofus Ivoire; Dofus Vulbis; Dofus Abyssal; Dofus Ocre; Chanceux majeur; Petit Chacha Blanc</t>
        </is>
      </c>
    </row>
    <row r="3526">
      <c r="A3526" t="inlineStr">
        <is>
          <t>Steamer F 200</t>
        </is>
      </c>
      <c r="B3526">
        <f>HYPERLINK("https://www.dofusbook.net/fr/equipement/4785829-steamer-f-200/objets", "link")</f>
        <v/>
      </c>
      <c r="C3526" t="n">
        <v>1</v>
      </c>
      <c r="D3526" t="inlineStr">
        <is>
          <t>Baguette de Malléfisk; Pendentif mignon de Koutoulou; Anneauræus; Anneau Rifique; Droiture de Fallanster; Ceinture de Gein; Casque Dragoeuf; Bravoure de Rykke Errel; Pataugastrique; Dofus Abyssal; Dofus Ocre; Dofus Ivoire; Nomade; Érudit majeur; Guérisseur majeur; Atouin</t>
        </is>
      </c>
    </row>
    <row r="3527">
      <c r="A3527" t="inlineStr">
        <is>
          <t>Steamer M 200</t>
        </is>
      </c>
      <c r="B3527">
        <f>HYPERLINK("https://www.dofusbook.net/fr/equipement/4785802-steamer-m-200/objets", "link")</f>
        <v/>
      </c>
      <c r="C3527" t="n">
        <v>2</v>
      </c>
      <c r="D3527" t="inlineStr">
        <is>
          <t>Dofus Ocre; Dofus Abyssal</t>
        </is>
      </c>
    </row>
    <row r="3528">
      <c r="A3528" t="inlineStr">
        <is>
          <t>Steamer F 200</t>
        </is>
      </c>
      <c r="B3528">
        <f>HYPERLINK("https://www.dofusbook.net/fr/equipement/4785825-steamer-f-200/objets", "link")</f>
        <v/>
      </c>
      <c r="C3528" t="n">
        <v>2</v>
      </c>
      <c r="D3528" t="inlineStr">
        <is>
          <t>Amulette Volkorne; Anneau de Padgref; Anneau Volkorne; Ceinture Volkorne; Coiffe de Padgref; Getas de Padgref</t>
        </is>
      </c>
    </row>
    <row r="3529">
      <c r="A3529" t="inlineStr">
        <is>
          <t>Steamer M 200</t>
        </is>
      </c>
      <c r="B3529">
        <f>HYPERLINK("https://www.dofusbook.net/fr/equipement/4785793-steamer-m-200/objets", "link")</f>
        <v/>
      </c>
      <c r="C3529" t="n">
        <v>1</v>
      </c>
      <c r="D3529" t="inlineStr">
        <is>
          <t>Amulette Volkorne; Alliance de Missiz Frizz; Anneau Volkorne; Quatre-feuilles; Ceinture du Strigide</t>
        </is>
      </c>
    </row>
    <row r="3530">
      <c r="A3530" t="inlineStr">
        <is>
          <t>Steamer M 200</t>
        </is>
      </c>
      <c r="B3530">
        <f>HYPERLINK("https://www.dofusbook.net/fr/equipement/4785792-steamer-m-200/objets", "link")</f>
        <v/>
      </c>
      <c r="C3530" t="n">
        <v>1</v>
      </c>
      <c r="D3530" t="inlineStr"/>
    </row>
    <row r="3531">
      <c r="A3531" t="inlineStr">
        <is>
          <t>Sacrieur M 200</t>
        </is>
      </c>
      <c r="B3531">
        <f>HYPERLINK("https://www.dofusbook.net/fr/equipement/4781714-sacrieur-m-200/objets", "link")</f>
        <v/>
      </c>
      <c r="C3531" t="n">
        <v>1</v>
      </c>
      <c r="D3531" t="inlineStr"/>
    </row>
    <row r="3532">
      <c r="A3532" t="inlineStr">
        <is>
          <t>Osamodas M 200</t>
        </is>
      </c>
      <c r="B3532">
        <f>HYPERLINK("https://www.dofusbook.net/fr/equipement/4780883-osamodas-m-200/objets", "link")</f>
        <v/>
      </c>
      <c r="C3532" t="n">
        <v>4</v>
      </c>
      <c r="D3532" t="inlineStr">
        <is>
          <t>Poulpagne; Bottes de la Dame du Hasard; Dofus Turquoise; Dofus Ivoire; Dofus Pourpre; Dofus Vulbis; Dofus Abyssal; Chanceux majeur; Kokulte</t>
        </is>
      </c>
    </row>
    <row r="3533">
      <c r="A3533" t="inlineStr">
        <is>
          <t>Steamer M 200</t>
        </is>
      </c>
      <c r="B3533">
        <f>HYPERLINK("https://www.dofusbook.net/fr/equipement/4772613-steamer-m-200/objets", "link")</f>
        <v/>
      </c>
      <c r="C3533" t="n">
        <v>1</v>
      </c>
      <c r="D3533" t="inlineStr">
        <is>
          <t>Arc corrompu; Amulette Volkorne; Anneauræus; Anneauræus; Cadran de Terre; Ceinture Volkorne; Heaume Oplate; Voile d'encre; Bottes Innommables</t>
        </is>
      </c>
    </row>
    <row r="3534">
      <c r="A3534" t="inlineStr">
        <is>
          <t>Steamer M 200</t>
        </is>
      </c>
      <c r="B3534">
        <f>HYPERLINK("https://www.dofusbook.net/fr/equipement/4759893-steamer-m-200/objets", "link")</f>
        <v/>
      </c>
      <c r="C3534" t="n">
        <v>1</v>
      </c>
      <c r="D3534" t="inlineStr">
        <is>
          <t>Harpelle; Amulette Séculaire; Anneauræus; Anneauræus; Bouclier du Captain Amakna; Ceinture Séculaire; Heaume Oplate; Cape de Diondin; Bottes Innommables; Dofus Abyssal; Dofus Pourpre; Dofus Turquoise; Nomade; Érudit majeur; Astucieux majeur; Bisouglours</t>
        </is>
      </c>
    </row>
    <row r="3535">
      <c r="A3535" t="inlineStr">
        <is>
          <t>Steamer M 200</t>
        </is>
      </c>
      <c r="B3535">
        <f>HYPERLINK("https://www.dofusbook.net/fr/equipement/4764260-steamer-m-200/objets", "link")</f>
        <v/>
      </c>
      <c r="C3535" t="n">
        <v>1</v>
      </c>
      <c r="D3535" t="inlineStr">
        <is>
          <t>Arc corrompu; Amulette Séculaire; Anneauræus; Anneauræus; Quatre-feuilles; Ceinture Séculaire; Heaume Oplate; Cape de Diondin; Bottes Innommables; Dofus Pourpre; Dofus Abyssal; Dofus Turquoise; Nomade; Érudit majeur; Astucieux majeur; Bisouglours</t>
        </is>
      </c>
    </row>
    <row r="3536">
      <c r="A3536" t="inlineStr">
        <is>
          <t>Steamer M 200</t>
        </is>
      </c>
      <c r="B3536">
        <f>HYPERLINK("https://www.dofusbook.net/fr/equipement/4759475-steamer-m-200/objets", "link")</f>
        <v/>
      </c>
      <c r="C3536" t="n">
        <v>1</v>
      </c>
      <c r="D3536" t="inlineStr">
        <is>
          <t>Arc du Chalœil; Collier de Tourthon; Bague Trithon; Anneau Chevelu; Bouclier du Stalak; Ceinture Gence; Scaphandre Ojine; Cape au Logis; Bottes Trithon; Dofus Ivoire; Dofus Ocre; Dofus des Glaces; Bousculeur majeur; Enragé majeur; Culbuteur majeur; Black Tiwabbit</t>
        </is>
      </c>
    </row>
    <row r="3537">
      <c r="A3537" t="inlineStr">
        <is>
          <t>Iop M 200</t>
        </is>
      </c>
      <c r="B3537">
        <f>HYPERLINK("https://www.dofusbook.net/fr/equipement/4764156-iop-m-200/objets", "link")</f>
        <v/>
      </c>
      <c r="C3537" t="n">
        <v>3</v>
      </c>
      <c r="D3537" t="inlineStr">
        <is>
          <t>Manthache; Collier du Valet Veinard; Alliance Gloursonne; Gant du Valet Veinard; Bouclier du Captain Amakna; Menoture; Couronne d'Allister; Cape Indescriptible; Baleinabottes; Dofus Abyssal; Dofus Pourpre; Equilibriste majeur; Cascadeur majeur; Vigoureux majeur; Nomade; Siroko</t>
        </is>
      </c>
    </row>
    <row r="3538">
      <c r="A3538" t="inlineStr">
        <is>
          <t>Iop M 200</t>
        </is>
      </c>
      <c r="B3538">
        <f>HYPERLINK("https://www.dofusbook.net/fr/equipement/4764150-iop-m-200/objets", "link")</f>
        <v/>
      </c>
      <c r="C3538" t="n">
        <v>1</v>
      </c>
      <c r="D3538" t="inlineStr">
        <is>
          <t>Bouclier du Captain Amakna</t>
        </is>
      </c>
    </row>
    <row r="3539">
      <c r="A3539" t="inlineStr">
        <is>
          <t>Steamer M 200</t>
        </is>
      </c>
      <c r="B3539">
        <f>HYPERLINK("https://www.dofusbook.net/fr/equipement/4759410-steamer-m-200/objets", "link")</f>
        <v/>
      </c>
      <c r="C3539" t="n">
        <v>2</v>
      </c>
      <c r="D3539" t="inlineStr">
        <is>
          <t>Pyraguette; Amulette Volkorne; Alliance Gloursonne; Anneau Volkorne; Bouclier du Stalak; Ceinture de l'Esprit Salvateur; Masque de l'Esprit Salvateur; Voilamibe; Bottes de l'Esprit Salvateur; Dofus Pourpre; Dofus Abyssal; Dofus Ocre; Dofus Ivoire; Dofus des Glaces; Robuste majeur; Kramkram</t>
        </is>
      </c>
    </row>
    <row r="3540">
      <c r="A3540" t="inlineStr">
        <is>
          <t>Roublard M 200</t>
        </is>
      </c>
      <c r="B3540">
        <f>HYPERLINK("https://www.dofusbook.net/fr/equipement/4759175-roublard-m-200/objets", "link")</f>
        <v/>
      </c>
      <c r="C3540" t="n">
        <v>1</v>
      </c>
      <c r="D3540" t="inlineStr">
        <is>
          <t>Arc du Chalœil; Collier de Tourthon; Anneau de Brouce; Anneau Chevelu; Bouclier du Stalak; Ceinture de la Reine des Voleurs; Coiffe de la Reine des Voleurs; Cape au Logis; Baleinabottes; Dofus Abyssal; Dofus Ocre; Dofus Ivoire; Dofus des Glaces; Dofus Pourpre</t>
        </is>
      </c>
    </row>
    <row r="3541">
      <c r="A3541" t="inlineStr">
        <is>
          <t>Sadida M 200</t>
        </is>
      </c>
      <c r="B3541">
        <f>HYPERLINK("https://www.dofusbook.net/fr/equipement/4751689-sadida-m-200/objets", "link")</f>
        <v/>
      </c>
      <c r="C3541" t="n">
        <v>3</v>
      </c>
      <c r="D3541" t="inlineStr">
        <is>
          <t>Arc Honte; Amulette Volkorne; Alliance Gloursonne; Anneau Volkorne; Cadran d'Air; Ceinture de l'Esprit Salvateur; Masque de l'Esprit Salvateur; Voilamibe; Bottes de l'Esprit Salvateur; Dofus Pourpre; Dofus Abyssal; Dofus Ocre; Dofus Ivoire; Dofus des Glaces; Robuste majeur; Kramkram</t>
        </is>
      </c>
    </row>
    <row r="3542">
      <c r="A3542" t="inlineStr">
        <is>
          <t>Sadida M 200</t>
        </is>
      </c>
      <c r="B3542">
        <f>HYPERLINK("https://www.dofusbook.net/fr/equipement/4751820-sadida-m-200/objets", "link")</f>
        <v/>
      </c>
      <c r="C3542" t="n">
        <v>3</v>
      </c>
      <c r="D3542" t="inlineStr">
        <is>
          <t>Arc Honte; Amulette de l'Œil Putride; Alliance Gloursonne; Bague Gloursonne; Bouclier cubiste; Ceinture de l'Esprit Salvateur; Masque de l'Esprit Salvateur; Cape de l'Œil Putride; Bottes de l'Esprit Salvateur; Dofus Ocre; Dofus Ivoire; Dofus des Glaces; Dofus Pourpre; Dofus Abyssal; Chachyène</t>
        </is>
      </c>
    </row>
    <row r="3543">
      <c r="A3543" t="inlineStr">
        <is>
          <t>Roublard M 200</t>
        </is>
      </c>
      <c r="B3543">
        <f>HYPERLINK("https://www.dofusbook.net/fr/equipement/4754138-roublard-m-200/objets", "link")</f>
        <v/>
      </c>
      <c r="C3543" t="n">
        <v>2</v>
      </c>
      <c r="D3543" t="inlineStr">
        <is>
          <t>Manthache; Collier du Valet Veinard; Gant du Valet Veinard; Alliance Gloursonne; Bouclier du Stalak; Menoture; Couronne d'Allister; Cape Martegel; Palmes Trithons; Dofus Ocre; Dofus Abyssal; Dofus des Glaces; Dofus Ébène; Nomade; Cascadeur majeur; Siroko</t>
        </is>
      </c>
    </row>
    <row r="3544">
      <c r="A3544" t="inlineStr">
        <is>
          <t>Crâ M 200</t>
        </is>
      </c>
      <c r="B3544">
        <f>HYPERLINK("https://www.dofusbook.net/fr/equipement/4754115-cra-m-200/objets", "link")</f>
        <v/>
      </c>
      <c r="C3544" t="n">
        <v>3</v>
      </c>
      <c r="D3544" t="inlineStr">
        <is>
          <t>Arc du Chalœil; Collier de Tourthon; Bracelet du Piloztère; Anneau de Brouce; Quatre-feuilles; Ceinture de Brouce; Masque de Koutoulou; Cape au Logis; Baleinabottes; Dofus Pourpre; Dofus Abyssal; Dofus Turquoise; Nomade; Forcené majeur; Enragé majeur; Siroko</t>
        </is>
      </c>
    </row>
    <row r="3545">
      <c r="A3545" t="inlineStr">
        <is>
          <t>Féca M 200</t>
        </is>
      </c>
      <c r="B3545">
        <f>HYPERLINK("https://www.dofusbook.net/fr/equipement/4750701-feca-m-200/objets", "link")</f>
        <v/>
      </c>
      <c r="C3545" t="n">
        <v>1</v>
      </c>
      <c r="D3545" t="inlineStr">
        <is>
          <t>Dofus des Glaces; Dofus Ivoire; Dofus Ocre; Dofus Abyssal</t>
        </is>
      </c>
    </row>
    <row r="3546">
      <c r="A3546" t="inlineStr">
        <is>
          <t>Pandawa M 200</t>
        </is>
      </c>
      <c r="B3546">
        <f>HYPERLINK("https://www.dofusbook.net/fr/equipement/4754098-pandawa-m-200/objets", "link")</f>
        <v/>
      </c>
      <c r="C3546" t="n">
        <v>1</v>
      </c>
      <c r="D3546" t="inlineStr">
        <is>
          <t>Arc corrompu; Amulette de Nileza; Anneau Tique; Anneauræus; Quatre-feuilles; Ceinture Séculaire; Heaume Oplate; Cape de Nileza; Bottes Dogues; Dofus Pourpre; Dofus Turquoise; Dofus Abyssal; Érudit majeur; Nomade; Remueur; Brûlih</t>
        </is>
      </c>
    </row>
    <row r="3547">
      <c r="A3547" t="inlineStr">
        <is>
          <t>Pandawa M 200</t>
        </is>
      </c>
      <c r="B3547">
        <f>HYPERLINK("https://www.dofusbook.net/fr/equipement/4754051-pandawa-m-200/objets", "link")</f>
        <v/>
      </c>
      <c r="C3547" t="n">
        <v>1</v>
      </c>
      <c r="D3547" t="inlineStr">
        <is>
          <t>Rouleau à Pâtisserie d'Aermyne; Collier Rophante; Bague Trithon; Alliance Gloursonne; Bouclier précieux; Ceinture de Dame Jhessica; Masque d'Anerice; Cape d'Anerice; Pataugastrique; Dofus Ivoire; Dofus Émeraude; Dofus Abyssal; Remueur; Carapace Terre majeur; Nomade; Givrefoux</t>
        </is>
      </c>
    </row>
    <row r="3548">
      <c r="A3548" t="inlineStr">
        <is>
          <t>Crâ M 200</t>
        </is>
      </c>
      <c r="B3548">
        <f>HYPERLINK("https://www.dofusbook.net/fr/equipement/4751198-cra-m-200/objets", "link")</f>
        <v/>
      </c>
      <c r="C3548" t="n">
        <v>5</v>
      </c>
      <c r="D3548" t="inlineStr">
        <is>
          <t>Sceptre du Roi Joueur; Amulette de Shokkoth; Anneau Volkorne; Alliance Gloursonne; Cadran de Terre; Culotte de Bethel; Masque des Fonds marins; Cape Solution; Chaussons de Macrab; Dofus Abyssal; Dofus Ocre; Dofus Ivoire; Étourdisseur majeur; Chanceux majeur; Nomade; Kanigloups</t>
        </is>
      </c>
    </row>
    <row r="3549">
      <c r="A3549" t="inlineStr">
        <is>
          <t>Crâ M 200</t>
        </is>
      </c>
      <c r="B3549">
        <f>HYPERLINK("https://www.dofusbook.net/fr/equipement/4751191-cra-m-200/objets", "link")</f>
        <v/>
      </c>
      <c r="C3549" t="n">
        <v>1</v>
      </c>
      <c r="D3549" t="inlineStr">
        <is>
          <t>Arc du Chalœil</t>
        </is>
      </c>
    </row>
    <row r="3550">
      <c r="A3550" t="inlineStr">
        <is>
          <t>Crâ M 200</t>
        </is>
      </c>
      <c r="B3550">
        <f>HYPERLINK("https://www.dofusbook.net/fr/equipement/4750995-cra-m-200/objets", "link")</f>
        <v/>
      </c>
      <c r="C3550" t="n">
        <v>5</v>
      </c>
      <c r="D3550" t="inlineStr">
        <is>
          <t>Arc corrompu; Amulette de Nileza; Anneauræus; Anneauræus; Bouclier du Stalak; Ceinture de Vortex; Heaume Oplate; Cape de Nileza; Bottes Innommables; Dofus Abyssal; Dofus Ivoire; Dofus Ocre; Érudit majeur; Nomade; Étourdisseur majeur; Koalak Sanguin</t>
        </is>
      </c>
    </row>
    <row r="3551">
      <c r="A3551" t="inlineStr">
        <is>
          <t>Crâ M 200</t>
        </is>
      </c>
      <c r="B3551">
        <f>HYPERLINK("https://www.dofusbook.net/fr/equipement/4750882-cra-m-200/objets", "link")</f>
        <v/>
      </c>
      <c r="C3551" t="n">
        <v>3</v>
      </c>
      <c r="D3551" t="inlineStr">
        <is>
          <t>Arc corrompu; Amulette de Nileza; Anneauræus; Anneauræus; Bouclier du Stalak; Ceinture de Vortex; Masque Ardent; Cape Ardente; Pataugastrique; Dofus Ivoire; Dofus Ocre; Dofus Abyssal; Nomade; Érudit majeur; Étourdisseur majeur; Koalak Sanguin</t>
        </is>
      </c>
    </row>
    <row r="3552">
      <c r="A3552" t="inlineStr">
        <is>
          <t>Enutrof F 200</t>
        </is>
      </c>
      <c r="B3552">
        <f>HYPERLINK("https://www.dofusbook.net/fr/equipement/4746431-enutrof-f-200/objets", "link")</f>
        <v/>
      </c>
      <c r="C3552" t="n">
        <v>2</v>
      </c>
      <c r="D3552" t="inlineStr">
        <is>
          <t>Bêche Asse; Collier Rophante; Anneau Crustique; Anneau Chevelu; Bouclier d'Ilyzaelle; Ceinture Volkorne; Masque d'Anerice; Cape d'Anerice; Baleinabottes; Dofus Abyssal; Dofus Émeraude; Dofus Ivoire; Dofus Pourpre; Dofus Ocre; Enragé majeur; Givrefoux</t>
        </is>
      </c>
    </row>
    <row r="3553">
      <c r="A3553" t="inlineStr">
        <is>
          <t>Iop M 200</t>
        </is>
      </c>
      <c r="B3553">
        <f>HYPERLINK("https://www.dofusbook.net/fr/equipement/4746429-iop-m-200/objets", "link")</f>
        <v/>
      </c>
      <c r="C3553" t="n">
        <v>1</v>
      </c>
      <c r="D3553" t="inlineStr"/>
    </row>
    <row r="3554">
      <c r="A3554" t="inlineStr">
        <is>
          <t>Ouginak M 200</t>
        </is>
      </c>
      <c r="B3554">
        <f>HYPERLINK("https://www.dofusbook.net/fr/equipement/4746430-ouginak-m-200/objets", "link")</f>
        <v/>
      </c>
      <c r="C3554" t="n">
        <v>1</v>
      </c>
      <c r="D3554" t="inlineStr"/>
    </row>
    <row r="3555">
      <c r="A3555" t="inlineStr">
        <is>
          <t>Pandawa M 200</t>
        </is>
      </c>
      <c r="B3555">
        <f>HYPERLINK("https://www.dofusbook.net/fr/equipement/4746427-pandawa-m-200/objets", "link")</f>
        <v/>
      </c>
      <c r="C3555" t="n">
        <v>1</v>
      </c>
      <c r="D3555" t="inlineStr"/>
    </row>
    <row r="3556">
      <c r="A3556" t="inlineStr">
        <is>
          <t>Enutrof F 200</t>
        </is>
      </c>
      <c r="B3556">
        <f>HYPERLINK("https://www.dofusbook.net/fr/equipement/4746415-enutrof-f-200/objets", "link")</f>
        <v/>
      </c>
      <c r="C3556" t="n">
        <v>1</v>
      </c>
      <c r="D3556" t="inlineStr"/>
    </row>
    <row r="3557">
      <c r="A3557" t="inlineStr">
        <is>
          <t>Iop M 200</t>
        </is>
      </c>
      <c r="B3557">
        <f>HYPERLINK("https://www.dofusbook.net/fr/equipement/4746402-iop-m-200/objets", "link")</f>
        <v/>
      </c>
      <c r="C3557" t="n">
        <v>1</v>
      </c>
      <c r="D3557" t="inlineStr"/>
    </row>
    <row r="3558">
      <c r="A3558" t="inlineStr">
        <is>
          <t>Ouginak M 200</t>
        </is>
      </c>
      <c r="B3558">
        <f>HYPERLINK("https://www.dofusbook.net/fr/equipement/4746399-ouginak-m-200/objets", "link")</f>
        <v/>
      </c>
      <c r="C3558" t="n">
        <v>1</v>
      </c>
      <c r="D3558" t="inlineStr"/>
    </row>
    <row r="3559">
      <c r="A3559" t="inlineStr">
        <is>
          <t>Pandawa M 200</t>
        </is>
      </c>
      <c r="B3559">
        <f>HYPERLINK("https://www.dofusbook.net/fr/equipement/4746397-pandawa-m-200/objets", "link")</f>
        <v/>
      </c>
      <c r="C3559" t="n">
        <v>1</v>
      </c>
      <c r="D3559" t="inlineStr"/>
    </row>
    <row r="3560">
      <c r="A3560" t="inlineStr">
        <is>
          <t>Pandawa M 200</t>
        </is>
      </c>
      <c r="B3560">
        <f>HYPERLINK("https://www.dofusbook.net/fr/equipement/4744491-pandawa-m-200/objets", "link")</f>
        <v/>
      </c>
      <c r="C3560" t="n">
        <v>1</v>
      </c>
      <c r="D3560" t="inlineStr">
        <is>
          <t>Amulette Volkorne; Ceinture Volkorne</t>
        </is>
      </c>
    </row>
    <row r="3561">
      <c r="A3561" t="inlineStr">
        <is>
          <t>Pandawa M 200</t>
        </is>
      </c>
      <c r="B3561">
        <f>HYPERLINK("https://www.dofusbook.net/fr/equipement/4744462-pandawa-m-200/objets", "link")</f>
        <v/>
      </c>
      <c r="C3561" t="n">
        <v>3</v>
      </c>
      <c r="D3561" t="inlineStr">
        <is>
          <t>Arc corrompu; Amulette Volkorne; Anneauræus; Anneauræus; Bouclier du Stalak; Ceinture Volkorne; Heaume Oplate; Voile d'encre; Bottes Innommables; Dofus Abyssal; Dofus Ivoire; Dofus Ocre; Dofus Pourpre; Érudit majeur; Nomade</t>
        </is>
      </c>
    </row>
    <row r="3562">
      <c r="A3562" t="inlineStr">
        <is>
          <t>Pandawa M 200</t>
        </is>
      </c>
      <c r="B3562">
        <f>HYPERLINK("https://www.dofusbook.net/fr/equipement/4741614-pandawa-m-200/objets", "link")</f>
        <v/>
      </c>
      <c r="C3562" t="n">
        <v>1</v>
      </c>
      <c r="D3562" t="inlineStr">
        <is>
          <t>Arc corrompu; Amulette de Nileza; Anneauræus; Anneauræus; Bouclier du Stalak; Ceinture Séculaire; Casque Dragoeuf; Cape de Nileza; Pataugastrique; Dofus Pourpre; Dofus Ocre; Dofus Ivoire; Dofus Abyssal; Nomade; Érudit majeur; Eliôme</t>
        </is>
      </c>
    </row>
    <row r="3563">
      <c r="A3563" t="inlineStr">
        <is>
          <t>Sadida M 200</t>
        </is>
      </c>
      <c r="B3563">
        <f>HYPERLINK("https://www.dofusbook.net/fr/equipement/4741405-sadida-m-200/objets", "link")</f>
        <v/>
      </c>
      <c r="C3563" t="n">
        <v>4</v>
      </c>
      <c r="D3563" t="inlineStr">
        <is>
          <t>Arc du Chalœil; Collier de Tourthon; Bracelet du Piloztère; Anneau de Brouce; Quatre-feuilles; Ceinture Gence; Masque de Koutoulou; Cape au Logis; Bottes de Brouce; Dofus Pourpre; Dofus Abyssal; Dofus Turquoise; Enragé majeur; Vigoureux majeur; Forcené majeur; Bulbisou</t>
        </is>
      </c>
    </row>
    <row r="3564">
      <c r="A3564" t="inlineStr">
        <is>
          <t>Sram M 200</t>
        </is>
      </c>
      <c r="B3564">
        <f>HYPERLINK("https://www.dofusbook.net/fr/equipement/4741324-sram-m-200/objets", "link")</f>
        <v/>
      </c>
      <c r="C3564" t="n">
        <v>3</v>
      </c>
      <c r="D3564" t="inlineStr">
        <is>
          <t>Sceptre du Roi Joueur; Amulette de Shokkoth; Anneau Volkorne; Alliance Gloursonne; Bouclier du Stalak; Sangle Ouare; Capuche de l'Œil Attentif; Cape de l'Œil Attentif; Pataugastrique; Dofus Ivoire; Dofus des Glaces; Dofus Abyssal; Dofus Pourpre; Dofus Ocre; Chanceux majeur; Kanigloups</t>
        </is>
      </c>
    </row>
    <row r="3565">
      <c r="A3565" t="inlineStr">
        <is>
          <t>Eliotrope M 200</t>
        </is>
      </c>
      <c r="B3565">
        <f>HYPERLINK("https://www.dofusbook.net/fr/equipement/4741317-eliotrope-m-200/objets", "link")</f>
        <v/>
      </c>
      <c r="C3565" t="n">
        <v>1</v>
      </c>
      <c r="D3565" t="inlineStr"/>
    </row>
    <row r="3566">
      <c r="A3566" t="inlineStr">
        <is>
          <t>Sram M 200</t>
        </is>
      </c>
      <c r="B3566">
        <f>HYPERLINK("https://www.dofusbook.net/fr/equipement/4741305-sram-m-200/objets", "link")</f>
        <v/>
      </c>
      <c r="C3566" t="n">
        <v>1</v>
      </c>
      <c r="D3566" t="inlineStr"/>
    </row>
    <row r="3567">
      <c r="A3567" t="inlineStr">
        <is>
          <t>Roublard M 200</t>
        </is>
      </c>
      <c r="B3567">
        <f>HYPERLINK("https://www.dofusbook.net/fr/equipement/4741199-roublard-m-200/objets", "link")</f>
        <v/>
      </c>
      <c r="C3567" t="n">
        <v>1</v>
      </c>
      <c r="D3567" t="inlineStr"/>
    </row>
    <row r="3568">
      <c r="A3568" t="inlineStr">
        <is>
          <t>Pandawa M 200</t>
        </is>
      </c>
      <c r="B3568">
        <f>HYPERLINK("https://www.dofusbook.net/fr/equipement/4738952-pandawa-m-200/objets", "link")</f>
        <v/>
      </c>
      <c r="C3568" t="n">
        <v>1</v>
      </c>
      <c r="D3568" t="inlineStr">
        <is>
          <t>Bêche Asse; Collier de Tourthon; Anneau Chevelu; Alliance du Lévitrof; Bouclier d'Ilyzaelle; Ceinture Volkorne; Masque d'Anerice; Cape d'Anerice; Baleinabottes; Dofus Pourpre; Dofus Ivoire; Dofus Ocre; Dofus Émeraude; Dofus Ébène; Nomade; Givrefoux</t>
        </is>
      </c>
    </row>
    <row r="3569">
      <c r="A3569" t="inlineStr">
        <is>
          <t>Pandawa M 200</t>
        </is>
      </c>
      <c r="B3569">
        <f>HYPERLINK("https://www.dofusbook.net/fr/equipement/4738825-pandawa-m-200/objets", "link")</f>
        <v/>
      </c>
      <c r="C3569" t="n">
        <v>3</v>
      </c>
      <c r="D3569" t="inlineStr">
        <is>
          <t>Bêche Asse; Amulette du Strigide; Bague Gloursonne; Anneau Chevelu; Bouclier d'Ilyzaelle; Ceinture du Strigide; Masque de Koutoulou; Cape au Logis; Baleinabottes; Dofus Émeraude; Dofus Ébène; Dofus Abyssal; Dofus Ivoire; Dofus Pourpre; Enragé majeur; Givrefoux</t>
        </is>
      </c>
    </row>
    <row r="3570">
      <c r="A3570" t="inlineStr">
        <is>
          <t>Ouginak M 200</t>
        </is>
      </c>
      <c r="B3570">
        <f>HYPERLINK("https://www.dofusbook.net/fr/equipement/4738714-ouginak-m-200/objets", "link")</f>
        <v/>
      </c>
      <c r="C3570" t="n">
        <v>1</v>
      </c>
      <c r="D3570" t="inlineStr">
        <is>
          <t>Sceptre du Roi Joueur; Amulette de Shokkoth; Alliance Gloursonne; Anneau Volkorne; Bouclier d'Ilyzaelle; Poulpagne; Capuche de l'Œil Attentif; Cape de l'Œil Attentif; Bottes du Sinistrofu; Dofus Pourpre; Dofus Ivoire; Dofus Ocre; Dofus Abyssal; Chanceux majeur; Nomade; Kanigloups</t>
        </is>
      </c>
    </row>
    <row r="3571">
      <c r="A3571" t="inlineStr">
        <is>
          <t>Pandawa M 200</t>
        </is>
      </c>
      <c r="B3571">
        <f>HYPERLINK("https://www.dofusbook.net/fr/equipement/4738648-pandawa-m-200/objets", "link")</f>
        <v/>
      </c>
      <c r="C3571" t="n">
        <v>3</v>
      </c>
      <c r="D3571" t="inlineStr">
        <is>
          <t>Dagues Ricol; Amulette de Nileza; Anneau Tique; Anneau de Padgref; Bouclier du Captain Amakna; Ceinture Séculaire; Chapeau de Gein; Cape de Nileza; Pataugastrique; Dofus Abyssal; Dofus Turquoise; Dofus Pourpre; Nomade; Remueur; Érudit majeur; Brûlih</t>
        </is>
      </c>
    </row>
    <row r="3572">
      <c r="A3572" t="inlineStr">
        <is>
          <t>Roublard M 200</t>
        </is>
      </c>
      <c r="B3572">
        <f>HYPERLINK("https://www.dofusbook.net/fr/equipement/4612077-roublard-m-200/objets", "link")</f>
        <v/>
      </c>
      <c r="C3572" t="n">
        <v>3</v>
      </c>
      <c r="D3572" t="inlineStr">
        <is>
          <t>Arc du Chalœil; Torquistik; Bague Trithon; Baguistik; Bouclier précieux; Sangle Ouare; Casque Dragoeuf; Cape Solution; Bottes du Cœur Vaillant; Dofus Ivoire; Dofus Ocre; Dofus Abyssal; Bousculeur majeur; Pousseur majeur; Culbuteur majeur; Tatouf</t>
        </is>
      </c>
    </row>
    <row r="3573">
      <c r="A3573" t="inlineStr">
        <is>
          <t>Huppermage M 200</t>
        </is>
      </c>
      <c r="B3573">
        <f>HYPERLINK("https://www.dofusbook.net/fr/equipement/4560558-huppermage-m-200/objets", "link")</f>
        <v/>
      </c>
      <c r="C3573" t="n">
        <v>10</v>
      </c>
      <c r="D3573" t="inlineStr">
        <is>
          <t>Hache Téroïde; Amulette Volkorne; Bague Trithon; Anneau Volkorne; Quatre-feuilles; Ceinture Volkorne; Masque Trithon; Voile d'encre; Bottes Trithon; Dofus Pourpre; Dofus Abyssal; Dofus Turquoise; Dofus Ivoire; Dofus des Glaces; Dofus Ocre; Kafarce</t>
        </is>
      </c>
    </row>
    <row r="3574">
      <c r="A3574" t="inlineStr">
        <is>
          <t>feu 1500 intel</t>
        </is>
      </c>
      <c r="B3574">
        <f>HYPERLINK("https://www.dofusbook.net/fr/equipement/3202886-feu-1500-intel/objets", "link")</f>
        <v/>
      </c>
      <c r="C3574" t="n">
        <v>6</v>
      </c>
      <c r="D3574" t="inlineStr">
        <is>
          <t>Arc corrompu; Amulette d'Otomaï; Alliance Gloursonne; Anneau Tique; Quatre-feuilles; Ceinture Séculaire; Coiffe Séculaire; Voile d'encre; Pataugastrique; Dolmanax; Dofus Turquoise; Érudit majeur; Miraculé majeur; Carapace Terre majeur; Remueur; Muldo Orchidée et Pourpre</t>
        </is>
      </c>
    </row>
    <row r="3575">
      <c r="A3575" t="inlineStr">
        <is>
          <t>air</t>
        </is>
      </c>
      <c r="B3575">
        <f>HYPERLINK("https://www.dofusbook.net/fr/equipement/3201456-air/objets", "link")</f>
        <v/>
      </c>
      <c r="C3575" t="n">
        <v>5</v>
      </c>
      <c r="D3575" t="inlineStr">
        <is>
          <t>Manthache; Amulette du Granduk; Alliance Gloursonne; Gant du Valet Veinard; Cadran d'Air; Ceinture du Barbétoal; Casque Dragoeuf; Cape du Valet Veinard; Palmes Trithons; Dofus Ivoire; Dolmanax; Dofus Émeraude; Miraculé majeur; Cascadeur majeur; Remueur; Muldo Ebène et Orchidée</t>
        </is>
      </c>
    </row>
    <row r="3576">
      <c r="A3576" t="inlineStr">
        <is>
          <t>air-rox</t>
        </is>
      </c>
      <c r="B3576">
        <f>HYPERLINK("https://www.dofusbook.net/fr/equipement/2575384-air-rox/objets", "link")</f>
        <v/>
      </c>
      <c r="C3576" t="n">
        <v>4</v>
      </c>
      <c r="D3576" t="inlineStr">
        <is>
          <t>Manthache; Amulette du Strigide; Alliance Gloursonne; Anneau de Padgref; Quatre-feuilles; Menoture; Capuche de Moum-Ra; Voile d'encre; Bottes du Strigide; Dofus Pourpre; Dofus Abyssal; Dofus Turquoise; Cascadeur majeur; Remueur; Nomade; Dragodinde en armure</t>
        </is>
      </c>
    </row>
    <row r="3577">
      <c r="A3577" t="inlineStr">
        <is>
          <t>terre ok</t>
        </is>
      </c>
      <c r="B3577">
        <f>HYPERLINK("https://www.dofusbook.net/fr/equipement/2457915-terre-ok/objets", "link")</f>
        <v/>
      </c>
      <c r="C3577" t="n">
        <v>3</v>
      </c>
      <c r="D3577" t="inlineStr">
        <is>
          <t>Arc du Chalœil; Amulette du Strigide; Anneau de Pol Ouatnos; Anneau de Brouce; Quatre-feuilles; Ceinture du Strigide; Chapeau de Gein; Voile d'encre; Baleinabottes; Dofus Turquoise; Dofus Émeraude; Dofus Pourpre; Dofus Abyssal; Carapace Eau majeur; Remueur; Dragodinde en armure</t>
        </is>
      </c>
    </row>
    <row r="3578">
      <c r="A3578" t="inlineStr">
        <is>
          <t>Stri-pad</t>
        </is>
      </c>
      <c r="B3578">
        <f>HYPERLINK("https://www.dofusbook.net/fr/equipement/2426861-stri-pad/objets", "link")</f>
        <v/>
      </c>
      <c r="C3578" t="n">
        <v>2</v>
      </c>
      <c r="D3578" t="inlineStr">
        <is>
          <t>Baguette Range; Amulette du Strigide; Anneau de Padgref; Alliance Gloursonne; Quatre-feuilles; Ceinture du Strigide; Coiffe de Padgref; Voile d'encre; Getas de Padgref; Dofus Pourpre; Dofus Abyssal; Dofus Turquoise; Dofus Ocre; Dolmanax; Dofus des Glaces; Muldo Ebène et Indigo</t>
        </is>
      </c>
    </row>
    <row r="3579">
      <c r="A3579" t="inlineStr">
        <is>
          <t>raptor terre</t>
        </is>
      </c>
      <c r="B3579">
        <f>HYPERLINK("https://www.dofusbook.net/fr/equipement/1760957-raptor-terre/objets", "link")</f>
        <v/>
      </c>
      <c r="C3579" t="n">
        <v>1</v>
      </c>
      <c r="D3579" t="inlineStr">
        <is>
          <t>Arc du Chalœil; Amulette du Strigide; Anneau de Brouce; Anneau Chevelu; Quatre-feuilles; Ceinture Gence; Chapeau de Gein; Voile d'encre; Bottes du Strigide; Dofus Turquoise; Dofus Pourpre; Nomade; Carapace Eau majeur; Enragé majeur; Remueur; Kompost</t>
        </is>
      </c>
    </row>
    <row r="3580">
      <c r="A3580" t="inlineStr">
        <is>
          <t>feu-air</t>
        </is>
      </c>
      <c r="B3580">
        <f>HYPERLINK("https://www.dofusbook.net/fr/equipement/2560374-feu-air/objets", "link")</f>
        <v/>
      </c>
      <c r="C3580" t="n">
        <v>3</v>
      </c>
      <c r="D3580" t="inlineStr">
        <is>
          <t>Baguette Range; Amulette du Strigide; Alliance Gloursonne; Anneau de Padgref; Quatre-feuilles; Ceintacé; Chapeau Lisson; Voile d'encre; Bottes du Strigide; Dolmanax; Dofus Pourpre; Dofus Turquoise; Dofus Abyssal; Remueur; Miraculé majeur; Muldo Ebène et Pourpre</t>
        </is>
      </c>
    </row>
    <row r="3581">
      <c r="A3581" t="inlineStr">
        <is>
          <t>la fouite feu</t>
        </is>
      </c>
      <c r="B3581">
        <f>HYPERLINK("https://www.dofusbook.net/fr/equipement/2490167-la-fouite-feu/objets", "link")</f>
        <v/>
      </c>
      <c r="C3581" t="n">
        <v>1</v>
      </c>
      <c r="D3581" t="inlineStr">
        <is>
          <t>Arc Hétype; Pendentif mignon de Koutoulou; Anneau Tique; Alliance Gloursonne; Sept ans de malheur; Ceinture de Vortex; Casque Cyclopéen; Voile d'encre; Pataugastrique; Dofus Émeraude; Dofus Ivoire; Dofus Abyssal; Érudit majeur; Miraculé majeur; Remueur; Muldo Ebène et Pourpre</t>
        </is>
      </c>
    </row>
    <row r="3582">
      <c r="A3582" t="inlineStr">
        <is>
          <t>eau air</t>
        </is>
      </c>
      <c r="B3582">
        <f>HYPERLINK("https://www.dofusbook.net/fr/equipement/2490072-eau-air/objets", "link")</f>
        <v/>
      </c>
      <c r="C3582" t="n">
        <v>3</v>
      </c>
      <c r="D3582" t="inlineStr">
        <is>
          <t>Arc de Koutoulou; Amulette du Strigide; Alliance Gloursonne; Anneau Tique; Quatre-feuilles; Ceintacé; Némès de Tal Kasha; Chevelure de Tal Kasha; Sandales  d'Atcham; Dolmanax; Dofus des Glaces; Dofus Pourpre; Dofus Turquoise; Étourdisseur majeur; Remueur; Muldo Ebène et Orchidée</t>
        </is>
      </c>
    </row>
    <row r="3583">
      <c r="A3583" t="inlineStr">
        <is>
          <t>Air-tank</t>
        </is>
      </c>
      <c r="B3583">
        <f>HYPERLINK("https://www.dofusbook.net/fr/equipement/2475323-air-tank/objets", "link")</f>
        <v/>
      </c>
      <c r="C3583" t="n">
        <v>4</v>
      </c>
      <c r="D3583" t="inlineStr">
        <is>
          <t>Manthache; Collier du Valet Veinard; Alliance Gloursonne; Gant du Valet Veinard; Bouclier du Stalak; Menoture; Casque Dragoeuf; Voile d'encre; Palmes Trithons; Dofus Pourpre; Dofus Abyssal; Temporiseur majeur; Entraveur majeur; Cascadeur majeur; Remueur; Muldo Ebène</t>
        </is>
      </c>
    </row>
    <row r="3584">
      <c r="A3584" t="inlineStr">
        <is>
          <t>quadri-res-ok</t>
        </is>
      </c>
      <c r="B3584">
        <f>HYPERLINK("https://www.dofusbook.net/fr/equipement/2457249-quadri-res-ok/objets", "link")</f>
        <v/>
      </c>
      <c r="C3584" t="n">
        <v>5</v>
      </c>
      <c r="D3584" t="inlineStr">
        <is>
          <t>Arc du Chalœil; Amulette du Strigide; Bague Gloursonne; Alliance Gloursonne; Quatre-feuilles; Ceinture du Strigide; Chapeau Lisson; Voile d'encre; Bottes du Strigide; Dolmanax; Dofus Ocre; Dofus Pourpre; Dofus des Glaces; Dofus Turquoise; Dofus Nébuleux; Muldo Indigo et Pourpre</t>
        </is>
      </c>
    </row>
    <row r="3585">
      <c r="A3585" t="inlineStr">
        <is>
          <t>FEU oto secu</t>
        </is>
      </c>
      <c r="B3585">
        <f>HYPERLINK("https://www.dofusbook.net/fr/equipement/1486169-feu-oto-secu/objets", "link")</f>
        <v/>
      </c>
      <c r="C3585" t="n">
        <v>2</v>
      </c>
      <c r="D3585" t="inlineStr">
        <is>
          <t>Épée d'Otomaï; Amulette d'Otomaï; Anneau de Pol Ouatnos; Alliance Gloursonne; Quatre-feuilles; Ceinture Séculaire; Coiffe Séculaire; Voile d'encre; Bottes d'Otomaï; Dofus Turquoise; Dofus Nébuleux; Dolmanax; Dofus Ocre; Dofus Pourpre; Dofus des Glaces; Kramkram</t>
        </is>
      </c>
    </row>
    <row r="3586">
      <c r="A3586" t="inlineStr">
        <is>
          <t>pvm actuel</t>
        </is>
      </c>
      <c r="B3586">
        <f>HYPERLINK("https://www.dofusbook.net/fr/equipement/2378346-pvm-actuel/objets", "link")</f>
        <v/>
      </c>
      <c r="C3586" t="n">
        <v>1</v>
      </c>
      <c r="D3586" t="inlineStr">
        <is>
          <t>Baguette Hernelle; Amulette d'Otomaï; Bague Gloursonne; Anneau de Padgref; Quatre-feuilles; Ceinture Séculaire; Coiffe de Padgref; Voile d'encre; Pataugastrique; Dofus Turquoise; Savant majeur; Remueur; Érudit majeur; Nomade; Vigoureux majeur; Brûlih</t>
        </is>
      </c>
    </row>
    <row r="3587">
      <c r="A3587" t="inlineStr">
        <is>
          <t>raptor-feu</t>
        </is>
      </c>
      <c r="B3587">
        <f>HYPERLINK("https://www.dofusbook.net/fr/equipement/1947339-raptor-feu/objets", "link")</f>
        <v/>
      </c>
      <c r="C3587" t="n">
        <v>1</v>
      </c>
      <c r="D3587" t="inlineStr">
        <is>
          <t>Arc corrompu; Pendentif affamé; Anneauræus; Bague Gloursonne; Quatre-feuilles; Ceinture Séculaire; Coiffe Séculaire; Voile d'encre; Bottes Innommables; Dofus Ocre; Dofus Turquoise; Dolmanax; Érudit majeur; Carapace Feu majeur; Remueur; Muldo Orchidée et Pourpre</t>
        </is>
      </c>
    </row>
    <row r="3588">
      <c r="A3588" t="inlineStr">
        <is>
          <t>stuf doc</t>
        </is>
      </c>
      <c r="B3588">
        <f>HYPERLINK("https://www.dofusbook.net/fr/equipement/2228401-stuf-doc/objets", "link")</f>
        <v/>
      </c>
      <c r="C3588" t="n">
        <v>1</v>
      </c>
      <c r="D3588" t="inlineStr">
        <is>
          <t>Arc corrompu; Pendentif mignon de Koutoulou; Anneauræus; Anneauræus; Sept ans de malheur; Ceinture de Vortex; Casque Cyclopéen; Voile d'encre; Pataugastrique; Dofus Ivoire; Carapace Air majeur; Remueur; Étourdisseur majeur; Carapace Feu majeur; Érudit majeur; Muldo Orchidée et Pourpre</t>
        </is>
      </c>
    </row>
    <row r="3589">
      <c r="A3589" t="inlineStr">
        <is>
          <t>stri pad</t>
        </is>
      </c>
      <c r="B3589">
        <f>HYPERLINK("https://www.dofusbook.net/fr/equipement/2066703-stri-pad/objets", "link")</f>
        <v/>
      </c>
      <c r="C3589" t="n">
        <v>1</v>
      </c>
      <c r="D3589" t="inlineStr">
        <is>
          <t>Arc corrompu; Amulette du Strigide; Bague Gloursonne; Anneau de Padgref; Quatre-feuilles; Ceinture du Strigide; Coiffe de Padgref; Voile d'encre; Getas de Padgref; Dofus Turquoise; Dofus Nébuleux; Dofus Ocre; Dolmanax; Dofus Pourpre; Dofus des Glaces; Muldo Orchidée et Pourpre</t>
        </is>
      </c>
    </row>
    <row r="3590">
      <c r="A3590" t="inlineStr">
        <is>
          <t>stri pad atcham</t>
        </is>
      </c>
      <c r="B3590">
        <f>HYPERLINK("https://www.dofusbook.net/fr/equipement/2066671-stri-pad-atcham/objets", "link")</f>
        <v/>
      </c>
      <c r="C3590" t="n">
        <v>1</v>
      </c>
      <c r="D3590" t="inlineStr">
        <is>
          <t>Sabres d'Atcham; Amulette du Strigide; Alliance Gloursonne; Anneau de Padgref; Ceinture du Strigide; Coiffe de Padgref; Cape d'Atcham; Getas de Padgref; Dofus Turquoise; Dofus Nébuleux; Dolmanax; Dofus Ocre; Dofus Pourpre; Dofus des Glaces; Muldo Prune et Indigo</t>
        </is>
      </c>
    </row>
    <row r="3591">
      <c r="A3591" t="inlineStr">
        <is>
          <t>raptor bernacle feu</t>
        </is>
      </c>
      <c r="B3591">
        <f>HYPERLINK("https://www.dofusbook.net/fr/equipement/1974046-raptor-bernacle-feu/objets", "link")</f>
        <v/>
      </c>
      <c r="C3591" t="n">
        <v>1</v>
      </c>
      <c r="D3591" t="inlineStr">
        <is>
          <t>Arc Hétype; Amulette de Nileza; Anneau Tique; Bague Gloursonne; Quatre-feuilles; Ceinture Séculaire; Coiffe Séculaire; Voile d'encre; Getas Bernacle; Dofus Abyssal; Dofus Ocre; Carapace Terre majeur; Miraculé majeur; Remueur; Érudit majeur; Muldo Orchidée et Pourpre</t>
        </is>
      </c>
    </row>
    <row r="3592">
      <c r="A3592" t="inlineStr">
        <is>
          <t>rapteur feu hetype</t>
        </is>
      </c>
      <c r="B3592">
        <f>HYPERLINK("https://www.dofusbook.net/fr/equipement/1699956-rapteur-feu-hetype/objets", "link")</f>
        <v/>
      </c>
      <c r="C3592" t="n">
        <v>1</v>
      </c>
      <c r="D3592" t="inlineStr">
        <is>
          <t>Arc Hétype; Amulette de Nileza; Anneau Tique; Bague Gloursonne; Quatre-feuilles; Ceinture Séculaire; Coiffe Séculaire; Voile d'encre; Pataugastrique; Dofus Turquoise; Dofus Abyssal; Érudit majeur; Remueur; Carapace Terre majeur; Carapace Feu majeur; Muldo Indigo et Pourpre</t>
        </is>
      </c>
    </row>
    <row r="3593">
      <c r="A3593" t="inlineStr">
        <is>
          <t>feu keke</t>
        </is>
      </c>
      <c r="B3593">
        <f>HYPERLINK("https://www.dofusbook.net/fr/equipement/1513261-feu-keke/objets", "link")</f>
        <v/>
      </c>
      <c r="C3593" t="n">
        <v>1</v>
      </c>
      <c r="D3593" t="inlineStr">
        <is>
          <t>Arc corrompu; Amulette d'Otomaï; Anneau de Padgref; Bague Gloursonne; Quatre-feuilles; Ceinture Séculaire; Coiffe de Padgref; Voile d'encre; Pataugastrique; Dofus Turquoise; Érudit majeur; Nomade; Savant majeur; Vigoureux majeur; Remueur; Brûlih</t>
        </is>
      </c>
    </row>
    <row r="3594">
      <c r="A3594" t="inlineStr">
        <is>
          <t>eau keke</t>
        </is>
      </c>
      <c r="B3594">
        <f>HYPERLINK("https://www.dofusbook.net/fr/equipement/1938253-eau-keke/objets", "link")</f>
        <v/>
      </c>
      <c r="C3594" t="n">
        <v>2</v>
      </c>
      <c r="D3594" t="inlineStr">
        <is>
          <t>Dagoulinantes; Amulette de Danathor; Bracelet des Fonds marins; Alliance Gloursonne; Quatre-feuilles; Ceinture de Danathor; Coiffe de Danathor; Cape du Sinistrofu; Bottes du Sinistrofu; Dofus Ocre; Dofus Pourpre; Dofus Nébuleux; Dofus Turquoise; Dofus des Glaces; Voyageur; Dehluge</t>
        </is>
      </c>
    </row>
    <row r="3595">
      <c r="A3595" t="inlineStr">
        <is>
          <t>terre pvm</t>
        </is>
      </c>
      <c r="B3595">
        <f>HYPERLINK("https://www.dofusbook.net/fr/equipement/1761546-terre-pvm/objets", "link")</f>
        <v/>
      </c>
      <c r="C3595" t="n">
        <v>1</v>
      </c>
      <c r="D3595" t="inlineStr">
        <is>
          <t>Baguette Nolog; Amulette du Strigide; Anneau de Brouce; Bracelet du Piloztère; Quatre-feuilles; Ceinture du Strigide; Masque du Katcheur; Cape au Logis; Bottes du Strigide; Dofus Pourpre; Dofus Ocre; Dofus des Glaces; Dofus Nébuleux; Dolmanax; Dofus Turquoise; Kompost</t>
        </is>
      </c>
    </row>
    <row r="3596">
      <c r="A3596" t="inlineStr">
        <is>
          <t>koli200</t>
        </is>
      </c>
      <c r="B3596">
        <f>HYPERLINK("https://www.dofusbook.net/fr/equipement/1746120-koli200/objets", "link")</f>
        <v/>
      </c>
      <c r="C3596" t="n">
        <v>2</v>
      </c>
      <c r="D3596" t="inlineStr">
        <is>
          <t>Amulette du Strigide; Ceinture du Strigide</t>
        </is>
      </c>
    </row>
    <row r="3597">
      <c r="A3597" t="inlineStr">
        <is>
          <t>eau 200</t>
        </is>
      </c>
      <c r="B3597">
        <f>HYPERLINK("https://www.dofusbook.net/fr/equipement/1729657-eau-200/objets", "link")</f>
        <v/>
      </c>
      <c r="C3597" t="n">
        <v>13</v>
      </c>
      <c r="D3597" t="inlineStr">
        <is>
          <t>Rapière aux Glyphes; Amulette de Shokkoth; Alliance Gloursonne; Bracelet des Fonds marins; Cadran d'Air; Poulpagne; Kidibonnet; Cape du Sinistrofu; Bottes du Sinistrofu; Dofus Pourpre; Miraculé majeur; Vigoureux majeur; Chanceux majeur; Carapace Eau majeur; Nomade; Kramkram</t>
        </is>
      </c>
    </row>
    <row r="3598">
      <c r="A3598" t="inlineStr">
        <is>
          <t>eau/air 200</t>
        </is>
      </c>
      <c r="B3598">
        <f>HYPERLINK("https://www.dofusbook.net/fr/equipement/1729505-eau-air-200/objets", "link")</f>
        <v/>
      </c>
      <c r="C3598" t="n">
        <v>7</v>
      </c>
      <c r="D3598" t="inlineStr">
        <is>
          <t>Pelle de la Cour Sombre; Amulette Voldelor; Anneau de Pol Ouatnos; Alliance Gloursonne; Cadran d'Air; Ceinture Voldelor; Masque du Barbétoal; Cape Matelassée; Sandales de Tal Kasha; Dofus Pourpre; Carapace Air majeur; Remueur; Vigoureux majeur; Kramkram</t>
        </is>
      </c>
    </row>
    <row r="3599">
      <c r="A3599" t="inlineStr">
        <is>
          <t>muldo/sufokia</t>
        </is>
      </c>
      <c r="B3599">
        <f>HYPERLINK("https://www.dofusbook.net/fr/equipement/1681236-muldo-sufokia/objets", "link")</f>
        <v/>
      </c>
      <c r="C3599" t="n">
        <v>4</v>
      </c>
      <c r="D3599" t="inlineStr">
        <is>
          <t>Hache Téroïde; Amulette du Strigide; Bague Gloursonne; Chevalière du Roi Joueur; Bouclier du Captain Amakna; Ceinture du Strigide; Bonnet Ko; Voile d'encre; Bottes du Cycloïde; Dofus Ocre; Dofus Pourpre; Dofus Turquoise; Nomade; Remueur; Muldo Doré et Emeraude</t>
        </is>
      </c>
    </row>
    <row r="3600">
      <c r="A3600" t="inlineStr">
        <is>
          <t>Muldo/sufokia</t>
        </is>
      </c>
      <c r="B3600">
        <f>HYPERLINK("https://www.dofusbook.net/fr/equipement/1681119-muldo-sufokia/objets", "link")</f>
        <v/>
      </c>
      <c r="C3600" t="n">
        <v>3</v>
      </c>
      <c r="D3600" t="inlineStr">
        <is>
          <t>Harpelle; Talisman Igans; Kralano; Anneau de Padgref; Quatre-feuilles; Ceinture Séculaire; Coiffe de Padgref; Cape d'Atcham; Pataugastrique; Dofus Turquoise; Dofus Pourpre; Remueur; Érudit majeur; Vigoureux majeur; Nomade; Muldo Prune et Emeraude</t>
        </is>
      </c>
    </row>
    <row r="3601">
      <c r="A3601" t="inlineStr">
        <is>
          <t>feu_soin</t>
        </is>
      </c>
      <c r="B3601">
        <f>HYPERLINK("https://www.dofusbook.net/fr/equipement/1504788-feu-soin/objets", "link")</f>
        <v/>
      </c>
      <c r="C3601" t="n">
        <v>4</v>
      </c>
      <c r="D3601" t="inlineStr">
        <is>
          <t>Harpelle; Pendentif affamé; Kralano; Anneau Rifique; Quatre-feuilles; Ceinture Séculaire; Casque Cyclopéen; Cape de Diondin; Bottes Innommables; Dofus Pourpre; Cascadeur majeur; Érudit majeur; Nomade; Vigoureux majeur; Remueur; Brûlih</t>
        </is>
      </c>
    </row>
    <row r="3602">
      <c r="A3602" t="inlineStr">
        <is>
          <t>Feu8_pvm</t>
        </is>
      </c>
      <c r="B3602">
        <f>HYPERLINK("https://www.dofusbook.net/fr/equipement/1504659-feu8-pvm/objets", "link")</f>
        <v/>
      </c>
      <c r="C3602" t="n">
        <v>2</v>
      </c>
      <c r="D3602" t="inlineStr">
        <is>
          <t>Marteau Phossile; Amulette du Strigide; Kralano; Anneau de Padgref; Quatre-feuilles; Ceinture du Strigide; Coiffe de Padgref; Cape des Malveilleurs; Getas de Padgref; Dofus Pourpre; Dofus des Glaces; Dofus Turquoise; Dofus Émeraude; Dofus Ocre; Savant majeur; Muldo Prune et Emeraude</t>
        </is>
      </c>
    </row>
    <row r="3603">
      <c r="A3603" t="inlineStr">
        <is>
          <t>koli 13x</t>
        </is>
      </c>
      <c r="B3603">
        <f>HYPERLINK("https://www.dofusbook.net/fr/equipement/1405886-koli-13x/objets", "link")</f>
        <v/>
      </c>
      <c r="C3603" t="n">
        <v>3</v>
      </c>
      <c r="D3603" t="inlineStr">
        <is>
          <t>Mourtheau; La Feuille de Printemps; Gelano; Bague Moutheuze; Bouclier du Sadida; Ceinture Sula; Casque de l'Écumouth; Corbacape Mastralis; Sandales Titude; Dofus Ocre; Dokoko; Dofus Pourpre; Dofus Émeraude; Dofus des Glaces; Remueur; Muldo Doré et Ebène</t>
        </is>
      </c>
    </row>
    <row r="3604">
      <c r="A3604" t="inlineStr">
        <is>
          <t>Test</t>
        </is>
      </c>
      <c r="B3604">
        <f>HYPERLINK("https://www.dofusbook.net/fr/equipement/1363440-test/objets", "link")</f>
        <v/>
      </c>
      <c r="C3604" t="n">
        <v>1</v>
      </c>
      <c r="D3604" t="inlineStr">
        <is>
          <t>Le Kikoularc; Licol de Redolphe; Anneau Ouroboulos; Gelano; Kloume; Puissante Ceinture Fulgurante; Sacoche de Redolphe; Sabots de Redolphe; Dofus Ocre; Dofus Pourpre; Dofus des Glaces; Dofus Émeraude; Examinateur; Dragodinde Prune et Emeraude</t>
        </is>
      </c>
    </row>
    <row r="3605">
      <c r="A3605" t="inlineStr">
        <is>
          <t>Eau air tal kasha</t>
        </is>
      </c>
      <c r="B3605">
        <f>HYPERLINK("https://www.dofusbook.net/fr/equipement/1339877-eau-air-tal-kasha/objets", "link")</f>
        <v/>
      </c>
      <c r="C3605" t="n">
        <v>1</v>
      </c>
      <c r="D3605" t="inlineStr">
        <is>
          <t>Sabres d'Atcham; Pendentif mignon de Koutoulou; Anneau Rifique; Casque Cyclopéen; Cape d'Atcham; Sandales  d'Atcham</t>
        </is>
      </c>
    </row>
    <row r="3606">
      <c r="A3606" t="inlineStr">
        <is>
          <t>Stuff 1</t>
        </is>
      </c>
      <c r="B3606">
        <f>HYPERLINK("https://www.dofusbook.net/fr/equipement/86045-stuff-1/objets", "link")</f>
        <v/>
      </c>
      <c r="C3606" t="n">
        <v>4</v>
      </c>
      <c r="D3606" t="inlineStr">
        <is>
          <t>Marteau Reine; Amulette du Strigide; Anneau des égarés; Anneau Chevelu; Ceinture du Strigide; Boucle d'oreille de Kongoku; Cape au Logis; Baleinabottes; Dofus Pourpre; Dofus Turquoise; Dofus des Glaces; Vigoureux majeur; Remueur</t>
        </is>
      </c>
    </row>
    <row r="3607">
      <c r="A3607" t="inlineStr">
        <is>
          <t>Stuff 2</t>
        </is>
      </c>
      <c r="B3607">
        <f>HYPERLINK("https://www.dofusbook.net/fr/equipement/86013-stuff-2/objets", "link")</f>
        <v/>
      </c>
      <c r="C3607" t="n">
        <v>3</v>
      </c>
      <c r="D3607" t="inlineStr">
        <is>
          <t>Dagues Érhy; Amulette de Gein; Anneau de Pol Ouatnos; Bague Gloursonne; Ceinture de la Cour Sombre; Chapeau de Gein; Cape de la Cour Sombre; Bottes de la Cour Sombre; Dolmanax; Dofus Turquoise; Dofus Ocre; Dofus des Glaces; Dofus Pourpre</t>
        </is>
      </c>
    </row>
    <row r="3608">
      <c r="A3608" t="inlineStr">
        <is>
          <t>Stuff 3</t>
        </is>
      </c>
      <c r="B3608">
        <f>HYPERLINK("https://www.dofusbook.net/fr/equipement/86008-stuff-3/objets", "link")</f>
        <v/>
      </c>
      <c r="C3608" t="n">
        <v>7</v>
      </c>
      <c r="D3608" t="inlineStr">
        <is>
          <t>Bêche Asse; Collier de Tourthon; Anneau des égarés; Bague Trithon; Ceintouse; Chapoulpe; Cape de la Cour Sombre; Baleinabottes; Dofus Pourpre; Carapace Neutre majeur; Étourdisseur majeur; Nomade; Observateur; Remueur; Kramkram</t>
        </is>
      </c>
    </row>
    <row r="3609">
      <c r="A3609" t="inlineStr">
        <is>
          <t>Stuff 1</t>
        </is>
      </c>
      <c r="B3609">
        <f>HYPERLINK("https://www.dofusbook.net/fr/equipement/86003-stuff-1/objets", "link")</f>
        <v/>
      </c>
      <c r="C3609" t="n">
        <v>4</v>
      </c>
      <c r="D3609" t="inlineStr">
        <is>
          <t>Dagoulinantes; Amulette Luminescente; Alliance Gloursonne; Bracelet des Fonds marins; Ceinture Luminescente; Masque des Fonds marins; Cape Luminescente; Sandales des Fonds marins; Dofus Abyssal; Dofus Ocre; Dofus Pourpre; Joueur majeur; Taquin majeur; Précurseur majeur</t>
        </is>
      </c>
    </row>
    <row r="3610">
      <c r="A3610" t="inlineStr">
        <is>
          <t>Stuff 1</t>
        </is>
      </c>
      <c r="B3610">
        <f>HYPERLINK("https://www.dofusbook.net/fr/equipement/86021-stuff-1/objets", "link")</f>
        <v/>
      </c>
      <c r="C3610" t="n">
        <v>6</v>
      </c>
      <c r="D3610" t="inlineStr">
        <is>
          <t>Dagues Érhy; Amulette de Gein; Bague Gloursonne; Anneau de Brouce; Ceinture de Gein; Casque de Missiz Frizz; Voile d'encre; Baleinabottes; Dofus Pourpre; Dofus des Glaces; Dofus Turquoise; Nomade; Remueur</t>
        </is>
      </c>
    </row>
    <row r="3611">
      <c r="A3611" t="inlineStr">
        <is>
          <t>Stuff 1</t>
        </is>
      </c>
      <c r="B3611">
        <f>HYPERLINK("https://www.dofusbook.net/fr/equipement/86053-stuff-1/objets", "link")</f>
        <v/>
      </c>
      <c r="C3611" t="n">
        <v>5</v>
      </c>
      <c r="D3611" t="inlineStr">
        <is>
          <t>Épouvante; Amulette Ementaire Deluxe; Alliance Gloursonne; Bracelet du Piloztère; Ceinture Luminescente; Kidibonnet; Cape Luminescente; Bottes du Lévitrof; Dofus des Glaces; Dofus Pourpre; Évasif majeur; Nomade; Remueur; Carapace Air majeur</t>
        </is>
      </c>
    </row>
    <row r="3612">
      <c r="A3612" t="inlineStr">
        <is>
          <t>Stuff 2</t>
        </is>
      </c>
      <c r="B3612">
        <f>HYPERLINK("https://www.dofusbook.net/fr/equipement/86016-stuff-2/objets", "link")</f>
        <v/>
      </c>
      <c r="C3612" t="n">
        <v>8</v>
      </c>
      <c r="D3612" t="inlineStr">
        <is>
          <t>Arc Honte; Amulette Ementaire Deluxe; Chevalière du Roi Joueur; Alliance du Lévitrof; Ceintacé; Couronne de Nidas; Voile d'encre; Bottes du Lévitrof; Miraculé majeur; Temporiseur majeur; Vigoureux majeur; Nomade; Déserteur majeur; Remueur</t>
        </is>
      </c>
    </row>
    <row r="3613">
      <c r="A3613" t="inlineStr">
        <is>
          <t>Stuff 2</t>
        </is>
      </c>
      <c r="B3613">
        <f>HYPERLINK("https://www.dofusbook.net/fr/equipement/86048-stuff-2/objets", "link")</f>
        <v/>
      </c>
      <c r="C3613" t="n">
        <v>6</v>
      </c>
      <c r="D3613" t="inlineStr">
        <is>
          <t>Pelle de la Cour Sombre; Collier du Valet Veinard; Anneau d'Allister; Alliance Gloursonne; Ceinture de Nevark; Masque de Klime; Cape du Valet Veinard; Baleinabottes; Dofus des Glaces; Cascadeur majeur; Dévastateur Air majeur; Remueur; Saccageur Air majeur; Nomade; Siroko</t>
        </is>
      </c>
    </row>
    <row r="3614">
      <c r="A3614" t="inlineStr">
        <is>
          <t>Stuff 3</t>
        </is>
      </c>
      <c r="B3614">
        <f>HYPERLINK("https://www.dofusbook.net/fr/equipement/86011-stuff-3/objets", "link")</f>
        <v/>
      </c>
      <c r="C3614" t="n">
        <v>7</v>
      </c>
      <c r="D3614" t="inlineStr">
        <is>
          <t>Dagues Érhy; Amulette du Strigide; Bague Gloursonne; Bracelet du Piloztère; Ceinture du Strigide; Chapeau de Gein; Voile d'encre; Bottes de la Cour Sombre; Dofus Turquoise; Dofus Pourpre; Dofus Ocre; Nomade; Remueur; Vigoureux majeur; Kwaltess</t>
        </is>
      </c>
    </row>
    <row r="3615">
      <c r="A3615" t="inlineStr">
        <is>
          <t>Stuff 2</t>
        </is>
      </c>
      <c r="B3615">
        <f>HYPERLINK("https://www.dofusbook.net/fr/equipement/86043-stuff-2/objets", "link")</f>
        <v/>
      </c>
      <c r="C3615" t="n">
        <v>8</v>
      </c>
      <c r="D3615" t="inlineStr">
        <is>
          <t>Arc Hétype; Amulette de Nileza; Anneau Tique; Bague Gloursonne; Ceinture de Vortex; Casque Dragoeuf; Voile d'encre; Pataugastrique; Nomade; Déserteur majeur; Cavaleur majeur; Érudit majeur; Remueur; Évasif majeur; El Scarador</t>
        </is>
      </c>
    </row>
    <row r="3616">
      <c r="A3616" t="inlineStr">
        <is>
          <t>Stuff 1</t>
        </is>
      </c>
      <c r="B3616">
        <f>HYPERLINK("https://www.dofusbook.net/fr/equipement/86006-stuff-1/objets", "link")</f>
        <v/>
      </c>
      <c r="C3616" t="n">
        <v>9</v>
      </c>
      <c r="D3616" t="inlineStr">
        <is>
          <t>Dagues Ricol; Pendentif mignon de Koutoulou; Chevalière du Roi Joueur; Anneau Tique; Ceinture de Gein; Chapeau de Gein; Voile d'encre; Pataugastrique; Dofus des Glaces; Étourdisseur majeur; Remueur; Déserteur majeur; Nomade; Enragé majeur; Croum</t>
        </is>
      </c>
    </row>
    <row r="3617">
      <c r="A3617" t="inlineStr">
        <is>
          <t>Stuff 3</t>
        </is>
      </c>
      <c r="B3617">
        <f>HYPERLINK("https://www.dofusbook.net/fr/equipement/86038-stuff-3/objets", "link")</f>
        <v/>
      </c>
      <c r="C3617" t="n">
        <v>1</v>
      </c>
      <c r="D3617" t="inlineStr">
        <is>
          <t>Bêche Asse; Amulette de Gein; Bague Gloursonne; Anneau de Pol Ouatnos; Ceinture de la Reine des Voleurs; Coiffe de la Reine des Voleurs; Voile d'encre; Baleinabottes; Dofus des Glaces; Dolmanax; Dofus Pourpre; Évasif majeur; Remueur</t>
        </is>
      </c>
    </row>
    <row r="3618">
      <c r="A3618" t="inlineStr">
        <is>
          <t>Stuff 2</t>
        </is>
      </c>
      <c r="B3618">
        <f>HYPERLINK("https://www.dofusbook.net/fr/equipement/85995-stuff-2/objets", "link")</f>
        <v/>
      </c>
      <c r="C3618" t="n">
        <v>2</v>
      </c>
      <c r="D3618" t="inlineStr">
        <is>
          <t>Hache du Chalœil; Amulette de l'Indicible; Bracelet du Piloztère; Alliance Gloursonne; Ceintacé; Coiffe du Lévitrof; Voile d'encre; Bottes de l'Indicible; Dofus Turquoise; Dofus Pourpre; Dofus des Glaces; Remueur; Vigoureux majeur; Nomade; Kramkram</t>
        </is>
      </c>
    </row>
    <row r="3619">
      <c r="A3619" t="inlineStr">
        <is>
          <t>Stuff 1</t>
        </is>
      </c>
      <c r="B3619">
        <f>HYPERLINK("https://www.dofusbook.net/fr/equipement/86033-stuff-1/objets", "link")</f>
        <v/>
      </c>
      <c r="C3619" t="n">
        <v>3</v>
      </c>
      <c r="D3619" t="inlineStr">
        <is>
          <t>Rapière aux Glyphes; Talisman Igans; Anneau Glacial; Alliance du Lévitrof; Ceinture Glaciale; Kidibonnet; Cape Glaciale; Bottes du Lévitrof; Dofus des Glaces; Dofus Ocre; Dofus Pourpre; Fuyard majeur</t>
        </is>
      </c>
    </row>
    <row r="3620">
      <c r="A3620" t="inlineStr">
        <is>
          <t>Stuff 2</t>
        </is>
      </c>
      <c r="B3620">
        <f>HYPERLINK("https://www.dofusbook.net/fr/equipement/86028-stuff-2/objets", "link")</f>
        <v/>
      </c>
      <c r="C3620" t="n">
        <v>4</v>
      </c>
      <c r="D3620" t="inlineStr">
        <is>
          <t>Arc Honte; Collier de la Dame du Hasard; Anneau Tamie; Chevalière du Roi Joueur; Ceinture Instable; Couronne du Roi Joueur; Cape de Léthaline; Pantoufles Émar; Temporiseur; Entraveur majeur; Entraveur; Remueur; Ralentisseur majeur; Temporiseur majeur</t>
        </is>
      </c>
    </row>
    <row r="3621">
      <c r="A3621" t="inlineStr">
        <is>
          <t>Stuff 2</t>
        </is>
      </c>
      <c r="B3621">
        <f>HYPERLINK("https://www.dofusbook.net/fr/equipement/86060-stuff-2/objets", "link")</f>
        <v/>
      </c>
      <c r="C3621" t="n">
        <v>6</v>
      </c>
      <c r="D3621" t="inlineStr">
        <is>
          <t>Harpelle; Amulette Ementaire Deluxe; Anneau Tique; Anneau de Nidas; Ceintacé; Couronne de Nidas; Voile d'encre; Bottes de Meno; Dolmanax; Carapace Feu majeur; Remueur; Déserteur majeur; Nomade; Temporiseur majeur</t>
        </is>
      </c>
    </row>
    <row r="3622">
      <c r="A3622" t="inlineStr">
        <is>
          <t>Stuff 3</t>
        </is>
      </c>
      <c r="B3622">
        <f>HYPERLINK("https://www.dofusbook.net/fr/equipement/86023-stuff-3/objets", "link")</f>
        <v/>
      </c>
      <c r="C3622" t="n">
        <v>3</v>
      </c>
      <c r="D3622" t="inlineStr">
        <is>
          <t>Hache Ériphe; Amulette Hendart; Alliance Gloursonne; Anneau des égarés; Ceinture de la Reine des Voleurs; Coiffe de la Reine des Voleurs; Cape du Kamasterisk; Baleinabottes; Dofus des Glaces; Dofus Pourpre; Nomade; Remueur</t>
        </is>
      </c>
    </row>
    <row r="3623">
      <c r="A3623" t="inlineStr">
        <is>
          <t>Stuff 1</t>
        </is>
      </c>
      <c r="B3623">
        <f>HYPERLINK("https://www.dofusbook.net/fr/equipement/86018-stuff-1/objets", "link")</f>
        <v/>
      </c>
      <c r="C3623" t="n">
        <v>1</v>
      </c>
      <c r="D3623" t="inlineStr">
        <is>
          <t>Rapière aux Glyphes; Talisman Igans; Alliance Gloursonne; Bracelet des Fonds marins; Ceintrigue; Kidibonnet; Cape des Malveilleurs; Bottes de la Reine des Voleurs; Remueur; Culbuteur majeur; Miraculé majeur; Nomade; Carapace Eau majeur; Bousculeur majeur</t>
        </is>
      </c>
    </row>
    <row r="3624">
      <c r="A3624" t="inlineStr">
        <is>
          <t>Stuff 1</t>
        </is>
      </c>
      <c r="B3624">
        <f>HYPERLINK("https://www.dofusbook.net/fr/equipement/86050-stuff-1/objets", "link")</f>
        <v/>
      </c>
      <c r="C3624" t="n">
        <v>5</v>
      </c>
      <c r="D3624" t="inlineStr">
        <is>
          <t>Sabres d'Atcham; Frimamulette; Kralano; Anneau Tique; Ceinture de Vortex; Cagoule de Vortex; Cape d'Atcham; Sandales  d'Atcham; Dofus des Glaces; Dofus Pourpre; Dofus Ocre; Engourdisseur majeur</t>
        </is>
      </c>
    </row>
    <row r="3625">
      <c r="A3625" t="inlineStr">
        <is>
          <t>Stuff 2</t>
        </is>
      </c>
      <c r="B3625">
        <f>HYPERLINK("https://www.dofusbook.net/fr/equipement/86013-stuff-2/objets", "link")</f>
        <v/>
      </c>
      <c r="C3625" t="n">
        <v>3</v>
      </c>
      <c r="D3625" t="inlineStr">
        <is>
          <t>Dagues Érhy; Amulette de Gein; Bague Gloursonne; Anneau de Pol Ouatnos; Ceinture de la Cour Sombre; Chapeau de Gein; Cape de la Cour Sombre; Bottes de la Cour Sombre; Dofus Turquoise; Dofus Ocre; Dofus des Glaces; Dofus Pourpre; Dolmanax</t>
        </is>
      </c>
    </row>
    <row r="3626">
      <c r="A3626" t="inlineStr">
        <is>
          <t>Stuff 1</t>
        </is>
      </c>
      <c r="B3626">
        <f>HYPERLINK("https://www.dofusbook.net/fr/equipement/86045-stuff-1/objets", "link")</f>
        <v/>
      </c>
      <c r="C3626" t="n">
        <v>4</v>
      </c>
      <c r="D3626" t="inlineStr">
        <is>
          <t>Marteau Reine; Amulette du Strigide; Anneau des égarés; Anneau Chevelu; Ceinture du Strigide; Boucle d'oreille de Kongoku; Cape au Logis; Baleinabottes; Dofus Pourpre; Dofus Turquoise; Dofus des Glaces; Vigoureux majeur; Remueur</t>
        </is>
      </c>
    </row>
    <row r="3627">
      <c r="A3627" t="inlineStr">
        <is>
          <t>Stuff 3</t>
        </is>
      </c>
      <c r="B3627">
        <f>HYPERLINK("https://www.dofusbook.net/fr/equipement/86008-stuff-3/objets", "link")</f>
        <v/>
      </c>
      <c r="C3627" t="n">
        <v>7</v>
      </c>
      <c r="D3627" t="inlineStr">
        <is>
          <t>Bêche Asse; Collier de Tourthon; Anneau des égarés; Bague Trithon; Ceintouse; Chapoulpe; Cape de la Cour Sombre; Baleinabottes; Dofus Pourpre; Carapace Neutre majeur; Étourdisseur majeur; Nomade; Observateur; Remueur; Kramkram</t>
        </is>
      </c>
    </row>
    <row r="3628">
      <c r="A3628" t="inlineStr">
        <is>
          <t>Stuff 1</t>
        </is>
      </c>
      <c r="B3628">
        <f>HYPERLINK("https://www.dofusbook.net/fr/equipement/86015-stuff-1/objets", "link")</f>
        <v/>
      </c>
      <c r="C3628" t="n">
        <v>6</v>
      </c>
      <c r="D3628" t="inlineStr">
        <is>
          <t>Rapière aux Glyphes; Amulette de Shokkoth; Alliance Gloursonne; Pikano; Ceinture Luminescente; Kidibonnet; Cape Luminescente; Bottes de Meno; Chanceux majeur; Nomade; Déserteur majeur; Remueur; Carapace Eau majeur; Temporiseur majeur</t>
        </is>
      </c>
    </row>
    <row r="3629">
      <c r="A3629" t="inlineStr">
        <is>
          <t>Stuff 1</t>
        </is>
      </c>
      <c r="B3629">
        <f>HYPERLINK("https://www.dofusbook.net/fr/equipement/86047-stuff-1/objets", "link")</f>
        <v/>
      </c>
      <c r="C3629" t="n">
        <v>3</v>
      </c>
      <c r="D3629" t="inlineStr">
        <is>
          <t>Arc Hétype; Talisman Igans; Anneau Tamie; Anneau Tamie; Ceintrigue; Coiffe Séculaire; Cape de Nileza; Pataugastrique; Dévastateur Feu majeur; Remueur; Astucieux majeur; Nomade; Saccageur Feu majeur; Érudit majeur; Brûlih</t>
        </is>
      </c>
    </row>
    <row r="3630">
      <c r="A3630" t="inlineStr">
        <is>
          <t>Stuff 2</t>
        </is>
      </c>
      <c r="B3630">
        <f>HYPERLINK("https://www.dofusbook.net/fr/equipement/86010-stuff-2/objets", "link")</f>
        <v/>
      </c>
      <c r="C3630" t="n">
        <v>5</v>
      </c>
      <c r="D3630" t="inlineStr">
        <is>
          <t>Dagues Érhy; Amulette du Strigide; Chevalière du Roi Joueur; Bague Gloursonne; Ceinture du Strigide; Chapeau de Gein; Voile d'encre; Bottes de la Cour Sombre; Dofus Turquoise; Dofus Pourpre; Dofus Ocre; Vigoureux majeur; Nomade; Remueur; Kwaltess</t>
        </is>
      </c>
    </row>
    <row r="3631">
      <c r="A3631" t="inlineStr">
        <is>
          <t>Stuff 1</t>
        </is>
      </c>
      <c r="B3631">
        <f>HYPERLINK("https://www.dofusbook.net/fr/equipement/86042-stuff-1/objets", "link")</f>
        <v/>
      </c>
      <c r="C3631" t="n">
        <v>4</v>
      </c>
      <c r="D3631" t="inlineStr">
        <is>
          <t>Rapière aux Glyphes; Amulette du Piloztère; Alliance Gloursonne; Bracelet du Piloztère; Ceinture de Kongoku; Boucle d'oreille de Kongoku; Cape de Kongoku; Pantoufles du Piloztère</t>
        </is>
      </c>
    </row>
    <row r="3632">
      <c r="A3632" t="inlineStr">
        <is>
          <t>Stuff 3</t>
        </is>
      </c>
      <c r="B3632">
        <f>HYPERLINK("https://www.dofusbook.net/fr/equipement/86005-stuff-3/objets", "link")</f>
        <v/>
      </c>
      <c r="C3632" t="n">
        <v>7</v>
      </c>
      <c r="D3632" t="inlineStr">
        <is>
          <t>Arc Hétype; Amulette Séculaire; Anneau de Nidas; Bague Gloursonne; Ceinture de Gein; Coiffe Séculaire; Voile d'encre; Bottes Owesli; Dolmanax; Dofus Ocre; Nomade; Remueur; Miraculé majeur; Érudit majeur</t>
        </is>
      </c>
    </row>
    <row r="3633">
      <c r="A3633" t="inlineStr">
        <is>
          <t>Stuff 2</t>
        </is>
      </c>
      <c r="B3633">
        <f>HYPERLINK("https://www.dofusbook.net/fr/equipement/86037-stuff-2/objets", "link")</f>
        <v/>
      </c>
      <c r="C3633" t="n">
        <v>4</v>
      </c>
      <c r="D3633" t="inlineStr">
        <is>
          <t>Baguette de Malléfisk; Talisman Igans; Anneau Cryochrone; Alliance Gloursonne; Ceintrigue; Casqnoar; Capchalot; Bottes de Théodoran Ax; Dolmanax; Nomade; Remueur; Guérisseur majeur</t>
        </is>
      </c>
    </row>
    <row r="3634">
      <c r="A3634" t="inlineStr">
        <is>
          <t>Stuff 3</t>
        </is>
      </c>
      <c r="B3634">
        <f>HYPERLINK("https://www.dofusbook.net/fr/equipement/86032-stuff-3/objets", "link")</f>
        <v/>
      </c>
      <c r="C3634" t="n">
        <v>2</v>
      </c>
      <c r="D3634" t="inlineStr">
        <is>
          <t>Amulette d'Otomaï; Kralano; Anneau de Padgref; Ceinture Séculaire; Cagoule de Vortex; Cape de Diondin; Getas de Padgref; Dofus Pourpre; Dofus Turquoise; Vigoureux majeur; Érudit majeur; Nomade; Remueur</t>
        </is>
      </c>
    </row>
    <row r="3635">
      <c r="A3635" t="inlineStr">
        <is>
          <t>Stuff 3</t>
        </is>
      </c>
      <c r="B3635">
        <f>HYPERLINK("https://www.dofusbook.net/fr/equipement/86064-stuff-3/objets", "link")</f>
        <v/>
      </c>
      <c r="C3635" t="n">
        <v>4</v>
      </c>
      <c r="D3635" t="inlineStr">
        <is>
          <t>Dagoulinantes; Amulette de Shokkoth; Alliance Gloursonne; Bracelet des Fonds marins; Ceinture de la Reine des Voleurs; Kidibonnet; Cape de Mantaze; Bottes de la Reine des Voleurs; Dofus des Glaces; Chanceux majeur; Dévastateur Eau majeur; Nomade; Remueur; Saccageur Eau majeur</t>
        </is>
      </c>
    </row>
    <row r="3636">
      <c r="A3636" t="inlineStr">
        <is>
          <t>Stuff 1</t>
        </is>
      </c>
      <c r="B3636">
        <f>HYPERLINK("https://www.dofusbook.net/fr/equipement/85994-stuff-1/objets", "link")</f>
        <v/>
      </c>
      <c r="C3636" t="n">
        <v>0</v>
      </c>
      <c r="D3636" t="inlineStr">
        <is>
          <t>Bêche Asse; Amulette de Gein; Bracelet du Piloztère; Anneau de Brouce; Ceinture de la Reine des Voleurs; Coiffe de la Reine des Voleurs; Voile d'encre; Sabots Minables; Dofus Pourpre; Dofus des Glaces; Évasif majeur; Vigoureux majeur; Nomade; Remueur</t>
        </is>
      </c>
    </row>
    <row r="3637">
      <c r="A3637" t="inlineStr">
        <is>
          <t>Stuff 1</t>
        </is>
      </c>
      <c r="B3637">
        <f>HYPERLINK("https://www.dofusbook.net/fr/equipement/86027-stuff-1/objets", "link")</f>
        <v/>
      </c>
      <c r="C3637" t="n">
        <v>5</v>
      </c>
      <c r="D3637" t="inlineStr">
        <is>
          <t>Baguette Hique; Amulette du Glourséleste; Anneau Tamie; Pikano; Ceinture Instable; Casquipik; Cape de Kongoku; Pantoufles Émar; Temporiseur; Temporiseur majeur; Ralentisseur majeur; Entraveur; Entraveur majeur; Remueur; Koalak Sanguin</t>
        </is>
      </c>
    </row>
    <row r="3638">
      <c r="A3638" t="inlineStr">
        <is>
          <t>Stuff 1</t>
        </is>
      </c>
      <c r="B3638">
        <f>HYPERLINK("https://www.dofusbook.net/fr/equipement/86059-stuff-1/objets", "link")</f>
        <v/>
      </c>
      <c r="C3638" t="n">
        <v>1</v>
      </c>
      <c r="D3638" t="inlineStr">
        <is>
          <t>Plumeau Bil; Amulette Ementaire Deluxe; Anneau Tique; Anneau de Nidas; Ceinture de Gein; Chapeau de Gein; Voile d'encre; Pataugastrique; Dofus Cawotte; Vigoureux majeur; Remueur; Déserteur majeur; Nomade; Temporiseur majeur</t>
        </is>
      </c>
    </row>
    <row r="3639">
      <c r="A3639" t="inlineStr">
        <is>
          <t>Stuff 2</t>
        </is>
      </c>
      <c r="B3639">
        <f>HYPERLINK("https://www.dofusbook.net/fr/equipement/86022-stuff-2/objets", "link")</f>
        <v/>
      </c>
      <c r="C3639" t="n">
        <v>0</v>
      </c>
      <c r="D3639" t="inlineStr">
        <is>
          <t>Dagues Érhy; Amulette du Cycloïde; Anneau de Brouce; Bague Gloursonne; Ceinture d'Henual; Chapeau de Gein; Voile d'encre; Bottes du Cycloïde</t>
        </is>
      </c>
    </row>
    <row r="3640">
      <c r="A3640" t="inlineStr">
        <is>
          <t>Stuff 3</t>
        </is>
      </c>
      <c r="B3640">
        <f>HYPERLINK("https://www.dofusbook.net/fr/equipement/86017-stuff-3/objets", "link")</f>
        <v/>
      </c>
      <c r="C3640" t="n">
        <v>4</v>
      </c>
      <c r="D3640" t="inlineStr">
        <is>
          <t>Dagues Érhy; Amulette Ementaire Deluxe; Chevalière du Roi Joueur; Anneau Tique; Ceintacé; Couronne du Roi Joueur; Voile d'encre; Bottes de Meno; Miraculé majeur; Remueur; Déserteur majeur; Carapace Terre majeur; Vigoureux majeur; Temporiseur majeur</t>
        </is>
      </c>
    </row>
    <row r="3641">
      <c r="A3641" t="inlineStr">
        <is>
          <t>Stuff 3</t>
        </is>
      </c>
      <c r="B3641">
        <f>HYPERLINK("https://www.dofusbook.net/fr/equipement/86049-stuff-3/objets", "link")</f>
        <v/>
      </c>
      <c r="C3641" t="n">
        <v>1</v>
      </c>
      <c r="D3641" t="inlineStr">
        <is>
          <t>Sceptre du Roi Joueur; Talisman Igans; Anneau Glacial; Alliance Gloursonne; Ceinture de la Reine des Voleurs; Kidibonnet; Cape du Sinistrofu; Bottes de la Reine des Voleurs; Dofus des Glaces; Saccageur Eau majeur; Nomade; Chanceux majeur; Dévastateur Eau majeur; Remueur; Dehluge</t>
        </is>
      </c>
    </row>
    <row r="3642">
      <c r="A3642" t="inlineStr">
        <is>
          <t>Stuff 1</t>
        </is>
      </c>
      <c r="B3642">
        <f>HYPERLINK("https://www.dofusbook.net/fr/equipement/86012-stuff-1/objets", "link")</f>
        <v/>
      </c>
      <c r="C3642" t="n">
        <v>0</v>
      </c>
      <c r="D3642" t="inlineStr">
        <is>
          <t>Épouvante; Amulette du Strigide; Bracelet du Piloztère; Alliance Gloursonne; Ceinture du Strigide; Masque de Koutoulou; Voile d'encre; Bottes du Lévitrof; Dofus Turquoise; Dofus des Glaces; Dofus Pourpre; Nomade; Remueur</t>
        </is>
      </c>
    </row>
    <row r="3643">
      <c r="A3643" t="inlineStr">
        <is>
          <t>Stuff 3</t>
        </is>
      </c>
      <c r="B3643">
        <f>HYPERLINK("https://www.dofusbook.net/fr/equipement/86044-stuff-3/objets", "link")</f>
        <v/>
      </c>
      <c r="C3643" t="n">
        <v>5</v>
      </c>
      <c r="D3643" t="inlineStr">
        <is>
          <t>Arc Hétype; Amulette de Nileza; Anneau de Nidas; Anneau Tique; Ceinture de Vortex; Dorabysses; Voile d'encre; Pataugastrique; Dolmanax; Remueur; Érudit majeur; Nomade; El Scarador</t>
        </is>
      </c>
    </row>
    <row r="3644">
      <c r="A3644" t="inlineStr">
        <is>
          <t>Stuff 2</t>
        </is>
      </c>
      <c r="B3644">
        <f>HYPERLINK("https://www.dofusbook.net/fr/equipement/86007-stuff-2/objets", "link")</f>
        <v/>
      </c>
      <c r="C3644" t="n">
        <v>2</v>
      </c>
      <c r="D3644" t="inlineStr">
        <is>
          <t>Dagues Érhy; Amulette de Pol Ouatnos; Anneau de Brouce; Bague Gloursonne; Ceinture de la Cour Sombre; Chapeau de Gein; Cape de la Cour Sombre; Bottes de la Cour Sombre; Dolmanax; Dofus Pourpre; Dofus des Glaces; Dofus Ocre; Engourdisseur majeur</t>
        </is>
      </c>
    </row>
    <row r="3645">
      <c r="A3645" t="inlineStr">
        <is>
          <t>Stuff 2</t>
        </is>
      </c>
      <c r="B3645">
        <f>HYPERLINK("https://www.dofusbook.net/fr/equipement/86034-stuff-2/objets", "link")</f>
        <v/>
      </c>
      <c r="C3645" t="n">
        <v>3</v>
      </c>
      <c r="D3645" t="inlineStr">
        <is>
          <t>Dagoulinantes; Talisman Glouti; Bracelet des Fonds marins; Alliance Gloursonne; Poulpagne; Coiffe du Kanimate; Cape du Kanimate; Bottes du Sinistrofu; Dofus des Glaces; Dofus Pourpre; Remueur; Vigoureux majeur; Nomade; Kramkram</t>
        </is>
      </c>
    </row>
    <row r="3646">
      <c r="A3646" t="inlineStr">
        <is>
          <t>Stuff 1</t>
        </is>
      </c>
      <c r="B3646">
        <f>HYPERLINK("https://www.dofusbook.net/fr/equipement/86050-stuff-1/objets", "link")</f>
        <v/>
      </c>
      <c r="C3646" t="n">
        <v>5</v>
      </c>
      <c r="D3646" t="inlineStr">
        <is>
          <t>Sabres d'Atcham; Frimamulette; Kralano; Anneau Tique; Ceinture de Vortex; Cagoule de Vortex; Cape d'Atcham; Sandales  d'Atcham; Dofus Ocre; Dofus des Glaces; Dofus Pourpre; Engourdisseur majeur</t>
        </is>
      </c>
    </row>
    <row r="3647">
      <c r="A3647" t="inlineStr">
        <is>
          <t>Stuff 2</t>
        </is>
      </c>
      <c r="B3647">
        <f>HYPERLINK("https://www.dofusbook.net/fr/equipement/86013-stuff-2/objets", "link")</f>
        <v/>
      </c>
      <c r="C3647" t="n">
        <v>3</v>
      </c>
      <c r="D3647" t="inlineStr">
        <is>
          <t>Dagues Érhy; Amulette de Gein; Anneau de Pol Ouatnos; Bague Gloursonne; Ceinture de la Cour Sombre; Chapeau de Gein; Cape de la Cour Sombre; Bottes de la Cour Sombre; Dolmanax; Dofus Turquoise; Dofus Ocre; Dofus des Glaces; Dofus Pourpre</t>
        </is>
      </c>
    </row>
    <row r="3648">
      <c r="A3648" t="inlineStr">
        <is>
          <t>Stuff 1</t>
        </is>
      </c>
      <c r="B3648">
        <f>HYPERLINK("https://www.dofusbook.net/fr/equipement/86045-stuff-1/objets", "link")</f>
        <v/>
      </c>
      <c r="C3648" t="n">
        <v>4</v>
      </c>
      <c r="D3648" t="inlineStr">
        <is>
          <t>Marteau Reine; Amulette du Strigide; Anneau Chevelu; Anneau des égarés; Ceinture du Strigide; Boucle d'oreille de Kongoku; Cape au Logis; Baleinabottes; Dofus Pourpre; Dofus Turquoise; Dofus des Glaces; Remueur; Vigoureux majeur</t>
        </is>
      </c>
    </row>
    <row r="3649">
      <c r="A3649" t="inlineStr">
        <is>
          <t>Stuff 3</t>
        </is>
      </c>
      <c r="B3649">
        <f>HYPERLINK("https://www.dofusbook.net/fr/equipement/86008-stuff-3/objets", "link")</f>
        <v/>
      </c>
      <c r="C3649" t="n">
        <v>7</v>
      </c>
      <c r="D3649" t="inlineStr">
        <is>
          <t>Bêche Asse; Collier de Tourthon; Anneau des égarés; Bague Trithon; Ceintouse; Chapoulpe; Cape de la Cour Sombre; Baleinabottes; Dofus Pourpre; Remueur; Carapace Neutre majeur; Étourdisseur majeur; Nomade; Observateur; Kramkram</t>
        </is>
      </c>
    </row>
    <row r="3650">
      <c r="A3650" t="inlineStr">
        <is>
          <t>Stuff 1</t>
        </is>
      </c>
      <c r="B3650">
        <f>HYPERLINK("https://www.dofusbook.net/fr/equipement/86003-stuff-1/objets", "link")</f>
        <v/>
      </c>
      <c r="C3650" t="n">
        <v>4</v>
      </c>
      <c r="D3650" t="inlineStr">
        <is>
          <t>Dagoulinantes; Amulette Luminescente; Alliance Gloursonne; Bracelet des Fonds marins; Ceinture Luminescente; Masque des Fonds marins; Cape Luminescente; Sandales des Fonds marins; Dofus Ocre; Dofus Pourpre; Dofus Abyssal; Taquin majeur; Précurseur majeur; Joueur majeur</t>
        </is>
      </c>
    </row>
    <row r="3651">
      <c r="A3651" t="inlineStr">
        <is>
          <t>Stuff 3</t>
        </is>
      </c>
      <c r="B3651">
        <f>HYPERLINK("https://www.dofusbook.net/fr/equipement/86035-stuff-3/objets", "link")</f>
        <v/>
      </c>
      <c r="C3651" t="n">
        <v>2</v>
      </c>
      <c r="D3651" t="inlineStr">
        <is>
          <t>Rapière aux Glyphes; Amulette Voldelor; Bracelet des Fonds marins; Alliance Gloursonne; Ceinture Glaciale; Kidibonnet; Cape du Sinistrofu; Bottes du Sinistrofu; Cavaleur majeur; Remueur; Évasif majeur; Nomade</t>
        </is>
      </c>
    </row>
    <row r="3652">
      <c r="A3652" t="inlineStr">
        <is>
          <t>Stuff 2</t>
        </is>
      </c>
      <c r="B3652">
        <f>HYPERLINK("https://www.dofusbook.net/fr/equipement/85989-stuff-2/objets", "link")</f>
        <v/>
      </c>
      <c r="C3652" t="n">
        <v>5</v>
      </c>
      <c r="D3652" t="inlineStr">
        <is>
          <t>Hache du Chalœil; Amulette du Strigide; Bracelet du Piloztère; Alliance Gloursonne; Ceintacé; Casque du Chalœil; Voile d'encre; Bottes du Strigide; Dofus Turquoise; Dofus Pourpre; Dofus des Glaces; Remueur; Vigoureux majeur; Nomade</t>
        </is>
      </c>
    </row>
    <row r="3653">
      <c r="A3653" t="inlineStr">
        <is>
          <t>Stuff 1</t>
        </is>
      </c>
      <c r="B3653">
        <f>HYPERLINK("https://www.dofusbook.net/fr/equipement/86030-stuff-1/objets", "link")</f>
        <v/>
      </c>
      <c r="C3653" t="n">
        <v>11</v>
      </c>
      <c r="D3653" t="inlineStr">
        <is>
          <t>Sabres d'Atcham; Amulette du Strigide; Alliance Gloursonne; Anneau de Padgref; Menoture; Cagoule de Vortex; Cape du Barbétoal; Sandales  d'Atcham; Dofus Pourpre; Dofus Turquoise; Nomade; Étourdisseur majeur; Remueur; Vigoureux majeur</t>
        </is>
      </c>
    </row>
    <row r="3654">
      <c r="A3654" t="inlineStr">
        <is>
          <t>Stuff 1</t>
        </is>
      </c>
      <c r="B3654">
        <f>HYPERLINK("https://www.dofusbook.net/fr/equipement/86062-stuff-1/objets", "link")</f>
        <v/>
      </c>
      <c r="C3654" t="n">
        <v>7</v>
      </c>
      <c r="D3654" t="inlineStr">
        <is>
          <t>Pelle de la Cour Sombre; Collier du Valet Veinard; Gant du Valet Veinard; Anneau d'Allister; Menoture; Masque de Klime; Cape Indescriptible; Palmes Trithons; Dofus des Glaces; Saccageur Air majeur; Remueur; Dévastateur Air majeur; Nomade; Cascadeur majeur; Siroko</t>
        </is>
      </c>
    </row>
    <row r="3655">
      <c r="A3655" t="inlineStr">
        <is>
          <t>Stuff 2</t>
        </is>
      </c>
      <c r="B3655">
        <f>HYPERLINK("https://www.dofusbook.net/fr/equipement/86025-stuff-2/objets", "link")</f>
        <v/>
      </c>
      <c r="C3655" t="n">
        <v>2</v>
      </c>
      <c r="D3655" t="inlineStr">
        <is>
          <t>Arc Hétype; Pendentif mignon de Koutoulou; Anneau Tamie; Anneau Tamie; Ceintrigue; Casque Cyclopéen; Cape de Diondin; Bottes Innommables; Astucieux majeur; Nomade; Dévastateur Feu majeur; Remueur; Saccageur Feu majeur; Érudit majeur; Brûlih</t>
        </is>
      </c>
    </row>
    <row r="3656">
      <c r="A3656" t="inlineStr">
        <is>
          <t>Stuff 3</t>
        </is>
      </c>
      <c r="B3656">
        <f>HYPERLINK("https://www.dofusbook.net/fr/equipement/86020-stuff-3/objets", "link")</f>
        <v/>
      </c>
      <c r="C3656" t="n">
        <v>6</v>
      </c>
      <c r="D3656" t="inlineStr">
        <is>
          <t>Dagues de Srambad; Amulette Luminescente; Bracelet du Piloztère; Pikano; Ceinture de la Reine des Voleurs; Coiffe de la Reine des Voleurs; Voilamibe; Sabots Minables; Dofus des Glaces; Dofus Pourpre; Vigoureux majeur; Remueur; Sanguinaire majeur; Miraculé majeur</t>
        </is>
      </c>
    </row>
    <row r="3657">
      <c r="A3657" t="inlineStr">
        <is>
          <t>Stuff 2</t>
        </is>
      </c>
      <c r="B3657">
        <f>HYPERLINK("https://www.dofusbook.net/fr/equipement/86052-stuff-2/objets", "link")</f>
        <v/>
      </c>
      <c r="C3657" t="n">
        <v>2</v>
      </c>
      <c r="D3657" t="inlineStr">
        <is>
          <t>Arc du Chalœil; Amulette du Strigide; Anneau Chevelu; Anneau de Brouce; Ceintacé; Casque des égarés; Voile d'encre; Bottes de Brouce; Dofus Pourpre; Remueur; Cavaleur majeur; Nomade</t>
        </is>
      </c>
    </row>
    <row r="3658">
      <c r="A3658" t="inlineStr">
        <is>
          <t>Stuff 1</t>
        </is>
      </c>
      <c r="B3658">
        <f>HYPERLINK("https://www.dofusbook.net/fr/equipement/86015-stuff-1/objets", "link")</f>
        <v/>
      </c>
      <c r="C3658" t="n">
        <v>6</v>
      </c>
      <c r="D3658" t="inlineStr">
        <is>
          <t>Rapière aux Glyphes; Amulette de Shokkoth; Alliance Gloursonne; Pikano; Ceinture Luminescente; Kidibonnet; Cape Luminescente; Bottes de Meno; Chanceux majeur; Nomade; Déserteur majeur; Remueur; Carapace Eau majeur; Temporiseur majeur</t>
        </is>
      </c>
    </row>
    <row r="3659">
      <c r="A3659" t="inlineStr">
        <is>
          <t>Stuff 1</t>
        </is>
      </c>
      <c r="B3659">
        <f>HYPERLINK("https://www.dofusbook.net/fr/equipement/86047-stuff-1/objets", "link")</f>
        <v/>
      </c>
      <c r="C3659" t="n">
        <v>3</v>
      </c>
      <c r="D3659" t="inlineStr">
        <is>
          <t>Arc Hétype; Talisman Igans; Anneau Tamie; Anneau Tamie; Ceintrigue; Coiffe Séculaire; Cape de Nileza; Pataugastrique; Remueur; Astucieux majeur; Nomade; Saccageur Feu majeur; Érudit majeur; Dévastateur Feu majeur; Brûlih</t>
        </is>
      </c>
    </row>
    <row r="3660">
      <c r="A3660" t="inlineStr">
        <is>
          <t>Stuff 2</t>
        </is>
      </c>
      <c r="B3660">
        <f>HYPERLINK("https://www.dofusbook.net/fr/equipement/86010-stuff-2/objets", "link")</f>
        <v/>
      </c>
      <c r="C3660" t="n">
        <v>5</v>
      </c>
      <c r="D3660" t="inlineStr">
        <is>
          <t>Dagues Érhy; Amulette du Strigide; Chevalière du Roi Joueur; Bague Gloursonne; Ceinture du Strigide; Chapeau de Gein; Voile d'encre; Bottes de la Cour Sombre; Dofus Turquoise; Dofus Pourpre; Dofus Ocre; Vigoureux majeur; Nomade; Remueur; Kwaltess</t>
        </is>
      </c>
    </row>
    <row r="3661">
      <c r="A3661" t="inlineStr">
        <is>
          <t>Stuff 1</t>
        </is>
      </c>
      <c r="B3661">
        <f>HYPERLINK("https://www.dofusbook.net/fr/equipement/86042-stuff-1/objets", "link")</f>
        <v/>
      </c>
      <c r="C3661" t="n">
        <v>4</v>
      </c>
      <c r="D3661" t="inlineStr">
        <is>
          <t>Rapière aux Glyphes; Amulette du Piloztère; Bracelet du Piloztère; Alliance Gloursonne; Ceinture de Kongoku; Boucle d'oreille de Kongoku; Cape de Kongoku; Pantoufles du Piloztère</t>
        </is>
      </c>
    </row>
    <row r="3662">
      <c r="A3662" t="inlineStr">
        <is>
          <t>Stuff 3</t>
        </is>
      </c>
      <c r="B3662">
        <f>HYPERLINK("https://www.dofusbook.net/fr/equipement/86005-stuff-3/objets", "link")</f>
        <v/>
      </c>
      <c r="C3662" t="n">
        <v>7</v>
      </c>
      <c r="D3662" t="inlineStr">
        <is>
          <t>Arc Hétype; Amulette Séculaire; Anneau de Nidas; Bague Gloursonne; Ceinture de Gein; Coiffe Séculaire; Voile d'encre; Bottes Owesli; Dolmanax; Dofus Ocre; Miraculé majeur; Érudit majeur; Nomade; Remueur</t>
        </is>
      </c>
    </row>
    <row r="3663">
      <c r="A3663" t="inlineStr">
        <is>
          <t>Stuff 2</t>
        </is>
      </c>
      <c r="B3663">
        <f>HYPERLINK("https://www.dofusbook.net/fr/equipement/86037-stuff-2/objets", "link")</f>
        <v/>
      </c>
      <c r="C3663" t="n">
        <v>4</v>
      </c>
      <c r="D3663" t="inlineStr">
        <is>
          <t>Baguette de Malléfisk; Talisman Igans; Anneau Cryochrone; Alliance Gloursonne; Ceintrigue; Casqnoar; Capchalot; Bottes de Théodoran Ax; Dolmanax; Nomade; Remueur; Guérisseur majeur</t>
        </is>
      </c>
    </row>
    <row r="3664">
      <c r="A3664" t="inlineStr">
        <is>
          <t>Stuff 3</t>
        </is>
      </c>
      <c r="B3664">
        <f>HYPERLINK("https://www.dofusbook.net/fr/equipement/86032-stuff-3/objets", "link")</f>
        <v/>
      </c>
      <c r="C3664" t="n">
        <v>2</v>
      </c>
      <c r="D3664" t="inlineStr">
        <is>
          <t>Amulette d'Otomaï; Kralano; Anneau de Padgref; Ceinture Séculaire; Cagoule de Vortex; Cape de Diondin; Getas de Padgref; Dofus Turquoise; Dofus Pourpre; Érudit majeur; Nomade; Remueur; Vigoureux majeur</t>
        </is>
      </c>
    </row>
    <row r="3665">
      <c r="A3665" t="inlineStr">
        <is>
          <t>Stuff 3</t>
        </is>
      </c>
      <c r="B3665">
        <f>HYPERLINK("https://www.dofusbook.net/fr/equipement/86064-stuff-3/objets", "link")</f>
        <v/>
      </c>
      <c r="C3665" t="n">
        <v>4</v>
      </c>
      <c r="D3665" t="inlineStr">
        <is>
          <t>Dagoulinantes; Amulette de Shokkoth; Alliance Gloursonne; Bracelet des Fonds marins; Ceinture de la Reine des Voleurs; Kidibonnet; Cape de Mantaze; Bottes de la Reine des Voleurs; Dofus des Glaces; Remueur; Saccageur Eau majeur; Chanceux majeur; Dévastateur Eau majeur; Nomade</t>
        </is>
      </c>
    </row>
    <row r="3666">
      <c r="A3666" t="inlineStr">
        <is>
          <t>Stuff 1</t>
        </is>
      </c>
      <c r="B3666">
        <f>HYPERLINK("https://www.dofusbook.net/fr/equipement/85994-stuff-1/objets", "link")</f>
        <v/>
      </c>
      <c r="C3666" t="n">
        <v>0</v>
      </c>
      <c r="D3666" t="inlineStr">
        <is>
          <t>Bêche Asse; Amulette de Gein; Anneau de Brouce; Bracelet du Piloztère; Ceinture de la Reine des Voleurs; Coiffe de la Reine des Voleurs; Voile d'encre; Sabots Minables; Dofus des Glaces; Dofus Pourpre; Vigoureux majeur; Nomade; Remueur; Évasif majeur</t>
        </is>
      </c>
    </row>
    <row r="3667">
      <c r="A3667" t="inlineStr">
        <is>
          <t>AirRécri</t>
        </is>
      </c>
      <c r="B3667">
        <f>HYPERLINK("https://www.dofusbook.net/fr/equipement/4598559-airrecri/objets", "link")</f>
        <v/>
      </c>
      <c r="C3667" t="n">
        <v>5</v>
      </c>
      <c r="D3667" t="inlineStr">
        <is>
          <t>Arc de Koutoulou; Collier du Valet Veinard; Gant du Valet Veinard; Alliance Gloursonne; Cadran d'Air; Ceinture de la Reine des Voleurs; Coiffe de la Reine des Voleurs; Cape du Valet Veinard; Bottes de la Reine des Voleurs; Dofus Pourpre; Dofus Ébène; Dofus Ocre; Dofus Abyssal; Dofus Ivoire; Dofus des Glaces; Muldo Doré et Ebène</t>
        </is>
      </c>
    </row>
    <row r="3668">
      <c r="A3668" t="inlineStr">
        <is>
          <t>RJ/Volk</t>
        </is>
      </c>
      <c r="B3668">
        <f>HYPERLINK("https://www.dofusbook.net/fr/equipement/4182555-rj-volk/objets", "link")</f>
        <v/>
      </c>
      <c r="C3668" t="n">
        <v>4</v>
      </c>
      <c r="D3668" t="inlineStr">
        <is>
          <t>Hache du Chalœil; Amulette Volkorne; Anneau Volkorne; Chevalière du Roi Joueur; Bouclier du Stalak; Ceinture Volkorne; Couronne du Roi Joueur; Voile d'encre; Bottes du Roi Joueur; Dofus Ivoire; Dofus des Glaces; Dofus Abyssal; Dofus Ébène; Dofus Pourpre; Dofus Ocre; Fëanor</t>
        </is>
      </c>
    </row>
    <row r="3669">
      <c r="A3669" t="inlineStr">
        <is>
          <t>Sram F 200</t>
        </is>
      </c>
      <c r="B3669">
        <f>HYPERLINK("https://www.dofusbook.net/fr/equipement/4646193-sram-f-200/objets", "link")</f>
        <v/>
      </c>
      <c r="C3669" t="n">
        <v>1</v>
      </c>
      <c r="D3669" t="inlineStr">
        <is>
          <t>Collier du Valet Veinard; Gant du Valet Veinard; Anneau Rifique; Casque Cyclopéen; Cape du Valet Veinard</t>
        </is>
      </c>
    </row>
    <row r="3670">
      <c r="A3670" t="inlineStr">
        <is>
          <t>Sram M 200</t>
        </is>
      </c>
      <c r="B3670">
        <f>HYPERLINK("https://www.dofusbook.net/fr/equipement/4646146-sram-m-200/objets", "link")</f>
        <v/>
      </c>
      <c r="C3670" t="n">
        <v>1</v>
      </c>
      <c r="D3670" t="inlineStr"/>
    </row>
    <row r="3671">
      <c r="A3671" t="inlineStr">
        <is>
          <t>Recri</t>
        </is>
      </c>
      <c r="B3671">
        <f>HYPERLINK("https://www.dofusbook.net/fr/equipement/4599446-recri/objets", "link")</f>
        <v/>
      </c>
      <c r="C3671" t="n">
        <v>1</v>
      </c>
      <c r="D3671" t="inlineStr">
        <is>
          <t>Arc du Chalœil; Torquistik; Bague Gloursonne; Baguistik; Bouclier du Stalak; Ceinture de la Reine des Voleurs; Coiffe de la Reine des Voleurs; Cape au Logis; Baleinabottes; Dofus Pourpre; Dofus Ébène; Dofus Ocre; Dofus Abyssal; Dofus des Glaces; Dofus Ivoire; Dragodinde Ivoire et Pourpre</t>
        </is>
      </c>
    </row>
    <row r="3672">
      <c r="A3672" t="inlineStr">
        <is>
          <t>Fourvoi</t>
        </is>
      </c>
      <c r="B3672">
        <f>HYPERLINK("https://www.dofusbook.net/fr/equipement/4551052-fourvoi/objets", "link")</f>
        <v/>
      </c>
      <c r="C3672" t="n">
        <v>2</v>
      </c>
      <c r="D3672" t="inlineStr">
        <is>
          <t>Lance corrompue; Collier du Valet Veinard; Gant du Valet Veinard; Alliance Gloursonne; Bivalve; Menoture; Casque des égarés; Cape de la Fuji Givrefoux; Baleinabottes; Dofus Pourpre; Dofus Ocre; Dofus des Glaces; Robuste majeur; Vigoureux majeur; Cascadeur majeur; Dragodinde Ebène et Ivoire</t>
        </is>
      </c>
    </row>
    <row r="3673">
      <c r="A3673" t="inlineStr">
        <is>
          <t>Sram F 200</t>
        </is>
      </c>
      <c r="B3673">
        <f>HYPERLINK("https://www.dofusbook.net/fr/equipement/4599224-sram-f-200/objets", "link")</f>
        <v/>
      </c>
      <c r="C3673" t="n">
        <v>4</v>
      </c>
      <c r="D3673" t="inlineStr">
        <is>
          <t>Baguette de Malléfisk; Amulette de Nileza; Anneau Tique; Anneauræus; Cadran de Feu; Ceinture de Vortex; Heaume Oplate; Cape de Nileza; Chaussures Ardentes; Dofus Ivoire; Dofus Ébène; Dofus Ocre; Obstructeur majeur; Nomade; Érudit majeur; Platypus</t>
        </is>
      </c>
    </row>
    <row r="3674">
      <c r="A3674" t="inlineStr">
        <is>
          <t>Ecaflip F 200</t>
        </is>
      </c>
      <c r="B3674">
        <f>HYPERLINK("https://www.dofusbook.net/fr/equipement/4559241-ecaflip-f-200/objets", "link")</f>
        <v/>
      </c>
      <c r="C3674" t="n">
        <v>1</v>
      </c>
      <c r="D3674" t="inlineStr">
        <is>
          <t>Plume de Buhorado; Amibou; Alliance Gloursonne; Bague Instable; Bouclier Taverne; Menoture; Dorabysses; Capibou; Palmes Trithons; Dofus Ivoire; Dofus Turquoise; Dofus Ocre; Culbuteur majeur; Carapace Air majeur; Bousculeur majeur; Tofoudre</t>
        </is>
      </c>
    </row>
    <row r="3675">
      <c r="A3675" t="inlineStr">
        <is>
          <t>Pandawa F 200</t>
        </is>
      </c>
      <c r="B3675">
        <f>HYPERLINK("https://www.dofusbook.net/fr/equipement/4559165-pandawa-f-200/objets", "link")</f>
        <v/>
      </c>
      <c r="C3675" t="n">
        <v>5</v>
      </c>
      <c r="D3675" t="inlineStr">
        <is>
          <t>Arc du Chalœil; Amulette du Strigide; Chevalière du Roi Joueur; Bague Gloursonne; Quatre-feuilles; Ceintacé; Chapeau de Gein; Voile d'encre; Bottes du Roi Joueur; Dofus Ocre; Dofus Pourpre; Dofus Turquoise; Nomade; Vigoureux majeur</t>
        </is>
      </c>
    </row>
    <row r="3676">
      <c r="A3676" t="inlineStr">
        <is>
          <t>VV/volk</t>
        </is>
      </c>
      <c r="B3676">
        <f>HYPERLINK("https://www.dofusbook.net/fr/equipement/4550988-vv-volk/objets", "link")</f>
        <v/>
      </c>
      <c r="C3676" t="n">
        <v>1</v>
      </c>
      <c r="D3676" t="inlineStr">
        <is>
          <t>Pelle de la Cour Sombre; Collier du Valet Veinard; Gant du Valet Veinard; Alliance Gloursonne; Cadran d'Air; Ceinture du Barbétoal; Dorabysses; Cape Martegel; Baleinabottes; Dofus Ocre; Dofus Ivoire; Dofus Pourpre; Nomade; Carapace Air majeur; Cascadeur majeur; Kramkram</t>
        </is>
      </c>
    </row>
    <row r="3677">
      <c r="A3677" t="inlineStr">
        <is>
          <t>Iop M 200</t>
        </is>
      </c>
      <c r="B3677">
        <f>HYPERLINK("https://www.dofusbook.net/fr/equipement/4522236-iop-m-200/objets", "link")</f>
        <v/>
      </c>
      <c r="C3677" t="n">
        <v>6</v>
      </c>
      <c r="D3677" t="inlineStr">
        <is>
          <t>Dagues d'Ilyzaelle; Amulette du Strigide; Anneau du Comte Harebourg; Alliance de Missiz Frizz; Quatre-feuilles; Ceinture du Strigide; Masque de Koutoulou; Cape au Logis; Bottes du Cœur Saignant; Dofus Turquoise; Dofus Pourpre; Vigoureux majeur; Enragé majeur; Remueur; Forcené majeur; Kokulte</t>
        </is>
      </c>
    </row>
    <row r="3678">
      <c r="A3678" t="inlineStr">
        <is>
          <t>Crâ M 200</t>
        </is>
      </c>
      <c r="B3678">
        <f>HYPERLINK("https://www.dofusbook.net/fr/equipement/4509339-cra-m-200/objets", "link")</f>
        <v/>
      </c>
      <c r="C3678" t="n">
        <v>8</v>
      </c>
      <c r="D3678" t="inlineStr">
        <is>
          <t>Lance Horselé; Amulette du Strigide; Anneau Volkorne; Anneau de Padgref; Quatre-feuilles; Menoture; Casque Volkorne; Chevelure de Tal Kasha; Bottes Voldelor; Dofus Pourpre; Dofus Turquoise; Nomade; Cascadeur majeur; Vigoureux majeur; Remueur; Kokulte</t>
        </is>
      </c>
    </row>
    <row r="3679">
      <c r="A3679" t="inlineStr">
        <is>
          <t>Iop M 200</t>
        </is>
      </c>
      <c r="B3679">
        <f>HYPERLINK("https://www.dofusbook.net/fr/equipement/4522016-iop-m-200/objets", "link")</f>
        <v/>
      </c>
      <c r="C3679" t="n">
        <v>3</v>
      </c>
      <c r="D3679" t="inlineStr">
        <is>
          <t>Marteau R'ture; Amulette du Cœur Saignant; Anneau Volkorne; Bague Gloursonne; Quatre-feuilles; Ceinture Volkorne; Masque de Koutoulou; Cape au Logis; Bottes du Cœur Saignant; Dofus Pourpre; Dofus des Glaces; Dofus Turquoise; Enragé majeur; Remueur; Vigoureux majeur; Bulbisou</t>
        </is>
      </c>
    </row>
    <row r="3680">
      <c r="A3680" t="inlineStr">
        <is>
          <t>Eniripsa M 200</t>
        </is>
      </c>
      <c r="B3680">
        <f>HYPERLINK("https://www.dofusbook.net/fr/equipement/4522259-eniripsa-m-200/objets", "link")</f>
        <v/>
      </c>
      <c r="C3680" t="n">
        <v>1</v>
      </c>
      <c r="D3680" t="inlineStr">
        <is>
          <t>Arc corrompu; Amulette de Nileza; Anneau Tique; Anneauræus; Bouclier du Stalak; Ceinture de Vortex; Chapeau de Gein; Cape de Nileza; Pataugastrique; Dofus Ocre; Dofus Ivoire; Dofus Abyssal; Nomade; Carapace Terre majeur; Érudit majeur; Bisouglours</t>
        </is>
      </c>
    </row>
    <row r="3681">
      <c r="A3681" t="inlineStr">
        <is>
          <t>Sadida M 200</t>
        </is>
      </c>
      <c r="B3681">
        <f>HYPERLINK("https://www.dofusbook.net/fr/equipement/4522128-sadida-m-200/objets", "link")</f>
        <v/>
      </c>
      <c r="C3681" t="n">
        <v>1</v>
      </c>
      <c r="D3681" t="inlineStr"/>
    </row>
    <row r="3682">
      <c r="A3682" t="inlineStr">
        <is>
          <t>Pandawa F 200</t>
        </is>
      </c>
      <c r="B3682">
        <f>HYPERLINK("https://www.dofusbook.net/fr/equipement/4521994-pandawa-f-200/objets", "link")</f>
        <v/>
      </c>
      <c r="C3682" t="n">
        <v>1</v>
      </c>
      <c r="D3682" t="inlineStr"/>
    </row>
    <row r="3683">
      <c r="A3683" t="inlineStr">
        <is>
          <t>Crâ F 200</t>
        </is>
      </c>
      <c r="B3683">
        <f>HYPERLINK("https://www.dofusbook.net/fr/equipement/4512702-cra-f-200/objets", "link")</f>
        <v/>
      </c>
      <c r="C3683" t="n">
        <v>4</v>
      </c>
      <c r="D3683" t="inlineStr">
        <is>
          <t>Massier; Amulette Volkorne; Anneau de Padgref; Bague Gloursonne; Quatre-feuilles; Ceinture Séculaire; Coiffe de Padgref; Cape de la Dame du Hasard; Pataugastrique; Dofus Pourpre; Dofus Turquoise; Vigoureux majeur; Remueur; Nomade; Érudit majeur; Pioute rouge</t>
        </is>
      </c>
    </row>
    <row r="3684">
      <c r="A3684" t="inlineStr">
        <is>
          <t>Ecaflip M 200</t>
        </is>
      </c>
      <c r="B3684">
        <f>HYPERLINK("https://www.dofusbook.net/fr/equipement/4509124-ecaflip-m-200/objets", "link")</f>
        <v/>
      </c>
      <c r="C3684" t="n">
        <v>1</v>
      </c>
      <c r="D3684" t="inlineStr">
        <is>
          <t>Bêche Asse; Amulette du Strigide; Bague Trithon; Anneau Chevelu; Bouclier Taverne; Ceintacé; Masque Trithon; Cape au Logis; Bottes du Strigide; Dofus Pourpre; Dofus Ivoire; Dofus des Glaces; Dofus Turquoise; Dofus Ocre; Robuste majeur; Pioute vert</t>
        </is>
      </c>
    </row>
    <row r="3685">
      <c r="A3685" t="inlineStr">
        <is>
          <t>Ecaflip F 200</t>
        </is>
      </c>
      <c r="B3685">
        <f>HYPERLINK("https://www.dofusbook.net/fr/equipement/4509080-ecaflip-f-200/objets", "link")</f>
        <v/>
      </c>
      <c r="C3685" t="n">
        <v>2</v>
      </c>
      <c r="D3685" t="inlineStr">
        <is>
          <t>Sabres d'Atcham; Amulette du Strigide; Anneau de Padgref; Bague Trithon; Bouclier du Stalak; Ceinture du Strigide; Masque Trithon; Cape d'Atcham; Sandales  d'Atcham; Dofus Pourpre; Dofus Vulbis; Dofus Ocre; Dofus Ivoire; Dofus Turquoise; Robuste majeur; Chacha Angora</t>
        </is>
      </c>
    </row>
    <row r="3686">
      <c r="A3686" t="inlineStr">
        <is>
          <t>Féca M 200</t>
        </is>
      </c>
      <c r="B3686">
        <f>HYPERLINK("https://www.dofusbook.net/fr/equipement/4503779-feca-m-200/objets", "link")</f>
        <v/>
      </c>
      <c r="C3686" t="n">
        <v>2</v>
      </c>
      <c r="D3686" t="inlineStr">
        <is>
          <t>Baguette Hernelle; Amulette Volkorne; Anneauræus; Anneau de Padgref; Quatre-feuilles; Ceinture Séculaire; Coiffe de Padgref; Cape de la Dame du Hasard; Pataugastrique; Dofus Pourpre; Dofus des Glaces; Dofus Turquoise; Dofus Ocre; Érudit majeur; Nomade; Kokulte</t>
        </is>
      </c>
    </row>
    <row r="3687">
      <c r="A3687" t="inlineStr">
        <is>
          <t>Sram F 200</t>
        </is>
      </c>
      <c r="B3687">
        <f>HYPERLINK("https://www.dofusbook.net/fr/equipement/4503899-sram-f-200/objets", "link")</f>
        <v/>
      </c>
      <c r="C3687" t="n">
        <v>2</v>
      </c>
      <c r="D3687" t="inlineStr">
        <is>
          <t>Baguette Hernelle; Amulette du Strigide; Anneau d'Allister; Anneau de Padgref; Quatre-feuilles; Menoture; Coiffe de Padgref; Chevelure de Tal Kasha; Palmes Trithons; Dofus des Glaces; Dofus Turquoise; Dofus Ocre; Dofus Pourpre; Nomade; Cascadeur majeur; Kokulte</t>
        </is>
      </c>
    </row>
    <row r="3688">
      <c r="A3688" t="inlineStr">
        <is>
          <t>Ouginak F 200</t>
        </is>
      </c>
      <c r="B3688">
        <f>HYPERLINK("https://www.dofusbook.net/fr/equipement/4504588-ouginak-f-200/objets", "link")</f>
        <v/>
      </c>
      <c r="C3688" t="n">
        <v>1</v>
      </c>
      <c r="D3688" t="inlineStr">
        <is>
          <t>Héqache; Amulette du Strigide; Anneau de la Fuji Givrefoux; Bague Trithon; Bouclier Taverne; Ceinture du Strigide; Masque Trithon; Cape de la Fuji Givrefoux; Bottes du Strigide; Dofus Turquoise; Dofus des Glaces; Dofus Ocre; Dofus Ivoire; Dofus Pourpre; Dofus Abyssal; Kokulte</t>
        </is>
      </c>
    </row>
    <row r="3689">
      <c r="A3689" t="inlineStr">
        <is>
          <t>Ouginak M 200</t>
        </is>
      </c>
      <c r="B3689">
        <f>HYPERLINK("https://www.dofusbook.net/fr/equipement/4504168-ouginak-m-200/objets", "link")</f>
        <v/>
      </c>
      <c r="C3689" t="n">
        <v>1</v>
      </c>
      <c r="D3689" t="inlineStr">
        <is>
          <t>Marteau R'ture; Amulette du Strigide; Anneau Chevelu; Anneau Crustique; Bouclier d'Ilyzaelle; Ceinture Volkorne; Masque de Koutoulou; Cape au Logis; Bottes du Cœur Saignant; Dofus Turquoise; Dofus Ocre; Dofus Pourpre; Dofus Ivoire; Carapace Terre majeur; Vigoureux majeur; Dragodinde Ivoire et Pourpre</t>
        </is>
      </c>
    </row>
    <row r="3690">
      <c r="A3690" t="inlineStr">
        <is>
          <t>Huppermage F 200</t>
        </is>
      </c>
      <c r="B3690">
        <f>HYPERLINK("https://www.dofusbook.net/fr/equipement/4504064-huppermage-f-200/objets", "link")</f>
        <v/>
      </c>
      <c r="C3690" t="n">
        <v>1</v>
      </c>
      <c r="D3690" t="inlineStr"/>
    </row>
    <row r="3691">
      <c r="A3691" t="inlineStr">
        <is>
          <t>Féca M 200</t>
        </is>
      </c>
      <c r="B3691">
        <f>HYPERLINK("https://www.dofusbook.net/fr/equipement/4504045-feca-m-200/objets", "link")</f>
        <v/>
      </c>
      <c r="C3691" t="n">
        <v>1</v>
      </c>
      <c r="D3691" t="inlineStr"/>
    </row>
    <row r="3692">
      <c r="A3692" t="inlineStr">
        <is>
          <t>Féca M 200</t>
        </is>
      </c>
      <c r="B3692">
        <f>HYPERLINK("https://www.dofusbook.net/fr/equipement/4503778-feca-m-200/objets", "link")</f>
        <v/>
      </c>
      <c r="C3692" t="n">
        <v>1</v>
      </c>
      <c r="D3692" t="inlineStr"/>
    </row>
    <row r="3693">
      <c r="A3693" t="inlineStr">
        <is>
          <t>Féca M 200</t>
        </is>
      </c>
      <c r="B3693">
        <f>HYPERLINK("https://www.dofusbook.net/fr/equipement/4503777-feca-m-200/objets", "link")</f>
        <v/>
      </c>
      <c r="C3693" t="n">
        <v>1</v>
      </c>
      <c r="D3693" t="inlineStr"/>
    </row>
    <row r="3694">
      <c r="A3694" t="inlineStr">
        <is>
          <t>Iop M 200</t>
        </is>
      </c>
      <c r="B3694">
        <f>HYPERLINK("https://www.dofusbook.net/fr/equipement/4500338-iop-m-200/objets", "link")</f>
        <v/>
      </c>
      <c r="C3694" t="n">
        <v>4</v>
      </c>
      <c r="D3694" t="inlineStr">
        <is>
          <t>Sabres d'Atcham; Amulette Volkorne; Anneau Volkorne; Bague Trithon; Quatre-feuilles; Menoture; Casque Volkorne; Chevelure de Tal Kasha; Sandales  d'Atcham; Dofus Turquoise; Dofus Abyssal; Dofus Ocre; Dofus Ivoire; Dofus des Glaces; Dofus Pourpre; Boskito</t>
        </is>
      </c>
    </row>
    <row r="3695">
      <c r="A3695" t="inlineStr">
        <is>
          <t>Crâ F 200</t>
        </is>
      </c>
      <c r="B3695">
        <f>HYPERLINK("https://www.dofusbook.net/fr/equipement/4500061-cra-f-200/objets", "link")</f>
        <v/>
      </c>
      <c r="C3695" t="n">
        <v>7</v>
      </c>
      <c r="D3695" t="inlineStr">
        <is>
          <t>Sabres d'Atcham; Amulette Volkorne; Bague Trithon; Anneau Volkorne; Quatre-feuilles; Ceintacé; Casque Volkorne; Chevelure de Tal Kasha; Sandales  d'Atcham; Dofus Ébène; Dofus Turquoise; Dofus des Glaces; Dofus Ocre; Dofus Pourpre; Dofus Ivoire; Boskito</t>
        </is>
      </c>
    </row>
    <row r="3696">
      <c r="A3696" t="inlineStr">
        <is>
          <t>Sacrieur F 200</t>
        </is>
      </c>
      <c r="B3696">
        <f>HYPERLINK("https://www.dofusbook.net/fr/equipement/4499713-sacrieur-f-200/objets", "link")</f>
        <v/>
      </c>
      <c r="C3696" t="n">
        <v>2</v>
      </c>
      <c r="D3696" t="inlineStr">
        <is>
          <t>Rapière aux Glyphes; Amulette d'Ilyzaelle; Anneau Volkorne; Alliance Gloursonne; Bouclier d'Ilyzaelle; Ceinture de la Reine des Voleurs; Casque Volkorne; Cape Solution; Bottes de la Reine des Voleurs; Dofus Pourpre; Dofus des Glaces; Dofus Ocre; Dofus Ivoire; Dofus Vulbis; Dofus Abyssal; Dragodinde Indigo et Ivoire</t>
        </is>
      </c>
    </row>
    <row r="3697">
      <c r="A3697" t="inlineStr">
        <is>
          <t>Enutrof F 200</t>
        </is>
      </c>
      <c r="B3697">
        <f>HYPERLINK("https://www.dofusbook.net/fr/equipement/4499588-enutrof-f-200/objets", "link")</f>
        <v/>
      </c>
      <c r="C3697" t="n">
        <v>2</v>
      </c>
      <c r="D3697" t="inlineStr">
        <is>
          <t>Arc corrompu; Amulette de Nileza; Anneauræus; Anneauræus; Bouclier du Stalak; Ceinture de Vortex; Heaume Oplate; Cape de Nileza; Bottes Owesli; Dofus des Glaces; Dofus Ocre; Dofus Pourpre; Dofus Ivoire; Carapace Terre majeur; Nomade; Bisouglours</t>
        </is>
      </c>
    </row>
    <row r="3698">
      <c r="A3698" t="inlineStr">
        <is>
          <t>Enutrof F 200</t>
        </is>
      </c>
      <c r="B3698">
        <f>HYPERLINK("https://www.dofusbook.net/fr/equipement/4499559-enutrof-f-200/objets", "link")</f>
        <v/>
      </c>
      <c r="C3698" t="n">
        <v>1</v>
      </c>
      <c r="D3698" t="inlineStr"/>
    </row>
    <row r="3699">
      <c r="A3699" t="inlineStr">
        <is>
          <t>Ouginak F 200</t>
        </is>
      </c>
      <c r="B3699">
        <f>HYPERLINK("https://www.dofusbook.net/fr/equipement/4496082-ouginak-f-200/objets", "link")</f>
        <v/>
      </c>
      <c r="C3699" t="n">
        <v>1</v>
      </c>
      <c r="D3699" t="inlineStr">
        <is>
          <t>Hache Ériphe; Amulette du Cœur Vaillant; Anneau Chevelu; Anneau Volkorne; Bouclier d'Ilyzaelle; Ceinture Volkorne; Casque Dragoeuf; Cape au Logis; Sabots Minables; Dofus Émeraude; Dofus Ivoire; Dofus Pourpre; Dofus Ocre; Carapace Air majeur; Bulbisou</t>
        </is>
      </c>
    </row>
    <row r="3700">
      <c r="A3700" t="inlineStr">
        <is>
          <t>Tank air</t>
        </is>
      </c>
      <c r="B3700">
        <f>HYPERLINK("https://www.dofusbook.net/fr/equipement/4495711-tank-air/objets", "link")</f>
        <v/>
      </c>
      <c r="C3700" t="n">
        <v>5</v>
      </c>
      <c r="D3700" t="inlineStr">
        <is>
          <t>Manthache; Collier du Valet Veinard; Gant du Valet Veinard; Alliance Gloursonne; Bouclier du Stalak; Menoture; Casque Dragoeuf; Cape Martegel; Palmes Trithons; Dofus Émeraude; Dofus Ivoire; Dofus Ocre; Carapace Feu majeur; Carapace Air majeur; Cascadeur majeur; Muldo Ebène et Indigo</t>
        </is>
      </c>
    </row>
    <row r="3701">
      <c r="A3701" t="inlineStr">
        <is>
          <t>Sram F 200</t>
        </is>
      </c>
      <c r="B3701">
        <f>HYPERLINK("https://www.dofusbook.net/fr/equipement/4495966-sram-f-200/objets", "link")</f>
        <v/>
      </c>
      <c r="C3701" t="n">
        <v>1</v>
      </c>
      <c r="D3701" t="inlineStr"/>
    </row>
    <row r="3702">
      <c r="A3702" t="inlineStr">
        <is>
          <t>Enutrof F 200</t>
        </is>
      </c>
      <c r="B3702">
        <f>HYPERLINK("https://www.dofusbook.net/fr/equipement/4494343-enutrof-f-200/objets", "link")</f>
        <v/>
      </c>
      <c r="C3702" t="n">
        <v>1</v>
      </c>
      <c r="D3702" t="inlineStr">
        <is>
          <t>Arc corrompu; Amulette de Nileza; Anneau Tique; Anneauræus; Bouclier du Stalak; Ceinture de Vortex; Couronne de Nidas; Cape de Nileza; Pataugastrique; Dofus des Glaces; Dofus Pourpre; Dofus Ocre; Érudit majeur; Carapace Terre majeur; Nomade; Bisouglours</t>
        </is>
      </c>
    </row>
    <row r="3703">
      <c r="A3703" t="inlineStr">
        <is>
          <t>Sadida F 200</t>
        </is>
      </c>
      <c r="B3703">
        <f>HYPERLINK("https://www.dofusbook.net/fr/equipement/4494788-sadida-f-200/objets", "link")</f>
        <v/>
      </c>
      <c r="C3703" t="n">
        <v>5</v>
      </c>
      <c r="D3703" t="inlineStr">
        <is>
          <t>Hache du Chalœil; Amulette Volkorne; Anneau Volkorne; Alliance du Lévitrof; Bouclier du Stalak; Ceinture Volkorne; Coiffe du Lévitrof; Voile d'encre; Bottes du Lévitrof; Dofus Ébène; Dofus Ivoire; Dofus des Glaces; Dofus Pourpre; Dofus Abyssal; Dofus Ocre; Dragodinde Dorée et Ivoire</t>
        </is>
      </c>
    </row>
    <row r="3704">
      <c r="A3704" t="inlineStr">
        <is>
          <t>Air retPA</t>
        </is>
      </c>
      <c r="B3704">
        <f>HYPERLINK("https://www.dofusbook.net/fr/equipement/4494571-air-retpa/objets", "link")</f>
        <v/>
      </c>
      <c r="C3704" t="n">
        <v>4</v>
      </c>
      <c r="D3704" t="inlineStr">
        <is>
          <t>Lance Horselé; Amulette du Cœur Vaillant; Anneau Volkorne; Alliance Gloursonne; Quatre-feuilles; Menoture; Casque Volkorne; Chevelure de Tal Kasha; Sandales de Tal Kasha; Dofus Vulbis; Dofus des Glaces; Dofus Ocre; Dofus Ivoire; Dofus Ébène; Dofus Turquoise; Koalak Sanguin</t>
        </is>
      </c>
    </row>
    <row r="3705">
      <c r="A3705" t="inlineStr">
        <is>
          <t>Ecaflip F 200</t>
        </is>
      </c>
      <c r="B3705">
        <f>HYPERLINK("https://www.dofusbook.net/fr/equipement/4494345-ecaflip-f-200/objets", "link")</f>
        <v/>
      </c>
      <c r="C3705" t="n">
        <v>4</v>
      </c>
      <c r="D3705" t="inlineStr">
        <is>
          <t>Sceptre du Roi Joueur; Collier de la Dame du Hasard; Alliance Gloursonne; Anneau Volkorne; Bouclier du Stalak; Ceintacé; Némès de Tal Kasha; Chevelure de Tal Kasha; Bottes de la Dame du Hasard; Dofus Turquoise; Dofus Ivoire; Dofus Pourpre; Dofus Ocre; Dofus Abyssal; Dofus Vulbis; Pioute bleu</t>
        </is>
      </c>
    </row>
    <row r="3706">
      <c r="A3706" t="inlineStr">
        <is>
          <t>Air/terre</t>
        </is>
      </c>
      <c r="B3706">
        <f>HYPERLINK("https://www.dofusbook.net/fr/equipement/4320786-air-terre/objets", "link")</f>
        <v/>
      </c>
      <c r="C3706" t="n">
        <v>2</v>
      </c>
      <c r="D3706" t="inlineStr">
        <is>
          <t>Héqache; Amulette du Strigide; Anneau de la Fuji Givrefoux; Anneau de Padgref; Bouclier du Captain Amakna; Ceinture du Strigide; Coiffe de Padgref; Cape de la Fuji Givrefoux; Getas de Padgref; Dofus Turquoise; Dofus des Glaces; Dofus Émeraude; Dofus Ocre; Dofus Pourpre; Dofus Abyssal; Dragodinde Ivoire et Pourpre</t>
        </is>
      </c>
    </row>
    <row r="3707">
      <c r="A3707" t="inlineStr">
        <is>
          <t>Air</t>
        </is>
      </c>
      <c r="B3707">
        <f>HYPERLINK("https://www.dofusbook.net/fr/equipement/4225263-air/objets", "link")</f>
        <v/>
      </c>
      <c r="C3707" t="n">
        <v>5</v>
      </c>
      <c r="D3707" t="inlineStr">
        <is>
          <t>Manthache; Collier du Valet Veinard; Alliance Gloursonne; Gant du Valet Veinard; Bouclier du Stalak; Menoture; Couronne d'Allister; Cape Indescriptible; Palmes Trithons; Dofus Ocre; Dofus des Glaces; Dofus Pourpre; Dévastateur Air majeur; Nomade; Cascadeur majeur; Blérodoudou</t>
        </is>
      </c>
    </row>
    <row r="3708">
      <c r="A3708" t="inlineStr">
        <is>
          <t>Sram M 200</t>
        </is>
      </c>
      <c r="B3708">
        <f>HYPERLINK("https://www.dofusbook.net/fr/equipement/4380967-sram-m-200/objets", "link")</f>
        <v/>
      </c>
      <c r="C3708" t="n">
        <v>1</v>
      </c>
      <c r="D3708" t="inlineStr"/>
    </row>
    <row r="3709">
      <c r="A3709" t="inlineStr">
        <is>
          <t>Tank/crit</t>
        </is>
      </c>
      <c r="B3709">
        <f>HYPERLINK("https://www.dofusbook.net/fr/equipement/4469113-tank-crit/objets", "link")</f>
        <v/>
      </c>
      <c r="C3709" t="n">
        <v>1</v>
      </c>
      <c r="D3709" t="inlineStr">
        <is>
          <t>Héqache; Amulette du Strigide; Anneau de la Fuji Givrefoux; Anneau de Padgref; Bouclier du Captain Amakna; Ceinture du Strigide; Coiffe de Padgref; Cape de la Fuji Givrefoux; Getas de Padgref; Dofus Émeraude; Dofus Turquoise; Dofus des Glaces; Dofus Ocre; Dofus Pourpre; Dofus Abyssal; Dragodinde Ebène et Ivoire</t>
        </is>
      </c>
    </row>
    <row r="3710">
      <c r="A3710" t="inlineStr">
        <is>
          <t>Fourvoi air</t>
        </is>
      </c>
      <c r="B3710">
        <f>HYPERLINK("https://www.dofusbook.net/fr/equipement/4479742-fourvoi-air/objets", "link")</f>
        <v/>
      </c>
      <c r="C3710" t="n">
        <v>1</v>
      </c>
      <c r="D3710" t="inlineStr">
        <is>
          <t>Hache du Guerrier Zoth; Amulette d'Ilyzaelle; Anneau Volkorne; Gant du Valet Veinard; Bouclier d'Ilyzaelle; Ceinture Volkorne; Casque Volkorne; Cape du Valet Veinard; Baleinabottes; Dokoko; Dofus Pourpre; Dofus Ocre; Dofus Émeraude; Dofus des Glaces; Robuste majeur; Dragodinde Ebène et Ivoire</t>
        </is>
      </c>
    </row>
    <row r="3711">
      <c r="A3711" t="inlineStr">
        <is>
          <t>Fourvoiement</t>
        </is>
      </c>
      <c r="B3711">
        <f>HYPERLINK("https://www.dofusbook.net/fr/equipement/4479709-fourvoiement/objets", "link")</f>
        <v/>
      </c>
      <c r="C3711" t="n">
        <v>1</v>
      </c>
      <c r="D3711" t="inlineStr">
        <is>
          <t>Lance corrompue; Amulette du Kamasterisk; Alliance Gloursonne; Anneau des égarés; Bouclier d'Ilyzaelle; Ceinture de la Reine des Voleurs; Coiffe de la Reine des Voleurs; Cape de la Fuji Givrefoux; Baleinabottes; Dofus Ocre; Dofus Émeraude; Dofus Pourpre; Remueur; Robuste majeur; Vigoureux majeur; Dragodinde Ivoire et Pourpre</t>
        </is>
      </c>
    </row>
    <row r="3712">
      <c r="A3712" t="inlineStr">
        <is>
          <t>Pandawa F 200</t>
        </is>
      </c>
      <c r="B3712">
        <f>HYPERLINK("https://www.dofusbook.net/fr/equipement/4241968-pandawa-f-200/objets", "link")</f>
        <v/>
      </c>
      <c r="C3712" t="n">
        <v>4</v>
      </c>
      <c r="D3712" t="inlineStr">
        <is>
          <t>Amulette du Strigide; Anneau de Brouce; Bague Gloursonne; Bouclier d'Ilyzaelle; Ceinture du Strigide; Masque de Koutoulou; Cape au Logis; Bottes du Roi Joueur; Dofus Turquoise; Dofus Pourpre; Remueur; Nomade; Enragé majeur; Vigoureux majeur; Bulbisou</t>
        </is>
      </c>
    </row>
    <row r="3713">
      <c r="A3713" t="inlineStr">
        <is>
          <t>Sram M 200</t>
        </is>
      </c>
      <c r="B3713">
        <f>HYPERLINK("https://www.dofusbook.net/fr/equipement/4366298-sram-m-200/objets", "link")</f>
        <v/>
      </c>
      <c r="C3713" t="n">
        <v>1</v>
      </c>
      <c r="D3713" t="inlineStr">
        <is>
          <t>Arc de Koutoulou; Amulette Volkorne; Alliance Gloursonne; Anneau Volkorne; Quatre-feuilles; Menoture; Casque Volkorne; Chevelure de Tal Kasha; Sandales de Tal Kasha; Dofus Abyssal; Dofus des Glaces; Dofus Turquoise; Dofus Pourpre; Dofus Ocre; Paralyseur majeur; Kokulte</t>
        </is>
      </c>
    </row>
    <row r="3714">
      <c r="A3714" t="inlineStr">
        <is>
          <t>Sram F 200</t>
        </is>
      </c>
      <c r="B3714">
        <f>HYPERLINK("https://www.dofusbook.net/fr/equipement/4336055-sram-f-200/objets", "link")</f>
        <v/>
      </c>
      <c r="C3714" t="n">
        <v>4</v>
      </c>
      <c r="D3714" t="inlineStr">
        <is>
          <t>Arc du Chalœil; Amulette de Pol Ouatnos; Bague Gloursonne; Chevalière du Roi Joueur; Quatre-feuilles; Ceinture d'Henual; Couronne du Roi Joueur; Cape Routh; Bottes du Roi Joueur; Dofus Pourpre; Dokoko; Dofus des Glaces; Dofus Ocre; Voyageur; Robuste majeur; Bulbisou</t>
        </is>
      </c>
    </row>
    <row r="3715">
      <c r="A3715" t="inlineStr">
        <is>
          <t>Do Pou</t>
        </is>
      </c>
      <c r="B3715">
        <f>HYPERLINK("https://www.dofusbook.net/fr/equipement/4320747-do-pou/objets", "link")</f>
        <v/>
      </c>
      <c r="C3715" t="n">
        <v>3</v>
      </c>
      <c r="D3715" t="inlineStr">
        <is>
          <t>Plume de Buhorado; Amibou; Gant du Valet Veinard; Alliance Gloursonne; Bouclier Taverne; Menoture; Chapeau des Malveilleurs; Cape Routh; Bottes des Malveilleurs; Dofus Pourpre; Dofus Turquoise; Dofus Ocre; Cascadeur majeur; Bousculeur majeur; Culbuteur majeur; Blérodoudou</t>
        </is>
      </c>
    </row>
    <row r="3716">
      <c r="A3716" t="inlineStr">
        <is>
          <t>Sram F 200</t>
        </is>
      </c>
      <c r="B3716">
        <f>HYPERLINK("https://www.dofusbook.net/fr/equipement/4308442-sram-f-200/objets", "link")</f>
        <v/>
      </c>
      <c r="C3716" t="n">
        <v>1</v>
      </c>
      <c r="D3716" t="inlineStr">
        <is>
          <t>Hache Ériphe; Amulette Hendart; Alliance Gloursonne; Anneau des égarés; Bouclier du Stalak; Menoture; Casque des égarés; Baleinabottes; Dofus Pourpre; Dofus Ocre; Robuste majeur; Vigoureux majeur; Nomade</t>
        </is>
      </c>
    </row>
    <row r="3717">
      <c r="A3717" t="inlineStr">
        <is>
          <t>Ecaflip F 200</t>
        </is>
      </c>
      <c r="B3717">
        <f>HYPERLINK("https://www.dofusbook.net/fr/equipement/4243119-ecaflip-f-200/objets", "link")</f>
        <v/>
      </c>
      <c r="C3717" t="n">
        <v>4</v>
      </c>
      <c r="D3717" t="inlineStr">
        <is>
          <t>Sceptre du Roi Joueur; Collier de la Dame du Hasard; Anneau Toriété; Alliance Gloursonne; Quatre-feuilles; Poulpagne; Némès de Tal Kasha; Chevelure de Tal Kasha; Bottes de la Dame du Hasard; Dofus Pourpre; Dofus des Glaces; Dofus Ocre; Dofus Abyssal; Dofus Turquoise; Dofus Ivoire; Pioute bleu</t>
        </is>
      </c>
    </row>
    <row r="3718">
      <c r="A3718" t="inlineStr">
        <is>
          <t>Zobal F 200</t>
        </is>
      </c>
      <c r="B3718">
        <f>HYPERLINK("https://www.dofusbook.net/fr/equipement/4243014-zobal-f-200/objets", "link")</f>
        <v/>
      </c>
      <c r="C3718" t="n">
        <v>1</v>
      </c>
      <c r="D3718" t="inlineStr">
        <is>
          <t>Arc Nécrotique; Amulette Volkorne; Anneau Tique; Anneau Volkorne; Quatre-feuilles; Ceinture Volkorne; Kidibonnet; Cape de la Dame du Hasard; Bottes de la Dame du Hasard; Dofus Ocre; Dofus Ivoire; Dofus Pourpre; Dofus Abyssal; Dofus Turquoise; Dofus des Glaces; Kokulte</t>
        </is>
      </c>
    </row>
    <row r="3719">
      <c r="A3719" t="inlineStr">
        <is>
          <t>Pandawa F 200</t>
        </is>
      </c>
      <c r="B3719">
        <f>HYPERLINK("https://www.dofusbook.net/fr/equipement/4241854-pandawa-f-200/objets", "link")</f>
        <v/>
      </c>
      <c r="C3719" t="n">
        <v>2</v>
      </c>
      <c r="D3719" t="inlineStr">
        <is>
          <t>Arc Hétype; Amulette Volkorne; Anneauræus; Anneau Tique; Cadran de Feu; Ceinture Séculaire; Coiffe Séculaire; Voile d'encre; Bottes Honyme; Dofus Émeraude; Dofus Ocre; Dofus Ivoire; Nomade; Érudit majeur; Carapace Terre majeur; Bisouglours</t>
        </is>
      </c>
    </row>
    <row r="3720">
      <c r="A3720" t="inlineStr">
        <is>
          <t>Roublard F 200</t>
        </is>
      </c>
      <c r="B3720">
        <f>HYPERLINK("https://www.dofusbook.net/fr/equipement/4241787-roublard-f-200/objets", "link")</f>
        <v/>
      </c>
      <c r="C3720" t="n">
        <v>3</v>
      </c>
      <c r="D3720" t="inlineStr">
        <is>
          <t>Rapière aux Glyphes; Amulette de Pol Ouatnos; Anneau Volkorne; Alliance Gloursonne; Bouclier du Stalak; Ceinture de la Reine des Voleurs; Kidibonnet; Cape de l'Œil Attentif; Bottes de la Reine des Voleurs; Dofus des Glaces; Dofus Ivoire; Dofus Ocre; Kanigloups</t>
        </is>
      </c>
    </row>
    <row r="3721">
      <c r="A3721" t="inlineStr">
        <is>
          <t>Feu/tank</t>
        </is>
      </c>
      <c r="B3721">
        <f>HYPERLINK("https://www.dofusbook.net/fr/equipement/4241676-feu-tank/objets", "link")</f>
        <v/>
      </c>
      <c r="C3721" t="n">
        <v>1</v>
      </c>
      <c r="D3721" t="inlineStr">
        <is>
          <t>Arc Hétype; Amulette de Nileza; Anneauræus; Anneau Tique; Cadran de Feu; Ceinture de Vortex; Heaume Oplate; Cape de Nileza; Bottes Innommables; Dofus Émeraude; Dofus Ocre; Dofus Ivoire; Carapace Eau majeur; Érudit majeur; Miraculé majeur; Muldo Orchidée et Pourpre</t>
        </is>
      </c>
    </row>
    <row r="3722">
      <c r="A3722" t="inlineStr">
        <is>
          <t>Volk/TK</t>
        </is>
      </c>
      <c r="B3722">
        <f>HYPERLINK("https://www.dofusbook.net/fr/equipement/4213127-volk-tk/objets", "link")</f>
        <v/>
      </c>
      <c r="C3722" t="n">
        <v>1</v>
      </c>
      <c r="D3722" t="inlineStr">
        <is>
          <t>Arc de Koutoulou; Amulette Volkorne; Alliance Gloursonne; Anneau Volkorne; Quatre-feuilles; Menoture; Casque Volkorne; Chevelure de Tal Kasha; Sandales de Tal Kasha; Dofus Pourpre; Dofus Abyssal; Dofus Turquoise; Dofus des Glaces; Dofus Ocre; Dofus Ivoire; Dragodinde Prune et Ivoire</t>
        </is>
      </c>
    </row>
    <row r="3723">
      <c r="A3723" t="inlineStr">
        <is>
          <t>1v1 Air/Eau</t>
        </is>
      </c>
      <c r="B3723">
        <f>HYPERLINK("https://www.dofusbook.net/fr/equipement/4197051-1v1-air-eau/objets", "link")</f>
        <v/>
      </c>
      <c r="C3723" t="n">
        <v>3</v>
      </c>
      <c r="D3723" t="inlineStr">
        <is>
          <t>Arc de Koutoulou; Amulette d'Ilyzaelle; Anneau Volkorne; Alliance Gloursonne; Bouclier du Stalak; Menoture; Casque Volkorne; Cape des Malveilleurs; Chaussures Face; Dofus Ocre; Dofus Pourpre; Vigoureux majeur; Nomade; Robuste majeur; Dragodinde Ebène et Ivoire</t>
        </is>
      </c>
    </row>
    <row r="3724">
      <c r="A3724" t="inlineStr">
        <is>
          <t>Lowcost</t>
        </is>
      </c>
      <c r="B3724">
        <f>HYPERLINK("https://www.dofusbook.net/fr/equipement/4172064-lowcost/objets", "link")</f>
        <v/>
      </c>
      <c r="C3724" t="n">
        <v>2</v>
      </c>
      <c r="D3724" t="inlineStr">
        <is>
          <t>Arc du Chalœil; Amulette du Strigide; Bague Gloursonne; Chevalière du Roi Joueur; Quatre-feuilles; Ceinture Volkorne; Masque de Koutoulou; Voile d'encre; Bottes du Roi Joueur; Dofus Turquoise; Dofus Pourpre; Nomade; Enragé majeur; Remueur; Vigoureux majeur; Bulbisou</t>
        </is>
      </c>
    </row>
    <row r="3725">
      <c r="A3725" t="inlineStr">
        <is>
          <t>Sadida F 200</t>
        </is>
      </c>
      <c r="B3725">
        <f>HYPERLINK("https://www.dofusbook.net/fr/equipement/4214033-sadida-f-200/objets", "link")</f>
        <v/>
      </c>
      <c r="C3725" t="n">
        <v>5</v>
      </c>
      <c r="D3725" t="inlineStr">
        <is>
          <t>Manthache; Collier du Valet Veinard; Alliance Gloursonne; Gant du Valet Veinard; Bouclier cubiste; Ceinture du Barbétoal; Couronne d'Allister; Cape de l'Œil Putride; Pantoufles Émar; Dofus Pourpre; Dofus Ocre; Temporiseur majeur; Cascadeur majeur; Carapace Air majeur; Nomade; Blérodoudou</t>
        </is>
      </c>
    </row>
    <row r="3726">
      <c r="A3726" t="inlineStr">
        <is>
          <t>Levi/Volk</t>
        </is>
      </c>
      <c r="B3726">
        <f>HYPERLINK("https://www.dofusbook.net/fr/equipement/4205042-levi-volk/objets", "link")</f>
        <v/>
      </c>
      <c r="C3726" t="n">
        <v>3</v>
      </c>
      <c r="D3726" t="inlineStr">
        <is>
          <t>Arc Honte; Amulette Volkorne; Anneau Volkorne; Alliance du Lévitrof; Bouclier du Stalak; Ceinture Volkorne; Coiffe du Lévitrof; Voile d'encre; Bottes Honyme; Dofus Ocre; Dofus Pourpre; Dofus des Glaces; Dofus Abyssal; Dofus Ivoire; Robuste majeur; Bwak de Terre</t>
        </is>
      </c>
    </row>
    <row r="3727">
      <c r="A3727" t="inlineStr">
        <is>
          <t>Sram F 200</t>
        </is>
      </c>
      <c r="B3727">
        <f>HYPERLINK("https://www.dofusbook.net/fr/equipement/4213042-sram-f-200/objets", "link")</f>
        <v/>
      </c>
      <c r="C3727" t="n">
        <v>2</v>
      </c>
      <c r="D3727" t="inlineStr">
        <is>
          <t>Marteau R'ture; Amulette du Cœur Saignant; Anneau Volkorne; Chevalière du Roi Joueur; Bouclier du Captain Amakna; Ceinture Volkorne; Chapeau de Gein; Cape du Cœur Saignant; Bottes du Cœur Saignant; Dofus Abyssal; Dofus Turquoise; Dofus Vulbis; Dofus Pourpre; Dofus Nébuleux; Dofus Ocre; Volkorne Emeraude et Pourpre</t>
        </is>
      </c>
    </row>
    <row r="3728">
      <c r="A3728" t="inlineStr">
        <is>
          <t>Terre/air</t>
        </is>
      </c>
      <c r="B3728">
        <f>HYPERLINK("https://www.dofusbook.net/fr/equipement/4212815-terre-air/objets", "link")</f>
        <v/>
      </c>
      <c r="C3728" t="n">
        <v>1</v>
      </c>
      <c r="D3728" t="inlineStr">
        <is>
          <t>Hache Ériphe; Collier du Valet Veinard; Alliance Gloursonne; Chevalière du Roi Joueur; Bouclier d'Ilyzaelle; Ceinture Volkorne; Casque Volkorne; Cape au Logis; Baleinabottes</t>
        </is>
      </c>
    </row>
    <row r="3729">
      <c r="A3729" t="inlineStr">
        <is>
          <t>Pandawa F 200</t>
        </is>
      </c>
      <c r="B3729">
        <f>HYPERLINK("https://www.dofusbook.net/fr/equipement/4193486-pandawa-f-200/objets", "link")</f>
        <v/>
      </c>
      <c r="C3729" t="n">
        <v>3</v>
      </c>
      <c r="D3729" t="inlineStr">
        <is>
          <t>Arc corrompu; Amulette de Nileza; Anneauræus; Anneau Tique; Bouclier du Stalak; Sangle Aise; Coiffe Séculaire; Cape de Nileza; Pantoufles Émar; Remueur; Érudit majeur; Nomade; Observateur; Vigoureux majeur; Robuste majeur; Bisouglours</t>
        </is>
      </c>
    </row>
    <row r="3730">
      <c r="A3730" t="inlineStr">
        <is>
          <t>Sram F 200</t>
        </is>
      </c>
      <c r="B3730">
        <f>HYPERLINK("https://www.dofusbook.net/fr/equipement/4204604-sram-f-200/objets", "link")</f>
        <v/>
      </c>
      <c r="C3730" t="n">
        <v>3</v>
      </c>
      <c r="D3730" t="inlineStr">
        <is>
          <t>Arc corrompu; Amulette de Nileza; Anneauræus; Anneau Tique; Sept ans de malheur; Ceinture de Vortex; Masque Ardent; Cape Ardente; Pataugastrique; Dofus Ocre; Dofus Ivoire; Nomade; Érudit majeur; Étourdisseur majeur; Bisouglours</t>
        </is>
      </c>
    </row>
    <row r="3731">
      <c r="A3731" t="inlineStr">
        <is>
          <t>Féca M 200</t>
        </is>
      </c>
      <c r="B3731">
        <f>HYPERLINK("https://www.dofusbook.net/fr/equipement/4197044-feca-m-200/objets", "link")</f>
        <v/>
      </c>
      <c r="C3731" t="n">
        <v>2</v>
      </c>
      <c r="D3731" t="inlineStr"/>
    </row>
    <row r="3732">
      <c r="A3732" t="inlineStr">
        <is>
          <t>Sadida F 200</t>
        </is>
      </c>
      <c r="B3732">
        <f>HYPERLINK("https://www.dofusbook.net/fr/equipement/4190043-sadida-f-200/objets", "link")</f>
        <v/>
      </c>
      <c r="C3732" t="n">
        <v>3</v>
      </c>
      <c r="D3732" t="inlineStr">
        <is>
          <t>Bâthon; Amulette de Gein; Chevalière du Roi Joueur; Bague Gloursonne; Ceinture de Gein; Chapeau de Gein; Voile d'encre; Bottes du Roi Joueur</t>
        </is>
      </c>
    </row>
    <row r="3733">
      <c r="A3733" t="inlineStr">
        <is>
          <t>Xélor F 200</t>
        </is>
      </c>
      <c r="B3733">
        <f>HYPERLINK("https://www.dofusbook.net/fr/equipement/4189933-xelor-f-200/objets", "link")</f>
        <v/>
      </c>
      <c r="C3733" t="n">
        <v>5</v>
      </c>
      <c r="D3733" t="inlineStr">
        <is>
          <t>Lav'Hache; Amulette du Cœur Vaillant; Anneau Crustique; Anneau Crustique; Cadran de Terre; Culotte de Bethel; Masque de Koutoulou; Cape au Logis; Chaussons de Macrab; Dofus Ocre; Dofus Ivoire; Dofus Pourpre; Étourdisseur majeur; Carapace Terre majeur; Paralyseur majeur; Koalak Sanguin</t>
        </is>
      </c>
    </row>
    <row r="3734">
      <c r="A3734" t="inlineStr">
        <is>
          <t>Sram F 200</t>
        </is>
      </c>
      <c r="B3734">
        <f>HYPERLINK("https://www.dofusbook.net/fr/equipement/4186952-sram-f-200/objets", "link")</f>
        <v/>
      </c>
      <c r="C3734" t="n">
        <v>1</v>
      </c>
      <c r="D3734" t="inlineStr">
        <is>
          <t>Dagues de Srambad; Amulette Volkorne; Anneau Volkorne; Pikano; Bouclier cubiste; Ceinture Volkorne; Casquipik; Cape du Cœur Saignant; Pikottes; Dofus Abyssal; Dofus des Glaces; Dofus Ivoire; Dofus Pourpre; Dofus Ocre; Robuste majeur</t>
        </is>
      </c>
    </row>
    <row r="3735">
      <c r="A3735" t="inlineStr">
        <is>
          <t>Sram M 200</t>
        </is>
      </c>
      <c r="B3735">
        <f>HYPERLINK("https://www.dofusbook.net/fr/equipement/4189689-sram-m-200/objets", "link")</f>
        <v/>
      </c>
      <c r="C3735" t="n">
        <v>1</v>
      </c>
      <c r="D3735" t="inlineStr">
        <is>
          <t>Arc du Chalœil; Amulette de Gein; Bague Gloursonne; Chevalière du Roi Joueur; Quatre-feuilles; Ceinture de Gein; Chapeau de Gein; Cape au Logis; Bottes du Roi Joueur; Dofus Pourpre; Dofus Ocre; Dofus Turquoise; Dofus Abyssal; Dofus des Glaces; Dofus Ivoire</t>
        </is>
      </c>
    </row>
    <row r="3736">
      <c r="A3736" t="inlineStr">
        <is>
          <t>Air/RetPA</t>
        </is>
      </c>
      <c r="B3736">
        <f>HYPERLINK("https://www.dofusbook.net/fr/equipement/4189412-air-retpa/objets", "link")</f>
        <v/>
      </c>
      <c r="C3736" t="n">
        <v>1</v>
      </c>
      <c r="D3736" t="inlineStr">
        <is>
          <t>Lance Horselé; Amulette du Cœur Vaillant; Alliance Gloursonne; Anneau de Padgref; Quatre-feuilles; Menoture; Casque Volkorne; Chevelure de Tal Kasha; Sandales de Tal Kasha; Dofus Ocre; Dofus Abyssal; Dofus des Glaces; Dofus Turquoise; Dofus Ivoire; Étourdisseur majeur; Muldo Prune et Emeraude</t>
        </is>
      </c>
    </row>
    <row r="3737">
      <c r="A3737" t="inlineStr">
        <is>
          <t>Stri/TK</t>
        </is>
      </c>
      <c r="B3737">
        <f>HYPERLINK("https://www.dofusbook.net/fr/equipement/4189359-stri-tk/objets", "link")</f>
        <v/>
      </c>
      <c r="C3737" t="n">
        <v>1</v>
      </c>
      <c r="D3737" t="inlineStr">
        <is>
          <t>Arc de Koutoulou; Amulette du Strigide; Alliance Gloursonne; Anneau Volkorne; Quatre-feuilles; Ceinture du Strigide; Némès de Tal Kasha; Chevelure de Tal Kasha; Sandales de Tal Kasha; Dofus Vulbis; Dofus Ocre; Dofus Pourpre; Dofus Abyssal; Dofus Turquoise; Dofus Ivoire; Kokulte</t>
        </is>
      </c>
    </row>
    <row r="3738">
      <c r="A3738" t="inlineStr">
        <is>
          <t>Valet/RDV</t>
        </is>
      </c>
      <c r="B3738">
        <f>HYPERLINK("https://www.dofusbook.net/fr/equipement/1199872-valet-rdv/objets", "link")</f>
        <v/>
      </c>
      <c r="C3738" t="n">
        <v>1</v>
      </c>
      <c r="D3738" t="inlineStr">
        <is>
          <t>Arc de Koutoulou; Collier du Valet Veinard; Alliance Gloursonne; Gant du Valet Veinard; Cadran d'Air; Ceinture de la Reine des Voleurs; Coiffe de la Reine des Voleurs; Cape du Valet Veinard; Bottes de la Reine des Voleurs; Dofus Ocre; Dofus des Glaces; Dofus Abyssal; Dofus Pourpre; Dofus Ivoire; Robuste majeur; Muldo Ebène et Indigo</t>
        </is>
      </c>
    </row>
    <row r="3739">
      <c r="A3739" t="inlineStr">
        <is>
          <t>RDV/VV/Volk</t>
        </is>
      </c>
      <c r="B3739">
        <f>HYPERLINK("https://www.dofusbook.net/fr/equipement/4187099-rdv-vv-volk/objets", "link")</f>
        <v/>
      </c>
      <c r="C3739" t="n">
        <v>4</v>
      </c>
      <c r="D3739" t="inlineStr">
        <is>
          <t>Arc de Koutoulou; Collier du Valet Veinard; Gant du Valet Veinard; Anneau Volkorne; Bouclier du Stalak; Ceinture de la Reine des Voleurs; Casque Volkorne; Cape du Valet Veinard; Bottes de la Reine des Voleurs; Dofus Ocre; Dofus Ivoire; Dofus des Glaces; Dofus Pourpre; Dofus Abyssal; Robuste majeur; Muldo Ebène et Orchidée</t>
        </is>
      </c>
    </row>
    <row r="3740">
      <c r="A3740" t="inlineStr">
        <is>
          <t>Enutrof F 200</t>
        </is>
      </c>
      <c r="B3740">
        <f>HYPERLINK("https://www.dofusbook.net/fr/equipement/4187143-enutrof-f-200/objets", "link")</f>
        <v/>
      </c>
      <c r="C3740" t="n">
        <v>2</v>
      </c>
      <c r="D3740" t="inlineStr">
        <is>
          <t>Arc de Koutoulou; Amulette de Pol Ouatnos; Anneau de Padgref; Alliance Gloursonne; Quatre-feuilles; Menoture; Couronne d'Allister; Chevelure de Tal Kasha; Sandales de Tal Kasha; Dofus Turquoise; Dofus des Glaces; Dofus Ocre; Cascadeur majeur; Étourdisseur majeur; Dévastateur Air majeur; Kokulte</t>
        </is>
      </c>
    </row>
    <row r="3741">
      <c r="A3741" t="inlineStr">
        <is>
          <t>Sram M 200</t>
        </is>
      </c>
      <c r="B3741">
        <f>HYPERLINK("https://www.dofusbook.net/fr/equipement/4186710-sram-m-200/objets", "link")</f>
        <v/>
      </c>
      <c r="C3741" t="n">
        <v>1</v>
      </c>
      <c r="D3741" t="inlineStr"/>
    </row>
    <row r="3742">
      <c r="A3742" t="inlineStr">
        <is>
          <t>VV/Cyclo/Volk</t>
        </is>
      </c>
      <c r="B3742">
        <f>HYPERLINK("https://www.dofusbook.net/fr/equipement/4186644-vv-cyclo-volk/objets", "link")</f>
        <v/>
      </c>
      <c r="C3742" t="n">
        <v>2</v>
      </c>
      <c r="D3742" t="inlineStr">
        <is>
          <t>Hache Ériphe; Collier du Valet Veinard; Gant du Valet Veinard; Anneau du Cycloïde; Bouclier du Stalak; Ceinture Volkorne; Casque Volkorne; Cape du Valet Veinard; Bottes du Cycloïde; Dofus Pourpre; Dofus Ocre; Dofus Vulbis; Dofus Abyssal; Dofus des Glaces; Dofus Ivoire; Dragodinde Ebène et Ivoire</t>
        </is>
      </c>
    </row>
    <row r="3743">
      <c r="A3743" t="inlineStr">
        <is>
          <t>Terre/Opti</t>
        </is>
      </c>
      <c r="B3743">
        <f>HYPERLINK("https://www.dofusbook.net/fr/equipement/4186517-terre-opti/objets", "link")</f>
        <v/>
      </c>
      <c r="C3743" t="n">
        <v>1</v>
      </c>
      <c r="D3743" t="inlineStr">
        <is>
          <t>Arc du Chalœil; Amulette du Strigide; Anneau Volkorne; Chevalière du Roi Joueur; Quatre-feuilles; Ceinture Volkorne; Masque de Koutoulou; Cape au Logis; Bottes du Roi Joueur; Dofus des Glaces; Dofus Turquoise; Dofus Ivoire; Dofus Pourpre; Dofus Ocre; Dofus Abyssal; Bulbisou</t>
        </is>
      </c>
    </row>
    <row r="3744">
      <c r="A3744" t="inlineStr">
        <is>
          <t>Air/RetPA</t>
        </is>
      </c>
      <c r="B3744">
        <f>HYPERLINK("https://www.dofusbook.net/fr/equipement/4183691-air-retpa/objets", "link")</f>
        <v/>
      </c>
      <c r="C3744" t="n">
        <v>1</v>
      </c>
      <c r="D3744" t="inlineStr">
        <is>
          <t>Arc de Koutoulou; Alliance Gloursonne; Gant du Valet Veinard; Menoture; Némès de Tal Kasha; Chevelure de Tal Kasha; Bottes Voldelor</t>
        </is>
      </c>
    </row>
    <row r="3745">
      <c r="A3745" t="inlineStr">
        <is>
          <t>Sram M 200</t>
        </is>
      </c>
      <c r="B3745">
        <f>HYPERLINK("https://www.dofusbook.net/fr/equipement/4182773-sram-m-200/objets", "link")</f>
        <v/>
      </c>
      <c r="C3745" t="n">
        <v>1</v>
      </c>
      <c r="D3745" t="inlineStr">
        <is>
          <t>Lance Horselé; Collier du Valet Veinard; Anneau de Padgref; Gant du Valet Veinard; Quatre-feuilles; Menoture; Coiffe de Padgref; Chevelure de Tal Kasha; Sandales de Tal Kasha; Dofus Turquoise; Dofus Abyssal; Dofus des Glaces; Dofus Ivoire; Dofus Pourpre; Dofus Ocre; Muldo Prune et Emeraude</t>
        </is>
      </c>
    </row>
    <row r="3746">
      <c r="A3746" t="inlineStr">
        <is>
          <t>Sram F 200</t>
        </is>
      </c>
      <c r="B3746">
        <f>HYPERLINK("https://www.dofusbook.net/fr/equipement/4182637-sram-f-200/objets", "link")</f>
        <v/>
      </c>
      <c r="C3746" t="n">
        <v>1</v>
      </c>
      <c r="D3746" t="inlineStr">
        <is>
          <t>Marteau R'ture; Amulette Volcanique; Chevalière du Roi Joueur; Ceinture Volkorne; Couronne du Roi Joueur; Cape au Logis; Sabots Volcaniques</t>
        </is>
      </c>
    </row>
    <row r="3747">
      <c r="A3747" t="inlineStr">
        <is>
          <t>Féca M 200</t>
        </is>
      </c>
      <c r="B3747">
        <f>HYPERLINK("https://www.dofusbook.net/fr/equipement/4182634-feca-m-200/objets", "link")</f>
        <v/>
      </c>
      <c r="C3747" t="n">
        <v>1</v>
      </c>
      <c r="D3747" t="inlineStr"/>
    </row>
    <row r="3748">
      <c r="A3748" t="inlineStr">
        <is>
          <t>Pandawa F 200</t>
        </is>
      </c>
      <c r="B3748">
        <f>HYPERLINK("https://www.dofusbook.net/fr/equipement/4181979-pandawa-f-200/objets", "link")</f>
        <v/>
      </c>
      <c r="C3748" t="n">
        <v>2</v>
      </c>
      <c r="D3748" t="inlineStr">
        <is>
          <t>Baguette Hernelle; Amulette d'Otomaï; Bague Gloursonne; Anneau de Padgref; Quatre-feuilles; Sangle Aise; Coiffe de Padgref; Cape de Dremoan; Pataugastrique; Dofus Turquoise; Puissant majeur; Nomade; Cascadeur majeur; Remueur; Vigoureux majeur; Muldo Prune et Emeraude</t>
        </is>
      </c>
    </row>
    <row r="3749">
      <c r="A3749" t="inlineStr">
        <is>
          <t>Sram M 200</t>
        </is>
      </c>
      <c r="B3749">
        <f>HYPERLINK("https://www.dofusbook.net/fr/equipement/4159797-sram-m-200/objets", "link")</f>
        <v/>
      </c>
      <c r="C3749" t="n">
        <v>5</v>
      </c>
      <c r="D3749" t="inlineStr">
        <is>
          <t>Hache Téroïde; Amulette du Strigide; Bague Gloursonne; Chevalière du Roi Joueur; Quatre-feuilles; Ceinture du Strigide; Couronne du Roi Joueur; Cape des Justiciers; Bottes du Roi Joueur; Dofus Turquoise; Dofus Pourpre; Savant majeur; Furibond majeur; Puissant majeur; Muldo Prune et Emeraude</t>
        </is>
      </c>
    </row>
    <row r="3750">
      <c r="A3750" t="inlineStr">
        <is>
          <t>Enutrof F 200</t>
        </is>
      </c>
      <c r="B3750">
        <f>HYPERLINK("https://www.dofusbook.net/fr/equipement/4159702-enutrof-f-200/objets", "link")</f>
        <v/>
      </c>
      <c r="C3750" t="n">
        <v>1</v>
      </c>
      <c r="D3750" t="inlineStr">
        <is>
          <t>Amulette du Sinistrofu; Alliance Gloursonne; Poulpagne; Kidibonnet; Cape de la Dame du Hasard; Bottes du Sinistrofu</t>
        </is>
      </c>
    </row>
    <row r="3751">
      <c r="A3751" t="inlineStr">
        <is>
          <t>Enutrof F 200</t>
        </is>
      </c>
      <c r="B3751">
        <f>HYPERLINK("https://www.dofusbook.net/fr/equipement/4159557-enutrof-f-200/objets", "link")</f>
        <v/>
      </c>
      <c r="C3751" t="n">
        <v>2</v>
      </c>
      <c r="D3751" t="inlineStr">
        <is>
          <t>Arc du Chalœil; Amulette du Strigide; Anneau de Brouce; Bague Gloursonne; Quatre-feuilles; Ceinture de Brouce; Masque de Koutoulou; Cape au Logis; Bottes de la Cour Sombre; Dofus Pourpre; Dofus Turquoise; Remueur; Nomade</t>
        </is>
      </c>
    </row>
    <row r="3752">
      <c r="A3752" t="inlineStr">
        <is>
          <t>Monoair</t>
        </is>
      </c>
      <c r="B3752">
        <f>HYPERLINK("https://www.dofusbook.net/fr/equipement/4143192-monoair/objets", "link")</f>
        <v/>
      </c>
      <c r="C3752" t="n">
        <v>6</v>
      </c>
      <c r="D3752" t="inlineStr">
        <is>
          <t>Manthache; Collier du Valet Veinard; Alliance Gloursonne; Gant du Valet Veinard; Bouclier du Stalak; Menoture; Couronne d'Allister; Cape Indescriptible; Palmes Trithons; Dofus Pourpre; Cascadeur majeur; Nomade; Remueur; Muldo Doré et Ebène</t>
        </is>
      </c>
    </row>
    <row r="3753">
      <c r="A3753" t="inlineStr">
        <is>
          <t>Atcham/Volk</t>
        </is>
      </c>
      <c r="B3753">
        <f>HYPERLINK("https://www.dofusbook.net/fr/equipement/4155305-atcham-volk/objets", "link")</f>
        <v/>
      </c>
      <c r="C3753" t="n">
        <v>1</v>
      </c>
      <c r="D3753" t="inlineStr">
        <is>
          <t>Arc de Koutoulou; Amulette Volkorne; Anneau Volkorne; Alliance Gloursonne; Quatre-feuilles; Ceintacé; Casque Volkorne; Cape d'Atcham; Sandales  d'Atcham; Dofus Pourpre; Dofus Ivoire; Dofus Turquoise; Dofus Ocre; Dofus des Glaces; Dofus Abyssal; Kokulte</t>
        </is>
      </c>
    </row>
    <row r="3754">
      <c r="A3754" t="inlineStr">
        <is>
          <t>Enutrof F 200</t>
        </is>
      </c>
      <c r="B3754">
        <f>HYPERLINK("https://www.dofusbook.net/fr/equipement/4155404-enutrof-f-200/objets", "link")</f>
        <v/>
      </c>
      <c r="C3754" t="n">
        <v>2</v>
      </c>
      <c r="D3754" t="inlineStr">
        <is>
          <t>Sceptre du Roi Joueur; Amulette Volkorne; Alliance Gloursonne; Anneau Volkorne; Quatre-feuilles; Sangle Ouare; Heaume Oplate; Cape de la Dame du Hasard; Bottes de la Dame du Hasard; Dofus des Glaces; Dofus Abyssal; Dofus Pourpre; Dofus Ivoire; Dofus Turquoise; Dofus Ocre; Chacha Angora</t>
        </is>
      </c>
    </row>
    <row r="3755">
      <c r="A3755" t="inlineStr">
        <is>
          <t>Sram F 200</t>
        </is>
      </c>
      <c r="B3755">
        <f>HYPERLINK("https://www.dofusbook.net/fr/equipement/4144234-sram-f-200/objets", "link")</f>
        <v/>
      </c>
      <c r="C3755" t="n">
        <v>1</v>
      </c>
      <c r="D3755" t="inlineStr"/>
    </row>
    <row r="3756">
      <c r="A3756" t="inlineStr">
        <is>
          <t>WTF</t>
        </is>
      </c>
      <c r="B3756">
        <f>HYPERLINK("https://www.dofusbook.net/fr/equipement/4143139-wtf-/objets", "link")</f>
        <v/>
      </c>
      <c r="C3756" t="n">
        <v>2</v>
      </c>
      <c r="D3756" t="inlineStr">
        <is>
          <t>Le Thanos; Amulette d'Ilyzaelle; Kralano; Alliance Gloursonne; Bouclier d'Ilyzaelle; Ceinture de Vortex; Casque d'Ilyzaelle; Cape Martegel; Sabots de Vortex; Dofus Pourpre; Dofus Abyssal; Dofus des Glaces; Dofus Ivoire; Dofus Vulbis; Dofus Ocre; Blérodoudou</t>
        </is>
      </c>
    </row>
    <row r="3757">
      <c r="A3757" t="inlineStr">
        <is>
          <t>VV/Ilyza</t>
        </is>
      </c>
      <c r="B3757">
        <f>HYPERLINK("https://www.dofusbook.net/fr/equipement/4143123-vv-ilyza/objets", "link")</f>
        <v/>
      </c>
      <c r="C3757" t="n">
        <v>2</v>
      </c>
      <c r="D3757" t="inlineStr">
        <is>
          <t>Karnak; Collier du Valet Veinard; Alliance Gloursonne; Gant du Valet Veinard; Bouclier d'Ilyzaelle; Ceinture de la Reine des Voleurs; Casque d'Ilyzaelle; Cape du Valet Veinard; Bottes de la Reine des Voleurs; Dofus Ocre; Dofus Pourpre; Dofus Abyssal; Dofus des Glaces; Dofus Ivoire; Robuste majeur; Blérodoudou</t>
        </is>
      </c>
    </row>
    <row r="3758">
      <c r="A3758" t="inlineStr">
        <is>
          <t>Sram F 200</t>
        </is>
      </c>
      <c r="B3758">
        <f>HYPERLINK("https://www.dofusbook.net/fr/equipement/4143219-sram-f-200/objets", "link")</f>
        <v/>
      </c>
      <c r="C3758" t="n">
        <v>1</v>
      </c>
      <c r="D3758" t="inlineStr"/>
    </row>
    <row r="3759">
      <c r="A3759" t="inlineStr">
        <is>
          <t>Enutrof F 200</t>
        </is>
      </c>
      <c r="B3759">
        <f>HYPERLINK("https://www.dofusbook.net/fr/equipement/4138888-enutrof-f-200/objets", "link")</f>
        <v/>
      </c>
      <c r="C3759" t="n">
        <v>1</v>
      </c>
      <c r="D3759" t="inlineStr">
        <is>
          <t>Arc du Chalœil; Amulette du Cœur Saignant; Anneau Chevelu; Chevalière du Roi Joueur; Quatre-feuilles; Ceinture Volkorne; Masque de Koutoulou; Cape au Logis; Bottes du Cœur Saignant; Dofus des Glaces; Dofus Abyssal; Dofus Turquoise; Dofus Ivoire; Dofus Pourpre; Dofus Ocre; Bulbisou</t>
        </is>
      </c>
    </row>
    <row r="3760">
      <c r="A3760" t="inlineStr">
        <is>
          <t>Monoair</t>
        </is>
      </c>
      <c r="B3760">
        <f>HYPERLINK("https://www.dofusbook.net/fr/equipement/4139082-monoair/objets", "link")</f>
        <v/>
      </c>
      <c r="C3760" t="n">
        <v>1</v>
      </c>
      <c r="D3760" t="inlineStr">
        <is>
          <t>Manthache; Collier du Valet Veinard; Alliance Gloursonne; Gant du Valet Veinard; Cadran d'Air; Menoture; Casque Volkorne; Cape Martegel; Palmes Trithons; Dofus Ocre; Dofus Abyssal; Dofus Pourpre; Cascadeur majeur; Nomade; Carapace Feu majeur; Blérodoudou</t>
        </is>
      </c>
    </row>
    <row r="3761">
      <c r="A3761" t="inlineStr">
        <is>
          <t>RJ/Nileza</t>
        </is>
      </c>
      <c r="B3761">
        <f>HYPERLINK("https://www.dofusbook.net/fr/equipement/4140594-rj-nileza/objets", "link")</f>
        <v/>
      </c>
      <c r="C3761" t="n">
        <v>4</v>
      </c>
      <c r="D3761" t="inlineStr">
        <is>
          <t>Arc corrompu; Amulette de Nileza; Chevalière du Roi Joueur; Bague Gloursonne; Cadran d'Air; Ceinture de l'Esprit Malsain; Couronne du Roi Joueur; Cape de Nileza; Bottes du Roi Joueur; Dofus des Glaces; Dofus Ivoire; Dofus Ocre; Dofus Pourpre; Dofus Abyssal; Muldo Orchidée et Pourpre</t>
        </is>
      </c>
    </row>
    <row r="3762">
      <c r="A3762" t="inlineStr">
        <is>
          <t>Sram F 200</t>
        </is>
      </c>
      <c r="B3762">
        <f>HYPERLINK("https://www.dofusbook.net/fr/equipement/4138782-sram-f-200/objets", "link")</f>
        <v/>
      </c>
      <c r="C3762" t="n">
        <v>1</v>
      </c>
      <c r="D3762" t="inlineStr">
        <is>
          <t>Arc de Koutoulou; Collier du Valet Veinard; Gant du Valet Veinard; Anneau Volkorne; Cadran d'Air; Ceinture de la Reine des Voleurs; Casque Volkorne; Cape du Valet Veinard; Bottes de la Reine des Voleurs; Dofus des Glaces; Dofus Abyssal; Dofus Pourpre; Dofus Ivoire; Dofus Ocre; Robuste majeur; Muldo Orchidée et Pourpre</t>
        </is>
      </c>
    </row>
    <row r="3763">
      <c r="A3763" t="inlineStr">
        <is>
          <t>Ecaflip F 200</t>
        </is>
      </c>
      <c r="B3763">
        <f>HYPERLINK("https://www.dofusbook.net/fr/equipement/4137847-ecaflip-f-200/objets", "link")</f>
        <v/>
      </c>
      <c r="C3763" t="n">
        <v>1</v>
      </c>
      <c r="D3763" t="inlineStr">
        <is>
          <t>Arc corrompu; Pendentif mignon de Koutoulou; Anneau Rifique; Anneau Tique; Bouclier du Stalak; Ceinture de Vortex; Masque Ardent; Cape Ardente; Chaussures Ardentes; Dofus Ocre; Dofus Pourpre; Dofus Abyssal; Dofus des Glaces; Dofus Ivoire; Muldo Orchidée et Pourpre</t>
        </is>
      </c>
    </row>
    <row r="3764">
      <c r="A3764" t="inlineStr">
        <is>
          <t>Sram F 200</t>
        </is>
      </c>
      <c r="B3764">
        <f>HYPERLINK("https://www.dofusbook.net/fr/equipement/4137777-sram-f-200/objets", "link")</f>
        <v/>
      </c>
      <c r="C3764" t="n">
        <v>1</v>
      </c>
      <c r="D3764" t="inlineStr">
        <is>
          <t>Arc du Chalœil; Amulette du Strigide; Chevalière du Roi Joueur; Anneau Chevelu; Quatre-feuilles; Ceinture du Strigide; Couronne du Roi Joueur; Cape au Logis; Bottes du Roi Joueur; Dofus Abyssal; Dofus Turquoise; Dofus Pourpre; Dofus des Glaces; Dofus Ocre; Bulbisou</t>
        </is>
      </c>
    </row>
    <row r="3765">
      <c r="A3765" t="inlineStr">
        <is>
          <t>Sram F 200</t>
        </is>
      </c>
      <c r="B3765">
        <f>HYPERLINK("https://www.dofusbook.net/fr/equipement/4135478-sram-f-200/objets", "link")</f>
        <v/>
      </c>
      <c r="C3765" t="n">
        <v>3</v>
      </c>
      <c r="D3765" t="inlineStr">
        <is>
          <t>Manthache; Collier du Valet Veinard; Alliance Gloursonne; Gant du Valet Veinard; Bouclier du Stalak; Ceinture du Barbétoal; Coiffe de la Reine des Voleurs; Cape du Valet Veinard; Bottes de la Reine des Voleurs; Blérodoudou</t>
        </is>
      </c>
    </row>
    <row r="3766">
      <c r="A3766" t="inlineStr">
        <is>
          <t>Féca F 200</t>
        </is>
      </c>
      <c r="B3766">
        <f>HYPERLINK("https://www.dofusbook.net/fr/equipement/4090642-feca-f-200/objets", "link")</f>
        <v/>
      </c>
      <c r="C3766" t="n">
        <v>3</v>
      </c>
      <c r="D3766" t="inlineStr">
        <is>
          <t>Kompost</t>
        </is>
      </c>
    </row>
    <row r="3767">
      <c r="A3767" t="inlineStr">
        <is>
          <t>Pandawa M 200</t>
        </is>
      </c>
      <c r="B3767">
        <f>HYPERLINK("https://www.dofusbook.net/fr/equipement/4043779-pandawa-m-200/objets", "link")</f>
        <v/>
      </c>
      <c r="C3767" t="n">
        <v>6</v>
      </c>
      <c r="D3767" t="inlineStr">
        <is>
          <t>Marteau des Anciens Steamers; Amulette Voldelor; Alliance Gloursonne; Anneau Volkorne; Quatre-feuilles; Ceinture Voldelor; Némès de Tal Kasha; Chevelure de Tal Kasha; Sandales de Tal Kasha; Dofus Pourpre; Dofus Ivoire; Dofus Vulbis; Dofus Ocre; Dofus Turquoise; Dofus Abyssal; Kokulte</t>
        </is>
      </c>
    </row>
    <row r="3768">
      <c r="A3768" t="inlineStr">
        <is>
          <t>Sram M 200</t>
        </is>
      </c>
      <c r="B3768">
        <f>HYPERLINK("https://www.dofusbook.net/fr/equipement/4043679-sram-m-200/objets", "link")</f>
        <v/>
      </c>
      <c r="C3768" t="n">
        <v>1</v>
      </c>
      <c r="D3768" t="inlineStr">
        <is>
          <t>Marteau Phossile; Amulette du Strigide; Alliance Gloursonne; Anneau de Padgref; Quatre-feuilles; Ceinture du Strigide; Coiffe de Padgref; Voile d'encre; Getas de Padgref; Dofus Turquoise; Dofus Ocre; Dofus Pourpre; Dofus Vulbis; Dofus Abyssal; Dofus Ivoire; Dragodinde Emeraude et Ivoire</t>
        </is>
      </c>
    </row>
    <row r="3769">
      <c r="A3769" t="inlineStr">
        <is>
          <t>Ecaflip F 200</t>
        </is>
      </c>
      <c r="B3769">
        <f>HYPERLINK("https://www.dofusbook.net/fr/equipement/4043452-ecaflip-f-200/objets", "link")</f>
        <v/>
      </c>
      <c r="C3769" t="n">
        <v>1</v>
      </c>
      <c r="D3769" t="inlineStr">
        <is>
          <t>Bêche Asse; Amulette de Gein; Anneau Chevelu; Bague Gloursonne; Bouclier du Stalak; Ceinture de Gein; Masque de Koutoulou; Cape du Cœur Saignant; Bottes du Cœur Saignant</t>
        </is>
      </c>
    </row>
    <row r="3770">
      <c r="A3770" t="inlineStr">
        <is>
          <t>Sram M 200</t>
        </is>
      </c>
      <c r="B3770">
        <f>HYPERLINK("https://www.dofusbook.net/fr/equipement/3935507-sram-m-200/objets", "link")</f>
        <v/>
      </c>
      <c r="C3770" t="n">
        <v>1</v>
      </c>
      <c r="D3770" t="inlineStr">
        <is>
          <t>Hache du Korriandre; Amulette du Strigide; Alliance Gloursonne; Anneau de Padgref; Quatre-feuilles; Ceinture du Strigide; Némès de Tal Kasha; Chevelure de Tal Kasha; Sandales de Tal Kasha; Dofus Pourpre; Dofus Abyssal; Dofus Turquoise; Dofus Ivoire; Dofus Vulbis; Dofus Ocre; Kokulte</t>
        </is>
      </c>
    </row>
    <row r="3771">
      <c r="A3771" t="inlineStr">
        <is>
          <t>Iop M 200</t>
        </is>
      </c>
      <c r="B3771">
        <f>HYPERLINK("https://www.dofusbook.net/fr/equipement/4031208-iop-m-200/objets", "link")</f>
        <v/>
      </c>
      <c r="C3771" t="n">
        <v>7</v>
      </c>
      <c r="D3771" t="inlineStr">
        <is>
          <t>Arc Nécrotique; Amulette Volkorne; Anneau Tique; Anneau Volkorne; Quatre-feuilles; Ceinture de l'Esprit Malsain; Casquette de Meno; Cape de Meno; Bottes de Meno; Dofus Vulbis; Dofus Pourpre; Dofus Ivoire; Dofus Ocre; Dofus des Glaces; Dofus Turquoise; Kokulte</t>
        </is>
      </c>
    </row>
    <row r="3772">
      <c r="A3772" t="inlineStr">
        <is>
          <t>Ecaflip F 200</t>
        </is>
      </c>
      <c r="B3772">
        <f>HYPERLINK("https://www.dofusbook.net/fr/equipement/4015461-ecaflip-f-200/objets", "link")</f>
        <v/>
      </c>
      <c r="C3772" t="n">
        <v>3</v>
      </c>
      <c r="D3772" t="inlineStr">
        <is>
          <t>Sceptre du Roi Joueur; Amulette Voldelor; Anneau Volkorne; Alliance Gloursonne; Cadran d'Air; Ceinture Voldelor; Masque des Fonds marins; Cape Solution; Sandales des Fonds marins; Dofus Ivoire; Dofus Vulbis; Dofus Ocre; Dofus Pourpre; Dofus Abyssal; Robuste majeur; Kanigloups</t>
        </is>
      </c>
    </row>
    <row r="3773">
      <c r="A3773" t="inlineStr">
        <is>
          <t>Iop M 200</t>
        </is>
      </c>
      <c r="B3773">
        <f>HYPERLINK("https://www.dofusbook.net/fr/equipement/3989498-iop-m-200/objets", "link")</f>
        <v/>
      </c>
      <c r="C3773" t="n">
        <v>5</v>
      </c>
      <c r="D3773" t="inlineStr">
        <is>
          <t>Marteau des Anciens Steamers; Amulette du Strigide; Anneau Volkorne; Alliance Gloursonne; Bouclier du Captain Amakna; Ceintacé; Casque Volkorne; Chevelure de Tal Kasha; Sandales de Tal Kasha; Dofus Turquoise; Dofus Ivoire; Dofus Vulbis; Dofus Ocre; Dofus Pourpre; Dofus Abyssal; Kokulte</t>
        </is>
      </c>
    </row>
    <row r="3774">
      <c r="A3774" t="inlineStr">
        <is>
          <t>MonoeauNRV</t>
        </is>
      </c>
      <c r="B3774">
        <f>HYPERLINK("https://www.dofusbook.net/fr/equipement/3981226-monoeaunrv/objets", "link")</f>
        <v/>
      </c>
      <c r="C3774" t="n">
        <v>2</v>
      </c>
      <c r="D3774" t="inlineStr">
        <is>
          <t>Sceptre du Roi Joueur; Amulette d'Ilyzaelle; Alliance Gloursonne; Anneau Volkorne; Bouclier d'Ilyzaelle; Ceinture du Barbétoal; Casque d'Ilyzaelle; Cape de l'Œil Attentif; Sandales des Fonds marins; Dofus Pourpre; Dofus Ivoire; Dofus Émeraude; Dofus Ocre; Dofus Vulbis; Dofus Abyssal; Bwak d'Air</t>
        </is>
      </c>
    </row>
    <row r="3775">
      <c r="A3775" t="inlineStr">
        <is>
          <t>Monoterre</t>
        </is>
      </c>
      <c r="B3775">
        <f>HYPERLINK("https://www.dofusbook.net/fr/equipement/3989469-monoterre/objets", "link")</f>
        <v/>
      </c>
      <c r="C3775" t="n">
        <v>1</v>
      </c>
      <c r="D3775" t="inlineStr">
        <is>
          <t>Amulette du Strigide; Bague Gloursonne; Ceinture Volkorne; Masque de Koutoulou; Cape au Logis; Bottes du Strigide</t>
        </is>
      </c>
    </row>
    <row r="3776">
      <c r="A3776" t="inlineStr">
        <is>
          <t>MonoterreNRV</t>
        </is>
      </c>
      <c r="B3776">
        <f>HYPERLINK("https://www.dofusbook.net/fr/equipement/3989466-monoterrenrv/objets", "link")</f>
        <v/>
      </c>
      <c r="C3776" t="n">
        <v>1</v>
      </c>
      <c r="D3776" t="inlineStr"/>
    </row>
    <row r="3777">
      <c r="A3777" t="inlineStr">
        <is>
          <t>Enutrof F 200</t>
        </is>
      </c>
      <c r="B3777">
        <f>HYPERLINK("https://www.dofusbook.net/fr/equipement/3980661-enutrof-f-200/objets", "link")</f>
        <v/>
      </c>
      <c r="C3777" t="n">
        <v>1</v>
      </c>
      <c r="D3777" t="inlineStr">
        <is>
          <t>Sceptre du Roi Joueur; Amulette du Strigide; Alliance Gloursonne; Anneau Volkorne; Bouclier cubiste; Ceinture du Strigide; Némès de Tal Kasha; Chevelure de Tal Kasha; Sandales de Tal Kasha</t>
        </is>
      </c>
    </row>
    <row r="3778">
      <c r="A3778" t="inlineStr">
        <is>
          <t>Xélor F 200</t>
        </is>
      </c>
      <c r="B3778">
        <f>HYPERLINK("https://www.dofusbook.net/fr/equipement/3950805-xelor-f-200/objets", "link")</f>
        <v/>
      </c>
      <c r="C3778" t="n">
        <v>5</v>
      </c>
      <c r="D3778" t="inlineStr">
        <is>
          <t>Lav'Hache; Amulette du Cœur Vaillant; Anneau Chevelu; Anneau Crustique; Cadran de Terre; Ceinture de la Cour Sombre; Masque de Koutoulou; Cape de la Cour Sombre; Chaussons de Macrab; Dofus Abyssal; Dofus Ivoire; Dofus Ocre; Carapace Terre majeur; Carapace Eau majeur; Étourdisseur majeur; Muldo Ebène et Pourpre</t>
        </is>
      </c>
    </row>
    <row r="3779">
      <c r="A3779" t="inlineStr">
        <is>
          <t>Eniripsa F 200</t>
        </is>
      </c>
      <c r="B3779">
        <f>HYPERLINK("https://www.dofusbook.net/fr/equipement/3950700-eniripsa-f-200/objets", "link")</f>
        <v/>
      </c>
      <c r="C3779" t="n">
        <v>1</v>
      </c>
      <c r="D3779" t="inlineStr">
        <is>
          <t>Sceptre du Roi Joueur; Amulette de Shokkoth; Alliance Gloursonne; Anneau Volkorne; Cadran de Terre; Culotte de Bethel; Masque des Fonds marins; Cape Solution; Chaussons de Macrab; Dofus Ivoire; Dofus Abyssal; Dofus Ocre; Carapace Eau majeur; Carapace Terre majeur; Étourdisseur majeur; Muldo Ebène et Orchidée</t>
        </is>
      </c>
    </row>
    <row r="3780">
      <c r="A3780" t="inlineStr">
        <is>
          <t>Sadida M 200</t>
        </is>
      </c>
      <c r="B3780">
        <f>HYPERLINK("https://www.dofusbook.net/fr/equipement/3935848-sadida-m-200/objets", "link")</f>
        <v/>
      </c>
      <c r="C3780" t="n">
        <v>2</v>
      </c>
      <c r="D3780" t="inlineStr">
        <is>
          <t>Arc Honte; Collier de la Dame du Hasard; Alliance Gloursonne; Anneau de Nidas; Cadran de Feu; Ceinture Séculaire; Couronne de Nidas; Cape de la Dame du Hasard; Bottes de la Dame du Hasard</t>
        </is>
      </c>
    </row>
    <row r="3781">
      <c r="A3781" t="inlineStr">
        <is>
          <t>Sadida F 200</t>
        </is>
      </c>
      <c r="B3781">
        <f>HYPERLINK("https://www.dofusbook.net/fr/equipement/3935815-sadida-f-200/objets", "link")</f>
        <v/>
      </c>
      <c r="C3781" t="n">
        <v>2</v>
      </c>
      <c r="D3781" t="inlineStr">
        <is>
          <t>Marteau R'ture; Amulette Volcanique; Bague Gloursonne; Anneau Chevelu; Bouclier du Stalak; Ceinture Volkorne; Masque de Koutoulou; Cape au Logis; Sabots Volcaniques</t>
        </is>
      </c>
    </row>
    <row r="3782">
      <c r="A3782" t="inlineStr">
        <is>
          <t>Terre do pou</t>
        </is>
      </c>
      <c r="B3782">
        <f>HYPERLINK("https://www.dofusbook.net/fr/equipement/3935760-terre-do-pou/objets", "link")</f>
        <v/>
      </c>
      <c r="C3782" t="n">
        <v>1</v>
      </c>
      <c r="D3782" t="inlineStr">
        <is>
          <t>Lav'Hache; Amulette Luminescente; Bague Instable; Bague Trithon; Bouclier précieux; Ceinture Luminescente; Masque de Koutoulou; Cape au Logis; Bottes de la Cour Sombre; Dofus Ocre; Dofus Abyssal; Dofus Pourpre; Dofus Ivoire; Bousculeur majeur; Culbuteur majeur; Black Tiwabbit</t>
        </is>
      </c>
    </row>
    <row r="3783">
      <c r="A3783" t="inlineStr">
        <is>
          <t>Sram M 200</t>
        </is>
      </c>
      <c r="B3783">
        <f>HYPERLINK("https://www.dofusbook.net/fr/equipement/3935231-sram-m-200/objets", "link")</f>
        <v/>
      </c>
      <c r="C3783" t="n">
        <v>1</v>
      </c>
      <c r="D3783" t="inlineStr">
        <is>
          <t>Harpelle; Amulette Volkorne; Bague Gloursonne; Anneauræus; Bouclier cubiste; Ceintrigue; Heaume Oplate; Voile d'encre; Bottes Owesli; Dragodinde Ivoire et Orchidée</t>
        </is>
      </c>
    </row>
    <row r="3784">
      <c r="A3784" t="inlineStr">
        <is>
          <t>Sram M 200</t>
        </is>
      </c>
      <c r="B3784">
        <f>HYPERLINK("https://www.dofusbook.net/fr/equipement/3935196-sram-m-200/objets", "link")</f>
        <v/>
      </c>
      <c r="C3784" t="n">
        <v>2</v>
      </c>
      <c r="D3784" t="inlineStr">
        <is>
          <t>Marteau R'ture; Amulette du Cœur Saignant; Anneau Chevelu; Chevalière du Roi Joueur; Bouclier du Captain Amakna; Ceinture Volkorne; Masque de Koutoulou; Cape au Logis; Bottes du Cœur Saignant; Dofus Turquoise; Dofus Abyssal; Dofus Pourpre; Dofus Ocre; Dofus Ivoire; Carapace Terre majeur; Dragodinde Ivoire et Pourpre</t>
        </is>
      </c>
    </row>
    <row r="3785">
      <c r="A3785" t="inlineStr">
        <is>
          <t>Sram M 200</t>
        </is>
      </c>
      <c r="B3785">
        <f>HYPERLINK("https://www.dofusbook.net/fr/equipement/3926807-sram-m-200/objets", "link")</f>
        <v/>
      </c>
      <c r="C3785" t="n">
        <v>3</v>
      </c>
      <c r="D3785" t="inlineStr">
        <is>
          <t>Pelle de la Cour Sombre; Collier du Valet Veinard; Alliance Gloursonne; Gant du Valet Veinard; Cadran d'Air; Ceintouse; Coiffe de la Reine des Voleurs; Cape du Valet Veinard; Bottes de la Reine des Voleurs; Dofus des Glaces; Dofus Ivoire; Dofus Vulbis; Dofus Ocre; Dofus Pourpre; Dofus Abyssal; Blérodoudou</t>
        </is>
      </c>
    </row>
    <row r="3786">
      <c r="A3786" t="inlineStr">
        <is>
          <t>Steamer M 200</t>
        </is>
      </c>
      <c r="B3786">
        <f>HYPERLINK("https://www.dofusbook.net/fr/equipement/3895341-steamer-m-200/objets", "link")</f>
        <v/>
      </c>
      <c r="C3786" t="n">
        <v>2</v>
      </c>
      <c r="D3786" t="inlineStr">
        <is>
          <t>Canne Harr; Amulette du Strigide; Anneau de Padgref; Anneau Tique; Bouclier du Captain Amakna; Ceinture du Strigide; Coiffe de Padgref; Voile d'encre; Getas de Padgref; Dofus Turquoise; Dofus Ocre; Dofus Pourpre; Dofus Ivoire; Dofus Vulbis; Dofus Abyssal; Kokulte</t>
        </is>
      </c>
    </row>
    <row r="3787">
      <c r="A3787" t="inlineStr">
        <is>
          <t>Ouginak F 200</t>
        </is>
      </c>
      <c r="B3787">
        <f>HYPERLINK("https://www.dofusbook.net/fr/equipement/3926715-ouginak-f-200/objets", "link")</f>
        <v/>
      </c>
      <c r="C3787" t="n">
        <v>1</v>
      </c>
      <c r="D3787" t="inlineStr">
        <is>
          <t>Canne Harr; Amulette du Strigide; Anneau de Padgref; Anneau Tique; Bouclier du Captain Amakna; Ceinture du Strigide; Coiffe de Padgref; Voile d'encre; Getas de Padgref; Dofus Abyssal; Dofus Turquoise; Dofus Ocre; Dofus Pourpre; Dofus Ivoire; Dofus Vulbis; Kokulte</t>
        </is>
      </c>
    </row>
    <row r="3788">
      <c r="A3788" t="inlineStr">
        <is>
          <t>Roublard F 200</t>
        </is>
      </c>
      <c r="B3788">
        <f>HYPERLINK("https://www.dofusbook.net/fr/equipement/3911197-roublard-f-200/objets", "link")</f>
        <v/>
      </c>
      <c r="C3788" t="n">
        <v>4</v>
      </c>
      <c r="D3788" t="inlineStr">
        <is>
          <t>Baguette Héroclite; Amulette d'Ilyzaelle; Alliance Gloursonne; Anneau Volkorne; Cadran d'Air; Ceinture de la Reine des Voleurs; Casque d'Ilyzaelle; Cape Solution; Bottes de la Reine des Voleurs; Dofus Ocre; Dofus Vulbis; Dofus des Glaces; Dofus Pourpre; Dofus Ivoire; Dofus Émeraude; Kanigloups</t>
        </is>
      </c>
    </row>
    <row r="3789">
      <c r="A3789" t="inlineStr">
        <is>
          <t>Ecaflip M 200</t>
        </is>
      </c>
      <c r="B3789">
        <f>HYPERLINK("https://www.dofusbook.net/fr/equipement/3911078-ecaflip-m-200/objets", "link")</f>
        <v/>
      </c>
      <c r="C3789" t="n">
        <v>1</v>
      </c>
      <c r="D3789" t="inlineStr">
        <is>
          <t>Arc Honte; Amulette de l'Indicible; Alliance Gloursonne; Bague Gloursonne; Ceinture de l'Indicible; Casque du Chalœil; Cape du Chalœil; Bottes de l'Indicible; Dofus Ocre; Dofus Ivoire; Dofus Abyssal; Dofus Pourpre; Dragodinde Ebène et Ivoire</t>
        </is>
      </c>
    </row>
    <row r="3790">
      <c r="A3790" t="inlineStr">
        <is>
          <t>Air eau</t>
        </is>
      </c>
      <c r="B3790">
        <f>HYPERLINK("https://www.dofusbook.net/fr/equipement/3910971-air-eau/objets", "link")</f>
        <v/>
      </c>
      <c r="C3790" t="n">
        <v>2</v>
      </c>
      <c r="D3790" t="inlineStr">
        <is>
          <t>Marteau des Anciens Steamers; Amulette du Strigide; Bracelet du Piloztère; Alliance Gloursonne; Bouclier du Captain Amakna; Ceinture du Strigide; Némès de Tal Kasha; Chevelure de Tal Kasha; Sandales de Tal Kasha; Dofus des Glaces; Dofus Ocre; Dofus Turquoise; Dofus Abyssal; Dofus Vulbis; Dofus Pourpre; Dragodinde Ebène et Ivoire</t>
        </is>
      </c>
    </row>
    <row r="3791">
      <c r="A3791" t="inlineStr">
        <is>
          <t>Iop F 200</t>
        </is>
      </c>
      <c r="B3791">
        <f>HYPERLINK("https://www.dofusbook.net/fr/equipement/3909234-iop-f-200/objets", "link")</f>
        <v/>
      </c>
      <c r="C3791" t="n">
        <v>4</v>
      </c>
      <c r="D3791" t="inlineStr">
        <is>
          <t>Dagues Eudin; Amulette du Kamasterisk; Bague Gloursonne; Alliance Gloursonne; Bouclier du Captain Amakna; Ceintouse; Chapoulpe; Cape du Kamasterisk; Tentassons; Dofus Pourpre; Dofus Ivoire; Dofus Vulbis; Dofus Ocre; Dofus Turquoise; Dofus Abyssal; Dragodinde Ivoire et Pourpre</t>
        </is>
      </c>
    </row>
    <row r="3792">
      <c r="A3792" t="inlineStr">
        <is>
          <t>Sram F 200</t>
        </is>
      </c>
      <c r="B3792">
        <f>HYPERLINK("https://www.dofusbook.net/fr/equipement/3899034-sram-f-200/objets", "link")</f>
        <v/>
      </c>
      <c r="C3792" t="n">
        <v>1</v>
      </c>
      <c r="D3792" t="inlineStr">
        <is>
          <t>Arc Ahique; Alliance Gloursonne; Ceinture de la Reine des Voleurs; Bottes de la Reine des Voleurs; Dofus Ocre; Dofus Abyssal; Dofus des Glaces; Dofus Pourpre; Dofus Ivoire; Dragodinde Ebène et Ivoire</t>
        </is>
      </c>
    </row>
    <row r="3793">
      <c r="A3793" t="inlineStr">
        <is>
          <t>Roublard F 200</t>
        </is>
      </c>
      <c r="B3793">
        <f>HYPERLINK("https://www.dofusbook.net/fr/equipement/3756113-roublard-f-200/objets", "link")</f>
        <v/>
      </c>
      <c r="C3793" t="n">
        <v>3</v>
      </c>
      <c r="D3793" t="inlineStr">
        <is>
          <t>Marteau des Anciens Steamers; Amulette de Shokkoth; Alliance Gloursonne; Bracelet du Piloztère; Quatre-feuilles; Ceinture de la Reine des Voleurs; Kidibonnet; Cape de l'Œil Attentif; Bottes de la Reine des Voleurs; Dofus des Glaces; Dofus Ivoire; Dofus Pourpre; Dofus Ocre; Carapace Terre majeur; Carapace Air majeur; Dragodinde Indigo et Ivoire</t>
        </is>
      </c>
    </row>
    <row r="3794">
      <c r="A3794" t="inlineStr">
        <is>
          <t>Enutrof M 200</t>
        </is>
      </c>
      <c r="B3794">
        <f>HYPERLINK("https://www.dofusbook.net/fr/equipement/3853561-enutrof-m-200/objets", "link")</f>
        <v/>
      </c>
      <c r="C3794" t="n">
        <v>1</v>
      </c>
      <c r="D3794" t="inlineStr"/>
    </row>
    <row r="3795">
      <c r="A3795" t="inlineStr">
        <is>
          <t>Sram F 200</t>
        </is>
      </c>
      <c r="B3795">
        <f>HYPERLINK("https://www.dofusbook.net/fr/equipement/3832887-sram-f-200/objets", "link")</f>
        <v/>
      </c>
      <c r="C3795" t="n">
        <v>3</v>
      </c>
      <c r="D3795" t="inlineStr">
        <is>
          <t>Arc du Chalœil; Amulette du Cœur Saignant; Bracelet du Piloztère; Bague Gloursonne; Quatre-feuilles; Ceinture Volkorne; Masque de Koutoulou; Cape au Logis; Bottes du Cœur Saignant; Dofus Ivoire; Dofus Ocre; Dofus Turquoise; Dofus Pourpre; Dragodinde Indigo et Pourpre</t>
        </is>
      </c>
    </row>
    <row r="3796">
      <c r="A3796" t="inlineStr">
        <is>
          <t>175</t>
        </is>
      </c>
      <c r="B3796">
        <f>HYPERLINK("https://www.dofusbook.net/fr/equipement/3763534-175/objets", "link")</f>
        <v/>
      </c>
      <c r="C3796" t="n">
        <v>2</v>
      </c>
      <c r="D3796" t="inlineStr">
        <is>
          <t>Arc Hétype; Amulette Volkorne; Anneau Tique; Bague Gloursonne; Cadran de Feu; Ceinture Séculaire; Coiffe Séculaire; Voile d'encre; Bottes Honyme</t>
        </is>
      </c>
    </row>
    <row r="3797">
      <c r="A3797" t="inlineStr">
        <is>
          <t>Huppermage F 200</t>
        </is>
      </c>
      <c r="B3797">
        <f>HYPERLINK("https://www.dofusbook.net/fr/equipement/3765208-huppermage-f-200/objets", "link")</f>
        <v/>
      </c>
      <c r="C3797" t="n">
        <v>1</v>
      </c>
      <c r="D3797" t="inlineStr"/>
    </row>
    <row r="3798">
      <c r="A3798" t="inlineStr">
        <is>
          <t>Sram M 200</t>
        </is>
      </c>
      <c r="B3798">
        <f>HYPERLINK("https://www.dofusbook.net/fr/equipement/3619405-sram-m-200/objets", "link")</f>
        <v/>
      </c>
      <c r="C3798" t="n">
        <v>2</v>
      </c>
      <c r="D3798" t="inlineStr">
        <is>
          <t>Lance corrompue; Collier du Valet Veinard; Gant du Valet Veinard; Anneau des égarés; Bouclier cubiste; Sangle Oriole; Coiffe de la Reine des Voleurs; Cape du Valet Veinard; Bottes de la Reine des Voleurs; Muldo Ebène et Pourpre</t>
        </is>
      </c>
    </row>
    <row r="3799">
      <c r="A3799" t="inlineStr">
        <is>
          <t>Sram M 200</t>
        </is>
      </c>
      <c r="B3799">
        <f>HYPERLINK("https://www.dofusbook.net/fr/equipement/3719930-sram-m-200/objets", "link")</f>
        <v/>
      </c>
      <c r="C3799" t="n">
        <v>1</v>
      </c>
      <c r="D3799" t="inlineStr"/>
    </row>
    <row r="3800">
      <c r="A3800" t="inlineStr">
        <is>
          <t>Féca M 200</t>
        </is>
      </c>
      <c r="B3800">
        <f>HYPERLINK("https://www.dofusbook.net/fr/equipement/3572836-feca-m-200/objets", "link")</f>
        <v/>
      </c>
      <c r="C3800" t="n">
        <v>3</v>
      </c>
      <c r="D3800" t="inlineStr"/>
    </row>
    <row r="3801">
      <c r="A3801" t="inlineStr">
        <is>
          <t>Sram M 200</t>
        </is>
      </c>
      <c r="B3801">
        <f>HYPERLINK("https://www.dofusbook.net/fr/equipement/3572835-sram-m-200/objets", "link")</f>
        <v/>
      </c>
      <c r="C3801" t="n">
        <v>1</v>
      </c>
      <c r="D3801" t="inlineStr"/>
    </row>
    <row r="3802">
      <c r="A3802" t="inlineStr">
        <is>
          <t>Test</t>
        </is>
      </c>
      <c r="B3802">
        <f>HYPERLINK("https://www.dofusbook.net/fr/equipement/1199950-test/objets", "link")</f>
        <v/>
      </c>
      <c r="C3802" t="n">
        <v>4</v>
      </c>
      <c r="D3802" t="inlineStr">
        <is>
          <t>Hache Ériphe; Collier du Valet Veinard; Anneau des égarés; Gant du Valet Veinard; Ceintouse; Chapoulpe; Cape du Valet Veinard; Tentassons; Dofus Ocre; Dofus Émeraude; Dofus Pourpre; Acrobate majeur; Muldo Ebène et Pourpre</t>
        </is>
      </c>
    </row>
    <row r="3803">
      <c r="A3803" t="inlineStr">
        <is>
          <t>Stuff 2</t>
        </is>
      </c>
      <c r="B3803">
        <f>HYPERLINK("https://www.dofusbook.net/fr/equipement/1199885-stuff-2/objets", "link")</f>
        <v/>
      </c>
      <c r="C3803" t="n">
        <v>0</v>
      </c>
      <c r="D3803" t="inlineStr">
        <is>
          <t>Rapière aux Glyphes; Talisman Glouti; Pikano; Alliance Gloursonne; Ceinture de la Reine des Voleurs; Masque des Fonds marins; Cape Matelassée; Bottes de la Reine des Voleurs; Dofus des Glaces; Remueur; Carapace Terre majeur; Nomade; Carapace Eau majeur; Croum</t>
        </is>
      </c>
    </row>
    <row r="3804">
      <c r="A3804" t="inlineStr">
        <is>
          <t>Stuff 3</t>
        </is>
      </c>
      <c r="B3804">
        <f>HYPERLINK("https://www.dofusbook.net/fr/equipement/1199880-stuff-3/objets", "link")</f>
        <v/>
      </c>
      <c r="C3804" t="n">
        <v>0</v>
      </c>
      <c r="D3804" t="inlineStr">
        <is>
          <t>Arc Hétype; Collier de la Dame du Hasard; Chevalière du Roi Joueur; Anneau Tique; Ceintrigue; Casquette de Meno; Voile d'encre; Bottes de Meno; Croum</t>
        </is>
      </c>
    </row>
    <row r="3805">
      <c r="A3805" t="inlineStr">
        <is>
          <t>Stuff 1</t>
        </is>
      </c>
      <c r="B3805">
        <f>HYPERLINK("https://www.dofusbook.net/fr/equipement/1199875-stuff-1/objets", "link")</f>
        <v/>
      </c>
      <c r="C3805" t="n">
        <v>0</v>
      </c>
      <c r="D3805" t="inlineStr">
        <is>
          <t>Marteau Reine; Amulette du Strigide; Anneau Chevelu; Bague Gloursonne; Ceinture du Strigide; Casque des égarés; Cape du Kamasterisk; Baleinabottes; Dofus Turquoise; Dofus des Glaces; Carapace Feu majeur; Nomade; Carapace Terre majeur; Remueur; Dragodinde en armure</t>
        </is>
      </c>
    </row>
    <row r="3806">
      <c r="A3806" t="inlineStr">
        <is>
          <t>Stuff 2</t>
        </is>
      </c>
      <c r="B3806">
        <f>HYPERLINK("https://www.dofusbook.net/fr/equipement/1199870-stuff-2/objets", "link")</f>
        <v/>
      </c>
      <c r="C3806" t="n">
        <v>2</v>
      </c>
      <c r="D3806" t="inlineStr">
        <is>
          <t>Bêche Asse; Amulette du Strigide; Anneau de Brouce; Alliance de Missiz Frizz; Ceinture de Brouce; Casque de Missiz Frizz; Cape au Logis; Bottes de Brouce; Dofus Ocre; Dofus des Glaces; Dofus Turquoise; Dofus Émeraude; Survivant majeur; Précurseur majeur; Croum</t>
        </is>
      </c>
    </row>
    <row r="3807">
      <c r="A3807" t="inlineStr">
        <is>
          <t>Stuff 3</t>
        </is>
      </c>
      <c r="B3807">
        <f>HYPERLINK("https://www.dofusbook.net/fr/equipement/1199902-stuff-3/objets", "link")</f>
        <v/>
      </c>
      <c r="C3807" t="n">
        <v>10</v>
      </c>
      <c r="D3807" t="inlineStr">
        <is>
          <t>Épouvante; Amulette Luminescente; Pikano; Alliance Gloursonne; Ceinture de la Reine des Voleurs; Masque de Koutoulou; Cape Luminescente; Pantoufles du Piloztère; Dofus Pourpre; Dofus Turquoise; Remueur; Nomade; Dragodinde en armure</t>
        </is>
      </c>
    </row>
    <row r="3808">
      <c r="A3808" t="inlineStr">
        <is>
          <t>Stuff 3</t>
        </is>
      </c>
      <c r="B3808">
        <f>HYPERLINK("https://www.dofusbook.net/fr/equipement/1199892-stuff-3/objets", "link")</f>
        <v/>
      </c>
      <c r="C3808" t="n">
        <v>2</v>
      </c>
      <c r="D3808" t="inlineStr">
        <is>
          <t>Pelle de la Cour Sombre; Amibou; Anneau des égarés; Alliance Gloursonne; Ceinture du Barbétoal; Casque des égarés; Cape du Kamasterisk; Baleinabottes; Cavaleur majeur; Nomade; Carapace Feu majeur; Cascadeur majeur; Miraculé majeur; Remueur; Croum</t>
        </is>
      </c>
    </row>
    <row r="3809">
      <c r="A3809" t="inlineStr">
        <is>
          <t>Stuff 1</t>
        </is>
      </c>
      <c r="B3809">
        <f>HYPERLINK("https://www.dofusbook.net/fr/equipement/1199887-stuff-1/objets", "link")</f>
        <v/>
      </c>
      <c r="C3809" t="n">
        <v>8</v>
      </c>
      <c r="D3809" t="inlineStr">
        <is>
          <t>Arc Nécrotique; Talisman Igans; Alliance Gloursonne; Anneau Tique; Ceintrigue; Chapeau des Malveilleurs; Voile d'encre; Pataugastrique; Dofus Pourpre; Carapace Terre majeur; Nomade; Carapace Feu majeur; Remueur; Croum</t>
        </is>
      </c>
    </row>
    <row r="3810">
      <c r="A3810" t="inlineStr">
        <is>
          <t>Stuff 2</t>
        </is>
      </c>
      <c r="B3810">
        <f>HYPERLINK("https://www.dofusbook.net/fr/equipement/1199882-stuff-2/objets", "link")</f>
        <v/>
      </c>
      <c r="C3810" t="n">
        <v>0</v>
      </c>
      <c r="D3810" t="inlineStr">
        <is>
          <t>Plumeau Bil; Talisman Igans; Anneau de Nidas; Anneau Tique; Ceintrigue; Coiffe Séculaire; Voile d'encre; Pompes Funèbres; Croum</t>
        </is>
      </c>
    </row>
    <row r="3811">
      <c r="A3811" t="inlineStr">
        <is>
          <t>Stuff 3</t>
        </is>
      </c>
      <c r="B3811">
        <f>HYPERLINK("https://www.dofusbook.net/fr/equipement/1199877-stuff-3/objets", "link")</f>
        <v/>
      </c>
      <c r="C3811" t="n">
        <v>1</v>
      </c>
      <c r="D3811" t="inlineStr">
        <is>
          <t>Arc de Koutoulou; Amulette Voldelor; Alliance Gloursonne; Bracelet du Piloztère; Ceinture du Barbétoal; Masque des Fonds marins; Cape Matelassée; Bottes Voldelor; Dofus Turquoise; Carapace Eau majeur; Nomade; Carapace Air majeur; Vigoureux majeur; Remueur; Kramkram</t>
        </is>
      </c>
    </row>
    <row r="3812">
      <c r="A3812" t="inlineStr">
        <is>
          <t>Stuff 2</t>
        </is>
      </c>
      <c r="B3812">
        <f>HYPERLINK("https://www.dofusbook.net/fr/equipement/1199899-stuff-2/objets", "link")</f>
        <v/>
      </c>
      <c r="C3812" t="n">
        <v>2</v>
      </c>
      <c r="D3812" t="inlineStr">
        <is>
          <t>Talisman Igans; Alliance du Lévitrof; Ceintrigue; Pataugastrique; Temporiseur majeur; Carapace Eau majeur; Remueur; Carapace Feu majeur; Nomade; Croum</t>
        </is>
      </c>
    </row>
    <row r="3813">
      <c r="A3813" t="inlineStr">
        <is>
          <t>Stuff 3</t>
        </is>
      </c>
      <c r="B3813">
        <f>HYPERLINK("https://www.dofusbook.net/fr/equipement/1199889-stuff-3/objets", "link")</f>
        <v/>
      </c>
      <c r="C3813" t="n">
        <v>3</v>
      </c>
      <c r="D3813" t="inlineStr">
        <is>
          <t>Pelle de la Cour Sombre; Amulette de Pol Ouatnos; Alliance Gloursonne; Anneau des égarés; Ceinture du Barbétoal; Dorabysses; Cape du Kamasterisk; Baleinabottes; Cavaleur majeur; Remueur; Carapace Terre majeur; Carapace Air majeur; Évasif majeur; Carapace Feu majeur; Croum</t>
        </is>
      </c>
    </row>
    <row r="3814">
      <c r="A3814" t="inlineStr">
        <is>
          <t>Stuff 3</t>
        </is>
      </c>
      <c r="B3814">
        <f>HYPERLINK("https://www.dofusbook.net/fr/equipement/1199877-stuff-3/objets", "link")</f>
        <v/>
      </c>
      <c r="C3814" t="n">
        <v>1</v>
      </c>
      <c r="D3814" t="inlineStr">
        <is>
          <t>Arc de Koutoulou; Amulette Voldelor; Alliance Gloursonne; Bracelet du Piloztère; Ceinture du Barbétoal; Masque des Fonds marins; Cape Matelassée; Bottes Voldelor; Dofus Turquoise; Nomade; Carapace Air majeur; Vigoureux majeur; Remueur; Carapace Eau majeur; Kramkram</t>
        </is>
      </c>
    </row>
    <row r="3815">
      <c r="A3815" t="inlineStr">
        <is>
          <t>Stuff 2</t>
        </is>
      </c>
      <c r="B3815">
        <f>HYPERLINK("https://www.dofusbook.net/fr/equipement/1199899-stuff-2/objets", "link")</f>
        <v/>
      </c>
      <c r="C3815" t="n">
        <v>2</v>
      </c>
      <c r="D3815" t="inlineStr">
        <is>
          <t>Talisman Igans; Alliance du Lévitrof; Ceintrigue; Pataugastrique; Carapace Feu majeur; Nomade; Temporiseur majeur; Carapace Eau majeur; Remueur; Croum</t>
        </is>
      </c>
    </row>
    <row r="3816">
      <c r="A3816" t="inlineStr">
        <is>
          <t>Stuff 3</t>
        </is>
      </c>
      <c r="B3816">
        <f>HYPERLINK("https://www.dofusbook.net/fr/equipement/1199889-stuff-3/objets", "link")</f>
        <v/>
      </c>
      <c r="C3816" t="n">
        <v>3</v>
      </c>
      <c r="D3816" t="inlineStr">
        <is>
          <t>Pelle de la Cour Sombre; Amulette de Pol Ouatnos; Anneau des égarés; Alliance Gloursonne; Ceinture du Barbétoal; Dorabysses; Cape du Kamasterisk; Baleinabottes; Cavaleur majeur; Remueur; Carapace Terre majeur; Carapace Air majeur; Évasif majeur; Carapace Feu majeur; Croum</t>
        </is>
      </c>
    </row>
    <row r="3817">
      <c r="A3817" t="inlineStr">
        <is>
          <t>Stuff 2</t>
        </is>
      </c>
      <c r="B3817">
        <f>HYPERLINK("https://www.dofusbook.net/fr/equipement/1199879-stuff-2/objets", "link")</f>
        <v/>
      </c>
      <c r="C3817" t="n">
        <v>4</v>
      </c>
      <c r="D3817" t="inlineStr">
        <is>
          <t>Arc Hétype; Amulette de Nileza; Anneau Tique; Anneau de Nidas; Ceinture Séculaire; Couronne de Nidas; Voile d'encre; Pataugastrique; Érudit majeur; Nomade; Engourdisseur majeur; Temporiseur majeur; Entraveur majeur; Remueur; Dragodinde Prune et Orchidée</t>
        </is>
      </c>
    </row>
    <row r="3818">
      <c r="A3818" t="inlineStr">
        <is>
          <t>Stuff 3</t>
        </is>
      </c>
      <c r="B3818">
        <f>HYPERLINK("https://www.dofusbook.net/fr/equipement/1199874-stuff-3/objets", "link")</f>
        <v/>
      </c>
      <c r="C3818" t="n">
        <v>5</v>
      </c>
      <c r="D3818" t="inlineStr">
        <is>
          <t>Arc du Chalœil; Collier de Tourthon; Anneau Chevelu; Bracelet du Piloztère; Ceintouse; Masque de Koutoulou; Cape au Logis; Pantoufles du Piloztère; Dofus des Glaces; Dofus Turquoise; Remueur; Enragé majeur; Carapace Terre majeur; Dragodinde en armure</t>
        </is>
      </c>
    </row>
    <row r="3819">
      <c r="A3819" t="inlineStr">
        <is>
          <t>Stuff 2</t>
        </is>
      </c>
      <c r="B3819">
        <f>HYPERLINK("https://www.dofusbook.net/fr/equipement/1199901-stuff-2/objets", "link")</f>
        <v/>
      </c>
      <c r="C3819" t="n">
        <v>14</v>
      </c>
      <c r="D3819" t="inlineStr">
        <is>
          <t>Pelle de Nidas; Amulette de l'Indicible; Alliance du Lévitrof; Alliance Gloursonne; Ceinture de l'Indicible; Chapoulpe; Voile d'encre; Pataugastrique; Dofus des Glaces; Dofus Pourpre; Nomade; Vigoureux majeur; Remueur; Dragodinde en armure</t>
        </is>
      </c>
    </row>
    <row r="3820">
      <c r="A3820" t="inlineStr">
        <is>
          <t>Stuff 2</t>
        </is>
      </c>
      <c r="B3820">
        <f>HYPERLINK("https://www.dofusbook.net/fr/equipement/1199896-stuff-2/objets", "link")</f>
        <v/>
      </c>
      <c r="C3820" t="n">
        <v>9</v>
      </c>
      <c r="D3820" t="inlineStr">
        <is>
          <t>Marteau Reine; Amulette du Kamasterisk; Anneau de Brouce; Anneau des égarés; Ceinture de Brouce; Casque des égarés; Cape du Kamasterisk; Bottes de Brouce; Dofus Vulbis; Dofus Pourpre; Dofus des Glaces; Dolmanax; Dofus Turquoise; Dofus Ocre; Kramkram</t>
        </is>
      </c>
    </row>
    <row r="3821">
      <c r="A3821" t="inlineStr">
        <is>
          <t>Stuff 2</t>
        </is>
      </c>
      <c r="B3821">
        <f>HYPERLINK("https://www.dofusbook.net/fr/equipement/1199891-stuff-2/objets", "link")</f>
        <v/>
      </c>
      <c r="C3821" t="n">
        <v>4</v>
      </c>
      <c r="D3821" t="inlineStr">
        <is>
          <t>Pelle de la Cour Sombre; Amulette du Kamasterisk; Alliance Gloursonne; Anneau des égarés; Ceinture du Barbétoal; Couronne d'Allister; Cape du Kamasterisk; Baleinabottes; Miraculé majeur; Remueur; Carapace Feu majeur; Nomade; Cascadeur majeur; Croum</t>
        </is>
      </c>
    </row>
    <row r="3822">
      <c r="A3822" t="inlineStr">
        <is>
          <t>Stuff 3</t>
        </is>
      </c>
      <c r="B3822">
        <f>HYPERLINK("https://www.dofusbook.net/fr/equipement/1199886-stuff-3/objets", "link")</f>
        <v/>
      </c>
      <c r="C3822" t="n">
        <v>4</v>
      </c>
      <c r="D3822" t="inlineStr">
        <is>
          <t>Arc de Koutoulou; Amulette Voldelor; Alliance Gloursonne; Gant du Valet Veinard; Ceinture de la Reine des Voleurs; Masque des Fonds marins; Cape Matelassée; Bottes de la Reine des Voleurs; Dofus Pourpre; Dofus des Glaces; Carapace Air majeur; Remueur; Nomade; Carapace Eau majeur; Dragodinde en armure</t>
        </is>
      </c>
    </row>
    <row r="3823">
      <c r="A3823" t="inlineStr">
        <is>
          <t>Stuff 1</t>
        </is>
      </c>
      <c r="B3823">
        <f>HYPERLINK("https://www.dofusbook.net/fr/equipement/1199881-stuff-1/objets", "link")</f>
        <v/>
      </c>
      <c r="C3823" t="n">
        <v>2</v>
      </c>
      <c r="D3823" t="inlineStr">
        <is>
          <t>Marteau Phossile; Amulette Séculaire; Anneau de Padgref; Kralano; Ceinture de Vortex; Cagoule de Vortex; Voile d'encre; Pataugastrique; Dolmanax; Érudit majeur; Nomade; Étourdisseur majeur; Remueur; Carapace Feu majeur; Croum</t>
        </is>
      </c>
    </row>
    <row r="3824">
      <c r="A3824" t="inlineStr">
        <is>
          <t>Stuff 2</t>
        </is>
      </c>
      <c r="B3824">
        <f>HYPERLINK("https://www.dofusbook.net/fr/equipement/1199876-stuff-2/objets", "link")</f>
        <v/>
      </c>
      <c r="C3824" t="n">
        <v>2</v>
      </c>
      <c r="D3824" t="inlineStr">
        <is>
          <t>Marteau des Anciens Steamers; Amulette du Strigide; Alliance Gloursonne; Grésilanneau; Ceinture du Barbétoal; Coiffe de la Reine des Voleurs; Cape Matelassée; Bottes de la Reine des Voleurs; Dofus Pourpre; Carapace Air majeur; Remueur; Vigoureux majeur; Nomade; Kramkram</t>
        </is>
      </c>
    </row>
    <row r="3825">
      <c r="A3825" t="inlineStr">
        <is>
          <t>Stuff 3</t>
        </is>
      </c>
      <c r="B3825">
        <f>HYPERLINK("https://www.dofusbook.net/fr/equipement/1199871-stuff-3/objets", "link")</f>
        <v/>
      </c>
      <c r="C3825" t="n">
        <v>2</v>
      </c>
      <c r="D3825" t="inlineStr">
        <is>
          <t>Rapière aux Glyphes; Amulette du Sinistrofu; Anneau Glacial; Bracelet des Fonds marins; Ceinture Glaciale; Kidibonnet; Cape du Sinistrofu; Sandales des Fonds marins</t>
        </is>
      </c>
    </row>
    <row r="3826">
      <c r="A3826" t="inlineStr">
        <is>
          <t>Stuff 1</t>
        </is>
      </c>
      <c r="B3826">
        <f>HYPERLINK("https://www.dofusbook.net/fr/equipement/1199898-stuff-1/objets", "link")</f>
        <v/>
      </c>
      <c r="C3826" t="n">
        <v>4</v>
      </c>
      <c r="D3826" t="inlineStr">
        <is>
          <t>Arc Hétype; Talisman Igans; Anneau Tique; Alliance du Lévitrof; Ceintrigue; Couronne de Nidas; Voile d'encre; Pataugastrique; Carapace Eau majeur; Remueur; Carapace Feu majeur; Érudit majeur; Temporiseur majeur; Nomade; Croum</t>
        </is>
      </c>
    </row>
    <row r="3827">
      <c r="A3827" t="inlineStr">
        <is>
          <t>Stuff 2</t>
        </is>
      </c>
      <c r="B3827">
        <f>HYPERLINK("https://www.dofusbook.net/fr/equipement/1199888-stuff-2/objets", "link")</f>
        <v/>
      </c>
      <c r="C3827" t="n">
        <v>5</v>
      </c>
      <c r="D3827" t="inlineStr">
        <is>
          <t>Arc Hétype; Amulette de Nileza; Anneau Tique; Bague Gloursonne; Ceinture Séculaire; Coiffe Séculaire; Voile d'encre; Pataugastrique</t>
        </is>
      </c>
    </row>
    <row r="3828">
      <c r="A3828" t="inlineStr">
        <is>
          <t>Stuff 3</t>
        </is>
      </c>
      <c r="B3828">
        <f>HYPERLINK("https://www.dofusbook.net/fr/equipement/1199883-stuff-3/objets", "link")</f>
        <v/>
      </c>
      <c r="C3828" t="n">
        <v>1</v>
      </c>
      <c r="D3828" t="inlineStr">
        <is>
          <t>Plumeau Bil; Amulette Séculaire; Bague Gloursonne; Anneau de Nidas; Ceinture Séculaire; Couronne de Nidas; Voile d'encre; Tongues de Nidas; Dofus Cawotte; Dofus des Glaces; Dolmanax; Dofus Ocre; Entraveur majeur; Ralentisseur majeur; Dragodinde Emeraude et Rousse</t>
        </is>
      </c>
    </row>
    <row r="3829">
      <c r="A3829" t="inlineStr">
        <is>
          <t>Stuff 1</t>
        </is>
      </c>
      <c r="B3829">
        <f>HYPERLINK("https://www.dofusbook.net/fr/equipement/1199878-stuff-1/objets", "link")</f>
        <v/>
      </c>
      <c r="C3829" t="n">
        <v>1</v>
      </c>
      <c r="D3829" t="inlineStr">
        <is>
          <t>Arc Hétype; Amulette Cryochrone; Anneau de Nidas; Anneau Cryochrone; Ceinture Séculaire; Coiffe Cryochrone; Voile d'encre; Tongues de Nidas; Dofus Turquoise; Dofus Cawotte; Dofus Ocre; Savant majeur; Fugitif majeur; Insaisissable majeur; Dragodinde Emeraude et Rousse</t>
        </is>
      </c>
    </row>
    <row r="3830">
      <c r="A3830" t="inlineStr">
        <is>
          <t>Stuff 1</t>
        </is>
      </c>
      <c r="B3830">
        <f>HYPERLINK("https://www.dofusbook.net/fr/equipement/1199869-stuff-1/objets", "link")</f>
        <v/>
      </c>
      <c r="C3830" t="n">
        <v>2</v>
      </c>
      <c r="D3830" t="inlineStr">
        <is>
          <t>Rapière aux Glyphes; Amulette du Sinistrofu; Anneau Glacial; Alliance Gloursonne; Ceinture du Barbétoal; Masque du Barbétoal; Cape du Sinistrofu; Bottes du Sinistrofu; Dofus Émeraude; Dofus Turquoise; Dofus Ocre; Initiateur mineur; Bousculeur majeur; Joueur majeur; Dragodinde Emeraude et Rousse</t>
        </is>
      </c>
    </row>
    <row r="3831">
      <c r="A3831" t="inlineStr">
        <is>
          <t>200-Pandore</t>
        </is>
      </c>
      <c r="B3831">
        <f>HYPERLINK("https://www.dofusbook.net/fr/equipement/6017820-200-pandore/objets", "link")</f>
        <v/>
      </c>
      <c r="C3831" t="n">
        <v>0</v>
      </c>
      <c r="D3831" t="inlineStr">
        <is>
          <t>Arc du Chalœil; Collier de Tourthon; Anneau de Brouce; Bracelet du Piloztère; Quatre-feuilles; Ceinture Volkorne; Masque de Koutoulou; Cape au Logis; Bottes de Brouce; Dofus des Glaces; Dofus Pourpre; Forcené majeur; Remueur; Dévastateur Terre majeur; Enragé majeur; Bulbisou</t>
        </is>
      </c>
    </row>
    <row r="3832">
      <c r="A3832" t="inlineStr">
        <is>
          <t>200-Pandore</t>
        </is>
      </c>
      <c r="B3832">
        <f>HYPERLINK("https://www.dofusbook.net/fr/equipement/6017882-200-pandore/objets", "link")</f>
        <v/>
      </c>
      <c r="C3832" t="n">
        <v>0</v>
      </c>
      <c r="D3832" t="inlineStr">
        <is>
          <t>Arc Nécrotique; Amulette du Strigide; Bracelet du Piloztère; Anneau Cryochrone; Quatre-feuilles; Ceinture du Strigide; Capuche de l'Œil Putride; Cape de la Dame du Hasard; Pataugastrique; Dofus Turquoise; Dofus Pourpre; Dofus des Glaces; Nomade; Remueur; Vigoureux majeur; Kokulte</t>
        </is>
      </c>
    </row>
    <row r="3833">
      <c r="A3833" t="inlineStr">
        <is>
          <t>200-Pandore</t>
        </is>
      </c>
      <c r="B3833">
        <f>HYPERLINK("https://www.dofusbook.net/fr/equipement/6017907-200-pandore/objets", "link")</f>
        <v/>
      </c>
      <c r="C3833" t="n">
        <v>0</v>
      </c>
      <c r="D3833" t="inlineStr">
        <is>
          <t>Sceptre du Roi Joueur; Amulette de Shokkoth; Pikano; Anneau Volkorne; Bouclier cubiste; Ceinture Glaciale; Capuche de l'Œil Attentif; Cape Solution; Pikottes; Dofus des Glaces; Temporiseur majeur; Remueur; Chanceux majeur; Entraveur majeur; Nomade; Gwo Tofu Ventripotent</t>
        </is>
      </c>
    </row>
    <row r="3834">
      <c r="A3834" t="inlineStr">
        <is>
          <t>200-Pandore</t>
        </is>
      </c>
      <c r="B3834">
        <f>HYPERLINK("https://www.dofusbook.net/fr/equipement/6017864-200-pandore/objets", "link")</f>
        <v/>
      </c>
      <c r="C3834" t="n">
        <v>0</v>
      </c>
      <c r="D3834" t="inlineStr">
        <is>
          <t>Manthache; Collier du Valet Veinard; Gant du Valet Veinard; Alliance Gloursonne; Bouclier du Stalak; Menoture; Couronne d'Allister; Cape Indescriptible; Palmes Trithons; Dofus des Glaces; Equilibriste majeur; Remueur; Cascadeur majeur; Dévastateur Air majeur; Nomade; Blérodoudou</t>
        </is>
      </c>
    </row>
    <row r="3835">
      <c r="A3835" t="inlineStr">
        <is>
          <t>200-Pandore</t>
        </is>
      </c>
      <c r="B3835">
        <f>HYPERLINK("https://www.dofusbook.net/fr/equipement/6017839-200-pandore/objets", "link")</f>
        <v/>
      </c>
      <c r="C3835" t="n">
        <v>0</v>
      </c>
      <c r="D3835" t="inlineStr">
        <is>
          <t>Baguette de Torkélonia; Amulette du Strigide; Anneau de Padgref; Bracelet du Piloztère; Quatre-feuilles; Ceinture du Strigide; Corne de Torkélonia; Carapace de Torkélonia; Bottes du Strigide; Dolmanax; Dofus Turquoise; Dofus des Glaces; Dofus Ocre; Dofus Émeraude; Dofus Pourpre; Kokulte</t>
        </is>
      </c>
    </row>
    <row r="3836">
      <c r="A3836" t="inlineStr">
        <is>
          <t>200-Pandore</t>
        </is>
      </c>
      <c r="B3836">
        <f>HYPERLINK("https://www.dofusbook.net/fr/equipement/5375233-200-pandore/objets", "link")</f>
        <v/>
      </c>
      <c r="C3836" t="n">
        <v>1</v>
      </c>
      <c r="D3836" t="inlineStr">
        <is>
          <t>Sabres d'Atcham; Amulette du Strigide; Bracelet du Piloztère; Anneau de Padgref; Quatre-feuilles; Ceinture du Strigide; Coiffe de Padgref; Cape d'Atcham; Getas de Padgref; Dofus Pourpre; Dofus Turquoise; Dofus des Glaces; Dofus Ocre; Dofus Vulbis; Dofus Nébuleux; Kokulte</t>
        </is>
      </c>
    </row>
    <row r="3837">
      <c r="A3837" t="inlineStr">
        <is>
          <t>AIR NO CC</t>
        </is>
      </c>
      <c r="B3837">
        <f>HYPERLINK("https://www.dofusbook.net/fr/equipement/2810975-air--no-cc/objets", "link")</f>
        <v/>
      </c>
      <c r="C3837" t="n">
        <v>5</v>
      </c>
      <c r="D3837" t="inlineStr">
        <is>
          <t>Manthache; Collier du Valet Veinard; Alliance Gloursonne; Gant du Valet Veinard; Bouclier du Stalak; Menoture; Couronne d'Allister; Cape Indescriptible; Palmes Trithons; Dofus Abyssal; Dofus Ébène; Dofus Ocre; Dofus Ivoire; Nomade; Cascadeur majeur; Blérodoudou</t>
        </is>
      </c>
    </row>
    <row r="3838">
      <c r="A3838" t="inlineStr">
        <is>
          <t>PADGREF KRONE 11PA</t>
        </is>
      </c>
      <c r="B3838">
        <f>HYPERLINK("https://www.dofusbook.net/fr/equipement/35806-padgref-krone-11pa/objets", "link")</f>
        <v/>
      </c>
      <c r="C3838" t="n">
        <v>11</v>
      </c>
      <c r="D3838" t="inlineStr">
        <is>
          <t>Arc Volkorne; Amulette Volkorne; Anneau Volkorne; Anneau de Padgref; Quatre-feuilles; Ceinture Volkorne; Coiffe de Padgref; Voile d'encre; Getas de Padgref; Dofus Ébène; Dofus Ivoire; Dofus Pourpre; Dofus Ocre; Dofus Abyssal; Dofus Turquoise; Sakochère</t>
        </is>
      </c>
    </row>
    <row r="3839">
      <c r="A3839" t="inlineStr">
        <is>
          <t>stri talkasha</t>
        </is>
      </c>
      <c r="B3839">
        <f>HYPERLINK("https://www.dofusbook.net/fr/equipement/3941397-stri-talkasha/objets", "link")</f>
        <v/>
      </c>
      <c r="C3839" t="n">
        <v>8</v>
      </c>
      <c r="D3839" t="inlineStr">
        <is>
          <t>Arc de Koutoulou; Amulette du Strigide; Anneau de Padgref; Anneau de Pol Ouatnos; Quatre-feuilles; Ceinture du Strigide; Némès de Tal Kasha; Chevelure de Tal Kasha; Sandales de Tal Kasha; Dofus Turquoise; Dofus Abyssal; Dofus Ocre; Dofus Ivoire; Dofus Pourpre; Dofus Ébène; Kokulte</t>
        </is>
      </c>
    </row>
    <row r="3840">
      <c r="A3840" t="inlineStr">
        <is>
          <t>Volkorne</t>
        </is>
      </c>
      <c r="B3840">
        <f>HYPERLINK("https://www.dofusbook.net/fr/equipement/3832988-volkorne/objets", "link")</f>
        <v/>
      </c>
      <c r="C3840" t="n">
        <v>12</v>
      </c>
      <c r="D3840" t="inlineStr">
        <is>
          <t>Arc Volkorne; Amulette Volkorne; Anneau Volkorne; Bague Trithon; Quatre-feuilles; Ceinture Volkorne; Masque Trithon; Voile d'encre; Bottes Trithon; Dofus Turquoise; Dofus Abyssal; Dofus Ocre; Dofus Ivoire; Dofus Pourpre; Dofus Ébène; Kokulte</t>
        </is>
      </c>
    </row>
    <row r="3841">
      <c r="A3841" t="inlineStr">
        <is>
          <t>full feu</t>
        </is>
      </c>
      <c r="B3841">
        <f>HYPERLINK("https://www.dofusbook.net/fr/equipement/35809-full-feu/objets", "link")</f>
        <v/>
      </c>
      <c r="C3841" t="n">
        <v>9</v>
      </c>
      <c r="D3841" t="inlineStr">
        <is>
          <t>Arc corrompu; Amulette Séculaire; Anneau de Pol Ouatnos; Anneau de Padgref; Quatre-feuilles; Ceinture Séculaire; Coiffe de Padgref; Voile d'encre; Getas de Padgref; Dofus Abyssal; Dofus Ivoire; Dofus Ébène; Dofus Turquoise; Dofus Pourpre; Dofus Ocre; Pioute rouge</t>
        </is>
      </c>
    </row>
    <row r="3842">
      <c r="A3842" t="inlineStr">
        <is>
          <t>Stuff 1</t>
        </is>
      </c>
      <c r="B3842">
        <f>HYPERLINK("https://www.dofusbook.net/fr/equipement/35803-stuff-1/objets", "link")</f>
        <v/>
      </c>
      <c r="C3842" t="n">
        <v>8</v>
      </c>
      <c r="D3842" t="inlineStr">
        <is>
          <t>L'Épée Nice; Talisman Glouti; Alliance Gloursonne; Anneau Tique; Bouclier d'Anerice; Sangle Huée; Masque d'Anerice; Cape d'Anerice; Getas Bernacle; Dokoko; Dofus Émeraude; Dofus Abyssal; Dofus Ocre; Dolmanax; Dofus Ivoire; Kougnard</t>
        </is>
      </c>
    </row>
    <row r="3843">
      <c r="A3843" t="inlineStr">
        <is>
          <t>Stuff 3</t>
        </is>
      </c>
      <c r="B3843">
        <f>HYPERLINK("https://www.dofusbook.net/fr/equipement/35805-stuff-3/objets", "link")</f>
        <v/>
      </c>
      <c r="C3843" t="n">
        <v>7</v>
      </c>
      <c r="D3843" t="inlineStr">
        <is>
          <t>Rouleau à Pâtisserie d'Aermyne; Talisman Glouti; Anneau Tique; Alliance Gloursonne; Bouclier d'Anerice; Sangle Huée; Dorabysses; Cape de Léthaline; Getas Bernacle; Dofus Ivoire; Dolmanax; Dokoko; Dofus Abyssal; Dofus Émeraude; Dofus Ocre; Givrefoux</t>
        </is>
      </c>
    </row>
    <row r="3844">
      <c r="A3844" t="inlineStr">
        <is>
          <t>Sram Force</t>
        </is>
      </c>
      <c r="B3844">
        <f>HYPERLINK("https://www.dofusbook.net/fr/equipement/4323485-sram-force/objets", "link")</f>
        <v/>
      </c>
      <c r="C3844" t="n">
        <v>3</v>
      </c>
      <c r="D3844" t="inlineStr">
        <is>
          <t>Arc du Chalœil; Amulette Volkorne; Anneau Chevelu; Bracelet du Piloztère; Quatre-feuilles; Ceinture Volkorne; Masque de Koutoulou; Cape au Logis; Bottes de la Cour Sombre; Dofus Turquoise; Dofus Abyssal; Dofus des Glaces; Dofus Ivoire; Dofus Pourpre; Dofus Ocre; Kokulte</t>
        </is>
      </c>
    </row>
    <row r="3845">
      <c r="A3845" t="inlineStr">
        <is>
          <t>Sram Eau</t>
        </is>
      </c>
      <c r="B3845">
        <f>HYPERLINK("https://www.dofusbook.net/fr/equipement/4323614-sram-eau/objets", "link")</f>
        <v/>
      </c>
      <c r="C3845" t="n">
        <v>2</v>
      </c>
      <c r="D3845" t="inlineStr">
        <is>
          <t>Arc Ontanporin; Amulette de Shokkoth; Anneau Volkorne; Bracelet des Fonds marins; Quatre-feuilles; Pagne du Rykaon; Capuche de l'Œil Attentif; Cape Solution; Sandales des Fonds marins; Dofus Turquoise; Dofus Pourpre; Dofus Ocre; Dofus Ivoire; Chanceux majeur; Nomade; Kokulte</t>
        </is>
      </c>
    </row>
    <row r="3846">
      <c r="A3846" t="inlineStr">
        <is>
          <t>atchamvolkorne</t>
        </is>
      </c>
      <c r="B3846">
        <f>HYPERLINK("https://www.dofusbook.net/fr/equipement/2816329-atchamvolkorne/objets", "link")</f>
        <v/>
      </c>
      <c r="C3846" t="n">
        <v>13</v>
      </c>
      <c r="D3846" t="inlineStr">
        <is>
          <t>Arc Volkorne; Amulette du Strigide; Anneau de Padgref; Bracelet du Piloztère; Quatre-feuilles; Ceinture du Strigide; Coiffe de Padgref; Cape au Logis; Getas de Padgref; Dofus Pourpre; Dolmanax; Dofus Turquoise; Dofus Abyssal; Dofus Ocre; Dofus Ivoire; Chacha Angora</t>
        </is>
      </c>
    </row>
    <row r="3847">
      <c r="A3847" t="inlineStr">
        <is>
          <t>air no cc volkorne</t>
        </is>
      </c>
      <c r="B3847">
        <f>HYPERLINK("https://www.dofusbook.net/fr/equipement/4136442-air-no-cc-volkorne/objets", "link")</f>
        <v/>
      </c>
      <c r="C3847" t="n">
        <v>3</v>
      </c>
      <c r="D3847" t="inlineStr">
        <is>
          <t>Manthache; Collier du Valet Veinard; Gant du Valet Veinard; Anneau Volkorne; Bouclier du Stalak; Ceinture Volkorne; Casque Volkorne; Cape du Valet Veinard; Palmes Trithons; Dofus Ivoire; Dofus Abyssal; Dofus Pourpre; Dofus des Glaces; Dofus Ocre; Acrobate majeur; Blérodoudou</t>
        </is>
      </c>
    </row>
    <row r="3848">
      <c r="A3848" t="inlineStr">
        <is>
          <t>air eau</t>
        </is>
      </c>
      <c r="B3848">
        <f>HYPERLINK("https://www.dofusbook.net/fr/equipement/35811-air-eau/objets", "link")</f>
        <v/>
      </c>
      <c r="C3848" t="n">
        <v>25</v>
      </c>
      <c r="D3848" t="inlineStr">
        <is>
          <t>Arc de Koutoulou; Amulette du Strigide; Anneau de Pol Ouatnos; Anneau de Padgref; Quatre-feuilles; Ceinture du Strigide; Némès de Tal Kasha; Chevelure de Tal Kasha; Sandales de Tal Kasha; Dofus Ocre; Dofus des Glaces; Dofus Ivoire; Dofus Abyssal; Dofus Pourpre; Dofus Turquoise; Kokulte</t>
        </is>
      </c>
    </row>
    <row r="3849">
      <c r="A3849" t="inlineStr">
        <is>
          <t>air eau cc</t>
        </is>
      </c>
      <c r="B3849">
        <f>HYPERLINK("https://www.dofusbook.net/fr/equipement/3880235-air-eau-cc/objets", "link")</f>
        <v/>
      </c>
      <c r="C3849" t="n">
        <v>5</v>
      </c>
      <c r="D3849" t="inlineStr">
        <is>
          <t>Arc de Koutoulou; Amulette Volkorne; Bague Trithon; Anneau Volkorne; Quatre-feuilles; Menoture; Casque Volkorne; Voile d'encre; Bottes Trithon; Dofus Pourpre; Dofus des Glaces; Dofus Turquoise; Dofus Abyssal; Dofus Ocre; Dofus Ivoire; Kokulte</t>
        </is>
      </c>
    </row>
    <row r="3850">
      <c r="A3850" t="inlineStr">
        <is>
          <t>Stuff 2</t>
        </is>
      </c>
      <c r="B3850">
        <f>HYPERLINK("https://www.dofusbook.net/fr/equipement/35813-stuff-2/objets", "link")</f>
        <v/>
      </c>
      <c r="C3850" t="n">
        <v>6</v>
      </c>
      <c r="D3850" t="inlineStr">
        <is>
          <t>Marteau R'ture; Amulette du Glourséleste; Pikano; Anneau Tamie; Bouclier cubiste; Sangle Cible; Boucle d'oreille de Kongoku; Cape Matelassée; Pikottes; Fonceur majeur; Temporiseur majeur; Entraveur majeur; Ralentisseur majeur; Temporiseur; Remueur; Gwo Tofu Ventripotent</t>
        </is>
      </c>
    </row>
    <row r="3851">
      <c r="A3851" t="inlineStr">
        <is>
          <t>Eau ret PA</t>
        </is>
      </c>
      <c r="B3851">
        <f>HYPERLINK("https://www.dofusbook.net/fr/equipement/6008077-eau-ret-pa/objets", "link")</f>
        <v/>
      </c>
      <c r="C3851" t="n">
        <v>0</v>
      </c>
      <c r="D3851" t="inlineStr">
        <is>
          <t>Dagoulinantes; Amulette de Shokkoth; Anneau Volkorne; Alliance Gloursonne; Cadran de Terre; Culotte de Bethel; Casque Dragoeuf; Cape Matelassée; Chaussons de Macrab; Dofus Ocre; Dofus Ébène; Dofus Vulbis; Dofus Ivoire; Étourdisseur majeur; Koalak Sanguin</t>
        </is>
      </c>
    </row>
    <row r="3852">
      <c r="A3852" t="inlineStr">
        <is>
          <t>Sbrouff mulassoin</t>
        </is>
      </c>
      <c r="B3852">
        <f>HYPERLINK("https://www.dofusbook.net/fr/equipement/5879935-sbrouff-mulassoin/objets", "link")</f>
        <v/>
      </c>
      <c r="C3852" t="n">
        <v>1</v>
      </c>
      <c r="D3852" t="inlineStr">
        <is>
          <t>Baguette de Malléfisk; Amulette Volkorne; Anneauræus; Anneauræus; Carapar; Croture; Heaume Oplate; Cape de Diondin; Bottes Innommables</t>
        </is>
      </c>
    </row>
    <row r="3853">
      <c r="A3853" t="inlineStr">
        <is>
          <t>Feu Eau RetPA</t>
        </is>
      </c>
      <c r="B3853">
        <f>HYPERLINK("https://www.dofusbook.net/fr/equipement/5713809-feu-eau-retpa/objets", "link")</f>
        <v/>
      </c>
      <c r="C3853" t="n">
        <v>3</v>
      </c>
      <c r="D3853" t="inlineStr">
        <is>
          <t>Sabres d'Atcham; Amulette Volkorne; Anneau Volkorne; Alliance Gloursonne; Cadran de Terre; Ceinture de Vortex; Casque Volkorne; Cape d'Atcham; Sandales  d'Atcham; Dofus Ébène; Dofus Ocre; Dofus Turquoise; Dofus Ivoire; Dofus Pourpre; Dofus des Glaces; Minimino</t>
        </is>
      </c>
    </row>
    <row r="3854">
      <c r="A3854" t="inlineStr">
        <is>
          <t>Soin</t>
        </is>
      </c>
      <c r="B3854">
        <f>HYPERLINK("https://www.dofusbook.net/fr/equipement/5684848-soin/objets", "link")</f>
        <v/>
      </c>
      <c r="C3854" t="n">
        <v>3</v>
      </c>
      <c r="D3854" t="inlineStr">
        <is>
          <t>Baguette de Malléfisk; Pendentif affamé; Anneauræus; Anneauræus; Carapar; Ceinture Séculaire; Masque Ardent; Cape de Diondin; Chaussures Ardentes; Dofus Ivoire; Dolmanax; Dofus des Glaces; Dofus Ocre; Nomade; Guérisseur majeur; Dragodinde Orchidée et Rousse</t>
        </is>
      </c>
    </row>
    <row r="3855">
      <c r="A3855" t="inlineStr">
        <is>
          <t>Osamodas F 200</t>
        </is>
      </c>
      <c r="B3855">
        <f>HYPERLINK("https://www.dofusbook.net/fr/equipement/5644309-osamodas-f-200/objets", "link")</f>
        <v/>
      </c>
      <c r="C3855" t="n">
        <v>5</v>
      </c>
      <c r="D3855" t="inlineStr">
        <is>
          <t>Arc de Koutoulou; Amulette d'Ilyzaelle; Anneau Tique; Alliance Gloursonne; Bouclier du Stalak; Ceinture de la Reine des Voleurs; Casque d'Ilyzaelle; Cape Matelassée; Bottes de la Reine des Voleurs; Dolmanax; Dofus Ivoire; Dofus Pourpre; Dofus Ébène; Dofus Ocre; Dofus des Glaces; Chachyène</t>
        </is>
      </c>
    </row>
    <row r="3856">
      <c r="A3856" t="inlineStr">
        <is>
          <t>Terre Air</t>
        </is>
      </c>
      <c r="B3856">
        <f>HYPERLINK("https://www.dofusbook.net/fr/equipement/5314690-terre-air/objets", "link")</f>
        <v/>
      </c>
      <c r="C3856" t="n">
        <v>5</v>
      </c>
      <c r="D3856" t="inlineStr">
        <is>
          <t>Baguette de Torkélonia; Amulette du Strigide; Anneau de Padgref; Bracelet du Piloztère; Quatre-feuilles; Ceinture du Strigide; Corne de Torkélonia; Carapace de Torkélonia; Bottes du Strigide; Dofus Ivoire; Dofus Ébène; Dofus Pourpre; Dofus Ocre; Dofus des Glaces; Dofus Turquoise; Sakochère</t>
        </is>
      </c>
    </row>
    <row r="3857">
      <c r="A3857" t="inlineStr">
        <is>
          <t>Feu Air tripano</t>
        </is>
      </c>
      <c r="B3857">
        <f>HYPERLINK("https://www.dofusbook.net/fr/equipement/5467023-feu-air-tripano/objets", "link")</f>
        <v/>
      </c>
      <c r="C3857" t="n">
        <v>1</v>
      </c>
      <c r="D3857" t="inlineStr">
        <is>
          <t>Marteau Phossile; Pendentif mignon de Koutoulou; Anneau Tique; Anneau Rifique; Bouclier du Cycloïde; Ceinture de Vortex; Dorabysses; Cape de Diondin; Sabots de Vortex; Dofus des Glaces; Dofus Ocre; Dofus Vulbis; Dolmanax; Dofus Ivoire; Dragodinde Ebène et Rousse</t>
        </is>
      </c>
    </row>
    <row r="3858">
      <c r="A3858" t="inlineStr">
        <is>
          <t>Osamodas M 200</t>
        </is>
      </c>
      <c r="B3858">
        <f>HYPERLINK("https://www.dofusbook.net/fr/equipement/5280208-osamodas-m-200/objets", "link")</f>
        <v/>
      </c>
      <c r="C3858" t="n">
        <v>6</v>
      </c>
      <c r="D3858" t="inlineStr">
        <is>
          <t>Couteaux Sacrificiels; Amulette Volkorne; Anneau Volkorne; Anneau Kturne; Bouclier du Cycloïde; Ceintrigue; Casqnoar; Cape de Diondin; Bottes Owesli; Dofus des Glaces; Dolmanax; Dofus Ivoire; Dofus Ocre; Dofus Ébène; Dofus Vulbis; Dragodinde Indigo et Rousse</t>
        </is>
      </c>
    </row>
    <row r="3859">
      <c r="A3859" t="inlineStr">
        <is>
          <t>Feu Eau CC</t>
        </is>
      </c>
      <c r="B3859">
        <f>HYPERLINK("https://www.dofusbook.net/fr/equipement/5332640-feu-eau-cc/objets", "link")</f>
        <v/>
      </c>
      <c r="C3859" t="n">
        <v>1</v>
      </c>
      <c r="D3859" t="inlineStr">
        <is>
          <t>Couteaux Sacrificiels; Amulette d'Ilyzaelle; Alliance Gloursonne; Anneau Tique; Bouclier du Cycloïde; Ceinture du Barbétoal; Casque d'Ilyzaelle; Cape Martegel; Pataugastrique; Dofus Vulbis; Dofus Ébène; Dolmanax; Dofus des Glaces; Dofus Ivoire; Dofus Ocre; Dragodinde Ivoire et Rousse</t>
        </is>
      </c>
    </row>
    <row r="3860">
      <c r="A3860" t="inlineStr">
        <is>
          <t>Amu-ele</t>
        </is>
      </c>
      <c r="B3860">
        <f>HYPERLINK("https://www.dofusbook.net/fr/equipement/5316140-amu-ele/objets", "link")</f>
        <v/>
      </c>
      <c r="C3860" t="n">
        <v>2</v>
      </c>
      <c r="D3860" t="inlineStr">
        <is>
          <t>Couteaux Sacrificiels; Amulette Ementaire Deluxe; Anneau Volkorne; Lavanneau; Bouclier du Cycloïde; Ceintrigue; Casque Volkorne; Cape Paztek; Pataugastrique; Dofus des Glaces; Dolmanax; Dofus Ivoire; Dofus Ocre; Dofus Ébène; Dofus Vulbis; Dragodinde Orchidée et Rousse</t>
        </is>
      </c>
    </row>
    <row r="3861">
      <c r="A3861" t="inlineStr">
        <is>
          <t>Feu Eau Air</t>
        </is>
      </c>
      <c r="B3861">
        <f>HYPERLINK("https://www.dofusbook.net/fr/equipement/4718730-feu-eau-air/objets", "link")</f>
        <v/>
      </c>
      <c r="C3861" t="n">
        <v>38</v>
      </c>
      <c r="D3861" t="inlineStr">
        <is>
          <t>Couteaux Sacrificiels; Amulette Volkorne; Anneau Volkorne; Anneau Tique; Bivalve; Ceinture du Barbétoal; Casque Volkorne; Cape d'Atcham; Pataugastrique; Dofus Ocre; Dofus Ébène; Dolmanax; Dofus des Glaces; Dofus Turquoise; Dofus Ivoire; Dragodinde Dorée et Rousse</t>
        </is>
      </c>
    </row>
    <row r="3862">
      <c r="A3862" t="inlineStr">
        <is>
          <t>Feu Eau</t>
        </is>
      </c>
      <c r="B3862">
        <f>HYPERLINK("https://www.dofusbook.net/fr/equipement/4207736-feu-eau/objets", "link")</f>
        <v/>
      </c>
      <c r="C3862" t="n">
        <v>47</v>
      </c>
      <c r="D3862" t="inlineStr">
        <is>
          <t>Couteaux Sacrificiels; Amulette Ementaire Deluxe; Alliance Gloursonne; Anneau Tique; Cadran d'Eau; Ceinture de l'Esprit Malsain; Masque Paztek; Cape Paztek; Pataugastrique; Dolmanax; Dofus des Glaces; Dofus Ébène; Dofus Ivoire; Dofus Ocre; Nomade; Walk</t>
        </is>
      </c>
    </row>
    <row r="3863">
      <c r="A3863" t="inlineStr">
        <is>
          <t>Multi</t>
        </is>
      </c>
      <c r="B3863">
        <f>HYPERLINK("https://www.dofusbook.net/fr/equipement/5184199-multi/objets", "link")</f>
        <v/>
      </c>
      <c r="C3863" t="n">
        <v>2</v>
      </c>
      <c r="D3863" t="inlineStr">
        <is>
          <t>Crocobur; Amulette Volkorne; Alliance Gloursonne; Anneau Volkorne; Bouclier du Stalak; Ceinture de l'Esprit Salvateur; Masque de l'Esprit Salvateur; Voilamibe; Bottes de l'Esprit Salvateur; Dofus Ocre; Dofus Ébène; Dofus Pourpre; Dofus des Glaces; Dofus Nébuleux; Dofus Ivoire; Dragodinde Prune et Ivoire</t>
        </is>
      </c>
    </row>
    <row r="3864">
      <c r="A3864" t="inlineStr">
        <is>
          <t>Eau Air Soin</t>
        </is>
      </c>
      <c r="B3864">
        <f>HYPERLINK("https://www.dofusbook.net/fr/equipement/5177475-eau-air-soin/objets", "link")</f>
        <v/>
      </c>
      <c r="C3864" t="n">
        <v>33</v>
      </c>
      <c r="D3864" t="inlineStr">
        <is>
          <t>Le Thanos; Pendentif Oton; Alliance Gloursonne; Anneau Rifique; Bouclier d'Ilyzaelle; Ceinture du Barbétoal; Casque d'Ilyzaelle; Cape Matelassée; Bottes de la Reine des Voleurs; Dofus des Glaces; Dolmanax; Dofus Ocre; Dofus Ivoire; Guérisseur majeur; Nomade; Dragodinde Indigo et Rousse</t>
        </is>
      </c>
    </row>
    <row r="3865">
      <c r="A3865" t="inlineStr">
        <is>
          <t>Tank légendaire</t>
        </is>
      </c>
      <c r="B3865">
        <f>HYPERLINK("https://www.dofusbook.net/fr/equipement/5141831-tank-legendaire/objets", "link")</f>
        <v/>
      </c>
      <c r="C3865" t="n">
        <v>4</v>
      </c>
      <c r="D3865" t="inlineStr">
        <is>
          <t>Rouleau à Pâtisserie d'Aermyne; Collier Rophante; Bague Trithon; Alliance Gloursonne; Bouclier d'Anerice; Ceinture de Dame Jhessica; Casque Dragoeuf; Cape d'Anerice; Sabots Minables; Dofus Ocre; Dofus Ivoire; Dofus Émeraude; Obstructeur majeur; Carapace Neutre majeur; Miraculé majeur; Gupin</t>
        </is>
      </c>
    </row>
    <row r="3866">
      <c r="A3866" t="inlineStr">
        <is>
          <t>Air</t>
        </is>
      </c>
      <c r="B3866">
        <f>HYPERLINK("https://www.dofusbook.net/fr/equipement/5135021-air/objets", "link")</f>
        <v/>
      </c>
      <c r="C3866" t="n">
        <v>6</v>
      </c>
      <c r="D3866" t="inlineStr">
        <is>
          <t>Pelle de la Cour Sombre; Amulette du Strigide; Alliance Brûlâme; Alliance Gloursonne; Bouclier du Stalak; Menoture; Dorabysses; Cape de Crânonier; Bottes du Strigide; Dofus Vulbis; Dofus Ébène; Dofus Ocre; Dofus Ivoire; Cascadeur majeur; Dragodinde Ebène et Ivoire</t>
        </is>
      </c>
    </row>
    <row r="3867">
      <c r="A3867" t="inlineStr">
        <is>
          <t>Feu</t>
        </is>
      </c>
      <c r="B3867">
        <f>HYPERLINK("https://www.dofusbook.net/fr/equipement/5134929-feu/objets", "link")</f>
        <v/>
      </c>
      <c r="C3867" t="n">
        <v>13</v>
      </c>
      <c r="D3867" t="inlineStr">
        <is>
          <t>Arc corrompu; Amulette Volkorne; Bague Gloursonne; Anneau Tique; Bouclier du Stalak; Ceinture Volkorne; Heaume Oplate; Voile d'encre; Bottes Refois; Dofus Ébène; Dofus Forgelave; Dofus Ivoire</t>
        </is>
      </c>
    </row>
    <row r="3868">
      <c r="A3868" t="inlineStr">
        <is>
          <t>Osamodas M 200</t>
        </is>
      </c>
      <c r="B3868">
        <f>HYPERLINK("https://www.dofusbook.net/fr/equipement/4802244-osamodas-m-200/objets", "link")</f>
        <v/>
      </c>
      <c r="C3868" t="n">
        <v>4</v>
      </c>
      <c r="D3868" t="inlineStr">
        <is>
          <t>Pyraguette; Amulette Ementaire Deluxe; Alliance Gloursonne; Anneau Volkorne; Droiture de Fallanster; Ceinture de Vortex; Casque Volkorne; Cape d'Atcham; Pantoufles Émar; Dofus Ivoire; Dolmanax; Dofus Ébène; Dofus des Glaces; Dofus Ocre; Nomade; Dragodinde Orchidée et Rousse</t>
        </is>
      </c>
    </row>
    <row r="3869">
      <c r="A3869" t="inlineStr">
        <is>
          <t>Terre</t>
        </is>
      </c>
      <c r="B3869">
        <f>HYPERLINK("https://www.dofusbook.net/fr/equipement/5101285-terre/objets", "link")</f>
        <v/>
      </c>
      <c r="C3869" t="n">
        <v>2</v>
      </c>
      <c r="D3869" t="inlineStr">
        <is>
          <t>Lav'Hache; Collier de Tourthon; Anneau Chevelu; Anneau Crustique; Bouclier d'Ilyzaelle; Ceinture de la Reine des Voleurs; Coiffe de la Reine des Voleurs; Cape au Logis; Sabots Minables; Dofus Ocre; Dofus des Glaces; Dofus Pourpre; Dofus Ivoire; Carapace Feu majeur; Enragé majeur; Dragodinde Dorée et Pourpre</t>
        </is>
      </c>
    </row>
    <row r="3870">
      <c r="A3870" t="inlineStr">
        <is>
          <t>Roublard F 200</t>
        </is>
      </c>
      <c r="B3870">
        <f>HYPERLINK("https://www.dofusbook.net/fr/equipement/4945932-roublard-f-200/objets", "link")</f>
        <v/>
      </c>
      <c r="C3870" t="n">
        <v>1</v>
      </c>
      <c r="D3870" t="inlineStr">
        <is>
          <t>Épée du Granduk; Masque du Granduk</t>
        </is>
      </c>
    </row>
    <row r="3871">
      <c r="A3871" t="inlineStr">
        <is>
          <t>Xélor M 200</t>
        </is>
      </c>
      <c r="B3871">
        <f>HYPERLINK("https://www.dofusbook.net/fr/equipement/4938032-xelor-m-200/objets", "link")</f>
        <v/>
      </c>
      <c r="C3871" t="n">
        <v>4</v>
      </c>
      <c r="D3871" t="inlineStr">
        <is>
          <t>Sabres d'Atcham; Amulette Volkorne; Bracelet du Piloztère; Anneau Volkorne; Cadran de Terre; Ceintacé; Casque Volkorne; Cape d'Atcham; Sandales  d'Atcham; Dofus Ivoire; Dofus Turquoise; Dofus des Glaces; Dofus Pourpre; Dofus Ébène; Paralyseur majeur; Koalak Sanguin</t>
        </is>
      </c>
    </row>
    <row r="3872">
      <c r="A3872" t="inlineStr">
        <is>
          <t>Terre Feu</t>
        </is>
      </c>
      <c r="B3872">
        <f>HYPERLINK("https://www.dofusbook.net/fr/equipement/4913250-terre-feu/objets", "link")</f>
        <v/>
      </c>
      <c r="C3872" t="n">
        <v>4</v>
      </c>
      <c r="D3872" t="inlineStr">
        <is>
          <t>Arc à Lamelles; Amulette Volkorne; Chevalière du Roi Joueur; Anneau Volkorne; Quatre-feuilles; Ceinture Volkorne; Couronne du Roi Joueur; Voile d'encre; Bottes du Roi Joueur; Dofus Turquoise; Dofus Ocre; Dofus Ivoire; Dofus des Glaces; Dofus Pourpre; Dofus Ébène; Dragodinde Orchidée et Pourpre</t>
        </is>
      </c>
    </row>
    <row r="3873">
      <c r="A3873" t="inlineStr">
        <is>
          <t>Feu Eau Air</t>
        </is>
      </c>
      <c r="B3873">
        <f>HYPERLINK("https://www.dofusbook.net/fr/equipement/316481-feu-eau-air/objets", "link")</f>
        <v/>
      </c>
      <c r="C3873" t="n">
        <v>7</v>
      </c>
      <c r="D3873" t="inlineStr">
        <is>
          <t>Sabres d'Atcham; Talisman Igans; Alliance Gloursonne; Bracelet du Piloztère; Cadran de Feu; Ceintacé; Chapeau des Malveilleurs; Cape des Justiciers; Sandales  d'Atcham; Dofus Turquoise; Dofus Abyssal; Dofus Pourpre; Nomade; Remueur; Miraculé majeur; Dragodinde en armure</t>
        </is>
      </c>
    </row>
    <row r="3874">
      <c r="A3874" t="inlineStr">
        <is>
          <t>Enutrof F 200</t>
        </is>
      </c>
      <c r="B3874">
        <f>HYPERLINK("https://www.dofusbook.net/fr/equipement/4851232-enutrof-f-200/objets", "link")</f>
        <v/>
      </c>
      <c r="C3874" t="n">
        <v>1</v>
      </c>
      <c r="D3874" t="inlineStr">
        <is>
          <t>Pyraguette; Lavanneau; Bouclier du Stalak; Ceintrigue</t>
        </is>
      </c>
    </row>
    <row r="3875">
      <c r="A3875" t="inlineStr">
        <is>
          <t>Ecaflip F 200</t>
        </is>
      </c>
      <c r="B3875">
        <f>HYPERLINK("https://www.dofusbook.net/fr/equipement/4850831-ecaflip-f-200/objets", "link")</f>
        <v/>
      </c>
      <c r="C3875" t="n">
        <v>2</v>
      </c>
      <c r="D3875" t="inlineStr">
        <is>
          <t>Arc Volkorne; Amulette du Strigide; Anneau Volkorne; Bracelet du Piloztère; Bouclier d'Ilyzaelle; Ceinture Volkorne; Diadème de Ganymède; Bravoure de Rykke Errel; Bottes du Strigide; Dofus Vulbis; Dofus des Glaces; Dofus Ocre; Dofus Ivoire; Dofus Pourpre; Chacha Angora</t>
        </is>
      </c>
    </row>
    <row r="3876">
      <c r="A3876" t="inlineStr">
        <is>
          <t>Zob feu mêlée</t>
        </is>
      </c>
      <c r="B3876">
        <f>HYPERLINK("https://www.dofusbook.net/fr/equipement/4850298-zob-feu-melee/objets", "link")</f>
        <v/>
      </c>
      <c r="C3876" t="n">
        <v>1</v>
      </c>
      <c r="D3876" t="inlineStr">
        <is>
          <t>Harpelle; Amulette Séculaire; Anneauræus; Anneauræus; Cadran d'Eau; Ceinture Séculaire; Casque Dragoeuf; Bravoure de Rykke Errel; Pataugastrique; Dofus Vulbis; Dofus Turquoise; Dofus Pourpre; Dofus Ivoire; Dofus Ocre; Dragodinde Emeraude et Orchidée</t>
        </is>
      </c>
    </row>
    <row r="3877">
      <c r="A3877" t="inlineStr">
        <is>
          <t>Ret PM</t>
        </is>
      </c>
      <c r="B3877">
        <f>HYPERLINK("https://www.dofusbook.net/fr/equipement/4841622-ret-pm/objets", "link")</f>
        <v/>
      </c>
      <c r="C3877" t="n">
        <v>4</v>
      </c>
      <c r="D3877" t="inlineStr">
        <is>
          <t>Bâtonnet Ronien; Amulette des Chocomanciens; Pikano; Bracelet du Piloztère; Bouclier cubiste; Ceinture de Kongoku; Binocle Airvoyant; Cape de l'Œil Putride; Chaussures Face; Dofus Ocre; Dofus Pourpre; Dofus des Glaces; Nomade; Remueur; Temporiseur majeur; Léopardo</t>
        </is>
      </c>
    </row>
    <row r="3878">
      <c r="A3878" t="inlineStr">
        <is>
          <t>Steamer Terre</t>
        </is>
      </c>
      <c r="B3878">
        <f>HYPERLINK("https://www.dofusbook.net/fr/equipement/4826484-steamer-terre/objets", "link")</f>
        <v/>
      </c>
      <c r="C3878" t="n">
        <v>4</v>
      </c>
      <c r="D3878" t="inlineStr">
        <is>
          <t>Arc du Chalœil; Amulette du Cœur Saignant; Bague Gloursonne; Anneau Chevelu; Bouclier du Stalak; Ceinture Gence; Casque Dragoeuf; Bravoure de Rykke Errel; Bottes du Cœur Saignant; Dofus Pourpre; Dofus Ivoire; Dofus Vulbis; Dofus Ocre; Dofus des Glaces; Dragodinde Ivoire et Pourpre</t>
        </is>
      </c>
    </row>
    <row r="3879">
      <c r="A3879" t="inlineStr">
        <is>
          <t>Hupper ret PA</t>
        </is>
      </c>
      <c r="B3879">
        <f>HYPERLINK("https://www.dofusbook.net/fr/equipement/4825974-hupper-ret-pa/objets", "link")</f>
        <v/>
      </c>
      <c r="C3879" t="n">
        <v>5</v>
      </c>
      <c r="D3879" t="inlineStr">
        <is>
          <t>Arc corrompu; Amulette de Nileza; Anneau Tique; Anneauræus; Cadran de Terre; Ceinture de Vortex; Masque Ardent; Cape Ardente; Chaussures Ardentes; Dofus Vulbis; Dofus Forgelave; Dofus Ivoire; Dofus Ocre; Volkorne Amande et Ivoire</t>
        </is>
      </c>
    </row>
    <row r="3880">
      <c r="A3880" t="inlineStr">
        <is>
          <t>Osamodas M 200</t>
        </is>
      </c>
      <c r="B3880">
        <f>HYPERLINK("https://www.dofusbook.net/fr/equipement/4824750-osamodas-m-200/objets", "link")</f>
        <v/>
      </c>
      <c r="C3880" t="n">
        <v>10</v>
      </c>
      <c r="D3880" t="inlineStr">
        <is>
          <t>Couteaux Sacrificiels; Amulette Ementaire Deluxe; Anneau Tique; Alliance du Lévitrof; Bouclier d'Ilyzaelle; Ceintrigue; Casque d'Ilyzaelle; Cape de la Dame du Hasard; Pataugastrique; Dofus Ocre; Dofus des Glaces; Dolmanax; Érudit majeur; Chanceux majeur; Nomade; Walk</t>
        </is>
      </c>
    </row>
    <row r="3881">
      <c r="A3881" t="inlineStr">
        <is>
          <t>Res Air</t>
        </is>
      </c>
      <c r="B3881">
        <f>HYPERLINK("https://www.dofusbook.net/fr/equipement/4812334-res-air/objets", "link")</f>
        <v/>
      </c>
      <c r="C3881" t="n">
        <v>7</v>
      </c>
      <c r="D3881" t="inlineStr">
        <is>
          <t>Arc du Chalœil; Collier de Tourthon; Anneau Crustique; Anneau Crustique; Cadran d'Air; Sangle de Sylargh; Capuche de Sylargh; Ankhape; Bottes de Brouce; Dofus Ébène; Dofus Ocre; Dofus Ivoire; Cuirassé Air majeur; Remueur; Nomade; Tiwabbit Kiafin</t>
        </is>
      </c>
    </row>
    <row r="3882">
      <c r="A3882" t="inlineStr">
        <is>
          <t>Feu Eau</t>
        </is>
      </c>
      <c r="B3882">
        <f>HYPERLINK("https://www.dofusbook.net/fr/equipement/4779959-feu-eau/objets", "link")</f>
        <v/>
      </c>
      <c r="C3882" t="n">
        <v>6</v>
      </c>
      <c r="D3882" t="inlineStr">
        <is>
          <t>Couteaux Sacrificiels; Amulette Volkorne; Anneau Volkorne; Anneau Tique; Cadran d'Eau; Ceintrigue; Casqnoar; Cape des Malveilleurs; Pataugastrique; Dofus Ébène; Dofus des Glaces; Dolmanax; Dofus Ocre; Chanceux majeur; Érudit majeur; Chachyène</t>
        </is>
      </c>
    </row>
    <row r="3883">
      <c r="A3883" t="inlineStr">
        <is>
          <t>Sledaks 12/04</t>
        </is>
      </c>
      <c r="B3883">
        <f>HYPERLINK("https://www.dofusbook.net/fr/equipement/4793771-sledaks-12-04/objets", "link")</f>
        <v/>
      </c>
      <c r="C3883" t="n">
        <v>7</v>
      </c>
      <c r="D3883" t="inlineStr">
        <is>
          <t>Arc du Chalœil; Amulette Volkorne; Bague Gloursonne; Pikano; Bouclier du Stalak; Ceinture Volkorne; Masque de Koutoulou; Bravoure de Rykke Errel; Bottes de la Cour Sombre; Dofus Ocre; Dofus Ivoire; Dolmanax; Dofus des Glaces; Enragé majeur; Nomade; Dragodinde Dorée et Pourpre</t>
        </is>
      </c>
    </row>
    <row r="3884">
      <c r="A3884" t="inlineStr">
        <is>
          <t>Terre Feu Eau</t>
        </is>
      </c>
      <c r="B3884">
        <f>HYPERLINK("https://www.dofusbook.net/fr/equipement/4755702-terre-feu-eau/objets", "link")</f>
        <v/>
      </c>
      <c r="C3884" t="n">
        <v>9</v>
      </c>
      <c r="D3884" t="inlineStr">
        <is>
          <t>Hache du Chalœil; Amulette Volkorne; Alliance du Lévitrof; Anneau Volkorne; Bivalve; Ceinture Volkorne; Coiffe du Lévitrof; Cape du Kamasterisk; Bottes du Lévitrof; Dofus Émeraude; Dofus des Glaces; Dofus Ivoire; Dofus Ocre; Dofus Ébène; Dolmanax; Walk</t>
        </is>
      </c>
    </row>
    <row r="3885">
      <c r="A3885" t="inlineStr">
        <is>
          <t>Osamodas F 200</t>
        </is>
      </c>
      <c r="B3885">
        <f>HYPERLINK("https://www.dofusbook.net/fr/equipement/4780239-osamodas-f-200/objets", "link")</f>
        <v/>
      </c>
      <c r="C3885" t="n">
        <v>5</v>
      </c>
      <c r="D3885" t="inlineStr">
        <is>
          <t>Couteaux Sacrificiels; Amulette Volkorne; Anneau Tique; Anneau Volkorne; Ceintrigue; Casquette de Meno; Cape de Meno; Bottes de Meno; Dofus Ocre; Dofus des Glaces; Dolmanax; Dofus Ébène; Chachyène</t>
        </is>
      </c>
    </row>
    <row r="3886">
      <c r="A3886" t="inlineStr">
        <is>
          <t>Sacrieur M 200</t>
        </is>
      </c>
      <c r="B3886">
        <f>HYPERLINK("https://www.dofusbook.net/fr/equipement/4757895-sacrieur-m-200/objets", "link")</f>
        <v/>
      </c>
      <c r="C3886" t="n">
        <v>10</v>
      </c>
      <c r="D3886" t="inlineStr">
        <is>
          <t>Crocobur; Talisman Glouti; Bracelet des Fonds marins; Alliance Gloursonne; Bouclier de Solar; Ceinture de Dame Jhessica; Kidibonnet; Cape de Mantaze; Sandales des Fonds marins; Dofus Pourpre; Dofus Ocre; Dofus Émeraude; Obstructeur majeur; Carapace Air majeur; Nomade; Bwak d'Eau</t>
        </is>
      </c>
    </row>
    <row r="3887">
      <c r="A3887" t="inlineStr">
        <is>
          <t>Multi</t>
        </is>
      </c>
      <c r="B3887">
        <f>HYPERLINK("https://www.dofusbook.net/fr/equipement/4751706-multi/objets", "link")</f>
        <v/>
      </c>
      <c r="C3887" t="n">
        <v>42</v>
      </c>
      <c r="D3887" t="inlineStr">
        <is>
          <t>Dagues Érhy; Amulette Volkorne; Anneau Volkorne; Alliance Brûlâme; Cadran de Feu; Ceinture Volkorne; Casque du Chalœil; Cape du Chalœil; Bottes du Chalœil; Dofus Ivoire; Dofus Ocre; Dofus Ébène; Dofus des Glaces; Dolmanax; Féroce majeur; Mini Wa</t>
        </is>
      </c>
    </row>
    <row r="3888">
      <c r="A3888" t="inlineStr">
        <is>
          <t>Osamodas M 200</t>
        </is>
      </c>
      <c r="B3888">
        <f>HYPERLINK("https://www.dofusbook.net/fr/equipement/3437829-osamodas-m-200/objets", "link")</f>
        <v/>
      </c>
      <c r="C3888" t="n">
        <v>8</v>
      </c>
      <c r="D3888" t="inlineStr">
        <is>
          <t>Marteau Phossile; Amulette Ementaire Deluxe; Anneau Tique; Anneau Rifique; Bouclier du Cycloïde; Ceinture de Vortex; Casque Cyclopéen; Cape Martegel; Pantoufles Émar; Dofus Ocre; Dofus des Glaces; Dolmanax; Cascadeur majeur; Nomade; Érudit majeur; Dragodinde Ebène et Orchidée</t>
        </is>
      </c>
    </row>
    <row r="3889">
      <c r="A3889" t="inlineStr">
        <is>
          <t>2.49</t>
        </is>
      </c>
      <c r="B3889">
        <f>HYPERLINK("https://www.dofusbook.net/fr/equipement/4210533-2-49/objets", "link")</f>
        <v/>
      </c>
      <c r="C3889" t="n">
        <v>4</v>
      </c>
      <c r="D3889" t="inlineStr">
        <is>
          <t>Bâtonnet Ronien; Amulette du Strigide; Bracelet du Piloztère; Pikano; Quatre-feuilles; Ceinture du Strigide; Coiffe d'Ogivol; Chevelure de Tal Kasha; Bottes du Cœur Vaillant; Dofus des Glaces; Dofus Ocre; Dofus Ébène; Dofus Turquoise; Nomade; Remueur; Sakochère</t>
        </is>
      </c>
    </row>
    <row r="3890">
      <c r="A3890" t="inlineStr">
        <is>
          <t>Feu Air - Ementale</t>
        </is>
      </c>
      <c r="B3890">
        <f>HYPERLINK("https://www.dofusbook.net/fr/equipement/3261746-feu-air---ementale/objets", "link")</f>
        <v/>
      </c>
      <c r="C3890" t="n">
        <v>8</v>
      </c>
      <c r="D3890" t="inlineStr">
        <is>
          <t>Marteau Phossile; Amulette Ementaire Deluxe; Anneau Tique; Anneau Rifique; Ceinture de Vortex; Casque Cyclopéen; Cape Hiculteur; Pantoufles Émar; Dofus des Glaces; Dolmanax; Dofus Ocre; Érudit majeur; Cascadeur majeur; Nomade; Dragodinde Prune et Ebène</t>
        </is>
      </c>
    </row>
    <row r="3891">
      <c r="A3891" t="inlineStr">
        <is>
          <t>Crâ F 200</t>
        </is>
      </c>
      <c r="B3891">
        <f>HYPERLINK("https://www.dofusbook.net/fr/equipement/5874654-cra-f-200/objets", "link")</f>
        <v/>
      </c>
      <c r="C3891" t="n">
        <v>4</v>
      </c>
      <c r="D3891" t="inlineStr">
        <is>
          <t>Manthache; Collier du Valet Veinard; Gant du Valet Veinard; Anneau d'Allister; Bouclier du Stalak; Sangle Oriole; Couronne d'Allister; Cape du Valet Veinard; Bottes d'Allister; Dofus Ocre; Dofus Ébène; Dofus Pourpre; Dofus Vulbis; Equilibriste majeur; Acrobate majeur; Siroko</t>
        </is>
      </c>
    </row>
    <row r="3892">
      <c r="A3892" t="inlineStr">
        <is>
          <t>Eliotrope M 200</t>
        </is>
      </c>
      <c r="B3892">
        <f>HYPERLINK("https://www.dofusbook.net/fr/equipement/5844128-eliotrope-m-200/objets", "link")</f>
        <v/>
      </c>
      <c r="C3892" t="n">
        <v>1</v>
      </c>
      <c r="D3892" t="inlineStr"/>
    </row>
    <row r="3893">
      <c r="A3893" t="inlineStr">
        <is>
          <t>Enutrof F 200</t>
        </is>
      </c>
      <c r="B3893">
        <f>HYPERLINK("https://www.dofusbook.net/fr/equipement/5473607-enutrof-f-200/objets", "link")</f>
        <v/>
      </c>
      <c r="C3893" t="n">
        <v>14</v>
      </c>
      <c r="D3893" t="inlineStr">
        <is>
          <t>Baguette de Torkélonia; Amulette Voldelor; Alliance Gloursonne; Gant du Valet Veinard; Quatre-feuilles; Ceinture Voldelor; Corne de Torkélonia; Carapace de Torkélonia; Bottes Voldelor; Dolmanax; Dofus Ocre; Dofus Turquoise; Dofus Ébène; Dofus Pourpre; Dofus Ivoire; Volkorne Emeraude et Ebène</t>
        </is>
      </c>
    </row>
    <row r="3894">
      <c r="A3894" t="inlineStr">
        <is>
          <t>Steamer F 200</t>
        </is>
      </c>
      <c r="B3894">
        <f>HYPERLINK("https://www.dofusbook.net/fr/equipement/5471213-steamer-f-200/objets", "link")</f>
        <v/>
      </c>
      <c r="C3894" t="n">
        <v>19</v>
      </c>
      <c r="D3894" t="inlineStr">
        <is>
          <t>Héqache; Amulette du Strigide; Crocanneau; Anneau Volkorne; Quatre-feuilles; Ceinture Volkorne; Corne de Torkélonia; Carapace de Torkélonia; Bottes du Strigide; Dofus Ébène; Dofus Ivoire; Dofus Vulbis; Dofus des Glaces; Dofus Turquoise; Dofus Ocre; Kokulte</t>
        </is>
      </c>
    </row>
    <row r="3895">
      <c r="A3895" t="inlineStr">
        <is>
          <t>Zobal M 200</t>
        </is>
      </c>
      <c r="B3895">
        <f>HYPERLINK("https://www.dofusbook.net/fr/equipement/5469967-zobal-m-200/objets", "link")</f>
        <v/>
      </c>
      <c r="C3895" t="n">
        <v>6</v>
      </c>
      <c r="D3895" t="inlineStr">
        <is>
          <t>Masque de Kao</t>
        </is>
      </c>
    </row>
    <row r="3896">
      <c r="A3896" t="inlineStr">
        <is>
          <t>Iop M 200</t>
        </is>
      </c>
      <c r="B3896">
        <f>HYPERLINK("https://www.dofusbook.net/fr/equipement/5458716-iop-m-200/objets", "link")</f>
        <v/>
      </c>
      <c r="C3896" t="n">
        <v>18</v>
      </c>
      <c r="D3896" t="inlineStr">
        <is>
          <t>Crocobur; Amulette d'Ilyzaelle; Anneau Volkorne; Alliance Gloursonne; Bouclier d'Ilyzaelle; Ceinture Volkorne; Casque d'Ilyzaelle; Cape du Sinistrofu; Bottes du Sinistrofu; Dofus Ébène; Dofus Vulbis; Dofus Pourpre; Dofus Ocre; Dofus Émeraude; Dofus Ivoire</t>
        </is>
      </c>
    </row>
    <row r="3897">
      <c r="A3897" t="inlineStr">
        <is>
          <t>Steamer F 200</t>
        </is>
      </c>
      <c r="B3897">
        <f>HYPERLINK("https://www.dofusbook.net/fr/equipement/5458701-steamer-f-200/objets", "link")</f>
        <v/>
      </c>
      <c r="C3897" t="n">
        <v>1</v>
      </c>
      <c r="D3897" t="inlineStr">
        <is>
          <t>Amulette Volkorne; Anneau Volkorne; Ceintacé; Cape de la Dame du Hasard</t>
        </is>
      </c>
    </row>
    <row r="3898">
      <c r="A3898" t="inlineStr">
        <is>
          <t>Sacrieur F 200</t>
        </is>
      </c>
      <c r="B3898">
        <f>HYPERLINK("https://www.dofusbook.net/fr/equipement/5402463-sacrieur-f-200/objets", "link")</f>
        <v/>
      </c>
      <c r="C3898" t="n">
        <v>14</v>
      </c>
      <c r="D3898" t="inlineStr">
        <is>
          <t>Lav'Hache; Amulette du Strigide; Anneau Crustique; Anneau Crustique; Bouclier d'Ilyzaelle; Ceinture du Strigide; Masque de Koutoulou; Cape au Logis; Bottes du Cœur Saignant; Dofus Ivoire; Dofus Pourpre; Dofus Ocre; Dofus Émeraude; Obstructeur majeur; Enragé majeur; Dragodinde Ivoire et Pourpre</t>
        </is>
      </c>
    </row>
    <row r="3899">
      <c r="A3899" t="inlineStr">
        <is>
          <t>Iop M 200</t>
        </is>
      </c>
      <c r="B3899">
        <f>HYPERLINK("https://www.dofusbook.net/fr/equipement/5402425-iop-m-200/objets", "link")</f>
        <v/>
      </c>
      <c r="C3899" t="n">
        <v>13</v>
      </c>
      <c r="D3899" t="inlineStr">
        <is>
          <t>Manthache; Collier du Valet Veinard; Alliance Gloursonne; Gant du Valet Veinard; Bouclier du Stalak; Menoture; Casque d'Ilyzaelle; Cape Indescriptible; Palmes Trithons; Dofus Pourpre; Dofus Ocre; Miraculé majeur; Nomade; Equilibriste majeur; Cascadeur majeur; Dragodinde Ebène et Ivoire</t>
        </is>
      </c>
    </row>
    <row r="3900">
      <c r="A3900" t="inlineStr">
        <is>
          <t>Crâ F 200</t>
        </is>
      </c>
      <c r="B3900">
        <f>HYPERLINK("https://www.dofusbook.net/fr/equipement/5344452-cra-f-200/objets", "link")</f>
        <v/>
      </c>
      <c r="C3900" t="n">
        <v>1</v>
      </c>
      <c r="D3900" t="inlineStr"/>
    </row>
    <row r="3901">
      <c r="A3901" t="inlineStr">
        <is>
          <t>Enutrof F 200</t>
        </is>
      </c>
      <c r="B3901">
        <f>HYPERLINK("https://www.dofusbook.net/fr/equipement/3642663-enutrof-f-200/objets", "link")</f>
        <v/>
      </c>
      <c r="C3901" t="n">
        <v>28</v>
      </c>
      <c r="D3901" t="inlineStr"/>
    </row>
    <row r="3902">
      <c r="A3902" t="inlineStr">
        <is>
          <t>Eliotrope M 200</t>
        </is>
      </c>
      <c r="B3902">
        <f>HYPERLINK("https://www.dofusbook.net/fr/equipement/4392592-eliotrope-m-200/objets", "link")</f>
        <v/>
      </c>
      <c r="C3902" t="n">
        <v>5</v>
      </c>
      <c r="D3902" t="inlineStr">
        <is>
          <t>Arc corrompu; Amulette Volkorne; Anneauræus; Anneauræus; Bouclier du Stalak; Ceinture Volkorne; Cape de Diondin</t>
        </is>
      </c>
    </row>
    <row r="3903">
      <c r="A3903" t="inlineStr">
        <is>
          <t>Ouginak F 200</t>
        </is>
      </c>
      <c r="B3903">
        <f>HYPERLINK("https://www.dofusbook.net/fr/equipement/4375021-ouginak-f-200/objets", "link")</f>
        <v/>
      </c>
      <c r="C3903" t="n">
        <v>31</v>
      </c>
      <c r="D3903" t="inlineStr">
        <is>
          <t>Arc du Chalœil; Amulette du Cœur Saignant; Anneau Volkorne; Anneau de Brouce; Bouclier d'Ilyzaelle; Ceinture Volkorne; Casque Dragoeuf; Bravoure de Rykke Errel; Bottes du Cœur Saignant; Dofus Vulbis; Dofus Ivoire; Dofus Pourpre; Dofus Ocre; Dofus Turquoise; Dofus Ébène; Volkorne Jade et Pourpre</t>
        </is>
      </c>
    </row>
    <row r="3904">
      <c r="A3904" t="inlineStr">
        <is>
          <t>Pandawa M 200</t>
        </is>
      </c>
      <c r="B3904">
        <f>HYPERLINK("https://www.dofusbook.net/fr/equipement/4142839-pandawa-m-200/objets", "link")</f>
        <v/>
      </c>
      <c r="C3904" t="n">
        <v>527</v>
      </c>
      <c r="D3904" t="inlineStr">
        <is>
          <t>Rouleau à Pâtisserie d'Aermyne; Collier Rophante; Bague Trithon; Anneauræus; Poulpagne; Casque Dragoeuf; Bottes Innommables; Dofus Ocre; Dofus Abyssal; Dofus Émeraude; Dofus Ivoire; Carapace Eau majeur; Miraculé majeur; Titard; Cape de Guilde</t>
        </is>
      </c>
    </row>
    <row r="3905">
      <c r="A3905" t="inlineStr">
        <is>
          <t>Pandawa M 200</t>
        </is>
      </c>
      <c r="B3905">
        <f>HYPERLINK("https://www.dofusbook.net/fr/equipement/4142734-pandawa-m-200/objets", "link")</f>
        <v/>
      </c>
      <c r="C3905" t="n">
        <v>74</v>
      </c>
      <c r="D3905" t="inlineStr">
        <is>
          <t>Rouleau à Pâtisserie d'Aermyne; Collier Rophante; Anneauræus; Bague Trithon; Poulpagne; Casque Dragoeuf; Chaussures Ardentes; Dofus Ocre; Dofus Abyssal; Dofus Émeraude; Dofus Ivoire; Carapace Eau majeur; Miraculé majeur; Gupin; Bouclier Captivant; Cape de Guilde</t>
        </is>
      </c>
    </row>
    <row r="3906">
      <c r="A3906" t="inlineStr">
        <is>
          <t>Féca M 200</t>
        </is>
      </c>
      <c r="B3906">
        <f>HYPERLINK("https://www.dofusbook.net/fr/equipement/3924097-feca-m-200/objets", "link")</f>
        <v/>
      </c>
      <c r="C3906" t="n">
        <v>68</v>
      </c>
      <c r="D3906" t="inlineStr">
        <is>
          <t>Arc Nécrotique; Amulette Volkorne; Bague Trithon; Anneau Volkorne; Quatre-feuilles; Ceinture de l'Esprit Malsain; Masque Trithon; Cape de la Dame du Hasard; Pataugastrique; Dofus Pourpre; Dofus Ocre; Dofus Ivoire; Dofus Vulbis; Dofus des Glaces; Dofus Turquoise; Kokulte</t>
        </is>
      </c>
    </row>
    <row r="3907">
      <c r="A3907" t="inlineStr">
        <is>
          <t>Féca M 200</t>
        </is>
      </c>
      <c r="B3907">
        <f>HYPERLINK("https://www.dofusbook.net/fr/equipement/3880469-feca-m-200/objets", "link")</f>
        <v/>
      </c>
      <c r="C3907" t="n">
        <v>2528</v>
      </c>
      <c r="D3907" t="inlineStr">
        <is>
          <t>Arc Honte; Amulette Volkorne; Alliance Gloursonne; Anneau Volkorne; Cadran de Terre; Ceinture de l'Esprit Salvateur; Masque de l'Esprit Salvateur; Voile d'encre; Bottes de l'Esprit Salvateur; Dofus Vulbis; Dofus des Glaces; Dofus Pourpre; Dofus Abyssal; Dofus Ocre; Dofus Ivoire; Dragodinde Ivoire et Orchidée</t>
        </is>
      </c>
    </row>
    <row r="3908">
      <c r="A3908" t="inlineStr">
        <is>
          <t>Sacrieur F 200</t>
        </is>
      </c>
      <c r="B3908">
        <f>HYPERLINK("https://www.dofusbook.net/fr/equipement/3753515-sacrieur-f-200/objets", "link")</f>
        <v/>
      </c>
      <c r="C3908" t="n">
        <v>30</v>
      </c>
      <c r="D3908" t="inlineStr">
        <is>
          <t>Baguette Héroclite; Talisman Igans; Alliance Gloursonne; Bracelet des Fonds marins; Cadran de Terre; Sangle Ouare; Kidibonnet; Cape Solution; Bottes Owesli; Dofus Ivoire; Dofus Forgelave; Dofus Abyssal; Dofus Pourpre; Vigoureux majeur; Chanceux majeur; Dragodinde Indigo et Ivoire</t>
        </is>
      </c>
    </row>
    <row r="3909">
      <c r="A3909" t="inlineStr">
        <is>
          <t>Ecaflip F 200</t>
        </is>
      </c>
      <c r="B3909">
        <f>HYPERLINK("https://www.dofusbook.net/fr/equipement/3650730-ecaflip-f-200/objets", "link")</f>
        <v/>
      </c>
      <c r="C3909" t="n">
        <v>28</v>
      </c>
      <c r="D3909" t="inlineStr">
        <is>
          <t>Sabres d'Atcham; Amulette Volkorne; Bague Trithon; Anneau Volkorne; Bouclier du Stalak; Ceinture Volkorne; Masque Trithon; Cape d'Atcham; Bottes Trithon; Dofus Vulbis; Dofus Turquoise; Dofus Pourpre; Dofus Ocre</t>
        </is>
      </c>
    </row>
    <row r="3910">
      <c r="A3910" t="inlineStr">
        <is>
          <t>Crâ M 200</t>
        </is>
      </c>
      <c r="B3910">
        <f>HYPERLINK("https://www.dofusbook.net/fr/equipement/3647092-cra-m-200/objets", "link")</f>
        <v/>
      </c>
      <c r="C3910" t="n">
        <v>54</v>
      </c>
      <c r="D3910" t="inlineStr">
        <is>
          <t>Marteau R'ture; Amulette du Cœur Saignant; Anneau Volkorne; Chevalière du Roi Joueur; Quatre-feuilles; Ceinture Volkorne; Couronne du Roi Joueur; Cape du Cœur Saignant; Bottes du Cœur Saignant; Dofus Turquoise; Dofus Ocre; Dofus Nébuleux; Dofus Vulbis; Dofus Pourpre; Forcené majeur; Volkorne Turquoise et Pourpre</t>
        </is>
      </c>
    </row>
    <row r="3911">
      <c r="A3911" t="inlineStr">
        <is>
          <t>Ecaflip M 200</t>
        </is>
      </c>
      <c r="B3911">
        <f>HYPERLINK("https://www.dofusbook.net/fr/equipement/3646873-ecaflip-m-200/objets", "link")</f>
        <v/>
      </c>
      <c r="C3911" t="n">
        <v>55</v>
      </c>
      <c r="D3911" t="inlineStr">
        <is>
          <t>Sceptre du Roi Joueur; Amulette du Strigide; Alliance Gloursonne; Bague Trithon; Bouclier du Stalak; Pagne du Rykaon; Capuche de l'Œil Attentif; Cape de l'Œil Attentif; Pataugastrique; Dofus Pourpre; Dofus Ivoire; Dofus Ocre; Chanceux majeur; Carapace Feu majeur; Évasif majeur; Muldo Ebène et Ivoire</t>
        </is>
      </c>
    </row>
    <row r="3912">
      <c r="A3912" t="inlineStr">
        <is>
          <t>Pandawa M 200</t>
        </is>
      </c>
      <c r="B3912">
        <f>HYPERLINK("https://www.dofusbook.net/fr/equipement/3646108-pandawa-m-200/objets", "link")</f>
        <v/>
      </c>
      <c r="C3912" t="n">
        <v>50</v>
      </c>
      <c r="D3912" t="inlineStr">
        <is>
          <t>Arc Hétype; Amulette Volkorne; Anneauræus; Anneauræus; Écorce de Brouce; Protopagne; Heaume Oplate; Capchalot; Chaussures Ardentes; Dofus Ivoire; Dofus Abyssal; Évasif majeur; Miraculé majeur; Érudit majeur; Imprenable majeur; Dragodinde Ivoire et Orchidée</t>
        </is>
      </c>
    </row>
    <row r="3913">
      <c r="A3913" t="inlineStr">
        <is>
          <t>Ecaflip F 200</t>
        </is>
      </c>
      <c r="B3913">
        <f>HYPERLINK("https://www.dofusbook.net/fr/equipement/3637143-ecaflip-f-200/objets", "link")</f>
        <v/>
      </c>
      <c r="C3913" t="n">
        <v>1</v>
      </c>
      <c r="D3913" t="inlineStr">
        <is>
          <t>Collier de la Dame du Hasard; Anneau Volkorne; Ceinture Volkorne; Cape de la Dame du Hasard; Pataugastrique</t>
        </is>
      </c>
    </row>
    <row r="3914">
      <c r="A3914" t="inlineStr">
        <is>
          <t>Iop M 200</t>
        </is>
      </c>
      <c r="B3914">
        <f>HYPERLINK("https://www.dofusbook.net/fr/equipement/3594762-iop-m-200/objets", "link")</f>
        <v/>
      </c>
      <c r="C3914" t="n">
        <v>53</v>
      </c>
      <c r="D3914" t="inlineStr">
        <is>
          <t>Dagues Érhy; Amulette Volkorne; Anneau Rifique; Alliance Brûlâme; Bouclier du Stalak; Menoture; Casque Volkorne; Cape Martegel; Bottes de l'Indicible; Dofus Nébuleux; Dofus Pourpre; Dofus Vulbis; Dofus Ocre; Dofus Ivoire; Dofus des Glaces; Dragodinde Ebène et Ivoire</t>
        </is>
      </c>
    </row>
    <row r="3915">
      <c r="A3915" t="inlineStr">
        <is>
          <t>Pandawa M 200</t>
        </is>
      </c>
      <c r="B3915">
        <f>HYPERLINK("https://www.dofusbook.net/fr/equipement/3582140-pandawa-m-200/objets", "link")</f>
        <v/>
      </c>
      <c r="C3915" t="n">
        <v>26</v>
      </c>
      <c r="D3915" t="inlineStr">
        <is>
          <t>Arc Hétype; Pendentif affamé; Anneauræus; Anneau Tique; Bouclier du Stalak; Sangle Aise; Masque d'Anerice; Cape d'Anerice; Bottes Innommables; Dofus Ocre; Dofus Abyssal; Dofus Ivoire; Dofus Vulbis; Miraculé majeur; Érudit majeur; Dragodinde Orchidée</t>
        </is>
      </c>
    </row>
    <row r="3916">
      <c r="A3916" t="inlineStr">
        <is>
          <t>Féca M 200</t>
        </is>
      </c>
      <c r="B3916">
        <f>HYPERLINK("https://www.dofusbook.net/fr/equipement/3578402-feca-m-200/objets", "link")</f>
        <v/>
      </c>
      <c r="C3916" t="n">
        <v>2</v>
      </c>
      <c r="D3916" t="inlineStr">
        <is>
          <t>Anneau Volkorne; Casque Volkorne</t>
        </is>
      </c>
    </row>
    <row r="3917">
      <c r="A3917" t="inlineStr">
        <is>
          <t>fulldopou</t>
        </is>
      </c>
      <c r="B3917">
        <f>HYPERLINK("https://www.dofusbook.net/fr/equipement/3051122-fulldopou/objets", "link")</f>
        <v/>
      </c>
      <c r="C3917" t="n">
        <v>38</v>
      </c>
      <c r="D3917" t="inlineStr">
        <is>
          <t>Sabres d'Atcham; Amulette Volkorne; Bague Gloursonne; Alliance Gloursonne; Bouclier du Stalak; Ceinture Volkorne; Némès de Tal Kasha; Chevelure de Tal Kasha; Sandales  d'Atcham; Dofus Vulbis; Dofus Ivoire; Dofus Ocre; Dofus Pourpre; Dofus des Glaces; Robuste majeur; Volkorne Indigo et Ebène</t>
        </is>
      </c>
    </row>
    <row r="3918">
      <c r="A3918" t="inlineStr">
        <is>
          <t>Pandawa M 200</t>
        </is>
      </c>
      <c r="B3918">
        <f>HYPERLINK("https://www.dofusbook.net/fr/equipement/3475818-pandawa-m-200/objets", "link")</f>
        <v/>
      </c>
      <c r="C3918" t="n">
        <v>37</v>
      </c>
      <c r="D3918" t="inlineStr">
        <is>
          <t>Arc Hétype; Amulette Volkorne; Anneau Volkorne; Anneauræus; Bouclier du Stalak; Protopagne; Casque Dragoeuf; Cape de Diondin; Bottes Innommables; Dofus Pourpre; Dofus Ocre; Dofus Abyssal; Dofus Ivoire; Érudit majeur; Miraculé majeur; Dragodinde Orchidée</t>
        </is>
      </c>
    </row>
    <row r="3919">
      <c r="A3919" t="inlineStr">
        <is>
          <t>Ecaflip M 200</t>
        </is>
      </c>
      <c r="B3919">
        <f>HYPERLINK("https://www.dofusbook.net/fr/equipement/3511766-ecaflip-m-200/objets", "link")</f>
        <v/>
      </c>
      <c r="C3919" t="n">
        <v>46</v>
      </c>
      <c r="D3919" t="inlineStr">
        <is>
          <t>Bêche Asse; Amulette du Cœur Saignant; Anneau Volkorne; Bague Trithon; Bouclier du Stalak; Ceinture Volkorne; Masque Trithon; Cape du Cœur Saignant; Bottes du Cœur Saignant; Dofus Abyssal; Dofus Pourpre; Dofus Vulbis; Dofus Ocre; Dofus Turquoise; Dofus Ivoire; Volkorne Améthyste</t>
        </is>
      </c>
    </row>
    <row r="3920">
      <c r="A3920" t="inlineStr">
        <is>
          <t>Sadida M 200</t>
        </is>
      </c>
      <c r="B3920">
        <f>HYPERLINK("https://www.dofusbook.net/fr/equipement/3507991-sadida-m-200/objets", "link")</f>
        <v/>
      </c>
      <c r="C3920" t="n">
        <v>43</v>
      </c>
      <c r="D3920" t="inlineStr">
        <is>
          <t>Arc Honte; Amulette Volkorne; Anneau Volkorne; Alliance Brûlâme; Bouclier cubiste; Ceinture de l'Esprit Salvateur; Masque de l'Esprit Salvateur; Cape de l'Œil Putride; Bottes de l'Esprit Salvateur; Dofus Pourpre; Dofus Ivoire; Dolmanax; Dofus des Glaces; Dofus Vulbis; Dofus Ocre</t>
        </is>
      </c>
    </row>
    <row r="3921">
      <c r="A3921" t="inlineStr">
        <is>
          <t>Crâ M 200</t>
        </is>
      </c>
      <c r="B3921">
        <f>HYPERLINK("https://www.dofusbook.net/fr/equipement/3470827-cra-m-200/objets", "link")</f>
        <v/>
      </c>
      <c r="C3921" t="n">
        <v>37</v>
      </c>
      <c r="D3921" t="inlineStr">
        <is>
          <t>Arc du Chalœil; Amulette du Cœur Saignant; Anneau du Comte Harebourg; Anneau Volkorne; Quatre-feuilles; Ceinture Volkorne; Coiffe du Comte Harebourg; Cape du Cœur Saignant; Bottes du Cœur Saignant; Dofus Pourpre; Dofus Nébuleux; Dofus Turquoise; Dofus Vulbis; Dofus Ocre; Forcené majeur; Dragodinde Ivoire et Pourpre</t>
        </is>
      </c>
    </row>
    <row r="3922">
      <c r="A3922" t="inlineStr">
        <is>
          <t>Féca M 200</t>
        </is>
      </c>
      <c r="B3922">
        <f>HYPERLINK("https://www.dofusbook.net/fr/equipement/3470781-feca-m-200/objets", "link")</f>
        <v/>
      </c>
      <c r="C3922" t="n">
        <v>29</v>
      </c>
      <c r="D3922" t="inlineStr">
        <is>
          <t>Sceptre du Roi Joueur; Amulette de Shokkoth; Alliance Gloursonne; Anneau Volkorne; Quatre-feuilles; Ceinture Volkorne; Coiffe de Danathor; Dofusteuse; Pataugastrique; Dofus Pourpre; Dofus Nébuleux; Nomade; Chanceux majeur; Remueur; Taquin majeur; Dragodinde Indigo et Ivoire</t>
        </is>
      </c>
    </row>
    <row r="3923">
      <c r="A3923" t="inlineStr">
        <is>
          <t>jbzz</t>
        </is>
      </c>
      <c r="B3923">
        <f>HYPERLINK("https://www.dofusbook.net/fr/equipement/2035269-jbzz/objets", "link")</f>
        <v/>
      </c>
      <c r="C3923" t="n">
        <v>30</v>
      </c>
      <c r="D3923" t="inlineStr">
        <is>
          <t>Marteau des Anciens Steamers; Amulette d'Ilyzaelle; Alliance Gloursonne; Anneau Volkorne; Bouclier d'Ilyzaelle; Ceinture de la Reine des Voleurs; Casque Volkorne; Cape d'Hel Munster; Bottes de la Reine des Voleurs; Dofus Émeraude; Dofus des Glaces; Dofus Pourpre; Dofus Abyssal; Dofus Ocre; Dofus Ivoire</t>
        </is>
      </c>
    </row>
    <row r="3924">
      <c r="A3924" t="inlineStr">
        <is>
          <t>Eliotrope M 200</t>
        </is>
      </c>
      <c r="B3924">
        <f>HYPERLINK("https://www.dofusbook.net/fr/equipement/3444167-eliotrope-m-200/objets", "link")</f>
        <v/>
      </c>
      <c r="C3924" t="n">
        <v>3</v>
      </c>
      <c r="D3924" t="inlineStr">
        <is>
          <t>Collier du Valet Veinard; Alliance Gloursonne; Gant du Valet Veinard; Casque Dragoeuf; Volkorne Améthyste et Ebène</t>
        </is>
      </c>
    </row>
    <row r="3925">
      <c r="A3925" t="inlineStr">
        <is>
          <t>Sacrieur M 200</t>
        </is>
      </c>
      <c r="B3925">
        <f>HYPERLINK("https://www.dofusbook.net/fr/equipement/3444130-sacrieur-m-200/objets", "link")</f>
        <v/>
      </c>
      <c r="C3925" t="n">
        <v>13</v>
      </c>
      <c r="D3925" t="inlineStr">
        <is>
          <t>Hache du Chalœil; Amulette du Strigide; Alliance Gloursonne; Anneau Volkorne; Quatre-feuilles; Ceinture Volkorne; Casque Volkorne; Voile d'encre; Bottes du Strigide; Dofus Pourpre; Dofus des Glaces; Dofus Turquoise; Dofus Vulbis; Dofus Ivoire; Dofus Ocre</t>
        </is>
      </c>
    </row>
    <row r="3926">
      <c r="A3926" t="inlineStr">
        <is>
          <t>Eliotrope M 200</t>
        </is>
      </c>
      <c r="B3926">
        <f>HYPERLINK("https://www.dofusbook.net/fr/equipement/3444118-eliotrope-m-200/objets", "link")</f>
        <v/>
      </c>
      <c r="C3926" t="n">
        <v>3</v>
      </c>
      <c r="D3926" t="inlineStr">
        <is>
          <t>Collier du Valet Veinard; Gant du Valet Veinard; Sangle Oriole; Casque Volkorne; Cape du Valet Veinard</t>
        </is>
      </c>
    </row>
    <row r="3927">
      <c r="A3927" t="inlineStr">
        <is>
          <t>Baboum</t>
        </is>
      </c>
      <c r="B3927">
        <f>HYPERLINK("https://www.dofusbook.net/fr/equipement/984509-baboum/objets", "link")</f>
        <v/>
      </c>
      <c r="C3927" t="n">
        <v>23</v>
      </c>
      <c r="D3927" t="inlineStr">
        <is>
          <t>Sceptre du Roi Joueur; Amulette de l'Œil Attentif; Anneau Kturne; Alliance Gloursonne; Cadran d'Air; Ceinture de la Reine des Voleurs; Capuche de l'Œil Attentif; Cape de l'Œil Attentif; Bottes de la Reine des Voleurs; Dofus Ivoire; Dofus des Glaces; Dofus Forgelave; Dofus Pourpre; Dofus Abyssal; Dofus Ocre; Muldo Ebène et Pourpre</t>
        </is>
      </c>
    </row>
    <row r="3928">
      <c r="A3928" t="inlineStr">
        <is>
          <t>Stuff 1</t>
        </is>
      </c>
      <c r="B3928">
        <f>HYPERLINK("https://www.dofusbook.net/fr/equipement/103488-stuff-1/objets", "link")</f>
        <v/>
      </c>
      <c r="C3928" t="n">
        <v>45</v>
      </c>
      <c r="D3928" t="inlineStr">
        <is>
          <t>Arc corrompu; Amulette Séculaire; Anneauræus; Anneauræus; Bouclier du Stalak; Ceinture Séculaire; Heaume Oplate; Voile d'encre; Bottes Innommables; Dofus Abyssal; Dofus Forgelave; Dofus Ivoire; Dofus Turquoise; Érudit majeur; Remueur; Muldo Pourpre</t>
        </is>
      </c>
    </row>
    <row r="3929">
      <c r="A3929" t="inlineStr">
        <is>
          <t>Stuff 1</t>
        </is>
      </c>
      <c r="B3929">
        <f>HYPERLINK("https://www.dofusbook.net/fr/equipement/103474-stuff-1/objets", "link")</f>
        <v/>
      </c>
      <c r="C3929" t="n">
        <v>5</v>
      </c>
      <c r="D3929" t="inlineStr"/>
    </row>
    <row r="3930">
      <c r="A3930" t="inlineStr">
        <is>
          <t>Stuff 3</t>
        </is>
      </c>
      <c r="B3930">
        <f>HYPERLINK("https://www.dofusbook.net/fr/equipement/103513-stuff-3/objets", "link")</f>
        <v/>
      </c>
      <c r="C3930" t="n">
        <v>42</v>
      </c>
      <c r="D3930" t="inlineStr">
        <is>
          <t>Arc du Chalœil; Amulette du Strigide; Bague Gloursonne; Bague Trithon; Quatre-feuilles; Ceinture du Strigide; Masque Trithon; Voile d'encre; Bottistik; Dofus Abyssal; Dofus Turquoise; Dofus Ivoire; Dofus Ocre; Dofus Pourpre; Imprenable majeur; Muldo Pourpre</t>
        </is>
      </c>
    </row>
    <row r="3931">
      <c r="A3931" t="inlineStr">
        <is>
          <t>pppp</t>
        </is>
      </c>
      <c r="B3931">
        <f>HYPERLINK("https://www.dofusbook.net/fr/equipement/3239237-pppp/objets", "link")</f>
        <v/>
      </c>
      <c r="C3931" t="n">
        <v>18</v>
      </c>
      <c r="D3931" t="inlineStr">
        <is>
          <t>Bâtonnet Ronien; Amulette d'Ilyzaelle; Gant du Valet Veinard; Alliance Gloursonne; Bouclier du Stalak; Ceinture du Barbétoal; Casque d'Ilyzaelle; Cape de l'Œil Putride; Bottes de l'Esprit Salvateur; Dofus des Glaces; Dofus Pourpre; Dofus Abyssal; Dofus Ocre; Dofus Ivoire; Remueur; Muldo Indigo</t>
        </is>
      </c>
    </row>
    <row r="3932">
      <c r="A3932" t="inlineStr">
        <is>
          <t>FEUO</t>
        </is>
      </c>
      <c r="B3932">
        <f>HYPERLINK("https://www.dofusbook.net/fr/equipement/2140186-feuo/objets", "link")</f>
        <v/>
      </c>
      <c r="C3932" t="n">
        <v>16</v>
      </c>
      <c r="D3932" t="inlineStr">
        <is>
          <t>Arc Honte; Talisman Igans; Bracelet des Fonds marins; Alliance Gloursonne; Bouclier du Stalak; Sangle Ouare; Casqnoar; Cape Solution; Bottes Owesli; Dofus des Glaces; Dolmanax; Dofus Pourpre; Miraculé majeur; Remueur</t>
        </is>
      </c>
    </row>
    <row r="3933">
      <c r="A3933" t="inlineStr">
        <is>
          <t>Stuff 1</t>
        </is>
      </c>
      <c r="B3933">
        <f>HYPERLINK("https://www.dofusbook.net/fr/equipement/103477-stuff-1/objets", "link")</f>
        <v/>
      </c>
      <c r="C3933" t="n">
        <v>14</v>
      </c>
      <c r="D3933" t="inlineStr">
        <is>
          <t>Sceptre du Roi Joueur; Amulette de Shokkoth; Alliance Gloursonne; Pikano; Quatre-feuilles; Pagne du Rykaon; Masque des Fonds marins; Cape Solution; Sandales des Fonds marins; Dofus Abyssal; Dofus Ivoire; Dofus Pourpre; Dofus Turquoise; Chanceux majeur; Remueur; Muldo Ebène et Orchidée</t>
        </is>
      </c>
    </row>
    <row r="3934">
      <c r="A3934" t="inlineStr">
        <is>
          <t>jbzz v2</t>
        </is>
      </c>
      <c r="B3934">
        <f>HYPERLINK("https://www.dofusbook.net/fr/equipement/3124522-jbzz-v2/objets", "link")</f>
        <v/>
      </c>
      <c r="C3934" t="n">
        <v>9</v>
      </c>
      <c r="D3934" t="inlineStr">
        <is>
          <t>Baguette de Malléfisk; Amulette de Nileza; Anneauræus; Anneau Tique; Carapar; Ceinture de Vortex; Heaume Oplate; Cape de Nileza; Chaussures Ardentes; Dofus Émeraude; Dofus Abyssal; Dofus Ivoire; Remueur; Miraculé majeur; Muldo Pourpre</t>
        </is>
      </c>
    </row>
    <row r="3935">
      <c r="A3935" t="inlineStr">
        <is>
          <t>Stuff 2</t>
        </is>
      </c>
      <c r="B3935">
        <f>HYPERLINK("https://www.dofusbook.net/fr/equipement/103538-stuff-2/objets", "link")</f>
        <v/>
      </c>
      <c r="C3935" t="n">
        <v>9</v>
      </c>
      <c r="D3935" t="inlineStr">
        <is>
          <t>Baguette Héroclite; Talisman Glouti; Bracelet des Fonds marins; Alliance Gloursonne; Bouclier du Stalak; Culotte de Bethel; Kidibonnet; Cape du Sinistrofu; Bottes du Sinistrofu; Dofus Forgelave; Dofus Abyssal; Dofus Ivoire; Chanceux majeur; Solide majeur; Remueur; Muldo Pourpre</t>
        </is>
      </c>
    </row>
    <row r="3936">
      <c r="A3936" t="inlineStr">
        <is>
          <t>ooo</t>
        </is>
      </c>
      <c r="B3936">
        <f>HYPERLINK("https://www.dofusbook.net/fr/equipement/3107844-ooo/objets", "link")</f>
        <v/>
      </c>
      <c r="C3936" t="n">
        <v>1</v>
      </c>
      <c r="D3936" t="inlineStr"/>
    </row>
    <row r="3937">
      <c r="A3937" t="inlineStr">
        <is>
          <t>Stuff 1</t>
        </is>
      </c>
      <c r="B3937">
        <f>HYPERLINK("https://www.dofusbook.net/fr/equipement/103511-stuff-1/objets", "link")</f>
        <v/>
      </c>
      <c r="C3937" t="n">
        <v>19</v>
      </c>
      <c r="D3937" t="inlineStr">
        <is>
          <t>Arc du Chalœil; Torquistik; Bague Instable; Bague Trithon; Bouclier précieux; Ceinture Gence; Casque Dragoeuf; Cape du Cœur Vaillant; Bottistik; Dofus Émeraude; Dofus Ivoire; Culbuteur majeur; Culbuteur; Remueur; Bousculeur majeur; Muldo Pourpre</t>
        </is>
      </c>
    </row>
    <row r="3938">
      <c r="A3938" t="inlineStr">
        <is>
          <t>Stuff 3</t>
        </is>
      </c>
      <c r="B3938">
        <f>HYPERLINK("https://www.dofusbook.net/fr/equipement/103504-stuff-3/objets", "link")</f>
        <v/>
      </c>
      <c r="C3938" t="n">
        <v>11</v>
      </c>
      <c r="D3938" t="inlineStr">
        <is>
          <t>Dagues Érhy; Collier Rophante; Gant du Valet Veinard; Alliance Gloursonne; Cadran de Feu; Menoture; Casque Dragoeuf; Cape du Valet Veinard; Palmes Trithons; Dofus Ivoire; Dofus des Glaces; Dofus Abyssal; Remueur; Miraculé majeur; Cascadeur majeur; El Scarador</t>
        </is>
      </c>
    </row>
    <row r="3939">
      <c r="A3939" t="inlineStr">
        <is>
          <t>test 3</t>
        </is>
      </c>
      <c r="B3939">
        <f>HYPERLINK("https://www.dofusbook.net/fr/equipement/2036518-test-3/objets", "link")</f>
        <v/>
      </c>
      <c r="C3939" t="n">
        <v>15</v>
      </c>
      <c r="D3939" t="inlineStr">
        <is>
          <t>Arc Honte; Pendentif mignon de Koutoulou; Anneau Tique; Anneau de Nidas; Bouclier du Stalak; Ceinture de Vortex; Casque Cyclopéen; Cape de l'Œil Putride; Pataugastrique; Dofus Ivoire; Dofus Pourpre; Dofus des Glaces; Dofus Abyssal; Remueur; Miraculé majeur; Muldo Pourpre</t>
        </is>
      </c>
    </row>
    <row r="3940">
      <c r="A3940" t="inlineStr">
        <is>
          <t>Stuff 1</t>
        </is>
      </c>
      <c r="B3940">
        <f>HYPERLINK("https://www.dofusbook.net/fr/equipement/103526-stuff-1/objets", "link")</f>
        <v/>
      </c>
      <c r="C3940" t="n">
        <v>10</v>
      </c>
      <c r="D3940" t="inlineStr">
        <is>
          <t>Sceptre du Roi Joueur; Amulette de l'Œil Attentif; Bracelet des Fonds marins; Alliance Gloursonne; Bouclier du Stalak; Ceinture de la Reine des Voleurs; Capuche de l'Œil Attentif; Cape de l'Œil Attentif; Bottes de la Reine des Voleurs; Dofus Pourpre; Dofus Abyssal; Dofus Ocre; Dofus Ivoire; Dofus Émeraude; Dofus des Glaces; Muldo Ebène et Pourpre</t>
        </is>
      </c>
    </row>
    <row r="3941">
      <c r="A3941" t="inlineStr">
        <is>
          <t>tayst</t>
        </is>
      </c>
      <c r="B3941">
        <f>HYPERLINK("https://www.dofusbook.net/fr/equipement/1565272-tayst/objets", "link")</f>
        <v/>
      </c>
      <c r="C3941" t="n">
        <v>17</v>
      </c>
      <c r="D3941" t="inlineStr">
        <is>
          <t>Baguette de Malléfisk; Collier Rophante; Anneauræus; Anneau de Nidas; Carapar; Ceinture de Vortex; Couronne de Nidas; Cape de Nileza; Chaussures Ardentes; Dofus Ocre; Dofus Ivoire; Miraculé majeur; Érudit majeur; Évasif majeur; Remueur; El Scarador</t>
        </is>
      </c>
    </row>
    <row r="3942">
      <c r="A3942" t="inlineStr">
        <is>
          <t>Hoya</t>
        </is>
      </c>
      <c r="B3942">
        <f>HYPERLINK("https://www.dofusbook.net/fr/equipement/3088976-hoya/objets", "link")</f>
        <v/>
      </c>
      <c r="C3942" t="n">
        <v>16</v>
      </c>
      <c r="D3942" t="inlineStr">
        <is>
          <t>Arc corrompu; Pendentif mignon de Koutoulou; Anneauræus; Anneauræus; Cadran d'Air; Ceinture de Vortex; Casque Cyclopéen; Voile d'encre; Bottes Innommables; Dofus Ivoire; Dofus Ocre; Dofus Abyssal; Remueur; Miraculé majeur; Érudit majeur; Muldo Pourpre</t>
        </is>
      </c>
    </row>
    <row r="3943">
      <c r="A3943" t="inlineStr">
        <is>
          <t>ololo</t>
        </is>
      </c>
      <c r="B3943">
        <f>HYPERLINK("https://www.dofusbook.net/fr/equipement/3044525-ololo/objets", "link")</f>
        <v/>
      </c>
      <c r="C3943" t="n">
        <v>23</v>
      </c>
      <c r="D3943" t="inlineStr">
        <is>
          <t>Lav'Hache; Collier Rophante; Anneau Crustique; Anneau Crustique; Bouclier du Mont Kipou; Menoture; Masque d'Anerice; Cape d'Anerice; Chaussures Ardentes; Dofus Abyssal; Dofus Ivoire; Dofus Émeraude; Remueur; Paralyseur majeur; Étourdisseur majeur; Bontique</t>
        </is>
      </c>
    </row>
    <row r="3944">
      <c r="A3944" t="inlineStr">
        <is>
          <t>Stuff 2</t>
        </is>
      </c>
      <c r="B3944">
        <f>HYPERLINK("https://www.dofusbook.net/fr/equipement/103525-stuff-2/objets", "link")</f>
        <v/>
      </c>
      <c r="C3944" t="n">
        <v>21</v>
      </c>
      <c r="D3944" t="inlineStr">
        <is>
          <t>Arc Honte; Amulette de l'Œil Putride; Alliance Gloursonne; Anneau Tique; Bouclier cubiste; Ceinture de l'Esprit Salvateur; Masque de l'Esprit Salvateur; Cape de l'Œil Putride; Bottes de l'Esprit Salvateur; Dofus Ocre; Dofus Émeraude; Dolmanax; Dofus des Glaces; Dofus Pourpre; Dofus Abyssal; Muldo Ebène et Pourpre</t>
        </is>
      </c>
    </row>
    <row r="3945">
      <c r="A3945" t="inlineStr">
        <is>
          <t>sadilol</t>
        </is>
      </c>
      <c r="B3945">
        <f>HYPERLINK("https://www.dofusbook.net/fr/equipement/2892475-sadilol/objets", "link")</f>
        <v/>
      </c>
      <c r="C3945" t="n">
        <v>14</v>
      </c>
      <c r="D3945" t="inlineStr">
        <is>
          <t>Arc Honte; Amulette de l'Œil Putride; Anneau de Nidas; Anneau Tique; Bouclier cubiste; Ceinture de l'Esprit Salvateur; Masque de l'Esprit Salvateur; Cape de l'Œil Putride; Bottes de l'Esprit Salvateur; Dofus des Glaces; Dofus Ocre; Dofus Vulbis; Dofus Abyssal; Dofus Pourpre; Dofus Ivoire; Dragodinde en armure</t>
        </is>
      </c>
    </row>
    <row r="3946">
      <c r="A3946" t="inlineStr">
        <is>
          <t>dopoumulti</t>
        </is>
      </c>
      <c r="B3946">
        <f>HYPERLINK("https://www.dofusbook.net/fr/equipement/3041526-dopoumulti/objets", "link")</f>
        <v/>
      </c>
      <c r="C3946" t="n">
        <v>4</v>
      </c>
      <c r="D3946" t="inlineStr">
        <is>
          <t>Amulette du Cœur Saignant; Bague Trithon; Ceinture Gence; Masque Trithon; Cape du Cœur Saignant; Bottes Trithon</t>
        </is>
      </c>
    </row>
    <row r="3947">
      <c r="A3947" t="inlineStr">
        <is>
          <t>OSOS XD</t>
        </is>
      </c>
      <c r="B3947">
        <f>HYPERLINK("https://www.dofusbook.net/fr/equipement/2068007-osos-xd/objets", "link")</f>
        <v/>
      </c>
      <c r="C3947" t="n">
        <v>13</v>
      </c>
      <c r="D3947" t="inlineStr">
        <is>
          <t>Sceptre du Roi Joueur; Amulette de Shokkoth; Alliance Gloursonne; Lavanneau; Cadran d'Air; Ceinture de la Reine des Voleurs; Kidibonnet; Cape de Mantaze; Bottes de la Reine des Voleurs; Dofus des Glaces; Dofus Abyssal; Dofus Ivoire; Dévastateur Eau majeur; Chanceux majeur; Remueur; Muldo Indigo</t>
        </is>
      </c>
    </row>
    <row r="3948">
      <c r="A3948" t="inlineStr">
        <is>
          <t>Boum</t>
        </is>
      </c>
      <c r="B3948">
        <f>HYPERLINK("https://www.dofusbook.net/fr/equipement/2067751-boum/objets", "link")</f>
        <v/>
      </c>
      <c r="C3948" t="n">
        <v>10</v>
      </c>
      <c r="D3948" t="inlineStr">
        <is>
          <t>Baguette Héroclite; Amulette d'Ilyzaelle; Bracelet des Fonds marins; Alliance Gloursonne; Cadran d'Air; Ceinture de la Reine des Voleurs; Casque d'Ilyzaelle; Cape Solution; Bottes de la Reine des Voleurs; Dofus Pourpre; Dofus Abyssal; Dofus Ocre; Dofus Ivoire; Dolmanax; Dofus des Glaces; Muldo Ebène</t>
        </is>
      </c>
    </row>
    <row r="3949">
      <c r="A3949" t="inlineStr">
        <is>
          <t>Stuff 2</t>
        </is>
      </c>
      <c r="B3949">
        <f>HYPERLINK("https://www.dofusbook.net/fr/equipement/103542-stuff-2/objets", "link")</f>
        <v/>
      </c>
      <c r="C3949" t="n">
        <v>10</v>
      </c>
      <c r="D3949" t="inlineStr">
        <is>
          <t>Lav'Hache; Amulette du Strigide; Bague Trithon; Anneau Chevelu; Bouclier précieux; Ceinture Gence; Casque Dragoeuf; Cape du Cœur Vaillant; Bottes Trithon; Dofus Abyssal; Dofus Ivoire; Miraculé majeur; Remueur; Bousculeur majeur; Culbuteur majeur; Muldo Ebène et Pourpre</t>
        </is>
      </c>
    </row>
    <row r="3950">
      <c r="A3950" t="inlineStr">
        <is>
          <t>testtrois</t>
        </is>
      </c>
      <c r="B3950">
        <f>HYPERLINK("https://www.dofusbook.net/fr/equipement/2599966-testtrois/objets", "link")</f>
        <v/>
      </c>
      <c r="C3950" t="n">
        <v>12</v>
      </c>
      <c r="D3950" t="inlineStr">
        <is>
          <t>Sceptre du Roi Joueur; Amulette Voldelor; Alliance Gloursonne; Bague Trithon; Bouclier du Stalak; Sangle Ouare; Némès de Tal Kasha; Chevelure de Tal Kasha; Pataugastrique; Dofus Abyssal; Dofus Pourpre; Dofus Ivoire; Dofus Turquoise; Remueur; Chanceux majeur; Dragodinde en armure</t>
        </is>
      </c>
    </row>
    <row r="3951">
      <c r="A3951" t="inlineStr">
        <is>
          <t>répou</t>
        </is>
      </c>
      <c r="B3951">
        <f>HYPERLINK("https://www.dofusbook.net/fr/equipement/3020549-repou/objets", "link")</f>
        <v/>
      </c>
      <c r="C3951" t="n">
        <v>23</v>
      </c>
      <c r="D3951" t="inlineStr">
        <is>
          <t>Baguette Héroclite; Talisman Glouti; Lavanneau; Anneau Tique; Bouclier de Solar; Sangle Ouare; Heaume Oplate; Cape Solution; Chaussures Ardentes; Dofus des Glaces; Dofus Abyssal; Dofus Pourpre; Dofus Forgelave; Solide majeur; Inflexible majeur; Kramkram</t>
        </is>
      </c>
    </row>
    <row r="3952">
      <c r="A3952" t="inlineStr">
        <is>
          <t>ololo</t>
        </is>
      </c>
      <c r="B3952">
        <f>HYPERLINK("https://www.dofusbook.net/fr/equipement/2977055-ololo/objets", "link")</f>
        <v/>
      </c>
      <c r="C3952" t="n">
        <v>28</v>
      </c>
      <c r="D3952" t="inlineStr">
        <is>
          <t>Marteau R'ture; Amulette du Cœur Saignant; Bague Gloursonne; Anneau de Brouce; Bouclier d'Ilyzaelle; Ceinture de Brouce; Masque de Koutoulou; Cape du Cœur Saignant; Bottes de Brouce; Dofus Pourpre; Dofus des Glaces; Dofus Turquoise; Dofus Abyssal; Dofus Émeraude; Dofus Ivoire; Muldo Pourpre</t>
        </is>
      </c>
    </row>
    <row r="3953">
      <c r="A3953" t="inlineStr">
        <is>
          <t>Stuff 3</t>
        </is>
      </c>
      <c r="B3953">
        <f>HYPERLINK("https://www.dofusbook.net/fr/equipement/103507-stuff-3/objets", "link")</f>
        <v/>
      </c>
      <c r="C3953" t="n">
        <v>15</v>
      </c>
      <c r="D3953" t="inlineStr">
        <is>
          <t>Baguette de Malléfisk; Amulette de Nileza; Anneau Tique; Anneauræus; Bouclier du Stalak; Ceinture de Vortex; Casque Cyclopéen; Cape de Nileza; Bottes Innommables; Dofus Abyssal; Dofus Ivoire; Dofus Ocre; Miraculé majeur; Remueur; Érudit majeur; Muldo Pourpre</t>
        </is>
      </c>
    </row>
    <row r="3954">
      <c r="A3954" t="inlineStr">
        <is>
          <t>Stuff 1</t>
        </is>
      </c>
      <c r="B3954">
        <f>HYPERLINK("https://www.dofusbook.net/fr/equipement/103471-stuff-1/objets", "link")</f>
        <v/>
      </c>
      <c r="C3954" t="n">
        <v>7</v>
      </c>
      <c r="D3954" t="inlineStr">
        <is>
          <t>Massier; Pendentif affamé; Anneauræus; Bague Gloursonne; Quatre-feuilles; Ceinture de Gein; Chapeau de Gein; Voile d'encre; Pompes Funèbres; Dofus Turquoise; Dofus Ivoire; Dofus Ocre; Dofus Pourpre; Dofus Abyssal; Remueur; Muldo Prune et Orchidée</t>
        </is>
      </c>
    </row>
    <row r="3955">
      <c r="A3955" t="inlineStr">
        <is>
          <t>Stuff 2</t>
        </is>
      </c>
      <c r="B3955">
        <f>HYPERLINK("https://www.dofusbook.net/fr/equipement/103469-stuff-2/objets", "link")</f>
        <v/>
      </c>
      <c r="C3955" t="n">
        <v>12</v>
      </c>
      <c r="D3955" t="inlineStr">
        <is>
          <t>Héqache; Amulette du Strigide; Anneau Crustique; Anneau Crustique; Bouclier Taverne; Ceinture Gence; Casque Dragoeuf; Cape au Logis; Bottes du Strigide; Dofus Turquoise; Dofus Abyssal; Dofus Pourpre; Dofus Ivoire; Enragé majeur; Remueur</t>
        </is>
      </c>
    </row>
    <row r="3956">
      <c r="A3956" t="inlineStr">
        <is>
          <t>Stuff 3</t>
        </is>
      </c>
      <c r="B3956">
        <f>HYPERLINK("https://www.dofusbook.net/fr/equipement/103501-stuff-3/objets", "link")</f>
        <v/>
      </c>
      <c r="C3956" t="n">
        <v>60</v>
      </c>
      <c r="D3956" t="inlineStr">
        <is>
          <t>Arc corrompu; Collier Rophante; Anneauræus; Anneauræus; Bouclier du Stalak; Ceinture de l'Esprit Malsain; Masque d'Anerice; Cape d'Anerice; Bottes Innommables; Dofus Abyssal; Dofus Ivoire; Dofus Ocre; Remueur; Miraculé majeur; Érudit majeur; Péki</t>
        </is>
      </c>
    </row>
    <row r="3957">
      <c r="A3957" t="inlineStr">
        <is>
          <t>plshalp</t>
        </is>
      </c>
      <c r="B3957">
        <f>HYPERLINK("https://www.dofusbook.net/fr/equipement/2519194-plshalp/objets", "link")</f>
        <v/>
      </c>
      <c r="C3957" t="n">
        <v>5</v>
      </c>
      <c r="D3957" t="inlineStr">
        <is>
          <t>Arc Honte; Pendentif affamé; Anneau Rifique; Bouclier du Stalak; Ceinture Séculaire; Casque Cyclopéen; Cape Ardente; Bottes Innommables; Dofus Ocre; Dofus Abyssal; Dofus Ivoire; Déserteur majeur; Cavaleur majeur; Remueur</t>
        </is>
      </c>
    </row>
    <row r="3958">
      <c r="A3958" t="inlineStr">
        <is>
          <t>Stuff 2</t>
        </is>
      </c>
      <c r="B3958">
        <f>HYPERLINK("https://www.dofusbook.net/fr/equipement/103481-stuff-2/objets", "link")</f>
        <v/>
      </c>
      <c r="C3958" t="n">
        <v>4</v>
      </c>
      <c r="D3958" t="inlineStr">
        <is>
          <t>Baguette Héroclite; Talisman Igans; Alliance Gloursonne; Pikano; Bouclier du Stalak; Sangle Ouare; Casque d'Ilyzaelle; Cape Solution; Bottes Owesli</t>
        </is>
      </c>
    </row>
    <row r="3959">
      <c r="A3959" t="inlineStr">
        <is>
          <t>Stuff 3</t>
        </is>
      </c>
      <c r="B3959">
        <f>HYPERLINK("https://www.dofusbook.net/fr/equipement/103490-stuff-3/objets", "link")</f>
        <v/>
      </c>
      <c r="C3959" t="n">
        <v>14</v>
      </c>
      <c r="D3959" t="inlineStr">
        <is>
          <t>Rapière aux Glyphes; Amulette de l'Œil Attentif; Anneau du Kaniblou; Alliance Gloursonne; Bouclier du Stalak; Culotte de Bethel; Masque de Funespadon; Cape du Sinistrofu; Pataugastrique; Dofus Abyssal; Dofus Ivoire; Déserteur majeur; Remueur; Chanceux majeur; Carapace Air majeur; Muldo Pourpre</t>
        </is>
      </c>
    </row>
    <row r="3960">
      <c r="A3960" t="inlineStr">
        <is>
          <t>tryyyyy</t>
        </is>
      </c>
      <c r="B3960">
        <f>HYPERLINK("https://www.dofusbook.net/fr/equipement/2539341-tryyyyy/objets", "link")</f>
        <v/>
      </c>
      <c r="C3960" t="n">
        <v>3</v>
      </c>
      <c r="D3960" t="inlineStr">
        <is>
          <t>Lance Horselé; Amibou; Alliance Gloursonne; Alliance Brûlâme; Cadran d'Air; Menoture; Casque Dragoeuf; Capibou; Palmes Trithons; Dofus Abyssal; Dofus Ivoire; Remueur; Cascadeur majeur; Miraculé majeur; Temporiseur majeur; Muldo Ebène et Pourpre</t>
        </is>
      </c>
    </row>
    <row r="3961">
      <c r="A3961" t="inlineStr">
        <is>
          <t>popopop</t>
        </is>
      </c>
      <c r="B3961">
        <f>HYPERLINK("https://www.dofusbook.net/fr/equipement/1310404-popopop/objets", "link")</f>
        <v/>
      </c>
      <c r="C3961" t="n">
        <v>12</v>
      </c>
      <c r="D3961" t="inlineStr">
        <is>
          <t>Lav'Hache; Collier Rophante; Bague Trithon; Alliance Gloursonne; Bouclier précieux; Ceinture Gence; Masque d'Anerice; Cape d'Anerice; Bottes Owesli; Dofus Émeraude; Dofus Ivoire; Bousculeur majeur; Culbuteur majeur; Miraculé majeur; Remueur; Péki</t>
        </is>
      </c>
    </row>
    <row r="3962">
      <c r="A3962" t="inlineStr">
        <is>
          <t>XDD</t>
        </is>
      </c>
      <c r="B3962">
        <f>HYPERLINK("https://www.dofusbook.net/fr/equipement/103891-xdd/objets", "link")</f>
        <v/>
      </c>
      <c r="C3962" t="n">
        <v>8</v>
      </c>
      <c r="D3962" t="inlineStr">
        <is>
          <t>Lav'Hache; Amulette du Kamasterisk; Bague Gloursonne; Pikano; Cadran de Feu; Ceinture Luminescente; Casque Dragoeuf; Cape du Kamasterisk; Chaussons de Macrab; Dofus Ivoire; Dofus Émeraude; Dofus Ocre; Enragé majeur; Remueur; Miraculé majeur; Muldo Pourpre</t>
        </is>
      </c>
    </row>
    <row r="3963">
      <c r="A3963" t="inlineStr">
        <is>
          <t>Nouvelvi</t>
        </is>
      </c>
      <c r="B3963">
        <f>HYPERLINK("https://www.dofusbook.net/fr/equipement/2513344-nouvelvi/objets", "link")</f>
        <v/>
      </c>
      <c r="C3963" t="n">
        <v>7</v>
      </c>
      <c r="D3963" t="inlineStr">
        <is>
          <t>Baguette de Malléfisk; Amulette de Nileza; Anneauræus; Anneau Bliteré; Cadran d'Air; Ceinture de Vortex; Casque Dragoeuf; Cape de Nileza; Bottes Innommables; Dofus Ivoire; Dofus Abyssal; Dofus Ocre; Remueur; Érudit majeur; Miraculé majeur; Muldo Indigo et Orchidée</t>
        </is>
      </c>
    </row>
    <row r="3964">
      <c r="A3964" t="inlineStr">
        <is>
          <t>skinXD</t>
        </is>
      </c>
      <c r="B3964">
        <f>HYPERLINK("https://www.dofusbook.net/fr/equipement/2789276-skinxd/objets", "link")</f>
        <v/>
      </c>
      <c r="C3964" t="n">
        <v>6</v>
      </c>
      <c r="D3964" t="inlineStr">
        <is>
          <t>Muldo Caméléon; Colorivant 10</t>
        </is>
      </c>
    </row>
    <row r="3965">
      <c r="A3965" t="inlineStr">
        <is>
          <t>healret</t>
        </is>
      </c>
      <c r="B3965">
        <f>HYPERLINK("https://www.dofusbook.net/fr/equipement/2757900-healret/objets", "link")</f>
        <v/>
      </c>
      <c r="C3965" t="n">
        <v>12</v>
      </c>
      <c r="D3965" t="inlineStr">
        <is>
          <t>Baguette de Malléfisk; Amulette de Nileza; Lavanneau; Anneauræus; Bouclier du Mont Kipou; Ceinture de Vortex; Masque Ardent; Cape d'Aermyne; Chaussures Ardentes; Dofus Abyssal; Dofus Ocre; Miraculé majeur; Remueur; Guérisseur majeur; Étourdisseur majeur; Muldo Orchidée et Pourpre</t>
        </is>
      </c>
    </row>
    <row r="3966">
      <c r="A3966" t="inlineStr">
        <is>
          <t>majtdn</t>
        </is>
      </c>
      <c r="B3966">
        <f>HYPERLINK("https://www.dofusbook.net/fr/equipement/2561045-majtdn/objets", "link")</f>
        <v/>
      </c>
      <c r="C3966" t="n">
        <v>10</v>
      </c>
      <c r="D3966" t="inlineStr">
        <is>
          <t>Lance corrompue; Collier de Tourthon; Anneau Toriété; Alliance Gloursonne; Bouclier du Stalak; Ceinture de la Reine des Voleurs; Coiffe de la Reine des Voleurs; Voile d'encre; Bottes du Cœur Vaillant; Dofus Pourpre; Dofus Ivoire; Dofus des Glaces; Dofus Ocre; Dofus Abyssal; Remueur; El Scarador</t>
        </is>
      </c>
    </row>
    <row r="3967">
      <c r="A3967" t="inlineStr">
        <is>
          <t>Stuff 2</t>
        </is>
      </c>
      <c r="B3967">
        <f>HYPERLINK("https://www.dofusbook.net/fr/equipement/103500-stuff-2/objets", "link")</f>
        <v/>
      </c>
      <c r="C3967" t="n">
        <v>10</v>
      </c>
      <c r="D3967" t="inlineStr">
        <is>
          <t>Arc corrompu; Pendentif mignon de Koutoulou; Anneauræus; Anneau Rifique; Bouclier du Stalak; Ceinture de Vortex; Heaume Oplate; Voile d'encre; Bottes Innommables; Dofus Ivoire; Dofus Abyssal; Miraculé majeur; Nomade; Érudit majeur; Remueur; El Scarador</t>
        </is>
      </c>
    </row>
    <row r="3968">
      <c r="A3968" t="inlineStr">
        <is>
          <t>yoloair</t>
        </is>
      </c>
      <c r="B3968">
        <f>HYPERLINK("https://www.dofusbook.net/fr/equipement/2632924-yoloair/objets", "link")</f>
        <v/>
      </c>
      <c r="C3968" t="n">
        <v>6</v>
      </c>
      <c r="D3968" t="inlineStr">
        <is>
          <t>Lav'Hache; Collier de Tourthon; Bague Gloursonne; Alliance Brûlâme; Bouclier du Stalak; Ceinture de la Reine des Voleurs; Coiffe de la Reine des Voleurs; Ankhape; Sabots Minables; Dofus Abyssal; Dofus des Glaces; Dévastateur Terre majeur; Miraculé majeur; Remueur; Enragé majeur; Muldo Orchidée et Pourpre</t>
        </is>
      </c>
    </row>
    <row r="3969">
      <c r="A3969" t="inlineStr">
        <is>
          <t>ret</t>
        </is>
      </c>
      <c r="B3969">
        <f>HYPERLINK("https://www.dofusbook.net/fr/equipement/2151834-ret/objets", "link")</f>
        <v/>
      </c>
      <c r="C3969" t="n">
        <v>14</v>
      </c>
      <c r="D3969" t="inlineStr">
        <is>
          <t>Sceptre du Roi Joueur; Amulette de Shokkoth; Alliance Gloursonne; Anneau Toriété; Cadran de Terre; Poulpagne; Masque de Funespadon; Cape du Barbétoal; Chaussons de Macrab; Dofus Abyssal; Dofus Pourpre; Étourdisseur majeur; Remueur; Chanceux majeur; Paralyseur majeur; El Scarador</t>
        </is>
      </c>
    </row>
    <row r="3970">
      <c r="A3970" t="inlineStr">
        <is>
          <t>Stuff 1</t>
        </is>
      </c>
      <c r="B3970">
        <f>HYPERLINK("https://www.dofusbook.net/fr/equipement/103541-stuff-1/objets", "link")</f>
        <v/>
      </c>
      <c r="C3970" t="n">
        <v>11</v>
      </c>
      <c r="D3970" t="inlineStr">
        <is>
          <t>Bêche Asse; Amulette du Cœur Saignant; Bague Gloursonne; Bague Trithon; Bouclier du Stalak; Ceinture de Gein; Masque de Koutoulou; Cape au Logis; Bottes du Cœur Saignant; Dofus Pourpre; Dofus Abyssal; Dofus des Glaces; Enragé majeur; Remueur; Miraculé majeur</t>
        </is>
      </c>
    </row>
    <row r="3971">
      <c r="A3971" t="inlineStr">
        <is>
          <t>heal</t>
        </is>
      </c>
      <c r="B3971">
        <f>HYPERLINK("https://www.dofusbook.net/fr/equipement/2560089-heal/objets", "link")</f>
        <v/>
      </c>
      <c r="C3971" t="n">
        <v>7</v>
      </c>
      <c r="D3971" t="inlineStr">
        <is>
          <t>Arc Hétype; Pendentif mignon de Koutoulou; Anneauræus; Anneauræus; Bouclier du Stalak; Ceinture de Vortex; Casque Cyclopéen; Voile d'encre; Bottes Innommables; Dofus Abyssal; Dofus Ocre; Dofus des Glaces; Remueur; Érudit majeur; Miraculé majeur; Muldo Ebène et Orchidée</t>
        </is>
      </c>
    </row>
    <row r="3972">
      <c r="A3972" t="inlineStr">
        <is>
          <t>majtdnbis</t>
        </is>
      </c>
      <c r="B3972">
        <f>HYPERLINK("https://www.dofusbook.net/fr/equipement/2561422-majtdnbis/objets", "link")</f>
        <v/>
      </c>
      <c r="C3972" t="n">
        <v>7</v>
      </c>
      <c r="D3972" t="inlineStr">
        <is>
          <t>Lav'Hache; Collier de Tourthon; Alliance Brûlâme; Bague Gloursonne; Bouclier du Stalak; Ceinture de la Reine des Voleurs; Coiffe de la Reine des Voleurs; Ankhape; Sabots Minables; Dofus Abyssal; Dofus Pourpre; Dofus des Glaces; Enragé majeur; Remueur; Miraculé majeur; Muldo Orchidée et Pourpre</t>
        </is>
      </c>
    </row>
    <row r="3973">
      <c r="A3973" t="inlineStr">
        <is>
          <t>foulfeu</t>
        </is>
      </c>
      <c r="B3973">
        <f>HYPERLINK("https://www.dofusbook.net/fr/equipement/2560456-foulfeu/objets", "link")</f>
        <v/>
      </c>
      <c r="C3973" t="n">
        <v>8</v>
      </c>
      <c r="D3973" t="inlineStr">
        <is>
          <t>Arc corrompu; Pendentif mignon de Koutoulou; Anneau Rifique; Anneauræus; Bouclier du Stalak; Ceinture de Vortex; Casque Dragoeuf; Cape de Diondin; Bottes Innommables; Dofus Pourpre; Dofus Abyssal; Miraculé majeur; Érudit majeur; Remueur; Muldo Orchidée et Pourpre</t>
        </is>
      </c>
    </row>
    <row r="3974">
      <c r="A3974" t="inlineStr">
        <is>
          <t>Multi</t>
        </is>
      </c>
      <c r="B3974">
        <f>HYPERLINK("https://www.dofusbook.net/fr/equipement/103520-multi/objets", "link")</f>
        <v/>
      </c>
      <c r="C3974" t="n">
        <v>9</v>
      </c>
      <c r="D3974" t="inlineStr">
        <is>
          <t>Marteau de Katrepat; Amulette du Strigide; Bague Gloursonne; Alliance Brûlâme; Bouclier du Stalak; Ceinture du Strigide; Masque Brûlâme; Voile d'encre; Pompes Funèbres; Dofus Turquoise; Dofus Ocre; Dolmanax; Dofus des Glaces; Dofus Pourpre; Dofus Abyssal; Muldo Orchidée et Pourpre</t>
        </is>
      </c>
    </row>
    <row r="3975">
      <c r="A3975" t="inlineStr">
        <is>
          <t>Stuff 1</t>
        </is>
      </c>
      <c r="B3975">
        <f>HYPERLINK("https://www.dofusbook.net/fr/equipement/103468-stuff-1/objets", "link")</f>
        <v/>
      </c>
      <c r="C3975" t="n">
        <v>15</v>
      </c>
      <c r="D3975" t="inlineStr">
        <is>
          <t>Lav'Hache; Amulette Luminescente; Bague Trithon; Anneau Toriété; Bouclier précieux; Ceinture Gence; Masque d'Anerice; Cape d'Anerice; Bottistik; Bousculeur majeur; Culbuteur majeur; Miraculé majeur; Remueur; Péki</t>
        </is>
      </c>
    </row>
    <row r="3976">
      <c r="A3976" t="inlineStr">
        <is>
          <t>agiii</t>
        </is>
      </c>
      <c r="B3976">
        <f>HYPERLINK("https://www.dofusbook.net/fr/equipement/2557322-agiii/objets", "link")</f>
        <v/>
      </c>
      <c r="C3976" t="n">
        <v>13</v>
      </c>
      <c r="D3976" t="inlineStr">
        <is>
          <t>Le Thanos; Amulette d'Ilyzaelle; Anneau de Pol Ouatnos; Alliance Gloursonne; Carapar; Ceinture de Vortex; Casque d'Ilyzaelle; Cape d'Aermyne; Palmes Trithons; Dofus Ivoire; Dofus Ocre; Cascadeur majeur; Guérisseur majeur; Miraculé majeur; Remueur; Croum</t>
        </is>
      </c>
    </row>
    <row r="3977">
      <c r="A3977" t="inlineStr">
        <is>
          <t>Stuff 1</t>
        </is>
      </c>
      <c r="B3977">
        <f>HYPERLINK("https://www.dofusbook.net/fr/equipement/103537-stuff-1/objets", "link")</f>
        <v/>
      </c>
      <c r="C3977" t="n">
        <v>21</v>
      </c>
      <c r="D3977" t="inlineStr">
        <is>
          <t>Rapière aux Glyphes; Amulette d'Ilyzaelle; Alliance Gloursonne; Bracelet des Fonds marins; Bouclier d'Ilyzaelle; Ceinture de la Reine des Voleurs; Masque des Fonds marins; Cape Solution; Bottes de la Reine des Voleurs; Dofus Nébuleux; Dofus Abyssal; Dofus Ocre; Dofus Ivoire; Dofus Pourpre; Dofus des Glaces; Muldo Ebène et Indigo</t>
        </is>
      </c>
    </row>
    <row r="3978">
      <c r="A3978" t="inlineStr">
        <is>
          <t>anelol</t>
        </is>
      </c>
      <c r="B3978">
        <f>HYPERLINK("https://www.dofusbook.net/fr/equipement/2538635-anelol/objets", "link")</f>
        <v/>
      </c>
      <c r="C3978" t="n">
        <v>3</v>
      </c>
      <c r="D3978" t="inlineStr">
        <is>
          <t>Arc corrompu; Pendentif mignon de Koutoulou; Anneauræus; Anneauræus; Cadran d'Air; Ceinture de Vortex; Casque Cyclopéen; Voile d'encre; Bottes Innommables</t>
        </is>
      </c>
    </row>
    <row r="3979">
      <c r="A3979" t="inlineStr">
        <is>
          <t>trydeux</t>
        </is>
      </c>
      <c r="B3979">
        <f>HYPERLINK("https://www.dofusbook.net/fr/equipement/2538098-trydeux/objets", "link")</f>
        <v/>
      </c>
      <c r="C3979" t="n">
        <v>7</v>
      </c>
      <c r="D3979" t="inlineStr">
        <is>
          <t>Héqache; Amulette du Strigide; Bague Gloursonne; Alliance Gloursonne; Quatre-feuilles; Ceinture du Strigide; Masque Brûlâme; Cape des Justiciers; Pompes Funèbres; Dofus Émeraude; Dofus Ocre; Dofus Pourpre; Dofus des Glaces; Dofus Turquoise; Dofus Abyssal; Muldo Indigo et Orchidée</t>
        </is>
      </c>
    </row>
    <row r="3980">
      <c r="A3980" t="inlineStr">
        <is>
          <t>ole</t>
        </is>
      </c>
      <c r="B3980">
        <f>HYPERLINK("https://www.dofusbook.net/fr/equipement/2529438-ole/objets", "link")</f>
        <v/>
      </c>
      <c r="C3980" t="n">
        <v>12</v>
      </c>
      <c r="D3980" t="inlineStr">
        <is>
          <t>Sceptre du Roi Joueur; Amulette Voldelor; Goulano; Alliance Gloursonne; Bouclier du Stalak; Poulpagne; Capuche de l'Œil Attentif; Cape de l'Œil Attentif; Bottes du Sinistrofu; Carapace Eau majeur; Carapace Air majeur; Déserteur majeur; Muldo Ebène</t>
        </is>
      </c>
    </row>
    <row r="3981">
      <c r="A3981" t="inlineStr">
        <is>
          <t>hohoho</t>
        </is>
      </c>
      <c r="B3981">
        <f>HYPERLINK("https://www.dofusbook.net/fr/equipement/2519091-hohoho/objets", "link")</f>
        <v/>
      </c>
      <c r="C3981" t="n">
        <v>1</v>
      </c>
      <c r="D3981" t="inlineStr">
        <is>
          <t>Amibou; Chapeau de Tournoyé; Cape du Cœur Vaillant</t>
        </is>
      </c>
    </row>
    <row r="3982">
      <c r="A3982" t="inlineStr">
        <is>
          <t>xdxd</t>
        </is>
      </c>
      <c r="B3982">
        <f>HYPERLINK("https://www.dofusbook.net/fr/equipement/2429253-xdxd/objets", "link")</f>
        <v/>
      </c>
      <c r="C3982" t="n">
        <v>2</v>
      </c>
      <c r="D3982" t="inlineStr">
        <is>
          <t>Coiffe de Tengu Givrefoux</t>
        </is>
      </c>
    </row>
    <row r="3983">
      <c r="A3983" t="inlineStr">
        <is>
          <t>Humi</t>
        </is>
      </c>
      <c r="B3983">
        <f>HYPERLINK("https://www.dofusbook.net/fr/equipement/2397215-humi/objets", "link")</f>
        <v/>
      </c>
      <c r="C3983" t="n">
        <v>1</v>
      </c>
      <c r="D3983" t="inlineStr">
        <is>
          <t>Amulette de Frigostine; Anneau du Kaniblou; Ceinture du Kaniblou; Cape du Kaniblou</t>
        </is>
      </c>
    </row>
    <row r="3984">
      <c r="A3984" t="inlineStr">
        <is>
          <t>osadeux</t>
        </is>
      </c>
      <c r="B3984">
        <f>HYPERLINK("https://www.dofusbook.net/fr/equipement/2295348-osadeux/objets", "link")</f>
        <v/>
      </c>
      <c r="C3984" t="n">
        <v>2</v>
      </c>
      <c r="D3984" t="inlineStr"/>
    </row>
    <row r="3985">
      <c r="A3985" t="inlineStr">
        <is>
          <t>Stuff 1</t>
        </is>
      </c>
      <c r="B3985">
        <f>HYPERLINK("https://www.dofusbook.net/fr/equipement/103480-stuff-1/objets", "link")</f>
        <v/>
      </c>
      <c r="C3985" t="n">
        <v>17</v>
      </c>
      <c r="D3985" t="inlineStr">
        <is>
          <t>Hachoirs de Viandargh; Amulette Hale; Anneau des égarés; Alliance Gloursonne; Bouclier alvéolé; Menoture; Dorabysses; Chevelure de Tal Kasha; Sandales de Tal Kasha; Dofus Turquoise; Dofus Pourpre; Miraculé majeur; Paralyseur majeur; Remueur; Étourdisseur majeur; Muldo Ebène</t>
        </is>
      </c>
    </row>
    <row r="3986">
      <c r="A3986" t="inlineStr">
        <is>
          <t>Taysteur</t>
        </is>
      </c>
      <c r="B3986">
        <f>HYPERLINK("https://www.dofusbook.net/fr/equipement/2287656-taysteur/objets", "link")</f>
        <v/>
      </c>
      <c r="C3986" t="n">
        <v>5</v>
      </c>
      <c r="D3986" t="inlineStr">
        <is>
          <t>Bâton du Wa Wabbit; Dragolyre Remaniée; Abranneau Mou; Abranneau Mou; Bouclier en Mousse; Ceinture du Piou Jaune; Couronne du Wa Wabbit; Cape du Wa Wabbit; Bottes de l'Eleveur de Bouftous</t>
        </is>
      </c>
    </row>
    <row r="3987">
      <c r="A3987" t="inlineStr">
        <is>
          <t>Stuff 2</t>
        </is>
      </c>
      <c r="B3987">
        <f>HYPERLINK("https://www.dofusbook.net/fr/equipement/103536-stuff-2/objets", "link")</f>
        <v/>
      </c>
      <c r="C3987" t="n">
        <v>12</v>
      </c>
      <c r="D3987" t="inlineStr">
        <is>
          <t>Héqache; Amulette du Kamasterisk; Alliance Gloursonne; Bague Gloursonne; Cadran d'Eau; Ceinture de la Reine des Voleurs; Coiffe de la Reine des Voleurs; Cape du Kamasterisk; Sabots Minables; Dolmanax; Dofus Abyssal; Dofus Émeraude; Dofus Ocre; Dofus Pourpre; Dofus des Glaces; Muldo Orchidée</t>
        </is>
      </c>
    </row>
    <row r="3988">
      <c r="A3988" t="inlineStr">
        <is>
          <t>récri</t>
        </is>
      </c>
      <c r="B3988">
        <f>HYPERLINK("https://www.dofusbook.net/fr/equipement/2277979-recri/objets", "link")</f>
        <v/>
      </c>
      <c r="C3988" t="n">
        <v>19</v>
      </c>
      <c r="D3988" t="inlineStr">
        <is>
          <t>Arc du Chalœil; Amulette de Pol Ouatnos; Anneau Chevelu; Bague Gloursonne; Goulclier; Ceinture de la Reine des Voleurs; Coiffe de la Reine des Voleurs; Voile d'encre; Sabots Minables; Dofus Pourpre; Dofus Abyssal; Dofus Turquoise; Remueur; Carapace Feu majeur; Miraculé majeur; Kramkram</t>
        </is>
      </c>
    </row>
    <row r="3989">
      <c r="A3989" t="inlineStr">
        <is>
          <t>tasytttttt</t>
        </is>
      </c>
      <c r="B3989">
        <f>HYPERLINK("https://www.dofusbook.net/fr/equipement/2244560-tasytttttt/objets", "link")</f>
        <v/>
      </c>
      <c r="C3989" t="n">
        <v>10</v>
      </c>
      <c r="D3989" t="inlineStr">
        <is>
          <t>Arc du Chalœil; Amulette du Kamasterisk; Alliance Brûlâme; Anneau de Brouce; Bouclier du Stalak; Ceinture de la Reine des Voleurs; Coiffe de la Reine des Voleurs; Cape du Kamasterisk; Bottes du Kamasterisk; Dolmanax; Dofus Abyssal; Dofus Émeraude; Dofus Ocre; Dofus Pourpre; Dofus des Glaces; Muldo Ebène et Orchidée</t>
        </is>
      </c>
    </row>
    <row r="3990">
      <c r="A3990" t="inlineStr">
        <is>
          <t>Stuff 3</t>
        </is>
      </c>
      <c r="B3990">
        <f>HYPERLINK("https://www.dofusbook.net/fr/equipement/103470-stuff-3/objets", "link")</f>
        <v/>
      </c>
      <c r="C3990" t="n">
        <v>11</v>
      </c>
      <c r="D3990" t="inlineStr">
        <is>
          <t>Epée Toche; Amulette Héroclite; Bague Gloursonne; Alliance de Missiz Frizz; Bouclier Taverne; Ceinture de Brouce; Bonnet Ko; Cape du Professeur Xa; Bottes de Brouce; Dofus Pourpre; Voyageur; Remueur; Turbulent; Nomade; Enragé majeur; Dragodinde Prune et Emeraude</t>
        </is>
      </c>
    </row>
    <row r="3991">
      <c r="A3991" t="inlineStr">
        <is>
          <t>OsxD</t>
        </is>
      </c>
      <c r="B3991">
        <f>HYPERLINK("https://www.dofusbook.net/fr/equipement/2221267-osxd/objets", "link")</f>
        <v/>
      </c>
      <c r="C3991" t="n">
        <v>2</v>
      </c>
      <c r="D3991" t="inlineStr">
        <is>
          <t>Harpelle; Amulette du Strigide; Bague Gloursonne; Anneau de Padgref; Quatre-feuilles; Ceinture du Strigide; Coiffe de Padgref; Cape de la Dame du Hasard; Getas de Padgref; Dofus Turquoise; Dofus Nébuleux; Dofus Ocre; Dofus Abyssal; Dofus Pourpre; Dofus Vulbis; Muldo Prune et Emeraude</t>
        </is>
      </c>
    </row>
    <row r="3992">
      <c r="A3992" t="inlineStr">
        <is>
          <t>Ololosatape</t>
        </is>
      </c>
      <c r="B3992">
        <f>HYPERLINK("https://www.dofusbook.net/fr/equipement/2027623-ololosatape/objets", "link")</f>
        <v/>
      </c>
      <c r="C3992" t="n">
        <v>30</v>
      </c>
      <c r="D3992" t="inlineStr">
        <is>
          <t>Héqache; Amulette du Strigide; Anneau Chevelu; Bague Trithon; Bouclier Taverne; Ceinture Luminescente; Masque de Koutoulou; Cape du Cœur Vaillant; Bottes du Cœur Vaillant; Dofus Abyssal; Dofus Pourpre; Culbuteur majeur; Remueur; Miraculé majeur; Bousculeur majeur; Muldo Ebène et Pourpre</t>
        </is>
      </c>
    </row>
    <row r="3993">
      <c r="A3993" t="inlineStr">
        <is>
          <t>trycap</t>
        </is>
      </c>
      <c r="B3993">
        <f>HYPERLINK("https://www.dofusbook.net/fr/equipement/2195211-trycap/objets", "link")</f>
        <v/>
      </c>
      <c r="C3993" t="n">
        <v>6</v>
      </c>
      <c r="D3993" t="inlineStr">
        <is>
          <t>Baguette de Malléfisk; Pendentif mignon de Koutoulou; Anneauræus; Anneauræus; Cadran de Feu; Protopagne; Casque Cyclopéen; Cape d'Aermyne; Bottes Innommables; Dofus Ocre; Érudit majeur; Carapace Feu majeur; Miraculé majeur; Remueur; Carapace Air majeur; Muldo Indigo et Orchidée</t>
        </is>
      </c>
    </row>
    <row r="3994">
      <c r="A3994" t="inlineStr">
        <is>
          <t>fouite</t>
        </is>
      </c>
      <c r="B3994">
        <f>HYPERLINK("https://www.dofusbook.net/fr/equipement/2158923-fouite/objets", "link")</f>
        <v/>
      </c>
      <c r="C3994" t="n">
        <v>10</v>
      </c>
      <c r="D3994" t="inlineStr">
        <is>
          <t>Arc corrompu; Pendentif mignon de Koutoulou; Anneau Tique; Anneau de Nidas; Bouclier du Stalak; Ceinture de Vortex; Couronne de Nidas; Cape de Diondin; Bottes Innommables; Temporiseur majeur; Carapace Feu majeur; Déserteur majeur; Miraculé majeur; Carapace Air majeur; Remueur; Muldo Orchidée et Amande</t>
        </is>
      </c>
    </row>
    <row r="3995">
      <c r="A3995" t="inlineStr">
        <is>
          <t>Pad</t>
        </is>
      </c>
      <c r="B3995">
        <f>HYPERLINK("https://www.dofusbook.net/fr/equipement/2119517-pad/objets", "link")</f>
        <v/>
      </c>
      <c r="C3995" t="n">
        <v>7</v>
      </c>
      <c r="D3995" t="inlineStr">
        <is>
          <t>Arc Nécrotique; Collier de la Dame du Hasard; Anneau de Padgref; Bague Gloursonne; Quatre-feuilles; Ceinture de Vortex; Coiffe de Padgref; Cape de la Dame du Hasard; Bottes de la Dame du Hasard; Dofus Abyssal; Dofus Turquoise; Dofus Émeraude; Dofus Ocre; Dofus Pourpre; Dofus des Glaces; Muldo Orchidée</t>
        </is>
      </c>
    </row>
    <row r="3996">
      <c r="A3996" t="inlineStr">
        <is>
          <t>Stuff 1</t>
        </is>
      </c>
      <c r="B3996">
        <f>HYPERLINK("https://www.dofusbook.net/fr/equipement/103535-stuff-1/objets", "link")</f>
        <v/>
      </c>
      <c r="C3996" t="n">
        <v>6</v>
      </c>
      <c r="D3996" t="inlineStr">
        <is>
          <t>Marteau R'ture; Amulette du Kamasterisk; Alliance Gloursonne; Bague Gloursonne; Cadran d'Eau; Ceintouse; Chapoulpe; Cape du Kamasterisk; Sabots Minables; Dofus Turquoise; Dofus Abyssal; Dofus Émeraude; Dofus Ocre; Dofus Pourpre; Dofus des Glaces; Muldo Pourpre</t>
        </is>
      </c>
    </row>
    <row r="3997">
      <c r="A3997" t="inlineStr">
        <is>
          <t>Brain</t>
        </is>
      </c>
      <c r="B3997">
        <f>HYPERLINK("https://www.dofusbook.net/fr/equipement/2112098-brain/objets", "link")</f>
        <v/>
      </c>
      <c r="C3997" t="n">
        <v>1</v>
      </c>
      <c r="D3997" t="inlineStr">
        <is>
          <t>Amulette de Shokkoth; Bracelet des Fonds marins; Masque des Fonds marins; Cape de Mantaze</t>
        </is>
      </c>
    </row>
    <row r="3998">
      <c r="A3998" t="inlineStr">
        <is>
          <t>anticra</t>
        </is>
      </c>
      <c r="B3998">
        <f>HYPERLINK("https://www.dofusbook.net/fr/equipement/2092679-anticra/objets", "link")</f>
        <v/>
      </c>
      <c r="C3998" t="n">
        <v>6</v>
      </c>
      <c r="D3998" t="inlineStr">
        <is>
          <t>Manthache; Anneau d'Allister; Alliance Gloursonne; Bouclier du Stalak; Ceintacé; Coiffe de la Reine des Voleurs; Cape de Kongoku; Bottes de la Reine des Voleurs; Dofus Abyssal; Fortification majeure; Cascadeur majeur; Carapace Feu majeur; Remueur; Carapace Air majeur; Muldo Ebène</t>
        </is>
      </c>
    </row>
    <row r="3999">
      <c r="A3999" t="inlineStr">
        <is>
          <t>Stuff 1</t>
        </is>
      </c>
      <c r="B3999">
        <f>HYPERLINK("https://www.dofusbook.net/fr/equipement/103502-stuff-1/objets", "link")</f>
        <v/>
      </c>
      <c r="C3999" t="n">
        <v>4</v>
      </c>
      <c r="D3999" t="inlineStr">
        <is>
          <t>Baguette de Malléfisk; Amulette de Nileza; Alliance Boletée; Anneau de Nidas; Carapar; Ceinture de Vortex; Masque d'Anerice; Cape d'Anerice; Bottes Innommables; Dofus Ocre; Miraculé majeur; Déserteur majeur; Érudit majeur; Guérisseur majeur; Remueur; Muldo Indigo et Pourpre</t>
        </is>
      </c>
    </row>
    <row r="4000">
      <c r="A4000" t="inlineStr">
        <is>
          <t>sap</t>
        </is>
      </c>
      <c r="B4000">
        <f>HYPERLINK("https://www.dofusbook.net/fr/equipement/2066891-sap/objets", "link")</f>
        <v/>
      </c>
      <c r="C4000" t="n">
        <v>9</v>
      </c>
      <c r="D4000" t="inlineStr">
        <is>
          <t>Lance corrompue; Amulette de Nevark; Alliance Brûlâme; Alliance Gloursonne; Cadran d'Eau; Ceinture de Nevark; Masque Brûlâme; Cape de Nevark; Pompes Funèbres; Dofus des Glaces; Dofus Abyssal; Dofus Pourpre; Dofus Ocre; Dofus Émeraude; Robuste majeur; Kramkram</t>
        </is>
      </c>
    </row>
    <row r="4001">
      <c r="A4001" t="inlineStr">
        <is>
          <t>Boumbim</t>
        </is>
      </c>
      <c r="B4001">
        <f>HYPERLINK("https://www.dofusbook.net/fr/equipement/2054979-boumbim/objets", "link")</f>
        <v/>
      </c>
      <c r="C4001" t="n">
        <v>8</v>
      </c>
      <c r="D4001" t="inlineStr">
        <is>
          <t>Marteau de Katrepat; Amulette du Strigide; Bague Gloursonne; Alliance Brûlâme; Quatre-feuilles; Ceinture du Strigide; Masque Brûlâme; Voile d'encre; Pompes Funèbres; Dofus Pourpre; Dofus des Glaces; Dofus Turquoise; Dofus Nébuleux; Dolmanax; Dofus Ocre; Muldo Orchidée et Pourpre</t>
        </is>
      </c>
    </row>
    <row r="4002">
      <c r="A4002" t="inlineStr">
        <is>
          <t>VendettaDWS</t>
        </is>
      </c>
      <c r="B4002">
        <f>HYPERLINK("https://www.dofusbook.net/fr/equipement/2035960-vendettadws/objets", "link")</f>
        <v/>
      </c>
      <c r="C4002" t="n">
        <v>12</v>
      </c>
      <c r="D4002" t="inlineStr">
        <is>
          <t>Arc Nécrotique; Collier de la Dame du Hasard; Pikano; Alliance Gloursonne; Ceintacé; Capuche de l'Œil Putride; Cape de la Dame du Hasard; Bottes de la Dame du Hasard; Dofus des Glaces; Dolmanax; Dofus Pourpre; Dofus Émeraude; Dofus Abyssal; Dofus Turquoise; Muldo Indigo et Orchidée</t>
        </is>
      </c>
    </row>
    <row r="4003">
      <c r="A4003" t="inlineStr">
        <is>
          <t>fullflote</t>
        </is>
      </c>
      <c r="B4003">
        <f>HYPERLINK("https://www.dofusbook.net/fr/equipement/2031850-fullflote/objets", "link")</f>
        <v/>
      </c>
      <c r="C4003" t="n">
        <v>1</v>
      </c>
      <c r="D4003" t="inlineStr">
        <is>
          <t>Arc de Koutoulou</t>
        </is>
      </c>
    </row>
    <row r="4004">
      <c r="A4004" t="inlineStr">
        <is>
          <t>repou</t>
        </is>
      </c>
      <c r="B4004">
        <f>HYPERLINK("https://www.dofusbook.net/fr/equipement/2030278-repou/objets", "link")</f>
        <v/>
      </c>
      <c r="C4004" t="n">
        <v>1</v>
      </c>
      <c r="D4004" t="inlineStr">
        <is>
          <t>Talisman Glouti; Kidibonnet; Cape du Sinistrofu; Bottes du Sinistrofu</t>
        </is>
      </c>
    </row>
    <row r="4005">
      <c r="A4005" t="inlineStr">
        <is>
          <t>Allin</t>
        </is>
      </c>
      <c r="B4005">
        <f>HYPERLINK("https://www.dofusbook.net/fr/equipement/2027934-allin/objets", "link")</f>
        <v/>
      </c>
      <c r="C4005" t="n">
        <v>8</v>
      </c>
      <c r="D4005" t="inlineStr">
        <is>
          <t>Arc Nécrotique; Collier de la Dame du Hasard; Alliance Gloursonne; Anneau de Padgref; Quatre-feuilles; Ceintacé; Coiffe de Padgref; Cape de la Dame du Hasard; Bottes de la Dame du Hasard; Dolmanax; Dofus Émeraude; Dofus Pourpre; Dofus des Glaces; Dofus Turquoise; Dofus Abyssal; Muldo Orchidée</t>
        </is>
      </c>
    </row>
    <row r="4006">
      <c r="A4006" t="inlineStr">
        <is>
          <t>Stuff 2</t>
        </is>
      </c>
      <c r="B4006">
        <f>HYPERLINK("https://www.dofusbook.net/fr/equipement/103540-stuff-2/objets", "link")</f>
        <v/>
      </c>
      <c r="C4006" t="n">
        <v>4</v>
      </c>
      <c r="D4006" t="inlineStr">
        <is>
          <t>Baguette Range; Pendentif affamé; Anneau Rifique; Anneauræus; Bouclier du Stalak; Ceinture de Vortex; Casque Cyclopéen; Voile d'encre; Bottes Innommables; Dofus Pourpre; Dofus Nébuleux; Dofus Abyssal; Dofus Ocre; Remueur; Miraculé majeur; Muldo Ebène et Orchidée</t>
        </is>
      </c>
    </row>
    <row r="4007">
      <c r="A4007" t="inlineStr">
        <is>
          <t>Stuff 3</t>
        </is>
      </c>
      <c r="B4007">
        <f>HYPERLINK("https://www.dofusbook.net/fr/equipement/103510-stuff-3/objets", "link")</f>
        <v/>
      </c>
      <c r="C4007" t="n">
        <v>8</v>
      </c>
      <c r="D4007" t="inlineStr">
        <is>
          <t>Arc Ahique; Amulette de l'Indicible; Bague Gloursonne; Alliance Gloursonne; Cadran d'Air; Ceinture de la Reine des Voleurs; Coiffe de la Reine des Voleurs; Capchalot; Bottes de l'Indicible; Dofus des Glaces; Dofus Pourpre; Dofus Abyssal; Dofus Émeraude; Dofus Ocre; Robuste majeur; Muldo Ebène et Indigo</t>
        </is>
      </c>
    </row>
    <row r="4008">
      <c r="A4008" t="inlineStr">
        <is>
          <t>taclefeu2</t>
        </is>
      </c>
      <c r="B4008">
        <f>HYPERLINK("https://www.dofusbook.net/fr/equipement/2027583-taclefeu2/objets", "link")</f>
        <v/>
      </c>
      <c r="C4008" t="n">
        <v>5</v>
      </c>
      <c r="D4008" t="inlineStr">
        <is>
          <t>Baguette de Malléfisk; Pendentif mignon de Koutoulou; Anneau Tique; Anneau Rifique; Cadran d'Air; Ceinture de Kongoku; Casque Dragoeuf; Cape de Diondin; Dofus Pourpre; Dofus Émeraude; Dofus Cawotte; Dofus Abyssal; Érudit majeur; Miraculé majeur; Muldo Orchidée</t>
        </is>
      </c>
    </row>
    <row r="4009">
      <c r="A4009" t="inlineStr">
        <is>
          <t>taclefeu</t>
        </is>
      </c>
      <c r="B4009">
        <f>HYPERLINK("https://www.dofusbook.net/fr/equipement/2027463-taclefeu/objets", "link")</f>
        <v/>
      </c>
      <c r="C4009" t="n">
        <v>8</v>
      </c>
      <c r="D4009" t="inlineStr">
        <is>
          <t>Plumeau Bil; Amulette du Strigide; Anneau Tique; Anneauræus; Bouclier du Stalak; Ceinture de Kongoku; Casque Dragoeuf; Cape de Diondin; Bottes du Strigide; Dofus Abyssal; Dofus Émeraude; Remueur; Cavaleur majeur; Miraculé majeur; Obstructeur majeur; Muldo Ebène et Orchidée</t>
        </is>
      </c>
    </row>
    <row r="4010">
      <c r="A4010" t="inlineStr">
        <is>
          <t>anticra</t>
        </is>
      </c>
      <c r="B4010">
        <f>HYPERLINK("https://www.dofusbook.net/fr/equipement/2013179-anticra/objets", "link")</f>
        <v/>
      </c>
      <c r="C4010" t="n">
        <v>11</v>
      </c>
      <c r="D4010" t="inlineStr">
        <is>
          <t>Baguette Range; Pendentif mignon de Koutoulou; Alliance Brûlâme; Anneau Rifique; Goulclier; Ceintouse; Casque Cyclopéen; Voile d'encre; Pompes Funèbres; Dofus des Glaces; Dofus Abyssal; Dofus Émeraude; Dofus Ocre; Dofus Pourpre; Dofus Ivoire; Muldo Ebène et Orchidée</t>
        </is>
      </c>
    </row>
    <row r="4011">
      <c r="A4011" t="inlineStr">
        <is>
          <t>foulfeu</t>
        </is>
      </c>
      <c r="B4011">
        <f>HYPERLINK("https://www.dofusbook.net/fr/equipement/1971910-foulfeu/objets", "link")</f>
        <v/>
      </c>
      <c r="C4011" t="n">
        <v>3</v>
      </c>
      <c r="D4011" t="inlineStr">
        <is>
          <t>Baguette de Malléfisk; Amulette de Nileza; Anneauræus; Alliance Brûlâme; Carapar; Ceinture de Gein; Casque Dragoeuf; Cape de Nileza; Bottes Innommables; Dofus Ocre; Miraculé majeur; Érudit majeur; Remueur; Guérisseur majeur; Observateur; Muldo Indigo et Pourpre</t>
        </is>
      </c>
    </row>
    <row r="4012">
      <c r="A4012" t="inlineStr">
        <is>
          <t>Foulfeu</t>
        </is>
      </c>
      <c r="B4012">
        <f>HYPERLINK("https://www.dofusbook.net/fr/equipement/1233450-foulfeu/objets", "link")</f>
        <v/>
      </c>
      <c r="C4012" t="n">
        <v>3</v>
      </c>
      <c r="D4012" t="inlineStr">
        <is>
          <t>Baguette Range; Amulette du Strigide; Alliance Brûlâme; Alliance Gloursonne; Bouclier d'Ilyzaelle; Ceinture du Strigide; Masque Brûlâme; Cape d'Anerice; Pompes Funèbres; Dofus Pourpre; Dofus des Glaces; Dofus Ocre; Dofus Turquoise; Dofus Émeraude; Dofus Abyssal; Muldo Ebène et Orchidée</t>
        </is>
      </c>
    </row>
    <row r="4013">
      <c r="A4013" t="inlineStr">
        <is>
          <t>Try new</t>
        </is>
      </c>
      <c r="B4013">
        <f>HYPERLINK("https://www.dofusbook.net/fr/equipement/1934036-try-new/objets", "link")</f>
        <v/>
      </c>
      <c r="C4013" t="n">
        <v>1</v>
      </c>
      <c r="D4013" t="inlineStr">
        <is>
          <t>Manthache; Amulette d'Ilyzaelle; Gant du Valet Veinard; Alliance Gloursonne; Bouclier du Stalak; Menoture; Casque d'Ilyzaelle; Cape du Valet Veinard; Palmes Trithons</t>
        </is>
      </c>
    </row>
    <row r="4014">
      <c r="A4014" t="inlineStr">
        <is>
          <t>fullres</t>
        </is>
      </c>
      <c r="B4014">
        <f>HYPERLINK("https://www.dofusbook.net/fr/equipement/1915193-fullres/objets", "link")</f>
        <v/>
      </c>
      <c r="C4014" t="n">
        <v>7</v>
      </c>
      <c r="D4014" t="inlineStr">
        <is>
          <t>Sceptre du Roi Joueur; Amulette de Shokkoth; Pikano; Alliance Gloursonne; Bouclier du Stalak; Poulpagne; Masque d'Anerice; Cape d'Anerice; Sandales des Fonds marins; Dofus des Glaces; Dofus Émeraude; Remueur; Dévastateur Eau majeur; Chanceux majeur; Miraculé majeur; Muldo Ebène et Indigo</t>
        </is>
      </c>
    </row>
    <row r="4015">
      <c r="A4015" t="inlineStr">
        <is>
          <t>Test taper</t>
        </is>
      </c>
      <c r="B4015">
        <f>HYPERLINK("https://www.dofusbook.net/fr/equipement/1908440-test-taper/objets", "link")</f>
        <v/>
      </c>
      <c r="C4015" t="n">
        <v>13</v>
      </c>
      <c r="D4015" t="inlineStr">
        <is>
          <t>Héqache; Amulette du Strigide; Anneau Chevelu; Bague Trithon; Bouclier alvéolé; Ceintouse; Masque de Koutoulou; Cape du Cœur Saignant; Tentassons; Dofus Pourpre; Dofus Turquoise; Dofus Abyssal; Remueur; Étourdisseur majeur; Muldo Indigo et Orchidée</t>
        </is>
      </c>
    </row>
    <row r="4016">
      <c r="A4016" t="inlineStr">
        <is>
          <t>Stuff 1</t>
        </is>
      </c>
      <c r="B4016">
        <f>HYPERLINK("https://www.dofusbook.net/fr/equipement/103524-stuff-1/objets", "link")</f>
        <v/>
      </c>
      <c r="C4016" t="n">
        <v>4</v>
      </c>
      <c r="D4016" t="inlineStr">
        <is>
          <t>Sceptre du Roi Joueur; Collier de la Dame du Hasard; Bracelet des Fonds marins; Alliance Gloursonne; Quatre-feuilles; Pagne du Rykaon; Casque Dragoeuf; Cape de la Dame du Hasard; Pataugastrique; Dofus Abyssal; Dofus Turquoise; Dofus Pourpre; Chanceux majeur; Remueur; Déserteur majeur; Muldo Indigo</t>
        </is>
      </c>
    </row>
    <row r="4017">
      <c r="A4017" t="inlineStr">
        <is>
          <t>Stuff 2</t>
        </is>
      </c>
      <c r="B4017">
        <f>HYPERLINK("https://www.dofusbook.net/fr/equipement/103509-stuff-2/objets", "link")</f>
        <v/>
      </c>
      <c r="C4017" t="n">
        <v>8</v>
      </c>
      <c r="D4017" t="inlineStr">
        <is>
          <t>Pelle de Katrepat; Collier de la Dame du Hasard; Alliance Gloursonne; Anneau Tique; Bouclier cubiste; Poulpagne; Casqnoar; Cape de la Dame du Hasard; Bottes de Meno; Dofus Turquoise; Dofus des Glaces; Dofus Pourpre; Remueur; Vigoureux majeur; Carapace Eau majeur; Muldo Orchidée et Pourpre</t>
        </is>
      </c>
    </row>
    <row r="4018">
      <c r="A4018" t="inlineStr">
        <is>
          <t>Stuff 1</t>
        </is>
      </c>
      <c r="B4018">
        <f>HYPERLINK("https://www.dofusbook.net/fr/equipement/103508-stuff-1/objets", "link")</f>
        <v/>
      </c>
      <c r="C4018" t="n">
        <v>5</v>
      </c>
      <c r="D4018" t="inlineStr">
        <is>
          <t>Arc Nécrotique; Talisman Igans; Anneau Tique; Alliance Gloursonne; Bouclier cubiste; Sangle Ouare; Casqnoar; Cape de la Dame du Hasard; Bottes de la Dame du Hasard; Dofus des Glaces; Dofus Ocre; Dofus Abyssal; Dofus Pourpre; Carapace Feu majeur; Remueur; Kramkram</t>
        </is>
      </c>
    </row>
    <row r="4019">
      <c r="A4019" t="inlineStr">
        <is>
          <t>crit</t>
        </is>
      </c>
      <c r="B4019">
        <f>HYPERLINK("https://www.dofusbook.net/fr/equipement/1876535-crit/objets", "link")</f>
        <v/>
      </c>
      <c r="C4019" t="n">
        <v>5</v>
      </c>
      <c r="D4019" t="inlineStr">
        <is>
          <t>Hache du Chalœil; Amulette du Strigide; Bague Trithon; Bague Gloursonne; Quatre-feuilles; Masque d'Anerice; Cape d'Anerice; Dofus Pourpre; Dofus des Glaces; Dofus Turquoise; Dofus Abyssal; Dolmanax; Remueur; Muldo Prune et Emeraude</t>
        </is>
      </c>
    </row>
    <row r="4020">
      <c r="A4020" t="inlineStr">
        <is>
          <t>TONK ESQ</t>
        </is>
      </c>
      <c r="B4020">
        <f>HYPERLINK("https://www.dofusbook.net/fr/equipement/1868810-tonk-esq/objets", "link")</f>
        <v/>
      </c>
      <c r="C4020" t="n">
        <v>4</v>
      </c>
      <c r="D4020" t="inlineStr">
        <is>
          <t>Pelle de la Cour Sombre; Collier du Valet Veinard; Bague Trithon; Alliance Gloursonne; Bouclier d'Anerice; Protopagne; Masque d'Anerice; Capchalot; Palmes Trithons</t>
        </is>
      </c>
    </row>
    <row r="4021">
      <c r="A4021" t="inlineStr">
        <is>
          <t>zobal tank</t>
        </is>
      </c>
      <c r="B4021">
        <f>HYPERLINK("https://www.dofusbook.net/fr/equipement/1854798-zobal-tank/objets", "link")</f>
        <v/>
      </c>
      <c r="C4021" t="n">
        <v>8</v>
      </c>
      <c r="D4021" t="inlineStr">
        <is>
          <t>Arc du Chalœil; Amulette de Pol Ouatnos; Alliance Gloursonne; Bague Trithon; Bouclier précieux; Pagne du Rykaon; Masque d'Anerice; Cape d'Anerice; Pataugastrique; Dofus Émeraude; Dofus Turquoise; Miraculé majeur; Bousculeur majeur; Remueur; Culbuteur majeur; Homlett</t>
        </is>
      </c>
    </row>
    <row r="4022">
      <c r="A4022" t="inlineStr">
        <is>
          <t>Eau/Ret pa</t>
        </is>
      </c>
      <c r="B4022">
        <f>HYPERLINK("https://www.dofusbook.net/fr/equipement/1854750-eau-ret-pa/objets", "link")</f>
        <v/>
      </c>
      <c r="C4022" t="n">
        <v>3</v>
      </c>
      <c r="D4022" t="inlineStr">
        <is>
          <t>Dagoulinantes; Amulette de Shokkoth; Alliance Gloursonne; Bracelet des Fonds marins; Cadran de Terre; Ceinture du Barbétoal; Casque Dragoeuf; Cape du Barbétoal; Pataugastrique; Temporiseur majeur; Miraculé majeur; Étourdisseur majeur; Chanceux majeur; Remueur; Muldo Indigo</t>
        </is>
      </c>
    </row>
    <row r="4023">
      <c r="A4023" t="inlineStr">
        <is>
          <t>Oshihi</t>
        </is>
      </c>
      <c r="B4023">
        <f>HYPERLINK("https://www.dofusbook.net/fr/equipement/1847522-oshihi/objets", "link")</f>
        <v/>
      </c>
      <c r="C4023" t="n">
        <v>3</v>
      </c>
      <c r="D4023" t="inlineStr">
        <is>
          <t>Arc du Chalœil; Amulette du Strigide; Bague Gloursonne; Anneau Chevelu; Quatre-feuilles; Ceinture du Strigide; Masque de Koutoulou; Voile d'encre; Bottes de la Cour Sombre; Dofus Pourpre; Dofus Turquoise; Nomade; Vigoureux majeur; Remueur; Enragé majeur; Kompost</t>
        </is>
      </c>
    </row>
    <row r="4024">
      <c r="A4024" t="inlineStr">
        <is>
          <t>Pvp mode</t>
        </is>
      </c>
      <c r="B4024">
        <f>HYPERLINK("https://www.dofusbook.net/fr/equipement/1846482-pvp-mode/objets", "link")</f>
        <v/>
      </c>
      <c r="C4024" t="n">
        <v>11</v>
      </c>
      <c r="D4024" t="inlineStr">
        <is>
          <t>Arc corrompu; Pendentif mignon de Koutoulou; Anneauræus; Anneauræus; Cadran de Terre; Ceinture de Vortex; Casque Cyclopéen; Voile d'encre; Bottes Innommables; Dofus Abyssal; Dofus Ocre; Érudit majeur; Remueur; Étourdisseur majeur; Carapace Feu majeur; Muldo Ebène et Pourpre</t>
        </is>
      </c>
    </row>
    <row r="4025">
      <c r="A4025" t="inlineStr">
        <is>
          <t>tumtupo</t>
        </is>
      </c>
      <c r="B4025">
        <f>HYPERLINK("https://www.dofusbook.net/fr/equipement/1834554-tumtupo/objets", "link")</f>
        <v/>
      </c>
      <c r="C4025" t="n">
        <v>10</v>
      </c>
      <c r="D4025" t="inlineStr">
        <is>
          <t>Rouleau à Pâtisserie d'Aermyne; Amulette Voldelor; Anneau Tique; Alliance Gloursonne; Bouclier d'Anerice; Ceinture Bitoufale de Prosper Youpla; Casque Dragoeuf; Cape d'Anerice; Sandales Circulaires du Kimbo; Carapace Air majeur; Carapace Feu majeur; Carapace Terre majeur; Carapace Eau majeur; Carapace Neutre majeur; El Scarador</t>
        </is>
      </c>
    </row>
    <row r="4026">
      <c r="A4026" t="inlineStr">
        <is>
          <t>test</t>
        </is>
      </c>
      <c r="B4026">
        <f>HYPERLINK("https://www.dofusbook.net/fr/equipement/1798120-test/objets", "link")</f>
        <v/>
      </c>
      <c r="C4026" t="n">
        <v>3</v>
      </c>
      <c r="D4026" t="inlineStr">
        <is>
          <t>Pelle de la Cour Sombre; Collier du Valet Veinard; Gant du Valet Veinard; Alliance Gloursonne; Ceintouse; Chapoulpe; Cape du Valet Veinard; Tentassons; Muldo Ebène et Pourpre</t>
        </is>
      </c>
    </row>
    <row r="4027">
      <c r="A4027" t="inlineStr">
        <is>
          <t>Yolomm</t>
        </is>
      </c>
      <c r="B4027">
        <f>HYPERLINK("https://www.dofusbook.net/fr/equipement/1498730-yolomm/objets", "link")</f>
        <v/>
      </c>
      <c r="C4027" t="n">
        <v>1</v>
      </c>
      <c r="D4027" t="inlineStr">
        <is>
          <t>Héqache; Amulette du Strigide; Anneau Chevelu; Anneau Crustique; Quatre-feuilles; Ceinture du Strigide; Casque Dragoeuf; Cape au Logis; Sabots Minables; Kramkram</t>
        </is>
      </c>
    </row>
    <row r="4028">
      <c r="A4028" t="inlineStr">
        <is>
          <t>tonk</t>
        </is>
      </c>
      <c r="B4028">
        <f>HYPERLINK("https://www.dofusbook.net/fr/equipement/1737279-tonk/objets", "link")</f>
        <v/>
      </c>
      <c r="C4028" t="n">
        <v>4</v>
      </c>
      <c r="D4028" t="inlineStr">
        <is>
          <t>Marteau de Katrepat; Amulette de l'Indicible; Chevalière du Roi Joueur; Bague Gloursonne; Bouclier d'Anerice; Ceinture de l'Indicible; Couronne du Roi Joueur; Cape d'Anerice; Bottes de l'Indicible; Dofus Ocre; Dofus Abyssal; Dofus Pourpre; Dolmanax; Dolmanax; Dofus des Glaces; Muldo Indigo et Orchidée</t>
        </is>
      </c>
    </row>
    <row r="4029">
      <c r="A4029" t="inlineStr">
        <is>
          <t>mmmh</t>
        </is>
      </c>
      <c r="B4029">
        <f>HYPERLINK("https://www.dofusbook.net/fr/equipement/1742340-mmmh/objets", "link")</f>
        <v/>
      </c>
      <c r="C4029" t="n">
        <v>5</v>
      </c>
      <c r="D4029" t="inlineStr">
        <is>
          <t>Arc du Chalœil; Torquistik; Anneau Chevelu; Bague Trithon; Bouclier Taverne; Ceinture Luminescente; Masque de Koutoulou; Voile d'encre; Bottes Trithon; Dofus Turquoise; Dofus des Glaces; Dofus Ocre; Dofus Pourpre; Culbuteur majeur; Bousculeur majeur; Muldo Pourpre</t>
        </is>
      </c>
    </row>
    <row r="4030">
      <c r="A4030" t="inlineStr">
        <is>
          <t>fullesq</t>
        </is>
      </c>
      <c r="B4030">
        <f>HYPERLINK("https://www.dofusbook.net/fr/equipement/1737384-fullesq/objets", "link")</f>
        <v/>
      </c>
      <c r="C4030" t="n">
        <v>9</v>
      </c>
      <c r="D4030" t="inlineStr">
        <is>
          <t>Sceptre du Roi Joueur; Amulette du Strigide; Alliance Gloursonne; Bracelet des Fonds marins; Quatre-feuilles; Poulpagne; Casque Dragoeuf; Cape de la Dame du Hasard; Bottes de la Dame du Hasard; Dolmanax; Dofus des Glaces; Dofus Pourpre; Dofus Turquoise; Chanceux majeur; Remueur; Muldo Indigo</t>
        </is>
      </c>
    </row>
    <row r="4031">
      <c r="A4031" t="inlineStr">
        <is>
          <t>TERO</t>
        </is>
      </c>
      <c r="B4031">
        <f>HYPERLINK("https://www.dofusbook.net/fr/equipement/1498537-tero/objets", "link")</f>
        <v/>
      </c>
      <c r="C4031" t="n">
        <v>8</v>
      </c>
      <c r="D4031" t="inlineStr">
        <is>
          <t>Baguette de Malléfisk; Torquistik; Anneau Rifique; Bague Trithon; Bouclier précieux; Ceintrigue; Casque Dragoeuf; Capchalot; Bottistik; Dofus Émeraude; Bousculeur majeur; Remueur; Culbuteur majeur; Guérisseur majeur; Miraculé majeur; Muldo Pourpre</t>
        </is>
      </c>
    </row>
    <row r="4032">
      <c r="A4032" t="inlineStr">
        <is>
          <t>xDtuboujpo</t>
        </is>
      </c>
      <c r="B4032">
        <f>HYPERLINK("https://www.dofusbook.net/fr/equipement/1531449-xdtuboujpo/objets", "link")</f>
        <v/>
      </c>
      <c r="C4032" t="n">
        <v>1</v>
      </c>
      <c r="D4032" t="inlineStr">
        <is>
          <t>Masque d'Anerice; Cape d'Anerice</t>
        </is>
      </c>
    </row>
    <row r="4033">
      <c r="A4033" t="inlineStr">
        <is>
          <t>XDLOL</t>
        </is>
      </c>
      <c r="B4033">
        <f>HYPERLINK("https://www.dofusbook.net/fr/equipement/1498550-xdlol/objets", "link")</f>
        <v/>
      </c>
      <c r="C4033" t="n">
        <v>10</v>
      </c>
      <c r="D4033" t="inlineStr">
        <is>
          <t>Arc de Koutoulou; Amulette Voldelor; Alliance Gloursonne; Bracelet des Fonds marins; Bouclier Taverne; Ceintacé; Coiffe d'Ogivol; Cape d'Hel Munster; Bottes Voldelor; Dolmanax; Dofus Pourpre; Dofus des Glaces; Dofus Turquoise; Vigoureux majeur; Remueur; Muldo Ebène et Pourpre</t>
        </is>
      </c>
    </row>
    <row r="4034">
      <c r="A4034" t="inlineStr">
        <is>
          <t>aneryceXLII</t>
        </is>
      </c>
      <c r="B4034">
        <f>HYPERLINK("https://www.dofusbook.net/fr/equipement/1498516-anerycexlii/objets", "link")</f>
        <v/>
      </c>
      <c r="C4034" t="n">
        <v>2</v>
      </c>
      <c r="D4034" t="inlineStr"/>
    </row>
    <row r="4035">
      <c r="A4035" t="inlineStr">
        <is>
          <t>Fullres</t>
        </is>
      </c>
      <c r="B4035">
        <f>HYPERLINK("https://www.dofusbook.net/fr/equipement/1498259-fullres/objets", "link")</f>
        <v/>
      </c>
      <c r="C4035" t="n">
        <v>4</v>
      </c>
      <c r="D4035" t="inlineStr">
        <is>
          <t>Manthache; Amulette du Strigide; Anneau Rifique; Alliance Gloursonne; Bouclier d'Anerice; Menoture; Casque Dragoeuf; Cape d'Anerice; Palmes Trithons; Dofus Émeraude; Dofus Turquoise; Dofus Abyssal; Cascadeur majeur; Remueur; Miraculé majeur; Muldo Ebène et Orchidée</t>
        </is>
      </c>
    </row>
    <row r="4036">
      <c r="A4036" t="inlineStr">
        <is>
          <t>HIh i</t>
        </is>
      </c>
      <c r="B4036">
        <f>HYPERLINK("https://www.dofusbook.net/fr/equipement/1498216-hih-i/objets", "link")</f>
        <v/>
      </c>
      <c r="C4036" t="n">
        <v>5</v>
      </c>
      <c r="D4036" t="inlineStr">
        <is>
          <t>Héqache; Amulette du Strigide; Alliance Gloursonne; Anneau de Pol Ouatnos; Bouclier précieux; Masque d'Anerice; Cape d'Anerice; Bottes Trithon; Dofus Émeraude; Dofus Turquoise; Dofus des Glaces; Miraculé majeur; Culbuteur majeur; Remueur</t>
        </is>
      </c>
    </row>
    <row r="4037">
      <c r="A4037" t="inlineStr">
        <is>
          <t>Stuff 3</t>
        </is>
      </c>
      <c r="B4037">
        <f>HYPERLINK("https://www.dofusbook.net/fr/equipement/103487-stuff-3/objets", "link")</f>
        <v/>
      </c>
      <c r="C4037" t="n">
        <v>4</v>
      </c>
      <c r="D4037" t="inlineStr">
        <is>
          <t>Harpelle; Pendentif mignon de Koutoulou; Anneauræus; Anneau Rifique; Bivalve; Ceinture de Vortex; Coiffe Séculaire; Cape de Diondin; Bottes Innommables; Dofus Pourpre; Nomade; Érudit majeur; Vigoureux majeur; Remueur; Astucieux majeur; Brûlih</t>
        </is>
      </c>
    </row>
    <row r="4038">
      <c r="A4038" t="inlineStr">
        <is>
          <t>OS HI HI</t>
        </is>
      </c>
      <c r="B4038">
        <f>HYPERLINK("https://www.dofusbook.net/fr/equipement/1437448-os-hi-hi/objets", "link")</f>
        <v/>
      </c>
      <c r="C4038" t="n">
        <v>7</v>
      </c>
      <c r="D4038" t="inlineStr">
        <is>
          <t>Marteau R'ture; Amulette du Strigide; Bague Gloursonne; Anneau Chevelu; Ceinture du Strigide; Masque de Koutoulou; Voile d'encre; Bottes de la Cour Sombre</t>
        </is>
      </c>
    </row>
    <row r="4039">
      <c r="A4039" t="inlineStr">
        <is>
          <t>Test ret</t>
        </is>
      </c>
      <c r="B4039">
        <f>HYPERLINK("https://www.dofusbook.net/fr/equipement/1422485-test-ret/objets", "link")</f>
        <v/>
      </c>
      <c r="C4039" t="n">
        <v>1</v>
      </c>
      <c r="D4039" t="inlineStr"/>
    </row>
    <row r="4040">
      <c r="A4040" t="inlineStr">
        <is>
          <t>Stuff 2</t>
        </is>
      </c>
      <c r="B4040">
        <f>HYPERLINK("https://www.dofusbook.net/fr/equipement/103522-stuff-2/objets", "link")</f>
        <v/>
      </c>
      <c r="C4040" t="n">
        <v>4</v>
      </c>
      <c r="D4040" t="inlineStr">
        <is>
          <t>Marteau de Katrepat; Amulette du Strigide; Anneau des égarés; Bague Gloursonne; Quatre-feuilles; Ceintacé; Casque des égarés; Voile d'encre; Bottes du Cycloïde; Dofus Pourpre; Dolmanax; Dofus Turquoise; Carapace Feu majeur; Vigoureux majeur; Remueur; Muldo Pourpre</t>
        </is>
      </c>
    </row>
    <row r="4041">
      <c r="A4041" t="inlineStr">
        <is>
          <t>sbcheat</t>
        </is>
      </c>
      <c r="B4041">
        <f>HYPERLINK("https://www.dofusbook.net/fr/equipement/1262083-sbcheat/objets", "link")</f>
        <v/>
      </c>
      <c r="C4041" t="n">
        <v>5</v>
      </c>
      <c r="D4041" t="inlineStr">
        <is>
          <t>Dagues de Srambad; Collier de Tourthon; Pikano; Alliance Gloursonne; Bouclier alvéolé; Ceinture de la Reine des Voleurs; Coiffe de la Reine des Voleurs; Ankhape; Sabots Minables; Dofus Émeraude; Dolmanax; Dofus Abyssal; Miraculé majeur; Remueur; Muldo Indigo et Pourpre</t>
        </is>
      </c>
    </row>
    <row r="4042">
      <c r="A4042" t="inlineStr">
        <is>
          <t>airfeu</t>
        </is>
      </c>
      <c r="B4042">
        <f>HYPERLINK("https://www.dofusbook.net/fr/equipement/1257730-airfeu/objets", "link")</f>
        <v/>
      </c>
      <c r="C4042" t="n">
        <v>2</v>
      </c>
      <c r="D4042" t="inlineStr">
        <is>
          <t>Canne Harr; Amulette du Strigide; Anneau Tique; Bague Trithon; Bouclier du Captain Amakna; Masque Trithon; Voile d'encre; Dofus Pourpre; Dofus des Glaces; Dofus Émeraude; Dolmanax; Dofus Turquoise; Dofus Ocre; Muldo Orchidée et Pourpre</t>
        </is>
      </c>
    </row>
    <row r="4043">
      <c r="A4043" t="inlineStr">
        <is>
          <t>Allah</t>
        </is>
      </c>
      <c r="B4043">
        <f>HYPERLINK("https://www.dofusbook.net/fr/equipement/1227127-allah/objets", "link")</f>
        <v/>
      </c>
      <c r="C4043" t="n">
        <v>11</v>
      </c>
      <c r="D4043" t="inlineStr">
        <is>
          <t>Arc de Koutoulou; Amulette du Strigide; Alliance Gloursonne; Bracelet des Fonds marins; Quatre-feuilles; Ceintacé; Némès de Tal Kasha; Cape d'Hel Munster; Sandales de Tal Kasha; Dofus des Glaces; Dofus Turquoise; Dofus Pourpre; Vigoureux majeur; Remueur; Chanceux majeur; Muldo Ebène et Indigo</t>
        </is>
      </c>
    </row>
    <row r="4044">
      <c r="A4044" t="inlineStr">
        <is>
          <t>xDg</t>
        </is>
      </c>
      <c r="B4044">
        <f>HYPERLINK("https://www.dofusbook.net/fr/equipement/1184191-xdg/objets", "link")</f>
        <v/>
      </c>
      <c r="C4044" t="n">
        <v>8</v>
      </c>
      <c r="D4044" t="inlineStr">
        <is>
          <t>Pyraguette; Pendentif mignon de Koutoulou; Anneauræus; Anneau Rifique; Casque Dragoeuf; Cape de Diondin; Bottes Innommables; Dofus Pourpre; Dofus Émeraude; Dofus des Glaces; Nomade; Remueur; Bisouglours</t>
        </is>
      </c>
    </row>
    <row r="4045">
      <c r="A4045" t="inlineStr">
        <is>
          <t>Stuff 2</t>
        </is>
      </c>
      <c r="B4045">
        <f>HYPERLINK("https://www.dofusbook.net/fr/equipement/103484-stuff-2/objets", "link")</f>
        <v/>
      </c>
      <c r="C4045" t="n">
        <v>9</v>
      </c>
      <c r="D4045" t="inlineStr">
        <is>
          <t>Héqache; Amulette du Strigide; Anneau Chevelu; Anneau Crustique; Ceintouse; Chapoulpe; Voile d'encre; Baleinabottes; Dofus des Glaces; Dofus Turquoise; Carapace Air majeur; Obstructeur majeur; Étourdisseur majeur; Remueur; Muldo Pourpre</t>
        </is>
      </c>
    </row>
    <row r="4046">
      <c r="A4046" t="inlineStr">
        <is>
          <t>Yolo</t>
        </is>
      </c>
      <c r="B4046">
        <f>HYPERLINK("https://www.dofusbook.net/fr/equipement/1108912-yolo/objets", "link")</f>
        <v/>
      </c>
      <c r="C4046" t="n">
        <v>4</v>
      </c>
      <c r="D4046" t="inlineStr">
        <is>
          <t>Sceptre du Roi Joueur; Amulette du Strigide; Alliance Gloursonne; Bague Trithon; Bouclier précieux; Ceinture Luminescente; Kidibonnet; Cape de Mantaze; Bottes Trithon; Dofus Émeraude; Bousculeur majeur; Miraculé majeur; Carapace Eau majeur; Culbuteur majeur; Remueur; Muldo Ebène et Orchidée</t>
        </is>
      </c>
    </row>
    <row r="4047">
      <c r="A4047" t="inlineStr">
        <is>
          <t>Boum bitch</t>
        </is>
      </c>
      <c r="B4047">
        <f>HYPERLINK("https://www.dofusbook.net/fr/equipement/1108538-boum-bitch/objets", "link")</f>
        <v/>
      </c>
      <c r="C4047" t="n">
        <v>1</v>
      </c>
      <c r="D4047" t="inlineStr"/>
    </row>
    <row r="4048">
      <c r="A4048" t="inlineStr">
        <is>
          <t>fullfuite</t>
        </is>
      </c>
      <c r="B4048">
        <f>HYPERLINK("https://www.dofusbook.net/fr/equipement/984639-fullfuite/objets", "link")</f>
        <v/>
      </c>
      <c r="C4048" t="n">
        <v>3</v>
      </c>
      <c r="D4048" t="inlineStr">
        <is>
          <t>Arc Hétype; Amulette Séculaire; Anneau Tique; Anneau de Nidas; Ceinture Séculaire; Casque Dragoeuf; Cape de Diondin; Bottes Innommables</t>
        </is>
      </c>
    </row>
    <row r="4049">
      <c r="A4049" t="inlineStr">
        <is>
          <t>Silvizi</t>
        </is>
      </c>
      <c r="B4049">
        <f>HYPERLINK("https://www.dofusbook.net/fr/equipement/456776-silvizi/objets", "link")</f>
        <v/>
      </c>
      <c r="C4049" t="n">
        <v>15</v>
      </c>
      <c r="D4049" t="inlineStr">
        <is>
          <t>Marteau des Anciens Steamers; Amulette du Strigide; Alliance Gloursonne; Bague Gloursonne; Ceinture du Strigide; Némès de Tal Kasha; Chevelure de Tal Kasha; Sandales de Tal Kasha; Dofus Émeraude; Dofus Pourpre; Dofus Turquoise; Dofus Abyssal; Dofus Ocre; Dofus Nébuleux; Muldo Ebène et Orchidée</t>
        </is>
      </c>
    </row>
    <row r="4050">
      <c r="A4050" t="inlineStr">
        <is>
          <t>Stuff 3</t>
        </is>
      </c>
      <c r="B4050">
        <f>HYPERLINK("https://www.dofusbook.net/fr/equipement/103531-stuff-3/objets", "link")</f>
        <v/>
      </c>
      <c r="C4050" t="n">
        <v>7</v>
      </c>
      <c r="D4050" t="inlineStr">
        <is>
          <t>Héqache; Amulette du Strigide; Anneau de Pol Ouatnos; Anneau Chevelu; Ceinture du Strigide; Masque de Koutoulou; Ankhape; Tentassons; Dofus Abyssal; Dofus Émeraude; Dofus des Glaces; Dofus Turquoise; Miraculé majeur; Remueur; Brâkarien</t>
        </is>
      </c>
    </row>
    <row r="4051">
      <c r="A4051" t="inlineStr">
        <is>
          <t>Stuff 1</t>
        </is>
      </c>
      <c r="B4051">
        <f>HYPERLINK("https://www.dofusbook.net/fr/equipement/103521-stuff-1/objets", "link")</f>
        <v/>
      </c>
      <c r="C4051" t="n">
        <v>2</v>
      </c>
      <c r="D4051" t="inlineStr">
        <is>
          <t>Héqache; Amulette du Strigide; Bracelet du Piloztère; Bague Gloursonne; Ceintacé; Casque des égarés; Voile d'encre; Bottes du Strigide; Dofus Nébuleux; Dofus Turquoise; Dofus Pourpre; Nomade; Remueur; Carapace Terre majeur; Kramkram</t>
        </is>
      </c>
    </row>
    <row r="4052">
      <c r="A4052" t="inlineStr">
        <is>
          <t>Stuff 2</t>
        </is>
      </c>
      <c r="B4052">
        <f>HYPERLINK("https://www.dofusbook.net/fr/equipement/103533-stuff-2/objets", "link")</f>
        <v/>
      </c>
      <c r="C4052" t="n">
        <v>3</v>
      </c>
      <c r="D4052" t="inlineStr">
        <is>
          <t>Pelle de la Cour Sombre; Amulette du Strigide; Alliance Gloursonne; Anneau d'Allister; Ceinture de Klime; Casque Dragoeuf; Cape de Klime; Baleinabottes; Dofus Pourpre; Cascadeur majeur; Miraculé majeur; Remueur; Évasif majeur; Nomade; Croum</t>
        </is>
      </c>
    </row>
    <row r="4053">
      <c r="A4053" t="inlineStr">
        <is>
          <t>Stuff 3</t>
        </is>
      </c>
      <c r="B4053">
        <f>HYPERLINK("https://www.dofusbook.net/fr/equipement/103528-stuff-3/objets", "link")</f>
        <v/>
      </c>
      <c r="C4053" t="n">
        <v>4</v>
      </c>
      <c r="D4053" t="inlineStr">
        <is>
          <t>Karnak; Collier du Valet Veinard; Anneau des égarés; Gant du Valet Veinard; Ceinture du Barbétoal; Casque des égarés; Cape du Valet Veinard; Bottes des égarés; Dofus Émeraude; Dofus Vulbis; Dofus des Glaces; Dofus Ocre; Dofus Pourpre; Ravageur Air majeur; Croum</t>
        </is>
      </c>
    </row>
    <row r="4054">
      <c r="A4054" t="inlineStr">
        <is>
          <t>Stuff 3</t>
        </is>
      </c>
      <c r="B4054">
        <f>HYPERLINK("https://www.dofusbook.net/fr/equipement/103523-stuff-3/objets", "link")</f>
        <v/>
      </c>
      <c r="C4054" t="n">
        <v>2</v>
      </c>
      <c r="D4054" t="inlineStr">
        <is>
          <t>Sabres d'Atcham; Amulette du Strigide; Anneau Tique; Anneau de Padgref; Ceinture du Strigide; Coiffe de Padgref; Cape d'Atcham; Getas de Padgref; Dofus des Glaces; Dofus Turquoise; Dolmanax; Dofus Pourpre; Dofus Ocre; Dofus Vulbis; Kramkram</t>
        </is>
      </c>
    </row>
    <row r="4055">
      <c r="A4055" t="inlineStr">
        <is>
          <t>Stuff 2</t>
        </is>
      </c>
      <c r="B4055">
        <f>HYPERLINK("https://www.dofusbook.net/fr/equipement/103530-stuff-2/objets", "link")</f>
        <v/>
      </c>
      <c r="C4055" t="n">
        <v>8</v>
      </c>
      <c r="D4055" t="inlineStr">
        <is>
          <t>Marteau R'ture; Amulette du Strigide; Anneau Crustique; Anneau Chevelu; Ceinture du Strigide; Masque de Koutoulou; Voile d'encre; Bottes de la Cour Sombre; Dofus Turquoise; Remueur; Carapace Eau majeur; Nomade; Croum</t>
        </is>
      </c>
    </row>
    <row r="4056">
      <c r="A4056" t="inlineStr">
        <is>
          <t>Stuff 1</t>
        </is>
      </c>
      <c r="B4056">
        <f>HYPERLINK("https://www.dofusbook.net/fr/equipement/103532-stuff-1/objets", "link")</f>
        <v/>
      </c>
      <c r="C4056" t="n">
        <v>7</v>
      </c>
      <c r="D4056" t="inlineStr">
        <is>
          <t>Épée de la Reine des Voleurs; Amulette du Kamasterisk; Bague Gloursonne; Anneau Chevelu; Ceinture de la Reine des Voleurs; Coiffe de la Reine des Voleurs; Cape de Nevark; Baleinabottes; Dofus des Glaces; Dofus Pourpre; Vigoureux majeur; Carapace Neutre majeur; Remueur; Enragé majeur; Kramkram</t>
        </is>
      </c>
    </row>
    <row r="4057">
      <c r="A4057" t="inlineStr">
        <is>
          <t>Stuff 2</t>
        </is>
      </c>
      <c r="B4057">
        <f>HYPERLINK("https://www.dofusbook.net/fr/equipement/103527-stuff-2/objets", "link")</f>
        <v/>
      </c>
      <c r="C4057" t="n">
        <v>7</v>
      </c>
      <c r="D4057" t="inlineStr">
        <is>
          <t>Rapière aux Glyphes; Talisman Glouti; Bracelet des Fonds marins; Alliance Gloursonne; Ceinture de la Reine des Voleurs; Casque Dragoeuf; Cape du Sinistrofu; Bottes de la Reine des Voleurs; Dofus Ocre; Dofus des Glaces; Miraculé majeur; Nomade; Carapace Air majeur; Remueur; Croum</t>
        </is>
      </c>
    </row>
    <row r="4058">
      <c r="A4058" t="inlineStr">
        <is>
          <t>Stuff 1</t>
        </is>
      </c>
      <c r="B4058">
        <f>HYPERLINK("https://www.dofusbook.net/fr/equipement/103539-stuff-1/objets", "link")</f>
        <v/>
      </c>
      <c r="C4058" t="n">
        <v>1</v>
      </c>
      <c r="D4058" t="inlineStr">
        <is>
          <t>Amulette de Nileza; Cape de Nileza</t>
        </is>
      </c>
    </row>
    <row r="4059">
      <c r="A4059" t="inlineStr">
        <is>
          <t>Stuff 3</t>
        </is>
      </c>
      <c r="B4059">
        <f>HYPERLINK("https://www.dofusbook.net/fr/equipement/103534-stuff-3/objets", "link")</f>
        <v/>
      </c>
      <c r="C4059" t="n">
        <v>3</v>
      </c>
      <c r="D4059" t="inlineStr">
        <is>
          <t>Marteau des Anciens Steamers; Amulette du Strigide; Alliance Gloursonne; Gant du Valet Veinard; Ceintacé; Coiffe de la Reine des Voleurs; Cape Matelassée; Bottes de la Reine des Voleurs; Dofus Turquoise; Dofus des Glaces; Dofus Pourpre; Carapace Eau majeur; Nomade; Vigoureux majeur; Croum</t>
        </is>
      </c>
    </row>
    <row r="4060">
      <c r="A4060" t="inlineStr">
        <is>
          <t>Stuff 1</t>
        </is>
      </c>
      <c r="B4060">
        <f>HYPERLINK("https://www.dofusbook.net/fr/equipement/103529-stuff-1/objets", "link")</f>
        <v/>
      </c>
      <c r="C4060" t="n">
        <v>2</v>
      </c>
      <c r="D4060" t="inlineStr">
        <is>
          <t>Le Thanos; Pendentif Oton; Anneauræus; Anneauræus; Ceintrigue; Binocle Airvoyant; Cape de Diondin; Bottes Dogues; Culbuteur majeur; Guérisseur majeur; Miraculé majeur; Remueur; Docteur majeur; Guérisseur; Ploup</t>
        </is>
      </c>
    </row>
    <row r="4061">
      <c r="A4061" t="inlineStr">
        <is>
          <t>Stuff 2</t>
        </is>
      </c>
      <c r="B4061">
        <f>HYPERLINK("https://www.dofusbook.net/fr/equipement/103519-stuff-2/objets", "link")</f>
        <v/>
      </c>
      <c r="C4061" t="n">
        <v>3</v>
      </c>
      <c r="D4061" t="inlineStr">
        <is>
          <t>Baguette de Malléfisk; Pendentif mignon de Koutoulou; Anneau Rifique; Bague Trithon; Protopagne; Casque Dragoeuf; Cape d'Aermyne; Bottes Innommables; Dokoko; Dofus Émeraude; Dofus Ocre; Miraculé majeur; Carapace Air majeur; Remueur</t>
        </is>
      </c>
    </row>
    <row r="4062">
      <c r="A4062" t="inlineStr">
        <is>
          <t>Stuff 2</t>
        </is>
      </c>
      <c r="B4062">
        <f>HYPERLINK("https://www.dofusbook.net/fr/equipement/103472-stuff-2/objets", "link")</f>
        <v/>
      </c>
      <c r="C4062" t="n">
        <v>0</v>
      </c>
      <c r="D4062" t="inlineStr"/>
    </row>
    <row r="4063">
      <c r="A4063" t="inlineStr">
        <is>
          <t>Stuff 1</t>
        </is>
      </c>
      <c r="B4063">
        <f>HYPERLINK("https://www.dofusbook.net/fr/equipement/103499-stuff-1/objets", "link")</f>
        <v/>
      </c>
      <c r="C4063" t="n">
        <v>5</v>
      </c>
      <c r="D4063" t="inlineStr">
        <is>
          <t>Rapière aux Glyphes; Amulette du Strigide; Alliance Gloursonne; Pikano; Ceinture du Strigide; Kidibonnet; Cape Matelassée; Sandales des Fonds marins; Dofus Pourpre; Dofus Turquoise; Dofus des Glaces; Vigoureux majeur; Nomade; Carapace Feu majeur; Croum</t>
        </is>
      </c>
    </row>
    <row r="4064">
      <c r="A4064" t="inlineStr">
        <is>
          <t>Stuff 2</t>
        </is>
      </c>
      <c r="B4064">
        <f>HYPERLINK("https://www.dofusbook.net/fr/equipement/103462-stuff-2/objets", "link")</f>
        <v/>
      </c>
      <c r="C4064" t="n">
        <v>4</v>
      </c>
      <c r="D4064" t="inlineStr">
        <is>
          <t>Pelle de la Cour Sombre; Amulette du Kamasterisk; Alliance Gloursonne; Anneau des égarés; Ceintacé; Coiffe de la Fuji Givrefoux; Cape du Kamasterisk; Bottes du Cycloïde; Dofus Pourpre; Évasif majeur; Vigoureux majeur; Cavaleur majeur; Remueur; Nomade; Croum</t>
        </is>
      </c>
    </row>
    <row r="4065">
      <c r="A4065" t="inlineStr">
        <is>
          <t>Stuff 2</t>
        </is>
      </c>
      <c r="B4065">
        <f>HYPERLINK("https://www.dofusbook.net/fr/equipement/103489-stuff-2/objets", "link")</f>
        <v/>
      </c>
      <c r="C4065" t="n">
        <v>0</v>
      </c>
      <c r="D4065" t="inlineStr">
        <is>
          <t>Arc de Koutoulou; Amulette du Strigide; Bague Gloursonne; Alliance Gloursonne; Ceinture du Strigide; Némès de Tal Kasha; Chevelure de Tal Kasha; Sandales de Tal Kasha; Dofus Abyssal; Dofus des Glaces; Dolmanax; Dofus Turquoise; Dofus Ocre; Dofus Pourpre; Croum</t>
        </is>
      </c>
    </row>
    <row r="4066">
      <c r="A4066" t="inlineStr">
        <is>
          <t>Stuff 3</t>
        </is>
      </c>
      <c r="B4066">
        <f>HYPERLINK("https://www.dofusbook.net/fr/equipement/103516-stuff-3/objets", "link")</f>
        <v/>
      </c>
      <c r="C4066" t="n">
        <v>1</v>
      </c>
      <c r="D4066" t="inlineStr">
        <is>
          <t>Arc du Chalœil; Amulette du Strigide; Anneau Crustique; Bague Gloursonne; Ceinture du Strigide; Masque de Koutoulou; Voile d'encre; Bottes de la Cour Sombre; Dofus des Glaces; Dofus Turquoise; Remueur; Vigoureux majeur; Enragé majeur; Nomade</t>
        </is>
      </c>
    </row>
    <row r="4067">
      <c r="A4067" t="inlineStr">
        <is>
          <t>Stuff 3</t>
        </is>
      </c>
      <c r="B4067">
        <f>HYPERLINK("https://www.dofusbook.net/fr/equipement/103479-stuff-3/objets", "link")</f>
        <v/>
      </c>
      <c r="C4067" t="n">
        <v>8</v>
      </c>
      <c r="D4067" t="inlineStr">
        <is>
          <t>Arc de Koutoulou; Talisman Glouti; Bracelet du Piloztère; Alliance Gloursonne; Ceinture de la Reine des Voleurs; Kidibonnet; Cape Matelassée; Bottes de la Reine des Voleurs; Dofus Turquoise; Dofus Pourpre; Dofus des Glaces; Vigoureux majeur; Chanceux majeur; Nomade; Kramkram</t>
        </is>
      </c>
    </row>
    <row r="4068">
      <c r="A4068" t="inlineStr">
        <is>
          <t>Stuff 3</t>
        </is>
      </c>
      <c r="B4068">
        <f>HYPERLINK("https://www.dofusbook.net/fr/equipement/103493-stuff-3/objets", "link")</f>
        <v/>
      </c>
      <c r="C4068" t="n">
        <v>2</v>
      </c>
      <c r="D4068" t="inlineStr">
        <is>
          <t>Manthache; Collier du Valet Veinard; Alliance Gloursonne; Anneau de Pol Ouatnos; Menoture; Casque Dragoeuf; Cape du Valet Veinard; Palmes Trithons; Carapace Feu majeur; Déserteur majeur; Évasif majeur; Remueur; Cavaleur majeur; Carapace Air majeur; Croum</t>
        </is>
      </c>
    </row>
    <row r="4069">
      <c r="A4069" t="inlineStr">
        <is>
          <t>Stuff 1</t>
        </is>
      </c>
      <c r="B4069">
        <f>HYPERLINK("https://www.dofusbook.net/fr/equipement/103483-stuff-1/objets", "link")</f>
        <v/>
      </c>
      <c r="C4069" t="n">
        <v>11</v>
      </c>
      <c r="D4069" t="inlineStr">
        <is>
          <t>Plumeau Bil; Amulette de Nileza; Anneau de Nidas; Bague Gloursonne; Ceinture de Vortex; Cagoule de Vortex; Voile d'encre; Pataugastrique; Dolmanax; Miraculé majeur; Obstructeur majeur; Nomade; Étourdisseur majeur; Remueur; Croum</t>
        </is>
      </c>
    </row>
    <row r="4070">
      <c r="A4070" t="inlineStr">
        <is>
          <t>Stuff 2</t>
        </is>
      </c>
      <c r="B4070">
        <f>HYPERLINK("https://www.dofusbook.net/fr/equipement/103515-stuff-2/objets", "link")</f>
        <v/>
      </c>
      <c r="C4070" t="n">
        <v>2</v>
      </c>
      <c r="D4070" t="inlineStr">
        <is>
          <t>Pelle de la Cour Sombre; Collier du Valet Veinard; Alliance Gloursonne; Gant du Valet Veinard; Protopagne; Casque Dragoeuf; Capchalot; Baleinabottes; Miraculé majeur; Carapace Air majeur; Évasif majeur; Carapace Neutre majeur; Déserteur majeur; Cavaleur majeur; Croum</t>
        </is>
      </c>
    </row>
    <row r="4071">
      <c r="A4071" t="inlineStr">
        <is>
          <t>Stuff 2</t>
        </is>
      </c>
      <c r="B4071">
        <f>HYPERLINK("https://www.dofusbook.net/fr/equipement/103478-stuff-2/objets", "link")</f>
        <v/>
      </c>
      <c r="C4071" t="n">
        <v>4</v>
      </c>
      <c r="D4071" t="inlineStr">
        <is>
          <t>Rapière aux Glyphes; Talisman Glouti; Alliance Gloursonne; Bracelet des Fonds marins; Ceinture de la Reine des Voleurs; Kidibonnet; Cape du Sinistrofu; Bottes de la Reine des Voleurs; Dofus Turquoise; Carapace Air majeur; Remueur; Chanceux majeur; Nomade; Croum</t>
        </is>
      </c>
    </row>
    <row r="4072">
      <c r="A4072" t="inlineStr">
        <is>
          <t>Stuff 3</t>
        </is>
      </c>
      <c r="B4072">
        <f>HYPERLINK("https://www.dofusbook.net/fr/equipement/103473-stuff-3/objets", "link")</f>
        <v/>
      </c>
      <c r="C4072" t="n">
        <v>2</v>
      </c>
      <c r="D4072" t="inlineStr">
        <is>
          <t>Amulette d'Ilyzaelle; Casque d'Ilyzaelle</t>
        </is>
      </c>
    </row>
    <row r="4073">
      <c r="A4073" t="inlineStr">
        <is>
          <t>Stuff 1</t>
        </is>
      </c>
      <c r="B4073">
        <f>HYPERLINK("https://www.dofusbook.net/fr/equipement/103505-stuff-1/objets", "link")</f>
        <v/>
      </c>
      <c r="C4073" t="n">
        <v>9</v>
      </c>
      <c r="D4073" t="inlineStr">
        <is>
          <t>Dagues Érhy; Amulette du Strigide; Bague Gloursonne; Bracelet du Piloztère; Ceinture de la Cour Sombre; Coiffe de la Fuji Givrefoux; Cape au Logis; Bottes de la Cour Sombre; Dofus Pourpre; Dofus Turquoise; Dofus des Glaces; Dofus Ocre; Remueur; Enragé majeur; Croum</t>
        </is>
      </c>
    </row>
    <row r="4074">
      <c r="A4074" t="inlineStr">
        <is>
          <t>Stuff 1</t>
        </is>
      </c>
      <c r="B4074">
        <f>HYPERLINK("https://www.dofusbook.net/fr/equipement/103463-stuff-1/objets", "link")</f>
        <v/>
      </c>
      <c r="C4074" t="n">
        <v>2</v>
      </c>
      <c r="D4074" t="inlineStr">
        <is>
          <t>Manthache; Amulette du Cœur Vaillant; Gant du Valet Veinard; Alliance Gloursonne; Cadran de Terre; Menoture; Masque de l'Esprit Salvateur</t>
        </is>
      </c>
    </row>
    <row r="4075">
      <c r="A4075" t="inlineStr">
        <is>
          <t>Stuff 1</t>
        </is>
      </c>
      <c r="B4075">
        <f>HYPERLINK("https://www.dofusbook.net/fr/equipement/103495-stuff-1/objets", "link")</f>
        <v/>
      </c>
      <c r="C4075" t="n">
        <v>10</v>
      </c>
      <c r="D4075" t="inlineStr">
        <is>
          <t>Harpelle; Pendentif mignon de Koutoulou; Anneau Rifique; Anneauræus; Ceinture de Vortex; Casque Dragoeuf; Cape de Diondin; Bottes Innommables; Dolmanax; Dofus des Glaces; Guérisseur majeur; Érudit majeur; Étourdisseur majeur; Remueur</t>
        </is>
      </c>
    </row>
    <row r="4076">
      <c r="A4076" t="inlineStr">
        <is>
          <t>Stuff 3</t>
        </is>
      </c>
      <c r="B4076">
        <f>HYPERLINK("https://www.dofusbook.net/fr/equipement/103485-stuff-3/objets", "link")</f>
        <v/>
      </c>
      <c r="C4076" t="n">
        <v>4</v>
      </c>
      <c r="D4076" t="inlineStr">
        <is>
          <t>Dagues Érhy; Amulette du Strigide; Anneau Chevelu; Bague Gloursonne; Ceinture de Gein; Chapeau de Gein; Voile d'encre; Pataugastrique; Muldo Orchidée et Pourpre</t>
        </is>
      </c>
    </row>
    <row r="4077">
      <c r="A4077" t="inlineStr">
        <is>
          <t>Stuff 1</t>
        </is>
      </c>
      <c r="B4077">
        <f>HYPERLINK("https://www.dofusbook.net/fr/equipement/103517-stuff-1/objets", "link")</f>
        <v/>
      </c>
      <c r="C4077" t="n">
        <v>3</v>
      </c>
      <c r="D4077" t="inlineStr">
        <is>
          <t>Manthache; Collier du Valet Veinard; Gant du Valet Veinard; Alliance Gloursonne; Menoture; Casque Dragoeuf; Cape du Kamasterisk; Palmes Trithons; Carapace Air majeur; Cavaleur majeur; Carapace Feu majeur; Remueur; Déserteur majeur; Évasif majeur</t>
        </is>
      </c>
    </row>
    <row r="4078">
      <c r="A4078" t="inlineStr">
        <is>
          <t>Stuff 2</t>
        </is>
      </c>
      <c r="B4078">
        <f>HYPERLINK("https://www.dofusbook.net/fr/equipement/103512-stuff-2/objets", "link")</f>
        <v/>
      </c>
      <c r="C4078" t="n">
        <v>2</v>
      </c>
      <c r="D4078" t="inlineStr"/>
    </row>
    <row r="4079">
      <c r="A4079" t="inlineStr">
        <is>
          <t>Stuff 2</t>
        </is>
      </c>
      <c r="B4079">
        <f>HYPERLINK("https://www.dofusbook.net/fr/equipement/103475-stuff-2/objets", "link")</f>
        <v/>
      </c>
      <c r="C4079" t="n">
        <v>4</v>
      </c>
      <c r="D4079" t="inlineStr">
        <is>
          <t>Marteau des Anciens Steamers; Amulette du Strigide; Alliance Gloursonne; Bague Gloursonne; Ceinture du Strigide; Némès de Tal Kasha; Chevelure de Tal Kasha; Sandales de Tal Kasha; Dofus Abyssal; Dofus des Glaces; Dofus Vulbis; Dofus Turquoise; Dofus Ocre; Dofus Nébuleux; Kramkram</t>
        </is>
      </c>
    </row>
    <row r="4080">
      <c r="A4080" t="inlineStr">
        <is>
          <t>Stuff 3</t>
        </is>
      </c>
      <c r="B4080">
        <f>HYPERLINK("https://www.dofusbook.net/fr/equipement/103465-stuff-3/objets", "link")</f>
        <v/>
      </c>
      <c r="C4080" t="n">
        <v>5</v>
      </c>
      <c r="D4080" t="inlineStr">
        <is>
          <t>Sabres d'Atcham; Amulette de l'Indicible; Alliance Gloursonne; Anneau de Pol Ouatnos; Menoture; Masque Trithon; Cape Matelassée; Bottes Trithon; Dofus Turquoise; Dofus Pourpre; Dolmanax; Miraculé majeur; Vigoureux majeur; Étourdisseur majeur; Croum</t>
        </is>
      </c>
    </row>
    <row r="4081">
      <c r="A4081" t="inlineStr">
        <is>
          <t>Stuff 1</t>
        </is>
      </c>
      <c r="B4081">
        <f>HYPERLINK("https://www.dofusbook.net/fr/equipement/103492-stuff-1/objets", "link")</f>
        <v/>
      </c>
      <c r="C4081" t="n">
        <v>5</v>
      </c>
      <c r="D4081" t="inlineStr">
        <is>
          <t>Pelle de la Cour Sombre; Amibou; Alliance Gloursonne; Anneau de XLII; Protopagne; Dorabysses; Cape Matelassée; Bottes de XLII; Remueur; Évasif majeur; Cascadeur majeur; Cavaleur majeur; Miraculé majeur; Déserteur majeur; Croum</t>
        </is>
      </c>
    </row>
    <row r="4082">
      <c r="A4082" t="inlineStr">
        <is>
          <t>Stuff 3</t>
        </is>
      </c>
      <c r="B4082">
        <f>HYPERLINK("https://www.dofusbook.net/fr/equipement/103482-stuff-3/objets", "link")</f>
        <v/>
      </c>
      <c r="C4082" t="n">
        <v>7</v>
      </c>
      <c r="D4082" t="inlineStr">
        <is>
          <t>Harpelle; Amulette du Strigide; Anneau Chevelu; Bague Gloursonne; Ceinture de Gein; Chapeau de Gein; Cape de Kongoku; Pataugastrique; Dofus des Glaces; Dofus Turquoise; Dofus Pourpre; Obstructeur majeur; Remueur; Nomade; Croum</t>
        </is>
      </c>
    </row>
    <row r="4083">
      <c r="A4083" t="inlineStr">
        <is>
          <t>Stuff 1</t>
        </is>
      </c>
      <c r="B4083">
        <f>HYPERLINK("https://www.dofusbook.net/fr/equipement/103514-stuff-1/objets", "link")</f>
        <v/>
      </c>
      <c r="C4083" t="n">
        <v>2</v>
      </c>
      <c r="D4083" t="inlineStr">
        <is>
          <t>Pelle de la Cour Sombre; Amibou; Anneau des égarés; Alliance Gloursonne; Ceinture du Barbétoal; Coiffe de la Reine des Voleurs; Cape du Kamasterisk; Bottes de la Reine des Voleurs; Dofus Ocre; Fonceur majeur; Carapace Air majeur; Nomade; Carapace Eau majeur; Remueur; Croum</t>
        </is>
      </c>
    </row>
    <row r="4084">
      <c r="A4084" t="inlineStr">
        <is>
          <t>Stuff 2</t>
        </is>
      </c>
      <c r="B4084">
        <f>HYPERLINK("https://www.dofusbook.net/fr/equipement/103472-stuff-2/objets", "link")</f>
        <v/>
      </c>
      <c r="C4084" t="n">
        <v>0</v>
      </c>
      <c r="D4084" t="inlineStr"/>
    </row>
    <row r="4085">
      <c r="A4085" t="inlineStr">
        <is>
          <t>Stuff 1</t>
        </is>
      </c>
      <c r="B4085">
        <f>HYPERLINK("https://www.dofusbook.net/fr/equipement/103499-stuff-1/objets", "link")</f>
        <v/>
      </c>
      <c r="C4085" t="n">
        <v>5</v>
      </c>
      <c r="D4085" t="inlineStr">
        <is>
          <t>Rapière aux Glyphes; Amulette du Strigide; Pikano; Alliance Gloursonne; Ceinture du Strigide; Kidibonnet; Cape Matelassée; Sandales des Fonds marins; Dofus Pourpre; Dofus Turquoise; Dofus des Glaces; Vigoureux majeur; Nomade; Carapace Feu majeur; Croum</t>
        </is>
      </c>
    </row>
    <row r="4086">
      <c r="A4086" t="inlineStr">
        <is>
          <t>Stuff 1</t>
        </is>
      </c>
      <c r="B4086">
        <f>HYPERLINK("https://www.dofusbook.net/fr/equipement/103514-stuff-1/objets", "link")</f>
        <v/>
      </c>
      <c r="C4086" t="n">
        <v>2</v>
      </c>
      <c r="D4086" t="inlineStr">
        <is>
          <t>Pelle de la Cour Sombre; Amibou; Anneau des égarés; Alliance Gloursonne; Ceinture du Barbétoal; Coiffe de la Reine des Voleurs; Cape du Kamasterisk; Bottes de la Reine des Voleurs; Dofus Ocre; Carapace Eau majeur; Remueur; Fonceur majeur; Carapace Air majeur; Nomade; Croum</t>
        </is>
      </c>
    </row>
    <row r="4087">
      <c r="A4087" t="inlineStr">
        <is>
          <t>Stuff 2</t>
        </is>
      </c>
      <c r="B4087">
        <f>HYPERLINK("https://www.dofusbook.net/fr/equipement/103472-stuff-2/objets", "link")</f>
        <v/>
      </c>
      <c r="C4087" t="n">
        <v>0</v>
      </c>
      <c r="D4087" t="inlineStr"/>
    </row>
    <row r="4088">
      <c r="A4088" t="inlineStr">
        <is>
          <t>Stuff 1</t>
        </is>
      </c>
      <c r="B4088">
        <f>HYPERLINK("https://www.dofusbook.net/fr/equipement/103499-stuff-1/objets", "link")</f>
        <v/>
      </c>
      <c r="C4088" t="n">
        <v>5</v>
      </c>
      <c r="D4088" t="inlineStr">
        <is>
          <t>Rapière aux Glyphes; Amulette du Strigide; Alliance Gloursonne; Pikano; Ceinture du Strigide; Kidibonnet; Cape Matelassée; Sandales des Fonds marins; Dofus Pourpre; Dofus Turquoise; Dofus des Glaces; Vigoureux majeur; Nomade; Carapace Feu majeur; Croum</t>
        </is>
      </c>
    </row>
    <row r="4089">
      <c r="A4089" t="inlineStr">
        <is>
          <t>Stuff 2</t>
        </is>
      </c>
      <c r="B4089">
        <f>HYPERLINK("https://www.dofusbook.net/fr/equipement/103462-stuff-2/objets", "link")</f>
        <v/>
      </c>
      <c r="C4089" t="n">
        <v>4</v>
      </c>
      <c r="D4089" t="inlineStr">
        <is>
          <t>Pelle de la Cour Sombre; Amulette du Kamasterisk; Anneau des égarés; Alliance Gloursonne; Ceintacé; Coiffe de la Fuji Givrefoux; Cape du Kamasterisk; Bottes du Cycloïde; Dofus Pourpre; Cavaleur majeur; Remueur; Nomade; Évasif majeur; Vigoureux majeur; Croum</t>
        </is>
      </c>
    </row>
    <row r="4090">
      <c r="A4090" t="inlineStr">
        <is>
          <t>Stuff 2</t>
        </is>
      </c>
      <c r="B4090">
        <f>HYPERLINK("https://www.dofusbook.net/fr/equipement/103489-stuff-2/objets", "link")</f>
        <v/>
      </c>
      <c r="C4090" t="n">
        <v>0</v>
      </c>
      <c r="D4090" t="inlineStr">
        <is>
          <t>Arc de Koutoulou; Amulette du Strigide; Bague Gloursonne; Alliance Gloursonne; Ceinture du Strigide; Némès de Tal Kasha; Chevelure de Tal Kasha; Sandales de Tal Kasha; Dofus Abyssal; Dofus des Glaces; Dolmanax; Dofus Turquoise; Dofus Ocre; Dofus Pourpre; Croum</t>
        </is>
      </c>
    </row>
    <row r="4091">
      <c r="A4091" t="inlineStr">
        <is>
          <t>Stuff 3</t>
        </is>
      </c>
      <c r="B4091">
        <f>HYPERLINK("https://www.dofusbook.net/fr/equipement/103516-stuff-3/objets", "link")</f>
        <v/>
      </c>
      <c r="C4091" t="n">
        <v>1</v>
      </c>
      <c r="D4091" t="inlineStr">
        <is>
          <t>Arc du Chalœil; Amulette du Strigide; Anneau Crustique; Bague Gloursonne; Ceinture du Strigide; Masque de Koutoulou; Voile d'encre; Bottes de la Cour Sombre; Dofus Turquoise; Dofus des Glaces; Vigoureux majeur; Enragé majeur; Nomade; Remueur</t>
        </is>
      </c>
    </row>
    <row r="4092">
      <c r="A4092" t="inlineStr">
        <is>
          <t>Stuff 3</t>
        </is>
      </c>
      <c r="B4092">
        <f>HYPERLINK("https://www.dofusbook.net/fr/equipement/1938199-stuff-3/objets", "link")</f>
        <v/>
      </c>
      <c r="C4092" t="n">
        <v>6</v>
      </c>
      <c r="D4092" t="inlineStr">
        <is>
          <t>Marteau des égarés; Amulette du Strigide; Alliance Gloursonne; Bague Trithon; Bouclier du Captain Amakna; Ceinture du Strigide; Masque Trithon; Voile d'encre; Bottes du Strigide; Dofus des Glaces; Dofus Nébuleux; Dofus Turquoise; Dolmanax; Dofus Ocre; Dofus Pourpre; Muldo Prune et Emeraude</t>
        </is>
      </c>
    </row>
    <row r="4093">
      <c r="A4093" t="inlineStr">
        <is>
          <t>Stuff 2</t>
        </is>
      </c>
      <c r="B4093">
        <f>HYPERLINK("https://www.dofusbook.net/fr/equipement/1938198-stuff-2/objets", "link")</f>
        <v/>
      </c>
      <c r="C4093" t="n">
        <v>11</v>
      </c>
      <c r="D4093" t="inlineStr">
        <is>
          <t>Marteau des égarés; Amulette du Strigide; Alliance Gloursonne; Bague Trithon; Bouclier du Captain Amakna; Ceinture du Strigide; Masque Trithon; Chevelure de Tal Kasha; Bottes du Strigide; Dofus Émeraude; Dofus Ocre; Dolmanax; Dofus Pourpre; Dofus Turquoise; Muldo Prune et Emeraude</t>
        </is>
      </c>
    </row>
    <row r="4094">
      <c r="A4094" t="inlineStr">
        <is>
          <t>Stuff 1</t>
        </is>
      </c>
      <c r="B4094">
        <f>HYPERLINK("https://www.dofusbook.net/fr/equipement/1938215-stuff-1/objets", "link")</f>
        <v/>
      </c>
      <c r="C4094" t="n">
        <v>1</v>
      </c>
      <c r="D4094" t="inlineStr">
        <is>
          <t>Marteau de Katrepat; Amulette du Cycloïde; Anneau du Cycloïde; Alliance Brûlâme; Goulclier; Ceinture du Strigide; Masque Brûlâme; Voile d'encre; Pompes Funèbres; Dofus Pourpre; Dofus des Glaces; Dofus Turquoise; Dofus Abyssal; Dolmanax; Dofus Ocre</t>
        </is>
      </c>
    </row>
    <row r="4095">
      <c r="A4095" t="inlineStr">
        <is>
          <t>Stuff 1</t>
        </is>
      </c>
      <c r="B4095">
        <f>HYPERLINK("https://www.dofusbook.net/fr/equipement/1938200-stuff-1/objets", "link")</f>
        <v/>
      </c>
      <c r="C4095" t="n">
        <v>1</v>
      </c>
      <c r="D4095" t="inlineStr">
        <is>
          <t>Hache du Chalœil; Amulette du Strigide; Alliance de Missiz Frizz; Goulano; Bouclier du Captain Amakna; Ceinture du Strigide; Casque de Missiz Frizz; Voile d'encre; Bottes du Strigide; Dofus Ivoire; Dofus Ocre; Dofus des Glaces; Dofus Turquoise; Dolmanax; Dofus Émeraude</t>
        </is>
      </c>
    </row>
    <row r="4096">
      <c r="A4096" t="inlineStr">
        <is>
          <t>Stuff 2</t>
        </is>
      </c>
      <c r="B4096">
        <f>HYPERLINK("https://www.dofusbook.net/fr/equipement/1938216-stuff-2/objets", "link")</f>
        <v/>
      </c>
      <c r="C4096" t="n">
        <v>1</v>
      </c>
      <c r="D4096" t="inlineStr">
        <is>
          <t>Marteau Reine; Amulette du Cœur Saignant; Anneau du Comte Harebourg; Anneau de Brouce; Bouclier du Captain Amakna; Ceinture de Brouce; Coiffe du Comte Harebourg; Cape du Cœur Saignant; Bottes du Cœur Saignant; Dofus Pourpre; Dofus Abyssal; Dofus des Glaces; Dofus Turquoise; Dofus Émeraude; Dofus Ocre; Muldo Prune et Amande</t>
        </is>
      </c>
    </row>
    <row r="4097">
      <c r="A4097" t="inlineStr">
        <is>
          <t>Stuff 1</t>
        </is>
      </c>
      <c r="B4097">
        <f>HYPERLINK("https://www.dofusbook.net/fr/equipement/1938203-stuff-1/objets", "link")</f>
        <v/>
      </c>
      <c r="C4097" t="n">
        <v>2</v>
      </c>
      <c r="D4097" t="inlineStr">
        <is>
          <t>Sabres d'Atcham; Talisman Glouti; Anneau du Père Fwetar; Anneau Tique; Goulclier; Ceinture du Père Fwetar; Dorabysses; Cape d'Atcham; Sandales  d'Atcham; Dofus Turquoise; Dofus Ocre; Dolmanax; Dofus Pourpre; Dofus Émeraude; Survivant majeur</t>
        </is>
      </c>
    </row>
    <row r="4098">
      <c r="A4098" t="inlineStr">
        <is>
          <t>Stuff 3</t>
        </is>
      </c>
      <c r="B4098">
        <f>HYPERLINK("https://www.dofusbook.net/fr/equipement/1938205-stuff-3/objets", "link")</f>
        <v/>
      </c>
      <c r="C4098" t="n">
        <v>6</v>
      </c>
      <c r="D4098" t="inlineStr">
        <is>
          <t>Dagues Érhy; Amulette de Pol Ouatnos; Baguistik; Anneauræus; Détourné; Ceinture Séculaire; Capuche de l'Œil Putride; Cape de l'Œil Putride; Sandales  d'Atcham; Dofus Ocre; Dofus Émeraude; Dofus Turquoise; Remueur; Survivant majeur; Miraculé majeur; Cube</t>
        </is>
      </c>
    </row>
    <row r="4099">
      <c r="A4099" t="inlineStr">
        <is>
          <t>Stuff 1</t>
        </is>
      </c>
      <c r="B4099">
        <f>HYPERLINK("https://www.dofusbook.net/fr/equipement/1938212-stuff-1/objets", "link")</f>
        <v/>
      </c>
      <c r="C4099" t="n">
        <v>6</v>
      </c>
      <c r="D4099" t="inlineStr">
        <is>
          <t>Amulette du Strigide; Bague Trithon; Alliance de Missiz Frizz; Bouclier du Captain Amakna; Ceinture du Strigide; Masque Trithon; Cape d'Atcham; Bottes du Strigide; Dolmanax; Dofus Turquoise; Dofus Émeraude; Dofus Ocre; Dofus Pourpre; Dofus des Glaces; Muldo Prune et Emeraude</t>
        </is>
      </c>
    </row>
    <row r="4100">
      <c r="A4100" t="inlineStr">
        <is>
          <t>Stuff 2</t>
        </is>
      </c>
      <c r="B4100">
        <f>HYPERLINK("https://www.dofusbook.net/fr/equipement/1938204-stuff-2/objets", "link")</f>
        <v/>
      </c>
      <c r="C4100" t="n">
        <v>2</v>
      </c>
      <c r="D4100" t="inlineStr">
        <is>
          <t>Dagues Érhy; Amulette de Pol Ouatnos; Bracelet du Piloztère; Alliance Gloursonne; Détourné; Ceinture du Strigide; Cagoule de Vortex; Cape des Malveilleurs; Bottes du Strigide; Dofus Émeraude; Dolmanax; Survivant majeur; Remueur; Dragodinde Emeraude et Rousse</t>
        </is>
      </c>
    </row>
    <row r="4101">
      <c r="A4101" t="inlineStr">
        <is>
          <t>cague</t>
        </is>
      </c>
      <c r="B4101">
        <f>HYPERLINK("https://www.dofusbook.net/fr/equipement/1955336-cague/objets", "link")</f>
        <v/>
      </c>
      <c r="C4101" t="n">
        <v>1</v>
      </c>
      <c r="D4101" t="inlineStr">
        <is>
          <t>Dagues Érhy; Amulette de Gein; Anneau de Pol Ouatnos; Bague Gloursonne; Ceinture de Gein; Chapeau de Gein; Voile d'encre; Bottes du Lévitrof; Dofus Ocre</t>
        </is>
      </c>
    </row>
    <row r="4102">
      <c r="A4102" t="inlineStr">
        <is>
          <t>Stuff 3</t>
        </is>
      </c>
      <c r="B4102">
        <f>HYPERLINK("https://www.dofusbook.net/fr/equipement/1938217-stuff-3/objets", "link")</f>
        <v/>
      </c>
      <c r="C4102" t="n">
        <v>1</v>
      </c>
      <c r="D4102" t="inlineStr">
        <is>
          <t>Ceinture du Rat Noir; Cape du Rat Blanc</t>
        </is>
      </c>
    </row>
    <row r="4103">
      <c r="A4103" t="inlineStr">
        <is>
          <t>Stuff 2</t>
        </is>
      </c>
      <c r="B4103">
        <f>HYPERLINK("https://www.dofusbook.net/fr/equipement/1938201-stuff-2/objets", "link")</f>
        <v/>
      </c>
      <c r="C4103" t="n">
        <v>1</v>
      </c>
      <c r="D4103" t="inlineStr">
        <is>
          <t>Dagues de Srambad; Alliance Gloursonne; Bague Gloursonne; Ceinture de la Reine des Voleurs; Coiffe de la Reine des Voleurs; Voile d'encre; Bottes de la Reine des Voleurs; Dofus Turquoise; Dofus Ocre; Dolmanax</t>
        </is>
      </c>
    </row>
    <row r="4104">
      <c r="A4104" t="inlineStr">
        <is>
          <t>Stuff 3</t>
        </is>
      </c>
      <c r="B4104">
        <f>HYPERLINK("https://www.dofusbook.net/fr/equipement/1938208-stuff-3/objets", "link")</f>
        <v/>
      </c>
      <c r="C4104" t="n">
        <v>1</v>
      </c>
      <c r="D4104" t="inlineStr">
        <is>
          <t>La Feuille de Printemps; Anneau du Dragon Cochon; Ceinture des Vents; Solomonk; Corbacape Mastralis; Dragodinde Prune et Emeraude</t>
        </is>
      </c>
    </row>
    <row r="4105">
      <c r="A4105" t="inlineStr">
        <is>
          <t>Stuff 3</t>
        </is>
      </c>
      <c r="B4105">
        <f>HYPERLINK("https://www.dofusbook.net/fr/equipement/1938202-stuff-3/objets", "link")</f>
        <v/>
      </c>
      <c r="C4105" t="n">
        <v>3</v>
      </c>
      <c r="D4105" t="inlineStr">
        <is>
          <t>Marteau des Anciens Steamers; Talisman Glouti; Alliance Gloursonne; Anneau de Pol Ouatnos; Ceinture de la Reine des Voleurs; Coiffe de la Reine des Voleurs; Voile d'encre; Bottes de la Reine des Voleurs; Dofus des Glaces; Dofus Émeraude; Dofus Ocre; Dofus Pourpre; Dolmanax; Dofus Turquoise; Croum</t>
        </is>
      </c>
    </row>
    <row r="4106">
      <c r="A4106" t="inlineStr">
        <is>
          <t>Stuff 3</t>
        </is>
      </c>
      <c r="B4106">
        <f>HYPERLINK("https://www.dofusbook.net/fr/equipement/767669-stuff-3/objets", "link")</f>
        <v/>
      </c>
      <c r="C4106" t="n">
        <v>6</v>
      </c>
      <c r="D4106" t="inlineStr">
        <is>
          <t>Pelle de Nidas; Amulette du Strigide; Bague Gloursonne; Bracelet du Piloztère; Quatre-feuilles; Ceinture du Strigide; Le Dorado; Cape de la Dame du Hasard; Bottes du Roi Joueur; Dofus Turquoise; Dofus Ocre; Dofus Pourpre; Dolmanax; Nomade; Vigoureux majeur; Phortiche</t>
        </is>
      </c>
    </row>
    <row r="4107">
      <c r="A4107" t="inlineStr">
        <is>
          <t>Stuff 2</t>
        </is>
      </c>
      <c r="B4107">
        <f>HYPERLINK("https://www.dofusbook.net/fr/equipement/767668-stuff-2/objets", "link")</f>
        <v/>
      </c>
      <c r="C4107" t="n">
        <v>7</v>
      </c>
      <c r="D4107" t="inlineStr">
        <is>
          <t>Dagues Érhy; Amulette du Strigide; Bague Gloursonne; Anneau de Padgref; Bouclier du Stalak; Ceinture du Strigide; Coiffe de Padgref; Voile d'encre; Getas de Padgref; Dolmanax; Dofus Pourpre; Dofus Émeraude; Dofus Ocre; Dofus Turquoise; Puissant majeur; Muldo Prune et Emeraude</t>
        </is>
      </c>
    </row>
    <row r="4108">
      <c r="A4108" t="inlineStr">
        <is>
          <t>Stuff 1</t>
        </is>
      </c>
      <c r="B4108">
        <f>HYPERLINK("https://www.dofusbook.net/fr/equipement/767667-stuff-1/objets", "link")</f>
        <v/>
      </c>
      <c r="C4108" t="n">
        <v>4</v>
      </c>
      <c r="D4108" t="inlineStr">
        <is>
          <t>Epée Gloursonne; Amulette du Strigide; Bague Gloursonne; Alliance Gloursonne; Bouclier cubiste; Ceinture du Strigide; Masque du Glourséleste; Voile d'encre; Bottes du Strigide; Dofus Émeraude; Dofus Pourpre; Dolmanax; Dofus Turquoise; Dofus Ocre; Entraveur majeur; Chachyène</t>
        </is>
      </c>
    </row>
    <row r="4109">
      <c r="A4109" t="inlineStr">
        <is>
          <t>Stuff 1</t>
        </is>
      </c>
      <c r="B4109">
        <f>HYPERLINK("https://www.dofusbook.net/fr/equipement/767677-stuff-1/objets", "link")</f>
        <v/>
      </c>
      <c r="C4109" t="n">
        <v>1</v>
      </c>
      <c r="D4109" t="inlineStr">
        <is>
          <t>Arc Honte; Amulette Cryochrone; Anneau Cryochrone; Alliance du Lévitrof; Ceinture du Glourséleste; Coiffe du Lévitrof; Cape du Professeur Xa; Bottes du Lévitrof; Dofus Kaliptus; Dolmanax; Dofus Cawotte; Voyageur; Entraveur majeur; Ralentisseur majeur; Kwaltess</t>
        </is>
      </c>
    </row>
    <row r="4110">
      <c r="A4110" t="inlineStr">
        <is>
          <t>Stuff 2</t>
        </is>
      </c>
      <c r="B4110">
        <f>HYPERLINK("https://www.dofusbook.net/fr/equipement/767672-stuff-2/objets", "link")</f>
        <v/>
      </c>
      <c r="C4110" t="n">
        <v>1</v>
      </c>
      <c r="D4110" t="inlineStr">
        <is>
          <t>Marteau des Anciens Steamers; Pendentif Oton; Kralano; Alliance Gloursonne; Ceinture du Barbétoal; Masque du Barbétoal; Cape du Barbétoal; Pantoufles Émar; Dolmanax; Robuste majeur; Acrobate majeur; Docteur majeur; Joueur majeur; Soigneur majeur; Dragodinde Prune et Emeraude</t>
        </is>
      </c>
    </row>
    <row r="4111">
      <c r="A4111" t="inlineStr">
        <is>
          <t>Stuff 3</t>
        </is>
      </c>
      <c r="B4111">
        <f>HYPERLINK("https://www.dofusbook.net/fr/equipement/767679-stuff-3/objets", "link")</f>
        <v/>
      </c>
      <c r="C4111" t="n">
        <v>4</v>
      </c>
      <c r="D4111" t="inlineStr">
        <is>
          <t>Hache Rot; Pendentif Oton; Alliance Gloursonne; Pikano; Ceinture Glaciale; Casquipik; Cape Matelassée; Pikottes; Dofus Kaliptus; Joueur majeur; Ralentisseur majeur; Voyageur; Entraveur majeur; Kwaltess</t>
        </is>
      </c>
    </row>
    <row r="4112">
      <c r="A4112" t="inlineStr">
        <is>
          <t>Stuff 1</t>
        </is>
      </c>
      <c r="B4112">
        <f>HYPERLINK("https://www.dofusbook.net/fr/equipement/767674-stuff-1/objets", "link")</f>
        <v/>
      </c>
      <c r="C4112" t="n">
        <v>1</v>
      </c>
      <c r="D4112" t="inlineStr">
        <is>
          <t>Hache Achinecride; Amulette Nécrotique; Bracelet Ventré; Gelano; Ceinture Rasboulaire du Rasboul; Solomonk; Cape Nécrotique; Bottes Nécrotiques; Dolmanax; Dofus Turquoise; Acrobate majeur; Examinateur; Furibond majeur; Puissant majeur; Dragodinde Prune et Emeraude</t>
        </is>
      </c>
    </row>
    <row r="4113">
      <c r="A4113" t="inlineStr">
        <is>
          <t>Stuff 1</t>
        </is>
      </c>
      <c r="B4113">
        <f>HYPERLINK("https://www.dofusbook.net/fr/equipement/767664-stuff-1/objets", "link")</f>
        <v/>
      </c>
      <c r="C4113" t="n">
        <v>5</v>
      </c>
      <c r="D4113" t="inlineStr">
        <is>
          <t>Bêche Asse; Amulette du Glourséleste; Anneau de Brouce; Bague Gloursonne; Ceinture de Brouce; Casque de Missiz Frizz; Voile d'encre; Bottes de Brouce; Dolmanax; Dofus Turquoise; Savant majeur; Furibond majeur; Turbulent; Kwaltess</t>
        </is>
      </c>
    </row>
    <row r="4114">
      <c r="A4114" t="inlineStr">
        <is>
          <t>Stuff 3</t>
        </is>
      </c>
      <c r="B4114">
        <f>HYPERLINK("https://www.dofusbook.net/fr/equipement/767676-stuff-3/objets", "link")</f>
        <v/>
      </c>
      <c r="C4114" t="n">
        <v>1</v>
      </c>
      <c r="D4114" t="inlineStr">
        <is>
          <t>Epée Gloursonne; Amulette du Strigide; Alliance Gloursonne; Bague Gloursonne; Ceinture du Strigide; Coiffe de la Reine des Voleurs; Cape au Logis; Bottes du Strigide; Dofus Turquoise; Dolmanax; Entraveur majeur; Puissant majeur; Examinateur; Féroce majeur; Dragodinde Prune et Emeraude</t>
        </is>
      </c>
    </row>
    <row r="4115">
      <c r="A4115" t="inlineStr">
        <is>
          <t>Stuff 1</t>
        </is>
      </c>
      <c r="B4115">
        <f>HYPERLINK("https://www.dofusbook.net/fr/equipement/767671-stuff-1/objets", "link")</f>
        <v/>
      </c>
      <c r="C4115" t="n">
        <v>1</v>
      </c>
      <c r="D4115" t="inlineStr">
        <is>
          <t>Arc Honte; Amulette du Kanimate; Alliance Gloursonne; Kralano; Ceinture Séculaire; Coiffe du Kanimate; Cape du Kanimate; Pantoufles Émar; Dolmanax; Féroce majeur; Docteur majeur; Robuste majeur; Joueur majeur; Soigneur majeur; Phortiche</t>
        </is>
      </c>
    </row>
    <row r="4116">
      <c r="A4116" t="inlineStr">
        <is>
          <t>Stuff 3</t>
        </is>
      </c>
      <c r="B4116">
        <f>HYPERLINK("https://www.dofusbook.net/fr/equipement/767666-stuff-3/objets", "link")</f>
        <v/>
      </c>
      <c r="C4116" t="n">
        <v>4</v>
      </c>
      <c r="D4116" t="inlineStr">
        <is>
          <t>Epée Toche; Amulette de Gein; Bague Gloursonne; Alliance de Missiz Frizz; Ceinture de Gein; Chapeau de Gein; Voile d'encre; Sandales Pinistes; Dolmanax; Dofus Ocre; Dofus Turquoise; Furibond majeur; Savant majeur; Puissant majeur; Kwaltess</t>
        </is>
      </c>
    </row>
    <row r="4117">
      <c r="A4117" t="inlineStr">
        <is>
          <t>Stuff 2</t>
        </is>
      </c>
      <c r="B4117">
        <f>HYPERLINK("https://www.dofusbook.net/fr/equipement/767678-stuff-2/objets", "link")</f>
        <v/>
      </c>
      <c r="C4117" t="n">
        <v>1</v>
      </c>
      <c r="D4117" t="inlineStr">
        <is>
          <t>Kralamansion; Anneau de la Fuji Givrefoux; Pikano; Ceinture du Glourséleste; Casquipik; Cape du Glourséleste; Pikottes</t>
        </is>
      </c>
    </row>
    <row r="4118">
      <c r="A4118" t="inlineStr">
        <is>
          <t>Stuff 3</t>
        </is>
      </c>
      <c r="B4118">
        <f>HYPERLINK("https://www.dofusbook.net/fr/equipement/767673-stuff-3/objets", "link")</f>
        <v/>
      </c>
      <c r="C4118" t="n">
        <v>1</v>
      </c>
      <c r="D4118" t="inlineStr">
        <is>
          <t>Bâtonnet Ronien; Pendentif Oton; Alliance Gloursonne; Bracelet du Piloztère; Ceinture de la Reine des Voleurs; Coiffe de la Reine des Voleurs; Capille; Bottes de la Reine des Voleurs; Dolmanax; Voyageur; Féroce majeur; Turbulent; Robuste majeur; Soigneur majeur; Dragodinde Prune et Emeraude</t>
        </is>
      </c>
    </row>
    <row r="4119">
      <c r="A4119" t="inlineStr">
        <is>
          <t>Stuff 2</t>
        </is>
      </c>
      <c r="B4119">
        <f>HYPERLINK("https://www.dofusbook.net/fr/equipement/767675-stuff-2/objets", "link")</f>
        <v/>
      </c>
      <c r="C4119" t="n">
        <v>1</v>
      </c>
      <c r="D4119" t="inlineStr">
        <is>
          <t>Dague Hirr; Amulette de Nevark; Bague Gloursonne; Anneau Vicieux; Ceinture de Nevark; Bonnet Vicieux; Cape de Nevark; Bottes Vicieuses; Dolmanax; Ravageur Air majeur; Examinateur; Voyageur; Robuste majeur; Puissant majeur; Dragodinde Prune et Emeraude</t>
        </is>
      </c>
    </row>
    <row r="4120">
      <c r="A4120" t="inlineStr">
        <is>
          <t>Stuff 2</t>
        </is>
      </c>
      <c r="B4120">
        <f>HYPERLINK("https://www.dofusbook.net/fr/equipement/767665-stuff-2/objets", "link")</f>
        <v/>
      </c>
      <c r="C4120" t="n">
        <v>3</v>
      </c>
      <c r="D4120" t="inlineStr">
        <is>
          <t>Bêche Asse; Amulule; Alliance de Missiz Frizz; Bague Gloursonne; Slip Iholo; Casque de Missiz Frizz; Voile d'encre; Bottes de Missiz Frizz; Dofus Ocre; Dolmanax; Dofus Turquoise; Puissant majeur; Turbulent; Furibond majeur; Péki</t>
        </is>
      </c>
    </row>
    <row r="4121">
      <c r="A4121" t="inlineStr">
        <is>
          <t>Camilly CAC</t>
        </is>
      </c>
      <c r="B4121">
        <f>HYPERLINK("https://www.dofusbook.net/fr/equipement/3995039-camilly-cac/objets", "link")</f>
        <v/>
      </c>
      <c r="C4121" t="n">
        <v>2</v>
      </c>
      <c r="D4121" t="inlineStr">
        <is>
          <t>Pendentif affamé; Bague Gloursonne; Anneau de Padgref; Bouclier du Captain Amakna; Ceinture Séculaire; Coiffe Séculaire; Cape de Diondin; Bottes Innommables; Dofus Turquoise; Dofus Pourpre; Cascadeur majeur; Érudit majeur; Nomade; Remueur; Bisouglours</t>
        </is>
      </c>
    </row>
    <row r="4122">
      <c r="A4122" t="inlineStr">
        <is>
          <t>EcaRo</t>
        </is>
      </c>
      <c r="B4122">
        <f>HYPERLINK("https://www.dofusbook.net/fr/equipement/5915317-ecaro/objets", "link")</f>
        <v/>
      </c>
      <c r="C4122" t="n">
        <v>10</v>
      </c>
      <c r="D4122" t="inlineStr">
        <is>
          <t>Dagues d'Ilyzaelle; Amulette du Cœur Saignant; Anneau Volkorne; Anneau Toriété; Bouclier du Captain Amakna; Ceinture Volkorne; Corne de Torkélonia; Cape du Cœur Saignant; Bottes du Cœur Saignant; Dofus Ébène; Dofus Turquoise; Dofus Abyssal; Dofus Ocre; Dofus Pourpre; Dofus Vulbis; Kokulte</t>
        </is>
      </c>
    </row>
    <row r="4123">
      <c r="A4123" t="inlineStr">
        <is>
          <t>Eca pvm Ro</t>
        </is>
      </c>
      <c r="B4123">
        <f>HYPERLINK("https://www.dofusbook.net/fr/equipement/5387381-eca-pvm-ro/objets", "link")</f>
        <v/>
      </c>
      <c r="C4123" t="n">
        <v>19</v>
      </c>
      <c r="D4123" t="inlineStr">
        <is>
          <t>Dagues d'Ilyzaelle; Amulette du Strigide; Anneau du Comte Harebourg; Anneau Volkorne; Bouclier du Captain Amakna; Ceinture Volkorne; Masque de Koutoulou; Cape au Logis; Bottes du Strigide; Dofus des Glaces; Dofus Turquoise; Dofus Ébène; Dofus Pourpre; Dofus Ocre; Voyageur; Kompost</t>
        </is>
      </c>
    </row>
    <row r="4124">
      <c r="A4124" t="inlineStr">
        <is>
          <t>Eca</t>
        </is>
      </c>
      <c r="B4124">
        <f>HYPERLINK("https://www.dofusbook.net/fr/equipement/5916949-eca/objets", "link")</f>
        <v/>
      </c>
      <c r="C4124" t="n">
        <v>2</v>
      </c>
      <c r="D4124" t="inlineStr">
        <is>
          <t>Dagues du Dragoeuf; Amulette du Strigide; Bracelet du Piloztère; Alliance de Missiz Frizz; Bouclier du Captain Amakna; Ceinture du Strigide; Corne de Torkélonia; Carapace de Torkélonia; Bottes du Strigide; Dofus Pourpre; Dofus Ocre; Dofus Turquoise; Dofus Ébène; Dofus Abyssal; Dofus Vulbis; Kokulte</t>
        </is>
      </c>
    </row>
    <row r="4125">
      <c r="A4125" t="inlineStr">
        <is>
          <t>Huz Feu</t>
        </is>
      </c>
      <c r="B4125">
        <f>HYPERLINK("https://www.dofusbook.net/fr/equipement/5915085-huz-feu/objets", "link")</f>
        <v/>
      </c>
      <c r="C4125" t="n">
        <v>3</v>
      </c>
      <c r="D4125" t="inlineStr">
        <is>
          <t>Arc corrompu; Amulette de Nileza; Anneauræus; Anneauræus; Bouclier du Stalak; Croture; Heaume Oplate; Cape de Nileza; Bottes Innommables; Dofus Ébène; Dofus Ocre; Dofus Ivoire; Dofus Vulbis; Dofus Abyssal; Érudit majeur; Dragodinde Orchidée et Rousse</t>
        </is>
      </c>
    </row>
    <row r="4126">
      <c r="A4126" t="inlineStr">
        <is>
          <t>sarathos cra</t>
        </is>
      </c>
      <c r="B4126">
        <f>HYPERLINK("https://www.dofusbook.net/fr/equipement/5517857-sarathos-cra/objets", "link")</f>
        <v/>
      </c>
      <c r="C4126" t="n">
        <v>4</v>
      </c>
      <c r="D4126" t="inlineStr">
        <is>
          <t>Bâton Beau; Amulette du Strigide; Alliance de Missiz Frizz; Bracelet du Piloztère; Quatre-feuilles; Ceinture du Strigide; Coiffe Ranshi; Cape Reski; Pantoufles Émar; Dofus Turquoise; Nomade; Enragé majeur; Remueur; Vigoureux majeur; Chanceux majeur; Muldo Prune et Doré</t>
        </is>
      </c>
    </row>
    <row r="4127">
      <c r="A4127" t="inlineStr">
        <is>
          <t>test pano pvm</t>
        </is>
      </c>
      <c r="B4127">
        <f>HYPERLINK("https://www.dofusbook.net/fr/equipement/5515094-test-pano-pvm/objets", "link")</f>
        <v/>
      </c>
      <c r="C4127" t="n">
        <v>1</v>
      </c>
      <c r="D4127" t="inlineStr">
        <is>
          <t>Arc corrompu; Talisman Igans; Anneau de Padgref; Bague Gloursonne; Bouclier du Cycloïde; Ceintrigue; Heaume Oplate; Cape de la Dame du Hasard; Bottes de la Dame du Hasard; Dofus Turquoise; Dofus Ocre; Dofus Ébène; Dofus Pourpre; Dofus Vulbis; Bisouglours</t>
        </is>
      </c>
    </row>
    <row r="4128">
      <c r="A4128" t="inlineStr">
        <is>
          <t>Camilly Distance</t>
        </is>
      </c>
      <c r="B4128">
        <f>HYPERLINK("https://www.dofusbook.net/fr/equipement/193043-camilly-distance/objets", "link")</f>
        <v/>
      </c>
      <c r="C4128" t="n">
        <v>13</v>
      </c>
      <c r="D4128" t="inlineStr">
        <is>
          <t>Arc corrompu; Pendentif affamé; Bague Gloursonne; Anneau de Padgref; Bouclier du Cycloïde; Ceinture Séculaire; Coiffe Séculaire; Cape de Diondin; Bottes Innommables; Dofus Turquoise; Dofus Vulbis; Dofus Ébène; Dofus Ocre; Dofus Pourpre; Érudit majeur; Bisouglours</t>
        </is>
      </c>
    </row>
    <row r="4129">
      <c r="A4129" t="inlineStr">
        <is>
          <t>test panda</t>
        </is>
      </c>
      <c r="B4129">
        <f>HYPERLINK("https://www.dofusbook.net/fr/equipement/5514667-test-panda-/objets", "link")</f>
        <v/>
      </c>
      <c r="C4129" t="n">
        <v>3</v>
      </c>
      <c r="D4129" t="inlineStr">
        <is>
          <t>Arc Nécrotique; Amulette Volkorne; Alliance Gloursonne; Anneau Volkorne; Quatre-feuilles; Ceintrigue; Le Dorado; Cape de la Dame du Hasard; Bottes de la Dame du Hasard; Dofus Vulbis; Dofus Turquoise; Dofus Pourpre; Dofus Ébène; Dofus Ocre; Kokulte</t>
        </is>
      </c>
    </row>
    <row r="4130">
      <c r="A4130" t="inlineStr">
        <is>
          <t>Feca Tacle Tank</t>
        </is>
      </c>
      <c r="B4130">
        <f>HYPERLINK("https://www.dofusbook.net/fr/equipement/5291985-feca-tacle-tank/objets", "link")</f>
        <v/>
      </c>
      <c r="C4130" t="n">
        <v>3</v>
      </c>
      <c r="D4130" t="inlineStr">
        <is>
          <t>Épée du Granduk; Amulette du Granduk; Alliance Gloursonne; Gant du Valet Veinard; Droiture de Fallanster; Ceinture de Dame Jhessica; Dorabysses; Cape de Mantaze; Pataugastrique; Dofus Ocre; Dofus Vulbis; Dofus Ivoire; Bloqueur majeur; Obstructeur majeur; Obstructeur; Platypus</t>
        </is>
      </c>
    </row>
    <row r="4131">
      <c r="A4131" t="inlineStr">
        <is>
          <t>test crit air</t>
        </is>
      </c>
      <c r="B4131">
        <f>HYPERLINK("https://www.dofusbook.net/fr/equipement/5492719-test-crit-air/objets", "link")</f>
        <v/>
      </c>
      <c r="C4131" t="n">
        <v>1</v>
      </c>
      <c r="D4131" t="inlineStr">
        <is>
          <t>Épée du Granduk; Amulette du Strigide; Gant du Valet Veinard; Anneau de Padgref; Bouclier du Captain Amakna; Menoture; Casque Volkorne; Cape Indescriptible; Getas de Padgref; Dofus Vulbis; Dofus Turquoise; Dofus Pourpre; Dofus Ocre; Vigoureux majeur; Cascadeur majeur; Blérodoudou</t>
        </is>
      </c>
    </row>
    <row r="4132">
      <c r="A4132" t="inlineStr">
        <is>
          <t>Futur Kuiper</t>
        </is>
      </c>
      <c r="B4132">
        <f>HYPERLINK("https://www.dofusbook.net/fr/equipement/5479472-futur-kuiper/objets", "link")</f>
        <v/>
      </c>
      <c r="C4132" t="n">
        <v>4</v>
      </c>
      <c r="D4132" t="inlineStr">
        <is>
          <t>Baguette Hique; Amulette de Shokkoth; Bracelet du Piloztère; Alliance Gloursonne; Quatre-feuilles; Pagne du Rykaon; Kidibonnet; Cape du Sinistrofu; Bottes du Sinistrofu; Dofus Pourpre; Dofus Turquoise; Dofus Vulbis; Dofus Ocre; Chanceux majeur; Vigoureux majeur; Kanigloups</t>
        </is>
      </c>
    </row>
    <row r="4133">
      <c r="A4133" t="inlineStr">
        <is>
          <t>Enu do crit 3</t>
        </is>
      </c>
      <c r="B4133">
        <f>HYPERLINK("https://www.dofusbook.net/fr/equipement/5479568-enu-do-crit-3/objets", "link")</f>
        <v/>
      </c>
      <c r="C4133" t="n">
        <v>2</v>
      </c>
      <c r="D4133" t="inlineStr">
        <is>
          <t>Arc de Koutoulou; Amulette du Strigide; Alliance Gloursonne; Bracelet du Piloztère; Quatre-feuilles; Ceinture du Strigide; Némès de Tal Kasha; Chevelure de Tal Kasha; Sandales de Tal Kasha; Dofus Pourpre; Dofus Vulbis; Dofus Ocre; Dofus Turquoise; Puissant majeur; Joueur majeur; Kokulte</t>
        </is>
      </c>
    </row>
    <row r="4134">
      <c r="A4134" t="inlineStr">
        <is>
          <t>Futur Zhanna</t>
        </is>
      </c>
      <c r="B4134">
        <f>HYPERLINK("https://www.dofusbook.net/fr/equipement/5418892-futur-zhanna/objets", "link")</f>
        <v/>
      </c>
      <c r="C4134" t="n">
        <v>20</v>
      </c>
      <c r="D4134" t="inlineStr">
        <is>
          <t>Crocobur; Amulette du Strigide; Bracelet du Piloztère; Alliance de Missiz Frizz; Bouclier du Captain Amakna; Ceinture du Strigide; Corne de Torkélonia; Carapace de Torkélonia; Bottes du Strigide; Dofus Abyssal; Dofus Vulbis; Dofus Pourpre; Dofus Ocre; Dofus Turquoise; Dofus Ébène; Kokulte</t>
        </is>
      </c>
    </row>
    <row r="4135">
      <c r="A4135" t="inlineStr">
        <is>
          <t>Panda 2 ini</t>
        </is>
      </c>
      <c r="B4135">
        <f>HYPERLINK("https://www.dofusbook.net/fr/equipement/5281808-panda-2-ini/objets", "link")</f>
        <v/>
      </c>
      <c r="C4135" t="n">
        <v>10</v>
      </c>
      <c r="D4135" t="inlineStr">
        <is>
          <t>Rouleau à Pâtisserie d'Aermyne; Collier Rophante; Alliance Gloursonne; Anneau de Pol Ouatnos; Droiture de Fallanster; Ceinture de Dame Jhessica; Masque d'Anerice; Cape d'Anerice; Baleinabottes; Dofus Abyssal; Dofus Émeraude; Dofus Ivoire; Dofus Argenté; Remueur; Miraculé majeur; Kougnard</t>
        </is>
      </c>
    </row>
    <row r="4136">
      <c r="A4136" t="inlineStr">
        <is>
          <t>Futur Reanours</t>
        </is>
      </c>
      <c r="B4136">
        <f>HYPERLINK("https://www.dofusbook.net/fr/equipement/5439733-futur-reanours/objets", "link")</f>
        <v/>
      </c>
      <c r="C4136" t="n">
        <v>8</v>
      </c>
      <c r="D4136" t="inlineStr">
        <is>
          <t>Épée du Granduk; Amulette du Granduk; Gant du Valet Veinard; Alliance Gloursonne; Bouclier du Captain Amakna; Menoture; Casque Volkorne; Cape Indescriptible; Bottes Voldelor; Dofus Turquoise; Dofus Pourpre; Dofus Vulbis; Cascadeur majeur; Remueur; Vigoureux majeur; Blérodoudou</t>
        </is>
      </c>
    </row>
    <row r="4137">
      <c r="A4137" t="inlineStr">
        <is>
          <t>Kuiper Distance</t>
        </is>
      </c>
      <c r="B4137">
        <f>HYPERLINK("https://www.dofusbook.net/fr/equipement/193048-kuiper-distance/objets", "link")</f>
        <v/>
      </c>
      <c r="C4137" t="n">
        <v>10</v>
      </c>
      <c r="D4137" t="inlineStr">
        <is>
          <t>Baguette Héroclite; Amulette de Shokkoth; Alliance Gloursonne; Bracelet du Piloztère; Quatre-feuilles; Poulpagne; Kidibonnet; Cape du Sinistrofu; Bottes du Sinistrofu; Dofus Pourpre; Dofus Turquoise; Chanceux majeur; Nomade; Vigoureux majeur; Joueur majeur; Kanigloups</t>
        </is>
      </c>
    </row>
    <row r="4138">
      <c r="A4138" t="inlineStr">
        <is>
          <t>Futur panda</t>
        </is>
      </c>
      <c r="B4138">
        <f>HYPERLINK("https://www.dofusbook.net/fr/equipement/5332586-futur-panda/objets", "link")</f>
        <v/>
      </c>
      <c r="C4138" t="n">
        <v>2</v>
      </c>
      <c r="D4138" t="inlineStr">
        <is>
          <t>Arc Nécrotique; Amulette du Strigide; Anneau Cryochrone; Bracelet du Piloztère; Quatre-feuilles; Ceinture du Strigide; Le Dorado; Cape de la Dame du Hasard; Bottes de la Dame du Hasard; Dofus Turquoise; Dofus Vulbis; Dofus Ocre; Dofus Pourpre; Dofus Abyssal; Dofus Ébène; Kokulte</t>
        </is>
      </c>
    </row>
    <row r="4139">
      <c r="A4139" t="inlineStr">
        <is>
          <t>A faire à paques</t>
        </is>
      </c>
      <c r="B4139">
        <f>HYPERLINK("https://www.dofusbook.net/fr/equipement/5417486-a-faire-a-paques/objets", "link")</f>
        <v/>
      </c>
      <c r="C4139" t="n">
        <v>3</v>
      </c>
      <c r="D4139" t="inlineStr">
        <is>
          <t>Marteau Racle; Amulette des Chocomanciens; Anneau Tamie; Crocanneau; Bouclier cubiste; Ceinture des Chocomanciens; Coiffe d'Ogivol; Cape de Léthaline; Bottes Lunaires; Entraveur majeur; Remueur; Temporiseur majeur; Entraveur; Ralentisseur majeur; Temporiseur; Gwo Tofu Ventripotent</t>
        </is>
      </c>
    </row>
    <row r="4140">
      <c r="A4140" t="inlineStr">
        <is>
          <t>Zhanna</t>
        </is>
      </c>
      <c r="B4140">
        <f>HYPERLINK("https://www.dofusbook.net/fr/equipement/4140108-zhanna/objets", "link")</f>
        <v/>
      </c>
      <c r="C4140" t="n">
        <v>24</v>
      </c>
      <c r="D4140" t="inlineStr">
        <is>
          <t>Crocobur; Amulette du Strigide; Alliance de Missiz Frizz; Bracelet du Piloztère; Bouclier du Captain Amakna; Ceinture du Strigide; Le Dorado; Cape au Logis; Bottes Honyme; Dofus Ébène; Dofus Pourpre; Dofus des Glaces; Dofus Vulbis; Dofus Turquoise; Vigoureux majeur; Kokulte</t>
        </is>
      </c>
    </row>
    <row r="4141">
      <c r="A4141" t="inlineStr">
        <is>
          <t>Reanours</t>
        </is>
      </c>
      <c r="B4141">
        <f>HYPERLINK("https://www.dofusbook.net/fr/equipement/5267862-reanours/objets", "link")</f>
        <v/>
      </c>
      <c r="C4141" t="n">
        <v>1</v>
      </c>
      <c r="D4141" t="inlineStr">
        <is>
          <t>Manthache; Collier du Valet Veinard; Gant du Valet Veinard; Alliance Gloursonne; Bouclier du Captain Amakna; Menoture; Couronne d'Allister; Cape Indescriptible; Palmes Trithons; Dofus Turquoise; Dofus Pourpre; Vigoureux majeur; Nomade; Cascadeur majeur; Remueur; Blérodoudou</t>
        </is>
      </c>
    </row>
    <row r="4142">
      <c r="A4142" t="inlineStr">
        <is>
          <t>Darfeufeu</t>
        </is>
      </c>
      <c r="B4142">
        <f>HYPERLINK("https://www.dofusbook.net/fr/equipement/5439688-darfeufeu/objets", "link")</f>
        <v/>
      </c>
      <c r="C4142" t="n">
        <v>7</v>
      </c>
      <c r="D4142" t="inlineStr">
        <is>
          <t>Dagues du Dragoeuf; Amulette Volkorne; Bague Gloursonne; Chevalière du Roi Joueur; Bouclier du Captain Amakna; Ceinture Volkorne; Couronne du Roi Joueur; Voile d'encre; Bottes du Roi Joueur; Dofus Vulbis; Dofus Turquoise; Dofus Nébuleux; Dofus Ocre; Dofus Abyssal; Dofus Pourpre; Cromeugnon</t>
        </is>
      </c>
    </row>
    <row r="4143">
      <c r="A4143" t="inlineStr">
        <is>
          <t>Constellation</t>
        </is>
      </c>
      <c r="B4143">
        <f>HYPERLINK("https://www.dofusbook.net/fr/equipement/5264456-constellation/objets", "link")</f>
        <v/>
      </c>
      <c r="C4143" t="n">
        <v>9</v>
      </c>
      <c r="D4143" t="inlineStr">
        <is>
          <t>Couteaux Sacrificiels; Amulette Volkorne; Anneau Volkorne; Bracelet du Piloztère; Bouclier du Captain Amakna; Ceintacé; Masque Paztek; Cape Paztek; Pataugastrique; Dofus Vulbis; Dofus Abyssal; Dofus Pourpre; Savant majeur; Joueur majeur; Robuste majeur; Walk</t>
        </is>
      </c>
    </row>
    <row r="4144">
      <c r="A4144" t="inlineStr">
        <is>
          <t>Shadow</t>
        </is>
      </c>
      <c r="B4144">
        <f>HYPERLINK("https://www.dofusbook.net/fr/equipement/3993838-shadow/objets", "link")</f>
        <v/>
      </c>
      <c r="C4144" t="n">
        <v>46</v>
      </c>
      <c r="D4144" t="inlineStr">
        <is>
          <t>Dagues Érhy; Amulette du Strigide; Bague Gloursonne; Bracelet du Piloztère; Bouclier du Captain Amakna; Ceintacé; Masque Brûlâme; Voile d'encre; Bottes du Strigide; Dofus Nébuleux; Dofus Ocre; Dofus Pourpre; Dofus Vulbis; Dofus Turquoise; Vigoureux majeur; Cromeugnon</t>
        </is>
      </c>
    </row>
    <row r="4145">
      <c r="A4145" t="inlineStr">
        <is>
          <t>New iop</t>
        </is>
      </c>
      <c r="B4145">
        <f>HYPERLINK("https://www.dofusbook.net/fr/equipement/5429755-new-iop/objets", "link")</f>
        <v/>
      </c>
      <c r="C4145" t="n">
        <v>2</v>
      </c>
      <c r="D4145" t="inlineStr">
        <is>
          <t>Dagues du Dragoeuf; Amulette du Strigide; Chevalière du Roi Joueur; Bague Gloursonne; Bouclier du Captain Amakna; Ceinture du Strigide; Couronne du Roi Joueur; Voile d'encre; Bottes du Strigide; Dofus Abyssal; Dofus Pourpre; Dofus Vulbis; Dofus Turquoise; Dofus Nébuleux; Dofus Ocre; Cromeugnon</t>
        </is>
      </c>
    </row>
    <row r="4146">
      <c r="A4146" t="inlineStr">
        <is>
          <t>Choppect</t>
        </is>
      </c>
      <c r="B4146">
        <f>HYPERLINK("https://www.dofusbook.net/fr/equipement/3994085-choppect/objets", "link")</f>
        <v/>
      </c>
      <c r="C4146" t="n">
        <v>17</v>
      </c>
      <c r="D4146" t="inlineStr">
        <is>
          <t>Crocobur; Amulette du Strigide; Alliance Gloursonne; Bracelet du Piloztère; Bouclier du Captain Amakna; Ceinture du Strigide; Némès de Tal Kasha; Chevelure de Tal Kasha; Sandales de Tal Kasha; Dofus Turquoise; Dofus Ébène; Dofus Pourpre; Dofus Abyssal; Dofus Vulbis; Dofus Ocre; Kokulte</t>
        </is>
      </c>
    </row>
    <row r="4147">
      <c r="A4147" t="inlineStr">
        <is>
          <t>Koli Ret PA</t>
        </is>
      </c>
      <c r="B4147">
        <f>HYPERLINK("https://www.dofusbook.net/fr/equipement/5235832-koli-ret-pa/objets", "link")</f>
        <v/>
      </c>
      <c r="C4147" t="n">
        <v>3</v>
      </c>
      <c r="D4147" t="inlineStr">
        <is>
          <t>Arc corrompu; Amulette Volkorne; Anneau Tique; Anneau de Nidas; Bouclier du Stalak; Ceinture de Vortex; Casque Dragoeuf; Cape de Diondin; Sabots de Vortex; Dofus Ivoire; Dofus Vulbis; Dofus Ébène; Dofus Ocre; Érudit majeur; Étourdisseur majeur; Ross</t>
        </is>
      </c>
    </row>
    <row r="4148">
      <c r="A4148" t="inlineStr">
        <is>
          <t>Pvm multi</t>
        </is>
      </c>
      <c r="B4148">
        <f>HYPERLINK("https://www.dofusbook.net/fr/equipement/5224279-pvm-multi/objets", "link")</f>
        <v/>
      </c>
      <c r="C4148" t="n">
        <v>3</v>
      </c>
      <c r="D4148" t="inlineStr">
        <is>
          <t>Epée Gloursonne; Amulette Séculaire; Alliance Gloursonne; Bague Gloursonne; Bouclier du Cycloïde; Ceinture Séculaire; Coiffe Séculaire; Cape d'Atcham; Sandales  d'Atcham; Dolmanax; Dofus Pourpre; Dofus Vulbis; Dofus Turquoise; Dofus Ocre; Dofus Ébène; Bisouglours</t>
        </is>
      </c>
    </row>
    <row r="4149">
      <c r="A4149" t="inlineStr">
        <is>
          <t>Douce-Eni</t>
        </is>
      </c>
      <c r="B4149">
        <f>HYPERLINK("https://www.dofusbook.net/fr/equipement/5212575-douce-eni/objets", "link")</f>
        <v/>
      </c>
      <c r="C4149" t="n">
        <v>1</v>
      </c>
      <c r="D4149" t="inlineStr">
        <is>
          <t>Arc corrompu; Amulette d'Otomaï; Bague Gloursonne; Bivalve; Ceinture Séculaire; Coiffe Séculaire; Cape de Diondin; Pantoufles Émar; Nomade; Remueur; Érudit majeur; Bisouglours</t>
        </is>
      </c>
    </row>
    <row r="4150">
      <c r="A4150" t="inlineStr">
        <is>
          <t>Eau Ret PA Ougi</t>
        </is>
      </c>
      <c r="B4150">
        <f>HYPERLINK("https://www.dofusbook.net/fr/equipement/5202302-eau-ret-pa-ougi/objets", "link")</f>
        <v/>
      </c>
      <c r="C4150" t="n">
        <v>4</v>
      </c>
      <c r="D4150" t="inlineStr">
        <is>
          <t>Dagues Açantes; Amulette de Shokkoth; Anneau Volkorne; Alliance Gloursonne; Bouclier du Captain Amakna; Culotte de Bethel; Casque Dragoeuf; Cape Matelassée; Chaussons de Macrab; Dofus Vulbis; Dofus Ivoire; Dofus Ocre; Dofus Ébène; Chanceux majeur; Étourdisseur majeur; Boskito</t>
        </is>
      </c>
    </row>
    <row r="4151">
      <c r="A4151" t="inlineStr">
        <is>
          <t>CAC T2</t>
        </is>
      </c>
      <c r="B4151">
        <f>HYPERLINK("https://www.dofusbook.net/fr/equipement/5194933-cac-t2/objets", "link")</f>
        <v/>
      </c>
      <c r="C4151" t="n">
        <v>2</v>
      </c>
      <c r="D4151" t="inlineStr">
        <is>
          <t>Épée du Granduk; Collier du Valet Veinard; Gant du Valet Veinard; Alliance Gloursonne; Bouclier du Captain Amakna; Menoture; Dorabysses; Cape Indescriptible; Palmes Trithons; Dofus Ocre; Dofus Ébène; Dofus Vulbis; Dofus Ivoire; Dofus Pourpre; Dofus Nébuleux; Blérodoudou</t>
        </is>
      </c>
    </row>
    <row r="4152">
      <c r="A4152" t="inlineStr">
        <is>
          <t>test tank</t>
        </is>
      </c>
      <c r="B4152">
        <f>HYPERLINK("https://www.dofusbook.net/fr/equipement/5142004-test-tank/objets", "link")</f>
        <v/>
      </c>
      <c r="C4152" t="n">
        <v>10</v>
      </c>
      <c r="D4152" t="inlineStr">
        <is>
          <t>Couteaux Sacrificiels; Collier Rophante; Anneau Toriété; Alliance Gloursonne; Droiture de Fallanster; Ceintacé; Masque d'Anerice; Cape d'Anerice; Sabots Minables; Dofus Émeraude; Dofus Ivoire; Dofus Argenté; Dofus Abyssal; Miraculé majeur; Remueur; Platypus</t>
        </is>
      </c>
    </row>
    <row r="4153">
      <c r="A4153" t="inlineStr">
        <is>
          <t>eni full feu</t>
        </is>
      </c>
      <c r="B4153">
        <f>HYPERLINK("https://www.dofusbook.net/fr/equipement/5173511-eni-full-feu/objets", "link")</f>
        <v/>
      </c>
      <c r="C4153" t="n">
        <v>2</v>
      </c>
      <c r="D4153" t="inlineStr">
        <is>
          <t>Arc corrompu; Pendentif affamé; Anneauræus; Anneauræus; Bouclier du Cycloïde; Ceinture Séculaire; Coiffe Séculaire; Cape de Diondin; Bottes Innommables; Dofus Vulbis; Dofus Pourpre; Dofus Ébène; Dofus Ocre; Dofus Turquoise; Érudit majeur; Bisouglours</t>
        </is>
      </c>
    </row>
    <row r="4154">
      <c r="A4154" t="inlineStr">
        <is>
          <t>Eni Feu Air</t>
        </is>
      </c>
      <c r="B4154">
        <f>HYPERLINK("https://www.dofusbook.net/fr/equipement/5173439-eni-feu-air/objets", "link")</f>
        <v/>
      </c>
      <c r="C4154" t="n">
        <v>4</v>
      </c>
      <c r="D4154" t="inlineStr">
        <is>
          <t>Baguette Hernelle; Pendentif mignon de Koutoulou; Anneau de Padgref; Anneau Rifique; Bouclier du Cycloïde; Ceinture Séculaire; Casque Cyclopéen; Cape d'Atcham; Getas de Padgref; Dofus Pourpre; Dofus Ébène; Dolmanax; Dofus Turquoise; Dofus Vulbis; Dofus Ocre; Willy le Relou</t>
        </is>
      </c>
    </row>
    <row r="4155">
      <c r="A4155" t="inlineStr">
        <is>
          <t>test Panda</t>
        </is>
      </c>
      <c r="B4155">
        <f>HYPERLINK("https://www.dofusbook.net/fr/equipement/5173261-test-panda/objets", "link")</f>
        <v/>
      </c>
      <c r="C4155" t="n">
        <v>3</v>
      </c>
      <c r="D4155" t="inlineStr">
        <is>
          <t>Arc Nécrotique; Amulette du Strigide; Anneau Cryochrone; Bracelet du Piloztère; Quatre-feuilles; Ceinture du Strigide; Le Dorado; Cape de la Dame du Hasard; Bottes de la Dame du Hasard; Dofus Ocre; Dolmanax; Dofus Turquoise; Dofus Ébène; Dofus Vulbis; Dofus Pourpre; Kokulte</t>
        </is>
      </c>
    </row>
    <row r="4156">
      <c r="A4156" t="inlineStr">
        <is>
          <t>Erinomea Distance</t>
        </is>
      </c>
      <c r="B4156">
        <f>HYPERLINK("https://www.dofusbook.net/fr/equipement/4117188-erinomea-distance/objets", "link")</f>
        <v/>
      </c>
      <c r="C4156" t="n">
        <v>15</v>
      </c>
      <c r="D4156" t="inlineStr">
        <is>
          <t>Arc Nécrotique; Amulette du Strigide; Bracelet du Piloztère; Anneau Cryochrone; Quatre-feuilles; Ceinture du Strigide; Le Dorado; Cape de la Dame du Hasard; Pataugastrique; Dofus Turquoise; Dofus Vulbis; Dofus Pourpre; Dofus Ébène; Érudit majeur; Chanceux majeur; Kokulte</t>
        </is>
      </c>
    </row>
    <row r="4157">
      <c r="A4157" t="inlineStr">
        <is>
          <t>Mentaly</t>
        </is>
      </c>
      <c r="B4157">
        <f>HYPERLINK("https://www.dofusbook.net/fr/equipement/3505396-mentaly/objets", "link")</f>
        <v/>
      </c>
      <c r="C4157" t="n">
        <v>10</v>
      </c>
      <c r="D4157" t="inlineStr">
        <is>
          <t>Hache du Chalœil; Amulette du Strigide; Alliance de Missiz Frizz; Bracelet du Piloztère; Quatre-feuilles; Ceintacé; Le Dorado; Cape Luminescente; Bottes du Strigide; Dofus Pourpre; Dofus Turquoise; Chanceux majeur; Enragé majeur; Nomade; Vigoureux majeur; Chacha Angora</t>
        </is>
      </c>
    </row>
    <row r="4158">
      <c r="A4158" t="inlineStr">
        <is>
          <t>Sram</t>
        </is>
      </c>
      <c r="B4158">
        <f>HYPERLINK("https://www.dofusbook.net/fr/equipement/4311761-sram/objets", "link")</f>
        <v/>
      </c>
      <c r="C4158" t="n">
        <v>14</v>
      </c>
      <c r="D4158" t="inlineStr">
        <is>
          <t>Héqache; Amulette du Strigide; Anneau des égarés; Bracelet du Piloztère; Quatre-feuilles; Ceinture du Strigide; Le Dorado; Voilamibe; Baleinabottes; Dofus Pourpre; Dofus des Glaces; Dofus Turquoise; Vigoureux majeur; Enragé majeur; Cascadeur majeur; Kokulte</t>
        </is>
      </c>
    </row>
    <row r="4159">
      <c r="A4159" t="inlineStr">
        <is>
          <t>Roub agi</t>
        </is>
      </c>
      <c r="B4159">
        <f>HYPERLINK("https://www.dofusbook.net/fr/equipement/4357228-roub-agi/objets", "link")</f>
        <v/>
      </c>
      <c r="C4159" t="n">
        <v>10</v>
      </c>
      <c r="D4159" t="inlineStr">
        <is>
          <t>Manthache; Collier du Valet Veinard; Alliance Gloursonne; Gant du Valet Veinard; Bouclier du Stalak; Menoture; Couronne d'Allister; Cape Indescriptible; Palmes Trithons; Dofus des Glaces; Saccageur Air majeur; Remueur; Cascadeur majeur; Dévastateur Air majeur; Nomade; Blérodoudou</t>
        </is>
      </c>
    </row>
    <row r="4160">
      <c r="A4160" t="inlineStr">
        <is>
          <t>Erinomea Distance pp</t>
        </is>
      </c>
      <c r="B4160">
        <f>HYPERLINK("https://www.dofusbook.net/fr/equipement/2096968-erinomea-distance-pp/objets", "link")</f>
        <v/>
      </c>
      <c r="C4160" t="n">
        <v>23</v>
      </c>
      <c r="D4160" t="inlineStr">
        <is>
          <t>Arc Nécrotique; Amulette du Strigide; Anneau Cryochrone; Bracelet du Piloztère; Quatre-feuilles; Ceinture du Strigide; Le Dorado; Cape de la Dame du Hasard; Pataugastrique; Dofus Kaliptus; Dofus Turquoise; Dofus Pourpre; Nomade; Érudit majeur; Chanceux majeur; Pykur</t>
        </is>
      </c>
    </row>
    <row r="4161">
      <c r="A4161" t="inlineStr">
        <is>
          <t>Eni Songe</t>
        </is>
      </c>
      <c r="B4161">
        <f>HYPERLINK("https://www.dofusbook.net/fr/equipement/4402375-eni-songe/objets", "link")</f>
        <v/>
      </c>
      <c r="C4161" t="n">
        <v>6</v>
      </c>
      <c r="D4161" t="inlineStr">
        <is>
          <t>Arc corrompu; Pendentif affamé; Anneauræus; Bague Gloursonne; Bouclier du Cycloïde; Ceinture Séculaire; Coiffe Séculaire; Cape Sulhit; Pataugastrique; Dofus Ocre; Dofus Turquoise; Dofus Pourpre; Guérisseur majeur; Érudit majeur; Nomade; Bisouglours</t>
        </is>
      </c>
    </row>
    <row r="4162">
      <c r="A4162" t="inlineStr">
        <is>
          <t>Erinomea CAC</t>
        </is>
      </c>
      <c r="B4162">
        <f>HYPERLINK("https://www.dofusbook.net/fr/equipement/4117171-erinomea-cac/objets", "link")</f>
        <v/>
      </c>
      <c r="C4162" t="n">
        <v>10</v>
      </c>
      <c r="D4162" t="inlineStr">
        <is>
          <t>Épée Brûlâme; Amulette du Strigide; Anneau Cryochrone; Bracelet du Piloztère; Bouclier du Captain Amakna; Ceinture du Strigide; Le Dorado; Cape de la Dame du Hasard; Pataugastrique; Dofus Pourpre; Dofus Turquoise; Érudit majeur; Chanceux majeur; Vigoureux majeur; Nomade; Kokulte</t>
        </is>
      </c>
    </row>
    <row r="4163">
      <c r="A4163" t="inlineStr">
        <is>
          <t>Erinomea CAC pp</t>
        </is>
      </c>
      <c r="B4163">
        <f>HYPERLINK("https://www.dofusbook.net/fr/equipement/4117192-erinomea-cac-pp/objets", "link")</f>
        <v/>
      </c>
      <c r="C4163" t="n">
        <v>2</v>
      </c>
      <c r="D4163" t="inlineStr">
        <is>
          <t>Épée Brûlâme; Amulette du Strigide; Anneau Cryochrone; Bracelet du Piloztère; Bouclier du Captain Amakna; Ceinture du Strigide; Le Dorado; Cape de la Dame du Hasard; Pataugastrique; Dofus Kaliptus; Dofus Turquoise; Dofus Pourpre; Nomade; Érudit majeur; Chanceux majeur; Pykur</t>
        </is>
      </c>
    </row>
    <row r="4164">
      <c r="A4164" t="inlineStr">
        <is>
          <t>Panda Tank</t>
        </is>
      </c>
      <c r="B4164">
        <f>HYPERLINK("https://www.dofusbook.net/fr/equipement/4044757-panda-tank/objets", "link")</f>
        <v/>
      </c>
      <c r="C4164" t="n">
        <v>11</v>
      </c>
      <c r="D4164" t="inlineStr">
        <is>
          <t>Rouleau à Pâtisserie d'Aermyne; Amulette du Strigide; Bracelet du Piloztère; Alliance Gloursonne; Cadran de Feu; Ceinture de Kongoku; Masque d'Anerice; Cape d'Anerice; Pataugastrique; Dofus Émeraude; Nomade; Carapace Eau majeur; Remueur; Obstructeur majeur; Fonceur majeur; Platypus</t>
        </is>
      </c>
    </row>
    <row r="4165">
      <c r="A4165" t="inlineStr">
        <is>
          <t>Laureliine</t>
        </is>
      </c>
      <c r="B4165">
        <f>HYPERLINK("https://www.dofusbook.net/fr/equipement/2690103-laureliine/objets", "link")</f>
        <v/>
      </c>
      <c r="C4165" t="n">
        <v>12</v>
      </c>
      <c r="D4165" t="inlineStr">
        <is>
          <t>Bâton Beau; Amulette du Strigide; Bracelet du Piloztère; Alliance de Missiz Frizz; Quatre-feuilles; Ceintacé; Le Dorado; Cape de Jahash Jurgen; Bottes du Strigide; Dofus des Glaces; Dofus Nébuleux; Dofus Pourpre; Dofus Turquoise; Puissant majeur; Vigoureux majeur; Chacha Angora</t>
        </is>
      </c>
    </row>
    <row r="4166">
      <c r="A4166" t="inlineStr">
        <is>
          <t>Choppect CAC pp</t>
        </is>
      </c>
      <c r="B4166">
        <f>HYPERLINK("https://www.dofusbook.net/fr/equipement/4117886-choppect-cac-pp/objets", "link")</f>
        <v/>
      </c>
      <c r="C4166" t="n">
        <v>8</v>
      </c>
      <c r="D4166" t="inlineStr">
        <is>
          <t>Manthache; Collier du Valet Veinard; Alliance Gloursonne; Gant du Valet Veinard; Bouclier du Captain Amakna; Menoture; Couronne d'Allister; Cape Indescriptible; Palmes Trithons; Dofus Kaliptus; Dofus Abyssal; Dofus Ocre; Dofus Pourpre; Cascadeur majeur; Nomade; Pykur</t>
        </is>
      </c>
    </row>
    <row r="4167">
      <c r="A4167" t="inlineStr">
        <is>
          <t>Choppect CAC</t>
        </is>
      </c>
      <c r="B4167">
        <f>HYPERLINK("https://www.dofusbook.net/fr/equipement/4117840-choppect-cac/objets", "link")</f>
        <v/>
      </c>
      <c r="C4167" t="n">
        <v>10</v>
      </c>
      <c r="D4167" t="inlineStr">
        <is>
          <t>Manthache; Collier du Valet Veinard; Alliance Gloursonne; Gant du Valet Veinard; Bouclier du Captain Amakna; Menoture; Couronne d'Allister; Cape Indescriptible; Palmes Trithons; Dofus Pourpre; Dofus Turquoise; Dofus Abyssal; Dofus Ocre; Vigoureux majeur; Nomade; Blérodoudou</t>
        </is>
      </c>
    </row>
    <row r="4168">
      <c r="A4168" t="inlineStr">
        <is>
          <t>Kuiper CAC pp</t>
        </is>
      </c>
      <c r="B4168">
        <f>HYPERLINK("https://www.dofusbook.net/fr/equipement/4117796-kuiper-cac-pp/objets", "link")</f>
        <v/>
      </c>
      <c r="C4168" t="n">
        <v>5</v>
      </c>
      <c r="D4168" t="inlineStr">
        <is>
          <t>Dagoulinantes; Amulette de Shokkoth; Bracelet du Piloztère; Alliance Gloursonne; Bouclier du Captain Amakna; Poulpagne; Kidibonnet; Cape du Sinistrofu; Bottes du Sinistrofu; Dofus Kaliptus; Dofus Pourpre; Dofus Turquoise; Nomade; Joueur majeur; Chanceux majeur; Pykur</t>
        </is>
      </c>
    </row>
    <row r="4169">
      <c r="A4169" t="inlineStr">
        <is>
          <t>Kuiper CAC</t>
        </is>
      </c>
      <c r="B4169">
        <f>HYPERLINK("https://www.dofusbook.net/fr/equipement/4117766-kuiper-cac/objets", "link")</f>
        <v/>
      </c>
      <c r="C4169" t="n">
        <v>3</v>
      </c>
      <c r="D4169" t="inlineStr">
        <is>
          <t>Dagoulinantes; Amulette de Shokkoth; Bracelet du Piloztère; Alliance Gloursonne; Bouclier du Captain Amakna; Poulpagne; Kidibonnet; Cape du Sinistrofu; Bottes du Sinistrofu; Dofus Pourpre; Dofus Turquoise; Chanceux majeur; Nomade; Vigoureux majeur; Joueur majeur; Kanigloups</t>
        </is>
      </c>
    </row>
    <row r="4170">
      <c r="A4170" t="inlineStr">
        <is>
          <t>Kuiper Distance pp</t>
        </is>
      </c>
      <c r="B4170">
        <f>HYPERLINK("https://www.dofusbook.net/fr/equipement/4117749-kuiper-distance-pp/objets", "link")</f>
        <v/>
      </c>
      <c r="C4170" t="n">
        <v>3</v>
      </c>
      <c r="D4170" t="inlineStr">
        <is>
          <t>Baguette Héroclite; Amulette de Shokkoth; Bracelet du Piloztère; Alliance Gloursonne; Quatre-feuilles; Poulpagne; Kidibonnet; Cape du Sinistrofu; Bottes du Sinistrofu; Dofus Kaliptus; Dofus Pourpre; Dofus Turquoise; Nomade; Joueur majeur; Chanceux majeur; Pykur</t>
        </is>
      </c>
    </row>
    <row r="4171">
      <c r="A4171" t="inlineStr">
        <is>
          <t>Kuiper Ret Pm pp</t>
        </is>
      </c>
      <c r="B4171">
        <f>HYPERLINK("https://www.dofusbook.net/fr/equipement/4117719-kuiper-ret-pm-pp/objets", "link")</f>
        <v/>
      </c>
      <c r="C4171" t="n">
        <v>3</v>
      </c>
      <c r="D4171" t="inlineStr">
        <is>
          <t>Marteau Racle; Amulette du Glourséleste; Anneau Tamie; Anneau Tamie; Bouclier cubiste; Ceinture Instable; Coiffe d'Ogivol; Cape de Léthaline; Pantoufles Émar; Dofus Kaliptus; Ralentisseur majeur; Temporiseur; Entraveur majeur; Remueur; Temporiseur majeur; Pykur</t>
        </is>
      </c>
    </row>
    <row r="4172">
      <c r="A4172" t="inlineStr">
        <is>
          <t>Kuiper Ret Pm</t>
        </is>
      </c>
      <c r="B4172">
        <f>HYPERLINK("https://www.dofusbook.net/fr/equipement/1825475-kuiper-ret-pm/objets", "link")</f>
        <v/>
      </c>
      <c r="C4172" t="n">
        <v>10</v>
      </c>
      <c r="D4172" t="inlineStr">
        <is>
          <t>Marteau Racle; Amulette du Glourséleste; Anneau Tamie; Anneau Tamie; Bouclier cubiste; Ceinture Instable; Coiffe d'Ogivol; Cape de Léthaline; Pantoufles Émar; Entraveur; Ralentisseur majeur; Temporiseur; Entraveur majeur; Remueur; Temporiseur majeur; Blokus</t>
        </is>
      </c>
    </row>
    <row r="4173">
      <c r="A4173" t="inlineStr">
        <is>
          <t>Camilly Distance pp</t>
        </is>
      </c>
      <c r="B4173">
        <f>HYPERLINK("https://www.dofusbook.net/fr/equipement/4117596-camilly-distance-pp/objets", "link")</f>
        <v/>
      </c>
      <c r="C4173" t="n">
        <v>1</v>
      </c>
      <c r="D4173" t="inlineStr">
        <is>
          <t>Arc corrompu; Pendentif affamé; Bague Gloursonne; Anneau de Padgref; Bouclier du Cycloïde; Ceinture Séculaire; Coiffe Séculaire; Cape de Diondin; Bottes Innommables; Dofus Kaliptus; Dofus Turquoise; Nomade; Guérisseur majeur; Remueur; Érudit majeur; Pykur</t>
        </is>
      </c>
    </row>
    <row r="4174">
      <c r="A4174" t="inlineStr">
        <is>
          <t>Camilly CAC pp</t>
        </is>
      </c>
      <c r="B4174">
        <f>HYPERLINK("https://www.dofusbook.net/fr/equipement/4117580-camilly-cac-pp/objets", "link")</f>
        <v/>
      </c>
      <c r="C4174" t="n">
        <v>2</v>
      </c>
      <c r="D4174" t="inlineStr">
        <is>
          <t>Dagues Érhy; Pendentif affamé; Bague Gloursonne; Anneau de Padgref; Bouclier du Captain Amakna; Ceinture Séculaire; Coiffe Séculaire; Cape de Diondin; Bottes Innommables; Dofus Turquoise; Dofus Kaliptus; Cascadeur majeur; Érudit majeur; Nomade; Remueur; Pykur</t>
        </is>
      </c>
    </row>
    <row r="4175">
      <c r="A4175" t="inlineStr">
        <is>
          <t>Eliotrope F 200</t>
        </is>
      </c>
      <c r="B4175">
        <f>HYPERLINK("https://www.dofusbook.net/fr/equipement/5946539-eliotrope-f-200/objets", "link")</f>
        <v/>
      </c>
      <c r="C4175" t="n">
        <v>1</v>
      </c>
      <c r="D4175" t="inlineStr"/>
    </row>
    <row r="4176">
      <c r="A4176" t="inlineStr">
        <is>
          <t>jkj</t>
        </is>
      </c>
      <c r="B4176">
        <f>HYPERLINK("https://www.dofusbook.net/fr/equipement/2471967-jkj/objets", "link")</f>
        <v/>
      </c>
      <c r="C4176" t="n">
        <v>4</v>
      </c>
      <c r="D4176" t="inlineStr">
        <is>
          <t>Arc Volkorne; Amulette Volkorne; Bracelet du Piloztère; Anneau Volkorne; Quatre-feuilles; Ceinture Volkorne; Cape du Chalœil; Bottes du Chalœil; Dofus Émeraude; Dofus Ocre; Dofus Pourpre; Dofus Ivoire; Dofus Turquoise; Dofus Ébène; Volkorne Doré et Emeraude</t>
        </is>
      </c>
    </row>
    <row r="4177">
      <c r="A4177" t="inlineStr">
        <is>
          <t>Criiit</t>
        </is>
      </c>
      <c r="B4177">
        <f>HYPERLINK("https://www.dofusbook.net/fr/equipement/1730068-criiit/objets", "link")</f>
        <v/>
      </c>
      <c r="C4177" t="n">
        <v>4</v>
      </c>
      <c r="D4177" t="inlineStr">
        <is>
          <t>Arc Volkorne; Amulette du Strigide; Bague Trithon; Anneau de Padgref; Quatre-feuilles; Ceinture du Strigide; Coiffe de Padgref; Cape d'Atcham; Getas de Padgref; Dofus des Glaces; Dofus Ocre; Dofus Turquoise; Dolmanax; Dofus Pourpre; Muldo Prune et Emeraude</t>
        </is>
      </c>
    </row>
    <row r="4178">
      <c r="A4178" t="inlineStr">
        <is>
          <t>Crâ F 200</t>
        </is>
      </c>
      <c r="B4178">
        <f>HYPERLINK("https://www.dofusbook.net/fr/equipement/3251748-cra-f-200/objets", "link")</f>
        <v/>
      </c>
      <c r="C4178" t="n">
        <v>5</v>
      </c>
      <c r="D4178" t="inlineStr">
        <is>
          <t>Dagues Érhy; Amulette du Strigide; Anneau de Padgref; Kralano; Bouclier du Captain Amakna; Ceinture du Strigide; Coiffe de Padgref; Cape Lati; Getas de Padgref; Dofus Pourpre; Dofus des Glaces; Dofus Émeraude; Dofus Turquoise; Dolmanax; Dofus Ocre; Kokulte</t>
        </is>
      </c>
    </row>
    <row r="4179">
      <c r="A4179" t="inlineStr">
        <is>
          <t>NEW</t>
        </is>
      </c>
      <c r="B4179">
        <f>HYPERLINK("https://www.dofusbook.net/fr/equipement/2963335-new/objets", "link")</f>
        <v/>
      </c>
      <c r="C4179" t="n">
        <v>2</v>
      </c>
      <c r="D4179" t="inlineStr">
        <is>
          <t>Arc Volkorne; Amulette Volkorne; Bracelet du Piloztère; Anneau Volkorne; Quatre-feuilles; Ceinture Volkorne; Dofusteuse; Bottes de l'Indicible; Dofus Émeraude; Dofus Turquoise; Dolmanax; Dofus Ocre; Dofus Pourpre; Dofus des Glaces; Muldo Prune et Emeraude</t>
        </is>
      </c>
    </row>
    <row r="4180">
      <c r="A4180" t="inlineStr">
        <is>
          <t>new stuff</t>
        </is>
      </c>
      <c r="B4180">
        <f>HYPERLINK("https://www.dofusbook.net/fr/equipement/1980218-new-stuff/objets", "link")</f>
        <v/>
      </c>
      <c r="C4180" t="n">
        <v>1</v>
      </c>
      <c r="D4180" t="inlineStr"/>
    </row>
    <row r="4181">
      <c r="A4181" t="inlineStr">
        <is>
          <t>Stuff 2</t>
        </is>
      </c>
      <c r="B4181">
        <f>HYPERLINK("https://www.dofusbook.net/fr/equipement/704589-stuff-2/objets", "link")</f>
        <v/>
      </c>
      <c r="C4181" t="n">
        <v>6</v>
      </c>
      <c r="D4181" t="inlineStr">
        <is>
          <t>Arc Honte; Amulette de l'Œil Putride; Bague Gloursonne; Alliance Gloursonne; Quatre-feuilles; Ceinture du Strigide; Capuche de l'Œil Putride; Cape de l'Œil Putride; Bottes du Strigide; Dolmanax; Dofus Turquoise; Dofus des Glaces; Dofus Ivoire; Dofus Ocre; Dofus Pourpre; Bouflux</t>
        </is>
      </c>
    </row>
    <row r="4182">
      <c r="A4182" t="inlineStr">
        <is>
          <t>Bluff</t>
        </is>
      </c>
      <c r="B4182">
        <f>HYPERLINK("https://www.dofusbook.net/fr/equipement/1955269-bluff/objets", "link")</f>
        <v/>
      </c>
      <c r="C4182" t="n">
        <v>3</v>
      </c>
      <c r="D4182" t="inlineStr">
        <is>
          <t>Arc de Koutoulou; Amulette d'Ilyzaelle; Alliance Gloursonne; Bague Gloursonne; Bouclier d'Ilyzaelle; Ceinture Voldelor; Casque d'Ilyzaelle; Chevelure de Tal Kasha; Sandales de Tal Kasha; Dofus Nébuleux; Dofus des Glaces; Dofus Émeraude; Dofus Ocre; Dofus Pourpre; Dolmanax; Bouflux</t>
        </is>
      </c>
    </row>
    <row r="4183">
      <c r="A4183" t="inlineStr">
        <is>
          <t>Ahique</t>
        </is>
      </c>
      <c r="B4183">
        <f>HYPERLINK("https://www.dofusbook.net/fr/equipement/1048874-ahique/objets", "link")</f>
        <v/>
      </c>
      <c r="C4183" t="n">
        <v>2</v>
      </c>
      <c r="D4183" t="inlineStr">
        <is>
          <t>Dagues d'Ilyzaelle; Amulette du Cœur Vaillant; Alliance Brûlâme; Anneau des égarés; Bouclier Pandawa; Ceintouse; Casque des égarés; Cape du Cœur Vaillant; Bottes du Cœur Vaillant; Dofus Pourpre; Dolmanax; Dofus Turquoise; Dofus des Glaces; Dofus Ocre; Dofus Ivoire; Bouflux</t>
        </is>
      </c>
    </row>
    <row r="4184">
      <c r="A4184" t="inlineStr">
        <is>
          <t>colle</t>
        </is>
      </c>
      <c r="B4184">
        <f>HYPERLINK("https://www.dofusbook.net/fr/equipement/1515385-colle/objets", "link")</f>
        <v/>
      </c>
      <c r="C4184" t="n">
        <v>3</v>
      </c>
      <c r="D4184" t="inlineStr">
        <is>
          <t>Épée Brûlâme; Collier de la Dame du Hasard; Alliance de Missiz Frizz; Anneau Cryochrone; Bouclier du Captain Amakna; Ceinture de l'Esprit Malsain; Masque de l'Esprit Malsain; Cape de la Dame du Hasard; Bottes de l'Esprit Malsain; Dofus Nébuleux; Dofus Ocre; Dofus Pourpre; Dolmanax; Dofus Turquoise; Dofus des Glaces; Muldo Prune et Emeraude</t>
        </is>
      </c>
    </row>
    <row r="4185">
      <c r="A4185" t="inlineStr">
        <is>
          <t>Tripe</t>
        </is>
      </c>
      <c r="B4185">
        <f>HYPERLINK("https://www.dofusbook.net/fr/equipement/1941994-tripe/objets", "link")</f>
        <v/>
      </c>
      <c r="C4185" t="n">
        <v>2</v>
      </c>
      <c r="D4185" t="inlineStr">
        <is>
          <t>Sabres d'Atcham; Amulette de l'Œil Putride; Alliance Gloursonne; Bague Gloursonne; Bouclier du Cycloïde; Ceinture du Glourséleste; Capuche de l'Œil Putride; Cape de l'Œil Putride; Sandales  d'Atcham; Dofus Turquoise; Dolmanax; Dofus Ocre; Dofus des Glaces; Dofus Pourpre; Dofus Ivoire; Muldo Prune et Emeraude</t>
        </is>
      </c>
    </row>
    <row r="4186">
      <c r="A4186" t="inlineStr">
        <is>
          <t>IOP</t>
        </is>
      </c>
      <c r="B4186">
        <f>HYPERLINK("https://www.dofusbook.net/fr/equipement/1403962-iop/objets", "link")</f>
        <v/>
      </c>
      <c r="C4186" t="n">
        <v>9</v>
      </c>
      <c r="D4186" t="inlineStr">
        <is>
          <t>Lav'Hache; Amulette du Cœur Saignant; Anneau Crustique; Anneau Crustique; Bouclier du Captain Amakna; Ceinture Gence; Coiffe de la Reine des Voleurs; Cape du Cœur Saignant; Bottes du Cœur Saignant; Dofus Nébuleux; Dofus Turquoise; Dofus des Glaces; Dofus Émeraude; Dofus Ocre; Dofus Pourpre; Muldo Prune et Emeraude</t>
        </is>
      </c>
    </row>
    <row r="4187">
      <c r="A4187" t="inlineStr">
        <is>
          <t>Terre</t>
        </is>
      </c>
      <c r="B4187">
        <f>HYPERLINK("https://www.dofusbook.net/fr/equipement/1938064-terre/objets", "link")</f>
        <v/>
      </c>
      <c r="C4187" t="n">
        <v>2</v>
      </c>
      <c r="D4187" t="inlineStr">
        <is>
          <t>Amulette du Strigide; Grésilanneau; Bracelet du Piloztère; Quatre-feuilles; Ceinture de l'Esprit Salvateur; Masque Brûlâme; Cape Reski; Bottes de l'Esprit Salvateur; Dofus Ocre; Dofus Ivoire; Dofus Nébuleux; Dolmanax; Dofus Pourpre; Dofus des Glaces; Bouflux</t>
        </is>
      </c>
    </row>
    <row r="4188">
      <c r="A4188" t="inlineStr">
        <is>
          <t>def</t>
        </is>
      </c>
      <c r="B4188">
        <f>HYPERLINK("https://www.dofusbook.net/fr/equipement/1843203-def/objets", "link")</f>
        <v/>
      </c>
      <c r="C4188" t="n">
        <v>2</v>
      </c>
      <c r="D4188" t="inlineStr">
        <is>
          <t>Arc corrompu; Amulette Séculaire; Anneau Tamie; Anneau Tamie; Quatre-feuilles; Ceinture Séculaire; Coiffe Séculaire; Cape de Nileza; Bottes Innommables; Dofus Turquoise; Dofus Ivoire; Dolmanax; Dofus Ocre; Dofus Pourpre; Dofus des Glaces; Brûlih</t>
        </is>
      </c>
    </row>
    <row r="4189">
      <c r="A4189" t="inlineStr">
        <is>
          <t>TERRE</t>
        </is>
      </c>
      <c r="B4189">
        <f>HYPERLINK("https://www.dofusbook.net/fr/equipement/1716095-terre/objets", "link")</f>
        <v/>
      </c>
      <c r="C4189" t="n">
        <v>2</v>
      </c>
      <c r="D4189" t="inlineStr">
        <is>
          <t>Dagues d'Ilyzaelle; Amulette du Cœur Saignant; Anneau Crustique; Anneau Crustique; Bouclier du Captain Amakna; Ceinture de Gein; Chapeau de Gein; Cape du Cœur Saignant; Bottes du Cœur Saignant; Dofus Émeraude; Dofus Ocre; Dofus Pourpre; Dofus Nébuleux; Dofus Turquoise; Dofus des Glaces; Muldo Prune et Emeraude</t>
        </is>
      </c>
    </row>
    <row r="4190">
      <c r="A4190" t="inlineStr">
        <is>
          <t>Stuff 1</t>
        </is>
      </c>
      <c r="B4190">
        <f>HYPERLINK("https://www.dofusbook.net/fr/equipement/1714280-stuff-1/objets", "link")</f>
        <v/>
      </c>
      <c r="C4190" t="n">
        <v>4</v>
      </c>
      <c r="D4190" t="inlineStr">
        <is>
          <t>Sabres d'Atcham; Amulette du Strigide; Grésilanneau; Bracelet du Piloztère; Bouclier alvéolé; Ceinture du Strigide; Chapeau des Malveilleurs; Cape d'Atcham; Sandales  d'Atcham; Dofus des Glaces; Dofus Turquoise; Dofus Ocre; Dofus Émeraude; Dolmanax; Dofus Pourpre; Muldo Prune et Emeraude</t>
        </is>
      </c>
    </row>
    <row r="4191">
      <c r="A4191" t="inlineStr">
        <is>
          <t>pvp</t>
        </is>
      </c>
      <c r="B4191">
        <f>HYPERLINK("https://www.dofusbook.net/fr/equipement/1273945-pvp/objets", "link")</f>
        <v/>
      </c>
      <c r="C4191" t="n">
        <v>3</v>
      </c>
      <c r="D4191" t="inlineStr">
        <is>
          <t>Hache Téroïde; Amulette du Strigide; Bracelet du Piloztère; Bague Gloursonne; Quatre-feuilles; Ceinture du Strigide; Casque de Missiz Frizz; Voile d'encre; Bottes du Cycloïde; Dofus Turquoise; Dofus Émeraude; Dofus Pourpre; Dofus Ocre; Nomade; Remueur; Muldo Prune et Emeraude</t>
        </is>
      </c>
    </row>
    <row r="4192">
      <c r="A4192" t="inlineStr">
        <is>
          <t>exotique</t>
        </is>
      </c>
      <c r="B4192">
        <f>HYPERLINK("https://www.dofusbook.net/fr/equipement/1682007-exotique/objets", "link")</f>
        <v/>
      </c>
      <c r="C4192" t="n">
        <v>2</v>
      </c>
      <c r="D4192" t="inlineStr">
        <is>
          <t>Baguette Hique; Collier de la Dame du Hasard; Bracelet du Piloztère; Bague Trithon; Quatre-feuilles; Ceinture du Strigide; Masque Trithon; Cape de la Dame du Hasard; Bottes de la Dame du Hasard; Dofus Turquoise; Dolmanax; Dofus Ocre; Dofus Pourpre; Dofus des Glaces; Entraveur majeur; Muldo Prune et Emeraude</t>
        </is>
      </c>
    </row>
    <row r="4193">
      <c r="A4193" t="inlineStr">
        <is>
          <t>New stuf</t>
        </is>
      </c>
      <c r="B4193">
        <f>HYPERLINK("https://www.dofusbook.net/fr/equipement/1673364-new-stuf/objets", "link")</f>
        <v/>
      </c>
      <c r="C4193" t="n">
        <v>10</v>
      </c>
      <c r="D4193" t="inlineStr">
        <is>
          <t>Arc du Chalœil; Collier de Tourthon; Anneau Crustique; Anneau des égarés; Bouclier Pandawa; Ceinture de la Cour Sombre; Casque des égarés; Cape de la Cour Sombre; Bottes de la Cour Sombre; Dofus des Glaces; Dofus Turquoise; Dofus Nébuleux; Dolmanax; Dofus Ocre; Dofus Pourpre; Muldo Prune et Emeraude</t>
        </is>
      </c>
    </row>
    <row r="4194">
      <c r="A4194" t="inlineStr">
        <is>
          <t>Aiiir</t>
        </is>
      </c>
      <c r="B4194">
        <f>HYPERLINK("https://www.dofusbook.net/fr/equipement/1170210-aiiir/objets", "link")</f>
        <v/>
      </c>
      <c r="C4194" t="n">
        <v>6</v>
      </c>
      <c r="D4194" t="inlineStr">
        <is>
          <t>Hachoirs de Viandargh; Amulette de Nevark; Kralano; Anneau d'Allister; Bivalve; Ceinture de Nevark; Couronne d'Allister; Cape de Nevark; Bottes d'Allister; Dofus Ocre; Dofus des Glaces; Dofus Nébuleux; Dofus Émeraude; Dofus Pourpre; Dolmanax; Muldo Prune et Emeraude</t>
        </is>
      </c>
    </row>
    <row r="4195">
      <c r="A4195" t="inlineStr">
        <is>
          <t>terre-feu</t>
        </is>
      </c>
      <c r="B4195">
        <f>HYPERLINK("https://www.dofusbook.net/fr/equipement/1666455-terre-feu/objets", "link")</f>
        <v/>
      </c>
      <c r="C4195" t="n">
        <v>1</v>
      </c>
      <c r="D4195" t="inlineStr">
        <is>
          <t>Dagues Érhy; Amulette de Gein; Chevalière du Roi Joueur; Bague Gloursonne; Bivalve; Ceinture de Gein; Couronne du Roi Joueur; Cape du Chalœil; Bottes du Roi Joueur; Dolmanax; Dofus Turquoise; Dofus Nébuleux; Dofus Ocre; Dofus Pourpre; Dofus des Glaces; Muldo Prune et Emeraude</t>
        </is>
      </c>
    </row>
    <row r="4196">
      <c r="A4196" t="inlineStr">
        <is>
          <t>Stuff 2</t>
        </is>
      </c>
      <c r="B4196">
        <f>HYPERLINK("https://www.dofusbook.net/fr/equipement/704584-stuff-2/objets", "link")</f>
        <v/>
      </c>
      <c r="C4196" t="n">
        <v>1</v>
      </c>
      <c r="D4196" t="inlineStr">
        <is>
          <t>Hache du Chalœil; Amulette du Strigide; Goulano; Alliance du Lévitrof; Goulclier; Ceinture du Strigide; Coiffe du Lévitrof; Dofusteuse; Bottes du Lévitrof; Dofus Cawotte; Dofus Ocre; Dolmanax; Dofus Turquoise; Dofus des Glaces; Dofus Pourpre; Muldo Prune et Doré</t>
        </is>
      </c>
    </row>
    <row r="4197">
      <c r="A4197" t="inlineStr">
        <is>
          <t>Test</t>
        </is>
      </c>
      <c r="B4197">
        <f>HYPERLINK("https://www.dofusbook.net/fr/equipement/1049061-test/objets", "link")</f>
        <v/>
      </c>
      <c r="C4197" t="n">
        <v>1</v>
      </c>
      <c r="D4197" t="inlineStr">
        <is>
          <t>Marteau des égarés; Amulette du Strigide; Kralano; Anneau de Padgref; Quatre-feuilles; Ceinture du Strigide; Coiffe de Padgref; Dofusteuse; Getas de Padgref; Dofus Émeraude; Dolmanax; Dofus Turquoise; Dofus des Glaces; Dofus Pourpre; Dofus Ocre; Muldo Prune et Emeraude</t>
        </is>
      </c>
    </row>
    <row r="4198">
      <c r="A4198" t="inlineStr">
        <is>
          <t>Stuff</t>
        </is>
      </c>
      <c r="B4198">
        <f>HYPERLINK("https://www.dofusbook.net/fr/equipement/1573999-stuff/objets", "link")</f>
        <v/>
      </c>
      <c r="C4198" t="n">
        <v>1</v>
      </c>
      <c r="D4198" t="inlineStr">
        <is>
          <t>Baguette Hique; Amulette de Théodoran Ax; Gelano; Grésilanneau; Quatre-feuilles; Obscture; Casqnoar; Cape Matelassée; Bottes de Théodoran Ax; Temporiseur majeur; Nomade; Vigoureux majeur; Remueur; Puissant majeur; Observateur; Dragodinde Prune et Emeraude</t>
        </is>
      </c>
    </row>
    <row r="4199">
      <c r="A4199" t="inlineStr">
        <is>
          <t>Stuff 1</t>
        </is>
      </c>
      <c r="B4199">
        <f>HYPERLINK("https://www.dofusbook.net/fr/equipement/704580-stuff-1/objets", "link")</f>
        <v/>
      </c>
      <c r="C4199" t="n">
        <v>1</v>
      </c>
      <c r="D4199" t="inlineStr">
        <is>
          <t>Pelle Vice; Collier de la Dame du Hasard; Bracelet du Piloztère; Anneau Cryochrone; Quatre-feuilles; Ceintrigue; Coiffe Cryochrone; Cape de la Dame du Hasard; Bottes de la Dame du Hasard; Dofus Cawotte; Dofus Ocre; Dofus Pourpre; Dofus des Glaces; Dolmanax; Dofus Turquoise; Muldo Prune et Emeraude</t>
        </is>
      </c>
    </row>
    <row r="4200">
      <c r="A4200" t="inlineStr">
        <is>
          <t>gla</t>
        </is>
      </c>
      <c r="B4200">
        <f>HYPERLINK("https://www.dofusbook.net/fr/equipement/1552471-gla/objets", "link")</f>
        <v/>
      </c>
      <c r="C4200" t="n">
        <v>1</v>
      </c>
      <c r="D4200" t="inlineStr">
        <is>
          <t>Dagues Érhy; Amulette du Strigide; Anneau de Padgref; Bague Gloursonne; Bivalve; Ceinture du Strigide; Casque de Missiz Frizz; Voile d'encre; Pataugastrique; Dolmanax; Dofus Pourpre; Dofus Turquoise; Nomade; Remueur; Vigoureux majeur; Muldo Prune et Emeraude</t>
        </is>
      </c>
    </row>
    <row r="4201">
      <c r="A4201" t="inlineStr">
        <is>
          <t>Sramair</t>
        </is>
      </c>
      <c r="B4201">
        <f>HYPERLINK("https://www.dofusbook.net/fr/equipement/1573927-sramair/objets", "link")</f>
        <v/>
      </c>
      <c r="C4201" t="n">
        <v>1</v>
      </c>
      <c r="D4201" t="inlineStr">
        <is>
          <t>Dagues Érhy; Amulette du Strigide; Bague Trithon; Bracelet du Piloztère; Bouclier du Stalak; Ceinture du Strigide; Masque Trithon; Voile d'encre; Bottes Trithon; Dofus Ocre; Dofus Nébuleux; Dofus Pourpre; Dofus Turquoise; Dofus des Glaces; Dolmanax; Muldo Prune et Emeraude</t>
        </is>
      </c>
    </row>
    <row r="4202">
      <c r="A4202" t="inlineStr">
        <is>
          <t>Stuff 3</t>
        </is>
      </c>
      <c r="B4202">
        <f>HYPERLINK("https://www.dofusbook.net/fr/equipement/704585-stuff-3/objets", "link")</f>
        <v/>
      </c>
      <c r="C4202" t="n">
        <v>3</v>
      </c>
      <c r="D4202" t="inlineStr">
        <is>
          <t>Sceptre du Roi Joueur; Amulette de Shokkoth; Bracelet des Fonds marins; Anneau Glacial; Bivalve; Ceinture Glaciale; Némès de Tal Kasha; Chevelure de Tal Kasha; Sandales de Tal Kasha; Dofus Vulbis; Dofus Turquoise; Dolmanax; Dofus Ocre; Dofus Pourpre; Dofus des Glaces; Dehluge</t>
        </is>
      </c>
    </row>
    <row r="4203">
      <c r="A4203" t="inlineStr">
        <is>
          <t>Terre_feu_air</t>
        </is>
      </c>
      <c r="B4203">
        <f>HYPERLINK("https://www.dofusbook.net/fr/equipement/1557855-terre-feu-air/objets", "link")</f>
        <v/>
      </c>
      <c r="C4203" t="n">
        <v>1</v>
      </c>
      <c r="D4203" t="inlineStr">
        <is>
          <t>Dagues Érhy; Amulette du Cycloïde; Anneau du Katcheur; Anneau du Cycloïde; Ceinture de Kongoku; Masque du Katcheur; Cape de Kongoku; Bottes du Katcheur; Dofus Pourpre; Dolmanax; Dofus Turquoise; Dofus des Glaces; Dofus Nébuleux; Dofus Ocre; Muldo Prune et Emeraude</t>
        </is>
      </c>
    </row>
    <row r="4204">
      <c r="A4204" t="inlineStr">
        <is>
          <t>dps</t>
        </is>
      </c>
      <c r="B4204">
        <f>HYPERLINK("https://www.dofusbook.net/fr/equipement/1516060-dps/objets", "link")</f>
        <v/>
      </c>
      <c r="C4204" t="n">
        <v>1</v>
      </c>
      <c r="D4204" t="inlineStr"/>
    </row>
    <row r="4205">
      <c r="A4205" t="inlineStr">
        <is>
          <t>Stuff 3</t>
        </is>
      </c>
      <c r="B4205">
        <f>HYPERLINK("https://www.dofusbook.net/fr/equipement/704590-stuff-3/objets", "link")</f>
        <v/>
      </c>
      <c r="C4205" t="n">
        <v>1</v>
      </c>
      <c r="D4205" t="inlineStr"/>
    </row>
    <row r="4206">
      <c r="A4206" t="inlineStr">
        <is>
          <t>Atcham</t>
        </is>
      </c>
      <c r="B4206">
        <f>HYPERLINK("https://www.dofusbook.net/fr/equipement/1499504-atcham/objets", "link")</f>
        <v/>
      </c>
      <c r="C4206" t="n">
        <v>2</v>
      </c>
      <c r="D4206" t="inlineStr">
        <is>
          <t>Sabres d'Atcham; Amulette du Strigide; Anneau de Padgref; Bracelet du Piloztère; Bouclier du Captain Amakna; Ceinture du Strigide; Coiffe de Padgref; Cape d'Atcham; Getas de Padgref; Dofus Turquoise; Dofus Nébuleux; Dofus Abyssal; Dofus Ocre; Dofus Pourpre; Dofus des Glaces; Muldo Prune et Emeraude</t>
        </is>
      </c>
    </row>
    <row r="4207">
      <c r="A4207" t="inlineStr">
        <is>
          <t>Stuff 1</t>
        </is>
      </c>
      <c r="B4207">
        <f>HYPERLINK("https://www.dofusbook.net/fr/equipement/704594-stuff-1/objets", "link")</f>
        <v/>
      </c>
      <c r="C4207" t="n">
        <v>1</v>
      </c>
      <c r="D4207" t="inlineStr">
        <is>
          <t>Dagues Érhy; Amulette de l'Indicible; Bracelet du Piloztère; Bague Gloursonne; Bivalve; Ceinture du Strigide; Casque de Missiz Frizz; Cape des Justiciers; Bottes de l'Indicible; Dofus Pourpre; Dofus des Glaces; Dofus Turquoise; Remueur; Vigoureux majeur; Nomade; Muldo Prune et Doré</t>
        </is>
      </c>
    </row>
    <row r="4208">
      <c r="A4208" t="inlineStr">
        <is>
          <t>nucleaire</t>
        </is>
      </c>
      <c r="B4208">
        <f>HYPERLINK("https://www.dofusbook.net/fr/equipement/1274293-nucleaire/objets", "link")</f>
        <v/>
      </c>
      <c r="C4208" t="n">
        <v>6</v>
      </c>
      <c r="D4208" t="inlineStr">
        <is>
          <t>Arc Honte; Amulette Séculaire; Anneau Tamie; Anneau Tamie; Quatre-feuilles; Ceinture Séculaire; Coiffe Séculaire; Cape de Diondin; Bottes Innommables; Dofus des Glaces; Dofus Pourpre; Dofus Nébuleux; Dofus Ocre; Astucieux majeur; Savant majeur; Muldo Doré et Ivoire</t>
        </is>
      </c>
    </row>
    <row r="4209">
      <c r="A4209" t="inlineStr">
        <is>
          <t>pvm</t>
        </is>
      </c>
      <c r="B4209">
        <f>HYPERLINK("https://www.dofusbook.net/fr/equipement/1269724-pvm/objets", "link")</f>
        <v/>
      </c>
      <c r="C4209" t="n">
        <v>6</v>
      </c>
      <c r="D4209" t="inlineStr">
        <is>
          <t>Dagues Érhy; Amulette du Strigide; Anneau de Padgref; Kralano; Bouclier du Captain Amakna; Ceinture du Strigide; Coiffe de Padgref; Voile d'encre; Getas de Padgref; Dofus Ocre; Dofus Nébuleux; Dofus Pourpre; Dofus des Glaces; Dofus Turquoise; Dolmanax; Kramkram</t>
        </is>
      </c>
    </row>
    <row r="4210">
      <c r="A4210" t="inlineStr">
        <is>
          <t>Posey</t>
        </is>
      </c>
      <c r="B4210">
        <f>HYPERLINK("https://www.dofusbook.net/fr/equipement/1224036-posey/objets", "link")</f>
        <v/>
      </c>
      <c r="C4210" t="n">
        <v>2</v>
      </c>
      <c r="D4210" t="inlineStr">
        <is>
          <t>Marteau des égarés; Amulette du Strigide; Kralano; Anneau de Padgref; Bivalve; Ceinture du Strigide; Coiffe de Padgref; Dofusteuse; Getas de Padgref; Dofus Turquoise; Dofus des Glaces; Dofus Pourpre; Dolmanax; Dofus Émeraude; Dofus Ocre; Muldo Prune</t>
        </is>
      </c>
    </row>
    <row r="4211">
      <c r="A4211" t="inlineStr">
        <is>
          <t>Ret</t>
        </is>
      </c>
      <c r="B4211">
        <f>HYPERLINK("https://www.dofusbook.net/fr/equipement/1052769-ret/objets", "link")</f>
        <v/>
      </c>
      <c r="C4211" t="n">
        <v>2</v>
      </c>
      <c r="D4211" t="inlineStr">
        <is>
          <t>Hachoirs de Viandargh; Amulette Hale; Pikano; Anneau Tamie; Bouclier cubiste; Ceinture Instable; Casquipik; Cape Tif; Pikottes; Dolmanax; Dofus Ocre; Dofus Cawotte; Dofus Turquoise; Dofus des Glaces; Dofus Pourpre; Muldo Doré et Emeraude</t>
        </is>
      </c>
    </row>
    <row r="4212">
      <c r="A4212" t="inlineStr">
        <is>
          <t>Stuff 2</t>
        </is>
      </c>
      <c r="B4212">
        <f>HYPERLINK("https://www.dofusbook.net/fr/equipement/704581-stuff-2/objets", "link")</f>
        <v/>
      </c>
      <c r="C4212" t="n">
        <v>2</v>
      </c>
      <c r="D4212" t="inlineStr">
        <is>
          <t>Arc à Lamelles; Torquistik; Chevalière du Roi Joueur; Baguistik; Bouclier du Stalak; Ceinture de Gein; Chapeau de Gein; Voile d'encre; Bottes du Roi Joueur; Dofus Turquoise; Dofus Ocre; Dofus Pourpre; Dofus des Glaces; Nomade; Remueur</t>
        </is>
      </c>
    </row>
    <row r="4213">
      <c r="A4213" t="inlineStr">
        <is>
          <t>Stuff 3</t>
        </is>
      </c>
      <c r="B4213">
        <f>HYPERLINK("https://www.dofusbook.net/fr/equipement/704582-stuff-3/objets", "link")</f>
        <v/>
      </c>
      <c r="C4213" t="n">
        <v>3</v>
      </c>
      <c r="D4213" t="inlineStr">
        <is>
          <t>Hache du Korriandre; Amulette Voldelor; Alliance Gloursonne; Bracelet du Piloztère; Bouclier du Stalak; Ceinture Voldelor; Némès de Tal Kasha; Chevelure de Tal Kasha; Sandales de Tal Kasha; Dofus Cawotte; Dofus des Glaces; Dofus Pourpre; Dolmanax; Dofus Turquoise; Dofus Ocre; Muldo Ebène et Emeraude</t>
        </is>
      </c>
    </row>
    <row r="4214">
      <c r="A4214" t="inlineStr">
        <is>
          <t>Stuff 1</t>
        </is>
      </c>
      <c r="B4214">
        <f>HYPERLINK("https://www.dofusbook.net/fr/equipement/704595-stuff-1/objets", "link")</f>
        <v/>
      </c>
      <c r="C4214" t="n">
        <v>2</v>
      </c>
      <c r="D4214" t="inlineStr">
        <is>
          <t>Dagues Érhy; Amulette du Strigide; Bracelet du Piloztère; Bague Gloursonne; Ceinture du Strigide; Solomonk; Cape des Justiciers; Bottes du Cycloïde; Dofus Pourpre; Vigoureux majeur; Remueur; Observateur; Fonceur majeur; Nomade; Dragodinde Amande et Emeraude</t>
        </is>
      </c>
    </row>
    <row r="4215">
      <c r="A4215" t="inlineStr">
        <is>
          <t>Stuff 1</t>
        </is>
      </c>
      <c r="B4215">
        <f>HYPERLINK("https://www.dofusbook.net/fr/equipement/704583-stuff-1/objets", "link")</f>
        <v/>
      </c>
      <c r="C4215" t="n">
        <v>1</v>
      </c>
      <c r="D4215" t="inlineStr">
        <is>
          <t>Arc Ontanporin; Amulette de l'Œil Attentif; Anneau Glacial; Bracelet des Fonds marins; Quatre-feuilles; Ceinture Glaciale; Capuche de l'Œil Attentif; Cape de l'Œil Attentif; Sandales des Fonds marins; Dofus Turquoise; Dofus Ivoire; Dofus Émeraude; Dofus Ocre; Dofus Pourpre; Dofus des Glaces; Bouflux</t>
        </is>
      </c>
    </row>
    <row r="4216">
      <c r="A4216" t="inlineStr">
        <is>
          <t>Stuff 2</t>
        </is>
      </c>
      <c r="B4216">
        <f>HYPERLINK("https://www.dofusbook.net/fr/equipement/704596-stuff-2/objets", "link")</f>
        <v/>
      </c>
      <c r="C4216" t="n">
        <v>5</v>
      </c>
      <c r="D4216" t="inlineStr">
        <is>
          <t>Epée Maudite du Saigneur Guerrier; Amulette Ementaire Deluxe; Bague Gloursonne; Alliance Gloursonne; Bouclier d'Anerice; Ceinture du Barbétoal; Masque d'Anerice; Cape d'Anerice; Chaussons du Comte Razof; Kramkram</t>
        </is>
      </c>
    </row>
    <row r="4217">
      <c r="A4217" t="inlineStr">
        <is>
          <t>Stuff 3</t>
        </is>
      </c>
      <c r="B4217">
        <f>HYPERLINK("https://www.dofusbook.net/fr/equipement/704593-stuff-3/objets", "link")</f>
        <v/>
      </c>
      <c r="C4217" t="n">
        <v>5</v>
      </c>
      <c r="D4217" t="inlineStr">
        <is>
          <t>Manthache; Collier du Valet Veinard; Anneau d'Allister; Gant du Valet Veinard; Menoture; Capuche de Moum-Ra; Cape Indescriptible; Palmes Trithons; Dofus Pourpre; Dofus Émeraude; Miraculé majeur; Remueur; Cascadeur majeur; Nomade; Dragodinde Prune et Emeraude</t>
        </is>
      </c>
    </row>
    <row r="4218">
      <c r="A4218" t="inlineStr">
        <is>
          <t>Stuff 2</t>
        </is>
      </c>
      <c r="B4218">
        <f>HYPERLINK("https://www.dofusbook.net/fr/equipement/704587-stuff-2/objets", "link")</f>
        <v/>
      </c>
      <c r="C4218" t="n">
        <v>1</v>
      </c>
      <c r="D4218" t="inlineStr"/>
    </row>
    <row r="4219">
      <c r="A4219" t="inlineStr">
        <is>
          <t>Stuff 1</t>
        </is>
      </c>
      <c r="B4219">
        <f>HYPERLINK("https://www.dofusbook.net/fr/equipement/704595-stuff-1/objets", "link")</f>
        <v/>
      </c>
      <c r="C4219" t="n">
        <v>2</v>
      </c>
      <c r="D4219" t="inlineStr">
        <is>
          <t>Dagues Érhy; Amulette du Strigide; Bracelet du Piloztère; Bague Gloursonne; Ceinture du Strigide; Solomonk; Cape des Justiciers; Bottes du Cycloïde; Dofus Pourpre; Observateur; Fonceur majeur; Nomade; Vigoureux majeur; Remueur; Dragodinde Amande et Emeraude</t>
        </is>
      </c>
    </row>
    <row r="4220">
      <c r="A4220" t="inlineStr">
        <is>
          <t>Stuff 1</t>
        </is>
      </c>
      <c r="B4220">
        <f>HYPERLINK("https://www.dofusbook.net/fr/equipement/704597-stuff-1/objets", "link")</f>
        <v/>
      </c>
      <c r="C4220" t="n">
        <v>2</v>
      </c>
      <c r="D4220" t="inlineStr">
        <is>
          <t>Marteau des égarés; Amulette du Strigide; Anneau de Padgref; Kralano; Ceinture du Strigide; Coiffe de Padgref; Voile d'encre; Getas de Padgref; Dofus Pourpre; Dolmanax; Dofus Ocre; Dofus Émeraude; Dofus Turquoise; Dofus des Glaces; Muldo Prune</t>
        </is>
      </c>
    </row>
    <row r="4221">
      <c r="A4221" t="inlineStr">
        <is>
          <t>Stuff 2</t>
        </is>
      </c>
      <c r="B4221">
        <f>HYPERLINK("https://www.dofusbook.net/fr/equipement/704592-stuff-2/objets", "link")</f>
        <v/>
      </c>
      <c r="C4221" t="n">
        <v>4</v>
      </c>
      <c r="D4221" t="inlineStr">
        <is>
          <t>Bâthon; Torquistik; Anneau Crustique; Baguistik; Cadran de Feu; Ceinture de la Reine des Voleurs; Coiffe de la Reine des Voleurs; Voile d'encre; Bottes de la Reine des Voleurs; Dofus Turquoise; Dofus des Glaces; Dofus Pourpre; Dofus Ocre; Dofus Émeraude; Dofus Nébuleux; Muldo Ebène et Orchidée</t>
        </is>
      </c>
    </row>
    <row r="4222">
      <c r="A4222" t="inlineStr">
        <is>
          <t>Stuff 1</t>
        </is>
      </c>
      <c r="B4222">
        <f>HYPERLINK("https://www.dofusbook.net/fr/equipement/704586-stuff-1/objets", "link")</f>
        <v/>
      </c>
      <c r="C4222" t="n">
        <v>2</v>
      </c>
      <c r="D4222" t="inlineStr">
        <is>
          <t>Plumeau Bil; Amulette Séculaire; Anneau Tamie; Bracelet du Piloztère; Bouclier du Cycloïde; Ceinture Séculaire; Coiffe Séculaire; Cape de Diondin; Bottes Innommables; Dofus Pourpre; Dofus Turquoise; Dofus Ocre; Muldo Prune et Emeraude</t>
        </is>
      </c>
    </row>
    <row r="4223">
      <c r="A4223" t="inlineStr">
        <is>
          <t>Prospection</t>
        </is>
      </c>
      <c r="B4223">
        <f>HYPERLINK("https://www.dofusbook.net/fr/equipement/1876555-prospection/objets", "link")</f>
        <v/>
      </c>
      <c r="C4223" t="n">
        <v>1</v>
      </c>
      <c r="D4223" t="inlineStr">
        <is>
          <t>Hache à Lamelles; Collier du Minotot; Bracelet du Minotot; Anneau Bliteré; Tranche des Sous-bois; Casque Harnage; Cape du Minotot; Bottines des sous-bois; Dolmanax; Dofus Kaliptus; Dokille; Taquin; Joueur majeur; Taquin majeur; Tifoux Tigré</t>
        </is>
      </c>
    </row>
    <row r="4224">
      <c r="A4224" t="inlineStr">
        <is>
          <t>New agi</t>
        </is>
      </c>
      <c r="B4224">
        <f>HYPERLINK("https://www.dofusbook.net/fr/equipement/1963321-new-agi/objets", "link")</f>
        <v/>
      </c>
      <c r="C4224" t="n">
        <v>2</v>
      </c>
      <c r="D4224" t="inlineStr">
        <is>
          <t>Manthache; Collier du Valet Veinard; Alliance Gloursonne; Gant du Valet Veinard; Bouclier du Stalak; Menoture; Casque d'Ilyzaelle; Cape Indescriptible; Palmes Trithons; Dofus Ocre; Dofus des Glaces; Dokoko; Dofus Ivoire; Dofus Abyssal</t>
        </is>
      </c>
    </row>
    <row r="4225">
      <c r="A4225" t="inlineStr">
        <is>
          <t>Crâ M 200</t>
        </is>
      </c>
      <c r="B4225">
        <f>HYPERLINK("https://www.dofusbook.net/fr/equipement/6015094-cra-m-200/objets", "link")</f>
        <v/>
      </c>
      <c r="C4225" t="n">
        <v>0</v>
      </c>
      <c r="D4225" t="inlineStr">
        <is>
          <t>Marteau Phossile; Pendentif mignon de Koutoulou; Anneau Rifique; Gant du Valet Veinard; Bouclier du Stalak; Ceinture de Vortex; Casque Cyclopéen; Voile d'encre; Bottes de l'Esprit Salvateur; Dofus Ivoire; Dofus Abyssal; Dofus Ocre; Dofus Ébène; Dofus Vulbis; Dofus des Glaces; Willy le Relou</t>
        </is>
      </c>
    </row>
    <row r="4226">
      <c r="A4226" t="inlineStr">
        <is>
          <t>Crâ eau opti</t>
        </is>
      </c>
      <c r="B4226">
        <f>HYPERLINK("https://www.dofusbook.net/fr/equipement/5017807-cra-eau-opti-/objets", "link")</f>
        <v/>
      </c>
      <c r="C4226" t="n">
        <v>8</v>
      </c>
      <c r="D4226" t="inlineStr">
        <is>
          <t>Dagoulinantes; Amulette de Shokkoth; Alliance Gloursonne; Anneau Volkorne; Bouclier du Stalak; Poulpagne; Capuche de l'Œil Attentif; Cape de l'Œil Attentif; Bottes du Sinistrofu; Dofus Vulbis; Dofus Ébène; Dofus Ocre; Dofus Abyssal; Dofus des Glaces; Dofus Ivoire; Kanigloups</t>
        </is>
      </c>
    </row>
    <row r="4227">
      <c r="A4227" t="inlineStr">
        <is>
          <t>Crâ M 200</t>
        </is>
      </c>
      <c r="B4227">
        <f>HYPERLINK("https://www.dofusbook.net/fr/equipement/5866974-cra-m-200/objets", "link")</f>
        <v/>
      </c>
      <c r="C4227" t="n">
        <v>2</v>
      </c>
      <c r="D4227" t="inlineStr">
        <is>
          <t>Manthache; Collier du Valet Veinard; Gant du Valet Veinard; Alliance Gloursonne; Bouclier du Stalak; Menoture; Couronne d'Allister; Cape Indescriptible; Palmes Trithons; Dofus Vulbis; Dofus Abyssal; Dofus Nébuleux; Dofus Ivoire; Dofus Ocre; Dofus Ébène; Blérodoudou</t>
        </is>
      </c>
    </row>
    <row r="4228">
      <c r="A4228" t="inlineStr">
        <is>
          <t>Crâ M 200</t>
        </is>
      </c>
      <c r="B4228">
        <f>HYPERLINK("https://www.dofusbook.net/fr/equipement/5950206-cra-m-200/objets", "link")</f>
        <v/>
      </c>
      <c r="C4228" t="n">
        <v>1</v>
      </c>
      <c r="D4228" t="inlineStr">
        <is>
          <t>Dagoulinantes; Amulette de l'Œil Attentif; Anneau Volkorne; Alliance Gloursonne; Bouclier du Stalak; Ceinture Glaciale; Capuche de l'Œil Attentif; Cape de l'Œil Attentif; Bottes du Sinistrofu; Dofus Abyssal; Dofus Ébène; Dofus Vulbis; Dofus Ivoire; Dofus Pourpre; Dofus Ocre; Volkorne Ivoire et Turquoise</t>
        </is>
      </c>
    </row>
    <row r="4229">
      <c r="A4229" t="inlineStr">
        <is>
          <t>Crâ M 200</t>
        </is>
      </c>
      <c r="B4229">
        <f>HYPERLINK("https://www.dofusbook.net/fr/equipement/5950151-cra-m-200/objets", "link")</f>
        <v/>
      </c>
      <c r="C4229" t="n">
        <v>1</v>
      </c>
      <c r="D4229" t="inlineStr">
        <is>
          <t>Sceptre du Roi Joueur; Amulette de Shokkoth; Anneau Volkorne; Alliance Gloursonne; Bouclier du Stalak; Culotte de Bethel; Masque de Funespadon; Cape de l'Œil Attentif; Chaussons de Macrab; Dofus Vulbis; Dofus Ivoire; Dofus Pourpre; Dofus Abyssal; Dofus Ocre; Dofus Ébène; Volkorne Jade et Ivoire</t>
        </is>
      </c>
    </row>
    <row r="4230">
      <c r="A4230" t="inlineStr">
        <is>
          <t>Crâ M 200</t>
        </is>
      </c>
      <c r="B4230">
        <f>HYPERLINK("https://www.dofusbook.net/fr/equipement/5870784-cra-m-200/objets", "link")</f>
        <v/>
      </c>
      <c r="C4230" t="n">
        <v>3</v>
      </c>
      <c r="D4230" t="inlineStr">
        <is>
          <t>Arc du Chalœil; Amulette du Cœur Saignant; Chevalière du Roi Joueur; Anneau Volkorne; Quatre-feuilles; Ceinture Volkorne; Couronne du Roi Joueur; Cape du Cœur Saignant; Bottes du Roi Joueur; Dofus Turquoise; Dofus Vulbis; Dofus Ocre; Dofus Ébène; Dofus Nébuleux; Dofus Ivoire; Volkorne Jade et Saphir</t>
        </is>
      </c>
    </row>
    <row r="4231">
      <c r="A4231" t="inlineStr">
        <is>
          <t>Crâ M 200</t>
        </is>
      </c>
      <c r="B4231">
        <f>HYPERLINK("https://www.dofusbook.net/fr/equipement/4825774-cra-m-200/objets", "link")</f>
        <v/>
      </c>
      <c r="C4231" t="n">
        <v>13</v>
      </c>
      <c r="D4231" t="inlineStr">
        <is>
          <t>Arc du Chalœil; Amulette du Cœur Saignant; Chevalière du Roi Joueur; Anneau Volkorne; Quatre-feuilles; Ceinture Volkorne; Couronne du Roi Joueur; Cape du Cœur Saignant; Bottes du Cœur Saignant; Dofus Turquoise; Dofus Vulbis; Dofus Ocre; Dofus Ébène; Dofus Nébuleux; Dofus Ivoire; Volkorne Jade et Saphir</t>
        </is>
      </c>
    </row>
    <row r="4232">
      <c r="A4232" t="inlineStr">
        <is>
          <t>Crâ M 200</t>
        </is>
      </c>
      <c r="B4232">
        <f>HYPERLINK("https://www.dofusbook.net/fr/equipement/5827420-cra-m-200/objets", "link")</f>
        <v/>
      </c>
      <c r="C4232" t="n">
        <v>7</v>
      </c>
      <c r="D4232" t="inlineStr">
        <is>
          <t>Arc du Chalœil; Amulette du Strigide; Anneau Chevelu; Anneau Volkorne; Quatre-feuilles; Ceinture Volkorne; Masque de Koutoulou; Cape au Logis; Bottes du Cœur Saignant; Dofus Turquoise; Dofus Ébène; Dofus Abyssal; Dofus Ivoire; Dofus Nébuleux; Dofus Ocre; Bulbisou</t>
        </is>
      </c>
    </row>
    <row r="4233">
      <c r="A4233" t="inlineStr">
        <is>
          <t>Crâ M 200</t>
        </is>
      </c>
      <c r="B4233">
        <f>HYPERLINK("https://www.dofusbook.net/fr/equipement/5406997-cra-m-200/objets", "link")</f>
        <v/>
      </c>
      <c r="C4233" t="n">
        <v>8</v>
      </c>
      <c r="D4233" t="inlineStr">
        <is>
          <t>Arc corrompu; Amulette de Nileza; Anneauræus; Anneauræus; Bouclier du Stalak; Croture; Heaume Oplate; Cape de Nileza; Bottes Innommables; Dofus Ébène; Dofus Abyssal; Dofus Pourpre; Dofus Vulbis; Dofus Ocre; Érudit majeur; Bisouglours</t>
        </is>
      </c>
    </row>
    <row r="4234">
      <c r="A4234" t="inlineStr">
        <is>
          <t>Terre opti</t>
        </is>
      </c>
      <c r="B4234">
        <f>HYPERLINK("https://www.dofusbook.net/fr/equipement/3446178-terre-opti-/objets", "link")</f>
        <v/>
      </c>
      <c r="C4234" t="n">
        <v>12</v>
      </c>
      <c r="D4234" t="inlineStr">
        <is>
          <t>Arc du Chalœil; Amulette du Cœur Saignant; Chevalière du Roi Joueur; Anneau Volkorne; Quatre-feuilles; Ceinture Volkorne; Chapeau de Gein; Cape du Cœur Saignant; Bottes du Cœur Saignant; Dofus Ébène; Dofus Abyssal; Dofus Nébuleux; Dofus Turquoise; Dofus Ivoire; Dofus Ocre; Muldo Prune et Doré</t>
        </is>
      </c>
    </row>
    <row r="4235">
      <c r="A4235" t="inlineStr">
        <is>
          <t>Cra ret 12/6</t>
        </is>
      </c>
      <c r="B4235">
        <f>HYPERLINK("https://www.dofusbook.net/fr/equipement/3706286-cra-ret-12-6/objets", "link")</f>
        <v/>
      </c>
      <c r="C4235" t="n">
        <v>6</v>
      </c>
      <c r="D4235" t="inlineStr">
        <is>
          <t>Arc corrompu; Amulette de Nileza; Chevalière du Roi Joueur; Anneauræus; Cadran de Terre; Ceinture de Vortex; Masque Ardent; Cape Ardente; Chaussures Ardentes; Dofus Ocre; Dofus Vulbis; Dofus Ébène; Dofus Ivoire; Dofus Abyssal; Paralyseur majeur; Volkorne Ivoire et Orchidée</t>
        </is>
      </c>
    </row>
    <row r="4236">
      <c r="A4236" t="inlineStr">
        <is>
          <t>Crâ feu opti</t>
        </is>
      </c>
      <c r="B4236">
        <f>HYPERLINK("https://www.dofusbook.net/fr/equipement/5022538-cra-feu-opti/objets", "link")</f>
        <v/>
      </c>
      <c r="C4236" t="n">
        <v>5</v>
      </c>
      <c r="D4236" t="inlineStr">
        <is>
          <t>Arc corrompu; Amulette Volkorne; Anneauræus; Anneauræus; Bouclier du Stalak; Ceinture Volkorne; Heaume Oplate; Voile d'encre; Bottes Innommables; Dofus Pourpre; Dofus Ébène; Dofus Abyssal; Dofus Ocre; Dofus Vulbis; Dofus Ivoire; Bisouglours</t>
        </is>
      </c>
    </row>
    <row r="4237">
      <c r="A4237" t="inlineStr">
        <is>
          <t>Crâ M 200</t>
        </is>
      </c>
      <c r="B4237">
        <f>HYPERLINK("https://www.dofusbook.net/fr/equipement/4903026-cra-m-200/objets", "link")</f>
        <v/>
      </c>
      <c r="C4237" t="n">
        <v>4</v>
      </c>
      <c r="D4237" t="inlineStr">
        <is>
          <t>Arc Nécrotique; Collier de la Dame du Hasard; Anneau de Padgref; Bracelet des Fonds marins; Quatre-feuilles; Ceinture de Kongoku; Coiffe de Padgref; Cape de la Dame du Hasard; Bottes de la Dame du Hasard; Dofus Ocre; Dofus Abyssal; Dofus Vulbis; Dofus Ébène; Dofus Turquoise; Dofus Ivoire; Kokulte</t>
        </is>
      </c>
    </row>
    <row r="4238">
      <c r="A4238" t="inlineStr">
        <is>
          <t>Crâ air opti</t>
        </is>
      </c>
      <c r="B4238">
        <f>HYPERLINK("https://www.dofusbook.net/fr/equipement/5082421-cra-air-opti/objets", "link")</f>
        <v/>
      </c>
      <c r="C4238" t="n">
        <v>4</v>
      </c>
      <c r="D4238" t="inlineStr">
        <is>
          <t>Manthache; Collier du Valet Veinard; Alliance Gloursonne; Gant du Valet Veinard; Bouclier du Stalak; Menoture; Casque Volkorne; Cape Martegel; Palmes Trithons; Dofus Abyssal; Dofus Ocre; Dofus Vulbis; Dofus Ivoire; Dofus Nébuleux; Dofus Ébène; Blérodoudou</t>
        </is>
      </c>
    </row>
    <row r="4239">
      <c r="A4239" t="inlineStr">
        <is>
          <t>Crâ ret pa opti</t>
        </is>
      </c>
      <c r="B4239">
        <f>HYPERLINK("https://www.dofusbook.net/fr/equipement/4721743-cra-ret-pa-opti/objets", "link")</f>
        <v/>
      </c>
      <c r="C4239" t="n">
        <v>6</v>
      </c>
      <c r="D4239" t="inlineStr">
        <is>
          <t>Arc corrompu; Amulette de Nileza; Anneauræus; Anneauræus; Cadran de Terre; Ceinture de Vortex; Masque Ardent; Cape Ardente; Pataugastrique; Dofus Ivoire; Dofus Ébène; Dofus Vulbis; Dofus Ocre; Dofus Abyssal; Étourdisseur majeur; Kouin-Kouin Noir</t>
        </is>
      </c>
    </row>
    <row r="4240">
      <c r="A4240" t="inlineStr">
        <is>
          <t>Poison pou/dopou</t>
        </is>
      </c>
      <c r="B4240">
        <f>HYPERLINK("https://www.dofusbook.net/fr/equipement/3145520-poison-pou-dopou/objets", "link")</f>
        <v/>
      </c>
      <c r="C4240" t="n">
        <v>21</v>
      </c>
      <c r="D4240" t="inlineStr">
        <is>
          <t>L'Épée Nice; Amibou; Bague Trithon; Alliance Gloursonne; Bivalve; Sangle Oriole; Chapibou; Capibou; Bottes Trithon; Dofus Ocre; Dofus Pourpre; Dofus des Glaces; Dofus Turquoise; Dofus Nébuleux; Bousculeur majeur; Tofoudre</t>
        </is>
      </c>
    </row>
    <row r="4241">
      <c r="A4241" t="inlineStr">
        <is>
          <t>Crâ anti xel</t>
        </is>
      </c>
      <c r="B4241">
        <f>HYPERLINK("https://www.dofusbook.net/fr/equipement/3706350-cra-anti-xel/objets", "link")</f>
        <v/>
      </c>
      <c r="C4241" t="n">
        <v>3</v>
      </c>
      <c r="D4241" t="inlineStr">
        <is>
          <t>Massier; Amulette de Nileza; Anneau Tique; Anneauræus; Bouclier Taverne; Ceinture de Vortex; Heaume Oplate; Voile d'encre; Bottes d'Otomaï; Dofus Ocre; Dokoko; Dofus Abyssal; Dofus Pourpre; Évasif majeur; Imprenable majeur; Muldo Ebène et Ivoire</t>
        </is>
      </c>
    </row>
    <row r="4242">
      <c r="A4242" t="inlineStr">
        <is>
          <t>Stuff eau</t>
        </is>
      </c>
      <c r="B4242">
        <f>HYPERLINK("https://www.dofusbook.net/fr/equipement/3637264-stuff-eau-/objets", "link")</f>
        <v/>
      </c>
      <c r="C4242" t="n">
        <v>1</v>
      </c>
      <c r="D4242" t="inlineStr">
        <is>
          <t>Dagoulinantes; Amulette de Shokkoth; Bracelet des Fonds marins; Alliance Gloursonne; Bouclier du Stalak; Ceinture Glaciale; Kidibonnet; Cape du Sinistrofu; Bottes du Sinistrofu; Dofus Ocre; Dokoko; Dofus des Glaces; Dofus Pourpre; Nomade; Chanceux majeur; Dragodinde Prune et Indigo</t>
        </is>
      </c>
    </row>
    <row r="4243">
      <c r="A4243" t="inlineStr">
        <is>
          <t>Pods</t>
        </is>
      </c>
      <c r="B4243">
        <f>HYPERLINK("https://www.dofusbook.net/fr/equipement/1876463-pods/objets", "link")</f>
        <v/>
      </c>
      <c r="C4243" t="n">
        <v>4</v>
      </c>
      <c r="D4243" t="inlineStr">
        <is>
          <t>Pelle Vétik; Amulette du Nocturlabe; Bague Gloursonne; Anneau de Brouce; Ceinture Royale du Bouftou; Coiffe du Comte Harebourg; Sac du Staca Noviste; Bottes du Meulou; Dolmanax; Furibond majeur; Forcené majeur; Porteur; Enragé majeur; Porteur majeur; Bworky</t>
        </is>
      </c>
    </row>
    <row r="4244">
      <c r="A4244" t="inlineStr">
        <is>
          <t>Stuff heal</t>
        </is>
      </c>
      <c r="B4244">
        <f>HYPERLINK("https://www.dofusbook.net/fr/equipement/1210688-stuff-heal-/objets", "link")</f>
        <v/>
      </c>
      <c r="C4244" t="n">
        <v>1</v>
      </c>
      <c r="D4244" t="inlineStr">
        <is>
          <t>Le Thanos; Pendentif affamé; Anneau Tamie; Anneau Tamie; Bouclier du Cycloïde; Ceinture Séculaire; Coiffe Séculaire; Cape de Diondin; Bottes Innommables; Guérisseur majeur; Érudit majeur; Astucieux majeur; Remueur; Docteur majeur; Nomade; Brûlih</t>
        </is>
      </c>
    </row>
    <row r="4245">
      <c r="A4245" t="inlineStr">
        <is>
          <t>Osamodas F 200</t>
        </is>
      </c>
      <c r="B4245">
        <f>HYPERLINK("https://www.dofusbook.net/fr/equipement/5972823-osamodas-f-200/objets", "link")</f>
        <v/>
      </c>
      <c r="C4245" t="n">
        <v>1</v>
      </c>
      <c r="D4245" t="inlineStr">
        <is>
          <t>Le Thanos; Pendentif affamé; Bague Gloursonne; Anneau de Nidas; Carapar; Ceinture Séculaire; Heaume Oplate; Cape de Diondin; Tongues de Nidas; Guérisseur majeur; Remueur; Docteur majeur; Érudit majeur; Voyageur; Nomade; Dragodinde Orchidée et Rousse</t>
        </is>
      </c>
    </row>
    <row r="4246">
      <c r="A4246" t="inlineStr">
        <is>
          <t>pvm multi</t>
        </is>
      </c>
      <c r="B4246">
        <f>HYPERLINK("https://www.dofusbook.net/fr/equipement/5972610-pvm-multi/objets", "link")</f>
        <v/>
      </c>
      <c r="C4246" t="n">
        <v>1</v>
      </c>
      <c r="D4246" t="inlineStr"/>
    </row>
    <row r="4247">
      <c r="A4247" t="inlineStr">
        <is>
          <t>Multi pvm</t>
        </is>
      </c>
      <c r="B4247">
        <f>HYPERLINK("https://www.dofusbook.net/fr/equipement/5921956-multi-pvm/objets", "link")</f>
        <v/>
      </c>
      <c r="C4247" t="n">
        <v>3</v>
      </c>
      <c r="D4247" t="inlineStr">
        <is>
          <t>Hache du Chalœil; Amulette Volkorne; Anneau Volkorne; Alliance du Lévitrof; Quatre-feuilles; Ceinture Volkorne; Coiffe du Lévitrof; Voile d'encre; Bottes du Lévitrof; Dofus Émeraude; Dofus Ocre; Dolmanax; Dofus des Glaces; Dofus Pourpre; Dofus Turquoise</t>
        </is>
      </c>
    </row>
    <row r="4248">
      <c r="A4248" t="inlineStr">
        <is>
          <t>New 2.52</t>
        </is>
      </c>
      <c r="B4248">
        <f>HYPERLINK("https://www.dofusbook.net/fr/equipement/5357636-new-2-52/objets", "link")</f>
        <v/>
      </c>
      <c r="C4248" t="n">
        <v>4</v>
      </c>
      <c r="D4248" t="inlineStr">
        <is>
          <t>Baguette du Dragoeuf; Amulette du Strigide; Alliance de Missiz Frizz; Anneau de Padgref; Quatre-feuilles; Ceinture du Strigide; Némès de Tal Kasha; Chevelure de Tal Kasha; Sandales de Tal Kasha; Dofus Ocre; Dofus des Glaces; Dofus Ébène; Dofus Turquoise; Dofus Vulbis; Dofus Pourpre; Kokulte</t>
        </is>
      </c>
    </row>
    <row r="4249">
      <c r="A4249" t="inlineStr">
        <is>
          <t>Terre Eau</t>
        </is>
      </c>
      <c r="B4249">
        <f>HYPERLINK("https://www.dofusbook.net/fr/equipement/5299692-terre-eau/objets", "link")</f>
        <v/>
      </c>
      <c r="C4249" t="n">
        <v>1</v>
      </c>
      <c r="D4249" t="inlineStr">
        <is>
          <t>Épouvante; Amulette du Strigide; Anneau Volkorne; Alliance de Missiz Frizz; Bouclier d'Ilyzaelle; Ceinture Volkorne; Casque de Missiz Frizz; Cape au Logis; Bottes Honyme; Dofus des Glaces; Dofus Pourpre; Dofus Abyssal; Dofus Turquoise; Dofus Ivoire; Dofus Ocre; Dragodinde Ivoire et Pourpre</t>
        </is>
      </c>
    </row>
    <row r="4250">
      <c r="A4250" t="inlineStr">
        <is>
          <t>Hache Chaloeil</t>
        </is>
      </c>
      <c r="B4250">
        <f>HYPERLINK("https://www.dofusbook.net/fr/equipement/4432803-hache-chaloeil/objets", "link")</f>
        <v/>
      </c>
      <c r="C4250" t="n">
        <v>8</v>
      </c>
      <c r="D4250" t="inlineStr">
        <is>
          <t>Hache du Chalœil; Amulette Volkorne; Anneau Volkorne; Bracelet du Piloztère; Quatre-feuilles; Ceintacé; Maskrobe; Cape de la Dame du Hasard; Pataugastrique; Dofus des Glaces; Dofus Pourpre; Dofus Abyssal; Dofus Turquoise; Remueur; Vigoureux majeur; Kokulte</t>
        </is>
      </c>
    </row>
    <row r="4251">
      <c r="A4251" t="inlineStr">
        <is>
          <t>Mono Feu 40 Res All</t>
        </is>
      </c>
      <c r="B4251">
        <f>HYPERLINK("https://www.dofusbook.net/fr/equipement/2907069-mono-feu-40-res-all/objets", "link")</f>
        <v/>
      </c>
      <c r="C4251" t="n">
        <v>4</v>
      </c>
      <c r="D4251" t="inlineStr">
        <is>
          <t>Arc corrompu; Pendentif mignon de Koutoulou; Anneau Rifique; Anneau Tique; Bouclier du Stalak; Ceinture de Vortex; Casque Dragoeuf; Cape de Diondin; Pataugastrique; Dofus Vulbis; Dofus Ivoire; Dofus Pourpre; Dofus Abyssal; Érudit majeur; Carapace Feu majeur; Bwak de Terre</t>
        </is>
      </c>
    </row>
    <row r="4252">
      <c r="A4252" t="inlineStr">
        <is>
          <t>Féca M 200</t>
        </is>
      </c>
      <c r="B4252">
        <f>HYPERLINK("https://www.dofusbook.net/fr/equipement/4151921-feca-m-200/objets", "link")</f>
        <v/>
      </c>
      <c r="C4252" t="n">
        <v>2</v>
      </c>
      <c r="D4252" t="inlineStr"/>
    </row>
    <row r="4253">
      <c r="A4253" t="inlineStr">
        <is>
          <t>Tank</t>
        </is>
      </c>
      <c r="B4253">
        <f>HYPERLINK("https://www.dofusbook.net/fr/equipement/4129488-tank/objets", "link")</f>
        <v/>
      </c>
      <c r="C4253" t="n">
        <v>5</v>
      </c>
      <c r="D4253" t="inlineStr">
        <is>
          <t>Rouleau à Pâtisserie d'Aermyne; Collier Rophante; Anneau Tique; Alliance Gloursonne; Sept ans de malheur; Ceinture de Kongoku; Casque Dragoeuf; Cape d'Aermyne; Pataugastrique; Dofus Émeraude; Dofus Ivoire; Carapace Neutre majeur; Obstructeur majeur; Miraculé majeur; Remueur; Givrefoux</t>
        </is>
      </c>
    </row>
    <row r="4254">
      <c r="A4254" t="inlineStr">
        <is>
          <t>Chance Ret PM</t>
        </is>
      </c>
      <c r="B4254">
        <f>HYPERLINK("https://www.dofusbook.net/fr/equipement/2556384-chance-ret-pm/objets", "link")</f>
        <v/>
      </c>
      <c r="C4254" t="n">
        <v>3</v>
      </c>
      <c r="D4254" t="inlineStr">
        <is>
          <t>Baguette Hique; Amulette de Shokkoth; Alliance Gloursonne; Bracelet du Piloztère; Bouclier cubiste; Ceinture Glaciale; Maskrobe; Cape de la Dame du Hasard; Bottes de la Dame du Hasard; Dofus des Glaces; Dofus Abyssal; Ralentisseur majeur; Entraveur majeur; Temporiseur majeur; Remueur; Volkorne Turquoise</t>
        </is>
      </c>
    </row>
    <row r="4255">
      <c r="A4255" t="inlineStr">
        <is>
          <t>Intel/Chance</t>
        </is>
      </c>
      <c r="B4255">
        <f>HYPERLINK("https://www.dofusbook.net/fr/equipement/179788-intel-chance/objets", "link")</f>
        <v/>
      </c>
      <c r="C4255" t="n">
        <v>3</v>
      </c>
      <c r="D4255" t="inlineStr">
        <is>
          <t>Pyraguette; Talisman Igans; Lavanneau; Lavanneau; Bouclier du Stalak; Ceintrigue; Coiffe Cryochrone; Cape de la Dame du Hasard; Pataugastrique; Dofus des Glaces; Dofus Pourpre; Remueur; Vigoureux majeur; Érudit majeur; Nomade; Walk</t>
        </is>
      </c>
    </row>
    <row r="4256">
      <c r="A4256" t="inlineStr">
        <is>
          <t>Panoplie de classe</t>
        </is>
      </c>
      <c r="B4256">
        <f>HYPERLINK("https://www.dofusbook.net/fr/equipement/2746534-panoplie-de-classe/objets", "link")</f>
        <v/>
      </c>
      <c r="C4256" t="n">
        <v>3</v>
      </c>
      <c r="D4256" t="inlineStr">
        <is>
          <t>Héqache; Amulette de Nevark; Anneau des égarés; Anneau du Comte Harebourg; Bouclier du Stalak; Ceinture de Nevark; Coiffe du Comte Harebourg; Cape de Nevark; Bottes du Comte Harebourg; Dofus Pourpre; Dofus Abyssal; Dofus Ocre; Dofus Ivoire; Dolmanax; Dofus des Glaces; Kwaltess</t>
        </is>
      </c>
    </row>
    <row r="4257">
      <c r="A4257" t="inlineStr">
        <is>
          <t>Terre/Air No CC</t>
        </is>
      </c>
      <c r="B4257">
        <f>HYPERLINK("https://www.dofusbook.net/fr/equipement/2962488-terre-air-no-cc/objets", "link")</f>
        <v/>
      </c>
      <c r="C4257" t="n">
        <v>4</v>
      </c>
      <c r="D4257" t="inlineStr">
        <is>
          <t>Épée de la Reine des Voleurs; Amulette de Nevark; Alliance Gloursonne; Anneau des égarés; Bouclier du Stalak; Ceinture de Nevark; Casque des égarés; Cape de Nevark; Baleinabottes; Dofus Émeraude; Dofus Ivoire; Dofus Abyssal; Dofus Pourpre; Dofus des Glaces; Dofus Ocre; Dragodinde Ivoire et Pourpre</t>
        </is>
      </c>
    </row>
    <row r="4258">
      <c r="A4258" t="inlineStr">
        <is>
          <t>Mono Feu 11/6</t>
        </is>
      </c>
      <c r="B4258">
        <f>HYPERLINK("https://www.dofusbook.net/fr/equipement/179786-mono-feu-11-6/objets", "link")</f>
        <v/>
      </c>
      <c r="C4258" t="n">
        <v>1</v>
      </c>
      <c r="D4258" t="inlineStr">
        <is>
          <t>Arc corrompu; Pendentif affamé; Anneau Tamie; Anneau Tamie; Bouclier du Stalak; Ceinture Séculaire; Coiffe Séculaire; Cape de Diondin; Bottes Innommables; Dofus Abyssal; Dofus Pourpre; Érudit majeur; Nomade; Remueur; Savant majeur; Muldo Orchidée</t>
        </is>
      </c>
    </row>
    <row r="4259">
      <c r="A4259" t="inlineStr">
        <is>
          <t>Stuff 12/6 Stri/MF</t>
        </is>
      </c>
      <c r="B4259">
        <f>HYPERLINK("https://www.dofusbook.net/fr/equipement/684451-stuff-12-6-stri-mf/objets", "link")</f>
        <v/>
      </c>
      <c r="C4259" t="n">
        <v>6</v>
      </c>
      <c r="D4259" t="inlineStr">
        <is>
          <t>Dagues Érhy; Amulette du Strigide; Bague Gloursonne; Bague Harre; Bouclier Taverne; Ceinture du Strigide; Casque de Missiz Frizz; Cape du Professeur Xa; Bottes du Strigide; Dofus Abyssal; Dofus Ocre; Dofus Turquoise; Dofus Nébuleux; Dofus Pourpre; Dofus des Glaces; Kompost</t>
        </is>
      </c>
    </row>
    <row r="4260">
      <c r="A4260" t="inlineStr">
        <is>
          <t>Terre/Eau/Air</t>
        </is>
      </c>
      <c r="B4260">
        <f>HYPERLINK("https://www.dofusbook.net/fr/equipement/2962522-terre-eau-air/objets", "link")</f>
        <v/>
      </c>
      <c r="C4260" t="n">
        <v>3</v>
      </c>
      <c r="D4260" t="inlineStr">
        <is>
          <t>Arc de Koutoulou; Amulette de l'Indicible; Grésilanneau; Bracelet du Piloztère; Bouclier du Stalak; Ceinture du Strigide; Le Dorado; Voilamibe; Bottes du Strigide; Dofus Abyssal; Dofus Ocre; Dofus des Glaces; Dofus Pourpre; Cascadeur majeur; Nomade; Kramkram</t>
        </is>
      </c>
    </row>
    <row r="4261">
      <c r="A4261" t="inlineStr">
        <is>
          <t>Test full panoplie</t>
        </is>
      </c>
      <c r="B4261">
        <f>HYPERLINK("https://www.dofusbook.net/fr/equipement/2902849-test-full-panoplie/objets", "link")</f>
        <v/>
      </c>
      <c r="C4261" t="n">
        <v>2</v>
      </c>
      <c r="D4261" t="inlineStr">
        <is>
          <t>Amulette du Strigide; Ceinture du Strigide; Némès de Tal Kasha; Chevelure de Tal Kasha; Bottes du Strigide</t>
        </is>
      </c>
    </row>
    <row r="4262">
      <c r="A4262" t="inlineStr">
        <is>
          <t>FinalForm</t>
        </is>
      </c>
      <c r="B4262">
        <f>HYPERLINK("https://www.dofusbook.net/fr/equipement/2866388-finalform/objets", "link")</f>
        <v/>
      </c>
      <c r="C4262" t="n">
        <v>6</v>
      </c>
      <c r="D4262" t="inlineStr">
        <is>
          <t>Héqache; Amulette du Strigide; Chevalière du Roi Joueur; Bague Gloursonne; Quatre-feuilles; Ceintacé; Masque du Katcheur; Voile d'encre; Bottes du Strigide; Dofus Ocre; Dofus Turquoise; Dofus Pourpre; Dofus des Glaces; Nomade; Vigoureux majeur; Kramkram</t>
        </is>
      </c>
    </row>
    <row r="4263">
      <c r="A4263" t="inlineStr">
        <is>
          <t>Air</t>
        </is>
      </c>
      <c r="B4263">
        <f>HYPERLINK("https://www.dofusbook.net/fr/equipement/2789123-air/objets", "link")</f>
        <v/>
      </c>
      <c r="C4263" t="n">
        <v>2</v>
      </c>
      <c r="D4263" t="inlineStr">
        <is>
          <t>Héqache; Amulette du Strigide; Anneau d'Allister; Alliance Gloursonne; Bouclier du Captain Amakna; Ceinture du Strigide; Coiffe de la Fuji Givrefoux; Cape de Klime; Baleinabottes; Dofus Émeraude; Dofus Pourpre; Vigoureux majeur; Cascadeur majeur</t>
        </is>
      </c>
    </row>
    <row r="4264">
      <c r="A4264" t="inlineStr">
        <is>
          <t>Roublard Feu 11/6</t>
        </is>
      </c>
      <c r="B4264">
        <f>HYPERLINK("https://www.dofusbook.net/fr/equipement/2556361-roublard-feu-11-6/objets", "link")</f>
        <v/>
      </c>
      <c r="C4264" t="n">
        <v>2</v>
      </c>
      <c r="D4264" t="inlineStr">
        <is>
          <t>Arc Hétype; Pendentif affamé; Anneau Tamie; Anneau Tamie; Bouclier du Stalak; Ceinture Séculaire; Coiffe Séculaire; Cape de Diondin; Pataugastrique; Dofus des Glaces; Savant majeur; Nomade; Remueur; Miraculé majeur; Érudit majeur; Muldo Ebène et Orchidée</t>
        </is>
      </c>
    </row>
    <row r="4265">
      <c r="A4265" t="inlineStr">
        <is>
          <t>FULL RE CRI ANTI CRA</t>
        </is>
      </c>
      <c r="B4265">
        <f>HYPERLINK("https://www.dofusbook.net/fr/equipement/1230783-full-re-cri-anti-cra/objets", "link")</f>
        <v/>
      </c>
      <c r="C4265" t="n">
        <v>3</v>
      </c>
      <c r="D4265" t="inlineStr">
        <is>
          <t>Manthache; Pendentif mignon de Koutoulou; Anneau Rifique; Baguistik; Jadis; Ceinture de la Reine des Voleurs; Casque Cyclopéen; Cape du Chalœil; Dofus Vulbis; Dofus Ocre; Bastion majeur; Fortification; Fortification majeure; Homlett</t>
        </is>
      </c>
    </row>
    <row r="4266">
      <c r="A4266" t="inlineStr">
        <is>
          <t>FULL RE CRI ANTI CRA</t>
        </is>
      </c>
      <c r="B4266">
        <f>HYPERLINK("https://www.dofusbook.net/fr/equipement/1230782-full-re-cri-anti-cra/objets", "link")</f>
        <v/>
      </c>
      <c r="C4266" t="n">
        <v>3</v>
      </c>
      <c r="D4266" t="inlineStr">
        <is>
          <t>Manthache; Pendentif mignon de Koutoulou; Anneau Rifique; Baguistik; Jadis; Ceinture de la Reine des Voleurs; Casque Cyclopéen; Cape du Chalœil; Bottes du Chalœil; Dofus Vulbis; Dofus Ocre; Bastion; Bastion majeur; Fortification; Fortification majeure; Homlett</t>
        </is>
      </c>
    </row>
    <row r="4267">
      <c r="A4267" t="inlineStr">
        <is>
          <t>Stuff 4</t>
        </is>
      </c>
      <c r="B4267">
        <f>HYPERLINK("https://www.dofusbook.net/fr/equipement/677049-stuff-4/objets", "link")</f>
        <v/>
      </c>
      <c r="C4267" t="n">
        <v>3</v>
      </c>
      <c r="D4267" t="inlineStr">
        <is>
          <t>Epée Toche; Amulette du Strigide; Bague Trithon; Bague Gloursonne; Ceinture du Strigide; Masque Trithon; Cape du Professeur Xa; Bottes du Strigide; Dofus Pourpre; Dofus des Glaces; Dofus Turquoise; Dofus Ocre; Dolmanax; Muldo Prune et Emeraude</t>
        </is>
      </c>
    </row>
    <row r="4268">
      <c r="A4268" t="inlineStr">
        <is>
          <t>RdV/VV/Alli Glours</t>
        </is>
      </c>
      <c r="B4268">
        <f>HYPERLINK("https://www.dofusbook.net/fr/equipement/465321-rdv-vv-alli-glours/objets", "link")</f>
        <v/>
      </c>
      <c r="C4268" t="n">
        <v>1</v>
      </c>
      <c r="D4268" t="inlineStr">
        <is>
          <t>Arc de Koutoulou; Collier du Valet Veinard; Gant du Valet Veinard; Alliance Gloursonne; Ceinture de la Reine des Voleurs; Coiffe de la Reine des Voleurs; Cape du Valet Veinard; Bottes de la Reine des Voleurs; Dofus Émeraude; Dofus Pourpre; Dofus Ocre; Dofus des Glaces; Dokoko; Robuste majeur</t>
        </is>
      </c>
    </row>
    <row r="4269">
      <c r="A4269" t="inlineStr">
        <is>
          <t>Stri/Tique/Atcham</t>
        </is>
      </c>
      <c r="B4269">
        <f>HYPERLINK("https://www.dofusbook.net/fr/equipement/465045-stri-tique-atcham/objets", "link")</f>
        <v/>
      </c>
      <c r="C4269" t="n">
        <v>1</v>
      </c>
      <c r="D4269" t="inlineStr">
        <is>
          <t>Sabres d'Atcham; Amulette du Strigide; Alliance Gloursonne; Anneau Tique; Menoture; Chapeau des Malveilleurs; Voile d'encre; Bottes du Strigide; Dofus Émeraude; Dokoko; Dofus Pourpre; Nomade; Remueur; Étourdisseur majeur; Muldo Prune et Doré</t>
        </is>
      </c>
    </row>
    <row r="4270">
      <c r="A4270" t="inlineStr">
        <is>
          <t>CC Atcham/Pad/Stri</t>
        </is>
      </c>
      <c r="B4270">
        <f>HYPERLINK("https://www.dofusbook.net/fr/equipement/465028-cc-atcham-pad-stri/objets", "link")</f>
        <v/>
      </c>
      <c r="C4270" t="n">
        <v>1</v>
      </c>
      <c r="D4270" t="inlineStr">
        <is>
          <t>Sabres d'Atcham; Amulette du Strigide; Alliance Gloursonne; Anneau de Padgref; Ceinture du Strigide; Coiffe de Padgref; Cape d'Atcham; Getas de Padgref; Dofus des Glaces; Dofus Émeraude; Dolmanax; Dofus Ocre; Dofus des Veilleurs; Dofus Pourpre; Muldo Prune et Doré</t>
        </is>
      </c>
    </row>
    <row r="4271">
      <c r="A4271" t="inlineStr">
        <is>
          <t>Mono Feu/Retrait PA</t>
        </is>
      </c>
      <c r="B4271">
        <f>HYPERLINK("https://www.dofusbook.net/fr/equipement/179787-mono-feu-retrait-pa/objets", "link")</f>
        <v/>
      </c>
      <c r="C4271" t="n">
        <v>3</v>
      </c>
      <c r="D4271" t="inlineStr">
        <is>
          <t>Plumeau Bil; Talisman Igans; Kralano; Anneau Tique; Ceinture de Vortex; Cagoule de Vortex; Voile d'encre; Pataugastrique; Carapace Feu majeur; Paralyseur majeur; Remueur; Étourdisseur majeur; Nomade; Érudit majeur; Kramkram</t>
        </is>
      </c>
    </row>
    <row r="4272">
      <c r="A4272" t="inlineStr">
        <is>
          <t>Stuff 2</t>
        </is>
      </c>
      <c r="B4272">
        <f>HYPERLINK("https://www.dofusbook.net/fr/equipement/179769-stuff-2/objets", "link")</f>
        <v/>
      </c>
      <c r="C4272" t="n">
        <v>3</v>
      </c>
      <c r="D4272" t="inlineStr">
        <is>
          <t>Arc du Chalœil; Amulette du Strigide; Chevalière du Roi Joueur; Bague Gloursonne; Quatre-feuilles; Ceinture du Strigide; Chapeau de Gein; Voile d'encre; Bottes du Lévitrof; Dofus Ocre; Dofus Pourpre; Dofus Turquoise; Remueur; Nomade; Vigoureux majeur; Kwaltess</t>
        </is>
      </c>
    </row>
    <row r="4273">
      <c r="A4273" t="inlineStr">
        <is>
          <t>Stuff 1</t>
        </is>
      </c>
      <c r="B4273">
        <f>HYPERLINK("https://www.dofusbook.net/fr/equipement/179768-stuff-1/objets", "link")</f>
        <v/>
      </c>
      <c r="C4273" t="n">
        <v>4</v>
      </c>
      <c r="D4273" t="inlineStr">
        <is>
          <t>Dagues Érhy; Amulette du Strigide; Bague Gloursonne; Anneau Chevelu; Ceinture du Strigide; Chapeau de Gein; Voile d'encre; Pataugastrique; Dofus Turquoise; Dofus Pourpre; Vigoureux majeur; Érudit majeur; Remueur; Nomade; Dragodinde en armure</t>
        </is>
      </c>
    </row>
    <row r="4274">
      <c r="A4274" t="inlineStr">
        <is>
          <t>Stuff 3</t>
        </is>
      </c>
      <c r="B4274">
        <f>HYPERLINK("https://www.dofusbook.net/fr/equipement/179770-stuff-3/objets", "link")</f>
        <v/>
      </c>
      <c r="C4274" t="n">
        <v>4</v>
      </c>
      <c r="D4274" t="inlineStr">
        <is>
          <t>Dagues Eudin; Amulette du Strigide; Bracelet du Piloztère; Bague Gloursonne; Ceinture du Strigide; Boucle d'oreille de Kongoku; Cape de Sylargh; Bottes du Roi Joueur; Dofus Ocre; Dofus Turquoise; Dofus Pourpre; Nomade; Remueur; Vigoureux majeur; Muldo Prune et Doré</t>
        </is>
      </c>
    </row>
    <row r="4275">
      <c r="A4275" t="inlineStr">
        <is>
          <t>full feu</t>
        </is>
      </c>
      <c r="B4275">
        <f>HYPERLINK("https://www.dofusbook.net/fr/equipement/5693173-full-feu/objets", "link")</f>
        <v/>
      </c>
      <c r="C4275" t="n">
        <v>4</v>
      </c>
      <c r="D4275" t="inlineStr">
        <is>
          <t>Arc corrompu; Amulette de Nileza; Anneau Tique; Anneauræus; Cadran de Terre; Croture; Heaume Oplate; Cape de Nileza; Bottes Innommables; Dofus Ébène; Dofus Pourpre; Dofus Turquoise; Remueur; Érudit majeur; Nomade; Muldo Doré et Orchidée</t>
        </is>
      </c>
    </row>
    <row r="4276">
      <c r="A4276" t="inlineStr">
        <is>
          <t>tork</t>
        </is>
      </c>
      <c r="B4276">
        <f>HYPERLINK("https://www.dofusbook.net/fr/equipement/5987876-tork/objets", "link")</f>
        <v/>
      </c>
      <c r="C4276" t="n">
        <v>0</v>
      </c>
      <c r="D4276" t="inlineStr">
        <is>
          <t>Baguette de Torkélonia; Amulette du Strigide; Bracelet du Piloztère; Alliance Gloursonne; Quatre-feuilles; Ceintacé; Corne de Torkélonia; Carapace de Torkélonia; Bottes du Strigide; Dofus Nébuleux; Dofus des Glaces; Dofus Ébène; Dofus Pourpre; Dofus Ocre; Dofus Turquoise; Muldo Indigo et Emeraude</t>
        </is>
      </c>
    </row>
    <row r="4277">
      <c r="A4277" t="inlineStr">
        <is>
          <t>Crâ M 200</t>
        </is>
      </c>
      <c r="B4277">
        <f>HYPERLINK("https://www.dofusbook.net/fr/equipement/5987042-cra-m-200/objets", "link")</f>
        <v/>
      </c>
      <c r="C4277" t="n">
        <v>0</v>
      </c>
      <c r="D4277" t="inlineStr">
        <is>
          <t>Baguette de Torkélonia; Amulette du Strigide; Alliance Gloursonne; Bracelet du Piloztère; Quatre-feuilles; Ceintacé; Casque des égarés; Carapace de Torkélonia; Bottes de la Dame du Hasard; Dofus Pourpre; Dofus Turquoise; Dofus Ébène; Nomade; Remueur; Vigoureux majeur; Muldo Prune et Emeraude</t>
        </is>
      </c>
    </row>
    <row r="4278">
      <c r="A4278" t="inlineStr">
        <is>
          <t>enu</t>
        </is>
      </c>
      <c r="B4278">
        <f>HYPERLINK("https://www.dofusbook.net/fr/equipement/5922210-enu/objets", "link")</f>
        <v/>
      </c>
      <c r="C4278" t="n">
        <v>1</v>
      </c>
      <c r="D4278" t="inlineStr">
        <is>
          <t>Manthache; Collier du Valet Veinard; Alliance Gloursonne; Gant du Valet Veinard; Bouclier du Stalak; Menoture; Dorabysses; Cape du Kamasterisk; Palmes Trithons; Dofus Pourpre; Vigoureux majeur; Nomade; Remueur; Voyageur; Cascadeur majeur; Dragodinde Ebène et Ivoire</t>
        </is>
      </c>
    </row>
    <row r="4279">
      <c r="A4279" t="inlineStr">
        <is>
          <t>Crâ multi</t>
        </is>
      </c>
      <c r="B4279">
        <f>HYPERLINK("https://www.dofusbook.net/fr/equipement/5431498-cra-multi/objets", "link")</f>
        <v/>
      </c>
      <c r="C4279" t="n">
        <v>4</v>
      </c>
      <c r="D4279" t="inlineStr">
        <is>
          <t>Baguette Range; Amulette du Strigide; Anneau Rifique; Anneau Tique; Quatre-feuilles; Ceinture Séculaire; Coiffe de Padgref; Cape de Diondin; Getas de Padgref; Dofus Pourpre; Dofus Turquoise; Dofus Ébène; Dofus des Glaces; Nomade; Remueur; Muldo Prune et Emeraude</t>
        </is>
      </c>
    </row>
    <row r="4280">
      <c r="A4280" t="inlineStr">
        <is>
          <t>feu mineur eau</t>
        </is>
      </c>
      <c r="B4280">
        <f>HYPERLINK("https://www.dofusbook.net/fr/equipement/5948803-feu-mineur-eau/objets", "link")</f>
        <v/>
      </c>
      <c r="C4280" t="n">
        <v>1</v>
      </c>
      <c r="D4280" t="inlineStr">
        <is>
          <t>Arc Nécrotique; Talisman Igans; Anneau Tique; Anneau Toriété; Quatre-feuilles; Ceinture de l'Esprit Malsain; Heaume Oplate; Cape de la Dame du Hasard; Bottes de la Dame du Hasard; Dofus Pourpre; Dofus Turquoise; Carapace Feu majeur; Remueur; Érudit majeur; Nomade; Dragodinde Ivoire et Orchidée</t>
        </is>
      </c>
    </row>
    <row r="4281">
      <c r="A4281" t="inlineStr">
        <is>
          <t>Ecaflip torke</t>
        </is>
      </c>
      <c r="B4281">
        <f>HYPERLINK("https://www.dofusbook.net/fr/equipement/4507846-ecaflip-torke/objets", "link")</f>
        <v/>
      </c>
      <c r="C4281" t="n">
        <v>3</v>
      </c>
      <c r="D4281" t="inlineStr">
        <is>
          <t>Dagoulinantes; Amulette du Sinistrofu; Bracelet des Fonds marins; Alliance Gloursonne; Bouclier d'Ilyzaelle; Pagne du Rykaon; Kidibonnet; Cape Solution; Bottes du Sinistrofu; Dofus Turquoise; Dofus Pourpre; Dofus Abyssal; Dofus Ébène; Nomade; Chanceux majeur; Muldo Ebène et Indigo</t>
        </is>
      </c>
    </row>
    <row r="4282">
      <c r="A4282" t="inlineStr">
        <is>
          <t>eau air</t>
        </is>
      </c>
      <c r="B4282">
        <f>HYPERLINK("https://www.dofusbook.net/fr/equipement/5063729-eau-air/objets", "link")</f>
        <v/>
      </c>
      <c r="C4282" t="n">
        <v>4</v>
      </c>
      <c r="D4282" t="inlineStr">
        <is>
          <t>Epée Loponèze; Amulette de Pol Ouatnos; Alliance Gloursonne; Anneau Volkorne; Cadran de Terre; Menoture; Casque Volkorne; Cape Matelassée; Bottes de la Reine des Voleurs; Dofus Ébène; Dofus Pourpre; Carapace Feu majeur; Nomade; Étourdisseur majeur; Vigoureux majeur; Minimino</t>
        </is>
      </c>
    </row>
    <row r="4283">
      <c r="A4283" t="inlineStr">
        <is>
          <t>Steamer M 200</t>
        </is>
      </c>
      <c r="B4283">
        <f>HYPERLINK("https://www.dofusbook.net/fr/equipement/5933633-steamer-m-200/objets", "link")</f>
        <v/>
      </c>
      <c r="C4283" t="n">
        <v>2</v>
      </c>
      <c r="D4283" t="inlineStr">
        <is>
          <t>Arc Nécrotique; Amulette du Strigide; Anneau Volkorne; Bottes du Strigide</t>
        </is>
      </c>
    </row>
    <row r="4284">
      <c r="A4284" t="inlineStr">
        <is>
          <t>PVP</t>
        </is>
      </c>
      <c r="B4284">
        <f>HYPERLINK("https://www.dofusbook.net/fr/equipement/4863070-pvp/objets", "link")</f>
        <v/>
      </c>
      <c r="C4284" t="n">
        <v>5</v>
      </c>
      <c r="D4284" t="inlineStr">
        <is>
          <t>Massier; Amulette Séculaire; Bague Gloursonne; Anneau Tique; Cadran de Feu; Ceinture Séculaire; Heaume Oplate; Cape de la Dame du Hasard; Bottes Innommables; Dofus Pourpre; Dofus Turquoise; Nomade; Remueur; Érudit majeur</t>
        </is>
      </c>
    </row>
    <row r="4285">
      <c r="A4285" t="inlineStr">
        <is>
          <t>Feu ret</t>
        </is>
      </c>
      <c r="B4285">
        <f>HYPERLINK("https://www.dofusbook.net/fr/equipement/5916783-feu-ret/objets", "link")</f>
        <v/>
      </c>
      <c r="C4285" t="n">
        <v>1</v>
      </c>
      <c r="D4285" t="inlineStr">
        <is>
          <t>Arc corrompu; Amulette Séculaire; Bague Gloursonne; Anneau Tique; Sept ans de malheur; Ceinture de Vortex; Heaume Oplate; Cape Ardente; Chaussures Ardentes; Dofus Pourpre; Dofus Ébène; Nomade; Carapace Feu majeur; Remueur; Érudit majeur; Minimino</t>
        </is>
      </c>
    </row>
    <row r="4286">
      <c r="A4286" t="inlineStr">
        <is>
          <t>anti do crit terre</t>
        </is>
      </c>
      <c r="B4286">
        <f>HYPERLINK("https://www.dofusbook.net/fr/equipement/5916616-anti-do-crit-terre/objets", "link")</f>
        <v/>
      </c>
      <c r="C4286" t="n">
        <v>2</v>
      </c>
      <c r="D4286" t="inlineStr">
        <is>
          <t>Arc du Chalœil; Amulette de Pol Ouatnos; Bracelet du Piloztère; Bague Gloursonne; Goulclier; Ceinture de la Reine des Voleurs; Coiffe de la Reine des Voleurs; Cape au Logis; Bottes de la Cour Sombre; Dofus Pourpre; Dofus Abyssal; Dofus Turquoise; Dofus Ébène; Enragé majeur; Remueur; Volkorne Améthyste et Prune</t>
        </is>
      </c>
    </row>
    <row r="4287">
      <c r="A4287" t="inlineStr">
        <is>
          <t>Panda tank comte razo</t>
        </is>
      </c>
      <c r="B4287">
        <f>HYPERLINK("https://www.dofusbook.net/fr/equipement/5871889-panda-tank-comte-razo/objets", "link")</f>
        <v/>
      </c>
      <c r="C4287" t="n">
        <v>2</v>
      </c>
      <c r="D4287" t="inlineStr">
        <is>
          <t>Rouleau à Pâtisserie d'Aermyne; Collier du Valet Veinard; Gant du Valet Veinard; Pikano; Sept ans de malheur; Sangle Ouare; Dorabysses; Cape du Kamasterisk; Palmes Trithons; Dofus Émeraude; Remueur; Cascadeur majeur; Obstructeur majeur; Miraculé majeur; Bloqueur majeur; Muldo Orchidée et Pourpre</t>
        </is>
      </c>
    </row>
    <row r="4288">
      <c r="A4288" t="inlineStr">
        <is>
          <t>Feu soin</t>
        </is>
      </c>
      <c r="B4288">
        <f>HYPERLINK("https://www.dofusbook.net/fr/equipement/5388505-feu-soin/objets", "link")</f>
        <v/>
      </c>
      <c r="C4288" t="n">
        <v>2</v>
      </c>
      <c r="D4288" t="inlineStr">
        <is>
          <t>Arc corrompu; Pendentif affamé; Anneauræus; Anneau de Nidas; Bouclier du Cycloïde; Ceinture Séculaire; Couronne de Nidas; Cape de Diondin; Bottes Innommables; Dofus Turquoise; Dofus Pourpre; Remueur; Vigoureux majeur; Érudit majeur; Nomade; Bwak de Feu</t>
        </is>
      </c>
    </row>
    <row r="4289">
      <c r="A4289" t="inlineStr">
        <is>
          <t>Feu cac</t>
        </is>
      </c>
      <c r="B4289">
        <f>HYPERLINK("https://www.dofusbook.net/fr/equipement/5059090-feu-cac/objets", "link")</f>
        <v/>
      </c>
      <c r="C4289" t="n">
        <v>1</v>
      </c>
      <c r="D4289" t="inlineStr">
        <is>
          <t>Harpelle; Amulette Séculaire; Bague Gloursonne; Anneauræus; Bouclier Taverne; Ceinture Séculaire; Heaume Oplate; Cape de la Dame du Hasard; Bottes d'Otomaï; Dofus Turquoise; Dofus Pourpre; Dofus Abyssal; Érudit majeur; Nomade; Remueur; Dragodinde Ivoire et Orchidée</t>
        </is>
      </c>
    </row>
    <row r="4290">
      <c r="A4290" t="inlineStr">
        <is>
          <t>Enutrof M 200</t>
        </is>
      </c>
      <c r="B4290">
        <f>HYPERLINK("https://www.dofusbook.net/fr/equipement/5767084-enutrof-m-200/objets", "link")</f>
        <v/>
      </c>
      <c r="C4290" t="n">
        <v>4</v>
      </c>
      <c r="D4290" t="inlineStr">
        <is>
          <t>Pyraguette; Talisman Igans; Alliance Gloursonne; Pikano; Bouclier du Stalak; Ceinture de l'Esprit Salvateur; Kidibonnet; Cape de la Dame du Hasard; Bottes Owesli; Dofus Pourpre; Dofus des Glaces; Nomade; Robuste majeur; Remueur; Vigoureux majeur; Dragodinde Indigo et Ivoire</t>
        </is>
      </c>
    </row>
    <row r="4291">
      <c r="A4291" t="inlineStr">
        <is>
          <t>Enutrof eau</t>
        </is>
      </c>
      <c r="B4291">
        <f>HYPERLINK("https://www.dofusbook.net/fr/equipement/5762134-enutrof-eau/objets", "link")</f>
        <v/>
      </c>
      <c r="C4291" t="n">
        <v>1</v>
      </c>
      <c r="D4291" t="inlineStr">
        <is>
          <t>Arc Nécrotique; Talisman Igans; Pikano; Bracelet du Piloztère; Quatre-feuilles; Sangle Ouare; Kidibonnet; Cape de la Dame du Hasard; Bottes de la Dame du Hasard; Dofus Turquoise; Dofus Pourpre; Nomade; Vigoureux majeur; Remueur; Chanceux majeur; Kanigloups</t>
        </is>
      </c>
    </row>
    <row r="4292">
      <c r="A4292" t="inlineStr">
        <is>
          <t>Agi</t>
        </is>
      </c>
      <c r="B4292">
        <f>HYPERLINK("https://www.dofusbook.net/fr/equipement/4789583-agi/objets", "link")</f>
        <v/>
      </c>
      <c r="C4292" t="n">
        <v>6</v>
      </c>
      <c r="D4292" t="inlineStr">
        <is>
          <t>Manthache; Collier du Valet Veinard; Gant du Valet Veinard; Alliance Gloursonne; Cadran d'Air; Menoture; Dorabysses; Cape du Kamasterisk; Palmes Trithons; Dofus Pourpre; Vigoureux majeur; Voyageur; Nomade; Cascadeur majeur; Remueur; Dragodinde Ebène et Ivoire</t>
        </is>
      </c>
    </row>
    <row r="4293">
      <c r="A4293" t="inlineStr">
        <is>
          <t>Eau feu</t>
        </is>
      </c>
      <c r="B4293">
        <f>HYPERLINK("https://www.dofusbook.net/fr/equipement/5338440-eau-feu/objets", "link")</f>
        <v/>
      </c>
      <c r="C4293" t="n">
        <v>3</v>
      </c>
      <c r="D4293" t="inlineStr">
        <is>
          <t>Arc Nécrotique; Talisman Igans; Alliance Gloursonne; Lavanneau; Quatre-feuilles; Ceintacé; Kidibonnet; Cape de la Dame du Hasard; Bottes de la Dame du Hasard; Dofus Pourpre; Dofus Turquoise; Érudit majeur; Vigoureux majeur; Chanceux majeur; Nomade; Muldo Indigo et Orchidée</t>
        </is>
      </c>
    </row>
    <row r="4294">
      <c r="A4294" t="inlineStr">
        <is>
          <t>terre distance</t>
        </is>
      </c>
      <c r="B4294">
        <f>HYPERLINK("https://www.dofusbook.net/fr/equipement/5709819-terre-distance/objets", "link")</f>
        <v/>
      </c>
      <c r="C4294" t="n">
        <v>1</v>
      </c>
      <c r="D4294" t="inlineStr">
        <is>
          <t>Arc du Chalœil; Amulette du Strigide; Bague Gloursonne; Bracelet du Piloztère; Quatre-feuilles; Ceintacé; Masque de Koutoulou; Cape au Logis; Bottes du Strigide; Dofus Ébène; Dofus Turquoise; Dofus Pourpre; Vigoureux majeur; Nomade; Enragé majeur; Bwak de Terre</t>
        </is>
      </c>
    </row>
    <row r="4295">
      <c r="A4295" t="inlineStr">
        <is>
          <t>terre air ret</t>
        </is>
      </c>
      <c r="B4295">
        <f>HYPERLINK("https://www.dofusbook.net/fr/equipement/5693027-terre-air-ret/objets", "link")</f>
        <v/>
      </c>
      <c r="C4295" t="n">
        <v>1</v>
      </c>
      <c r="D4295" t="inlineStr">
        <is>
          <t>Lav'Hache; Amulette du Strigide; Anneau Chevelu; Anneau Crustique; Sept ans de malheur; Ceintouse; Chapoulpe; Cape de la Cour Sombre; Baleinabottes; Carapace Eau majeur; Enragé majeur; Voyageur; Étourdisseur majeur; Carapace Feu majeur; Nomade; Volkorne Jade et Ivoire</t>
        </is>
      </c>
    </row>
    <row r="4296">
      <c r="A4296" t="inlineStr">
        <is>
          <t>feu soin v2</t>
        </is>
      </c>
      <c r="B4296">
        <f>HYPERLINK("https://www.dofusbook.net/fr/equipement/5381067-feu-soin-v2/objets", "link")</f>
        <v/>
      </c>
      <c r="C4296" t="n">
        <v>4</v>
      </c>
      <c r="D4296" t="inlineStr">
        <is>
          <t>Arc corrompu; Amulette de Nileza; Anneau de Nidas; Anneauræus; Bouclier du Cycloïde; Ceinture Séculaire; Heaume Oplate; Cape de Nileza; Bottes Innommables; Guérisseur majeur; Remueur; Carapace Feu majeur; Érudit majeur; Savant majeur; Nomade; Muldo Indigo et Orchidée</t>
        </is>
      </c>
    </row>
    <row r="4297">
      <c r="A4297" t="inlineStr">
        <is>
          <t>Feu distance</t>
        </is>
      </c>
      <c r="B4297">
        <f>HYPERLINK("https://www.dofusbook.net/fr/equipement/5298516-feu-distance/objets", "link")</f>
        <v/>
      </c>
      <c r="C4297" t="n">
        <v>1</v>
      </c>
      <c r="D4297" t="inlineStr">
        <is>
          <t>Arc corrompu; Amulette Séculaire; Anneauræus; Anneauræus; Quatre-feuilles; Ceinture Séculaire; Heaume Oplate; Cape de Diondin; Bottes d'Otomaï; Dofus Pourpre; Dofus Turquoise; Dofus des Glaces; Vigoureux majeur; Érudit majeur; Nomade; Dragodinde Ivoire et Orchidée</t>
        </is>
      </c>
    </row>
    <row r="4298">
      <c r="A4298" t="inlineStr">
        <is>
          <t>Terre feu</t>
        </is>
      </c>
      <c r="B4298">
        <f>HYPERLINK("https://www.dofusbook.net/fr/equipement/5260145-terre-feu/objets", "link")</f>
        <v/>
      </c>
      <c r="C4298" t="n">
        <v>2</v>
      </c>
      <c r="D4298" t="inlineStr">
        <is>
          <t>Arc du Chalœil; Amulette Volcanique; Pikano; Bracelet du Piloztère; Quatre-feuilles; Ceintacé; Couronne du Roi Joueur; Cape au Logis; Bottes du Roi Joueur; Dofus Turquoise; Dofus Pourpre; Nomade; Érudit majeur; Remueur; Enragé majeur; Cromeugnon</t>
        </is>
      </c>
    </row>
    <row r="4299">
      <c r="A4299" t="inlineStr">
        <is>
          <t>feu soin ret</t>
        </is>
      </c>
      <c r="B4299">
        <f>HYPERLINK("https://www.dofusbook.net/fr/equipement/5208668-feu-soin-ret/objets", "link")</f>
        <v/>
      </c>
      <c r="C4299" t="n">
        <v>3</v>
      </c>
      <c r="D4299" t="inlineStr">
        <is>
          <t>Baguette de Malléfisk; Amulette Séculaire; Anneau Tique; Anneau de Nidas; Bouclier cubiste; Ceinture de Vortex; Couronne de Nidas; Cape de Diondin; Bottes du Roi Joueur; Entraveur majeur; Nomade; Guérisseur majeur; Remueur; Temporiseur majeur; Érudit majeur; Médugivre</t>
        </is>
      </c>
    </row>
    <row r="4300">
      <c r="A4300" t="inlineStr">
        <is>
          <t>Féca M 200</t>
        </is>
      </c>
      <c r="B4300">
        <f>HYPERLINK("https://www.dofusbook.net/fr/equipement/4662259-feca-m-200/objets", "link")</f>
        <v/>
      </c>
      <c r="C4300" t="n">
        <v>9</v>
      </c>
      <c r="D4300" t="inlineStr">
        <is>
          <t>Baguette de Malléfisk; Amulette Séculaire; Anneau de Nidas; Anneau Tique; Bouclier cubiste; Ceinture de Vortex; Couronne de Nidas; Cape de Diondin; Bottes d'Otomaï; Temporiseur majeur; Nomade; Ralentisseur majeur; Remueur; Entraveur majeur; Érudit majeur; Léopardo</t>
        </is>
      </c>
    </row>
    <row r="4301">
      <c r="A4301" t="inlineStr">
        <is>
          <t>Feu eau</t>
        </is>
      </c>
      <c r="B4301">
        <f>HYPERLINK("https://www.dofusbook.net/fr/equipement/3767902-feu-eau/objets", "link")</f>
        <v/>
      </c>
      <c r="C4301" t="n">
        <v>9</v>
      </c>
      <c r="D4301" t="inlineStr">
        <is>
          <t>Arc Nécrotique; Talisman Igans; Bracelet du Piloztère; Alliance Gloursonne; Quatre-feuilles; Ceintacé; Coiffe du Lévitrof; Cape de la Dame du Hasard; Bottes de la Dame du Hasard; Dofus des Glaces; Dofus Turquoise; Dofus Pourpre; Nomade; Remueur; Vigoureux majeur; Muldo Indigo et Orchidée</t>
        </is>
      </c>
    </row>
    <row r="4302">
      <c r="A4302" t="inlineStr">
        <is>
          <t>PVM - Feu Hétype</t>
        </is>
      </c>
      <c r="B4302">
        <f>HYPERLINK("https://www.dofusbook.net/fr/equipement/4946275-pvm---feu-hetype/objets", "link")</f>
        <v/>
      </c>
      <c r="C4302" t="n">
        <v>1</v>
      </c>
      <c r="D4302" t="inlineStr">
        <is>
          <t>Arc Hétype; Pendentif affamé; Anneauræus; Bague Gloursonne; Bouclier Feudala; Ceinture Séculaire; Coiffe Séculaire; Cape de Diondin; Bottes Innommables; Dofus Émeraude; Dofus Pourpre; Dofus Turquoise; Érudit majeur; Nomade; Remueur; Bwak de Feu</t>
        </is>
      </c>
    </row>
    <row r="4303">
      <c r="A4303" t="inlineStr">
        <is>
          <t>PVM - Terre/Air</t>
        </is>
      </c>
      <c r="B4303">
        <f>HYPERLINK("https://www.dofusbook.net/fr/equipement/4945701-pvm---terre-air/objets", "link")</f>
        <v/>
      </c>
      <c r="C4303" t="n">
        <v>2</v>
      </c>
      <c r="D4303" t="inlineStr">
        <is>
          <t>Hache Ériphe; Amulette du Strigide; Pikano; Alliance Gloursonne; Quatre-feuilles; Ceintacé; Coiffe d'Ogivol; Cape du Kamasterisk; Bottes du Kamasterisk; Dofus Pourpre; Dofus Turquoise; Remueur; Vigoureux majeur; Nomade; Temporiseur majeur; Kokulte</t>
        </is>
      </c>
    </row>
    <row r="4304">
      <c r="A4304" t="inlineStr">
        <is>
          <t>PVM - Full Ret PM</t>
        </is>
      </c>
      <c r="B4304">
        <f>HYPERLINK("https://www.dofusbook.net/fr/equipement/3178833-pvm---full-ret-pm/objets", "link")</f>
        <v/>
      </c>
      <c r="C4304" t="n">
        <v>13</v>
      </c>
      <c r="D4304" t="inlineStr">
        <is>
          <t>Baguette Hique; Amulette du Glourséleste; Pikano; Anneau Tamie; Bouclier du serrurier; Ceinture Glaciale; Casquipik; Cape de Léthaline; Pantoufles Émar; Ralentisseur majeur; Remueur; Temporiseur; Entraveur; Temporiseur majeur; Entraveur majeur; Léopardo</t>
        </is>
      </c>
    </row>
    <row r="4305">
      <c r="A4305" t="inlineStr">
        <is>
          <t>PVP - Terre Dist/Crit</t>
        </is>
      </c>
      <c r="B4305">
        <f>HYPERLINK("https://www.dofusbook.net/fr/equipement/4130076-pvp---terre-dist-crit/objets", "link")</f>
        <v/>
      </c>
      <c r="C4305" t="n">
        <v>3</v>
      </c>
      <c r="D4305" t="inlineStr">
        <is>
          <t>Arc du Chalœil; Amulette du Strigide; Bague Gloursonne; Anneau Chevelu; Quatre-feuilles; Ceinture Volkorne; Masque de Koutoulou; Cape au Logis; Bottes du Strigide; Dofus Turquoise; Dofus des Glaces; Dofus Pourpre; Dofus Abyssal; Dofus Ocre; Dofus Ivoire; Kokulte</t>
        </is>
      </c>
    </row>
    <row r="4306">
      <c r="A4306" t="inlineStr">
        <is>
          <t>PVP - Terre Dist</t>
        </is>
      </c>
      <c r="B4306">
        <f>HYPERLINK("https://www.dofusbook.net/fr/equipement/4130080-pvp---terre-dist/objets", "link")</f>
        <v/>
      </c>
      <c r="C4306" t="n">
        <v>3</v>
      </c>
      <c r="D4306" t="inlineStr">
        <is>
          <t>Arc du Chalœil; Collier de Tourthon; Bague Gloursonne; Anneau Chevelu; Bouclier du Stalak; Ceinture de la Reine des Voleurs; Coiffe de la Reine des Voleurs; Cape au Logis; Baleinabottes; Dofus Pourpre; Dofus Ivoire; Dofus des Glaces; Dofus Abyssal; Dofus Ocre; Enragé majeur; Kramkram</t>
        </is>
      </c>
    </row>
    <row r="4307">
      <c r="A4307" t="inlineStr">
        <is>
          <t>PVM - Feu</t>
        </is>
      </c>
      <c r="B4307">
        <f>HYPERLINK("https://www.dofusbook.net/fr/equipement/2976336-pvm---feu/objets", "link")</f>
        <v/>
      </c>
      <c r="C4307" t="n">
        <v>1</v>
      </c>
      <c r="D4307" t="inlineStr">
        <is>
          <t>Arc corrompu; Pendentif affamé; Anneau Tamie; Anneau Tamie; Quatre-feuilles; Ceinture Séculaire; Coiffe Séculaire; Cape de Diondin; Bottes Innommables; Dofus Turquoise; Dofus Pourpre; Érudit majeur; Remueur; Miraculé majeur; Nomade; Brûlih</t>
        </is>
      </c>
    </row>
    <row r="4308">
      <c r="A4308" t="inlineStr">
        <is>
          <t>PVP Feu</t>
        </is>
      </c>
      <c r="B4308">
        <f>HYPERLINK("https://www.dofusbook.net/fr/equipement/4153528-pvp-feu/objets", "link")</f>
        <v/>
      </c>
      <c r="C4308" t="n">
        <v>3</v>
      </c>
      <c r="D4308" t="inlineStr">
        <is>
          <t>Arc corrompu; Pendentif affamé; Anneauræus; Anneauræus; Bouclier du Stalak; Ceinture Séculaire; Coiffe Séculaire; Cape de Diondin; Bottes Innommables; Dofus des Glaces; Miraculé majeur; Nomade; Érudit majeur; Remueur; Dévastateur Feu majeur; Bwak de Feu</t>
        </is>
      </c>
    </row>
    <row r="4309">
      <c r="A4309" t="inlineStr">
        <is>
          <t>PVM - Feu</t>
        </is>
      </c>
      <c r="B4309">
        <f>HYPERLINK("https://www.dofusbook.net/fr/equipement/3178921-pvm---feu/objets", "link")</f>
        <v/>
      </c>
      <c r="C4309" t="n">
        <v>2</v>
      </c>
      <c r="D4309" t="inlineStr">
        <is>
          <t>Arc corrompu; Pendentif affamé; Anneau Tamie; Anneau Tamie; Bouclier du Stalak; Ceinture Séculaire; Coiffe Séculaire; Cape de Diondin; Bottes Innommables; Dofus des Glaces; Dévastateur Feu majeur; Nomade; Érudit majeur; Remueur; Bisouglours</t>
        </is>
      </c>
    </row>
    <row r="4310">
      <c r="A4310" t="inlineStr">
        <is>
          <t>PVM - Air</t>
        </is>
      </c>
      <c r="B4310">
        <f>HYPERLINK("https://www.dofusbook.net/fr/equipement/3178933-pvm---air/objets", "link")</f>
        <v/>
      </c>
      <c r="C4310" t="n">
        <v>5</v>
      </c>
      <c r="D4310" t="inlineStr">
        <is>
          <t>Manthache; Collier du Valet Veinard; Gant du Valet Veinard; Alliance Gloursonne; Bouclier du Stalak; Menoture; Couronne d'Allister; Cape Indescriptible; Palmes Trithons; Dofus Ocre; Dofus Pourpre; Dofus des Glaces; Vigoureux majeur; Cascadeur majeur; Nomade; Blérodoudou</t>
        </is>
      </c>
    </row>
    <row r="4311">
      <c r="A4311" t="inlineStr">
        <is>
          <t>PVM - Air</t>
        </is>
      </c>
      <c r="B4311">
        <f>HYPERLINK("https://www.dofusbook.net/fr/equipement/2975383-pvm---air/objets", "link")</f>
        <v/>
      </c>
      <c r="C4311" t="n">
        <v>2</v>
      </c>
      <c r="D4311" t="inlineStr">
        <is>
          <t>Manthache; Collier du Valet Veinard; Alliance Gloursonne; Gant du Valet Veinard; Bouclier du Stalak; Menoture; Couronne d'Allister; Cape Indescriptible; Palmes Trithons; Dofus des Glaces; Dévastateur Air majeur; Remueur; Vigoureux majeur; Cascadeur majeur; Nomade; Blérodoudou</t>
        </is>
      </c>
    </row>
    <row r="4312">
      <c r="A4312" t="inlineStr">
        <is>
          <t>PVP - Air</t>
        </is>
      </c>
      <c r="B4312">
        <f>HYPERLINK("https://www.dofusbook.net/fr/equipement/4129926-pvp---air/objets", "link")</f>
        <v/>
      </c>
      <c r="C4312" t="n">
        <v>1</v>
      </c>
      <c r="D4312" t="inlineStr">
        <is>
          <t>Manthache; Collier du Valet Veinard; Alliance Gloursonne; Gant du Valet Veinard; Bouclier du Stalak; Menoture; Casque Dragoeuf; Cape Indescriptible; Palmes Trithons; Dofus Abyssal; Dofus des Glaces; Dofus Ivoire; Dofus Pourpre; Dofus Ocre; Nomade; Bwak d'Air</t>
        </is>
      </c>
    </row>
    <row r="4313">
      <c r="A4313" t="inlineStr">
        <is>
          <t>Multi PVM</t>
        </is>
      </c>
      <c r="B4313">
        <f>HYPERLINK("https://www.dofusbook.net/fr/equipement/3178868-multi-pvm/objets", "link")</f>
        <v/>
      </c>
      <c r="C4313" t="n">
        <v>4</v>
      </c>
      <c r="D4313" t="inlineStr">
        <is>
          <t>Hache du Chalœil; Amulette du Strigide; Bracelet du Piloztère; Alliance Gloursonne; Quatre-feuilles; Ceintacé; Casque du Chalœil; Voile d'encre; Bottes du Strigide; Dolmanax; Dofus Pourpre; Dofus Turquoise; Vigoureux majeur; Remueur; Miraculé majeur; Kokulte</t>
        </is>
      </c>
    </row>
    <row r="4314">
      <c r="A4314" t="inlineStr">
        <is>
          <t>Stuff 1</t>
        </is>
      </c>
      <c r="B4314">
        <f>HYPERLINK("https://www.dofusbook.net/fr/equipement/2546854-stuff-1/objets", "link")</f>
        <v/>
      </c>
      <c r="C4314" t="n">
        <v>5</v>
      </c>
      <c r="D4314" t="inlineStr">
        <is>
          <t>Epée Maudite du Saigneur Guerrier; Amulette du Strigide; Anneau de Pol Ouatnos; Anneau de Padgref; Bouclier du Captain Amakna; Ceintacé; Casque de Missiz Frizz; Voile d'encre; Bottes du Strigide; Dofus des Glaces; Dofus Turquoise; Dolmanax; Dofus Pourpre; Remueur; Vigoureux majeur; Kokulte</t>
        </is>
      </c>
    </row>
    <row r="4315">
      <c r="A4315" t="inlineStr">
        <is>
          <t>ENI 200 3</t>
        </is>
      </c>
      <c r="B4315">
        <f>HYPERLINK("https://www.dofusbook.net/fr/equipement/4552430-eni-200-3/objets", "link")</f>
        <v/>
      </c>
      <c r="C4315" t="n">
        <v>6</v>
      </c>
      <c r="D4315" t="inlineStr">
        <is>
          <t>Arc corrompu; Amulette Séculaire; Kralano; Anneauræus; Sangle Aise; Coiffe Séculaire; Cape de Diondin; Bottes Innommables; Guérisseur majeur; Nomade; Astucieux majeur; Vigoureux majeur; Dévastateur Feu majeur; Érudit majeur; Brûlih</t>
        </is>
      </c>
    </row>
    <row r="4316">
      <c r="A4316" t="inlineStr">
        <is>
          <t>ENI FEU 200 2</t>
        </is>
      </c>
      <c r="B4316">
        <f>HYPERLINK("https://www.dofusbook.net/fr/equipement/4552411-eni-feu-200-2/objets", "link")</f>
        <v/>
      </c>
      <c r="C4316" t="n">
        <v>6</v>
      </c>
      <c r="D4316" t="inlineStr">
        <is>
          <t>Arc corrompu; Amulette Volkorne; Anneauræus; Kralano; Ceinture Séculaire; Coiffe Séculaire; Cape de Diondin; Pataugastrique; Dofus Turquoise; Nomade; Astucieux majeur; Vigoureux majeur; Dévastateur Feu majeur; Érudit majeur; Brûlih</t>
        </is>
      </c>
    </row>
    <row r="4317">
      <c r="A4317" t="inlineStr">
        <is>
          <t>Stuff 1</t>
        </is>
      </c>
      <c r="B4317">
        <f>HYPERLINK("https://www.dofusbook.net/fr/equipement/2546820-stuff-1/objets", "link")</f>
        <v/>
      </c>
      <c r="C4317" t="n">
        <v>6</v>
      </c>
      <c r="D4317" t="inlineStr">
        <is>
          <t>Arc corrompu; Amulette Volkorne; Kralano; Anneauræus; Sangle Aise; Heaume Oplate; Cape de la Dame du Hasard; Bottes de la Dame du Hasard; Dofus Turquoise; Astucieux majeur; Vigoureux majeur; Dévastateur Feu majeur; Érudit majeur; Nomade; Brûlih</t>
        </is>
      </c>
    </row>
    <row r="4318">
      <c r="A4318" t="inlineStr">
        <is>
          <t>Crâ F 200</t>
        </is>
      </c>
      <c r="B4318">
        <f>HYPERLINK("https://www.dofusbook.net/fr/equipement/4463703-cra-f-200/objets", "link")</f>
        <v/>
      </c>
      <c r="C4318" t="n">
        <v>8</v>
      </c>
      <c r="D4318" t="inlineStr">
        <is>
          <t>Bâton Beau; Amulette du Strigide; Anneau de Padgref; Bracelet du Piloztère; Bouclier du Captain Amakna; Ceintacé; Casque de Missiz Frizz; Voile d'encre; Bottes du Strigide; Dofus Pourpre; Dofus Turquoise; Nomade; Vigoureux majeur; Remueur; Kokulte</t>
        </is>
      </c>
    </row>
    <row r="4319">
      <c r="A4319" t="inlineStr">
        <is>
          <t>Crâ F 200</t>
        </is>
      </c>
      <c r="B4319">
        <f>HYPERLINK("https://www.dofusbook.net/fr/equipement/4460190-cra-f-200/objets", "link")</f>
        <v/>
      </c>
      <c r="C4319" t="n">
        <v>8</v>
      </c>
      <c r="D4319" t="inlineStr">
        <is>
          <t>Arc Volkorne; Amulette Volkorne; Anneau de Padgref; Bracelet du Piloztère; Quatre-feuilles; Ceinture Volkorne; Coiffe de Padgref; Voile d'encre; Getas de Padgref; Dofus Vulbis; Dofus des Glaces; Dofus Ocre; Dofus Pourpre; Dolmanax; Dofus Turquoise; Kokulte</t>
        </is>
      </c>
    </row>
    <row r="4320">
      <c r="A4320" t="inlineStr">
        <is>
          <t>Zobal M 200</t>
        </is>
      </c>
      <c r="B4320">
        <f>HYPERLINK("https://www.dofusbook.net/fr/equipement/4460113-zobal-m-200/objets", "link")</f>
        <v/>
      </c>
      <c r="C4320" t="n">
        <v>3</v>
      </c>
      <c r="D4320" t="inlineStr">
        <is>
          <t>Arc Volkorne; Amulette du Strigide; Bracelet du Piloztère; Anneau Volkorne; Quatre-feuilles; Ceinture du Strigide; Casque Volkorne; Voile d'encre; Bottes du Strigide; Dofus Ocre; Dofus Pourpre; Dofus Émeraude; Dofus Turquoise; Dofus Vulbis; Dofus des Glaces; Fëanor</t>
        </is>
      </c>
    </row>
    <row r="4321">
      <c r="A4321" t="inlineStr">
        <is>
          <t>Stuff 2</t>
        </is>
      </c>
      <c r="B4321">
        <f>HYPERLINK("https://www.dofusbook.net/fr/equipement/2546842-stuff-2/objets", "link")</f>
        <v/>
      </c>
      <c r="C4321" t="n">
        <v>8</v>
      </c>
      <c r="D4321" t="inlineStr">
        <is>
          <t>Baguette Hique; Amulette de Shokkoth; Pikano; Bracelet des Fonds marins; Quatre-feuilles; Pagne du Rykaon; Kidibonnet; Cape de la Dame du Hasard; Bottes de la Dame du Hasard; Dofus Turquoise; Temporiseur majeur; Taquin majeur; Chanceux majeur; Nomade; Entraveur majeur; Volkorne Turquoise et Indigo</t>
        </is>
      </c>
    </row>
    <row r="4322">
      <c r="A4322" t="inlineStr">
        <is>
          <t>Zobal M 200</t>
        </is>
      </c>
      <c r="B4322">
        <f>HYPERLINK("https://www.dofusbook.net/fr/equipement/4440670-zobal-m-200/objets", "link")</f>
        <v/>
      </c>
      <c r="C4322" t="n">
        <v>1</v>
      </c>
      <c r="D4322" t="inlineStr">
        <is>
          <t>Lav'Hache</t>
        </is>
      </c>
    </row>
    <row r="4323">
      <c r="A4323" t="inlineStr">
        <is>
          <t>Pandawa M 200</t>
        </is>
      </c>
      <c r="B4323">
        <f>HYPERLINK("https://www.dofusbook.net/fr/equipement/4433970-pandawa-m-200/objets", "link")</f>
        <v/>
      </c>
      <c r="C4323" t="n">
        <v>3</v>
      </c>
      <c r="D4323" t="inlineStr">
        <is>
          <t>Epée Maudite du Saigneur Guerrier; Talisman Igans; Bague Gloursonne; Alliance Gloursonne; Bouclier d'Anerice; Ceintrigue; Masque d'Anerice; Cape d'Anerice; Bottes Owesli; Dofus Pourpre; Dofus Pourpre</t>
        </is>
      </c>
    </row>
    <row r="4324">
      <c r="A4324" t="inlineStr">
        <is>
          <t>Pandawa M 200</t>
        </is>
      </c>
      <c r="B4324">
        <f>HYPERLINK("https://www.dofusbook.net/fr/equipement/4408212-pandawa-m-200/objets", "link")</f>
        <v/>
      </c>
      <c r="C4324" t="n">
        <v>4</v>
      </c>
      <c r="D4324" t="inlineStr">
        <is>
          <t>Dagoulinantes; Amulette de Shokkoth; Anneau Volkorne; Bracelet des Fonds marins; Quatre-feuilles; Pagne du Rykaon; Kidibonnet; Cape de l'Œil Attentif; Sandales des Fonds marins; Dofus Turquoise; Miraculé majeur; Chanceux majeur; Nomade; Vigoureux majeur; Remueur; Pioute bleu</t>
        </is>
      </c>
    </row>
    <row r="4325">
      <c r="A4325" t="inlineStr">
        <is>
          <t>Stuff 3</t>
        </is>
      </c>
      <c r="B4325">
        <f>HYPERLINK("https://www.dofusbook.net/fr/equipement/2546840-stuff-3/objets", "link")</f>
        <v/>
      </c>
      <c r="C4325" t="n">
        <v>3</v>
      </c>
      <c r="D4325" t="inlineStr">
        <is>
          <t>Marteau R'ture; Collier de Tourthon; Anneau Crustique; Anneau Crustique; Bouclier du Captain Amakna; Ceinture de Brouce; Masque de Koutoulou; Cape au Logis; Bottes de Brouce; Dofus Turquoise; Dofus Pourpre; Remueur; Forcené majeur; Enragé majeur; Vigoureux majeur; Kompost</t>
        </is>
      </c>
    </row>
    <row r="4326">
      <c r="A4326" t="inlineStr">
        <is>
          <t>Iop M 200</t>
        </is>
      </c>
      <c r="B4326">
        <f>HYPERLINK("https://www.dofusbook.net/fr/equipement/4408438-iop-m-200/objets", "link")</f>
        <v/>
      </c>
      <c r="C4326" t="n">
        <v>11</v>
      </c>
      <c r="D4326" t="inlineStr">
        <is>
          <t>Dagues d'Ilyzaelle; Amulette du Strigide; Anneau Crustique; Anneau Crustique; Bouclier du Captain Amakna; Ceinture du Strigide; Masque de Koutoulou; Cape au Logis; Bottes de Brouce; Dofus Turquoise; Dofus Pourpre; Enragé majeur; Vigoureux majeur; Forcené majeur; Pioute vert</t>
        </is>
      </c>
    </row>
    <row r="4327">
      <c r="A4327" t="inlineStr">
        <is>
          <t>Iop M 200</t>
        </is>
      </c>
      <c r="B4327">
        <f>HYPERLINK("https://www.dofusbook.net/fr/equipement/4413270-iop-m-200/objets", "link")</f>
        <v/>
      </c>
      <c r="C4327" t="n">
        <v>9</v>
      </c>
      <c r="D4327" t="inlineStr">
        <is>
          <t>Sabres d'Atcham; Amulette Volkorne; Anneau Toriété; Anneau Volkorne; Bouclier du Captain Amakna; Ceinture Volkorne; Casque Volkorne; Cape d'Atcham; Sandales  d'Atcham; Dofus Pourpre; Dolmanax; Dofus Ocre; Dofus Turquoise; Dofus des Glaces; Chacha Angora</t>
        </is>
      </c>
    </row>
    <row r="4328">
      <c r="A4328" t="inlineStr">
        <is>
          <t>Pandawa M 200</t>
        </is>
      </c>
      <c r="B4328">
        <f>HYPERLINK("https://www.dofusbook.net/fr/equipement/4413107-pandawa-m-200/objets", "link")</f>
        <v/>
      </c>
      <c r="C4328" t="n">
        <v>7</v>
      </c>
      <c r="D4328" t="inlineStr">
        <is>
          <t>Arc corrompu; Amulette Séculaire; Anneauræus; Anneauræus; Quatre-feuilles; Ceinture Séculaire; Heaume Oplate; Voile d'encre; Bottes Innommables; Dofus Turquoise; Érudit majeur; Remueur; Astucieux majeur; Vigoureux majeur; Nomade; Dragodinde Ivoire et Orchidée</t>
        </is>
      </c>
    </row>
    <row r="4329">
      <c r="A4329" t="inlineStr">
        <is>
          <t>Pandawa M 200</t>
        </is>
      </c>
      <c r="B4329">
        <f>HYPERLINK("https://www.dofusbook.net/fr/equipement/4410801-pandawa-m-200/objets", "link")</f>
        <v/>
      </c>
      <c r="C4329" t="n">
        <v>2</v>
      </c>
      <c r="D4329" t="inlineStr">
        <is>
          <t>Manthache; Amibou; Anneau d'Allister; Alliance Gloursonne; Bouclier du Captain Amakna; Menoture; Casque Volkorne; Cape de Klime; Bottes d'Allister; Dofus Turquoise; Equilibriste majeur; Remueur; Vigoureux majeur; Cascadeur majeur; Nomade; Siroko</t>
        </is>
      </c>
    </row>
    <row r="4330">
      <c r="A4330" t="inlineStr">
        <is>
          <t>Pandawa M 200</t>
        </is>
      </c>
      <c r="B4330">
        <f>HYPERLINK("https://www.dofusbook.net/fr/equipement/4412852-pandawa-m-200/objets", "link")</f>
        <v/>
      </c>
      <c r="C4330" t="n">
        <v>5</v>
      </c>
      <c r="D4330" t="inlineStr">
        <is>
          <t>Dagues d'Ilyzaelle; Amulette Héroclite; Anneau Crustique; Anneau Crustique; Bouclier du Captain Amakna; Ceinture Gence; Masque de Koutoulou; Cape au Logis; Bottes de Brouce; Observateur; Vigoureux majeur; Nomade; Enragé majeur; Remueur; Fonceur majeur; Kompost</t>
        </is>
      </c>
    </row>
    <row r="4331">
      <c r="A4331" t="inlineStr">
        <is>
          <t>Stuff 31</t>
        </is>
      </c>
      <c r="B4331">
        <f>HYPERLINK("https://www.dofusbook.net/fr/equipement/2546831-stuff-31/objets", "link")</f>
        <v/>
      </c>
      <c r="C4331" t="n">
        <v>2</v>
      </c>
      <c r="D4331" t="inlineStr">
        <is>
          <t>Marteau des égarés; Amulette du Strigide; Bague Gloursonne; Alliance Gloursonne; Ceinture du Strigide; Casque du Chalœil; Cape du Chalœil; Bottes du Chalœil; Dofus des Glaces; Dofus Ocre; Dofus Pourpre; Dolmanax; Dofus Vulbis; Dofus Turquoise; Kwaltess</t>
        </is>
      </c>
    </row>
    <row r="4332">
      <c r="A4332" t="inlineStr">
        <is>
          <t>Stuff 3</t>
        </is>
      </c>
      <c r="B4332">
        <f>HYPERLINK("https://www.dofusbook.net/fr/equipement/2546843-stuff-3/objets", "link")</f>
        <v/>
      </c>
      <c r="C4332" t="n">
        <v>2</v>
      </c>
      <c r="D4332" t="inlineStr">
        <is>
          <t>Epée Gloursonne; Amulette du Glourséleste; Bague Gloursonne; Alliance Gloursonne; Ceinture du Glourséleste; Masque du Glourséleste; Cape du Glourséleste; Bottes du Glourséleste; Dofus des Glaces; Dofus Ocre; Dofus Pourpre; Dofus Turquoise; Ralentisseur majeur; Entraveur majeur; Kramkram</t>
        </is>
      </c>
    </row>
    <row r="4333">
      <c r="A4333" t="inlineStr">
        <is>
          <t>Stuff 1</t>
        </is>
      </c>
      <c r="B4333">
        <f>HYPERLINK("https://www.dofusbook.net/fr/equipement/2546855-stuff-1/objets", "link")</f>
        <v/>
      </c>
      <c r="C4333" t="n">
        <v>6</v>
      </c>
      <c r="D4333" t="inlineStr">
        <is>
          <t>Hache du Chalœil; Amulette du Strigide; Bracelet du Piloztère; Bague Gloursonne; Ceinture du Strigide; Casque du Chalœil; Cape du Chalœil; Bottes du Chalœil; Dofus Ocre; Dofus Turquoise; Dofus des Glaces; Dolmanax; Dofus Vulbis; Dofus Pourpre; El Scarador</t>
        </is>
      </c>
    </row>
    <row r="4334">
      <c r="A4334" t="inlineStr">
        <is>
          <t>Stuff 1</t>
        </is>
      </c>
      <c r="B4334">
        <f>HYPERLINK("https://www.dofusbook.net/fr/equipement/2546841-stuff-1/objets", "link")</f>
        <v/>
      </c>
      <c r="C4334" t="n">
        <v>3</v>
      </c>
      <c r="D4334" t="inlineStr">
        <is>
          <t>Arc Hétype; Amulette d'Otomaï; Anneau de Padgref; Bague Gloursonne; Slip Iholo; Casqnoar; Voile d'encre; Bottes d'Otomaï; Dofus Ocre; Dofus Turquoise; Érudit majeur; Temporiseur majeur; Savant majeur; Remueur; Brûlih</t>
        </is>
      </c>
    </row>
    <row r="4335">
      <c r="A4335" t="inlineStr">
        <is>
          <t>Stuff 2</t>
        </is>
      </c>
      <c r="B4335">
        <f>HYPERLINK("https://www.dofusbook.net/fr/equipement/2546830-stuff-2/objets", "link")</f>
        <v/>
      </c>
      <c r="C4335" t="n">
        <v>5</v>
      </c>
      <c r="D4335" t="inlineStr">
        <is>
          <t>Arc Hétype; Amulette Séculaire; Anneau Tique; Bague Gloursonne; Ceinture Séculaire; Couronne de Nidas; Voile d'encre; Pataugastrique; Dofus Turquoise; Carapace Feu majeur; Nomade; Remueur; Carapace Terre majeur; Érudit majeur; El Scarador</t>
        </is>
      </c>
    </row>
    <row r="4336">
      <c r="A4336" t="inlineStr">
        <is>
          <t>Stuff 3</t>
        </is>
      </c>
      <c r="B4336">
        <f>HYPERLINK("https://www.dofusbook.net/fr/equipement/2546822-stuff-3/objets", "link")</f>
        <v/>
      </c>
      <c r="C4336" t="n">
        <v>1</v>
      </c>
      <c r="D4336" t="inlineStr">
        <is>
          <t>Sabres d'Atcham; Amulette du Strigide; Anneau de Padgref; Anneau de Pol Ouatnos; Ceinture du Strigide; Coiffe de Padgref; Cape d'Atcham; Sandales  d'Atcham; Dofus Ocre; Dofus des Glaces; Dofus Turquoise; Dolmanax; Dofus Pourpre; Taquin majeur; Dragodinde en armure</t>
        </is>
      </c>
    </row>
    <row r="4337">
      <c r="A4337" t="inlineStr">
        <is>
          <t>Stuff 2</t>
        </is>
      </c>
      <c r="B4337">
        <f>HYPERLINK("https://www.dofusbook.net/fr/equipement/2546821-stuff-2/objets", "link")</f>
        <v/>
      </c>
      <c r="C4337" t="n">
        <v>1</v>
      </c>
      <c r="D4337" t="inlineStr">
        <is>
          <t>Rapière aux Glyphes; Talisman Igans; Anneau Glacial; Bracelet des Fonds marins; Bouclier d'Asse cassé; Ceinture Glaciale; Masque des Fonds marins; Cape Glaciale; Sandales des Fonds marins; Dofus des Glaces; Dofus Ocre; Dofus Pourpre; Dofus Turquoise; Dolmanax; Taquin majeur; Dehluge</t>
        </is>
      </c>
    </row>
    <row r="4338">
      <c r="A4338" t="inlineStr">
        <is>
          <t>Stuff 2</t>
        </is>
      </c>
      <c r="B4338">
        <f>HYPERLINK("https://www.dofusbook.net/fr/equipement/2546830-stuff-2/objets", "link")</f>
        <v/>
      </c>
      <c r="C4338" t="n">
        <v>5</v>
      </c>
      <c r="D4338" t="inlineStr">
        <is>
          <t>Arc Hétype; Amulette Séculaire; Anneau Tique; Bague Gloursonne; Ceinture Séculaire; Couronne de Nidas; Voile d'encre; Pataugastrique; Dofus Turquoise; Remueur; Carapace Terre majeur; Érudit majeur; Carapace Feu majeur; Nomade; El Scarador</t>
        </is>
      </c>
    </row>
    <row r="4339">
      <c r="A4339" t="inlineStr">
        <is>
          <t>Stuff 3</t>
        </is>
      </c>
      <c r="B4339">
        <f>HYPERLINK("https://www.dofusbook.net/fr/equipement/2546822-stuff-3/objets", "link")</f>
        <v/>
      </c>
      <c r="C4339" t="n">
        <v>1</v>
      </c>
      <c r="D4339" t="inlineStr">
        <is>
          <t>Sabres d'Atcham; Amulette du Strigide; Anneau de Padgref; Anneau de Pol Ouatnos; Ceinture du Strigide; Coiffe de Padgref; Cape d'Atcham; Sandales  d'Atcham; Dolmanax; Dofus Pourpre; Dofus Ocre; Dofus des Glaces; Dofus Turquoise; Taquin majeur; Dragodinde en armure</t>
        </is>
      </c>
    </row>
    <row r="4340">
      <c r="A4340" t="inlineStr">
        <is>
          <t>Iop M 200</t>
        </is>
      </c>
      <c r="B4340">
        <f>HYPERLINK("https://www.dofusbook.net/fr/equipement/3630713-iop-m-200/objets", "link")</f>
        <v/>
      </c>
      <c r="C4340" t="n">
        <v>16</v>
      </c>
      <c r="D4340" t="inlineStr">
        <is>
          <t>Épée Brûlâme; Amulette Volkorne; Anneau Volkorne; Crocanneau; Bouclier du Captain Amakna; Ceinture du Strigide; Diadème de Ganymède; Cape de Jahash Jurgen; Bottes du Strigide; Dofus Nébuleux; Dofus Turquoise; Dofus Ivoire; Dofus Vulbis; Dofus Ébène; Dofus Pourpre; Chacha Angora</t>
        </is>
      </c>
    </row>
    <row r="4341">
      <c r="A4341" t="inlineStr">
        <is>
          <t>Pandawa M 200</t>
        </is>
      </c>
      <c r="B4341">
        <f>HYPERLINK("https://www.dofusbook.net/fr/equipement/4596553-pandawa-m-200/objets", "link")</f>
        <v/>
      </c>
      <c r="C4341" t="n">
        <v>5</v>
      </c>
      <c r="D4341" t="inlineStr">
        <is>
          <t>Rouleau à Pâtisserie d'Aermyne; Collier Rophante; Alliance Gloursonne; Bouclier d'Anerice; Ceinture de Kongoku; Cape d'Anerice; Getas Bernacle; Dofus Ivoire; Dofus Émeraude; Remueur; Givrefoux</t>
        </is>
      </c>
    </row>
    <row r="4342">
      <c r="A4342" t="inlineStr">
        <is>
          <t>Jetziges Set</t>
        </is>
      </c>
      <c r="B4342">
        <f>HYPERLINK("https://www.dofusbook.net/fr/equipement/1086552-jetziges-set/objets", "link")</f>
        <v/>
      </c>
      <c r="C4342" t="n">
        <v>8</v>
      </c>
      <c r="D4342" t="inlineStr">
        <is>
          <t>Héqache</t>
        </is>
      </c>
    </row>
    <row r="4343">
      <c r="A4343" t="inlineStr">
        <is>
          <t>Ouginak M 200</t>
        </is>
      </c>
      <c r="B4343">
        <f>HYPERLINK("https://www.dofusbook.net/fr/equipement/5928200-ouginak-m-200/objets", "link")</f>
        <v/>
      </c>
      <c r="C4343" t="n">
        <v>2</v>
      </c>
      <c r="D4343" t="inlineStr">
        <is>
          <t>Baguette de Torkélonia; Amulette du Strigide; Anneau de Padgref; Crocanneau; Bouclier du Captain Amakna; Ceinture du Strigide; Corne de Torkélonia; Carapace de Torkélonia; Getas de Padgref; Dofus Turquoise; Dofus Ébène; Dofus Ocre; Dofus Pourpre; Dofus Ivoire; Equilibriste majeur; Pioute jaune</t>
        </is>
      </c>
    </row>
    <row r="4344">
      <c r="A4344" t="inlineStr">
        <is>
          <t>zwoelfsechs</t>
        </is>
      </c>
      <c r="B4344">
        <f>HYPERLINK("https://www.dofusbook.net/fr/equipement/1953203-zwoelfsechs/objets", "link")</f>
        <v/>
      </c>
      <c r="C4344" t="n">
        <v>14</v>
      </c>
      <c r="D4344" t="inlineStr">
        <is>
          <t>Baguette de Torkélonia; Amulette du Strigide; Anneau de Padgref; Bague Trithon; Bouclier du Captain Amakna; Ceinture du Strigide; Masque Trithon; Carapace de Torkélonia; Getas de Padgref; Dofus Vulbis; Dofus Ocre; Dofus Pourpre; Dofus Ivoire; Dofus Turquoise; Dofus Ébène; Sakochère</t>
        </is>
      </c>
    </row>
    <row r="4345">
      <c r="A4345" t="inlineStr">
        <is>
          <t>Sadida M 200</t>
        </is>
      </c>
      <c r="B4345">
        <f>HYPERLINK("https://www.dofusbook.net/fr/equipement/3532997-sadida-m-200/objets", "link")</f>
        <v/>
      </c>
      <c r="C4345" t="n">
        <v>10</v>
      </c>
      <c r="D4345" t="inlineStr">
        <is>
          <t>Sabres d'Atcham; Amulette de Pol Ouatnos; Bracelet du Piloztère; Crocanneau; Bouclier du Stalak; Ceinture de Vortex; Casque Dragoeuf; Cape d'Atcham; Pataugastrique; Dofus Ébène; Dofus Pourpre; Dofus Ivoire; Étourdisseur majeur; Robuste majeur; Vigoureux majeur; Koalak Sanguin</t>
        </is>
      </c>
    </row>
    <row r="4346">
      <c r="A4346" t="inlineStr">
        <is>
          <t>Stuff 3</t>
        </is>
      </c>
      <c r="B4346">
        <f>HYPERLINK("https://www.dofusbook.net/fr/equipement/208924-stuff-3/objets", "link")</f>
        <v/>
      </c>
      <c r="C4346" t="n">
        <v>25</v>
      </c>
      <c r="D4346" t="inlineStr">
        <is>
          <t>Baguette de Torkélonia; Amulette du Strigide; Anneau de Padgref; Crocanneau; Quatre-feuilles; Ceinture du Strigide; Corne de Torkélonia; Carapace de Torkélonia; Getas de Padgref; Dofus Pourpre; Dofus Ébène; Dofus des Glaces; Dofus Ocre; Dofus Turquoise; Dofus Ivoire; Kokulte</t>
        </is>
      </c>
    </row>
    <row r="4347">
      <c r="A4347" t="inlineStr">
        <is>
          <t>Stuff 2</t>
        </is>
      </c>
      <c r="B4347">
        <f>HYPERLINK("https://www.dofusbook.net/fr/equipement/208929-stuff-2/objets", "link")</f>
        <v/>
      </c>
      <c r="C4347" t="n">
        <v>20</v>
      </c>
      <c r="D4347" t="inlineStr">
        <is>
          <t>Harpelle; Amulette Volkorne; Bague Gloursonne; Chevalière du Roi Joueur; Bouclier du Captain Amakna; Croture; Heaume Oplate; Cape de la Dame du Hasard; Bottes de la Dame du Hasard; Dofus Pourpre; Dofus Ébène; Dofus Turquoise; Remueur; Érudit majeur; Nomade; Pioute rouge</t>
        </is>
      </c>
    </row>
    <row r="4348">
      <c r="A4348" t="inlineStr">
        <is>
          <t>Str</t>
        </is>
      </c>
      <c r="B4348">
        <f>HYPERLINK("https://www.dofusbook.net/fr/equipement/1906527-str/objets", "link")</f>
        <v/>
      </c>
      <c r="C4348" t="n">
        <v>6</v>
      </c>
      <c r="D4348" t="inlineStr">
        <is>
          <t>Arc corrompu; Amulette Volkorne; Chevalière du Roi Joueur; Bague Gloursonne; Quatre-feuilles; Ceintacé; Couronne de Nidas; Cape de la Dame du Hasard; Bottes de la Dame du Hasard; Dofus Turquoise; Dofus Ébène; Dofus Pourpre; Érudit majeur; Remueur; Nomade; Pioute rouge</t>
        </is>
      </c>
    </row>
    <row r="4349">
      <c r="A4349" t="inlineStr">
        <is>
          <t>Main Cha</t>
        </is>
      </c>
      <c r="B4349">
        <f>HYPERLINK("https://www.dofusbook.net/fr/equipement/1906682-main-cha/objets", "link")</f>
        <v/>
      </c>
      <c r="C4349" t="n">
        <v>9</v>
      </c>
      <c r="D4349" t="inlineStr">
        <is>
          <t>Arc corrompu; Amulette de Pol Ouatnos; Chevalière du Roi Joueur; Crocanneau; Quatre-feuilles; Croture; Heaume Oplate; Cape de la Dame du Hasard; Bottes de la Dame du Hasard; Dofus Pourpre; Dofus Ébène; Dofus Turquoise; Nomade; Remueur; Érudit majeur; Pioute rouge</t>
        </is>
      </c>
    </row>
    <row r="4350">
      <c r="A4350" t="inlineStr">
        <is>
          <t>Jetziges</t>
        </is>
      </c>
      <c r="B4350">
        <f>HYPERLINK("https://www.dofusbook.net/fr/equipement/208928-jetziges/objets", "link")</f>
        <v/>
      </c>
      <c r="C4350" t="n">
        <v>3</v>
      </c>
      <c r="D4350" t="inlineStr">
        <is>
          <t>Héqache; Amulette du Strigide; Crocanneau; Anneau de Padgref; Bouclier du Captain Amakna; Ceinture du Strigide; Corne de Torkélonia; Carapace de Torkélonia; Getas de Padgref; Dofus Turquoise; Dofus Vulbis; Dofus Pourpre; Dofus Ocre; Dofus Ébène; Dofus Ivoire; Kokulte</t>
        </is>
      </c>
    </row>
    <row r="4351">
      <c r="A4351" t="inlineStr">
        <is>
          <t>Full Str</t>
        </is>
      </c>
      <c r="B4351">
        <f>HYPERLINK("https://www.dofusbook.net/fr/equipement/1517061-full-str/objets", "link")</f>
        <v/>
      </c>
      <c r="C4351" t="n">
        <v>11</v>
      </c>
      <c r="D4351" t="inlineStr">
        <is>
          <t>Épée Brûlâme; Amulette Volkorne; Anneau de Padgref; Anneau Volkorne; Bouclier du Captain Amakna; Ceinture Volkorne; Heaume Oplate; Cape de la Dame du Hasard; Bottes de la Dame du Hasard; Dofus Pourpre; Dofus des Glaces; Dofus Ivoire; Dofus Abyssal; Dofus Turquoise; Dofus Ocre; Pioute rouge</t>
        </is>
      </c>
    </row>
    <row r="4352">
      <c r="A4352" t="inlineStr">
        <is>
          <t>Pvp</t>
        </is>
      </c>
      <c r="B4352">
        <f>HYPERLINK("https://www.dofusbook.net/fr/equipement/2247561-pvp/objets", "link")</f>
        <v/>
      </c>
      <c r="C4352" t="n">
        <v>9</v>
      </c>
      <c r="D4352" t="inlineStr">
        <is>
          <t>Harpelle; Amulette Volkorne; Crocanneau; Anneau Volkorne; Bouclier du Captain Amakna; Ceinture Séculaire; Coiffe Séculaire; Cape de la Dame du Hasard; Bottes de la Dame du Hasard; Dofus Ivoire; Dofus Vulbis; Dofus Ébène; Dofus Ocre; Dofus Pourpre; Dofus Turquoise; Pioute rouge</t>
        </is>
      </c>
    </row>
    <row r="4353">
      <c r="A4353" t="inlineStr">
        <is>
          <t>Féca M 200</t>
        </is>
      </c>
      <c r="B4353">
        <f>HYPERLINK("https://www.dofusbook.net/fr/equipement/3485216-feca-m-200/objets", "link")</f>
        <v/>
      </c>
      <c r="C4353" t="n">
        <v>8</v>
      </c>
      <c r="D4353" t="inlineStr">
        <is>
          <t>Baguette de Torkélonia; Amulette Ementaire Deluxe; Anneau Pwal; Anneau Volkorne; Quatre-feuilles; Ceinture Volkorne; Corne de Torkélonia; Carapace de Torkélonia; Bottes Honyme; Dofus Ocre; Dofus Émeraude; Dofus Pourpre; Dofus Turquoise; Furibond majeur; Examinateur; Pioute vert</t>
        </is>
      </c>
    </row>
    <row r="4354">
      <c r="A4354" t="inlineStr">
        <is>
          <t>Féca F 200</t>
        </is>
      </c>
      <c r="B4354">
        <f>HYPERLINK("https://www.dofusbook.net/fr/equipement/4862657-feca-f-200/objets", "link")</f>
        <v/>
      </c>
      <c r="C4354" t="n">
        <v>2</v>
      </c>
      <c r="D4354" t="inlineStr">
        <is>
          <t>Baguette Hique; Amulette Volkorne; Anneau Volkorne; Bracelet du Piloztère; Quatre-feuilles; Ceintacé; Némès de Tal Kasha; Chevelure de Tal Kasha; Bottes Antouche; Dofus Abyssal; Dofus Turquoise; Dofus Vulbis; Dofus Ivoire; Dofus Pourpre; Dofus Ocre; Kokulte</t>
        </is>
      </c>
    </row>
    <row r="4355">
      <c r="A4355" t="inlineStr">
        <is>
          <t>Aktuell</t>
        </is>
      </c>
      <c r="B4355">
        <f>HYPERLINK("https://www.dofusbook.net/fr/equipement/2072419-aktuell/objets", "link")</f>
        <v/>
      </c>
      <c r="C4355" t="n">
        <v>5</v>
      </c>
      <c r="D4355" t="inlineStr">
        <is>
          <t>Az'tech; Amulette du Strigide; Anneau de Padgref; Crocanneau; Bouclier du Captain Amakna; Ceinture du Strigide; Corne de Torkélonia; Carapace de Torkélonia; Getas de Padgref; Dofus Turquoise; Dofus Ivoire; Dofus des Glaces; Dofus Vulbis; Dofus Pourpre; Dofus Ocre; Chacha Angora</t>
        </is>
      </c>
    </row>
    <row r="4356">
      <c r="A4356" t="inlineStr">
        <is>
          <t>Iop M 200</t>
        </is>
      </c>
      <c r="B4356">
        <f>HYPERLINK("https://www.dofusbook.net/fr/equipement/4222160-iop-m-200/objets", "link")</f>
        <v/>
      </c>
      <c r="C4356" t="n">
        <v>48</v>
      </c>
      <c r="D4356" t="inlineStr">
        <is>
          <t>Baguette de Torkélonia; Amulette du Strigide; Anneau de Padgref; Crocanneau; Bouclier du Captain Amakna; Ceinture du Strigide; Corne de Torkélonia; Carapace de Torkélonia; Getas de Padgref; Dofus Turquoise; Dofus des Glaces; Dofus Nébuleux; Dofus Pourpre; Dofus Ébène; Dofus Ocre; Kokulte</t>
        </is>
      </c>
    </row>
    <row r="4357">
      <c r="A4357" t="inlineStr">
        <is>
          <t>Ecaflip M 200</t>
        </is>
      </c>
      <c r="B4357">
        <f>HYPERLINK("https://www.dofusbook.net/fr/equipement/5414096-ecaflip-m-200/objets", "link")</f>
        <v/>
      </c>
      <c r="C4357" t="n">
        <v>18</v>
      </c>
      <c r="D4357" t="inlineStr">
        <is>
          <t>Baguette de Torkélonia; Amulette du Strigide; Crocanneau; Anneau Volkorne; Bouclier du Captain Amakna; Ceinture Volkorne; Corne de Torkélonia; Carapace de Torkélonia; Bottes du Strigide; Dofus Turquoise; Dofus des Glaces; Dofus Ocre; Dofus Pourpre; Dofus Ivoire; Dofus Ébène; Pioute vert</t>
        </is>
      </c>
    </row>
    <row r="4358">
      <c r="A4358" t="inlineStr">
        <is>
          <t>Iop M 200</t>
        </is>
      </c>
      <c r="B4358">
        <f>HYPERLINK("https://www.dofusbook.net/fr/equipement/3491264-iop-m-200/objets", "link")</f>
        <v/>
      </c>
      <c r="C4358" t="n">
        <v>11</v>
      </c>
      <c r="D4358" t="inlineStr">
        <is>
          <t>Manthache; Collier du Valet Veinard; Gant du Valet Veinard; Anneau de Padgref; Bouclier du Captain Amakna; Ceinture du Nocturlabe; Coiffe de Padgref; Cape Indescriptible; Getas de Padgref; Dofus Ocre; Dofus Pourpre; Dofus Ivoire; Dofus Turquoise; Dofus des Glaces; Equilibriste majeur; Siroko</t>
        </is>
      </c>
    </row>
    <row r="4359">
      <c r="A4359" t="inlineStr">
        <is>
          <t>Stuff 3</t>
        </is>
      </c>
      <c r="B4359">
        <f>HYPERLINK("https://www.dofusbook.net/fr/equipement/208930-stuff-3/objets", "link")</f>
        <v/>
      </c>
      <c r="C4359" t="n">
        <v>7</v>
      </c>
      <c r="D4359" t="inlineStr">
        <is>
          <t>Épée Brûlâme; Amulette Volkorne; Anneau de Padgref; Anneau Volkorne; Bouclier du Captain Amakna; Ceinture Volkorne; Heaume Oplate; Cape de la Dame du Hasard; Bottes de la Dame du Hasard; Dofus Ocre; Dofus Pourpre; Dofus Ivoire; Dofus Turquoise; Dofus des Glaces; Pioute rouge</t>
        </is>
      </c>
    </row>
    <row r="4360">
      <c r="A4360" t="inlineStr">
        <is>
          <t>New Stuff</t>
        </is>
      </c>
      <c r="B4360">
        <f>HYPERLINK("https://www.dofusbook.net/fr/equipement/1898775-new-stuff/objets", "link")</f>
        <v/>
      </c>
      <c r="C4360" t="n">
        <v>8</v>
      </c>
      <c r="D4360" t="inlineStr">
        <is>
          <t>Dagues Ricol; Amulette Volkorne; Bague Gloursonne; Chevalière du Roi Joueur; Bouclier du Captain Amakna; Ceintacé; Couronne de Nidas; Cape de la Dame du Hasard; Bottes de la Dame du Hasard; Dofus Turquoise; Dofus Pourpre; Nomade; Érudit majeur; Vigoureux majeur; Remueur; Pioute rouge</t>
        </is>
      </c>
    </row>
    <row r="4361">
      <c r="A4361" t="inlineStr">
        <is>
          <t>str</t>
        </is>
      </c>
      <c r="B4361">
        <f>HYPERLINK("https://www.dofusbook.net/fr/equipement/1934260-str/objets", "link")</f>
        <v/>
      </c>
      <c r="C4361" t="n">
        <v>9</v>
      </c>
      <c r="D4361" t="inlineStr">
        <is>
          <t>Épée Brûlâme; Amulette Volkorne; Anneau Toriété; Anneau de Padgref; Bouclier du Captain Amakna; Ceintacé; Coiffe de Padgref; Cape de la Dame du Hasard; Bottes de la Dame du Hasard; Dofus Pourpre; Dofus Ivoire; Dofus Turquoise; Dofus Abyssal; Dofus Ocre; Dofus des Glaces; Pioute rouge</t>
        </is>
      </c>
    </row>
    <row r="4362">
      <c r="A4362" t="inlineStr">
        <is>
          <t>New Stuff</t>
        </is>
      </c>
      <c r="B4362">
        <f>HYPERLINK("https://www.dofusbook.net/fr/equipement/2491180-new-stuff/objets", "link")</f>
        <v/>
      </c>
      <c r="C4362" t="n">
        <v>37</v>
      </c>
      <c r="D4362" t="inlineStr">
        <is>
          <t>Sabres d'Atcham; Amulette du Strigide; Anneau de Padgref; Anneau Toriété; Bouclier du Captain Amakna; Ceinture du Strigide; Coiffe de Padgref; Cape d'Atcham; Getas de Padgref; Dofus Ocre; Dofus Pourpre; Dofus Ébène; Dofus Ivoire; Dofus des Glaces; Dofus Turquoise; Chacha Angora</t>
        </is>
      </c>
    </row>
    <row r="4363">
      <c r="A4363" t="inlineStr">
        <is>
          <t>Stuff 1</t>
        </is>
      </c>
      <c r="B4363">
        <f>HYPERLINK("https://www.dofusbook.net/fr/equipement/208925-stuff-1/objets", "link")</f>
        <v/>
      </c>
      <c r="C4363" t="n">
        <v>19</v>
      </c>
      <c r="D4363" t="inlineStr">
        <is>
          <t>Crocobur; Amulette Ementaire Deluxe; Alliance Gloursonne; Anneau Volkorne; Bouclier du Captain Amakna; Ceinture Volkorne; Masque de Koutoulou; Cape au Logis; Getas Bernacle; Dofus Pourpre; Dofus Ivoire; Dofus Turquoise; Dofus Émeraude; Remueur; Vigoureux majeur; Pioute vert</t>
        </is>
      </c>
    </row>
    <row r="4364">
      <c r="A4364" t="inlineStr">
        <is>
          <t>Support</t>
        </is>
      </c>
      <c r="B4364">
        <f>HYPERLINK("https://www.dofusbook.net/fr/equipement/1368921-support/objets", "link")</f>
        <v/>
      </c>
      <c r="C4364" t="n">
        <v>8</v>
      </c>
      <c r="D4364" t="inlineStr">
        <is>
          <t>Arc Volkorne; Amulette Ementaire Deluxe; Anneau Volkorne; Bracelet du Piloztère; Quatre-feuilles; Ceinture Volkorne; Masque de Koutoulou; Cape au Logis; Getas Bernacle; Dofus Pourpre; Dofus Ivoire; Dofus Turquoise; Dofus Ocre; Fonceur majeur; Vigoureux majeur; Chacha Angora</t>
        </is>
      </c>
    </row>
    <row r="4365">
      <c r="A4365" t="inlineStr">
        <is>
          <t>Heal/Support</t>
        </is>
      </c>
      <c r="B4365">
        <f>HYPERLINK("https://www.dofusbook.net/fr/equipement/1911436-heal-support/objets", "link")</f>
        <v/>
      </c>
      <c r="C4365" t="n">
        <v>3</v>
      </c>
      <c r="D4365" t="inlineStr">
        <is>
          <t>Bêche Asse; Amulette de Pol Ouatnos; Anneau Chevelu; Bracelet du Piloztère; Sept ans de malheur; Ceintouse; Chapoulpe; Voile d'encre; Baleinabottes; Dofus Ivoire; Dofus Pourpre; Dofus Émeraude; Étourdisseur majeur; Remueur; Enragé majeur; Drakopin</t>
        </is>
      </c>
    </row>
    <row r="4366">
      <c r="A4366" t="inlineStr">
        <is>
          <t>Eca2</t>
        </is>
      </c>
      <c r="B4366">
        <f>HYPERLINK("https://www.dofusbook.net/fr/equipement/1932290-eca2/objets", "link")</f>
        <v/>
      </c>
      <c r="C4366" t="n">
        <v>5</v>
      </c>
      <c r="D4366" t="inlineStr">
        <is>
          <t>Arc de Koutoulou; Amulette Ementaire Deluxe; Alliance Gloursonne; Anneau de Padgref; Quatre-feuilles; Sangle Ouare; Némès de Tal Kasha; Chevelure de Tal Kasha; Sandales de Tal Kasha; Dofus Turquoise; Dofus des Glaces; Dofus Ébène; Dofus Pourpre; Dofus Ocre; Dofus Ivoire; Chacha Angora</t>
        </is>
      </c>
    </row>
    <row r="4367">
      <c r="A4367" t="inlineStr">
        <is>
          <t>Sacrieur M 200</t>
        </is>
      </c>
      <c r="B4367">
        <f>HYPERLINK("https://www.dofusbook.net/fr/equipement/4974231-sacrieur-m-200/objets", "link")</f>
        <v/>
      </c>
      <c r="C4367" t="n">
        <v>3</v>
      </c>
      <c r="D4367" t="inlineStr">
        <is>
          <t>Hache du Korriandre; Amulette Voldelor; Alliance Gloursonne; Anneau Volkorne; Cadran de Terre; Sangle Ouare; Casque Volkorne; Cape Matelassée; Sandales de Tal Kasha; Dofus Ocre; Dofus Ivoire; Dofus Émeraude; Dofus Turquoise; Dofus Pourpre; Étourdisseur majeur; Boskito</t>
        </is>
      </c>
    </row>
    <row r="4368">
      <c r="A4368" t="inlineStr">
        <is>
          <t>support 2.0</t>
        </is>
      </c>
      <c r="B4368">
        <f>HYPERLINK("https://www.dofusbook.net/fr/equipement/208976-support-2-0/objets", "link")</f>
        <v/>
      </c>
      <c r="C4368" t="n">
        <v>17</v>
      </c>
      <c r="D4368" t="inlineStr">
        <is>
          <t>Arc corrompu; Amulette Volkorne; Anneau Tamie; Anneau Tamie; Bouclier du Cycloïde; Ceinture Séculaire; Coiffe Séculaire; Cape de Diondin; Bottes Innommables; Dofus Turquoise; Savant majeur; Érudit majeur; Remueur; Astucieux majeur; Nomade; Brûlih</t>
        </is>
      </c>
    </row>
    <row r="4369">
      <c r="A4369" t="inlineStr">
        <is>
          <t>Enutrof M 200</t>
        </is>
      </c>
      <c r="B4369">
        <f>HYPERLINK("https://www.dofusbook.net/fr/equipement/4311539-enutrof-m-200/objets", "link")</f>
        <v/>
      </c>
      <c r="C4369" t="n">
        <v>3</v>
      </c>
      <c r="D4369" t="inlineStr">
        <is>
          <t>Amulette du Strigide; Anneau de la Fuji Givrefoux; Bracelet du Piloztère; Bouclier du Captain Amakna; Ceinture du Strigide; Coiffe de la Fuji Givrefoux; Cape de la Fuji Givrefoux; Bottes du Strigide; Dofus Pourpre; Dofus des Glaces; Dofus Ivoire; Dofus Turquoise; Dofus Ocre; Forcené majeur; Pioute vert</t>
        </is>
      </c>
    </row>
    <row r="4370">
      <c r="A4370" t="inlineStr">
        <is>
          <t>Eniripsa M 200</t>
        </is>
      </c>
      <c r="B4370">
        <f>HYPERLINK("https://www.dofusbook.net/fr/equipement/4888836-eniripsa-m-200/objets", "link")</f>
        <v/>
      </c>
      <c r="C4370" t="n">
        <v>5</v>
      </c>
      <c r="D4370" t="inlineStr">
        <is>
          <t>Arc corrompu; Pendentif mignon de Koutoulou; Chevalière du Roi Joueur; Anneau de Padgref; Bouclier du Cycloïde; Ceinture Séculaire; Coiffe de Padgref; Cape de Diondin; Sabots de Vortex; Dofus Pourpre; Dofus Turquoise; Nomade; Vigoureux majeur; Remueur; Érudit majeur; Pioute rouge</t>
        </is>
      </c>
    </row>
    <row r="4371">
      <c r="A4371" t="inlineStr">
        <is>
          <t>Sacrieur M 200</t>
        </is>
      </c>
      <c r="B4371">
        <f>HYPERLINK("https://www.dofusbook.net/fr/equipement/4855138-sacrieur-m-200/objets", "link")</f>
        <v/>
      </c>
      <c r="C4371" t="n">
        <v>15</v>
      </c>
      <c r="D4371" t="inlineStr">
        <is>
          <t>Manthache; Collier du Valet Veinard; Alliance Gloursonne; Gant du Valet Veinard; Bouclier précieux; Menoture; Masque de Kao; Cape Indescriptible; Palmes Trithons; Dofus Pourpre; Dofus Émeraude; Cascadeur majeur; Nomade; Vigoureux majeur; Remueur; Bwak d'Air</t>
        </is>
      </c>
    </row>
    <row r="4372">
      <c r="A4372" t="inlineStr">
        <is>
          <t>Aktuell</t>
        </is>
      </c>
      <c r="B4372">
        <f>HYPERLINK("https://www.dofusbook.net/fr/equipement/208931-aktuell/objets", "link")</f>
        <v/>
      </c>
      <c r="C4372" t="n">
        <v>2</v>
      </c>
      <c r="D4372" t="inlineStr">
        <is>
          <t>Baguette Hique; Amulette de Shokkoth; Bracelet du Piloztère; Anneau Volkorne; Quatre-feuilles; Sangle Ouare; Capuche de l'Œil Attentif; Cape de Mantaze; Bottes Antouche; Dofus Pourpre; Dofus Ocre; Dofus Turquoise; Dofus Ivoire; Remueur; Vigoureux majeur; Pioute bleu</t>
        </is>
      </c>
    </row>
    <row r="4373">
      <c r="A4373" t="inlineStr">
        <is>
          <t>Stuff 2</t>
        </is>
      </c>
      <c r="B4373">
        <f>HYPERLINK("https://www.dofusbook.net/fr/equipement/208932-stuff-2/objets", "link")</f>
        <v/>
      </c>
      <c r="C4373" t="n">
        <v>9</v>
      </c>
      <c r="D4373" t="inlineStr">
        <is>
          <t>Hache du Korriandre; Amulette Volkorne; Anneau Volkorne; Alliance Gloursonne; Bouclier du Captain Amakna; Sangle Ouare; Némès de Tal Kasha; Chevelure de Tal Kasha; Pataugastrique; Dofus Ocre; Dofus Ivoire; Dolmanax; Dofus Turquoise; Dofus des Glaces; Dofus Pourpre; Kokulte</t>
        </is>
      </c>
    </row>
    <row r="4374">
      <c r="A4374" t="inlineStr">
        <is>
          <t>Roublard M 200</t>
        </is>
      </c>
      <c r="B4374">
        <f>HYPERLINK("https://www.dofusbook.net/fr/equipement/4855250-roublard-m-200/objets", "link")</f>
        <v/>
      </c>
      <c r="C4374" t="n">
        <v>8</v>
      </c>
      <c r="D4374" t="inlineStr">
        <is>
          <t>Arc Hétype; Amulette Volkorne; Anneau Tamie; Anneau Tamie; Bouclier du Stalak; Ceinture Séculaire; Coiffe Séculaire; Cape de Diondin; Bottes Innommables; Miraculé majeur; Remueur; Astucieux majeur; Érudit majeur; Dévastateur Feu majeur; Nomade; Brûlih</t>
        </is>
      </c>
    </row>
    <row r="4375">
      <c r="A4375" t="inlineStr">
        <is>
          <t>Crâ M 200</t>
        </is>
      </c>
      <c r="B4375">
        <f>HYPERLINK("https://www.dofusbook.net/fr/equipement/3626486-cra-m-200/objets", "link")</f>
        <v/>
      </c>
      <c r="C4375" t="n">
        <v>15</v>
      </c>
      <c r="D4375" t="inlineStr">
        <is>
          <t>Arc Volkorne; Amulette du Strigide; Anneau de Padgref; Bracelet du Piloztère; Quatre-feuilles; Ceintacé; Le Dorado; Cape de la Dame du Hasard; Bottes du Strigide; Dolmanax; Dofus Pourpre; Dofus Turquoise; Dofus des Glaces; Nomade; Vigoureux majeur; Chacha Angora</t>
        </is>
      </c>
    </row>
    <row r="4376">
      <c r="A4376" t="inlineStr">
        <is>
          <t>multi</t>
        </is>
      </c>
      <c r="B4376">
        <f>HYPERLINK("https://www.dofusbook.net/fr/equipement/1934290-multi/objets", "link")</f>
        <v/>
      </c>
      <c r="C4376" t="n">
        <v>4</v>
      </c>
      <c r="D4376" t="inlineStr">
        <is>
          <t>Héqache; Amulette du Strigide; Alliance Brûlâme; Anneau de la Fuji Givrefoux; Bouclier du Captain Amakna; Ceinture du Strigide; Masque Brûlâme; Cape de la Fuji Givrefoux; Bottes du Strigide; Dofus Pourpre; Dofus des Glaces; Dofus Ivoire; Dofus Turquoise; Dofus Ocre; Forcené majeur; Sakochère</t>
        </is>
      </c>
    </row>
    <row r="4377">
      <c r="A4377" t="inlineStr">
        <is>
          <t>sadi 2</t>
        </is>
      </c>
      <c r="B4377">
        <f>HYPERLINK("https://www.dofusbook.net/fr/equipement/2010369-sadi-2/objets", "link")</f>
        <v/>
      </c>
      <c r="C4377" t="n">
        <v>26</v>
      </c>
      <c r="D4377" t="inlineStr">
        <is>
          <t>Baguette Hique; Amulette du Strigide; Bracelet du Piloztère; Anneau Volkorne; Bouclier cubiste; Ceinture Volkorne; Casque Volkorne; Cape Solution; Bottes du Strigide; Dofus des Glaces; Dofus Ocre; Dofus Pourpre; Dofus Abyssal; Dofus Turquoise; Dofus Ivoire; Chacha Angora</t>
        </is>
      </c>
    </row>
    <row r="4378">
      <c r="A4378" t="inlineStr">
        <is>
          <t>Féca M 200</t>
        </is>
      </c>
      <c r="B4378">
        <f>HYPERLINK("https://www.dofusbook.net/fr/equipement/3862496-feca-m-200/objets", "link")</f>
        <v/>
      </c>
      <c r="C4378" t="n">
        <v>2</v>
      </c>
      <c r="D4378" t="inlineStr">
        <is>
          <t>Héqache; Amulette du Strigide; Alliance Brûlâme; Anneau de la Fuji Givrefoux; Bouclier du Captain Amakna; Ceinture du Strigide; Masque Brûlâme; Cape de la Fuji Givrefoux; Bottes du Strigide; Dofus Turquoise; Dofus des Glaces; Dolmanax; Dofus Ocre; Dofus Pourpre; Equilibriste majeur; Pioute jaune</t>
        </is>
      </c>
    </row>
    <row r="4379">
      <c r="A4379" t="inlineStr">
        <is>
          <t>PvP</t>
        </is>
      </c>
      <c r="B4379">
        <f>HYPERLINK("https://www.dofusbook.net/fr/equipement/1508193-pvp/objets", "link")</f>
        <v/>
      </c>
      <c r="C4379" t="n">
        <v>13</v>
      </c>
      <c r="D4379" t="inlineStr">
        <is>
          <t>Arc Nécrotique; Amulette Volkorne; Anneau de Padgref; Anneau Volkorne; Bouclier du Captain Amakna; Ceinture Volkorne; Heaume Oplate; Cape de la Dame du Hasard; Bottes de la Dame du Hasard; Dofus Abyssal; Dofus des Glaces; Dofus Turquoise; Dofus Ocre; Dofus Pourpre; Astucieux majeur; Pioute rouge</t>
        </is>
      </c>
    </row>
    <row r="4380">
      <c r="A4380" t="inlineStr">
        <is>
          <t>agi</t>
        </is>
      </c>
      <c r="B4380">
        <f>HYPERLINK("https://www.dofusbook.net/fr/equipement/686805-agi/objets", "link")</f>
        <v/>
      </c>
      <c r="C4380" t="n">
        <v>5</v>
      </c>
      <c r="D4380" t="inlineStr">
        <is>
          <t>Crocobur; Amulette du Strigide; Anneau Volkorne; Anneau Toriété; Bouclier du Stalak; Ceinture Volkorne; Diadème de Ganymède; Cape de Jahash Jurgen; Bottes du Strigide; Dofus Ivoire; Dofus Nébuleux; Dofus Pourpre; Dofus Abyssal; Dofus Ocre; Dofus Ébène; El Scarador</t>
        </is>
      </c>
    </row>
    <row r="4381">
      <c r="A4381" t="inlineStr">
        <is>
          <t>int/cha</t>
        </is>
      </c>
      <c r="B4381">
        <f>HYPERLINK("https://www.dofusbook.net/fr/equipement/1906564-int-cha/objets", "link")</f>
        <v/>
      </c>
      <c r="C4381" t="n">
        <v>9</v>
      </c>
      <c r="D4381" t="inlineStr">
        <is>
          <t>Baguette Hique; Amulette Volkorne; Bracelet du Piloztère; Anneau Volkorne; Quatre-feuilles; Sangle Ouare; Némès de Tal Kasha; Chevelure de Tal Kasha; Pataugastrique; Dofus des Glaces; Dofus Turquoise; Dofus Ocre; Dofus Pourpre; Saccageur Eau majeur; Taquin majeur; Pioute bleu</t>
        </is>
      </c>
    </row>
    <row r="4382">
      <c r="A4382" t="inlineStr">
        <is>
          <t>Stuff 2</t>
        </is>
      </c>
      <c r="B4382">
        <f>HYPERLINK("https://www.dofusbook.net/fr/equipement/208923-stuff-2/objets", "link")</f>
        <v/>
      </c>
      <c r="C4382" t="n">
        <v>3</v>
      </c>
      <c r="D4382" t="inlineStr">
        <is>
          <t>Sabres d'Atcham; Amulette Volkorne; Anneau de Padgref; Anneau Volkorne; Bouclier du Captain Amakna; Ceinture Volkorne; Coiffe de Padgref; Cape d'Atcham; Sandales  d'Atcham; Dofus des Glaces; Dofus Pourpre; Dofus Ocre; Dofus Turquoise; Dofus Abyssal; Astucieux majeur; Sakochère</t>
        </is>
      </c>
    </row>
    <row r="4383">
      <c r="A4383" t="inlineStr">
        <is>
          <t>Schubsschaden</t>
        </is>
      </c>
      <c r="B4383">
        <f>HYPERLINK("https://www.dofusbook.net/fr/equipement/2042618-schubsschaden/objets", "link")</f>
        <v/>
      </c>
      <c r="C4383" t="n">
        <v>5</v>
      </c>
      <c r="D4383" t="inlineStr">
        <is>
          <t>Pyraguette; Amulette Volkorne; Anneau Volkorne; Anneau Toriété; Bouclier du Stalak; Ceinture de l'Esprit Salvateur; Masque de l'Esprit Salvateur; Voilamibe; Bottes de l'Esprit Salvateur; Dofus Pourpre; Dofus Ocre; Dofus des Glaces; Dofus Abyssal; Astucieux majeur; Robuste majeur; Brûlih</t>
        </is>
      </c>
    </row>
    <row r="4384">
      <c r="A4384" t="inlineStr">
        <is>
          <t>schubsdmg</t>
        </is>
      </c>
      <c r="B4384">
        <f>HYPERLINK("https://www.dofusbook.net/fr/equipement/3627806-schubsdmg/objets", "link")</f>
        <v/>
      </c>
      <c r="C4384" t="n">
        <v>4</v>
      </c>
      <c r="D4384" t="inlineStr">
        <is>
          <t>Héqache; Torquistik; Anneau du Professeur Xa; Bague Instable; Bouclier précieux; Ceinture Gence; Casque Dragoeuf; Cape du Cœur Vaillant; Bottistik; Dofus Ocre; Culbuteur; Obstructeur majeur; Pousseur majeur; Carapace Terre majeur; Culbuteur majeur; Tatouf</t>
        </is>
      </c>
    </row>
    <row r="4385">
      <c r="A4385" t="inlineStr">
        <is>
          <t>Stuff 3</t>
        </is>
      </c>
      <c r="B4385">
        <f>HYPERLINK("https://www.dofusbook.net/fr/equipement/208933-stuff-3/objets", "link")</f>
        <v/>
      </c>
      <c r="C4385" t="n">
        <v>9</v>
      </c>
      <c r="D4385" t="inlineStr">
        <is>
          <t>Dagues de Srambad; Torquistik; Goulano; Baguistik; Goulclier; Ceinture de la Reine des Voleurs; Coiffe de la Reine des Voleurs; Cape au Logis; Goulbottes; Dofus des Glaces; Dofus Pourpre; Dofus Abyssal; Dofus Ocre; Dofus Ivoire; Bastion majeur; Bontique</t>
        </is>
      </c>
    </row>
    <row r="4386">
      <c r="A4386" t="inlineStr">
        <is>
          <t>non-kt</t>
        </is>
      </c>
      <c r="B4386">
        <f>HYPERLINK("https://www.dofusbook.net/fr/equipement/2004487-non-kt/objets", "link")</f>
        <v/>
      </c>
      <c r="C4386" t="n">
        <v>2</v>
      </c>
      <c r="D4386" t="inlineStr">
        <is>
          <t>Baguette Hique; Amulette Volkorne; Anneau Volkorne; Anneau Toriété; Quatre-feuilles; Pagne du Rykaon; Kidibonnet; Cape de la Dame du Hasard; Bottes de la Dame du Hasard; Dofus Turquoise; Dofus des Glaces; Dofus Pourpre; Dofus Ocre; Taquin majeur; Saccageur Eau majeur; Pioute bleu</t>
        </is>
      </c>
    </row>
    <row r="4387">
      <c r="A4387" t="inlineStr">
        <is>
          <t>Pandawa M 200</t>
        </is>
      </c>
      <c r="B4387">
        <f>HYPERLINK("https://www.dofusbook.net/fr/equipement/3647696-pandawa-m-200/objets", "link")</f>
        <v/>
      </c>
      <c r="C4387" t="n">
        <v>11</v>
      </c>
      <c r="D4387" t="inlineStr">
        <is>
          <t>Rapière aux Glyphes; Amulette de Danathor; Alliance Gloursonne; Gelano; Quatre-feuilles; Ceinture Glaciale; Coiffe de Danathor; Cape Matelassée; Sandales Circulaires du Kimbo; Dofus Pourpre; Taquin majeur; Remueur; Chanceux majeur; Vigoureux majeur; Nomade; Dragodinde Indigo et Ivoire</t>
        </is>
      </c>
    </row>
    <row r="4388">
      <c r="A4388" t="inlineStr">
        <is>
          <t>Roublard F 200</t>
        </is>
      </c>
      <c r="B4388">
        <f>HYPERLINK("https://www.dofusbook.net/fr/equipement/3647663-roublard-f-200/objets", "link")</f>
        <v/>
      </c>
      <c r="C4388" t="n">
        <v>6</v>
      </c>
      <c r="D4388" t="inlineStr">
        <is>
          <t>Karnak; Pendentif Oton; Anneau d'Allister; Alliance Gloursonne; Bouclier du Stalak; Ceinture Rasboulaire du Rasboul; Couronne d'Allister; Cape Matelassée; Pantoufles Émar; Dofus Pourpre; Remueur; Cascadeur majeur; Nomade; Dévastateur Air majeur; Vigoureux majeur; Dragodinde Ebène et Ivoire</t>
        </is>
      </c>
    </row>
    <row r="4389">
      <c r="A4389" t="inlineStr">
        <is>
          <t>stuff 2</t>
        </is>
      </c>
      <c r="B4389">
        <f>HYPERLINK("https://www.dofusbook.net/fr/equipement/686896-stuff-2/objets", "link")</f>
        <v/>
      </c>
      <c r="C4389" t="n">
        <v>20</v>
      </c>
      <c r="D4389" t="inlineStr">
        <is>
          <t>Pyraguette; Amulette d'Ilyzaelle; Alliance Gloursonne; Bracelet du Piloztère; Bouclier du Stalak; Ceinture de l'Esprit Salvateur; Masque de l'Esprit Salvateur; Voilamibe; Bottes de l'Esprit Salvateur; Dofus des Glaces; Dofus Abyssal; Dofus Pourpre; Dofus Ocre; Robuste majeur; Taquin majeur; Dragodinde Indigo et Ivoire</t>
        </is>
      </c>
    </row>
    <row r="4390">
      <c r="A4390" t="inlineStr">
        <is>
          <t>set 3</t>
        </is>
      </c>
      <c r="B4390">
        <f>HYPERLINK("https://www.dofusbook.net/fr/equipement/727528-set-3/objets", "link")</f>
        <v/>
      </c>
      <c r="C4390" t="n">
        <v>22</v>
      </c>
      <c r="D4390" t="inlineStr">
        <is>
          <t>Arc du Chalœil; Kralamansion; Anneau Pwal; Bracelet du Piloztère; Quatre-feuilles; Ceinture de la Reine des Voleurs; Coiffe de la Reine des Voleurs; Cape au Logis; Baleinabottes; Dofus Turquoise; Dofus Pourpre; Enragé majeur; Nomade; Vigoureux majeur; Remueur; Dragodinde Ivoire et Pourpre</t>
        </is>
      </c>
    </row>
    <row r="4391">
      <c r="A4391" t="inlineStr">
        <is>
          <t>New Stuff</t>
        </is>
      </c>
      <c r="B4391">
        <f>HYPERLINK("https://www.dofusbook.net/fr/equipement/1864776-new-stuff/objets", "link")</f>
        <v/>
      </c>
      <c r="C4391" t="n">
        <v>11</v>
      </c>
      <c r="D4391" t="inlineStr">
        <is>
          <t>Arc du Chalœil; Amulette Héroclite; Goulano; Anneau Chevelu; Bouclier du Stalak; Ceinture Volkorne; Masque de Koutoulou; Cape au Logis; Goulbottes; Dofus Ocre; Dofus Abyssal; Dofus Pourpre; Dofus Ivoire; Vigoureux majeur; Enragé majeur; Dragodinde Ivoire et Pourpre</t>
        </is>
      </c>
    </row>
    <row r="4392">
      <c r="A4392" t="inlineStr">
        <is>
          <t>Iop M 200</t>
        </is>
      </c>
      <c r="B4392">
        <f>HYPERLINK("https://www.dofusbook.net/fr/equipement/3470733-iop-m-200/objets", "link")</f>
        <v/>
      </c>
      <c r="C4392" t="n">
        <v>7</v>
      </c>
      <c r="D4392" t="inlineStr">
        <is>
          <t>Arc du Chalœil; Amulette Héroclite; Goulano; Anneau de Brouce; Bouclier du Stalak; Ceinture de la Reine des Voleurs; Coiffe de la Reine des Voleurs; Cape au Logis; Goulbottes; Dofus des Glaces; Dofus Ocre; Dofus Émeraude; Dofus Abyssal; Dofus Pourpre; Dofus Ivoire; Volkorne Saphir et Pourpre</t>
        </is>
      </c>
    </row>
    <row r="4393">
      <c r="A4393" t="inlineStr">
        <is>
          <t>pvp</t>
        </is>
      </c>
      <c r="B4393">
        <f>HYPERLINK("https://www.dofusbook.net/fr/equipement/2240649-pvp/objets", "link")</f>
        <v/>
      </c>
      <c r="C4393" t="n">
        <v>8</v>
      </c>
      <c r="D4393" t="inlineStr">
        <is>
          <t>Arc corrompu; Collier de la Dame du Hasard; Anneauræus; Chevalière du Roi Joueur; Bouclier cubiste; Ceinture Hanium; Couronne de Nidas; Cape de Diondin; Bottes du Roi Joueur; Dofus Ocre; Dofus Pourpre; Entraveur majeur; Temporiseur majeur; Érudit majeur; Nomade; Dragodinde Ivoire et Orchidée</t>
        </is>
      </c>
    </row>
    <row r="4394">
      <c r="A4394" t="inlineStr">
        <is>
          <t>Iop M 200</t>
        </is>
      </c>
      <c r="B4394">
        <f>HYPERLINK("https://www.dofusbook.net/fr/equipement/3514913-iop-m-200/objets", "link")</f>
        <v/>
      </c>
      <c r="C4394" t="n">
        <v>13</v>
      </c>
      <c r="D4394" t="inlineStr">
        <is>
          <t>Marteau R'ture; Collier de Tourthon; Anneau de Brouce; Anneau Volkorne; Quatre-feuilles; Ceinture Volkorne; Chapeau de Gein; Cape au Logis; Baleinabottes; Dofus Nébuleux; Dofus Ocre; Dofus Pourpre; Dofus Turquoise; Enragé majeur; Forcené majeur; Dragodinde Ivoire et Pourpre</t>
        </is>
      </c>
    </row>
    <row r="4395">
      <c r="A4395" t="inlineStr">
        <is>
          <t>Heal/Support</t>
        </is>
      </c>
      <c r="B4395">
        <f>HYPERLINK("https://www.dofusbook.net/fr/equipement/2948284-heal-support/objets", "link")</f>
        <v/>
      </c>
      <c r="C4395" t="n">
        <v>6</v>
      </c>
      <c r="D4395" t="inlineStr">
        <is>
          <t>Arc Nécrotique; Amulette du Strigide; Anneau de Padgref; Anneau Toriété; Bouclier du Stalak; Ceinture du Strigide; Heaume Oplate; Cape de la Dame du Hasard; Bottes de la Dame du Hasard; Dolmanax; Dofus Abyssal; Dofus Turquoise; Dofus des Glaces; Dofus Pourpre; Dofus Ocre; Dragodinde Ivoire et Orchidée</t>
        </is>
      </c>
    </row>
    <row r="4396">
      <c r="A4396" t="inlineStr">
        <is>
          <t>Elio</t>
        </is>
      </c>
      <c r="B4396">
        <f>HYPERLINK("https://www.dofusbook.net/fr/equipement/1934462-elio/objets", "link")</f>
        <v/>
      </c>
      <c r="C4396" t="n">
        <v>4</v>
      </c>
      <c r="D4396" t="inlineStr">
        <is>
          <t>Hachoirs de Viandargh; Amibou; Anneau Volkorne; Anneau Vicieux; Bouclier cubiste; Ceinture Volkorne; Casque Volkorne; Capibou; Bottes Vicieuses; Dofus Turquoise; Dofus des Glaces; Dofus Pourpre; Dofus Abyssal; Dofus Ocre; Dofus Ivoire; Volkorne Turquoise et Ebène</t>
        </is>
      </c>
    </row>
    <row r="4397">
      <c r="A4397" t="inlineStr">
        <is>
          <t>Stuff 1</t>
        </is>
      </c>
      <c r="B4397">
        <f>HYPERLINK("https://www.dofusbook.net/fr/equipement/208922-stuff-1/objets", "link")</f>
        <v/>
      </c>
      <c r="C4397" t="n">
        <v>8</v>
      </c>
      <c r="D4397" t="inlineStr">
        <is>
          <t>Arc Nécrotique; Amulette Volkorne; Anneau de Padgref; Anneau Volkorne; Quatre-feuilles; Ceinture Volkorne; Heaume Oplate; Cape de la Dame du Hasard; Bottes de la Dame du Hasard; Dofus Pourpre; Dofus Abyssal; Dofus des Glaces; Dofus Ocre; Dofus Turquoise; Astucieux majeur; Dragodinde Ivoire et Orchidée</t>
        </is>
      </c>
    </row>
    <row r="4398">
      <c r="A4398" t="inlineStr">
        <is>
          <t>Eca</t>
        </is>
      </c>
      <c r="B4398">
        <f>HYPERLINK("https://www.dofusbook.net/fr/equipement/1932692-eca/objets", "link")</f>
        <v/>
      </c>
      <c r="C4398" t="n">
        <v>7</v>
      </c>
      <c r="D4398" t="inlineStr">
        <is>
          <t>Arc corrompu; Pendentif affamé; Bague Gloursonne; Anneau Tamie; Quatre-feuilles; Ceinture de Vortex; Heaume Oplate; Cape de Nileza; Bottes Refois; Dofus Pourpre; Dofus Ocre; Dofus Turquoise; Érudit majeur; Vigoureux majeur; Nomade; Dragodinde Ivoire et Orchidée</t>
        </is>
      </c>
    </row>
    <row r="4399">
      <c r="A4399" t="inlineStr">
        <is>
          <t>Steamer</t>
        </is>
      </c>
      <c r="B4399">
        <f>HYPERLINK("https://www.dofusbook.net/fr/equipement/1986075-steamer/objets", "link")</f>
        <v/>
      </c>
      <c r="C4399" t="n">
        <v>4</v>
      </c>
      <c r="D4399" t="inlineStr">
        <is>
          <t>Az'tech; Amulette du Strigide; Anneau de Padgref; Alliance Gloursonne; Bouclier du Captain Amakna; Ceinture du Strigide; Némès de Tal Kasha; Chevelure de Tal Kasha; Sandales de Tal Kasha; Dofus Pourpre; Dofus Abyssal; Dofus Turquoise; Dofus des Glaces; Dolmanax; Dofus Ocre; Muldo Prune et Emeraude</t>
        </is>
      </c>
    </row>
    <row r="4400">
      <c r="A4400" t="inlineStr">
        <is>
          <t>Support</t>
        </is>
      </c>
      <c r="B4400">
        <f>HYPERLINK("https://www.dofusbook.net/fr/equipement/1085848-support/objets", "link")</f>
        <v/>
      </c>
      <c r="C4400" t="n">
        <v>3</v>
      </c>
      <c r="D4400" t="inlineStr">
        <is>
          <t>Arc corrompu; Pendentif affamé; Anneauræus; Anneau Rifique; Sept ans de malheur; Ceinture de Vortex; Casque Cyclopéen; Voile d'encre; Pataugastrique; Dofus Ivoire; Dofus Émeraude; Érudit majeur; Étourdisseur majeur; Guérisseur majeur; Remueur; Muldo Orchidée et Pourpre</t>
        </is>
      </c>
    </row>
    <row r="4401">
      <c r="A4401" t="inlineStr">
        <is>
          <t>stuff4</t>
        </is>
      </c>
      <c r="B4401">
        <f>HYPERLINK("https://www.dofusbook.net/fr/equipement/784497-stuff4/objets", "link")</f>
        <v/>
      </c>
      <c r="C4401" t="n">
        <v>2</v>
      </c>
      <c r="D4401" t="inlineStr">
        <is>
          <t>Arc corrompu; Pendentif affamé; Anneau Tique; Anneau de Nidas; Sept ans de malheur; Ceinture de Vortex; Couronne de Nidas; Voile d'encre; Pataugastrique; Dofus Ivoire; Étourdisseur majeur; Érudit majeur; Remueur; Muldo Orchidée</t>
        </is>
      </c>
    </row>
    <row r="4402">
      <c r="A4402" t="inlineStr">
        <is>
          <t>sadi cha/int</t>
        </is>
      </c>
      <c r="B4402">
        <f>HYPERLINK("https://www.dofusbook.net/fr/equipement/2010500-sadi-cha-int/objets", "link")</f>
        <v/>
      </c>
      <c r="C4402" t="n">
        <v>6</v>
      </c>
      <c r="D4402" t="inlineStr">
        <is>
          <t>Dagues d'Ilyzaelle; Amulette du Cœur Saignant; Anneau Volkorne; Bracelet du Piloztère; Quatre-feuilles; Ceinture Volkorne; Masque de Koutoulou; Cape du Cœur Saignant; Bottes du Cœur Saignant; Dofus Turquoise; Dofus Ocre; Dofus Pourpre; Dofus des Glaces; Entraveur majeur; Forcené majeur; Muldo Prune et Emeraude</t>
        </is>
      </c>
    </row>
    <row r="4403">
      <c r="A4403" t="inlineStr">
        <is>
          <t>sadida</t>
        </is>
      </c>
      <c r="B4403">
        <f>HYPERLINK("https://www.dofusbook.net/fr/equipement/1934496-sadida/objets", "link")</f>
        <v/>
      </c>
      <c r="C4403" t="n">
        <v>2</v>
      </c>
      <c r="D4403" t="inlineStr">
        <is>
          <t>Pelle Fik; Amulette du Strigide; Anneau Volkorne; Bracelet du Piloztère; Quatre-feuilles; Ceinture du Strigide; Kidibonnet; Cape de la Dame du Hasard; Bottes de la Dame du Hasard; Dofus des Glaces; Dofus Turquoise; Dofus Pourpre; Dofus Ocre; Taquin majeur; Saccageur Eau majeur; Muldo Prune et Emeraude</t>
        </is>
      </c>
    </row>
    <row r="4404">
      <c r="A4404" t="inlineStr">
        <is>
          <t>Iop M 200</t>
        </is>
      </c>
      <c r="B4404">
        <f>HYPERLINK("https://www.dofusbook.net/fr/equipement/3440061-iop-m-200/objets", "link")</f>
        <v/>
      </c>
      <c r="C4404" t="n">
        <v>4</v>
      </c>
      <c r="D4404" t="inlineStr">
        <is>
          <t>Héqache; Amulette du Cœur Vaillant; Anneau Toriété; Anneau Chevelu; Bouclier du Captain Amakna; Ceinture Volkorne; Casque Volkorne; Cape du Cœur Vaillant; Bottes du Cœur Vaillant; Dofus Pourpre; Dofus des Glaces; Dofus Turquoise; Dofus Abyssal; Dofus Ivoire; Dofus Ocre; Dragodinde Ivoire et Pourpre</t>
        </is>
      </c>
    </row>
    <row r="4405">
      <c r="A4405" t="inlineStr">
        <is>
          <t>Enutrof M 200</t>
        </is>
      </c>
      <c r="B4405">
        <f>HYPERLINK("https://www.dofusbook.net/fr/equipement/3436073-enutrof-m-200/objets", "link")</f>
        <v/>
      </c>
      <c r="C4405" t="n">
        <v>2</v>
      </c>
      <c r="D4405" t="inlineStr">
        <is>
          <t>Épouvante; Amulette de Pol Ouatnos; Bracelet du Piloztère; Alliance de Missiz Frizz; Bouclier du Captain Amakna; Ceinture de la Reine des Voleurs; Coiffe de la Reine des Voleurs; Cape au Logis; Bottes Honyme; Dofus Turquoise; Dofus Ocre; Dofus des Glaces; Dofus Pourpre; Remueur; Vigoureux majeur; Kramkram</t>
        </is>
      </c>
    </row>
    <row r="4406">
      <c r="A4406" t="inlineStr">
        <is>
          <t>Sacrieur M 200</t>
        </is>
      </c>
      <c r="B4406">
        <f>HYPERLINK("https://www.dofusbook.net/fr/equipement/3432745-sacrieur-m-200/objets", "link")</f>
        <v/>
      </c>
      <c r="C4406" t="n">
        <v>12</v>
      </c>
      <c r="D4406" t="inlineStr">
        <is>
          <t>Épouvante; Amulette de Pol Ouatnos; Alliance de Missiz Frizz; Bracelet du Piloztère; Bouclier du Captain Amakna; Ceinture de la Reine des Voleurs; Coiffe de la Reine des Voleurs; Cape au Logis; Bottes Honyme; Dofus Pourpre; Dofus Turquoise; Enragé majeur; Vigoureux majeur; Remueur; Chanceux majeur; Kramkram</t>
        </is>
      </c>
    </row>
    <row r="4407">
      <c r="A4407" t="inlineStr">
        <is>
          <t>12135</t>
        </is>
      </c>
      <c r="B4407">
        <f>HYPERLINK("https://www.dofusbook.net/fr/equipement/3418814-12135/objets", "link")</f>
        <v/>
      </c>
      <c r="C4407" t="n">
        <v>4</v>
      </c>
      <c r="D4407" t="inlineStr">
        <is>
          <t>Épouvante; Amulette du Strigide; Bracelet du Piloztère; Bouclier d'Ilyzaelle; Ceinture du Strigide; Cape au Logis; Bottes Honyme; Dofus Ocre; Dofus Pourpre; Dofus Turquoise; Kramkram</t>
        </is>
      </c>
    </row>
    <row r="4408">
      <c r="A4408" t="inlineStr">
        <is>
          <t>Ecaflip M 200</t>
        </is>
      </c>
      <c r="B4408">
        <f>HYPERLINK("https://www.dofusbook.net/fr/equipement/3418767-ecaflip-m-200/objets", "link")</f>
        <v/>
      </c>
      <c r="C4408" t="n">
        <v>4</v>
      </c>
      <c r="D4408" t="inlineStr">
        <is>
          <t>Épouvante; Amulette Ementaire Deluxe; Bracelet du Piloztère; Goulano; Goulclier; Ceinture de la Reine des Voleurs; Coiffe de la Reine des Voleurs; Cape au Logis; Bottes Honyme; Dofus des Glaces; Dofus Ocre; Dofus Pourpre; Dofus Abyssal; Dofus Turquoise; Dofus Ivoire; Kramkram</t>
        </is>
      </c>
    </row>
    <row r="4409">
      <c r="A4409" t="inlineStr">
        <is>
          <t>pvp</t>
        </is>
      </c>
      <c r="B4409">
        <f>HYPERLINK("https://www.dofusbook.net/fr/equipement/3299851-pvp/objets", "link")</f>
        <v/>
      </c>
      <c r="C4409" t="n">
        <v>3</v>
      </c>
      <c r="D4409" t="inlineStr">
        <is>
          <t>Sceptre du Roi Joueur; Amulette de Shokkoth; Anneau Toriété; Alliance Gloursonne; Bouclier du Captain Amakna; Ceinture de la Reine des Voleurs; Kidibonnet; Cape de Mantaze; Bottes de la Reine des Voleurs; Dofus Pourpre; Dofus Abyssal; Dofus Nébuleux; Dofus des Glaces; Dofus Turquoise; Dofus Ocre; Dehluge</t>
        </is>
      </c>
    </row>
    <row r="4410">
      <c r="A4410" t="inlineStr">
        <is>
          <t>Crâ M 200</t>
        </is>
      </c>
      <c r="B4410">
        <f>HYPERLINK("https://www.dofusbook.net/fr/equipement/3391533-cra-m-200/objets", "link")</f>
        <v/>
      </c>
      <c r="C4410" t="n">
        <v>10</v>
      </c>
      <c r="D4410" t="inlineStr">
        <is>
          <t>Hache du Chalœil; Amulette du Strigide; Bague Gloursonne; Bracelet du Piloztère; Quatre-feuilles; Ceinture du Strigide; Chapeau Lisson; Cape Matelassée; Pataugastrique; Dofus Pourpre; Dofus Turquoise; Vigoureux majeur; Remueur; Enragé majeur; Nomade; Muldo Prune et Emeraude</t>
        </is>
      </c>
    </row>
    <row r="4411">
      <c r="A4411" t="inlineStr">
        <is>
          <t>Iop M 200</t>
        </is>
      </c>
      <c r="B4411">
        <f>HYPERLINK("https://www.dofusbook.net/fr/equipement/3357134-iop-m-200/objets", "link")</f>
        <v/>
      </c>
      <c r="C4411" t="n">
        <v>5</v>
      </c>
      <c r="D4411" t="inlineStr">
        <is>
          <t>Hache du Korriandre; Amulette du Strigide; Anneau de Padgref; Alliance Gloursonne; Bouclier du Captain Amakna; Ceinture du Strigide; Némès de Tal Kasha; Chevelure de Tal Kasha; Sandales de Tal Kasha; Dofus Pourpre; Dofus des Glaces; Dofus Turquoise; Dofus Nébuleux; Dofus Ocre; Dofus Abyssal; Muldo Prune et Emeraude</t>
        </is>
      </c>
    </row>
    <row r="4412">
      <c r="A4412" t="inlineStr">
        <is>
          <t>Iop M 200</t>
        </is>
      </c>
      <c r="B4412">
        <f>HYPERLINK("https://www.dofusbook.net/fr/equipement/3349977-iop-m-200/objets", "link")</f>
        <v/>
      </c>
      <c r="C4412" t="n">
        <v>3</v>
      </c>
      <c r="D4412" t="inlineStr">
        <is>
          <t>Arc corrompu; Pendentif affamé; Anneau de Padgref; Anneauræus; Quatre-feuilles; Ceinture de Gein; Heaume Oplate; Cape de la Dame du Hasard; Bottes de la Dame du Hasard; Dofus Pourpre; Dofus Turquoise; Dofus Nébuleux; Dofus Ocre; Érudit majeur; Nomade; Brûlih</t>
        </is>
      </c>
    </row>
    <row r="4413">
      <c r="A4413" t="inlineStr">
        <is>
          <t>Sram M 200</t>
        </is>
      </c>
      <c r="B4413">
        <f>HYPERLINK("https://www.dofusbook.net/fr/equipement/3319970-sram-m-200/objets", "link")</f>
        <v/>
      </c>
      <c r="C4413" t="n">
        <v>2</v>
      </c>
      <c r="D4413" t="inlineStr">
        <is>
          <t>Clef à Molette; Collier du Rat Noir; Gelano; Anneau du Rat Noir; Bouclier d'Asse; Puissante Ceinture Fulgurante; Solomonk; Puissante Cape Fulgurante; Fourbabottes; Saccageur Air; Vigoureux; Dévastateur Air; Nomade; Cascadeur; Remueur; Dragodinde Prune et Emeraude</t>
        </is>
      </c>
    </row>
    <row r="4414">
      <c r="A4414" t="inlineStr">
        <is>
          <t>Enutrof M 200</t>
        </is>
      </c>
      <c r="B4414">
        <f>HYPERLINK("https://www.dofusbook.net/fr/equipement/3290369-enutrof-m-200/objets", "link")</f>
        <v/>
      </c>
      <c r="C4414" t="n">
        <v>2</v>
      </c>
      <c r="D4414" t="inlineStr">
        <is>
          <t>Baguette Hique; Amulette Hale; Pikano; Alliance Gloursonne; Quatre-feuilles; Ceinture du Glourséleste; Casqnoar; Cape Matelassée; Pikottes; Dofus Turquoise; Dofus Pourpre; Chanceux majeur; Remueur; Temporiseur majeur; Nomade; Dragodinde Prune et Emeraude</t>
        </is>
      </c>
    </row>
    <row r="4415">
      <c r="A4415" t="inlineStr">
        <is>
          <t>Iop M 200</t>
        </is>
      </c>
      <c r="B4415">
        <f>HYPERLINK("https://www.dofusbook.net/fr/equipement/3249668-iop-m-200/objets", "link")</f>
        <v/>
      </c>
      <c r="C4415" t="n">
        <v>5</v>
      </c>
      <c r="D4415" t="inlineStr">
        <is>
          <t>Hache Euvale; Amulette Luminescente; Alliance Gloursonne; Bague Trithon; Bouclier précieux; Ceinture Luminescente; Masque Trithon; Cape Luminescente; Bottes Trithon; Dofus Pourpre; Dofus Abyssal; Dofus Ocre; Dofus Ivoire; Dofus Émeraude; Dofus des Glaces; Muldo Ebène et Pourpre</t>
        </is>
      </c>
    </row>
    <row r="4416">
      <c r="A4416" t="inlineStr">
        <is>
          <t>Iop M 200</t>
        </is>
      </c>
      <c r="B4416">
        <f>HYPERLINK("https://www.dofusbook.net/fr/equipement/3249663-iop-m-200/objets", "link")</f>
        <v/>
      </c>
      <c r="C4416" t="n">
        <v>1</v>
      </c>
      <c r="D4416" t="inlineStr"/>
    </row>
    <row r="4417">
      <c r="A4417" t="inlineStr">
        <is>
          <t>Stuff 2</t>
        </is>
      </c>
      <c r="B4417">
        <f>HYPERLINK("https://www.dofusbook.net/fr/equipement/208975-stuff-2/objets", "link")</f>
        <v/>
      </c>
      <c r="C4417" t="n">
        <v>1</v>
      </c>
      <c r="D4417" t="inlineStr">
        <is>
          <t>Arc corrompu; Amulette d'Otomaï; Anneau Rifique; Lavanneau; Bouclier du Cycloïde; Ceinture de Vortex; Couronne de Nidas; Cape de Diondin; Sabots de Vortex; Dofus Turquoise; Érudit majeur; Savant majeur; Guérisseur majeur; Remueur; Nomade; Brûlih</t>
        </is>
      </c>
    </row>
    <row r="4418">
      <c r="A4418" t="inlineStr">
        <is>
          <t>Stuff 1</t>
        </is>
      </c>
      <c r="B4418">
        <f>HYPERLINK("https://www.dofusbook.net/fr/equipement/208973-stuff-1/objets", "link")</f>
        <v/>
      </c>
      <c r="C4418" t="n">
        <v>1</v>
      </c>
      <c r="D4418" t="inlineStr">
        <is>
          <t>Arc corrompu; Amulette d'Otomaï; Anneau de Nidas; Anneau Rifique; Bouclier du Cycloïde; Ceinture de Vortex; Couronne de Nidas; Cape de Diondin; Bottes Innommables; Astucieux majeur; Remueur; Guérisseur majeur; Érudit majeur; Savant majeur; Nomade; Brûlih</t>
        </is>
      </c>
    </row>
    <row r="4419">
      <c r="A4419" t="inlineStr">
        <is>
          <t>full cha</t>
        </is>
      </c>
      <c r="B4419">
        <f>HYPERLINK("https://www.dofusbook.net/fr/equipement/2082771-full-cha/objets", "link")</f>
        <v/>
      </c>
      <c r="C4419" t="n">
        <v>3</v>
      </c>
      <c r="D4419" t="inlineStr">
        <is>
          <t>Épée Brûlâme; Amulette d'Otomaï; Chevalière du Roi Joueur; Anneau de Padgref; Bouclier du Captain Amakna; Ceinture de l'Esprit Malsain; Kidibonnet; Cape de la Dame du Hasard; Bottes de la Dame du Hasard; Dofus Pourpre; Dofus Turquoise; Nomade; Érudit majeur; Remueur; Vigoureux majeur; Muldo Orchidée</t>
        </is>
      </c>
    </row>
    <row r="4420">
      <c r="A4420" t="inlineStr">
        <is>
          <t>eau</t>
        </is>
      </c>
      <c r="B4420">
        <f>HYPERLINK("https://www.dofusbook.net/fr/equipement/5824278-eau/objets", "link")</f>
        <v/>
      </c>
      <c r="C4420" t="n">
        <v>9</v>
      </c>
      <c r="D4420" t="inlineStr">
        <is>
          <t>Manthache; Collier du Valet Veinard; Gant du Valet Veinard; Alliance Gloursonne; Cadran de Feu; Menoture; Masque d'Anerice; Cape Matelassée; Palmes Trithons; Dofus Abyssal; Dokoko; Dofus Ivoire; Nomade; Muraille Feu majeure; Cascadeur majeur; Dragodinde Ebène</t>
        </is>
      </c>
    </row>
    <row r="4421">
      <c r="A4421" t="inlineStr">
        <is>
          <t>Eniripsa M 200</t>
        </is>
      </c>
      <c r="B4421">
        <f>HYPERLINK("https://www.dofusbook.net/fr/equipement/6020578-eniripsa-m-200/objets", "link")</f>
        <v/>
      </c>
      <c r="C4421" t="n">
        <v>1</v>
      </c>
      <c r="D4421" t="inlineStr">
        <is>
          <t>Sabres d'Atcham; Amulette Volkorne; Alliance Brûlâme; Anneau Volkorne; Quatre-feuilles; Ceinture Volkorne; Casque Volkorne; Cape d'Atcham; Sandales  d'Atcham; Dofus Turquoise; Dofus Ébène; Dofus Ocre; Dofus des Glaces; Dofus Ivoire; Dofus Abyssal; Chacha Angora</t>
        </is>
      </c>
    </row>
    <row r="4422">
      <c r="A4422" t="inlineStr">
        <is>
          <t>Eniripsa M 200</t>
        </is>
      </c>
      <c r="B4422">
        <f>HYPERLINK("https://www.dofusbook.net/fr/equipement/6020566-eniripsa-m-200/objets", "link")</f>
        <v/>
      </c>
      <c r="C4422" t="n">
        <v>1</v>
      </c>
      <c r="D4422" t="inlineStr">
        <is>
          <t>Arc corrompu; Amulette Volkorne; Anneauræus; Anneau Volkorne; Bouclier du Stalak; Croture; Casque Dragoeuf; Cape de Diondin; Bottes Innommables; Dofus Ocre; Dofus Abyssal; Dofus Pourpre; Dofus Ivoire; Dofus Ébène; Nomade; Bisouglours</t>
        </is>
      </c>
    </row>
    <row r="4423">
      <c r="A4423" t="inlineStr">
        <is>
          <t>Full eau</t>
        </is>
      </c>
      <c r="B4423">
        <f>HYPERLINK("https://www.dofusbook.net/fr/equipement/4314452-full-eau/objets", "link")</f>
        <v/>
      </c>
      <c r="C4423" t="n">
        <v>6</v>
      </c>
      <c r="D4423" t="inlineStr">
        <is>
          <t>Baguette Hique; Amulette de Shokkoth; Bracelet des Fonds marins; Anneau Volkorne; Quatre-feuilles; Pagne du Rykaon; Kidibonnet; Cape de la Dame du Hasard; Bottes de la Dame du Hasard; Dofus des Glaces; Dofus Pourpre; Dofus Turquoise; Remueur; Chanceux majeur; Nomade; Kanigloups</t>
        </is>
      </c>
    </row>
    <row r="4424">
      <c r="A4424" t="inlineStr">
        <is>
          <t>Xélor M 200</t>
        </is>
      </c>
      <c r="B4424">
        <f>HYPERLINK("https://www.dofusbook.net/fr/equipement/6003129-xelor-m-200/objets", "link")</f>
        <v/>
      </c>
      <c r="C4424" t="n">
        <v>3</v>
      </c>
      <c r="D4424" t="inlineStr">
        <is>
          <t>Rouleau à Pâtisserie d'Aermyne; Amulette d'Oshimo; Bague Instable; Anneau Instable; Ceinture Instable; Coiffe d'Aermyne; Cape d'Aermyne; Bottes d'Oshimo</t>
        </is>
      </c>
    </row>
    <row r="4425">
      <c r="A4425" t="inlineStr">
        <is>
          <t>Steamer M 200</t>
        </is>
      </c>
      <c r="B4425">
        <f>HYPERLINK("https://www.dofusbook.net/fr/equipement/5994172-steamer-m-200/objets", "link")</f>
        <v/>
      </c>
      <c r="C4425" t="n">
        <v>2</v>
      </c>
      <c r="D4425" t="inlineStr">
        <is>
          <t>Hache du Chalœil; Amulette Volkorne; Anneau Volkorne; Bracelet du Piloztère; Quatre-feuilles; Ceinture Volkorne; Casque du Chalœil; Cape du Chalœil; Bottes du Chalœil; Dofus Ocre; Dofus des Glaces; Dofus Ivoire; Dofus Turquoise; Dofus Ébène; Kokulte</t>
        </is>
      </c>
    </row>
    <row r="4426">
      <c r="A4426" t="inlineStr">
        <is>
          <t>Iop force dist</t>
        </is>
      </c>
      <c r="B4426">
        <f>HYPERLINK("https://www.dofusbook.net/fr/equipement/5819967-iop-force-dist/objets", "link")</f>
        <v/>
      </c>
      <c r="C4426" t="n">
        <v>4</v>
      </c>
      <c r="D4426" t="inlineStr">
        <is>
          <t>Arc du Chalœil; Collier de Tourthon; Anneau Volkorne; Anneau Crustique; Quatre-feuilles; Ceinture Volkorne; Masque de Koutoulou; Cape au Logis; Bottes de la Cour Sombre; Dofus Turquoise; Dofus Ocre; Dofus Pourpre; Dofus Ébène; Vigoureux majeur; Enragé majeur; Kompost</t>
        </is>
      </c>
    </row>
    <row r="4427">
      <c r="A4427" t="inlineStr">
        <is>
          <t>Iop force cac</t>
        </is>
      </c>
      <c r="B4427">
        <f>HYPERLINK("https://www.dofusbook.net/fr/equipement/5982805-iop-force-cac/objets", "link")</f>
        <v/>
      </c>
      <c r="C4427" t="n">
        <v>0</v>
      </c>
      <c r="D4427" t="inlineStr">
        <is>
          <t>Marteau R'ture; Collier de Tourthon; Anneau Crustique; Anneau Volkorne; Bouclier du Captain Amakna; Ceinture Volkorne; Masque de Koutoulou; Cape au Logis; Bottes de la Cour Sombre; Dofus Turquoise; Dofus Ébène; Dofus Ocre; Dofus des Glaces; Vigoureux majeur; Enragé majeur; Kompost</t>
        </is>
      </c>
    </row>
    <row r="4428">
      <c r="A4428" t="inlineStr">
        <is>
          <t>Multi</t>
        </is>
      </c>
      <c r="B4428">
        <f>HYPERLINK("https://www.dofusbook.net/fr/equipement/5339657-multi/objets", "link")</f>
        <v/>
      </c>
      <c r="C4428" t="n">
        <v>5</v>
      </c>
      <c r="D4428" t="inlineStr">
        <is>
          <t>Hache du Chalœil; Amulette Volkorne; Alliance Gloursonne; Anneau Volkorne; Bouclier du Stalak; Ceinture Volkorne; Casque du Chalœil; Cape du Chalœil; Bottes du Chalœil; Dofus Pourpre; Dofus Ivoire; Dofus Turquoise; Dofus Ébène; Dofus Ocre; Dofus Abyssal; Kokulte</t>
        </is>
      </c>
    </row>
    <row r="4429">
      <c r="A4429" t="inlineStr">
        <is>
          <t>Ret Pm ini</t>
        </is>
      </c>
      <c r="B4429">
        <f>HYPERLINK("https://www.dofusbook.net/fr/equipement/4402361-ret-pm-ini/objets", "link")</f>
        <v/>
      </c>
      <c r="C4429" t="n">
        <v>13</v>
      </c>
      <c r="D4429" t="inlineStr">
        <is>
          <t>Baguette Hique; Amulette du Glourséleste; Anneau Tamie; Anneau Tamie; Bouclier cubiste; Ceinture Instable; Casquette de Meno; Cape de Meno; Pantoufles Émar; Entraveur majeur; Remueur; Précurseur majeur; Temporiseur majeur; Ralentisseur majeur; Fonceur majeur; Gwo Tofu Ventripotent</t>
        </is>
      </c>
    </row>
    <row r="4430">
      <c r="A4430" t="inlineStr">
        <is>
          <t>Crâ M 200</t>
        </is>
      </c>
      <c r="B4430">
        <f>HYPERLINK("https://www.dofusbook.net/fr/equipement/5977911-cra-m-200/objets", "link")</f>
        <v/>
      </c>
      <c r="C4430" t="n">
        <v>2</v>
      </c>
      <c r="D4430" t="inlineStr">
        <is>
          <t>Epée Gloursonne; Amulette du Strigide; Alliance Gloursonne; Bague Gloursonne; Quatre-feuilles; Ceinture du Strigide; Masque Vaudou Tam; Cape Reski; Bottes du Strigide; Dofus Pourpre; Dofus des Glaces; Dofus Turquoise; Dofus Nébuleux; Dofus Ocre; Voyageur; Kokulte</t>
        </is>
      </c>
    </row>
    <row r="4431">
      <c r="A4431" t="inlineStr">
        <is>
          <t>ReW</t>
        </is>
      </c>
      <c r="B4431">
        <f>HYPERLINK("https://www.dofusbook.net/fr/equipement/5939959-rew/objets", "link")</f>
        <v/>
      </c>
      <c r="C4431" t="n">
        <v>3</v>
      </c>
      <c r="D4431" t="inlineStr">
        <is>
          <t>Arc Volkorne; Amulette Volkorne; Anneau Volkorne; Grésilanneau; Quatre-feuilles; Ceinture Volkorne; Casque du Chalœil; Cape du Chalœil; Bottes du Chalœil; Dolmanax; Dofus des Glaces; Dofus Ébène; Dofus Ocre; Dofus Pourpre; Dofus Vulbis; Dragodinde Prune et Ivoire</t>
        </is>
      </c>
    </row>
    <row r="4432">
      <c r="A4432" t="inlineStr">
        <is>
          <t>PvM</t>
        </is>
      </c>
      <c r="B4432">
        <f>HYPERLINK("https://www.dofusbook.net/fr/equipement/4369778-pvm/objets", "link")</f>
        <v/>
      </c>
      <c r="C4432" t="n">
        <v>17</v>
      </c>
      <c r="D4432" t="inlineStr">
        <is>
          <t>Arc Volkorne; Amulette du Strigide; Bague Gloursonne; Alliance Gloursonne; Quatre-feuilles; Ceinture du Strigide; Le Dorado; Cape Reski; Bottes du Strigide; Dofus Turquoise; Dofus Nébuleux; Dofus Ocre; Dofus Pourpre; Dofus des Glaces; Voyageur; Kokulte</t>
        </is>
      </c>
    </row>
    <row r="4433">
      <c r="A4433" t="inlineStr">
        <is>
          <t>feu air</t>
        </is>
      </c>
      <c r="B4433">
        <f>HYPERLINK("https://www.dofusbook.net/fr/equipement/2678886-feu-air/objets", "link")</f>
        <v/>
      </c>
      <c r="C4433" t="n">
        <v>10</v>
      </c>
      <c r="D4433" t="inlineStr">
        <is>
          <t>Baguette Range; Amulette du Strigide; Anneau de Padgref; Kralano; Quatre-feuilles; Ceinture du Strigide; Coiffe de Padgref; Cape d'Atcham; Bottes du Strigide; Dofus Pourpre; Dofus des Glaces; Dolmanax; Dofus Turquoise; Dofus Ocre; Voyageur; Kokulte</t>
        </is>
      </c>
    </row>
    <row r="4434">
      <c r="A4434" t="inlineStr">
        <is>
          <t>Xélor M 200</t>
        </is>
      </c>
      <c r="B4434">
        <f>HYPERLINK("https://www.dofusbook.net/fr/equipement/5940708-xelor-m-200/objets", "link")</f>
        <v/>
      </c>
      <c r="C4434" t="n">
        <v>3</v>
      </c>
      <c r="D4434" t="inlineStr">
        <is>
          <t>Manthache; Collier du Valet Veinard; Alliance Gloursonne; Gant du Valet Veinard; Cadran d'Air; Menoture; Couronne d'Allister; Cape Indescriptible; Palmes Trithons; Dofus Ébène; Dofus Pourpre; Dofus des Glaces; Dofus Ocre; Dofus Abyssal; Cascadeur majeur; Blérodoudou</t>
        </is>
      </c>
    </row>
    <row r="4435">
      <c r="A4435" t="inlineStr">
        <is>
          <t>Pvm</t>
        </is>
      </c>
      <c r="B4435">
        <f>HYPERLINK("https://www.dofusbook.net/fr/equipement/4233607-pvm/objets", "link")</f>
        <v/>
      </c>
      <c r="C4435" t="n">
        <v>71</v>
      </c>
      <c r="D4435" t="inlineStr">
        <is>
          <t>Hache du Chalœil; Amulette du Strigide; Grésilanneau; Alliance du Lévitrof; Quatre-feuilles; Ceintacé; Le Dorado; Cape du Chalœil; Bottes du Strigide; Dofus des Glaces; Dolmanax; Dofus Turquoise; Dofus Pourpre; Vigoureux majeur; Nomade; Chacha Angora</t>
        </is>
      </c>
    </row>
    <row r="4436">
      <c r="A4436" t="inlineStr">
        <is>
          <t>Ecaflip M 200</t>
        </is>
      </c>
      <c r="B4436">
        <f>HYPERLINK("https://www.dofusbook.net/fr/equipement/5819338-ecaflip-m-200/objets", "link")</f>
        <v/>
      </c>
      <c r="C4436" t="n">
        <v>1</v>
      </c>
      <c r="D4436" t="inlineStr">
        <is>
          <t>Hache du Chalœil; Amulette du Strigide; Anneau Volkorne; Bracelet du Piloztère; Quatre-feuilles; Ceinture Volkorne; Le Dorado; Cape du Chalœil; Bottes du Strigide; Dofus Ocre; Dofus des Glaces; Dofus Pourpre; Dofus Vulbis; Dofus Turquoise; Dofus Ébène; Chacha Angora</t>
        </is>
      </c>
    </row>
    <row r="4437">
      <c r="A4437" t="inlineStr">
        <is>
          <t>Zobal M 200</t>
        </is>
      </c>
      <c r="B4437">
        <f>HYPERLINK("https://www.dofusbook.net/fr/equipement/5806183-zobal-m-200/objets", "link")</f>
        <v/>
      </c>
      <c r="C4437" t="n">
        <v>2</v>
      </c>
      <c r="D4437" t="inlineStr">
        <is>
          <t>Arc Nécrotique; Amulette Cryochrone; Bracelet des Fonds marins; Alliance du Lévitrof; Quatre-feuilles; Ceintacé; Casquette de Meno; Cape de la Dame du Hasard; Bottes de la Dame du Hasard; Dofus Pourpre; Dofus des Glaces; Dofus Turquoise; Vigoureux majeur; Nomade; Remueur; Kokulte</t>
        </is>
      </c>
    </row>
    <row r="4438">
      <c r="A4438" t="inlineStr">
        <is>
          <t>Steamer M 200</t>
        </is>
      </c>
      <c r="B4438">
        <f>HYPERLINK("https://www.dofusbook.net/fr/equipement/5739376-steamer-m-200/objets", "link")</f>
        <v/>
      </c>
      <c r="C4438" t="n">
        <v>1</v>
      </c>
      <c r="D4438" t="inlineStr">
        <is>
          <t>Marteau de Katrepat; Amulette du Strigide; Bague Gloursonne; Alliance Gloursonne; Quatre-feuilles; Ceinture du Strigide; Casque du Chalœil; Cape du Chalœil; Bottes du Strigide; Dofus Ocre; Dofus Ébène; Dofus Vulbis; Dofus des Glaces; Dofus Turquoise; Dofus Ivoire; Kokulte</t>
        </is>
      </c>
    </row>
    <row r="4439">
      <c r="A4439" t="inlineStr">
        <is>
          <t>Zobal M 200</t>
        </is>
      </c>
      <c r="B4439">
        <f>HYPERLINK("https://www.dofusbook.net/fr/equipement/5640992-zobal-m-200/objets", "link")</f>
        <v/>
      </c>
      <c r="C4439" t="n">
        <v>3</v>
      </c>
      <c r="D4439" t="inlineStr">
        <is>
          <t>Marteau R'ture; Collier de Tourthon; Anneau Chevelu; Anneau Crustique; Bouclier alvéolé; Ceinture Gence; Casque Dragoeuf; Cape de la Cour Sombre; Bottes de la Cour Sombre; Dofus Vulbis; Dofus Abyssal; Dofus Ivoire; Dofus Ocre; Dofus Ébène; Enragé majeur; Kompost</t>
        </is>
      </c>
    </row>
    <row r="4440">
      <c r="A4440" t="inlineStr">
        <is>
          <t>Pvm 2</t>
        </is>
      </c>
      <c r="B4440">
        <f>HYPERLINK("https://www.dofusbook.net/fr/equipement/4423421-pvm-2/objets", "link")</f>
        <v/>
      </c>
      <c r="C4440" t="n">
        <v>16</v>
      </c>
      <c r="D4440" t="inlineStr">
        <is>
          <t>Arc corrompu; Amulette Volkorne; Anneau Rifique; Anneauræus; Bouclier du Cycloïde; Ceinture Volkorne; Heaume Oplate; Cape de Diondin; Bottes Innommables; Dolmanax; Dofus Pourpre; Nomade; Savant majeur; Astucieux majeur; Érudit majeur; Bisouglours</t>
        </is>
      </c>
    </row>
    <row r="4441">
      <c r="A4441" t="inlineStr">
        <is>
          <t>Eau</t>
        </is>
      </c>
      <c r="B4441">
        <f>HYPERLINK("https://www.dofusbook.net/fr/equipement/5617375-eau/objets", "link")</f>
        <v/>
      </c>
      <c r="C4441" t="n">
        <v>1</v>
      </c>
      <c r="D4441" t="inlineStr">
        <is>
          <t>Baguette Hique; Amulette de Shokkoth; Anneau Volkorne; Alliance Gloursonne; Quatre-feuilles; Ceinture du Barbétoal; Kidibonnet; Cape de la Dame du Hasard; Bottes de la Dame du Hasard; Dofus Vulbis; Dofus Turquoise; Dofus Ivoire; Dofus Abyssal; Dofus Ocre; Dofus Ébène; Kanigloups</t>
        </is>
      </c>
    </row>
    <row r="4442">
      <c r="A4442" t="inlineStr">
        <is>
          <t>Full Feu</t>
        </is>
      </c>
      <c r="B4442">
        <f>HYPERLINK("https://www.dofusbook.net/fr/equipement/5577377-full-feu/objets", "link")</f>
        <v/>
      </c>
      <c r="C4442" t="n">
        <v>4</v>
      </c>
      <c r="D4442" t="inlineStr">
        <is>
          <t>Arc Hétype; Amulette Volkorne; Anneau Volkorne; Anneauræus; Cadran de Feu; Croture; Casque Dragoeuf; Cape de Diondin; Bottes Innommables; Dofus Abyssal; Dofus Ocre; Dofus Vulbis; Dofus Ivoire; Dofus Ébène; Érudit majeur; Bisouglours</t>
        </is>
      </c>
    </row>
    <row r="4443">
      <c r="A4443" t="inlineStr">
        <is>
          <t>Full Feu</t>
        </is>
      </c>
      <c r="B4443">
        <f>HYPERLINK("https://www.dofusbook.net/fr/equipement/5582573-full-feu/objets", "link")</f>
        <v/>
      </c>
      <c r="C4443" t="n">
        <v>1</v>
      </c>
      <c r="D4443" t="inlineStr">
        <is>
          <t>Arc corrompu; Amulette Volkorne; Anneau Volkorne; Anneauræus; Bouclier du Stalak; Croture; Casque Dragoeuf; Cape de Diondin; Bottes Innommables; Dofus Vulbis; Dofus Abyssal; Dofus Ivoire; Dofus Ocre; Dofus Ébène; Érudit majeur; Bisouglours</t>
        </is>
      </c>
    </row>
    <row r="4444">
      <c r="A4444" t="inlineStr">
        <is>
          <t>Terre - Feu</t>
        </is>
      </c>
      <c r="B4444">
        <f>HYPERLINK("https://www.dofusbook.net/fr/equipement/5582422-terre---feu/objets", "link")</f>
        <v/>
      </c>
      <c r="C4444" t="n">
        <v>1</v>
      </c>
      <c r="D4444" t="inlineStr">
        <is>
          <t>Arc Honte; Amulette Volkorne; Chevalière du Roi Joueur; Bague Gloursonne; Cadran de Terre; Ceinture Volkorne; Masque Brûlâme; Voile d'encre; Bottes Honyme; Dofus Vulbis; Dofus Ébène; Dofus Ivoire; Dofus Abyssal; Dofus Ocre; Dofus des Glaces; Cromeugnon</t>
        </is>
      </c>
    </row>
    <row r="4445">
      <c r="A4445" t="inlineStr">
        <is>
          <t>Feu/Eau - Nécro</t>
        </is>
      </c>
      <c r="B4445">
        <f>HYPERLINK("https://www.dofusbook.net/fr/equipement/5562422-feu-eau---necro/objets", "link")</f>
        <v/>
      </c>
      <c r="C4445" t="n">
        <v>2</v>
      </c>
      <c r="D4445" t="inlineStr">
        <is>
          <t>Arc Nécrotique; Amulette Volkorne; Pikano; Anneau Volkorne; Quatre-feuilles; Ceintacé; Masque de l'Esprit Malsain; Cape de la Dame du Hasard; Bottes de la Dame du Hasard; Dofus Ocre; Dofus Ébène; Dofus Vulbis; Dofus des Glaces; Dofus Turquoise; Dofus Ivoire; Kokulte</t>
        </is>
      </c>
    </row>
    <row r="4446">
      <c r="A4446" t="inlineStr">
        <is>
          <t>Full crit</t>
        </is>
      </c>
      <c r="B4446">
        <f>HYPERLINK("https://www.dofusbook.net/fr/equipement/5562290-full-crit/objets", "link")</f>
        <v/>
      </c>
      <c r="C4446" t="n">
        <v>3</v>
      </c>
      <c r="D4446" t="inlineStr">
        <is>
          <t>Marteau de Katrepat; Amulette du Strigide; Alliance Gloursonne; Bague Gloursonne; Quatre-feuilles; Ceinture du Strigide; Corne de Torkélonia; Carapace de Torkélonia; Bottes du Strigide; Dofus Vulbis; Dofus des Glaces; Dofus Turquoise; Dofus Ivoire; Dofus Ocre; Dofus Ébène; Kokulte</t>
        </is>
      </c>
    </row>
    <row r="4447">
      <c r="A4447" t="inlineStr">
        <is>
          <t>Eau</t>
        </is>
      </c>
      <c r="B4447">
        <f>HYPERLINK("https://www.dofusbook.net/fr/equipement/5562207-eau/objets", "link")</f>
        <v/>
      </c>
      <c r="C4447" t="n">
        <v>1</v>
      </c>
      <c r="D4447" t="inlineStr">
        <is>
          <t>Dagoulinantes; Amulette de Shokkoth; Anneau Volkorne; Alliance Gloursonne; Cadran de Feu; Ceinture Volkorne; Casque Dragoeuf; Cape Solution; Bottes de la Dame du Hasard; Dofus Ocre; Dofus Ébène; Dofus Vulbis; Dofus Abyssal; Dofus Ivoire; Chanceux majeur; Kanigloups</t>
        </is>
      </c>
    </row>
    <row r="4448">
      <c r="A4448" t="inlineStr">
        <is>
          <t>crit force</t>
        </is>
      </c>
      <c r="B4448">
        <f>HYPERLINK("https://www.dofusbook.net/fr/equipement/5471745-crit-force/objets", "link")</f>
        <v/>
      </c>
      <c r="C4448" t="n">
        <v>1</v>
      </c>
      <c r="D4448" t="inlineStr">
        <is>
          <t>Dagues d'Ilyzaelle; Amulette du Cœur Saignant; Anneau des égarés; Anneau Volkorne; Bouclier du Captain Amakna; Ceinture Volkorne; Casque des égarés; Cape du Cœur Saignant; Bottes du Cœur Saignant; Dofus Ocre; Dofus Ébène; Dofus Vulbis; Dofus Abyssal; Dofus Turquoise; Dofus Ivoire; Bulbisou</t>
        </is>
      </c>
    </row>
    <row r="4449">
      <c r="A4449" t="inlineStr">
        <is>
          <t>Xélor M 200</t>
        </is>
      </c>
      <c r="B4449">
        <f>HYPERLINK("https://www.dofusbook.net/fr/equipement/5549346-xelor-m-200/objets", "link")</f>
        <v/>
      </c>
      <c r="C4449" t="n">
        <v>1</v>
      </c>
      <c r="D4449" t="inlineStr">
        <is>
          <t>Marteau R'ture; Collier de Tourthon; Anneau Chevelu; Anneau Volkorne; Bouclier du Captain Amakna; Ceinture Volkorne; Masque de Koutoulou; Cape au Logis; Bottes de la Cour Sombre; Dofus Abyssal; Dofus Turquoise; Dofus Ivoire; Dofus Ocre; Dofus Ébène; Enragé majeur; Kompost</t>
        </is>
      </c>
    </row>
    <row r="4450">
      <c r="A4450" t="inlineStr">
        <is>
          <t>Full feu PvP</t>
        </is>
      </c>
      <c r="B4450">
        <f>HYPERLINK("https://www.dofusbook.net/fr/equipement/5418689-full-feu-pvp/objets", "link")</f>
        <v/>
      </c>
      <c r="C4450" t="n">
        <v>7</v>
      </c>
      <c r="D4450" t="inlineStr">
        <is>
          <t>Arc corrompu; Amulette Volkorne; Anneau Volkorne; Anneauræus; Bouclier du Stalak; Croture; Casque Dragoeuf; Cape de Diondin; Bottes Innommables; Dofus Pourpre; Dofus Ivoire; Dofus Abyssal; Dofus Ocre; Nomade; Érudit majeur; Bisouglours</t>
        </is>
      </c>
    </row>
    <row r="4451">
      <c r="A4451" t="inlineStr">
        <is>
          <t>Réseau</t>
        </is>
      </c>
      <c r="B4451">
        <f>HYPERLINK("https://www.dofusbook.net/fr/equipement/5473838-reseau/objets", "link")</f>
        <v/>
      </c>
      <c r="C4451" t="n">
        <v>3</v>
      </c>
      <c r="D4451" t="inlineStr">
        <is>
          <t>Arc du Chalœil; Amulette Volkorne; Bague Gloursonne; Chevalière du Roi Joueur; Bouclier du Stalak; Ceinture Volkorne; Couronne du Roi Joueur; Cape de Jahash Jurgen; Bottes du Roi Joueur; Dofus Vulbis; Dofus des Glaces; Dofus Ivoire; Dofus Abyssal; Dofus Ocre; Dofus Ébène; Cromeugnon</t>
        </is>
      </c>
    </row>
    <row r="4452">
      <c r="A4452" t="inlineStr">
        <is>
          <t>Multi - Fuite</t>
        </is>
      </c>
      <c r="B4452">
        <f>HYPERLINK("https://www.dofusbook.net/fr/equipement/5473768-multi---fuite/objets", "link")</f>
        <v/>
      </c>
      <c r="C4452" t="n">
        <v>6</v>
      </c>
      <c r="D4452" t="inlineStr">
        <is>
          <t>Sabres d'Atcham; Amulette de l'Indicible; Alliance Gloursonne; Bague Gloursonne; Bouclier du Stalak; Ceinture de l'Indicible; Masque de l'Esprit Salvateur; Cape de l'Œil Putride; Bottes de l'Indicible; Dofus Vulbis; Dofus Abyssal; Dofus Pourpre; Dofus Ivoire; Dofus Ocre; Dofus Ébène; Dragodinde Amande et Ivoire</t>
        </is>
      </c>
    </row>
    <row r="4453">
      <c r="A4453" t="inlineStr">
        <is>
          <t>Full Force</t>
        </is>
      </c>
      <c r="B4453">
        <f>HYPERLINK("https://www.dofusbook.net/fr/equipement/5433622-full-force/objets", "link")</f>
        <v/>
      </c>
      <c r="C4453" t="n">
        <v>2</v>
      </c>
      <c r="D4453" t="inlineStr">
        <is>
          <t>Arc du Chalœil; Collier de Tourthon; Anneau Volkorne; Anneau Chevelu; Bouclier d'Ilyzaelle; Ceinture Volkorne; Masque de Koutoulou; Cape du Cœur Saignant; Bottes du Cœur Saignant; Dofus Vulbis; Dofus Abyssal; Dofus Pourpre; Dofus Ivoire; Dofus Ocre; Dofus Ébène; Bulbisou</t>
        </is>
      </c>
    </row>
    <row r="4454">
      <c r="A4454" t="inlineStr">
        <is>
          <t>Full Eau</t>
        </is>
      </c>
      <c r="B4454">
        <f>HYPERLINK("https://www.dofusbook.net/fr/equipement/5433557-full-eau/objets", "link")</f>
        <v/>
      </c>
      <c r="C4454" t="n">
        <v>7</v>
      </c>
      <c r="D4454" t="inlineStr">
        <is>
          <t>Rapière aux Glyphes; Amulette de Shokkoth; Alliance Gloursonne; Anneau Volkorne; Bouclier d'Ilyzaelle; Ceinture Volkorne; Kidibonnet; Cape de l'Œil Attentif; Bottes du Sinistrofu; Dofus Ocre; Dofus Ébène; Dofus Vulbis; Dofus Abyssal; Dofus Ivoire; Chanceux majeur; Kanigloups</t>
        </is>
      </c>
    </row>
    <row r="4455">
      <c r="A4455" t="inlineStr">
        <is>
          <t>Air Tank</t>
        </is>
      </c>
      <c r="B4455">
        <f>HYPERLINK("https://www.dofusbook.net/fr/equipement/5419382-air-tank/objets", "link")</f>
        <v/>
      </c>
      <c r="C4455" t="n">
        <v>6</v>
      </c>
      <c r="D4455" t="inlineStr">
        <is>
          <t>Manthache; Collier du Valet Veinard; Gant du Valet Veinard; Alliance Gloursonne; Bouclier d'Ilyzaelle; Menoture; Casque Dragoeuf; Cape Martegel; Palmes Trithons; Dofus Vulbis; Dofus Abyssal; Dofus Ivoire; Dofus Ocre; Dofus Ébène; Cascadeur majeur; Blérodoudou</t>
        </is>
      </c>
    </row>
    <row r="4456">
      <c r="A4456" t="inlineStr">
        <is>
          <t>Full crit</t>
        </is>
      </c>
      <c r="B4456">
        <f>HYPERLINK("https://www.dofusbook.net/fr/equipement/5404139-full-crit/objets", "link")</f>
        <v/>
      </c>
      <c r="C4456" t="n">
        <v>4</v>
      </c>
      <c r="D4456" t="inlineStr">
        <is>
          <t>Hache Téroïde; Amulette Volkorne; Bague Trithon; Anneau Volkorne; Bouclier du Captain Amakna; Ceinture Volkorne; Masque Trithon; Cape du Chalœil; Bottes Trithon; Dofus Turquoise; Dofus des Glaces; Dofus Abyssal; Dofus Ocre; Dofus Pourpre; Dofus Ivoire; Kokulte</t>
        </is>
      </c>
    </row>
    <row r="4457">
      <c r="A4457" t="inlineStr">
        <is>
          <t>Terre/Feu</t>
        </is>
      </c>
      <c r="B4457">
        <f>HYPERLINK("https://www.dofusbook.net/fr/equipement/5400624-terre-feu/objets", "link")</f>
        <v/>
      </c>
      <c r="C4457" t="n">
        <v>4</v>
      </c>
      <c r="D4457" t="inlineStr">
        <is>
          <t>Hache Téroïde; Amulette du Strigide; Bague Gloursonne; Chevalière du Roi Joueur; Bouclier du Captain Amakna; Ceinture du Strigide; Masque de Koutoulou; Voile d'encre; Bottes du Roi Joueur; Dofus Vulbis; Dofus Ocre; Dofus Abyssal; Dofus Ivoire; Dofus Turquoise; Dofus des Glaces; Kokulte</t>
        </is>
      </c>
    </row>
    <row r="4458">
      <c r="A4458" t="inlineStr">
        <is>
          <t>Do pou</t>
        </is>
      </c>
      <c r="B4458">
        <f>HYPERLINK("https://www.dofusbook.net/fr/equipement/5389300-do-pou/objets", "link")</f>
        <v/>
      </c>
      <c r="C4458" t="n">
        <v>7</v>
      </c>
      <c r="D4458" t="inlineStr">
        <is>
          <t>Arc du Chalœil; Torquistik; Bague Trithon; Baguistik; Bouclier précieux; Ceinture Gence; Casque Dragoeuf; Cape Solution; Bottes du Cœur Vaillant; Dofus Ivoire; Dofus Abyssal; Pousseur majeur; Culbuteur majeur; Culbuteur; Bousculeur majeur; Balafreux</t>
        </is>
      </c>
    </row>
    <row r="4459">
      <c r="A4459" t="inlineStr">
        <is>
          <t>Full Feu</t>
        </is>
      </c>
      <c r="B4459">
        <f>HYPERLINK("https://www.dofusbook.net/fr/equipement/5344001-full-feu/objets", "link")</f>
        <v/>
      </c>
      <c r="C4459" t="n">
        <v>5</v>
      </c>
      <c r="D4459" t="inlineStr">
        <is>
          <t>Arc corrompu; Amulette Volkorne; Anneauræus; Anneauræus; Quatre-feuilles; Ceinture Volkorne; Heaume Oplate; Voile d'encre; Bottes Innommables; Dofus Vulbis; Dofus Ivoire; Dofus Ébène; Dofus Ocre; Dofus Abyssal; Érudit majeur; Bisouglours</t>
        </is>
      </c>
    </row>
    <row r="4460">
      <c r="A4460" t="inlineStr">
        <is>
          <t>Full air Fallanster</t>
        </is>
      </c>
      <c r="B4460">
        <f>HYPERLINK("https://www.dofusbook.net/fr/equipement/4851132-full-air-fallanster/objets", "link")</f>
        <v/>
      </c>
      <c r="C4460" t="n">
        <v>2</v>
      </c>
      <c r="D4460" t="inlineStr">
        <is>
          <t>Manthache; Collier du Valet Veinard; Gant du Valet Veinard; Alliance Gloursonne; Droiture de Fallanster; Menoture; Couronne d'Allister; Cape Martegel; Palmes Trithons; Dofus Ocre; Dofus Vulbis; Dofus Ébène; Dofus Abyssal; Dofus Ivoire; Cascadeur majeur; Blérodoudou</t>
        </is>
      </c>
    </row>
    <row r="4461">
      <c r="A4461" t="inlineStr">
        <is>
          <t>Féca tank songe</t>
        </is>
      </c>
      <c r="B4461">
        <f>HYPERLINK("https://www.dofusbook.net/fr/equipement/5073885-feca-tank-songe/objets", "link")</f>
        <v/>
      </c>
      <c r="C4461" t="n">
        <v>9</v>
      </c>
      <c r="D4461" t="inlineStr">
        <is>
          <t>Couteaux Sacrificiels; Collier Rophante; Alliance Gloursonne; Anneau de Pol Ouatnos; Bouclier précieux; Ceinture de Dame Jhessica; Masque d'Anerice; Cape d'Anerice; Pataugastrique; Dofus Ivoire; Dofus Émeraude; Dofus Abyssal; Dofus Ocre; Miraculé majeur; Fonceur majeur; Dauge</t>
        </is>
      </c>
    </row>
    <row r="4462">
      <c r="A4462" t="inlineStr">
        <is>
          <t>Pandawa M 200</t>
        </is>
      </c>
      <c r="B4462">
        <f>HYPERLINK("https://www.dofusbook.net/fr/equipement/4999466-pandawa-m-200/objets", "link")</f>
        <v/>
      </c>
      <c r="C4462" t="n">
        <v>4</v>
      </c>
      <c r="D4462" t="inlineStr">
        <is>
          <t>Couteaux Sacrificiels; Collier Rophante; Anneau de Pol Ouatnos; Alliance Gloursonne; Droiture de Fallanster; Ceinture de Dame Jhessica; Masque d'Anerice; Cape d'Anerice; Baleinabottes; Dofus Ocre; Dofus Abyssal; Dofus Ivoire; Dofus Émeraude; Miraculé majeur; Dauge</t>
        </is>
      </c>
    </row>
    <row r="4463">
      <c r="A4463" t="inlineStr">
        <is>
          <t>Pvm opti</t>
        </is>
      </c>
      <c r="B4463">
        <f>HYPERLINK("https://www.dofusbook.net/fr/equipement/4257627-pvm-opti/objets", "link")</f>
        <v/>
      </c>
      <c r="C4463" t="n">
        <v>30</v>
      </c>
      <c r="D4463" t="inlineStr">
        <is>
          <t>Hache du Chalœil; Amulette Volkorne; Anneau Volkorne; Alliance du Lévitrof; Quatre-feuilles; Ceinture Volkorne; Coiffe du Lévitrof; Voile d'encre; Bottes du Lévitrof; Dofus Turquoise; Dofus Abyssal; Dofus Émeraude; Dofus Ocre; Dofus Pourpre; Dofus des Glaces; Sakochère</t>
        </is>
      </c>
    </row>
    <row r="4464">
      <c r="A4464" t="inlineStr">
        <is>
          <t>nécrotik</t>
        </is>
      </c>
      <c r="B4464">
        <f>HYPERLINK("https://www.dofusbook.net/fr/equipement/4234480-necrotik/objets", "link")</f>
        <v/>
      </c>
      <c r="C4464" t="n">
        <v>18</v>
      </c>
      <c r="D4464" t="inlineStr">
        <is>
          <t>Arc Nécrotique; Amulette Volkorne; Bracelet des Fonds marins; Anneau Volkorne; Quatre-feuilles; Ceintacé; Capuche de l'Œil Putride; Cape de la Dame du Hasard; Bottes de la Dame du Hasard; Dofus Ocre; Dofus Ébène; Dofus des Glaces; Dofus Vulbis; Dofus Turquoise; Dofus Ivoire; Kokulte</t>
        </is>
      </c>
    </row>
    <row r="4465">
      <c r="A4465" t="inlineStr">
        <is>
          <t>Force Xelorium</t>
        </is>
      </c>
      <c r="B4465">
        <f>HYPERLINK("https://www.dofusbook.net/fr/equipement/4434057-force-xelorium/objets", "link")</f>
        <v/>
      </c>
      <c r="C4465" t="n">
        <v>9</v>
      </c>
      <c r="D4465" t="inlineStr">
        <is>
          <t>Lav'Hache; Collier de Tourthon; Bague Gloursonne; Anneau Chevelu; Bouclier précieux; Ceinture Volkorne; Masque de Koutoulou; Cape de la Cour Sombre; Bottes de la Cour Sombre; Dofus Pourpre; Dofus des Glaces; Dofus Ivoire; Dofus Émeraude; Dofus Ocre; Enragé majeur; Platypus</t>
        </is>
      </c>
    </row>
    <row r="4466">
      <c r="A4466" t="inlineStr">
        <is>
          <t>Ret Pm eau</t>
        </is>
      </c>
      <c r="B4466">
        <f>HYPERLINK("https://www.dofusbook.net/fr/equipement/3003698-ret-pm-eau/objets", "link")</f>
        <v/>
      </c>
      <c r="C4466" t="n">
        <v>14</v>
      </c>
      <c r="D4466" t="inlineStr">
        <is>
          <t>Baguette Hique; Collier de la Dame du Hasard; Pikano; Anneau des Prophètes; Bouclier cubiste; Ceinture Glaciale; Casquette de Meno; Cape Solution; Bottes de Meno; Ralentisseur majeur; Nomade; Remueur; Entraveur majeur; Observateur; Temporiseur majeur; Gwo Tofu Ventripotent</t>
        </is>
      </c>
    </row>
    <row r="4467">
      <c r="A4467" t="inlineStr">
        <is>
          <t>Intell</t>
        </is>
      </c>
      <c r="B4467">
        <f>HYPERLINK("https://www.dofusbook.net/fr/equipement/5995575-intell/objets", "link")</f>
        <v/>
      </c>
      <c r="C4467" t="n">
        <v>0</v>
      </c>
      <c r="D4467" t="inlineStr">
        <is>
          <t>Arc corrompu; Amulette de Nileza; Anneauræus; Anneauræus; Croture; Heaume Oplate; Cape de Nileza; Bottes Innommables</t>
        </is>
      </c>
    </row>
    <row r="4468">
      <c r="A4468" t="inlineStr">
        <is>
          <t>Terre iop</t>
        </is>
      </c>
      <c r="B4468">
        <f>HYPERLINK("https://www.dofusbook.net/fr/equipement/5969407-terre-iop/objets", "link")</f>
        <v/>
      </c>
      <c r="C4468" t="n">
        <v>4</v>
      </c>
      <c r="D4468" t="inlineStr">
        <is>
          <t>Marteau R'ture; Amulette Héroclite; Bracelet du Piloztère; Anneau de Brouce; Bouclier du Captain Amakna; Ceinture de Brouce; Masque de Koutoulou; Cape au Logis; Baleinabottes; Dévastateur Terre majeur; Nomade; Vigoureux majeur; Remueur; Enragé majeur; Kompost</t>
        </is>
      </c>
    </row>
    <row r="4469">
      <c r="A4469" t="inlineStr">
        <is>
          <t>Pad-stri CC Chaloeil</t>
        </is>
      </c>
      <c r="B4469">
        <f>HYPERLINK("https://www.dofusbook.net/fr/equipement/4985491-pad-stri-cc-chaloeil/objets", "link")</f>
        <v/>
      </c>
      <c r="C4469" t="n">
        <v>9</v>
      </c>
      <c r="D4469" t="inlineStr">
        <is>
          <t>Hache du Chalœil; Amulette du Strigide; Anneau de Padgref; Bracelet du Piloztère; Bouclier du Captain Amakna; Ceinture du Strigide; Coiffe de Padgref; Cape de la Dame du Hasard; Getas de Padgref; Dolmanax; Dofus Ocre; Dofus Turquoise; Dofus Pourpre; Dofus des Glaces; Voyageur; Kokulte</t>
        </is>
      </c>
    </row>
    <row r="4470">
      <c r="A4470" t="inlineStr">
        <is>
          <t>Eau Air Cri</t>
        </is>
      </c>
      <c r="B4470">
        <f>HYPERLINK("https://www.dofusbook.net/fr/equipement/5896598-eau-air-cri/objets", "link")</f>
        <v/>
      </c>
      <c r="C4470" t="n">
        <v>1</v>
      </c>
      <c r="D4470" t="inlineStr">
        <is>
          <t>Hache du Korriandre; Amulette du Strigide; Bracelet du Piloztère; Anneau Volkorne; Bouclier du Captain Amakna; Ceinture du Strigide; Némès de Tal Kasha; Chevelure de Tal Kasha; Sandales de Tal Kasha; Dofus Pourpre; Dofus des Glaces; Dofus Turquoise; Dofus Ocre; Kokulte</t>
        </is>
      </c>
    </row>
    <row r="4471">
      <c r="A4471" t="inlineStr">
        <is>
          <t>Reine crit</t>
        </is>
      </c>
      <c r="B4471">
        <f>HYPERLINK("https://www.dofusbook.net/fr/equipement/5676482-reine-crit/objets", "link")</f>
        <v/>
      </c>
      <c r="C4471" t="n">
        <v>6</v>
      </c>
      <c r="D4471" t="inlineStr">
        <is>
          <t>Marteau Reine; Amulette du Strigide; Anneau de Padgref; Crocanneau; Bouclier du Captain Amakna; Ceinture du Strigide; Corne de Torkélonia; Carapace de Torkélonia; Getas de Padgref; Dofus Vulbis; Dofus Turquoise; Dolmanax; Dofus Ocre; Dofus Pourpre; Dofus des Glaces; Kokulte</t>
        </is>
      </c>
    </row>
    <row r="4472">
      <c r="A4472" t="inlineStr">
        <is>
          <t>Eau Feu Necrotique</t>
        </is>
      </c>
      <c r="B4472">
        <f>HYPERLINK("https://www.dofusbook.net/fr/equipement/5229674-eau-feu-necrotique/objets", "link")</f>
        <v/>
      </c>
      <c r="C4472" t="n">
        <v>6</v>
      </c>
      <c r="D4472" t="inlineStr">
        <is>
          <t>Arc Nécrotique; Amulette Volkorne; Anneau Volkorne; Bague Trithon; Quatre-feuilles; Ceintacé; Masque Trithon; Cape de la Dame du Hasard; Bottes de la Dame du Hasard; Dofus Pourpre; Dofus des Glaces; Dofus Ocre; Dolmanax; Dofus Turquoise; Kokulte</t>
        </is>
      </c>
    </row>
    <row r="4473">
      <c r="A4473" t="inlineStr">
        <is>
          <t>Torké Air Terre</t>
        </is>
      </c>
      <c r="B4473">
        <f>HYPERLINK("https://www.dofusbook.net/fr/equipement/5868399-torke-air-terre/objets", "link")</f>
        <v/>
      </c>
      <c r="C4473" t="n">
        <v>2</v>
      </c>
      <c r="D4473" t="inlineStr">
        <is>
          <t>Baguette de Torkélonia; Amulette du Strigide; Bracelet du Piloztère; Bague Trithon; Quatre-feuilles; Ceinture du Strigide; Masque Trithon; Carapace de Torkélonia; Bottes Trithon; Dofus Ivoire; Dofus Turquoise; Dofus Ocre; Dofus Vulbis; Dofus Ébène; Dofus Pourpre; Kokulte</t>
        </is>
      </c>
    </row>
    <row r="4474">
      <c r="A4474" t="inlineStr">
        <is>
          <t>Retrait pm</t>
        </is>
      </c>
      <c r="B4474">
        <f>HYPERLINK("https://www.dofusbook.net/fr/equipement/5868388-retrait-pm/objets", "link")</f>
        <v/>
      </c>
      <c r="C4474" t="n">
        <v>1</v>
      </c>
      <c r="D4474" t="inlineStr">
        <is>
          <t>Marteau R'ture; Amulette des Chocomanciens; Anneau Tamie; Anneau Tamie; Bouclier cubiste; Ceinture des Chocomanciens; Casquipik; Cape de Léthaline; Pantoufles Émar; Dofus Ocre; Ralentisseur majeur; Temporiseur; Entraveur majeur; Entraveur; Temporiseur majeur; Blokus</t>
        </is>
      </c>
    </row>
    <row r="4475">
      <c r="A4475" t="inlineStr">
        <is>
          <t>Jack eni</t>
        </is>
      </c>
      <c r="B4475">
        <f>HYPERLINK("https://www.dofusbook.net/fr/equipement/5840543-jack-eni-/objets", "link")</f>
        <v/>
      </c>
      <c r="C4475" t="n">
        <v>4</v>
      </c>
      <c r="D4475" t="inlineStr">
        <is>
          <t>Arc corrompu; Pendentif affamé; Anneauræus; Bague Gloursonne; Bouclier du Cycloïde; Ceinture Séculaire; Coiffe Séculaire; Cape de Diondin; Bottes Innommables; Remueur; Érudit majeur; Nomade; Guérisseur majeur; Volkorne Orchidée</t>
        </is>
      </c>
    </row>
    <row r="4476">
      <c r="A4476" t="inlineStr">
        <is>
          <t>Sacrieur F 200</t>
        </is>
      </c>
      <c r="B4476">
        <f>HYPERLINK("https://www.dofusbook.net/fr/equipement/5828681-sacrieur-f-200/objets", "link")</f>
        <v/>
      </c>
      <c r="C4476" t="n">
        <v>1</v>
      </c>
      <c r="D4476" t="inlineStr">
        <is>
          <t>Héqache; Amulette du Strigide; Alliance Gloursonne; Gant du Valet Veinard; Sept ans de malheur; Ceinture de Dame Jhessica; Dorabysses; Cape du Valet Veinard; Pataugastrique; Dofus Ivoire; Dofus Vulbis; Dofus Émeraude; Dofus Ébène; Obstructeur majeur; Bloqueur majeur; Givrefoux</t>
        </is>
      </c>
    </row>
    <row r="4477">
      <c r="A4477" t="inlineStr">
        <is>
          <t>Farm</t>
        </is>
      </c>
      <c r="B4477">
        <f>HYPERLINK("https://www.dofusbook.net/fr/equipement/5782289-farm/objets", "link")</f>
        <v/>
      </c>
      <c r="C4477" t="n">
        <v>2</v>
      </c>
      <c r="D4477" t="inlineStr">
        <is>
          <t>Arc du Dragoeuf; Amulette du Cœur Saignant; Anneau de Brouce; Anneau du Comte Harebourg; Quatre-feuilles; Ceinture de Brouce; Masque de Koutoulou; Cape au Logis; Bottes de la Cour Sombre; Dofus Turquoise; Dofus Pourpre; Vigoureux majeur; Remueur; Forcené majeur; Enragé majeur; Bulbisou</t>
        </is>
      </c>
    </row>
    <row r="4478">
      <c r="A4478" t="inlineStr">
        <is>
          <t>Jack Enu</t>
        </is>
      </c>
      <c r="B4478">
        <f>HYPERLINK("https://www.dofusbook.net/fr/equipement/5686201-jack-enu/objets", "link")</f>
        <v/>
      </c>
      <c r="C4478" t="n">
        <v>4</v>
      </c>
      <c r="D4478" t="inlineStr">
        <is>
          <t>Baguette Hique; Amulette du Sinistrofu; Bracelet du Piloztère; Anneau de Pol Ouatnos; Quatre-feuilles; Ceinture de Kongoku; Kidibonnet; Cape de la Dame du Hasard; Bottes de la Dame du Hasard; Dofus Ocre; Dofus Turquoise; Entraveur majeur; Temporiseur majeur; Remueur; Nomade; Léopardo</t>
        </is>
      </c>
    </row>
    <row r="4479">
      <c r="A4479" t="inlineStr">
        <is>
          <t>Jack Panda</t>
        </is>
      </c>
      <c r="B4479">
        <f>HYPERLINK("https://www.dofusbook.net/fr/equipement/5686332-jack-panda/objets", "link")</f>
        <v/>
      </c>
      <c r="C4479" t="n">
        <v>6</v>
      </c>
      <c r="D4479" t="inlineStr">
        <is>
          <t>Arc du Chalœil; Amulette de Pol Ouatnos; Anneau de Brouce; Bracelet du Piloztère; Quatre-feuilles; Ceinture de Brouce; Masque de Koutoulou; Cape au Logis; Baleinabottes; Dofus Turquoise; Dofus Pourpre; Dofus Ocre; Dofus des Glaces; Enragé majeur; Carapace Terre majeur; Givrefoux</t>
        </is>
      </c>
    </row>
    <row r="4480">
      <c r="A4480" t="inlineStr">
        <is>
          <t>Feca Full chance</t>
        </is>
      </c>
      <c r="B4480">
        <f>HYPERLINK("https://www.dofusbook.net/fr/equipement/3869049-feca-full-chance/objets", "link")</f>
        <v/>
      </c>
      <c r="C4480" t="n">
        <v>7</v>
      </c>
      <c r="D4480" t="inlineStr">
        <is>
          <t>Dagoulinantes; Amulette de Shokkoth; Alliance Gloursonne; Anneau Glacial; Bouclier du Stalak; Ceinture Glaciale; Coiffe de Danathor; Cape de Mantaze; Bottes Antouche; Dofus Ocre; Dofus des Glaces; Dévastateur Eau majeur; Nomade; Chanceux majeur; Remueur; Volkorne Indigo</t>
        </is>
      </c>
    </row>
    <row r="4481">
      <c r="A4481" t="inlineStr">
        <is>
          <t>Air-Tank</t>
        </is>
      </c>
      <c r="B4481">
        <f>HYPERLINK("https://www.dofusbook.net/fr/equipement/5685955-air-tank/objets", "link")</f>
        <v/>
      </c>
      <c r="C4481" t="n">
        <v>2</v>
      </c>
      <c r="D4481" t="inlineStr">
        <is>
          <t>Pelle de la Cour Sombre; Collier du Valet Veinard; Alliance Gloursonne; Gant du Valet Veinard; Droiture de Fallanster; Menoture; Casque Dragoeuf; Cape Indescriptible; Palmes Trithons; Dofus Ocre; Nomade; Cascadeur majeur; Bwak d'Air</t>
        </is>
      </c>
    </row>
    <row r="4482">
      <c r="A4482" t="inlineStr">
        <is>
          <t>Terre-Air Crit</t>
        </is>
      </c>
      <c r="B4482">
        <f>HYPERLINK("https://www.dofusbook.net/fr/equipement/5370451-terre-air-crit/objets", "link")</f>
        <v/>
      </c>
      <c r="C4482" t="n">
        <v>11</v>
      </c>
      <c r="D4482" t="inlineStr">
        <is>
          <t>Baguette de Torkélonia; Amulette du Strigide; Bracelet du Piloztère; Anneau de Padgref; Quatre-feuilles; Ceinture du Strigide; Coiffe de Padgref; Carapace de Torkélonia; Getas de Padgref; Dolmanax; Dofus Ocre; Dofus Pourpre; Dofus des Glaces; Dofus Turquoise; Kokulte</t>
        </is>
      </c>
    </row>
    <row r="4483">
      <c r="A4483" t="inlineStr">
        <is>
          <t>Feu crit</t>
        </is>
      </c>
      <c r="B4483">
        <f>HYPERLINK("https://www.dofusbook.net/fr/equipement/5544324-feu-crit/objets", "link")</f>
        <v/>
      </c>
      <c r="C4483" t="n">
        <v>1</v>
      </c>
      <c r="D4483" t="inlineStr">
        <is>
          <t>Baguette Houffe-Craitien; Amulette du Strigide; Anneau de Padgref; Chevalière du Roi Joueur; Quatre-feuilles; Ceinture du Strigide; Coiffe de Padgref; Cape de la Dame du Hasard; Getas de Padgref; Dofus Pourpre; Dofus des Glaces; Dofus Turquoise; Dolmanax; Dofus Ocre; Kokulte</t>
        </is>
      </c>
    </row>
    <row r="4484">
      <c r="A4484" t="inlineStr">
        <is>
          <t>Eau-cri dist</t>
        </is>
      </c>
      <c r="B4484">
        <f>HYPERLINK("https://www.dofusbook.net/fr/equipement/4986697-eau-cri-dist/objets", "link")</f>
        <v/>
      </c>
      <c r="C4484" t="n">
        <v>4</v>
      </c>
      <c r="D4484" t="inlineStr">
        <is>
          <t>Bagdette Café; Amulette du Strigide; Pikano; Anneau Volkorne; Quatre-feuilles; Ceinture du Strigide; Némès de Tal Kasha; Chevelure de Tal Kasha; Sandales de Tal Kasha; Dofus Turquoise; Dofus Pourpre; Dofus des Glaces; Dofus Ocre; Saccageur Eau majeur; Voyageur; Kokulte</t>
        </is>
      </c>
    </row>
    <row r="4485">
      <c r="A4485" t="inlineStr">
        <is>
          <t>Air Crit</t>
        </is>
      </c>
      <c r="B4485">
        <f>HYPERLINK("https://www.dofusbook.net/fr/equipement/5370391-air-crit/objets", "link")</f>
        <v/>
      </c>
      <c r="C4485" t="n">
        <v>3</v>
      </c>
      <c r="D4485" t="inlineStr">
        <is>
          <t>Baguette du Dragoeuf; Amulette du Strigide; Anneau de Padgref; Bague Trithon; Quatre-feuilles; Ceinture du Strigide; Coiffe de Padgref; Chevelure de Tal Kasha; Getas de Padgref; Dofus Vulbis; Dofus Turquoise; Dolmanax; Dofus Ocre; Dofus Pourpre; Dofus des Glaces; Kokulte</t>
        </is>
      </c>
    </row>
    <row r="4486">
      <c r="A4486" t="inlineStr">
        <is>
          <t>Sadi vaudou</t>
        </is>
      </c>
      <c r="B4486">
        <f>HYPERLINK("https://www.dofusbook.net/fr/equipement/5520524-sadi-vaudou/objets", "link")</f>
        <v/>
      </c>
      <c r="C4486" t="n">
        <v>3</v>
      </c>
      <c r="D4486" t="inlineStr">
        <is>
          <t>Bâthon; Amulette Volkorne; Bague Gloursonne; Chevalière du Roi Joueur; Bouclier du Stalak; Ceinture Volkorne; Couronne du Roi Joueur; Voile d'encre; Bottes du Roi Joueur; Dofus Ocre; Dofus des Glaces; Dofus Pourpre; Voyageur; Robuste majeur; Fëanor</t>
        </is>
      </c>
    </row>
    <row r="4487">
      <c r="A4487" t="inlineStr">
        <is>
          <t>Eca do cri</t>
        </is>
      </c>
      <c r="B4487">
        <f>HYPERLINK("https://www.dofusbook.net/fr/equipement/4061457-eca-do-cri/objets", "link")</f>
        <v/>
      </c>
      <c r="C4487" t="n">
        <v>6</v>
      </c>
      <c r="D4487" t="inlineStr">
        <is>
          <t>Sabres d'Atcham; Amulette du Strigide; Bague Trithon; Bracelet du Piloztère; Quatre-feuilles; Ceinture du Strigide; Masque Trithon; Cape d'Atcham; Bottes Trithon; Dolmanax; Dofus des Glaces; Dofus Pourpre; Dofus Turquoise; Dofus Ocre; Sakochère</t>
        </is>
      </c>
    </row>
    <row r="4488">
      <c r="A4488" t="inlineStr">
        <is>
          <t>Feu/eau Crit</t>
        </is>
      </c>
      <c r="B4488">
        <f>HYPERLINK("https://www.dofusbook.net/fr/equipement/4818894-feu-eau-crit/objets", "link")</f>
        <v/>
      </c>
      <c r="C4488" t="n">
        <v>10</v>
      </c>
      <c r="D4488" t="inlineStr">
        <is>
          <t>Baguette Hique; Amulette Volkorne; Anneau Volkorne; Anneau Tique; Quatre-feuilles; Ceinture Volkorne; Kidibonnet; Cape de la Dame du Hasard; Bottes de la Dame du Hasard; Dofus Pourpre; Dofus Turquoise; Dofus des Glaces; Dofus Ocre; Examinateur; Kokulte</t>
        </is>
      </c>
    </row>
    <row r="4489">
      <c r="A4489" t="inlineStr">
        <is>
          <t>Roud Terre</t>
        </is>
      </c>
      <c r="B4489">
        <f>HYPERLINK("https://www.dofusbook.net/fr/equipement/5370271-roud-terre/objets", "link")</f>
        <v/>
      </c>
      <c r="C4489" t="n">
        <v>6</v>
      </c>
      <c r="D4489" t="inlineStr">
        <is>
          <t>Arc du Chalœil; Amulette du Strigide; Bracelet du Piloztère; Anneau Volkorne; Quatre-feuilles; Ceinture Volkorne; Masque de Koutoulou; Cape au Logis; Bottes du Cœur Saignant; Dofus Abyssal; Dofus Turquoise; Dofus Ocre; Dofus Ivoire; Dofus Ébène; Enragé majeur; Pioute vert</t>
        </is>
      </c>
    </row>
    <row r="4490">
      <c r="A4490" t="inlineStr">
        <is>
          <t>Tank</t>
        </is>
      </c>
      <c r="B4490">
        <f>HYPERLINK("https://www.dofusbook.net/fr/equipement/4712364-tank/objets", "link")</f>
        <v/>
      </c>
      <c r="C4490" t="n">
        <v>20</v>
      </c>
      <c r="D4490" t="inlineStr">
        <is>
          <t>Rouleau à Pâtisserie d'Aermyne; Collier Rophante; Alliance Gloursonne; Bague Trithon; Sept ans de malheur; Ceinture de Kongoku; Masque d'Anerice; Cape d'Anerice; Pataugastrique; Dofus Émeraude; Carapace Neutre majeur; Obstructeur majeur; Miraculé majeur; Bloqueur majeur; Remueur; Muldo Roux et Indigo</t>
        </is>
      </c>
    </row>
    <row r="4491">
      <c r="A4491" t="inlineStr">
        <is>
          <t>Terre-Cri Dist</t>
        </is>
      </c>
      <c r="B4491">
        <f>HYPERLINK("https://www.dofusbook.net/fr/equipement/4986782-terre-cri-dist/objets", "link")</f>
        <v/>
      </c>
      <c r="C4491" t="n">
        <v>3</v>
      </c>
      <c r="D4491" t="inlineStr">
        <is>
          <t>Amrothiline; Amulette du Cœur Saignant; Pikano; Anneau Volkorne; Quatre-feuilles; Ceinture Volkorne; Masque de Funespadon; Cape du Cœur Saignant; Bottes du Cœur Saignant; Dofus Ocre; Dofus Turquoise; Dofus Pourpre; Dofus des Glaces; Voyageur; Pioute vert</t>
        </is>
      </c>
    </row>
    <row r="4492">
      <c r="A4492" t="inlineStr">
        <is>
          <t>Pad-Stri CC Volko</t>
        </is>
      </c>
      <c r="B4492">
        <f>HYPERLINK("https://www.dofusbook.net/fr/equipement/3920625-pad-stri-cc-volko/objets", "link")</f>
        <v/>
      </c>
      <c r="C4492" t="n">
        <v>25</v>
      </c>
      <c r="D4492" t="inlineStr">
        <is>
          <t>Arc Volkorne; Amulette du Strigide; Bracelet du Piloztère; Anneau de Padgref; Quatre-feuilles; Ceinture du Strigide; Coiffe de Padgref; Cape de la Dame du Hasard; Getas de Padgref; Dofus Pourpre; Dofus des Glaces; Dolmanax; Dofus Ocre; Dofus Turquoise; Voyageur; Kokulte</t>
        </is>
      </c>
    </row>
    <row r="4493">
      <c r="A4493" t="inlineStr">
        <is>
          <t>Full Force Do terre</t>
        </is>
      </c>
      <c r="B4493">
        <f>HYPERLINK("https://www.dofusbook.net/fr/equipement/4864667-full-force-do-terre/objets", "link")</f>
        <v/>
      </c>
      <c r="C4493" t="n">
        <v>4</v>
      </c>
      <c r="D4493" t="inlineStr">
        <is>
          <t>Lav'Hache; Collier de Tourthon; Anneau Crustique; Anneau de Brouce; Bouclier du Captain Amakna; Ceinture Volkorne; Masque de Koutoulou; Cape au Logis; Bottes de Brouce; Dofus des Glaces; Dofus Pourpre; Dofus Ocre; Dévastateur Terre majeur; Vigoureux majeur; Enragé majeur; Bulbisou</t>
        </is>
      </c>
    </row>
    <row r="4494">
      <c r="A4494" t="inlineStr">
        <is>
          <t>Crâ F 200</t>
        </is>
      </c>
      <c r="B4494">
        <f>HYPERLINK("https://www.dofusbook.net/fr/equipement/4414809-cra-f-200/objets", "link")</f>
        <v/>
      </c>
      <c r="C4494" t="n">
        <v>8</v>
      </c>
      <c r="D4494" t="inlineStr">
        <is>
          <t>Arc du Chalœil; Amulette du Cœur Saignant; Anneau de Brouce; Anneau Volkorne; Quatre-feuilles; Ceinture Volkorne; Chapeau de Gein; Cape du Cœur Saignant; Bottes du Cœur Saignant; Dofus Vulbis; Dofus Turquoise; Dofus Pourpre; Dofus Ivoire; Dofus Ébène; Dofus Ocre; Volkorne Pourpre</t>
        </is>
      </c>
    </row>
    <row r="4495">
      <c r="A4495" t="inlineStr">
        <is>
          <t>Crâ F 200</t>
        </is>
      </c>
      <c r="B4495">
        <f>HYPERLINK("https://www.dofusbook.net/fr/equipement/4263977-cra-f-200/objets", "link")</f>
        <v/>
      </c>
      <c r="C4495" t="n">
        <v>12</v>
      </c>
      <c r="D4495" t="inlineStr">
        <is>
          <t>Bâton Beau; Amulette du Strigide; Anneau Volkorne; Quatre-feuilles; Ceinture Volkorne; Cape Reski; Bottes du Strigide; Dofus Nébuleux; Dofus Turquoise; Dofus Pourpre; Dofus Ocre; Dofus des Glaces; Dofus Vulbis; Kokulte</t>
        </is>
      </c>
    </row>
    <row r="4496">
      <c r="A4496" t="inlineStr">
        <is>
          <t>soin ret</t>
        </is>
      </c>
      <c r="B4496">
        <f>HYPERLINK("https://www.dofusbook.net/fr/equipement/4326402-soin-ret/objets", "link")</f>
        <v/>
      </c>
      <c r="C4496" t="n">
        <v>6</v>
      </c>
      <c r="D4496" t="inlineStr">
        <is>
          <t>Baguette de Malléfisk; Collier Rophante; Anneau Crustique; Anneau Crustique; Sept ans de malheur; Menoture; Masque Ardent; Cape d'Aermyne; Chaussures Ardentes; Dofus Ivoire; Dofus Émeraude; Dofus Ocre; Dofus Abyssal; Étourdisseur majeur; Paralyseur majeur; Drakopin</t>
        </is>
      </c>
    </row>
    <row r="4497">
      <c r="A4497" t="inlineStr">
        <is>
          <t>eau</t>
        </is>
      </c>
      <c r="B4497">
        <f>HYPERLINK("https://www.dofusbook.net/fr/equipement/4326378-eau/objets", "link")</f>
        <v/>
      </c>
      <c r="C4497" t="n">
        <v>10</v>
      </c>
      <c r="D4497" t="inlineStr">
        <is>
          <t>Sceptre du Roi Joueur; Amulette de Shokkoth; Anneau Volkorne; Alliance Gloursonne; Cadran de Terre; Culotte de Bethel; Masque de Funespadon; Cape de l'Œil Attentif; Pataugastrique; Dofus Abyssal; Dofus Vulbis; Dofus Ivoire; Dofus Pourpre; Dofus Ocre; Étourdisseur majeur; Koalak Sanguin</t>
        </is>
      </c>
    </row>
    <row r="4498">
      <c r="A4498" t="inlineStr">
        <is>
          <t>Xélor M 200</t>
        </is>
      </c>
      <c r="B4498">
        <f>HYPERLINK("https://www.dofusbook.net/fr/equipement/4292047-xelor-m-200/objets", "link")</f>
        <v/>
      </c>
      <c r="C4498" t="n">
        <v>1</v>
      </c>
      <c r="D4498" t="inlineStr"/>
    </row>
    <row r="4499">
      <c r="A4499" t="inlineStr">
        <is>
          <t>Xélor M 200</t>
        </is>
      </c>
      <c r="B4499">
        <f>HYPERLINK("https://www.dofusbook.net/fr/equipement/4268661-xelor-m-200/objets", "link")</f>
        <v/>
      </c>
      <c r="C4499" t="n">
        <v>9</v>
      </c>
      <c r="D4499" t="inlineStr">
        <is>
          <t>Arc Nécrotique; Amulette Volkorne; Bague Trithon; Anneau Volkorne; Quatre-feuilles; Ceinture Séculaire; Masque Trithon; Cape de la Dame du Hasard; Bottes Trithon; Dofus Turquoise; Dofus Ivoire; Dofus Pourpre; Dofus Ocre; Dofus Vulbis; Dofus Abyssal; Kokulte</t>
        </is>
      </c>
    </row>
    <row r="4500">
      <c r="A4500" t="inlineStr">
        <is>
          <t>Xélor M 200</t>
        </is>
      </c>
      <c r="B4500">
        <f>HYPERLINK("https://www.dofusbook.net/fr/equipement/4178563-xelor-m-200/objets", "link")</f>
        <v/>
      </c>
      <c r="C4500" t="n">
        <v>13</v>
      </c>
      <c r="D4500" t="inlineStr">
        <is>
          <t>Marteau R'ture; Amulette du Cœur Saignant; Anneau Chevelu; Anneau Volkorne; Cadran d'Eau; Ceinture Volkorne; Masque de Funespadon; Cape du Cœur Saignant; Bottes du Cœur Saignant; Dofus Vulbis; Dofus Abyssal; Dofus Pourpre; Dofus Ivoire; Dofus Ocre; Dofus Turquoise; Dragodinde Ivoire et Pourpre</t>
        </is>
      </c>
    </row>
    <row r="4501">
      <c r="A4501" t="inlineStr">
        <is>
          <t>Eniripsa F 200</t>
        </is>
      </c>
      <c r="B4501">
        <f>HYPERLINK("https://www.dofusbook.net/fr/equipement/4170447-eniripsa-f-200/objets", "link")</f>
        <v/>
      </c>
      <c r="C4501" t="n">
        <v>3</v>
      </c>
      <c r="D4501" t="inlineStr">
        <is>
          <t>Arc corrompu; Amulette Volkorne; Anneauræus; Anneauræus; Cadran de Terre; Ceinture de Vortex; Casque Dragoeuf; Cape de Diondin; Bottes Innommables; Dofus Pourpre; Dofus Ocre; Dofus Abyssal; Dofus Vulbis; Dofus Ivoire; Érudit majeur; Dragodinde Ivoire et Orchidée</t>
        </is>
      </c>
    </row>
    <row r="4502">
      <c r="A4502" t="inlineStr">
        <is>
          <t>Steamer M 200</t>
        </is>
      </c>
      <c r="B4502">
        <f>HYPERLINK("https://www.dofusbook.net/fr/equipement/4170431-steamer-m-200/objets", "link")</f>
        <v/>
      </c>
      <c r="C4502" t="n">
        <v>1</v>
      </c>
      <c r="D4502" t="inlineStr">
        <is>
          <t>Arc Nécrotique; Amulette Volkorne; Anneau Volkorne; Bague Trithon; Bouclier du Stalak; Masque Trithon; Bottes Trithon</t>
        </is>
      </c>
    </row>
    <row r="4503">
      <c r="A4503" t="inlineStr">
        <is>
          <t>A L Y A R A</t>
        </is>
      </c>
      <c r="B4503">
        <f>HYPERLINK("https://www.dofusbook.net/fr/equipement/4063662-a-l-y-a-r-a/objets", "link")</f>
        <v/>
      </c>
      <c r="C4503" t="n">
        <v>12</v>
      </c>
      <c r="D4503" t="inlineStr">
        <is>
          <t>Marteau R'ture; Amulette du Cœur Saignant; Anneau Chevelu; Anneau Volkorne; Cadran d'Eau; Ceinture Volkorne; Masque de Funespadon; Cape du Cœur Saignant; Bottes du Cœur Saignant; Dofus Pourpre; Dofus Ivoire; Dofus Turquoise; Dofus Abyssal; Dofus Vulbis; Dofus Ocre; Dragodinde Ivoire et Pourpre</t>
        </is>
      </c>
    </row>
    <row r="4504">
      <c r="A4504" t="inlineStr">
        <is>
          <t>Eniripsa F 200</t>
        </is>
      </c>
      <c r="B4504">
        <f>HYPERLINK("https://www.dofusbook.net/fr/equipement/4060633-eniripsa-f-200/objets", "link")</f>
        <v/>
      </c>
      <c r="C4504" t="n">
        <v>1</v>
      </c>
      <c r="D4504" t="inlineStr">
        <is>
          <t>Arc corrompu; Amulette Volkorne; Anneauræus; Anneauræus; Bouclier du Stalak; Casque Dragoeuf; Cape de Diondin</t>
        </is>
      </c>
    </row>
    <row r="4505">
      <c r="A4505" t="inlineStr">
        <is>
          <t>Eliotrope F 200</t>
        </is>
      </c>
      <c r="B4505">
        <f>HYPERLINK("https://www.dofusbook.net/fr/equipement/4042698-eliotrope-f-200/objets", "link")</f>
        <v/>
      </c>
      <c r="C4505" t="n">
        <v>1</v>
      </c>
      <c r="D4505" t="inlineStr">
        <is>
          <t>Arc Nécrotique; Amulette Volkorne; Anneau Volkorne; Bague Trithon; Quatre-feuilles; Ceintacé; Masque Trithon; Cape de la Dame du Hasard; Bottes de la Dame du Hasard; Dofus Vulbis; Dofus Ocre; Dofus Turquoise; Dofus Abyssal; Dofus des Glaces; Dofus Ivoire; Kokulte</t>
        </is>
      </c>
    </row>
    <row r="4506">
      <c r="A4506" t="inlineStr">
        <is>
          <t>Eliotrope F 200</t>
        </is>
      </c>
      <c r="B4506">
        <f>HYPERLINK("https://www.dofusbook.net/fr/equipement/4041197-eliotrope-f-200/objets", "link")</f>
        <v/>
      </c>
      <c r="C4506" t="n">
        <v>3</v>
      </c>
      <c r="D4506" t="inlineStr">
        <is>
          <t>Arc du Chalœil; Amulette du Strigide; Anneau Crustique; Anneau Volkorne; Quatre-feuilles; Ceinture Volkorne; Masque de Koutoulou; Cape au Logis; Bottes de la Cour Sombre; Dofus Turquoise; Dofus Ivoire; Dofus Ocre; Dofus Pourpre; Dofus Abyssal; Enragé majeur; Dragodinde Ivoire et Pourpre</t>
        </is>
      </c>
    </row>
    <row r="4507">
      <c r="A4507" t="inlineStr">
        <is>
          <t>Xélor M 200</t>
        </is>
      </c>
      <c r="B4507">
        <f>HYPERLINK("https://www.dofusbook.net/fr/equipement/3976656-xelor-m-200/objets", "link")</f>
        <v/>
      </c>
      <c r="C4507" t="n">
        <v>6</v>
      </c>
      <c r="D4507" t="inlineStr">
        <is>
          <t>Sceptre du Roi Joueur; Amulette de Shokkoth; Alliance Gloursonne; Anneau Crustique; Cadran de Terre; Culotte de Bethel; Casque Dragoeuf; Cape Matelassée; Chaussons de Macrab; Dofus Vulbis; Dofus Émeraude; Dofus Abyssal; Dofus Ivoire; Étourdisseur majeur; Chanceux majeur; Volkorne Ivoire et Indigo</t>
        </is>
      </c>
    </row>
    <row r="4508">
      <c r="A4508" t="inlineStr">
        <is>
          <t>Xélor M 200</t>
        </is>
      </c>
      <c r="B4508">
        <f>HYPERLINK("https://www.dofusbook.net/fr/equipement/3903464-xelor-m-200/objets", "link")</f>
        <v/>
      </c>
      <c r="C4508" t="n">
        <v>11</v>
      </c>
      <c r="D4508" t="inlineStr">
        <is>
          <t>Le Thanos; Collier Rophante; Anneau Crustique; Anneau Crustique; Sept ans de malheur; Menoture; Masque Ardent; Cape d'Aermyne; Chaussures Ardentes; Dofus Ocre; Dofus Émeraude; Dofus Ivoire; Dofus Abyssal; Étourdisseur majeur; Paralyseur majeur; Drakopin</t>
        </is>
      </c>
    </row>
    <row r="4509">
      <c r="A4509" t="inlineStr">
        <is>
          <t>Ouginak F 200</t>
        </is>
      </c>
      <c r="B4509">
        <f>HYPERLINK("https://www.dofusbook.net/fr/equipement/3915488-ouginak-f-200/objets", "link")</f>
        <v/>
      </c>
      <c r="C4509" t="n">
        <v>1</v>
      </c>
      <c r="D4509" t="inlineStr"/>
    </row>
    <row r="4510">
      <c r="A4510" t="inlineStr">
        <is>
          <t>TERRE TROPHEE</t>
        </is>
      </c>
      <c r="B4510">
        <f>HYPERLINK("https://www.dofusbook.net/fr/equipement/3837244-terre-trophee/objets", "link")</f>
        <v/>
      </c>
      <c r="C4510" t="n">
        <v>8</v>
      </c>
      <c r="D4510" t="inlineStr">
        <is>
          <t>Lav'Hache; Collier de Tourthon; Anneau Crustique; Anneau Chevelu; Bouclier du Stalak; Ceinture Volkorne; Masque de Koutoulou; Cape du Cœur Saignant; Bottes du Cœur Saignant; Dofus Pourpre; Dofus Ocre; Dofus Abyssal; Dofus Vulbis; Dofus Ivoire; Enragé majeur; Kramkram</t>
        </is>
      </c>
    </row>
    <row r="4511">
      <c r="A4511" t="inlineStr">
        <is>
          <t>Ecaflip M 200</t>
        </is>
      </c>
      <c r="B4511">
        <f>HYPERLINK("https://www.dofusbook.net/fr/equipement/3831688-ecaflip-m-200/objets", "link")</f>
        <v/>
      </c>
      <c r="C4511" t="n">
        <v>11</v>
      </c>
      <c r="D4511" t="inlineStr">
        <is>
          <t>Bêche Asse; Amulette du Cœur Saignant; Anneau Volkorne; Anneau Chevelu; Bouclier du Stalak; Ceinture Volkorne; Masque de Funespadon; Cape du Cœur Saignant; Bottes du Cœur Saignant; Dofus Vulbis; Dofus Ivoire; Dofus Pourpre; Dofus Ocre; Dofus des Glaces; Dofus Abyssal; Pioute jaune</t>
        </is>
      </c>
    </row>
    <row r="4512">
      <c r="A4512" t="inlineStr">
        <is>
          <t>FULL EAU</t>
        </is>
      </c>
      <c r="B4512">
        <f>HYPERLINK("https://www.dofusbook.net/fr/equipement/3610657-full-eau/objets", "link")</f>
        <v/>
      </c>
      <c r="C4512" t="n">
        <v>5</v>
      </c>
      <c r="D4512" t="inlineStr">
        <is>
          <t>Rapière aux Glyphes; Amulette d'Ilyzaelle; Alliance Gloursonne; Anneau Glacial; Bouclier d'Ilyzaelle; Ceinture Glaciale; Casque d'Ilyzaelle; Cape du Sinistrofu; Bottes du Sinistrofu; Dofus Vulbis; Dofus Ivoire; Dofus Émeraude; Dofus Ocre; Dofus Pourpre; Dofus Abyssal; El Scarador</t>
        </is>
      </c>
    </row>
    <row r="4513">
      <c r="A4513" t="inlineStr">
        <is>
          <t>Sacrieur F 200</t>
        </is>
      </c>
      <c r="B4513">
        <f>HYPERLINK("https://www.dofusbook.net/fr/equipement/3825163-sacrieur-f-200/objets", "link")</f>
        <v/>
      </c>
      <c r="C4513" t="n">
        <v>1</v>
      </c>
      <c r="D4513" t="inlineStr">
        <is>
          <t>Manthache; Collier du Valet Veinard; Alliance Gloursonne; Gant du Valet Veinard; Bouclier d'Ilyzaelle; Menoture; Couronne d'Allister; Cape Indescriptible; Palmes Trithons; Dofus Abyssal; Dofus Ivoire; Dofus Vulbis; Miraculé majeur; Cascadeur majeur; Remueur; Dragodinde Ebène et Ivoire</t>
        </is>
      </c>
    </row>
    <row r="4514">
      <c r="A4514" t="inlineStr">
        <is>
          <t>Xélor F 200</t>
        </is>
      </c>
      <c r="B4514">
        <f>HYPERLINK("https://www.dofusbook.net/fr/equipement/3816848-xelor-f-200/objets", "link")</f>
        <v/>
      </c>
      <c r="C4514" t="n">
        <v>2</v>
      </c>
      <c r="D4514" t="inlineStr">
        <is>
          <t>Sceptre du Roi Joueur; Amulette Voldelor; Anneau Volkorne; Alliance Gloursonne; Quatre-feuilles; Ceinture Voldelor; Némès de Tal Kasha; Chevelure de Tal Kasha; Sandales de Tal Kasha; Dofus des Glaces; Dofus Abyssal; Dofus Vulbis; Dofus Ocre; Dofus Turquoise; Dofus Ivoire; Kanigloups</t>
        </is>
      </c>
    </row>
    <row r="4515">
      <c r="A4515" t="inlineStr">
        <is>
          <t>DEPLUMAGE</t>
        </is>
      </c>
      <c r="B4515">
        <f>HYPERLINK("https://www.dofusbook.net/fr/equipement/3797584-deplumage/objets", "link")</f>
        <v/>
      </c>
      <c r="C4515" t="n">
        <v>36</v>
      </c>
      <c r="D4515" t="inlineStr">
        <is>
          <t>Dagues Érhy; Collier du Valet Veinard; Gant du Valet Veinard; Alliance Gloursonne; Cadran d'Air; Menoture; Couronne d'Allister; Cape Indescriptible; Palmes Trithons; Dofus Ocre; Dofus Ivoire; Dofus Nébuleux; Dofus Vulbis; Dofus des Glaces; Cascadeur majeur; Blérodoudou</t>
        </is>
      </c>
    </row>
    <row r="4516">
      <c r="A4516" t="inlineStr">
        <is>
          <t>AIR BIEREUX</t>
        </is>
      </c>
      <c r="B4516">
        <f>HYPERLINK("https://www.dofusbook.net/fr/equipement/3793942-air-biereux/objets", "link")</f>
        <v/>
      </c>
      <c r="C4516" t="n">
        <v>14</v>
      </c>
      <c r="D4516" t="inlineStr">
        <is>
          <t>Pelle de la Cour Sombre; Collier du Valet Veinard; Gant du Valet Veinard; Alliance Gloursonne; Cadran d'Air; Ceinture du Barbétoal; Couronne d'Allister; Cape de l'Œil Putride; Baleinabottes; Dofus Vulbis; Dofus Abyssal; Dofus des Glaces; Dofus Ivoire; Dofus Ocre; Cascadeur majeur; Dragodinde Amande et Ebène</t>
        </is>
      </c>
    </row>
    <row r="4517">
      <c r="A4517" t="inlineStr">
        <is>
          <t>TERRE</t>
        </is>
      </c>
      <c r="B4517">
        <f>HYPERLINK("https://www.dofusbook.net/fr/equipement/3793448-terre/objets", "link")</f>
        <v/>
      </c>
      <c r="C4517" t="n">
        <v>4</v>
      </c>
      <c r="D4517" t="inlineStr">
        <is>
          <t>Arc du Chalœil; Amulette du Cœur Saignant; Anneau de Brouce; Anneau Volkorne; Quatre-feuilles; Ceinture Volkorne; Chapeau de Gein; Cape du Cœur Saignant; Bottes du Cœur Saignant; Dofus Turquoise; Dofus Ivoire; Dofus Nébuleux; Dofus Pourpre; Dofus Vulbis; Dofus Ocre; Volkorne Saphir et Améthyste</t>
        </is>
      </c>
    </row>
    <row r="4518">
      <c r="A4518" t="inlineStr">
        <is>
          <t>Xélor F 200</t>
        </is>
      </c>
      <c r="B4518">
        <f>HYPERLINK("https://www.dofusbook.net/fr/equipement/3790928-xelor-f-200/objets", "link")</f>
        <v/>
      </c>
      <c r="C4518" t="n">
        <v>9</v>
      </c>
      <c r="D4518" t="inlineStr">
        <is>
          <t>Arc du Chalœil; Amulette du Cœur Saignant; Anneau Chevelu; Anneau Volkorne; Quatre-feuilles; Ceinture Volkorne; Masque de Funespadon; Cape du Cœur Saignant; Bottes du Cœur Saignant; Dofus Ocre; Dofus Abyssal; Dofus Vulbis; Dofus Ivoire; Dofus Turquoise; Dofus Pourpre; Pioute jaune</t>
        </is>
      </c>
    </row>
    <row r="4519">
      <c r="A4519" t="inlineStr">
        <is>
          <t>AIR</t>
        </is>
      </c>
      <c r="B4519">
        <f>HYPERLINK("https://www.dofusbook.net/fr/equipement/3790723-air/objets", "link")</f>
        <v/>
      </c>
      <c r="C4519" t="n">
        <v>9</v>
      </c>
      <c r="D4519" t="inlineStr">
        <is>
          <t>Dagues Érhy; Amulette Ementaire Deluxe; Alliance Gloursonne; Gant du Valet Veinard; Bouclier du Stalak; Menoture; Casque d'Ilyzaelle; Cape du Valet Veinard; Palmes Trithons; Dofus des Glaces; Dofus Ivoire; Dofus Ocre; Dolmanax; Dofus Abyssal; Cascadeur majeur; Muldo Ebène</t>
        </is>
      </c>
    </row>
    <row r="4520">
      <c r="A4520" t="inlineStr">
        <is>
          <t>eau ret</t>
        </is>
      </c>
      <c r="B4520">
        <f>HYPERLINK("https://www.dofusbook.net/fr/equipement/3720510-eau-ret/objets", "link")</f>
        <v/>
      </c>
      <c r="C4520" t="n">
        <v>14</v>
      </c>
      <c r="D4520" t="inlineStr">
        <is>
          <t>Sceptre du Roi Joueur; Amulette de Shokkoth; Anneau Volkorne; Alliance Gloursonne; Cadran de Terre; Culotte de Bethel; Masque de Funespadon; Cape de l'Œil Attentif; Pataugastrique; Dofus Pourpre; Dofus Ocre; Dofus Abyssal; Dofus Ivoire; Chanceux majeur; Étourdisseur majeur</t>
        </is>
      </c>
    </row>
    <row r="4521">
      <c r="A4521" t="inlineStr">
        <is>
          <t>Xélor F 200</t>
        </is>
      </c>
      <c r="B4521">
        <f>HYPERLINK("https://www.dofusbook.net/fr/equipement/3744471-xelor-f-200/objets", "link")</f>
        <v/>
      </c>
      <c r="C4521" t="n">
        <v>3</v>
      </c>
      <c r="D4521" t="inlineStr">
        <is>
          <t>Rapière aux Glyphes; Amulette d'Ilyzaelle; Alliance Gloursonne; Anneau Glacial; Bouclier d'Ilyzaelle; Ceinture Glaciale; Casque d'Ilyzaelle; Cape du Sinistrofu; Bottes du Sinistrofu; Dofus Pourpre; Dofus Abyssal; Dofus des Glaces; Dofus Ivoire; Dofus Vulbis; Dofus Ocre; Kramkram</t>
        </is>
      </c>
    </row>
    <row r="4522">
      <c r="A4522" t="inlineStr">
        <is>
          <t>Eniripsa F 200</t>
        </is>
      </c>
      <c r="B4522">
        <f>HYPERLINK("https://www.dofusbook.net/fr/equipement/3657793-eniripsa-f-200/objets", "link")</f>
        <v/>
      </c>
      <c r="C4522" t="n">
        <v>3</v>
      </c>
      <c r="D4522" t="inlineStr">
        <is>
          <t>Sceptre du Roi Joueur; Amulette de Shokkoth; Alliance Gloursonne; Anneau Volkorne; Quatre-feuilles; Ceinture Voldelor; Némès de Tal Kasha; Chevelure de Tal Kasha; Pataugastrique; Dofus Ivoire; Dofus Turquoise; Dofus Ocre; Dofus Abyssal; Étourdisseur majeur; Chanceux majeur; Muldo Ebène et Pourpre</t>
        </is>
      </c>
    </row>
    <row r="4523">
      <c r="A4523" t="inlineStr">
        <is>
          <t>TERRE ESQ PA</t>
        </is>
      </c>
      <c r="B4523">
        <f>HYPERLINK("https://www.dofusbook.net/fr/equipement/3644319-terre-esq-pa/objets", "link")</f>
        <v/>
      </c>
      <c r="C4523" t="n">
        <v>7</v>
      </c>
      <c r="D4523" t="inlineStr">
        <is>
          <t>Bêche Asse; Amulette du Strigide; Bague Gloursonne; Bague Trithon; Bouclier du Stalak; Ceinture de la Cour Sombre; Masque de Koutoulou; Cape du Kamasterisk; Bottes Trithon; Dofus Ivoire; Dofus Abyssal; Dofus Pourpre; Dofus Ocre; Enragé majeur; Évasif majeur; Muldo Indigo et Pourpre</t>
        </is>
      </c>
    </row>
    <row r="4524">
      <c r="A4524" t="inlineStr">
        <is>
          <t>FEU</t>
        </is>
      </c>
      <c r="B4524">
        <f>HYPERLINK("https://www.dofusbook.net/fr/equipement/3640923-feu/objets", "link")</f>
        <v/>
      </c>
      <c r="C4524" t="n">
        <v>3</v>
      </c>
      <c r="D4524" t="inlineStr">
        <is>
          <t>Arc corrompu; Amulette de Nileza; Anneauræus; Anneau de Nidas; Bouclier du Stalak; Ceinture de Vortex; Heaume Oplate; Cape de Nileza; Bottes Innommables; Dofus Abyssal; Dofus des Glaces; Dofus Ivoire; Dofus Ocre; Érudit majeur; Muldo Indigo et Orchidée</t>
        </is>
      </c>
    </row>
    <row r="4525">
      <c r="A4525" t="inlineStr">
        <is>
          <t>MULTI</t>
        </is>
      </c>
      <c r="B4525">
        <f>HYPERLINK("https://www.dofusbook.net/fr/equipement/3628774-multi/objets", "link")</f>
        <v/>
      </c>
      <c r="C4525" t="n">
        <v>2</v>
      </c>
      <c r="D4525" t="inlineStr">
        <is>
          <t>Sabres d'Atcham; Amulette Volkorne; Anneau Volkorne; Bouclier du Stalak; Casque Volkorne; Cape d'Atcham; Sandales  d'Atcham</t>
        </is>
      </c>
    </row>
    <row r="4526">
      <c r="A4526" t="inlineStr">
        <is>
          <t>EAU ESQ</t>
        </is>
      </c>
      <c r="B4526">
        <f>HYPERLINK("https://www.dofusbook.net/fr/equipement/3627913-eau-esq/objets", "link")</f>
        <v/>
      </c>
      <c r="C4526" t="n">
        <v>7</v>
      </c>
      <c r="D4526" t="inlineStr">
        <is>
          <t>Sceptre du Roi Joueur; Amulette de Shokkoth; Anneau Volkorne; Alliance Gloursonne; Bouclier du Stalak; Poulpagne; Capuche de l'Œil Attentif; Cape de l'Œil Attentif; Sandales des Fonds marins; Dofus Ocre; Dofus Abyssal; Dofus Émeraude; Dofus Ivoire; Évasif majeur; Chanceux majeur; Muldo Ebène et Pourpre</t>
        </is>
      </c>
    </row>
    <row r="4527">
      <c r="A4527" t="inlineStr">
        <is>
          <t>FEU</t>
        </is>
      </c>
      <c r="B4527">
        <f>HYPERLINK("https://www.dofusbook.net/fr/equipement/3616347-feu/objets", "link")</f>
        <v/>
      </c>
      <c r="C4527" t="n">
        <v>2</v>
      </c>
      <c r="D4527" t="inlineStr">
        <is>
          <t>Arc corrompu; Pendentif affamé; Anneau de Nidas; Anneauræus; Bouclier du Stalak; Ceinture de Vortex; Heaume Oplate; Voile d'encre; Tongues de Nidas; Muldo Ebène et Pourpre</t>
        </is>
      </c>
    </row>
    <row r="4528">
      <c r="A4528" t="inlineStr">
        <is>
          <t>DO POU</t>
        </is>
      </c>
      <c r="B4528">
        <f>HYPERLINK("https://www.dofusbook.net/fr/equipement/3610732-do-pou/objets", "link")</f>
        <v/>
      </c>
      <c r="C4528" t="n">
        <v>5</v>
      </c>
      <c r="D4528" t="inlineStr">
        <is>
          <t>Héqache; Amulette Luminescente; Anneau Crustique; Bague Instable; Bouclier précieux; Ceinture Gence; Casque Dragoeuf; Cape Solution; Bottes Trithon; Dofus Ivoire; Dofus Émeraude; Dofus Abyssal; Culbuteur majeur; Pousseur majeur; Bousculeur majeur; Muldo Ebène et Orchidée</t>
        </is>
      </c>
    </row>
    <row r="4529">
      <c r="A4529" t="inlineStr">
        <is>
          <t>AIR</t>
        </is>
      </c>
      <c r="B4529">
        <f>HYPERLINK("https://www.dofusbook.net/fr/equipement/3610758-air/objets", "link")</f>
        <v/>
      </c>
      <c r="C4529" t="n">
        <v>4</v>
      </c>
      <c r="D4529" t="inlineStr">
        <is>
          <t>Manthache; Collier du Valet Veinard; Gant du Valet Veinard; Alliance Gloursonne; Bouclier du Stalak; Menoture; Couronne d'Allister; Cape Indescriptible; Palmes Trithons; Dofus des Glaces; Dofus Abyssal; Dofus Ivoire; Dofus Pourpre; Dofus Ocre; Cascadeur majeur; Muldo Ebène</t>
        </is>
      </c>
    </row>
    <row r="4530">
      <c r="A4530" t="inlineStr">
        <is>
          <t>FEU ESQ</t>
        </is>
      </c>
      <c r="B4530">
        <f>HYPERLINK("https://www.dofusbook.net/fr/equipement/3605481-feu-esq/objets", "link")</f>
        <v/>
      </c>
      <c r="C4530" t="n">
        <v>4</v>
      </c>
      <c r="D4530" t="inlineStr">
        <is>
          <t>Massier; Amulette de Nileza; Anneau Tique; Anneau de Nidas; Bouclier du Stalak; Ceinture de Vortex; Heaume Oplate; Cape de Nileza; Chaussures Ardentes; Dofus Ivoire; Dofus Ocre; Dofus Abyssal; Érudit majeur; Muldo Indigo et Orchidée</t>
        </is>
      </c>
    </row>
    <row r="4531">
      <c r="A4531" t="inlineStr">
        <is>
          <t>full retrait</t>
        </is>
      </c>
      <c r="B4531">
        <f>HYPERLINK("https://www.dofusbook.net/fr/equipement/3605264-full-retrait/objets", "link")</f>
        <v/>
      </c>
      <c r="C4531" t="n">
        <v>8</v>
      </c>
      <c r="D4531" t="inlineStr">
        <is>
          <t>Dagoulinantes; Collier Rophante; Anneau Crustique; Anneau Crustique; Sept ans de malheur; Menoture; Masque d'Anerice; Cape d'Anerice; Sandales de Tal Kasha; Dofus Ivoire; Dofus Abyssal; Paralyseur majeur; Étourdisseur; Étourdisseur majeur; Engourdisseur majeur; Volkorne Saphir et Ivoire</t>
        </is>
      </c>
    </row>
    <row r="4532">
      <c r="A4532" t="inlineStr">
        <is>
          <t>Xélor M 200</t>
        </is>
      </c>
      <c r="B4532">
        <f>HYPERLINK("https://www.dofusbook.net/fr/equipement/3594679-xelor-m-200/objets", "link")</f>
        <v/>
      </c>
      <c r="C4532" t="n">
        <v>4</v>
      </c>
      <c r="D4532" t="inlineStr">
        <is>
          <t>Manthache; Collier du Valet Veinard; Gant du Valet Veinard; Alliance Gloursonne; Bouclier du Stalak; Ceinture de la Reine des Voleurs; Coiffe de la Reine des Voleurs; Cape du Valet Veinard; Bottes de la Reine des Voleurs; Dofus Vulbis; Dofus Ivoire; Dofus Ocre; Dofus Pourpre; Dofus Abyssal; Equilibriste majeur; Dragodinde Ebène et Ivoire</t>
        </is>
      </c>
    </row>
    <row r="4533">
      <c r="A4533" t="inlineStr">
        <is>
          <t>Sacrieur F 200</t>
        </is>
      </c>
      <c r="B4533">
        <f>HYPERLINK("https://www.dofusbook.net/fr/equipement/3589533-sacrieur-f-200/objets", "link")</f>
        <v/>
      </c>
      <c r="C4533" t="n">
        <v>11</v>
      </c>
      <c r="D4533" t="inlineStr">
        <is>
          <t>Hache du Korriandre; Amulette Voldelor; Alliance Gloursonne; Anneau Volkorne; Bouclier du Stalak; Ceinture Voldelor; Casque Volkorne; Chevelure de Tal Kasha; Sandales de Tal Kasha; Dofus Vulbis; Dofus Abyssal; Dofus Émeraude; Dofus Ivoire; Dofus des Glaces; Dofus Ocre; Volkorne Jade et Améthyste</t>
        </is>
      </c>
    </row>
    <row r="4534">
      <c r="A4534" t="inlineStr">
        <is>
          <t>Ecaflip M 200</t>
        </is>
      </c>
      <c r="B4534">
        <f>HYPERLINK("https://www.dofusbook.net/fr/equipement/3583742-ecaflip-m-200/objets", "link")</f>
        <v/>
      </c>
      <c r="C4534" t="n">
        <v>5</v>
      </c>
      <c r="D4534" t="inlineStr">
        <is>
          <t>Marteau R'ture; Amulette du Cœur Saignant; Anneau Volkorne; Anneau Chevelu; Bouclier d'Ilyzaelle; Ceinture Volkorne; Masque de Funespadon; Cape du Cœur Saignant; Bottes du Cœur Saignant; Dofus Ivoire; Dofus Pourpre; Dofus Abyssal; Dofus Ocre; Dofus Vulbis; Bousculeur majeur; Volkorne Roux et Pourpre</t>
        </is>
      </c>
    </row>
    <row r="4535">
      <c r="A4535" t="inlineStr">
        <is>
          <t>EAU FEU 1V1</t>
        </is>
      </c>
      <c r="B4535">
        <f>HYPERLINK("https://www.dofusbook.net/fr/equipement/3581271-eau-feu-1v1/objets", "link")</f>
        <v/>
      </c>
      <c r="C4535" t="n">
        <v>4</v>
      </c>
      <c r="D4535" t="inlineStr">
        <is>
          <t>Pelle de Katrepat; Amulette Volkorne; Anneau Volkorne; Bracelet des Fonds marins; Bouclier du Stalak; Ceinture de l'Esprit Salvateur; Masque de l'Esprit Salvateur; Voile d'encre; Bottes de l'Esprit Salvateur; Dokoko; Dofus des Glaces; Dofus Vulbis; Dofus Abyssal; Dofus Ocre; Dofus Ivoire; Volkorne Jade et Ivoire</t>
        </is>
      </c>
    </row>
    <row r="4536">
      <c r="A4536" t="inlineStr">
        <is>
          <t>EAU ESQUIVE PA</t>
        </is>
      </c>
      <c r="B4536">
        <f>HYPERLINK("https://www.dofusbook.net/fr/equipement/3580503-eau-esquive-pa/objets", "link")</f>
        <v/>
      </c>
      <c r="C4536" t="n">
        <v>1</v>
      </c>
      <c r="D4536" t="inlineStr">
        <is>
          <t>Sceptre du Roi Joueur; Amulette d'Ilyzaelle; Alliance Gloursonne; Anneau Volkorne; Bouclier du Stalak; Poulpagne; Capuche de l'Œil Attentif; Cape de l'Œil Attentif; Sandales des Fonds marins; Dofus des Glaces; Dofus Abyssal; Dofus Ocre; Dofus Ivoire; Chanceux majeur; Miraculé majeur; Muldo Ebène et Indigo</t>
        </is>
      </c>
    </row>
    <row r="4537">
      <c r="A4537" t="inlineStr">
        <is>
          <t>EAU AIR</t>
        </is>
      </c>
      <c r="B4537">
        <f>HYPERLINK("https://www.dofusbook.net/fr/equipement/3580473-eau-air/objets", "link")</f>
        <v/>
      </c>
      <c r="C4537" t="n">
        <v>8</v>
      </c>
      <c r="D4537" t="inlineStr">
        <is>
          <t>Marteau des Anciens Steamers; Amulette d'Ilyzaelle; Anneau Volkorne; Alliance Gloursonne; Bouclier du Stalak; Ceinture Voldelor; Casque Volkorne; Chevelure de Tal Kasha; Sandales de Tal Kasha; Dofus Pourpre; Dofus Abyssal; Dofus Vulbis; Dofus Ocre; Dofus des Glaces; Dofus Ivoire; Volkorne Jade et Améthyste</t>
        </is>
      </c>
    </row>
    <row r="4538">
      <c r="A4538" t="inlineStr">
        <is>
          <t>Sadida Feu Eau</t>
        </is>
      </c>
      <c r="B4538">
        <f>HYPERLINK("https://www.dofusbook.net/fr/equipement/3579424-sadida-feu-eau/objets", "link")</f>
        <v/>
      </c>
      <c r="C4538" t="n">
        <v>5</v>
      </c>
      <c r="D4538" t="inlineStr">
        <is>
          <t>Arc Honte; Amulette Volkorne; Anneau de Nidas; Anneau Volkorne; Bouclier du Stalak; Ceinture de l'Esprit Salvateur; Masque de l'Esprit Salvateur; Cape de l'Œil Putride; Bottes de l'Esprit Salvateur; Dofus Pourpre; Dofus des Glaces; Dofus Vulbis; Dofus Ivoire; Dolmanax; Dofus Ocre; Volkorne Jade</t>
        </is>
      </c>
    </row>
    <row r="4539">
      <c r="A4539" t="inlineStr">
        <is>
          <t>Steamer M 200</t>
        </is>
      </c>
      <c r="B4539">
        <f>HYPERLINK("https://www.dofusbook.net/fr/equipement/5680294-steamer-m-200/objets", "link")</f>
        <v/>
      </c>
      <c r="C4539" t="n">
        <v>1</v>
      </c>
      <c r="D4539" t="inlineStr">
        <is>
          <t>Baguette de Torkélonia; Amulette du Strigide; Bague Trithon; Anneau de Padgref; Quatre-feuilles; Ceinture du Strigide; Masque Trithon; Carapace de Torkélonia; Bottes Trithon; Dofus Turquoise; Dofus Ocre; Dofus Vulbis; Dofus Ébène; Dofus Pourpre; Dofus Ivoire; Kokulte</t>
        </is>
      </c>
    </row>
    <row r="4540">
      <c r="A4540" t="inlineStr">
        <is>
          <t>Stuff 3</t>
        </is>
      </c>
      <c r="B4540">
        <f>HYPERLINK("https://www.dofusbook.net/fr/equipement/107961-stuff-3/objets", "link")</f>
        <v/>
      </c>
      <c r="C4540" t="n">
        <v>9</v>
      </c>
      <c r="D4540" t="inlineStr">
        <is>
          <t>Lance Horselé; Collier du Valet Veinard; Alliance Gloursonne; Anneau de Pol Ouatnos; Bouclier d'Anerice; Menoture; Masque d'Anerice; Chevelure de Tal Kasha; Tentassons; Dofus Cawotte; Dofus Ivoire; Dofus Ocre; Dofus Abyssal; Évasif majeur; Étourdisseur majeur; Dragoune Rose</t>
        </is>
      </c>
    </row>
    <row r="4541">
      <c r="A4541" t="inlineStr">
        <is>
          <t>Stuff 1</t>
        </is>
      </c>
      <c r="B4541">
        <f>HYPERLINK("https://www.dofusbook.net/fr/equipement/107892-stuff-1/objets", "link")</f>
        <v/>
      </c>
      <c r="C4541" t="n">
        <v>11</v>
      </c>
      <c r="D4541" t="inlineStr">
        <is>
          <t>Héqache; Amulette du Kamasterisk; Anneau Toriété; Alliance Brûlâme; Bouclier cubiste; Ceinture Volkorne; Casque Volkorne; Cape du Kamasterisk; Bottes du Kamasterisk; Dofus Pourpre; Dofus Abyssal; Dofus Ocre; Dofus Ivoire; Dofus des Glaces; Bwak de Terre</t>
        </is>
      </c>
    </row>
    <row r="4542">
      <c r="A4542" t="inlineStr">
        <is>
          <t>Stuff 1</t>
        </is>
      </c>
      <c r="B4542">
        <f>HYPERLINK("https://www.dofusbook.net/fr/equipement/107889-stuff-1/objets", "link")</f>
        <v/>
      </c>
      <c r="C4542" t="n">
        <v>9</v>
      </c>
      <c r="D4542" t="inlineStr">
        <is>
          <t>Bâthon; Amulette de Gein; Chevalière du Roi Joueur; Bague Gloursonne; Bouclier du Stalak; Ceinture de Gein; Chapeau de Gein; Voile d'encre; Bottes du Roi Joueur; Dofus Vulbis; Dofus Turquoise; Dofus Ivoire; Dofus Pourpre; Dofus des Glaces; Dofus Ocre; Bwak de Terre</t>
        </is>
      </c>
    </row>
    <row r="4543">
      <c r="A4543" t="inlineStr">
        <is>
          <t>Stuff 3</t>
        </is>
      </c>
      <c r="B4543">
        <f>HYPERLINK("https://www.dofusbook.net/fr/equipement/107891-stuff-3/objets", "link")</f>
        <v/>
      </c>
      <c r="C4543" t="n">
        <v>5</v>
      </c>
      <c r="D4543" t="inlineStr">
        <is>
          <t>Arc Nécrotique; Amulette Volkorne; Anneau Volkorne; Anneau Toriété; Bouclier cubiste; Ceinture de l'Esprit Malsain; Kidibonnet; Cape de la Dame du Hasard; Bottes de la Dame du Hasard; Dofus Pourpre; Dofus Abyssal; Dofus Turquoise; Dofus des Glaces; Dofus Ocre; Dofus Ivoire; El Scarador</t>
        </is>
      </c>
    </row>
    <row r="4544">
      <c r="A4544" t="inlineStr">
        <is>
          <t>Stuff 2</t>
        </is>
      </c>
      <c r="B4544">
        <f>HYPERLINK("https://www.dofusbook.net/fr/equipement/107890-stuff-2/objets", "link")</f>
        <v/>
      </c>
      <c r="C4544" t="n">
        <v>8</v>
      </c>
      <c r="D4544" t="inlineStr">
        <is>
          <t>Sceptre du Roi Joueur; Amulette d'Ilyzaelle; Alliance Gloursonne; Anneau Toriété; Bouclier du Stalak; Ceinture de la Reine des Voleurs; Casque d'Ilyzaelle; Cape Solution; Bottes de la Reine des Voleurs; Dofus Pourpre; Dofus Abyssal; Dofus Ocre; Dofus Ivoire; Dofus des Glaces; Vagabond majeur; Bwak d'Air</t>
        </is>
      </c>
    </row>
    <row r="4545">
      <c r="A4545" t="inlineStr">
        <is>
          <t>anerice</t>
        </is>
      </c>
      <c r="B4545">
        <f>HYPERLINK("https://www.dofusbook.net/fr/equipement/1748601-anerice/objets", "link")</f>
        <v/>
      </c>
      <c r="C4545" t="n">
        <v>13</v>
      </c>
      <c r="D4545" t="inlineStr">
        <is>
          <t>Sceptre du Roi Joueur; Amulette de Shokkoth; Alliance Gloursonne; Anneau Toriété; Bouclier cubiste; Pagne du Rykaon; Masque d'Anerice; Cape d'Anerice; Pataugastrique; Dofus Pourpre; Dofus Ivoire; Dofus des Glaces; Dofus Ocre; Temporiseur majeur; Chanceux majeur; Dauge</t>
        </is>
      </c>
    </row>
    <row r="4546">
      <c r="A4546" t="inlineStr">
        <is>
          <t>rezcrit2</t>
        </is>
      </c>
      <c r="B4546">
        <f>HYPERLINK("https://www.dofusbook.net/fr/equipement/1252960-rezcrit2/objets", "link")</f>
        <v/>
      </c>
      <c r="C4546" t="n">
        <v>13</v>
      </c>
      <c r="D4546" t="inlineStr">
        <is>
          <t>Sceptre du Roi Joueur; Amulette du Strigide; Alliance Gloursonne; Anneau Toriété; Bouclier d'Anerice; Poulpagne; Masque d'Anerice; Chevelure de Tal Kasha; Sandales de Tal Kasha; Dofus Turquoise; Dofus Ivoire; Dofus des Glaces; Dofus Ocre; Dofus Abyssal; Paralyseur majeur; Minimino</t>
        </is>
      </c>
    </row>
    <row r="4547">
      <c r="A4547" t="inlineStr">
        <is>
          <t>Stuff 1</t>
        </is>
      </c>
      <c r="B4547">
        <f>HYPERLINK("https://www.dofusbook.net/fr/equipement/107838-stuff-1/objets", "link")</f>
        <v/>
      </c>
      <c r="C4547" t="n">
        <v>19</v>
      </c>
      <c r="D4547" t="inlineStr">
        <is>
          <t>Arc corrompu; Pendentif mignon de Koutoulou; Anneau Toriété; Anneau Rifique; Sept ans de malheur; Ceinture de Vortex; Masque Ardent; Cape Ardente; Chaussures Ardentes; Dofus Pourpre; Dofus Abyssal; Dofus Ocre; Dofus Ivoire; Dolmanax; Dofus des Glaces; Minimino</t>
        </is>
      </c>
    </row>
    <row r="4548">
      <c r="A4548" t="inlineStr">
        <is>
          <t>Gneuh</t>
        </is>
      </c>
      <c r="B4548">
        <f>HYPERLINK("https://www.dofusbook.net/fr/equipement/778212-gneuh/objets", "link")</f>
        <v/>
      </c>
      <c r="C4548" t="n">
        <v>5</v>
      </c>
      <c r="D4548" t="inlineStr">
        <is>
          <t>Arc du Chalœil; Amulette du Strigide; Bague Gloursonne; Anneau Toriété; Quatre-feuilles; Ceinture du Strigide; Masque de Koutoulou; Cape du Cœur Saignant; Bottes du Cœur Saignant; Dofus Abyssal; Dofus Ocre; Dofus Pourpre; Dofus des Glaces; Dofus Turquoise; Dofus Ivoire; Bwak de Terre</t>
        </is>
      </c>
    </row>
    <row r="4549">
      <c r="A4549" t="inlineStr">
        <is>
          <t>pou</t>
        </is>
      </c>
      <c r="B4549">
        <f>HYPERLINK("https://www.dofusbook.net/fr/equipement/1349364-pou/objets", "link")</f>
        <v/>
      </c>
      <c r="C4549" t="n">
        <v>3</v>
      </c>
      <c r="D4549" t="inlineStr"/>
    </row>
    <row r="4550">
      <c r="A4550" t="inlineStr">
        <is>
          <t>rez</t>
        </is>
      </c>
      <c r="B4550">
        <f>HYPERLINK("https://www.dofusbook.net/fr/equipement/1370850-rez/objets", "link")</f>
        <v/>
      </c>
      <c r="C4550" t="n">
        <v>8</v>
      </c>
      <c r="D4550" t="inlineStr">
        <is>
          <t>Dagues d'Ilyzaelle; Amulette du Strigide; Anneau Toriété; Bague Gloursonne; Bouclier alvéolé; Ceinture du Strigide; Masque de Koutoulou; Cape du Cœur Saignant; Bottes du Cœur Saignant; Dofus Pourpre; Dofus des Glaces; Dofus Turquoise; Dofus Abyssal; Dofus Ocre; Dofus Ivoire; Pioute vert</t>
        </is>
      </c>
    </row>
    <row r="4551">
      <c r="A4551" t="inlineStr">
        <is>
          <t>Zobal F 200</t>
        </is>
      </c>
      <c r="B4551">
        <f>HYPERLINK("https://www.dofusbook.net/fr/equipement/4797479-zobal-f-200/objets", "link")</f>
        <v/>
      </c>
      <c r="C4551" t="n">
        <v>5</v>
      </c>
      <c r="D4551" t="inlineStr">
        <is>
          <t>Plume de Buhorado; Amulette du Strigide; Alliance Gloursonne; Bague Trithon; Bouclier précieux; Poulpagne; Masque d'Anerice; Cape d'Anerice; Bottes Trithon; Dofus Turquoise; Dofus Ocre; Dofus Abyssal; Dofus Émeraude; Dofus Ivoire; Bousculeur majeur; Gelutin</t>
        </is>
      </c>
    </row>
    <row r="4552">
      <c r="A4552" t="inlineStr">
        <is>
          <t>Zobal F 200</t>
        </is>
      </c>
      <c r="B4552">
        <f>HYPERLINK("https://www.dofusbook.net/fr/equipement/4786339-zobal-f-200/objets", "link")</f>
        <v/>
      </c>
      <c r="C4552" t="n">
        <v>5</v>
      </c>
      <c r="D4552" t="inlineStr">
        <is>
          <t>Rapière aux Glyphes; Amulette de l'Œil Attentif; Alliance Gloursonne; Bracelet des Fonds marins; Bouclier précieux; Ceinture de la Reine des Voleurs; Masque des Fonds marins; Cape Solution; Bottes de la Reine des Voleurs; Dofus Vulbis; Dofus des Glaces; Dofus Abyssal; Dofus Ocre; Dofus Ivoire; Bousculeur majeur; Écumouth</t>
        </is>
      </c>
    </row>
    <row r="4553">
      <c r="A4553" t="inlineStr">
        <is>
          <t>Stuff 1</t>
        </is>
      </c>
      <c r="B4553">
        <f>HYPERLINK("https://www.dofusbook.net/fr/equipement/107850-stuff-1/objets", "link")</f>
        <v/>
      </c>
      <c r="C4553" t="n">
        <v>8</v>
      </c>
      <c r="D4553" t="inlineStr">
        <is>
          <t>Arc du Chalœil; Torquistik; Baguistik; Goulano; Goulclier; Ceinture de Gein; Chapeau de Gein; Voile d'encre; Bottistik; Dofus Ocre; Dofus Turquoise; Dolmanax; Dofus Pourpre; Dofus des Glaces; Bousculeur majeur; Muldo Ebène et Pourpre</t>
        </is>
      </c>
    </row>
    <row r="4554">
      <c r="A4554" t="inlineStr">
        <is>
          <t>Xélor M 200</t>
        </is>
      </c>
      <c r="B4554">
        <f>HYPERLINK("https://www.dofusbook.net/fr/equipement/4771948-xelor-m-200/objets", "link")</f>
        <v/>
      </c>
      <c r="C4554" t="n">
        <v>6</v>
      </c>
      <c r="D4554" t="inlineStr">
        <is>
          <t>Arc de Koutoulou; Amulette du Strigide; Anneau Toriété; Alliance Gloursonne; Quatre-feuilles; Ceinture du Strigide; Némès de Tal Kasha; Chevelure de Tal Kasha; Sandales de Tal Kasha; Dolmanax; Dofus Ocre; Dofus Pourpre; Dofus des Glaces; Dofus Turquoise; Dofus Abyssal; Kokulte</t>
        </is>
      </c>
    </row>
    <row r="4555">
      <c r="A4555" t="inlineStr">
        <is>
          <t>Steamer M 200</t>
        </is>
      </c>
      <c r="B4555">
        <f>HYPERLINK("https://www.dofusbook.net/fr/equipement/4794609-steamer-m-200/objets", "link")</f>
        <v/>
      </c>
      <c r="C4555" t="n">
        <v>9</v>
      </c>
      <c r="D4555" t="inlineStr">
        <is>
          <t>Arc corrompu; Pendentif mignon de Koutoulou; Baguistik; Anneau Rifique; Bouclier du Stalak; Ceinture de l'Esprit Malsain; Casque Cyclopéen; Voile d'encre; Chaussures Ardentes; Dofus Abyssal; Dofus Ocre; Dofus Émeraude; Dofus Ivoire; Dofus Forgelave; Dofus des Glaces; Muldo Orchidée</t>
        </is>
      </c>
    </row>
    <row r="4556">
      <c r="A4556" t="inlineStr">
        <is>
          <t>Stuff 3</t>
        </is>
      </c>
      <c r="B4556">
        <f>HYPERLINK("https://www.dofusbook.net/fr/equipement/107852-stuff-3/objets", "link")</f>
        <v/>
      </c>
      <c r="C4556" t="n">
        <v>9</v>
      </c>
      <c r="D4556" t="inlineStr">
        <is>
          <t>Plume de Buhorado; Amibou; Alliance Gloursonne; Bague Trithon; Quatre-feuilles; Ceintouse; Chapibou; Capibou; Bottes Trithon; Dofus Turquoise; Dofus des Glaces; Dofus Ocre; Dofus Ivoire; Dofus Abyssal; Bousculeur majeur; Tofoudre</t>
        </is>
      </c>
    </row>
    <row r="4557">
      <c r="A4557" t="inlineStr">
        <is>
          <t>Zobal F 200</t>
        </is>
      </c>
      <c r="B4557">
        <f>HYPERLINK("https://www.dofusbook.net/fr/equipement/4786208-zobal-f-200/objets", "link")</f>
        <v/>
      </c>
      <c r="C4557" t="n">
        <v>4</v>
      </c>
      <c r="D4557" t="inlineStr">
        <is>
          <t>Couteaux Sacrificiels; Talisman Igans; Bague Trithon; Alliance Gloursonne; Bouclier précieux; Ceintrigue; Masque Paztek; Cape Paztek; Sandales Paztek; Dofus Ocre; Dofus Ivoire; Dofus des Glaces; Dofus Émeraude; Dofus Abyssal; Bousculeur majeur; Volkorne Rubis et Roux</t>
        </is>
      </c>
    </row>
    <row r="4558">
      <c r="A4558" t="inlineStr">
        <is>
          <t>Stuff 3</t>
        </is>
      </c>
      <c r="B4558">
        <f>HYPERLINK("https://www.dofusbook.net/fr/equipement/107885-stuff-3/objets", "link")</f>
        <v/>
      </c>
      <c r="C4558" t="n">
        <v>16</v>
      </c>
      <c r="D4558" t="inlineStr">
        <is>
          <t>Lav'Hache; Collier de Tourthon; Anneau Chevelu; Anneau Crustique; Sept ans de malheur; Ceinture de la Reine des Voleurs; Coiffe de la Reine des Voleurs; Voile d'encre; Sabots Minables; Dofus Émeraude; Dofus des Glaces; Dofus Pourpre; Dofus Ivoire; Dofus Ocre; Étourdisseur majeur; Muldo Ebène et Orchidée</t>
        </is>
      </c>
    </row>
    <row r="4559">
      <c r="A4559" t="inlineStr">
        <is>
          <t>Stuff 2</t>
        </is>
      </c>
      <c r="B4559">
        <f>HYPERLINK("https://www.dofusbook.net/fr/equipement/107884-stuff-2/objets", "link")</f>
        <v/>
      </c>
      <c r="C4559" t="n">
        <v>7</v>
      </c>
      <c r="D4559" t="inlineStr">
        <is>
          <t>Plumeau Bil; Pendentif mignon de Koutoulou; Anneau de Nidas; Anneau Rifique; Bouclier d'Ilyzaelle; Ceinture de l'Esprit Malsain; Heaume Oplate; Voile d'encre; Bottes Innommables; Dofus Pourpre; Dolmanax; Dofus Ocre; Dofus Émeraude; Dofus Ivoire; Obstructeur majeur; Muldo Orchidée</t>
        </is>
      </c>
    </row>
    <row r="4560">
      <c r="A4560" t="inlineStr">
        <is>
          <t>Stuff 2</t>
        </is>
      </c>
      <c r="B4560">
        <f>HYPERLINK("https://www.dofusbook.net/fr/equipement/107927-stuff-2/objets", "link")</f>
        <v/>
      </c>
      <c r="C4560" t="n">
        <v>1</v>
      </c>
      <c r="D4560" t="inlineStr">
        <is>
          <t>Pelle de Katrepat; Casquette de Meno; Cape de Meno; Pataugastrique</t>
        </is>
      </c>
    </row>
    <row r="4561">
      <c r="A4561" t="inlineStr">
        <is>
          <t>anebis</t>
        </is>
      </c>
      <c r="B4561">
        <f>HYPERLINK("https://www.dofusbook.net/fr/equipement/1748918-anebis/objets", "link")</f>
        <v/>
      </c>
      <c r="C4561" t="n">
        <v>1</v>
      </c>
      <c r="D4561" t="inlineStr"/>
    </row>
    <row r="4562">
      <c r="A4562" t="inlineStr">
        <is>
          <t>anerice</t>
        </is>
      </c>
      <c r="B4562">
        <f>HYPERLINK("https://www.dofusbook.net/fr/equipement/1748887-anerice/objets", "link")</f>
        <v/>
      </c>
      <c r="C4562" t="n">
        <v>7</v>
      </c>
      <c r="D4562" t="inlineStr">
        <is>
          <t>Manthache; Collier du Valet Veinard; Alliance Gloursonne; Gant du Valet Veinard; Bouclier du Stalak; Menoture; Masque d'Anerice; Cape d'Anerice; Palmes Trithons; Dofus Abyssal; Dofus Ocre; Dofus Pourpre; Dofus des Glaces; Dolmanax; Dofus Émeraude; Muldo Ebène</t>
        </is>
      </c>
    </row>
    <row r="4563">
      <c r="A4563" t="inlineStr">
        <is>
          <t>swain</t>
        </is>
      </c>
      <c r="B4563">
        <f>HYPERLINK("https://www.dofusbook.net/fr/equipement/1740302-swain/objets", "link")</f>
        <v/>
      </c>
      <c r="C4563" t="n">
        <v>4</v>
      </c>
      <c r="D4563" t="inlineStr">
        <is>
          <t>Baguette de Malléfisk; Amulette de Shokkoth; Alliance Gloursonne; Anneau de Nidas; Carapar; Poulpagne; Casquette de Meno; Capille; Bottes de Meno; Dofus Pourpre; Dolmanax; Érudit majeur; Remueur; Temporiseur majeur; Muldo Orchidée et Pourpre</t>
        </is>
      </c>
    </row>
    <row r="4564">
      <c r="A4564" t="inlineStr">
        <is>
          <t>Stuff 1</t>
        </is>
      </c>
      <c r="B4564">
        <f>HYPERLINK("https://www.dofusbook.net/fr/equipement/107906-stuff-1/objets", "link")</f>
        <v/>
      </c>
      <c r="C4564" t="n">
        <v>9</v>
      </c>
      <c r="D4564" t="inlineStr">
        <is>
          <t>Héqache; Amulette du Strigide; Bague Trithon; Alliance Gloursonne; Bouclier d'Anerice; Ceintouse; Chapoulpe; Cape d'Anerice; Tentassons; Dofus Turquoise; Dofus des Glaces; Dofus Pourpre; Dofus Ocre; Dofus Émeraude; Bloqueur majeur; Muldo Ebène et Indigo</t>
        </is>
      </c>
    </row>
    <row r="4565">
      <c r="A4565" t="inlineStr">
        <is>
          <t>recri</t>
        </is>
      </c>
      <c r="B4565">
        <f>HYPERLINK("https://www.dofusbook.net/fr/equipement/1528325-recri/objets", "link")</f>
        <v/>
      </c>
      <c r="C4565" t="n">
        <v>3</v>
      </c>
      <c r="D4565" t="inlineStr">
        <is>
          <t>Bâthon; Amulette de Gein; Baguistik; Anneau de Nidas; Goulclier; Ceinture de Gein; Chapeau de Gein; Voile d'encre; Goulbottes; Dofus des Glaces; Dofus Ocre; Dofus Abyssal; Dofus Pourpre; Dolmanax; Dofus Turquoise; Muldo Orchidée et Pourpre</t>
        </is>
      </c>
    </row>
    <row r="4566">
      <c r="A4566" t="inlineStr">
        <is>
          <t>rez</t>
        </is>
      </c>
      <c r="B4566">
        <f>HYPERLINK("https://www.dofusbook.net/fr/equipement/1528259-rez/objets", "link")</f>
        <v/>
      </c>
      <c r="C4566" t="n">
        <v>2</v>
      </c>
      <c r="D4566" t="inlineStr">
        <is>
          <t>Arc Nécrotique; Collier de la Dame du Hasard; Bracelet des Fonds marins; Alliance Gloursonne; Bouclier d'Anerice; Pagne du Rykaon; Masque d'Anerice; Cape de la Dame du Hasard; Bottes de la Dame du Hasard; Dolmanax; Dofus Turquoise; Dofus des Glaces; Dofus Ocre; Dofus Émeraude; Dofus Pourpre; Muldo Indigo et Orchidée</t>
        </is>
      </c>
    </row>
    <row r="4567">
      <c r="A4567" t="inlineStr">
        <is>
          <t>Stuff 2</t>
        </is>
      </c>
      <c r="B4567">
        <f>HYPERLINK("https://www.dofusbook.net/fr/equipement/107869-stuff-2/objets", "link")</f>
        <v/>
      </c>
      <c r="C4567" t="n">
        <v>4</v>
      </c>
      <c r="D4567" t="inlineStr">
        <is>
          <t>Marteau R'ture; Amulette du Strigide; Bracelet du Piloztère; Bague Gloursonne; Bouclier alvéolé; Ceinture du Strigide; Masque de Koutoulou; Voile d'encre; Bottes de la Cour Sombre; Dofus Abyssal; Dofus Ocre; Dofus Pourpre; Dofus Turquoise; Enragé majeur; Vigoureux majeur; Muldo Orchidée et Pourpre</t>
        </is>
      </c>
    </row>
    <row r="4568">
      <c r="A4568" t="inlineStr">
        <is>
          <t>Stuff 2</t>
        </is>
      </c>
      <c r="B4568">
        <f>HYPERLINK("https://www.dofusbook.net/fr/equipement/107963-stuff-2/objets", "link")</f>
        <v/>
      </c>
      <c r="C4568" t="n">
        <v>3</v>
      </c>
      <c r="D4568" t="inlineStr">
        <is>
          <t>Harpelle; Pendentif mignon de Koutoulou; Anneau de Nidas; Anneau Tique; Ceinture de Vortex; Cagoule de Vortex; Voile d'encre; Bottes Innommables; Muldo Ebène et Orchidée</t>
        </is>
      </c>
    </row>
    <row r="4569">
      <c r="A4569" t="inlineStr">
        <is>
          <t>Stuff 1</t>
        </is>
      </c>
      <c r="B4569">
        <f>HYPERLINK("https://www.dofusbook.net/fr/equipement/107962-stuff-1/objets", "link")</f>
        <v/>
      </c>
      <c r="C4569" t="n">
        <v>2</v>
      </c>
      <c r="D4569" t="inlineStr">
        <is>
          <t>Sceptre du Roi Joueur; Amulette de Shokkoth; Bracelet des Fonds marins; Alliance Gloursonne; Ceinture Glaciale; Kidibonnet; Chevelure de Tal Kasha; Sandales de Tal Kasha; Dofus Pourpre; Dofus Turquoise; Dofus Abyssal; Chanceux majeur; Remueur; Étourdisseur majeur; Muldo Indigo et Pourpre</t>
        </is>
      </c>
    </row>
    <row r="4570">
      <c r="A4570" t="inlineStr">
        <is>
          <t>kek2</t>
        </is>
      </c>
      <c r="B4570">
        <f>HYPERLINK("https://www.dofusbook.net/fr/equipement/200561-kek2/objets", "link")</f>
        <v/>
      </c>
      <c r="C4570" t="n">
        <v>4</v>
      </c>
      <c r="D4570" t="inlineStr">
        <is>
          <t>Arc de Koutoulou; Amulette du Strigide; Bracelet des Fonds marins; Alliance Gloursonne; Quatre-feuilles; Ceinture du Strigide; Némès de Tal Kasha; Chevelure de Tal Kasha; Sandales de Tal Kasha; Dofus Turquoise; Dolmanax; Dofus Nébuleux; Dofus des Glaces; Dofus Pourpre; Dofus Ocre; Muldo Ebène et Indigo</t>
        </is>
      </c>
    </row>
    <row r="4571">
      <c r="A4571" t="inlineStr">
        <is>
          <t>Stuff 1</t>
        </is>
      </c>
      <c r="B4571">
        <f>HYPERLINK("https://www.dofusbook.net/fr/equipement/107960-stuff-1/objets", "link")</f>
        <v/>
      </c>
      <c r="C4571" t="n">
        <v>10</v>
      </c>
      <c r="D4571" t="inlineStr">
        <is>
          <t>Héqache; Collier de Tourthon; Baguistik; Bague Gloursonne; Bouclier du Stalak; Ceinture de la Reine des Voleurs; Coiffe de la Reine des Voleurs; Ankhape; Sabots Minables; Dofus des Glaces; Dofus Pourpre; Dofus Abyssal; Vigoureux majeur; Enragé majeur; Remueur; Muldo Orchidée et Pourpre</t>
        </is>
      </c>
    </row>
    <row r="4572">
      <c r="A4572" t="inlineStr">
        <is>
          <t>rturebis</t>
        </is>
      </c>
      <c r="B4572">
        <f>HYPERLINK("https://www.dofusbook.net/fr/equipement/1446047-rturebis/objets", "link")</f>
        <v/>
      </c>
      <c r="C4572" t="n">
        <v>4</v>
      </c>
      <c r="D4572" t="inlineStr">
        <is>
          <t>Marteau R'ture; Amulette du Strigide; Anneau des égarés; Bague Gloursonne; Bouclier du Captain Amakna; Ceintacé; Casque des égarés; Voile d'encre; Bottes du Strigide; Dofus Pourpre; Dofus Abyssal; Dofus des Glaces; Dofus Turquoise; Dolmanax; Dofus Ocre; Muldo Pourpre</t>
        </is>
      </c>
    </row>
    <row r="4573">
      <c r="A4573" t="inlineStr">
        <is>
          <t>Stuff 2</t>
        </is>
      </c>
      <c r="B4573">
        <f>HYPERLINK("https://www.dofusbook.net/fr/equipement/107915-stuff-2/objets", "link")</f>
        <v/>
      </c>
      <c r="C4573" t="n">
        <v>5</v>
      </c>
      <c r="D4573" t="inlineStr">
        <is>
          <t>Sceptre du Roi Joueur; Amulette de Shokkoth; Alliance Gloursonne; Bracelet des Fonds marins; Sept ans de malheur; Poulpagne; Masque d'Anerice; Chevelure de Tal Kasha; Sandales de Tal Kasha; Dofus des Glaces; Dofus Abyssal; Dofus Turquoise; Remueur; Étourdisseur majeur; Muldo Ebène et Indigo</t>
        </is>
      </c>
    </row>
    <row r="4574">
      <c r="A4574" t="inlineStr">
        <is>
          <t>rezcri3</t>
        </is>
      </c>
      <c r="B4574">
        <f>HYPERLINK("https://www.dofusbook.net/fr/equipement/1255051-rezcri3/objets", "link")</f>
        <v/>
      </c>
      <c r="C4574" t="n">
        <v>3</v>
      </c>
      <c r="D4574" t="inlineStr">
        <is>
          <t>Dagues de Srambad; Collier de Tourthon; Alliance Gloursonne; Goulano; Goulclier; Ceinture de la Reine des Voleurs; Coiffe de la Reine des Voleurs; Voile d'encre; Sabots Minables; Dofus des Glaces; Dofus Abyssal; Dofus Pourpre; Dolmanax; Dofus Ocre; Muldo Ebène et Orchidée</t>
        </is>
      </c>
    </row>
    <row r="4575">
      <c r="A4575" t="inlineStr">
        <is>
          <t>Stuff 3</t>
        </is>
      </c>
      <c r="B4575">
        <f>HYPERLINK("https://www.dofusbook.net/fr/equipement/107937-stuff-3/objets", "link")</f>
        <v/>
      </c>
      <c r="C4575" t="n">
        <v>5</v>
      </c>
      <c r="D4575" t="inlineStr">
        <is>
          <t>Marteau des Anciens Steamers; Amulette du Strigide; Alliance Gloursonne; Bracelet des Fonds marins; Bouclier Taverne; Ceinture du Strigide; Némès de Tal Kasha; Chevelure de Tal Kasha; Sandales de Tal Kasha; Dofus Abyssal; Dofus des Glaces; Dolmanax; Dofus Ocre; Dofus Pourpre; Dofus Turquoise; Muldo Ebène et Indigo</t>
        </is>
      </c>
    </row>
    <row r="4576">
      <c r="A4576" t="inlineStr">
        <is>
          <t>Stuff 2</t>
        </is>
      </c>
      <c r="B4576">
        <f>HYPERLINK("https://www.dofusbook.net/fr/equipement/107910-stuff-2/objets", "link")</f>
        <v/>
      </c>
      <c r="C4576" t="n">
        <v>5</v>
      </c>
      <c r="D4576" t="inlineStr">
        <is>
          <t>Dagues de Srambad; Collier de Tourthon; Anneau Crustique; Alliance Gloursonne; Bouclier alvéolé; Ceinture de la Reine des Voleurs; Coiffe de la Reine des Voleurs; Voile d'encre; Baleinabottes; Dofus des Glaces; Dofus Ocre; Dofus Pourpre; Dolmanax; Dofus Émeraude; Étourdisseur majeur; Muldo Ebène et Pourpre</t>
        </is>
      </c>
    </row>
    <row r="4577">
      <c r="A4577" t="inlineStr">
        <is>
          <t>esqpa</t>
        </is>
      </c>
      <c r="B4577">
        <f>HYPERLINK("https://www.dofusbook.net/fr/equipement/1384947-esqpa/objets", "link")</f>
        <v/>
      </c>
      <c r="C4577" t="n">
        <v>4</v>
      </c>
      <c r="D4577" t="inlineStr">
        <is>
          <t>Arc de Koutoulou; Amulette du Strigide; Bracelet des Fonds marins; Alliance Gloursonne; Pagne du Rykaon; Némès de Tal Kasha; Chevelure de Tal Kasha; Pataugastrique; Dofus Pourpre; Dofus des Glaces; Dofus Turquoise; Remueur; Étourdisseur majeur; Vigoureux majeur; Muldo Ebène et Indigo</t>
        </is>
      </c>
    </row>
    <row r="4578">
      <c r="A4578" t="inlineStr">
        <is>
          <t>kek</t>
        </is>
      </c>
      <c r="B4578">
        <f>HYPERLINK("https://www.dofusbook.net/fr/equipement/108429-kek/objets", "link")</f>
        <v/>
      </c>
      <c r="C4578" t="n">
        <v>6</v>
      </c>
      <c r="D4578" t="inlineStr">
        <is>
          <t>Arc de Koutoulou; Amulette du Strigide; Alliance Gloursonne; Bracelet des Fonds marins; Cadran de Terre; Ceintacé; Némès de Tal Kasha; Chevelure de Tal Kasha; Sandales  d'Atcham; Dofus Pourpre; Dofus Turquoise; Dolmanax; Dofus des Glaces; Remueur; Étourdisseur majeur; Muldo Ebène</t>
        </is>
      </c>
    </row>
    <row r="4579">
      <c r="A4579" t="inlineStr">
        <is>
          <t>reine</t>
        </is>
      </c>
      <c r="B4579">
        <f>HYPERLINK("https://www.dofusbook.net/fr/equipement/1370922-reine/objets", "link")</f>
        <v/>
      </c>
      <c r="C4579" t="n">
        <v>4</v>
      </c>
      <c r="D4579" t="inlineStr">
        <is>
          <t>Hache Euvale; Amulette Luminescente; Alliance Gloursonne; Goulano; Goulclier; Ceinture de la Reine des Voleurs; Coiffe de la Reine des Voleurs; Voile d'encre; Goulbottes; Dofus Ocre; Dofus Abyssal; Dolmanax; Dofus Pourpre; Dofus des Glaces; Bousculeur majeur; Muldo Indigo et Orchidée</t>
        </is>
      </c>
    </row>
    <row r="4580">
      <c r="A4580" t="inlineStr">
        <is>
          <t>reut</t>
        </is>
      </c>
      <c r="B4580">
        <f>HYPERLINK("https://www.dofusbook.net/fr/equipement/1370386-reut/objets", "link")</f>
        <v/>
      </c>
      <c r="C4580" t="n">
        <v>8</v>
      </c>
      <c r="D4580" t="inlineStr">
        <is>
          <t>Sceptre du Roi Joueur; Amulette Voldelor; Alliance Gloursonne; Bracelet des Fonds marins; Bouclier du Mont Kipou; Menoture; Masque d'Anerice; Cape d'Anerice; Pataugastrique; Dofus Émeraude; Dofus Abyssal; Dofus des Glaces; Paralyseur majeur; Étourdisseur majeur; Muldo Ebène et Indigo</t>
        </is>
      </c>
    </row>
    <row r="4581">
      <c r="A4581" t="inlineStr">
        <is>
          <t>atcheum</t>
        </is>
      </c>
      <c r="B4581">
        <f>HYPERLINK("https://www.dofusbook.net/fr/equipement/1370330-atcheum/objets", "link")</f>
        <v/>
      </c>
      <c r="C4581" t="n">
        <v>8</v>
      </c>
      <c r="D4581" t="inlineStr">
        <is>
          <t>Sabres d'Atcham; Amulette du Strigide; Bague Gloursonne; Alliance Gloursonne; Bouclier d'Anerice; Ceinture du Strigide; Masque d'Anerice; Cape d'Atcham; Sandales  d'Atcham; Dofus Ocre; Dolmanax; Dofus Turquoise; Dofus des Glaces; Dofus Pourpre; Paralyseur majeur; Muldo Ebène et Orchidée</t>
        </is>
      </c>
    </row>
    <row r="4582">
      <c r="A4582" t="inlineStr">
        <is>
          <t>inveau</t>
        </is>
      </c>
      <c r="B4582">
        <f>HYPERLINK("https://www.dofusbook.net/fr/equipement/1357663-inveau/objets", "link")</f>
        <v/>
      </c>
      <c r="C4582" t="n">
        <v>7</v>
      </c>
      <c r="D4582" t="inlineStr">
        <is>
          <t>Sceptre du Roi Joueur; Amulette de Shokkoth; Alliance Gloursonne; Bracelet des Fonds marins; Sept ans de malheur; Ceinture du Barbétoal; Némès de Tal Kasha; Chevelure de Tal Kasha; Pataugastrique; Dofus Abyssal; Dofus des Glaces; Dofus Pourpre; Dofus Turquoise; Remueur; Étourdisseur majeur; Muldo Indigo</t>
        </is>
      </c>
    </row>
    <row r="4583">
      <c r="A4583" t="inlineStr">
        <is>
          <t>pevehem</t>
        </is>
      </c>
      <c r="B4583">
        <f>HYPERLINK("https://www.dofusbook.net/fr/equipement/1354719-pevehem/objets", "link")</f>
        <v/>
      </c>
      <c r="C4583" t="n">
        <v>5</v>
      </c>
      <c r="D4583" t="inlineStr">
        <is>
          <t>Arc du Chalœil; Amulette du Strigide; Alliance Gloursonne; Anneau des égarés; Quatre-feuilles; Ceinture du Strigide; Casque des égarés; Voile d'encre; Bottes du Strigide; Dofus des Glaces; Dofus Turquoise; Dolmanax; Dofus Ocre; Dofus Pourpre; Puissant majeur; Muldo Prune et Doré</t>
        </is>
      </c>
    </row>
    <row r="4584">
      <c r="A4584" t="inlineStr">
        <is>
          <t>anticancer</t>
        </is>
      </c>
      <c r="B4584">
        <f>HYPERLINK("https://www.dofusbook.net/fr/equipement/1001308-anticancer/objets", "link")</f>
        <v/>
      </c>
      <c r="C4584" t="n">
        <v>7</v>
      </c>
      <c r="D4584" t="inlineStr">
        <is>
          <t>Manthache; Collier du Valet Veinard; Gant du Valet Veinard; Alliance Gloursonne; Cadran de Terre; Ceintouse; Chapoulpe; Cape du Valet Veinard; Tentassons; Dofus Pourpre; Dofus des Glaces; Dofus Cawotte; Dolmanax; Dofus Abyssal; Dofus Ocre; Muldo Ebène</t>
        </is>
      </c>
    </row>
    <row r="4585">
      <c r="A4585" t="inlineStr">
        <is>
          <t>foulair</t>
        </is>
      </c>
      <c r="B4585">
        <f>HYPERLINK("https://www.dofusbook.net/fr/equipement/1046810-foulair/objets", "link")</f>
        <v/>
      </c>
      <c r="C4585" t="n">
        <v>11</v>
      </c>
      <c r="D4585" t="inlineStr">
        <is>
          <t>Manthache; Collier du Valet Veinard; Alliance Gloursonne; Gant du Valet Veinard; Bouclier du Stalak; Menoture; Coiffe de la Reine des Voleurs; Cape du Valet Veinard; Bottes de la Reine des Voleurs; Dofus Émeraude; Dolmanax; Dofus Pourpre; Dofus des Glaces; Dofus Abyssal; Equilibriste majeur; Muldo Ebène et Orchidée</t>
        </is>
      </c>
    </row>
    <row r="4586">
      <c r="A4586" t="inlineStr">
        <is>
          <t>rezcribis</t>
        </is>
      </c>
      <c r="B4586">
        <f>HYPERLINK("https://www.dofusbook.net/fr/equipement/1326058-rezcribis/objets", "link")</f>
        <v/>
      </c>
      <c r="C4586" t="n">
        <v>6</v>
      </c>
      <c r="D4586" t="inlineStr">
        <is>
          <t>Dagoulinantes; Amulette Voldelor; Alliance Gloursonne; Bracelet des Fonds marins; Sept ans de malheur; Ceinture de la Reine des Voleurs; Masque du Barbétoal; Cape Matelassée; Bottes de la Reine des Voleurs; Dolmanax; Dofus des Glaces; Dofus Pourpre; Chanceux majeur; Étourdisseur majeur; Remueur; Muldo Ebène</t>
        </is>
      </c>
    </row>
    <row r="4587">
      <c r="A4587" t="inlineStr">
        <is>
          <t>recri</t>
        </is>
      </c>
      <c r="B4587">
        <f>HYPERLINK("https://www.dofusbook.net/fr/equipement/1323824-recri/objets", "link")</f>
        <v/>
      </c>
      <c r="C4587" t="n">
        <v>1</v>
      </c>
      <c r="D4587" t="inlineStr">
        <is>
          <t>Plumeau Bil; Pendentif mignon de Koutoulou; Baguistik; Anneau Rifique; Ceinture de Vortex; Casque Cyclopéen; Voile d'encre; Bottistik; Dofus Émeraude; Dolmanax; Dofus Turquoise; Dofus Ocre; Dofus Pourpre; Dofus des Glaces; Muldo Ebène et Pourpre</t>
        </is>
      </c>
    </row>
    <row r="4588">
      <c r="A4588" t="inlineStr">
        <is>
          <t>Stuff 2</t>
        </is>
      </c>
      <c r="B4588">
        <f>HYPERLINK("https://www.dofusbook.net/fr/equipement/107872-stuff-2/objets", "link")</f>
        <v/>
      </c>
      <c r="C4588" t="n">
        <v>1</v>
      </c>
      <c r="D4588" t="inlineStr">
        <is>
          <t>Marteau de Katrepat; Amulette du Strigide; Alliance Gloursonne; Bague Gloursonne; Bouclier du Captain Amakna; Ceintacé; Casque du Chalœil; Cape du Chalœil; Bottes du Strigide; Dofus Pourpre; Dofus des Glaces; Dofus Abyssal; Dofus Turquoise; Dolmanax; Dofus Ocre; Muldo Ebène et Orchidée</t>
        </is>
      </c>
    </row>
    <row r="4589">
      <c r="A4589" t="inlineStr">
        <is>
          <t>Stuff 3</t>
        </is>
      </c>
      <c r="B4589">
        <f>HYPERLINK("https://www.dofusbook.net/fr/equipement/107849-stuff-3/objets", "link")</f>
        <v/>
      </c>
      <c r="C4589" t="n">
        <v>1</v>
      </c>
      <c r="D4589" t="inlineStr"/>
    </row>
    <row r="4590">
      <c r="A4590" t="inlineStr">
        <is>
          <t>pvm</t>
        </is>
      </c>
      <c r="B4590">
        <f>HYPERLINK("https://www.dofusbook.net/fr/equipement/1294644-pvm/objets", "link")</f>
        <v/>
      </c>
      <c r="C4590" t="n">
        <v>4</v>
      </c>
      <c r="D4590" t="inlineStr">
        <is>
          <t>Hache Euvale; Amulette Luminescente; Alliance Gloursonne; Bague Gloursonne; Bouclier précieux; Ceinture de la Reine des Voleurs; Coiffe de la Reine des Voleurs; Cape Luminescente; Sabots Minables; Dofus des Glaces; Dofus Émeraude; Dofus Turquoise; Dofus Ocre; Dofus Pourpre; Bousculeur majeur; Muldo Ebène et Orchidée</t>
        </is>
      </c>
    </row>
    <row r="4591">
      <c r="A4591" t="inlineStr">
        <is>
          <t>classe</t>
        </is>
      </c>
      <c r="B4591">
        <f>HYPERLINK("https://www.dofusbook.net/fr/equipement/1273113-classe/objets", "link")</f>
        <v/>
      </c>
      <c r="C4591" t="n">
        <v>4</v>
      </c>
      <c r="D4591" t="inlineStr">
        <is>
          <t>Manthache; Collier du Valet Veinard; Alliance Gloursonne; Gant du Valet Veinard; Sept ans de malheur; Menoture; Casque Cyclopéen; Cape du Kamasterisk; Bottes Hairo; Dofus des Glaces; Dofus Abyssal; Dofus Émeraude; Remueur; Cascadeur majeur; Étourdisseur majeur; Muldo Ebène et Indigo</t>
        </is>
      </c>
    </row>
    <row r="4592">
      <c r="A4592" t="inlineStr">
        <is>
          <t>rezcri4</t>
        </is>
      </c>
      <c r="B4592">
        <f>HYPERLINK("https://www.dofusbook.net/fr/equipement/1272757-rezcri4/objets", "link")</f>
        <v/>
      </c>
      <c r="C4592" t="n">
        <v>4</v>
      </c>
      <c r="D4592" t="inlineStr">
        <is>
          <t>Manthache; Collier du Valet Veinard; Anneau des égarés; Alliance Gloursonne; Bouclier du Stalak; Menoture; Coiffe de la Reine des Voleurs; Cape du Kamasterisk; Bottes de la Reine des Voleurs; Dofus Abyssal; Dofus Pourpre; Dolmanax; Dofus des Glaces; Cascadeur majeur; Remueur; Muldo Ebène</t>
        </is>
      </c>
    </row>
    <row r="4593">
      <c r="A4593" t="inlineStr">
        <is>
          <t>Stuff 2</t>
        </is>
      </c>
      <c r="B4593">
        <f>HYPERLINK("https://www.dofusbook.net/fr/equipement/107918-stuff-2/objets", "link")</f>
        <v/>
      </c>
      <c r="C4593" t="n">
        <v>3</v>
      </c>
      <c r="D4593" t="inlineStr">
        <is>
          <t>Manthache; Collier du Valet Veinard; Alliance Gloursonne; Gant du Valet Veinard; Cadran d'Air; Menoture; Casque Cyclopéen; Cape du Kamasterisk; Palmes Trithons; Dofus Ocre; Dofus Émeraude; Dofus Pourpre; Dofus Abyssal; Cascadeur majeur; Déserteur majeur; Muldo Ebène et Orchidée</t>
        </is>
      </c>
    </row>
    <row r="4594">
      <c r="A4594" t="inlineStr">
        <is>
          <t>oeir</t>
        </is>
      </c>
      <c r="B4594">
        <f>HYPERLINK("https://www.dofusbook.net/fr/equipement/1260786-oeir/objets", "link")</f>
        <v/>
      </c>
      <c r="C4594" t="n">
        <v>3</v>
      </c>
      <c r="D4594" t="inlineStr">
        <is>
          <t>Arc de Koutoulou; Amulette Voldelor; Alliance Gloursonne; Gant du Valet Veinard; Bouclier du Stalak; Ceinture de la Reine des Voleurs; Némès de Tal Kasha; Cape Matelassée; Bottes de la Reine des Voleurs; Dofus des Glaces; Dolmanax; Dofus Pourpre; Vigoureux majeur; Remueur; Miraculé majeur; Muldo Ebène</t>
        </is>
      </c>
    </row>
    <row r="4595">
      <c r="A4595" t="inlineStr">
        <is>
          <t>Stuff 3</t>
        </is>
      </c>
      <c r="B4595">
        <f>HYPERLINK("https://www.dofusbook.net/fr/equipement/107858-stuff-3/objets", "link")</f>
        <v/>
      </c>
      <c r="C4595" t="n">
        <v>8</v>
      </c>
      <c r="D4595" t="inlineStr">
        <is>
          <t>Rapière aux Glyphes; Talisman Igans; Bracelet des Fonds marins; Alliance Gloursonne; Bouclier du Stalak; Ceinture de la Reine des Voleurs; Kidibonnet; Cape de la Dame du Hasard; Bottes de la Reine des Voleurs; Dofus des Glaces; Dofus Pourpre; Dofus Turquoise; Chanceux majeur; Carapace Air majeur; Remueur; Muldo Ebène et Orchidée</t>
        </is>
      </c>
    </row>
    <row r="4596">
      <c r="A4596" t="inlineStr">
        <is>
          <t>rezcri</t>
        </is>
      </c>
      <c r="B4596">
        <f>HYPERLINK("https://www.dofusbook.net/fr/equipement/1252861-rezcri/objets", "link")</f>
        <v/>
      </c>
      <c r="C4596" t="n">
        <v>4</v>
      </c>
      <c r="D4596" t="inlineStr">
        <is>
          <t>Épée de la Reine des Voleurs; Amulette du Kamasterisk; Bague Gloursonne; Alliance Gloursonne; Bouclier Taverne; Ceinture de la Reine des Voleurs; Coiffe de la Reine des Voleurs; Cape du Kamasterisk; Bottes du Kamasterisk; Dofus Pourpre; Dofus Ocre; Dofus Émeraude; Dofus des Glaces; Dofus Abyssal; Dolmanax; Kramkram</t>
        </is>
      </c>
    </row>
    <row r="4597">
      <c r="A4597" t="inlineStr">
        <is>
          <t>Stuff 3</t>
        </is>
      </c>
      <c r="B4597">
        <f>HYPERLINK("https://www.dofusbook.net/fr/equipement/107882-stuff-3/objets", "link")</f>
        <v/>
      </c>
      <c r="C4597" t="n">
        <v>12</v>
      </c>
      <c r="D4597" t="inlineStr">
        <is>
          <t>Arc de Koutoulou; Amulette du Strigide; Alliance Gloursonne; Bracelet des Fonds marins; Quatre-feuilles; Ceinture du Strigide; Némès de Tal Kasha; Chevelure de Tal Kasha; Sandales de Tal Kasha; Dofus Turquoise; Dofus des Glaces; Dofus Abyssal; Dofus Ocre; Dofus Pourpre; Dolmanax; Muldo Prune et Emeraude</t>
        </is>
      </c>
    </row>
    <row r="4598">
      <c r="A4598" t="inlineStr">
        <is>
          <t>Stuff 3</t>
        </is>
      </c>
      <c r="B4598">
        <f>HYPERLINK("https://www.dofusbook.net/fr/equipement/107879-stuff-3/objets", "link")</f>
        <v/>
      </c>
      <c r="C4598" t="n">
        <v>12</v>
      </c>
      <c r="D4598" t="inlineStr">
        <is>
          <t>Epée Toche; Amulette du Strigide; Baguistik; Bague Gloursonne; Bouclier du Captain Amakna; Ceinture du Strigide; Masque de Koutoulou; Voile d'encre; Bottes de la Cour Sombre; Dofus Pourpre; Dofus des Glaces; Dofus Turquoise; Vigoureux majeur; Nomade; Remueur; Kramkram</t>
        </is>
      </c>
    </row>
    <row r="4599">
      <c r="A4599" t="inlineStr">
        <is>
          <t>tlkshpvm</t>
        </is>
      </c>
      <c r="B4599">
        <f>HYPERLINK("https://www.dofusbook.net/fr/equipement/1183544-tlkshpvm/objets", "link")</f>
        <v/>
      </c>
      <c r="C4599" t="n">
        <v>2</v>
      </c>
      <c r="D4599" t="inlineStr">
        <is>
          <t>Marteau des Anciens Steamers; Amulette du Strigide; Alliance Gloursonne; Bracelet des Fonds marins; Quatre-feuilles; Ceinture du Strigide; Némès de Tal Kasha; Chevelure de Tal Kasha; Bottes du Strigide; Dofus Turquoise; Dofus des Glaces; Dolmanax; Dofus Ocre; Dofus Pourpre; Dofus Abyssal; Muldo Ebène et Indigo</t>
        </is>
      </c>
    </row>
    <row r="4600">
      <c r="A4600" t="inlineStr">
        <is>
          <t>hachehel</t>
        </is>
      </c>
      <c r="B4600">
        <f>HYPERLINK("https://www.dofusbook.net/fr/equipement/1179968-hachehel/objets", "link")</f>
        <v/>
      </c>
      <c r="C4600" t="n">
        <v>1</v>
      </c>
      <c r="D4600" t="inlineStr">
        <is>
          <t>Rapière aux Glyphes; Amulette Hale; Alliance Gloursonne; Anneau Glacial; Quatre-feuilles; Ceinture Glaciale; Casqnoar; Cape Matelassée; Sandales Circulaires du Kimbo; Dofus Abyssal; Dofus Pourpre; Dofus Ocre; Dofus des Glaces; Dofus Turquoise; Chanceux majeur; Muldo Ebène et Indigo</t>
        </is>
      </c>
    </row>
    <row r="4601">
      <c r="A4601" t="inlineStr">
        <is>
          <t>hemel2</t>
        </is>
      </c>
      <c r="B4601">
        <f>HYPERLINK("https://www.dofusbook.net/fr/equipement/1160635-hemel2/objets", "link")</f>
        <v/>
      </c>
      <c r="C4601" t="n">
        <v>1</v>
      </c>
      <c r="D4601" t="inlineStr">
        <is>
          <t>Epée du Dragoeuf; Gruchette; Bracelet du Chef Bwork; Anneau Cérémonial du Seigneur des Rats; Bouclier du Sadida; Cacture; Solomonk; Capterre; Bottines en bois d'abrakleur; Dofus des Glaces; Dofus Émeraude; Dofus Abyssal; Dofus Ocre; Remueur; Nomade; Muldo Orchidée et Pourpre</t>
        </is>
      </c>
    </row>
    <row r="4602">
      <c r="A4602" t="inlineStr">
        <is>
          <t>reine</t>
        </is>
      </c>
      <c r="B4602">
        <f>HYPERLINK("https://www.dofusbook.net/fr/equipement/1161078-reine/objets", "link")</f>
        <v/>
      </c>
      <c r="C4602" t="n">
        <v>5</v>
      </c>
      <c r="D4602" t="inlineStr">
        <is>
          <t>Héqache; Amulette du Kamasterisk; Bague Gloursonne; Alliance Gloursonne; Bouclier du Stalak; Ceinture de la Reine des Voleurs; Coiffe de la Reine des Voleurs; Cape du Kamasterisk; Bottes du Kamasterisk; Dofus Pourpre; Dofus des Glaces; Dofus Émeraude; Dofus Abyssal; Dolmanax; Dofus Ocre; Muldo Ebène et Orchidée</t>
        </is>
      </c>
    </row>
    <row r="4603">
      <c r="A4603" t="inlineStr">
        <is>
          <t>ega</t>
        </is>
      </c>
      <c r="B4603">
        <f>HYPERLINK("https://www.dofusbook.net/fr/equipement/1161020-ega/objets", "link")</f>
        <v/>
      </c>
      <c r="C4603" t="n">
        <v>3</v>
      </c>
      <c r="D4603" t="inlineStr">
        <is>
          <t>Épée de la Reine des Voleurs; Amulette du Strigide; Anneau des égarés; Alliance Gloursonne; Bouclier du Stalak; Ceinture du Strigide; Casque des égarés; Cape du Kamasterisk; Bottes des égarés; Dofus Abyssal; Dofus des Glaces; Dofus Émeraude; Dofus Pourpre; Dofus Ocre; Dofus Turquoise; Muldo Orchidée et Pourpre</t>
        </is>
      </c>
    </row>
    <row r="4604">
      <c r="A4604" t="inlineStr">
        <is>
          <t>hemel3</t>
        </is>
      </c>
      <c r="B4604">
        <f>HYPERLINK("https://www.dofusbook.net/fr/equipement/1160863-hemel3/objets", "link")</f>
        <v/>
      </c>
      <c r="C4604" t="n">
        <v>3</v>
      </c>
      <c r="D4604" t="inlineStr">
        <is>
          <t>Marteau de la Vigie Pirate; La Meulette; Anneau Cérémonial du Seigneur des Rats; Anneau de Cantile; Le Karde Cœur; Ceinture du Frelon Noir; Masque du Frelon Noir; Sandales Gorithme; Dofus Pourpre; Dofus des Glaces; Dofus Émeraude; Dofus Abyssal; Dofus Ocre; Remueur; Muldo Orchidée et Pourpre</t>
        </is>
      </c>
    </row>
    <row r="4605">
      <c r="A4605" t="inlineStr">
        <is>
          <t>hemel</t>
        </is>
      </c>
      <c r="B4605">
        <f>HYPERLINK("https://www.dofusbook.net/fr/equipement/1160577-hemel/objets", "link")</f>
        <v/>
      </c>
      <c r="C4605" t="n">
        <v>1</v>
      </c>
      <c r="D4605" t="inlineStr">
        <is>
          <t>L'Épée Nice; Amulette Nécrotique; Anneau de XLII; Bracelet Ventré; Cadran d'Air; Ceinture de XLII; Chapeau Lichinelle; Cape Nécrotique; Bottes de XLII; Dofus Émeraude; Dofus Abyssal; Dolmanax; Dofus Ocre; Dofus Pourpre; Dofus des Glaces; Muldo Pourpre</t>
        </is>
      </c>
    </row>
    <row r="4606">
      <c r="A4606" t="inlineStr">
        <is>
          <t>Stuff 3</t>
        </is>
      </c>
      <c r="B4606">
        <f>HYPERLINK("https://www.dofusbook.net/fr/equipement/107911-stuff-3/objets", "link")</f>
        <v/>
      </c>
      <c r="C4606" t="n">
        <v>6</v>
      </c>
      <c r="D4606" t="inlineStr">
        <is>
          <t>Bâthon; Amulette de Gein; Bague Gloursonne; Chevalière du Roi Joueur; Bouclier alvéolé; Ceinture de Gein; Chapeau de Gein; Voile d'encre; Bottes du Roi Joueur; Dofus Pourpre; Dofus Ocre; Dofus Émeraude; Dofus des Glaces; Dolmanax; Dofus Turquoise; Muldo Pourpre</t>
        </is>
      </c>
    </row>
    <row r="4607">
      <c r="A4607" t="inlineStr">
        <is>
          <t>statu</t>
        </is>
      </c>
      <c r="B4607">
        <f>HYPERLINK("https://www.dofusbook.net/fr/equipement/1138184-statu/objets", "link")</f>
        <v/>
      </c>
      <c r="C4607" t="n">
        <v>8</v>
      </c>
      <c r="D4607" t="inlineStr">
        <is>
          <t>Arc Nécrotique; Talisman Igans; Anneau Tique; Alliance Gloursonne; Bouclier cubiste; Ceintacé; Casquette de Meno; Cape de la Dame du Hasard; Bottes de Meno; Dofus Pourpre; Dofus des Glaces; Dofus Turquoise; Temporiseur majeur; Remueur; Vigoureux majeur; Muldo Prune et Doré</t>
        </is>
      </c>
    </row>
    <row r="4608">
      <c r="A4608" t="inlineStr">
        <is>
          <t>rture</t>
        </is>
      </c>
      <c r="B4608">
        <f>HYPERLINK("https://www.dofusbook.net/fr/equipement/1130782-rture/objets", "link")</f>
        <v/>
      </c>
      <c r="C4608" t="n">
        <v>4</v>
      </c>
      <c r="D4608" t="inlineStr">
        <is>
          <t>Marteau R'ture; Amulette du Strigide; Anneau Chevelu; Bague Gloursonne; Bouclier du Captain Amakna; Ceinture du Strigide; Masque de Koutoulou; Voile d'encre; Bottes de la Cour Sombre; Dofus Pourpre; Dofus Turquoise; Dofus Émeraude; Remueur; Enragé majeur; Vigoureux majeur; Muldo Orchidée et Pourpre</t>
        </is>
      </c>
    </row>
    <row r="4609">
      <c r="A4609" t="inlineStr">
        <is>
          <t>Stuff 1</t>
        </is>
      </c>
      <c r="B4609">
        <f>HYPERLINK("https://www.dofusbook.net/fr/equipement/107935-stuff-1/objets", "link")</f>
        <v/>
      </c>
      <c r="C4609" t="n">
        <v>7</v>
      </c>
      <c r="D4609" t="inlineStr">
        <is>
          <t>Rapière aux Glyphes; Amulette de Shokkoth; Bracelet des Fonds marins; Alliance Gloursonne; Poulpagne; Casque Dragoeuf; Cape de Mantaze; Sandales des Fonds marins; Dofus Pourpre; Dofus des Glaces; Dofus Turquoise; Dofus Abyssal; Chanceux majeur; Remueur; Muldo Indigo</t>
        </is>
      </c>
    </row>
    <row r="4610">
      <c r="A4610" t="inlineStr">
        <is>
          <t>plibou</t>
        </is>
      </c>
      <c r="B4610">
        <f>HYPERLINK("https://www.dofusbook.net/fr/equipement/1102234-plibou/objets", "link")</f>
        <v/>
      </c>
      <c r="C4610" t="n">
        <v>2</v>
      </c>
      <c r="D4610" t="inlineStr">
        <is>
          <t>Hachoirs de Viandargh; Amibou; Gant du Valet Veinard; Alliance Gloursonne; Quatre-feuilles; Menoture; Capuche de Moum-Ra; Capibou; Palmes Trithons; Dofus Pourpre; Dofus des Glaces; Dofus Turquoise; Dofus Abyssal; Dofus Ocre; Cascadeur majeur; Muldo Ebène</t>
        </is>
      </c>
    </row>
    <row r="4611">
      <c r="A4611" t="inlineStr">
        <is>
          <t>Stuff 1</t>
        </is>
      </c>
      <c r="B4611">
        <f>HYPERLINK("https://www.dofusbook.net/fr/equipement/107938-stuff-1/objets", "link")</f>
        <v/>
      </c>
      <c r="C4611" t="n">
        <v>2</v>
      </c>
      <c r="D4611" t="inlineStr">
        <is>
          <t>Hache Euvale; Amulette du Piloztère; Goulano; Alliance Gloursonne; Bouclier du Stalak; Ceinture de la Reine des Voleurs; Coiffe de la Reine des Voleurs; Voile d'encre; Sabots Minables; Dofus des Glaces; Dolmanax; Dofus Pourpre; Dofus Ocre; Remueur; Culbuteur majeur; Muldo Ebène et Orchidée</t>
        </is>
      </c>
    </row>
    <row r="4612">
      <c r="A4612" t="inlineStr">
        <is>
          <t>tair</t>
        </is>
      </c>
      <c r="B4612">
        <f>HYPERLINK("https://www.dofusbook.net/fr/equipement/1074743-tair/objets", "link")</f>
        <v/>
      </c>
      <c r="C4612" t="n">
        <v>4</v>
      </c>
      <c r="D4612" t="inlineStr">
        <is>
          <t>Arc du Chalœil; Amulette du Strigide; Bracelet du Piloztère; Bague Gloursonne; Quatre-feuilles; Ceintouse; Masque de Koutoulou; Voile d'encre; Tentassons; Dofus Pourpre; Dofus Turquoise; Dofus Émeraude; Enragé majeur; Vigoureux majeur; Remueur; Muldo Indigo et Pourpre</t>
        </is>
      </c>
    </row>
    <row r="4613">
      <c r="A4613" t="inlineStr">
        <is>
          <t>Stuff 3</t>
        </is>
      </c>
      <c r="B4613">
        <f>HYPERLINK("https://www.dofusbook.net/fr/equipement/107905-stuff-3/objets", "link")</f>
        <v/>
      </c>
      <c r="C4613" t="n">
        <v>3</v>
      </c>
      <c r="D4613" t="inlineStr">
        <is>
          <t>Pelle de Nidas; Amulette de l'Indicible; Alliance Gloursonne; Bague Gloursonne; Bouclier du Stalak; Ceinture de l'Indicible; Coiffe de la Reine des Voleurs; Capchalot; Bottes de la Reine des Voleurs; Dofus Pourpre; Dolmanax; Dofus Émeraude; Dofus des Glaces; Dofus Ocre; Dofus Abyssal; Muldo Ebène et Pourpre</t>
        </is>
      </c>
    </row>
    <row r="4614">
      <c r="A4614" t="inlineStr">
        <is>
          <t>tlksh</t>
        </is>
      </c>
      <c r="B4614">
        <f>HYPERLINK("https://www.dofusbook.net/fr/equipement/1088879-tlksh/objets", "link")</f>
        <v/>
      </c>
      <c r="C4614" t="n">
        <v>1</v>
      </c>
      <c r="D4614" t="inlineStr">
        <is>
          <t>Marteau des Anciens Steamers; Amulette Voldelor; Alliance Gloursonne; Gant du Valet Veinard; Quatre-feuilles; Ceinture Voldelor; Némès de Tal Kasha; Chevelure de Tal Kasha; Sandales de Tal Kasha; Dofus Turquoise; Dofus des Glaces; Dofus Abyssal; Dofus Ocre; Dofus Pourpre; Dolmanax; Muldo Ebène</t>
        </is>
      </c>
    </row>
    <row r="4615">
      <c r="A4615" t="inlineStr">
        <is>
          <t>Stuff 1</t>
        </is>
      </c>
      <c r="B4615">
        <f>HYPERLINK("https://www.dofusbook.net/fr/equipement/107880-stuff-1/objets", "link")</f>
        <v/>
      </c>
      <c r="C4615" t="n">
        <v>3</v>
      </c>
      <c r="D4615" t="inlineStr">
        <is>
          <t>Pelle de Nidas; Amulette du Kamasterisk; Alliance Gloursonne; Bague Gloursonne; Quatre-feuilles; Ceinture de la Reine des Voleurs; Coiffe de la Reine des Voleurs; Cape du Kamasterisk; Bottes du Kamasterisk; Dolmanax; Dofus Turquoise; Dofus Pourpre; Dofus Ocre; Dofus des Glaces; Dofus Nébuleux; Muldo Doré et Ebène</t>
        </is>
      </c>
    </row>
    <row r="4616">
      <c r="A4616" t="inlineStr">
        <is>
          <t>Stuff 2</t>
        </is>
      </c>
      <c r="B4616">
        <f>HYPERLINK("https://www.dofusbook.net/fr/equipement/107904-stuff-2/objets", "link")</f>
        <v/>
      </c>
      <c r="C4616" t="n">
        <v>1</v>
      </c>
      <c r="D4616" t="inlineStr">
        <is>
          <t>Héqache; Amulette de l'Indicible; Alliance Gloursonne; Anneau des égarés; Bouclier à hélice; Ceintacé; Chapoulpe; Cape du Kamasterisk; Bottes des égarés; Dofus Ocre; Dofus Émeraude; Dofus Abyssal; Dolmanax; Carapace Air majeur; Nomade; Muldo Pourpre</t>
        </is>
      </c>
    </row>
    <row r="4617">
      <c r="A4617" t="inlineStr">
        <is>
          <t>ter/r</t>
        </is>
      </c>
      <c r="B4617">
        <f>HYPERLINK("https://www.dofusbook.net/fr/equipement/1074901-ter-r/objets", "link")</f>
        <v/>
      </c>
      <c r="C4617" t="n">
        <v>6</v>
      </c>
      <c r="D4617" t="inlineStr">
        <is>
          <t>Arc du Chalœil; Amulette du Strigide; Bague Gloursonne; Anneau des égarés; Quatre-feuilles; Ceintacé; Casque des égarés; Voile d'encre; Bottes du Strigide; Dofus des Glaces; Dofus Pourpre; Dofus Ocre; Dolmanax; Dofus Turquoise; Muldo Pourpre</t>
        </is>
      </c>
    </row>
    <row r="4618">
      <c r="A4618" t="inlineStr">
        <is>
          <t>Stuff 1</t>
        </is>
      </c>
      <c r="B4618">
        <f>HYPERLINK("https://www.dofusbook.net/fr/equipement/107926-stuff-1/objets", "link")</f>
        <v/>
      </c>
      <c r="C4618" t="n">
        <v>2</v>
      </c>
      <c r="D4618" t="inlineStr">
        <is>
          <t>Marteau Phossile; Pendentif mignon de Koutoulou; Anneau Rifique; Alliance Gloursonne; Bouclier du Cycloïde; Ceinture de Vortex; Cagoule de Vortex; Voile d'encre; Sabots de Vortex; Dofus Émeraude; Dofus Ocre; Dofus Pourpre; Dolmanax; Dofus Turquoise; Dofus des Glaces; Muldo Ebène</t>
        </is>
      </c>
    </row>
    <row r="4619">
      <c r="A4619" t="inlineStr">
        <is>
          <t>Stuff 3</t>
        </is>
      </c>
      <c r="B4619">
        <f>HYPERLINK("https://www.dofusbook.net/fr/equipement/107876-stuff-3/objets", "link")</f>
        <v/>
      </c>
      <c r="C4619" t="n">
        <v>7</v>
      </c>
      <c r="D4619" t="inlineStr">
        <is>
          <t>Héqache; Torquistik; Bague Gloursonne; Pikano; Bouclier à hélice; Ceinture de la Reine des Voleurs; Coiffe de la Reine des Voleurs; Voile d'encre; Tentassons; Dofus des Glaces; Dofus Émeraude; Dofus Abyssal; Dofus Ocre; Dolmanax; Remueur; Muldo Ebène et Pourpre</t>
        </is>
      </c>
    </row>
    <row r="4620">
      <c r="A4620" t="inlineStr">
        <is>
          <t>Stuff 1</t>
        </is>
      </c>
      <c r="B4620">
        <f>HYPERLINK("https://www.dofusbook.net/fr/equipement/107847-stuff-1/objets", "link")</f>
        <v/>
      </c>
      <c r="C4620" t="n">
        <v>4</v>
      </c>
      <c r="D4620" t="inlineStr">
        <is>
          <t>Pelle de la Cour Sombre; Amibou; Alliance Gloursonne; Gant du Valet Veinard; Bouclier Taverne; Menoture; Capuche de Moum-Ra; Capibou; Palmes Trithons; Dofus Émeraude; Dofus Turquoise; Dofus Pourpre; Cascadeur majeur; Remueur; Miraculé majeur; Muldo Ebène</t>
        </is>
      </c>
    </row>
    <row r="4621">
      <c r="A4621" t="inlineStr">
        <is>
          <t>reut</t>
        </is>
      </c>
      <c r="B4621">
        <f>HYPERLINK("https://www.dofusbook.net/fr/equipement/1058007-reut/objets", "link")</f>
        <v/>
      </c>
      <c r="C4621" t="n">
        <v>18</v>
      </c>
      <c r="D4621" t="inlineStr">
        <is>
          <t>Héqache; Amulette du Strigide; Bracelet du Piloztère; Anneau Crustique; Sept ans de malheur; Ceintouse; Masque de Koutoulou; Cape du Kamasterisk; Tentassons; Dofus Turquoise; Dofus Pourpre; Dofus Ocre; Dofus Émeraude; Dofus des Glaces; Étourdisseur majeur; Muldo Indigo et Orchidée</t>
        </is>
      </c>
    </row>
    <row r="4622">
      <c r="A4622" t="inlineStr">
        <is>
          <t>ofe</t>
        </is>
      </c>
      <c r="B4622">
        <f>HYPERLINK("https://www.dofusbook.net/fr/equipement/1053679-ofe/objets", "link")</f>
        <v/>
      </c>
      <c r="C4622" t="n">
        <v>11</v>
      </c>
      <c r="D4622" t="inlineStr">
        <is>
          <t>Pyraguette; Talisman Igans; Anneauræus; Alliance Gloursonne; Bouclier à hélice; Ceintrigue; Casqnoar; Cape de la Dame du Hasard; Pataugastrique; Dofus Émeraude; Dolmanax; Dofus Pourpre; Dofus des Glaces; Carapace Feu majeur; Remueur; Muldo Indigo et Orchidée</t>
        </is>
      </c>
    </row>
    <row r="4623">
      <c r="A4623" t="inlineStr">
        <is>
          <t>feu</t>
        </is>
      </c>
      <c r="B4623">
        <f>HYPERLINK("https://www.dofusbook.net/fr/equipement/1052633-feu/objets", "link")</f>
        <v/>
      </c>
      <c r="C4623" t="n">
        <v>8</v>
      </c>
      <c r="D4623" t="inlineStr">
        <is>
          <t>Plumeau Bil; Pendentif affamé; Bague Gloursonne; Anneau Rifique; Bouclier à hélice; Ceinture de Vortex; Casque Cyclopéen; Voile d'encre; Bottes Innommables; Dofus des Glaces; Dofus Pourpre; Dofus Émeraude; Dofus Ocre; Érudit majeur; Remueur; Muldo Orchidée et Pourpre</t>
        </is>
      </c>
    </row>
    <row r="4624">
      <c r="A4624" t="inlineStr">
        <is>
          <t>Stuff 1</t>
        </is>
      </c>
      <c r="B4624">
        <f>HYPERLINK("https://www.dofusbook.net/fr/equipement/107859-stuff-1/objets", "link")</f>
        <v/>
      </c>
      <c r="C4624" t="n">
        <v>4</v>
      </c>
      <c r="D4624" t="inlineStr">
        <is>
          <t>Arc du Chalœil; Amulette du Strigide; Bracelet du Piloztère; Bague Gloursonne; Quatre-feuilles; Ceinture de la Cour Sombre; Masque de Koutoulou; Voile d'encre; Bottes de la Cour Sombre; Dofus Émeraude; Dofus Turquoise; Dofus Pourpre; Dofus Ocre; Enragé majeur; Vigoureux majeur; Muldo Indigo et Pourpre</t>
        </is>
      </c>
    </row>
    <row r="4625">
      <c r="A4625" t="inlineStr">
        <is>
          <t>Stuff 1</t>
        </is>
      </c>
      <c r="B4625">
        <f>HYPERLINK("https://www.dofusbook.net/fr/equipement/107841-stuff-1/objets", "link")</f>
        <v/>
      </c>
      <c r="C4625" t="n">
        <v>5</v>
      </c>
      <c r="D4625" t="inlineStr">
        <is>
          <t>Héqache; Amulette du Kamasterisk; Bague Gloursonne; Alliance Gloursonne; Bouclier alvéolé; Ceinture de la Reine des Voleurs; Coiffe de la Reine des Voleurs; Cape du Kamasterisk; Bottes du Kamasterisk; Dofus Pourpre; Dofus Ocre; Dofus Émeraude; Dolmanax; Dofus Turquoise; Dofus des Glaces; Muldo Ebène et Orchidée</t>
        </is>
      </c>
    </row>
    <row r="4626">
      <c r="A4626" t="inlineStr">
        <is>
          <t>Stuff 3</t>
        </is>
      </c>
      <c r="B4626">
        <f>HYPERLINK("https://www.dofusbook.net/fr/equipement/107934-stuff-3/objets", "link")</f>
        <v/>
      </c>
      <c r="C4626" t="n">
        <v>4</v>
      </c>
      <c r="D4626" t="inlineStr">
        <is>
          <t>Hachoirs de Viandargh; Amibou; Alliance Gloursonne; Gant du Valet Veinard; Bouclier du Captain Amakna; Menoture; Chapibou; Cape Indescriptible; Palmes Trithons; Dofus Émeraude; Dofus des Glaces; Dofus Turquoise; Dofus Pourpre; Dofus Ocre; Cascadeur majeur; Muldo Ebène</t>
        </is>
      </c>
    </row>
    <row r="4627">
      <c r="A4627" t="inlineStr">
        <is>
          <t>kefer</t>
        </is>
      </c>
      <c r="B4627">
        <f>HYPERLINK("https://www.dofusbook.net/fr/equipement/1032046-kefer/objets", "link")</f>
        <v/>
      </c>
      <c r="C4627" t="n">
        <v>6</v>
      </c>
      <c r="D4627" t="inlineStr">
        <is>
          <t>Sceptre du Roi Joueur; Amulette Cryochrone; Bracelet des Fonds marins; Alliance Gloursonne; Quatre-feuilles; Pagne du Rykaon; Némès de Tal Kasha; Chevelure de Tal Kasha; Pataugastrique; Dofus Turquoise; Dolmanax; Dofus Ocre; Dofus Pourpre; Dofus des Glaces; Vigoureux majeur; Muldo Ebène et Indigo</t>
        </is>
      </c>
    </row>
    <row r="4628">
      <c r="A4628" t="inlineStr">
        <is>
          <t>kefer2</t>
        </is>
      </c>
      <c r="B4628">
        <f>HYPERLINK("https://www.dofusbook.net/fr/equipement/1040944-kefer2/objets", "link")</f>
        <v/>
      </c>
      <c r="C4628" t="n">
        <v>16</v>
      </c>
      <c r="D4628" t="inlineStr">
        <is>
          <t>Dagues Érhy; Amulette du Strigide; Chevalière du Roi Joueur; Bracelet du Piloztère; Quatre-feuilles; Ceintacé; Chapeau de Gein; Voile d'encre; Bottes du Strigide; Dofus des Glaces; Dofus Ocre; Dofus Pourpre; Dofus Turquoise; Vigoureux majeur; Nomade; Muldo Ebène et Pourpre</t>
        </is>
      </c>
    </row>
    <row r="4629">
      <c r="A4629" t="inlineStr">
        <is>
          <t>fulfe</t>
        </is>
      </c>
      <c r="B4629">
        <f>HYPERLINK("https://www.dofusbook.net/fr/equipement/1027739-fulfe/objets", "link")</f>
        <v/>
      </c>
      <c r="C4629" t="n">
        <v>4</v>
      </c>
      <c r="D4629" t="inlineStr">
        <is>
          <t>Plumeau Bil; Pendentif mignon de Koutoulou; Anneau de Nidas; Baguistik; Bouclier cubiste; Ceinture de Vortex; Casque Cyclopéen; Voile d'encre; Bottes Innommables; Dofus des Glaces; Dolmanax; Dofus Ocre; Remueur; Astucieux majeur; Érudit majeur; Muldo Ebène et Pourpre</t>
        </is>
      </c>
    </row>
    <row r="4630">
      <c r="A4630" t="inlineStr">
        <is>
          <t>Stuff 3</t>
        </is>
      </c>
      <c r="B4630">
        <f>HYPERLINK("https://www.dofusbook.net/fr/equipement/107916-stuff-3/objets", "link")</f>
        <v/>
      </c>
      <c r="C4630" t="n">
        <v>3</v>
      </c>
      <c r="D4630" t="inlineStr">
        <is>
          <t>Manthache; Collier du Valet Veinard; Alliance Gloursonne; Gant du Valet Veinard; Cadran d'Air; Menoture; Casque Cyclopéen; Cape du Kamasterisk; Palmes Trithons; Dofus Abyssal; Dofus Pourpre; Dofus des Glaces; Carapace Air majeur; Cascadeur majeur; Remueur; Muldo Indigo et Orchidée</t>
        </is>
      </c>
    </row>
    <row r="4631">
      <c r="A4631" t="inlineStr">
        <is>
          <t>Stuff 3</t>
        </is>
      </c>
      <c r="B4631">
        <f>HYPERLINK("https://www.dofusbook.net/fr/equipement/107914-stuff-3/objets", "link")</f>
        <v/>
      </c>
      <c r="C4631" t="n">
        <v>35</v>
      </c>
      <c r="D4631" t="inlineStr">
        <is>
          <t>Marteau des égarés; Amulette du Strigide; Bracelet du Piloztère; Alliance Gloursonne; Bouclier Taverne; Ceintacé; Le Dorado; Dofusteuse; Bottes du Strigide; Dofus Pourpre; Dofus Turquoise; Dolmanax; Dofus des Glaces; Vigoureux majeur; Nomade; Kramkram</t>
        </is>
      </c>
    </row>
    <row r="4632">
      <c r="A4632" t="inlineStr">
        <is>
          <t>marto</t>
        </is>
      </c>
      <c r="B4632">
        <f>HYPERLINK("https://www.dofusbook.net/fr/equipement/780237-marto/objets", "link")</f>
        <v/>
      </c>
      <c r="C4632" t="n">
        <v>8</v>
      </c>
      <c r="D4632" t="inlineStr">
        <is>
          <t>Marteau Phossile; Amulette du Strigide; Alliance Gloursonne; Anneau de Padgref; Bouclier Taverne; Ceinture de Vortex; Cagoule de Vortex; Voile d'encre; Pataugastrique; Dofus Émeraude; Dofus Pourpre; Dofus Turquoise; Nomade; Remueur; Étourdisseur majeur; Kramkram</t>
        </is>
      </c>
    </row>
    <row r="4633">
      <c r="A4633" t="inlineStr">
        <is>
          <t>baguette</t>
        </is>
      </c>
      <c r="B4633">
        <f>HYPERLINK("https://www.dofusbook.net/fr/equipement/779944-baguette/objets", "link")</f>
        <v/>
      </c>
      <c r="C4633" t="n">
        <v>4</v>
      </c>
      <c r="D4633" t="inlineStr">
        <is>
          <t>Baguette Range; Amulette du Strigide; Anneau de Padgref; Alliance Gloursonne; Quatre-feuilles; Ceinture du Strigide; Coiffe de Padgref; Voile d'encre; Getas de Padgref; Dofus Turquoise; Dofus des Glaces; Dofus Nébuleux; Dofus Ocre; Dofus Pourpre; Dolmanax; Muldo Prune et Emeraude</t>
        </is>
      </c>
    </row>
    <row r="4634">
      <c r="A4634" t="inlineStr">
        <is>
          <t>Stuff 1</t>
        </is>
      </c>
      <c r="B4634">
        <f>HYPERLINK("https://www.dofusbook.net/fr/equipement/107874-stuff-1/objets", "link")</f>
        <v/>
      </c>
      <c r="C4634" t="n">
        <v>5</v>
      </c>
      <c r="D4634" t="inlineStr">
        <is>
          <t>Dagues Érhy; Amulette du Strigide; Alliance du Lévitrof; Bague Gloursonne; Bouclier Taverne; Ceinture de Gein; Chapeau de Gein; Voile d'encre; Sabots Minables; Dolmanax; Dofus Turquoise; Dofus des Glaces; Dofus Ocre; Dofus Émeraude; Enragé majeur; Muldo Pourpre</t>
        </is>
      </c>
    </row>
    <row r="4635">
      <c r="A4635" t="inlineStr">
        <is>
          <t>Stuff 2</t>
        </is>
      </c>
      <c r="B4635">
        <f>HYPERLINK("https://www.dofusbook.net/fr/equipement/107875-stuff-2/objets", "link")</f>
        <v/>
      </c>
      <c r="C4635" t="n">
        <v>4</v>
      </c>
      <c r="D4635" t="inlineStr">
        <is>
          <t>Plumeau Bil; Pendentif affamé; Anneau de Nidas; Anneau Tique; Cadran de Feu; Ceinture de Vortex; Couronne de Nidas; Voile d'encre; Bottes Innommables; Dolmanax; Dofus Abyssal; Dofus Ocre; Érudit majeur; Déserteur majeur; Remueur; Muldo Ebène et Orchidée</t>
        </is>
      </c>
    </row>
    <row r="4636">
      <c r="A4636" t="inlineStr">
        <is>
          <t>Stuff 2</t>
        </is>
      </c>
      <c r="B4636">
        <f>HYPERLINK("https://www.dofusbook.net/fr/equipement/107924-stuff-2/objets", "link")</f>
        <v/>
      </c>
      <c r="C4636" t="n">
        <v>10</v>
      </c>
      <c r="D4636" t="inlineStr">
        <is>
          <t>Sabres d'Atcham; Amulette du Strigide; Anneau Tique; Alliance Gloursonne; Menoture; Chapeau des Malveilleurs; Voile d'encre; Sandales  d'Atcham; Dofus des Glaces; Dofus Pourpre; Dolmanax; Dofus Turquoise; Remueur; Vigoureux majeur</t>
        </is>
      </c>
    </row>
    <row r="4637">
      <c r="A4637" t="inlineStr">
        <is>
          <t>Stuff 3</t>
        </is>
      </c>
      <c r="B4637">
        <f>HYPERLINK("https://www.dofusbook.net/fr/equipement/107957-stuff-3/objets", "link")</f>
        <v/>
      </c>
      <c r="C4637" t="n">
        <v>2</v>
      </c>
      <c r="D4637" t="inlineStr">
        <is>
          <t>Arc de Koutoulou; Amulette Voldelor; Gant du Valet Veinard; Alliance Gloursonne; Ceinture du Barbétoal; Kidibonnet; Dofusteuse; Bottes Voldelor; Dofus Nébuleux; Dofus Pourpre; Dofus Turquoise; Dolmanax; Nomade; Remueur; Kramkram</t>
        </is>
      </c>
    </row>
    <row r="4638">
      <c r="A4638" t="inlineStr">
        <is>
          <t>Stuff 3</t>
        </is>
      </c>
      <c r="B4638">
        <f>HYPERLINK("https://www.dofusbook.net/fr/equipement/107919-stuff-3/objets", "link")</f>
        <v/>
      </c>
      <c r="C4638" t="n">
        <v>2</v>
      </c>
      <c r="D4638" t="inlineStr">
        <is>
          <t>Épée de la Reine des Voleurs; Amulette du Strigide; Alliance Gloursonne; Anneau des égarés; Bouclier du Stalak; Ceinture de l'Indicible; Masque de Koutoulou; Cape du Kamasterisk; Bottes des égarés; Dofus Turquoise; Dofus des Glaces; Dofus Pourpre; Dofus Abyssal; Déserteur majeur; Remueur; Muldo Ebène et Indigo</t>
        </is>
      </c>
    </row>
    <row r="4639">
      <c r="A4639" t="inlineStr">
        <is>
          <t>Stuff 1</t>
        </is>
      </c>
      <c r="B4639">
        <f>HYPERLINK("https://www.dofusbook.net/fr/equipement/107952-stuff-1/objets", "link")</f>
        <v/>
      </c>
      <c r="C4639" t="n">
        <v>4</v>
      </c>
      <c r="D4639" t="inlineStr">
        <is>
          <t>Héqache; Collier de Tourthon; Bague Gloursonne; Pikano; Ceinture de la Reine des Voleurs; Coiffe de la Reine des Voleurs; Cape au Logis; Bottes de la Cour Sombre; Dofus Abyssal; Dofus des Glaces; Dofus Émeraude; Dofus Ocre; Remueur; Enragé majeur; Kramkram</t>
        </is>
      </c>
    </row>
    <row r="4640">
      <c r="A4640" t="inlineStr">
        <is>
          <t>Stuff 1</t>
        </is>
      </c>
      <c r="B4640">
        <f>HYPERLINK("https://www.dofusbook.net/fr/equipement/107912-stuff-1/objets", "link")</f>
        <v/>
      </c>
      <c r="C4640" t="n">
        <v>3</v>
      </c>
      <c r="D4640" t="inlineStr">
        <is>
          <t>Pelle de Nidas; Amulette du Strigide; Alliance Gloursonne; Pikano; Ceinture de la Reine des Voleurs; Coiffe de la Reine des Voleurs; Cape du Chalœil; Baleinabottes; Dolmanax; Dofus Turquoise; Dofus Pourpre; Nomade; Remueur; Temporiseur majeur; Kramkram</t>
        </is>
      </c>
    </row>
    <row r="4641">
      <c r="A4641" t="inlineStr">
        <is>
          <t>Stuff 2</t>
        </is>
      </c>
      <c r="B4641">
        <f>HYPERLINK("https://www.dofusbook.net/fr/equipement/107944-stuff-2/objets", "link")</f>
        <v/>
      </c>
      <c r="C4641" t="n">
        <v>1</v>
      </c>
      <c r="D4641" t="inlineStr">
        <is>
          <t>Sabres d'Atcham; Amulette de l'Indicible; Anneau Tique; Alliance Gloursonne; Ceinture de l'Indicible; Chapeau des Malveilleurs; Voilamibe; Pataugastrique; Dofus Pourpre; Dofus des Glaces; Féroce majeur; Sanguinaire majeur; Vigoureux majeur; Remueur; Kramkram</t>
        </is>
      </c>
    </row>
    <row r="4642">
      <c r="A4642" t="inlineStr">
        <is>
          <t>Stuff 2</t>
        </is>
      </c>
      <c r="B4642">
        <f>HYPERLINK("https://www.dofusbook.net/fr/equipement/107907-stuff-2/objets", "link")</f>
        <v/>
      </c>
      <c r="C4642" t="n">
        <v>9</v>
      </c>
      <c r="D4642" t="inlineStr">
        <is>
          <t>Arc Nécrotique; Talisman Igans; Anneau Tique; Alliance Gloursonne; Ceinture du Glourséleste; Chapeau des Malveilleurs; Cape des Malveilleurs; Pataugastrique; Dolmanax; Dofus des Glaces; Dofus Pourpre; Carapace Feu majeur; Remueur; Nomade; Kramkram</t>
        </is>
      </c>
    </row>
    <row r="4643">
      <c r="A4643" t="inlineStr">
        <is>
          <t>Stuff 2</t>
        </is>
      </c>
      <c r="B4643">
        <f>HYPERLINK("https://www.dofusbook.net/fr/equipement/107939-stuff-2/objets", "link")</f>
        <v/>
      </c>
      <c r="C4643" t="n">
        <v>3</v>
      </c>
      <c r="D4643" t="inlineStr">
        <is>
          <t>Hache du Chalœil; Amulette du Strigide; Bague Trithon; Alliance Gloursonne; Ceintacé; Casque du Chalœil; Voile d'encre; Bottes du Strigide; Dofus des Glaces; Dofus Pourpre; Dolmanax; Dofus Turquoise; Remueur; Nomade; Kramkram</t>
        </is>
      </c>
    </row>
    <row r="4644">
      <c r="A4644" t="inlineStr">
        <is>
          <t>Stuff 3</t>
        </is>
      </c>
      <c r="B4644">
        <f>HYPERLINK("https://www.dofusbook.net/fr/equipement/107902-stuff-3/objets", "link")</f>
        <v/>
      </c>
      <c r="C4644" t="n">
        <v>1</v>
      </c>
      <c r="D4644" t="inlineStr">
        <is>
          <t>Baguette de Malléfisk; Pendentif affamé; Anneauræus; Anneau de Nidas; Ceinture Séculaire; Casque Cyclopéen; Voile d'encre; Tongues de Nidas; Dofus Abyssal; Dofus Ocre; Carapace Terre majeur; Déserteur majeur; Remueur; Érudit majeur</t>
        </is>
      </c>
    </row>
    <row r="4645">
      <c r="A4645" t="inlineStr">
        <is>
          <t>Stuff 1</t>
        </is>
      </c>
      <c r="B4645">
        <f>HYPERLINK("https://www.dofusbook.net/fr/equipement/107897-stuff-1/objets", "link")</f>
        <v/>
      </c>
      <c r="C4645" t="n">
        <v>4</v>
      </c>
      <c r="D4645" t="inlineStr">
        <is>
          <t>Manthache; Collier du Valet Veinard; Alliance Gloursonne; Gant du Valet Veinard; Menoture; Casque Cyclopéen; Cape du Kamasterisk; Palmes Trithons; Dofus Pourpre; Dofus Émeraude; Remueur; Cascadeur majeur; Vigoureux majeur; Nomade; Kramkram</t>
        </is>
      </c>
    </row>
    <row r="4646">
      <c r="A4646" t="inlineStr">
        <is>
          <t>Stuff 1</t>
        </is>
      </c>
      <c r="B4646">
        <f>HYPERLINK("https://www.dofusbook.net/fr/equipement/107929-stuff-1/objets", "link")</f>
        <v/>
      </c>
      <c r="C4646" t="n">
        <v>2</v>
      </c>
      <c r="D4646" t="inlineStr">
        <is>
          <t>Arc Hétype; Pendentif affamé; Anneau Tique; Anneau de Nidas; Ceinture de Gein; Couronne de Nidas; Voile d'encre; Bottes Innommables; Dofus Abyssal; Dofus Ocre; Temporiseur majeur; Érudit majeur; Déserteur majeur; Remueur</t>
        </is>
      </c>
    </row>
    <row r="4647">
      <c r="A4647" t="inlineStr">
        <is>
          <t>Stuff 2</t>
        </is>
      </c>
      <c r="B4647">
        <f>HYPERLINK("https://www.dofusbook.net/fr/equipement/107924-stuff-2/objets", "link")</f>
        <v/>
      </c>
      <c r="C4647" t="n">
        <v>10</v>
      </c>
      <c r="D4647" t="inlineStr">
        <is>
          <t>Sabres d'Atcham; Amulette du Strigide; Anneau Tique; Alliance Gloursonne; Menoture; Chapeau des Malveilleurs; Voile d'encre; Sandales  d'Atcham; Dofus Pourpre; Dolmanax; Dofus Turquoise; Dofus des Glaces; Vigoureux majeur; Remueur</t>
        </is>
      </c>
    </row>
    <row r="4648">
      <c r="A4648" t="inlineStr">
        <is>
          <t>Stuff 3</t>
        </is>
      </c>
      <c r="B4648">
        <f>HYPERLINK("https://www.dofusbook.net/fr/equipement/107957-stuff-3/objets", "link")</f>
        <v/>
      </c>
      <c r="C4648" t="n">
        <v>2</v>
      </c>
      <c r="D4648" t="inlineStr">
        <is>
          <t>Arc de Koutoulou; Amulette Voldelor; Gant du Valet Veinard; Alliance Gloursonne; Ceinture du Barbétoal; Kidibonnet; Dofusteuse; Bottes Voldelor; Dofus Nébuleux; Dofus Pourpre; Dofus Turquoise; Dolmanax; Nomade; Remueur; Kramkram</t>
        </is>
      </c>
    </row>
    <row r="4649">
      <c r="A4649" t="inlineStr">
        <is>
          <t>Stuff 3</t>
        </is>
      </c>
      <c r="B4649">
        <f>HYPERLINK("https://www.dofusbook.net/fr/equipement/107919-stuff-3/objets", "link")</f>
        <v/>
      </c>
      <c r="C4649" t="n">
        <v>2</v>
      </c>
      <c r="D4649" t="inlineStr">
        <is>
          <t>Épée de la Reine des Voleurs; Amulette du Strigide; Anneau des égarés; Alliance Gloursonne; Bouclier du Stalak; Ceinture de l'Indicible; Masque de Koutoulou; Cape du Kamasterisk; Bottes des égarés; Dofus des Glaces; Dofus Pourpre; Dofus Abyssal; Dofus Turquoise; Déserteur majeur; Remueur; Muldo Ebène et Indigo</t>
        </is>
      </c>
    </row>
    <row r="4650">
      <c r="A4650" t="inlineStr">
        <is>
          <t>Stuff 1</t>
        </is>
      </c>
      <c r="B4650">
        <f>HYPERLINK("https://www.dofusbook.net/fr/equipement/107952-stuff-1/objets", "link")</f>
        <v/>
      </c>
      <c r="C4650" t="n">
        <v>4</v>
      </c>
      <c r="D4650" t="inlineStr">
        <is>
          <t>Héqache; Collier de Tourthon; Bague Gloursonne; Pikano; Ceinture de la Reine des Voleurs; Coiffe de la Reine des Voleurs; Cape au Logis; Bottes de la Cour Sombre; Dofus Abyssal; Dofus des Glaces; Dofus Émeraude; Dofus Ocre; Remueur; Enragé majeur; Kramkram</t>
        </is>
      </c>
    </row>
    <row r="4651">
      <c r="A4651" t="inlineStr">
        <is>
          <t>Stuff 2</t>
        </is>
      </c>
      <c r="B4651">
        <f>HYPERLINK("https://www.dofusbook.net/fr/equipement/107947-stuff-2/objets", "link")</f>
        <v/>
      </c>
      <c r="C4651" t="n">
        <v>4</v>
      </c>
      <c r="D4651" t="inlineStr">
        <is>
          <t>Héqache; Collier de Tourthon; Bague Gloursonne; Pikano; Ceinture de la Reine des Voleurs; Coiffe de la Reine des Voleurs; Voile d'encre; Baleinabottes; Dofus des Glaces; Dofus Émeraude; Dofus Abyssal; Enragé majeur; Déserteur majeur; Remueur</t>
        </is>
      </c>
    </row>
    <row r="4652">
      <c r="A4652" t="inlineStr">
        <is>
          <t>Stuff 1</t>
        </is>
      </c>
      <c r="B4652">
        <f>HYPERLINK("https://www.dofusbook.net/fr/equipement/107909-stuff-1/objets", "link")</f>
        <v/>
      </c>
      <c r="C4652" t="n">
        <v>6</v>
      </c>
      <c r="D4652" t="inlineStr">
        <is>
          <t>Pelle de la Cour Sombre; Collier du Valet Veinard; Alliance Gloursonne; Gant du Valet Veinard; Bouclier alvéolé; Ceintouse; Chapoulpe; Cape du Valet Veinard; Tentassons; Dolmanax; Dofus Émeraude; Dofus Ocre; Dofus des Glaces; Dofus Abyssal; Dofus Pourpre; Muldo Ebène</t>
        </is>
      </c>
    </row>
    <row r="4653">
      <c r="A4653" t="inlineStr">
        <is>
          <t>Stuff 1</t>
        </is>
      </c>
      <c r="B4653">
        <f>HYPERLINK("https://www.dofusbook.net/fr/equipement/107941-stuff-1/objets", "link")</f>
        <v/>
      </c>
      <c r="C4653" t="n">
        <v>1</v>
      </c>
      <c r="D4653" t="inlineStr">
        <is>
          <t>Arc de Koutoulou; Amulette du Strigide; Gant du Valet Veinard; Alliance Gloursonne; Ceinture Voldelor; Kidibonnet; Chevelure de Tal Kasha; Bottes du Strigide; Dofus Pourpre; Dofus Turquoise; Dolmanax; Dofus Émeraude; Remueur; Vigoureux majeur; Muldo Ebène et Indigo</t>
        </is>
      </c>
    </row>
    <row r="4654">
      <c r="A4654" t="inlineStr">
        <is>
          <t>Stuff 2</t>
        </is>
      </c>
      <c r="B4654">
        <f>HYPERLINK("https://www.dofusbook.net/fr/equipement/107936-stuff-2/objets", "link")</f>
        <v/>
      </c>
      <c r="C4654" t="n">
        <v>9</v>
      </c>
      <c r="D4654" t="inlineStr">
        <is>
          <t>Sabres d'Atcham; Amulette du Strigide; Anneau de Padgref; Alliance Gloursonne; Ceintacé; Chapeau des Malveilleurs; Voile d'encre; Sandales  d'Atcham; Dofus Pourpre; Dolmanax; Dofus Turquoise; Miraculé majeur; Nomade; Étourdisseur majeur; Kramkram</t>
        </is>
      </c>
    </row>
    <row r="4655">
      <c r="A4655" t="inlineStr">
        <is>
          <t>Stuff 3</t>
        </is>
      </c>
      <c r="B4655">
        <f>HYPERLINK("https://www.dofusbook.net/fr/equipement/107899-stuff-3/objets", "link")</f>
        <v/>
      </c>
      <c r="C4655" t="n">
        <v>6</v>
      </c>
      <c r="D4655" t="inlineStr">
        <is>
          <t>Sabres d'Atcham; Amulette du Strigide; Anneau Tique; Alliance Gloursonne; Ceintacé; Chapeau des Malveilleurs; Dofusteuse; Sandales  d'Atcham; Dofus Pourpre; Dofus Émeraude; Dofus Turquoise; Dolmanax; Remueur; Nomade; Kramkram</t>
        </is>
      </c>
    </row>
    <row r="4656">
      <c r="A4656" t="inlineStr">
        <is>
          <t>Stuff 3</t>
        </is>
      </c>
      <c r="B4656">
        <f>HYPERLINK("https://www.dofusbook.net/fr/equipement/107931-stuff-3/objets", "link")</f>
        <v/>
      </c>
      <c r="C4656" t="n">
        <v>2</v>
      </c>
      <c r="D4656" t="inlineStr">
        <is>
          <t>Dagues de Srambad; Amulette Luminescente; Alliance Gloursonne; Pikano; Ceinture Luminescente; Casquipik; Cape Luminescente; Pikottes; Dolmanax; Dofus Pourpre; Dofus Ocre; Dofus des Glaces; Ralentisseur majeur; Entraveur majeur</t>
        </is>
      </c>
    </row>
    <row r="4657">
      <c r="A4657" t="inlineStr">
        <is>
          <t>Stuff 1</t>
        </is>
      </c>
      <c r="B4657">
        <f>HYPERLINK("https://www.dofusbook.net/fr/equipement/107964-stuff-1/objets", "link")</f>
        <v/>
      </c>
      <c r="C4657" t="n">
        <v>4</v>
      </c>
      <c r="D4657" t="inlineStr">
        <is>
          <t>Marteau Phossile; Amulette du Strigide; Alliance Gloursonne; Anneau de Padgref; Bouclier Taverne; Ceinture du Strigide; Masque d'Anerice; Cape d'Anerice; Bottes du Strigide; Dofus Pourpre; Dolmanax; Dofus Turquoise; Dofus Abyssal; Dofus Ocre; Dofus des Glaces; Muldo Ebène et Indigo</t>
        </is>
      </c>
    </row>
    <row r="4658">
      <c r="A4658" t="inlineStr">
        <is>
          <t>Stuff 1</t>
        </is>
      </c>
      <c r="B4658">
        <f>HYPERLINK("https://www.dofusbook.net/fr/equipement/107894-stuff-1/objets", "link")</f>
        <v/>
      </c>
      <c r="C4658" t="n">
        <v>3</v>
      </c>
      <c r="D4658" t="inlineStr">
        <is>
          <t>Dagues de Srambad; Kralamansion; Alliance Gloursonne; Pikano; Ceinture de la Reine des Voleurs; Coiffe de la Reine des Voleurs; Voile d'encre; Baleinabottes; Dofus Pourpre; Dofus des Glaces; Dolmanax; Nomade; Remueur; Temporiseur majeur; Kramkram</t>
        </is>
      </c>
    </row>
    <row r="4659">
      <c r="A4659" t="inlineStr">
        <is>
          <t>Stuff 3</t>
        </is>
      </c>
      <c r="B4659">
        <f>HYPERLINK("https://www.dofusbook.net/fr/equipement/107931-stuff-3/objets", "link")</f>
        <v/>
      </c>
      <c r="C4659" t="n">
        <v>2</v>
      </c>
      <c r="D4659" t="inlineStr">
        <is>
          <t>Dagues de Srambad; Amulette Luminescente; Alliance Gloursonne; Pikano; Ceinture Luminescente; Casquipik; Cape Luminescente; Pikottes; Dofus des Glaces; Dolmanax; Dofus Pourpre; Dofus Ocre; Entraveur majeur; Ralentisseur majeur</t>
        </is>
      </c>
    </row>
    <row r="4660">
      <c r="A4660" t="inlineStr">
        <is>
          <t>Stuff 1</t>
        </is>
      </c>
      <c r="B4660">
        <f>HYPERLINK("https://www.dofusbook.net/fr/equipement/107964-stuff-1/objets", "link")</f>
        <v/>
      </c>
      <c r="C4660" t="n">
        <v>4</v>
      </c>
      <c r="D4660" t="inlineStr">
        <is>
          <t>Marteau Phossile; Amulette du Strigide; Alliance Gloursonne; Anneau de Padgref; Bouclier Taverne; Ceinture du Strigide; Masque d'Anerice; Cape d'Anerice; Bottes du Strigide; Dofus Pourpre; Dolmanax; Dofus Turquoise; Dofus Abyssal; Dofus Ocre; Dofus des Glaces; Muldo Ebène et Indigo</t>
        </is>
      </c>
    </row>
    <row r="4661">
      <c r="A4661" t="inlineStr">
        <is>
          <t>Stuff 3</t>
        </is>
      </c>
      <c r="B4661">
        <f>HYPERLINK("https://www.dofusbook.net/fr/equipement/107899-stuff-3/objets", "link")</f>
        <v/>
      </c>
      <c r="C4661" t="n">
        <v>6</v>
      </c>
      <c r="D4661" t="inlineStr">
        <is>
          <t>Sabres d'Atcham; Amulette du Strigide; Anneau Tique; Alliance Gloursonne; Ceintacé; Chapeau des Malveilleurs; Dofusteuse; Sandales  d'Atcham; Dofus Pourpre; Dofus Émeraude; Dofus Turquoise; Dolmanax; Remueur; Nomade; Kramkram</t>
        </is>
      </c>
    </row>
    <row r="4662">
      <c r="A4662" t="inlineStr">
        <is>
          <t>Stuff 1</t>
        </is>
      </c>
      <c r="B4662">
        <f>HYPERLINK("https://www.dofusbook.net/fr/equipement/107894-stuff-1/objets", "link")</f>
        <v/>
      </c>
      <c r="C4662" t="n">
        <v>3</v>
      </c>
      <c r="D4662" t="inlineStr">
        <is>
          <t>Dagues de Srambad; Kralamansion; Alliance Gloursonne; Pikano; Ceinture de la Reine des Voleurs; Coiffe de la Reine des Voleurs; Voile d'encre; Baleinabottes; Dofus Pourpre; Dofus des Glaces; Dolmanax; Nomade; Remueur; Temporiseur majeur; Kramkram</t>
        </is>
      </c>
    </row>
    <row r="4663">
      <c r="A4663" t="inlineStr">
        <is>
          <t>Stuff 2</t>
        </is>
      </c>
      <c r="B4663">
        <f>HYPERLINK("https://www.dofusbook.net/fr/equipement/107921-stuff-2/objets", "link")</f>
        <v/>
      </c>
      <c r="C4663" t="n">
        <v>3</v>
      </c>
      <c r="D4663" t="inlineStr">
        <is>
          <t>Arc du Chalœil; Amulette Luminescente; Bague Gloursonne; Bague Trithon; Bouclier du Stalak; Ceinture Luminescente; Masque Trithon; Cape Luminescente; Bottes Trithon; Dofus Émeraude; Dofus Turquoise; Dofus Ocre; Dofus Pourpre; Dofus des Glaces; Bousculeur majeur; Muldo Ebène et Pourpre</t>
        </is>
      </c>
    </row>
    <row r="4664">
      <c r="A4664" t="inlineStr">
        <is>
          <t>Stuff 3</t>
        </is>
      </c>
      <c r="B4664">
        <f>HYPERLINK("https://www.dofusbook.net/fr/equipement/107954-stuff-3/objets", "link")</f>
        <v/>
      </c>
      <c r="C4664" t="n">
        <v>5</v>
      </c>
      <c r="D4664" t="inlineStr">
        <is>
          <t>Manthache; Collier du Valet Veinard; Gant du Valet Veinard; Alliance Gloursonne; Ceinture du Barbétoal; Couronne d'Allister; Cape du Kamasterisk; Baleinabottes; Dofus des Glaces; Dévastateur Air majeur; Remueur; Cascadeur majeur; Nomade; Kramkram</t>
        </is>
      </c>
    </row>
    <row r="4665">
      <c r="A4665" t="inlineStr">
        <is>
          <t>Stuff 1</t>
        </is>
      </c>
      <c r="B4665">
        <f>HYPERLINK("https://www.dofusbook.net/fr/equipement/107949-stuff-1/objets", "link")</f>
        <v/>
      </c>
      <c r="C4665" t="n">
        <v>4</v>
      </c>
      <c r="D4665" t="inlineStr">
        <is>
          <t>Arc Lequin; Collier du Dragon Cochon; Alliance du Capitaine Pirate; Gelano; Puissante Ceinture Fulgurante; Masque Iproquo; Cape du Capitaine Pirate; Bottes Soyeuses; Dofus des Glaces; Dolmanax; Dofus Émeraude; Dofus Pourpre; Nomade; Remueur; Kramkram</t>
        </is>
      </c>
    </row>
    <row r="4666">
      <c r="A4666" t="inlineStr">
        <is>
          <t>Stuff 1</t>
        </is>
      </c>
      <c r="B4666">
        <f>HYPERLINK("https://www.dofusbook.net/fr/equipement/107943-stuff-1/objets", "link")</f>
        <v/>
      </c>
      <c r="C4666" t="n">
        <v>1</v>
      </c>
      <c r="D4666" t="inlineStr">
        <is>
          <t>La Baguette des Limbes; Talisman Choh; Anneau Bliteré; Anneau des Prophètes; Ceinture Phossile; Chapeau de Dremoan; Cape du Père Phorreur; Bottes de Dremoan; Érudit majeur; Remueur; Savant majeur; Dévastateur Feu majeur; Vigoureux majeur; Miraculé majeur</t>
        </is>
      </c>
    </row>
    <row r="4667">
      <c r="A4667" t="inlineStr">
        <is>
          <t>Stuff 2</t>
        </is>
      </c>
      <c r="B4667">
        <f>HYPERLINK("https://www.dofusbook.net/fr/equipement/107933-stuff-2/objets", "link")</f>
        <v/>
      </c>
      <c r="C4667" t="n">
        <v>2</v>
      </c>
      <c r="D4667" t="inlineStr">
        <is>
          <t>Bâthon; Amulette de Gein; Bague Gloursonne; Chevalière du Roi Joueur; Bouclier du Stalak; Ceinture de Gein; Chapeau de Gein; Voile d'encre; Bottes du Roi Joueur; Dofus Ocre; Dolmanax; Dofus Abyssal; Dofus des Glaces; Dofus Turquoise; Dofus Pourpre; Muldo Pourpre</t>
        </is>
      </c>
    </row>
    <row r="4668">
      <c r="A4668" t="inlineStr">
        <is>
          <t>Stuff 3</t>
        </is>
      </c>
      <c r="B4668">
        <f>HYPERLINK("https://www.dofusbook.net/fr/equipement/107966-stuff-3/objets", "link")</f>
        <v/>
      </c>
      <c r="C4668" t="n">
        <v>5</v>
      </c>
      <c r="D4668" t="inlineStr">
        <is>
          <t>Arc de Koutoulou; Amulette du Strigide; Alliance Gloursonne; Bracelet des Fonds marins; Quatre-feuilles; Ceinture du Strigide; Némès de Tal Kasha; Chevelure de Tal Kasha; Sandales de Tal Kasha; Dofus Émeraude; Dofus Turquoise; Dofus Abyssal; Dofus Pourpre; Dofus des Glaces; Dofus Ocre; Muldo Ebène et Indigo</t>
        </is>
      </c>
    </row>
    <row r="4669">
      <c r="A4669" t="inlineStr">
        <is>
          <t>Stuff 2</t>
        </is>
      </c>
      <c r="B4669">
        <f>HYPERLINK("https://www.dofusbook.net/fr/equipement/107901-stuff-2/objets", "link")</f>
        <v/>
      </c>
      <c r="C4669" t="n">
        <v>2</v>
      </c>
      <c r="D4669" t="inlineStr">
        <is>
          <t>Rapière aux Glyphes; Amulette de Shokkoth; Alliance Gloursonne; Bracelet des Fonds marins; Ceinture Glaciale; Kidibonnet; Cape de Meno; Bottes de Meno; Dofus des Glaces; Chanceux majeur; Remueur; Temporiseur majeur; Entraveur majeur; Nomade; Kramkram</t>
        </is>
      </c>
    </row>
    <row r="4670">
      <c r="A4670" t="inlineStr">
        <is>
          <t>Stuff 3</t>
        </is>
      </c>
      <c r="B4670">
        <f>HYPERLINK("https://www.dofusbook.net/fr/equipement/107928-stuff-3/objets", "link")</f>
        <v/>
      </c>
      <c r="C4670" t="n">
        <v>3</v>
      </c>
      <c r="D4670" t="inlineStr">
        <is>
          <t>Harpelle; Pendentif affamé; Anneau de Nidas; Anneau Tique; Ceinture de Vortex; Couronne de Nidas; Cape de Meno; Bottes Innommables; Dolmanax; Dofus Turquoise; Dofus Ocre; Remueur; Temporiseur majeur; Érudit majeur</t>
        </is>
      </c>
    </row>
    <row r="4671">
      <c r="A4671" t="inlineStr">
        <is>
          <t>Stuff 3</t>
        </is>
      </c>
      <c r="B4671">
        <f>HYPERLINK("https://www.dofusbook.net/fr/equipement/107896-stuff-3/objets", "link")</f>
        <v/>
      </c>
      <c r="C4671" t="n">
        <v>4</v>
      </c>
      <c r="D4671" t="inlineStr">
        <is>
          <t>Sceptre du Roi Joueur; Amulette de Shokkoth; Alliance Gloursonne; Alliance du Lévitrof; Poulpagne; Masque des Fonds marins; Cape de la Dame du Hasard; Bottes de la Dame du Hasard; Dolmanax; Dofus Pourpre; Nomade; Remueur; Vigoureux majeur; Chanceux majeur; Kramkram</t>
        </is>
      </c>
    </row>
    <row r="4672">
      <c r="A4672" t="inlineStr">
        <is>
          <t>Stuff 1</t>
        </is>
      </c>
      <c r="B4672">
        <f>HYPERLINK("https://www.dofusbook.net/fr/equipement/107923-stuff-1/objets", "link")</f>
        <v/>
      </c>
      <c r="C4672" t="n">
        <v>7</v>
      </c>
      <c r="D4672" t="inlineStr">
        <is>
          <t>Marteau Phossile; Amulette du Strigide; Alliance Gloursonne; Anneau de Padgref; Ceinture du Strigide; Coiffe de Padgref; Voile d'encre; Getas de Padgref; Dofus des Glaces; Dofus Ocre; Dofus Abyssal; Dofus Turquoise; Dofus Pourpre; Dofus Émeraude</t>
        </is>
      </c>
    </row>
    <row r="4673">
      <c r="A4673" t="inlineStr">
        <is>
          <t>Stuff 2</t>
        </is>
      </c>
      <c r="B4673">
        <f>HYPERLINK("https://www.dofusbook.net/fr/equipement/107956-stuff-2/objets", "link")</f>
        <v/>
      </c>
      <c r="C4673" t="n">
        <v>7</v>
      </c>
      <c r="D4673" t="inlineStr">
        <is>
          <t>Hache du Chalœil; Amulette du Strigide; Alliance Gloursonne; Alliance du Lévitrof; Ceintacé; Chapeau de Gein; Voile d'encre; Bottes du Lévitrof; Dofus Pourpre; Dofus des Glaces; Dofus Turquoise; Vigoureux majeur; Nomade; Remueur; Kramkram</t>
        </is>
      </c>
    </row>
    <row r="4674">
      <c r="A4674" t="inlineStr">
        <is>
          <t>Stuff 3</t>
        </is>
      </c>
      <c r="B4674">
        <f>HYPERLINK("https://www.dofusbook.net/fr/equipement/107951-stuff-3/objets", "link")</f>
        <v/>
      </c>
      <c r="C4674" t="n">
        <v>2</v>
      </c>
      <c r="D4674" t="inlineStr">
        <is>
          <t>Epée Gloursonne; Amulette du Strigide; Alliance Gloursonne; Bague Gloursonne; Ceinture de la Reine des Voleurs; Coiffe de la Reine des Voleurs; Voile d'encre; Bottes de la Reine des Voleurs; Dofus Pourpre; Dofus des Glaces; Dofus Émeraude; Dofus Abyssal; Dofus Turquoise; Dofus Ocre</t>
        </is>
      </c>
    </row>
    <row r="4675">
      <c r="A4675" t="inlineStr">
        <is>
          <t>Stuff 2</t>
        </is>
      </c>
      <c r="B4675">
        <f>HYPERLINK("https://www.dofusbook.net/fr/equipement/107913-stuff-2/objets", "link")</f>
        <v/>
      </c>
      <c r="C4675" t="n">
        <v>4</v>
      </c>
      <c r="D4675" t="inlineStr">
        <is>
          <t>Hache du Chalœil; Amulette du Strigide; Alliance Gloursonne; Alliance du Lévitrof; Ceintacé; Casque de Missiz Frizz; Voile d'encre; Bottes du Lévitrof; Dolmanax; Dofus Pourpre; Dofus des Glaces; Dofus Turquoise; Nomade; Remueur; Kramkram</t>
        </is>
      </c>
    </row>
    <row r="4676">
      <c r="A4676" t="inlineStr">
        <is>
          <t>Stuff 1</t>
        </is>
      </c>
      <c r="B4676">
        <f>HYPERLINK("https://www.dofusbook.net/fr/equipement/107946-stuff-1/objets", "link")</f>
        <v/>
      </c>
      <c r="C4676" t="n">
        <v>5</v>
      </c>
      <c r="D4676" t="inlineStr">
        <is>
          <t>Héqache; Amulette de l'Indicible; Bague Gloursonne; Pikano; Ceinture de l'Indicible; Masque de Koutoulou; Cape du Kamasterisk; Bottes de la Cour Sombre; Dofus Émeraude; Dolmanax; Dofus des Glaces; Dofus Abyssal; Enragé majeur; Remueur</t>
        </is>
      </c>
    </row>
    <row r="4677">
      <c r="A4677" t="inlineStr">
        <is>
          <t>Stuff 3</t>
        </is>
      </c>
      <c r="B4677">
        <f>HYPERLINK("https://www.dofusbook.net/fr/equipement/107940-stuff-3/objets", "link")</f>
        <v/>
      </c>
      <c r="C4677" t="n">
        <v>9</v>
      </c>
      <c r="D4677" t="inlineStr">
        <is>
          <t>Arc Nécrotique; Amulette Cryochrone; Anneau Cryochrone; Anneau Tique; Poulpagne; Casquette de Meno; Cape de la Dame du Hasard; Bottes Owesli; Dofus des Glaces; Dofus Pourpre; Dofus Turquoise; Dolmanax; Remueur; Nomade; Kramkram</t>
        </is>
      </c>
    </row>
    <row r="4678">
      <c r="A4678" t="inlineStr">
        <is>
          <t>Stuff 2</t>
        </is>
      </c>
      <c r="B4678">
        <f>HYPERLINK("https://www.dofusbook.net/fr/equipement/107944-stuff-2/objets", "link")</f>
        <v/>
      </c>
      <c r="C4678" t="n">
        <v>1</v>
      </c>
      <c r="D4678" t="inlineStr">
        <is>
          <t>Sabres d'Atcham; Amulette de l'Indicible; Alliance Gloursonne; Anneau Tique; Ceinture de l'Indicible; Chapeau des Malveilleurs; Voilamibe; Pataugastrique; Dofus des Glaces; Dofus Pourpre; Sanguinaire majeur; Vigoureux majeur; Remueur; Féroce majeur; Kramkram</t>
        </is>
      </c>
    </row>
    <row r="4679">
      <c r="A4679" t="inlineStr">
        <is>
          <t>Stuff 2</t>
        </is>
      </c>
      <c r="B4679">
        <f>HYPERLINK("https://www.dofusbook.net/fr/equipement/107907-stuff-2/objets", "link")</f>
        <v/>
      </c>
      <c r="C4679" t="n">
        <v>9</v>
      </c>
      <c r="D4679" t="inlineStr">
        <is>
          <t>Arc Nécrotique; Talisman Igans; Anneau Tique; Alliance Gloursonne; Ceinture du Glourséleste; Chapeau des Malveilleurs; Cape des Malveilleurs; Pataugastrique; Dolmanax; Dofus des Glaces; Dofus Pourpre; Nomade; Carapace Feu majeur; Remueur; Kramkram</t>
        </is>
      </c>
    </row>
    <row r="4680">
      <c r="A4680" t="inlineStr">
        <is>
          <t>Stuff 2</t>
        </is>
      </c>
      <c r="B4680">
        <f>HYPERLINK("https://www.dofusbook.net/fr/equipement/107939-stuff-2/objets", "link")</f>
        <v/>
      </c>
      <c r="C4680" t="n">
        <v>3</v>
      </c>
      <c r="D4680" t="inlineStr">
        <is>
          <t>Hache du Chalœil; Amulette du Strigide; Bague Trithon; Alliance Gloursonne; Ceintacé; Casque du Chalœil; Voile d'encre; Bottes du Strigide; Dofus Turquoise; Dofus des Glaces; Dofus Pourpre; Dolmanax; Nomade; Remueur; Kramkram</t>
        </is>
      </c>
    </row>
    <row r="4681">
      <c r="A4681" t="inlineStr">
        <is>
          <t>Stuff 3</t>
        </is>
      </c>
      <c r="B4681">
        <f>HYPERLINK("https://www.dofusbook.net/fr/equipement/107902-stuff-3/objets", "link")</f>
        <v/>
      </c>
      <c r="C4681" t="n">
        <v>1</v>
      </c>
      <c r="D4681" t="inlineStr">
        <is>
          <t>Baguette de Malléfisk; Pendentif affamé; Anneauræus; Anneau de Nidas; Ceinture Séculaire; Casque Cyclopéen; Voile d'encre; Tongues de Nidas; Dofus Abyssal; Dofus Ocre; Carapace Terre majeur; Déserteur majeur; Remueur; Érudit majeur</t>
        </is>
      </c>
    </row>
    <row r="4682">
      <c r="A4682" t="inlineStr">
        <is>
          <t>Stuff 1</t>
        </is>
      </c>
      <c r="B4682">
        <f>HYPERLINK("https://www.dofusbook.net/fr/equipement/107897-stuff-1/objets", "link")</f>
        <v/>
      </c>
      <c r="C4682" t="n">
        <v>4</v>
      </c>
      <c r="D4682" t="inlineStr">
        <is>
          <t>Manthache; Collier du Valet Veinard; Alliance Gloursonne; Gant du Valet Veinard; Menoture; Casque Cyclopéen; Cape du Kamasterisk; Palmes Trithons; Dofus Émeraude; Dofus Pourpre; Cascadeur majeur; Vigoureux majeur; Nomade; Remueur; Kramkram</t>
        </is>
      </c>
    </row>
    <row r="4683">
      <c r="A4683" t="inlineStr">
        <is>
          <t>Stuff 1</t>
        </is>
      </c>
      <c r="B4683">
        <f>HYPERLINK("https://www.dofusbook.net/fr/equipement/107929-stuff-1/objets", "link")</f>
        <v/>
      </c>
      <c r="C4683" t="n">
        <v>2</v>
      </c>
      <c r="D4683" t="inlineStr">
        <is>
          <t>Arc Hétype; Pendentif affamé; Anneau de Nidas; Anneau Tique; Ceinture de Gein; Couronne de Nidas; Voile d'encre; Bottes Innommables; Dofus Abyssal; Dofus Ocre; Déserteur majeur; Remueur; Temporiseur majeur; Érudit majeur</t>
        </is>
      </c>
    </row>
    <row r="4684">
      <c r="A4684" t="inlineStr">
        <is>
          <t>Stuff 2</t>
        </is>
      </c>
      <c r="B4684">
        <f>HYPERLINK("https://www.dofusbook.net/fr/equipement/107924-stuff-2/objets", "link")</f>
        <v/>
      </c>
      <c r="C4684" t="n">
        <v>10</v>
      </c>
      <c r="D4684" t="inlineStr">
        <is>
          <t>Sabres d'Atcham; Amulette du Strigide; Alliance Gloursonne; Anneau Tique; Menoture; Chapeau des Malveilleurs; Voile d'encre; Sandales  d'Atcham; Dofus des Glaces; Dofus Pourpre; Dolmanax; Dofus Turquoise; Remueur; Vigoureux majeur</t>
        </is>
      </c>
    </row>
    <row r="4685">
      <c r="A4685" t="inlineStr">
        <is>
          <t>Stuff 3</t>
        </is>
      </c>
      <c r="B4685">
        <f>HYPERLINK("https://www.dofusbook.net/fr/equipement/107957-stuff-3/objets", "link")</f>
        <v/>
      </c>
      <c r="C4685" t="n">
        <v>2</v>
      </c>
      <c r="D4685" t="inlineStr">
        <is>
          <t>Arc de Koutoulou; Amulette Voldelor; Gant du Valet Veinard; Alliance Gloursonne; Ceinture du Barbétoal; Kidibonnet; Dofusteuse; Bottes Voldelor; Dolmanax; Dofus Nébuleux; Dofus Pourpre; Dofus Turquoise; Remueur; Nomade; Kramkram</t>
        </is>
      </c>
    </row>
    <row r="4686">
      <c r="A4686" t="inlineStr">
        <is>
          <t>Stuff 3</t>
        </is>
      </c>
      <c r="B4686">
        <f>HYPERLINK("https://www.dofusbook.net/fr/equipement/107919-stuff-3/objets", "link")</f>
        <v/>
      </c>
      <c r="C4686" t="n">
        <v>2</v>
      </c>
      <c r="D4686" t="inlineStr">
        <is>
          <t>Épée de la Reine des Voleurs; Amulette du Strigide; Alliance Gloursonne; Anneau des égarés; Bouclier du Stalak; Ceinture de l'Indicible; Masque de Koutoulou; Cape du Kamasterisk; Bottes des égarés; Dofus Abyssal; Dofus Turquoise; Dofus des Glaces; Dofus Pourpre; Déserteur majeur; Remueur; Muldo Ebène et Indigo</t>
        </is>
      </c>
    </row>
    <row r="4687">
      <c r="A4687" t="inlineStr">
        <is>
          <t>Stuff 1</t>
        </is>
      </c>
      <c r="B4687">
        <f>HYPERLINK("https://www.dofusbook.net/fr/equipement/107952-stuff-1/objets", "link")</f>
        <v/>
      </c>
      <c r="C4687" t="n">
        <v>4</v>
      </c>
      <c r="D4687" t="inlineStr">
        <is>
          <t>Héqache; Collier de Tourthon; Pikano; Bague Gloursonne; Ceinture de la Reine des Voleurs; Coiffe de la Reine des Voleurs; Cape au Logis; Bottes de la Cour Sombre; Dofus Ocre; Dofus Abyssal; Dofus des Glaces; Dofus Émeraude; Enragé majeur; Remueur; Kramkram</t>
        </is>
      </c>
    </row>
    <row r="4688">
      <c r="A4688" t="inlineStr">
        <is>
          <t>Stuff 2</t>
        </is>
      </c>
      <c r="B4688">
        <f>HYPERLINK("https://www.dofusbook.net/fr/equipement/107845-stuff-2/objets", "link")</f>
        <v/>
      </c>
      <c r="C4688" t="n">
        <v>8</v>
      </c>
      <c r="D4688" t="inlineStr">
        <is>
          <t>Sabres d'Atcham; Amulette du Strigide; Anneau Tique; Alliance Gloursonne; Menoture; Némès de Tal Kasha; Voile d'encre; Sandales  d'Atcham; Dofus Pourpre; Dofus Turquoise; Dofus Émeraude; Dofus des Glaces; Étourdisseur majeur; Remueur</t>
        </is>
      </c>
    </row>
    <row r="4689">
      <c r="A4689" t="inlineStr">
        <is>
          <t>Stuff 1</t>
        </is>
      </c>
      <c r="B4689">
        <f>HYPERLINK("https://www.dofusbook.net/fr/equipement/107877-stuff-1/objets", "link")</f>
        <v/>
      </c>
      <c r="C4689" t="n">
        <v>10</v>
      </c>
      <c r="D4689" t="inlineStr">
        <is>
          <t>Baguette Range; Amulette du Strigide; Anneau de Padgref; Anneau Tique; Quatre-feuilles; Ceinture du Strigide; Coiffe de Padgref; Cape d'Atcham; Getas de Padgref; Dofus Turquoise; Dofus Ocre; Dofus des Glaces; Dofus Pourpre; Dolmanax; Dofus Émeraude; Muldo Orchidée</t>
        </is>
      </c>
    </row>
    <row r="4690">
      <c r="A4690" t="inlineStr">
        <is>
          <t>Stuff 3</t>
        </is>
      </c>
      <c r="B4690">
        <f>HYPERLINK("https://www.dofusbook.net/fr/equipement/107840-stuff-3/objets", "link")</f>
        <v/>
      </c>
      <c r="C4690" t="n">
        <v>2</v>
      </c>
      <c r="D4690" t="inlineStr">
        <is>
          <t>Dagoulinantes; Amulette du Strigide; Bracelet des Fonds marins; Alliance Gloursonne; Pagne du Rykaon; Némès de Tal Kasha; Chevelure de Tal Kasha; Pataugastrique; Dofus Abyssal; Dofus des Glaces; Dofus Turquoise; Dofus Pourpre; Étourdisseur majeur; Remueur</t>
        </is>
      </c>
    </row>
    <row r="4691">
      <c r="A4691" t="inlineStr">
        <is>
          <t>Stuff 3</t>
        </is>
      </c>
      <c r="B4691">
        <f>HYPERLINK("https://www.dofusbook.net/fr/equipement/107867-stuff-3/objets", "link")</f>
        <v/>
      </c>
      <c r="C4691" t="n">
        <v>1</v>
      </c>
      <c r="D4691" t="inlineStr">
        <is>
          <t>Marteau Phossile; Collier du Valet Veinard; Alliance Gloursonne; Gant du Valet Veinard; Bouclier du Stalak; Ceinture de Vortex; Cagoule de Vortex; Cape du Valet Veinard; Sabots de Vortex; Dofus des Glaces; Dofus Pourpre; Dolmanax; Dofus Ocre; Robuste majeur; Féroce majeur; Muldo Ebène</t>
        </is>
      </c>
    </row>
    <row r="4692">
      <c r="A4692" t="inlineStr">
        <is>
          <t>Stuff 1</t>
        </is>
      </c>
      <c r="B4692">
        <f>HYPERLINK("https://www.dofusbook.net/fr/equipement/107862-stuff-1/objets", "link")</f>
        <v/>
      </c>
      <c r="C4692" t="n">
        <v>1</v>
      </c>
      <c r="D4692" t="inlineStr">
        <is>
          <t>Arc Nécrotique; Amulette de Shokkoth; Alliance Gloursonne; Bracelet des Fonds marins; Poulpagne; Casqnoar; Cape de la Dame du Hasard; Bottes de la Dame du Hasard; Dofus Pourpre; Dofus des Glaces; Dolmanax; Nomade; Remueur; Vigoureux majeur; Kramkram</t>
        </is>
      </c>
    </row>
    <row r="4693">
      <c r="A4693" t="inlineStr">
        <is>
          <t>Stuff 2</t>
        </is>
      </c>
      <c r="B4693">
        <f>HYPERLINK("https://www.dofusbook.net/fr/equipement/107857-stuff-2/objets", "link")</f>
        <v/>
      </c>
      <c r="C4693" t="n">
        <v>1</v>
      </c>
      <c r="D4693" t="inlineStr">
        <is>
          <t>Rapière aux Glyphes; Amulette de Shokkoth; Bracelet des Fonds marins; Alliance Gloursonne; Ceinture Glaciale; Kidibonnet; Cape de la Dame du Hasard; Sandales des Fonds marins; Dolmanax; Dofus des Glaces; Dofus Pourpre; Nomade; Remueur; Chanceux majeur; Kramkram</t>
        </is>
      </c>
    </row>
    <row r="4694">
      <c r="A4694" t="inlineStr">
        <is>
          <t>Stuff 2</t>
        </is>
      </c>
      <c r="B4694">
        <f>HYPERLINK("https://www.dofusbook.net/fr/equipement/107842-stuff-2/objets", "link")</f>
        <v/>
      </c>
      <c r="C4694" t="n">
        <v>6</v>
      </c>
      <c r="D4694" t="inlineStr">
        <is>
          <t>Pelle de Nidas; Amulette du Strigide; Alliance Gloursonne; Bague Trithon; Bouclier du Captain Amakna; Ceintacé; Casque de Missiz Frizz; Cape de Kongoku; Bottes du Strigide; Dofus Pourpre; Dofus des Glaces; Dofus Émeraude; Dofus Turquoise; Miraculé majeur; Remueur; Muldo Ebène et Pourpre</t>
        </is>
      </c>
    </row>
    <row r="4695">
      <c r="A4695" t="inlineStr">
        <is>
          <t>Stuff 3</t>
        </is>
      </c>
      <c r="B4695">
        <f>HYPERLINK("https://www.dofusbook.net/fr/equipement/107864-stuff-3/objets", "link")</f>
        <v/>
      </c>
      <c r="C4695" t="n">
        <v>2</v>
      </c>
      <c r="D4695" t="inlineStr">
        <is>
          <t>Baguette Hique; Amulette de Shokkoth; Alliance Gloursonne; Alliance du Lévitrof; Poulpagne; Casqnoar; Voile d'encre; Bottes du Lévitrof; Dofus Pourpre; Dofus des Glaces; Dolmanax; Remueur; Vigoureux majeur; Nomade; Kramkram</t>
        </is>
      </c>
    </row>
    <row r="4696">
      <c r="A4696" t="inlineStr">
        <is>
          <t>Stuff 2</t>
        </is>
      </c>
      <c r="B4696">
        <f>HYPERLINK("https://www.dofusbook.net/fr/equipement/107854-stuff-2/objets", "link")</f>
        <v/>
      </c>
      <c r="C4696" t="n">
        <v>3</v>
      </c>
      <c r="D4696" t="inlineStr">
        <is>
          <t>Rapière aux Glyphes; Amulette de Shokkoth; Alliance Gloursonne; Bracelet des Fonds marins; Bouclier du Stalak; Ceinture Glaciale; Kidibonnet; Cape du Sinistrofu; Bottes du Sinistrofu; Dofus des Glaces; Dévastateur Eau majeur; Carapace Feu majeur; Remueur; Miraculé majeur; Chanceux majeur; Muldo Indigo et Pourpre</t>
        </is>
      </c>
    </row>
    <row r="4697">
      <c r="A4697" t="inlineStr">
        <is>
          <t>Stuff 1</t>
        </is>
      </c>
      <c r="B4697">
        <f>HYPERLINK("https://www.dofusbook.net/fr/equipement/107886-stuff-1/objets", "link")</f>
        <v/>
      </c>
      <c r="C4697" t="n">
        <v>1</v>
      </c>
      <c r="D4697" t="inlineStr">
        <is>
          <t>Pelle de Nidas; Amulette du Strigide; Bracelet du Piloztère; Alliance Gloursonne; Ceinture du Strigide; Maskrobe; Voile d'encre; Pataugastrique; Dofus Pourpre; Dofus Turquoise; Dofus des Glaces; Remueur; Vigoureux majeur; Nomade; Kramkram</t>
        </is>
      </c>
    </row>
    <row r="4698">
      <c r="A4698" t="inlineStr">
        <is>
          <t>Stuff 3</t>
        </is>
      </c>
      <c r="B4698">
        <f>HYPERLINK("https://www.dofusbook.net/fr/equipement/107846-stuff-3/objets", "link")</f>
        <v/>
      </c>
      <c r="C4698" t="n">
        <v>5</v>
      </c>
      <c r="D4698" t="inlineStr">
        <is>
          <t>Héqache; Amulette du Strigide; Alliance Gloursonne; Anneau Crustique; Ceintacé; Chapoulpe; Cape au Logis; Tentassons; Dofus des Glaces; Dofus Turquoise; Dofus Pourpre; Dofus Émeraude; Remueur; Étourdisseur majeur; Croum</t>
        </is>
      </c>
    </row>
    <row r="4699">
      <c r="A4699" t="inlineStr">
        <is>
          <t>Stuff 3</t>
        </is>
      </c>
      <c r="B4699">
        <f>HYPERLINK("https://www.dofusbook.net/fr/equipement/107873-stuff-3/objets", "link")</f>
        <v/>
      </c>
      <c r="C4699" t="n">
        <v>3</v>
      </c>
      <c r="D4699" t="inlineStr">
        <is>
          <t>Arc du Chalœil; Amulette de Gein; Chevalière du Roi Joueur; Bague Gloursonne; Quatre-feuilles; Ceinture de Gein; Masque de Koutoulou; Voile d'encre; Tentassons; Dolmanax; Dofus Ocre; Dofus Turquoise; Dofus Pourpre; Vigoureux majeur; Enragé majeur; Muldo Pourpre</t>
        </is>
      </c>
    </row>
    <row r="4700">
      <c r="A4700" t="inlineStr">
        <is>
          <t>Stuff 1</t>
        </is>
      </c>
      <c r="B4700">
        <f>HYPERLINK("https://www.dofusbook.net/fr/equipement/107868-stuff-1/objets", "link")</f>
        <v/>
      </c>
      <c r="C4700" t="n">
        <v>2</v>
      </c>
      <c r="D4700" t="inlineStr">
        <is>
          <t>Héqache; Amulette du Strigide; Alliance Gloursonne; Anneau des égarés; Ceintacé; Casque des égarés; Cape du Kamasterisk; Bottes du Cycloïde; Dofus des Glaces; Dofus Pourpre; Dolmanax; Dofus Turquoise; Nomade; Remueur; Kramkram</t>
        </is>
      </c>
    </row>
    <row r="4701">
      <c r="A4701" t="inlineStr">
        <is>
          <t>Stuff 2</t>
        </is>
      </c>
      <c r="B4701">
        <f>HYPERLINK("https://www.dofusbook.net/fr/equipement/107863-stuff-2/objets", "link")</f>
        <v/>
      </c>
      <c r="C4701" t="n">
        <v>2</v>
      </c>
      <c r="D4701" t="inlineStr">
        <is>
          <t>Arc Nécrotique; Amulette de Shokkoth; Anneau de Nidas; Alliance Gloursonne; Poulpagne; Casquette de Meno; Voile d'encre; Bottes de Meno; Dofus Pourpre; Dolmanax; Vigoureux majeur; Nomade; Remueur; Kramkram</t>
        </is>
      </c>
    </row>
    <row r="4702">
      <c r="A4702" t="inlineStr">
        <is>
          <t>Stuff 1</t>
        </is>
      </c>
      <c r="B4702">
        <f>HYPERLINK("https://www.dofusbook.net/fr/equipement/107853-stuff-1/objets", "link")</f>
        <v/>
      </c>
      <c r="C4702" t="n">
        <v>5</v>
      </c>
      <c r="D4702" t="inlineStr">
        <is>
          <t>Manthache; Collier du Valet Veinard; Gant du Valet Veinard; Alliance Gloursonne; Bouclier du Stalak; Menoture; Casque Cyclopéen; Cape Indescriptible; Palmes Trithons; Dofus des Glaces; Cascadeur majeur; Remueur; Miraculé majeur; Dévastateur Air majeur; Carapace Terre majeur; Muldo Ebène</t>
        </is>
      </c>
    </row>
    <row r="4703">
      <c r="A4703" t="inlineStr">
        <is>
          <t>Stuff 2</t>
        </is>
      </c>
      <c r="B4703">
        <f>HYPERLINK("https://www.dofusbook.net/fr/equipement/107848-stuff-2/objets", "link")</f>
        <v/>
      </c>
      <c r="C4703" t="n">
        <v>2</v>
      </c>
      <c r="D4703" t="inlineStr">
        <is>
          <t>Dagues de Srambad; Amulette du Piloztère; Alliance Gloursonne; Pikano; Bouclier alvéolé; Ceinture de la Reine des Voleurs; Coiffe de la Reine des Voleurs; Voile d'encre; Sabots Minables; Dofus Émeraude; Dolmanax; Dofus des Glaces; Dofus Ocre; Miraculé majeur; Remueur; Muldo Ebène et Pourpre</t>
        </is>
      </c>
    </row>
    <row r="4704">
      <c r="A4704" t="inlineStr">
        <is>
          <t>Stuff 3</t>
        </is>
      </c>
      <c r="B4704">
        <f>HYPERLINK("https://www.dofusbook.net/fr/equipement/107843-stuff-3/objets", "link")</f>
        <v/>
      </c>
      <c r="C4704" t="n">
        <v>4</v>
      </c>
      <c r="D4704" t="inlineStr">
        <is>
          <t>Hache Euvale; Amulette Luminescente; Bague Trithon; Alliance Gloursonne; Bouclier précieux; Ceinture Luminescente; Masque Trithon; Cape Luminescente; Bottes Trithon; Dofus Pourpre; Dofus Ocre; Dolmanax; Dofus Émeraude; Dofus Turquoise; Bousculeur majeur; Muldo Ebène</t>
        </is>
      </c>
    </row>
    <row r="4705">
      <c r="A4705" t="inlineStr">
        <is>
          <t>Stuff 3</t>
        </is>
      </c>
      <c r="B4705">
        <f>HYPERLINK("https://www.dofusbook.net/fr/equipement/107870-stuff-3/objets", "link")</f>
        <v/>
      </c>
      <c r="C4705" t="n">
        <v>2</v>
      </c>
      <c r="D4705" t="inlineStr">
        <is>
          <t>Marteau Phossile; Amulette du Strigide; Alliance Gloursonne; Anneau de Padgref; Ceintacé; Chapeau des Malveilleurs; Cape des Malveilleurs; Sandales  d'Atcham; Dolmanax; Dofus Turquoise; Dofus Pourpre; Dofus des Glaces; Nomade; Remueur; Kramkram</t>
        </is>
      </c>
    </row>
    <row r="4706">
      <c r="A4706" t="inlineStr">
        <is>
          <t>Stuff 1</t>
        </is>
      </c>
      <c r="B4706">
        <f>HYPERLINK("https://www.dofusbook.net/fr/equipement/107865-stuff-1/objets", "link")</f>
        <v/>
      </c>
      <c r="C4706" t="n">
        <v>3</v>
      </c>
      <c r="D4706" t="inlineStr">
        <is>
          <t>Arc Nécrotique; Amulette Cryochrone; Alliance Gloursonne; Anneau Cryochrone; Ceintrigue; Coiffe Cryochrone; Voilamibe; Bottes Owesli; Dofus Ocre; Dofus Pourpre; Dolmanax; Dofus des Glaces; Féroce majeur; Robuste majeur; Kramkram</t>
        </is>
      </c>
    </row>
    <row r="4707">
      <c r="A4707" t="inlineStr">
        <is>
          <t>Stuff 2</t>
        </is>
      </c>
      <c r="B4707">
        <f>HYPERLINK("https://www.dofusbook.net/fr/equipement/107860-stuff-2/objets", "link")</f>
        <v/>
      </c>
      <c r="C4707" t="n">
        <v>7</v>
      </c>
      <c r="D4707" t="inlineStr">
        <is>
          <t>Sabres d'Atcham; Amulette du Strigide; Alliance Gloursonne; Anneau Tique; Quatre-feuilles; Ceinture de Vortex; Coiffe de Padgref; Cape d'Atcham; Pataugastrique; Dofus des Glaces; Dofus Turquoise; Dofus Émeraude; Étourdisseur majeur; Nomade; Remueur; Kramkram</t>
        </is>
      </c>
    </row>
    <row r="4708">
      <c r="A4708" t="inlineStr">
        <is>
          <t>Stuff 2</t>
        </is>
      </c>
      <c r="B4708">
        <f>HYPERLINK("https://www.dofusbook.net/fr/equipement/107887-stuff-2/objets", "link")</f>
        <v/>
      </c>
      <c r="C4708" t="n">
        <v>2</v>
      </c>
      <c r="D4708" t="inlineStr">
        <is>
          <t>Rapière aux Glyphes; Talisman Glouti; Alliance Gloursonne; Bracelet des Fonds marins; Ceinture Glaciale; Kidibonnet; Cape du Sinistrofu; Sandales des Fonds marins; Dolmanax; Dofus des Glaces; Chanceux majeur; Nomade; Remueur; Observateur; Kramkram</t>
        </is>
      </c>
    </row>
    <row r="4709">
      <c r="A4709" t="inlineStr">
        <is>
          <t>Stuff 3</t>
        </is>
      </c>
      <c r="B4709">
        <f>HYPERLINK("https://www.dofusbook.net/fr/equipement/107855-stuff-3/objets", "link")</f>
        <v/>
      </c>
      <c r="C4709" t="n">
        <v>1</v>
      </c>
      <c r="D4709" t="inlineStr">
        <is>
          <t>Plumeau Bil; Pendentif mignon de Koutoulou; Anneau Tique; Anneauræus; Bouclier du Stalak; Ceinture de Vortex; Casque Cyclopéen; Cape de Diondin; Bottes Innommables; Dofus des Glaces; Dofus Pourpre; Vigoureux majeur; Remueur; Dévastateur Feu majeur; Érudit majeur; Muldo Orchidée et Pourpre</t>
        </is>
      </c>
    </row>
    <row r="4710">
      <c r="A4710" t="inlineStr">
        <is>
          <t>Stuff 1</t>
        </is>
      </c>
      <c r="B4710">
        <f>HYPERLINK("https://www.dofusbook.net/fr/equipement/107877-stuff-1/objets", "link")</f>
        <v/>
      </c>
      <c r="C4710" t="n">
        <v>10</v>
      </c>
      <c r="D4710" t="inlineStr">
        <is>
          <t>Baguette Range; Amulette du Strigide; Anneau Tique; Anneau de Padgref; Quatre-feuilles; Ceinture du Strigide; Coiffe de Padgref; Cape d'Atcham; Getas de Padgref; Dofus des Glaces; Dofus Pourpre; Dolmanax; Dofus Émeraude; Dofus Turquoise; Dofus Ocre; Muldo Orchidée</t>
        </is>
      </c>
    </row>
    <row r="4711">
      <c r="A4711" t="inlineStr">
        <is>
          <t>Stuff 2</t>
        </is>
      </c>
      <c r="B4711">
        <f>HYPERLINK("https://www.dofusbook.net/fr/equipement/107845-stuff-2/objets", "link")</f>
        <v/>
      </c>
      <c r="C4711" t="n">
        <v>8</v>
      </c>
      <c r="D4711" t="inlineStr">
        <is>
          <t>Sabres d'Atcham; Amulette du Strigide; Anneau Tique; Alliance Gloursonne; Menoture; Némès de Tal Kasha; Voile d'encre; Sandales  d'Atcham; Dofus Pourpre; Dofus Turquoise; Dofus Émeraude; Dofus des Glaces; Étourdisseur majeur; Remueur</t>
        </is>
      </c>
    </row>
    <row r="4712">
      <c r="A4712" t="inlineStr">
        <is>
          <t>Stuff 3</t>
        </is>
      </c>
      <c r="B4712">
        <f>HYPERLINK("https://www.dofusbook.net/fr/equipement/107840-stuff-3/objets", "link")</f>
        <v/>
      </c>
      <c r="C4712" t="n">
        <v>2</v>
      </c>
      <c r="D4712" t="inlineStr">
        <is>
          <t>Dagoulinantes; Amulette du Strigide; Bracelet des Fonds marins; Alliance Gloursonne; Pagne du Rykaon; Némès de Tal Kasha; Chevelure de Tal Kasha; Pataugastrique; Dofus des Glaces; Dofus Turquoise; Dofus Pourpre; Dofus Abyssal; Étourdisseur majeur; Remueur</t>
        </is>
      </c>
    </row>
    <row r="4713">
      <c r="A4713" t="inlineStr">
        <is>
          <t>Stuff 3</t>
        </is>
      </c>
      <c r="B4713">
        <f>HYPERLINK("https://www.dofusbook.net/fr/equipement/107867-stuff-3/objets", "link")</f>
        <v/>
      </c>
      <c r="C4713" t="n">
        <v>1</v>
      </c>
      <c r="D4713" t="inlineStr">
        <is>
          <t>Marteau Phossile; Collier du Valet Veinard; Gant du Valet Veinard; Alliance Gloursonne; Bouclier du Stalak; Ceinture de Vortex; Cagoule de Vortex; Cape du Valet Veinard; Sabots de Vortex; Dolmanax; Dofus Ocre; Dofus des Glaces; Dofus Pourpre; Féroce majeur; Robuste majeur; Muldo Ebène</t>
        </is>
      </c>
    </row>
    <row r="4714">
      <c r="A4714" t="inlineStr">
        <is>
          <t>Stuff 1</t>
        </is>
      </c>
      <c r="B4714">
        <f>HYPERLINK("https://www.dofusbook.net/fr/equipement/107862-stuff-1/objets", "link")</f>
        <v/>
      </c>
      <c r="C4714" t="n">
        <v>1</v>
      </c>
      <c r="D4714" t="inlineStr">
        <is>
          <t>Arc Nécrotique; Amulette de Shokkoth; Bracelet des Fonds marins; Alliance Gloursonne; Poulpagne; Casqnoar; Cape de la Dame du Hasard; Bottes de la Dame du Hasard; Dofus des Glaces; Dolmanax; Dofus Pourpre; Vigoureux majeur; Nomade; Remueur; Kramkram</t>
        </is>
      </c>
    </row>
    <row r="4715">
      <c r="A4715" t="inlineStr">
        <is>
          <t>Stuff 2</t>
        </is>
      </c>
      <c r="B4715">
        <f>HYPERLINK("https://www.dofusbook.net/fr/equipement/107857-stuff-2/objets", "link")</f>
        <v/>
      </c>
      <c r="C4715" t="n">
        <v>1</v>
      </c>
      <c r="D4715" t="inlineStr">
        <is>
          <t>Rapière aux Glyphes; Amulette de Shokkoth; Bracelet des Fonds marins; Alliance Gloursonne; Ceinture Glaciale; Kidibonnet; Cape de la Dame du Hasard; Sandales des Fonds marins; Dolmanax; Dofus des Glaces; Dofus Pourpre; Nomade; Remueur; Chanceux majeur; Kramkram</t>
        </is>
      </c>
    </row>
    <row r="4716">
      <c r="A4716" t="inlineStr">
        <is>
          <t>Stuff 2</t>
        </is>
      </c>
      <c r="B4716">
        <f>HYPERLINK("https://www.dofusbook.net/fr/equipement/107842-stuff-2/objets", "link")</f>
        <v/>
      </c>
      <c r="C4716" t="n">
        <v>6</v>
      </c>
      <c r="D4716" t="inlineStr">
        <is>
          <t>Pelle de Nidas; Amulette du Strigide; Bague Trithon; Alliance Gloursonne; Bouclier du Captain Amakna; Ceintacé; Casque de Missiz Frizz; Cape de Kongoku; Bottes du Strigide; Dofus des Glaces; Dofus Émeraude; Dofus Turquoise; Dofus Pourpre; Remueur; Miraculé majeur; Muldo Ebène et Pourpre</t>
        </is>
      </c>
    </row>
    <row r="4717">
      <c r="A4717" t="inlineStr">
        <is>
          <t>Stuff 3</t>
        </is>
      </c>
      <c r="B4717">
        <f>HYPERLINK("https://www.dofusbook.net/fr/equipement/107864-stuff-3/objets", "link")</f>
        <v/>
      </c>
      <c r="C4717" t="n">
        <v>2</v>
      </c>
      <c r="D4717" t="inlineStr">
        <is>
          <t>Baguette Hique; Amulette de Shokkoth; Alliance Gloursonne; Alliance du Lévitrof; Poulpagne; Casqnoar; Voile d'encre; Bottes du Lévitrof; Dofus des Glaces; Dolmanax; Dofus Pourpre; Vigoureux majeur; Nomade; Remueur; Kramkram</t>
        </is>
      </c>
    </row>
    <row r="4718">
      <c r="A4718" t="inlineStr">
        <is>
          <t>Stuff 1</t>
        </is>
      </c>
      <c r="B4718">
        <f>HYPERLINK("https://www.dofusbook.net/fr/equipement/107877-stuff-1/objets", "link")</f>
        <v/>
      </c>
      <c r="C4718" t="n">
        <v>10</v>
      </c>
      <c r="D4718" t="inlineStr">
        <is>
          <t>Baguette Range; Amulette du Strigide; Anneau Tique; Anneau de Padgref; Quatre-feuilles; Ceinture du Strigide; Coiffe de Padgref; Cape d'Atcham; Getas de Padgref; Dofus Émeraude; Dofus Turquoise; Dofus Ocre; Dofus des Glaces; Dofus Pourpre; Dolmanax; Muldo Orchidée</t>
        </is>
      </c>
    </row>
    <row r="4719">
      <c r="A4719" t="inlineStr">
        <is>
          <t>Stuff 3</t>
        </is>
      </c>
      <c r="B4719">
        <f>HYPERLINK("https://www.dofusbook.net/fr/equipement/107840-stuff-3/objets", "link")</f>
        <v/>
      </c>
      <c r="C4719" t="n">
        <v>2</v>
      </c>
      <c r="D4719" t="inlineStr">
        <is>
          <t>Dagoulinantes; Amulette du Strigide; Bracelet des Fonds marins; Alliance Gloursonne; Pagne du Rykaon; Némès de Tal Kasha; Chevelure de Tal Kasha; Pataugastrique; Dofus Abyssal; Dofus des Glaces; Dofus Turquoise; Dofus Pourpre; Remueur; Étourdisseur majeur</t>
        </is>
      </c>
    </row>
    <row r="4720">
      <c r="A4720" t="inlineStr">
        <is>
          <t>Stuff 3</t>
        </is>
      </c>
      <c r="B4720">
        <f>HYPERLINK("https://www.dofusbook.net/fr/equipement/107867-stuff-3/objets", "link")</f>
        <v/>
      </c>
      <c r="C4720" t="n">
        <v>1</v>
      </c>
      <c r="D4720" t="inlineStr">
        <is>
          <t>Marteau Phossile; Collier du Valet Veinard; Alliance Gloursonne; Gant du Valet Veinard; Bouclier du Stalak; Ceinture de Vortex; Cagoule de Vortex; Cape du Valet Veinard; Sabots de Vortex; Dofus des Glaces; Dofus Pourpre; Dolmanax; Dofus Ocre; Féroce majeur; Robuste majeur; Muldo Ebène</t>
        </is>
      </c>
    </row>
    <row r="4721">
      <c r="A4721" t="inlineStr">
        <is>
          <t>Ecaflip F 200</t>
        </is>
      </c>
      <c r="B4721">
        <f>HYPERLINK("https://www.dofusbook.net/fr/equipement/4023997-ecaflip-f-200/objets", "link")</f>
        <v/>
      </c>
      <c r="C4721" t="n">
        <v>4</v>
      </c>
      <c r="D4721" t="inlineStr">
        <is>
          <t>Marteau R'ture; Amulette du Strigide; Anneau du Comte Harebourg; Alliance de Missiz Frizz; Bouclier du Captain Amakna; Ceintacé; Masque de Koutoulou; Cape au Logis; Bottes du Strigide; Vigoureux majeur; Nomade; Forcené majeur; Remueur; Robuste majeur; Enragé majeur; Pioute vert</t>
        </is>
      </c>
    </row>
    <row r="4722">
      <c r="A4722" t="inlineStr">
        <is>
          <t>Iop F 200</t>
        </is>
      </c>
      <c r="B4722">
        <f>HYPERLINK("https://www.dofusbook.net/fr/equipement/4009177-iop-f-200/objets", "link")</f>
        <v/>
      </c>
      <c r="C4722" t="n">
        <v>3</v>
      </c>
      <c r="D4722" t="inlineStr"/>
    </row>
    <row r="4723">
      <c r="A4723" t="inlineStr">
        <is>
          <t>Ret PA</t>
        </is>
      </c>
      <c r="B4723">
        <f>HYPERLINK("https://www.dofusbook.net/fr/equipement/3920638-ret-pa/objets", "link")</f>
        <v/>
      </c>
      <c r="C4723" t="n">
        <v>5</v>
      </c>
      <c r="D4723" t="inlineStr">
        <is>
          <t>Dagoulinantes; Cadran de Terre; Culotte de Bethel; Cagoule de Vortex; Cape d'Atcham; Sandales  d'Atcham; Dofus Pourpre; Dofus Turquoise; Remueur; Paralyseur majeur; Étourdisseur majeur; Boskito</t>
        </is>
      </c>
    </row>
    <row r="4724">
      <c r="A4724" t="inlineStr">
        <is>
          <t>Ret PM</t>
        </is>
      </c>
      <c r="B4724">
        <f>HYPERLINK("https://www.dofusbook.net/fr/equipement/3890125-ret-pm/objets", "link")</f>
        <v/>
      </c>
      <c r="C4724" t="n">
        <v>7</v>
      </c>
      <c r="D4724" t="inlineStr">
        <is>
          <t>Pelle de Nidas; Amulette Luminescente; Pikano; Chevalière du Roi Joueur; Bouclier cubiste; Ceintacé; Coiffe d'Ogivol; Cape de la Dame du Hasard; Pikottes; Dofus Turquoise; Dofus Pourpre; Entraveur majeur; Nomade; Temporiseur majeur; Remueur; Gwo Tofu Ventripotent</t>
        </is>
      </c>
    </row>
    <row r="4725">
      <c r="A4725" t="inlineStr">
        <is>
          <t>CC/do crit</t>
        </is>
      </c>
      <c r="B4725">
        <f>HYPERLINK("https://www.dofusbook.net/fr/equipement/3872670-cc-do-crit/objets", "link")</f>
        <v/>
      </c>
      <c r="C4725" t="n">
        <v>4</v>
      </c>
      <c r="D4725" t="inlineStr">
        <is>
          <t>Amulette du Strigide; Anneau de Padgref; Quatre-feuilles; Ceinture du Strigide; Coiffe de Padgref; Cape d'Atcham; Getas de Padgref; Dofus Nébuleux; Dofus Turquoise; Dofus Abyssal; Dofus Ocre; Dofus des Glaces; Dofus Pourpre; Kokulte</t>
        </is>
      </c>
    </row>
    <row r="4726">
      <c r="A4726" t="inlineStr">
        <is>
          <t>Do pou</t>
        </is>
      </c>
      <c r="B4726">
        <f>HYPERLINK("https://www.dofusbook.net/fr/equipement/3934334-do-pou/objets", "link")</f>
        <v/>
      </c>
      <c r="C4726" t="n">
        <v>1</v>
      </c>
      <c r="D4726" t="inlineStr">
        <is>
          <t>Torquistik; Bague Trithon; Bague Instable; Bivalve; Ceinture Gence; Chapeau des Malveilleurs; Cape Luminescente; Bottistik; Dofus Turquoise; Dofus Pourpre; Bousculeur majeur; Culbuteur majeur; Tatouf</t>
        </is>
      </c>
    </row>
    <row r="4727">
      <c r="A4727" t="inlineStr">
        <is>
          <t>Soin</t>
        </is>
      </c>
      <c r="B4727">
        <f>HYPERLINK("https://www.dofusbook.net/fr/equipement/3929383-soin/objets", "link")</f>
        <v/>
      </c>
      <c r="C4727" t="n">
        <v>2</v>
      </c>
      <c r="D4727" t="inlineStr">
        <is>
          <t>Baguette de Malléfisk; Torquistik; Anneau Rifique; Baguistik; Bouclier du Cycloïde; Ceintrigue; Coiffe Séculaire; Cape de Diondin; Bottes Innommables; Dokoko; Dofus des Veilleurs; Érudit majeur; Docteur majeur; Astucieux majeur; Guérisseur majeur; Meuch</t>
        </is>
      </c>
    </row>
    <row r="4728">
      <c r="A4728" t="inlineStr">
        <is>
          <t>Cjeat</t>
        </is>
      </c>
      <c r="B4728">
        <f>HYPERLINK("https://www.dofusbook.net/fr/equipement/5710843-cjeat/objets", "link")</f>
        <v/>
      </c>
      <c r="C4728" t="n">
        <v>1</v>
      </c>
      <c r="D4728" t="inlineStr"/>
    </row>
    <row r="4729">
      <c r="A4729" t="inlineStr">
        <is>
          <t>Opti</t>
        </is>
      </c>
      <c r="B4729">
        <f>HYPERLINK("https://www.dofusbook.net/fr/equipement/2421802-opti/objets", "link")</f>
        <v/>
      </c>
      <c r="C4729" t="n">
        <v>8</v>
      </c>
      <c r="D4729" t="inlineStr"/>
    </row>
    <row r="4730">
      <c r="A4730" t="inlineStr">
        <is>
          <t>Ecaflip M 200</t>
        </is>
      </c>
      <c r="B4730">
        <f>HYPERLINK("https://www.dofusbook.net/fr/equipement/4057620-ecaflip-m-200/objets", "link")</f>
        <v/>
      </c>
      <c r="C4730" t="n">
        <v>9</v>
      </c>
      <c r="D4730" t="inlineStr"/>
    </row>
    <row r="4731">
      <c r="A4731" t="inlineStr">
        <is>
          <t>Roublard M 200</t>
        </is>
      </c>
      <c r="B4731">
        <f>HYPERLINK("https://www.dofusbook.net/fr/equipement/3447446-roublard-m-200/objets", "link")</f>
        <v/>
      </c>
      <c r="C4731" t="n">
        <v>2</v>
      </c>
      <c r="D4731" t="inlineStr">
        <is>
          <t>La Baguette des Limbes</t>
        </is>
      </c>
    </row>
    <row r="4732">
      <c r="A4732" t="inlineStr">
        <is>
          <t>Eer</t>
        </is>
      </c>
      <c r="B4732">
        <f>HYPERLINK("https://www.dofusbook.net/fr/equipement/2435913-eer/objets", "link")</f>
        <v/>
      </c>
      <c r="C4732" t="n">
        <v>13</v>
      </c>
      <c r="D4732" t="inlineStr">
        <is>
          <t>Lance corrompue; Amulette du Cœur Vaillant; Gant du Valet Veinard; Sept ans de malheur; Ceintouse; Chapoulpe; Cape du Cœur Vaillant; Bottes du Cœur Vaillant; Dofus Émeraude; Dofus Abyssal; Dofus Pourpre; Dofus Ocre; Vagabond majeur; Muldo Ebène et Pourpre</t>
        </is>
      </c>
    </row>
    <row r="4733">
      <c r="A4733" t="inlineStr">
        <is>
          <t>Offi</t>
        </is>
      </c>
      <c r="B4733">
        <f>HYPERLINK("https://www.dofusbook.net/fr/equipement/2952133-offi/objets", "link")</f>
        <v/>
      </c>
      <c r="C4733" t="n">
        <v>23</v>
      </c>
      <c r="D4733" t="inlineStr">
        <is>
          <t>Rapière aux Glyphes; Amulette du Piloztère; Alliance Gloursonne; Bracelet du Piloztère; Bouclier du Stalak; Culotte de Bethel; Masque de Funespadon; Cape Solution; Chaussons de Macrab; Dofus Pourpre; Dofus Turquoise; Dofus Ocre; Dofus Nébuleux; Dofus Ivoire; Vagabond majeur; Muldo Ebène et Pourpre</t>
        </is>
      </c>
    </row>
    <row r="4734">
      <c r="A4734" t="inlineStr">
        <is>
          <t>Stea</t>
        </is>
      </c>
      <c r="B4734">
        <f>HYPERLINK("https://www.dofusbook.net/fr/equipement/2589100-stea/objets", "link")</f>
        <v/>
      </c>
      <c r="C4734" t="n">
        <v>2</v>
      </c>
      <c r="D4734" t="inlineStr">
        <is>
          <t>La Baguette des Limbes; Amulette Héroclite; Alliance de Missiz Frizz; Anneau de Brouce; Ceinture de Brouce; Casque de Missiz Frizz; Voile d'encre; Bottes de Brouce; Pousseur majeur; Bousculeur majeur; Furibond majeur; Robuste majeur; Bousculeur</t>
        </is>
      </c>
    </row>
    <row r="4735">
      <c r="A4735" t="inlineStr">
        <is>
          <t>Osa</t>
        </is>
      </c>
      <c r="B4735">
        <f>HYPERLINK("https://www.dofusbook.net/fr/equipement/2548507-osa/objets", "link")</f>
        <v/>
      </c>
      <c r="C4735" t="n">
        <v>8</v>
      </c>
      <c r="D4735" t="inlineStr">
        <is>
          <t>Rouleau à Pâtisserie d'Aermyne; Amulette Ementaire Deluxe; Bague Instable; Anneau Instable; Ceinture Instable; Casque Dragoeuf; Cape d'Aermyne; Bottes du Meulou; Croum</t>
        </is>
      </c>
    </row>
    <row r="4736">
      <c r="A4736" t="inlineStr">
        <is>
          <t>iop</t>
        </is>
      </c>
      <c r="B4736">
        <f>HYPERLINK("https://www.dofusbook.net/fr/equipement/2548026-iop/objets", "link")</f>
        <v/>
      </c>
      <c r="C4736" t="n">
        <v>5</v>
      </c>
      <c r="D4736" t="inlineStr">
        <is>
          <t>Epée Gloursonne; Amulette du Strigide; Bague Gloursonne; Alliance Gloursonne; Ceinture du Strigide; Casque de Missiz Frizz; Cape de la Fuji Givrefoux; Bottes du Strigide; Kramkram</t>
        </is>
      </c>
    </row>
    <row r="4737">
      <c r="A4737" t="inlineStr">
        <is>
          <t>Ret</t>
        </is>
      </c>
      <c r="B4737">
        <f>HYPERLINK("https://www.dofusbook.net/fr/equipement/2418041-ret/objets", "link")</f>
        <v/>
      </c>
      <c r="C4737" t="n">
        <v>8</v>
      </c>
      <c r="D4737" t="inlineStr">
        <is>
          <t>Rouleau à Pâtisserie d'Aermyne; Amulette d'Oshimo; Anneau Instable; Bague Instable; Ceinture Instable; Coiffe d'Aermyne; Cape d'Aermyne; Bottes d'Oshimo; Dofus Cawotte; Dofus Ocre; Bloqueur majeur; Paralyseur majeur; Tacleur majeur; Engourdisseur majeur</t>
        </is>
      </c>
    </row>
    <row r="4738">
      <c r="A4738" t="inlineStr">
        <is>
          <t>Oui</t>
        </is>
      </c>
      <c r="B4738">
        <f>HYPERLINK("https://www.dofusbook.net/fr/equipement/2417939-oui/objets", "link")</f>
        <v/>
      </c>
      <c r="C4738" t="n">
        <v>7</v>
      </c>
      <c r="D4738" t="inlineStr">
        <is>
          <t>Bêche Asse; Amulette du Strigide; Anneau de Brouce; Bague Gloursonne; Ceinture de Brouce; Casque de Missiz Frizz; Cape au Logis; Bottes de Brouce; Dofus Ocre; Dofus Turquoise; Dofus des Glaces; Furibond majeur; Engourdisseur majeur; Paralyseur majeur; Pioute vert</t>
        </is>
      </c>
    </row>
    <row r="4739">
      <c r="A4739" t="inlineStr">
        <is>
          <t>bvgngn</t>
        </is>
      </c>
      <c r="B4739">
        <f>HYPERLINK("https://www.dofusbook.net/fr/equipement/2219272-bvgngn/objets", "link")</f>
        <v/>
      </c>
      <c r="C4739" t="n">
        <v>1</v>
      </c>
      <c r="D4739" t="inlineStr">
        <is>
          <t>Ragnarok</t>
        </is>
      </c>
    </row>
    <row r="4740">
      <c r="A4740" t="inlineStr">
        <is>
          <t>Touch</t>
        </is>
      </c>
      <c r="B4740">
        <f>HYPERLINK("https://www.dofusbook.net/fr/equipement/1565434-touch/objets", "link")</f>
        <v/>
      </c>
      <c r="C4740" t="n">
        <v>1</v>
      </c>
      <c r="D4740" t="inlineStr">
        <is>
          <t>Rouleau à Pâtisserie d'Aermyne; Amulette d'Oshimo; Anneau Instable; Bague Instable; Ceinture Instable; Coiffe d'Aermyne; Cape d'Aermyne; Bottes d'Oshimo; Dofus Cawotte; Dofus Ocre; Tacleur majeur; Paralyseur majeur; Bloqueur majeur; Engourdisseur majeur</t>
        </is>
      </c>
    </row>
    <row r="4741">
      <c r="A4741" t="inlineStr">
        <is>
          <t>ouiiiii</t>
        </is>
      </c>
      <c r="B4741">
        <f>HYPERLINK("https://www.dofusbook.net/fr/equipement/1487637-ouiiiii/objets", "link")</f>
        <v/>
      </c>
      <c r="C4741" t="n">
        <v>1</v>
      </c>
      <c r="D4741" t="inlineStr">
        <is>
          <t>Arc de Guten Tak; Amulette de Guten Tak; Alliance de Guten Tak; Anneau de Guten Tak; Ceinture Mycosine; Bonnet Ko; Cape Surde; Bottines des sous-bois; Voyageur; Furibond majeur; Puissant majeur; Engourdisseur majeur; Dragodinde Prune et Emeraude</t>
        </is>
      </c>
    </row>
    <row r="4742">
      <c r="A4742" t="inlineStr">
        <is>
          <t>Stuff 3</t>
        </is>
      </c>
      <c r="B4742">
        <f>HYPERLINK("https://www.dofusbook.net/fr/equipement/46247-stuff-3/objets", "link")</f>
        <v/>
      </c>
      <c r="C4742" t="n">
        <v>1</v>
      </c>
      <c r="D4742" t="inlineStr">
        <is>
          <t>Bêche Asse; Phylactère Mic; Alliance de Missiz Frizz; Anneau de Brouce; Ceinture de Brouce; Casque de Missiz Frizz; Cape au Logis; Bottes de Brouce; Dofus Cawotte; Engourdisseur majeur; Furibond majeur; Paralyseur majeur; Forcené majeur</t>
        </is>
      </c>
    </row>
    <row r="4743">
      <c r="A4743" t="inlineStr">
        <is>
          <t>Hih</t>
        </is>
      </c>
      <c r="B4743">
        <f>HYPERLINK("https://www.dofusbook.net/fr/equipement/1360839-hih/objets", "link")</f>
        <v/>
      </c>
      <c r="C4743" t="n">
        <v>1</v>
      </c>
      <c r="D4743" t="inlineStr">
        <is>
          <t>La Baguette des Limbes; Collier du Minotot; Gelano; Bracelet du Minotot; Ceinture du Minotot; Coiffe du Minotot; Cape du Minotot; Sandales du Minotot; Dofus Cawotte; Savant majeur; Engourdisseur majeur; Astucieux majeur; Vagabond majeur; Paralyseur majeur; Dragoune Dorée</t>
        </is>
      </c>
    </row>
    <row r="4744">
      <c r="A4744" t="inlineStr">
        <is>
          <t>ouiok</t>
        </is>
      </c>
      <c r="B4744">
        <f>HYPERLINK("https://www.dofusbook.net/fr/equipement/1351106-ouiok/objets", "link")</f>
        <v/>
      </c>
      <c r="C4744" t="n">
        <v>1</v>
      </c>
      <c r="D4744" t="inlineStr">
        <is>
          <t>Griffe Pourpre; La Meulette; Anneau du Meulou; Gelano; Ceinture du Meulou; Coiffe du Meulou; Cape du Meulou; Bottes du Meulou; Dofus Cawotte; Furibond majeur; Voyageur; Forcené majeur; Engourdisseur majeur; Paralyseur majeur; Dragoune Dorée</t>
        </is>
      </c>
    </row>
    <row r="4745">
      <c r="A4745" t="inlineStr">
        <is>
          <t>ouik</t>
        </is>
      </c>
      <c r="B4745">
        <f>HYPERLINK("https://www.dofusbook.net/fr/equipement/1351007-ouik/objets", "link")</f>
        <v/>
      </c>
      <c r="C4745" t="n">
        <v>1</v>
      </c>
      <c r="D4745" t="inlineStr">
        <is>
          <t>Ougarteau; Ougamulette; Gelano; Sceau Souverain du Roissingue; Ougature; Ougalurette; Cape Souveraine du Roissingue; Bottines des sous-bois; Dofus Cawotte; Engourdisseur majeur; Turbulent; Joueur majeur; Voyageur; Taquin majeur; Dragodinde Prune et Emeraude</t>
        </is>
      </c>
    </row>
    <row r="4746">
      <c r="A4746" t="inlineStr">
        <is>
          <t>Aaaaa</t>
        </is>
      </c>
      <c r="B4746">
        <f>HYPERLINK("https://www.dofusbook.net/fr/equipement/1344421-aaaaa/objets", "link")</f>
        <v/>
      </c>
      <c r="C4746" t="n">
        <v>1</v>
      </c>
      <c r="D4746" t="inlineStr">
        <is>
          <t>Pelle Moh; Torque Ancestral; Anneau du Dragon Cochon; Anneau Ancestral; Abrature Ancestrale; Abracaska Ancestral; Abracapa Ancestrale; Protège-Tibias Ancestraux; Dofus Cawotte; Engourdisseur; Joueur; Paralyseur; Taquin; Voyageur; Dragoune Dorée</t>
        </is>
      </c>
    </row>
    <row r="4747">
      <c r="A4747" t="inlineStr">
        <is>
          <t>Yhhjh</t>
        </is>
      </c>
      <c r="B4747">
        <f>HYPERLINK("https://www.dofusbook.net/fr/equipement/1330726-yhhjh/objets", "link")</f>
        <v/>
      </c>
      <c r="C4747" t="n">
        <v>1</v>
      </c>
      <c r="D4747" t="inlineStr">
        <is>
          <t>Hache du Guerrier Zoth; Amulette Cætera; Gelano; Sceau Souverain du Roissingue; Pagniglou; Capuche Souveraine du Roissingue; Cape Souveraine du Roissingue; Les Maidartes; Dofus Cawotte; Engourdisseur majeur; Joueur majeur; Taquin majeur; Paralyseur majeur; Initiateur majeur; Dragoune Dorée</t>
        </is>
      </c>
    </row>
    <row r="4748">
      <c r="A4748" t="inlineStr">
        <is>
          <t>Hju</t>
        </is>
      </c>
      <c r="B4748">
        <f>HYPERLINK("https://www.dofusbook.net/fr/equipement/1329471-hju/objets", "link")</f>
        <v/>
      </c>
      <c r="C4748" t="n">
        <v>1</v>
      </c>
      <c r="D4748" t="inlineStr">
        <is>
          <t>La Baguette des Limbes; Talisman du Chêne Mou; Gelano; Anneau du Chêne Mou; String Automnal du Chêne Mou; Coiffe du Chêne Mou; Cape Usée du Chêne Mou; Tongues du dimanche du Chêne Mou; Dofus Cawotte; Engourdisseur majeur; Furibond majeur; Savant majeur; Robuste majeur; Paralyseur majeur; Dragodinde Prune</t>
        </is>
      </c>
    </row>
    <row r="4749">
      <c r="A4749" t="inlineStr">
        <is>
          <t>vfcdf</t>
        </is>
      </c>
      <c r="B4749">
        <f>HYPERLINK("https://www.dofusbook.net/fr/equipement/793270-vfcdf/objets", "link")</f>
        <v/>
      </c>
      <c r="C4749" t="n">
        <v>6</v>
      </c>
      <c r="D4749" t="inlineStr">
        <is>
          <t>Amulette de l'Indicible; Bague Gloursonne; Alliance Gloursonne; Bouclier du Stalak; Ceinture de l'Indicible; Casque du Chalœil; Cape du Chalœil; Bottes du Chalœil; Dofus Abyssal; Dolmanax; Dofus des Glaces; Dofus Pourpre; Dokoko; Dofus Ocre; Muldo Doré et Indigo</t>
        </is>
      </c>
    </row>
    <row r="4750">
      <c r="A4750" t="inlineStr">
        <is>
          <t>tgh</t>
        </is>
      </c>
      <c r="B4750">
        <f>HYPERLINK("https://www.dofusbook.net/fr/equipement/736809-tgh/objets", "link")</f>
        <v/>
      </c>
      <c r="C4750" t="n">
        <v>8</v>
      </c>
      <c r="D4750" t="inlineStr">
        <is>
          <t>Epée Gloursonne; Amulette du Kamasterisk; Alliance Gloursonne; Bague Gloursonne; Bouclier du Captain Amakna; Ceinture de la Reine des Voleurs; Coiffe de la Reine des Voleurs; Cape du Kamasterisk; Bottes du Kamasterisk; Dofus Turquoise; Dofus Abyssal; Dofus Émeraude; Dofus des Glaces; Dofus Ocre; Dokoko; Muldo Prune et Doré</t>
        </is>
      </c>
    </row>
    <row r="4751">
      <c r="A4751" t="inlineStr">
        <is>
          <t>Bbcvhh</t>
        </is>
      </c>
      <c r="B4751">
        <f>HYPERLINK("https://www.dofusbook.net/fr/equipement/372006-bbcvhh/objets", "link")</f>
        <v/>
      </c>
      <c r="C4751" t="n">
        <v>5</v>
      </c>
      <c r="D4751" t="inlineStr">
        <is>
          <t>Arc de Koutoulou; Amulette du Strigide; Anneau de Padgref; Alliance Gloursonne; Ceinture du Strigide; Némès de Tal Kasha; Chevelure de Tal Kasha; Sandales de Tal Kasha; Dofus Émeraude; Dofus des Glaces; Dofus Turquoise; Dofus Nébuleux; Dofus Pourpre; Dofus Ocre; Muldo Doré et Emeraude</t>
        </is>
      </c>
    </row>
    <row r="4752">
      <c r="A4752" t="inlineStr">
        <is>
          <t>Stuff 3</t>
        </is>
      </c>
      <c r="B4752">
        <f>HYPERLINK("https://www.dofusbook.net/fr/equipement/46259-stuff-3/objets", "link")</f>
        <v/>
      </c>
      <c r="C4752" t="n">
        <v>2</v>
      </c>
      <c r="D4752" t="inlineStr">
        <is>
          <t>Epée Gloursonne; Amulette du Strigide; Bague Gloursonne; Alliance Gloursonne; Ceinture du Strigide; Casque du Chalœil; Cape du Chalœil; Bottes du Chalœil; Dofus Pourpre; Dofus Ocre; Dofus Émeraude; Dolmanax; Dofus Turquoise; Dofus Nébuleux; Muldo Doré et Indigo</t>
        </is>
      </c>
    </row>
    <row r="4753">
      <c r="A4753" t="inlineStr">
        <is>
          <t>Stuff 2</t>
        </is>
      </c>
      <c r="B4753">
        <f>HYPERLINK("https://www.dofusbook.net/fr/equipement/46257-stuff-2/objets", "link")</f>
        <v/>
      </c>
      <c r="C4753" t="n">
        <v>2</v>
      </c>
      <c r="D4753" t="inlineStr">
        <is>
          <t>Epée Gloursonne; Amulette du Strigide; Bague Gloursonne; Alliance Gloursonne; Bouclier du Captain Amakna cassé; Ceinture du Strigide; Casque du Chalœil; Cape du Chalœil; Bottes du Chalœil; Dofus des Glaces; Dofus Pourpre; Dofus Ocre; Dofus Turquoise; Dofus Nébuleux; Dofus Émeraude; Muldo Doré et Indigo</t>
        </is>
      </c>
    </row>
    <row r="4754">
      <c r="A4754" t="inlineStr">
        <is>
          <t>Pad</t>
        </is>
      </c>
      <c r="B4754">
        <f>HYPERLINK("https://www.dofusbook.net/fr/equipement/184908-pad/objets", "link")</f>
        <v/>
      </c>
      <c r="C4754" t="n">
        <v>18</v>
      </c>
      <c r="D4754" t="inlineStr">
        <is>
          <t>Sabres d'Atcham; Amulette du Strigide; Anneau de Padgref; Bague Gloursonne; Ceinture du Strigide; Coiffe de Padgref; Cape d'Atcham; Sandales  d'Atcham; Dofus Turquoise; Dofus Nébuleux; Dolmanax; Dofus Ocre; Dofus Pourpre; Dofus des Glaces; Muldo Orchidée et Emeraude</t>
        </is>
      </c>
    </row>
    <row r="4755">
      <c r="A4755" t="inlineStr">
        <is>
          <t>Stuff 1</t>
        </is>
      </c>
      <c r="B4755">
        <f>HYPERLINK("https://www.dofusbook.net/fr/equipement/46251-stuff-1/objets", "link")</f>
        <v/>
      </c>
      <c r="C4755" t="n">
        <v>1</v>
      </c>
      <c r="D4755" t="inlineStr">
        <is>
          <t>Arc Hétype; Pendentif affamé; Anneau de Nidas; Chevalière du Roi Joueur; Ceinture Séculaire; Couronne de Nidas; Cape de Diondin; Bottes du Roi Joueur</t>
        </is>
      </c>
    </row>
    <row r="4756">
      <c r="A4756" t="inlineStr">
        <is>
          <t>Stuff 1</t>
        </is>
      </c>
      <c r="B4756">
        <f>HYPERLINK("https://www.dofusbook.net/fr/equipement/46254-stuff-1/objets", "link")</f>
        <v/>
      </c>
      <c r="C4756" t="n">
        <v>3</v>
      </c>
      <c r="D4756" t="inlineStr">
        <is>
          <t>Sabres d'Atcham; Amulette du Strigide; Anneau de Padgref; Alliance Gloursonne; Ceinture du Strigide; Coiffe de Padgref; Cape d'Atcham; Sandales  d'Atcham; Dofus Abyssal; Dofus Émeraude; Dofus des Glaces; Dofus Pourpre; Dofus Ocre; Dofus Turquoise; Muldo Doré et Emeraude</t>
        </is>
      </c>
    </row>
    <row r="4757">
      <c r="A4757" t="inlineStr">
        <is>
          <t>Stuff 2</t>
        </is>
      </c>
      <c r="B4757">
        <f>HYPERLINK("https://www.dofusbook.net/fr/equipement/46245-stuff-2/objets", "link")</f>
        <v/>
      </c>
      <c r="C4757" t="n">
        <v>1</v>
      </c>
      <c r="D4757" t="inlineStr">
        <is>
          <t>Collier de Tourthon; Anneau Chevelu; Anneau Crustique; Ceintouse; Masque de Koutoulou; Cape au Logis; Tentassons</t>
        </is>
      </c>
    </row>
    <row r="4758">
      <c r="A4758" t="inlineStr">
        <is>
          <t>Stuff 1</t>
        </is>
      </c>
      <c r="B4758">
        <f>HYPERLINK("https://www.dofusbook.net/fr/equipement/46250-stuff-1/objets", "link")</f>
        <v/>
      </c>
      <c r="C4758" t="n">
        <v>3</v>
      </c>
      <c r="D4758" t="inlineStr">
        <is>
          <t>Dagues Érhy; Amulette du Strigide; Bague Gloursonne; Alliance Gloursonne; Ceinture du Strigide; Casque du Chalœil; Cape du Chalœil; Bottes du Chalœil; Dofus Vulbis; Dofus Turquoise; Dofus des Glaces; Dofus Pourpre; Dolmanax; Dofus Ocre; Croum</t>
        </is>
      </c>
    </row>
    <row r="4759">
      <c r="A4759" t="inlineStr">
        <is>
          <t>Stuff 1</t>
        </is>
      </c>
      <c r="B4759">
        <f>HYPERLINK("https://www.dofusbook.net/fr/equipement/46236-stuff-1/objets", "link")</f>
        <v/>
      </c>
      <c r="C4759" t="n">
        <v>10</v>
      </c>
      <c r="D4759" t="inlineStr">
        <is>
          <t>Héqache; Amulette de Pol Ouatnos; Bracelet du Piloztère; Anneau des égarés; Ceintouse; Casque des égarés; Cape Matelassée; Baleinabottes; Dofus des Glaces; Dofus Turquoise; Dofus Pourpre; Nomade; Remueur</t>
        </is>
      </c>
    </row>
    <row r="4760">
      <c r="A4760" t="inlineStr">
        <is>
          <t>Stuff 1</t>
        </is>
      </c>
      <c r="B4760">
        <f>HYPERLINK("https://www.dofusbook.net/fr/equipement/46244-stuff-1/objets", "link")</f>
        <v/>
      </c>
      <c r="C4760" t="n">
        <v>1</v>
      </c>
      <c r="D4760" t="inlineStr">
        <is>
          <t>Pelle de la Cour Sombre; Collier du Valet Veinard; Alliance Gloursonne; Gant du Valet Veinard; Menoture; Masque du Granduk; Cape Indescriptible; Palmes Trithons; Dofus Émeraude; Dokoko; Miraculé majeur; Étourdisseur majeur; Remueur; Paralyseur majeur</t>
        </is>
      </c>
    </row>
    <row r="4761">
      <c r="A4761" t="inlineStr">
        <is>
          <t>Stuff 3</t>
        </is>
      </c>
      <c r="B4761">
        <f>HYPERLINK("https://www.dofusbook.net/fr/equipement/406873-stuff-3/objets", "link")</f>
        <v/>
      </c>
      <c r="C4761" t="n">
        <v>2</v>
      </c>
      <c r="D4761" t="inlineStr">
        <is>
          <t>Hache du Chalœil; Amulette du Strigide; Bracelet du Piloztère; Alliance de Missiz Frizz; Ceinture du Strigide; Casque du Chalœil; Cape du Chalœil; Bottes du Chalœil; Dofus Ocre; Dofus Turquoise; Dofus des Glaces; Dofus Pourpre; Dofus Nébuleux; Dolmanax; Dragodinde Prune et Emeraude</t>
        </is>
      </c>
    </row>
    <row r="4762">
      <c r="A4762" t="inlineStr">
        <is>
          <t>Stuff 1</t>
        </is>
      </c>
      <c r="B4762">
        <f>HYPERLINK("https://www.dofusbook.net/fr/equipement/406868-stuff-1/objets", "link")</f>
        <v/>
      </c>
      <c r="C4762" t="n">
        <v>2</v>
      </c>
      <c r="D4762" t="inlineStr">
        <is>
          <t>Dagues Érhy; Amulette du Strigide; Bracelet du Piloztère; Anneau de Padgref; Ceinture du Strigide; Solomonk; Voile d'encre; Bottes du Cycloïde; Dofus Turquoise; Dofus Ocre; Dofus Pourpre; Remueur; Vigoureux majeur; Nomade; Kramkram</t>
        </is>
      </c>
    </row>
    <row r="4763">
      <c r="A4763" t="inlineStr">
        <is>
          <t>Stuff 2</t>
        </is>
      </c>
      <c r="B4763">
        <f>HYPERLINK("https://www.dofusbook.net/fr/equipement/406863-stuff-2/objets", "link")</f>
        <v/>
      </c>
      <c r="C4763" t="n">
        <v>3</v>
      </c>
      <c r="D4763" t="inlineStr">
        <is>
          <t>Hache du Chalœil; Amulette de Pol Ouatnos; Bracelet du Piloztère; Gelano; Ceintacé; Coiffe du Lévitrof; Voilamibe; Bottes du Lévitrof; Dofus Pourpre; Dolmanax; Robuste majeur; Vigoureux majeur; Remueur; Sanguinaire majeur; Dragodinde Prune et Ivoire</t>
        </is>
      </c>
    </row>
    <row r="4764">
      <c r="A4764" t="inlineStr">
        <is>
          <t>Stuff 3</t>
        </is>
      </c>
      <c r="B4764">
        <f>HYPERLINK("https://www.dofusbook.net/fr/equipement/406858-stuff-3/objets", "link")</f>
        <v/>
      </c>
      <c r="C4764" t="n">
        <v>4</v>
      </c>
      <c r="D4764" t="inlineStr">
        <is>
          <t>Arc Nécrotique; Talisman Igans; Alliance Gloursonne; Bracelet du Piloztère; Ceintrigue; Voile d'encre; Pataugastrique; Dofus des Glaces; Dolmanax; Dofus Pourpre; Nomade; Remueur; Vigoureux majeur; Kramkram</t>
        </is>
      </c>
    </row>
    <row r="4765">
      <c r="A4765" t="inlineStr">
        <is>
          <t>Stuff 1</t>
        </is>
      </c>
      <c r="B4765">
        <f>HYPERLINK("https://www.dofusbook.net/fr/equipement/406890-stuff-1/objets", "link")</f>
        <v/>
      </c>
      <c r="C4765" t="n">
        <v>3</v>
      </c>
      <c r="D4765" t="inlineStr">
        <is>
          <t>Sabres d'Atcham; Amulette du Strigide; Anneau Tique; Bracelet du Piloztère; Ceinture du Strigide; Chapeau Lisson; Cape d'Atcham; Sandales  d'Atcham; Dolmanax; Dofus Turquoise; Dofus des Glaces; Dofus Ocre; Dofus Vulbis; Dofus Pourpre; Kramkram</t>
        </is>
      </c>
    </row>
    <row r="4766">
      <c r="A4766" t="inlineStr">
        <is>
          <t>Stuff 1</t>
        </is>
      </c>
      <c r="B4766">
        <f>HYPERLINK("https://www.dofusbook.net/fr/equipement/406853-stuff-1/objets", "link")</f>
        <v/>
      </c>
      <c r="C4766" t="n">
        <v>2</v>
      </c>
      <c r="D4766" t="inlineStr">
        <is>
          <t>Bêche Asse; Amulette du Strigide; Bague Gloursonne; Bracelet du Piloztère; Ceinture de Brouce; Casque de Missiz Frizz; Cape au Logis; Bottes de Brouce; Dofus Ocre; Dofus Pourpre; Dofus Turquoise; Enragé majeur; Remueur; Vigoureux majeur; Kompost</t>
        </is>
      </c>
    </row>
    <row r="4767">
      <c r="A4767" t="inlineStr">
        <is>
          <t>Stuff 2</t>
        </is>
      </c>
      <c r="B4767">
        <f>HYPERLINK("https://www.dofusbook.net/fr/equipement/406885-stuff-2/objets", "link")</f>
        <v/>
      </c>
      <c r="C4767" t="n">
        <v>3</v>
      </c>
      <c r="D4767" t="inlineStr">
        <is>
          <t>Griffe Rose; Fourbamulette; Alliance de Farle; Gelano; Ceinture Précieuse; Casque du Chef Bwork; La Brouteuse; Bottes Précieuses; Dofus Cawotte; Observateur; Nomade; Enragé; Vigoureux; Remueur; Dragodinde Prune et Pourpre</t>
        </is>
      </c>
    </row>
    <row r="4768">
      <c r="A4768" t="inlineStr">
        <is>
          <t>Stuff 3</t>
        </is>
      </c>
      <c r="B4768">
        <f>HYPERLINK("https://www.dofusbook.net/fr/equipement/406880-stuff-3/objets", "link")</f>
        <v/>
      </c>
      <c r="C4768" t="n">
        <v>9</v>
      </c>
      <c r="D4768" t="inlineStr">
        <is>
          <t>Manthache; Collier du Valet Veinard; Anneau d'Allister; Gant du Valet Veinard; Ceinture du Barbétoal; Couronne d'Allister; Cape du Valet Veinard; Bottes d'Allister; Dokoko; Dofus des Glaces; Dofus Émeraude; Dofus Ocre; Voyageur; Vagabond majeur; Kramkram</t>
        </is>
      </c>
    </row>
    <row r="4769">
      <c r="A4769" t="inlineStr">
        <is>
          <t>Stuff 2</t>
        </is>
      </c>
      <c r="B4769">
        <f>HYPERLINK("https://www.dofusbook.net/fr/equipement/406875-stuff-2/objets", "link")</f>
        <v/>
      </c>
      <c r="C4769" t="n">
        <v>3</v>
      </c>
      <c r="D4769" t="inlineStr">
        <is>
          <t>Baguette Range; Amulette du Strigide; Anneau de Padgref; Kralano; Ceinture du Strigide; Coiffe de Padgref; Voile d'encre; Getas de Padgref; Dofus Turquoise; Dofus des Glaces; Dofus Pourpre; Dofus Nébuleux; Dofus Ocre; Dolmanax; Phorror</t>
        </is>
      </c>
    </row>
    <row r="4770">
      <c r="A4770" t="inlineStr">
        <is>
          <t>Stuff 3</t>
        </is>
      </c>
      <c r="B4770">
        <f>HYPERLINK("https://www.dofusbook.net/fr/equipement/406870-stuff-3/objets", "link")</f>
        <v/>
      </c>
      <c r="C4770" t="n">
        <v>2</v>
      </c>
      <c r="D4770" t="inlineStr">
        <is>
          <t>Baguette Hernelle; Amulette Séculaire; Kralano; Anneau de Padgref; Ceinture Séculaire; Coiffe de Padgref; Cape Hiculteur; Getas de Padgref; Dofus Ocre; Dofus des Glaces; Dofus Pourpre; Dolmanax; Savant majeur; Astucieux majeur; Dragodinde Prune et Emeraude</t>
        </is>
      </c>
    </row>
    <row r="4771">
      <c r="A4771" t="inlineStr">
        <is>
          <t>Stuff 1</t>
        </is>
      </c>
      <c r="B4771">
        <f>HYPERLINK("https://www.dofusbook.net/fr/equipement/406865-stuff-1/objets", "link")</f>
        <v/>
      </c>
      <c r="C4771" t="n">
        <v>8</v>
      </c>
      <c r="D4771" t="inlineStr">
        <is>
          <t>Epée Toche; Amulette de Gein; Bague Gloursonne; Bracelet du Piloztère; Ceintacé; Chapeau de Gein; Voile d'encre; Bottes du Cycloïde; Dofus Pourpre; Dofus Turquoise; Miraculé majeur; Nomade; Vigoureux majeur; Remueur; Kramkram</t>
        </is>
      </c>
    </row>
    <row r="4772">
      <c r="A4772" t="inlineStr">
        <is>
          <t>Stuff 2</t>
        </is>
      </c>
      <c r="B4772">
        <f>HYPERLINK("https://www.dofusbook.net/fr/equipement/406860-stuff-2/objets", "link")</f>
        <v/>
      </c>
      <c r="C4772" t="n">
        <v>3</v>
      </c>
      <c r="D4772" t="inlineStr">
        <is>
          <t>Sabres d'Atcham; Amulette du Strigide; Bracelet du Piloztère; Alliance Gloursonne; Ceintacé; Chapeau des Malveilleurs; Voile d'encre; Bottes du Strigide; Dofus Pourpre; Dofus des Glaces; Dofus Turquoise; Dolmanax; Nomade; Remueur; Kramkram</t>
        </is>
      </c>
    </row>
    <row r="4773">
      <c r="A4773" t="inlineStr">
        <is>
          <t>Stuff 3</t>
        </is>
      </c>
      <c r="B4773">
        <f>HYPERLINK("https://www.dofusbook.net/fr/equipement/406855-stuff-3/objets", "link")</f>
        <v/>
      </c>
      <c r="C4773" t="n">
        <v>2</v>
      </c>
      <c r="D4773" t="inlineStr">
        <is>
          <t>Epée Kari; Amulette du Strigide; Bague Houx; Bracelet du Piloztère; Ceintacé; Maskrobe; Voilamibe; Bottes du Strigide; Dofus des Glaces; Dofus Pourpre; Dolmanax; Robuste majeur; Vigoureux majeur; Remueur; Kramkram</t>
        </is>
      </c>
    </row>
    <row r="4774">
      <c r="A4774" t="inlineStr">
        <is>
          <t>Stuff 2</t>
        </is>
      </c>
      <c r="B4774">
        <f>HYPERLINK("https://www.dofusbook.net/fr/equipement/406882-stuff-2/objets", "link")</f>
        <v/>
      </c>
      <c r="C4774" t="n">
        <v>6</v>
      </c>
      <c r="D4774" t="inlineStr">
        <is>
          <t>Dagues Érhy; Amulette du Strigide; Kralano; Anneau de Padgref; Ceinture du Strigide; Coiffe de Padgref; Voile d'encre; Getas de Padgref; Dofus Turquoise; Dofus Ocre; Dofus Émeraude; Dofus des Glaces; Dofus Pourpre; Dolmanax; Kramkram</t>
        </is>
      </c>
    </row>
    <row r="4775">
      <c r="A4775" t="inlineStr">
        <is>
          <t>Stuff 1</t>
        </is>
      </c>
      <c r="B4775">
        <f>HYPERLINK("https://www.dofusbook.net/fr/equipement/406877-stuff-1/objets", "link")</f>
        <v/>
      </c>
      <c r="C4775" t="n">
        <v>2</v>
      </c>
      <c r="D4775" t="inlineStr">
        <is>
          <t>Dagues de Srambad; Amulette du Piloztère; Anneau de Pol Ouatnos; Bracelet du Piloztère; Ceinture de la Reine des Voleurs; Coiffe de la Reine des Voleurs; Cape des Justiciers; Pantoufles du Piloztère; Dolmanax; Dofus Ocre; Dofus des Glaces; Dofus Émeraude; Dofus Pourpre; Puissant majeur; Kramkram</t>
        </is>
      </c>
    </row>
    <row r="4776">
      <c r="A4776" t="inlineStr">
        <is>
          <t>Stuff 2</t>
        </is>
      </c>
      <c r="B4776">
        <f>HYPERLINK("https://www.dofusbook.net/fr/equipement/406872-stuff-2/objets", "link")</f>
        <v/>
      </c>
      <c r="C4776" t="n">
        <v>2</v>
      </c>
      <c r="D4776" t="inlineStr">
        <is>
          <t>Dagues de Srambad; Amulette du Piloztère; Anneau de Pol Ouatnos; Bracelet du Piloztère; Ceinture de la Reine des Voleurs; Coiffe de la Reine des Voleurs; Cape des Justiciers; Pantoufles du Piloztère; Dofus Émeraude; Dofus Pourpre; Dolmanax; Dofus Ocre; Dofus des Glaces; Puissant majeur; Kramkram</t>
        </is>
      </c>
    </row>
    <row r="4777">
      <c r="A4777" t="inlineStr">
        <is>
          <t>Stuff 3</t>
        </is>
      </c>
      <c r="B4777">
        <f>HYPERLINK("https://www.dofusbook.net/fr/equipement/406867-stuff-3/objets", "link")</f>
        <v/>
      </c>
      <c r="C4777" t="n">
        <v>3</v>
      </c>
      <c r="D4777" t="inlineStr">
        <is>
          <t>Epée Toche; Amulette de Gein; Bague Gloursonne; Chevalière du Roi Joueur; Ceinture de Kongoku; Couronne du Roi Joueur; Cape de Kongoku; Bottes du Roi Joueur; Dofus des Glaces; Dofus Pourpre; Dolmanax; Dofus Ocre; Dofus Turquoise; Ralentisseur majeur; Dragodinde Emeraude et Rousse</t>
        </is>
      </c>
    </row>
    <row r="4778">
      <c r="A4778" t="inlineStr">
        <is>
          <t>Stuff 1</t>
        </is>
      </c>
      <c r="B4778">
        <f>HYPERLINK("https://www.dofusbook.net/fr/equipement/406862-stuff-1/objets", "link")</f>
        <v/>
      </c>
      <c r="C4778" t="n">
        <v>1</v>
      </c>
      <c r="D4778" t="inlineStr">
        <is>
          <t>Bâton Champmanique; Amulule; Gelano; Grésilanneau; Obscture; Chapeau Potin; Cape Peupret; Bottes de Missiz Frizz; Dolmanax; Dofus Pourpre; Vigoureux majeur; Remueur; Robuste majeur; Nomade; Dragodinde Prune et Ivoire</t>
        </is>
      </c>
    </row>
    <row r="4779">
      <c r="A4779" t="inlineStr">
        <is>
          <t>Stuff 2</t>
        </is>
      </c>
      <c r="B4779">
        <f>HYPERLINK("https://www.dofusbook.net/fr/equipement/406857-stuff-2/objets", "link")</f>
        <v/>
      </c>
      <c r="C4779" t="n">
        <v>3</v>
      </c>
      <c r="D4779" t="inlineStr">
        <is>
          <t>Arc de Koutoulou; Amulette du Strigide; Alliance Gloursonne; Anneau de Pol Ouatnos; Quatre-feuilles; Ceinture du Strigide; Némès de Tal Kasha; Chevelure de Tal Kasha; Sandales de Tal Kasha; Dofus des Glaces; Dofus Ocre; Dolmanax; Dofus Turquoise; Dofus Émeraude; Dofus Pourpre; Kramkram</t>
        </is>
      </c>
    </row>
    <row r="4780">
      <c r="A4780" t="inlineStr">
        <is>
          <t>Stuff 3</t>
        </is>
      </c>
      <c r="B4780">
        <f>HYPERLINK("https://www.dofusbook.net/fr/equipement/406876-stuff-3/objets", "link")</f>
        <v/>
      </c>
      <c r="C4780" t="n">
        <v>1</v>
      </c>
      <c r="D4780" t="inlineStr">
        <is>
          <t>Arc Hétype; Amulette d'Otomaï; Kralano; Anneau de Nidas; Sangle Holon; Couronne de Nidas; Cape Hulco; Pantoufles Émar; Observateur; Remueur; Miraculé majeur; Guérisseur majeur; Nomade; Érudit majeur; Kramkram</t>
        </is>
      </c>
    </row>
    <row r="4781">
      <c r="A4781" t="inlineStr">
        <is>
          <t>Stuff 1</t>
        </is>
      </c>
      <c r="B4781">
        <f>HYPERLINK("https://www.dofusbook.net/fr/equipement/406871-stuff-1/objets", "link")</f>
        <v/>
      </c>
      <c r="C4781" t="n">
        <v>0</v>
      </c>
      <c r="D4781" t="inlineStr">
        <is>
          <t>Rapière aux Glyphes; Amulette du Strigide; Bracelet des Fonds marins; Alliance Gloursonne; Ceinture du Strigide; Coiffe de Danathor; Cape Glaciale; Sandales Circulaires du Kimbo; Dofus des Glaces; Dofus Ocre; Remueur; Miraculé majeur; Nomade; Chanceux majeur; Kwaltess</t>
        </is>
      </c>
    </row>
    <row r="4782">
      <c r="A4782" t="inlineStr">
        <is>
          <t>Stuff 2</t>
        </is>
      </c>
      <c r="B4782">
        <f>HYPERLINK("https://www.dofusbook.net/fr/equipement/406866-stuff-2/objets", "link")</f>
        <v/>
      </c>
      <c r="C4782" t="n">
        <v>5</v>
      </c>
      <c r="D4782" t="inlineStr">
        <is>
          <t>Bêche Asse; Amulette du Strigide; Bracelet du Piloztère; Bague Gloursonne; Ceinture de Brouce; Casque de Missiz Frizz; Cape au Logis; Bottes de Brouce; Dofus Turquoise; Dofus Ocre; Dofus Pourpre; Vigoureux majeur; Enragé majeur; Remueur; Kompost</t>
        </is>
      </c>
    </row>
    <row r="4783">
      <c r="A4783" t="inlineStr">
        <is>
          <t>Stuff 3</t>
        </is>
      </c>
      <c r="B4783">
        <f>HYPERLINK("https://www.dofusbook.net/fr/equipement/406861-stuff-3/objets", "link")</f>
        <v/>
      </c>
      <c r="C4783" t="n">
        <v>0</v>
      </c>
      <c r="D4783" t="inlineStr">
        <is>
          <t>Sabres d'Atcham; Amulette du Strigide; Anneau de Padgref; Bracelet du Piloztère; Bouclier du Captain Amakna; Ceinture du Strigide; Coiffe de Padgref; Cape d'Atcham; Sandales  d'Atcham; Dofus des Glaces; Dofus Ocre; Dofus Émeraude; Dofus Pourpre; Dolmanax; Dofus Turquoise; Dragodinde Emeraude et Rousse</t>
        </is>
      </c>
    </row>
    <row r="4784">
      <c r="A4784" t="inlineStr">
        <is>
          <t>Stuff 1</t>
        </is>
      </c>
      <c r="B4784">
        <f>HYPERLINK("https://www.dofusbook.net/fr/equipement/406856-stuff-1/objets", "link")</f>
        <v/>
      </c>
      <c r="C4784" t="n">
        <v>2</v>
      </c>
      <c r="D4784" t="inlineStr">
        <is>
          <t>Baguette Range; Amulette du Strigide; Kralano; Anneau de Padgref; Quatre-feuilles; Ceinture du Strigide; Coiffe de Padgref; Cape d'Atcham; Getas de Padgref; Dolmanax; Dofus Turquoise; Dofus des Glaces; Dofus Pourpre; Dofus Nébuleux; Dofus Ocre; Dragodinde Prune et Emeraude</t>
        </is>
      </c>
    </row>
    <row r="4785">
      <c r="A4785" t="inlineStr">
        <is>
          <t>Stuff 3</t>
        </is>
      </c>
      <c r="B4785">
        <f>HYPERLINK("https://www.dofusbook.net/fr/equipement/406883-stuff-3/objets", "link")</f>
        <v/>
      </c>
      <c r="C4785" t="n">
        <v>1</v>
      </c>
      <c r="D4785" t="inlineStr">
        <is>
          <t>Epée Toche; Amulette de Gein; Bague Gloursonne; Bracelet du Piloztère; Ceintacé; Chapeau de Gein; Voile d'encre; Bottes du Cycloïde; Dofus Pourpre; Dofus Turquoise; Dolmanax; Vigoureux majeur; Remueur; Nomade; Kramkram</t>
        </is>
      </c>
    </row>
    <row r="4786">
      <c r="A4786" t="inlineStr">
        <is>
          <t>Stuff 1</t>
        </is>
      </c>
      <c r="B4786">
        <f>HYPERLINK("https://www.dofusbook.net/fr/equipement/406878-stuff-1/objets", "link")</f>
        <v/>
      </c>
      <c r="C4786" t="n">
        <v>5</v>
      </c>
      <c r="D4786" t="inlineStr">
        <is>
          <t>Bêche Asse; Collier de Tourthon; Bague Gloursonne; Anneau de XLII; Ceinture de la Cour Sombre; Ruskauffe; Cape au Logis; Bottes de XLII; Dofus Émeraude; Dofus Ocre; Miraculé majeur; Enragé majeur; Remueur; Obstructeur majeur; Kramkram</t>
        </is>
      </c>
    </row>
    <row r="4787">
      <c r="A4787" t="inlineStr">
        <is>
          <t>Stuff 3</t>
        </is>
      </c>
      <c r="B4787">
        <f>HYPERLINK("https://www.dofusbook.net/fr/equipement/406873-stuff-3/objets", "link")</f>
        <v/>
      </c>
      <c r="C4787" t="n">
        <v>2</v>
      </c>
      <c r="D4787" t="inlineStr">
        <is>
          <t>Hache du Chalœil; Amulette du Strigide; Alliance de Missiz Frizz; Bracelet du Piloztère; Ceinture du Strigide; Casque du Chalœil; Cape du Chalœil; Bottes du Chalœil; Dofus des Glaces; Dofus Pourpre; Dofus Nébuleux; Dolmanax; Dofus Ocre; Dofus Turquoise; Dragodinde Prune et Emeraude</t>
        </is>
      </c>
    </row>
    <row r="4788">
      <c r="A4788" t="inlineStr">
        <is>
          <t>Stuff 1</t>
        </is>
      </c>
      <c r="B4788">
        <f>HYPERLINK("https://www.dofusbook.net/fr/equipement/406868-stuff-1/objets", "link")</f>
        <v/>
      </c>
      <c r="C4788" t="n">
        <v>2</v>
      </c>
      <c r="D4788" t="inlineStr">
        <is>
          <t>Dagues Érhy; Amulette du Strigide; Bracelet du Piloztère; Anneau de Padgref; Ceinture du Strigide; Solomonk; Voile d'encre; Bottes du Cycloïde; Dofus Turquoise; Dofus Ocre; Dofus Pourpre; Nomade; Remueur; Vigoureux majeur; Kramkram</t>
        </is>
      </c>
    </row>
    <row r="4789">
      <c r="A4789" t="inlineStr">
        <is>
          <t>Stuff 2</t>
        </is>
      </c>
      <c r="B4789">
        <f>HYPERLINK("https://www.dofusbook.net/fr/equipement/406863-stuff-2/objets", "link")</f>
        <v/>
      </c>
      <c r="C4789" t="n">
        <v>3</v>
      </c>
      <c r="D4789" t="inlineStr">
        <is>
          <t>Hache du Chalœil; Amulette de Pol Ouatnos; Gelano; Bracelet du Piloztère; Ceintacé; Coiffe du Lévitrof; Voilamibe; Bottes du Lévitrof; Dolmanax; Dofus Pourpre; Sanguinaire majeur; Robuste majeur; Vigoureux majeur; Remueur; Dragodinde Prune et Ivoire</t>
        </is>
      </c>
    </row>
    <row r="4790">
      <c r="A4790" t="inlineStr">
        <is>
          <t>Stuff 3</t>
        </is>
      </c>
      <c r="B4790">
        <f>HYPERLINK("https://www.dofusbook.net/fr/equipement/406858-stuff-3/objets", "link")</f>
        <v/>
      </c>
      <c r="C4790" t="n">
        <v>4</v>
      </c>
      <c r="D4790" t="inlineStr">
        <is>
          <t>Arc Nécrotique; Talisman Igans; Alliance Gloursonne; Bracelet du Piloztère; Ceintrigue; Voile d'encre; Pataugastrique; Dolmanax; Dofus Pourpre; Dofus des Glaces; Remueur; Vigoureux majeur; Nomade; Kramkram</t>
        </is>
      </c>
    </row>
    <row r="4791">
      <c r="A4791" t="inlineStr">
        <is>
          <t>Stuff 1</t>
        </is>
      </c>
      <c r="B4791">
        <f>HYPERLINK("https://www.dofusbook.net/fr/equipement/406890-stuff-1/objets", "link")</f>
        <v/>
      </c>
      <c r="C4791" t="n">
        <v>3</v>
      </c>
      <c r="D4791" t="inlineStr">
        <is>
          <t>Sabres d'Atcham; Amulette du Strigide; Bracelet du Piloztère; Anneau Tique; Ceinture du Strigide; Chapeau Lisson; Cape d'Atcham; Sandales  d'Atcham; Dofus Vulbis; Dofus Pourpre; Dolmanax; Dofus Turquoise; Dofus des Glaces; Dofus Ocre; Kramkram</t>
        </is>
      </c>
    </row>
    <row r="4792">
      <c r="A4792" t="inlineStr">
        <is>
          <t>Stuff 2</t>
        </is>
      </c>
      <c r="B4792">
        <f>HYPERLINK("https://www.dofusbook.net/fr/equipement/406885-stuff-2/objets", "link")</f>
        <v/>
      </c>
      <c r="C4792" t="n">
        <v>3</v>
      </c>
      <c r="D4792" t="inlineStr">
        <is>
          <t>Griffe Rose; Fourbamulette; Gelano; Alliance de Farle; Ceinture Précieuse; Casque du Chef Bwork; La Brouteuse; Bottes Précieuses; Dofus Cawotte; Remueur; Observateur; Nomade; Enragé; Vigoureux; Dragodinde Prune et Pourpre</t>
        </is>
      </c>
    </row>
    <row r="4793">
      <c r="A4793" t="inlineStr">
        <is>
          <t>Stuff 1</t>
        </is>
      </c>
      <c r="B4793">
        <f>HYPERLINK("https://www.dofusbook.net/fr/equipement/406853-stuff-1/objets", "link")</f>
        <v/>
      </c>
      <c r="C4793" t="n">
        <v>2</v>
      </c>
      <c r="D4793" t="inlineStr">
        <is>
          <t>Bêche Asse; Amulette du Strigide; Bracelet du Piloztère; Bague Gloursonne; Ceinture de Brouce; Casque de Missiz Frizz; Cape au Logis; Bottes de Brouce; Dofus Turquoise; Dofus Ocre; Dofus Pourpre; Vigoureux majeur; Enragé majeur; Remueur; Kompost</t>
        </is>
      </c>
    </row>
    <row r="4794">
      <c r="A4794" t="inlineStr">
        <is>
          <t>Stuff 3</t>
        </is>
      </c>
      <c r="B4794">
        <f>HYPERLINK("https://www.dofusbook.net/fr/equipement/406880-stuff-3/objets", "link")</f>
        <v/>
      </c>
      <c r="C4794" t="n">
        <v>9</v>
      </c>
      <c r="D4794" t="inlineStr">
        <is>
          <t>Manthache; Collier du Valet Veinard; Gant du Valet Veinard; Anneau d'Allister; Ceinture du Barbétoal; Couronne d'Allister; Cape du Valet Veinard; Bottes d'Allister; Dofus Ocre; Dokoko; Dofus des Glaces; Dofus Émeraude; Vagabond majeur; Voyageur; Kramkram</t>
        </is>
      </c>
    </row>
    <row r="4795">
      <c r="A4795" t="inlineStr">
        <is>
          <t>Stuff 2</t>
        </is>
      </c>
      <c r="B4795">
        <f>HYPERLINK("https://www.dofusbook.net/fr/equipement/406875-stuff-2/objets", "link")</f>
        <v/>
      </c>
      <c r="C4795" t="n">
        <v>3</v>
      </c>
      <c r="D4795" t="inlineStr">
        <is>
          <t>Baguette Range; Amulette du Strigide; Kralano; Anneau de Padgref; Ceinture du Strigide; Coiffe de Padgref; Voile d'encre; Getas de Padgref; Dofus des Glaces; Dofus Pourpre; Dofus Nébuleux; Dofus Ocre; Dolmanax; Dofus Turquoise; Phorror</t>
        </is>
      </c>
    </row>
    <row r="4796">
      <c r="A4796" t="inlineStr">
        <is>
          <t>Stuff 3</t>
        </is>
      </c>
      <c r="B4796">
        <f>HYPERLINK("https://www.dofusbook.net/fr/equipement/406870-stuff-3/objets", "link")</f>
        <v/>
      </c>
      <c r="C4796" t="n">
        <v>2</v>
      </c>
      <c r="D4796" t="inlineStr">
        <is>
          <t>Baguette Hernelle; Amulette Séculaire; Anneau de Padgref; Kralano; Ceinture Séculaire; Coiffe de Padgref; Cape Hiculteur; Getas de Padgref; Dofus des Glaces; Dofus Pourpre; Dolmanax; Dofus Ocre; Astucieux majeur; Savant majeur; Dragodinde Prune et Emeraude</t>
        </is>
      </c>
    </row>
    <row r="4797">
      <c r="A4797" t="inlineStr">
        <is>
          <t>air/feu cac</t>
        </is>
      </c>
      <c r="B4797">
        <f>HYPERLINK("https://www.dofusbook.net/fr/equipement/6012573-air-feu-cac/objets", "link")</f>
        <v/>
      </c>
      <c r="C4797" t="n">
        <v>0</v>
      </c>
      <c r="D4797" t="inlineStr">
        <is>
          <t>Marteau Phossile; Amulette Volkorne; Anneau Volkorne; Crocanneau; Bouclier du Captain Amakna; Ceinture du Strigide; Casque Volkorne; Cape de Jahash Jurgen; Bottes du Strigide; Dofus Nébuleux; Dofus Ébène; Dofus Turquoise; Dofus Pourpre; Dofus Ivoire; Dofus Ocre; Willy le Relou</t>
        </is>
      </c>
    </row>
    <row r="4798">
      <c r="A4798" t="inlineStr">
        <is>
          <t>air cc</t>
        </is>
      </c>
      <c r="B4798">
        <f>HYPERLINK("https://www.dofusbook.net/fr/equipement/6012645-air-cc/objets", "link")</f>
        <v/>
      </c>
      <c r="C4798" t="n">
        <v>0</v>
      </c>
      <c r="D4798" t="inlineStr">
        <is>
          <t>Baguette de Torkélonia; Amulette Voldelor; Alliance Gloursonne; Anneau Volkorne; Bouclier d'Ilyzaelle; Menoture; Casque Volkorne; Carapace de Torkélonia; Bottes Voldelor; Dofus Turquoise; Dofus Vulbis; Dofus Ocre; Dofus Pourpre; Dofus Ébène; Dofus Ivoire; Pioute jaune</t>
        </is>
      </c>
    </row>
    <row r="4799">
      <c r="A4799" t="inlineStr">
        <is>
          <t>test</t>
        </is>
      </c>
      <c r="B4799">
        <f>HYPERLINK("https://www.dofusbook.net/fr/equipement/6012638-test/objets", "link")</f>
        <v/>
      </c>
      <c r="C4799" t="n">
        <v>0</v>
      </c>
      <c r="D4799" t="inlineStr">
        <is>
          <t>Baguette de Torkélonia; Amulette Voldelor; Anneau Volkorne; Alliance Gloursonne; Bouclier d'Ilyzaelle; Menoture; Casque Volkorne; Carapace de Torkélonia; Bottes Voldelor; Dofus Ocre; Dofus Pourpre; Dofus Ébène; Dofus Ivoire; Dofus Turquoise; Dofus Vulbis; Pioute jaune</t>
        </is>
      </c>
    </row>
    <row r="4800">
      <c r="A4800" t="inlineStr">
        <is>
          <t>Feu mixed</t>
        </is>
      </c>
      <c r="B4800">
        <f>HYPERLINK("https://www.dofusbook.net/fr/equipement/5892087-feu-mixed/objets", "link")</f>
        <v/>
      </c>
      <c r="C4800" t="n">
        <v>2</v>
      </c>
      <c r="D4800" t="inlineStr">
        <is>
          <t>Arc corrompu; Amulette Volkorne; Anneauræus; Anneau Volkorne; Bivalve; Croture; Heaume Oplate; Cape de Jahash Jurgen; Pataugastrique; Dofus Pourpre; Dofus Ivoire; Dofus Vulbis; Dofus Nébuleux; Dofus Ébène; Érudit majeur; Brûlih</t>
        </is>
      </c>
    </row>
    <row r="4801">
      <c r="A4801" t="inlineStr">
        <is>
          <t>SL - Regen</t>
        </is>
      </c>
      <c r="B4801">
        <f>HYPERLINK("https://www.dofusbook.net/fr/equipement/5892993-sl---regen/objets", "link")</f>
        <v/>
      </c>
      <c r="C4801" t="n">
        <v>1</v>
      </c>
      <c r="D4801" t="inlineStr">
        <is>
          <t>Couteaux Sacrificiels; Amulette Volkorne; Alliance Gloursonne; Anneau Volkorne; Bouclier alvéolé; Ceinture Volkorne; Masque Paztek; Cape Paztek; Pataugastrique; Dofus des Glaces; Dofus Ivoire; Dofus Ocre; Dofus Émeraude; Dokoko; Dofus Abyssal; Kramkram</t>
        </is>
      </c>
    </row>
    <row r="4802">
      <c r="A4802" t="inlineStr">
        <is>
          <t>eau tac tank</t>
        </is>
      </c>
      <c r="B4802">
        <f>HYPERLINK("https://www.dofusbook.net/fr/equipement/5892250-eau-tac-tank/objets", "link")</f>
        <v/>
      </c>
      <c r="C4802" t="n">
        <v>3</v>
      </c>
      <c r="D4802" t="inlineStr">
        <is>
          <t>Crocobur; Amulette Volkorne; Alliance Gloursonne; Anneau Volkorne; Droiture de Fallanster; Ceinture de Dame Jhessica; Masque des Fonds marins; Cape Solution; Sandales des Fonds marins; Dofus Pourpre; Dofus Vulbis; Dofus Abyssal; Dofus Ocre; Dofus Ivoire; Dofus Ébène; Kanigloups</t>
        </is>
      </c>
    </row>
    <row r="4803">
      <c r="A4803" t="inlineStr">
        <is>
          <t>arc volk</t>
        </is>
      </c>
      <c r="B4803">
        <f>HYPERLINK("https://www.dofusbook.net/fr/equipement/5953693-arc-volk/objets", "link")</f>
        <v/>
      </c>
      <c r="C4803" t="n">
        <v>1</v>
      </c>
      <c r="D4803" t="inlineStr">
        <is>
          <t>Arc Volkorne; Amulette du Strigide; Anneau Volkorne; Crocanneau; Quatre-feuilles; Ceinture Volkorne; Casque Volkorne; Cape de Jahash Jurgen; Bottes du Strigide; Dofus Abyssal; Dofus des Glaces; Dofus Ocre; Dofus Turquoise; Dofus Pourpre; Dofus Ébène; Kokulte</t>
        </is>
      </c>
    </row>
    <row r="4804">
      <c r="A4804" t="inlineStr">
        <is>
          <t>Eau jahash</t>
        </is>
      </c>
      <c r="B4804">
        <f>HYPERLINK("https://www.dofusbook.net/fr/equipement/5953538-eau-jahash/objets", "link")</f>
        <v/>
      </c>
      <c r="C4804" t="n">
        <v>1</v>
      </c>
      <c r="D4804" t="inlineStr">
        <is>
          <t>Rapière aux Glyphes; Amulette Volkorne; Anneau Volkorne; Bracelet des Fonds marins; Bouclier d'Ilyzaelle; Ceinture Volkorne; Kidibonnet; Cape de Jahash Jurgen; Sandales des Fonds marins; Dofus Abyssal; Dofus Ébène; Dofus Pourpre; Dofus Ivoire; Dofus Ocre; Dofus Turquoise; Kokulte</t>
        </is>
      </c>
    </row>
    <row r="4805">
      <c r="A4805" t="inlineStr">
        <is>
          <t>Eau cc songes</t>
        </is>
      </c>
      <c r="B4805">
        <f>HYPERLINK("https://www.dofusbook.net/fr/equipement/5882722-eau-cc-songes/objets", "link")</f>
        <v/>
      </c>
      <c r="C4805" t="n">
        <v>1</v>
      </c>
      <c r="D4805" t="inlineStr">
        <is>
          <t>Rapière aux Glyphes; Amulette du Strigide; Anneau Volkorne; Crocanneau; Bouclier d'Ilyzaelle; Ceinture Volkorne; Kidibonnet; Cape de Jahash Jurgen; Bottes du Strigide; Dofus Vulbis; Dofus Pourpre; Dofus Abyssal; Dofus Ivoire; Dofus Turquoise; Dofus Ébène; Kokulte</t>
        </is>
      </c>
    </row>
    <row r="4806">
      <c r="A4806" t="inlineStr">
        <is>
          <t>air cc</t>
        </is>
      </c>
      <c r="B4806">
        <f>HYPERLINK("https://www.dofusbook.net/fr/equipement/5953528-air-cc/objets", "link")</f>
        <v/>
      </c>
      <c r="C4806" t="n">
        <v>1</v>
      </c>
      <c r="D4806" t="inlineStr">
        <is>
          <t>Baguette de Torkélonia; Amulette Voldelor; Anneau Volkorne; Alliance Gloursonne; Bouclier d'Ilyzaelle; Menoture; Casque Volkorne; Carapace de Torkélonia; Bottes Voldelor; Dofus Ocre; Dofus Pourpre; Dofus Ébène; Dofus Ivoire; Dofus Turquoise; Dofus Vulbis; Pioute jaune</t>
        </is>
      </c>
    </row>
    <row r="4807">
      <c r="A4807" t="inlineStr">
        <is>
          <t>eau/air tank</t>
        </is>
      </c>
      <c r="B4807">
        <f>HYPERLINK("https://www.dofusbook.net/fr/equipement/5887010-eau-air-tank/objets", "link")</f>
        <v/>
      </c>
      <c r="C4807" t="n">
        <v>3</v>
      </c>
      <c r="D4807" t="inlineStr">
        <is>
          <t>Marteau des Anciens Steamers; Amulette d'Ilyzaelle; Anneau Volkorne; Alliance Gloursonne; Bouclier d'Ilyzaelle; Ceinture de Dame Jhessica; Casque Volkorne; Cape Solution; Bottes de l'Esprit Salvateur; Dofus Ocre; Dofus Ivoire; Dofus Pourpre; Dofus Vulbis; Dofus Abyssal; Dofus Ébène; Mini Wa</t>
        </is>
      </c>
    </row>
    <row r="4808">
      <c r="A4808" t="inlineStr">
        <is>
          <t>air jahash</t>
        </is>
      </c>
      <c r="B4808">
        <f>HYPERLINK("https://www.dofusbook.net/fr/equipement/5953198-air-jahash/objets", "link")</f>
        <v/>
      </c>
      <c r="C4808" t="n">
        <v>1</v>
      </c>
      <c r="D4808" t="inlineStr">
        <is>
          <t>Épée du Granduk; Amulette Voldelor; Anneau de Padgref; Anneau Volkorne; Bouclier d'Ilyzaelle; Menoture; Casque Volkorne; Cape de Jahash Jurgen; Bottes Voldelor; Dofus Turquoise; Dofus Vulbis; Dofus Ocre; Dofus Pourpre; Dofus Ébène; Dofus Ivoire; Pioute jaune</t>
        </is>
      </c>
    </row>
    <row r="4809">
      <c r="A4809" t="inlineStr">
        <is>
          <t>Air res</t>
        </is>
      </c>
      <c r="B4809">
        <f>HYPERLINK("https://www.dofusbook.net/fr/equipement/4670571-air-res/objets", "link")</f>
        <v/>
      </c>
      <c r="C4809" t="n">
        <v>6</v>
      </c>
      <c r="D4809" t="inlineStr">
        <is>
          <t>Baguette de Torkélonia; Amulette Voldelor; Anneau Volkorne; Alliance Gloursonne; Bouclier d'Ilyzaelle; Menoture; Casque Volkorne; Carapace de Torkélonia; Bottes Voldelor; Dofus Ocre; Dofus Pourpre; Dofus Ébène; Dofus Ivoire; Dofus Turquoise; Dofus Vulbis; Pioute jaune</t>
        </is>
      </c>
    </row>
    <row r="4810">
      <c r="A4810" t="inlineStr">
        <is>
          <t>songes multi</t>
        </is>
      </c>
      <c r="B4810">
        <f>HYPERLINK("https://www.dofusbook.net/fr/equipement/5949732-songes-multi/objets", "link")</f>
        <v/>
      </c>
      <c r="C4810" t="n">
        <v>1</v>
      </c>
      <c r="D4810" t="inlineStr">
        <is>
          <t>Hache du Chalœil; Amulette du Strigide; Anneau Volkorne; Crocanneau; Bouclier d'Ilyzaelle; Ceinture Volkorne; Casque Volkorne; Cape de Jahash Jurgen; Bottes du Strigide; Dofus Abyssal; Dofus Ivoire; Dofus Ocre; Dofus Turquoise; Dofus Pourpre; Dofus Ébène; Kokulte</t>
        </is>
      </c>
    </row>
    <row r="4811">
      <c r="A4811" t="inlineStr">
        <is>
          <t>S - terre tourelle</t>
        </is>
      </c>
      <c r="B4811">
        <f>HYPERLINK("https://www.dofusbook.net/fr/equipement/5903827-s---terre-tourelle/objets", "link")</f>
        <v/>
      </c>
      <c r="C4811" t="n">
        <v>2</v>
      </c>
      <c r="D4811" t="inlineStr">
        <is>
          <t>Baguette de Torkélonia; Amulette du Cœur Saignant; Anneau Volkorne; Crocanneau; Bivalve; Ceinture Volkorne; Corne de Torkélonia; Cape de Jahash Jurgen; Bottes du Cœur Saignant; Dofus Ébène; Dofus Vulbis; Dofus Nébuleux; Dofus Pourpre; Dofus Ocre; Dofus Turquoise; Kokulte</t>
        </is>
      </c>
    </row>
    <row r="4812">
      <c r="A4812" t="inlineStr">
        <is>
          <t>feu eau tourelle</t>
        </is>
      </c>
      <c r="B4812">
        <f>HYPERLINK("https://www.dofusbook.net/fr/equipement/5893038-feu-eau-tourelle/objets", "link")</f>
        <v/>
      </c>
      <c r="C4812" t="n">
        <v>2</v>
      </c>
      <c r="D4812" t="inlineStr">
        <is>
          <t>Épée Brûlâme; Amulette Volkorne; Anneau Volkorne; Crocanneau; Bivalve; Ceinture du Strigide; Heaume Oplate; Cape de Jahash Jurgen; Bottes du Strigide; Dofus Pourpre; Dofus Abyssal; Dofus Ébène; Dofus Nébuleux; Dofus Turquoise; Dofus Vulbis; Walk</t>
        </is>
      </c>
    </row>
    <row r="4813">
      <c r="A4813" t="inlineStr">
        <is>
          <t>feu pvm tourelle</t>
        </is>
      </c>
      <c r="B4813">
        <f>HYPERLINK("https://www.dofusbook.net/fr/equipement/4256674-feu-pvm-tourelle/objets", "link")</f>
        <v/>
      </c>
      <c r="C4813" t="n">
        <v>8</v>
      </c>
      <c r="D4813" t="inlineStr">
        <is>
          <t>Arc corrompu; Amulette Volkorne; Anneau de Padgref; Anneau Volkorne; Bivalve; Ceinture Séculaire; Coiffe de Padgref; Cape de Jahash Jurgen; Getas de Padgref; Dofus Pourpre; Dofus Vulbis; Dofus Ocre; Dofus Turquoise; Dofus Ébène; Astucieux majeur; Brûlih</t>
        </is>
      </c>
    </row>
    <row r="4814">
      <c r="A4814" t="inlineStr">
        <is>
          <t>SL - Tank Regen</t>
        </is>
      </c>
      <c r="B4814">
        <f>HYPERLINK("https://www.dofusbook.net/fr/equipement/5893000-sl---tank-regen/objets", "link")</f>
        <v/>
      </c>
      <c r="C4814" t="n">
        <v>1</v>
      </c>
      <c r="D4814" t="inlineStr">
        <is>
          <t>Couteaux Sacrificiels; Collier Rophante; Bague Trithon; Alliance Gloursonne; Droiture de Fallanster; Ceinture de Dame Jhessica; Masque d'Anerice; Cape d'Anerice; Pataugastrique; Dofus Ivoire; Dofus Abyssal; Dofus Émeraude; Dokoko; Dofus des Glaces; Remueur; Givrefoux</t>
        </is>
      </c>
    </row>
    <row r="4815">
      <c r="A4815" t="inlineStr">
        <is>
          <t>SH - tank regen</t>
        </is>
      </c>
      <c r="B4815">
        <f>HYPERLINK("https://www.dofusbook.net/fr/equipement/5704403-sh---tank-regen/objets", "link")</f>
        <v/>
      </c>
      <c r="C4815" t="n">
        <v>2</v>
      </c>
      <c r="D4815" t="inlineStr">
        <is>
          <t>Couteaux Sacrificiels; Collier Rophante; Anneau de Pol Ouatnos; Alliance Gloursonne; Bouclier précieux; Ceinture de Dame Jhessica; Masque d'Anerice; Cape d'Anerice; Pataugastrique; Dokoko; Dofus Abyssal; Dofus Ivoire; Dofus Émeraude; Remueur; Fonceur majeur; Dauge</t>
        </is>
      </c>
    </row>
    <row r="4816">
      <c r="A4816" t="inlineStr">
        <is>
          <t>S - Terre Feu</t>
        </is>
      </c>
      <c r="B4816">
        <f>HYPERLINK("https://www.dofusbook.net/fr/equipement/4353896-s---terre-feu/objets", "link")</f>
        <v/>
      </c>
      <c r="C4816" t="n">
        <v>13</v>
      </c>
      <c r="D4816" t="inlineStr">
        <is>
          <t>Dagues du Dragoeuf; Amulette Volkorne; Chevalière du Roi Joueur; Bague Gloursonne; Bivalve; Ceinture Volkorne; Couronne du Roi Joueur; Cape de Jahash Jurgen; Bottes du Roi Joueur; Dofus Nébuleux; Dofus Ébène; Dofus Vulbis; Dofus Pourpre; Dofus Ocre; Dofus Turquoise; Cromeugnon</t>
        </is>
      </c>
    </row>
    <row r="4817">
      <c r="A4817" t="inlineStr">
        <is>
          <t>S - Tank</t>
        </is>
      </c>
      <c r="B4817">
        <f>HYPERLINK("https://www.dofusbook.net/fr/equipement/5892963-s---tank/objets", "link")</f>
        <v/>
      </c>
      <c r="C4817" t="n">
        <v>1</v>
      </c>
      <c r="D4817" t="inlineStr">
        <is>
          <t>Couteaux Sacrificiels; Collier Rophante; Alliance Gloursonne; Bague Trithon; Droiture de Fallanster; Ceinture de Dame Jhessica; Masque d'Anerice; Cape d'Anerice; Pataugastrique; Dofus Abyssal; Dofus Émeraude; Dokoko; Dofus Ivoire; Obstructeur majeur; Remueur; Dauge</t>
        </is>
      </c>
    </row>
    <row r="4818">
      <c r="A4818" t="inlineStr">
        <is>
          <t>S - Tank kougnard</t>
        </is>
      </c>
      <c r="B4818">
        <f>HYPERLINK("https://www.dofusbook.net/fr/equipement/5800973-s---tank-kougnard/objets", "link")</f>
        <v/>
      </c>
      <c r="C4818" t="n">
        <v>2</v>
      </c>
      <c r="D4818" t="inlineStr">
        <is>
          <t>Couteaux Sacrificiels; Collier Rophante; Alliance Gloursonne; Bague Trithon; Droiture de Fallanster; Ceinture de Dame Jhessica; Masque d'Anerice; Cape d'Anerice; Bottes de Mille Lieues; Dofus Abyssal; Dofus Émeraude; Dokoko; Dofus Ivoire; Obstructeur majeur; Remueur; Kougnard</t>
        </is>
      </c>
    </row>
    <row r="4819">
      <c r="A4819" t="inlineStr">
        <is>
          <t>Feu Cac 1</t>
        </is>
      </c>
      <c r="B4819">
        <f>HYPERLINK("https://www.dofusbook.net/fr/equipement/4878875-feu-cac-1/objets", "link")</f>
        <v/>
      </c>
      <c r="C4819" t="n">
        <v>8</v>
      </c>
      <c r="D4819" t="inlineStr">
        <is>
          <t>Épée Brûlâme; Amulette Volkorne; Anneauræus; Anneau Volkorne; Cadran d'Eau; Croture; Heaume Oplate; Cape de Jahash Jurgen; Pataugastrique; Dofus Abyssal; Dofus Pourpre; Dofus Ivoire; Dofus Vulbis; Dofus Nébuleux; Dofus Ébène; Walk</t>
        </is>
      </c>
    </row>
    <row r="4820">
      <c r="A4820" t="inlineStr">
        <is>
          <t>Feu cac 3</t>
        </is>
      </c>
      <c r="B4820">
        <f>HYPERLINK("https://www.dofusbook.net/fr/equipement/5892110-feu-cac-3/objets", "link")</f>
        <v/>
      </c>
      <c r="C4820" t="n">
        <v>1</v>
      </c>
      <c r="D4820" t="inlineStr">
        <is>
          <t>Dagues Ricol; Amulette Volkorne; Anneau Volkorne; Anneauræus; Cadran d'Eau; Croture; Heaume Oplate; Cape de Jahash Jurgen; Pataugastrique; Dofus Nébuleux; Dofus Ébène; Dofus Abyssal; Dofus Pourpre; Dofus Ivoire; Dofus Vulbis; Bisouglours</t>
        </is>
      </c>
    </row>
    <row r="4821">
      <c r="A4821" t="inlineStr">
        <is>
          <t>eau cc</t>
        </is>
      </c>
      <c r="B4821">
        <f>HYPERLINK("https://www.dofusbook.net/fr/equipement/5892775-eau-cc/objets", "link")</f>
        <v/>
      </c>
      <c r="C4821" t="n">
        <v>1</v>
      </c>
      <c r="D4821" t="inlineStr">
        <is>
          <t>Rapière aux Glyphes; Amulette Volkorne; Anneau Volkorne; Crocanneau; Bouclier du Captain Amakna; Pagne du Rykaon; Kidibonnet; Cape de Jahash Jurgen; Bottes de la Dame du Hasard; Dofus Abyssal; Dofus Ébène; Dofus Ivoire; Dofus Pourpre; Dofus Turquoise; Nomade; Kokulte</t>
        </is>
      </c>
    </row>
    <row r="4822">
      <c r="A4822" t="inlineStr">
        <is>
          <t>Eau cc</t>
        </is>
      </c>
      <c r="B4822">
        <f>HYPERLINK("https://www.dofusbook.net/fr/equipement/5892179-eau-cc-/objets", "link")</f>
        <v/>
      </c>
      <c r="C4822" t="n">
        <v>1</v>
      </c>
      <c r="D4822" t="inlineStr">
        <is>
          <t>Rapière aux Glyphes; Amulette Volkorne; Crocanneau; Anneau Volkorne; Bouclier du Captain Amakna; Pagne du Rykaon; Kidibonnet; Cape de Jahash Jurgen; Bottes de la Dame du Hasard; Dofus Ivoire; Dofus Pourpre; Dofus Turquoise; Dofus Abyssal; Dofus Ébène; Nomade; Kokulte</t>
        </is>
      </c>
    </row>
    <row r="4823">
      <c r="A4823" t="inlineStr">
        <is>
          <t>terre eau</t>
        </is>
      </c>
      <c r="B4823">
        <f>HYPERLINK("https://www.dofusbook.net/fr/equipement/3655045-terre-eau-/objets", "link")</f>
        <v/>
      </c>
      <c r="C4823" t="n">
        <v>5</v>
      </c>
      <c r="D4823" t="inlineStr">
        <is>
          <t>Épouvante; Amulette du Strigide; Crocanneau; Anneau Volkorne; Bouclier du Captain Amakna; Ceinture Volkorne; Kidibonnet; Cape de Jahash Jurgen; Bottes du Strigide; Dofus Pourpre; Dofus Abyssal; Dofus Ébène; Dofus Ivoire; Dofus Turquoise; Dofus Vulbis; Kokulte</t>
        </is>
      </c>
    </row>
    <row r="4824">
      <c r="A4824" t="inlineStr">
        <is>
          <t>feu eau cac</t>
        </is>
      </c>
      <c r="B4824">
        <f>HYPERLINK("https://www.dofusbook.net/fr/equipement/5891999-feu-eau-cac/objets", "link")</f>
        <v/>
      </c>
      <c r="C4824" t="n">
        <v>1</v>
      </c>
      <c r="D4824" t="inlineStr">
        <is>
          <t>Épée Brûlâme; Amulette Volkorne; Anneau Volkorne; Crocanneau; Bouclier du Captain Amakna; Ceinture du Strigide; Heaume Oplate; Cape de Jahash Jurgen; Bottes du Strigide; Dofus Pourpre; Dofus Ivoire; Dofus Ébène; Dofus des Glaces; Dofus Turquoise; Dofus Vulbis; Walk</t>
        </is>
      </c>
    </row>
    <row r="4825">
      <c r="A4825" t="inlineStr">
        <is>
          <t>saigneur</t>
        </is>
      </c>
      <c r="B4825">
        <f>HYPERLINK("https://www.dofusbook.net/fr/equipement/5891161-saigneur/objets", "link")</f>
        <v/>
      </c>
      <c r="C4825" t="n">
        <v>3</v>
      </c>
      <c r="D4825" t="inlineStr">
        <is>
          <t>Epée Maudite du Saigneur Guerrier; Amulette Volkorne; Anneau Volkorne; Crocanneau; Bouclier du Captain Amakna; Ceinture Volkorne; Corne de Torkélonia; Carapace de Torkélonia; Bottes du Cycloïde; Dofus Abyssal; Dofus des Glaces; Dofus Ivoire; Dofus Pourpre; Dofus Ocre; Dofus Turquoise; Kokulte</t>
        </is>
      </c>
    </row>
    <row r="4826">
      <c r="A4826" t="inlineStr">
        <is>
          <t>air tank</t>
        </is>
      </c>
      <c r="B4826">
        <f>HYPERLINK("https://www.dofusbook.net/fr/equipement/5054698-air-tank/objets", "link")</f>
        <v/>
      </c>
      <c r="C4826" t="n">
        <v>4</v>
      </c>
      <c r="D4826" t="inlineStr">
        <is>
          <t>Manthache; Collier du Valet Veinard; Alliance Gloursonne; Gant du Valet Veinard; Trompe-la-Mort; Menoture; Casque Dragoeuf; Cape du Valet Veinard; Palmes Trithons; Dofus Émeraude; Dofus Abyssal; Dofus Vulbis; Dofus Pourpre; Dofus Ivoire; Robuste majeur; Bwak d'Air</t>
        </is>
      </c>
    </row>
    <row r="4827">
      <c r="A4827" t="inlineStr">
        <is>
          <t>feu songes</t>
        </is>
      </c>
      <c r="B4827">
        <f>HYPERLINK("https://www.dofusbook.net/fr/equipement/5888936-feu-songes/objets", "link")</f>
        <v/>
      </c>
      <c r="C4827" t="n">
        <v>3</v>
      </c>
      <c r="D4827" t="inlineStr">
        <is>
          <t>Arc corrompu; Amulette Volkorne; Anneauræus; Anneauræus; Quatre-feuilles; Ceinture Volkorne; Heaume Oplate; Cape de Jahash Jurgen; Bottes Innommables; Dofus Pourpre; Dofus des Glaces; Dofus Ivoire; Dofus Ocre; Érudit majeur; Nomade; Bisouglours</t>
        </is>
      </c>
    </row>
    <row r="4828">
      <c r="A4828" t="inlineStr">
        <is>
          <t>air tank songes</t>
        </is>
      </c>
      <c r="B4828">
        <f>HYPERLINK("https://www.dofusbook.net/fr/equipement/5486695-air-tank-songes/objets", "link")</f>
        <v/>
      </c>
      <c r="C4828" t="n">
        <v>5</v>
      </c>
      <c r="D4828" t="inlineStr">
        <is>
          <t>Manthache; Collier du Valet Veinard; Gant du Valet Veinard; Alliance Gloursonne; Droiture de Fallanster; Ceintouse; Casque Dragoeuf; Cape du Valet Veinard; Palmes Trithons; Dolmanax; Dofus Pourpre; Dofus Vulbis; Dofus Ivoire; Dofus Ocre; Dofus Abyssal; Fëanor</t>
        </is>
      </c>
    </row>
    <row r="4829">
      <c r="A4829" t="inlineStr">
        <is>
          <t>terre torké</t>
        </is>
      </c>
      <c r="B4829">
        <f>HYPERLINK("https://www.dofusbook.net/fr/equipement/5589813-terre-torke/objets", "link")</f>
        <v/>
      </c>
      <c r="C4829" t="n">
        <v>3</v>
      </c>
      <c r="D4829" t="inlineStr">
        <is>
          <t>Dagues d'Ilyzaelle; Amulette du Cœur Saignant; Anneau Volkorne; Crocanneau; Droiture de Fallanster; Ceinture Volkorne; Corne de Torkélonia; Carapace de Torkélonia; Bottes du Cœur Saignant; Dofus Abyssal; Dofus Vulbis; Dofus Ivoire; Dofus Pourpre; Dofus Ocre; Dofus Turquoise; Pioute vert</t>
        </is>
      </c>
    </row>
    <row r="4830">
      <c r="A4830" t="inlineStr">
        <is>
          <t>eau songes</t>
        </is>
      </c>
      <c r="B4830">
        <f>HYPERLINK("https://www.dofusbook.net/fr/equipement/4659217-eau-songes/objets", "link")</f>
        <v/>
      </c>
      <c r="C4830" t="n">
        <v>1</v>
      </c>
      <c r="D4830" t="inlineStr">
        <is>
          <t>Rapière aux Glyphes; Amulette Volkorne; Anneau Volkorne; Bracelet des Fonds marins; Bouclier d'Ilyzaelle; Pagne du Rykaon; Capuche de l'Œil Attentif; Cape Solution; Bottes Honyme; Dofus Abyssal; Dofus Ivoire; Dofus Pourpre; Dofus Turquoise; Chanceux majeur; Nomade; Pioute bleu</t>
        </is>
      </c>
    </row>
    <row r="4831">
      <c r="A4831" t="inlineStr">
        <is>
          <t>tank songes</t>
        </is>
      </c>
      <c r="B4831">
        <f>HYPERLINK("https://www.dofusbook.net/fr/equipement/5886264-tank-songes/objets", "link")</f>
        <v/>
      </c>
      <c r="C4831" t="n">
        <v>1</v>
      </c>
      <c r="D4831" t="inlineStr">
        <is>
          <t>Rouleau à Pâtisserie d'Aermyne; Talisman Glouti; Anneau Chevelu; Anneau Tique; Bivalve; Ceinture de Kongoku; Casque Dragoeuf; Cape de Jahash Jurgen; Sandales des Fonds marins; Dofus Pourpre; Dofus Ébène; Dofus Turquoise; Dofus Abyssal; Dofus Ocre; Dofus Ivoire; Fëanor</t>
        </is>
      </c>
    </row>
    <row r="4832">
      <c r="A4832" t="inlineStr">
        <is>
          <t>eau no cc</t>
        </is>
      </c>
      <c r="B4832">
        <f>HYPERLINK("https://www.dofusbook.net/fr/equipement/5882337-eau-no-cc/objets", "link")</f>
        <v/>
      </c>
      <c r="C4832" t="n">
        <v>1</v>
      </c>
      <c r="D4832" t="inlineStr">
        <is>
          <t>Arc de Koutoulou; Amulette du Strigide; Crocanneau; Anneau Volkorne; Quatre-feuilles; Ceinture Volkorne; Casque Volkorne; Cape de Jahash Jurgen; Bottes du Strigide; Dofus Pourpre; Dofus Ocre; Dofus Ébène; Dofus Turquoise; Dofus Ivoire; Dofus des Glaces; Kokulte</t>
        </is>
      </c>
    </row>
    <row r="4833">
      <c r="A4833" t="inlineStr">
        <is>
          <t>air/eau dist</t>
        </is>
      </c>
      <c r="B4833">
        <f>HYPERLINK("https://www.dofusbook.net/fr/equipement/5880775-air-eau-dist/objets", "link")</f>
        <v/>
      </c>
      <c r="C4833" t="n">
        <v>1</v>
      </c>
      <c r="D4833" t="inlineStr">
        <is>
          <t>Arc de Koutoulou; Amulette du Strigide; Crocanneau; Anneau Volkorne; Quatre-feuilles; Ceinture du Strigide; Casque Volkorne; Cape de Jahash Jurgen; Bottes Voldelor; Dofus Turquoise; Dofus Vulbis; Dofus Ocre; Dofus Pourpre; Dofus Abyssal; Dofus Ivoire; Mini Wa</t>
        </is>
      </c>
    </row>
    <row r="4834">
      <c r="A4834" t="inlineStr">
        <is>
          <t>feu/eau dist no cc</t>
        </is>
      </c>
      <c r="B4834">
        <f>HYPERLINK("https://www.dofusbook.net/fr/equipement/5880644-feu-eau-dist-no-cc/objets", "link")</f>
        <v/>
      </c>
      <c r="C4834" t="n">
        <v>6</v>
      </c>
      <c r="D4834" t="inlineStr">
        <is>
          <t>Pyraguette; Amulette Volkorne; Anneau Volkorne; Alliance Gloursonne; Bouclier du Stalak; Ceinture de l'Esprit Salvateur; Masque de l'Esprit Salvateur; Cape de Jahash Jurgen; Bottes de l'Esprit Salvateur; Dofus Pourpre; Dofus Ivoire; Dofus Ébène; Dofus des Glaces; Dofus Ocre; Dofus Vulbis; Walk</t>
        </is>
      </c>
    </row>
    <row r="4835">
      <c r="A4835" t="inlineStr">
        <is>
          <t>feu/eau dist crit</t>
        </is>
      </c>
      <c r="B4835">
        <f>HYPERLINK("https://www.dofusbook.net/fr/equipement/3668658-feu-eau-dist-crit/objets", "link")</f>
        <v/>
      </c>
      <c r="C4835" t="n">
        <v>11</v>
      </c>
      <c r="D4835" t="inlineStr">
        <is>
          <t>Arc Nécrotique; Amulette Volkorne; Anneau Volkorne; Crocanneau; Quatre-feuilles; Ceinture du Strigide; Heaume Oplate; Cape de Jahash Jurgen; Bottes du Strigide; Dofus Pourpre; Dofus Ivoire; Dofus Ébène; Dofus des Glaces; Dofus Turquoise; Dofus Vulbis; Walk</t>
        </is>
      </c>
    </row>
    <row r="4836">
      <c r="A4836" t="inlineStr">
        <is>
          <t>Terre sorts</t>
        </is>
      </c>
      <c r="B4836">
        <f>HYPERLINK("https://www.dofusbook.net/fr/equipement/5880406-terre-sorts/objets", "link")</f>
        <v/>
      </c>
      <c r="C4836" t="n">
        <v>3</v>
      </c>
      <c r="D4836" t="inlineStr">
        <is>
          <t>Baguette de Torkélonia; Amulette du Cœur Saignant; Anneau Volkorne; Crocanneau; Bouclier du Captain Amakna; Ceinture Volkorne; Corne de Torkélonia; Cape de Jahash Jurgen; Bottes du Cœur Saignant; Dofus Ébène; Dofus Vulbis; Dofus Ivoire; Dofus Pourpre; Dofus Ocre; Dofus Turquoise; Pioute vert</t>
        </is>
      </c>
    </row>
    <row r="4837">
      <c r="A4837" t="inlineStr">
        <is>
          <t>terre/air</t>
        </is>
      </c>
      <c r="B4837">
        <f>HYPERLINK("https://www.dofusbook.net/fr/equipement/5412504-terre-air/objets", "link")</f>
        <v/>
      </c>
      <c r="C4837" t="n">
        <v>3</v>
      </c>
      <c r="D4837" t="inlineStr">
        <is>
          <t>Baguette de Torkélonia; Amulette du Strigide; Anneau Volkorne; Crocanneau; Bouclier du Captain Amakna; Ceinture Volkorne; Corne de Torkélonia; Cape de Jahash Jurgen; Bottes du Strigide; Dofus Ocre; Dofus Turquoise; Dofus Abyssal; Dofus Vulbis; Dofus Ébène; Dofus Pourpre; Pioute vert</t>
        </is>
      </c>
    </row>
    <row r="4838">
      <c r="A4838" t="inlineStr">
        <is>
          <t>feu songes</t>
        </is>
      </c>
      <c r="B4838">
        <f>HYPERLINK("https://www.dofusbook.net/fr/equipement/5428130-feu-songes/objets", "link")</f>
        <v/>
      </c>
      <c r="C4838" t="n">
        <v>3</v>
      </c>
      <c r="D4838" t="inlineStr">
        <is>
          <t>Massier; Amulette Volkorne; Anneauræus; Anneauræus; Bouclier d'Ilyzaelle; Ceinture Volkorne; Heaume Oplate; Cape de Jahash Jurgen; Bottes Innommables; Dofus Ébène; Dofus Pourpre; Dofus Ocre; Dofus des Glaces; Dofus Ivoire; Dofus Vulbis; Bisouglours</t>
        </is>
      </c>
    </row>
    <row r="4839">
      <c r="A4839" t="inlineStr">
        <is>
          <t>pano classe</t>
        </is>
      </c>
      <c r="B4839">
        <f>HYPERLINK("https://www.dofusbook.net/fr/equipement/5014916-pano-classe/objets", "link")</f>
        <v/>
      </c>
      <c r="C4839" t="n">
        <v>15</v>
      </c>
      <c r="D4839" t="inlineStr">
        <is>
          <t>Rouleau à Pâtisserie d'Aermyne; Amulette d'Ilyzaelle; Alliance Gloursonne; Anneau Raille; Droiture de Fallanster; Sangle Huée; Chapeau Lithique; Cape Wéra; Getas Bernacle; Dofus Abyssal; Dofus Émeraude; Dokoko; Dofus Ivoire; Dofus Ocre; Voyageur; Kougnard</t>
        </is>
      </c>
    </row>
    <row r="4840">
      <c r="A4840" t="inlineStr">
        <is>
          <t>feu tank</t>
        </is>
      </c>
      <c r="B4840">
        <f>HYPERLINK("https://www.dofusbook.net/fr/equipement/5627976-feu-tank/objets", "link")</f>
        <v/>
      </c>
      <c r="C4840" t="n">
        <v>2</v>
      </c>
      <c r="D4840" t="inlineStr">
        <is>
          <t>Harpelle; Amulette Volkorne; Anneauræus; Anneauræus; Droiture de Fallanster; Ceinture Volkorne; Casque Dragoeuf; Voile d'encre; Pataugastrique; Dofus Pourpre; Dofus Ocre; Dofus Ivoire; Dofus Abyssal; Nomade; Érudit majeur; Dragodinde Orchidée et Rousse</t>
        </is>
      </c>
    </row>
    <row r="4841">
      <c r="A4841" t="inlineStr">
        <is>
          <t>terre roxx</t>
        </is>
      </c>
      <c r="B4841">
        <f>HYPERLINK("https://www.dofusbook.net/fr/equipement/5802722-terre-roxx/objets", "link")</f>
        <v/>
      </c>
      <c r="C4841" t="n">
        <v>4</v>
      </c>
      <c r="D4841" t="inlineStr">
        <is>
          <t>Baguette de Torkélonia; Amulette du Cœur Saignant; Crocanneau; Anneau Volkorne; Quatre-feuilles; Ceinture Volkorne; Corne de Torkélonia; Cape au Logis; Bottes du Cœur Saignant; Dofus Ivoire; Dofus Pourpre; Dofus Ocre; Dofus Turquoise; Dofus Ébène; Dofus Abyssal; Pioute vert</t>
        </is>
      </c>
    </row>
    <row r="4842">
      <c r="A4842" t="inlineStr">
        <is>
          <t>feu distance roxx</t>
        </is>
      </c>
      <c r="B4842">
        <f>HYPERLINK("https://www.dofusbook.net/fr/equipement/4259795-feu-distance-roxx/objets", "link")</f>
        <v/>
      </c>
      <c r="C4842" t="n">
        <v>6</v>
      </c>
      <c r="D4842" t="inlineStr">
        <is>
          <t>Arc corrompu; Amulette Volkorne; Anneauræus; Anneauræus; Quatre-feuilles; Ceinture Volkorne; Heaume Oplate; Cape de Diondin; Bottes Innommables; Dofus Ivoire; Dofus Abyssal; Dofus Turquoise; Dofus Pourpre; Érudit majeur; Nomade; Bisouglours</t>
        </is>
      </c>
    </row>
    <row r="4843">
      <c r="A4843" t="inlineStr">
        <is>
          <t>Tank</t>
        </is>
      </c>
      <c r="B4843">
        <f>HYPERLINK("https://www.dofusbook.net/fr/equipement/4207827-tank-/objets", "link")</f>
        <v/>
      </c>
      <c r="C4843" t="n">
        <v>16</v>
      </c>
      <c r="D4843" t="inlineStr">
        <is>
          <t>Rouleau à Pâtisserie d'Aermyne; Collier Rophante; Alliance Gloursonne; Bague Trithon; Droiture de Fallanster; Ceinture de Dame Jhessica; Masque d'Anerice; Cape d'Anerice; Pataugastrique; Dofus Abyssal; Dofus Émeraude; Carapace Neutre majeur; Miraculé majeur; Obstructeur majeur; Remueur; Givrefoux</t>
        </is>
      </c>
    </row>
    <row r="4844">
      <c r="A4844" t="inlineStr">
        <is>
          <t>stritorké</t>
        </is>
      </c>
      <c r="B4844">
        <f>HYPERLINK("https://www.dofusbook.net/fr/equipement/5297113-stritorke/objets", "link")</f>
        <v/>
      </c>
      <c r="C4844" t="n">
        <v>17</v>
      </c>
      <c r="D4844" t="inlineStr">
        <is>
          <t>Héqache; Amulette du Strigide; Bague Gloursonne; Alliance Gloursonne; Bouclier alvéolé; Ceinture du Strigide; Corne de Torkélonia; Carapace de Torkélonia; Bottes du Strigide; Dofus Ivoire; Dofus Pourpre; Dofus Ocre; Dofus Turquoise; Dofus Vulbis; Dofus Abyssal; Kokulte</t>
        </is>
      </c>
    </row>
    <row r="4845">
      <c r="A4845" t="inlineStr">
        <is>
          <t>support tank</t>
        </is>
      </c>
      <c r="B4845">
        <f>HYPERLINK("https://www.dofusbook.net/fr/equipement/5647982-support-tank/objets", "link")</f>
        <v/>
      </c>
      <c r="C4845" t="n">
        <v>1</v>
      </c>
      <c r="D4845" t="inlineStr">
        <is>
          <t>Harpelle; Amulette Volkorne; Anneauræus; Anneauræus; Droiture de Fallanster; Ceinture Volkorne; Casque Dragoeuf; Cape de Diondin; Bottes Innommables; Dofus Ocre; Dofus Ivoire; Dofus Abyssal; Dofus Pourpre; Érudit majeur; Nomade; Dragodinde Orchidée et Rousse</t>
        </is>
      </c>
    </row>
    <row r="4846">
      <c r="A4846" t="inlineStr">
        <is>
          <t>test terre cc torké</t>
        </is>
      </c>
      <c r="B4846">
        <f>HYPERLINK("https://www.dofusbook.net/fr/equipement/5263326-test-terre-cc-torke/objets", "link")</f>
        <v/>
      </c>
      <c r="C4846" t="n">
        <v>9</v>
      </c>
      <c r="D4846" t="inlineStr">
        <is>
          <t>Baguette de Torkélonia; Amulette du Cœur Saignant; Anneau Crustique; Anneau Volkorne; Droiture de Fallanster; Ceinture Volkorne; Corne de Torkélonia; Cape au Logis; Bottes Honyme; Dofus Ivoire; Dofus Pourpre; Dofus Ocre; Dofus Turquoise; Dofus Émeraude; Dofus Abyssal; Pioute vert</t>
        </is>
      </c>
    </row>
    <row r="4847">
      <c r="A4847" t="inlineStr">
        <is>
          <t>eau air</t>
        </is>
      </c>
      <c r="B4847">
        <f>HYPERLINK("https://www.dofusbook.net/fr/equipement/4715665-eau-air/objets", "link")</f>
        <v/>
      </c>
      <c r="C4847" t="n">
        <v>5</v>
      </c>
      <c r="D4847" t="inlineStr">
        <is>
          <t>Crocobur; Amulette du Strigide; Anneau Volkorne; Crocanneau; Bouclier du Captain Amakna; Ceinture du Strigide; Casque Volkorne; Cape de Jahash Jurgen; Bottes Voldelor; Dofus Ocre; Dofus Pourpre; Dofus Abyssal; Dofus Ivoire; Dofus Turquoise; Dofus Vulbis; Mini Wa</t>
        </is>
      </c>
    </row>
    <row r="4848">
      <c r="A4848" t="inlineStr">
        <is>
          <t>eau air regen</t>
        </is>
      </c>
      <c r="B4848">
        <f>HYPERLINK("https://www.dofusbook.net/fr/equipement/5503628-eau-air-regen/objets", "link")</f>
        <v/>
      </c>
      <c r="C4848" t="n">
        <v>6</v>
      </c>
      <c r="D4848" t="inlineStr">
        <is>
          <t>Arc de Koutoulou; Amulette d'Ilyzaelle; Alliance Gloursonne; Bracelet du Piloztère; Bouclier du Stalak; Menoture; Casque d'Ilyzaelle; Voilamibe; Bottes du Strigide; Dofus Pourpre; Dofus Ocre; Dofus des Glaces; Cascadeur majeur; Vigoureux majeur; Robuste majeur; Mini Wa</t>
        </is>
      </c>
    </row>
    <row r="4849">
      <c r="A4849" t="inlineStr">
        <is>
          <t>feu/eau crit</t>
        </is>
      </c>
      <c r="B4849">
        <f>HYPERLINK("https://www.dofusbook.net/fr/equipement/3940689-feu-eau-crit/objets", "link")</f>
        <v/>
      </c>
      <c r="C4849" t="n">
        <v>13</v>
      </c>
      <c r="D4849" t="inlineStr">
        <is>
          <t>Épée Brûlâme; Amulette Volkorne; Anneau Volkorne; Crocanneau; Bouclier alvéolé; Ceinture Volkorne; Heaume Oplate; Cape de la Dame du Hasard; Bottes de la Dame du Hasard; Dofus Ivoire; Dofus Abyssal; Dofus Pourpre; Dofus Turquoise; Dolmanax; Dofus des Glaces; Kokulte</t>
        </is>
      </c>
    </row>
    <row r="4850">
      <c r="A4850" t="inlineStr">
        <is>
          <t>feu eau tank</t>
        </is>
      </c>
      <c r="B4850">
        <f>HYPERLINK("https://www.dofusbook.net/fr/equipement/5062263-feu-eau-tank/objets", "link")</f>
        <v/>
      </c>
      <c r="C4850" t="n">
        <v>6</v>
      </c>
      <c r="D4850" t="inlineStr">
        <is>
          <t>Épée Brûlâme; Amulette Volkorne; Anneau Volkorne; Crocanneau; Bouclier alvéolé; Ceinture Volkorne; Casque Dragoeuf; Cape de la Dame du Hasard; Bottes de la Dame du Hasard; Dofus Pourpre; Dofus Ivoire; Dofus Ocre; Dofus des Glaces; Dofus Turquoise; Dofus Abyssal; Kokulte</t>
        </is>
      </c>
    </row>
    <row r="4851">
      <c r="A4851" t="inlineStr">
        <is>
          <t>eau</t>
        </is>
      </c>
      <c r="B4851">
        <f>HYPERLINK("https://www.dofusbook.net/fr/equipement/5458299-eau/objets", "link")</f>
        <v/>
      </c>
      <c r="C4851" t="n">
        <v>1</v>
      </c>
      <c r="D4851" t="inlineStr">
        <is>
          <t>Rapière aux Glyphes; Amulette du Strigide; Crocanneau; Anneau Volkorne; Bouclier du Captain Amakna; Ceinture du Strigide; Casque Volkorne; Cape de Jahash Jurgen; Bottes Voldelor; Dofus Abyssal; Dofus Ivoire; Dofus Turquoise; Dofus Vulbis; Dofus Ocre; Dofus Pourpre; Pioute bleu</t>
        </is>
      </c>
    </row>
    <row r="4852">
      <c r="A4852" t="inlineStr">
        <is>
          <t>air no opti cac</t>
        </is>
      </c>
      <c r="B4852">
        <f>HYPERLINK("https://www.dofusbook.net/fr/equipement/5450907-air-no-opti-cac/objets", "link")</f>
        <v/>
      </c>
      <c r="C4852" t="n">
        <v>1</v>
      </c>
      <c r="D4852" t="inlineStr">
        <is>
          <t>Karnak; Collier du Valet Veinard; Gant du Valet Veinard; Alliance Gloursonne; Bouclier d'Ilyzaelle; Menoture; Couronne d'Allister; Cape Indescriptible; Baleinabottes; Dofus Pourpre; Dofus Abyssal; Cascadeur majeur; Vigoureux majeur; Remueur; Nomade; Siroko</t>
        </is>
      </c>
    </row>
    <row r="4853">
      <c r="A4853" t="inlineStr">
        <is>
          <t>saigneur</t>
        </is>
      </c>
      <c r="B4853">
        <f>HYPERLINK("https://www.dofusbook.net/fr/equipement/5062583-saigneur/objets", "link")</f>
        <v/>
      </c>
      <c r="C4853" t="n">
        <v>21</v>
      </c>
      <c r="D4853" t="inlineStr">
        <is>
          <t>Epée Maudite du Saigneur Guerrier; Amulette du Strigide; Anneau Volkorne; Crocanneau; Bouclier du Captain Amakna; Ceinture Volkorne; Corne de Torkélonia; Carapace de Torkélonia; Bottes du Strigide; Dofus Vulbis; Dofus Turquoise; Dofus Ocre; Dofus des Glaces; Dofus Pourpre; Dofus Ivoire; Kokulte</t>
        </is>
      </c>
    </row>
    <row r="4854">
      <c r="A4854" t="inlineStr">
        <is>
          <t>feu eau roxx</t>
        </is>
      </c>
      <c r="B4854">
        <f>HYPERLINK("https://www.dofusbook.net/fr/equipement/5445888-feu-eau-roxx/objets", "link")</f>
        <v/>
      </c>
      <c r="C4854" t="n">
        <v>5</v>
      </c>
      <c r="D4854" t="inlineStr">
        <is>
          <t>Épée Brûlâme; Amulette Volkorne; Crocanneau; Anneau Volkorne; Bouclier du Captain Amakna; Ceinture Volkorne; Heaume Oplate; Cape de la Dame du Hasard; Bottes de la Dame du Hasard; Dolmanax; Dofus des Glaces; Dofus Turquoise; Dofus Abyssal; Dofus Pourpre; Dofus Ivoire; Kokulte</t>
        </is>
      </c>
    </row>
    <row r="4855">
      <c r="A4855" t="inlineStr">
        <is>
          <t>air torké</t>
        </is>
      </c>
      <c r="B4855">
        <f>HYPERLINK("https://www.dofusbook.net/fr/equipement/5278258-air-torke/objets", "link")</f>
        <v/>
      </c>
      <c r="C4855" t="n">
        <v>6</v>
      </c>
      <c r="D4855" t="inlineStr">
        <is>
          <t>Hachoirs de Viandargh; Amulette du Strigide; Anneau de Padgref; Alliance Gloursonne; Bouclier alvéolé; Ceinture du Strigide; Corne de Torkélonia; Carapace de Torkélonia; Bottes du Strigide; Dofus Ocre; Dofus Turquoise; Dofus Vulbis; Dofus Abyssal; Dofus Ivoire; Dofus Pourpre; Kokulte</t>
        </is>
      </c>
    </row>
    <row r="4856">
      <c r="A4856" t="inlineStr">
        <is>
          <t>multi strivolk</t>
        </is>
      </c>
      <c r="B4856">
        <f>HYPERLINK("https://www.dofusbook.net/fr/equipement/4046817-multi-strivolk/objets", "link")</f>
        <v/>
      </c>
      <c r="C4856" t="n">
        <v>13</v>
      </c>
      <c r="D4856" t="inlineStr">
        <is>
          <t>Hache du Chalœil; Amulette du Strigide; Crocanneau; Anneau Volkorne; Bouclier du Captain Amakna; Ceinture Volkorne; Le Dorado; Cape de Jahash Jurgen; Bottes du Strigide; Dofus Vulbis; Dofus Turquoise; Dofus Pourpre; Dofus Ébène; Dofus des Glaces; Dofus Ivoire; Kokulte</t>
        </is>
      </c>
    </row>
    <row r="4857">
      <c r="A4857" t="inlineStr">
        <is>
          <t>tank</t>
        </is>
      </c>
      <c r="B4857">
        <f>HYPERLINK("https://www.dofusbook.net/fr/equipement/5382064-tank/objets", "link")</f>
        <v/>
      </c>
      <c r="C4857" t="n">
        <v>6</v>
      </c>
      <c r="D4857" t="inlineStr">
        <is>
          <t>Rouleau à Pâtisserie d'Aermyne; Collier Rophante; Alliance Gloursonne; Anneau de Pol Ouatnos; Droiture de Fallanster; Ceinture de Dame Jhessica; Masque d'Anerice; Cape d'Anerice; Baleinabottes; Dofus Ivoire; Dofus Émeraude; Dofus Abyssal; Obstructeur majeur; Remueur; Bloqueur majeur; Platypus</t>
        </is>
      </c>
    </row>
    <row r="4858">
      <c r="A4858" t="inlineStr">
        <is>
          <t>air no opti</t>
        </is>
      </c>
      <c r="B4858">
        <f>HYPERLINK("https://www.dofusbook.net/fr/equipement/5397287-air-no-opti/objets", "link")</f>
        <v/>
      </c>
      <c r="C4858" t="n">
        <v>11</v>
      </c>
      <c r="D4858" t="inlineStr">
        <is>
          <t>Karnak; Collier du Valet Veinard; Alliance Gloursonne; Gant du Valet Veinard; Bouclier du Stalak; Menoture; Couronne d'Allister; Cape Indescriptible; Baleinabottes; Dofus Abyssal; Dofus Pourpre; Vigoureux majeur; Remueur; Nomade; Cascadeur majeur; Siroko</t>
        </is>
      </c>
    </row>
    <row r="4859">
      <c r="A4859" t="inlineStr">
        <is>
          <t>air 199 cheap</t>
        </is>
      </c>
      <c r="B4859">
        <f>HYPERLINK("https://www.dofusbook.net/fr/equipement/2983935-air-199-cheap/objets", "link")</f>
        <v/>
      </c>
      <c r="C4859" t="n">
        <v>9</v>
      </c>
      <c r="D4859" t="inlineStr">
        <is>
          <t>Karnak; Pendentif Oton; Alliance Gloursonne; Anneau d'Allister; Quatre-feuilles; Ceinture Rasboulaire du Rasboul; Couronne d'Allister; Cape Matelassée; Pantoufles Émar; Dofus Pourpre; Dévastateur Air majeur; Nomade; Cascadeur majeur; Remueur; Vigoureux majeur; Blérodoudou</t>
        </is>
      </c>
    </row>
    <row r="4860">
      <c r="A4860" t="inlineStr">
        <is>
          <t>air torké cc</t>
        </is>
      </c>
      <c r="B4860">
        <f>HYPERLINK("https://www.dofusbook.net/fr/equipement/5382385-air-torke-cc/objets", "link")</f>
        <v/>
      </c>
      <c r="C4860" t="n">
        <v>3</v>
      </c>
      <c r="D4860" t="inlineStr">
        <is>
          <t>Baguette de Torkélonia; Amulette du Strigide; Bracelet du Piloztère; Anneau de Padgref; Quatre-feuilles; Ceinture du Strigide; Coiffe de Padgref; Carapace de Torkélonia; Getas de Padgref; Dofus Vulbis; Dofus Turquoise; Dofus Ébène; Dofus Ocre; Dofus Ivoire; Dofus Pourpre; Pioute jaune</t>
        </is>
      </c>
    </row>
    <row r="4861">
      <c r="A4861" t="inlineStr">
        <is>
          <t>air opti</t>
        </is>
      </c>
      <c r="B4861">
        <f>HYPERLINK("https://www.dofusbook.net/fr/equipement/5397288-air-opti/objets", "link")</f>
        <v/>
      </c>
      <c r="C4861" t="n">
        <v>3</v>
      </c>
      <c r="D4861" t="inlineStr">
        <is>
          <t>Manthache; Collier du Valet Veinard; Gant du Valet Veinard; Alliance Gloursonne; Bouclier du Stalak; Menoture; Couronne d'Allister; Cape Indescriptible; Palmes Trithons; Dofus Pourpre; Dofus Ébène; Dofus Ocre; Dofus Vulbis; Dofus Abyssal; Cascadeur majeur; Blérodoudou</t>
        </is>
      </c>
    </row>
    <row r="4862">
      <c r="A4862" t="inlineStr">
        <is>
          <t>12/6 terre cc</t>
        </is>
      </c>
      <c r="B4862">
        <f>HYPERLINK("https://www.dofusbook.net/fr/equipement/5393055-12-6-terre-cc/objets", "link")</f>
        <v/>
      </c>
      <c r="C4862" t="n">
        <v>4</v>
      </c>
      <c r="D4862" t="inlineStr">
        <is>
          <t>Dagues du Dragoeuf; Amulette du Strigide; Bague Gloursonne; Anneau Crustique; Bouclier du Captain Amakna; Ceinture du Strigide; Corne de Torkélonia; Carapace de Torkélonia; Bottes du Strigide; Dofus Ivoire; Dofus Pourpre; Dofus Ocre; Dofus Turquoise; Dofus Vulbis; Dofus Abyssal; Pioute vert</t>
        </is>
      </c>
    </row>
    <row r="4863">
      <c r="A4863" t="inlineStr">
        <is>
          <t>strivolk joueur</t>
        </is>
      </c>
      <c r="B4863">
        <f>HYPERLINK("https://www.dofusbook.net/fr/equipement/3667666-strivolk-joueur/objets", "link")</f>
        <v/>
      </c>
      <c r="C4863" t="n">
        <v>6</v>
      </c>
      <c r="D4863" t="inlineStr">
        <is>
          <t>Hache du Chalœil; Amulette du Strigide; Anneau Volkorne; Chevalière du Roi Joueur; Bouclier du Captain Amakna; Ceinture Volkorne; Couronne du Roi Joueur; Cape au Logis; Bottes du Strigide; Dofus Ébène; Dofus Pourpre; Dofus Ocre; Dofus Turquoise; Dofus Abyssal; Dofus des Glaces; Fëanor</t>
        </is>
      </c>
    </row>
    <row r="4864">
      <c r="A4864" t="inlineStr">
        <is>
          <t>terre torkébrouce</t>
        </is>
      </c>
      <c r="B4864">
        <f>HYPERLINK("https://www.dofusbook.net/fr/equipement/5256145-terre-torkebrouce/objets", "link")</f>
        <v/>
      </c>
      <c r="C4864" t="n">
        <v>2</v>
      </c>
      <c r="D4864" t="inlineStr">
        <is>
          <t>Dagues d'Ilyzaelle; Amulette du Cœur Saignant; Anneau Crustique; Anneau de Brouce; Bouclier du Captain Amakna; Ceinture de Brouce; Corne de Torkélonia; Carapace de Torkélonia; Bottes de Brouce; Dofus Ivoire; Dofus Pourpre; Dofus Ocre; Dofus Turquoise; Dofus Vulbis; Dofus Abyssal; Pioute vert</t>
        </is>
      </c>
    </row>
    <row r="4865">
      <c r="A4865" t="inlineStr">
        <is>
          <t>feu terre ini</t>
        </is>
      </c>
      <c r="B4865">
        <f>HYPERLINK("https://www.dofusbook.net/fr/equipement/5353620-feu-terre-ini/objets", "link")</f>
        <v/>
      </c>
      <c r="C4865" t="n">
        <v>2</v>
      </c>
      <c r="D4865" t="inlineStr">
        <is>
          <t>Hache du Chalœil; Amulette Volkorne; Chevalière du Roi Joueur; Anneau Volkorne; Bouclier du Captain Amakna; Ceinture Volkorne; Couronne du Roi Joueur; Cape de Jahash Jurgen; Bottes du Roi Joueur; Dofus Ivoire; Dofus Pourpre; Dofus Ocre; Dofus Turquoise; Dofus des Glaces; Dofus Ébène; Cromeugnon</t>
        </is>
      </c>
    </row>
    <row r="4866">
      <c r="A4866" t="inlineStr">
        <is>
          <t>terre actuel</t>
        </is>
      </c>
      <c r="B4866">
        <f>HYPERLINK("https://www.dofusbook.net/fr/equipement/5259474-terre-actuel/objets", "link")</f>
        <v/>
      </c>
      <c r="C4866" t="n">
        <v>3</v>
      </c>
      <c r="D4866" t="inlineStr">
        <is>
          <t>Dagues d'Ilyzaelle; Amulette du Cœur Saignant; Anneau de Brouce; Alliance de Missiz Frizz; Bouclier du Captain Amakna; Ceinture de Brouce; Casque de Missiz Frizz; Cape au Logis; Bottes de Brouce; Dofus Ocre; Dofus Turquoise; Dofus Abyssal; Dofus Ébène; Dofus Ivoire; Dofus Pourpre; Pioute vert</t>
        </is>
      </c>
    </row>
    <row r="4867">
      <c r="A4867" t="inlineStr">
        <is>
          <t>terre/feu 12/6</t>
        </is>
      </c>
      <c r="B4867">
        <f>HYPERLINK("https://www.dofusbook.net/fr/equipement/5301637-terre-feu-12-6/objets", "link")</f>
        <v/>
      </c>
      <c r="C4867" t="n">
        <v>4</v>
      </c>
      <c r="D4867" t="inlineStr">
        <is>
          <t>Hache du Chalœil; Amulette Volkorne; Anneau Volkorne; Chevalière du Roi Joueur; Bouclier du Captain Amakna; Ceinture Volkorne; Couronne du Roi Joueur; Cape de Jahash Jurgen; Bottes du Roi Joueur; Dofus Ocre; Dofus Turquoise; Dofus Abyssal; Dofus Ébène; Dofus Ivoire; Dofus Pourpre; Fëanor</t>
        </is>
      </c>
    </row>
    <row r="4868">
      <c r="A4868" t="inlineStr">
        <is>
          <t>stri/volk</t>
        </is>
      </c>
      <c r="B4868">
        <f>HYPERLINK("https://www.dofusbook.net/fr/equipement/5353690-stri-volk/objets", "link")</f>
        <v/>
      </c>
      <c r="C4868" t="n">
        <v>1</v>
      </c>
      <c r="D4868" t="inlineStr">
        <is>
          <t>Hache du Chalœil; Amulette du Strigide; Anneau Volkorne; Chevalière du Roi Joueur; Bouclier du Captain Amakna; Ceinture Volkorne; Couronne du Roi Joueur; Voile d'encre; Bottes du Strigide; Dofus Ocre; Dofus Turquoise; Dofus Vulbis; Dofus Ébène; Dofus Ivoire; Dofus Pourpre; Fëanor</t>
        </is>
      </c>
    </row>
    <row r="4869">
      <c r="A4869" t="inlineStr">
        <is>
          <t>eau cac</t>
        </is>
      </c>
      <c r="B4869">
        <f>HYPERLINK("https://www.dofusbook.net/fr/equipement/4735512-eau-cac/objets", "link")</f>
        <v/>
      </c>
      <c r="C4869" t="n">
        <v>5</v>
      </c>
      <c r="D4869" t="inlineStr">
        <is>
          <t>Rapière aux Glyphes; Amulette du Strigide; Anneau Volkorne; Bracelet du Piloztère; Bouclier du Captain Amakna; Ceinture du Strigide; Casque Volkorne; Cape Solution; Bottes Voldelor; Dofus Abyssal; Dofus Ivoire; Dofus Ébène; Dofus Vulbis; Dofus Pourpre; Dofus Turquoise; Pioute bleu</t>
        </is>
      </c>
    </row>
    <row r="4870">
      <c r="A4870" t="inlineStr">
        <is>
          <t>feu eau</t>
        </is>
      </c>
      <c r="B4870">
        <f>HYPERLINK("https://www.dofusbook.net/fr/equipement/4239872-feu-eau/objets", "link")</f>
        <v/>
      </c>
      <c r="C4870" t="n">
        <v>12</v>
      </c>
      <c r="D4870" t="inlineStr">
        <is>
          <t>Épée Brûlâme; Amulette Volkorne; Anneau Volkorne; Lavanneau; Bouclier du Captain Amakna; Ceinture Volkorne; Casquette de Meno; Cape de Meno; Bottes de Meno; Dofus Turquoise; Dolmanax; Dofus Ocre; Dofus des Glaces; Dofus Ivoire; Dofus Pourpre; Walk</t>
        </is>
      </c>
    </row>
    <row r="4871">
      <c r="A4871" t="inlineStr">
        <is>
          <t>full do fixe</t>
        </is>
      </c>
      <c r="B4871">
        <f>HYPERLINK("https://www.dofusbook.net/fr/equipement/5297144-full-do-fixe/objets", "link")</f>
        <v/>
      </c>
      <c r="C4871" t="n">
        <v>10</v>
      </c>
      <c r="D4871" t="inlineStr">
        <is>
          <t>Crocobur; Amulette Volkorne; Anneau Volkorne; Alliance Gloursonne; Bouclier d'Ilyzaelle; Ceinture Volkorne; Coiffe de la Reine des Voleurs; Dofusteuse; Bottes de la Reine des Voleurs; Dofus des Glaces; Dofus Ocre; Dofus Ivoire; Dofus Ébène; Dofus Pourpre; Robuste majeur; Fëanor</t>
        </is>
      </c>
    </row>
    <row r="4872">
      <c r="A4872" t="inlineStr">
        <is>
          <t>tank placement</t>
        </is>
      </c>
      <c r="B4872">
        <f>HYPERLINK("https://www.dofusbook.net/fr/equipement/5276602-tank-placement/objets", "link")</f>
        <v/>
      </c>
      <c r="C4872" t="n">
        <v>3</v>
      </c>
      <c r="D4872" t="inlineStr">
        <is>
          <t>Rouleau à Pâtisserie d'Aermyne; Collier Rophante; Anneau Tilus; Alliance Gloursonne; Droiture de Fallanster; Ceintacé; Casque Dragoeuf; Cape Martegel; Bottes Hairo; Dofus Ocre; Dofus Abyssal; Dofus Ivoire; Observateur; Nomade; Miraculé majeur; Gupin</t>
        </is>
      </c>
    </row>
    <row r="4873">
      <c r="A4873" t="inlineStr">
        <is>
          <t>air volk</t>
        </is>
      </c>
      <c r="B4873">
        <f>HYPERLINK("https://www.dofusbook.net/fr/equipement/4705975-air-volk/objets", "link")</f>
        <v/>
      </c>
      <c r="C4873" t="n">
        <v>10</v>
      </c>
      <c r="D4873" t="inlineStr">
        <is>
          <t>Hachoirs de Viandargh; Amulette Volkorne; Anneau de Padgref; Anneau Volkorne; Bouclier du Captain Amakna; Menoture; Casque Volkorne; Cape Indescriptible; Palmes Trithons; Dofus des Glaces; Dofus Ivoire; Dofus Turquoise; Dofus Abyssal; Dofus Ocre; Dofus Pourpre; Kokulte</t>
        </is>
      </c>
    </row>
    <row r="4874">
      <c r="A4874" t="inlineStr">
        <is>
          <t>off tank</t>
        </is>
      </c>
      <c r="B4874">
        <f>HYPERLINK("https://www.dofusbook.net/fr/equipement/5047525-off-tank/objets", "link")</f>
        <v/>
      </c>
      <c r="C4874" t="n">
        <v>5</v>
      </c>
      <c r="D4874" t="inlineStr">
        <is>
          <t>Lav'Hache; Collier de Tourthon; Anneau Volkorne; Bague Gloursonne; Droiture de Fallanster; Ceinture Volkorne; Masque de Koutoulou; Cape au Logis; Bottes de la Cour Sombre; Dofus Pourpre; Dofus Abyssal; Dofus Émeraude; Dofus Ivoire; Dofus Ocre; Enragé majeur; Bulbisou</t>
        </is>
      </c>
    </row>
    <row r="4875">
      <c r="A4875" t="inlineStr">
        <is>
          <t>tank air placement</t>
        </is>
      </c>
      <c r="B4875">
        <f>HYPERLINK("https://www.dofusbook.net/fr/equipement/5276583-tank-air-placement/objets", "link")</f>
        <v/>
      </c>
      <c r="C4875" t="n">
        <v>3</v>
      </c>
      <c r="D4875" t="inlineStr">
        <is>
          <t>Manthache; Collier Rophante; Alliance Gloursonne; Gant du Valet Veinard; Droiture de Fallanster; Menoture; Casque Dragoeuf; Cape du Valet Veinard; Bottes Hairo; Dofus Pourpre; Dofus Ivoire; Dofus Ébène; Dofus Ocre; Dofus Abyssal; Cascadeur majeur; Blérodoudou</t>
        </is>
      </c>
    </row>
    <row r="4876">
      <c r="A4876" t="inlineStr">
        <is>
          <t>feu</t>
        </is>
      </c>
      <c r="B4876">
        <f>HYPERLINK("https://www.dofusbook.net/fr/equipement/4775421-feu/objets", "link")</f>
        <v/>
      </c>
      <c r="C4876" t="n">
        <v>15</v>
      </c>
      <c r="D4876" t="inlineStr">
        <is>
          <t>Arc corrompu; Amulette Volkorne; Anneauræus; Anneauræus; Bouclier du Stalak; Ceinture Volkorne; Heaume Oplate; Cape de Diondin; Bottes Innommables; Dofus des Glaces; Dofus Ivoire; Dofus Pourpre; Nomade; Dévastateur Feu majeur; Érudit majeur; Bisouglours</t>
        </is>
      </c>
    </row>
    <row r="4877">
      <c r="A4877" t="inlineStr">
        <is>
          <t>Air roxx</t>
        </is>
      </c>
      <c r="B4877">
        <f>HYPERLINK("https://www.dofusbook.net/fr/equipement/4501022-air-roxx/objets", "link")</f>
        <v/>
      </c>
      <c r="C4877" t="n">
        <v>9</v>
      </c>
      <c r="D4877" t="inlineStr">
        <is>
          <t>Manthache; Collier du Valet Veinard; Alliance Gloursonne; Gant du Valet Veinard; Bouclier d'Ilyzaelle; Menoture; Couronne d'Allister; Cape de Jahash Jurgen; Palmes Trithons; Dofus Abyssal; Dofus Ivoire; Dofus Pourpre; Dofus Ocre; Dofus Vulbis; Cascadeur majeur; Blérodoudou</t>
        </is>
      </c>
    </row>
    <row r="4878">
      <c r="A4878" t="inlineStr">
        <is>
          <t>terre tank</t>
        </is>
      </c>
      <c r="B4878">
        <f>HYPERLINK("https://www.dofusbook.net/fr/equipement/5259629-terre-tank/objets", "link")</f>
        <v/>
      </c>
      <c r="C4878" t="n">
        <v>8</v>
      </c>
      <c r="D4878" t="inlineStr">
        <is>
          <t>Lav'Hache; Collier de Tourthon; Bague Gloursonne; Anneau Volkorne; Droiture de Fallanster; Ceinture Volkorne; Masque de Koutoulou; Cape au Logis; Bottes de la Cour Sombre; Dofus Ivoire; Dofus Émeraude; Dofus des Glaces; Dofus Ocre; Enragé majeur; Obstructeur majeur; Bulbisou</t>
        </is>
      </c>
    </row>
    <row r="4879">
      <c r="A4879" t="inlineStr">
        <is>
          <t>eau/soin</t>
        </is>
      </c>
      <c r="B4879">
        <f>HYPERLINK("https://www.dofusbook.net/fr/equipement/2955932-eau-soin/objets", "link")</f>
        <v/>
      </c>
      <c r="C4879" t="n">
        <v>7</v>
      </c>
      <c r="D4879" t="inlineStr">
        <is>
          <t>Le Thanos; Amulette d'Ilyzaelle; Lavanneau; Anneau Volkorne; Carapar; Ceintrigue; Casque d'Ilyzaelle; Cape Solution; Bottes de Meno; Dofus des Glaces; Dofus Ivoire; Dofus Ocre; Nomade; Guérisseur majeur; Chanceux majeur; Dragodinde Indigo et Rousse</t>
        </is>
      </c>
    </row>
    <row r="4880">
      <c r="A4880" t="inlineStr">
        <is>
          <t>terre feu</t>
        </is>
      </c>
      <c r="B4880">
        <f>HYPERLINK("https://www.dofusbook.net/fr/equipement/4717802-terre-feu/objets", "link")</f>
        <v/>
      </c>
      <c r="C4880" t="n">
        <v>5</v>
      </c>
      <c r="D4880" t="inlineStr">
        <is>
          <t>Arc Hétype; Amulette Volkorne; Bague Gloursonne; Baguistik; Droiture de Fallanster; Ceinture Volkorne; Masque de Koutoulou; Voile d'encre; Bottes Dogues; Dofus Ivoire; Dofus des Glaces; Dofus Ocre; Érudit majeur; Enragé majeur; Guérisseur majeur; Cromeugnon</t>
        </is>
      </c>
    </row>
    <row r="4881">
      <c r="A4881" t="inlineStr">
        <is>
          <t>osa eau cac</t>
        </is>
      </c>
      <c r="B4881">
        <f>HYPERLINK("https://www.dofusbook.net/fr/equipement/4020191-osa-eau-cac/objets", "link")</f>
        <v/>
      </c>
      <c r="C4881" t="n">
        <v>7</v>
      </c>
      <c r="D4881" t="inlineStr">
        <is>
          <t>Dagoulinantes; Amulette de Shokkoth; Alliance Gloursonne; Anneau Volkorne; Droiture de Fallanster; Ceinture Volkorne; Kidibonnet; Cape Solution; Sandales des Fonds marins; Dofus Abyssal; Dofus des Glaces; Dofus Émeraude; Dofus Ivoire; Chanceux majeur; Nomade; Kanigloups</t>
        </is>
      </c>
    </row>
    <row r="4882">
      <c r="A4882" t="inlineStr">
        <is>
          <t>terre eau tourelle</t>
        </is>
      </c>
      <c r="B4882">
        <f>HYPERLINK("https://www.dofusbook.net/fr/equipement/5062727-terre-eau-tourelle/objets", "link")</f>
        <v/>
      </c>
      <c r="C4882" t="n">
        <v>5</v>
      </c>
      <c r="D4882" t="inlineStr">
        <is>
          <t>Épouvante; Amulette du Strigide; Bracelet du Piloztère; Anneau Volkorne; Bouclier du Captain Amakna; Ceinture Volkorne; Masque de Koutoulou; Cape de Jahash Jurgen; Bottes du Strigide; Dofus Turquoise; Dofus des Glaces; Dofus Pourpre; Dofus Abyssal; Dofus Ocre; Dofus Vulbis; Kokulte</t>
        </is>
      </c>
    </row>
    <row r="4883">
      <c r="A4883" t="inlineStr">
        <is>
          <t>test sacri tourelle</t>
        </is>
      </c>
      <c r="B4883">
        <f>HYPERLINK("https://www.dofusbook.net/fr/equipement/5062691-test-sacri-tourelle/objets", "link")</f>
        <v/>
      </c>
      <c r="C4883" t="n">
        <v>1</v>
      </c>
      <c r="D4883" t="inlineStr">
        <is>
          <t>Rapière aux Glyphes; Amulette du Strigide; Bracelet du Piloztère; Anneau Volkorne; Bouclier du Captain Amakna; Ceinture du Strigide; Casque Volkorne; Cape de Jahash Jurgen; Bottes du Strigide; Dofus Vulbis; Dofus Ocre; Dofus Pourpre; Dofus des Glaces; Dofus Ivoire; Dofus Turquoise; Mini Wa</t>
        </is>
      </c>
    </row>
    <row r="4884">
      <c r="A4884" t="inlineStr">
        <is>
          <t>youyettes</t>
        </is>
      </c>
      <c r="B4884">
        <f>HYPERLINK("https://www.dofusbook.net/fr/equipement/5059222-youyettes/objets", "link")</f>
        <v/>
      </c>
      <c r="C4884" t="n">
        <v>2</v>
      </c>
      <c r="D4884" t="inlineStr">
        <is>
          <t>Youyettes; Amulette du Cœur Saignant; Anneau Volkorne; Bague Gloursonne; Bouclier du Captain Amakna; Ceinture Volkorne; Masque de Koutoulou; Cape du Cœur Saignant; Bottes du Cœur Saignant; Dofus Turquoise; Dofus Abyssal; Dofus des Glaces; Dofus Pourpre; Dofus Ivoire; Dolmanax; Kokulte</t>
        </is>
      </c>
    </row>
    <row r="4885">
      <c r="A4885" t="inlineStr">
        <is>
          <t>actuel</t>
        </is>
      </c>
      <c r="B4885">
        <f>HYPERLINK("https://www.dofusbook.net/fr/equipement/4615159-actuel/objets", "link")</f>
        <v/>
      </c>
      <c r="C4885" t="n">
        <v>7</v>
      </c>
      <c r="D4885" t="inlineStr">
        <is>
          <t>Dagues d'Ilyzaelle; Amulette du Strigide; Bague Gloursonne; Anneau Crustique; Bouclier du Captain Amakna; Ceinture du Strigide; Masque de Koutoulou; Cape au Logis; Bottes Honyme; Dofus Turquoise; Dolmanax; Dofus des Glaces; Dofus Pourpre; Dofus Ivoire; Enragé majeur; Kokulte</t>
        </is>
      </c>
    </row>
    <row r="4886">
      <c r="A4886" t="inlineStr">
        <is>
          <t>off tank</t>
        </is>
      </c>
      <c r="B4886">
        <f>HYPERLINK("https://www.dofusbook.net/fr/equipement/4769226-off-tank/objets", "link")</f>
        <v/>
      </c>
      <c r="C4886" t="n">
        <v>21</v>
      </c>
      <c r="D4886" t="inlineStr">
        <is>
          <t>Lav'Hache; Collier de Tourthon; Anneau Volkorne; Bague Gloursonne; Droiture de Fallanster; Ceinture Volkorne; Masque de Koutoulou; Bravoure de Rykke Errel; Bottes Dogues; Dofus Pourpre; Dofus Abyssal; Dofus Émeraude; Dofus Ivoire; Dofus Ocre; Enragé majeur; Bulbisou</t>
        </is>
      </c>
    </row>
    <row r="4887">
      <c r="A4887" t="inlineStr">
        <is>
          <t>terre/feu distance</t>
        </is>
      </c>
      <c r="B4887">
        <f>HYPERLINK("https://www.dofusbook.net/fr/equipement/4998415-terre-feu-distance/objets", "link")</f>
        <v/>
      </c>
      <c r="C4887" t="n">
        <v>6</v>
      </c>
      <c r="D4887" t="inlineStr">
        <is>
          <t>Bâthon; Amulette Volkorne; Bague Gloursonne; Chevalière du Roi Joueur; Quatre-feuilles; Ceinture Volkorne; Couronne du Roi Joueur; Cape de Jahash Jurgen; Bottes du Roi Joueur; Dofus Ébène; Dofus Ivoire; Dofus Pourpre; Dofus Ocre; Dofus Turquoise; Dofus Vulbis; Cromeugnon</t>
        </is>
      </c>
    </row>
    <row r="4888">
      <c r="A4888" t="inlineStr">
        <is>
          <t>Jahash terre air</t>
        </is>
      </c>
      <c r="B4888">
        <f>HYPERLINK("https://www.dofusbook.net/fr/equipement/4611867-jahash-terre-air/objets", "link")</f>
        <v/>
      </c>
      <c r="C4888" t="n">
        <v>5</v>
      </c>
      <c r="D4888" t="inlineStr">
        <is>
          <t>Héqache; Amulette du Strigide; Bracelet du Piloztère; Anneau Volkorne; Bouclier du Captain Amakna; Ceinture Volkorne; Casque Volkorne; Cape de Jahash Jurgen; Bottes du Strigide; Dolmanax; Dofus Ivoire; Dofus Pourpre; Dofus Ocre; Dofus Turquoise; Forcené majeur; Volkorne Emeraude et Pourpre</t>
        </is>
      </c>
    </row>
    <row r="4889">
      <c r="A4889" t="inlineStr">
        <is>
          <t>eau cc cac</t>
        </is>
      </c>
      <c r="B4889">
        <f>HYPERLINK("https://www.dofusbook.net/fr/equipement/4665854-eau-cc-cac/objets", "link")</f>
        <v/>
      </c>
      <c r="C4889" t="n">
        <v>8</v>
      </c>
      <c r="D4889" t="inlineStr">
        <is>
          <t>Rapière aux Glyphes; Amulette Volkorne; Anneau Volkorne; Alliance Gloursonne; Bouclier du Captain Amakna; Pagne du Rykaon; Kidibonnet; Cape de l'Œil Attentif; Bottes Honyme; Dofus Pourpre; Dofus Turquoise; Dofus Abyssal; Dofus Ivoire; Chanceux majeur; Nomade; Kokulte</t>
        </is>
      </c>
    </row>
    <row r="4890">
      <c r="A4890" t="inlineStr">
        <is>
          <t>2.49 air</t>
        </is>
      </c>
      <c r="B4890">
        <f>HYPERLINK("https://www.dofusbook.net/fr/equipement/3603574-2-49-air-/objets", "link")</f>
        <v/>
      </c>
      <c r="C4890" t="n">
        <v>7</v>
      </c>
      <c r="D4890" t="inlineStr">
        <is>
          <t>Plume de Buhorado; Collier du Valet Veinard; Gant du Valet Veinard; Alliance Gloursonne; Bouclier du Stalak; Menoture; Couronne d'Allister; Cape de Jahash Jurgen; Palmes Trithons; Dofus des Glaces; Dofus Pourpre; Dofus Ivoire; Dofus Ébène; Dofus Ocre; Cascadeur majeur; Blérodoudou</t>
        </is>
      </c>
    </row>
    <row r="4891">
      <c r="A4891" t="inlineStr">
        <is>
          <t>embuscade pvm</t>
        </is>
      </c>
      <c r="B4891">
        <f>HYPERLINK("https://www.dofusbook.net/fr/equipement/4534313-embuscade-pvm-/objets", "link")</f>
        <v/>
      </c>
      <c r="C4891" t="n">
        <v>12</v>
      </c>
      <c r="D4891" t="inlineStr">
        <is>
          <t>Hache du Chalœil; Amulette du Strigide; Alliance de Missiz Frizz; Anneau Volkorne; Quatre-feuilles; Ceinture Volkorne; Le Dorado; Cape au Logis; Bottes du Strigide; Dofus Ocre; Dofus Turquoise; Dofus des Glaces; Dolmanax; Dofus Pourpre; Puissant majeur; Kokulte</t>
        </is>
      </c>
    </row>
    <row r="4892">
      <c r="A4892" t="inlineStr">
        <is>
          <t>terre</t>
        </is>
      </c>
      <c r="B4892">
        <f>HYPERLINK("https://www.dofusbook.net/fr/equipement/2526097-terre/objets", "link")</f>
        <v/>
      </c>
      <c r="C4892" t="n">
        <v>10</v>
      </c>
      <c r="D4892" t="inlineStr">
        <is>
          <t>Arc du Chalœil; Collier de Tourthon; Anneau du Comte Harebourg; Anneau de Brouce; Bouclier du Stalak; Ceinture Gence; Masque de Koutoulou; Cape au Logis; Bottes du Comte Harebourg; Dofus Pourpre; Dofus des Glaces; Saccageur Terre majeur; Dévastateur Terre majeur; Enragé majeur; Vigoureux majeur; Bulbisou</t>
        </is>
      </c>
    </row>
    <row r="4893">
      <c r="A4893" t="inlineStr">
        <is>
          <t>PVM full terre</t>
        </is>
      </c>
      <c r="B4893">
        <f>HYPERLINK("https://www.dofusbook.net/fr/equipement/3438310-pvm-full-terre/objets", "link")</f>
        <v/>
      </c>
      <c r="C4893" t="n">
        <v>22</v>
      </c>
      <c r="D4893" t="inlineStr">
        <is>
          <t>Héqache; Amulette du Cœur Saignant; Anneau de Brouce; Alliance de Missiz Frizz; Bouclier du Captain Amakna; Ceinture de Brouce; Casque de Missiz Frizz; Cape au Logis; Bottes de Brouce; Dofus Ocre; Dofus Turquoise; Dofus des Glaces; Dofus Ébène; Dofus Ivoire; Dofus Pourpre; Pioute vert</t>
        </is>
      </c>
    </row>
    <row r="4894">
      <c r="A4894" t="inlineStr">
        <is>
          <t>feu tank songe</t>
        </is>
      </c>
      <c r="B4894">
        <f>HYPERLINK("https://www.dofusbook.net/fr/equipement/4623934-feu-tank-songe/objets", "link")</f>
        <v/>
      </c>
      <c r="C4894" t="n">
        <v>19</v>
      </c>
      <c r="D4894" t="inlineStr">
        <is>
          <t>Harpelle; Amulette Volkorne; Anneauræus; Anneauræus; Droiture de Fallanster; Ceinture Volkorne; Heaume Oplate; Cape de Diondin; Bottes Innommables; Dofus Abyssal; Dofus Pourpre; Dofus Ivoire; Nomade; Guérisseur majeur; Érudit majeur; Dragodinde Orchidée et Rousse</t>
        </is>
      </c>
    </row>
    <row r="4895">
      <c r="A4895" t="inlineStr">
        <is>
          <t>DPS terre tourelle</t>
        </is>
      </c>
      <c r="B4895">
        <f>HYPERLINK("https://www.dofusbook.net/fr/equipement/4769261-dps-terre-tourelle/objets", "link")</f>
        <v/>
      </c>
      <c r="C4895" t="n">
        <v>4</v>
      </c>
      <c r="D4895" t="inlineStr">
        <is>
          <t>Dagues d'Ilyzaelle; Amulette du Cœur Saignant; Anneau de Brouce; Alliance de Missiz Frizz; Bouclier du Captain Amakna; Ceinture de Brouce; Casque de Missiz Frizz; Cape de Jahash Jurgen; Bottes de Brouce; Dofus Ébène; Dofus Vulbis; Dofus Pourpre; Dofus Ocre; Dofus Turquoise; Dofus des Glaces; Pioute vert</t>
        </is>
      </c>
    </row>
    <row r="4896">
      <c r="A4896" t="inlineStr">
        <is>
          <t>full cc</t>
        </is>
      </c>
      <c r="B4896">
        <f>HYPERLINK("https://www.dofusbook.net/fr/equipement/2375712-full-cc/objets", "link")</f>
        <v/>
      </c>
      <c r="C4896" t="n">
        <v>8</v>
      </c>
      <c r="D4896" t="inlineStr">
        <is>
          <t>Dagues d'Ilyzaelle; Amulette du Strigide; Bague Trithon; Bague Gloursonne; Bouclier du Captain Amakna; Ceinture du Strigide; Masque Trithon; Cape au Logis; Bottes du Strigide; Dolmanax; Dofus Pourpre; Dofus Ocre; Dofus Abyssal; Dofus Turquoise; Dofus des Glaces; Kokulte</t>
        </is>
      </c>
    </row>
    <row r="4897">
      <c r="A4897" t="inlineStr">
        <is>
          <t>test rykke terre</t>
        </is>
      </c>
      <c r="B4897">
        <f>HYPERLINK("https://www.dofusbook.net/fr/equipement/4736075-test-rykke-terre/objets", "link")</f>
        <v/>
      </c>
      <c r="C4897" t="n">
        <v>6</v>
      </c>
      <c r="D4897" t="inlineStr">
        <is>
          <t>Epée Toche; Amulette du Cœur Saignant; Anneau de Brouce; Alliance de Missiz Frizz; Bouclier du Captain Amakna; Ceinture de Brouce; Casque de Missiz Frizz; Bravoure de Rykke Errel; Bottes de Brouce; Dofus Pourpre; Dofus Turquoise; Dofus Vulbis; Dofus Ébène; Dofus Ocre; Dofus Ivoire; Pioute vert</t>
        </is>
      </c>
    </row>
    <row r="4898">
      <c r="A4898" t="inlineStr">
        <is>
          <t>nordes</t>
        </is>
      </c>
      <c r="B4898">
        <f>HYPERLINK("https://www.dofusbook.net/fr/equipement/4734543-nordes/objets", "link")</f>
        <v/>
      </c>
      <c r="C4898" t="n">
        <v>10</v>
      </c>
      <c r="D4898" t="inlineStr">
        <is>
          <t>Crocobur; Amulette de Pol Ouatnos; Goulano; Alliance Gloursonne; Bouclier d'Ilyzaelle; Ceinture de la Reine des Voleurs; Kidibonnet; Cape Solution; Bottes de la Reine des Voleurs; Dofus Pourpre; Dofus Émeraude; Dofus Abyssal; Dofus Ivoire; Dofus Ébène; Dokoko; Wabbit</t>
        </is>
      </c>
    </row>
    <row r="4899">
      <c r="A4899" t="inlineStr">
        <is>
          <t>test air feu jahash</t>
        </is>
      </c>
      <c r="B4899">
        <f>HYPERLINK("https://www.dofusbook.net/fr/equipement/4715484-test-air-feu-jahash/objets", "link")</f>
        <v/>
      </c>
      <c r="C4899" t="n">
        <v>4</v>
      </c>
      <c r="D4899" t="inlineStr">
        <is>
          <t>Marteau Phossile; Amulette Volkorne; Anneau de Padgref; Anneau Volkorne; Bouclier du Captain Amakna; Ceintacé; Casque Volkorne; Cape de Jahash Jurgen; Getas de Padgref; Dofus Pourpre; Dofus Ivoire; Dofus Ébène; Dofus Turquoise; Dofus Ocre; Dofus Nébuleux; Dragodinde Emeraude et Ivoire</t>
        </is>
      </c>
    </row>
    <row r="4900">
      <c r="A4900" t="inlineStr">
        <is>
          <t>embu full do</t>
        </is>
      </c>
      <c r="B4900">
        <f>HYPERLINK("https://www.dofusbook.net/fr/equipement/3850810-embu-full-do/objets", "link")</f>
        <v/>
      </c>
      <c r="C4900" t="n">
        <v>10</v>
      </c>
      <c r="D4900" t="inlineStr">
        <is>
          <t>Arc de Koutoulou; Amulette d'Ilyzaelle; Alliance Gloursonne; Anneau Volkorne; Bouclier du Stalak; Ceinture Volkorne; Casque d'Ilyzaelle; Cape du Chalœil; Bottes du Chalœil; Dofus Pourpre; Dofus Vulbis; Dofus Ocre; Dofus des Glaces; Dofus Ivoire; Robuste majeur; Fëanor</t>
        </is>
      </c>
    </row>
    <row r="4901">
      <c r="A4901" t="inlineStr">
        <is>
          <t>multi do cri</t>
        </is>
      </c>
      <c r="B4901">
        <f>HYPERLINK("https://www.dofusbook.net/fr/equipement/4645231-multi-do-cri/objets", "link")</f>
        <v/>
      </c>
      <c r="C4901" t="n">
        <v>4</v>
      </c>
      <c r="D4901" t="inlineStr">
        <is>
          <t>Sabres d'Atcham; Amulette du Strigide; Anneau de Padgref; Alliance Gloursonne; Bouclier du Captain Amakna; Ceinture du Strigide; Coiffe de Padgref; Cape d'Atcham; Getas de Padgref; Dofus Ivoire; Dofus Pourpre; Dofus Abyssal; Dofus des Glaces; Dofus Ocre; Dofus Vulbis; Kokulte</t>
        </is>
      </c>
    </row>
    <row r="4902">
      <c r="A4902" t="inlineStr">
        <is>
          <t>air feu cac</t>
        </is>
      </c>
      <c r="B4902">
        <f>HYPERLINK("https://www.dofusbook.net/fr/equipement/4670591-air-feu-cac/objets", "link")</f>
        <v/>
      </c>
      <c r="C4902" t="n">
        <v>5</v>
      </c>
      <c r="D4902" t="inlineStr">
        <is>
          <t>Marteau Phossile; Amulette Volkorne; Anneau Volkorne; Anneau de Padgref; Bouclier du Captain Amakna; Ceinture du Strigide; Casque Volkorne; Cape de Jahash Jurgen; Bottes du Strigide; Dofus Ocre; Dofus Nébuleux; Dofus Pourpre; Dofus Ébène; Dolmanax; Dofus Turquoise; Fëanor</t>
        </is>
      </c>
    </row>
    <row r="4903">
      <c r="A4903" t="inlineStr">
        <is>
          <t>air légendaire</t>
        </is>
      </c>
      <c r="B4903">
        <f>HYPERLINK("https://www.dofusbook.net/fr/equipement/4302853-air-legendaire/objets", "link")</f>
        <v/>
      </c>
      <c r="C4903" t="n">
        <v>9</v>
      </c>
      <c r="D4903" t="inlineStr">
        <is>
          <t>Plume de Buhorado; Collier du Valet Veinard; Gant du Valet Veinard; Alliance Gloursonne; Bouclier du Stalak; Menoture; Couronne d'Allister; Cape de Jahash Jurgen; Palmes Trithons; Dofus Pourpre; Dofus Ocre; Dofus des Glaces; Dofus Ébène; Vigoureux majeur; Cascadeur majeur; Blérodoudou</t>
        </is>
      </c>
    </row>
    <row r="4904">
      <c r="A4904" t="inlineStr">
        <is>
          <t>test feu terre</t>
        </is>
      </c>
      <c r="B4904">
        <f>HYPERLINK("https://www.dofusbook.net/fr/equipement/4678896-test-feu-terre/objets", "link")</f>
        <v/>
      </c>
      <c r="C4904" t="n">
        <v>5</v>
      </c>
      <c r="D4904" t="inlineStr">
        <is>
          <t>Hache du Chalœil; Amulette Volkorne; Anneau Volkorne; Chevalière du Roi Joueur; Quatre-feuilles; Ceinture Volkorne; Couronne du Roi Joueur; Cape de Jahash Jurgen; Bottes du Roi Joueur; Dofus Ébène; Dofus Pourpre; Dofus Ocre; Dofus Turquoise; Dolmanax; Dofus des Glaces; Fëanor</t>
        </is>
      </c>
    </row>
    <row r="4905">
      <c r="A4905" t="inlineStr">
        <is>
          <t>tank légendaire</t>
        </is>
      </c>
      <c r="B4905">
        <f>HYPERLINK("https://www.dofusbook.net/fr/equipement/4705168-tank-legendaire/objets", "link")</f>
        <v/>
      </c>
      <c r="C4905" t="n">
        <v>10</v>
      </c>
      <c r="D4905" t="inlineStr">
        <is>
          <t>Rouleau à Pâtisserie d'Aermyne; Collier Rophante; Bague Trithon; Alliance Gloursonne; Droiture de Fallanster; Ceinture de Kongoku; Casque Dragoeuf; Bravoure de Rykke Errel; Pataugastrique; Dofus Abyssal; Dofus Émeraude; Carapace Terre majeur; Remueur; Carapace Neutre majeur; Miraculé majeur; Givrefoux</t>
        </is>
      </c>
    </row>
    <row r="4906">
      <c r="A4906" t="inlineStr">
        <is>
          <t>air cc cac</t>
        </is>
      </c>
      <c r="B4906">
        <f>HYPERLINK("https://www.dofusbook.net/fr/equipement/4482756-air-cc-cac/objets", "link")</f>
        <v/>
      </c>
      <c r="C4906" t="n">
        <v>9</v>
      </c>
      <c r="D4906" t="inlineStr">
        <is>
          <t>Hachoirs de Viandargh; Amulette Volkorne; Anneau d'Allister; Anneau Volkorne; Bouclier du Captain Amakna; Menoture; Casque Volkorne; Cape Indescriptible; Bottes d'Allister; Dofus Turquoise; Dofus Abyssal; Dofus Ocre; Dofus Pourpre; Dofus Ivoire; Acrobate majeur; Pioute jaune</t>
        </is>
      </c>
    </row>
    <row r="4907">
      <c r="A4907" t="inlineStr">
        <is>
          <t>terre cc cac</t>
        </is>
      </c>
      <c r="B4907">
        <f>HYPERLINK("https://www.dofusbook.net/fr/equipement/4482660-terre-cc-cac/objets", "link")</f>
        <v/>
      </c>
      <c r="C4907" t="n">
        <v>4</v>
      </c>
      <c r="D4907" t="inlineStr">
        <is>
          <t>Dagues d'Ilyzaelle; Amulette du Cœur Saignant; Alliance de Missiz Frizz; Anneau de Brouce; Bouclier du Captain Amakna; Ceinture de Brouce; Casque de Missiz Frizz; Cape au Logis; Bottes de Brouce; Dofus Pourpre; Dofus Ocre; Dofus Turquoise; Dofus Ivoire; Dofus Abyssal; Furibond majeur; Pioute vert</t>
        </is>
      </c>
    </row>
    <row r="4908">
      <c r="A4908" t="inlineStr">
        <is>
          <t>PVM terre tank</t>
        </is>
      </c>
      <c r="B4908">
        <f>HYPERLINK("https://www.dofusbook.net/fr/equipement/2910556-pvm-terre-tank/objets", "link")</f>
        <v/>
      </c>
      <c r="C4908" t="n">
        <v>12</v>
      </c>
      <c r="D4908" t="inlineStr">
        <is>
          <t>Lav'Hache; Amulette Volkorne; Anneau de Pol Ouatnos; Anneau Crustique; Droiture de Fallanster; Ceinture Volkorne; Casque Dragoeuf; Bravoure de Rykke Errel; Bottes Honyme; Dofus Émeraude; Dofus des Glaces; Dofus Ocre; Dofus Ivoire; Enragé majeur; Dévastateur Terre majeur; Bulbisou</t>
        </is>
      </c>
    </row>
    <row r="4909">
      <c r="A4909" t="inlineStr">
        <is>
          <t>test</t>
        </is>
      </c>
      <c r="B4909">
        <f>HYPERLINK("https://www.dofusbook.net/fr/equipement/4624086-test-/objets", "link")</f>
        <v/>
      </c>
      <c r="C4909" t="n">
        <v>1</v>
      </c>
      <c r="D4909" t="inlineStr">
        <is>
          <t>Dagues d'Ilyzaelle; Amulette du Strigide; Alliance de Missiz Frizz; Anneau Volkorne; Cadran d'Eau; Ceinture Volkorne; Casque de Missiz Frizz; Cape au Logis; Bottes Honyme; Dofus des Glaces; Dofus Pourpre; Dofus Ivoire; Dofus Ocre; Dofus Turquoise; Dolmanax; Kokulte</t>
        </is>
      </c>
    </row>
    <row r="4910">
      <c r="A4910" t="inlineStr">
        <is>
          <t>air pvm tank</t>
        </is>
      </c>
      <c r="B4910">
        <f>HYPERLINK("https://www.dofusbook.net/fr/equipement/4433748-air-pvm-tank/objets", "link")</f>
        <v/>
      </c>
      <c r="C4910" t="n">
        <v>7</v>
      </c>
      <c r="D4910" t="inlineStr">
        <is>
          <t>Manthache; Collier Rophante; Alliance Gloursonne; Alliance Brûlâme; Droiture de Fallanster; Menoture; Masque d'Anerice; Cape d'Anerice; Palmes Trithons; Dokoko; Dofus Émeraude; Remueur; Miraculé majeur; Cascadeur majeur; Obstructeur majeur; Platypus</t>
        </is>
      </c>
    </row>
    <row r="4911">
      <c r="A4911" t="inlineStr">
        <is>
          <t>strifrizz</t>
        </is>
      </c>
      <c r="B4911">
        <f>HYPERLINK("https://www.dofusbook.net/fr/equipement/2919479-strifrizz/objets", "link")</f>
        <v/>
      </c>
      <c r="C4911" t="n">
        <v>10</v>
      </c>
      <c r="D4911" t="inlineStr">
        <is>
          <t>Dagues d'Ilyzaelle; Amulette du Strigide; Alliance de Missiz Frizz; Anneau Crustique; Bouclier du Captain Amakna; Ceinture du Strigide; Casque de Missiz Frizz; Cape au Logis; Bottes du Strigide; Dofus des Glaces; Dofus Pourpre; Dofus Ivoire; Dofus Turquoise; Dofus Ocre; Précurseur majeur; Kokulte</t>
        </is>
      </c>
    </row>
    <row r="4912">
      <c r="A4912" t="inlineStr">
        <is>
          <t>air cac</t>
        </is>
      </c>
      <c r="B4912">
        <f>HYPERLINK("https://www.dofusbook.net/fr/equipement/4612527-air-cac/objets", "link")</f>
        <v/>
      </c>
      <c r="C4912" t="n">
        <v>3</v>
      </c>
      <c r="D4912" t="inlineStr">
        <is>
          <t>Hachoirs de Viandargh; Amulette Volkorne; Anneau Volkorne; Anneau d'Allister; Bouclier du Captain Amakna; Menoture; Casque Volkorne; Cape de Jahash Jurgen; Bottes Voldelor; Dofus Ocre; Dofus Pourpre; Dofus Ivoire; Dofus Turquoise; Dofus Ébène; Acrobate majeur; Pioute jaune</t>
        </is>
      </c>
    </row>
    <row r="4913">
      <c r="A4913" t="inlineStr">
        <is>
          <t>test</t>
        </is>
      </c>
      <c r="B4913">
        <f>HYPERLINK("https://www.dofusbook.net/fr/equipement/4576563-test/objets", "link")</f>
        <v/>
      </c>
      <c r="C4913" t="n">
        <v>1</v>
      </c>
      <c r="D4913" t="inlineStr">
        <is>
          <t>Hache du Chalœil; Amulette du Strigide; Alliance de Missiz Frizz; Anneau Volkorne; Bouclier du Captain Amakna; Ceinture Volkorne; Le Dorado; Cape au Logis; Bottes du Strigide; Dofus Abyssal; Dofus des Glaces; Dofus Ivoire; Dofus Pourpre; Dofus Ocre; Dofus Turquoise; Kokulte</t>
        </is>
      </c>
    </row>
    <row r="4914">
      <c r="A4914" t="inlineStr">
        <is>
          <t>full tank songes</t>
        </is>
      </c>
      <c r="B4914">
        <f>HYPERLINK("https://www.dofusbook.net/fr/equipement/4532077-full-tank-songes/objets", "link")</f>
        <v/>
      </c>
      <c r="C4914" t="n">
        <v>7</v>
      </c>
      <c r="D4914" t="inlineStr">
        <is>
          <t>Rouleau à Pâtisserie d'Aermyne; Collier Rophante; Alliance Gloursonne; Bague Trithon; Droiture de Fallanster; Ceinture de Dame Jhessica; Masque d'Anerice; Cape d'Anerice; Pataugastrique; Dokoko; Dofus Émeraude; Carapace Neutre majeur; Miraculé majeur; Obstructeur majeur; Remueur; Platypus</t>
        </is>
      </c>
    </row>
    <row r="4915">
      <c r="A4915" t="inlineStr">
        <is>
          <t>feu roxx cc</t>
        </is>
      </c>
      <c r="B4915">
        <f>HYPERLINK("https://www.dofusbook.net/fr/equipement/4239986-feu-roxx-cc/objets", "link")</f>
        <v/>
      </c>
      <c r="C4915" t="n">
        <v>5</v>
      </c>
      <c r="D4915" t="inlineStr">
        <is>
          <t>Harpelle; Amulette Volkorne; Anneauræus; Anneau Volkorne; Bouclier du Captain Amakna; Ceinture Séculaire; Heaume Oplate; Cape de Diondin; Bottes Innommables; Dofus Ivoire; Dofus Turquoise; Dofus Pourpre; Nomade; Guérisseur majeur; Érudit majeur; Dragodinde Emeraude et Orchidée</t>
        </is>
      </c>
    </row>
    <row r="4916">
      <c r="A4916" t="inlineStr">
        <is>
          <t>volkfrizz</t>
        </is>
      </c>
      <c r="B4916">
        <f>HYPERLINK("https://www.dofusbook.net/fr/equipement/4097350-volkfrizz/objets", "link")</f>
        <v/>
      </c>
      <c r="C4916" t="n">
        <v>12</v>
      </c>
      <c r="D4916" t="inlineStr">
        <is>
          <t>Hache du Chalœil; Amulette Volkorne; Anneau Volkorne; Alliance de Missiz Frizz; Bouclier du Captain Amakna; Ceinture Volkorne; Casque de Missiz Frizz; Cape au Logis; Bottes Honyme; Dofus Ivoire; Dofus Pourpre; Dofus Ocre; Dofus Turquoise; Dofus Abyssal; Dofus des Glaces; Kokulte</t>
        </is>
      </c>
    </row>
    <row r="4917">
      <c r="A4917" t="inlineStr">
        <is>
          <t>Cra cheap</t>
        </is>
      </c>
      <c r="B4917">
        <f>HYPERLINK("https://www.dofusbook.net/fr/equipement/4155542-cra-cheap/objets", "link")</f>
        <v/>
      </c>
      <c r="C4917" t="n">
        <v>21</v>
      </c>
      <c r="D4917" t="inlineStr">
        <is>
          <t>Bâton Beau; Amulette du Strigide; Bracelet du Piloztère; Alliance de Missiz Frizz; Quatre-feuilles; Ceinture du Strigide; Casque de Missiz Frizz; Cape Reski; Bottes du Strigide; Dofus Turquoise; Dofus des Glaces; Dofus Ocre; Dofus Pourpre; Dofus Nébuleux; Voyageur; Kokulte</t>
        </is>
      </c>
    </row>
    <row r="4918">
      <c r="A4918" t="inlineStr">
        <is>
          <t>feu cc</t>
        </is>
      </c>
      <c r="B4918">
        <f>HYPERLINK("https://www.dofusbook.net/fr/equipement/4454987-feu-cc/objets", "link")</f>
        <v/>
      </c>
      <c r="C4918" t="n">
        <v>3</v>
      </c>
      <c r="D4918" t="inlineStr">
        <is>
          <t>Arc corrompu; Amulette Volkorne; Anneau de Padgref; Anneau Volkorne; Quatre-feuilles; Ceinture Séculaire; Coiffe de Padgref; Cape de la Dame du Hasard; Getas de Padgref; Dofus Turquoise; Dofus Ébène; Dofus Ocre; Dofus Pourpre; Dofus des Glaces; Voyageur; Pioute rouge</t>
        </is>
      </c>
    </row>
    <row r="4919">
      <c r="A4919" t="inlineStr">
        <is>
          <t>eau cc</t>
        </is>
      </c>
      <c r="B4919">
        <f>HYPERLINK("https://www.dofusbook.net/fr/equipement/4454875-eau-cc/objets", "link")</f>
        <v/>
      </c>
      <c r="C4919" t="n">
        <v>6</v>
      </c>
      <c r="D4919" t="inlineStr">
        <is>
          <t>Sabres d'Atcham; Amulette du Strigide; Bracelet du Piloztère; Anneau Volkorne; Quatre-feuilles; Ceinture du Strigide; Casque Volkorne; Cape d'Atcham; Bottes du Strigide; Dofus Pourpre; Dofus Turquoise; Dofus Ocre; Dofus des Glaces; Dofus Ébène; Voyageur; Kokulte</t>
        </is>
      </c>
    </row>
    <row r="4920">
      <c r="A4920" t="inlineStr">
        <is>
          <t>stri pad</t>
        </is>
      </c>
      <c r="B4920">
        <f>HYPERLINK("https://www.dofusbook.net/fr/equipement/4454896-stri-pad/objets", "link")</f>
        <v/>
      </c>
      <c r="C4920" t="n">
        <v>4</v>
      </c>
      <c r="D4920" t="inlineStr">
        <is>
          <t>Arc corrompu; Amulette du Strigide; Anneauræus; Anneau de Padgref; Quatre-feuilles; Ceinture du Strigide; Coiffe de Padgref; Cape de la Dame du Hasard; Getas de Padgref; Dofus Turquoise; Dofus Ébène; Dofus des Glaces; Dofus Pourpre; Dofus Vulbis; Dofus Ocre; Pioute rouge</t>
        </is>
      </c>
    </row>
    <row r="4921">
      <c r="A4921" t="inlineStr">
        <is>
          <t>air tank croco</t>
        </is>
      </c>
      <c r="B4921">
        <f>HYPERLINK("https://www.dofusbook.net/fr/equipement/3994786-air-tank-croco/objets", "link")</f>
        <v/>
      </c>
      <c r="C4921" t="n">
        <v>7</v>
      </c>
      <c r="D4921" t="inlineStr">
        <is>
          <t>Crocobur; Collier du Valet Veinard; Alliance Gloursonne; Gant du Valet Veinard; Droiture de Fallanster; Menoture; Couronne d'Allister; Voilamibe; Baleinabottes; Dofus Pourpre; Dofus Abyssal; Dofus Émeraude; Dofus Ivoire; Miraculé majeur; Cascadeur majeur; Dragodinde Ebène et Ivoire</t>
        </is>
      </c>
    </row>
    <row r="4922">
      <c r="A4922" t="inlineStr">
        <is>
          <t>terre pvm</t>
        </is>
      </c>
      <c r="B4922">
        <f>HYPERLINK("https://www.dofusbook.net/fr/equipement/3715891-terre-pvm/objets", "link")</f>
        <v/>
      </c>
      <c r="C4922" t="n">
        <v>6</v>
      </c>
      <c r="D4922" t="inlineStr">
        <is>
          <t>Arc du Chalœil; Amulette du Cœur Saignant; Anneau de Brouce; Anneau du Comte Harebourg; Quatre-feuilles; Ceinture de Brouce; Coiffe du Comte Harebourg; Cape au Logis; Bottes de Brouce; Dofus Pourpre; Dofus Nébuleux; Dofus Turquoise; Dofus Ocre; Forcené majeur; Furibond majeur; Pioute vert</t>
        </is>
      </c>
    </row>
    <row r="4923">
      <c r="A4923" t="inlineStr">
        <is>
          <t>feu cc cape de classe</t>
        </is>
      </c>
      <c r="B4923">
        <f>HYPERLINK("https://www.dofusbook.net/fr/equipement/4428676-feu-cc-cape-de-classe/objets", "link")</f>
        <v/>
      </c>
      <c r="C4923" t="n">
        <v>2</v>
      </c>
      <c r="D4923" t="inlineStr">
        <is>
          <t>Arc corrompu; Amulette du Strigide; Anneau de Padgref; Bracelet du Piloztère; Quatre-feuilles; Ceinture du Strigide; Coiffe de Padgref; Cape Sulhit; Getas de Padgref; Dofus Turquoise; Dofus Ocre; Dofus Pourpre; Dofus des Glaces; Voyageur; Astucieux majeur; Pioute rouge</t>
        </is>
      </c>
    </row>
    <row r="4924">
      <c r="A4924" t="inlineStr">
        <is>
          <t>air cc cape de classe</t>
        </is>
      </c>
      <c r="B4924">
        <f>HYPERLINK("https://www.dofusbook.net/fr/equipement/4428664-air-cc-cape-de-classe/objets", "link")</f>
        <v/>
      </c>
      <c r="C4924" t="n">
        <v>5</v>
      </c>
      <c r="D4924" t="inlineStr">
        <is>
          <t>Plume de Buhorado; Amulette du Strigide; Bracelet du Piloztère; Anneau de Padgref; Quatre-feuilles; Ceinture du Strigide; Coiffe de Padgref; Cape Sulhit; Getas de Padgref; Dofus des Glaces; Dofus Turquoise; Dofus Ocre; Dofus Pourpre; Equilibriste majeur; Saccageur Air majeur; Pioute jaune</t>
        </is>
      </c>
    </row>
    <row r="4925">
      <c r="A4925" t="inlineStr">
        <is>
          <t>air cc</t>
        </is>
      </c>
      <c r="B4925">
        <f>HYPERLINK("https://www.dofusbook.net/fr/equipement/3528373-air-cc-/objets", "link")</f>
        <v/>
      </c>
      <c r="C4925" t="n">
        <v>17</v>
      </c>
      <c r="D4925" t="inlineStr">
        <is>
          <t>Plume de Buhorado; Amulette du Strigide; Anneau de Padgref; Anneau Volkorne; Quatre-feuilles; Menoture; Casque Volkorne; Cape Indescriptible; Bottes Voldelor; Dofus Turquoise; Dofus Ocre; Dofus Pourpre; Equilibriste majeur; Vigoureux majeur; Cascadeur majeur; Pioute jaune</t>
        </is>
      </c>
    </row>
    <row r="4926">
      <c r="A4926" t="inlineStr">
        <is>
          <t>air jahash</t>
        </is>
      </c>
      <c r="B4926">
        <f>HYPERLINK("https://www.dofusbook.net/fr/equipement/4410612-air-jahash/objets", "link")</f>
        <v/>
      </c>
      <c r="C4926" t="n">
        <v>3</v>
      </c>
      <c r="D4926" t="inlineStr">
        <is>
          <t>Plume de Buhorado; Collier du Valet Veinard; Gant du Valet Veinard; Anneau d'Allister; Bouclier du Stalak; Sangle Oriole; Couronne d'Allister; Cape de Jahash Jurgen; Bottes d'Allister; Dofus des Glaces; Dofus Pourpre; Dofus Ocre; Robuste majeur; Equilibriste majeur; Saccageur Air majeur; Blérodoudou</t>
        </is>
      </c>
    </row>
    <row r="4927">
      <c r="A4927" t="inlineStr">
        <is>
          <t>eau cc</t>
        </is>
      </c>
      <c r="B4927">
        <f>HYPERLINK("https://www.dofusbook.net/fr/equipement/4237119-eau-cc/objets", "link")</f>
        <v/>
      </c>
      <c r="C4927" t="n">
        <v>8</v>
      </c>
      <c r="D4927" t="inlineStr">
        <is>
          <t>Dagoulinantes; Amulette de Shokkoth; Anneau Volkorne; Bracelet des Fonds marins; Quatre-feuilles; Ceinture Volkorne; Kidibonnet; Cape de la Dame du Hasard; Bottes Voldelor; Dofus Ébène; Dofus Ocre; Dofus Pourpre; Dofus Turquoise; Chanceux majeur; Nomade; Pioute bleu</t>
        </is>
      </c>
    </row>
    <row r="4928">
      <c r="A4928" t="inlineStr">
        <is>
          <t>air cape de classe</t>
        </is>
      </c>
      <c r="B4928">
        <f>HYPERLINK("https://www.dofusbook.net/fr/equipement/4410164-air-cape-de-classe/objets", "link")</f>
        <v/>
      </c>
      <c r="C4928" t="n">
        <v>5</v>
      </c>
      <c r="D4928" t="inlineStr">
        <is>
          <t>Plume de Buhorado; Collier du Valet Veinard; Gant du Valet Veinard; Alliance Gloursonne; Bouclier du Stalak; Menoture; Couronne d'Allister; Cape Sulhit; Palmes Trithons; Dofus Ocre; Dofus des Glaces; Dofus Pourpre; Vigoureux majeur; Dévastateur Air majeur; Cascadeur majeur; Blérodoudou</t>
        </is>
      </c>
    </row>
    <row r="4929">
      <c r="A4929" t="inlineStr">
        <is>
          <t>terre eau</t>
        </is>
      </c>
      <c r="B4929">
        <f>HYPERLINK("https://www.dofusbook.net/fr/equipement/4304811-terre-eau/objets", "link")</f>
        <v/>
      </c>
      <c r="C4929" t="n">
        <v>7</v>
      </c>
      <c r="D4929" t="inlineStr">
        <is>
          <t>Bâton Beau; Amulette du Strigide; Anneau Volkorne; Alliance de Missiz Frizz; Quatre-feuilles; Ceinture Volkorne; Casque de Missiz Frizz; Cape au Logis; Bottes du Strigide; Dofus Nébuleux; Dofus des Glaces; Dofus Pourpre; Dofus Ocre; Dofus Turquoise; Forcené majeur; Volkorne Emeraude et Pourpre</t>
        </is>
      </c>
    </row>
    <row r="4930">
      <c r="A4930" t="inlineStr">
        <is>
          <t>PVM/air</t>
        </is>
      </c>
      <c r="B4930">
        <f>HYPERLINK("https://www.dofusbook.net/fr/equipement/561464-pvm-air/objets", "link")</f>
        <v/>
      </c>
      <c r="C4930" t="n">
        <v>9</v>
      </c>
      <c r="D4930" t="inlineStr">
        <is>
          <t>Plume de Buhorado; Collier du Valet Veinard; Alliance Gloursonne; Gant du Valet Veinard; Bouclier du Stalak; Menoture; Couronne d'Allister; Cape Indescriptible; Palmes Trithons; Dofus Ocre; Dofus des Glaces; Dofus Pourpre; Vigoureux majeur; Robuste majeur; Cascadeur majeur; Blérodoudou</t>
        </is>
      </c>
    </row>
    <row r="4931">
      <c r="A4931" t="inlineStr">
        <is>
          <t>air eau</t>
        </is>
      </c>
      <c r="B4931">
        <f>HYPERLINK("https://www.dofusbook.net/fr/equipement/4407525-air-eau/objets", "link")</f>
        <v/>
      </c>
      <c r="C4931" t="n">
        <v>1</v>
      </c>
      <c r="D4931" t="inlineStr">
        <is>
          <t>Arc de Koutoulou; Amulette d'Ilyzaelle; Bracelet du Piloztère; Alliance Gloursonne; Bouclier du Stalak; Menoture; Casque d'Ilyzaelle; Voilamibe; Bottes du Strigide; Dofus des Glaces; Dofus Pourpre; Dofus Ocre; Robuste majeur; Cascadeur majeur; Vigoureux majeur; Mini Wa</t>
        </is>
      </c>
    </row>
    <row r="4932">
      <c r="A4932" t="inlineStr">
        <is>
          <t>air jahash</t>
        </is>
      </c>
      <c r="B4932">
        <f>HYPERLINK("https://www.dofusbook.net/fr/equipement/4236864-air-jahash-/objets", "link")</f>
        <v/>
      </c>
      <c r="C4932" t="n">
        <v>5</v>
      </c>
      <c r="D4932" t="inlineStr">
        <is>
          <t>Plume de Buhorado; Collier du Valet Veinard; Anneau d'Allister; Gant du Valet Veinard; Bouclier du Stalak; Sangle Oriole; Couronne d'Allister; Cape de Jahash Jurgen; Bottes d'Allister; Dofus Pourpre; Dofus Ocre; Dofus des Glaces; Equilibriste majeur; Saccageur Air majeur; Robuste majeur; Blérodoudou</t>
        </is>
      </c>
    </row>
    <row r="4933">
      <c r="A4933" t="inlineStr">
        <is>
          <t>surcharge air</t>
        </is>
      </c>
      <c r="B4933">
        <f>HYPERLINK("https://www.dofusbook.net/fr/equipement/3958393-surcharge-air/objets", "link")</f>
        <v/>
      </c>
      <c r="C4933" t="n">
        <v>10</v>
      </c>
      <c r="D4933" t="inlineStr">
        <is>
          <t>Manthache; Collier du Valet Veinard; Gant du Valet Veinard; Anneau d'Allister; Bouclier du Stalak; Sangle Oriole; Couronne d'Allister; Cape du Valet Veinard; Bottes d'Allister; Dofus des Glaces; Dofus Nébuleux; Dofus Pourpre; Dofus Ocre; Saccageur Air majeur; Blérodoudou</t>
        </is>
      </c>
    </row>
    <row r="4934">
      <c r="A4934" t="inlineStr">
        <is>
          <t>air 12/6</t>
        </is>
      </c>
      <c r="B4934">
        <f>HYPERLINK("https://www.dofusbook.net/fr/equipement/4355800-air-12-6/objets", "link")</f>
        <v/>
      </c>
      <c r="C4934" t="n">
        <v>4</v>
      </c>
      <c r="D4934" t="inlineStr">
        <is>
          <t>Manthache; Collier du Valet Veinard; Anneau d'Allister; Gant du Valet Veinard; Bouclier du Stalak; Sangle Oriole; Couronne d'Allister; Cape du Valet Veinard; Bottes d'Allister; Dofus des Glaces; Dofus Ébène; Dofus Ocre; Dofus Pourpre; Robuste majeur; Blérodoudou</t>
        </is>
      </c>
    </row>
    <row r="4935">
      <c r="A4935" t="inlineStr">
        <is>
          <t>Réseau volkorne</t>
        </is>
      </c>
      <c r="B4935">
        <f>HYPERLINK("https://www.dofusbook.net/fr/equipement/3440461-reseau-volkorne-/objets", "link")</f>
        <v/>
      </c>
      <c r="C4935" t="n">
        <v>18</v>
      </c>
      <c r="D4935" t="inlineStr">
        <is>
          <t>Dagues Eudin; Amulette Volkorne; Anneau Volkorne; Chevalière du Roi Joueur; Bouclier du Stalak; Ceinture Volkorne; Couronne du Roi Joueur; Cape de Jahash Jurgen; Bottes du Roi Joueur; Dofus Ocre; Dofus Pourpre; Dofus Ébène; Dofus des Glaces; Forcené majeur; Robuste majeur; Fëanor</t>
        </is>
      </c>
    </row>
    <row r="4936">
      <c r="A4936" t="inlineStr">
        <is>
          <t>multi opti</t>
        </is>
      </c>
      <c r="B4936">
        <f>HYPERLINK("https://www.dofusbook.net/fr/equipement/150746-multi-opti/objets", "link")</f>
        <v/>
      </c>
      <c r="C4936" t="n">
        <v>20</v>
      </c>
      <c r="D4936" t="inlineStr">
        <is>
          <t>Arc Volkorne; Amulette du Strigide; Alliance de Missiz Frizz; Anneau Volkorne; Quatre-feuilles; Ceinture Volkorne; Le Dorado; Cape Reski; Bottes du Strigide; Dofus Turquoise; Dofus Nébuleux; Dofus des Glaces; Dofus Pourpre; Dofus Ocre; Voyageur; Kokulte</t>
        </is>
      </c>
    </row>
    <row r="4937">
      <c r="A4937" t="inlineStr">
        <is>
          <t>feu no tutu</t>
        </is>
      </c>
      <c r="B4937">
        <f>HYPERLINK("https://www.dofusbook.net/fr/equipement/4257844-feu-no-tutu/objets", "link")</f>
        <v/>
      </c>
      <c r="C4937" t="n">
        <v>7</v>
      </c>
      <c r="D4937" t="inlineStr">
        <is>
          <t>Arc corrompu; Amulette Volkorne; Anneau Volkorne; Anneauræus; Quatre-feuilles; Ceinture Séculaire; Heaume Oplate; Cape de Jahash Jurgen; Bottes Innommables; Dofus Ébène; Dofus Pourpre; Dofus Ocre; Astucieux majeur; Érudit majeur; Nomade; Brûlih</t>
        </is>
      </c>
    </row>
    <row r="4938">
      <c r="A4938" t="inlineStr">
        <is>
          <t>air songe</t>
        </is>
      </c>
      <c r="B4938">
        <f>HYPERLINK("https://www.dofusbook.net/fr/equipement/2404367-air-songe/objets", "link")</f>
        <v/>
      </c>
      <c r="C4938" t="n">
        <v>6</v>
      </c>
      <c r="D4938" t="inlineStr">
        <is>
          <t>Plume de Buhorado; Collier du Valet Veinard; Alliance Gloursonne; Gant du Valet Veinard; Bouclier du Stalak; Menoture; Couronne d'Allister; Cape Indescriptible; Palmes Trithons; Dofus des Glaces; Dofus Ébène; Dofus Ocre; Saccageur Air majeur; Dévastateur Air majeur; Cascadeur majeur; Blérodoudou</t>
        </is>
      </c>
    </row>
    <row r="4939">
      <c r="A4939" t="inlineStr">
        <is>
          <t>terre ceinture classe</t>
        </is>
      </c>
      <c r="B4939">
        <f>HYPERLINK("https://www.dofusbook.net/fr/equipement/4315701-terre-ceinture-classe/objets", "link")</f>
        <v/>
      </c>
      <c r="C4939" t="n">
        <v>4</v>
      </c>
      <c r="D4939" t="inlineStr">
        <is>
          <t>Arc du Chalœil; Collier de Tourthon; Anneau du Comte Harebourg; Anneau de Brouce; Bouclier du Stalak; Sangle Glinglin; Coiffe du Comte Harebourg; Cape de la Cour Sombre; Bottes Honyme; Dofus Pourpre; Dofus Ocre; Vigoureux majeur; Nomade; Forcené majeur; Enragé majeur; Bulbisou</t>
        </is>
      </c>
    </row>
    <row r="4940">
      <c r="A4940" t="inlineStr">
        <is>
          <t>terre pvm</t>
        </is>
      </c>
      <c r="B4940">
        <f>HYPERLINK("https://www.dofusbook.net/fr/equipement/4236844-terre-pvm/objets", "link")</f>
        <v/>
      </c>
      <c r="C4940" t="n">
        <v>3</v>
      </c>
      <c r="D4940" t="inlineStr">
        <is>
          <t>Arc du Chalœil; Collier de Tourthon; Anneau de Brouce; Anneau du Comte Harebourg; Bouclier du Stalak; Ceinture de Brouce; Coiffe du Comte Harebourg; Cape au Logis; Bottes de Brouce; Dofus des Glaces; Dofus Pourpre; Dofus Ocre; Forcené majeur; Robuste majeur; Furibond majeur; Bulbisou</t>
        </is>
      </c>
    </row>
    <row r="4941">
      <c r="A4941" t="inlineStr">
        <is>
          <t>terre-eau strivolk</t>
        </is>
      </c>
      <c r="B4941">
        <f>HYPERLINK("https://www.dofusbook.net/fr/equipement/4236765-terre-eau-strivolk/objets", "link")</f>
        <v/>
      </c>
      <c r="C4941" t="n">
        <v>18</v>
      </c>
      <c r="D4941" t="inlineStr">
        <is>
          <t>Bâton Beau; Amulette du Strigide; Bracelet du Piloztère; Anneau Volkorne; Bouclier du Stalak; Ceinture Volkorne; Casque Volkorne; Cape Solution; Bottes du Strigide; Dofus Ocre; Dofus Pourpre; Dofus Turquoise; Dofus Ébène; Dofus des Glaces; Robuste majeur; Pioute bleu</t>
        </is>
      </c>
    </row>
    <row r="4942">
      <c r="A4942" t="inlineStr">
        <is>
          <t>songe cape de classe</t>
        </is>
      </c>
      <c r="B4942">
        <f>HYPERLINK("https://www.dofusbook.net/fr/equipement/4254265-songe-cape-de-classe-/objets", "link")</f>
        <v/>
      </c>
      <c r="C4942" t="n">
        <v>4</v>
      </c>
      <c r="D4942" t="inlineStr">
        <is>
          <t>Arc corrompu; Amulette Volkorne; Anneau Volkorne; Anneau de Padgref; Quatre-feuilles; Ceinture Séculaire; Heaume Oplate; Cape Sulhit; Bottes de la Dame du Hasard; Dofus Turquoise; Dofus Pourpre; Dofus Ocre; Vigoureux majeur; Nomade; Érudit majeur; Pioute rouge</t>
        </is>
      </c>
    </row>
    <row r="4943">
      <c r="A4943" t="inlineStr">
        <is>
          <t>air 200 roxx</t>
        </is>
      </c>
      <c r="B4943">
        <f>HYPERLINK("https://www.dofusbook.net/fr/equipement/537365-air-200-roxx/objets", "link")</f>
        <v/>
      </c>
      <c r="C4943" t="n">
        <v>6</v>
      </c>
      <c r="D4943" t="inlineStr">
        <is>
          <t>Plume de Buhorado; Amulette d'Ilyzaelle; Gant du Valet Veinard; Alliance Gloursonne; Bouclier du Stalak; Menoture; Couronne d'Allister; Cape du Valet Veinard; Palmes Trithons; Dofus des Glaces; Dofus Ocre; Equilibriste majeur; Dévastateur Air majeur; Cascadeur majeur; Saccageur Air majeur; Blérodoudou</t>
        </is>
      </c>
    </row>
    <row r="4944">
      <c r="A4944" t="inlineStr">
        <is>
          <t>air cc</t>
        </is>
      </c>
      <c r="B4944">
        <f>HYPERLINK("https://www.dofusbook.net/fr/equipement/4294040-air-cc/objets", "link")</f>
        <v/>
      </c>
      <c r="C4944" t="n">
        <v>6</v>
      </c>
      <c r="D4944" t="inlineStr">
        <is>
          <t>Plume de Buhorado; Amulette du Strigide; Anneau d'Allister; Anneau de Padgref; Quatre-feuilles; Ceinture du Strigide; Coiffe de Padgref; Cape Indescriptible; Getas de Padgref; Dofus Turquoise; Dofus Ébène; Dofus Pourpre; Dofus des Glaces; Dofus Ocre; Saccageur Air majeur; Pioute jaune</t>
        </is>
      </c>
    </row>
    <row r="4945">
      <c r="A4945" t="inlineStr">
        <is>
          <t>2.49 air ceinture</t>
        </is>
      </c>
      <c r="B4945">
        <f>HYPERLINK("https://www.dofusbook.net/fr/equipement/4289840-2-49-air-ceinture/objets", "link")</f>
        <v/>
      </c>
      <c r="C4945" t="n">
        <v>3</v>
      </c>
      <c r="D4945" t="inlineStr">
        <is>
          <t>Plume de Buhorado; Collier du Valet Veinard; Gant du Valet Veinard; Anneau d'Allister; Bouclier du Stalak; Ceinture Lupine; Couronne d'Allister; Cape Indescriptible; Bottes d'Allister; Dofus Ocre; Dofus Pourpre; Dofus Ivoire; Dofus des Glaces; Dofus Ébène; Robuste majeur; Blérodoudou</t>
        </is>
      </c>
    </row>
    <row r="4946">
      <c r="A4946" t="inlineStr">
        <is>
          <t>air 12/6 ceinture</t>
        </is>
      </c>
      <c r="B4946">
        <f>HYPERLINK("https://www.dofusbook.net/fr/equipement/3605360-air-12-6-ceinture/objets", "link")</f>
        <v/>
      </c>
      <c r="C4946" t="n">
        <v>6</v>
      </c>
      <c r="D4946" t="inlineStr">
        <is>
          <t>Pelle de la Cour Sombre; Collier du Valet Veinard; Gant du Valet Veinard; Anneau d'Allister; Bouclier du Stalak; Ceinture Lupine; Couronne d'Allister; Cape du Valet Veinard; Bottes d'Allister; Dofus Ocre; Dofus Pourpre; Dokoko; Dofus Abyssal; Dofus Ivoire; Voyageur; Dragodinde Ebène et Ivoire</t>
        </is>
      </c>
    </row>
    <row r="4947">
      <c r="A4947" t="inlineStr">
        <is>
          <t>air/feu</t>
        </is>
      </c>
      <c r="B4947">
        <f>HYPERLINK("https://www.dofusbook.net/fr/equipement/4252603-air-feu/objets", "link")</f>
        <v/>
      </c>
      <c r="C4947" t="n">
        <v>7</v>
      </c>
      <c r="D4947" t="inlineStr">
        <is>
          <t>Arc Volkorne; Amulette Volkorne; Anneau Volkorne; Anneau de Padgref; Quatre-feuilles; Ceinture du Strigide; Casque Volkorne; Cape de Jahash Jurgen; Bottes du Strigide; Dofus Pourpre; Dofus Ébène; Dolmanax; Dofus Turquoise; Dofus Ocre; Dofus des Glaces; Sakochère</t>
        </is>
      </c>
    </row>
    <row r="4948">
      <c r="A4948" t="inlineStr">
        <is>
          <t>stri volk frizz 11/6</t>
        </is>
      </c>
      <c r="B4948">
        <f>HYPERLINK("https://www.dofusbook.net/fr/equipement/3651470-stri-volk-frizz-11-6/objets", "link")</f>
        <v/>
      </c>
      <c r="C4948" t="n">
        <v>12</v>
      </c>
      <c r="D4948" t="inlineStr">
        <is>
          <t>Arc du Chalœil; Amulette du Strigide; Alliance de Missiz Frizz; Anneau Volkorne; Quatre-feuilles; Ceinture Volkorne; Casque de Missiz Frizz; Cape au Logis; Bottes du Strigide; Dofus Pourpre; Dofus Ébène; Dofus Ocre; Dofus des Glaces; Dofus Turquoise; Forcené majeur; Sakochère</t>
        </is>
      </c>
    </row>
    <row r="4949">
      <c r="A4949" t="inlineStr">
        <is>
          <t>eau cc 11pa</t>
        </is>
      </c>
      <c r="B4949">
        <f>HYPERLINK("https://www.dofusbook.net/fr/equipement/3512406-eau-cc-11pa-/objets", "link")</f>
        <v/>
      </c>
      <c r="C4949" t="n">
        <v>13</v>
      </c>
      <c r="D4949" t="inlineStr">
        <is>
          <t>Dagoulinantes; Amulette de Shokkoth; Anneau Volkorne; Alliance Gloursonne; Quatre-feuilles; Ceinture Volkorne; Kidibonnet; Cape de Jahash Jurgen; Bottes Voldelor; Dofus Turquoise; Dofus Pourpre; Dofus Abyssal; Dofus Ocre; Nomade; Chanceux majeur; Pioute bleu</t>
        </is>
      </c>
    </row>
    <row r="4950">
      <c r="A4950" t="inlineStr">
        <is>
          <t>eau/air elio</t>
        </is>
      </c>
      <c r="B4950">
        <f>HYPERLINK("https://www.dofusbook.net/fr/equipement/4209371-eau-air-elio/objets", "link")</f>
        <v/>
      </c>
      <c r="C4950" t="n">
        <v>4</v>
      </c>
      <c r="D4950" t="inlineStr">
        <is>
          <t>Arc de Koutoulou; Amulette du Strigide; Bracelet du Piloztère; Anneau Volkorne; Quatre-feuilles; Ceinture du Strigide; Casque Volkorne; Cape de Jahash Jurgen; Bottes du Strigide; Dofus Pourpre; Dofus Vulbis; Dofus Ocre; Dofus des Glaces; Dofus Turquoise; Dofus Ébène; Kokulte</t>
        </is>
      </c>
    </row>
    <row r="4951">
      <c r="A4951" t="inlineStr">
        <is>
          <t>distance elio 2</t>
        </is>
      </c>
      <c r="B4951">
        <f>HYPERLINK("https://www.dofusbook.net/fr/equipement/4202014-distance-elio-2/objets", "link")</f>
        <v/>
      </c>
      <c r="C4951" t="n">
        <v>11</v>
      </c>
      <c r="D4951" t="inlineStr">
        <is>
          <t>Sabres d'Atcham; Amulette du Strigide; Anneau Volkorne; Bracelet du Piloztère; Quatre-feuilles; Ceinture du Strigide; Casque Volkorne; Cape d'Atcham; Bottes du Strigide; Dofus Ocre; Dofus des Glaces; Dofus Turquoise; Dofus Ébène; Dofus Pourpre; Dofus Abyssal; Sakochère</t>
        </is>
      </c>
    </row>
    <row r="4952">
      <c r="A4952" t="inlineStr">
        <is>
          <t>feu pvm</t>
        </is>
      </c>
      <c r="B4952">
        <f>HYPERLINK("https://www.dofusbook.net/fr/equipement/4250662-feu-pvm/objets", "link")</f>
        <v/>
      </c>
      <c r="C4952" t="n">
        <v>9</v>
      </c>
      <c r="D4952" t="inlineStr">
        <is>
          <t>Arc corrompu; Amulette Volkorne; Anneau de Padgref; Anneauræus; Quatre-feuilles; Ceinture Volkorne; Heaume Oplate; Cape de la Dame du Hasard; Bottes Innommables; Dofus Ébène; Dofus Pourpre; Dofus Ocre; Dofus Turquoise; Érudit majeur; Nomade; Pioute rouge</t>
        </is>
      </c>
    </row>
    <row r="4953">
      <c r="A4953" t="inlineStr">
        <is>
          <t>301 tac</t>
        </is>
      </c>
      <c r="B4953">
        <f>HYPERLINK("https://www.dofusbook.net/fr/equipement/4256260-301-tac/objets", "link")</f>
        <v/>
      </c>
      <c r="C4953" t="n">
        <v>15</v>
      </c>
      <c r="D4953" t="inlineStr">
        <is>
          <t>Rouleau à Pâtisserie d'Aermyne; Collier Rophante; Alliance Gloursonne; Bague Trithon; Bouclier précieux; Ceinture de Kongoku; Masque d'Anerice; Cape d'Anerice; Pataugastrique; Obstructeur; Tacleur majeur; Bloqueur; Bloqueur majeur; Obstructeur majeur; Remueur; Givrefoux</t>
        </is>
      </c>
    </row>
    <row r="4954">
      <c r="A4954" t="inlineStr">
        <is>
          <t>air ceinture roxx</t>
        </is>
      </c>
      <c r="B4954">
        <f>HYPERLINK("https://www.dofusbook.net/fr/equipement/2409586-air-ceinture-roxx/objets", "link")</f>
        <v/>
      </c>
      <c r="C4954" t="n">
        <v>7</v>
      </c>
      <c r="D4954" t="inlineStr">
        <is>
          <t>Épée du Granduk; Collier du Valet Veinard; Gant du Valet Veinard; Anneau d'Allister; Bouclier du Stalak; Ceinture Billonnante; Couronne d'Allister; Cape du Valet Veinard; Bottes d'Allister; Dofus Abyssal; Dofus des Glaces; Dofus Ocre; Dofus Pourpre; Voyageur; Acrobate majeur; Blérodoudou</t>
        </is>
      </c>
    </row>
    <row r="4955">
      <c r="A4955" t="inlineStr">
        <is>
          <t>arc volk</t>
        </is>
      </c>
      <c r="B4955">
        <f>HYPERLINK("https://www.dofusbook.net/fr/equipement/4242394-arc-volk/objets", "link")</f>
        <v/>
      </c>
      <c r="C4955" t="n">
        <v>7</v>
      </c>
      <c r="D4955" t="inlineStr">
        <is>
          <t>Arc Volkorne; Amulette Volkorne; Anneau de Padgref; Anneau Volkorne; Quatre-feuilles; Ceinture Volkorne; Coiffe de Padgref; Chevelure de Tal Kasha; Getas de Padgref; Dofus Ocre; Dofus Pourpre; Dolmanax; Dofus Abyssal; Dofus Turquoise; Dofus des Glaces; Sakochère</t>
        </is>
      </c>
    </row>
    <row r="4956">
      <c r="A4956" t="inlineStr">
        <is>
          <t>jahash</t>
        </is>
      </c>
      <c r="B4956">
        <f>HYPERLINK("https://www.dofusbook.net/fr/equipement/4250628-jahash/objets", "link")</f>
        <v/>
      </c>
      <c r="C4956" t="n">
        <v>6</v>
      </c>
      <c r="D4956" t="inlineStr">
        <is>
          <t>Bâton Beau; Amulette du Strigide; Anneau Volkorne; Bracelet du Piloztère; Bouclier du Stalak; Sangle Ouare; Casque Volkorne; Cape de Jahash Jurgen; Bottes du Strigide; Dofus des Glaces; Dofus Ocre; Dofus Pourpre; Dofus Turquoise; Dofus Ébène; Robuste majeur; Sakochère</t>
        </is>
      </c>
    </row>
    <row r="4957">
      <c r="A4957" t="inlineStr">
        <is>
          <t>multi</t>
        </is>
      </c>
      <c r="B4957">
        <f>HYPERLINK("https://www.dofusbook.net/fr/equipement/4019106-multi/objets", "link")</f>
        <v/>
      </c>
      <c r="C4957" t="n">
        <v>11</v>
      </c>
      <c r="D4957" t="inlineStr">
        <is>
          <t>Sabres d'Atcham; Amulette du Strigide; Bague Trithon; Anneau Toriété; Bouclier du Stalak; Ceinture du Strigide; Masque Trithon; Cape d'Atcham; Bottes du Strigide; Dofus Pourpre; Dofus Turquoise; Dofus des Glaces; Dofus Ébène; Dofus Ocre; Taquin majeur; Chacha Angora</t>
        </is>
      </c>
    </row>
    <row r="4958">
      <c r="A4958" t="inlineStr">
        <is>
          <t>glacecanon</t>
        </is>
      </c>
      <c r="B4958">
        <f>HYPERLINK("https://www.dofusbook.net/fr/equipement/3993037-glacecanon/objets", "link")</f>
        <v/>
      </c>
      <c r="C4958" t="n">
        <v>9</v>
      </c>
      <c r="D4958" t="inlineStr">
        <is>
          <t>Sceptre du Roi Joueur; Amulette Volkorne; Alliance Gloursonne; Anneau Volkorne; Bouclier du Stalak; Sangle Ouare; Némès de Tal Kasha; Chevelure de Tal Kasha; Sandales de Tal Kasha; Dofus Pourpre; Dofus Ocre; Dofus Ébène; Dofus des Glaces; Robuste majeur; Taquin majeur; Pioute bleu</t>
        </is>
      </c>
    </row>
    <row r="4959">
      <c r="A4959" t="inlineStr">
        <is>
          <t>nordes</t>
        </is>
      </c>
      <c r="B4959">
        <f>HYPERLINK("https://www.dofusbook.net/fr/equipement/4247803-nordes/objets", "link")</f>
        <v/>
      </c>
      <c r="C4959" t="n">
        <v>5</v>
      </c>
      <c r="D4959" t="inlineStr">
        <is>
          <t>Bêche Asse; Torquistik; Goulano; Baguistik; Jadis; Ceinture de la Reine des Voleurs; Masque de Koutoulou; Cape au Logis; Goulbottes; Dofus Argenté; Dokoko; Dofus Pourpre; Dofus Émeraude; Dofus Ocre; Dofus Ivoire; Wabbit</t>
        </is>
      </c>
    </row>
    <row r="4960">
      <c r="A4960" t="inlineStr">
        <is>
          <t>crocobur 2</t>
        </is>
      </c>
      <c r="B4960">
        <f>HYPERLINK("https://www.dofusbook.net/fr/equipement/4246346-crocobur-2/objets", "link")</f>
        <v/>
      </c>
      <c r="C4960" t="n">
        <v>3</v>
      </c>
      <c r="D4960" t="inlineStr">
        <is>
          <t>Crocobur; Amulette du Cœur Saignant; Anneau Volkorne; Alliance de Missiz Frizz; Bouclier du Captain Amakna; Ceinture Volkorne; Casque de Missiz Frizz; Cape du Cœur Saignant; Bottes du Cœur Saignant; Dofus Abyssal; Dofus Pourpre; Dofus des Glaces; Dofus Ocre; Dofus Turquoise; Forcené majeur; Muldo Prune et Emeraude</t>
        </is>
      </c>
    </row>
    <row r="4961">
      <c r="A4961" t="inlineStr">
        <is>
          <t>air do cri</t>
        </is>
      </c>
      <c r="B4961">
        <f>HYPERLINK("https://www.dofusbook.net/fr/equipement/4242402-air-do-cri/objets", "link")</f>
        <v/>
      </c>
      <c r="C4961" t="n">
        <v>2</v>
      </c>
      <c r="D4961" t="inlineStr">
        <is>
          <t>Plume de Buhorado; Amulette du Strigide; Anneau d'Allister; Anneau de Padgref; Quatre-feuilles; Ceinture du Strigide; Coiffe de Padgref; Chevelure de Tal Kasha; Getas de Padgref; Dofus des Glaces; Dofus Ocre; Dofus Pourpre; Dofus Ébène; Dofus Abyssal; Dofus Turquoise; Kokulte</t>
        </is>
      </c>
    </row>
    <row r="4962">
      <c r="A4962" t="inlineStr">
        <is>
          <t>air do pou</t>
        </is>
      </c>
      <c r="B4962">
        <f>HYPERLINK("https://www.dofusbook.net/fr/equipement/4037802-air-do-pou/objets", "link")</f>
        <v/>
      </c>
      <c r="C4962" t="n">
        <v>10</v>
      </c>
      <c r="D4962" t="inlineStr">
        <is>
          <t>Plume de Buhorado; Amibou; Bague Trithon; Alliance Gloursonne; Bouclier du Stalak; Menoture; Casque Dragoeuf; Capibou; Palmes Trithons; Dofus Ocre; Dofus Ivoire; Dofus Pourpre; Cascadeur majeur; Bousculeur majeur; Culbuteur majeur; Tofoudre</t>
        </is>
      </c>
    </row>
    <row r="4963">
      <c r="A4963" t="inlineStr">
        <is>
          <t>eau cc</t>
        </is>
      </c>
      <c r="B4963">
        <f>HYPERLINK("https://www.dofusbook.net/fr/equipement/4242426-eau-cc/objets", "link")</f>
        <v/>
      </c>
      <c r="C4963" t="n">
        <v>8</v>
      </c>
      <c r="D4963" t="inlineStr">
        <is>
          <t>Sceptre du Roi Joueur; Collier de la Dame du Hasard; Anneau Volkorne; Alliance Gloursonne; Bouclier du Stalak; Sangle Ouare; Casque Volkorne; Cape de la Dame du Hasard; Bottes de la Dame du Hasard; Dofus Pourpre; Dofus Turquoise; Dofus Ébène; Dofus Ocre; Dofus des Glaces; Robuste majeur; Pioute bleu</t>
        </is>
      </c>
    </row>
    <row r="4964">
      <c r="A4964" t="inlineStr">
        <is>
          <t>PVM eau cc</t>
        </is>
      </c>
      <c r="B4964">
        <f>HYPERLINK("https://www.dofusbook.net/fr/equipement/2499508-pvm-eau-cc/objets", "link")</f>
        <v/>
      </c>
      <c r="C4964" t="n">
        <v>9</v>
      </c>
      <c r="D4964" t="inlineStr">
        <is>
          <t>Sceptre du Roi Joueur; Amulette du Strigide; Anneau Volkorne; Alliance Gloursonne; Bouclier du Stalak; Sangle Ouare; Kidibonnet; Chevelure de Tal Kasha; Bottes du Strigide; Dofus Pourpre; Dofus Turquoise; Dofus Ébène; Dofus Ocre; Chanceux majeur; Vigoureux majeur; Pioute bleu</t>
        </is>
      </c>
    </row>
    <row r="4965">
      <c r="A4965" t="inlineStr">
        <is>
          <t>eau ret</t>
        </is>
      </c>
      <c r="B4965">
        <f>HYPERLINK("https://www.dofusbook.net/fr/equipement/4240131-eau-ret/objets", "link")</f>
        <v/>
      </c>
      <c r="C4965" t="n">
        <v>19</v>
      </c>
      <c r="D4965" t="inlineStr">
        <is>
          <t>Baguette Hique; Amulette de Shokkoth; Pikano; Anneau Volkorne; Bouclier cubiste; Ceinture Volkorne; Kidibonnet; Cape de la Dame du Hasard; Bottes de Meno; Dofus Ocre; Dofus des Glaces; Chanceux majeur; Temporiseur majeur; Entraveur majeur; Nomade; Léopardo</t>
        </is>
      </c>
    </row>
    <row r="4966">
      <c r="A4966" t="inlineStr">
        <is>
          <t>feu roxx</t>
        </is>
      </c>
      <c r="B4966">
        <f>HYPERLINK("https://www.dofusbook.net/fr/equipement/3863982-feu-roxx/objets", "link")</f>
        <v/>
      </c>
      <c r="C4966" t="n">
        <v>6</v>
      </c>
      <c r="D4966" t="inlineStr">
        <is>
          <t>Arc corrompu; Amulette Volkorne; Anneauræus; Anneau Volkorne; Quatre-feuilles; Ceinture Séculaire; Heaume Oplate; Cape de Diondin; Bottes de la Dame du Hasard; Dofus Pourpre; Dofus Turquoise; Dofus Ébène; Érudit majeur; Nomade; Vigoureux majeur; Pioute rouge</t>
        </is>
      </c>
    </row>
    <row r="4967">
      <c r="A4967" t="inlineStr">
        <is>
          <t>full feu dist</t>
        </is>
      </c>
      <c r="B4967">
        <f>HYPERLINK("https://www.dofusbook.net/fr/equipement/4239975-full-feu-dist/objets", "link")</f>
        <v/>
      </c>
      <c r="C4967" t="n">
        <v>3</v>
      </c>
      <c r="D4967" t="inlineStr">
        <is>
          <t>Arc corrompu; Pendentif affamé; Anneauræus; Anneauræus; Bouclier du Cycloïde; Ceinture Séculaire; Coiffe Séculaire; Cape de Diondin; Bottes Innommables; Dofus Pourpre; Remueur; Nomade; Guérisseur majeur; Érudit majeur; Astucieux majeur; Dragodinde Orchidée et Rousse</t>
        </is>
      </c>
    </row>
    <row r="4968">
      <c r="A4968" t="inlineStr">
        <is>
          <t>full feu cac</t>
        </is>
      </c>
      <c r="B4968">
        <f>HYPERLINK("https://www.dofusbook.net/fr/equipement/3026690-full-feu-cac/objets", "link")</f>
        <v/>
      </c>
      <c r="C4968" t="n">
        <v>15</v>
      </c>
      <c r="D4968" t="inlineStr">
        <is>
          <t>Plumeau Bil; Pendentif affamé; Anneauræus; Anneau Rifique; Cadran d'Eau; Ceinture Séculaire; Coiffe Séculaire; Cape de Diondin; Bottes Innommables; Dofus Pourpre; Remueur; Nomade; Guérisseur majeur; Érudit majeur; Astucieux majeur; Dragodinde Orchidée et Rousse</t>
        </is>
      </c>
    </row>
    <row r="4969">
      <c r="A4969" t="inlineStr">
        <is>
          <t>2.49 - 3</t>
        </is>
      </c>
      <c r="B4969">
        <f>HYPERLINK("https://www.dofusbook.net/fr/equipement/4235531-2-49---3/objets", "link")</f>
        <v/>
      </c>
      <c r="C4969" t="n">
        <v>4</v>
      </c>
      <c r="D4969" t="inlineStr">
        <is>
          <t>Bâton Beau; Amulette du Strigide; Bracelet du Piloztère; Anneau Volkorne; Bouclier du Stalak; Ceinture Volkorne; Diadème de Ganymède; Cape de Jahash Jurgen; Bottes du Strigide; Dofus Pourpre; Dofus Vulbis; Dofus Ébène; Dofus Turquoise; Dofus Ocre; Robuste majeur; Chacha Angora</t>
        </is>
      </c>
    </row>
    <row r="4970">
      <c r="A4970" t="inlineStr">
        <is>
          <t>multi strivolkatch</t>
        </is>
      </c>
      <c r="B4970">
        <f>HYPERLINK("https://www.dofusbook.net/fr/equipement/4022190-multi-strivolkatch/objets", "link")</f>
        <v/>
      </c>
      <c r="C4970" t="n">
        <v>75</v>
      </c>
      <c r="D4970" t="inlineStr">
        <is>
          <t>Sabres d'Atcham; Amulette Volkorne; Bracelet du Piloztère; Anneau Volkorne; Bouclier du Stalak; Ceinture du Strigide; Casque Volkorne; Cape d'Atcham; Bottes du Strigide; Dofus Ébène; Dofus Ocre; Dofus Pourpre; Dofus Turquoise; Dofus des Glaces; Robuste majeur; Sakochère</t>
        </is>
      </c>
    </row>
    <row r="4971">
      <c r="A4971" t="inlineStr">
        <is>
          <t>eau/ret</t>
        </is>
      </c>
      <c r="B4971">
        <f>HYPERLINK("https://www.dofusbook.net/fr/equipement/4088221-eau-ret/objets", "link")</f>
        <v/>
      </c>
      <c r="C4971" t="n">
        <v>21</v>
      </c>
      <c r="D4971" t="inlineStr">
        <is>
          <t>Baguette Hique; Amulette de Shokkoth; Anneau Toriété; Anneau Volkorne; Bouclier cubiste; Ceinture Volkorne; Capuche de l'Œil Attentif; Cape de Mantaze; Bottes Honyme; Dofus Abyssal; Dofus Ocre; Dofus des Glaces; Chanceux majeur; Temporiseur majeur; Entraveur majeur; Léopardo</t>
        </is>
      </c>
    </row>
    <row r="4972">
      <c r="A4972" t="inlineStr">
        <is>
          <t>Full ret opti 2</t>
        </is>
      </c>
      <c r="B4972">
        <f>HYPERLINK("https://www.dofusbook.net/fr/equipement/3463276-full-ret-opti-2/objets", "link")</f>
        <v/>
      </c>
      <c r="C4972" t="n">
        <v>6</v>
      </c>
      <c r="D4972" t="inlineStr">
        <is>
          <t>Marteau R'ture; Amulette du Glourséleste; Anneau Tamie; Anneau Tamie; Bouclier du serrurier; Ceinture Instable; Capuche de l'Œil Putride; Cape de l'Œil Putride; Bottes du Cul Botté; Dofus Abyssal; Dofus Ocre; Ralentisseur majeur; Temporiseur; Temporiseur majeur; Entraveur majeur; Volkorne Turquoise</t>
        </is>
      </c>
    </row>
    <row r="4973">
      <c r="A4973" t="inlineStr">
        <is>
          <t>distance elio 3</t>
        </is>
      </c>
      <c r="B4973">
        <f>HYPERLINK("https://www.dofusbook.net/fr/equipement/4209335-distance-elio-3/objets", "link")</f>
        <v/>
      </c>
      <c r="C4973" t="n">
        <v>4</v>
      </c>
      <c r="D4973" t="inlineStr">
        <is>
          <t>Sabres d'Atcham; Amulette du Strigide; Bracelet du Piloztère; Anneau Volkorne; Quatre-feuilles; Ceinture du Strigide; Casque Volkorne; Cape d'Atcham; Sandales  d'Atcham; Dofus Abyssal; Dofus Ocre; Dofus des Glaces; Dofus Turquoise; Dofus Ébène; Dofus Pourpre; Sakochère</t>
        </is>
      </c>
    </row>
    <row r="4974">
      <c r="A4974" t="inlineStr">
        <is>
          <t>arc volk</t>
        </is>
      </c>
      <c r="B4974">
        <f>HYPERLINK("https://www.dofusbook.net/fr/equipement/3454156-arc-volk/objets", "link")</f>
        <v/>
      </c>
      <c r="C4974" t="n">
        <v>8</v>
      </c>
      <c r="D4974" t="inlineStr">
        <is>
          <t>Arc Volkorne; Amulette du Strigide; Anneau Volkorne; Alliance de Missiz Frizz; Quatre-feuilles; Ceinture Volkorne; Casque de Missiz Frizz; Cape au Logis; Bottes du Strigide; Dofus Ébène; Dolmanax; Dofus Turquoise; Dofus des Glaces; Dofus Ocre; Dofus Pourpre; Sakochère</t>
        </is>
      </c>
    </row>
    <row r="4975">
      <c r="A4975" t="inlineStr">
        <is>
          <t>terre/feu opti 55cc</t>
        </is>
      </c>
      <c r="B4975">
        <f>HYPERLINK("https://www.dofusbook.net/fr/equipement/4209224-terre-feu-opti-55cc/objets", "link")</f>
        <v/>
      </c>
      <c r="C4975" t="n">
        <v>7</v>
      </c>
      <c r="D4975" t="inlineStr">
        <is>
          <t>Hache du Chalœil; Amulette du Strigide; Bague Gloursonne; Anneau Volkorne; Quatre-feuilles; Ceinture Volkorne; Le Dorado; Cape de Jahash Jurgen; Bottes du Strigide; Dofus Ocre; Dofus Turquoise; Dofus Vulbis; Dofus des Glaces; Dofus Ébène; Dofus Pourpre; Kokulte</t>
        </is>
      </c>
    </row>
    <row r="4976">
      <c r="A4976" t="inlineStr">
        <is>
          <t>air 2.49</t>
        </is>
      </c>
      <c r="B4976">
        <f>HYPERLINK("https://www.dofusbook.net/fr/equipement/421610-air-2-49/objets", "link")</f>
        <v/>
      </c>
      <c r="C4976" t="n">
        <v>14</v>
      </c>
      <c r="D4976" t="inlineStr">
        <is>
          <t>Plume de Buhorado; Collier du Valet Veinard; Anneau Volkorne; Gant du Valet Veinard; Bouclier du Stalak; Menoture; Casque Volkorne; Cape de Jahash Jurgen; Palmes Trithons; Dofus Pourpre; Dofus Abyssal; Dofus Ébène; Dofus Ocre; Dofus des Glaces; Equilibriste majeur; Blérodoudou</t>
        </is>
      </c>
    </row>
    <row r="4977">
      <c r="A4977" t="inlineStr">
        <is>
          <t>dorado kokulte</t>
        </is>
      </c>
      <c r="B4977">
        <f>HYPERLINK("https://www.dofusbook.net/fr/equipement/4209187-dorado-kokulte/objets", "link")</f>
        <v/>
      </c>
      <c r="C4977" t="n">
        <v>4</v>
      </c>
      <c r="D4977" t="inlineStr">
        <is>
          <t>Hache du Chalœil; Amulette du Strigide; Bague Gloursonne; Anneau Volkorne; Quatre-feuilles; Ceinture Volkorne; Le Dorado; Cape au Logis; Bottes du Strigide; Dolmanax; Dofus des Glaces; Dofus Ébène; Dofus Pourpre; Dofus Ocre; Dofus Turquoise; Kokulte</t>
        </is>
      </c>
    </row>
    <row r="4978">
      <c r="A4978" t="inlineStr">
        <is>
          <t>crocobur terre do cri</t>
        </is>
      </c>
      <c r="B4978">
        <f>HYPERLINK("https://www.dofusbook.net/fr/equipement/4207776-crocobur-terre-do-cri/objets", "link")</f>
        <v/>
      </c>
      <c r="C4978" t="n">
        <v>7</v>
      </c>
      <c r="D4978" t="inlineStr">
        <is>
          <t>Crocobur; Amulette du Strigide; Alliance de Missiz Frizz; Anneau Volkorne; Bouclier du Captain Amakna; Ceinture Volkorne; Casque de Missiz Frizz; Cape au Logis; Bottes du Strigide; Dofus Ocre; Dofus Turquoise; Dofus Ébène; Dofus Pourpre; Dofus des Glaces; Forcené majeur; Sakochère</t>
        </is>
      </c>
    </row>
    <row r="4979">
      <c r="A4979" t="inlineStr">
        <is>
          <t>feu hetype 2</t>
        </is>
      </c>
      <c r="B4979">
        <f>HYPERLINK("https://www.dofusbook.net/fr/equipement/4134511-feu-hetype-2/objets", "link")</f>
        <v/>
      </c>
      <c r="C4979" t="n">
        <v>17</v>
      </c>
      <c r="D4979" t="inlineStr">
        <is>
          <t>Arc Hétype; Amulette Volcanique; Anneau Tamie; Anneau Tamie; Bouclier cubiste; Ceinture de Kongoku; Casquette de Meno; Cape de Diondin; Bottes de Meno; Dofus Abyssal; Ralentisseur majeur; Nomade; Temporiseur majeur; Érudit majeur; Entraveur majeur; Volkorne Turquoise et Orchidée</t>
        </is>
      </c>
    </row>
    <row r="4980">
      <c r="A4980" t="inlineStr">
        <is>
          <t>feu ret hetype</t>
        </is>
      </c>
      <c r="B4980">
        <f>HYPERLINK("https://www.dofusbook.net/fr/equipement/4128955-feu-ret-hetype/objets", "link")</f>
        <v/>
      </c>
      <c r="C4980" t="n">
        <v>6</v>
      </c>
      <c r="D4980" t="inlineStr">
        <is>
          <t>Arc Hétype; Amulette Volcanique; Anneau Tamie; Anneau Tamie; Bouclier cubiste; Ceinture Séculaire; Capuche de l'Œil Putride; Cape de l'Œil Putride; Pantoufles Émar; Dofus Abyssal; Dofus Ocre; Érudit majeur; Nomade; Entraveur majeur; Temporiseur majeur; Gwo Tofu Ventripotent</t>
        </is>
      </c>
    </row>
    <row r="4981">
      <c r="A4981" t="inlineStr">
        <is>
          <t>tank fami</t>
        </is>
      </c>
      <c r="B4981">
        <f>HYPERLINK("https://www.dofusbook.net/fr/equipement/3831898-tank-fami/objets", "link")</f>
        <v/>
      </c>
      <c r="C4981" t="n">
        <v>8</v>
      </c>
      <c r="D4981" t="inlineStr">
        <is>
          <t>Rouleau à Pâtisserie d'Aermyne; Collier Rophante; Bague Trithon; Alliance Gloursonne; Bouclier précieux; Ceinture de Kongoku; Masque d'Anerice; Cape d'Anerice; Pataugastrique; Dofus Abyssal; Dofus Émeraude; Obstructeur majeur; Remueur; Carapace Neutre majeur; Miraculé majeur; Givrefoux</t>
        </is>
      </c>
    </row>
    <row r="4982">
      <c r="A4982" t="inlineStr">
        <is>
          <t>air ret pm</t>
        </is>
      </c>
      <c r="B4982">
        <f>HYPERLINK("https://www.dofusbook.net/fr/equipement/2726950-air-ret-pm/objets", "link")</f>
        <v/>
      </c>
      <c r="C4982" t="n">
        <v>6</v>
      </c>
      <c r="D4982" t="inlineStr">
        <is>
          <t>Manthache; Collier du Valet Veinard; Gant du Valet Veinard; Alliance Gloursonne; Bouclier du Stalak; Menoture; Capuche de l'Œil Putride; Cape Indescriptible; Palmes Trithons; Dofus Abyssal; Dofus Ocre; Entraveur majeur; Temporiseur majeur; Cascadeur majeur; Nomade; Léopardo</t>
        </is>
      </c>
    </row>
    <row r="4983">
      <c r="A4983" t="inlineStr">
        <is>
          <t>air tank</t>
        </is>
      </c>
      <c r="B4983">
        <f>HYPERLINK("https://www.dofusbook.net/fr/equipement/2532722-air-tank/objets", "link")</f>
        <v/>
      </c>
      <c r="C4983" t="n">
        <v>3</v>
      </c>
      <c r="D4983" t="inlineStr">
        <is>
          <t>L'Épée Nice; Collier du Valet Veinard; Gant du Valet Veinard; Alliance Gloursonne; Bouclier à hélice; Ceinture Billonnante; Masque du Granduk; Cape Indescriptible; Palmes Trithons; Dofus Abyssal; Dofus Ocre; Dofus Pourpre; Dofus Ivoire; Miraculé majeur; Remueur; Dragodinde Ebène et Ivoire</t>
        </is>
      </c>
    </row>
    <row r="4984">
      <c r="A4984" t="inlineStr">
        <is>
          <t>ret/heal</t>
        </is>
      </c>
      <c r="B4984">
        <f>HYPERLINK("https://www.dofusbook.net/fr/equipement/150748-ret-heal/objets", "link")</f>
        <v/>
      </c>
      <c r="C4984" t="n">
        <v>10</v>
      </c>
      <c r="D4984" t="inlineStr">
        <is>
          <t>Baguette de Malléfisk; Amulette Volcanique; Anneau Tamie; Anneau Tamie; Bouclier du serrurier; Ceinture de Kongoku; Casquette de Meno; Cape de Diondin; Bottes de Meno; Dofus Ocre; Entraveur majeur; Ralentisseur majeur; Temporiseur majeur; Guérisseur majeur; Nomade; Médugivre</t>
        </is>
      </c>
    </row>
    <row r="4985">
      <c r="A4985" t="inlineStr">
        <is>
          <t>stri rj</t>
        </is>
      </c>
      <c r="B4985">
        <f>HYPERLINK("https://www.dofusbook.net/fr/equipement/3656521-stri-rj/objets", "link")</f>
        <v/>
      </c>
      <c r="C4985" t="n">
        <v>3</v>
      </c>
      <c r="D4985" t="inlineStr">
        <is>
          <t>Bâton Beau; Amulette du Strigide; Chevalière du Roi Joueur; Bague Gloursonne; Quatre-feuilles; Ceinture du Strigide; Couronne du Roi Joueur; Cape au Logis; Bottes du Roi Joueur; Dofus Ocre; Dofus des Glaces; Dofus Turquoise; Dofus Abyssal; Dofus Pourpre; Dofus Ivoire; Chacha Angora</t>
        </is>
      </c>
    </row>
    <row r="4986">
      <c r="A4986" t="inlineStr">
        <is>
          <t>eau roxx</t>
        </is>
      </c>
      <c r="B4986">
        <f>HYPERLINK("https://www.dofusbook.net/fr/equipement/4106193-eau-roxx/objets", "link")</f>
        <v/>
      </c>
      <c r="C4986" t="n">
        <v>7</v>
      </c>
      <c r="D4986" t="inlineStr">
        <is>
          <t>Baguette Héroclite; Amulette de Shokkoth; Anneau Volkorne; Alliance Gloursonne; Bouclier du Stalak; Ceinture Volkorne; Capuche de l'Œil Attentif; Voilamibe; Bottes Honyme; Dofus Ocre; Dofus des Glaces; Dofus Pourpre; Chanceux majeur; Vigoureux majeur; Dragodinde Indigo et Ivoire</t>
        </is>
      </c>
    </row>
    <row r="4987">
      <c r="A4987" t="inlineStr">
        <is>
          <t>Tank ret pm</t>
        </is>
      </c>
      <c r="B4987">
        <f>HYPERLINK("https://www.dofusbook.net/fr/equipement/4105568-tank-ret-pm/objets", "link")</f>
        <v/>
      </c>
      <c r="C4987" t="n">
        <v>6</v>
      </c>
      <c r="D4987" t="inlineStr">
        <is>
          <t>Rouleau à Pâtisserie d'Aermyne; Collier Rophante; Bague Trithon; Alliance Gloursonne; Bouclier du serrurier; Ceinture de Kongoku; Boucle d'oreille de Kongoku; Cape d'Anerice; Pataugastrique; Dofus Abyssal; Dofus Ocre; Obstructeur majeur; Temporiseur majeur; Entraveur majeur; Miraculé majeur; Blokus</t>
        </is>
      </c>
    </row>
    <row r="4988">
      <c r="A4988" t="inlineStr">
        <is>
          <t>PVM opti 2.47</t>
        </is>
      </c>
      <c r="B4988">
        <f>HYPERLINK("https://www.dofusbook.net/fr/equipement/3455157-pvm-opti-2-47/objets", "link")</f>
        <v/>
      </c>
      <c r="C4988" t="n">
        <v>12</v>
      </c>
      <c r="D4988" t="inlineStr">
        <is>
          <t>Arc Volkorne; Amulette Volkorne; Anneau de Padgref; Anneau Volkorne; Quatre-feuilles; Ceinture Volkorne; Coiffe de Padgref; Cape Reski; Getas de Padgref; Dofus Turquoise; Dofus des Glaces; Dofus Pourpre; Dofus Nébuleux; Dolmanax; Dofus Ocre; Kokulte</t>
        </is>
      </c>
    </row>
    <row r="4989">
      <c r="A4989" t="inlineStr">
        <is>
          <t>pvm arc volk</t>
        </is>
      </c>
      <c r="B4989">
        <f>HYPERLINK("https://www.dofusbook.net/fr/equipement/3856015-pvm-arc-volk/objets", "link")</f>
        <v/>
      </c>
      <c r="C4989" t="n">
        <v>3</v>
      </c>
      <c r="D4989" t="inlineStr">
        <is>
          <t>Arc Volkorne; Amulette du Strigide; Bracelet du Piloztère; Anneau de Padgref; Quatre-feuilles; Ceinture du Strigide; Coiffe de Padgref; Cape Reski; Getas de Padgref; Dofus Abyssal; Dofus Nébuleux; Dolmanax; Dofus Ocre; Dofus Turquoise; Dofus des Glaces; Kokulte</t>
        </is>
      </c>
    </row>
    <row r="4990">
      <c r="A4990" t="inlineStr">
        <is>
          <t>terre/eau/feu cac</t>
        </is>
      </c>
      <c r="B4990">
        <f>HYPERLINK("https://www.dofusbook.net/fr/equipement/3658169-terre-eau-feu-cac/objets", "link")</f>
        <v/>
      </c>
      <c r="C4990" t="n">
        <v>7</v>
      </c>
      <c r="D4990" t="inlineStr">
        <is>
          <t>Hache du Chalœil; Amulette du Strigide; Alliance de Missiz Frizz; Bague Gloursonne; Bouclier du Captain Amakna; Ceinture du Strigide; Casque de Missiz Frizz; Dofusteuse; Bottes du Strigide; Dofus Abyssal; Dofus des Glaces; Dolmanax; Dofus Pourpre; Dofus Ocre; Dofus Turquoise; Sakochère</t>
        </is>
      </c>
    </row>
    <row r="4991">
      <c r="A4991" t="inlineStr">
        <is>
          <t>feu dist roxx</t>
        </is>
      </c>
      <c r="B4991">
        <f>HYPERLINK("https://www.dofusbook.net/fr/equipement/3789016-feu-dist-roxx/objets", "link")</f>
        <v/>
      </c>
      <c r="C4991" t="n">
        <v>8</v>
      </c>
      <c r="D4991" t="inlineStr">
        <is>
          <t>Arc corrompu; Amulette Volkorne; Anneauræus; Anneauræus; Bouclier du Stalak; Ceinture Volkorne; Heaume Oplate; Voile d'encre; Bottes Innommables; Dofus Pourpre; Dofus Ivoire; Dofus Ocre; Érudit majeur; Nomade; Vigoureux majeur; Dragodinde Ivoire et Orchidée</t>
        </is>
      </c>
    </row>
    <row r="4992">
      <c r="A4992" t="inlineStr">
        <is>
          <t>Xélor M 200</t>
        </is>
      </c>
      <c r="B4992">
        <f>HYPERLINK("https://www.dofusbook.net/fr/equipement/4047098-xelor-m-200/objets", "link")</f>
        <v/>
      </c>
      <c r="C4992" t="n">
        <v>3</v>
      </c>
      <c r="D4992" t="inlineStr">
        <is>
          <t>Hache du Chalœil; Amulette du Cœur Saignant; Alliance de Missiz Frizz; Anneau Volkorne; Bouclier du Captain Amakna; Ceinture Volkorne; Casque de Missiz Frizz; Cape du Cœur Saignant; Bottes du Cœur Saignant; Dofus Pourpre; Dofus Abyssal; Dofus des Glaces; Dofus Ivoire; Dofus Turquoise; Dofus Ocre; Sakochère</t>
        </is>
      </c>
    </row>
    <row r="4993">
      <c r="A4993" t="inlineStr">
        <is>
          <t>pvp feu eau</t>
        </is>
      </c>
      <c r="B4993">
        <f>HYPERLINK("https://www.dofusbook.net/fr/equipement/3672458-pvp-feu-eau-/objets", "link")</f>
        <v/>
      </c>
      <c r="C4993" t="n">
        <v>9</v>
      </c>
      <c r="D4993" t="inlineStr">
        <is>
          <t>Épée Brûlâme; Amulette Volkorne; Alliance Gloursonne; Anneau Volkorne; Bouclier d'Ilyzaelle; Sangle Ouare; Kidibonnet; Cape de la Dame du Hasard; Bottes de la Dame du Hasard; Dofus Ocre; Dofus des Glaces; Dofus Turquoise; Dofus Abyssal; Dofus Pourpre; Dofus Ivoire; Kokulte</t>
        </is>
      </c>
    </row>
    <row r="4994">
      <c r="A4994" t="inlineStr">
        <is>
          <t>terre pvp roxx 2</t>
        </is>
      </c>
      <c r="B4994">
        <f>HYPERLINK("https://www.dofusbook.net/fr/equipement/4040316-terre-pvp-roxx-2/objets", "link")</f>
        <v/>
      </c>
      <c r="C4994" t="n">
        <v>10</v>
      </c>
      <c r="D4994" t="inlineStr">
        <is>
          <t>Marteau R'ture; Collier de Tourthon; Anneau Chevelu; Anneau Volkorne; Bouclier d'Ilyzaelle; Ceinture Volkorne; Masque de Koutoulou; Cape au Logis; Bottes de la Cour Sombre; Dofus Ivoire; Dofus Pourpre; Dofus Turquoise; Dofus Ocre; Enragé majeur; Vigoureux majeur; Dragodinde Emeraude et Pourpre</t>
        </is>
      </c>
    </row>
    <row r="4995">
      <c r="A4995" t="inlineStr">
        <is>
          <t>multi strivolk pvp</t>
        </is>
      </c>
      <c r="B4995">
        <f>HYPERLINK("https://www.dofusbook.net/fr/equipement/4037646-multi-strivolk-pvp/objets", "link")</f>
        <v/>
      </c>
      <c r="C4995" t="n">
        <v>1</v>
      </c>
      <c r="D4995" t="inlineStr">
        <is>
          <t>Hache du Chalœil; Amulette du Strigide; Alliance Gloursonne; Anneau Volkorne; Bouclier du Stalak; Ceinture Volkorne; Le Dorado; Voile d'encre; Bottes du Strigide; Dofus Vulbis; Dofus Ivoire; Dofus Ocre; Dofus Pourpre; Dofus Turquoise; Robuste majeur; Chacha Angora</t>
        </is>
      </c>
    </row>
    <row r="4996">
      <c r="A4996" t="inlineStr">
        <is>
          <t>air/eau fui</t>
        </is>
      </c>
      <c r="B4996">
        <f>HYPERLINK("https://www.dofusbook.net/fr/equipement/4037009-air-eau-fui/objets", "link")</f>
        <v/>
      </c>
      <c r="C4996" t="n">
        <v>4</v>
      </c>
      <c r="D4996" t="inlineStr">
        <is>
          <t>Marteau des Anciens Steamers; Amulette de l'Indicible; Alliance Gloursonne; Alliance Brûlâme; Roncier; Ceinture de l'Indicible; Casque Dragoeuf; Cape Matelassée; Baleinabottes; Dofus Abyssal; Dofus Émeraude; Obstructeur majeur; Miraculé majeur; Cascadeur majeur; Déserteur majeur; Muldo Roux et Amande</t>
        </is>
      </c>
    </row>
    <row r="4997">
      <c r="A4997" t="inlineStr">
        <is>
          <t>air fui</t>
        </is>
      </c>
      <c r="B4997">
        <f>HYPERLINK("https://www.dofusbook.net/fr/equipement/4036975-air-fui/objets", "link")</f>
        <v/>
      </c>
      <c r="C4997" t="n">
        <v>15</v>
      </c>
      <c r="D4997" t="inlineStr">
        <is>
          <t>Lance Horselé; Amulette Martegel; Anneau de Pol Ouatnos; Alliance Gloursonne; Roncier; Ceinture Voldelor; Casque Dragoeuf; Cape Martegel; Baleinabottes; Dofus Émeraude; Dofus Abyssal; Déserteur majeur; Obstructeur majeur; Remueur; Cascadeur majeur; Vampyrette</t>
        </is>
      </c>
    </row>
    <row r="4998">
      <c r="A4998" t="inlineStr">
        <is>
          <t>feu roxx</t>
        </is>
      </c>
      <c r="B4998">
        <f>HYPERLINK("https://www.dofusbook.net/fr/equipement/3996827-feu-roxx/objets", "link")</f>
        <v/>
      </c>
      <c r="C4998" t="n">
        <v>9</v>
      </c>
      <c r="D4998" t="inlineStr">
        <is>
          <t>Harpelle; Amulette Volkorne; Anneauræus; Anneauræus; Bouclier du Captain Amakna; Ceinture Volkorne; Heaume Oplate; Voile d'encre; Bottes Innommables; Dofus Pourpre; Dofus Turquoise; Dofus Ocre; Nomade; Vigoureux majeur; Érudit majeur; Dragodinde Ivoire et Orchidée</t>
        </is>
      </c>
    </row>
    <row r="4999">
      <c r="A4999" t="inlineStr">
        <is>
          <t>eni cheap 2</t>
        </is>
      </c>
      <c r="B4999">
        <f>HYPERLINK("https://www.dofusbook.net/fr/equipement/3998228-eni-cheap-2/objets", "link")</f>
        <v/>
      </c>
      <c r="C4999" t="n">
        <v>7</v>
      </c>
      <c r="D4999" t="inlineStr">
        <is>
          <t>Arc corrompu; Pendentif affamé; Gelano; Anneauræus; Bouclier du Cycloïde; Ceinture Séculaire; Coiffe Séculaire; Cape de Diondin; Bottes Innommables; Nomade; Astucieux majeur; Érudit majeur; Vigoureux majeur; Guérisseur majeur; Dévastateur Feu majeur; Dragodinde Orchidée et Rousse</t>
        </is>
      </c>
    </row>
    <row r="5000">
      <c r="A5000" t="inlineStr">
        <is>
          <t>eni cheap</t>
        </is>
      </c>
      <c r="B5000">
        <f>HYPERLINK("https://www.dofusbook.net/fr/equipement/3998226-eni-cheap/objets", "link")</f>
        <v/>
      </c>
      <c r="C5000" t="n">
        <v>2</v>
      </c>
      <c r="D5000" t="inlineStr">
        <is>
          <t>Arc corrompu; Amulette d'Otomaï; Anneauræus; Anneau de Padgref; Bouclier du Cycloïde; Ceinture Séculaire; Coiffe Séculaire; Cape de Diondin; Pantoufles Émar; Dofus Turquoise; Érudit majeur; Ravageur Feu majeur; Dévastateur Feu majeur; Nomade; Saccageur Feu majeur; Muldo Prune et Emeraude</t>
        </is>
      </c>
    </row>
    <row r="5001">
      <c r="A5001" t="inlineStr">
        <is>
          <t>Full vita</t>
        </is>
      </c>
      <c r="B5001">
        <f>HYPERLINK("https://www.dofusbook.net/fr/equipement/2926299-full-vita/objets", "link")</f>
        <v/>
      </c>
      <c r="C5001" t="n">
        <v>17</v>
      </c>
      <c r="D5001" t="inlineStr">
        <is>
          <t>Rouleau à Pâtisserie d'Aermyne; Collier Rophante; Bague Trithon; Alliance Gloursonne; Bouclier Bontarien; Ceinture de Kongoku; Masque d'Anerice; Cape d'Anerice; Pataugastrique; Dofus Abyssal; Dofus Émeraude; Dokoko; Remueur; Miraculé majeur; Obstructeur majeur; Dragodinde Prune et Amande</t>
        </is>
      </c>
    </row>
    <row r="5002">
      <c r="A5002" t="inlineStr">
        <is>
          <t>feu cheap</t>
        </is>
      </c>
      <c r="B5002">
        <f>HYPERLINK("https://www.dofusbook.net/fr/equipement/3022637-feu-cheap/objets", "link")</f>
        <v/>
      </c>
      <c r="C5002" t="n">
        <v>1</v>
      </c>
      <c r="D5002" t="inlineStr">
        <is>
          <t>Arc corrompu; Pendentif affamé; Anneau Tamie; Anneau Tamie; Bouclier cubiste; Ceinture Séculaire; Coiffe Séculaire; Cape de Diondin; Pantoufles Émar; Dofus Pourpre; Vigoureux majeur; Temporiseur majeur; Érudit majeur; Entraveur majeur; Nomade; Volkorne Turquoise et Orchidée</t>
        </is>
      </c>
    </row>
    <row r="5003">
      <c r="A5003" t="inlineStr">
        <is>
          <t>terre 199</t>
        </is>
      </c>
      <c r="B5003">
        <f>HYPERLINK("https://www.dofusbook.net/fr/equipement/2983907-terre-199/objets", "link")</f>
        <v/>
      </c>
      <c r="C5003" t="n">
        <v>7</v>
      </c>
      <c r="D5003" t="inlineStr">
        <is>
          <t>Hache Téroïde; Kralamansion; Bague Gloursonne; Anneau de Brouce; Quatre-feuilles; Ceinture de Brouce; Casque de Missiz Frizz; Cape au Logis; Sabots Minables; Dofus Pourpre; Dofus Turquoise; Enragé majeur; Remueur; Vigoureux majeur; Nomade; Volkorne Pourpre</t>
        </is>
      </c>
    </row>
    <row r="5004">
      <c r="A5004" t="inlineStr">
        <is>
          <t>pvp cheap eau</t>
        </is>
      </c>
      <c r="B5004">
        <f>HYPERLINK("https://www.dofusbook.net/fr/equipement/994234-pvp-cheap-eau/objets", "link")</f>
        <v/>
      </c>
      <c r="C5004" t="n">
        <v>5</v>
      </c>
      <c r="D5004" t="inlineStr">
        <is>
          <t>Amulette de Shokkoth; Alliance Gloursonne; Culotte de Bethel; Kidibonnet; Cape Solution; Chaussons de Macrab; Nomade</t>
        </is>
      </c>
    </row>
    <row r="5005">
      <c r="A5005" t="inlineStr">
        <is>
          <t>eau air</t>
        </is>
      </c>
      <c r="B5005">
        <f>HYPERLINK("https://www.dofusbook.net/fr/equipement/3993973-eau-air-/objets", "link")</f>
        <v/>
      </c>
      <c r="C5005" t="n">
        <v>1</v>
      </c>
      <c r="D5005" t="inlineStr">
        <is>
          <t>Arc de Koutoulou; Amulette du Strigide; Anneau Volkorne; Bracelet du Piloztère; Quatre-feuilles; Ceinture du Strigide; Casque Volkorne; Chevelure de Tal Kasha; Bottes du Strigide; Dofus Ocre; Dofus des Glaces; Dofus Turquoise; Dofus Vulbis; Dofus Pourpre; Dofus Ivoire; Dragodinde Emeraude et Ivoire</t>
        </is>
      </c>
    </row>
    <row r="5006">
      <c r="A5006" t="inlineStr">
        <is>
          <t>eau do cri</t>
        </is>
      </c>
      <c r="B5006">
        <f>HYPERLINK("https://www.dofusbook.net/fr/equipement/3875304-eau-do-cri/objets", "link")</f>
        <v/>
      </c>
      <c r="C5006" t="n">
        <v>5</v>
      </c>
      <c r="D5006" t="inlineStr">
        <is>
          <t>Sceptre du Roi Joueur; Amulette Volkorne; Anneau Volkorne; Alliance Gloursonne; Bouclier du Stalak; Sangle Ouare; Casque Dragoeuf; Cape Solution; Bottes de la Dame du Hasard; Dofus Ocre; Dofus Abyssal; Dofus Ivoire; Dofus Pourpre; Vigoureux majeur; Chanceux majeur; Pioute bleu</t>
        </is>
      </c>
    </row>
    <row r="5007">
      <c r="A5007" t="inlineStr">
        <is>
          <t>surcharge terre</t>
        </is>
      </c>
      <c r="B5007">
        <f>HYPERLINK("https://www.dofusbook.net/fr/equipement/3958200-surcharge-terre/objets", "link")</f>
        <v/>
      </c>
      <c r="C5007" t="n">
        <v>3</v>
      </c>
      <c r="D5007" t="inlineStr">
        <is>
          <t>Arc du Chalœil; Collier de Tourthon; Bracelet du Piloztère; Anneau Volkorne; Bouclier du Stalak; Ceinture Volkorne; Masque de Koutoulou; Cape au Logis; Bottes Honyme; Dofus Pourpre; Dofus des Glaces; Dofus Nébuleux; Dévastateur Terre majeur; Enragé majeur; Saccageur Terre majeur; Bulbisou</t>
        </is>
      </c>
    </row>
    <row r="5008">
      <c r="A5008" t="inlineStr">
        <is>
          <t>duo bethel zobal</t>
        </is>
      </c>
      <c r="B5008">
        <f>HYPERLINK("https://www.dofusbook.net/fr/equipement/3955911-duo-bethel-zobal/objets", "link")</f>
        <v/>
      </c>
      <c r="C5008" t="n">
        <v>5</v>
      </c>
      <c r="D5008" t="inlineStr">
        <is>
          <t>Hache du Chalœil; Amulette du Strigide; Anneau Crustique; Bague Gloursonne; Cadran d'Eau; Ceinture du Strigide; Masque de Funespadon; Cape au Logis; Bottes Honyme; Dofus Ocre; Dofus Turquoise; Dokoko; Dofus des Glaces; Dofus Ivoire; Dofus Pourpre; Kokulte</t>
        </is>
      </c>
    </row>
    <row r="5009">
      <c r="A5009" t="inlineStr">
        <is>
          <t>duo bethel panda</t>
        </is>
      </c>
      <c r="B5009">
        <f>HYPERLINK("https://www.dofusbook.net/fr/equipement/3935323-duo-bethel-panda/objets", "link")</f>
        <v/>
      </c>
      <c r="C5009" t="n">
        <v>4</v>
      </c>
      <c r="D5009" t="inlineStr">
        <is>
          <t>Epée Maudite du Saigneur Guerrier; Amulette du Strigide; Anneau de Padgref; Bracelet du Piloztère; Bouclier du Captain Amakna; Ceinture du Strigide; Coiffe de Padgref; Chevelure de Tal Kasha; Getas de Padgref; Dofus Ocre; Dofus Turquoise; Dofus Abyssal; Dofus des Glaces; Dofus Nébuleux; Dofus Pourpre; Kokulte</t>
        </is>
      </c>
    </row>
    <row r="5010">
      <c r="A5010" t="inlineStr">
        <is>
          <t>terre</t>
        </is>
      </c>
      <c r="B5010">
        <f>HYPERLINK("https://www.dofusbook.net/fr/equipement/3936058-terre-/objets", "link")</f>
        <v/>
      </c>
      <c r="C5010" t="n">
        <v>15</v>
      </c>
      <c r="D5010" t="inlineStr">
        <is>
          <t>Marteau R'ture; Amulette Volkorne; Anneau Chevelu; Bague Gloursonne; Bouclier d'Ilyzaelle; Ceinture Volkorne; Masque de Koutoulou; Cape au Logis; Bottes de la Cour Sombre; Dofus Ivoire; Dofus Pourpre; Dofus Turquoise; Dofus Ocre; Enragé majeur; Vigoureux majeur; Dragodinde Emeraude et Pourpre</t>
        </is>
      </c>
    </row>
    <row r="5011">
      <c r="A5011" t="inlineStr">
        <is>
          <t>fuite/tacle</t>
        </is>
      </c>
      <c r="B5011">
        <f>HYPERLINK("https://www.dofusbook.net/fr/equipement/150757-fuite-tacle/objets", "link")</f>
        <v/>
      </c>
      <c r="C5011" t="n">
        <v>6</v>
      </c>
      <c r="D5011" t="inlineStr">
        <is>
          <t>Collier du Valet Veinard; Alliance Gloursonne; Anneau de Pol Ouatnos; Roncier; Casque Dragoeuf; Cape du Valet Veinard; Baleinabottes; Dofus Émeraude; Miraculé majeur; Cascadeur majeur; Obstructeur majeur; Remueur; Déserteur majeur</t>
        </is>
      </c>
    </row>
    <row r="5012">
      <c r="A5012" t="inlineStr">
        <is>
          <t>multi no cc</t>
        </is>
      </c>
      <c r="B5012">
        <f>HYPERLINK("https://www.dofusbook.net/fr/equipement/3024903-multi-no-cc/objets", "link")</f>
        <v/>
      </c>
      <c r="C5012" t="n">
        <v>10</v>
      </c>
      <c r="D5012" t="inlineStr">
        <is>
          <t>Pyraguette; Amulette Volkorne; Anneau Volkorne; Alliance Gloursonne; Bouclier du Stalak; Ceinture de l'Esprit Salvateur; Masque de l'Esprit Salvateur; Voile d'encre; Bottes de l'Esprit Salvateur; Dofus Ivoire; Dofus Pourpre; Dofus Ocre; Dofus des Glaces; Dofus Abyssal; Robuste majeur; Muldo Pourpre</t>
        </is>
      </c>
    </row>
    <row r="5013">
      <c r="A5013" t="inlineStr">
        <is>
          <t>hupper air ret 2</t>
        </is>
      </c>
      <c r="B5013">
        <f>HYPERLINK("https://www.dofusbook.net/fr/equipement/3803680-hupper-air-ret-2/objets", "link")</f>
        <v/>
      </c>
      <c r="C5013" t="n">
        <v>4</v>
      </c>
      <c r="D5013" t="inlineStr">
        <is>
          <t>L'Épée Nice; Collier du Valet Veinard; Gant du Valet Veinard; Alliance Gloursonne; Bouclier du Stalak; Menoture; Dorabysses; Cape Martegel; Palmes Trithons; Dofus Ocre; Dofus Ivoire; Dofus Abyssal; Cascadeur majeur; Paralyseur majeur; Étourdisseur majeur; Koalak Sanguin</t>
        </is>
      </c>
    </row>
    <row r="5014">
      <c r="A5014" t="inlineStr">
        <is>
          <t>air ret</t>
        </is>
      </c>
      <c r="B5014">
        <f>HYPERLINK("https://www.dofusbook.net/fr/equipement/3890254-air-ret-/objets", "link")</f>
        <v/>
      </c>
      <c r="C5014" t="n">
        <v>4</v>
      </c>
      <c r="D5014" t="inlineStr">
        <is>
          <t>Lance Horselé; Collier du Valet Veinard; Gant du Valet Veinard; Alliance Gloursonne; Cadran de Terre; Menoture; Dorabysses; Cape Martegel; Palmes Trithons; Dofus Abyssal; Dofus Ocre; Dofus Ivoire; Cascadeur majeur; Étourdisseur majeur; Paralyseur majeur; Muldo Ebène et Indigo</t>
        </is>
      </c>
    </row>
    <row r="5015">
      <c r="A5015" t="inlineStr">
        <is>
          <t>volkorne ceinture</t>
        </is>
      </c>
      <c r="B5015">
        <f>HYPERLINK("https://www.dofusbook.net/fr/equipement/3435741-volkorne-ceinture/objets", "link")</f>
        <v/>
      </c>
      <c r="C5015" t="n">
        <v>32</v>
      </c>
      <c r="D5015" t="inlineStr">
        <is>
          <t>Sabres d'Atcham; Amulette Volkorne; Anneau Volkorne; Bracelet du Piloztère; Quatre-feuilles; Ceinture Billonnante; Casque Volkorne; Cape d'Atcham; Sandales  d'Atcham; Dofus Turquoise; Dofus Pourpre; Dofus Abyssal; Dofus Ocre; Dolmanax; Dofus des Glaces; Sakochère</t>
        </is>
      </c>
    </row>
    <row r="5016">
      <c r="A5016" t="inlineStr">
        <is>
          <t>multi cc égarés</t>
        </is>
      </c>
      <c r="B5016">
        <f>HYPERLINK("https://www.dofusbook.net/fr/equipement/2319485-multi-cc-egares/objets", "link")</f>
        <v/>
      </c>
      <c r="C5016" t="n">
        <v>4</v>
      </c>
      <c r="D5016" t="inlineStr">
        <is>
          <t>Marteau des égarés; Amulette du Strigide; Alliance Brûlâme; Bague Trithon; Bouclier du Captain Amakna; Ceinture du Strigide; Masque Trithon; Cape au Logis; Bottes Trithon; Dolmanax; Dofus Ocre; Dofus Pourpre; Dofus Émeraude; Dofus des Glaces; Dofus Turquoise; Kokulte</t>
        </is>
      </c>
    </row>
    <row r="5017">
      <c r="A5017" t="inlineStr">
        <is>
          <t>heroide do cri</t>
        </is>
      </c>
      <c r="B5017">
        <f>HYPERLINK("https://www.dofusbook.net/fr/equipement/3856208-heroide-do-cri/objets", "link")</f>
        <v/>
      </c>
      <c r="C5017" t="n">
        <v>5</v>
      </c>
      <c r="D5017" t="inlineStr">
        <is>
          <t>Hache Téroïde; Amulette Volkorne; Anneau Volkorne; Bague Gloursonne; Bouclier alvéolé; Ceinture Volkorne; Masque de Koutoulou; Cape du Cœur Saignant; Bottes du Cœur Saignant; Dofus Turquoise; Dofus des Glaces; Dofus Abyssal; Dofus Pourpre; Dofus Ocre; Dofus Ivoire; Kokulte</t>
        </is>
      </c>
    </row>
    <row r="5018">
      <c r="A5018" t="inlineStr">
        <is>
          <t>pvm eau/terre/feu</t>
        </is>
      </c>
      <c r="B5018">
        <f>HYPERLINK("https://www.dofusbook.net/fr/equipement/3875375-pvm-eau-terre-feu/objets", "link")</f>
        <v/>
      </c>
      <c r="C5018" t="n">
        <v>3</v>
      </c>
      <c r="D5018" t="inlineStr">
        <is>
          <t>Sabres d'Atcham; Amulette du Strigide; Bague Trithon; Anneau Toriété; Bouclier du Stalak; Ceinture du Strigide; Masque Trithon; Cape d'Atcham; Bottes du Strigide; Dofus Pourpre; Dofus des Glaces; Dolmanax; Dofus Turquoise; Dofus Ocre; Robuste majeur; Chacha Angora</t>
        </is>
      </c>
    </row>
    <row r="5019">
      <c r="A5019" t="inlineStr">
        <is>
          <t>incarnation</t>
        </is>
      </c>
      <c r="B5019">
        <f>HYPERLINK("https://www.dofusbook.net/fr/equipement/150738-incarnation/objets", "link")</f>
        <v/>
      </c>
      <c r="C5019" t="n">
        <v>4</v>
      </c>
      <c r="D5019" t="inlineStr">
        <is>
          <t>Amulette du Strigide; Bracelet du Piloztère; Anneau de Padgref; Quatre-feuilles; Ceinture du Strigide; Coiffe de Padgref; Cape de la Dame du Hasard; Getas de Padgref; Dofus des Glaces; Dofus Nébuleux; Dofus Turquoise; Dolmanax; Dofus Ocre; Dofus Pourpre; Kokulte</t>
        </is>
      </c>
    </row>
    <row r="5020">
      <c r="A5020" t="inlineStr">
        <is>
          <t>diondin drag esq PM</t>
        </is>
      </c>
      <c r="B5020">
        <f>HYPERLINK("https://www.dofusbook.net/fr/equipement/3865786-diondin-drag-esq-pm/objets", "link")</f>
        <v/>
      </c>
      <c r="C5020" t="n">
        <v>2</v>
      </c>
      <c r="D5020" t="inlineStr">
        <is>
          <t>Arc corrompu; Amulette Volkorne; Anneauræus; Anneauræus; Bouclier du Stalak; Ceinture Volkorne; Casque Dragoeuf; Cape de Diondin; Bottes Innommables; Dofus Abyssal; Dofus Pourpre; Dofus Ivoire; Cavaleur majeur; Nomade; Érudit majeur; Tanuk</t>
        </is>
      </c>
    </row>
    <row r="5021">
      <c r="A5021" t="inlineStr">
        <is>
          <t>diondin drag fuite</t>
        </is>
      </c>
      <c r="B5021">
        <f>HYPERLINK("https://www.dofusbook.net/fr/equipement/3818062-diondin-drag-fuite/objets", "link")</f>
        <v/>
      </c>
      <c r="C5021" t="n">
        <v>1</v>
      </c>
      <c r="D5021" t="inlineStr">
        <is>
          <t>Arc corrompu; Amulette Volkorne; Anneauræus; Anneauræus; Bouclier du Stalak; Ceinture Volkorne; Casque Dragoeuf; Cape de Diondin; Bottes de la Dame du Hasard; Dofus Ivoire; Dofus Ocre; Dofus Abyssal; Érudit majeur; Déserteur majeur; Nomade; Chacha</t>
        </is>
      </c>
    </row>
    <row r="5022">
      <c r="A5022" t="inlineStr">
        <is>
          <t>feu cac roxx</t>
        </is>
      </c>
      <c r="B5022">
        <f>HYPERLINK("https://www.dofusbook.net/fr/equipement/3771307-feu-cac-roxx/objets", "link")</f>
        <v/>
      </c>
      <c r="C5022" t="n">
        <v>7</v>
      </c>
      <c r="D5022" t="inlineStr">
        <is>
          <t>Plumeau Bil; Amulette Volkorne; Anneauræus; Bague Gloursonne; Bouclier d'Ilyzaelle; Ceinture Volkorne; Heaume Oplate; Voile d'encre; Chaussures Ardentes; Dofus Pourpre; Dofus Ivoire; Dofus Ocre; Dofus Nébuleux; Érudit majeur; Nomade; Dragodinde Ivoire et Orchidée</t>
        </is>
      </c>
    </row>
    <row r="5023">
      <c r="A5023" t="inlineStr">
        <is>
          <t>volk mallé esq pm</t>
        </is>
      </c>
      <c r="B5023">
        <f>HYPERLINK("https://www.dofusbook.net/fr/equipement/3864006-volk-malle-esq-pm-/objets", "link")</f>
        <v/>
      </c>
      <c r="C5023" t="n">
        <v>2</v>
      </c>
      <c r="D5023" t="inlineStr">
        <is>
          <t>Baguette de Malléfisk; Amulette Volkorne; Anneauræus; Anneauræus; Carapar; Ceinture Volkorne; Casque Dragoeuf; Cape de Diondin; Bottes Innommables; Dofus Ivoire; Dofus Ocre; Dofus Abyssal; Érudit majeur; Nomade; Cavaleur majeur; Ploup</t>
        </is>
      </c>
    </row>
    <row r="5024">
      <c r="A5024" t="inlineStr">
        <is>
          <t>volk mallé basic</t>
        </is>
      </c>
      <c r="B5024">
        <f>HYPERLINK("https://www.dofusbook.net/fr/equipement/3848534-volk-malle-basic/objets", "link")</f>
        <v/>
      </c>
      <c r="C5024" t="n">
        <v>2</v>
      </c>
      <c r="D5024" t="inlineStr">
        <is>
          <t>Baguette de Malléfisk; Amulette Volkorne; Anneauræus; Anneauræus; Carapar; Ceinture Volkorne; Casque Dragoeuf; Cape de Diondin; Bottes Innommables; Dofus Ivoire; Dofus Ocre; Dofus Abyssal; Dofus Pourpre; Érudit majeur; Nomade; Dragodinde Orchidée et Rousse</t>
        </is>
      </c>
    </row>
    <row r="5025">
      <c r="A5025" t="inlineStr">
        <is>
          <t>terre lav</t>
        </is>
      </c>
      <c r="B5025">
        <f>HYPERLINK("https://www.dofusbook.net/fr/equipement/3860402-terre-lav/objets", "link")</f>
        <v/>
      </c>
      <c r="C5025" t="n">
        <v>5</v>
      </c>
      <c r="D5025" t="inlineStr">
        <is>
          <t>Lav'Hache; Collier de Tourthon; Anneau Volkorne; Anneau Chevelu; Bouclier d'Ilyzaelle; Ceinture Volkorne; Masque de Koutoulou; Ankhape; Bottes de la Cour Sombre; Dofus Ivoire; Dofus Ocre; Dofus Abyssal; Dofus des Glaces; Enragé majeur; Nomade; Dragodinde Ivoire et Pourpre</t>
        </is>
      </c>
    </row>
    <row r="5026">
      <c r="A5026" t="inlineStr">
        <is>
          <t>esq pm ret</t>
        </is>
      </c>
      <c r="B5026">
        <f>HYPERLINK("https://www.dofusbook.net/fr/equipement/3854198-esq-pm-ret/objets", "link")</f>
        <v/>
      </c>
      <c r="C5026" t="n">
        <v>3</v>
      </c>
      <c r="D5026" t="inlineStr">
        <is>
          <t>Rapière aux Glyphes; Amulette d'Ilyzaelle; Alliance Gloursonne; Bracelet des Fonds marins; Cadran d'Air; Ceinture Glaciale; Casque d'Ilyzaelle; Cape Solution; Pataugastrique; Dofus Ivoire; Dofus Abyssal; Dofus Pourpre; Étourdisseur majeur; Carapace Eau majeur; Chanceux majeur; Muldo Turquoise et Indigo</t>
        </is>
      </c>
    </row>
    <row r="5027">
      <c r="A5027" t="inlineStr">
        <is>
          <t>feu pvp cc</t>
        </is>
      </c>
      <c r="B5027">
        <f>HYPERLINK("https://www.dofusbook.net/fr/equipement/3818014-feu-pvp-cc/objets", "link")</f>
        <v/>
      </c>
      <c r="C5027" t="n">
        <v>2</v>
      </c>
      <c r="D5027" t="inlineStr">
        <is>
          <t>Arc corrompu; Amulette Volkorne; Anneauræus; Anneauræus; Bouclier du Stalak; Ceinture Volkorne; Heaume Oplate; Voile d'encre; Bottes de la Dame du Hasard; Dofus Turquoise; Dofus Pourpre; Dofus Ivoire; Dofus Abyssal; Érudit majeur; Nomade; Volkorne Jade et Emeraude</t>
        </is>
      </c>
    </row>
    <row r="5028">
      <c r="A5028" t="inlineStr">
        <is>
          <t>terre pvp roxx</t>
        </is>
      </c>
      <c r="B5028">
        <f>HYPERLINK("https://www.dofusbook.net/fr/equipement/3439582-terre-pvp-roxx/objets", "link")</f>
        <v/>
      </c>
      <c r="C5028" t="n">
        <v>12</v>
      </c>
      <c r="D5028" t="inlineStr">
        <is>
          <t>Marteau R'ture; Amulette Volkorne; Bague Gloursonne; Anneau Chevelu; Bouclier d'Ilyzaelle; Ceinture Volkorne; Masque de Koutoulou; Cape au Logis; Bottes de la Cour Sombre; Dofus Ocre; Dofus Ivoire; Dofus Pourpre; Dofus Turquoise; Vigoureux majeur; Enragé majeur; Dragodinde Emeraude et Pourpre</t>
        </is>
      </c>
    </row>
    <row r="5029">
      <c r="A5029" t="inlineStr">
        <is>
          <t>feu cac esq</t>
        </is>
      </c>
      <c r="B5029">
        <f>HYPERLINK("https://www.dofusbook.net/fr/equipement/2484886-feu-cac-esq/objets", "link")</f>
        <v/>
      </c>
      <c r="C5029" t="n">
        <v>8</v>
      </c>
      <c r="D5029" t="inlineStr">
        <is>
          <t>Massier; Amulette Volkorne; Bague Gloursonne; Anneauræus; Bouclier d'Ilyzaelle; Ceinture Volkorne; Heaume Oplate; Voile d'encre; Chaussures Ardentes; Dofus Pourpre; Dofus Ivoire; Dofus Nébuleux; Érudit majeur; Nomade; Évasif majeur; Chienchien Tigré</t>
        </is>
      </c>
    </row>
    <row r="5030">
      <c r="A5030" t="inlineStr">
        <is>
          <t>feu dist esq</t>
        </is>
      </c>
      <c r="B5030">
        <f>HYPERLINK("https://www.dofusbook.net/fr/equipement/3817961-feu-dist-esq/objets", "link")</f>
        <v/>
      </c>
      <c r="C5030" t="n">
        <v>4</v>
      </c>
      <c r="D5030" t="inlineStr">
        <is>
          <t>Arc corrompu; Amulette Volkorne; Anneauræus; Anneauræus; Bouclier du Stalak; Ceinture Volkorne; Heaume Oplate; Voile d'encre; Chaussures Ardentes; Dofus Pourpre; Dofus Ivoire; Érudit majeur; Vigoureux majeur; Nomade; Évasif majeur; Chienchien Tigré</t>
        </is>
      </c>
    </row>
    <row r="5031">
      <c r="A5031" t="inlineStr">
        <is>
          <t>volkrone tri elem pvp</t>
        </is>
      </c>
      <c r="B5031">
        <f>HYPERLINK("https://www.dofusbook.net/fr/equipement/3437067-volkrone-tri-elem-pvp/objets", "link")</f>
        <v/>
      </c>
      <c r="C5031" t="n">
        <v>9</v>
      </c>
      <c r="D5031" t="inlineStr">
        <is>
          <t>Sabres d'Atcham; Amulette Volkorne; Alliance Gloursonne; Anneau Volkorne; Bouclier du Captain Amakna; Sangle Ouare; Némès de Tal Kasha; Cape d'Atcham; Sandales  d'Atcham; Dofus Ivoire; Dofus des Glaces; Dofus Turquoise; Dofus Pourpre; Dofus Abyssal; Dofus Ocre; Kokulte</t>
        </is>
      </c>
    </row>
    <row r="5032">
      <c r="A5032" t="inlineStr">
        <is>
          <t>pvp chaloeil</t>
        </is>
      </c>
      <c r="B5032">
        <f>HYPERLINK("https://www.dofusbook.net/fr/equipement/3844681-pvp-chaloeil/objets", "link")</f>
        <v/>
      </c>
      <c r="C5032" t="n">
        <v>3</v>
      </c>
      <c r="D5032" t="inlineStr">
        <is>
          <t>Hache du Chalœil; Amulette du Strigide; Bracelet du Piloztère; Anneau Volkorne; Quatre-feuilles; Ceinture Volkorne; Casque Dragoeuf; Voile d'encre; Bottes du Strigide; Dofus Abyssal; Dofus des Glaces; Dofus Ivoire; Dofus Pourpre; Dofus Ocre; Dofus Turquoise; Volkorne Jade et Emeraude</t>
        </is>
      </c>
    </row>
    <row r="5033">
      <c r="A5033" t="inlineStr">
        <is>
          <t>do pou balaf</t>
        </is>
      </c>
      <c r="B5033">
        <f>HYPERLINK("https://www.dofusbook.net/fr/equipement/3775436-do-pou-balaf/objets", "link")</f>
        <v/>
      </c>
      <c r="C5033" t="n">
        <v>5</v>
      </c>
      <c r="D5033" t="inlineStr">
        <is>
          <t>Lav'Hache; Torquistik; Bague Trithon; Bague Instable; Bouclier précieux; Ceinture Gence; Casque Dragoeuf; Cape Solution; Bottistik; Dofus Ivoire; Culbuteur majeur; Pousseur majeur; Bousculeur; Bousculeur majeur; Culbuteur; Balafreux</t>
        </is>
      </c>
    </row>
    <row r="5034">
      <c r="A5034" t="inlineStr">
        <is>
          <t>eau air</t>
        </is>
      </c>
      <c r="B5034">
        <f>HYPERLINK("https://www.dofusbook.net/fr/equipement/3619848-eau-air/objets", "link")</f>
        <v/>
      </c>
      <c r="C5034" t="n">
        <v>5</v>
      </c>
      <c r="D5034" t="inlineStr">
        <is>
          <t>Arc de Koutoulou; Amulette d'Ilyzaelle; Anneau d'Allister; Alliance Gloursonne; Bouclier du Stalak; Ceinture du Barbétoal; Casque d'Ilyzaelle; Cape Solution; Bottes de la Reine des Voleurs; Dofus Ocre; Dofus des Glaces; Cascadeur majeur; Nomade; Chanceux majeur; Sanguinaire majeur; Dragodinde Ebène et Indigo</t>
        </is>
      </c>
    </row>
    <row r="5035">
      <c r="A5035" t="inlineStr">
        <is>
          <t>air hique</t>
        </is>
      </c>
      <c r="B5035">
        <f>HYPERLINK("https://www.dofusbook.net/fr/equipement/2383537-air-hique/objets", "link")</f>
        <v/>
      </c>
      <c r="C5035" t="n">
        <v>3</v>
      </c>
      <c r="D5035" t="inlineStr">
        <is>
          <t>Arc Ahique; Amulette d'Ilyzaelle; Alliance Gloursonne; Gant du Valet Veinard; Bouclier du Stalak; Menoture; Couronne d'Allister; Cape du Valet Veinard; Palmes Trithons; Dofus des Glaces; Saccageur Air majeur; Cascadeur majeur; Nomade; Dévastateur Air majeur; Remueur; Blérodoudou</t>
        </is>
      </c>
    </row>
    <row r="5036">
      <c r="A5036" t="inlineStr">
        <is>
          <t>eau roxx</t>
        </is>
      </c>
      <c r="B5036">
        <f>HYPERLINK("https://www.dofusbook.net/fr/equipement/3831805-eau-roxx/objets", "link")</f>
        <v/>
      </c>
      <c r="C5036" t="n">
        <v>13</v>
      </c>
      <c r="D5036" t="inlineStr">
        <is>
          <t>Sceptre du Roi Joueur; Amulette de Shokkoth; Anneau Volkorne; Alliance Gloursonne; Bouclier d'Ilyzaelle; Poulpagne; Casque Volkorne; Cape de l'Œil Attentif; Bottes du Sinistrofu; Dofus Pourpre; Dofus Ivoire; Dofus Ocre; Dofus Vulbis; Dofus Abyssal; Chanceux majeur; Dragodinde Indigo et Ivoire</t>
        </is>
      </c>
    </row>
    <row r="5037">
      <c r="A5037" t="inlineStr">
        <is>
          <t>diondin drag roxx</t>
        </is>
      </c>
      <c r="B5037">
        <f>HYPERLINK("https://www.dofusbook.net/fr/equipement/3818027-diondin-drag-roxx/objets", "link")</f>
        <v/>
      </c>
      <c r="C5037" t="n">
        <v>7</v>
      </c>
      <c r="D5037" t="inlineStr">
        <is>
          <t>Arc corrompu; Amulette Volkorne; Anneauræus; Anneauræus; Bouclier du Stalak; Ceinture Volkorne; Casque Dragoeuf; Cape de Diondin; Bottes Innommables; Dofus Ivoire; Dofus Ocre; Dofus Abyssal; Dofus Pourpre; Érudit majeur; Nomade; Dragodinde Ivoire et Orchidée</t>
        </is>
      </c>
    </row>
    <row r="5038">
      <c r="A5038" t="inlineStr">
        <is>
          <t>diondin drag ret</t>
        </is>
      </c>
      <c r="B5038">
        <f>HYPERLINK("https://www.dofusbook.net/fr/equipement/3818031-diondin-drag-ret/objets", "link")</f>
        <v/>
      </c>
      <c r="C5038" t="n">
        <v>2</v>
      </c>
      <c r="D5038" t="inlineStr">
        <is>
          <t>Arc corrompu; Amulette Volkorne; Anneauræus; Anneauræus; Bouclier du Stalak; Ceinture Volkorne; Casque Dragoeuf; Cape de Diondin; Chaussures Ardentes; Dofus Pourpre; Dofus Ivoire; Dofus Ocre; Étourdisseur majeur; Érudit majeur; Nomade; Boskito</t>
        </is>
      </c>
    </row>
    <row r="5039">
      <c r="A5039" t="inlineStr">
        <is>
          <t>air tank nice</t>
        </is>
      </c>
      <c r="B5039">
        <f>HYPERLINK("https://www.dofusbook.net/fr/equipement/3716539-air-tank-nice/objets", "link")</f>
        <v/>
      </c>
      <c r="C5039" t="n">
        <v>18</v>
      </c>
      <c r="D5039" t="inlineStr">
        <is>
          <t>L'Épée Nice; Collier du Valet Veinard; Gant du Valet Veinard; Alliance Gloursonne; Bouclier d'Ilyzaelle; Menoture; Casque Dragoeuf; Cape Indescriptible; Palmes Trithons; Dofus Ocre; Dofus Ivoire; Dofus Émeraude; Dofus Abyssal; Miraculé majeur; Cascadeur majeur; La Chose</t>
        </is>
      </c>
    </row>
    <row r="5040">
      <c r="A5040" t="inlineStr">
        <is>
          <t>air tank hache</t>
        </is>
      </c>
      <c r="B5040">
        <f>HYPERLINK("https://www.dofusbook.net/fr/equipement/3022687-air-tank-hache/objets", "link")</f>
        <v/>
      </c>
      <c r="C5040" t="n">
        <v>17</v>
      </c>
      <c r="D5040" t="inlineStr">
        <is>
          <t>Manthache; Collier du Valet Veinard; Alliance Gloursonne; Gant du Valet Veinard; Bouclier d'Ilyzaelle; Menoture; Casque Dragoeuf; Cape Indescriptible; Palmes Trithons; Dofus Émeraude; Dofus Abyssal; Dofus Ocre; Dofus Ivoire; Nomade; Miraculé majeur; La Chose</t>
        </is>
      </c>
    </row>
    <row r="5041">
      <c r="A5041" t="inlineStr">
        <is>
          <t>embuscade pvp 1v1</t>
        </is>
      </c>
      <c r="B5041">
        <f>HYPERLINK("https://www.dofusbook.net/fr/equipement/3775219-embuscade-pvp-1v1/objets", "link")</f>
        <v/>
      </c>
      <c r="C5041" t="n">
        <v>7</v>
      </c>
      <c r="D5041" t="inlineStr">
        <is>
          <t>Hache du Chalœil; Amulette Volkorne; Anneau Volkorne; Bague Trithon; Quatre-feuilles; Ceinture Volkorne; Masque Trithon; Voile d'encre; Bottes Trithon; Dofus des Glaces; Dofus Ivoire; Dolmanax; Dofus Pourpre; Dofus Turquoise; Dofus Ocre; Kokulte</t>
        </is>
      </c>
    </row>
    <row r="5042">
      <c r="A5042" t="inlineStr">
        <is>
          <t>feu pvpm mallé</t>
        </is>
      </c>
      <c r="B5042">
        <f>HYPERLINK("https://www.dofusbook.net/fr/equipement/3672241-feu-pvpm-malle/objets", "link")</f>
        <v/>
      </c>
      <c r="C5042" t="n">
        <v>2</v>
      </c>
      <c r="D5042" t="inlineStr">
        <is>
          <t>Baguette de Malléfisk; Pendentif mignon de Koutoulou; Anneau Rifique; Anneauræus; Carapar; Ceinture de Vortex; Casque Dragoeuf; Cape de Diondin; Chaussures Ardentes; Dofus Abyssal; Dofus Pourpre; Dofus Ivoire; Dofus Ocre; Érudit majeur; Miraculé majeur; Muldo Orchidée et Pourpre</t>
        </is>
      </c>
    </row>
    <row r="5043">
      <c r="A5043" t="inlineStr">
        <is>
          <t>pvp eau do crit</t>
        </is>
      </c>
      <c r="B5043">
        <f>HYPERLINK("https://www.dofusbook.net/fr/equipement/3808931-pvp-eau-do-crit/objets", "link")</f>
        <v/>
      </c>
      <c r="C5043" t="n">
        <v>5</v>
      </c>
      <c r="D5043" t="inlineStr">
        <is>
          <t>Sceptre du Roi Joueur; Collier de la Dame du Hasard; Alliance Gloursonne; Bague Trithon; Bouclier du Stalak; Sangle Ouare; Casque Dragoeuf; Cape Solution; Bottes Trithon; Dofus Ivoire; Dofus Pourpre; Dofus Abyssal; Dofus Ocre; Chanceux majeur; Vigoureux majeur; Pioute bleu</t>
        </is>
      </c>
    </row>
    <row r="5044">
      <c r="A5044" t="inlineStr">
        <is>
          <t>eau pvp</t>
        </is>
      </c>
      <c r="B5044">
        <f>HYPERLINK("https://www.dofusbook.net/fr/equipement/3721731-eau-pvp-/objets", "link")</f>
        <v/>
      </c>
      <c r="C5044" t="n">
        <v>26</v>
      </c>
      <c r="D5044" t="inlineStr">
        <is>
          <t>Sceptre du Roi Joueur; Amulette de Shokkoth; Alliance Gloursonne; Bracelet des Fonds marins; Bouclier d'Ilyzaelle; Sangle Ouare; Casque Dragoeuf; Cape Solution; Sandales des Fonds marins; Dofus Ivoire; Dofus Pourpre; Dofus des Glaces; Dofus Abyssal; Dofus Ocre; Chanceux majeur; Kanigloups</t>
        </is>
      </c>
    </row>
    <row r="5045">
      <c r="A5045" t="inlineStr">
        <is>
          <t>full ret</t>
        </is>
      </c>
      <c r="B5045">
        <f>HYPERLINK("https://www.dofusbook.net/fr/equipement/3765382-full-ret-/objets", "link")</f>
        <v/>
      </c>
      <c r="C5045" t="n">
        <v>6</v>
      </c>
      <c r="D5045" t="inlineStr">
        <is>
          <t>Dagoulinantes; Collier Rophante; Anneau Crustique; Anneau Crustique; Bouclier du Mont Kipou; Menoture; Casque Dragoeuf; Cape Ardente; Chaussures Ardentes; Dofus Ocre; Dofus Abyssal; Dofus Ivoire; Paralyseur majeur; Engourdisseur majeur; Étourdisseur majeur; Drakopin</t>
        </is>
      </c>
    </row>
    <row r="5046">
      <c r="A5046" t="inlineStr">
        <is>
          <t>12 pa terre/feu/air</t>
        </is>
      </c>
      <c r="B5046">
        <f>HYPERLINK("https://www.dofusbook.net/fr/equipement/3435811-12-pa-terre-feu-air/objets", "link")</f>
        <v/>
      </c>
      <c r="C5046" t="n">
        <v>8</v>
      </c>
      <c r="D5046" t="inlineStr">
        <is>
          <t>Marteau de Katrepat; Amulette du Strigide; Bague Gloursonne; Anneau du Katcheur; Bouclier du Captain Amakna; Ceinture du Strigide; Masque du Katcheur; Voile d'encre; Bottes du Katcheur; Dofus Ivoire; Dofus des Glaces; Dofus Abyssal; Dofus Pourpre; Dofus Ocre; Dofus Turquoise; Sakochère</t>
        </is>
      </c>
    </row>
    <row r="5047">
      <c r="A5047" t="inlineStr">
        <is>
          <t>hupper air ret</t>
        </is>
      </c>
      <c r="B5047">
        <f>HYPERLINK("https://www.dofusbook.net/fr/equipement/3803610-hupper-air-ret/objets", "link")</f>
        <v/>
      </c>
      <c r="C5047" t="n">
        <v>4</v>
      </c>
      <c r="D5047" t="inlineStr">
        <is>
          <t>L'Épée Nice; Collier du Valet Veinard; Anneau Volkorne; Alliance Gloursonne; Cadran de Terre; Menoture; Casque Volkorne; Cape Martegel; Palmes Trithons; Dofus Ivoire; Dofus Abyssal; Dofus Ocre; Étourdisseur majeur; Carapace Air majeur; Cascadeur majeur; Koalak Sanguin</t>
        </is>
      </c>
    </row>
    <row r="5048">
      <c r="A5048" t="inlineStr">
        <is>
          <t>feu eau</t>
        </is>
      </c>
      <c r="B5048">
        <f>HYPERLINK("https://www.dofusbook.net/fr/equipement/3666707-feu-eau/objets", "link")</f>
        <v/>
      </c>
      <c r="C5048" t="n">
        <v>4</v>
      </c>
      <c r="D5048" t="inlineStr">
        <is>
          <t>Épée Brûlâme; Amulette Volkorne; Anneau Volkorne; Bracelet du Piloztère; Bouclier du Captain Amakna; Ceintacé; Casque Volkorne; Cape de la Dame du Hasard; Bottes de la Dame du Hasard; Dofus Pourpre; Dofus Ivoire; Dofus Ocre; Dofus des Glaces; Dofus Turquoise; Dofus Abyssal; Kokulte</t>
        </is>
      </c>
    </row>
    <row r="5049">
      <c r="A5049" t="inlineStr">
        <is>
          <t>pvp terre esq pa</t>
        </is>
      </c>
      <c r="B5049">
        <f>HYPERLINK("https://www.dofusbook.net/fr/equipement/3776716-pvp-terre-esq-pa/objets", "link")</f>
        <v/>
      </c>
      <c r="C5049" t="n">
        <v>3</v>
      </c>
      <c r="D5049" t="inlineStr">
        <is>
          <t>Lav'Hache; Collier de Tourthon; Anneau Chevelu; Anneau Volkorne; Bouclier du Stalak; Ceinture Volkorne; Masque de Koutoulou; Cape au Logis; Bottes de la Cour Sombre; Dofus Ivoire; Dofus Pourpre; Dofus Abyssal; Enragé majeur; Vigoureux majeur; Évasif majeur; Chienchien Tigré</t>
        </is>
      </c>
    </row>
    <row r="5050">
      <c r="A5050" t="inlineStr">
        <is>
          <t>pvp terre</t>
        </is>
      </c>
      <c r="B5050">
        <f>HYPERLINK("https://www.dofusbook.net/fr/equipement/3776660-pvp-terre-/objets", "link")</f>
        <v/>
      </c>
      <c r="C5050" t="n">
        <v>11</v>
      </c>
      <c r="D5050" t="inlineStr">
        <is>
          <t>Lav'Hache; Collier de Tourthon; Anneau Volkorne; Anneau Chevelu; Bouclier du Stalak; Ceinture Volkorne; Masque de Koutoulou; Cape au Logis; Bottes de la Cour Sombre; Dofus Ocre; Dofus Ivoire; Dofus Pourpre; Dofus Abyssal; Vigoureux majeur; Enragé majeur; Dragodinde Ivoire et Pourpre</t>
        </is>
      </c>
    </row>
    <row r="5051">
      <c r="A5051" t="inlineStr">
        <is>
          <t>air esq 2</t>
        </is>
      </c>
      <c r="B5051">
        <f>HYPERLINK("https://www.dofusbook.net/fr/equipement/3765295-air-esq-2/objets", "link")</f>
        <v/>
      </c>
      <c r="C5051" t="n">
        <v>4</v>
      </c>
      <c r="D5051" t="inlineStr">
        <is>
          <t>Manthache; Collier du Valet Veinard; Gant du Valet Veinard; Alliance Gloursonne; Cadran d'Air; Menoture; Dorabysses; Cape du Kamasterisk; Palmes Trithons; Dofus Ivoire; Dofus Pourpre; Dofus Abyssal; Évasif majeur; Cascadeur majeur; Nomade; Chienchien Tigré</t>
        </is>
      </c>
    </row>
    <row r="5052">
      <c r="A5052" t="inlineStr">
        <is>
          <t>PVP air</t>
        </is>
      </c>
      <c r="B5052">
        <f>HYPERLINK("https://www.dofusbook.net/fr/equipement/3349170-pvp-air/objets", "link")</f>
        <v/>
      </c>
      <c r="C5052" t="n">
        <v>6</v>
      </c>
      <c r="D5052" t="inlineStr">
        <is>
          <t>Manthache; Collier du Valet Veinard; Alliance Gloursonne; Gant du Valet Veinard; Cadran d'Air; Menoture; Dorabysses; Cape Martegel; Palmes Trithons; Dofus Pourpre; Dofus Abyssal; Dofus Ocre; Dofus Ivoire; Cascadeur majeur; Nomade; Dragodinde Ebène et Ivoire</t>
        </is>
      </c>
    </row>
    <row r="5053">
      <c r="A5053" t="inlineStr">
        <is>
          <t>Terre pvp esq pa</t>
        </is>
      </c>
      <c r="B5053">
        <f>HYPERLINK("https://www.dofusbook.net/fr/equipement/3436690-terre-pvp-esq-pa/objets", "link")</f>
        <v/>
      </c>
      <c r="C5053" t="n">
        <v>10</v>
      </c>
      <c r="D5053" t="inlineStr">
        <is>
          <t>Marteau R'ture; Amulette Volkorne; Anneau Chevelu; Bague Gloursonne; Bouclier d'Ilyzaelle; Ceinture Volkorne; Masque de Koutoulou; Cape au Logis; Bottes de la Cour Sombre; Dofus Pourpre; Dofus Turquoise; Dofus Ivoire; Dofus Abyssal; Enragé majeur; Évasif majeur; Chienchien Tigré</t>
        </is>
      </c>
    </row>
    <row r="5054">
      <c r="A5054" t="inlineStr">
        <is>
          <t>full feu distance</t>
        </is>
      </c>
      <c r="B5054">
        <f>HYPERLINK("https://www.dofusbook.net/fr/equipement/3444178-full-feu-distance/objets", "link")</f>
        <v/>
      </c>
      <c r="C5054" t="n">
        <v>6</v>
      </c>
      <c r="D5054" t="inlineStr">
        <is>
          <t>Arc corrompu; Amulette Volkorne; Anneau de Padgref; Anneauræus; Quatre-feuilles; Ceinture Volkorne; Coiffe de Padgref; Voile d'encre; Getas de Padgref; Dofus Vulbis; Dofus Abyssal; Dofus Turquoise; Dofus Pourpre; Dofus Ivoire; Dofus Ocre; Pioute rouge</t>
        </is>
      </c>
    </row>
    <row r="5055">
      <c r="A5055" t="inlineStr">
        <is>
          <t>do pou volk</t>
        </is>
      </c>
      <c r="B5055">
        <f>HYPERLINK("https://www.dofusbook.net/fr/equipement/3676514-do-pou-volk/objets", "link")</f>
        <v/>
      </c>
      <c r="C5055" t="n">
        <v>5</v>
      </c>
      <c r="D5055" t="inlineStr">
        <is>
          <t>Arc du Chalœil; Torquistik; Bague Instable; Bague Trithon; Bouclier précieux; Sangle Ouare; Casque Dragoeuf; Cape Solution; Bottistik; Dofus Ivoire; Culbuteur; Culbuteur majeur; Pousseur majeur; Bousculeur; Bousculeur majeur; Volkorne Roux</t>
        </is>
      </c>
    </row>
    <row r="5056">
      <c r="A5056" t="inlineStr">
        <is>
          <t>terre pvp</t>
        </is>
      </c>
      <c r="B5056">
        <f>HYPERLINK("https://www.dofusbook.net/fr/equipement/3775198-terre-pvp/objets", "link")</f>
        <v/>
      </c>
      <c r="C5056" t="n">
        <v>5</v>
      </c>
      <c r="D5056" t="inlineStr">
        <is>
          <t>Arc du Chalœil; Amulette du Cœur Saignant; Anneau Chevelu; Anneau Volkorne; Quatre-feuilles; Ceinture Volkorne; Masque de Koutoulou; Cape du Cœur Saignant; Bottes du Cœur Saignant; Dolmanax; Dofus Pourpre; Dofus Turquoise; Dofus Abyssal; Dofus des Glaces; Dofus Ivoire; Muldo Prune et Indigo</t>
        </is>
      </c>
    </row>
    <row r="5057">
      <c r="A5057" t="inlineStr">
        <is>
          <t>eau pvp 1v1</t>
        </is>
      </c>
      <c r="B5057">
        <f>HYPERLINK("https://www.dofusbook.net/fr/equipement/3713952-eau-pvp-1v1/objets", "link")</f>
        <v/>
      </c>
      <c r="C5057" t="n">
        <v>30</v>
      </c>
      <c r="D5057" t="inlineStr">
        <is>
          <t>Dagoulinantes; Amulette de Shokkoth; Alliance Gloursonne; Anneau Toriété; Bouclier du Stalak; Poulpagne; Capuche de l'Œil Attentif; Cape de l'Œil Attentif; Bottes du Nocturlabe; Dofus Ocre; Dofus Abyssal; Dofus Pourpre; Dofus Ivoire; Dokoko; Chanceux majeur; Bwak d'Eau</t>
        </is>
      </c>
    </row>
    <row r="5058">
      <c r="A5058" t="inlineStr">
        <is>
          <t>pvp eau ret</t>
        </is>
      </c>
      <c r="B5058">
        <f>HYPERLINK("https://www.dofusbook.net/fr/equipement/3356362-pvp-eau-ret/objets", "link")</f>
        <v/>
      </c>
      <c r="C5058" t="n">
        <v>9</v>
      </c>
      <c r="D5058" t="inlineStr">
        <is>
          <t>Sceptre du Roi Joueur; Amulette de Shokkoth; Bracelet des Fonds marins; Alliance Gloursonne; Cadran de Terre; Sangle Ouare; Masque de Funespadon; Cape Solution; Chaussons de Macrab; Dofus Pourpre; Dofus Abyssal; Dofus Ivoire; Évasif majeur; Chanceux majeur; Étourdisseur majeur; Volkorne Ivoire et Indigo</t>
        </is>
      </c>
    </row>
    <row r="5059">
      <c r="A5059" t="inlineStr">
        <is>
          <t>air esq</t>
        </is>
      </c>
      <c r="B5059">
        <f>HYPERLINK("https://www.dofusbook.net/fr/equipement/3750015-air-esq/objets", "link")</f>
        <v/>
      </c>
      <c r="C5059" t="n">
        <v>4</v>
      </c>
      <c r="D5059" t="inlineStr">
        <is>
          <t>Manthache; Collier du Valet Veinard; Gant du Valet Veinard; Alliance Gloursonne; Cadran d'Air; Menoture; Dorabysses; Voilamibe; Palmes Trithons; Dofus Ivoire; Dofus Pourpre; Dofus Abyssal; Vigoureux majeur; Cascadeur majeur; Carapace Air majeur; Chienchien Tigré</t>
        </is>
      </c>
    </row>
    <row r="5060">
      <c r="A5060" t="inlineStr">
        <is>
          <t>pvp air</t>
        </is>
      </c>
      <c r="B5060">
        <f>HYPERLINK("https://www.dofusbook.net/fr/equipement/3356472-pvp-air/objets", "link")</f>
        <v/>
      </c>
      <c r="C5060" t="n">
        <v>3</v>
      </c>
      <c r="D5060" t="inlineStr">
        <is>
          <t>Manthache; Collier du Valet Veinard; Gant du Valet Veinard; Alliance Gloursonne; Cadran de Terre; Menoture; Casque Dragoeuf; Cape Indescriptible; Baleinabottes; Dofus Ivoire; Dofus Pourpre; Dofus des Glaces; Dofus Abyssal; Cascadeur majeur; Muldo Ebène</t>
        </is>
      </c>
    </row>
    <row r="5061">
      <c r="A5061" t="inlineStr">
        <is>
          <t>air pvp 1v1</t>
        </is>
      </c>
      <c r="B5061">
        <f>HYPERLINK("https://www.dofusbook.net/fr/equipement/3754749-air-pvp-1v1/objets", "link")</f>
        <v/>
      </c>
      <c r="C5061" t="n">
        <v>4</v>
      </c>
      <c r="D5061" t="inlineStr">
        <is>
          <t>Manthache; Amulette Martegel; Gant du Valet Veinard; Alliance Gloursonne; Bouclier du Stalak; Menoture; Dorabysses; Cape Martegel; Palmes Trithons; Dofus Ocre; Dofus Pourpre; Dofus Ivoire; Dofus Abyssal; Dokoko; Cascadeur majeur; Muldo Indigo et Orchidée</t>
        </is>
      </c>
    </row>
    <row r="5062">
      <c r="A5062" t="inlineStr">
        <is>
          <t>pvp terre</t>
        </is>
      </c>
      <c r="B5062">
        <f>HYPERLINK("https://www.dofusbook.net/fr/equipement/424532-pvp-terre-/objets", "link")</f>
        <v/>
      </c>
      <c r="C5062" t="n">
        <v>16</v>
      </c>
      <c r="D5062" t="inlineStr">
        <is>
          <t>Arc du Chalœil; Collier de Tourthon; Anneau Chevelu; Anneau Volkorne; Cadran d'Air; Ceinture Volkorne; Masque de Koutoulou; Cape au Logis; Bottes du Cœur Saignant; Dofus Nébuleux; Dofus Ivoire; Dofus Pourpre; Dofus Ocre; Dofus Abyssal; Enragé majeur; Dragodinde Prune et Pourpre</t>
        </is>
      </c>
    </row>
    <row r="5063">
      <c r="A5063" t="inlineStr">
        <is>
          <t>huppermage ret pa</t>
        </is>
      </c>
      <c r="B5063">
        <f>HYPERLINK("https://www.dofusbook.net/fr/equipement/365546-huppermage-ret-pa/objets", "link")</f>
        <v/>
      </c>
      <c r="C5063" t="n">
        <v>5</v>
      </c>
      <c r="D5063" t="inlineStr">
        <is>
          <t>Arc corrompu; Amulette Volkorne; Anneau Toriété; Alliance Gloursonne; Cadran de Terre; Menoture; Casque Volkorne; Voile d'encre; Pataugastrique; Dofus Ivoire; Dofus Abyssal; Dofus Pourpre; Carapace Terre majeur; Étourdisseur majeur; Vigoureux majeur; Koalak Sanguin</t>
        </is>
      </c>
    </row>
    <row r="5064">
      <c r="A5064" t="inlineStr">
        <is>
          <t>PVP air ret roxx</t>
        </is>
      </c>
      <c r="B5064">
        <f>HYPERLINK("https://www.dofusbook.net/fr/equipement/2889834-pvp-air-ret-roxx/objets", "link")</f>
        <v/>
      </c>
      <c r="C5064" t="n">
        <v>10</v>
      </c>
      <c r="D5064" t="inlineStr">
        <is>
          <t>Manthache; Collier du Valet Veinard; Gant du Valet Veinard; Alliance Gloursonne; Cadran de Terre; Menoture; Dorabysses; Cape Martegel; Palmes Trithons; Dofus Ivoire; Dofus Abyssal; Cascadeur majeur; Nomade; Étourdisseur majeur; Carapace Air majeur; Volkorne Ivoire et Ebène</t>
        </is>
      </c>
    </row>
    <row r="5065">
      <c r="A5065" t="inlineStr">
        <is>
          <t>ret pa/pm</t>
        </is>
      </c>
      <c r="B5065">
        <f>HYPERLINK("https://www.dofusbook.net/fr/equipement/3463310-ret-pa-pm/objets", "link")</f>
        <v/>
      </c>
      <c r="C5065" t="n">
        <v>5</v>
      </c>
      <c r="D5065" t="inlineStr">
        <is>
          <t>Manthache; Collier du Valet Veinard; Gant du Valet Veinard; Alliance Gloursonne; Bouclier cubiste; Menoture; Casque Dragoeuf; Cape du Kamasterisk; Palmes Trithons; Dofus Ivoire; Dofus Abyssal; Temporiseur majeur; Nomade; Cascadeur majeur; Étourdisseur majeur</t>
        </is>
      </c>
    </row>
    <row r="5066">
      <c r="A5066" t="inlineStr">
        <is>
          <t>air pvp</t>
        </is>
      </c>
      <c r="B5066">
        <f>HYPERLINK("https://www.dofusbook.net/fr/equipement/3750129-air-pvp-/objets", "link")</f>
        <v/>
      </c>
      <c r="C5066" t="n">
        <v>1</v>
      </c>
      <c r="D5066" t="inlineStr">
        <is>
          <t>Manthache; Collier du Valet Veinard; Gant du Valet Veinard; Alliance Gloursonne; Cadran d'Air; Menoture; Casque Dragoeuf; Cape Martegel; Palmes Trithons; Dofus Ocre; Dofus Ivoire; Dofus Pourpre; Dofus Abyssal; Cascadeur majeur; Nomade; Dragodinde Ebène et Ivoire</t>
        </is>
      </c>
    </row>
    <row r="5067">
      <c r="A5067" t="inlineStr">
        <is>
          <t>feu pvp ret</t>
        </is>
      </c>
      <c r="B5067">
        <f>HYPERLINK("https://www.dofusbook.net/fr/equipement/3348371-feu-pvp-ret/objets", "link")</f>
        <v/>
      </c>
      <c r="C5067" t="n">
        <v>5</v>
      </c>
      <c r="D5067" t="inlineStr">
        <is>
          <t>Arc corrompu; Pendentif mignon de Koutoulou; Anneau Rifique; Anneauræus; Cadran de Terre; Ceinture de Vortex; Heaume Oplate; Voile d'encre; Chaussures Ardentes; Dofus Abyssal; Dofus Pourpre; Dofus Ivoire; Étourdisseur majeur; Nomade; Érudit majeur; Volkorne Ivoire et Orchidée</t>
        </is>
      </c>
    </row>
    <row r="5068">
      <c r="A5068" t="inlineStr">
        <is>
          <t>pvp air</t>
        </is>
      </c>
      <c r="B5068">
        <f>HYPERLINK("https://www.dofusbook.net/fr/equipement/3349179-pvp-air/objets", "link")</f>
        <v/>
      </c>
      <c r="C5068" t="n">
        <v>7</v>
      </c>
      <c r="D5068" t="inlineStr">
        <is>
          <t>Manthache; Collier du Valet Veinard; Alliance Gloursonne; Gant du Valet Veinard; Bouclier du Stalak; Menoture; Dorabysses; Cape de Crânonier; Palmes Trithons; Dofus Pourpre; Dofus Abyssal; Dofus Ocre; Dofus Ivoire; Cascadeur majeur; Vigoureux majeur; Muldo Ebène</t>
        </is>
      </c>
    </row>
    <row r="5069">
      <c r="A5069" t="inlineStr">
        <is>
          <t>air roxx</t>
        </is>
      </c>
      <c r="B5069">
        <f>HYPERLINK("https://www.dofusbook.net/fr/equipement/3727590-air-roxx/objets", "link")</f>
        <v/>
      </c>
      <c r="C5069" t="n">
        <v>6</v>
      </c>
      <c r="D5069" t="inlineStr">
        <is>
          <t>Manthache; Collier du Valet Veinard; Gant du Valet Veinard; Alliance Gloursonne; Cadran d'Air; Menoture; Dorabysses; Cape Martegel; Palmes Trithons; Dofus Pourpre; Dofus Ocre; Dofus Ivoire; Dofus Abyssal; Nomade; Cascadeur majeur; Dragodinde Ebène et Ivoire</t>
        </is>
      </c>
    </row>
    <row r="5070">
      <c r="A5070" t="inlineStr">
        <is>
          <t>feu dist pvm</t>
        </is>
      </c>
      <c r="B5070">
        <f>HYPERLINK("https://www.dofusbook.net/fr/equipement/3655170-feu-dist-pvm/objets", "link")</f>
        <v/>
      </c>
      <c r="C5070" t="n">
        <v>3</v>
      </c>
      <c r="D5070" t="inlineStr">
        <is>
          <t>Arc corrompu; Amulette Volkorne; Anneau Volkorne; Anneauræus; Quatre-feuilles; Ceinture Séculaire; Heaume Oplate; Cape de la Dame du Hasard; Bottes Innommables; Dofus Pourpre; Dofus Ocre; Dofus Turquoise; Dofus Vulbis; Érudit majeur; Vigoureux majeur; Dragodinde Ivoire et Orchidée</t>
        </is>
      </c>
    </row>
    <row r="5071">
      <c r="A5071" t="inlineStr">
        <is>
          <t>heal tank</t>
        </is>
      </c>
      <c r="B5071">
        <f>HYPERLINK("https://www.dofusbook.net/fr/equipement/3718626-heal-tank/objets", "link")</f>
        <v/>
      </c>
      <c r="C5071" t="n">
        <v>6</v>
      </c>
      <c r="D5071" t="inlineStr">
        <is>
          <t>Baguette de Malléfisk; Pendentif mignon de Koutoulou; Anneauræus; Anneau Rifique; Carapar; Ceinture de Vortex; Casque Dragoeuf; Cape de Diondin; Bottes d'Otomaï; Dofus Ivoire; Dofus Ocre; Dofus Abyssal; Miraculé majeur; Nomade; Érudit majeur; Dragodinde Prune et Rousse</t>
        </is>
      </c>
    </row>
    <row r="5072">
      <c r="A5072" t="inlineStr">
        <is>
          <t>Huppermage M 200</t>
        </is>
      </c>
      <c r="B5072">
        <f>HYPERLINK("https://www.dofusbook.net/fr/equipement/3717961-huppermage-m-200/objets", "link")</f>
        <v/>
      </c>
      <c r="C5072" t="n">
        <v>2</v>
      </c>
      <c r="D5072" t="inlineStr">
        <is>
          <t>Manthache; Collier du Valet Veinard; Gant du Valet Veinard; Alliance Gloursonne; Bouclier du Stalak; Menoture; Casque Volkorne; Cape Indescriptible; Palmes Trithons; Dofus Ocre; Dofus Pourpre; Dofus Abyssal; Dofus Ivoire; Cascadeur majeur; Étourdisseur majeur; Muldo Ebène</t>
        </is>
      </c>
    </row>
    <row r="5073">
      <c r="A5073" t="inlineStr">
        <is>
          <t>terre do pou</t>
        </is>
      </c>
      <c r="B5073">
        <f>HYPERLINK("https://www.dofusbook.net/fr/equipement/3714133-terre-do-pou/objets", "link")</f>
        <v/>
      </c>
      <c r="C5073" t="n">
        <v>2</v>
      </c>
      <c r="D5073" t="inlineStr">
        <is>
          <t>Arc du Chalœil; Collier de Tourthon; Anneau Volkorne; Anneau Chevelu; Cadran de Terre; Ceinture Volkorne; Masque de Koutoulou; Cape au Logis; Bottes du Cœur Saignant; Dofus Abyssal; Dofus des Glaces; Dofus Ivoire; Dolmanax; Dofus Pourpre; Dofus Ocre; Dragodinde Prune et Pourpre</t>
        </is>
      </c>
    </row>
    <row r="5074">
      <c r="A5074" t="inlineStr">
        <is>
          <t>PVP air full ret</t>
        </is>
      </c>
      <c r="B5074">
        <f>HYPERLINK("https://www.dofusbook.net/fr/equipement/3347634-pvp-air-full-ret/objets", "link")</f>
        <v/>
      </c>
      <c r="C5074" t="n">
        <v>6</v>
      </c>
      <c r="D5074" t="inlineStr">
        <is>
          <t>Manthache; Amulette du Cœur Vaillant; Anneau Toriété; Alliance Gloursonne; Cadran d'Air; Menoture; Casque Dragoeuf; Cape du Barbétoal; Bottes du Cœur Vaillant; Dofus Ivoire; Dofus Abyssal; Paralyseur majeur; Cascadeur majeur; Miraculé majeur; Étourdisseur majeur; Volkorne Améthyste et Ivoire</t>
        </is>
      </c>
    </row>
    <row r="5075">
      <c r="A5075" t="inlineStr">
        <is>
          <t>Pvp air ret esq pa</t>
        </is>
      </c>
      <c r="B5075">
        <f>HYPERLINK("https://www.dofusbook.net/fr/equipement/3714599-pvp-air-ret-esq-pa-/objets", "link")</f>
        <v/>
      </c>
      <c r="C5075" t="n">
        <v>4</v>
      </c>
      <c r="D5075" t="inlineStr">
        <is>
          <t>Manthache; Amulette Martegel; Alliance Gloursonne; Gant du Valet Veinard; Cadran d'Air; Menoture; Casque Dragoeuf; Cape Martegel; Palmes Trithons; Dofus Ivoire; Dofus Abyssal; Cascadeur majeur; Nomade; Étourdisseur majeur; Évasif majeur; Volkorne Ivoire et Ebène</t>
        </is>
      </c>
    </row>
    <row r="5076">
      <c r="A5076" t="inlineStr">
        <is>
          <t>pvp air ret esq PM</t>
        </is>
      </c>
      <c r="B5076">
        <f>HYPERLINK("https://www.dofusbook.net/fr/equipement/3349096-pvp-air-ret-esq-pm/objets", "link")</f>
        <v/>
      </c>
      <c r="C5076" t="n">
        <v>4</v>
      </c>
      <c r="D5076" t="inlineStr">
        <is>
          <t>Manthache; Collier du Valet Veinard; Gant du Valet Veinard; Alliance Gloursonne; Cadran de Terre; Menoture; Casque Dragoeuf; Cape du Barbétoal; Palmes Trithons; Dofus Ivoire; Dofus Abyssal; Remueur; Cascadeur majeur; Cavaleur majeur; Étourdisseur majeur; Muldo Ebène</t>
        </is>
      </c>
    </row>
    <row r="5077">
      <c r="A5077" t="inlineStr">
        <is>
          <t>do pou</t>
        </is>
      </c>
      <c r="B5077">
        <f>HYPERLINK("https://www.dofusbook.net/fr/equipement/3714044-do-pou-/objets", "link")</f>
        <v/>
      </c>
      <c r="C5077" t="n">
        <v>3</v>
      </c>
      <c r="D5077" t="inlineStr">
        <is>
          <t>Arc du Chalœil; Torquistik; Bague Trithon; Bague Instable; Bouclier précieux; Sangle Ouare; Casque Dragoeuf; Cape Solution; Bottistik; Dofus Ivoire; Culbuteur majeur; Pousseur majeur; Bousculeur; Bousculeur majeur; Culbuteur; Volkorne Roux</t>
        </is>
      </c>
    </row>
    <row r="5078">
      <c r="A5078" t="inlineStr">
        <is>
          <t>nrgy pvp eau/air</t>
        </is>
      </c>
      <c r="B5078">
        <f>HYPERLINK("https://www.dofusbook.net/fr/equipement/3710326-nrgy-pvp-eau-air-/objets", "link")</f>
        <v/>
      </c>
      <c r="C5078" t="n">
        <v>6</v>
      </c>
      <c r="D5078" t="inlineStr">
        <is>
          <t>Arc de Koutoulou; Amulette du Strigide; Anneau Toriété; Alliance Gloursonne; Quatre-feuilles; Ceinture du Strigide; Némès de Tal Kasha; Chevelure de Tal Kasha; Sandales de Tal Kasha; Dofus Abyssal; Dofus Ocre; Dofus Turquoise; Dokoko; Dofus Pourpre; Dofus Ivoire; Kramkram</t>
        </is>
      </c>
    </row>
    <row r="5079">
      <c r="A5079" t="inlineStr">
        <is>
          <t>feu pvp</t>
        </is>
      </c>
      <c r="B5079">
        <f>HYPERLINK("https://www.dofusbook.net/fr/equipement/3713507-feu-pvp-/objets", "link")</f>
        <v/>
      </c>
      <c r="C5079" t="n">
        <v>3</v>
      </c>
      <c r="D5079" t="inlineStr">
        <is>
          <t>Baguette de Malléfisk; Pendentif mignon de Koutoulou; Anneau Rifique; Anneauræus; Carapar; Ceinture de Vortex; Heaume Oplate; Voile d'encre; Chaussures Ardentes; Dofus Abyssal; Dofus Ocre; Dofus Ivoire; Dofus Pourpre; Miraculé majeur; Érudit majeur; Muldo Orchidée et Pourpre</t>
        </is>
      </c>
    </row>
    <row r="5080">
      <c r="A5080" t="inlineStr">
        <is>
          <t>eau ret pvp</t>
        </is>
      </c>
      <c r="B5080">
        <f>HYPERLINK("https://www.dofusbook.net/fr/equipement/1332651-eau-ret-pvp/objets", "link")</f>
        <v/>
      </c>
      <c r="C5080" t="n">
        <v>7</v>
      </c>
      <c r="D5080" t="inlineStr">
        <is>
          <t>Dagoulinantes; Amulette de Shokkoth; Anneau Toriété; Alliance Gloursonne; Cadran de Terre; Culotte de Bethel; Casque Dragoeuf; Chevelure de Tal Kasha; Chaussons de Macrab; Dofus Ocre; Dofus Pourpre; Dofus des Glaces; Dofus Ivoire; Étourdisseur majeur; Chanceux majeur; Volkorne Ivoire et Indigo</t>
        </is>
      </c>
    </row>
    <row r="5081">
      <c r="A5081" t="inlineStr">
        <is>
          <t>feu pvp res</t>
        </is>
      </c>
      <c r="B5081">
        <f>HYPERLINK("https://www.dofusbook.net/fr/equipement/3400698-feu-pvp-res/objets", "link")</f>
        <v/>
      </c>
      <c r="C5081" t="n">
        <v>6</v>
      </c>
      <c r="D5081" t="inlineStr">
        <is>
          <t>Baguette de Malléfisk; Pendentif mignon de Koutoulou; Anneau Rifique; Anneauræus; Carapar; Ceinture de Vortex; Casque Dragoeuf; Cape de Diondin; Chaussures Ardentes; Dofus Ivoire; Dofus Ocre; Dofus Abyssal; Érudit majeur; Miraculé majeur; Nomade; Dragodinde Orchidée et Rousse</t>
        </is>
      </c>
    </row>
    <row r="5082">
      <c r="A5082" t="inlineStr">
        <is>
          <t>feu pvp hetype</t>
        </is>
      </c>
      <c r="B5082">
        <f>HYPERLINK("https://www.dofusbook.net/fr/equipement/3401606-feu-pvp-hetype/objets", "link")</f>
        <v/>
      </c>
      <c r="C5082" t="n">
        <v>11</v>
      </c>
      <c r="D5082" t="inlineStr">
        <is>
          <t>Arc Hétype; Amulette de Nileza; Anneau Tique; Anneauræus; Bouclier du Stalak; Ceinture de Vortex; Heaume Oplate; Cape de Nileza; Chaussures Ardentes; Dofus Pourpre; Dofus Abyssal; Dofus Ocre; Dofus Ivoire; Nomade; Érudit majeur; Dragodinde Prune et Orchidée</t>
        </is>
      </c>
    </row>
    <row r="5083">
      <c r="A5083" t="inlineStr">
        <is>
          <t>pvp nrgy volk</t>
        </is>
      </c>
      <c r="B5083">
        <f>HYPERLINK("https://www.dofusbook.net/fr/equipement/3703830-pvp-nrgy-volk/objets", "link")</f>
        <v/>
      </c>
      <c r="C5083" t="n">
        <v>5</v>
      </c>
      <c r="D5083" t="inlineStr">
        <is>
          <t>Arc du Chalœil; Amulette du Strigide; Anneau Volkorne; Bracelet du Piloztère; Cadran de Terre; Ceinture Volkorne; Masque de Koutoulou; Cape au Logis; Bottes du Cœur Saignant; Dofus Nébuleux; Dokoko; Dofus Ocre; Dofus Ivoire; Dofus Pourpre; Enragé majeur; Dragodinde Amande et Pourpre</t>
        </is>
      </c>
    </row>
    <row r="5084">
      <c r="A5084" t="inlineStr">
        <is>
          <t>strik volk atch</t>
        </is>
      </c>
      <c r="B5084">
        <f>HYPERLINK("https://www.dofusbook.net/fr/equipement/2439992-strik-volk-atch/objets", "link")</f>
        <v/>
      </c>
      <c r="C5084" t="n">
        <v>3</v>
      </c>
      <c r="D5084" t="inlineStr">
        <is>
          <t>Sabres d'Atcham; Amulette du Strigide; Alliance Gloursonne; Anneau Volkorne; Bouclier d'Ilyzaelle; Ceinture du Strigide; Casque Volkorne; Cape d'Atcham; Sandales  d'Atcham; Dofus des Glaces; Dofus Pourpre; Dofus Abyssal; Dofus Turquoise; Dofus Ocre; Dofus Ivoire; Muldo Ebène et Orchidée</t>
        </is>
      </c>
    </row>
    <row r="5085">
      <c r="A5085" t="inlineStr">
        <is>
          <t>multi pvm</t>
        </is>
      </c>
      <c r="B5085">
        <f>HYPERLINK("https://www.dofusbook.net/fr/equipement/2481417-multi-pvm/objets", "link")</f>
        <v/>
      </c>
      <c r="C5085" t="n">
        <v>5</v>
      </c>
      <c r="D5085" t="inlineStr">
        <is>
          <t>Hache du Chalœil; Amulette du Strigide; Bracelet du Piloztère; Alliance de Missiz Frizz; Bouclier du Captain Amakna; Ceinture du Strigide; Casque de Missiz Frizz; Dofusteuse; Bottes du Strigide; Dofus Ivoire; Dofus Turquoise; Dofus Abyssal; Dofus Ocre; Dofus des Glaces; Dofus Pourpre; Volkorne Emeraude et Indigo</t>
        </is>
      </c>
    </row>
    <row r="5086">
      <c r="A5086" t="inlineStr">
        <is>
          <t>feu eau pvp</t>
        </is>
      </c>
      <c r="B5086">
        <f>HYPERLINK("https://www.dofusbook.net/fr/equipement/3667397-feu-eau-pvp/objets", "link")</f>
        <v/>
      </c>
      <c r="C5086" t="n">
        <v>5</v>
      </c>
      <c r="D5086" t="inlineStr">
        <is>
          <t>Épée Brûlâme; Amulette Volkorne; Alliance Gloursonne; Anneau Volkorne; Bouclier d'Ilyzaelle; Ceinture Volkorne; Heaume Oplate; Cape de la Dame du Hasard; Bottes de la Dame du Hasard; Dofus Abyssal; Dofus Pourpre; Dofus Ivoire; Dofus Ocre; Dofus des Glaces; Dofus Turquoise; Dragodinde Amande et Emeraude</t>
        </is>
      </c>
    </row>
    <row r="5087">
      <c r="A5087" t="inlineStr">
        <is>
          <t>pvp nrgy volk 2</t>
        </is>
      </c>
      <c r="B5087">
        <f>HYPERLINK("https://www.dofusbook.net/fr/equipement/3703860-pvp-nrgy-volk-2/objets", "link")</f>
        <v/>
      </c>
      <c r="C5087" t="n">
        <v>6</v>
      </c>
      <c r="D5087" t="inlineStr">
        <is>
          <t>Arc du Chalœil; Amulette du Strigide; Anneau Volkorne; Chevalière du Roi Joueur; Quatre-feuilles; Ceinture Volkorne; Couronne du Roi Joueur; Cape au Logis; Bottes du Roi Joueur; Dofus Nébuleux; Dokoko; Dofus Ocre; Dofus Ivoire; Dofus Pourpre; Dofus Abyssal; Dragodinde Amande et Pourpre</t>
        </is>
      </c>
    </row>
    <row r="5088">
      <c r="A5088" t="inlineStr">
        <is>
          <t>pvp nrgy volk</t>
        </is>
      </c>
      <c r="B5088">
        <f>HYPERLINK("https://www.dofusbook.net/fr/equipement/3702424-pvp-nrgy-volk/objets", "link")</f>
        <v/>
      </c>
      <c r="C5088" t="n">
        <v>3</v>
      </c>
      <c r="D5088" t="inlineStr">
        <is>
          <t>Arc du Chalœil; Amulette du Strigide; Chevalière du Roi Joueur; Anneau Volkorne; Bouclier du Stalak; Ceinture Volkorne; Couronne du Roi Joueur; Cape au Logis; Bottes du Roi Joueur; Dofus Pourpre; Dofus Ivoire; Dokoko; Dofus Abyssal; Dofus Nébuleux; Dofus Ocre; Dragodinde Amande et Pourpre</t>
        </is>
      </c>
    </row>
    <row r="5089">
      <c r="A5089" t="inlineStr">
        <is>
          <t>pvp nrgy 3</t>
        </is>
      </c>
      <c r="B5089">
        <f>HYPERLINK("https://www.dofusbook.net/fr/equipement/3702382-pvp-nrgy-3/objets", "link")</f>
        <v/>
      </c>
      <c r="C5089" t="n">
        <v>4</v>
      </c>
      <c r="D5089" t="inlineStr">
        <is>
          <t>Arc du Chalœil; Amulette du Strigide; Anneau Chevelu; Chevalière du Roi Joueur; Bouclier du Stalak; Ceinture du Strigide; Couronne du Roi Joueur; Cape au Logis; Bottes du Roi Joueur; Dofus Abyssal; Dofus Nébuleux; Dofus Ocre; Dofus Pourpre; Dofus Ivoire; Dokoko; Dragodinde Amande et Pourpre</t>
        </is>
      </c>
    </row>
    <row r="5090">
      <c r="A5090" t="inlineStr">
        <is>
          <t>pvp Nrgy</t>
        </is>
      </c>
      <c r="B5090">
        <f>HYPERLINK("https://www.dofusbook.net/fr/equipement/3700452-pvp-nrgy/objets", "link")</f>
        <v/>
      </c>
      <c r="C5090" t="n">
        <v>9</v>
      </c>
      <c r="D5090" t="inlineStr">
        <is>
          <t>Arc du Chalœil; Amulette du Strigide; Bague Gloursonne; Anneau Chevelu; Bouclier cubiste; Ceinture de la Reine des Voleurs; Coiffe de la Reine des Voleurs; Cape au Logis; Bottes Honyme; Dofus Ocre; Dofus Pourpre; Dofus Ivoire; Dofus Abyssal; Dofus Nébuleux; Enragé majeur; Dragodinde Amande et Pourpre</t>
        </is>
      </c>
    </row>
    <row r="5091">
      <c r="A5091" t="inlineStr">
        <is>
          <t>nrgy pvp 2</t>
        </is>
      </c>
      <c r="B5091">
        <f>HYPERLINK("https://www.dofusbook.net/fr/equipement/3702345-nrgy-pvp-2/objets", "link")</f>
        <v/>
      </c>
      <c r="C5091" t="n">
        <v>1</v>
      </c>
      <c r="D5091" t="inlineStr">
        <is>
          <t>Arc du Chalœil; Amulette du Strigide; Anneau Toriété; Anneau Chevelu; Bouclier cubiste; Ceinture de la Reine des Voleurs; Coiffe de la Reine des Voleurs; Voile d'encre; Bottes du Strigide; Dofus Turquoise; Dofus Nébuleux; Dofus Ocre; Dofus Pourpre; Dofus Ivoire; Volkorne Pourpre</t>
        </is>
      </c>
    </row>
    <row r="5092">
      <c r="A5092" t="inlineStr">
        <is>
          <t>pvp eau/air ral</t>
        </is>
      </c>
      <c r="B5092">
        <f>HYPERLINK("https://www.dofusbook.net/fr/equipement/3348552-pvp-eau-air-ral/objets", "link")</f>
        <v/>
      </c>
      <c r="C5092" t="n">
        <v>6</v>
      </c>
      <c r="D5092" t="inlineStr">
        <is>
          <t>Sceptre du Roi Joueur; Amulette Voldelor; Bracelet des Fonds marins; Alliance Gloursonne; Bouclier d'Ilyzaelle; Menoture; Masque d'Anerice; Chevelure de Tal Kasha; Sandales de Tal Kasha; Dofus Ivoire; Dofus Abyssal; Cascadeur majeur; Engourdisseur majeur; Étourdisseur majeur; Remueur; Muldo Ebène</t>
        </is>
      </c>
    </row>
    <row r="5093">
      <c r="A5093" t="inlineStr">
        <is>
          <t>do pou res</t>
        </is>
      </c>
      <c r="B5093">
        <f>HYPERLINK("https://www.dofusbook.net/fr/equipement/3403086-do-pou-res/objets", "link")</f>
        <v/>
      </c>
      <c r="C5093" t="n">
        <v>12</v>
      </c>
      <c r="D5093" t="inlineStr">
        <is>
          <t>Lav'Hache; Torquistik; Anneau de Pol Ouatnos; Bague Trithon; Bouclier précieux; Ceinture Gence; Casque Dragoeuf; Cape du Cœur Vaillant; Bottistik; Dofus Ivoire; Culbuteur majeur; Pousseur majeur; Bousculeur; Bousculeur majeur; Culbuteur; Volkorne Roux</t>
        </is>
      </c>
    </row>
    <row r="5094">
      <c r="A5094" t="inlineStr">
        <is>
          <t>feu pvpm PO</t>
        </is>
      </c>
      <c r="B5094">
        <f>HYPERLINK("https://www.dofusbook.net/fr/equipement/3672341-feu-pvpm-po-/objets", "link")</f>
        <v/>
      </c>
      <c r="C5094" t="n">
        <v>3</v>
      </c>
      <c r="D5094" t="inlineStr">
        <is>
          <t>Arc Hétype; Pendentif mignon de Koutoulou; Anneau Rifique; Anneauræus; Carapar; Ceinture de Vortex; Casque Dragoeuf; Cape de Diondin; Chaussures Ardentes; Dofus Ocre; Dofus Abyssal; Dofus Ivoire; Nomade; Érudit majeur; Observateur; Dragodinde Orchidée et Rousse</t>
        </is>
      </c>
    </row>
    <row r="5095">
      <c r="A5095" t="inlineStr">
        <is>
          <t>ceinture vv/alli</t>
        </is>
      </c>
      <c r="B5095">
        <f>HYPERLINK("https://www.dofusbook.net/fr/equipement/863648-ceinture-vv-alli/objets", "link")</f>
        <v/>
      </c>
      <c r="C5095" t="n">
        <v>2</v>
      </c>
      <c r="D5095" t="inlineStr">
        <is>
          <t>Manthache; Collier du Valet Veinard; Anneau d'Allister; Gant du Valet Veinard; Bouclier du Stalak; Ceinture Billonnante; Couronne d'Allister; Cape du Valet Veinard; Bottes d'Allister; Dofus des Glaces; Dofus Ocre; Dofus Abyssal; Dofus Pourpre; Dofus Vulbis; Dofus Ivoire; Dragodinde Amande et Ebène</t>
        </is>
      </c>
    </row>
    <row r="5096">
      <c r="A5096" t="inlineStr">
        <is>
          <t>eau/air nebu</t>
        </is>
      </c>
      <c r="B5096">
        <f>HYPERLINK("https://www.dofusbook.net/fr/equipement/710316-eau-air-nebu/objets", "link")</f>
        <v/>
      </c>
      <c r="C5096" t="n">
        <v>2</v>
      </c>
      <c r="D5096" t="inlineStr">
        <is>
          <t>Marteau des Anciens Steamers; Amulette d'Ilyzaelle; Alliance Gloursonne; Anneau Volkorne; Bouclier d'Ilyzaelle; Ceinture Volkorne; Casque d'Ilyzaelle; Dofusteuse; Bottes Honyme; Dofus Nébuleux; Dofus Émeraude; Dofus Pourpre; Dofus Ivoire; Dofus Abyssal; Dofus des Glaces; Muldo Ebène et Indigo</t>
        </is>
      </c>
    </row>
    <row r="5097">
      <c r="A5097" t="inlineStr">
        <is>
          <t>multi no cc</t>
        </is>
      </c>
      <c r="B5097">
        <f>HYPERLINK("https://www.dofusbook.net/fr/equipement/2548855-multi-no-cc/objets", "link")</f>
        <v/>
      </c>
      <c r="C5097" t="n">
        <v>3</v>
      </c>
      <c r="D5097" t="inlineStr">
        <is>
          <t>Arc Honte; Amulette Volkorne; Anneau Volkorne; Alliance Gloursonne; Bouclier du Stalak; Ceinture de l'Esprit Salvateur; Masque de l'Esprit Salvateur; Dofusteuse; Bottes de l'Esprit Salvateur; Dofus Abyssal; Dofus des Glaces; Dofus Ivoire; Dolmanax; Dofus Ocre; Dofus Pourpre; Muldo Ebène et Pourpre</t>
        </is>
      </c>
    </row>
    <row r="5098">
      <c r="A5098" t="inlineStr">
        <is>
          <t>air pvp</t>
        </is>
      </c>
      <c r="B5098">
        <f>HYPERLINK("https://www.dofusbook.net/fr/equipement/3658408-air-pvp-/objets", "link")</f>
        <v/>
      </c>
      <c r="C5098" t="n">
        <v>3</v>
      </c>
      <c r="D5098" t="inlineStr">
        <is>
          <t>Manthache; Collier du Valet Veinard; Alliance Gloursonne; Gant du Valet Veinard; Bouclier du Stalak; Menoture; Dorabysses; Cape Indescriptible; Palmes Trithons; Dofus Pourpre; Dofus Abyssal; Dofus Ocre; Dofus Ivoire; Cascadeur majeur; Vigoureux majeur; Muldo Ebène</t>
        </is>
      </c>
    </row>
    <row r="5099">
      <c r="A5099" t="inlineStr">
        <is>
          <t>nebu/full feu pvm</t>
        </is>
      </c>
      <c r="B5099">
        <f>HYPERLINK("https://www.dofusbook.net/fr/equipement/2481336-nebu-full-feu-pvm/objets", "link")</f>
        <v/>
      </c>
      <c r="C5099" t="n">
        <v>5</v>
      </c>
      <c r="D5099" t="inlineStr">
        <is>
          <t>Sabres d'Atcham; Amulette Volkorne; Bracelet du Piloztère; Anneau Volkorne; Bouclier du Captain Amakna; Ceinture du Strigide; Casque Volkorne; Cape d'Atcham; Sandales  d'Atcham; Dofus Ivoire; Dofus des Glaces; Dofus Pourpre; Dofus Ocre; Dofus Turquoise; Dolmanax; Volkorne Emeraude et Orchidée</t>
        </is>
      </c>
    </row>
    <row r="5100">
      <c r="A5100" t="inlineStr">
        <is>
          <t>Volkorne dofusteuse</t>
        </is>
      </c>
      <c r="B5100">
        <f>HYPERLINK("https://www.dofusbook.net/fr/equipement/3447779-volkorne-dofusteuse/objets", "link")</f>
        <v/>
      </c>
      <c r="C5100" t="n">
        <v>8</v>
      </c>
      <c r="D5100" t="inlineStr">
        <is>
          <t>Arc Volkorne; Amulette du Strigide; Bracelet du Piloztère; Anneau Volkorne; Quatre-feuilles; Ceinture du Strigide; Casque Volkorne; Dofusteuse; Bottes du Strigide; Dofus Ivoire; Dofus Turquoise; Dolmanax; Dofus Ocre; Dofus des Glaces; Dofus Pourpre; Muldo Prune et Emeraude</t>
        </is>
      </c>
    </row>
    <row r="5101">
      <c r="A5101" t="inlineStr">
        <is>
          <t>terre/feu 12/6 dist</t>
        </is>
      </c>
      <c r="B5101">
        <f>HYPERLINK("https://www.dofusbook.net/fr/equipement/3653362-terre-feu-12-6-dist/objets", "link")</f>
        <v/>
      </c>
      <c r="C5101" t="n">
        <v>6</v>
      </c>
      <c r="D5101" t="inlineStr">
        <is>
          <t>Bâthon; Amulette du Strigide; Chevalière du Roi Joueur; Bague Gloursonne; Quatre-feuilles; Ceinture du Strigide; Couronne du Roi Joueur; Voile d'encre; Bottes du Roi Joueur; Dofus des Glaces; Dofus Vulbis; Dofus Pourpre; Dofus Ocre; Dofus Turquoise; Dolmanax; Volkorne Emeraude et Pourpre</t>
        </is>
      </c>
    </row>
    <row r="5102">
      <c r="A5102" t="inlineStr">
        <is>
          <t>air tilus</t>
        </is>
      </c>
      <c r="B5102">
        <f>HYPERLINK("https://www.dofusbook.net/fr/equipement/3629725-air-tilus/objets", "link")</f>
        <v/>
      </c>
      <c r="C5102" t="n">
        <v>2</v>
      </c>
      <c r="D5102" t="inlineStr">
        <is>
          <t>Pelle de la Cour Sombre; Amulette du Strigide; Anneau Tilus; Anneau de Padgref; Quatre-feuilles; Ceinture du Strigide; Coiffe de Padgref; Cape Indescriptible; Getas de Padgref; Dofus des Glaces; Dofus Turquoise; Dofus Abyssal; Dofus Vulbis; Dofus Ocre; Dofus Pourpre; Volkorne Emeraude et Ebène</t>
        </is>
      </c>
    </row>
    <row r="5103">
      <c r="A5103" t="inlineStr">
        <is>
          <t>volk atch stri</t>
        </is>
      </c>
      <c r="B5103">
        <f>HYPERLINK("https://www.dofusbook.net/fr/equipement/3455640-volk-atch-stri/objets", "link")</f>
        <v/>
      </c>
      <c r="C5103" t="n">
        <v>3</v>
      </c>
      <c r="D5103" t="inlineStr">
        <is>
          <t>Sabres d'Atcham; Amulette du Strigide; Anneau Volkorne; Anneau de Padgref; Quatre-feuilles; Ceinture du Strigide; Casque Volkorne; Cape d'Atcham; Bottes du Strigide; Dofus Ocre; Dolmanax; Dofus des Glaces; Dofus Turquoise; Dofus Pourpre; Dofus Ivoire; Muldo Prune et Emeraude</t>
        </is>
      </c>
    </row>
    <row r="5104">
      <c r="A5104" t="inlineStr">
        <is>
          <t>stri volk eau air</t>
        </is>
      </c>
      <c r="B5104">
        <f>HYPERLINK("https://www.dofusbook.net/fr/equipement/3651442-stri-volk-eau-air/objets", "link")</f>
        <v/>
      </c>
      <c r="C5104" t="n">
        <v>5</v>
      </c>
      <c r="D5104" t="inlineStr">
        <is>
          <t>Arc de Koutoulou; Amulette du Strigide; Bracelet du Piloztère; Anneau Volkorne; Quatre-feuilles; Ceinture du Strigide; Casque Volkorne; Chevelure de Tal Kasha; Bottes du Strigide; Dofus Ocre; Dofus des Glaces; Dofus Turquoise; Dofus Vulbis; Dofus Pourpre; Dofus Ivoire; Dragodinde Emeraude et Ivoire</t>
        </is>
      </c>
    </row>
    <row r="5105">
      <c r="A5105" t="inlineStr">
        <is>
          <t>eau air volk</t>
        </is>
      </c>
      <c r="B5105">
        <f>HYPERLINK("https://www.dofusbook.net/fr/equipement/3401514-eau-air-volk/objets", "link")</f>
        <v/>
      </c>
      <c r="C5105" t="n">
        <v>6</v>
      </c>
      <c r="D5105" t="inlineStr">
        <is>
          <t>Sabres d'Atcham; Amulette du Strigide; Bracelet du Piloztère; Anneau Volkorne; Quatre-feuilles; Ceinture du Strigide; Casque Volkorne; Cape d'Atcham; Sandales  d'Atcham; Dofus Abyssal; Dofus Ivoire; Dofus Ocre; Dofus Pourpre; Dofus des Glaces; Dofus Turquoise; Volkorne Emeraude et Ebène</t>
        </is>
      </c>
    </row>
    <row r="5106">
      <c r="A5106" t="inlineStr">
        <is>
          <t>stri rj</t>
        </is>
      </c>
      <c r="B5106">
        <f>HYPERLINK("https://www.dofusbook.net/fr/equipement/3612877-stri-rj/objets", "link")</f>
        <v/>
      </c>
      <c r="C5106" t="n">
        <v>1</v>
      </c>
      <c r="D5106" t="inlineStr">
        <is>
          <t>Dagues d'Ilyzaelle; Amulette du Strigide; Bague Gloursonne; Chevalière du Roi Joueur; Quatre-feuilles; Ceinture du Strigide; Couronne du Roi Joueur; Voile d'encre; Bottes du Roi Joueur; Dofus Abyssal; Dofus Ocre; Dofus des Glaces; Dofus Pourpre; Dofus Ivoire; Dofus Turquoise; Volkorne Emeraude et Pourpre</t>
        </is>
      </c>
    </row>
    <row r="5107">
      <c r="A5107" t="inlineStr">
        <is>
          <t>feu eau</t>
        </is>
      </c>
      <c r="B5107">
        <f>HYPERLINK("https://www.dofusbook.net/fr/equipement/3620780-feu-eau/objets", "link")</f>
        <v/>
      </c>
      <c r="C5107" t="n">
        <v>4</v>
      </c>
      <c r="D5107" t="inlineStr">
        <is>
          <t>Pelle de Katrepat; Amulette Volkorne; Lavanneau; Anneau Volkorne; Bouclier d'Ilyzaelle; Poulpagne; Capuche de l'Œil Putride; Cape Solution; Bottes Owesli; Dofus des Glaces; Sanguinaire majeur; Chanceux majeur; Érudit majeur; Nomade; Féroce majeur; Dragodinde Indigo et Orchidée</t>
        </is>
      </c>
    </row>
    <row r="5108">
      <c r="A5108" t="inlineStr">
        <is>
          <t>eau air 2</t>
        </is>
      </c>
      <c r="B5108">
        <f>HYPERLINK("https://www.dofusbook.net/fr/equipement/3620870-eau-air-2/objets", "link")</f>
        <v/>
      </c>
      <c r="C5108" t="n">
        <v>4</v>
      </c>
      <c r="D5108" t="inlineStr">
        <is>
          <t>Arc Ahique; Amulette d'Ilyzaelle; Gant du Valet Veinard; Alliance Gloursonne; Bouclier d'Ilyzaelle; Ceinture de la Reine des Voleurs; Casque d'Ilyzaelle; Cape du Valet Veinard; Bottes de la Reine des Voleurs; Dofus Émeraude; Dofus Ocre; Dofus des Glaces; Dolmanax; Dragodinde Ebène et Indigo</t>
        </is>
      </c>
    </row>
    <row r="5109">
      <c r="A5109" t="inlineStr">
        <is>
          <t>terre air</t>
        </is>
      </c>
      <c r="B5109">
        <f>HYPERLINK("https://www.dofusbook.net/fr/equipement/2919244-terre-air/objets", "link")</f>
        <v/>
      </c>
      <c r="C5109" t="n">
        <v>6</v>
      </c>
      <c r="D5109" t="inlineStr">
        <is>
          <t>Épée de la Reine des Voleurs; Amulette du Cycloïde; Alliance Gloursonne; Anneau de la Fuji Givrefoux; Bouclier précieux; Ceinture de la Reine des Voleurs; Coiffe de la Reine des Voleurs; Cape du Kamasterisk; Baleinabottes; Dofus Émeraude; Dofus des Glaces; Enragé majeur; Sanguinaire majeur; Cascadeur majeur; Féroce majeur; Volkorne Pourpre et Ebène</t>
        </is>
      </c>
    </row>
    <row r="5110">
      <c r="A5110" t="inlineStr">
        <is>
          <t>do crit</t>
        </is>
      </c>
      <c r="B5110">
        <f>HYPERLINK("https://www.dofusbook.net/fr/equipement/3605384-do-crit/objets", "link")</f>
        <v/>
      </c>
      <c r="C5110" t="n">
        <v>1</v>
      </c>
      <c r="D5110" t="inlineStr">
        <is>
          <t>Baguette Range; Amulette du Strigide; Anneau de Padgref; Kralano; Quatre-feuilles; Ceinture du Strigide; Coiffe de Padgref; Cape Lati; Getas de Padgref; Dofus Ocre; Dofus Pourpre; Dofus des Glaces; Dofus Turquoise; Dofus Abyssal; Dofus Ivoire; Muldo Prune et Emeraude</t>
        </is>
      </c>
    </row>
    <row r="5111">
      <c r="A5111" t="inlineStr">
        <is>
          <t>terre 12pa</t>
        </is>
      </c>
      <c r="B5111">
        <f>HYPERLINK("https://www.dofusbook.net/fr/equipement/3612949-terre-12pa/objets", "link")</f>
        <v/>
      </c>
      <c r="C5111" t="n">
        <v>4</v>
      </c>
      <c r="D5111" t="inlineStr">
        <is>
          <t>Arc du Chalœil; Amulette du Cœur Saignant; Alliance de Missiz Frizz; Anneau de Brouce; Quatre-feuilles; Ceinture de Brouce; Casque de Missiz Frizz; Cape du Cœur Saignant; Bottes de Brouce; Dofus Ivoire; Dofus Pourpre; Dofus Ocre; Dofus Turquoise; Dofus Abyssal; Forcené majeur; Volkorne Emeraude et Pourpre</t>
        </is>
      </c>
    </row>
    <row r="5112">
      <c r="A5112" t="inlineStr">
        <is>
          <t>pad volk égarés</t>
        </is>
      </c>
      <c r="B5112">
        <f>HYPERLINK("https://www.dofusbook.net/fr/equipement/3597187-pad-volk-egares/objets", "link")</f>
        <v/>
      </c>
      <c r="C5112" t="n">
        <v>4</v>
      </c>
      <c r="D5112" t="inlineStr">
        <is>
          <t>Marteau des égarés; Amulette Volkorne; Anneau Volkorne; Anneau de Padgref; Bouclier du Captain Amakna; Ceinture Volkorne; Coiffe de Padgref; Chevelure de Tal Kasha; Getas de Padgref; Dolmanax; Dofus Ocre; Dofus des Glaces; Dofus Pourpre; Dofus Ivoire; Dofus Turquoise; Dragodinde Emeraude et Ivoire</t>
        </is>
      </c>
    </row>
    <row r="5113">
      <c r="A5113" t="inlineStr">
        <is>
          <t>air DD</t>
        </is>
      </c>
      <c r="B5113">
        <f>HYPERLINK("https://www.dofusbook.net/fr/equipement/2239475-air-dd/objets", "link")</f>
        <v/>
      </c>
      <c r="C5113" t="n">
        <v>4</v>
      </c>
      <c r="D5113" t="inlineStr">
        <is>
          <t>Dagues Érhy; Collier du Valet Veinard; Alliance Gloursonne; Gant du Valet Veinard; Bouclier du Stalak; Menoture; Couronne d'Allister; Cape du Kamasterisk; Baleinabottes; Dofus des Glaces; Cascadeur majeur; Nomade; Saccageur Air majeur; Dévastateur Air majeur; Sanguinaire majeur; Dragodinde Dorée et Ebène</t>
        </is>
      </c>
    </row>
    <row r="5114">
      <c r="A5114" t="inlineStr">
        <is>
          <t>feu air</t>
        </is>
      </c>
      <c r="B5114">
        <f>HYPERLINK("https://www.dofusbook.net/fr/equipement/3567217-feu-air-/objets", "link")</f>
        <v/>
      </c>
      <c r="C5114" t="n">
        <v>5</v>
      </c>
      <c r="D5114" t="inlineStr">
        <is>
          <t>Arc Honte; Pendentif mignon de Koutoulou; Anneau Rifique; Anneauræus; Bouclier du Stalak; Ceinture Billonnante; Le Dorado; Cape Martegel; Palmes Trithons; Dofus Pourpre; Dofus Ivoire; Dofus des Glaces; Dofus Ocre; Vigoureux majeur; Nomade; Dragodinde Ebène et Orchidée</t>
        </is>
      </c>
    </row>
    <row r="5115">
      <c r="A5115" t="inlineStr">
        <is>
          <t>volk feu</t>
        </is>
      </c>
      <c r="B5115">
        <f>HYPERLINK("https://www.dofusbook.net/fr/equipement/3554403-volk-feu/objets", "link")</f>
        <v/>
      </c>
      <c r="C5115" t="n">
        <v>4</v>
      </c>
      <c r="D5115" t="inlineStr">
        <is>
          <t>Amulette du Strigide; Bracelet du Piloztère; Anneau de Brouce; Cadran de Feu; Ceinture Gence; Masque de Koutoulou; Cape au Logis; Bottes du Strigide; Dofus Ivoire; Dofus Abyssal; Dokoko; Miraculé majeur; Entraveur majeur; Temporiseur majeur; Dragodinde Emeraude et Pourpre</t>
        </is>
      </c>
    </row>
    <row r="5116">
      <c r="A5116" t="inlineStr">
        <is>
          <t>volk terre</t>
        </is>
      </c>
      <c r="B5116">
        <f>HYPERLINK("https://www.dofusbook.net/fr/equipement/3554374-volk-terre/objets", "link")</f>
        <v/>
      </c>
      <c r="C5116" t="n">
        <v>4</v>
      </c>
      <c r="D5116" t="inlineStr">
        <is>
          <t>Amulette du Strigide; Anneau Chevelu; Bague Gloursonne; Bouclier d'Ilyzaelle; Ceinture du Strigide; Masque de Koutoulou; Cape au Logis; Sabots Minables; Dofus Ivoire; Dofus Abyssal; Dokoko; Dofus Nébuleux; Miraculé majeur; Carapace Terre majeur; Dragodinde Emeraude et Pourpre</t>
        </is>
      </c>
    </row>
    <row r="5117">
      <c r="A5117" t="inlineStr">
        <is>
          <t>Pvm air 12pa</t>
        </is>
      </c>
      <c r="B5117">
        <f>HYPERLINK("https://www.dofusbook.net/fr/equipement/3554653-pvm-air-12pa/objets", "link")</f>
        <v/>
      </c>
      <c r="C5117" t="n">
        <v>2</v>
      </c>
      <c r="D5117" t="inlineStr">
        <is>
          <t>Manthache; Collier du Valet Veinard; Alliance Gloursonne; Gant du Valet Veinard; Bouclier du Stalak; Ceinture Volkorne; Casque Volkorne; Cape du Valet Veinard; Palmes Trithons; Dofus des Glaces; Dofus Pourpre; Dofus Vulbis; Dofus Ocre; Robuste majeur; Equilibriste majeur; Volkorne Ebène</t>
        </is>
      </c>
    </row>
    <row r="5118">
      <c r="A5118" t="inlineStr">
        <is>
          <t>terre pvp</t>
        </is>
      </c>
      <c r="B5118">
        <f>HYPERLINK("https://www.dofusbook.net/fr/equipement/3550409-terre-pvp-/objets", "link")</f>
        <v/>
      </c>
      <c r="C5118" t="n">
        <v>6</v>
      </c>
      <c r="D5118" t="inlineStr">
        <is>
          <t>Hache Téroïde; Amulette Volkorne; Anneau Chevelu; Pikano; Bouclier de Solar; Ceinture Volkorne; Masque de Koutoulou; Cape au Logis; Sabots Minables; Dofus Pourpre; Dofus Abyssal; Dofus Ivoire; Dofus Forgelave; Miraculé majeur; Enragé majeur; Croum</t>
        </is>
      </c>
    </row>
    <row r="5119">
      <c r="A5119" t="inlineStr">
        <is>
          <t>eau air volk</t>
        </is>
      </c>
      <c r="B5119">
        <f>HYPERLINK("https://www.dofusbook.net/fr/equipement/3548162-eau-air-volk/objets", "link")</f>
        <v/>
      </c>
      <c r="C5119" t="n">
        <v>5</v>
      </c>
      <c r="D5119" t="inlineStr">
        <is>
          <t>Arc de Koutoulou; Collier du Valet Veinard; Anneau Volkorne; Gant du Valet Veinard; Bouclier du Stalak; Ceinture du Strigide; Casque Volkorne; Cape du Valet Veinard; Bottes du Strigide; Dolmanax; Dofus Vulbis; Dofus des Glaces; Dofus Pourpre; Dofus Ocre; Robuste majeur; Dragodinde Ebène et Ivoire</t>
        </is>
      </c>
    </row>
    <row r="5120">
      <c r="A5120" t="inlineStr">
        <is>
          <t>PVP air/eau</t>
        </is>
      </c>
      <c r="B5120">
        <f>HYPERLINK("https://www.dofusbook.net/fr/equipement/2919342-pvp-air-eau/objets", "link")</f>
        <v/>
      </c>
      <c r="C5120" t="n">
        <v>4</v>
      </c>
      <c r="D5120" t="inlineStr">
        <is>
          <t>Arc de Koutoulou; Amulette d'Ilyzaelle; Alliance Gloursonne; Gant du Valet Veinard; Bouclier du Stalak; Menoture; Casque d'Ilyzaelle; Cape du Valet Veinard; Palmes Trithons; Dokoko; Dofus Ivoire; Dofus Vulbis; Dofus des Glaces; Dofus Pourpre; Dofus Ocre; Croum</t>
        </is>
      </c>
    </row>
    <row r="5121">
      <c r="A5121" t="inlineStr">
        <is>
          <t>cancer</t>
        </is>
      </c>
      <c r="B5121">
        <f>HYPERLINK("https://www.dofusbook.net/fr/equipement/2488515-cancer/objets", "link")</f>
        <v/>
      </c>
      <c r="C5121" t="n">
        <v>21</v>
      </c>
      <c r="D5121" t="inlineStr">
        <is>
          <t>Lav'Hache; Collier de Tourthon; Anneau Crustique; Anneau Crustique; Sept ans de malheur; Ceintouse; Masque de Koutoulou; Cape au Logis; Tentassons; Dofus Pourpre; Dofus Émeraude; Dofus Abyssal; Dofus Ivoire; Étourdisseur majeur; Obstructeur majeur; Volkorne Jade et Ivoire</t>
        </is>
      </c>
    </row>
    <row r="5122">
      <c r="A5122" t="inlineStr">
        <is>
          <t>eau cc 12pa</t>
        </is>
      </c>
      <c r="B5122">
        <f>HYPERLINK("https://www.dofusbook.net/fr/equipement/3514129-eau-cc-12pa/objets", "link")</f>
        <v/>
      </c>
      <c r="C5122" t="n">
        <v>8</v>
      </c>
      <c r="D5122" t="inlineStr">
        <is>
          <t>Dagoulinantes; Amulette du Strigide; Anneau Volkorne; Bracelet du Piloztère; Quatre-feuilles; Ceinture du Strigide; Capuche de l'Œil Attentif; Cape de Mantaze; Bottes du Strigide; Dofus Abyssal; Dofus Ocre; Dofus Turquoise; Dofus Pourpre; Dofus Vulbis; Dofus des Glaces; Volkorne Emeraude et Indigo</t>
        </is>
      </c>
    </row>
    <row r="5123">
      <c r="A5123" t="inlineStr">
        <is>
          <t>terre anneau classe</t>
        </is>
      </c>
      <c r="B5123">
        <f>HYPERLINK("https://www.dofusbook.net/fr/equipement/3517201-terre-anneau-classe/objets", "link")</f>
        <v/>
      </c>
      <c r="C5123" t="n">
        <v>3</v>
      </c>
      <c r="D5123" t="inlineStr">
        <is>
          <t>Arc du Chalœil; Collier de Tourthon; Mitaine Aibre; Anneau de Brouce; Bouclier du Stalak; Ceinture de la Reine des Voleurs; Coiffe de la Reine des Voleurs; Cape au Logis; Bottes Honyme; Dokoko; Dofus Abyssal; Dofus des Glaces; Dofus Ocre; Dofus Ivoire; Enragé majeur; Dragodinde Prune et Pourpre</t>
        </is>
      </c>
    </row>
    <row r="5124">
      <c r="A5124" t="inlineStr">
        <is>
          <t>PVM eau cc</t>
        </is>
      </c>
      <c r="B5124">
        <f>HYPERLINK("https://www.dofusbook.net/fr/equipement/2588972-pvm-eau-cc/objets", "link")</f>
        <v/>
      </c>
      <c r="C5124" t="n">
        <v>5</v>
      </c>
      <c r="D5124" t="inlineStr">
        <is>
          <t>Dagoulinantes; Amulette du Strigide; Bracelet du Piloztère; Alliance Gloursonne; Quatre-feuilles; Ceinture du Strigide; Capuche de l'Œil Attentif; Cape de Mantaze; Bottes du Strigide; Dofus Vulbis; Dofus des Glaces; Dofus Abyssal; Dofus Ocre; Dofus Turquoise; Dofus Pourpre; Volkorne Emeraude et Indigo</t>
        </is>
      </c>
    </row>
    <row r="5125">
      <c r="A5125" t="inlineStr">
        <is>
          <t>12pa PVM full terre</t>
        </is>
      </c>
      <c r="B5125">
        <f>HYPERLINK("https://www.dofusbook.net/fr/equipement/3438320-12pa-pvm-full-terre-/objets", "link")</f>
        <v/>
      </c>
      <c r="C5125" t="n">
        <v>10</v>
      </c>
      <c r="D5125" t="inlineStr">
        <is>
          <t>Dagues d'Ilyzaelle; Amulette du Cœur Saignant; Anneau de Brouce; Alliance de Missiz Frizz; Bouclier du Captain Amakna; Ceinture de Brouce; Casque de Missiz Frizz; Cape du Cœur Saignant; Bottes de Brouce; Dofus Ivoire; Dofus Pourpre; Dofus Ocre; Dofus Turquoise; Dofus Vulbis; Forcené majeur; Volkorne Emeraude et Pourpre</t>
        </is>
      </c>
    </row>
    <row r="5126">
      <c r="A5126" t="inlineStr">
        <is>
          <t>pvm eau cc volk</t>
        </is>
      </c>
      <c r="B5126">
        <f>HYPERLINK("https://www.dofusbook.net/fr/equipement/3511009-pvm-eau-cc-volk/objets", "link")</f>
        <v/>
      </c>
      <c r="C5126" t="n">
        <v>2</v>
      </c>
      <c r="D5126" t="inlineStr">
        <is>
          <t>Dagoulinantes; Amulette du Strigide; Bracelet du Piloztère; Anneau Volkorne; Quatre-feuilles; Ceinture du Strigide; Casque Volkorne; Cape de Mantaze; Bottes du Strigide; Dofus Abyssal; Dofus Ocre; Dofus Turquoise; Dofus Pourpre; Dofus Vulbis; Dofus des Glaces; Volkorne Emeraude et Indigo</t>
        </is>
      </c>
    </row>
    <row r="5127">
      <c r="A5127" t="inlineStr">
        <is>
          <t>ret eau/air</t>
        </is>
      </c>
      <c r="B5127">
        <f>HYPERLINK("https://www.dofusbook.net/fr/equipement/3487541-ret-eau-air/objets", "link")</f>
        <v/>
      </c>
      <c r="C5127" t="n">
        <v>3</v>
      </c>
      <c r="D5127" t="inlineStr">
        <is>
          <t>Hache du Korriandre; Amulette de Pol Ouatnos; Anneau Volkorne; Alliance Gloursonne; Bouclier cubiste; Menoture; Casque Volkorne; Cape de l'Œil Attentif; Palmes Trithons; Dofus Ivoire; Dofus Abyssal; Dofus Pourpre; Dofus des Glaces; Vigoureux majeur; Étourdisseur majeur; Volkorne Ivoire et Turquoise</t>
        </is>
      </c>
    </row>
    <row r="5128">
      <c r="A5128" t="inlineStr">
        <is>
          <t>pvp volk 12</t>
        </is>
      </c>
      <c r="B5128">
        <f>HYPERLINK("https://www.dofusbook.net/fr/equipement/3483896-pvp-volk-12/objets", "link")</f>
        <v/>
      </c>
      <c r="C5128" t="n">
        <v>4</v>
      </c>
      <c r="D5128" t="inlineStr">
        <is>
          <t>Hache du Chalœil; Amulette Volkorne; Bague Trithon; Anneau Volkorne; Quatre-feuilles; Ceinture Volkorne; Masque Trithon; Voile d'encre; Bottes Trithon; Dofus Ivoire; Dofus Turquoise; Dofus Nébuleux; Dofus Ocre; Dofus des Glaces; Dofus Pourpre; Volkorne Jade et Améthyste</t>
        </is>
      </c>
    </row>
    <row r="5129">
      <c r="A5129" t="inlineStr">
        <is>
          <t>pvp volkorne</t>
        </is>
      </c>
      <c r="B5129">
        <f>HYPERLINK("https://www.dofusbook.net/fr/equipement/3449619-pvp-volkorne/objets", "link")</f>
        <v/>
      </c>
      <c r="C5129" t="n">
        <v>3</v>
      </c>
      <c r="D5129" t="inlineStr">
        <is>
          <t>Sabres d'Atcham; Amulette Volkorne; Alliance Gloursonne; Anneau Volkorne; Bouclier d'Ilyzaelle; Ceinture Volkorne; Casque Dragoeuf; Cape d'Atcham; Sandales  d'Atcham; Dofus des Glaces; Dofus Pourpre; Dofus Ivoire; Dofus Turquoise; Dofus Abyssal; Dofus Ocre; Volkorne Améthyste</t>
        </is>
      </c>
    </row>
    <row r="5130">
      <c r="A5130" t="inlineStr">
        <is>
          <t>12 StriFrizCheap</t>
        </is>
      </c>
      <c r="B5130">
        <f>HYPERLINK("https://www.dofusbook.net/fr/equipement/3449429-12-strifrizcheap/objets", "link")</f>
        <v/>
      </c>
      <c r="C5130" t="n">
        <v>7</v>
      </c>
      <c r="D5130" t="inlineStr">
        <is>
          <t>Hache du Chalœil; Amulette du Strigide; Bracelet du Piloztère; Alliance de Missiz Frizz; Quatre-feuilles; Ceinture du Strigide; Casque de Missiz Frizz; Voile d'encre; Bottes du Strigide; Dofus des Glaces; Dofus Pourpre; Dofus Ivoire; Dofus Turquoise; Dofus Abyssal; Dofus Ocre; Kwaltess</t>
        </is>
      </c>
    </row>
    <row r="5131">
      <c r="A5131" t="inlineStr">
        <is>
          <t>12 StriFrizOpti</t>
        </is>
      </c>
      <c r="B5131">
        <f>HYPERLINK("https://www.dofusbook.net/fr/equipement/3482164-12-strifrizopti/objets", "link")</f>
        <v/>
      </c>
      <c r="C5131" t="n">
        <v>1</v>
      </c>
      <c r="D5131" t="inlineStr">
        <is>
          <t>Hache du Chalœil; Amulette du Strigide; Bracelet du Piloztère; Alliance de Missiz Frizz; Quatre-feuilles; Ceinture du Strigide; Casque de Missiz Frizz; Voile d'encre; Bottes du Strigide; Dofus des Glaces; Dofus Pourpre; Dofus Ivoire; Dofus Turquoise; Dofus Vulbis; Dofus Ocre; Volkorne Emeraude et Pourpre</t>
        </is>
      </c>
    </row>
    <row r="5132">
      <c r="A5132" t="inlineStr">
        <is>
          <t>12 pa strichal</t>
        </is>
      </c>
      <c r="B5132">
        <f>HYPERLINK("https://www.dofusbook.net/fr/equipement/3482122-12-pa-strichal/objets", "link")</f>
        <v/>
      </c>
      <c r="C5132" t="n">
        <v>2</v>
      </c>
      <c r="D5132" t="inlineStr">
        <is>
          <t>Hache du Chalœil; Amulette du Strigide; Bracelet du Piloztère; Alliance de Missiz Frizz; Quatre-feuilles; Ceinture du Strigide; Casque du Chalœil; Cape du Chalœil; Bottes du Chalœil; Dofus Ivoire; Dofus Turquoise; Dofus Ocre; Dofus des Glaces; Dofus Pourpre; Voyageur; Kwaltess</t>
        </is>
      </c>
    </row>
    <row r="5133">
      <c r="A5133" t="inlineStr">
        <is>
          <t>terre/feu 12pa volk</t>
        </is>
      </c>
      <c r="B5133">
        <f>HYPERLINK("https://www.dofusbook.net/fr/equipement/3481849-terre-feu-12pa-volk/objets", "link")</f>
        <v/>
      </c>
      <c r="C5133" t="n">
        <v>5</v>
      </c>
      <c r="D5133" t="inlineStr">
        <is>
          <t>Epée Toche; Amulette Volkorne; Chevalière du Roi Joueur; Anneau Chevelu; Bouclier d'Ilyzaelle; Ceinture Volkorne; Couronne du Roi Joueur; Voile d'encre; Bottes du Roi Joueur; Dofus Ivoire; Dofus Pourpre; Dofus Vulbis; Dofus Turquoise; Dofus des Glaces; Dofus Ocre; Volkorne Emeraude et Pourpre</t>
        </is>
      </c>
    </row>
    <row r="5134">
      <c r="A5134" t="inlineStr">
        <is>
          <t>volkorne chaloeil</t>
        </is>
      </c>
      <c r="B5134">
        <f>HYPERLINK("https://www.dofusbook.net/fr/equipement/3456370-volkorne-chaloeil/objets", "link")</f>
        <v/>
      </c>
      <c r="C5134" t="n">
        <v>9</v>
      </c>
      <c r="D5134" t="inlineStr">
        <is>
          <t>Arc Volkorne; Amulette Volkorne; Bracelet du Piloztère; Anneau Volkorne; Quatre-feuilles; Ceinture Volkorne; Casque du Chalœil; Cape du Chalœil; Bottes du Chalœil; Dolmanax; Dofus Ocre; Dofus Turquoise; Dofus des Glaces; Dofus Pourpre; Dofus Nébuleux; Volkorne Emeraude et Pourpre</t>
        </is>
      </c>
    </row>
    <row r="5135">
      <c r="A5135" t="inlineStr">
        <is>
          <t>air soin</t>
        </is>
      </c>
      <c r="B5135">
        <f>HYPERLINK("https://www.dofusbook.net/fr/equipement/3466988-air-soin/objets", "link")</f>
        <v/>
      </c>
      <c r="C5135" t="n">
        <v>3</v>
      </c>
      <c r="D5135" t="inlineStr">
        <is>
          <t>Le Thanos; Amulette d'Ilyzaelle; Alliance Gloursonne; Anneau Rifique; Carapar; Menoture; Casque d'Ilyzaelle; Cape Martegel; Pantoufles Émar; Dofus Ivoire; Cascadeur majeur; Guérisseur majeur; Entraveur majeur; Temporiseur majeur; Nomade; Dragodinde Ebène et Rousse</t>
        </is>
      </c>
    </row>
    <row r="5136">
      <c r="A5136" t="inlineStr">
        <is>
          <t>eau/soin</t>
        </is>
      </c>
      <c r="B5136">
        <f>HYPERLINK("https://www.dofusbook.net/fr/equipement/3022660-eau-soin/objets", "link")</f>
        <v/>
      </c>
      <c r="C5136" t="n">
        <v>3</v>
      </c>
      <c r="D5136" t="inlineStr">
        <is>
          <t>Le Thanos; Amulette d'Ilyzaelle; Lavanneau; Lavanneau; Carapar; Ceintrigue; Casque d'Ilyzaelle; Cape Solution; Bottes de Meno; Temporiseur majeur; Guérisseur majeur; Nomade; Chanceux majeur; Entraveur majeur; Remueur; Dragodinde Indigo et Rousse</t>
        </is>
      </c>
    </row>
    <row r="5137">
      <c r="A5137" t="inlineStr">
        <is>
          <t>ret pa/pm 2</t>
        </is>
      </c>
      <c r="B5137">
        <f>HYPERLINK("https://www.dofusbook.net/fr/equipement/3463323-ret-pa-pm-2/objets", "link")</f>
        <v/>
      </c>
      <c r="C5137" t="n">
        <v>2</v>
      </c>
      <c r="D5137" t="inlineStr">
        <is>
          <t>Manthache; Collier du Valet Veinard; Gant du Valet Veinard; Alliance Gloursonne; Sept ans de malheur; Menoture; Casque Dragoeuf; Cape du Barbétoal; Palmes Trithons; Dofus Ivoire; Dofus Abyssal; Dofus Vulbis; Paralyseur majeur; Étourdisseur majeur; Temporiseur majeur; Volkorne Ivoire et Turquoise</t>
        </is>
      </c>
    </row>
    <row r="5138">
      <c r="A5138" t="inlineStr">
        <is>
          <t>Hetype/ret 2.43</t>
        </is>
      </c>
      <c r="B5138">
        <f>HYPERLINK("https://www.dofusbook.net/fr/equipement/1936111-hetype-ret-2-43/objets", "link")</f>
        <v/>
      </c>
      <c r="C5138" t="n">
        <v>1</v>
      </c>
      <c r="D5138" t="inlineStr">
        <is>
          <t>Arc Hétype; Amulette Volcanique; Anneau Tamie; Anneau Tamie; Bouclier cubiste; Sangle Aise; Capuche de l'Œil Putride; Cape de l'Œil Putride; Bottes Innommables; Ralentisseur majeur; Érudit majeur; Temporiseur; Temporiseur majeur; Entraveur majeur; Nomade; Volkorne Turquoise et Orchidée</t>
        </is>
      </c>
    </row>
    <row r="5139">
      <c r="A5139" t="inlineStr">
        <is>
          <t>multi cc volkorne</t>
        </is>
      </c>
      <c r="B5139">
        <f>HYPERLINK("https://www.dofusbook.net/fr/equipement/3437009-multi-cc-volkorne/objets", "link")</f>
        <v/>
      </c>
      <c r="C5139" t="n">
        <v>4</v>
      </c>
      <c r="D5139" t="inlineStr">
        <is>
          <t>Sabres d'Atcham; Amulette du Strigide; Anneau Volkorne; Bracelet du Piloztère; Bouclier du Captain Amakna; Ceinture du Strigide; Casque Volkorne; Cape d'Atcham; Sandales  d'Atcham; Dofus Turquoise; Dofus Pourpre; Dofus Vulbis; Dofus Ocre; Dolmanax; Dofus des Glaces; Volkorne Emeraude et Indigo</t>
        </is>
      </c>
    </row>
    <row r="5140">
      <c r="A5140" t="inlineStr">
        <is>
          <t>kwaltess 12/6</t>
        </is>
      </c>
      <c r="B5140">
        <f>HYPERLINK("https://www.dofusbook.net/fr/equipement/3436616-kwaltess-12-6/objets", "link")</f>
        <v/>
      </c>
      <c r="C5140" t="n">
        <v>4</v>
      </c>
      <c r="D5140" t="inlineStr">
        <is>
          <t>Marteau de Katrepat; Amulette du Strigide; Bague Gloursonne; Anneau du Katcheur; Bouclier du Captain Amakna; Ceinture du Strigide; Masque du Katcheur; Voile d'encre; Bottes du Katcheur; Dofus Ocre; Dofus Pourpre; Dofus Vulbis; Dofus Turquoise; Dofus Ivoire; Dofus des Glaces; Kwaltess</t>
        </is>
      </c>
    </row>
    <row r="5141">
      <c r="A5141" t="inlineStr">
        <is>
          <t>12 pa terre cheap</t>
        </is>
      </c>
      <c r="B5141">
        <f>HYPERLINK("https://www.dofusbook.net/fr/equipement/3449545-12-pa-terre-cheap/objets", "link")</f>
        <v/>
      </c>
      <c r="C5141" t="n">
        <v>6</v>
      </c>
      <c r="D5141" t="inlineStr">
        <is>
          <t>Dagues d'Ilyzaelle; Amulette du Cœur Saignant; Anneau de Brouce; Anneau du Comte Harebourg; Bouclier du Captain Amakna; Ceinture de Brouce; Coiffe du Comte Harebourg; Cape du Cœur Saignant; Bottes de Brouce; Dofus Ocre; Dofus Turquoise; Dofus Ivoire; Dofus Pourpre; Forcené majeur; Voyageur; Kwaltess</t>
        </is>
      </c>
    </row>
    <row r="5142">
      <c r="A5142" t="inlineStr">
        <is>
          <t>full terre 12pa</t>
        </is>
      </c>
      <c r="B5142">
        <f>HYPERLINK("https://www.dofusbook.net/fr/equipement/3449055-full-terre-12pa/objets", "link")</f>
        <v/>
      </c>
      <c r="C5142" t="n">
        <v>10</v>
      </c>
      <c r="D5142" t="inlineStr">
        <is>
          <t>Dagues d'Ilyzaelle; Amulette du Cœur Saignant; Anneau de Brouce; Anneau du Comte Harebourg; Bouclier du Captain Amakna; Ceinture de Brouce; Coiffe du Comte Harebourg; Cape du Cœur Saignant; Bottes de Brouce; Dofus Ocre; Dofus Turquoise; Dofus Vulbis; Dofus Ivoire; Dofus Pourpre; Forcené majeur; Volkorne Emeraude et Pourpre</t>
        </is>
      </c>
    </row>
    <row r="5143">
      <c r="A5143" t="inlineStr">
        <is>
          <t>multi 12pa 2.47</t>
        </is>
      </c>
      <c r="B5143">
        <f>HYPERLINK("https://www.dofusbook.net/fr/equipement/2526484-multi-12pa-2-47/objets", "link")</f>
        <v/>
      </c>
      <c r="C5143" t="n">
        <v>6</v>
      </c>
      <c r="D5143" t="inlineStr">
        <is>
          <t>Hache du Chalœil; Amulette du Strigide; Bracelet du Piloztère; Alliance de Missiz Frizz; Quatre-feuilles; Ceinture du Strigide; Masque de Funespadon; Voile d'encre; Bottes du Chalœil; Dofus Turquoise; Dofus Ocre; Dofus Ivoire; Dofus Pourpre; Remueur; Nomade; Kwaltess</t>
        </is>
      </c>
    </row>
    <row r="5144">
      <c r="A5144" t="inlineStr">
        <is>
          <t>full do pou</t>
        </is>
      </c>
      <c r="B5144">
        <f>HYPERLINK("https://www.dofusbook.net/fr/equipement/2460345-full-do-pou/objets", "link")</f>
        <v/>
      </c>
      <c r="C5144" t="n">
        <v>9</v>
      </c>
      <c r="D5144" t="inlineStr">
        <is>
          <t>Lav'Hache; Torquistik; Bague Trithon; Anneau de Pol Ouatnos; Bouclier précieux; Ceinture Gence; Casque Dragoeuf; Cape du Cœur Vaillant; Bottistik; Dokoko; Dofus Ivoire; Culbuteur majeur; Pousseur majeur; Bousculeur majeur; Culbuteur; Volkorne Roux</t>
        </is>
      </c>
    </row>
    <row r="5145">
      <c r="A5145" t="inlineStr">
        <is>
          <t>PVM eau cc</t>
        </is>
      </c>
      <c r="B5145">
        <f>HYPERLINK("https://www.dofusbook.net/fr/equipement/2493125-pvm-eau-cc/objets", "link")</f>
        <v/>
      </c>
      <c r="C5145" t="n">
        <v>5</v>
      </c>
      <c r="D5145" t="inlineStr">
        <is>
          <t>Dagoulinantes; Amulette du Strigide; Anneau Volkorne; Bracelet des Fonds marins; Bouclier du Captain Amakna; Ceinture du Strigide; Kidibonnet; Cape Solution; Bottes Voldelor; Dofus Pourpre; Dofus Turquoise; Taquin majeur; Chanceux majeur; Nomade; Vigoureux majeur; Dragodinde Emeraude et Indigo</t>
        </is>
      </c>
    </row>
    <row r="5146">
      <c r="A5146" t="inlineStr">
        <is>
          <t>12pa volkrone</t>
        </is>
      </c>
      <c r="B5146">
        <f>HYPERLINK("https://www.dofusbook.net/fr/equipement/3440110-12pa-volkrone/objets", "link")</f>
        <v/>
      </c>
      <c r="C5146" t="n">
        <v>9</v>
      </c>
      <c r="D5146" t="inlineStr">
        <is>
          <t>Sabres d'Atcham; Amulette du Strigide; Bracelet du Piloztère; Anneau Volkorne; Quatre-feuilles; Ceinture du Strigide; Casque Volkorne; Cape d'Atcham; Sandales  d'Atcham; Dolmanax; Dofus des Glaces; Dofus Turquoise; Dofus Pourpre; Dofus Vulbis; Dofus Ocre; Volkorne Emeraude et Orchidée</t>
        </is>
      </c>
    </row>
    <row r="5147">
      <c r="A5147" t="inlineStr">
        <is>
          <t>PVP air ret 2</t>
        </is>
      </c>
      <c r="B5147">
        <f>HYPERLINK("https://www.dofusbook.net/fr/equipement/3347598-pvp-air-ret-2/objets", "link")</f>
        <v/>
      </c>
      <c r="C5147" t="n">
        <v>6</v>
      </c>
      <c r="D5147" t="inlineStr">
        <is>
          <t>Manthache; Amulette Martegel; Alliance Gloursonne; Anneau Toriété; Sept ans de malheur; Menoture; Casque Dragoeuf; Cape Martegel; Palmes Trithons; Dofus Ivoire; Dofus Abyssal; Dofus Émeraude; Cascadeur majeur; Carapace Air majeur; Étourdisseur majeur; Volkorne Rubis et Ivoire</t>
        </is>
      </c>
    </row>
    <row r="5148">
      <c r="A5148" t="inlineStr">
        <is>
          <t>multi chaloeil</t>
        </is>
      </c>
      <c r="B5148">
        <f>HYPERLINK("https://www.dofusbook.net/fr/equipement/2421932-multi-chaloeil/objets", "link")</f>
        <v/>
      </c>
      <c r="C5148" t="n">
        <v>9</v>
      </c>
      <c r="D5148" t="inlineStr">
        <is>
          <t>Hache du Chalœil; Amulette du Strigide; Bracelet du Piloztère; Alliance de Missiz Frizz; Quatre-feuilles; Ceinture du Strigide; Le Dorado; Cape au Logis; Bottes Honyme; Dofus des Glaces; Dofus Turquoise; Dofus Ivoire; Dofus Pourpre; Enragé majeur; Vigoureux majeur; Dragodinde Emeraude et Ivoire</t>
        </is>
      </c>
    </row>
    <row r="5149">
      <c r="A5149" t="inlineStr">
        <is>
          <t>cinquante all</t>
        </is>
      </c>
      <c r="B5149">
        <f>HYPERLINK("https://www.dofusbook.net/fr/equipement/2500033-cinquante-all/objets", "link")</f>
        <v/>
      </c>
      <c r="C5149" t="n">
        <v>9</v>
      </c>
      <c r="D5149" t="inlineStr">
        <is>
          <t>Rouleau à Pâtisserie d'Aermyne; Collier Rophante; Alliance Gloursonne; Bague Trithon; Bouclier d'Anerice; Ceinture de Kongoku; Casque Dragoeuf; Cape d'Anerice; Pataugastrique; Dofus Abyssal; Dofus Émeraude; Dokoko; Miraculé majeur; Obstructeur majeur; Remueur; Dragodinde Prune et Amande</t>
        </is>
      </c>
    </row>
    <row r="5150">
      <c r="A5150" t="inlineStr">
        <is>
          <t>BonnetKo</t>
        </is>
      </c>
      <c r="B5150">
        <f>HYPERLINK("https://www.dofusbook.net/fr/equipement/2875041-bonnetko/objets", "link")</f>
        <v/>
      </c>
      <c r="C5150" t="n">
        <v>3</v>
      </c>
      <c r="D5150" t="inlineStr">
        <is>
          <t>Dagues du Dragoeuf; Amulette du Strigide; Bague Gloursonne; Bracelet du Piloztère; Quatre-feuilles; Ceinture du Strigide; Masque du Katcheur; Voile d'encre; Bottes du Cycloïde; Dofus Ocre; Dofus Turquoise; Dofus Pourpre; Dofus des Glaces; Vigoureux majeur; Nomade; Kwaltess</t>
        </is>
      </c>
    </row>
    <row r="5151">
      <c r="A5151" t="inlineStr">
        <is>
          <t>Volkorne crit</t>
        </is>
      </c>
      <c r="B5151">
        <f>HYPERLINK("https://www.dofusbook.net/fr/equipement/3435640-volkorne-crit/objets", "link")</f>
        <v/>
      </c>
      <c r="C5151" t="n">
        <v>6</v>
      </c>
      <c r="D5151" t="inlineStr">
        <is>
          <t>Sabres d'Atcham; Amulette Volkorne; Anneau Volkorne; Bague Trithon; Bouclier du Captain Amakna; Ceinture du Strigide; Masque Trithon; Cape d'Atcham; Bottes du Strigide; Dofus Turquoise; Dofus Pourpre; Dofus Vulbis; Dofus Ocre; Dolmanax; Dofus des Glaces; Kwaltess</t>
        </is>
      </c>
    </row>
    <row r="5152">
      <c r="A5152" t="inlineStr">
        <is>
          <t>full feu cheap</t>
        </is>
      </c>
      <c r="B5152">
        <f>HYPERLINK("https://www.dofusbook.net/fr/equipement/2155984-full-feu-cheap/objets", "link")</f>
        <v/>
      </c>
      <c r="C5152" t="n">
        <v>6</v>
      </c>
      <c r="D5152" t="inlineStr">
        <is>
          <t>Arc corrompu; Pendentif affamé; Anneau Rifique; Bague Gloursonne; Bouclier du Cycloïde; Ceinture Séculaire; Coiffe Séculaire; Cape de Diondin; Bottes Innommables; Dofus Pourpre; Nomade; Guérisseur majeur; Érudit majeur; Astucieux majeur; Remueur; Brûlih</t>
        </is>
      </c>
    </row>
    <row r="5153">
      <c r="A5153" t="inlineStr">
        <is>
          <t>crit dofust maudite</t>
        </is>
      </c>
      <c r="B5153">
        <f>HYPERLINK("https://www.dofusbook.net/fr/equipement/3401504-crit-dofust-maudite/objets", "link")</f>
        <v/>
      </c>
      <c r="C5153" t="n">
        <v>5</v>
      </c>
      <c r="D5153" t="inlineStr">
        <is>
          <t>Epée Maudite du Saigneur Guerrier; Amulette du Strigide; Alliance de Missiz Frizz; Bracelet du Piloztère; Bouclier du Captain Amakna; Ceinture du Strigide; Le Dorado; Dofusteuse; Bottes Honyme; Dofus Pourpre; Dofus des Glaces; Dofus Turquoise; Dofus Ivoire; Vigoureux majeur; Enragé majeur; Muldo Prune et Doré</t>
        </is>
      </c>
    </row>
    <row r="5154">
      <c r="A5154" t="inlineStr">
        <is>
          <t>air dora</t>
        </is>
      </c>
      <c r="B5154">
        <f>HYPERLINK("https://www.dofusbook.net/fr/equipement/3401028-air-dora/objets", "link")</f>
        <v/>
      </c>
      <c r="C5154" t="n">
        <v>9</v>
      </c>
      <c r="D5154" t="inlineStr">
        <is>
          <t>Lance Horselé; Collier du Valet Veinard; Gant du Valet Veinard; Alliance Gloursonne; Bouclier d'Ilyzaelle; Menoture; Dorabysses; Cape de Crânonier; Palmes Trithons; Dofus Ivoire; Dofus des Glaces; Dofus Pourpre; Dofus Abyssal; Remueur; Cascadeur majeur; Muldo Ebène</t>
        </is>
      </c>
    </row>
    <row r="5155">
      <c r="A5155" t="inlineStr">
        <is>
          <t>air ily</t>
        </is>
      </c>
      <c r="B5155">
        <f>HYPERLINK("https://www.dofusbook.net/fr/equipement/3401038-air-ily/objets", "link")</f>
        <v/>
      </c>
      <c r="C5155" t="n">
        <v>10</v>
      </c>
      <c r="D5155" t="inlineStr">
        <is>
          <t>Lance Horselé; Amulette d'Ilyzaelle; Alliance Gloursonne; Gant du Valet Veinard; Bouclier d'Ilyzaelle; Sangle Oriole; Casque d'Ilyzaelle; Cape de Crânonier; Palmes Trithons; Dofus Émeraude; Dofus des Glaces; Dofus Pourpre; Dofus Abyssal; Dofus Ocre; Dofus Ivoire; Muldo Ebène</t>
        </is>
      </c>
    </row>
    <row r="5156">
      <c r="A5156" t="inlineStr">
        <is>
          <t>PVP terre strigence</t>
        </is>
      </c>
      <c r="B5156">
        <f>HYPERLINK("https://www.dofusbook.net/fr/equipement/3331421-pvp-terre-strigence/objets", "link")</f>
        <v/>
      </c>
      <c r="C5156" t="n">
        <v>5</v>
      </c>
      <c r="D5156" t="inlineStr">
        <is>
          <t>Marteau R'ture; Amulette du Strigide; Anneau Chevelu; Anneau Crustique; Bouclier d'Ilyzaelle; Ceinture Gence; Masque de Koutoulou; Cape au Logis; Bottes du Strigide; Dofus Turquoise; Dofus Ivoire; Dofus Pourpre; Dofus Abyssal; Enragé majeur; Vigoureux majeur; Kramkram</t>
        </is>
      </c>
    </row>
    <row r="5157">
      <c r="A5157" t="inlineStr">
        <is>
          <t>full feu</t>
        </is>
      </c>
      <c r="B5157">
        <f>HYPERLINK("https://www.dofusbook.net/fr/equipement/3026689-full-feu/objets", "link")</f>
        <v/>
      </c>
      <c r="C5157" t="n">
        <v>3</v>
      </c>
      <c r="D5157" t="inlineStr">
        <is>
          <t>Arc corrompu; Pendentif mignon de Koutoulou; Anneau Rifique; Anneauræus; Bouclier du Cycloïde; Ceinture Séculaire; Heaume Oplate; Cape de Diondin; Bottes Innommables; Dofus Pourpre; Nomade; Guérisseur majeur; Érudit majeur; Astucieux majeur; Savant majeur; Brûlih</t>
        </is>
      </c>
    </row>
    <row r="5158">
      <c r="A5158" t="inlineStr">
        <is>
          <t>terre</t>
        </is>
      </c>
      <c r="B5158">
        <f>HYPERLINK("https://www.dofusbook.net/fr/equipement/751798-terre/objets", "link")</f>
        <v/>
      </c>
      <c r="C5158" t="n">
        <v>5</v>
      </c>
      <c r="D5158" t="inlineStr">
        <is>
          <t>Arc du Chalœil; Collier de Tourthon; Anneau de Brouce; Bracelet du Piloztère; La Rondelle; Ceinture Gence; Coiffe du Comte Harebourg; Cape au Logis; Bottes du Comte Harebourg; Dofus Pourpre; Dofus Ocre; Robuste majeur; Vigoureux majeur; Forcené majeur; Enragé majeur; Kompost</t>
        </is>
      </c>
    </row>
    <row r="5159">
      <c r="A5159" t="inlineStr">
        <is>
          <t>terre pvm 12pa</t>
        </is>
      </c>
      <c r="B5159">
        <f>HYPERLINK("https://www.dofusbook.net/fr/equipement/3400489-terre-pvm-12pa/objets", "link")</f>
        <v/>
      </c>
      <c r="C5159" t="n">
        <v>4</v>
      </c>
      <c r="D5159" t="inlineStr">
        <is>
          <t>Arc du Chalœil; Amulette Luminescente; Bracelet du Piloztère; Anneau du Comte Harebourg; Bouclier du Stalak; Ceinture Luminescente; Coiffe du Comte Harebourg; Cape Luminescente; Bottes du Comte Harebourg; Dofus Pourpre; Dofus Ocre; Dofus Vulbis; Robuste majeur; Furibond majeur; Forcené majeur; Kompost</t>
        </is>
      </c>
    </row>
    <row r="5160">
      <c r="A5160" t="inlineStr">
        <is>
          <t>kasha re eau</t>
        </is>
      </c>
      <c r="B5160">
        <f>HYPERLINK("https://www.dofusbook.net/fr/equipement/3382691-kasha-re-eau/objets", "link")</f>
        <v/>
      </c>
      <c r="C5160" t="n">
        <v>2</v>
      </c>
      <c r="D5160" t="inlineStr">
        <is>
          <t>Dagoulinantes; Amulette de Shokkoth; Bracelet des Fonds marins; Alliance Gloursonne; Bouclier d'Ilyzaelle; Poulpagne; Casque Dragoeuf; Chevelure de Tal Kasha; Sandales de Tal Kasha; Dofus Pourpre; Dofus Abyssal; Dofus Ivoire; Remueur; Chanceux majeur; Étourdisseur majeur; Muldo Ebène et Pourpre</t>
        </is>
      </c>
    </row>
    <row r="5161">
      <c r="A5161" t="inlineStr">
        <is>
          <t>Pvp terre esq PA</t>
        </is>
      </c>
      <c r="B5161">
        <f>HYPERLINK("https://www.dofusbook.net/fr/equipement/3349067-pvp-terre-esq-pa/objets", "link")</f>
        <v/>
      </c>
      <c r="C5161" t="n">
        <v>5</v>
      </c>
      <c r="D5161" t="inlineStr">
        <is>
          <t>Marteau R'ture; Amulette du Strigide; Anneau Chevelu; Anneau Crustique; Bouclier d'Ilyzaelle; Ceinture Gence; Masque de Koutoulou; Voile d'encre; Bottes du Strigide; Dofus Turquoise; Dofus Abyssal; Dofus Ivoire; Dofus Pourpre; Enragé majeur; Évasif majeur; Muldo Pourpre et Ivoire</t>
        </is>
      </c>
    </row>
    <row r="5162">
      <c r="A5162" t="inlineStr">
        <is>
          <t>full terre</t>
        </is>
      </c>
      <c r="B5162">
        <f>HYPERLINK("https://www.dofusbook.net/fr/equipement/3382246-full-terre/objets", "link")</f>
        <v/>
      </c>
      <c r="C5162" t="n">
        <v>4</v>
      </c>
      <c r="D5162" t="inlineStr">
        <is>
          <t>Marteau R'ture; Collier de Tourthon; Anneau Chevelu; Anneau de Brouce; Bouclier d'Ilyzaelle; Ceinture de la Reine des Voleurs; Coiffe de la Reine des Voleurs; Cape au Logis; Sabots Minables; Dofus Ivoire; Dofus Pourpre; Dofus Abyssal; Enragé majeur; Remueur; Vigoureux majeur; Kramkram</t>
        </is>
      </c>
    </row>
    <row r="5163">
      <c r="A5163" t="inlineStr">
        <is>
          <t>eau air pvp</t>
        </is>
      </c>
      <c r="B5163">
        <f>HYPERLINK("https://www.dofusbook.net/fr/equipement/3356418-eau-air-pvp/objets", "link")</f>
        <v/>
      </c>
      <c r="C5163" t="n">
        <v>4</v>
      </c>
      <c r="D5163" t="inlineStr">
        <is>
          <t>Marteau des Anciens Steamers; Amulette d'Ilyzaelle; Grésilanneau; Alliance Gloursonne; Bouclier d'Ilyzaelle; Ceinture de la Reine des Voleurs; Casque d'Ilyzaelle; Cape Solution; Bottes de la Reine des Voleurs; Dofus Abyssal; Dofus des Glaces; Dofus Émeraude; Dolmanax; Dofus Pourpre; Dofus Ivoire; Muldo Ebène</t>
        </is>
      </c>
    </row>
    <row r="5164">
      <c r="A5164" t="inlineStr">
        <is>
          <t>pvp feu 2</t>
        </is>
      </c>
      <c r="B5164">
        <f>HYPERLINK("https://www.dofusbook.net/fr/equipement/3349320-pvp-feu-2/objets", "link")</f>
        <v/>
      </c>
      <c r="C5164" t="n">
        <v>3</v>
      </c>
      <c r="D5164" t="inlineStr">
        <is>
          <t>Arc corrompu; Pendentif affamé; Anneauræus; Cadran de Terre; Ceinture de Vortex; Casque Dragoeuf; Cape de Diondin; Bottes Innommables; Dofus Abyssal; Dofus Ivoire; Dofus Pourpre; Guérisseur majeur; Érudit majeur; Remueur; Muldo Orchidée</t>
        </is>
      </c>
    </row>
    <row r="5165">
      <c r="A5165" t="inlineStr">
        <is>
          <t>air/fui/ini/esq</t>
        </is>
      </c>
      <c r="B5165">
        <f>HYPERLINK("https://www.dofusbook.net/fr/equipement/2446906-air-fui-ini-esq/objets", "link")</f>
        <v/>
      </c>
      <c r="C5165" t="n">
        <v>3</v>
      </c>
      <c r="D5165" t="inlineStr">
        <is>
          <t>Epée Loponèze; Collier du Valet Veinard; Alliance Gloursonne; Gant du Valet Veinard; Bouclier du Stalak; Menoture; Casque d'Ilyzaelle; Cape de Crânonier; Palmes Trithons; Dofus Pourpre; Dofus Abyssal; Dofus Ivoire; Remueur; Cascadeur majeur; Vigoureux majeur; Muldo Ebène</t>
        </is>
      </c>
    </row>
    <row r="5166">
      <c r="A5166" t="inlineStr">
        <is>
          <t>pvp eau ret tac</t>
        </is>
      </c>
      <c r="B5166">
        <f>HYPERLINK("https://www.dofusbook.net/fr/equipement/3348599-pvp-eau-ret-tac/objets", "link")</f>
        <v/>
      </c>
      <c r="C5166" t="n">
        <v>3</v>
      </c>
      <c r="D5166" t="inlineStr">
        <is>
          <t>Sceptre du Roi Joueur; Amulette Cryochrone; Bracelet des Fonds marins; Alliance Gloursonne; Bouclier d'Ilyzaelle; Culotte de Bethel; Kidibonnet; Cape Solution; Chaussons de Macrab; Dofus Ivoire; Dofus Abyssal; Dofus Émeraude; Dokoko; Étourdisseur majeur; Obstructeur majeur; Muldo Roux et Ebène</t>
        </is>
      </c>
    </row>
    <row r="5167">
      <c r="A5167" t="inlineStr">
        <is>
          <t>Pvp terre drag</t>
        </is>
      </c>
      <c r="B5167">
        <f>HYPERLINK("https://www.dofusbook.net/fr/equipement/3347774-pvp-terre-drag/objets", "link")</f>
        <v/>
      </c>
      <c r="C5167" t="n">
        <v>5</v>
      </c>
      <c r="D5167" t="inlineStr">
        <is>
          <t>Marteau R'ture; Collier de Tourthon; Anneau de Brouce; Anneau Chevelu; Bouclier d'Ilyzaelle; Ceinture Gence; Casque Dragoeuf; Cape au Logis; Bottes de Brouce; Dofus Pourpre; Dofus Abyssal; Dofus Ivoire; Enragé majeur; Remueur; Vigoureux majeur; Kramkram</t>
        </is>
      </c>
    </row>
    <row r="5168">
      <c r="A5168" t="inlineStr">
        <is>
          <t>PVP Terre no cc nebu</t>
        </is>
      </c>
      <c r="B5168">
        <f>HYPERLINK("https://www.dofusbook.net/fr/equipement/3347700-pvp-terre-no-cc-nebu/objets", "link")</f>
        <v/>
      </c>
      <c r="C5168" t="n">
        <v>4</v>
      </c>
      <c r="D5168" t="inlineStr">
        <is>
          <t>Marteau R'ture; Collier de Tourthon; Anneau Chevelu; Alliance Brûlâme; Bouclier d'Ilyzaelle; Ceinture de la Cour Sombre; Masque de Koutoulou; Cape au Logis; Bottes de la Cour Sombre; Dofus Ivoire; Dofus Pourpre; Dofus Abyssal; Dofus Nébuleux; Remueur; Enragé majeur; Kramkram</t>
        </is>
      </c>
    </row>
    <row r="5169">
      <c r="A5169" t="inlineStr">
        <is>
          <t>PVP terre strigide</t>
        </is>
      </c>
      <c r="B5169">
        <f>HYPERLINK("https://www.dofusbook.net/fr/equipement/3347670-pvp-terre-strigide/objets", "link")</f>
        <v/>
      </c>
      <c r="C5169" t="n">
        <v>5</v>
      </c>
      <c r="D5169" t="inlineStr">
        <is>
          <t>Marteau R'ture; Amulette du Strigide; Bague Gloursonne; Anneau Chevelu; Bouclier d'Ilyzaelle; Ceinture du Strigide; Masque de Koutoulou; Cape au Logis; Bottes de la Cour Sombre; Dofus Pourpre; Dofus Abyssal; Dofus Turquoise; Dofus Ivoire; Enragé majeur; Remueur; Kramkram</t>
        </is>
      </c>
    </row>
    <row r="5170">
      <c r="A5170" t="inlineStr">
        <is>
          <t>PvP terre</t>
        </is>
      </c>
      <c r="B5170">
        <f>HYPERLINK("https://www.dofusbook.net/fr/equipement/751979-pvp-terre/objets", "link")</f>
        <v/>
      </c>
      <c r="C5170" t="n">
        <v>5</v>
      </c>
      <c r="D5170" t="inlineStr">
        <is>
          <t>Marteau R'ture; Collier de Tourthon; Anneau Chevelu; Anneau Crustique; Bouclier d'Ilyzaelle; Ceinture de la Cour Sombre; Masque de Koutoulou; Cape au Logis; Bottes de la Cour Sombre; Dofus Ivoire; Dofus Pourpre; Dofus Abyssal; Dofus Nébuleux; Remueur; Enragé majeur; Kramkram</t>
        </is>
      </c>
    </row>
    <row r="5171">
      <c r="A5171" t="inlineStr">
        <is>
          <t>duo toxo terre</t>
        </is>
      </c>
      <c r="B5171">
        <f>HYPERLINK("https://www.dofusbook.net/fr/equipement/3327592-duo-toxo-terre/objets", "link")</f>
        <v/>
      </c>
      <c r="C5171" t="n">
        <v>1</v>
      </c>
      <c r="D5171" t="inlineStr">
        <is>
          <t>Arc du Chalœil; Collier de Tourthon; Anneau de Brouce; Bracelet du Piloztère; Bouclier du Stalak; Ceinture Gence; Coiffe du Comte Harebourg; Cape au Logis; Bottes du Comte Harebourg; Dofus Ocre; Dofus Ivoire; Dokoko; Dofus Pourpre; Vigoureux majeur; Enragé majeur; Kompost</t>
        </is>
      </c>
    </row>
    <row r="5172">
      <c r="A5172" t="inlineStr">
        <is>
          <t>Feu tank v2</t>
        </is>
      </c>
      <c r="B5172">
        <f>HYPERLINK("https://www.dofusbook.net/fr/equipement/3327530-feu-tank-v2/objets", "link")</f>
        <v/>
      </c>
      <c r="C5172" t="n">
        <v>4</v>
      </c>
      <c r="D5172" t="inlineStr">
        <is>
          <t>Arc Hétype; Amulette de Nileza; Bague Gloursonne; Anneauræus; Cadran de Feu; Ceinture Séculaire; Heaume Oplate; Cape de Nileza; Bottes Innommables; Dofus Ivoire; Dofus Abyssal; Remueur; Nomade; Érudit majeur; Miraculé majeur; Brûlih</t>
        </is>
      </c>
    </row>
    <row r="5173">
      <c r="A5173" t="inlineStr">
        <is>
          <t>Multi réseau pano</t>
        </is>
      </c>
      <c r="B5173">
        <f>HYPERLINK("https://www.dofusbook.net/fr/equipement/3323216-multi-reseau-pano/objets", "link")</f>
        <v/>
      </c>
      <c r="C5173" t="n">
        <v>4</v>
      </c>
      <c r="D5173" t="inlineStr">
        <is>
          <t>Dagues Eudin; Amulette du Strigide; Bracelet du Piloztère; Chevalière du Roi Joueur; Bouclier du Stalak; Ceinture du Strigide; Couronne du Roi Joueur; Voilamibe; Bottes du Roi Joueur; Dokoko; Dofus Pourpre; Dofus des Glaces; Dofus Ocre; Dofus Nébuleux; Robuste majeur; Kompost</t>
        </is>
      </c>
    </row>
    <row r="5174">
      <c r="A5174" t="inlineStr">
        <is>
          <t>Pandawa M 200</t>
        </is>
      </c>
      <c r="B5174">
        <f>HYPERLINK("https://www.dofusbook.net/fr/equipement/3255339-pandawa-m-200/objets", "link")</f>
        <v/>
      </c>
      <c r="C5174" t="n">
        <v>1</v>
      </c>
      <c r="D5174" t="inlineStr">
        <is>
          <t>Anneau Chevelu; Alliance Brûlâme; Bouclier d'Ilyzaelle; Dofus Pourpre; Dofus Abyssal; Dofus Ocre; Dofus Ivoire; Dofus Émeraude; Robuste majeur; Muldo Roux et Orchidée</t>
        </is>
      </c>
    </row>
    <row r="5175">
      <c r="A5175" t="inlineStr">
        <is>
          <t>CAC multi chacharge</t>
        </is>
      </c>
      <c r="B5175">
        <f>HYPERLINK("https://www.dofusbook.net/fr/equipement/3315619-cac-multi-chacharge/objets", "link")</f>
        <v/>
      </c>
      <c r="C5175" t="n">
        <v>4</v>
      </c>
      <c r="D5175" t="inlineStr">
        <is>
          <t>Marteau de Katrepat; Amulette du Strigide; Anneau du Katcheur; Bague Gloursonne; Bouclier du Captain Amakna; Ceinture du Strigide; Masque du Katcheur; Cape au Logis; Bottes du Katcheur; Dolmanax; Dofus Pourpre; Dofus Ocre; Dofus Turquoise; Dofus Abyssal; Dofus Ivoire; Kompost</t>
        </is>
      </c>
    </row>
    <row r="5176">
      <c r="A5176" t="inlineStr">
        <is>
          <t>full air</t>
        </is>
      </c>
      <c r="B5176">
        <f>HYPERLINK("https://www.dofusbook.net/fr/equipement/2424549-full-air/objets", "link")</f>
        <v/>
      </c>
      <c r="C5176" t="n">
        <v>4</v>
      </c>
      <c r="D5176" t="inlineStr">
        <is>
          <t>Marteau des Anciens Steamers; Collier du Valet Veinard; Gant du Valet Veinard; Alliance Gloursonne; Bouclier du Stalak; Menoture; Casque d'Ilyzaelle; Cape du Valet Veinard; Palmes Trithons; Dofus des Glaces; Dofus Pourpre; Dofus Émeraude; Dokoko; Dofus Ivoire; Dofus Abyssal; Muldo Ebène</t>
        </is>
      </c>
    </row>
    <row r="5177">
      <c r="A5177" t="inlineStr">
        <is>
          <t>terre tank tac</t>
        </is>
      </c>
      <c r="B5177">
        <f>HYPERLINK("https://www.dofusbook.net/fr/equipement/3254816-terre-tank-tac-/objets", "link")</f>
        <v/>
      </c>
      <c r="C5177" t="n">
        <v>7</v>
      </c>
      <c r="D5177" t="inlineStr">
        <is>
          <t>Bêche Asse; Collier de Tourthon; Alliance Brûlâme; Anneau Chevelu; Bouclier précieux; Ceinture de la Cour Sombre; Masque d'Anerice; Cape d'Anerice; Baleinabottes; Dofus Ivoire; Dofus Émeraude; Dofus Abyssal; Obstructeur majeur; Remueur; Enragé majeur; Muldo Roux et Orchidée</t>
        </is>
      </c>
    </row>
    <row r="5178">
      <c r="A5178" t="inlineStr">
        <is>
          <t>terre roxx tank tac</t>
        </is>
      </c>
      <c r="B5178">
        <f>HYPERLINK("https://www.dofusbook.net/fr/equipement/3078041-terre-roxx-tank-tac/objets", "link")</f>
        <v/>
      </c>
      <c r="C5178" t="n">
        <v>4</v>
      </c>
      <c r="D5178" t="inlineStr">
        <is>
          <t>Lav'Hache; Collier de Tourthon; Anneau Chevelu; Alliance Brûlâme; Bouclier d'Ilyzaelle; Ceinture de la Cour Sombre; Masque de Koutoulou; Voile d'encre; Bottes de la Cour Sombre; Dofus Abyssal; Dofus Ivoire; Dofus Émeraude; Enragé majeur; Obstructeur majeur; Remueur; Muldo Roux et Pourpre</t>
        </is>
      </c>
    </row>
    <row r="5179">
      <c r="A5179" t="inlineStr">
        <is>
          <t>Terre Pvp cac</t>
        </is>
      </c>
      <c r="B5179">
        <f>HYPERLINK("https://www.dofusbook.net/fr/equipement/3078876-terre-pvp-cac/objets", "link")</f>
        <v/>
      </c>
      <c r="C5179" t="n">
        <v>10</v>
      </c>
      <c r="D5179" t="inlineStr">
        <is>
          <t>Héqache; Amulette du Strigide; Bague Gloursonne; Anneau Chevelu; Bouclier d'Ilyzaelle; Ceinture du Strigide; Masque de Koutoulou; Cape au Logis; Bottes de la Cour Sombre; Dofus Abyssal; Dofus Pourpre; Dofus Ivoire; Dofus Turquoise; Remueur; Enragé majeur; Kramkram</t>
        </is>
      </c>
    </row>
    <row r="5180">
      <c r="A5180" t="inlineStr">
        <is>
          <t>full feu/tank</t>
        </is>
      </c>
      <c r="B5180">
        <f>HYPERLINK("https://www.dofusbook.net/fr/equipement/3084565-full-feu-tank/objets", "link")</f>
        <v/>
      </c>
      <c r="C5180" t="n">
        <v>5</v>
      </c>
      <c r="D5180" t="inlineStr">
        <is>
          <t>Arc Hétype; Pendentif mignon de Koutoulou; Anneauræus; Anneau Rifique; Cadran de Feu; Ceinture Séculaire; Heaume Oplate; Voile d'encre; Bottes Innommables; Dofus Abyssal; Dofus Ivoire; Miraculé majeur; Remueur; Nomade; Érudit majeur; Brûlih</t>
        </is>
      </c>
    </row>
    <row r="5181">
      <c r="A5181" t="inlineStr">
        <is>
          <t>eau tank</t>
        </is>
      </c>
      <c r="B5181">
        <f>HYPERLINK("https://www.dofusbook.net/fr/equipement/2919550-eau-tank/objets", "link")</f>
        <v/>
      </c>
      <c r="C5181" t="n">
        <v>4</v>
      </c>
      <c r="D5181" t="inlineStr">
        <is>
          <t>Dagoulinantes; Amulette de Shokkoth; Alliance Gloursonne; Anneau Toriété; Bouclier d'Ilyzaelle; Pagne du Rykaon; Masque d'Anerice; Cape d'Anerice; Pataugastrique; Dofus Ivoire; Dofus Émeraude; Dofus Pourpre; Chanceux majeur; Miraculé majeur; Remueur; Eliôme</t>
        </is>
      </c>
    </row>
    <row r="5182">
      <c r="A5182" t="inlineStr">
        <is>
          <t>eau vita</t>
        </is>
      </c>
      <c r="B5182">
        <f>HYPERLINK("https://www.dofusbook.net/fr/equipement/3037261-eau-vita/objets", "link")</f>
        <v/>
      </c>
      <c r="C5182" t="n">
        <v>4</v>
      </c>
      <c r="D5182" t="inlineStr">
        <is>
          <t>Rapière aux Glyphes; Talisman Glouti; Alliance Gloursonne; Bracelet des Fonds marins; Bouclier d'Ilyzaelle; Sangle Ouare; Kidibonnet; Cape de l'Œil Attentif; Sandales des Fonds marins; Dokoko; Dofus Ivoire; Dofus Émeraude; Dofus Abyssal; Miraculé majeur; Remueur; Dauge</t>
        </is>
      </c>
    </row>
    <row r="5183">
      <c r="A5183" t="inlineStr">
        <is>
          <t>PVPM/Terre</t>
        </is>
      </c>
      <c r="B5183">
        <f>HYPERLINK("https://www.dofusbook.net/fr/equipement/2492494-pvpm-terre/objets", "link")</f>
        <v/>
      </c>
      <c r="C5183" t="n">
        <v>4</v>
      </c>
      <c r="D5183" t="inlineStr">
        <is>
          <t>Héqache; Amulette du Strigide; Anneau Chevelu; Bague Gloursonne; Bouclier d'Ilyzaelle; Ceinture du Strigide; Masque de Koutoulou; Cape au Logis; Bottes de la Cour Sombre; Dofus Ivoire; Dofus Pourpre; Dofus Turquoise; Dofus Abyssal; Enragé majeur; Remueur; Kramkram</t>
        </is>
      </c>
    </row>
    <row r="5184">
      <c r="A5184" t="inlineStr">
        <is>
          <t>air pvp</t>
        </is>
      </c>
      <c r="B5184">
        <f>HYPERLINK("https://www.dofusbook.net/fr/equipement/3030917-air-pvp/objets", "link")</f>
        <v/>
      </c>
      <c r="C5184" t="n">
        <v>2</v>
      </c>
      <c r="D5184" t="inlineStr">
        <is>
          <t>Manthache; Collier du Valet Veinard; Alliance Gloursonne; Gant du Valet Veinard; Bouclier du Stalak; Menoture; Dorabysses; Cape Indescriptible; Palmes Trithons; Dofus Ivoire; Dokoko; Dofus Ocre; Dofus Pourpre; Dofus Abyssal; Cascadeur majeur; Muldo Ebène</t>
        </is>
      </c>
    </row>
    <row r="5185">
      <c r="A5185" t="inlineStr">
        <is>
          <t>air pvp</t>
        </is>
      </c>
      <c r="B5185">
        <f>HYPERLINK("https://www.dofusbook.net/fr/equipement/3030916-air-pvp/objets", "link")</f>
        <v/>
      </c>
      <c r="C5185" t="n">
        <v>2</v>
      </c>
      <c r="D5185" t="inlineStr">
        <is>
          <t>Manthache; Collier du Valet Veinard; Gant du Valet Veinard; Alliance Gloursonne; Bouclier du Stalak; Menoture; Dorabysses; Cape Indescriptible; Palmes Trithons; Dokoko; Dofus Ocre; Dofus Pourpre; Dofus Abyssal; Dofus Ivoire; Cascadeur majeur; Muldo Ebène</t>
        </is>
      </c>
    </row>
    <row r="5186">
      <c r="A5186" t="inlineStr">
        <is>
          <t>air pvp</t>
        </is>
      </c>
      <c r="B5186">
        <f>HYPERLINK("https://www.dofusbook.net/fr/equipement/3030914-air-pvp/objets", "link")</f>
        <v/>
      </c>
      <c r="C5186" t="n">
        <v>2</v>
      </c>
      <c r="D5186" t="inlineStr">
        <is>
          <t>Manthache; Collier du Valet Veinard; Gant du Valet Veinard; Alliance Gloursonne; Bouclier du Stalak; Menoture; Dorabysses; Cape Indescriptible; Palmes Trithons; Dokoko; Dofus Ocre; Dofus Pourpre; Dofus Abyssal; Dofus Ivoire; Cascadeur majeur; Muldo Ebène</t>
        </is>
      </c>
    </row>
    <row r="5187">
      <c r="A5187" t="inlineStr">
        <is>
          <t>air pvp</t>
        </is>
      </c>
      <c r="B5187">
        <f>HYPERLINK("https://www.dofusbook.net/fr/equipement/3030915-air-pvp/objets", "link")</f>
        <v/>
      </c>
      <c r="C5187" t="n">
        <v>2</v>
      </c>
      <c r="D5187" t="inlineStr">
        <is>
          <t>Manthache; Collier du Valet Veinard; Alliance Gloursonne; Gant du Valet Veinard; Bouclier du Stalak; Menoture; Dorabysses; Cape Indescriptible; Palmes Trithons; Dofus Ivoire; Dokoko; Dofus Ocre; Dofus Pourpre; Dofus Abyssal; Cascadeur majeur; Muldo Ebène</t>
        </is>
      </c>
    </row>
    <row r="5188">
      <c r="A5188" t="inlineStr">
        <is>
          <t>PVM multi chaloeil</t>
        </is>
      </c>
      <c r="B5188">
        <f>HYPERLINK("https://www.dofusbook.net/fr/equipement/2488272-pvm-multi-chaloeil/objets", "link")</f>
        <v/>
      </c>
      <c r="C5188" t="n">
        <v>2</v>
      </c>
      <c r="D5188" t="inlineStr">
        <is>
          <t>Hache du Chalœil; Amulette du Strigide; Alliance de Missiz Frizz; Bracelet du Piloztère; Bouclier du Captain Amakna; Ceinture du Strigide; Le Dorado; Cape de la Dame du Hasard; Bottes Honyme; Dofus Pourpre; Dolmanax; Dofus Turquoise; Dofus des Glaces; Vigoureux majeur; Érudit majeur; Muldo Prune et Doré</t>
        </is>
      </c>
    </row>
    <row r="5189">
      <c r="A5189" t="inlineStr">
        <is>
          <t>PVM multi chaloeil</t>
        </is>
      </c>
      <c r="B5189">
        <f>HYPERLINK("https://www.dofusbook.net/fr/equipement/3024913-pvm-multi-chaloeil/objets", "link")</f>
        <v/>
      </c>
      <c r="C5189" t="n">
        <v>8</v>
      </c>
      <c r="D5189" t="inlineStr">
        <is>
          <t>Hache du Chalœil; Amulette du Strigide; Alliance de Missiz Frizz; Bracelet du Piloztère; Quatre-feuilles; Ceinture du Strigide; Le Dorado; Cape de la Dame du Hasard; Bottes Honyme; Dolmanax; Dofus Turquoise; Dofus des Glaces; Dofus Pourpre; Chanceux majeur; Vigoureux majeur; Muldo Prune et Doré</t>
        </is>
      </c>
    </row>
    <row r="5190">
      <c r="A5190" t="inlineStr">
        <is>
          <t>do cri/ret</t>
        </is>
      </c>
      <c r="B5190">
        <f>HYPERLINK("https://www.dofusbook.net/fr/equipement/817039-do-cri-ret/objets", "link")</f>
        <v/>
      </c>
      <c r="C5190" t="n">
        <v>2</v>
      </c>
      <c r="D5190" t="inlineStr">
        <is>
          <t>Baguette Range; Amulette du Strigide; Chevalière du Roi Joueur; Anneau de Padgref; Bouclier cubiste; Ceinture du Strigide; Coiffe de Padgref; Cape de la Dame du Hasard; Getas de Padgref; Dofus Pourpre; Dofus Ocre; Dofus Turquoise; Dolmanax; Dofus des Glaces; Entraveur majeur; Muldo Prune et Emeraude</t>
        </is>
      </c>
    </row>
    <row r="5191">
      <c r="A5191" t="inlineStr">
        <is>
          <t>full feu/soin/PVM</t>
        </is>
      </c>
      <c r="B5191">
        <f>HYPERLINK("https://www.dofusbook.net/fr/equipement/2609730-full-feu-soin-pvm/objets", "link")</f>
        <v/>
      </c>
      <c r="C5191" t="n">
        <v>2</v>
      </c>
      <c r="D5191" t="inlineStr">
        <is>
          <t>Arc Hétype; Pendentif affamé; Anneauræus; Anneau Rifique; Cadran de Feu; Ceinture Séculaire; Casque Cyclopéen; Cape de Diondin; Bottes Innommables; Dofus Abyssal; Dofus Ocre; Dofus Pourpre; Nomade; Miraculé majeur; Érudit majeur; Brûlih</t>
        </is>
      </c>
    </row>
    <row r="5192">
      <c r="A5192" t="inlineStr">
        <is>
          <t>PVM/air</t>
        </is>
      </c>
      <c r="B5192">
        <f>HYPERLINK("https://www.dofusbook.net/fr/equipement/2984773-pvm-air/objets", "link")</f>
        <v/>
      </c>
      <c r="C5192" t="n">
        <v>5</v>
      </c>
      <c r="D5192" t="inlineStr">
        <is>
          <t>Manthache; Collier du Valet Veinard; Alliance Gloursonne; Gant du Valet Veinard; Bouclier du Stalak; Menoture; Couronne d'Allister; Cape du Kamasterisk; Palmes Trithons; Dofus Pourpre; Dofus Ocre; Entraveur majeur; Temporiseur majeur; Cascadeur majeur; Nomade; Siroko</t>
        </is>
      </c>
    </row>
    <row r="5193">
      <c r="A5193" t="inlineStr">
        <is>
          <t>multi</t>
        </is>
      </c>
      <c r="B5193">
        <f>HYPERLINK("https://www.dofusbook.net/fr/equipement/1201010-multi/objets", "link")</f>
        <v/>
      </c>
      <c r="C5193" t="n">
        <v>5</v>
      </c>
      <c r="D5193" t="inlineStr">
        <is>
          <t>Hache du Chalœil; Amulette du Strigide; Bracelet du Piloztère; Alliance du Lévitrof; Quatre-feuilles; Ceintacé; Coiffe du Lévitrof; Cape de la Dame du Hasard; Bottes Honyme; Dofus Pourpre; Dofus des Glaces; Dofus Turquoise; Dolmanax; Sanguinaire majeur; Vigoureux majeur; Muldo Prune et Emeraude</t>
        </is>
      </c>
    </row>
    <row r="5194">
      <c r="A5194" t="inlineStr">
        <is>
          <t>roxx feu</t>
        </is>
      </c>
      <c r="B5194">
        <f>HYPERLINK("https://www.dofusbook.net/fr/equipement/150747-roxx-feu/objets", "link")</f>
        <v/>
      </c>
      <c r="C5194" t="n">
        <v>2</v>
      </c>
      <c r="D5194" t="inlineStr">
        <is>
          <t>Arc corrompu; Amulette Volcanique; Anneau Tamie; Anneau Tamie; Quatre-feuilles; Sangle Aise; Couronne du Roi Joueur; Cape de Diondin; Bottes du Roi Joueur; Dofus Pourpre; Dofus Turquoise; Temporiseur majeur; Érudit majeur; Vigoureux majeur; Nomade; Brûlih</t>
        </is>
      </c>
    </row>
    <row r="5195">
      <c r="A5195" t="inlineStr">
        <is>
          <t>air cape de classe</t>
        </is>
      </c>
      <c r="B5195">
        <f>HYPERLINK("https://www.dofusbook.net/fr/equipement/2983121-air-cape-de-classe/objets", "link")</f>
        <v/>
      </c>
      <c r="C5195" t="n">
        <v>4</v>
      </c>
      <c r="D5195" t="inlineStr">
        <is>
          <t>Pelle de la Cour Sombre; Collier du Valet Veinard; Gant du Valet Veinard; Alliance Gloursonne; Bouclier du Stalak; Menoture; Couronne d'Allister; Cape Routh; Palmes Trithons; Dofus Abyssal; Dofus Pourpre; Dofus des Glaces; Dofus Ocre; Nomade; Cascadeur majeur; Siroko</t>
        </is>
      </c>
    </row>
    <row r="5196">
      <c r="A5196" t="inlineStr">
        <is>
          <t>air</t>
        </is>
      </c>
      <c r="B5196">
        <f>HYPERLINK("https://www.dofusbook.net/fr/equipement/2034404-air/objets", "link")</f>
        <v/>
      </c>
      <c r="C5196" t="n">
        <v>8</v>
      </c>
      <c r="D5196" t="inlineStr">
        <is>
          <t>Epée Loponèze; Amulette d'Ilyzaelle; Alliance Gloursonne; Gant du Valet Veinard; Bouclier précieux; Menoture; Casque Dragoeuf; Cape du Valet Veinard; Palmes Trithons; Dofus Abyssal; Dofus Émeraude; Carapace Feu majeur; Cascadeur majeur; Remueur; Miraculé majeur; Muldo Roux et Ebène</t>
        </is>
      </c>
    </row>
    <row r="5197">
      <c r="A5197" t="inlineStr">
        <is>
          <t>Res/Vita/Tacle</t>
        </is>
      </c>
      <c r="B5197">
        <f>HYPERLINK("https://www.dofusbook.net/fr/equipement/2982393-res-vita-tacle/objets", "link")</f>
        <v/>
      </c>
      <c r="C5197" t="n">
        <v>2</v>
      </c>
      <c r="D5197" t="inlineStr">
        <is>
          <t>Rouleau à Pâtisserie d'Aermyne; Collier Rophante; Alliance Gloursonne; Bague Trithon; Bouclier d'Anerice; Ceinture de Kongoku; Casque Dragoeuf; Cape d'Anerice; Pataugastrique; Dokoko; Dofus Émeraude; Dofus Abyssal; Obstructeur majeur; Bloqueur majeur; Remueur; Chaperlipopette</t>
        </is>
      </c>
    </row>
    <row r="5198">
      <c r="A5198" t="inlineStr">
        <is>
          <t>feu do pou</t>
        </is>
      </c>
      <c r="B5198">
        <f>HYPERLINK("https://www.dofusbook.net/fr/equipement/2982273-feu-do-pou/objets", "link")</f>
        <v/>
      </c>
      <c r="C5198" t="n">
        <v>4</v>
      </c>
      <c r="D5198" t="inlineStr">
        <is>
          <t>Massier; Talisman Igans; Anneauræus; Bague Trithon; Bouclier précieux; Ceintrigue; Heaume Oplate; Voile d'encre; Chaussures Ardentes; Dofus Abyssal; Dofus Ivoire; Érudit majeur; Bousculeur majeur; Culbuteur majeur; Remueur; Muldo Orchidée</t>
        </is>
      </c>
    </row>
    <row r="5199">
      <c r="A5199" t="inlineStr">
        <is>
          <t>PVM eau cc</t>
        </is>
      </c>
      <c r="B5199">
        <f>HYPERLINK("https://www.dofusbook.net/fr/equipement/2982257-pvm-eau-cc/objets", "link")</f>
        <v/>
      </c>
      <c r="C5199" t="n">
        <v>2</v>
      </c>
      <c r="D5199" t="inlineStr">
        <is>
          <t>Dagoulinantes; Amulette du Strigide; Bracelet du Piloztère; Alliance Gloursonne; Bouclier Taverne; Ceinture du Strigide; Kidibonnet; Cape Solution; Bottes Voldelor; Dofus Turquoise; Dofus Pourpre; Dofus des Glaces; Chanceux majeur; Nomade; Vigoureux majeur; Dehluge</t>
        </is>
      </c>
    </row>
    <row r="5200">
      <c r="A5200" t="inlineStr">
        <is>
          <t>full cc</t>
        </is>
      </c>
      <c r="B5200">
        <f>HYPERLINK("https://www.dofusbook.net/fr/equipement/2980194-full-cc/objets", "link")</f>
        <v/>
      </c>
      <c r="C5200" t="n">
        <v>2</v>
      </c>
      <c r="D5200" t="inlineStr">
        <is>
          <t>Sabres d'Atcham; Amulette du Strigide; Anneau de Padgref; Bracelet du Piloztère; Quatre-feuilles; Ceinture du Strigide; Coiffe de Padgref; Cape d'Atcham; Getas de Padgref; Dolmanax; Dofus Pourpre; Dofus Ocre; Dofus Turquoise; Dofus des Glaces; Puissant majeur; Muldo Prune et Emeraude</t>
        </is>
      </c>
    </row>
    <row r="5201">
      <c r="A5201" t="inlineStr">
        <is>
          <t>terre</t>
        </is>
      </c>
      <c r="B5201">
        <f>HYPERLINK("https://www.dofusbook.net/fr/equipement/2980222-terre/objets", "link")</f>
        <v/>
      </c>
      <c r="C5201" t="n">
        <v>2</v>
      </c>
      <c r="D5201" t="inlineStr">
        <is>
          <t>Arc du Chalœil; Amulette du Cœur Saignant; Bracelet du Piloztère; Alliance de Missiz Frizz; Quatre-feuilles; Ceinture de Brouce; Casque de Missiz Frizz; Cape au Logis; Bottes Honyme; Dofus Turquoise; Dofus Pourpre; Dofus Ocre; Vigoureux majeur; Forcené majeur; Enragé majeur; Kompost</t>
        </is>
      </c>
    </row>
    <row r="5202">
      <c r="A5202" t="inlineStr">
        <is>
          <t>full cc</t>
        </is>
      </c>
      <c r="B5202">
        <f>HYPERLINK("https://www.dofusbook.net/fr/equipement/2980180-full-cc/objets", "link")</f>
        <v/>
      </c>
      <c r="C5202" t="n">
        <v>3</v>
      </c>
      <c r="D5202" t="inlineStr">
        <is>
          <t>Hache du Chalœil; Amulette du Strigide; Bracelet du Piloztère; Bague Trithon; Quatre-feuilles; Ceinture du Strigide; Masque Trithon; Chevelure de Tal Kasha; Bottes Trithon; Dofus Turquoise; Dofus des Glaces; Dolmanax; Dofus Pourpre; Dofus Ocre; Puissant majeur; Muldo Prune et Emeraude</t>
        </is>
      </c>
    </row>
    <row r="5203">
      <c r="A5203" t="inlineStr">
        <is>
          <t>terre ret 199</t>
        </is>
      </c>
      <c r="B5203">
        <f>HYPERLINK("https://www.dofusbook.net/fr/equipement/2800883-terre-ret-199/objets", "link")</f>
        <v/>
      </c>
      <c r="C5203" t="n">
        <v>2</v>
      </c>
      <c r="D5203" t="inlineStr">
        <is>
          <t>Marteau R'ture; Pikano; Quatre-feuilles; Sangle Cible; Casquipik; Bottes Honyme; Dofus Ocre; Temporiseur majeur; Entraveur; Temporiseur; Enragé majeur; Entraveur majeur</t>
        </is>
      </c>
    </row>
    <row r="5204">
      <c r="A5204" t="inlineStr">
        <is>
          <t>Full Ret/Opti</t>
        </is>
      </c>
      <c r="B5204">
        <f>HYPERLINK("https://www.dofusbook.net/fr/equipement/2484393-full-ret-opti/objets", "link")</f>
        <v/>
      </c>
      <c r="C5204" t="n">
        <v>3</v>
      </c>
      <c r="D5204" t="inlineStr">
        <is>
          <t>Marteau R'ture; Amulette Volcanique; Anneau Tamie; Anneau Tamie; Bouclier du serrurier; Ceinture Instable; Capuche de l'Œil Putride; Cape de l'Œil Putride; Pantoufles Émar; Entraveur majeur; Remueur; Ralentisseur majeur; Entraveur; Temporiseur; Temporiseur majeur; Muldo Doré et Amande</t>
        </is>
      </c>
    </row>
    <row r="5205">
      <c r="A5205" t="inlineStr">
        <is>
          <t>Full Ret/Opti</t>
        </is>
      </c>
      <c r="B5205">
        <f>HYPERLINK("https://www.dofusbook.net/fr/equipement/2956041-full-ret-opti/objets", "link")</f>
        <v/>
      </c>
      <c r="C5205" t="n">
        <v>7</v>
      </c>
      <c r="D5205" t="inlineStr">
        <is>
          <t>Marteau R'ture; Amulette Volcanique; Anneau Tamie; Chevalière du Roi Joueur; Bouclier cubiste; Sangle Cible; Couronne du Roi Joueur; Cape de Léthaline; Pantoufles Émar; Dofus Ocre; Ralentisseur majeur; Entraveur; Temporiseur; Temporiseur majeur; Entraveur majeur; Dragodinde Amande</t>
        </is>
      </c>
    </row>
    <row r="5206">
      <c r="A5206" t="inlineStr">
        <is>
          <t>terre ret</t>
        </is>
      </c>
      <c r="B5206">
        <f>HYPERLINK("https://www.dofusbook.net/fr/equipement/2968980-terre-ret/objets", "link")</f>
        <v/>
      </c>
      <c r="C5206" t="n">
        <v>3</v>
      </c>
      <c r="D5206" t="inlineStr">
        <is>
          <t>Marteau R'ture; Amulette Volcanique; Pikano; Chevalière du Roi Joueur; Quatre-feuilles; Sangle Cible; Couronne du Roi Joueur; Cape au Logis; Bottes Honyme; Dofus Ocre; Temporiseur majeur; Entraveur; Temporiseur; Enragé majeur; Entraveur majeur; Kompost</t>
        </is>
      </c>
    </row>
    <row r="5207">
      <c r="A5207" t="inlineStr">
        <is>
          <t>feu ret</t>
        </is>
      </c>
      <c r="B5207">
        <f>HYPERLINK("https://www.dofusbook.net/fr/equipement/2459722-feu-ret/objets", "link")</f>
        <v/>
      </c>
      <c r="C5207" t="n">
        <v>1</v>
      </c>
      <c r="D5207" t="inlineStr">
        <is>
          <t>Arc Hétype; Amulette Volcanique; Anneau Tamie; Chevalière du Roi Joueur; Bouclier cubiste; Sangle Cible; Couronne du Roi Joueur; Cape de l'Œil Putride; Pantoufles Émar; Dofus Ocre; Temporiseur majeur; Érudit majeur; Temporiseur; Nomade; Entraveur majeur; Brûlih</t>
        </is>
      </c>
    </row>
    <row r="5208">
      <c r="A5208" t="inlineStr">
        <is>
          <t>pvm multi chaloeil</t>
        </is>
      </c>
      <c r="B5208">
        <f>HYPERLINK("https://www.dofusbook.net/fr/equipement/2968969-pvm-multi-chaloeil/objets", "link")</f>
        <v/>
      </c>
      <c r="C5208" t="n">
        <v>2</v>
      </c>
      <c r="D5208" t="inlineStr">
        <is>
          <t>Bâton Beau; Amulette du Strigide; Bague Gloursonne; Alliance Gloursonne; Quatre-feuilles; Ceinture du Strigide; Casque du Chalœil; Cape du Chalœil; Bottes du Chalœil; Dofus Nébuleux; Dofus Turquoise; Dolmanax; Dofus Ocre; Dofus Pourpre; Dofus des Glaces; Muldo Prune et Doré</t>
        </is>
      </c>
    </row>
    <row r="5209">
      <c r="A5209" t="inlineStr">
        <is>
          <t>full feu/cheap/PVM</t>
        </is>
      </c>
      <c r="B5209">
        <f>HYPERLINK("https://www.dofusbook.net/fr/equipement/2803848-full-feu-cheap-pvm/objets", "link")</f>
        <v/>
      </c>
      <c r="C5209" t="n">
        <v>2</v>
      </c>
      <c r="D5209" t="inlineStr">
        <is>
          <t>La Baguette des Limbes; Pendentif affamé; Anneau Tamie; Anneau Tamie; Quatre-feuilles; Ceinture Séculaire; Coiffe Séculaire; Cape de Diondin; Bottes Innommables; Dofus Pourpre; Dofus Ocre; Nomade; Astucieux majeur; Érudit majeur; Vigoureux majeur; Brûlih</t>
        </is>
      </c>
    </row>
    <row r="5210">
      <c r="A5210" t="inlineStr">
        <is>
          <t>full terre no nebu</t>
        </is>
      </c>
      <c r="B5210">
        <f>HYPERLINK("https://www.dofusbook.net/fr/equipement/2963678-full-terre-no-nebu/objets", "link")</f>
        <v/>
      </c>
      <c r="C5210" t="n">
        <v>2</v>
      </c>
      <c r="D5210" t="inlineStr">
        <is>
          <t>Arc du Chalœil; Amulette du Cœur Saignant; Chevalière du Roi Joueur; Anneau du Comte Harebourg; Quatre-feuilles; Ceinture de Brouce; Couronne du Roi Joueur; Cape au Logis; Bottes Honyme; Dofus Pourpre; Dofus Turquoise; Dofus Ocre; Enragé majeur; Forcené majeur; Vigoureux majeur; Kompost</t>
        </is>
      </c>
    </row>
    <row r="5211">
      <c r="A5211" t="inlineStr">
        <is>
          <t>PVP air/soin</t>
        </is>
      </c>
      <c r="B5211">
        <f>HYPERLINK("https://www.dofusbook.net/fr/equipement/2957013-pvp-air-soin/objets", "link")</f>
        <v/>
      </c>
      <c r="C5211" t="n">
        <v>5</v>
      </c>
      <c r="D5211" t="inlineStr">
        <is>
          <t>Le Thanos; Amulette d'Ilyzaelle; Alliance Gloursonne; Alliance Brûlâme; Carapar; Menoture; Casque d'Ilyzaelle; Cape du Valet Veinard; Palmes Trithons; Dofus Ivoire; Dofus Émeraude; Dofus des Glaces; Remueur; Cascadeur majeur; Guérisseur majeur; Muldo Ebène</t>
        </is>
      </c>
    </row>
    <row r="5212">
      <c r="A5212" t="inlineStr">
        <is>
          <t>cheap 199</t>
        </is>
      </c>
      <c r="B5212">
        <f>HYPERLINK("https://www.dofusbook.net/fr/equipement/2947268-cheap-199/objets", "link")</f>
        <v/>
      </c>
      <c r="C5212" t="n">
        <v>3</v>
      </c>
      <c r="D5212" t="inlineStr">
        <is>
          <t>Epée Toche; Amulule; Bague Gloursonne; Alliance de Missiz Frizz; Carapar; Ceinture de Brouce; Casque de Missiz Frizz; Cape au Logis; Sabots Minables; Dofus Turquoise; Dofus Émeraude; Nomade; Miraculé majeur; Remueur; Enragé majeur; Dauge</t>
        </is>
      </c>
    </row>
    <row r="5213">
      <c r="A5213" t="inlineStr">
        <is>
          <t>terre/feu</t>
        </is>
      </c>
      <c r="B5213">
        <f>HYPERLINK("https://www.dofusbook.net/fr/equipement/2946904-terre-feu/objets", "link")</f>
        <v/>
      </c>
      <c r="C5213" t="n">
        <v>3</v>
      </c>
      <c r="D5213" t="inlineStr">
        <is>
          <t>Dagues du Dragoeuf; Amulette du Strigide; Chevalière du Roi Joueur; Bague Gloursonne; Bouclier du Captain Amakna; Ceinture du Strigide; Couronne du Roi Joueur; Voile d'encre; Bottes du Roi Joueur; Dofus Pourpre; Dofus des Glaces; Dofus Ivoire; Dofus Turquoise; Dolmanax; Dofus Ocre; Muldo Prune et Doré</t>
        </is>
      </c>
    </row>
    <row r="5214">
      <c r="A5214" t="inlineStr">
        <is>
          <t>multi réseau</t>
        </is>
      </c>
      <c r="B5214">
        <f>HYPERLINK("https://www.dofusbook.net/fr/equipement/2927410-multi-reseau/objets", "link")</f>
        <v/>
      </c>
      <c r="C5214" t="n">
        <v>1</v>
      </c>
      <c r="D5214" t="inlineStr">
        <is>
          <t>Dagues Eudin; Amulette Volcanique; Chevalière du Roi Joueur; Bracelet du Piloztère; Bouclier du Stalak; Ceinture du Strigide; Le Dorado; Voilamibe; Bottes du Strigide; Dofus Pourpre; Dofus des Glaces; Dofus Ocre; Vigoureux majeur; Robuste majeur; Enragé majeur; Kompost</t>
        </is>
      </c>
    </row>
    <row r="5215">
      <c r="A5215" t="inlineStr">
        <is>
          <t>multi chaloeil tank</t>
        </is>
      </c>
      <c r="B5215">
        <f>HYPERLINK("https://www.dofusbook.net/fr/equipement/2935761-multi-chaloeil-tank/objets", "link")</f>
        <v/>
      </c>
      <c r="C5215" t="n">
        <v>3</v>
      </c>
      <c r="D5215" t="inlineStr">
        <is>
          <t>Hache du Chalœil; Amulette du Strigide; Bracelet du Piloztère; Alliance de Missiz Frizz; Bouclier d'Ilyzaelle; Ceinture du Strigide; Masque de Koutoulou; Voile d'encre; Bottes Honyme; Dofus Ivoire; Dofus Pourpre; Dofus Abyssal; Dofus Turquoise; Enragé majeur; Vigoureux majeur; Muldo Prune et Doré</t>
        </is>
      </c>
    </row>
    <row r="5216">
      <c r="A5216" t="inlineStr">
        <is>
          <t>PVM terre tank</t>
        </is>
      </c>
      <c r="B5216">
        <f>HYPERLINK("https://www.dofusbook.net/fr/equipement/2935740-pvm-terre-tank/objets", "link")</f>
        <v/>
      </c>
      <c r="C5216" t="n">
        <v>4</v>
      </c>
      <c r="D5216" t="inlineStr">
        <is>
          <t>Marteau R'ture; Amulette du Strigide; Anneau Crustique; Bague Gloursonne; Bouclier d'Ilyzaelle; Ceinture du Strigide; Masque de Koutoulou; Cape au Logis; Bottes Honyme; Dofus Pourpre; Dofus Turquoise; Dofus Abyssal; Dofus Émeraude; Vigoureux majeur; Enragé majeur; Kompost</t>
        </is>
      </c>
    </row>
    <row r="5217">
      <c r="A5217" t="inlineStr">
        <is>
          <t>multi</t>
        </is>
      </c>
      <c r="B5217">
        <f>HYPERLINK("https://www.dofusbook.net/fr/equipement/150753-multi-/objets", "link")</f>
        <v/>
      </c>
      <c r="C5217" t="n">
        <v>2</v>
      </c>
      <c r="D5217" t="inlineStr">
        <is>
          <t>Hache du Chalœil; Amulette de l'Indicible; Alliance du Lévitrof; Bracelet du Piloztère; La Rondelle; Ceinture du Strigide; Le Dorado; Voilamibe; Bottes du Strigide; Dofus Pourpre; Dofus des Glaces; Dofus Ocre; Vigoureux majeur; Robuste majeur; Enragé majeur; Kompost</t>
        </is>
      </c>
    </row>
    <row r="5218">
      <c r="A5218" t="inlineStr">
        <is>
          <t>terre</t>
        </is>
      </c>
      <c r="B5218">
        <f>HYPERLINK("https://www.dofusbook.net/fr/equipement/2927332-terre/objets", "link")</f>
        <v/>
      </c>
      <c r="C5218" t="n">
        <v>3</v>
      </c>
      <c r="D5218" t="inlineStr">
        <is>
          <t>Arc du Chalœil; Collier de Tourthon; Bracelet du Piloztère; Anneau de Brouce; Bouclier du Stalak; Ceinture Gence; Coiffe du Comte Harebourg; Cape au Logis; Bottes du Comte Harebourg; Dofus Pourpre; Dofus Ocre; Forcené majeur; Enragé majeur; Robuste majeur; Vigoureux majeur; Kompost</t>
        </is>
      </c>
    </row>
    <row r="5219">
      <c r="A5219" t="inlineStr">
        <is>
          <t>full feu/dommage/PVM</t>
        </is>
      </c>
      <c r="B5219">
        <f>HYPERLINK("https://www.dofusbook.net/fr/equipement/2532718-full-feu-dommage-pvm/objets", "link")</f>
        <v/>
      </c>
      <c r="C5219" t="n">
        <v>1</v>
      </c>
      <c r="D5219" t="inlineStr">
        <is>
          <t>Arc Hétype; Pendentif mignon de Koutoulou; Anneauræus; Anneau Rifique; Bouclier du Stalak; Ceinture Séculaire; Heaume Oplate; Cape de Diondin; Bottes Innommables; Dofus Abyssal; Dofus Pourpre; Miraculé majeur; Nomade; Dévastateur Feu majeur; Érudit majeur; Brûlih</t>
        </is>
      </c>
    </row>
    <row r="5220">
      <c r="A5220" t="inlineStr">
        <is>
          <t>do pou/ 5800 vita</t>
        </is>
      </c>
      <c r="B5220">
        <f>HYPERLINK("https://www.dofusbook.net/fr/equipement/2487954-do-pou--5800-vita/objets", "link")</f>
        <v/>
      </c>
      <c r="C5220" t="n">
        <v>3</v>
      </c>
      <c r="D5220" t="inlineStr">
        <is>
          <t>Lav'Hache; Collier Rophante; Bague Trithon; Alliance Gloursonne; Bouclier précieux; Ceinture Gence; Casque Dragoeuf; Cape Solution; Bottes Trithon; Dofus Ivoire; Dofus Émeraude; Dokoko; Dofus Abyssal; Culbuteur majeur; Bousculeur majeur; Péki</t>
        </is>
      </c>
    </row>
    <row r="5221">
      <c r="A5221" t="inlineStr">
        <is>
          <t>eau tank anerice</t>
        </is>
      </c>
      <c r="B5221">
        <f>HYPERLINK("https://www.dofusbook.net/fr/equipement/2919572-eau-tank-anerice/objets", "link")</f>
        <v/>
      </c>
      <c r="C5221" t="n">
        <v>3</v>
      </c>
      <c r="D5221" t="inlineStr">
        <is>
          <t>Dagoulinantes; Amulette de Shokkoth; Alliance Gloursonne; Bracelet des Fonds marins; Bouclier d'Ilyzaelle; Poulpagne; Masque d'Anerice; Cape d'Anerice; Sandales des Fonds marins; Dofus Ivoire; Dofus Émeraude; Dofus Pourpre; Dofus Abyssal; Dokoko; Dofus Ocre; Muldo Ebène</t>
        </is>
      </c>
    </row>
    <row r="5222">
      <c r="A5222" t="inlineStr">
        <is>
          <t>eau cc</t>
        </is>
      </c>
      <c r="B5222">
        <f>HYPERLINK("https://www.dofusbook.net/fr/equipement/2919544-eau-cc/objets", "link")</f>
        <v/>
      </c>
      <c r="C5222" t="n">
        <v>3</v>
      </c>
      <c r="D5222" t="inlineStr">
        <is>
          <t>Dagoulinantes; Amulette de l'Œil Attentif; Bracelet des Fonds marins; Alliance Gloursonne; Bouclier d'Ilyzaelle; Pagne du Rykaon; Capuche de l'Œil Attentif; Cape de l'Œil Attentif; Sandales des Fonds marins; Dofus Pourpre; Dofus Abyssal; Dofus Ocre; Dofus Turquoise; Dofus Ivoire; Dofus Émeraude; Muldo Ebène</t>
        </is>
      </c>
    </row>
    <row r="5223">
      <c r="A5223" t="inlineStr">
        <is>
          <t>eau/ do pou</t>
        </is>
      </c>
      <c r="B5223">
        <f>HYPERLINK("https://www.dofusbook.net/fr/equipement/2919539-eau--do-pou/objets", "link")</f>
        <v/>
      </c>
      <c r="C5223" t="n">
        <v>3</v>
      </c>
      <c r="D5223" t="inlineStr">
        <is>
          <t>Sceptre du Roi Joueur; Amulette de Shokkoth; Alliance Gloursonne; Bracelet des Fonds marins; Bouclier d'Ilyzaelle; Ceinture de la Reine des Voleurs; Kidibonnet; Cape Solution; Bottes de la Reine des Voleurs; Dofus Abyssal; Dofus Ivoire; Dofus des Glaces; Dofus Émeraude; Dokoko; Chanceux majeur; Muldo Ebène</t>
        </is>
      </c>
    </row>
    <row r="5224">
      <c r="A5224" t="inlineStr">
        <is>
          <t>air pvp</t>
        </is>
      </c>
      <c r="B5224">
        <f>HYPERLINK("https://www.dofusbook.net/fr/equipement/2919364-air-pvp/objets", "link")</f>
        <v/>
      </c>
      <c r="C5224" t="n">
        <v>4</v>
      </c>
      <c r="D5224" t="inlineStr">
        <is>
          <t>Manthache; Collier du Valet Veinard; Alliance Gloursonne; Gant du Valet Veinard; Bouclier du Stalak; Menoture; Dorabysses; Cape Indescriptible; Palmes Trithons; Dofus Pourpre; Dofus Abyssal; Dofus Ivoire; Dokoko; Dofus Ocre; Cascadeur majeur; Muldo Ebène</t>
        </is>
      </c>
    </row>
    <row r="5225">
      <c r="A5225" t="inlineStr">
        <is>
          <t>multi</t>
        </is>
      </c>
      <c r="B5225">
        <f>HYPERLINK("https://www.dofusbook.net/fr/equipement/2919303-multi-/objets", "link")</f>
        <v/>
      </c>
      <c r="C5225" t="n">
        <v>1</v>
      </c>
      <c r="D5225" t="inlineStr">
        <is>
          <t>Marteau de Katrepat; Amulette du Cycloïde; Alliance Brûlâme; Bracelet du Piloztère; La Rondelle; Ceinture du Strigide; Le Dorado; Voilamibe; Bottes du Strigide; Dofus Pourpre; Dofus des Glaces; Dofus Ocre; Vigoureux majeur; Robuste majeur; Enragé majeur; Kompost</t>
        </is>
      </c>
    </row>
    <row r="5226">
      <c r="A5226" t="inlineStr">
        <is>
          <t>eau/cac/tac/tank</t>
        </is>
      </c>
      <c r="B5226">
        <f>HYPERLINK("https://www.dofusbook.net/fr/equipement/2918841-eau-cac-tac-tank/objets", "link")</f>
        <v/>
      </c>
      <c r="C5226" t="n">
        <v>6</v>
      </c>
      <c r="D5226" t="inlineStr">
        <is>
          <t>Sceptre du Roi Joueur; Amulette de Shokkoth; Bracelet des Fonds marins; Alliance Gloursonne; Bouclier d'Ilyzaelle; Sangle Ouare; Kidibonnet; Cape Solution; Sandales des Fonds marins; Dofus Émeraude; Dofus des Glaces; Dévastateur Eau majeur; Obstructeur majeur; Miraculé majeur; Chanceux majeur; Dauge</t>
        </is>
      </c>
    </row>
    <row r="5227">
      <c r="A5227" t="inlineStr">
        <is>
          <t>full feu/cac/no cc</t>
        </is>
      </c>
      <c r="B5227">
        <f>HYPERLINK("https://www.dofusbook.net/fr/equipement/2916317-full-feu-cac-no-cc/objets", "link")</f>
        <v/>
      </c>
      <c r="C5227" t="n">
        <v>2</v>
      </c>
      <c r="D5227" t="inlineStr">
        <is>
          <t>Massier; Pendentif affamé; Anneau Tique; Baguistik; Bouclier Taverne; Ceinture Séculaire; Coiffe Séculaire; Cape de Diondin; Bottes Innommables; Dofus Abyssal; Dofus Turquoise; Dofus Pourpre; Dofus Ivoire; Érudit majeur; Remueur; Muldo Orchidée</t>
        </is>
      </c>
    </row>
    <row r="5228">
      <c r="A5228" t="inlineStr">
        <is>
          <t>air sustain</t>
        </is>
      </c>
      <c r="B5228">
        <f>HYPERLINK("https://www.dofusbook.net/fr/equipement/2721116-air-sustain/objets", "link")</f>
        <v/>
      </c>
      <c r="C5228" t="n">
        <v>1</v>
      </c>
      <c r="D5228" t="inlineStr">
        <is>
          <t>Manthache; Collier du Valet Veinard; Alliance Gloursonne; Gant du Valet Veinard; Bouclier du Stalak; Menoture; Couronne d'Allister; Cape Indescriptible; Palmes Trithons; Dofus des Glaces; Dofus Ocre; Dofus Ivoire; Dokoko; Nomade; Cascadeur majeur; Siroko</t>
        </is>
      </c>
    </row>
    <row r="5229">
      <c r="A5229" t="inlineStr">
        <is>
          <t>full terre new troph</t>
        </is>
      </c>
      <c r="B5229">
        <f>HYPERLINK("https://www.dofusbook.net/fr/equipement/2075407-full-terre-new-troph/objets", "link")</f>
        <v/>
      </c>
      <c r="C5229" t="n">
        <v>6</v>
      </c>
      <c r="D5229" t="inlineStr">
        <is>
          <t>Marteau R'ture; Collier de Tourthon; Anneau du Comte Harebourg; Anneau Crustique; Bouclier du Captain Amakna; Ceinture Gence; Masque de Koutoulou; Cape au Logis; Bottes du Comte Harebourg; Dofus Pourpre; Dofus Turquoise; Dolmanax; Vigoureux majeur; Forcené majeur; Enragé majeur; Kompost</t>
        </is>
      </c>
    </row>
    <row r="5230">
      <c r="A5230" t="inlineStr">
        <is>
          <t>PVP air/eau cc</t>
        </is>
      </c>
      <c r="B5230">
        <f>HYPERLINK("https://www.dofusbook.net/fr/equipement/2910108-pvp-air-eau-cc/objets", "link")</f>
        <v/>
      </c>
      <c r="C5230" t="n">
        <v>3</v>
      </c>
      <c r="D5230" t="inlineStr">
        <is>
          <t>Arc de Koutoulou; Amulette du Strigide; Alliance Gloursonne; Bracelet du Piloztère; Quatre-feuilles; Ceinture du Strigide; Némès de Tal Kasha; Chevelure de Tal Kasha; Sandales de Tal Kasha; Dofus Turquoise; Dofus des Glaces; Dolmanax; Dofus Ocre; Dofus Pourpre; Dofus Abyssal; Muldo Prune et Ebène</t>
        </is>
      </c>
    </row>
    <row r="5231">
      <c r="A5231" t="inlineStr">
        <is>
          <t>PVM terre tank</t>
        </is>
      </c>
      <c r="B5231">
        <f>HYPERLINK("https://www.dofusbook.net/fr/equipement/2892236-pvm-terre-tank/objets", "link")</f>
        <v/>
      </c>
      <c r="C5231" t="n">
        <v>5</v>
      </c>
      <c r="D5231" t="inlineStr">
        <is>
          <t>Marteau R'ture; Amulette du Strigide; Anneau Crustique; Anneau Crustique; Bouclier Taverne; Ceinture du Strigide; Masque de Koutoulou; Cape au Logis; Bottes Honyme; Dofus Abyssal; Dofus Ivoire; Dofus Pourpre; Dofus Turquoise; Vigoureux majeur; Enragé majeur; Kompost</t>
        </is>
      </c>
    </row>
    <row r="5232">
      <c r="A5232" t="inlineStr">
        <is>
          <t>PVM terre tank</t>
        </is>
      </c>
      <c r="B5232">
        <f>HYPERLINK("https://www.dofusbook.net/fr/equipement/2892198-pvm-terre-tank/objets", "link")</f>
        <v/>
      </c>
      <c r="C5232" t="n">
        <v>2</v>
      </c>
      <c r="D5232" t="inlineStr">
        <is>
          <t>Marteau R'ture; Amulette du Strigide; Anneau Crustique; Anneau Crustique; Bouclier Taverne; Ceinture du Strigide; Masque de Koutoulou; Cape au Logis; Bottes Honyme; Dofus Pourpre; Dofus Turquoise; Dofus Abyssal; Dofus Émeraude; Vigoureux majeur; Enragé majeur; Kompost</t>
        </is>
      </c>
    </row>
    <row r="5233">
      <c r="A5233" t="inlineStr">
        <is>
          <t>air/feu/arc</t>
        </is>
      </c>
      <c r="B5233">
        <f>HYPERLINK("https://www.dofusbook.net/fr/equipement/2887196-air-feu-arc/objets", "link")</f>
        <v/>
      </c>
      <c r="C5233" t="n">
        <v>2</v>
      </c>
      <c r="D5233" t="inlineStr">
        <is>
          <t>Arc Honte; Collier du Valet Veinard; Alliance Gloursonne; Gant du Valet Veinard; Bouclier du Stalak; Ceinture de Vortex; Cagoule de Vortex; Cape du Valet Veinard; Sabots de Vortex; Dofus Ocre; Dofus des Glaces; Dolmanax; Féroce majeur; Saccageur Air majeur; Voyageur; Blérodoudou</t>
        </is>
      </c>
    </row>
    <row r="5234">
      <c r="A5234" t="inlineStr">
        <is>
          <t>cac tank</t>
        </is>
      </c>
      <c r="B5234">
        <f>HYPERLINK("https://www.dofusbook.net/fr/equipement/150759-cac-tank/objets", "link")</f>
        <v/>
      </c>
      <c r="C5234" t="n">
        <v>4</v>
      </c>
      <c r="D5234" t="inlineStr">
        <is>
          <t>Dagues du Dragoeuf; Amulette du Strigide; Bague Gloursonne; Anneau du Katcheur; Bouclier d'Ilyzaelle; Ceinture du Strigide; Masque du Katcheur; Voile d'encre; Bottes du Katcheur; Dofus Abyssal; Dofus Ivoire; Dofus Nébuleux; Dofus Pourpre; Dofus Ocre; Dofus Turquoise; Muldo Prune et Doré</t>
        </is>
      </c>
    </row>
    <row r="5235">
      <c r="A5235" t="inlineStr">
        <is>
          <t>eau/cac</t>
        </is>
      </c>
      <c r="B5235">
        <f>HYPERLINK("https://www.dofusbook.net/fr/equipement/2650345-eau-cac/objets", "link")</f>
        <v/>
      </c>
      <c r="C5235" t="n">
        <v>5</v>
      </c>
      <c r="D5235" t="inlineStr">
        <is>
          <t>Sceptre du Roi Joueur; Amulette de Shokkoth; Alliance Gloursonne; Bracelet des Fonds marins; Bouclier d'Ilyzaelle; Ceinture de la Reine des Voleurs; Kidibonnet; Cape Solution; Bottes de la Reine des Voleurs; Dofus des Glaces; Saccageur Eau majeur; Chanceux majeur; Taquin majeur; Dévastateur Eau majeur; Nomade; Kanigloups</t>
        </is>
      </c>
    </row>
    <row r="5236">
      <c r="A5236" t="inlineStr">
        <is>
          <t>PVM eau/air/terre</t>
        </is>
      </c>
      <c r="B5236">
        <f>HYPERLINK("https://www.dofusbook.net/fr/equipement/2494146-pvm-eau-air-terre/objets", "link")</f>
        <v/>
      </c>
      <c r="C5236" t="n">
        <v>3</v>
      </c>
      <c r="D5236" t="inlineStr">
        <is>
          <t>Arc Ahique; Amulette de l'Indicible; Bracelet du Piloztère; Alliance Gloursonne; Bouclier du Stalak; Ceinture de la Reine des Voleurs; Coiffe de la Reine des Voleurs; Voilamibe; Baleinabottes; Dofus Ocre; Dofus Pourpre; Dofus des Glaces; Enragé majeur; Robuste majeur; Vigoureux majeur; Kompost</t>
        </is>
      </c>
    </row>
    <row r="5237">
      <c r="A5237" t="inlineStr">
        <is>
          <t>full feu</t>
        </is>
      </c>
      <c r="B5237">
        <f>HYPERLINK("https://www.dofusbook.net/fr/equipement/2733950-full-feu/objets", "link")</f>
        <v/>
      </c>
      <c r="C5237" t="n">
        <v>1</v>
      </c>
      <c r="D5237" t="inlineStr">
        <is>
          <t>Arc corrompu; Pendentif mignon de Koutoulou; Anneau Rifique; Anneauræus; Bouclier du Cycloïde; Ceinture Séculaire; Heaume Oplate; Cape de Diondin; Bottes Innommables; Dofus Pourpre; Dofus Abyssal; Nomade; Vigoureux majeur; Érudit majeur; Astucieux majeur; Brûlih</t>
        </is>
      </c>
    </row>
    <row r="5238">
      <c r="A5238" t="inlineStr">
        <is>
          <t>feu/air cc</t>
        </is>
      </c>
      <c r="B5238">
        <f>HYPERLINK("https://www.dofusbook.net/fr/equipement/1943623-feu-air-cc/objets", "link")</f>
        <v/>
      </c>
      <c r="C5238" t="n">
        <v>2</v>
      </c>
      <c r="D5238" t="inlineStr">
        <is>
          <t>Baguette Hernelle; Pendentif mignon de Koutoulou; Anneau Rifique; Kralano; Bouclier du Cycloïde; Ceinture de Vortex; Heaume Oplate; Cape de Diondin; Bottes Innommables; Dofus Pourpre; Dolmanax; Dofus des Glaces; Nomade; Érudit majeur; Vigoureux majeur; Brûlih</t>
        </is>
      </c>
    </row>
    <row r="5239">
      <c r="A5239" t="inlineStr">
        <is>
          <t>duo bethel</t>
        </is>
      </c>
      <c r="B5239">
        <f>HYPERLINK("https://www.dofusbook.net/fr/equipement/2730790-duo-bethel/objets", "link")</f>
        <v/>
      </c>
      <c r="C5239" t="n">
        <v>3</v>
      </c>
      <c r="D5239" t="inlineStr">
        <is>
          <t>Manthache; Amulette d'Ilyzaelle; Alliance Brûlâme; Alliance Gloursonne; Bouclier d'Ilyzaelle; Ceintouse; Dorabysses; Cape Indescriptible; Baleinabottes; Dofus Émeraude; Dofus Abyssal; Dokoko; Miraculé majeur; Remueur; Cascadeur majeur; Muldo Ebène</t>
        </is>
      </c>
    </row>
    <row r="5240">
      <c r="A5240" t="inlineStr">
        <is>
          <t>air PVM</t>
        </is>
      </c>
      <c r="B5240">
        <f>HYPERLINK("https://www.dofusbook.net/fr/equipement/2730292-air-pvm/objets", "link")</f>
        <v/>
      </c>
      <c r="C5240" t="n">
        <v>2</v>
      </c>
      <c r="D5240" t="inlineStr">
        <is>
          <t>Manthache; Collier du Valet Veinard; Gant du Valet Veinard; Alliance Gloursonne; Bouclier du Stalak; Menoture; Couronne d'Allister; Cape Indescriptible; Palmes Trithons; Dofus Pourpre; Dofus des Glaces; Remueur; Nomade; Cascadeur majeur; Dévastateur Air majeur; Siroko</t>
        </is>
      </c>
    </row>
    <row r="5241">
      <c r="A5241" t="inlineStr">
        <is>
          <t>full terre</t>
        </is>
      </c>
      <c r="B5241">
        <f>HYPERLINK("https://www.dofusbook.net/fr/equipement/2721007-full-terre/objets", "link")</f>
        <v/>
      </c>
      <c r="C5241" t="n">
        <v>1</v>
      </c>
      <c r="D5241" t="inlineStr">
        <is>
          <t>Arc du Chalœil; Collier de Tourthon; Alliance de Missiz Frizz; Anneau de Brouce; Quatre-feuilles; Ceinture de Brouce; Casque de Missiz Frizz; Cape au Logis; Bottes de Brouce; Dofus Pourpre; Dolmanax; Dofus Turquoise; Dofus Ocre; Forcené majeur; Furibond majeur; Kompost</t>
        </is>
      </c>
    </row>
    <row r="5242">
      <c r="A5242" t="inlineStr">
        <is>
          <t>pvm burst</t>
        </is>
      </c>
      <c r="B5242">
        <f>HYPERLINK("https://www.dofusbook.net/fr/equipement/1083418-pvm-burst/objets", "link")</f>
        <v/>
      </c>
      <c r="C5242" t="n">
        <v>2</v>
      </c>
      <c r="D5242" t="inlineStr">
        <is>
          <t>Sabres d'Atcham; Amulette du Strigide; Anneau de Padgref; Bracelet du Piloztère; Quatre-feuilles; Ceinture du Strigide; Coiffe de Padgref; Cape d'Atcham; Getas de Padgref; Dolmanax; Dofus Ocre; Dofus Pourpre; Dofus des Glaces; Dofus Turquoise; Puissant majeur; Muldo Prune et Emeraude</t>
        </is>
      </c>
    </row>
    <row r="5243">
      <c r="A5243" t="inlineStr">
        <is>
          <t>eau/ do pou</t>
        </is>
      </c>
      <c r="B5243">
        <f>HYPERLINK("https://www.dofusbook.net/fr/equipement/2627708-eau--do-pou/objets", "link")</f>
        <v/>
      </c>
      <c r="C5243" t="n">
        <v>5</v>
      </c>
      <c r="D5243" t="inlineStr">
        <is>
          <t>Hache Euvale; Amulette Luminescente; Alliance Gloursonne; Bracelet des Fonds marins; Bouclier Taverne; Ceinture Luminescente; Casque Dragoeuf; Cape Solution; Pataugastrique; Dofus Abyssal; Dofus Ivoire; Chanceux majeur; Miraculé majeur; Culbuteur majeur; Bousculeur majeur; Muldo Indigo</t>
        </is>
      </c>
    </row>
    <row r="5244">
      <c r="A5244" t="inlineStr">
        <is>
          <t>air/manthache/12pa</t>
        </is>
      </c>
      <c r="B5244">
        <f>HYPERLINK("https://www.dofusbook.net/fr/equipement/2622380-air-manthache-12pa/objets", "link")</f>
        <v/>
      </c>
      <c r="C5244" t="n">
        <v>4</v>
      </c>
      <c r="D5244" t="inlineStr">
        <is>
          <t>Manthache; Collier du Valet Veinard; Alliance Gloursonne; Gant du Valet Veinard; Bouclier du Stalak; Ceinture de l'Esprit Salvateur; Masque de l'Esprit Salvateur; Cape du Valet Veinard; Bottes de l'Esprit Salvateur; Dofus Abyssal; Dofus Pourpre; Dofus Émeraude; Dokoko; Dofus Ivoire; Dofus Ocre; Muldo Ebène</t>
        </is>
      </c>
    </row>
    <row r="5245">
      <c r="A5245" t="inlineStr">
        <is>
          <t>eau/air</t>
        </is>
      </c>
      <c r="B5245">
        <f>HYPERLINK("https://www.dofusbook.net/fr/equipement/150752-eau-air/objets", "link")</f>
        <v/>
      </c>
      <c r="C5245" t="n">
        <v>2</v>
      </c>
      <c r="D5245" t="inlineStr">
        <is>
          <t>Marteau des Anciens Steamers; Amulette d'Ilyzaelle; Alliance Gloursonne; Bracelet du Piloztère; Bouclier du Stalak; Ceinture Billonnante; Casque d'Ilyzaelle; Cape Indescriptible; Baleinabottes; Dofus Abyssal; Dolmanax; Dofus des Glaces; Dofus Pourpre; Vigoureux majeur; Remueur; Muldo Doré et Amande</t>
        </is>
      </c>
    </row>
    <row r="5246">
      <c r="A5246" t="inlineStr">
        <is>
          <t>eau/feu</t>
        </is>
      </c>
      <c r="B5246">
        <f>HYPERLINK("https://www.dofusbook.net/fr/equipement/2601923-eau-feu/objets", "link")</f>
        <v/>
      </c>
      <c r="C5246" t="n">
        <v>1</v>
      </c>
      <c r="D5246" t="inlineStr">
        <is>
          <t>Arc Nécrotique; Talisman Igans; Anneauræus; Lavanneau; Quatre-feuilles; Ceintrigue; Capuche de l'Œil Attentif; Cape de la Dame du Hasard; Bottes Honyme; Dofus Ocre; Dofus des Glaces; Dolmanax; Dofus Turquoise; Dofus Pourpre; Vigoureux majeur; Muldo Prune et Emeraude</t>
        </is>
      </c>
    </row>
    <row r="5247">
      <c r="A5247" t="inlineStr">
        <is>
          <t>multi chaloeil</t>
        </is>
      </c>
      <c r="B5247">
        <f>HYPERLINK("https://www.dofusbook.net/fr/equipement/2585655-multi-chaloeil/objets", "link")</f>
        <v/>
      </c>
      <c r="C5247" t="n">
        <v>4</v>
      </c>
      <c r="D5247" t="inlineStr">
        <is>
          <t>Hache du Chalœil; Amulette du Strigide; Bracelet du Piloztère; Alliance de Missiz Frizz; Quatre-feuilles; Ceinture du Strigide; Le Dorado; Cape de la Dame du Hasard; Bottes Honyme; Dolmanax; Dofus des Glaces; Dofus Pourpre; Dofus Abyssal; Dofus Turquoise; Vigoureux majeur; Muldo Prune et Doré</t>
        </is>
      </c>
    </row>
    <row r="5248">
      <c r="A5248" t="inlineStr">
        <is>
          <t>cinquante all</t>
        </is>
      </c>
      <c r="B5248">
        <f>HYPERLINK("https://www.dofusbook.net/fr/equipement/2580746-cinquante-all/objets", "link")</f>
        <v/>
      </c>
      <c r="C5248" t="n">
        <v>1</v>
      </c>
      <c r="D5248" t="inlineStr">
        <is>
          <t>Epée Loponèze; Amulette d'Ilyzaelle; Alliance Gloursonne; Anneau de Pol Ouatnos; Sept ans de malheur; Ceinture de Kongoku; Masque d'Anerice; Cape d'Anerice; Pataugastrique; Dofus Abyssal; Dofus Émeraude; Dofus Ivoire; Miraculé majeur; Obstructeur majeur; Remueur; Bontique</t>
        </is>
      </c>
    </row>
    <row r="5249">
      <c r="A5249" t="inlineStr">
        <is>
          <t>do cri 0 cc</t>
        </is>
      </c>
      <c r="B5249">
        <f>HYPERLINK("https://www.dofusbook.net/fr/equipement/2537418-do-cri-0-cc/objets", "link")</f>
        <v/>
      </c>
      <c r="C5249" t="n">
        <v>2</v>
      </c>
      <c r="D5249" t="inlineStr">
        <is>
          <t>Sabres d'Atcham; Amulette du Strigide; Bague Trithon; Bracelet du Piloztère; Bouclier du Stalak; Ceinture du Strigide; Masque Trithon; Cape d'Atcham; Bottes du Strigide; Dofus Pourpre; Dofus des Glaces; Dofus Turquoise; Dolmanax; Dofus Ocre; Robuste majeur; Muldo Doré et Emeraude</t>
        </is>
      </c>
    </row>
    <row r="5250">
      <c r="A5250" t="inlineStr">
        <is>
          <t>eau/air/ do cri/pou</t>
        </is>
      </c>
      <c r="B5250">
        <f>HYPERLINK("https://www.dofusbook.net/fr/equipement/1968906-eau-air--do-cri-pou/objets", "link")</f>
        <v/>
      </c>
      <c r="C5250" t="n">
        <v>3</v>
      </c>
      <c r="D5250" t="inlineStr">
        <is>
          <t>Epée Loponèze; Amulette d'Ilyzaelle; Alliance Gloursonne; Bague Trithon; Bouclier d'Ilyzaelle; Sangle Ouare; Casque d'Ilyzaelle; Cape Solution; Bottes Trithon; Dofus Pourpre; Dofus des Glaces; Dofus Émeraude; Dofus Abyssal; Dofus Ivoire; Robuste majeur; Muldo Ebène et Emeraude</t>
        </is>
      </c>
    </row>
    <row r="5251">
      <c r="A5251" t="inlineStr">
        <is>
          <t>feu tank</t>
        </is>
      </c>
      <c r="B5251">
        <f>HYPERLINK("https://www.dofusbook.net/fr/equipement/2543347-feu-tank/objets", "link")</f>
        <v/>
      </c>
      <c r="C5251" t="n">
        <v>1</v>
      </c>
      <c r="D5251" t="inlineStr">
        <is>
          <t>Baguette de Malléfisk; Amulette Cryochrone; Bague Gloursonne; Carapar; Ceinture de Kongoku; Masque d'Anerice; Cape d'Anerice; Pataugastrique; Dofus Émeraude; Dofus Ivoire; Dokoko; Remueur; Muldo Roux et Orchidée</t>
        </is>
      </c>
    </row>
    <row r="5252">
      <c r="A5252" t="inlineStr">
        <is>
          <t>PVPM/ téroide/ nébu</t>
        </is>
      </c>
      <c r="B5252">
        <f>HYPERLINK("https://www.dofusbook.net/fr/equipement/710955-pvpm--teroide--nebu/objets", "link")</f>
        <v/>
      </c>
      <c r="C5252" t="n">
        <v>5</v>
      </c>
      <c r="D5252" t="inlineStr">
        <is>
          <t>Hache Téroïde; Amulette du Strigide; Bague Gloursonne; Anneau Chevelu; Bouclier d'Ilyzaelle; Ceinture du Strigide; Masque de Koutoulou; Voile d'encre; Bottes Honyme; Dofus Pourpre; Dofus Abyssal; Dofus Turquoise; Dofus des Glaces; Dofus Nébuleux; Dofus Ivoire; Muldo Orchidée et Pourpre</t>
        </is>
      </c>
    </row>
    <row r="5253">
      <c r="A5253" t="inlineStr">
        <is>
          <t>full feu/PVP</t>
        </is>
      </c>
      <c r="B5253">
        <f>HYPERLINK("https://www.dofusbook.net/fr/equipement/2153542-full-feu-pvp/objets", "link")</f>
        <v/>
      </c>
      <c r="C5253" t="n">
        <v>3</v>
      </c>
      <c r="D5253" t="inlineStr">
        <is>
          <t>Arc corrompu; Pendentif affamé; Anneau Rifique; Anneauræus; Bouclier du Stalak; Ceinture Séculaire; Casque Cyclopéen; Cape de Diondin; Bottes Innommables; Dofus Abyssal; Dofus Pourpre; Dévastateur Feu majeur; Érudit majeur; Remueur; Nomade; Brûlih</t>
        </is>
      </c>
    </row>
    <row r="5254">
      <c r="A5254" t="inlineStr">
        <is>
          <t>eau cc</t>
        </is>
      </c>
      <c r="B5254">
        <f>HYPERLINK("https://www.dofusbook.net/fr/equipement/2532682-eau-cc/objets", "link")</f>
        <v/>
      </c>
      <c r="C5254" t="n">
        <v>5</v>
      </c>
      <c r="D5254" t="inlineStr">
        <is>
          <t>Dagoulinantes; Amulette de l'Œil Attentif; Alliance Gloursonne; Bracelet des Fonds marins; Bouclier d'Ilyzaelle; Pagne du Rykaon; Capuche de l'Œil Attentif; Cape de l'Œil Attentif; Sandales des Fonds marins; Dofus Ivoire; Dofus Émeraude; Dofus Pourpre; Dofus Abyssal; Dofus Ocre; Dofus Turquoise; Muldo Ebène</t>
        </is>
      </c>
    </row>
    <row r="5255">
      <c r="A5255" t="inlineStr">
        <is>
          <t>réseau feu/eau</t>
        </is>
      </c>
      <c r="B5255">
        <f>HYPERLINK("https://www.dofusbook.net/fr/equipement/2530408-reseau-feu-eau/objets", "link")</f>
        <v/>
      </c>
      <c r="C5255" t="n">
        <v>2</v>
      </c>
      <c r="D5255" t="inlineStr">
        <is>
          <t>Arc Honte; Talisman Igans; Lavanneau; Bracelet du Piloztère; Bouclier du Stalak; Ceintrigue; Masque de l'Esprit Salvateur; Voilamibe; Pataugastrique; Dofus Pourpre; Dofus Ocre; Dofus des Glaces; Vigoureux majeur; Chanceux majeur; Robuste majeur; Dehluge</t>
        </is>
      </c>
    </row>
    <row r="5256">
      <c r="A5256" t="inlineStr">
        <is>
          <t>no muldo/6000 vita</t>
        </is>
      </c>
      <c r="B5256">
        <f>HYPERLINK("https://www.dofusbook.net/fr/equipement/150756-no-muldo-6000-vita/objets", "link")</f>
        <v/>
      </c>
      <c r="C5256" t="n">
        <v>2</v>
      </c>
      <c r="D5256" t="inlineStr">
        <is>
          <t>Epée Loponèze; Collier Rophante; Alliance Gloursonne; Bague Trithon; Sept ans de malheur; Ceinture de Kongoku; Masque d'Anerice; Cape d'Anerice; Pataugastrique; Dofus Ivoire; Dofus Abyssal; Dofus Émeraude; Carapace Neutre majeur; Obstructeur majeur; Remueur; Bontique</t>
        </is>
      </c>
    </row>
    <row r="5257">
      <c r="A5257" t="inlineStr">
        <is>
          <t>quarante all/5800vit</t>
        </is>
      </c>
      <c r="B5257">
        <f>HYPERLINK("https://www.dofusbook.net/fr/equipement/2499853-quarante-all-5800vit/objets", "link")</f>
        <v/>
      </c>
      <c r="C5257" t="n">
        <v>1</v>
      </c>
      <c r="D5257" t="inlineStr">
        <is>
          <t>Rouleau à Pâtisserie d'Aermyne; Amulette d'Ilyzaelle; Anneau Tique; Alliance Gloursonne; Bouclier précieux; Ceinture de Kongoku; Masque d'Anerice; Cape d'Anerice; Pataugastrique; Dofus Abyssal; Dofus Émeraude; Dofus Ivoire; Obstructeur majeur; Remueur; Fonceur majeur; Muldo Roux et Pourpre</t>
        </is>
      </c>
    </row>
    <row r="5258">
      <c r="A5258" t="inlineStr">
        <is>
          <t>cinquante all</t>
        </is>
      </c>
      <c r="B5258">
        <f>HYPERLINK("https://www.dofusbook.net/fr/equipement/150758-cinquante-all/objets", "link")</f>
        <v/>
      </c>
      <c r="C5258" t="n">
        <v>1</v>
      </c>
      <c r="D5258" t="inlineStr">
        <is>
          <t>Rouleau à Pâtisserie d'Aermyne; Amulette Cryochrone; Anneau Tique; Alliance Gloursonne; Bouclier précieux; Ceinture de Kongoku; Casque Dragoeuf; Cape d'Aermyne; Pataugastrique; Dofus des Veilleurs; Dofus Émeraude; Dokoko; Remueur; Miraculé majeur; Obstructeur majeur; Muldo Roux et Orchidée</t>
        </is>
      </c>
    </row>
    <row r="5259">
      <c r="A5259" t="inlineStr">
        <is>
          <t>do pou/res</t>
        </is>
      </c>
      <c r="B5259">
        <f>HYPERLINK("https://www.dofusbook.net/fr/equipement/772053-do-pou-res/objets", "link")</f>
        <v/>
      </c>
      <c r="C5259" t="n">
        <v>5</v>
      </c>
      <c r="D5259" t="inlineStr">
        <is>
          <t>Lav'Hache; Torquistik; Bague Trithon; Bague Instable; Bouclier précieux; Ceinture Gence; Casque Dragoeuf; Cape d'Anerice; Bottistik; Dofus Abyssal; Dofus Émeraude; Dokoko; Bousculeur majeur; Culbuteur majeur; Remueur; Muldo Orchidée et Pourpre</t>
        </is>
      </c>
    </row>
    <row r="5260">
      <c r="A5260" t="inlineStr">
        <is>
          <t>tank air</t>
        </is>
      </c>
      <c r="B5260">
        <f>HYPERLINK("https://www.dofusbook.net/fr/equipement/2495384-tank-air/objets", "link")</f>
        <v/>
      </c>
      <c r="C5260" t="n">
        <v>3</v>
      </c>
      <c r="D5260" t="inlineStr">
        <is>
          <t>Pelle de la Cour Sombre; Collier du Valet Veinard; Alliance Gloursonne; Gant du Valet Veinard; Bouclier précieux; Ceinture de Kongoku; Casque Dragoeuf; Cape des Malveilleurs; Baleinabottes; Dofus Émeraude; Dofus Abyssal; Dofus Ivoire; Dokoko; Remueur</t>
        </is>
      </c>
    </row>
    <row r="5261">
      <c r="A5261" t="inlineStr">
        <is>
          <t>pvm 2.45</t>
        </is>
      </c>
      <c r="B5261">
        <f>HYPERLINK("https://www.dofusbook.net/fr/equipement/2443666-pvm-2-45/objets", "link")</f>
        <v/>
      </c>
      <c r="C5261" t="n">
        <v>1</v>
      </c>
      <c r="D5261" t="inlineStr">
        <is>
          <t>Sabres d'Atcham; Amulette du Strigide; Bracelet du Piloztère; Anneau de Padgref; Quatre-feuilles; Ceinture du Strigide; Coiffe de Padgref; Cape d'Atcham; Getas de Padgref; Dofus des Glaces; Dofus Turquoise; Dolmanax; Dofus Ocre; Dofus Pourpre; Puissant majeur; Muldo Doré et Emeraude</t>
        </is>
      </c>
    </row>
    <row r="5262">
      <c r="A5262" t="inlineStr">
        <is>
          <t>air/terre</t>
        </is>
      </c>
      <c r="B5262">
        <f>HYPERLINK("https://www.dofusbook.net/fr/equipement/150761-air-terre/objets", "link")</f>
        <v/>
      </c>
      <c r="C5262" t="n">
        <v>3</v>
      </c>
      <c r="D5262" t="inlineStr">
        <is>
          <t>Hache Ériphe; Amulette du Strigide; Anneau de la Fuji Givrefoux; Anneau des égarés; Quatre-feuilles; Ceinture du Strigide; Casque des égarés; Cape de la Fuji Givrefoux; Bottes des égarés; Dofus Pourpre; Dofus Ocre; Dofus Vulbis; Dofus Turquoise; Dolmanax; Dofus des Glaces; Kompost</t>
        </is>
      </c>
    </row>
    <row r="5263">
      <c r="A5263" t="inlineStr">
        <is>
          <t>air/terre/ret pa/12p</t>
        </is>
      </c>
      <c r="B5263">
        <f>HYPERLINK("https://www.dofusbook.net/fr/equipement/2490589-air-terre-ret-pa-12p/objets", "link")</f>
        <v/>
      </c>
      <c r="C5263" t="n">
        <v>3</v>
      </c>
      <c r="D5263" t="inlineStr">
        <is>
          <t>Lance Horselé; Collier du Valet Veinard; Gant du Valet Veinard; Alliance Gloursonne; Sept ans de malheur; Ceintouse; Chapoulpe; Cape du Valet Veinard; Tentassons; Dofus Ocre; Dofus Abyssal; Dofus Émeraude; Dofus Ivoire; Engourdisseur majeur; Paralyseur majeur; Muldo Ebène</t>
        </is>
      </c>
    </row>
    <row r="5264">
      <c r="A5264" t="inlineStr">
        <is>
          <t>PVM eau cc</t>
        </is>
      </c>
      <c r="B5264">
        <f>HYPERLINK("https://www.dofusbook.net/fr/equipement/2484329-pvm-eau-cc/objets", "link")</f>
        <v/>
      </c>
      <c r="C5264" t="n">
        <v>2</v>
      </c>
      <c r="D5264" t="inlineStr">
        <is>
          <t>Dagoulinantes; Amulette du Strigide; Bracelet du Piloztère; Bracelet des Fonds marins; Bouclier du Captain Amakna; Ceinture du Strigide; Kidibonnet; Cape Solution; Bottes Voldelor; Dofus Pourpre; Dofus des Glaces; Dofus Turquoise; Chanceux majeur; Nomade; Vigoureux majeur; Dehluge</t>
        </is>
      </c>
    </row>
    <row r="5265">
      <c r="A5265" t="inlineStr">
        <is>
          <t>do pou/terre</t>
        </is>
      </c>
      <c r="B5265">
        <f>HYPERLINK("https://www.dofusbook.net/fr/equipement/150742-do-pou-terre/objets", "link")</f>
        <v/>
      </c>
      <c r="C5265" t="n">
        <v>4</v>
      </c>
      <c r="D5265" t="inlineStr">
        <is>
          <t>Héqache; Torquistik; Bague Trithon; Baguistik; Bouclier précieux; Ceinture Gence; Casque Dragoeuf; Voile d'encre; Sabots Minables; Dofus Ivoire; Dofus Abyssal; Dofus Émeraude; Culbuteur; Bousculeur majeur; Culbuteur majeur; Muldo Pourpre</t>
        </is>
      </c>
    </row>
    <row r="5266">
      <c r="A5266" t="inlineStr">
        <is>
          <t>do pou/eau</t>
        </is>
      </c>
      <c r="B5266">
        <f>HYPERLINK("https://www.dofusbook.net/fr/equipement/2320215-do-pou-eau/objets", "link")</f>
        <v/>
      </c>
      <c r="C5266" t="n">
        <v>3</v>
      </c>
      <c r="D5266" t="inlineStr">
        <is>
          <t>Hache Euvale; Amulette Luminescente; Alliance Gloursonne; Bague Trithon; Bouclier précieux; Ceinture Luminescente; Casque Dragoeuf; Cape Solution; Bottes Honyme; Dofus Ivoire; Dofus Abyssal; Dofus Émeraude; Pousseur majeur; Culbuteur majeur; Bousculeur majeur; Muldo Ebène et Indigo</t>
        </is>
      </c>
    </row>
    <row r="5267">
      <c r="A5267" t="inlineStr">
        <is>
          <t>full feu/dist</t>
        </is>
      </c>
      <c r="B5267">
        <f>HYPERLINK("https://www.dofusbook.net/fr/equipement/150743-full-feu-dist/objets", "link")</f>
        <v/>
      </c>
      <c r="C5267" t="n">
        <v>3</v>
      </c>
      <c r="D5267" t="inlineStr">
        <is>
          <t>Arc corrompu; Amulette du Strigide; Anneau de Padgref; Anneauræus; Quatre-feuilles; Ceinture du Strigide; Coiffe de Padgref; Voile d'encre; Getas de Padgref; Dofus Ivoire; Dofus Turquoise; Dofus Abyssal; Dofus Nébuleux; Dofus Ocre; Dofus Pourpre; Muldo Orchidée et Pourpre</t>
        </is>
      </c>
    </row>
    <row r="5268">
      <c r="A5268" t="inlineStr">
        <is>
          <t>full feu/cac</t>
        </is>
      </c>
      <c r="B5268">
        <f>HYPERLINK("https://www.dofusbook.net/fr/equipement/2321638-full-feu-cac/objets", "link")</f>
        <v/>
      </c>
      <c r="C5268" t="n">
        <v>3</v>
      </c>
      <c r="D5268" t="inlineStr">
        <is>
          <t>Massier; Amulette du Strigide; Anneau de Padgref; Anneauræus; Bouclier d'Ilyzaelle; Ceinture du Strigide; Coiffe de Padgref; Voile d'encre; Getas de Padgref; Dofus Ivoire; Dofus Turquoise; Dofus Abyssal; Dofus Nébuleux; Dofus Ocre; Dofus Pourpre; Muldo Orchidée et Pourpre</t>
        </is>
      </c>
    </row>
    <row r="5269">
      <c r="A5269" t="inlineStr">
        <is>
          <t>air esquive</t>
        </is>
      </c>
      <c r="B5269">
        <f>HYPERLINK("https://www.dofusbook.net/fr/equipement/2487498-air-esquive/objets", "link")</f>
        <v/>
      </c>
      <c r="C5269" t="n">
        <v>1</v>
      </c>
      <c r="D5269" t="inlineStr">
        <is>
          <t>Lance Horselé; Collier du Valet Veinard; Alliance Gloursonne; Gant du Valet Veinard; Bouclier d'Ilyzaelle; Menoture; Dorabysses; Cape de Crânonier; Palmes Trithons; Dofus Pourpre; Dofus Abyssal; Dofus Ivoire; Cascadeur majeur; Évasif majeur; Remueur; Muldo Ebène</t>
        </is>
      </c>
    </row>
    <row r="5270">
      <c r="A5270" t="inlineStr">
        <is>
          <t>terre/eau/ret pvp</t>
        </is>
      </c>
      <c r="B5270">
        <f>HYPERLINK("https://www.dofusbook.net/fr/equipement/2487378-terre-eau-ret-pvp/objets", "link")</f>
        <v/>
      </c>
      <c r="C5270" t="n">
        <v>3</v>
      </c>
      <c r="D5270" t="inlineStr">
        <is>
          <t>Lav'Hache; Collier de Tourthon; Anneau Crustique; Anneau Crustique; Sept ans de malheur; Culotte de Bethel; Masque de Koutoulou; Cape du Cœur Vaillant; Chaussons de Macrab; Dofus Émeraude; Dofus Pourpre; Dofus Ivoire; Étourdisseur majeur; Remueur; Enragé majeur; Muldo Pourpre</t>
        </is>
      </c>
    </row>
    <row r="5271">
      <c r="A5271" t="inlineStr">
        <is>
          <t>cc necro pvp</t>
        </is>
      </c>
      <c r="B5271">
        <f>HYPERLINK("https://www.dofusbook.net/fr/equipement/2459572-cc-necro-pvp/objets", "link")</f>
        <v/>
      </c>
      <c r="C5271" t="n">
        <v>4</v>
      </c>
      <c r="D5271" t="inlineStr">
        <is>
          <t>Arc Nécrotique; Amulette de l'Œil Attentif; Bague Gloursonne; Alliance Gloursonne; Bouclier du Stalak; Pagne du Rykaon; Capuche de l'Œil Attentif; Cape de l'Œil Attentif; Pataugastrique; Dofus Pourpre; Dofus Ivoire; Dofus Turquoise; Dofus des Glaces; Dolmanax; Dofus Abyssal</t>
        </is>
      </c>
    </row>
    <row r="5272">
      <c r="A5272" t="inlineStr">
        <is>
          <t>pvp do cri 2.45</t>
        </is>
      </c>
      <c r="B5272">
        <f>HYPERLINK("https://www.dofusbook.net/fr/equipement/1237139-pvp-do-cri-2-45/objets", "link")</f>
        <v/>
      </c>
      <c r="C5272" t="n">
        <v>2</v>
      </c>
      <c r="D5272" t="inlineStr">
        <is>
          <t>Epée Maudite du Saigneur Guerrier; Amulette du Strigide; Alliance Gloursonne; Bague Gloursonne; Bouclier alvéolé; Ceinture du Strigide; Némès de Tal Kasha; Chevelure de Tal Kasha; Sandales de Tal Kasha; Dofus Abyssal; Dofus Ocre; Dofus des Glaces; Dofus Turquoise; Dofus Pourpre; Dofus Ivoire; Muldo Ebène et Emeraude</t>
        </is>
      </c>
    </row>
    <row r="5273">
      <c r="A5273" t="inlineStr">
        <is>
          <t>res cc</t>
        </is>
      </c>
      <c r="B5273">
        <f>HYPERLINK("https://www.dofusbook.net/fr/equipement/2442954-res-cc/objets", "link")</f>
        <v/>
      </c>
      <c r="C5273" t="n">
        <v>2</v>
      </c>
      <c r="D5273" t="inlineStr">
        <is>
          <t>Hache du Chalœil; Amulette du Strigide; Alliance Gloursonne; Bague Gloursonne; Bouclier d'Ilyzaelle; Ceinture du Strigide; Masque d'Anerice; Cape d'Anerice; Bottes du Strigide; Dofus Turquoise; Dofus Abyssal; Dofus Ocre; Dofus Ivoire; Dofus Pourpre; Dofus des Glaces; Muldo Prune et Emeraude</t>
        </is>
      </c>
    </row>
    <row r="5274">
      <c r="A5274" t="inlineStr">
        <is>
          <t>pvm burst</t>
        </is>
      </c>
      <c r="B5274">
        <f>HYPERLINK("https://www.dofusbook.net/fr/equipement/2422038-pvm-burst/objets", "link")</f>
        <v/>
      </c>
      <c r="C5274" t="n">
        <v>3</v>
      </c>
      <c r="D5274" t="inlineStr">
        <is>
          <t>Sabres d'Atcham; Amulette du Strigide; Anneau de Padgref; Bracelet du Piloztère; Quatre-feuilles; Ceinture du Strigide; Coiffe de Padgref; Cape d'Atcham; Getas de Padgref; Dolmanax; Dofus Ocre; Dofus Pourpre; Dofus des Glaces; Dofus Turquoise; Puissant majeur; Muldo Prune et Emeraude</t>
        </is>
      </c>
    </row>
    <row r="5275">
      <c r="A5275" t="inlineStr">
        <is>
          <t>skin rdv</t>
        </is>
      </c>
      <c r="B5275">
        <f>HYPERLINK("https://www.dofusbook.net/fr/equipement/2410028-skin-rdv/objets", "link")</f>
        <v/>
      </c>
      <c r="C5275" t="n">
        <v>5</v>
      </c>
      <c r="D5275" t="inlineStr">
        <is>
          <t>Coiffe de la Reine des Voleurs; Cape du Bretteur Céleste</t>
        </is>
      </c>
    </row>
    <row r="5276">
      <c r="A5276" t="inlineStr">
        <is>
          <t>julith</t>
        </is>
      </c>
      <c r="B5276">
        <f>HYPERLINK("https://www.dofusbook.net/fr/equipement/2410076-julith/objets", "link")</f>
        <v/>
      </c>
      <c r="C5276" t="n">
        <v>4</v>
      </c>
      <c r="D5276" t="inlineStr">
        <is>
          <t>Cape de Julith; Shushivan 4</t>
        </is>
      </c>
    </row>
    <row r="5277">
      <c r="A5277" t="inlineStr">
        <is>
          <t>eau/air full pano</t>
        </is>
      </c>
      <c r="B5277">
        <f>HYPERLINK("https://www.dofusbook.net/fr/equipement/2409545-eau-air-full-pano/objets", "link")</f>
        <v/>
      </c>
      <c r="C5277" t="n">
        <v>2</v>
      </c>
      <c r="D5277" t="inlineStr">
        <is>
          <t>Arc de Koutoulou; Amulette d'Ilyzaelle; Alliance Gloursonne; Gant du Valet Veinard; Bouclier d'Ilyzaelle; Ceinture de la Reine des Voleurs; Casque d'Ilyzaelle; Cape du Valet Veinard; Bottes de la Reine des Voleurs; Dofus Pourpre; Dofus Ivoire; Dofus Abyssal; Dofus des Glaces; Dofus Émeraude; Dofus Ocre; Muldo Ebène</t>
        </is>
      </c>
    </row>
    <row r="5278">
      <c r="A5278" t="inlineStr">
        <is>
          <t>eau/air nebu/dofust</t>
        </is>
      </c>
      <c r="B5278">
        <f>HYPERLINK("https://www.dofusbook.net/fr/equipement/2409613-eau-air-nebu-dofust/objets", "link")</f>
        <v/>
      </c>
      <c r="C5278" t="n">
        <v>2</v>
      </c>
      <c r="D5278" t="inlineStr">
        <is>
          <t>Epée Loponèze; Amulette d'Ilyzaelle; Gant du Valet Veinard; Alliance Gloursonne; Bouclier d'Ilyzaelle; Ceinture de la Reine des Voleurs; Casque d'Ilyzaelle; Cape du Valet Veinard; Bottes de la Reine des Voleurs; Dofus Émeraude; Dofus Ocre; Dofus Pourpre; Dofus Ivoire; Dofus Abyssal; Dofus des Glaces; Muldo Ebène</t>
        </is>
      </c>
    </row>
    <row r="5279">
      <c r="A5279" t="inlineStr">
        <is>
          <t>air 12/6</t>
        </is>
      </c>
      <c r="B5279">
        <f>HYPERLINK("https://www.dofusbook.net/fr/equipement/2321810-air-12-6/objets", "link")</f>
        <v/>
      </c>
      <c r="C5279" t="n">
        <v>1</v>
      </c>
      <c r="D5279" t="inlineStr">
        <is>
          <t>Manthache; Collier du Valet Veinard; Alliance Gloursonne; Gant du Valet Veinard; Bouclier du Stalak; Ceinture de l'Esprit Salvateur; Masque de l'Esprit Salvateur; Cape du Valet Veinard; Bottes de l'Esprit Salvateur; Dokoko; Dofus Abyssal; Dofus Ocre; Dofus Pourpre; Dofus des Glaces; Dofus Ivoire; Muldo Ebène et Orchidée</t>
        </is>
      </c>
    </row>
    <row r="5280">
      <c r="A5280" t="inlineStr">
        <is>
          <t>eau/air pvp</t>
        </is>
      </c>
      <c r="B5280">
        <f>HYPERLINK("https://www.dofusbook.net/fr/equipement/1946699-eau-air-pvp/objets", "link")</f>
        <v/>
      </c>
      <c r="C5280" t="n">
        <v>2</v>
      </c>
      <c r="D5280" t="inlineStr">
        <is>
          <t>Epée Loponèze; Amulette d'Ilyzaelle; Gant du Valet Veinard; Alliance Gloursonne; Bouclier du Stalak; Ceinture de la Reine des Voleurs; Casque d'Ilyzaelle; Cape Matelassée; Bottes de la Reine des Voleurs; Dofus Pourpre; Dofus des Glaces; Dofus Émeraude; Dofus Abyssal; Dofus Ocre; Dofus Ivoire; Muldo Ebène et Indigo</t>
        </is>
      </c>
    </row>
    <row r="5281">
      <c r="A5281" t="inlineStr">
        <is>
          <t>PVP terre retrait PA</t>
        </is>
      </c>
      <c r="B5281">
        <f>HYPERLINK("https://www.dofusbook.net/fr/equipement/537243-pvp-terre-retrait-pa/objets", "link")</f>
        <v/>
      </c>
      <c r="C5281" t="n">
        <v>5</v>
      </c>
      <c r="D5281" t="inlineStr">
        <is>
          <t>Bêche Asse; Collier de Tourthon; Anneau Crustique; Anneau Crustique; Bouclier d'Ilyzaelle; Ceinture de la Cour Sombre; Masque de Koutoulou; Voile d'encre; Bottes de la Cour Sombre; Dofus Abyssal; Dofus Pourpre; Engourdisseur majeur; Enragé majeur; Étourdisseur majeur; Remueur; Muldo Pourpre</t>
        </is>
      </c>
    </row>
    <row r="5282">
      <c r="A5282" t="inlineStr">
        <is>
          <t>air/eau</t>
        </is>
      </c>
      <c r="B5282">
        <f>HYPERLINK("https://www.dofusbook.net/fr/equipement/1968681-air-eau/objets", "link")</f>
        <v/>
      </c>
      <c r="C5282" t="n">
        <v>3</v>
      </c>
      <c r="D5282" t="inlineStr">
        <is>
          <t>Epée Loponèze; Amulette d'Ilyzaelle; Gant du Valet Veinard; Alliance Gloursonne; Bouclier d'Ilyzaelle; Menoture; Casque d'Ilyzaelle; Cape du Valet Veinard; Palmes Trithons; Dofus Émeraude; Dofus Abyssal; Dofus Pourpre; Dofus des Glaces; Dolmanax; Dofus Ivoire; Muldo Ebène</t>
        </is>
      </c>
    </row>
    <row r="5283">
      <c r="A5283" t="inlineStr">
        <is>
          <t>air/feu 12pa</t>
        </is>
      </c>
      <c r="B5283">
        <f>HYPERLINK("https://www.dofusbook.net/fr/equipement/2322222-air-feu-12pa/objets", "link")</f>
        <v/>
      </c>
      <c r="C5283" t="n">
        <v>1</v>
      </c>
      <c r="D5283" t="inlineStr">
        <is>
          <t>Marteau Phossile; Collier du Valet Veinard; Gant du Valet Veinard; Alliance Gloursonne; Bouclier d'Ilyzaelle; Ceinture de Vortex; Cagoule de Vortex; Cape du Valet Veinard; Sabots de Vortex; Dofus Émeraude; Dofus des Glaces; Dofus Pourpre; Dofus Abyssal; Dofus Ocre; Dofus Ivoire; Muldo Ebène</t>
        </is>
      </c>
    </row>
    <row r="5284">
      <c r="A5284" t="inlineStr">
        <is>
          <t>air 12/6</t>
        </is>
      </c>
      <c r="B5284">
        <f>HYPERLINK("https://www.dofusbook.net/fr/equipement/2321986-air-12-6/objets", "link")</f>
        <v/>
      </c>
      <c r="C5284" t="n">
        <v>3</v>
      </c>
      <c r="D5284" t="inlineStr">
        <is>
          <t>Manthache; Collier du Valet Veinard; Alliance Gloursonne; Gant du Valet Veinard; Bouclier du Stalak; Ceinture de l'Esprit Salvateur; Masque de l'Esprit Salvateur; Cape du Valet Veinard; Bottes de l'Esprit Salvateur; Dofus Abyssal; Dofus Ocre; Dofus Pourpre; Dofus des Glaces; Dofus Ivoire; Robuste majeur; Muldo Doré et Amande</t>
        </is>
      </c>
    </row>
    <row r="5285">
      <c r="A5285" t="inlineStr">
        <is>
          <t>eau/air</t>
        </is>
      </c>
      <c r="B5285">
        <f>HYPERLINK("https://www.dofusbook.net/fr/equipement/2321788-eau-air/objets", "link")</f>
        <v/>
      </c>
      <c r="C5285" t="n">
        <v>1</v>
      </c>
      <c r="D5285" t="inlineStr">
        <is>
          <t>Arc de Koutoulou; Amulette d'Ilyzaelle; Alliance Gloursonne; Gant du Valet Veinard; Bouclier du Stalak; Menoture; Casque d'Ilyzaelle; Cape Indescriptible; Palmes Trithons; Dofus Abyssal; Dofus Ivoire; Dofus Pourpre; Dofus des Glaces; Dokoko; Remueur; Muldo Ebène</t>
        </is>
      </c>
    </row>
    <row r="5286">
      <c r="A5286" t="inlineStr">
        <is>
          <t>pvm burst</t>
        </is>
      </c>
      <c r="B5286">
        <f>HYPERLINK("https://www.dofusbook.net/fr/equipement/2304192-pvm-burst/objets", "link")</f>
        <v/>
      </c>
      <c r="C5286" t="n">
        <v>3</v>
      </c>
      <c r="D5286" t="inlineStr">
        <is>
          <t>Sabres d'Atcham; Amulette du Strigide; Bracelet du Piloztère; Anneau de Padgref; Quatre-feuilles; Ceinture du Strigide; Coiffe de Padgref; Cape d'Atcham; Getas de Padgref; Dofus Turquoise; Dolmanax; Dofus Ocre; Dofus Pourpre; Dofus des Glaces; Puissant majeur; Muldo Prune et Emeraude</t>
        </is>
      </c>
    </row>
    <row r="5287">
      <c r="A5287" t="inlineStr">
        <is>
          <t>multi katrepat</t>
        </is>
      </c>
      <c r="B5287">
        <f>HYPERLINK("https://www.dofusbook.net/fr/equipement/2303768-multi-katrepat/objets", "link")</f>
        <v/>
      </c>
      <c r="C5287" t="n">
        <v>3</v>
      </c>
      <c r="D5287" t="inlineStr">
        <is>
          <t>Marteau de Katrepat; Amulette du Strigide; Anneau du Katcheur; Bracelet du Piloztère; Bouclier Taverne; Ceinture du Strigide; Masque du Katcheur; Voile d'encre; Bottes du Katcheur; Dofus Ocre; Dofus Turquoise; Dofus Abyssal; Dofus des Glaces; Dolmanax; Dofus Pourpre; Muldo Prune et Doré</t>
        </is>
      </c>
    </row>
    <row r="5288">
      <c r="A5288" t="inlineStr">
        <is>
          <t>eau/air</t>
        </is>
      </c>
      <c r="B5288">
        <f>HYPERLINK("https://www.dofusbook.net/fr/equipement/2303428-eau-air/objets", "link")</f>
        <v/>
      </c>
      <c r="C5288" t="n">
        <v>1</v>
      </c>
      <c r="D5288" t="inlineStr">
        <is>
          <t>Arc de Koutoulou; Amulette d'Ilyzaelle; Gant du Valet Veinard; Alliance Gloursonne; Bouclier du Stalak; Menoture; Casque d'Ilyzaelle; Cape Indescriptible; Palmes Trithons; Dofus Pourpre; Dofus des Glaces; Vigoureux majeur; Remueur; Carapace Eau majeur; Miraculé majeur; Muldo Ebène</t>
        </is>
      </c>
    </row>
    <row r="5289">
      <c r="A5289" t="inlineStr">
        <is>
          <t>pvm burst</t>
        </is>
      </c>
      <c r="B5289">
        <f>HYPERLINK("https://www.dofusbook.net/fr/equipement/2302961-pvm-burst/objets", "link")</f>
        <v/>
      </c>
      <c r="C5289" t="n">
        <v>1</v>
      </c>
      <c r="D5289" t="inlineStr">
        <is>
          <t>Sabres d'Atcham; Amulette du Strigide; Anneau de Padgref; Bracelet du Piloztère; Quatre-feuilles; Ceinture du Strigide; Coiffe de Padgref; Cape d'Atcham; Getas de Padgref; Dofus Pourpre; Dofus des Glaces; Dofus Turquoise; Dolmanax; Dofus Ocre; Puissant majeur; Muldo Doré et Emeraude</t>
        </is>
      </c>
    </row>
    <row r="5290">
      <c r="A5290" t="inlineStr">
        <is>
          <t>lance t/a esquive</t>
        </is>
      </c>
      <c r="B5290">
        <f>HYPERLINK("https://www.dofusbook.net/fr/equipement/2012571-lance-t-a-esquive/objets", "link")</f>
        <v/>
      </c>
      <c r="C5290" t="n">
        <v>3</v>
      </c>
      <c r="D5290" t="inlineStr">
        <is>
          <t>Lance corrompue; Collier de Tourthon; Bague Trithon; Alliance Gloursonne; Bouclier précieux; Ceinture Gence; Coiffe de la Reine des Voleurs; Cape du Cœur Vaillant; Bottes de la Reine des Voleurs; Dofus Pourpre; Dofus Ivoire; Dofus Abyssal; Dofus des Glaces; Remueur; Culbuteur majeur; Muldo Ebène et Orchidée</t>
        </is>
      </c>
    </row>
    <row r="5291">
      <c r="A5291" t="inlineStr">
        <is>
          <t>arc ahique 12pa</t>
        </is>
      </c>
      <c r="B5291">
        <f>HYPERLINK("https://www.dofusbook.net/fr/equipement/2292780-arc-ahique-12pa/objets", "link")</f>
        <v/>
      </c>
      <c r="C5291" t="n">
        <v>3</v>
      </c>
      <c r="D5291" t="inlineStr">
        <is>
          <t>Arc Ahique; Collier du Valet Veinard; Gant du Valet Veinard; Alliance Gloursonne; Bouclier du Stalak; Ceinture de la Reine des Voleurs; Coiffe de la Reine des Voleurs; Cape du Valet Veinard; Bottes de la Reine des Voleurs; Dofus Ivoire; Dofus Ocre; Dofus Abyssal; Dofus Pourpre; Dokoko; Dofus des Glaces; Muldo Ebène</t>
        </is>
      </c>
    </row>
    <row r="5292">
      <c r="A5292" t="inlineStr">
        <is>
          <t>lance terre/air</t>
        </is>
      </c>
      <c r="B5292">
        <f>HYPERLINK("https://www.dofusbook.net/fr/equipement/2293089-lance-terre-air/objets", "link")</f>
        <v/>
      </c>
      <c r="C5292" t="n">
        <v>1</v>
      </c>
      <c r="D5292" t="inlineStr">
        <is>
          <t>Lance corrompue; Amulette Ementaire Deluxe; Alliance Gloursonne; Anneau Chevelu; Bouclier d'Ilyzaelle; Ceinture de la Reine des Voleurs; Coiffe de la Reine des Voleurs; Voile d'encre; Baleinabottes; Dofus Pourpre; Dofus Ivoire; Dofus Abyssal; Dofus des Glaces; Dofus Émeraude; Remueur; Muldo Ebène et Orchidée</t>
        </is>
      </c>
    </row>
    <row r="5293">
      <c r="A5293" t="inlineStr">
        <is>
          <t>terre tank tac</t>
        </is>
      </c>
      <c r="B5293">
        <f>HYPERLINK("https://www.dofusbook.net/fr/equipement/2239395-terre-tank-tac/objets", "link")</f>
        <v/>
      </c>
      <c r="C5293" t="n">
        <v>2</v>
      </c>
      <c r="D5293" t="inlineStr">
        <is>
          <t>Lav'Hache; Collier de Tourthon; Bague Gloursonne; Anneau Chevelu; Bouclier précieux; Ceinture Luminescente; Masque d'Anerice; Cape d'Anerice; Baleinabottes; Dofus Ivoire; Dofus Émeraude; Enragé majeur; Miraculé majeur; Obstructeur majeur; Remueur; Muldo Roux et Pourpre</t>
        </is>
      </c>
    </row>
    <row r="5294">
      <c r="A5294" t="inlineStr">
        <is>
          <t>air 200 tank</t>
        </is>
      </c>
      <c r="B5294">
        <f>HYPERLINK("https://www.dofusbook.net/fr/equipement/2239242-air-200-tank/objets", "link")</f>
        <v/>
      </c>
      <c r="C5294" t="n">
        <v>3</v>
      </c>
      <c r="D5294" t="inlineStr">
        <is>
          <t>Dagues Érhy; Collier du Valet Veinard; Gant du Valet Veinard; Alliance Gloursonne; Bouclier du Stalak; Menoture; Couronne d'Allister; Cape Indescriptible; Palmes Trithons; Dofus Pourpre; Vigoureux majeur; Remueur; Cascadeur majeur; Miraculé majeur; Dévastateur Air majeur; Muldo Doré et Ebène</t>
        </is>
      </c>
    </row>
    <row r="5295">
      <c r="A5295" t="inlineStr">
        <is>
          <t>PVP crit ret pa</t>
        </is>
      </c>
      <c r="B5295">
        <f>HYPERLINK("https://www.dofusbook.net/fr/equipement/2203354-pvp-crit-ret-pa/objets", "link")</f>
        <v/>
      </c>
      <c r="C5295" t="n">
        <v>3</v>
      </c>
      <c r="D5295" t="inlineStr">
        <is>
          <t>Sabres d'Atcham; Amulette du Strigide; Alliance Gloursonne; Bague Trithon; Bouclier d'Ilyzaelle; Ceinture du Strigide; Masque Trithon; Cape d'Atcham; Sandales  d'Atcham; Dofus Abyssal; Dofus Turquoise; Dofus Ocre; Dofus Ivoire; Dofus Pourpre; Dofus des Glaces; Muldo Prune et Ebène</t>
        </is>
      </c>
    </row>
    <row r="5296">
      <c r="A5296" t="inlineStr">
        <is>
          <t>tank air</t>
        </is>
      </c>
      <c r="B5296">
        <f>HYPERLINK("https://www.dofusbook.net/fr/equipement/708063-tank-air/objets", "link")</f>
        <v/>
      </c>
      <c r="C5296" t="n">
        <v>5</v>
      </c>
      <c r="D5296" t="inlineStr">
        <is>
          <t>Manthache; Collier du Valet Veinard; Alliance Gloursonne; Gant du Valet Veinard; Bouclier d'Ilyzaelle; Menoture; Casque d'Ilyzaelle; Cape du Valet Veinard; Palmes Trithons; Dofus Ivoire; Dofus Abyssal; Dokoko; Dofus Pourpre; Dofus Émeraude; Dofus des Glaces; Muldo Ebène</t>
        </is>
      </c>
    </row>
    <row r="5297">
      <c r="A5297" t="inlineStr">
        <is>
          <t>feu cheap 199</t>
        </is>
      </c>
      <c r="B5297">
        <f>HYPERLINK("https://www.dofusbook.net/fr/equipement/2156008-feu-cheap-199/objets", "link")</f>
        <v/>
      </c>
      <c r="C5297" t="n">
        <v>2</v>
      </c>
      <c r="D5297" t="inlineStr">
        <is>
          <t>Dagues du Dragoeuf; Amulette de Nileza; Anneau Tamie; Kralano; Bivalve; Ceinture Hanium; Chapeau du Comte Razof; Cape de Nileza; Pantoufles Émar; Guérisseur majeur; Érudit majeur; Astucieux majeur; Remueur; Miraculé majeur; Nomade; Brûlih</t>
        </is>
      </c>
    </row>
    <row r="5298">
      <c r="A5298" t="inlineStr">
        <is>
          <t>air pvp nebu</t>
        </is>
      </c>
      <c r="B5298">
        <f>HYPERLINK("https://www.dofusbook.net/fr/equipement/2153759-air-pvp-nebu/objets", "link")</f>
        <v/>
      </c>
      <c r="C5298" t="n">
        <v>2</v>
      </c>
      <c r="D5298" t="inlineStr">
        <is>
          <t>Epée Loponèze; Collier du Valet Veinard; Alliance Gloursonne; Gant du Valet Veinard; Bouclier du Stalak; Menoture; Casque d'Ilyzaelle; Cape Indescriptible; Palmes Trithons; Dofus Nébuleux; Dofus Ivoire; Dofus Pourpre; Remueur; Cascadeur majeur; Nomade; Siroko</t>
        </is>
      </c>
    </row>
    <row r="5299">
      <c r="A5299" t="inlineStr">
        <is>
          <t>full terre</t>
        </is>
      </c>
      <c r="B5299">
        <f>HYPERLINK("https://www.dofusbook.net/fr/equipement/2153584-full-terre/objets", "link")</f>
        <v/>
      </c>
      <c r="C5299" t="n">
        <v>2</v>
      </c>
      <c r="D5299" t="inlineStr">
        <is>
          <t>Arc du Chalœil; Collier de Tourthon; Anneau Crustique; Bague Gloursonne; Quatre-feuilles; Ceinture de la Cour Sombre; Masque de Koutoulou; Cape au Logis; Bottes de la Cour Sombre; Dofus Turquoise; Dofus des Glaces; Dofus Pourpre; Dofus Nébuleux; Remueur; Enragé majeur; Kompost</t>
        </is>
      </c>
    </row>
    <row r="5300">
      <c r="A5300" t="inlineStr">
        <is>
          <t>air casque drag</t>
        </is>
      </c>
      <c r="B5300">
        <f>HYPERLINK("https://www.dofusbook.net/fr/equipement/2149440-air-casque-drag/objets", "link")</f>
        <v/>
      </c>
      <c r="C5300" t="n">
        <v>2</v>
      </c>
      <c r="D5300" t="inlineStr">
        <is>
          <t>Manthache; Collier du Valet Veinard; Alliance Gloursonne; Gant du Valet Veinard; Bouclier du Stalak; Menoture; Casque Dragoeuf; Cape Indescriptible; Palmes Trithons; Dofus Ivoire; Dofus des Glaces; Dofus Abyssal; Dofus Pourpre; Remueur; Cascadeur majeur; Muldo Ebène</t>
        </is>
      </c>
    </row>
    <row r="5301">
      <c r="A5301" t="inlineStr">
        <is>
          <t>air casque drag</t>
        </is>
      </c>
      <c r="B5301">
        <f>HYPERLINK("https://www.dofusbook.net/fr/equipement/2149437-air-casque-drag/objets", "link")</f>
        <v/>
      </c>
      <c r="C5301" t="n">
        <v>2</v>
      </c>
      <c r="D5301" t="inlineStr">
        <is>
          <t>Manthache; Collier du Valet Veinard; Gant du Valet Veinard; Alliance Gloursonne; Bouclier du Stalak; Menoture; Casque Dragoeuf; Cape Indescriptible; Palmes Trithons; Dofus Pourpre; Dofus Nébuleux; Dofus Ivoire; Dofus Abyssal; Cascadeur majeur; Remueur; Muldo Ebène</t>
        </is>
      </c>
    </row>
    <row r="5302">
      <c r="A5302" t="inlineStr">
        <is>
          <t>air 12/6</t>
        </is>
      </c>
      <c r="B5302">
        <f>HYPERLINK("https://www.dofusbook.net/fr/equipement/537964-air-12-6/objets", "link")</f>
        <v/>
      </c>
      <c r="C5302" t="n">
        <v>4</v>
      </c>
      <c r="D5302" t="inlineStr">
        <is>
          <t>Manthache; Collier du Valet Veinard; Gant du Valet Veinard; Alliance Gloursonne; Bouclier du Stalak; Ceinture de l'Esprit Salvateur; Masque de l'Esprit Salvateur; Cape du Valet Veinard; Bottes de l'Esprit Salvateur; Dofus des Glaces; Dofus Nébuleux; Dofus Ivoire; Dofus Abyssal; Dofus Ocre; Dofus Pourpre; Muldo Ebène et Pourpre</t>
        </is>
      </c>
    </row>
    <row r="5303">
      <c r="A5303" t="inlineStr">
        <is>
          <t>eau air crit</t>
        </is>
      </c>
      <c r="B5303">
        <f>HYPERLINK("https://www.dofusbook.net/fr/equipement/1932575-eau-air-crit/objets", "link")</f>
        <v/>
      </c>
      <c r="C5303" t="n">
        <v>2</v>
      </c>
      <c r="D5303" t="inlineStr">
        <is>
          <t>Arc de Koutoulou; Amulette du Strigide; Alliance Gloursonne; Bracelet du Piloztère; Quatre-feuilles; Ceinture du Strigide; Némès de Tal Kasha; Chevelure de Tal Kasha; Sandales de Tal Kasha; Dofus Turquoise; Dofus Abyssal; Dofus Pourpre; Dofus Ivoire; Dofus Ocre; Dofus des Glaces; Muldo Ebène</t>
        </is>
      </c>
    </row>
    <row r="5304">
      <c r="A5304" t="inlineStr">
        <is>
          <t>full terre</t>
        </is>
      </c>
      <c r="B5304">
        <f>HYPERLINK("https://www.dofusbook.net/fr/equipement/2083803-full-terre/objets", "link")</f>
        <v/>
      </c>
      <c r="C5304" t="n">
        <v>5</v>
      </c>
      <c r="D5304" t="inlineStr">
        <is>
          <t>Arc du Chalœil; Collier de Tourthon; Anneau de Brouce; Anneau du Comte Harebourg; Quatre-feuilles; Ceinture de Brouce; Coiffe du Comte Harebourg; Cape au Logis; Bottes de Brouce; Dofus Ocre; Dofus Pourpre; Dolmanax; Dofus Turquoise; Furibond majeur; Forcené majeur; Kompost</t>
        </is>
      </c>
    </row>
    <row r="5305">
      <c r="A5305" t="inlineStr">
        <is>
          <t>air pvm</t>
        </is>
      </c>
      <c r="B5305">
        <f>HYPERLINK("https://www.dofusbook.net/fr/equipement/2075526-air-pvm/objets", "link")</f>
        <v/>
      </c>
      <c r="C5305" t="n">
        <v>1</v>
      </c>
      <c r="D5305" t="inlineStr">
        <is>
          <t>Dagues Lassay; Collier du Valet Veinard; Gant du Valet Veinard; Anneau d'Allister; Bouclier du Stalak; Sangle Oriole; Couronne d'Allister; Cape du Valet Veinard; Bottes d'Allister; Dofus Pourpre; Dofus des Glaces; Saccageur Air majeur; Ravageur Air majeur; Equilibriste majeur; Robuste majeur; Siroko</t>
        </is>
      </c>
    </row>
    <row r="5306">
      <c r="A5306" t="inlineStr">
        <is>
          <t>arc multi</t>
        </is>
      </c>
      <c r="B5306">
        <f>HYPERLINK("https://www.dofusbook.net/fr/equipement/1330244-arc-multi/objets", "link")</f>
        <v/>
      </c>
      <c r="C5306" t="n">
        <v>3</v>
      </c>
      <c r="D5306" t="inlineStr">
        <is>
          <t>Arc du Chalœil; Amulette du Strigide; Bracelet du Piloztère; Bague Gloursonne; Quatre-feuilles; Ceinture du Strigide; Bonnet Ko; Voile d'encre; Bottes du Cycloïde; Dofus Pourpre; Dofus Ocre; Dofus Turquoise; Dofus des Glaces; Nomade; Remueur; Muldo Prune et Doré</t>
        </is>
      </c>
    </row>
    <row r="5307">
      <c r="A5307" t="inlineStr">
        <is>
          <t>eau/air</t>
        </is>
      </c>
      <c r="B5307">
        <f>HYPERLINK("https://www.dofusbook.net/fr/equipement/847385-eau-air/objets", "link")</f>
        <v/>
      </c>
      <c r="C5307" t="n">
        <v>3</v>
      </c>
      <c r="D5307" t="inlineStr">
        <is>
          <t>Marteau des Anciens Steamers; Amulette d'Ilyzaelle; Alliance Gloursonne; Grésilanneau; Bouclier d'Ilyzaelle; Ceinture de la Reine des Voleurs; Casque d'Ilyzaelle; Cape Matelassée; Bottes de la Reine des Voleurs; Dofus Émeraude; Dofus Abyssal; Dofus Ivoire; Dofus Pourpre; Dofus des Glaces; Robuste majeur; Muldo Ebène</t>
        </is>
      </c>
    </row>
    <row r="5308">
      <c r="A5308" t="inlineStr">
        <is>
          <t>full terre</t>
        </is>
      </c>
      <c r="B5308">
        <f>HYPERLINK("https://www.dofusbook.net/fr/equipement/1936508-full-terre/objets", "link")</f>
        <v/>
      </c>
      <c r="C5308" t="n">
        <v>4</v>
      </c>
      <c r="D5308" t="inlineStr">
        <is>
          <t>Arc du Chalœil; Amulette du Cœur Saignant; Chevalière du Roi Joueur; Anneau de Brouce; Quatre-feuilles; Ceinture de Brouce; Couronne du Roi Joueur; Cape au Logis; Bottes de Brouce; Dofus Pourpre; Dofus Turquoise; Dofus Ocre; Furibond majeur; Forcené majeur; Kompost</t>
        </is>
      </c>
    </row>
    <row r="5309">
      <c r="A5309" t="inlineStr">
        <is>
          <t>full terre</t>
        </is>
      </c>
      <c r="B5309">
        <f>HYPERLINK("https://www.dofusbook.net/fr/equipement/1936399-full-terre/objets", "link")</f>
        <v/>
      </c>
      <c r="C5309" t="n">
        <v>3</v>
      </c>
      <c r="D5309" t="inlineStr">
        <is>
          <t>Arc du Chalœil; Collier de Tourthon; Anneau de Brouce; Anneau du Comte Harebourg; Quatre-feuilles; Ceinture de Brouce; Coiffe du Comte Harebourg; Cape au Logis; Bottes de Brouce; Dofus Ocre; Dofus Pourpre; Dofus des Glaces; Dofus Turquoise; Furibond majeur; Forcené majeur; Kompost</t>
        </is>
      </c>
    </row>
    <row r="5310">
      <c r="A5310" t="inlineStr">
        <is>
          <t>multi rekop</t>
        </is>
      </c>
      <c r="B5310">
        <f>HYPERLINK("https://www.dofusbook.net/fr/equipement/1931419-multi-rekop/objets", "link")</f>
        <v/>
      </c>
      <c r="C5310" t="n">
        <v>1</v>
      </c>
      <c r="D5310" t="inlineStr">
        <is>
          <t>Epée Gloursonne; Amulette Ementaire Deluxe; Alliance Gloursonne; Bague Gloursonne; Bouclier du Stalak; Ceinture de l'Esprit Salvateur; Masque de l'Esprit Salvateur; Dofusteuse; Bottes de l'Esprit Salvateur; Dofus Ivoire; Dofus des Glaces; Dofus Abyssal; Dofus Ocre; Dofus Pourpre; Dolmanax; Muldo Ebène et Pourpre</t>
        </is>
      </c>
    </row>
    <row r="5311">
      <c r="A5311" t="inlineStr">
        <is>
          <t>tac/multi</t>
        </is>
      </c>
      <c r="B5311">
        <f>HYPERLINK("https://www.dofusbook.net/fr/equipement/967821-tac-multi/objets", "link")</f>
        <v/>
      </c>
      <c r="C5311" t="n">
        <v>2</v>
      </c>
      <c r="D5311" t="inlineStr">
        <is>
          <t>Marteau de Katrepat; Amulette du Cycloïde; Bracelet du Piloztère; Bague Gloursonne; La Rondelle; Ceinture du Strigide; Le Dorado; Voilamibe; Bottes du Strigide; Dofus Pourpre; Dofus des Glaces; Dofus Ocre; Obstructeur majeur; Vigoureux majeur; Enragé majeur; Kompost</t>
        </is>
      </c>
    </row>
    <row r="5312">
      <c r="A5312" t="inlineStr">
        <is>
          <t>pvm burst</t>
        </is>
      </c>
      <c r="B5312">
        <f>HYPERLINK("https://www.dofusbook.net/fr/equipement/1527404-pvm-burst/objets", "link")</f>
        <v/>
      </c>
      <c r="C5312" t="n">
        <v>3</v>
      </c>
      <c r="D5312" t="inlineStr">
        <is>
          <t>Bâton Beau; Amulette du Strigide; Bracelet du Piloztère; Anneau de Padgref; Quatre-feuilles; Ceinture du Strigide; Coiffe de Padgref; Chevelure de Tal Kasha; Getas de Padgref; Dofus Nébuleux; Dofus Turquoise; Dolmanax; Dofus Ocre; Dofus Pourpre; Dofus des Glaces; Muldo Doré et Emeraude</t>
        </is>
      </c>
    </row>
    <row r="5313">
      <c r="A5313" t="inlineStr">
        <is>
          <t>terre centcinquante</t>
        </is>
      </c>
      <c r="B5313">
        <f>HYPERLINK("https://www.dofusbook.net/fr/equipement/791365-terre-centcinquante/objets", "link")</f>
        <v/>
      </c>
      <c r="C5313" t="n">
        <v>2</v>
      </c>
      <c r="D5313" t="inlineStr">
        <is>
          <t>La Racine Hagogue; Amulette Cætera; Anneau Tabéné; Gelano; La Rondelle; Ceinture de Soissanth; Bonnet Ko; Cape Peupret; Pantoufles de Soissanth; Dofus Pourpre; Enragé majeur; Nomade; Sanguinaire majeur; Vigoureux majeur; Remueur; Muldo Doré et Amande</t>
        </is>
      </c>
    </row>
    <row r="5314">
      <c r="A5314" t="inlineStr">
        <is>
          <t>air pvp</t>
        </is>
      </c>
      <c r="B5314">
        <f>HYPERLINK("https://www.dofusbook.net/fr/equipement/862816-air-pvp/objets", "link")</f>
        <v/>
      </c>
      <c r="C5314" t="n">
        <v>5</v>
      </c>
      <c r="D5314" t="inlineStr">
        <is>
          <t>Manthache; Collier du Valet Veinard; Gant du Valet Veinard; Alliance Gloursonne; Bouclier du Stalak; Menoture; Casque Dragoeuf; Cape Indescriptible; Palmes Trithons; Dofus des Glaces; Dofus Pourpre; Dofus Abyssal; Vigoureux majeur; Cascadeur majeur; Remueur; Muldo Ebène</t>
        </is>
      </c>
    </row>
    <row r="5315">
      <c r="A5315" t="inlineStr">
        <is>
          <t>air ceinture</t>
        </is>
      </c>
      <c r="B5315">
        <f>HYPERLINK("https://www.dofusbook.net/fr/equipement/1237414-air-ceinture/objets", "link")</f>
        <v/>
      </c>
      <c r="C5315" t="n">
        <v>3</v>
      </c>
      <c r="D5315" t="inlineStr">
        <is>
          <t>Manthache; Collier du Valet Veinard; Gant du Valet Veinard; Alliance Gloursonne; Bouclier du Stalak; Ceinture Lupine; Couronne d'Allister; Cape Indescriptible; Palmes Trithons; Dofus Pourpre; Dofus Abyssal; Dofus Ocre; Remueur; Nomade; Cascadeur majeur; Siroko</t>
        </is>
      </c>
    </row>
    <row r="5316">
      <c r="A5316" t="inlineStr">
        <is>
          <t>tank cc</t>
        </is>
      </c>
      <c r="B5316">
        <f>HYPERLINK("https://www.dofusbook.net/fr/equipement/460229-tank-cc/objets", "link")</f>
        <v/>
      </c>
      <c r="C5316" t="n">
        <v>2</v>
      </c>
      <c r="D5316" t="inlineStr">
        <is>
          <t>Rouleau à Pâtisserie d'Aermyne; Torquistik; Alliance Gloursonne; Baguistik; Bouclier précieux; Ceinture de Kongoku; Coiffe d'Aermyne; Cape d'Aermyne; Bottistik; Dofus Émeraude; Dofus Ocre; Dokoko; Dofus Abyssal; Bloqueur majeur; Précurseur majeur; Muldo Roux et Pourpre</t>
        </is>
      </c>
    </row>
    <row r="5317">
      <c r="A5317" t="inlineStr">
        <is>
          <t>koli bl</t>
        </is>
      </c>
      <c r="B5317">
        <f>HYPERLINK("https://www.dofusbook.net/fr/equipement/1219290-koli-bl/objets", "link")</f>
        <v/>
      </c>
      <c r="C5317" t="n">
        <v>2</v>
      </c>
      <c r="D5317" t="inlineStr">
        <is>
          <t>Glaive Icération; Gruchette; Anneau Cérémonial du Seigneur des Rats; Gelano; Bouclier du Sadida; Ceinture Claire en Abrakleur; Casque Dragoeuf; Gruchape; Bottes Harry; Dofus Abyssal; Dofus Émeraude; Dofus Pourpre; Dofus des Glaces; Nomade; Remueur; Muldo Ebène et Pourpre</t>
        </is>
      </c>
    </row>
    <row r="5318">
      <c r="A5318" t="inlineStr">
        <is>
          <t>Stuff 1</t>
        </is>
      </c>
      <c r="B5318">
        <f>HYPERLINK("https://www.dofusbook.net/fr/equipement/1216880-stuff-1/objets", "link")</f>
        <v/>
      </c>
      <c r="C5318" t="n">
        <v>4</v>
      </c>
      <c r="D5318" t="inlineStr">
        <is>
          <t>Hache du Chalœil; Amulette du Strigide; Chevalière du Roi Joueur; Bracelet du Piloztère; Quatre-feuilles; Sangle Ouare; Le Dorado; Dofusteuse; Bottes du Strigide; Dolmanax; Dofus Turquoise; Dofus des Glaces; Dofus Pourpre; Remueur; Vigoureux majeur; Muldo Prune et Emeraude</t>
        </is>
      </c>
    </row>
    <row r="5319">
      <c r="A5319" t="inlineStr">
        <is>
          <t>Stuff 1</t>
        </is>
      </c>
      <c r="B5319">
        <f>HYPERLINK("https://www.dofusbook.net/fr/equipement/1216879-stuff-1/objets", "link")</f>
        <v/>
      </c>
      <c r="C5319" t="n">
        <v>4</v>
      </c>
      <c r="D5319" t="inlineStr">
        <is>
          <t>Hache du Chalœil; Amulette du Strigide; Bracelet du Piloztère; Quatre-feuilles; Sangle Ouare; Le Dorado; Dofusteuse; Bottes du Strigide; Dofus Turquoise; Dofus des Glaces; Dofus Pourpre; Dolmanax; Vigoureux majeur; Remueur; Muldo Prune et Emeraude</t>
        </is>
      </c>
    </row>
    <row r="5320">
      <c r="A5320" t="inlineStr">
        <is>
          <t>ceinture blot</t>
        </is>
      </c>
      <c r="B5320">
        <f>HYPERLINK("https://www.dofusbook.net/fr/equipement/249493-ceinture-blot/objets", "link")</f>
        <v/>
      </c>
      <c r="C5320" t="n">
        <v>1</v>
      </c>
      <c r="D5320" t="inlineStr">
        <is>
          <t>Hache du Chalœil; Amulette du Strigide; Bracelet du Piloztère; Alliance de Missiz Frizz; Quatre-feuilles; Ceinture Blot; Le Dorado; Cape de la Dame du Hasard; Bottes du Strigide; Dofus Pourpre; Dofus des Glaces; Dofus Turquoise; Remueur; Sanguinaire majeur; Vigoureux majeur; Muldo Prune et Emeraude</t>
        </is>
      </c>
    </row>
    <row r="5321">
      <c r="A5321" t="inlineStr">
        <is>
          <t>fuite vovo hardi</t>
        </is>
      </c>
      <c r="B5321">
        <f>HYPERLINK("https://www.dofusbook.net/fr/equipement/150751-fuite--vovo-hardi/objets", "link")</f>
        <v/>
      </c>
      <c r="C5321" t="n">
        <v>1</v>
      </c>
      <c r="D5321" t="inlineStr">
        <is>
          <t>Manthache; Collier du Valet Veinard; Alliance Gloursonne; Gant du Valet Veinard; Bouclier du Stalak; Ceinture Billonnante; Couronne d'Allister; Cape de Klime; Palmes Trithons; Dofus Ocre; Dofus Émeraude; Dofus Abyssal; Déserteur majeur; Cascadeur majeur; Remueur; Muldo Roux et Amande</t>
        </is>
      </c>
    </row>
    <row r="5322">
      <c r="A5322" t="inlineStr">
        <is>
          <t>rdv veinard</t>
        </is>
      </c>
      <c r="B5322">
        <f>HYPERLINK("https://www.dofusbook.net/fr/equipement/796180-rdv-veinard/objets", "link")</f>
        <v/>
      </c>
      <c r="C5322" t="n">
        <v>4</v>
      </c>
      <c r="D5322" t="inlineStr">
        <is>
          <t>Héqache; Collier du Valet Veinard; Alliance Gloursonne; Gant du Valet Veinard; Bouclier précieux; Ceinture de la Reine des Voleurs; Coiffe de la Reine des Voleurs; Cape du Valet Veinard; Bottes de la Reine des Voleurs; Dofus des Glaces; Dofus Pourpre; Dokoko; Dofus Émeraude; Dofus Abyssal; Remueur; Muldo Ebène</t>
        </is>
      </c>
    </row>
    <row r="5323">
      <c r="A5323" t="inlineStr">
        <is>
          <t>terre ret</t>
        </is>
      </c>
      <c r="B5323">
        <f>HYPERLINK("https://www.dofusbook.net/fr/equipement/150749-terre-ret/objets", "link")</f>
        <v/>
      </c>
      <c r="C5323" t="n">
        <v>2</v>
      </c>
      <c r="D5323" t="inlineStr">
        <is>
          <t>Marteau R'ture; Amulette Volcanique; Chevalière du Roi Joueur; Pikano; Bouclier cubiste; Ceinture Gence; Couronne du Roi Joueur; Cape de Kongoku; Bottes du Cœur Saignant; Ralentisseur majeur; Temporiseur majeur; Nomade; Temporiseur; Remueur; Entraveur majeur; Dragodinde Amande</t>
        </is>
      </c>
    </row>
    <row r="5324">
      <c r="A5324" t="inlineStr">
        <is>
          <t>eau/air</t>
        </is>
      </c>
      <c r="B5324">
        <f>HYPERLINK("https://www.dofusbook.net/fr/equipement/736449-eau-air/objets", "link")</f>
        <v/>
      </c>
      <c r="C5324" t="n">
        <v>2</v>
      </c>
      <c r="D5324" t="inlineStr">
        <is>
          <t>Marteau des Anciens Steamers; Amulette d'Ilyzaelle; Gant du Valet Veinard; Alliance Gloursonne; Bouclier d'Ilyzaelle; Ceinture de l'Esprit Salvateur; Casque d'Ilyzaelle; Cape du Valet Veinard; Bottes de l'Esprit Salvateur; Dofus Pourpre; Dofus des Glaces; Dofus Émeraude; Dokoko; Dofus Ocre; Dofus Ivoire; Muldo Ebène</t>
        </is>
      </c>
    </row>
    <row r="5325">
      <c r="A5325" t="inlineStr">
        <is>
          <t>air full roxx</t>
        </is>
      </c>
      <c r="B5325">
        <f>HYPERLINK("https://www.dofusbook.net/fr/equipement/571558-air-full-roxx/objets", "link")</f>
        <v/>
      </c>
      <c r="C5325" t="n">
        <v>4</v>
      </c>
      <c r="D5325" t="inlineStr">
        <is>
          <t>Épée du Granduk; Amulette du Granduk; Anneau d'Allister; Gant du Valet Veinard; Menoture; Masque du Granduk; Cape du Valet Veinard; Bottes d'Allister; Dofus des Glaces; Dofus Pourpre; Robuste majeur; Acrobate majeur; Saccageur Air majeur; Equilibriste majeur; Siroko</t>
        </is>
      </c>
    </row>
    <row r="5326">
      <c r="A5326" t="inlineStr">
        <is>
          <t>air cc vita</t>
        </is>
      </c>
      <c r="B5326">
        <f>HYPERLINK("https://www.dofusbook.net/fr/equipement/571509-air-cc-vita/objets", "link")</f>
        <v/>
      </c>
      <c r="C5326" t="n">
        <v>5</v>
      </c>
      <c r="D5326" t="inlineStr">
        <is>
          <t>Épée du Granduk; Amulette du Granduk; Gant du Valet Veinard; Anneau d'Allister; Quatre-feuilles; Menoture; Masque du Granduk; Cape du Valet Veinard; Bottes d'Allister; Dofus des Glaces; Dofus Pourpre; Dofus Émeraude; Dofus Turquoise; Acrobate majeur; Saccageur Air majeur; Siroko</t>
        </is>
      </c>
    </row>
    <row r="5327">
      <c r="A5327" t="inlineStr">
        <is>
          <t>eau cc</t>
        </is>
      </c>
      <c r="B5327">
        <f>HYPERLINK("https://www.dofusbook.net/fr/equipement/456523-eau-cc/objets", "link")</f>
        <v/>
      </c>
      <c r="C5327" t="n">
        <v>5</v>
      </c>
      <c r="D5327" t="inlineStr">
        <is>
          <t>Rapière aux Glyphes; Amulette de l'Œil Attentif; Alliance Gloursonne; Bracelet des Fonds marins; Bouclier d'Ilyzaelle; Pagne du Rykaon; Capuche de l'Œil Attentif; Cape de l'Œil Attentif; Sandales des Fonds marins; Dofus Ivoire; Dofus Émeraude; Dofus Pourpre; Dofus Abyssal; Dofus Ocre; Dofus Turquoise; Muldo Ebène</t>
        </is>
      </c>
    </row>
    <row r="5328">
      <c r="A5328" t="inlineStr">
        <is>
          <t>Ecaflip F 200</t>
        </is>
      </c>
      <c r="B5328">
        <f>HYPERLINK("https://www.dofusbook.net/fr/equipement/5559674-ecaflip-f-200/objets", "link")</f>
        <v/>
      </c>
      <c r="C5328" t="n">
        <v>1</v>
      </c>
      <c r="D5328" t="inlineStr">
        <is>
          <t>Dagues de Srambad; Amulette du Strigide; Bracelet du Piloztère; Alliance Gloursonne; Bouclier du Captain Amakna; Pagne du Rykaon; Casquipik; Cape au Logis; Bottes du Strigide; Dofus Émeraude; Dofus Pourpre; Dofus Turquoise; Dofus Ocre; Nomade; Remueur; Kokulte</t>
        </is>
      </c>
    </row>
    <row r="5329">
      <c r="A5329" t="inlineStr">
        <is>
          <t>Crâ M 200</t>
        </is>
      </c>
      <c r="B5329">
        <f>HYPERLINK("https://www.dofusbook.net/fr/equipement/5272976-cra-m-200/objets", "link")</f>
        <v/>
      </c>
      <c r="C5329" t="n">
        <v>4</v>
      </c>
      <c r="D5329" t="inlineStr">
        <is>
          <t>Arc Volkorne; Amulette du Strigide; Kralano; Anneau de Padgref; Quatre-feuilles; Ceinture du Strigide; Coiffe de Padgref; Cape d'Atcham; Getas de Padgref; Dofus Émeraude; Dofus Ocre; Dofus Pourpre; Dolmanax; Dofus Turquoise; Voyageur; Muldo Orchidée et Emeraude</t>
        </is>
      </c>
    </row>
    <row r="5330">
      <c r="A5330" t="inlineStr">
        <is>
          <t>Crâ M 200</t>
        </is>
      </c>
      <c r="B5330">
        <f>HYPERLINK("https://www.dofusbook.net/fr/equipement/5270646-cra-m-200/objets", "link")</f>
        <v/>
      </c>
      <c r="C5330" t="n">
        <v>2</v>
      </c>
      <c r="D5330" t="inlineStr">
        <is>
          <t>Arc Volkorne; Amulette du Strigide; Bracelet du Piloztère; Kralano; Quatre-feuilles; Poulpagne; Casque du Chalœil; Cape au Logis; Bottes du Strigide; Dofus Pourpre; Érudit majeur; Carapace Eau majeur; Nomade; Cascadeur majeur; Remueur; Kramkram</t>
        </is>
      </c>
    </row>
    <row r="5331">
      <c r="A5331" t="inlineStr">
        <is>
          <t>Enutrof M 200</t>
        </is>
      </c>
      <c r="B5331">
        <f>HYPERLINK("https://www.dofusbook.net/fr/equipement/5201596-enutrof-m-200/objets", "link")</f>
        <v/>
      </c>
      <c r="C5331" t="n">
        <v>6</v>
      </c>
      <c r="D5331" t="inlineStr">
        <is>
          <t>Arc Nécrotique; Collier de la Dame du Hasard; Anneau Bliteré; Lavanneau; Ftalmo; Poulpagne; Coiffe Cryochrone; Cape de la Dame du Hasard; Pataugastrique; Ralentisseur majeur; Remueur; Temporiseur; Entraveur majeur; Temporiseur majeur; Nomade; Muldo Indigo et Orchidée</t>
        </is>
      </c>
    </row>
    <row r="5332">
      <c r="A5332" t="inlineStr">
        <is>
          <t>Pandawa F 200</t>
        </is>
      </c>
      <c r="B5332">
        <f>HYPERLINK("https://www.dofusbook.net/fr/equipement/4997502-pandawa-f-200/objets", "link")</f>
        <v/>
      </c>
      <c r="C5332" t="n">
        <v>11</v>
      </c>
      <c r="D5332" t="inlineStr">
        <is>
          <t>Arc du Chalœil; Amulette du Strigide; Bague Gloursonne; Bracelet du Piloztère; Quatre-feuilles; Ceintacé; Chapeau de Gein; Cape au Logis; Bottes du Strigide; Dévastateur Neutre majeur; Érudit majeur; Dévastateur Terre majeur; Nomade; Dévastateur Feu majeur; Remueur; Volkorne Jade et Orchidée</t>
        </is>
      </c>
    </row>
    <row r="5333">
      <c r="A5333" t="inlineStr">
        <is>
          <t>Ecaflip F 200</t>
        </is>
      </c>
      <c r="B5333">
        <f>HYPERLINK("https://www.dofusbook.net/fr/equipement/4805785-ecaflip-f-200/objets", "link")</f>
        <v/>
      </c>
      <c r="C5333" t="n">
        <v>7</v>
      </c>
      <c r="D5333" t="inlineStr">
        <is>
          <t>Sceptre du Roi Joueur; Amulette de Shokkoth; Alliance Gloursonne; Bague Trithon; Bouclier du Stalak; Sangle Ouare; Némès de Tal Kasha; Chevelure de Tal Kasha; Pataugastrique; Dofus Turquoise; Chanceux majeur; Dévastateur Eau majeur; Remueur; Carapace Feu majeur; Nomade; Pioute bleu</t>
        </is>
      </c>
    </row>
    <row r="5334">
      <c r="A5334" t="inlineStr">
        <is>
          <t>Stuff 3</t>
        </is>
      </c>
      <c r="B5334">
        <f>HYPERLINK("https://www.dofusbook.net/fr/equipement/311658-stuff-3/objets", "link")</f>
        <v/>
      </c>
      <c r="C5334" t="n">
        <v>9</v>
      </c>
      <c r="D5334" t="inlineStr">
        <is>
          <t>Epée Gloursonne; Ougamulette; Annolamour; Bracelet Ming; Ceinture de Boréale; Coiffe de la Fuji Givrefoux; Cape de Théodoran Ax; Bottes de Léthaline; Initiateur mineur; Fonceur majeur; Précurseur majeur; Muldo Indigo et Emeraude</t>
        </is>
      </c>
    </row>
    <row r="5335">
      <c r="A5335" t="inlineStr">
        <is>
          <t>Iop F 200</t>
        </is>
      </c>
      <c r="B5335">
        <f>HYPERLINK("https://www.dofusbook.net/fr/equipement/4363010-iop-f-200/objets", "link")</f>
        <v/>
      </c>
      <c r="C5335" t="n">
        <v>8</v>
      </c>
      <c r="D5335" t="inlineStr">
        <is>
          <t>Marteau R'ture; Amulette du Strigide; Bague Gloursonne; Bracelet du Piloztère; Bouclier Pandawa; Ceinture de Gein; Masque de Koutoulou; Cape au Logis; Bottes du Strigide; Dévastateur Terre majeur; Vigoureux majeur; Dévastateur Feu majeur; Remueur; Carapace Terre majeur; Nomade; Sakochère</t>
        </is>
      </c>
    </row>
    <row r="5336">
      <c r="A5336" t="inlineStr">
        <is>
          <t>Huppermage F 200</t>
        </is>
      </c>
      <c r="B5336">
        <f>HYPERLINK("https://www.dofusbook.net/fr/equipement/4766908-huppermage-f-200/objets", "link")</f>
        <v/>
      </c>
      <c r="C5336" t="n">
        <v>2</v>
      </c>
      <c r="D5336" t="inlineStr"/>
    </row>
    <row r="5337">
      <c r="A5337" t="inlineStr">
        <is>
          <t>Roublard M 200</t>
        </is>
      </c>
      <c r="B5337">
        <f>HYPERLINK("https://www.dofusbook.net/fr/equipement/4701791-roublard-m-200/objets", "link")</f>
        <v/>
      </c>
      <c r="C5337" t="n">
        <v>2</v>
      </c>
      <c r="D5337" t="inlineStr">
        <is>
          <t>Amulette d'Ilyzaelle; Mitaine Aibre; Bouclier d'Ilyzaelle; Sangle Hyssérine; Casque d'Ilyzaelle; Cape Endaison; Bottes Opsy</t>
        </is>
      </c>
    </row>
    <row r="5338">
      <c r="A5338" t="inlineStr">
        <is>
          <t>eau/soin</t>
        </is>
      </c>
      <c r="B5338">
        <f>HYPERLINK("https://www.dofusbook.net/fr/equipement/5340197-eau-soin/objets", "link")</f>
        <v/>
      </c>
      <c r="C5338" t="n">
        <v>1</v>
      </c>
      <c r="D5338" t="inlineStr">
        <is>
          <t>Arc Hétype; Amulette Séculaire; Anneauræus; Anneauræus; Bouclier cubiste; Ceinture Séculaire; Coiffe Séculaire; Voile d'encre; Bottes Innommables; Dofus Émeraude; Dofus des Glaces; Dofus Vulbis; Dofus Pourpre; Dofus Abyssal; Dofus Ocre; Bisouglours</t>
        </is>
      </c>
    </row>
    <row r="5339">
      <c r="A5339" t="inlineStr">
        <is>
          <t>Féca Eau/Classe</t>
        </is>
      </c>
      <c r="B5339">
        <f>HYPERLINK("https://www.dofusbook.net/fr/equipement/5833062-feca-eau-classe/objets", "link")</f>
        <v/>
      </c>
      <c r="C5339" t="n">
        <v>1</v>
      </c>
      <c r="D5339" t="inlineStr">
        <is>
          <t>Sabres d'Atcham; Amulette Volkorne; Anneau Volkorne; Crocanneau; Bouclier du Captain Amakna; Ceinture du Glourséleste; Casque Volkorne; Cape d'Atcham; Sandales  d'Atcham; Dofus Ivoire; Dofus des Glaces; Dofus Turquoise; Dolmanax; Dofus Ocre; Dofus Ébène; Kokulte</t>
        </is>
      </c>
    </row>
    <row r="5340">
      <c r="A5340" t="inlineStr">
        <is>
          <t>Point</t>
        </is>
      </c>
      <c r="B5340">
        <f>HYPERLINK("https://www.dofusbook.net/fr/equipement/5471210-point/objets", "link")</f>
        <v/>
      </c>
      <c r="C5340" t="n">
        <v>6</v>
      </c>
      <c r="D5340" t="inlineStr">
        <is>
          <t>Epée Gloursonne; Amulette du Glourséleste; Bague Gloursonne; Alliance Gloursonne; Droiture de Fallanster; Ceinture du Glourséleste; Masque du Glourséleste; Cape du Glourséleste; Bottes du Glourséleste; Dofus Vulbis; Dofus Ocre; Dofus Pourpre; Dofus des Glaces; Dofus Ivoire; Dofus Ébène; Dragodinde Ivoire</t>
        </is>
      </c>
    </row>
    <row r="5341">
      <c r="A5341" t="inlineStr">
        <is>
          <t>Crâ M 200</t>
        </is>
      </c>
      <c r="B5341">
        <f>HYPERLINK("https://www.dofusbook.net/fr/equipement/5936194-cra-m-200/objets", "link")</f>
        <v/>
      </c>
      <c r="C5341" t="n">
        <v>6</v>
      </c>
      <c r="D5341" t="inlineStr">
        <is>
          <t>Lav'Hache; Amulette du Strigide; Bague Gloursonne; Anneau Chevelu; Cadran d'Eau; Ceinture du Strigide; Masque de Koutoulou; Cape au Logis; Bottes de la Cour Sombre; Dofus Pourpre; Dofus Turquoise; Vigoureux majeur; Enragé majeur; Remueur; Observateur; Dragodinde Amande et Ivoire</t>
        </is>
      </c>
    </row>
    <row r="5342">
      <c r="A5342" t="inlineStr">
        <is>
          <t>Crâ M 200</t>
        </is>
      </c>
      <c r="B5342">
        <f>HYPERLINK("https://www.dofusbook.net/fr/equipement/5927194-cra-m-200/objets", "link")</f>
        <v/>
      </c>
      <c r="C5342" t="n">
        <v>1</v>
      </c>
      <c r="D5342" t="inlineStr">
        <is>
          <t>Casque de Missiz Frizz; Cape au Logis; Sabots Minables</t>
        </is>
      </c>
    </row>
    <row r="5343">
      <c r="A5343" t="inlineStr">
        <is>
          <t>Eliotrope M 200</t>
        </is>
      </c>
      <c r="B5343">
        <f>HYPERLINK("https://www.dofusbook.net/fr/equipement/5917334-eliotrope-m-200/objets", "link")</f>
        <v/>
      </c>
      <c r="C5343" t="n">
        <v>1</v>
      </c>
      <c r="D5343" t="inlineStr">
        <is>
          <t>Heaume Oplate</t>
        </is>
      </c>
    </row>
    <row r="5344">
      <c r="A5344" t="inlineStr">
        <is>
          <t>Féca M 200</t>
        </is>
      </c>
      <c r="B5344">
        <f>HYPERLINK("https://www.dofusbook.net/fr/equipement/5913828-feca-m-200/objets", "link")</f>
        <v/>
      </c>
      <c r="C5344" t="n">
        <v>1</v>
      </c>
      <c r="D5344" t="inlineStr"/>
    </row>
    <row r="5345">
      <c r="A5345" t="inlineStr">
        <is>
          <t>Eliotrope M 200</t>
        </is>
      </c>
      <c r="B5345">
        <f>HYPERLINK("https://www.dofusbook.net/fr/equipement/5904230-eliotrope-m-200/objets", "link")</f>
        <v/>
      </c>
      <c r="C5345" t="n">
        <v>3</v>
      </c>
      <c r="D5345" t="inlineStr">
        <is>
          <t>Arc corrompu; Amulette de Nileza; Bague Gloursonne; Chevalière du Roi Joueur; Quatre-feuilles; Croture; Heaume Oplate; Cape de Nileza; Pompes Funèbres; Dofus Ivoire; Dofus Turquoise; Dofus des Glaces; Dofus Ocre; Fonceur majeur; Dévastateur Feu majeur</t>
        </is>
      </c>
    </row>
    <row r="5346">
      <c r="A5346" t="inlineStr">
        <is>
          <t>Eliotrope M 200</t>
        </is>
      </c>
      <c r="B5346">
        <f>HYPERLINK("https://www.dofusbook.net/fr/equipement/5904199-eliotrope-m-200/objets", "link")</f>
        <v/>
      </c>
      <c r="C5346" t="n">
        <v>1</v>
      </c>
      <c r="D5346" t="inlineStr"/>
    </row>
    <row r="5347">
      <c r="A5347" t="inlineStr">
        <is>
          <t>Osamodas M 200</t>
        </is>
      </c>
      <c r="B5347">
        <f>HYPERLINK("https://www.dofusbook.net/fr/equipement/5897104-osamodas-m-200/objets", "link")</f>
        <v/>
      </c>
      <c r="C5347" t="n">
        <v>1</v>
      </c>
      <c r="D5347" t="inlineStr">
        <is>
          <t>Amulette du Cycloïde; Bague Gloursonne; Pikano; Ceinture de la Reine des Voleurs; Coiffe de la Reine des Voleurs; Voile d'encre; Baleinabottes; Dofus Turquoise; Dofus Ivoire; Dofus Pourpre; Dofus Ocre; Dofus des Glaces; Nomade</t>
        </is>
      </c>
    </row>
    <row r="5348">
      <c r="A5348" t="inlineStr">
        <is>
          <t>Sadida M 200</t>
        </is>
      </c>
      <c r="B5348">
        <f>HYPERLINK("https://www.dofusbook.net/fr/equipement/5896875-sadida-m-200/objets", "link")</f>
        <v/>
      </c>
      <c r="C5348" t="n">
        <v>1</v>
      </c>
      <c r="D5348" t="inlineStr">
        <is>
          <t>Dagues Érhy; Amulette Volkorne; Anneau de Nidas; Bague Gloursonne; Bouclier cubiste; Ceinture Volkorne; Chapeau de Gein; Voile d'encre; Pantoufles Émar; Dofus Turquoise; Dofus des Glaces; Dofus Ocre; Dofus Pourpre; Nomade; Temporiseur majeur; Dragodinde Amande et Ivoire</t>
        </is>
      </c>
    </row>
    <row r="5349">
      <c r="A5349" t="inlineStr">
        <is>
          <t>Sadida M 200</t>
        </is>
      </c>
      <c r="B5349">
        <f>HYPERLINK("https://www.dofusbook.net/fr/equipement/5896118-sadida-m-200/objets", "link")</f>
        <v/>
      </c>
      <c r="C5349" t="n">
        <v>2</v>
      </c>
      <c r="D5349" t="inlineStr">
        <is>
          <t>Amulette Volkorne; Bague Gloursonne; Chevalière du Roi Joueur; Ceinture Volkorne; Chapeau de Gein; Voile d'encre; Baleinabottes; Dofus Pourpre; Dofus Ocre; Dofus Turquoise; Dofus Turquoise; Dofus Ocre; Dofus Pourpre</t>
        </is>
      </c>
    </row>
    <row r="5350">
      <c r="A5350" t="inlineStr">
        <is>
          <t>Crâ M 200</t>
        </is>
      </c>
      <c r="B5350">
        <f>HYPERLINK("https://www.dofusbook.net/fr/equipement/5892873-cra-m-200/objets", "link")</f>
        <v/>
      </c>
      <c r="C5350" t="n">
        <v>1</v>
      </c>
      <c r="D5350" t="inlineStr">
        <is>
          <t>Casque de Missiz Frizz; Volkorne Saphir et Turquoise</t>
        </is>
      </c>
    </row>
    <row r="5351">
      <c r="A5351" t="inlineStr">
        <is>
          <t>Sadida M 200</t>
        </is>
      </c>
      <c r="B5351">
        <f>HYPERLINK("https://www.dofusbook.net/fr/equipement/5893070-sadida-m-200/objets", "link")</f>
        <v/>
      </c>
      <c r="C5351" t="n">
        <v>2</v>
      </c>
      <c r="D5351" t="inlineStr">
        <is>
          <t>Dagues Érhy; Bague Gloursonne; Chevalière du Roi Joueur; Ceinture Gence; Couronne du Roi Joueur; Voile d'encre</t>
        </is>
      </c>
    </row>
    <row r="5352">
      <c r="A5352" t="inlineStr">
        <is>
          <t>Sadida M 200</t>
        </is>
      </c>
      <c r="B5352">
        <f>HYPERLINK("https://www.dofusbook.net/fr/equipement/5892386-sadida-m-200/objets", "link")</f>
        <v/>
      </c>
      <c r="C5352" t="n">
        <v>4</v>
      </c>
      <c r="D5352" t="inlineStr">
        <is>
          <t>Arc Honte; Bague Gloursonne; Alliance Gloursonne; Bouclier cubiste; Masquegel; Cape Martegel; Dokoko; Dofus Ocre; Dofus des Glaces; Dofus Pourpre; Dofus Vulbis; Dofus Ivoire; Fëanor</t>
        </is>
      </c>
    </row>
    <row r="5353">
      <c r="A5353" t="inlineStr">
        <is>
          <t>Sadida F 200</t>
        </is>
      </c>
      <c r="B5353">
        <f>HYPERLINK("https://www.dofusbook.net/fr/equipement/5892171-sadida-f-200/objets", "link")</f>
        <v/>
      </c>
      <c r="C5353" t="n">
        <v>1</v>
      </c>
      <c r="D5353" t="inlineStr">
        <is>
          <t>Arc corrompu; Amulette du Cycloïde; Alliance Brûlâme; Alliance Gloursonne; Bouclier cubiste; Ceinture de l'Indicible; Coiffe Séculaire; Cape de Diondin; Bottes de l'Indicible; Dofus Pourpre; Dofus Turquoise; Dokoko; Dofus Ocre; Vigoureux majeur; Nomade; Dragodinde Dorée et Ivoire</t>
        </is>
      </c>
    </row>
    <row r="5354">
      <c r="A5354" t="inlineStr">
        <is>
          <t>Sadida M 200</t>
        </is>
      </c>
      <c r="B5354">
        <f>HYPERLINK("https://www.dofusbook.net/fr/equipement/5892058-sadida-m-200/objets", "link")</f>
        <v/>
      </c>
      <c r="C5354" t="n">
        <v>1</v>
      </c>
      <c r="D5354" t="inlineStr">
        <is>
          <t>Amulette de l'Indicible; Anneau Tique; Alliance Gloursonne; Bouclier cubiste; Ceintacé; Voile d'encre; Bottes de l'Indicible; Dofus Turquoise; Dofus Pourpre; Dofus Ocre; Dokoko; Nomade; Dévastateur Feu majeur</t>
        </is>
      </c>
    </row>
    <row r="5355">
      <c r="A5355" t="inlineStr">
        <is>
          <t>Sadida F 200</t>
        </is>
      </c>
      <c r="B5355">
        <f>HYPERLINK("https://www.dofusbook.net/fr/equipement/5892024-sadida-f-200/objets", "link")</f>
        <v/>
      </c>
      <c r="C5355" t="n">
        <v>1</v>
      </c>
      <c r="D5355" t="inlineStr">
        <is>
          <t>Arc corrompu; Amulette du Cycloïde; Couronne de Nidas; Dofus Turquoise; Dokoko; Dofus Ocre; Dofus Pourpre; Dévastateur Feu majeur; Nomade</t>
        </is>
      </c>
    </row>
    <row r="5356">
      <c r="A5356" t="inlineStr">
        <is>
          <t>Sadida M 200</t>
        </is>
      </c>
      <c r="B5356">
        <f>HYPERLINK("https://www.dofusbook.net/fr/equipement/5891723-sadida-m-200/objets", "link")</f>
        <v/>
      </c>
      <c r="C5356" t="n">
        <v>2</v>
      </c>
      <c r="D5356" t="inlineStr">
        <is>
          <t>Arc corrompu; Talisman Igans; Pikano; Bague Gloursonne; Bouclier cubiste; Ceintacé; Couronne de Nidas; Voile d'encre; Bottes Owesli; Dofus Turquoise; Dokoko; Dofus Ocre; Dofus Pourpre; Nomade; Dragodinde Amande et Dorée</t>
        </is>
      </c>
    </row>
    <row r="5357">
      <c r="A5357" t="inlineStr">
        <is>
          <t>Féca M 200</t>
        </is>
      </c>
      <c r="B5357">
        <f>HYPERLINK("https://www.dofusbook.net/fr/equipement/5323979-feca-m-200/objets", "link")</f>
        <v/>
      </c>
      <c r="C5357" t="n">
        <v>1</v>
      </c>
      <c r="D5357" t="inlineStr"/>
    </row>
    <row r="5358">
      <c r="A5358" t="inlineStr">
        <is>
          <t>Iop M 200</t>
        </is>
      </c>
      <c r="B5358">
        <f>HYPERLINK("https://www.dofusbook.net/fr/equipement/5105075-iop-m-200/objets", "link")</f>
        <v/>
      </c>
      <c r="C5358" t="n">
        <v>3</v>
      </c>
      <c r="D5358" t="inlineStr">
        <is>
          <t>Hache du Korriandre; Amulette du Strigide; Anneau Volkorne; Alliance Gloursonne; Ceinture Volkorne; Casque Volkorne; Cape Solution; Bottes du Strigide</t>
        </is>
      </c>
    </row>
    <row r="5359">
      <c r="A5359" t="inlineStr">
        <is>
          <t>Iop M 200</t>
        </is>
      </c>
      <c r="B5359">
        <f>HYPERLINK("https://www.dofusbook.net/fr/equipement/5094029-iop-m-200/objets", "link")</f>
        <v/>
      </c>
      <c r="C5359" t="n">
        <v>11</v>
      </c>
      <c r="D5359" t="inlineStr">
        <is>
          <t>Hache du Korriandre; Amulette Volkorne; Anneau Volkorne; Alliance Gloursonne; Bouclier d'Ilyzaelle; Menoture; Casque Volkorne; Chevelure de Tal Kasha; Sandales de Tal Kasha; Dofus Turquoise; Dofus Abyssal; Dofus Argenté; Dofus Ivoire; Dofus Ocre; Dofus Ébène</t>
        </is>
      </c>
    </row>
    <row r="5360">
      <c r="A5360" t="inlineStr">
        <is>
          <t>Steamer M 200</t>
        </is>
      </c>
      <c r="B5360">
        <f>HYPERLINK("https://www.dofusbook.net/fr/equipement/3770062-steamer-m-200/objets", "link")</f>
        <v/>
      </c>
      <c r="C5360" t="n">
        <v>1</v>
      </c>
      <c r="D5360" t="inlineStr">
        <is>
          <t>Massier; Ceinture Séculaire; Heaume Oplate; Voile d'encre</t>
        </is>
      </c>
    </row>
    <row r="5361">
      <c r="A5361" t="inlineStr">
        <is>
          <t>Sadida M 200</t>
        </is>
      </c>
      <c r="B5361">
        <f>HYPERLINK("https://www.dofusbook.net/fr/equipement/3765457-sadida-m-200/objets", "link")</f>
        <v/>
      </c>
      <c r="C5361" t="n">
        <v>3</v>
      </c>
      <c r="D5361" t="inlineStr">
        <is>
          <t>Arc de Koutoulou; Amulette de l'Œil Putride; Anneau Tique; Alliance Gloursonne; Bouclier du Stalak; Ceinture du Barbétoal; Kidibonnet; Cape de l'Œil Putride; Sandales  d'Atcham</t>
        </is>
      </c>
    </row>
    <row r="5362">
      <c r="A5362" t="inlineStr">
        <is>
          <t>Roublard M 200</t>
        </is>
      </c>
      <c r="B5362">
        <f>HYPERLINK("https://www.dofusbook.net/fr/equipement/3764760-roublard-m-200/objets", "link")</f>
        <v/>
      </c>
      <c r="C5362" t="n">
        <v>3</v>
      </c>
      <c r="D5362" t="inlineStr">
        <is>
          <t>Pyraguette; Talisman Igans; Alliance Gloursonne; Anneau Tique; Bouclier du Stalak; Poulpagne; Kidibonnet; Cape de la Dame du Hasard; Bottes Owesli; Remueur; Nomade; Nomade; Muldo Indigo et Amande</t>
        </is>
      </c>
    </row>
    <row r="5363">
      <c r="A5363" t="inlineStr">
        <is>
          <t>feusansexo</t>
        </is>
      </c>
      <c r="B5363">
        <f>HYPERLINK("https://www.dofusbook.net/fr/equipement/3760797-feusansexo/objets", "link")</f>
        <v/>
      </c>
      <c r="C5363" t="n">
        <v>7</v>
      </c>
      <c r="D5363" t="inlineStr">
        <is>
          <t>Arc corrompu; Amulette Séculaire; Anneau de Nidas; Anneau Toriété; Quatre-feuilles; Ceintacé; Coiffe Séculaire; Cape de Nileza; Pataugastrique; Dofus Turquoise; Dofus Pourpre; Remueur; Érudit majeur; Dévastateur Feu majeur; Miraculé majeur; Muldo Orchidée</t>
        </is>
      </c>
    </row>
    <row r="5364">
      <c r="A5364" t="inlineStr">
        <is>
          <t>Stuff 2</t>
        </is>
      </c>
      <c r="B5364">
        <f>HYPERLINK("https://www.dofusbook.net/fr/equipement/368291-stuff-2/objets", "link")</f>
        <v/>
      </c>
      <c r="C5364" t="n">
        <v>1</v>
      </c>
      <c r="D5364" t="inlineStr">
        <is>
          <t>Marteau des égarés; Amulette de Pol Ouatnos; Pikano; Alliance Gloursonne; Ceinture de Kongoku; Boucle d'oreille de Kongoku; Voile d'encre; Baleinabottes; Dofus Pourpre; Dolmanax; Dofus Turquoise; Vigoureux majeur; Carapace Terre majeur; Remueur; Kramkram</t>
        </is>
      </c>
    </row>
    <row r="5365">
      <c r="A5365" t="inlineStr">
        <is>
          <t>Stuff 2</t>
        </is>
      </c>
      <c r="B5365">
        <f>HYPERLINK("https://www.dofusbook.net/fr/equipement/368323-stuff-2/objets", "link")</f>
        <v/>
      </c>
      <c r="C5365" t="n">
        <v>2</v>
      </c>
      <c r="D5365" t="inlineStr">
        <is>
          <t>Arc Nécrotique; Talisman Igans; Bague Gloursonne; Anneau Tique; Ceinture Voldelor; Masque des Fonds marins; Cape de Diondin; Bottes Owesli; Kramkram</t>
        </is>
      </c>
    </row>
    <row r="5366">
      <c r="A5366" t="inlineStr">
        <is>
          <t>Stuff 2</t>
        </is>
      </c>
      <c r="B5366">
        <f>HYPERLINK("https://www.dofusbook.net/fr/equipement/368286-stuff-2/objets", "link")</f>
        <v/>
      </c>
      <c r="C5366" t="n">
        <v>2</v>
      </c>
      <c r="D5366" t="inlineStr">
        <is>
          <t>Dagues Açantes; Talisman Glouti; Pikano; Alliance Gloursonne; Ceinture Glaciale; Kidibonnet; Cape de Léthaline; Pikottes; Temporiseur majeur; Temporiseur; Ralentisseur majeur; Entraveur; Entraveur majeur; Remueur; Dragodinde Prune et Emeraude</t>
        </is>
      </c>
    </row>
    <row r="5367">
      <c r="A5367" t="inlineStr">
        <is>
          <t>Stuff 3</t>
        </is>
      </c>
      <c r="B5367">
        <f>HYPERLINK("https://www.dofusbook.net/fr/equipement/368318-stuff-3/objets", "link")</f>
        <v/>
      </c>
      <c r="C5367" t="n">
        <v>2</v>
      </c>
      <c r="D5367" t="inlineStr">
        <is>
          <t>Héqache; Collier du Valet Veinard; Alliance Gloursonne; Gant du Valet Veinard; Ceinture de la Reine des Voleurs; Coiffe de la Reine des Voleurs; Cape du Valet Veinard; Bottes de la Reine des Voleurs</t>
        </is>
      </c>
    </row>
    <row r="5368">
      <c r="A5368" t="inlineStr">
        <is>
          <t>Stuff 3</t>
        </is>
      </c>
      <c r="B5368">
        <f>HYPERLINK("https://www.dofusbook.net/fr/equipement/368281-stuff-3/objets", "link")</f>
        <v/>
      </c>
      <c r="C5368" t="n">
        <v>1</v>
      </c>
      <c r="D5368" t="inlineStr">
        <is>
          <t>Sabres d'Atcham; Amulette du Strigide; Alliance Gloursonne; Anneau Tique; Ceinture de Vortex; Kidibonnet; Cape du Chalœil; Sandales  d'Atcham; Dolmanax; Dofus Pourpre; Dofus Turquoise; Remueur; Vigoureux majeur; Nomade; Kramkram</t>
        </is>
      </c>
    </row>
    <row r="5369">
      <c r="A5369" t="inlineStr">
        <is>
          <t>Stuff 3</t>
        </is>
      </c>
      <c r="B5369">
        <f>HYPERLINK("https://www.dofusbook.net/fr/equipement/368313-stuff-3/objets", "link")</f>
        <v/>
      </c>
      <c r="C5369" t="n">
        <v>2</v>
      </c>
      <c r="D5369" t="inlineStr">
        <is>
          <t>Rouleau à Pâtisserie d'Aermyne; Amulette du Strigide; Alliance Gloursonne; Anneau de XLII; Ceinture de XLII; Coiffe d'Aermyne; Cape d'Aermyne; Bottes de XLII; Dokoko; Dofus Ocre; Précurseur majeur; Tacleur majeur; Bloqueur; Bloqueur majeur; Muldo Orchidée</t>
        </is>
      </c>
    </row>
    <row r="5370">
      <c r="A5370" t="inlineStr">
        <is>
          <t>Stuff 3</t>
        </is>
      </c>
      <c r="B5370">
        <f>HYPERLINK("https://www.dofusbook.net/fr/equipement/368287-stuff-3/objets", "link")</f>
        <v/>
      </c>
      <c r="C5370" t="n">
        <v>4</v>
      </c>
      <c r="D5370" t="inlineStr">
        <is>
          <t>Baguette Hique; Collier de la Dame du Hasard; Pikano; Alliance Gloursonne; Ceinture Instable; Casquette de Meno; Cape de Léthaline; Pikottes; Temporiseur; Entraveur majeur; Remueur; Temporiseur majeur; Entraveur; Ralentisseur majeur; Kwaltess</t>
        </is>
      </c>
    </row>
    <row r="5371">
      <c r="A5371" t="inlineStr">
        <is>
          <t>Stuff 1</t>
        </is>
      </c>
      <c r="B5371">
        <f>HYPERLINK("https://www.dofusbook.net/fr/equipement/368314-stuff-1/objets", "link")</f>
        <v/>
      </c>
      <c r="C5371" t="n">
        <v>5</v>
      </c>
      <c r="D5371" t="inlineStr">
        <is>
          <t>La Baguette des Limbes; Pendentif affamé; Anneau Tamie; Anneau Tamie; Ceinture Séculaire; Coiffe Séculaire; Cape de Diondin; Bottes Innommables; Saccageur Feu majeur; Remueur; Érudit majeur; Dévastateur Feu majeur; Nomade; Astucieux majeur; Brûlih</t>
        </is>
      </c>
    </row>
    <row r="5372">
      <c r="A5372" t="inlineStr">
        <is>
          <t>Stuff 1</t>
        </is>
      </c>
      <c r="B5372">
        <f>HYPERLINK("https://www.dofusbook.net/fr/equipement/368282-stuff-1/objets", "link")</f>
        <v/>
      </c>
      <c r="C5372" t="n">
        <v>4</v>
      </c>
      <c r="D5372" t="inlineStr">
        <is>
          <t>Plumeau Bil; Pendentif affamé; Anneau Tique; Chevalière du Roi Joueur; Ceinture de Vortex; Cagoule de Vortex; Cape de Diondin; Bottes Innommables; Miraculé majeur; Remueur; Dévastateur Feu majeur; Nomade; Fonceur majeur; Érudit majeur; Kramkram</t>
        </is>
      </c>
    </row>
    <row r="5373">
      <c r="A5373" t="inlineStr">
        <is>
          <t>Stuff 2</t>
        </is>
      </c>
      <c r="B5373">
        <f>HYPERLINK("https://www.dofusbook.net/fr/equipement/368277-stuff-2/objets", "link")</f>
        <v/>
      </c>
      <c r="C5373" t="n">
        <v>2</v>
      </c>
      <c r="D5373" t="inlineStr">
        <is>
          <t>Sceptre du Roi Joueur; Amulette Voldelor; Alliance Gloursonne; Bracelet des Fonds marins; Poulpagne; Casquette de Meno; Cape de Mantaze; Sandales des Fonds marins; Dofus des Glaces; Remueur; Dévastateur Eau majeur; Croum</t>
        </is>
      </c>
    </row>
    <row r="5374">
      <c r="A5374" t="inlineStr">
        <is>
          <t>Stuff 2</t>
        </is>
      </c>
      <c r="B5374">
        <f>HYPERLINK("https://www.dofusbook.net/fr/equipement/368309-stuff-2/objets", "link")</f>
        <v/>
      </c>
      <c r="C5374" t="n">
        <v>1</v>
      </c>
      <c r="D5374" t="inlineStr">
        <is>
          <t>Marteau des Anciens Steamers; Amulette Voldelor; Alliance Gloursonne; Ceinture du Barbétoal; Masque du Barbétoal; Cape Matelassée; Pantoufles Émar</t>
        </is>
      </c>
    </row>
    <row r="5375">
      <c r="A5375" t="inlineStr">
        <is>
          <t>Stuff 3</t>
        </is>
      </c>
      <c r="B5375">
        <f>HYPERLINK("https://www.dofusbook.net/fr/equipement/368272-stuff-3/objets", "link")</f>
        <v/>
      </c>
      <c r="C5375" t="n">
        <v>5</v>
      </c>
      <c r="D5375" t="inlineStr">
        <is>
          <t>Baguette Hique; Collier de la Dame du Hasard; Alliance Gloursonne; Pikano; Ceinture Glaciale; Kidibonnet; Cape de Léthaline; Pikottes; Entraveur majeur; Remueur; Temporiseur majeur; Érudit majeur; Ralentisseur majeur; Miraculé majeur</t>
        </is>
      </c>
    </row>
    <row r="5376">
      <c r="A5376" t="inlineStr">
        <is>
          <t>Stuff 3</t>
        </is>
      </c>
      <c r="B5376">
        <f>HYPERLINK("https://www.dofusbook.net/fr/equipement/368304-stuff-3/objets", "link")</f>
        <v/>
      </c>
      <c r="C5376" t="n">
        <v>2</v>
      </c>
      <c r="D5376" t="inlineStr">
        <is>
          <t>Sceptre du Roi Joueur; Talisman Igans; Bracelet des Fonds marins; Alliance Gloursonne; Sangle Ouare; Coiffe du Lévitrof; Cape de la Dame du Hasard; Pataugastrique; Nomade; Dévastateur Eau majeur; Fonceur majeur; Observateur; Remueur; Chanceux majeur; Kramkram</t>
        </is>
      </c>
    </row>
    <row r="5377">
      <c r="A5377" t="inlineStr">
        <is>
          <t>Stuff 2</t>
        </is>
      </c>
      <c r="B5377">
        <f>HYPERLINK("https://www.dofusbook.net/fr/equipement/368331-stuff-2/objets", "link")</f>
        <v/>
      </c>
      <c r="C5377" t="n">
        <v>2</v>
      </c>
      <c r="D5377" t="inlineStr">
        <is>
          <t>Arc du Chalœil; Collier de Tourthon; Anneau Chevelu; Anneau de Brouce; Ceinture de la Reine des Voleurs; Coiffe de la Reine des Voleurs; Cape au Logis; Baleinabottes; Dragodinde en armure</t>
        </is>
      </c>
    </row>
    <row r="5378">
      <c r="A5378" t="inlineStr">
        <is>
          <t>Stuff 1</t>
        </is>
      </c>
      <c r="B5378">
        <f>HYPERLINK("https://www.dofusbook.net/fr/equipement/368267-stuff-1/objets", "link")</f>
        <v/>
      </c>
      <c r="C5378" t="n">
        <v>3</v>
      </c>
      <c r="D5378" t="inlineStr">
        <is>
          <t>Arc de Guten Tak; Amulette de Pol Ouatnos; Pikano; Alliance Gloursonne; Ceinture de la Reine des Voleurs; Coiffe de la Reine des Voleurs; Voile d'encre; Baleinabottes; Dofus Pourpre; Chanceux majeur; Remueur; Vigoureux majeur; Observateur; Miraculé majeur; Kramkram</t>
        </is>
      </c>
    </row>
    <row r="5379">
      <c r="A5379" t="inlineStr">
        <is>
          <t>Stuff 1</t>
        </is>
      </c>
      <c r="B5379">
        <f>HYPERLINK("https://www.dofusbook.net/fr/equipement/368299-stuff-1/objets", "link")</f>
        <v/>
      </c>
      <c r="C5379" t="n">
        <v>1</v>
      </c>
      <c r="D5379" t="inlineStr">
        <is>
          <t>Hache du Chalœil; Talisman Igans; Alliance Gloursonne; Alliance du Lévitrof; Ceintacé; Casque de Missiz Frizz; Voile d'encre; Bottes du Lévitrof; Dragodinde en armure</t>
        </is>
      </c>
    </row>
    <row r="5380">
      <c r="A5380" t="inlineStr">
        <is>
          <t>Stuff 1</t>
        </is>
      </c>
      <c r="B5380">
        <f>HYPERLINK("https://www.dofusbook.net/fr/equipement/368326-stuff-1/objets", "link")</f>
        <v/>
      </c>
      <c r="C5380" t="n">
        <v>1</v>
      </c>
      <c r="D5380" t="inlineStr">
        <is>
          <t>Épée du Granduk; Collier du Valet Veinard; Alliance Gloursonne; Gant du Valet Veinard; Menoture; Couronne d'Allister; Cape Indescriptible; Baleinabottes; Dofus des Glaces; Dévastateur Air majeur; Nomade; Equilibriste majeur; Cascadeur majeur; Remueur; Siroko</t>
        </is>
      </c>
    </row>
    <row r="5381">
      <c r="A5381" t="inlineStr">
        <is>
          <t>Stuff 2</t>
        </is>
      </c>
      <c r="B5381">
        <f>HYPERLINK("https://www.dofusbook.net/fr/equipement/368262-stuff-2/objets", "link")</f>
        <v/>
      </c>
      <c r="C5381" t="n">
        <v>6</v>
      </c>
      <c r="D5381" t="inlineStr">
        <is>
          <t>Dagues de Srambad; Amulette de Shokkoth; Bracelet du Piloztère; Pikano; Ceinture de la Reine des Voleurs; Coiffe de la Reine des Voleurs; Cape Luminescente; Baleinabottes; Dofus Turquoise; Dofus Pourpre; Fonceur majeur; Nomade; Précurseur majeur; Remueur; Kramkram</t>
        </is>
      </c>
    </row>
    <row r="5382">
      <c r="A5382" t="inlineStr">
        <is>
          <t>Stuff 2</t>
        </is>
      </c>
      <c r="B5382">
        <f>HYPERLINK("https://www.dofusbook.net/fr/equipement/368294-stuff-2/objets", "link")</f>
        <v/>
      </c>
      <c r="C5382" t="n">
        <v>1</v>
      </c>
      <c r="D5382" t="inlineStr">
        <is>
          <t>Rapière aux Glyphes; Amulette Luminescente; Alliance Gloursonne; Pikano; Ceinture Voldelor; Masque des Fonds marins; Cape Luminescente; Pataugastrique; Chanceux majeur; Nomade; Remueur; Dévastateur Eau majeur; Miraculé majeur; Fonceur majeur; Kramkram</t>
        </is>
      </c>
    </row>
    <row r="5383">
      <c r="A5383" t="inlineStr">
        <is>
          <t>Stuff 3</t>
        </is>
      </c>
      <c r="B5383">
        <f>HYPERLINK("https://www.dofusbook.net/fr/equipement/368321-stuff-3/objets", "link")</f>
        <v/>
      </c>
      <c r="C5383" t="n">
        <v>2</v>
      </c>
      <c r="D5383" t="inlineStr">
        <is>
          <t>Marteau des égarés; Amulette du Strigide; Pikano; Alliance Gloursonne; Ceintacé; Casque du Chalœil; Voile d'encre; Bottes du Chalœil; Dofus Turquoise; Dofus des Glaces; Nomade; Vigoureux majeur; Miraculé majeur; Remueur; Kramkram</t>
        </is>
      </c>
    </row>
    <row r="5384">
      <c r="A5384" t="inlineStr">
        <is>
          <t>Stuff 2</t>
        </is>
      </c>
      <c r="B5384">
        <f>HYPERLINK("https://www.dofusbook.net/fr/equipement/368289-stuff-2/objets", "link")</f>
        <v/>
      </c>
      <c r="C5384" t="n">
        <v>2</v>
      </c>
      <c r="D5384" t="inlineStr">
        <is>
          <t>Sabres d'Atcham; Amulette du Strigide; Alliance Gloursonne; Anneau Tique; Ceinture de Vortex; Kidibonnet; Cape des Malveilleurs; Bottes Owesli; Dofus Turquoise; Dofus Pourpre; Nomade; Vigoureux majeur; Miraculé majeur; Remueur; Kramkram</t>
        </is>
      </c>
    </row>
    <row r="5385">
      <c r="A5385" t="inlineStr">
        <is>
          <t>Stuff 3</t>
        </is>
      </c>
      <c r="B5385">
        <f>HYPERLINK("https://www.dofusbook.net/fr/equipement/368316-stuff-3/objets", "link")</f>
        <v/>
      </c>
      <c r="C5385" t="n">
        <v>4</v>
      </c>
      <c r="D5385" t="inlineStr">
        <is>
          <t>Dagues Açantes; Amulette Luminescente; Anneau de la Fuji Givrefoux; Pikano; Ceintacé; Maskrobe; Cape de Kongoku; Pikottes; Dofus Pourpre; Temporiseur majeur; Remueur; Entraveur majeur; Vigoureux majeur; Muldo Doré</t>
        </is>
      </c>
    </row>
    <row r="5386">
      <c r="A5386" t="inlineStr">
        <is>
          <t>Stuff 3</t>
        </is>
      </c>
      <c r="B5386">
        <f>HYPERLINK("https://www.dofusbook.net/fr/equipement/368284-stuff-3/objets", "link")</f>
        <v/>
      </c>
      <c r="C5386" t="n">
        <v>0</v>
      </c>
      <c r="D5386" t="inlineStr">
        <is>
          <t>Sabres d'Atcham; Amulette du Strigide; Anneau Rifique; Alliance Gloursonne; Ceinture du Barbétoal; Chapeau des Malveilleurs; Cape des Malveilleurs; Pataugastrique</t>
        </is>
      </c>
    </row>
    <row r="5387">
      <c r="A5387" t="inlineStr">
        <is>
          <t>Stuff 1</t>
        </is>
      </c>
      <c r="B5387">
        <f>HYPERLINK("https://www.dofusbook.net/fr/equipement/368279-stuff-1/objets", "link")</f>
        <v/>
      </c>
      <c r="C5387" t="n">
        <v>2</v>
      </c>
      <c r="D5387" t="inlineStr">
        <is>
          <t>Arc de Guten Tak; Amulette de Pol Ouatnos; Pikano; Alliance Gloursonne; Ceinture de la Reine des Voleurs; Coiffe de la Reine des Voleurs; Voile d'encre; Baleinabottes; Dofus Pourpre; Vigoureux majeur; Observateur; Miraculé majeur; Chanceux majeur; Remueur; Dragodinde Prune et Ebène</t>
        </is>
      </c>
    </row>
    <row r="5388">
      <c r="A5388" t="inlineStr">
        <is>
          <t>Stuff 1</t>
        </is>
      </c>
      <c r="B5388">
        <f>HYPERLINK("https://www.dofusbook.net/fr/equipement/368311-stuff-1/objets", "link")</f>
        <v/>
      </c>
      <c r="C5388" t="n">
        <v>1</v>
      </c>
      <c r="D5388" t="inlineStr">
        <is>
          <t>Dagues Érhy; Amulette du Strigide; Bracelet du Piloztère; Alliance Gloursonne; Ceintacé; Chapeau de Gein; Voile d'encre; Bottes du Strigide; Dofus Pourpre; Dofus des Glaces; Cascadeur majeur; Remueur; Érudit majeur; Vigoureux majeur; Muldo Doré</t>
        </is>
      </c>
    </row>
    <row r="5389">
      <c r="A5389" t="inlineStr">
        <is>
          <t>Stuff 2</t>
        </is>
      </c>
      <c r="B5389">
        <f>HYPERLINK("https://www.dofusbook.net/fr/equipement/368323-stuff-2/objets", "link")</f>
        <v/>
      </c>
      <c r="C5389" t="n">
        <v>2</v>
      </c>
      <c r="D5389" t="inlineStr">
        <is>
          <t>Arc Nécrotique; Talisman Igans; Bague Gloursonne; Anneau Tique; Ceinture Voldelor; Masque des Fonds marins; Cape de Diondin; Bottes Owesli; Kramkram</t>
        </is>
      </c>
    </row>
    <row r="5390">
      <c r="A5390" t="inlineStr">
        <is>
          <t>Stuff 2</t>
        </is>
      </c>
      <c r="B5390">
        <f>HYPERLINK("https://www.dofusbook.net/fr/equipement/368291-stuff-2/objets", "link")</f>
        <v/>
      </c>
      <c r="C5390" t="n">
        <v>1</v>
      </c>
      <c r="D5390" t="inlineStr">
        <is>
          <t>Marteau des égarés; Amulette de Pol Ouatnos; Pikano; Alliance Gloursonne; Ceinture de Kongoku; Boucle d'oreille de Kongoku; Voile d'encre; Baleinabottes; Dofus Pourpre; Dolmanax; Dofus Turquoise; Vigoureux majeur; Carapace Terre majeur; Remueur; Kramkram</t>
        </is>
      </c>
    </row>
    <row r="5391">
      <c r="A5391" t="inlineStr">
        <is>
          <t>Stuff 3</t>
        </is>
      </c>
      <c r="B5391">
        <f>HYPERLINK("https://www.dofusbook.net/fr/equipement/368318-stuff-3/objets", "link")</f>
        <v/>
      </c>
      <c r="C5391" t="n">
        <v>2</v>
      </c>
      <c r="D5391" t="inlineStr">
        <is>
          <t>Héqache; Collier du Valet Veinard; Alliance Gloursonne; Gant du Valet Veinard; Ceinture de la Reine des Voleurs; Coiffe de la Reine des Voleurs; Cape du Valet Veinard; Bottes de la Reine des Voleurs</t>
        </is>
      </c>
    </row>
    <row r="5392">
      <c r="A5392" t="inlineStr">
        <is>
          <t>Stuff 2</t>
        </is>
      </c>
      <c r="B5392">
        <f>HYPERLINK("https://www.dofusbook.net/fr/equipement/368286-stuff-2/objets", "link")</f>
        <v/>
      </c>
      <c r="C5392" t="n">
        <v>2</v>
      </c>
      <c r="D5392" t="inlineStr">
        <is>
          <t>Dagues Açantes; Talisman Glouti; Pikano; Alliance Gloursonne; Ceinture Glaciale; Kidibonnet; Cape de Léthaline; Pikottes; Temporiseur majeur; Temporiseur; Ralentisseur majeur; Entraveur; Entraveur majeur; Remueur; Dragodinde Prune et Emeraude</t>
        </is>
      </c>
    </row>
    <row r="5393">
      <c r="A5393" t="inlineStr">
        <is>
          <t>Stuff 3</t>
        </is>
      </c>
      <c r="B5393">
        <f>HYPERLINK("https://www.dofusbook.net/fr/equipement/368313-stuff-3/objets", "link")</f>
        <v/>
      </c>
      <c r="C5393" t="n">
        <v>2</v>
      </c>
      <c r="D5393" t="inlineStr">
        <is>
          <t>Rouleau à Pâtisserie d'Aermyne; Amulette du Strigide; Alliance Gloursonne; Anneau de XLII; Ceinture de XLII; Coiffe d'Aermyne; Cape d'Aermyne; Bottes de XLII; Dokoko; Dofus Ocre; Bloqueur; Bloqueur majeur; Précurseur majeur; Tacleur majeur; Muldo Orchidée</t>
        </is>
      </c>
    </row>
    <row r="5394">
      <c r="A5394" t="inlineStr">
        <is>
          <t>Stuff 3</t>
        </is>
      </c>
      <c r="B5394">
        <f>HYPERLINK("https://www.dofusbook.net/fr/equipement/368281-stuff-3/objets", "link")</f>
        <v/>
      </c>
      <c r="C5394" t="n">
        <v>1</v>
      </c>
      <c r="D5394" t="inlineStr">
        <is>
          <t>Sabres d'Atcham; Amulette du Strigide; Alliance Gloursonne; Anneau Tique; Ceinture de Vortex; Kidibonnet; Cape du Chalœil; Sandales  d'Atcham; Dolmanax; Dofus Pourpre; Dofus Turquoise; Remueur; Vigoureux majeur; Nomade; Kramkram</t>
        </is>
      </c>
    </row>
    <row r="5395">
      <c r="A5395" t="inlineStr">
        <is>
          <t>Stuff 1</t>
        </is>
      </c>
      <c r="B5395">
        <f>HYPERLINK("https://www.dofusbook.net/fr/equipement/368308-stuff-1/objets", "link")</f>
        <v/>
      </c>
      <c r="C5395" t="n">
        <v>5</v>
      </c>
      <c r="D5395" t="inlineStr">
        <is>
          <t>Plumeau Bil; Amulette de Nileza; Bague Gloursonne; Anneau de Nidas; Ceinture de Vortex; Couronne de Nidas; Voile d'encre; Pataugastrique; Érudit majeur; Nomade; Dévastateur Feu majeur; Miraculé majeur; Fonceur majeur; Remueur; Dragodinde Prune et Emeraude</t>
        </is>
      </c>
    </row>
    <row r="5396">
      <c r="A5396" t="inlineStr">
        <is>
          <t>Stuff 1</t>
        </is>
      </c>
      <c r="B5396">
        <f>HYPERLINK("https://www.dofusbook.net/fr/equipement/368276-stuff-1/objets", "link")</f>
        <v/>
      </c>
      <c r="C5396" t="n">
        <v>2</v>
      </c>
      <c r="D5396" t="inlineStr">
        <is>
          <t>Manthache; Collier du Valet Veinard; Gant du Valet Veinard; Alliance Gloursonne; Menoture; Dorabysses; Cape du Kamasterisk; Baleinabottes; Dofus des Glaces; Carapace Air majeur; Miraculé majeur; Nomade; Cascadeur majeur; Dévastateur Air majeur; Kramkram</t>
        </is>
      </c>
    </row>
    <row r="5397">
      <c r="A5397" t="inlineStr">
        <is>
          <t>Stuff 2</t>
        </is>
      </c>
      <c r="B5397">
        <f>HYPERLINK("https://www.dofusbook.net/fr/equipement/368303-stuff-2/objets", "link")</f>
        <v/>
      </c>
      <c r="C5397" t="n">
        <v>4</v>
      </c>
      <c r="D5397" t="inlineStr">
        <is>
          <t>Hache du Chalœil; Amulette de Pol Ouatnos; Alliance du Lévitrof; Alliance Gloursonne; Ceintacé; Coiffe du Lévitrof; Voile d'encre; Bottes de Meno; Dofus des Glaces; Dofus Pourpre; Nomade; Observateur; Remueur; Vigoureux majeur; Kramkram</t>
        </is>
      </c>
    </row>
    <row r="5398">
      <c r="A5398" t="inlineStr">
        <is>
          <t>Stuff 3</t>
        </is>
      </c>
      <c r="B5398">
        <f>HYPERLINK("https://www.dofusbook.net/fr/equipement/368335-stuff-3/objets", "link")</f>
        <v/>
      </c>
      <c r="C5398" t="n">
        <v>2</v>
      </c>
      <c r="D5398" t="inlineStr">
        <is>
          <t>Manthache; Amulette du Cycloïde; Anneau d'Allister; Alliance Gloursonne; Menoture; Couronne d'Allister; Capibou; Bottes de la Reine des Voleurs</t>
        </is>
      </c>
    </row>
    <row r="5399">
      <c r="A5399" t="inlineStr">
        <is>
          <t>Stuff 2</t>
        </is>
      </c>
      <c r="B5399">
        <f>HYPERLINK("https://www.dofusbook.net/fr/equipement/368271-stuff-2/objets", "link")</f>
        <v/>
      </c>
      <c r="C5399" t="n">
        <v>3</v>
      </c>
      <c r="D5399" t="inlineStr">
        <is>
          <t>Rapière aux Glyphes; Collier de la Dame du Hasard; Alliance Gloursonne; Pikano; Ceinture Glaciale; Kidibonnet; Cape de Kongoku; Pikottes; Ralentisseur majeur; Remueur; Chanceux majeur; Miraculé majeur; Entraveur majeur; Temporiseur majeur; Dragodinde Prune et Emeraude</t>
        </is>
      </c>
    </row>
    <row r="5400">
      <c r="A5400" t="inlineStr">
        <is>
          <t>Stuff 1</t>
        </is>
      </c>
      <c r="B5400">
        <f>HYPERLINK("https://www.dofusbook.net/fr/equipement/368330-stuff-1/objets", "link")</f>
        <v/>
      </c>
      <c r="C5400" t="n">
        <v>1</v>
      </c>
      <c r="D5400" t="inlineStr">
        <is>
          <t>La Baguette des Limbes; Pendentif affamé; Anneau Tamie; Anneau Tamie; Ceinture Séculaire; Coiffe Séculaire; Cape de Diondin; Bottes Innommables; Nomade; Astucieux majeur; Saccageur Feu majeur; Remueur; Érudit majeur; Dévastateur Feu majeur; Brûlih</t>
        </is>
      </c>
    </row>
    <row r="5401">
      <c r="A5401" t="inlineStr">
        <is>
          <t>Stuff 3</t>
        </is>
      </c>
      <c r="B5401">
        <f>HYPERLINK("https://www.dofusbook.net/fr/equipement/368266-stuff-3/objets", "link")</f>
        <v/>
      </c>
      <c r="C5401" t="n">
        <v>2</v>
      </c>
      <c r="D5401" t="inlineStr">
        <is>
          <t>Dagues Érhy; Amulette du Strigide; Gelano; Bague Gloursonne; Ceinture du Strigide; Chapeau de Gein; Voile d'encre; Bottes de la Cour Sombre; Dofus Ocre; Dofus Turquoise; Dofus Pourpre; Remueur; Vigoureux majeur; Enragé majeur</t>
        </is>
      </c>
    </row>
    <row r="5402">
      <c r="A5402" t="inlineStr">
        <is>
          <t>Stuff 3</t>
        </is>
      </c>
      <c r="B5402">
        <f>HYPERLINK("https://www.dofusbook.net/fr/equipement/368298-stuff-3/objets", "link")</f>
        <v/>
      </c>
      <c r="C5402" t="n">
        <v>7</v>
      </c>
      <c r="D5402" t="inlineStr">
        <is>
          <t>Bâton Beau; Amulette de Pol Ouatnos; Pikano; Bracelet du Piloztère; Coiffe Ranshi; Cape Reski; Pikottes; Dofus Pourpre; Remueur; Entraveur majeur; Vigoureux majeur; Temporiseur majeur; Nomade; Kwaltess</t>
        </is>
      </c>
    </row>
    <row r="5403">
      <c r="A5403" t="inlineStr">
        <is>
          <t>Stuff 2</t>
        </is>
      </c>
      <c r="B5403">
        <f>HYPERLINK("https://www.dofusbook.net/fr/equipement/368325-stuff-2/objets", "link")</f>
        <v/>
      </c>
      <c r="C5403" t="n">
        <v>1</v>
      </c>
      <c r="D5403" t="inlineStr">
        <is>
          <t>Dagues Açantes; Amulette du Glourséleste; Alliance Gloursonne; Pikano; Ceinture Glaciale; Chapeau Lisson; Cape Matelassée; Pikottes; Ralentisseur majeur; Nomade; Entraveur majeur; Remueur; Temporiseur; Temporiseur majeur; Dragodinde Prune et Turquoise</t>
        </is>
      </c>
    </row>
    <row r="5404">
      <c r="A5404" t="inlineStr">
        <is>
          <t>Stuff 1</t>
        </is>
      </c>
      <c r="B5404">
        <f>HYPERLINK("https://www.dofusbook.net/fr/equipement/368261-stuff-1/objets", "link")</f>
        <v/>
      </c>
      <c r="C5404" t="n">
        <v>7</v>
      </c>
      <c r="D5404" t="inlineStr">
        <is>
          <t>Rouleau à Pâtisserie d'Aermyne; Amulette du Cycloïde; Bague Trithon; Alliance Gloursonne; Ceintouse; Casque Dragoeuf; Cape d'Aermyne; Baleinabottes; Dofus Émeraude; Miraculé majeur; Bloqueur majeur; Carapace Neutre majeur; Obstructeur majeur; Remueur; Muldo Roux et Ebène</t>
        </is>
      </c>
    </row>
    <row r="5405">
      <c r="A5405" t="inlineStr">
        <is>
          <t>Stuff 1</t>
        </is>
      </c>
      <c r="B5405">
        <f>HYPERLINK("https://www.dofusbook.net/fr/equipement/368293-stuff-1/objets", "link")</f>
        <v/>
      </c>
      <c r="C5405" t="n">
        <v>2</v>
      </c>
      <c r="D5405" t="inlineStr">
        <is>
          <t>Arc de Koutoulou; Amulette Voldelor; Gant du Valet Veinard; Alliance Gloursonne; Sangle Ouare; Dorabysses; Cape Matelassée; Bottes Voldelor; Dofus Turquoise; Dofus des Glaces; Miraculé majeur; Dévastateur Eau majeur; Sanguinaire majeur; Remueur; Kramkram</t>
        </is>
      </c>
    </row>
    <row r="5406">
      <c r="A5406" t="inlineStr">
        <is>
          <t>Stuff 2</t>
        </is>
      </c>
      <c r="B5406">
        <f>HYPERLINK("https://www.dofusbook.net/fr/equipement/368320-stuff-2/objets", "link")</f>
        <v/>
      </c>
      <c r="C5406" t="n">
        <v>1</v>
      </c>
      <c r="D5406" t="inlineStr">
        <is>
          <t>Hache Ériphe; Amulette du Kamasterisk; Alliance Gloursonne; Anneau des égarés; Ceintouse; Dorabysses; Cape du Kamasterisk; Baleinabottes; Dofus des Glaces; Enragé majeur; Fonceur majeur; Carapace Terre majeur; Remueur; Nomade; Muldo Indigo et Pourpre</t>
        </is>
      </c>
    </row>
    <row r="5407">
      <c r="A5407" t="inlineStr">
        <is>
          <t>Stuff 1</t>
        </is>
      </c>
      <c r="B5407">
        <f>HYPERLINK("https://www.dofusbook.net/fr/equipement/368288-stuff-1/objets", "link")</f>
        <v/>
      </c>
      <c r="C5407" t="n">
        <v>0</v>
      </c>
      <c r="D5407" t="inlineStr">
        <is>
          <t>Baguette Hernelle; Amulette d'Otomaï; Bague Gloursonne; Anneau du Chêne Mou; Ceinture Séculaire; Coiffe Séculaire; Voile d'encre; Pantoufles Émar; Dragodinde Prune et Emeraude</t>
        </is>
      </c>
    </row>
    <row r="5408">
      <c r="A5408" t="inlineStr">
        <is>
          <t>Stuff 2</t>
        </is>
      </c>
      <c r="B5408">
        <f>HYPERLINK("https://www.dofusbook.net/fr/equipement/368315-stuff-2/objets", "link")</f>
        <v/>
      </c>
      <c r="C5408" t="n">
        <v>2</v>
      </c>
      <c r="D5408" t="inlineStr">
        <is>
          <t>La Baguette des Limbes; Amulette de Théodoran Ax; Anneau Cryochrone; Bracelet du Piloztère; Coiffe Cryochrone; Cape de Meno; Pataugastrique; Dofus Pourpre; Chanceux majeur; Remueur; Érudit majeur; Sanguinaire majeur; Vigoureux majeur; Muldo Doré</t>
        </is>
      </c>
    </row>
    <row r="5409">
      <c r="A5409" t="inlineStr">
        <is>
          <t>Stuff 1</t>
        </is>
      </c>
      <c r="B5409">
        <f>HYPERLINK("https://www.dofusbook.net/fr/equipement/368279-stuff-1/objets", "link")</f>
        <v/>
      </c>
      <c r="C5409" t="n">
        <v>2</v>
      </c>
      <c r="D5409" t="inlineStr">
        <is>
          <t>Arc de Guten Tak; Amulette de Pol Ouatnos; Alliance Gloursonne; Pikano; Ceinture de la Reine des Voleurs; Coiffe de la Reine des Voleurs; Voile d'encre; Baleinabottes; Dofus Pourpre; Observateur; Miraculé majeur; Chanceux majeur; Remueur; Vigoureux majeur; Dragodinde Prune et Ebène</t>
        </is>
      </c>
    </row>
    <row r="5410">
      <c r="A5410" t="inlineStr">
        <is>
          <t>Stuff 2</t>
        </is>
      </c>
      <c r="B5410">
        <f>HYPERLINK("https://www.dofusbook.net/fr/equipement/368274-stuff-2/objets", "link")</f>
        <v/>
      </c>
      <c r="C5410" t="n">
        <v>3</v>
      </c>
      <c r="D5410" t="inlineStr">
        <is>
          <t>Dagues Érhy; Amulette du Strigide; Gelano; Bague Gloursonne; Ceintacé; Casque de Missiz Frizz; Voile d'encre; Bottes du Strigide; Temporiseur majeur; Vigoureux majeur; Remueur; Nomade; Observateur; Carapace Terre majeur; Dragodinde Prune et Ivoire</t>
        </is>
      </c>
    </row>
    <row r="5411">
      <c r="A5411" t="inlineStr">
        <is>
          <t>Stuff 2</t>
        </is>
      </c>
      <c r="B5411">
        <f>HYPERLINK("https://www.dofusbook.net/fr/equipement/368306-stuff-2/objets", "link")</f>
        <v/>
      </c>
      <c r="C5411" t="n">
        <v>2</v>
      </c>
      <c r="D5411" t="inlineStr">
        <is>
          <t>Hache du Chalœil; Amulette Ementaire Deluxe; Alliance Gloursonne; Pikano; Ceinture de l'Indicible; Voile d'encre; Bottes de l'Indicible; Dofus Turquoise; Dofus des Glaces; Nomade; Vigoureux majeur; Miraculé majeur; Remueur; Kramkram</t>
        </is>
      </c>
    </row>
    <row r="5412">
      <c r="A5412" t="inlineStr">
        <is>
          <t>Stuff 1</t>
        </is>
      </c>
      <c r="B5412">
        <f>HYPERLINK("https://www.dofusbook.net/fr/equipement/368333-stuff-1/objets", "link")</f>
        <v/>
      </c>
      <c r="C5412" t="n">
        <v>3</v>
      </c>
      <c r="D5412" t="inlineStr">
        <is>
          <t>Dagues Érhy; Pendentif mignon de Koutoulou; Anneau de Padgref; Anneau de Nidas; Ceinture de Vortex; Casque Cyclopéen; Cape de Diondin; Pantoufles Émar; Dofus Turquoise; Dofus Pourpre; Nomade; Vigoureux majeur; Miraculé majeur; Remueur; Dragodinde Amande et Emeraude</t>
        </is>
      </c>
    </row>
    <row r="5413">
      <c r="A5413" t="inlineStr">
        <is>
          <t>Stuff 3</t>
        </is>
      </c>
      <c r="B5413">
        <f>HYPERLINK("https://www.dofusbook.net/fr/equipement/368269-stuff-3/objets", "link")</f>
        <v/>
      </c>
      <c r="C5413" t="n">
        <v>3</v>
      </c>
      <c r="D5413" t="inlineStr">
        <is>
          <t>Marteau des égarés; Amulette de Pol Ouatnos; Bague Gloursonne; Alliance Gloursonne; Ceinture du Barbétoal; Chapeau Lisson; Voile d'encre; Baleinabottes; Dofus des Glaces; Dolmanax; Dofus Turquoise; Dofus Pourpre; Remueur; Vigoureux majeur; Kramkram</t>
        </is>
      </c>
    </row>
    <row r="5414">
      <c r="A5414" t="inlineStr">
        <is>
          <t>Stuff 3</t>
        </is>
      </c>
      <c r="B5414">
        <f>HYPERLINK("https://www.dofusbook.net/fr/equipement/368301-stuff-3/objets", "link")</f>
        <v/>
      </c>
      <c r="C5414" t="n">
        <v>5</v>
      </c>
      <c r="D5414" t="inlineStr">
        <is>
          <t>Sceptre du Roi Joueur; Amulette Voldelor; Alliance Gloursonne; Alliance du Lévitrof; Sangle Ouare; Coiffe du Lévitrof; Cape de la Dame du Hasard; Pataugastrique; Fonceur majeur; Chanceux majeur; Observateur; Nomade; Dévastateur Eau majeur; Remueur; Kramkram</t>
        </is>
      </c>
    </row>
    <row r="5415">
      <c r="A5415" t="inlineStr">
        <is>
          <t>Stuff 1</t>
        </is>
      </c>
      <c r="B5415">
        <f>HYPERLINK("https://www.dofusbook.net/fr/equipement/368328-stuff-1/objets", "link")</f>
        <v/>
      </c>
      <c r="C5415" t="n">
        <v>2</v>
      </c>
      <c r="D5415" t="inlineStr">
        <is>
          <t>Arc de Koutoulou; Amulette de l'Indicible; Pikano; Alliance Gloursonne; Ceintacé; Casque du Chalœil; Voile d'encre; Bottes de l'Indicible; Dofus des Glaces; Dofus Pourpre; Dofus Turquoise; Remueur; Nomade; Kramkram</t>
        </is>
      </c>
    </row>
    <row r="5416">
      <c r="A5416" t="inlineStr">
        <is>
          <t>Stuff 1</t>
        </is>
      </c>
      <c r="B5416">
        <f>HYPERLINK("https://www.dofusbook.net/fr/equipement/368264-stuff-1/objets", "link")</f>
        <v/>
      </c>
      <c r="C5416" t="n">
        <v>4</v>
      </c>
      <c r="D5416" t="inlineStr">
        <is>
          <t>Bâthon; Amulette du Strigide; Bague Gloursonne; Anneau Chevelu; Ceintacé; Casque de Missiz Frizz; Voile d'encre; Bottes de la Cour Sombre; Dofus Ocre; Dofus Nébuleux; Dofus Pourpre; Dofus Turquoise; Culbuteur majeur; Carapace Terre majeur; Muldo Indigo et Orchidée</t>
        </is>
      </c>
    </row>
    <row r="5417">
      <c r="A5417" t="inlineStr">
        <is>
          <t>Stuff 1</t>
        </is>
      </c>
      <c r="B5417">
        <f>HYPERLINK("https://www.dofusbook.net/fr/equipement/368296-stuff-1/objets", "link")</f>
        <v/>
      </c>
      <c r="C5417" t="n">
        <v>4</v>
      </c>
      <c r="D5417" t="inlineStr">
        <is>
          <t>Dagues Açantes; Amulette Luminescente; Grésilanneau; Pikano; Ceintacé; Maskrobe; Cape Reski; Pikottes; Dofus Pourpre; Nomade; Remueur</t>
        </is>
      </c>
    </row>
    <row r="5418">
      <c r="A5418" t="inlineStr">
        <is>
          <t>Stuff 2</t>
        </is>
      </c>
      <c r="B5418">
        <f>HYPERLINK("https://www.dofusbook.net/fr/equipement/368323-stuff-2/objets", "link")</f>
        <v/>
      </c>
      <c r="C5418" t="n">
        <v>2</v>
      </c>
      <c r="D5418" t="inlineStr">
        <is>
          <t>Arc Nécrotique; Talisman Igans; Bague Gloursonne; Anneau Tique; Ceinture Voldelor; Masque des Fonds marins; Cape de Diondin; Bottes Owesli; Kramkram</t>
        </is>
      </c>
    </row>
    <row r="5419">
      <c r="A5419" t="inlineStr">
        <is>
          <t>Stuff 2</t>
        </is>
      </c>
      <c r="B5419">
        <f>HYPERLINK("https://www.dofusbook.net/fr/equipement/368291-stuff-2/objets", "link")</f>
        <v/>
      </c>
      <c r="C5419" t="n">
        <v>1</v>
      </c>
      <c r="D5419" t="inlineStr">
        <is>
          <t>Marteau des égarés; Amulette de Pol Ouatnos; Pikano; Alliance Gloursonne; Ceinture de Kongoku; Boucle d'oreille de Kongoku; Voile d'encre; Baleinabottes; Dolmanax; Dofus Turquoise; Dofus Pourpre; Carapace Terre majeur; Remueur; Vigoureux majeur; Kramkram</t>
        </is>
      </c>
    </row>
    <row r="5420">
      <c r="A5420" t="inlineStr">
        <is>
          <t>Stuff 3</t>
        </is>
      </c>
      <c r="B5420">
        <f>HYPERLINK("https://www.dofusbook.net/fr/equipement/368318-stuff-3/objets", "link")</f>
        <v/>
      </c>
      <c r="C5420" t="n">
        <v>2</v>
      </c>
      <c r="D5420" t="inlineStr">
        <is>
          <t>Héqache; Collier du Valet Veinard; Alliance Gloursonne; Gant du Valet Veinard; Ceinture de la Reine des Voleurs; Coiffe de la Reine des Voleurs; Cape du Valet Veinard; Bottes de la Reine des Voleurs</t>
        </is>
      </c>
    </row>
    <row r="5421">
      <c r="A5421" t="inlineStr">
        <is>
          <t>Stuff 2</t>
        </is>
      </c>
      <c r="B5421">
        <f>HYPERLINK("https://www.dofusbook.net/fr/equipement/368286-stuff-2/objets", "link")</f>
        <v/>
      </c>
      <c r="C5421" t="n">
        <v>2</v>
      </c>
      <c r="D5421" t="inlineStr">
        <is>
          <t>Dagues Açantes; Talisman Glouti; Alliance Gloursonne; Pikano; Ceinture Glaciale; Kidibonnet; Cape de Léthaline; Pikottes; Temporiseur majeur; Temporiseur; Ralentisseur majeur; Entraveur; Entraveur majeur; Remueur; Dragodinde Prune et Emeraude</t>
        </is>
      </c>
    </row>
    <row r="5422">
      <c r="A5422" t="inlineStr">
        <is>
          <t>Stuff 3</t>
        </is>
      </c>
      <c r="B5422">
        <f>HYPERLINK("https://www.dofusbook.net/fr/equipement/368313-stuff-3/objets", "link")</f>
        <v/>
      </c>
      <c r="C5422" t="n">
        <v>2</v>
      </c>
      <c r="D5422" t="inlineStr">
        <is>
          <t>Rouleau à Pâtisserie d'Aermyne; Amulette du Strigide; Alliance Gloursonne; Anneau de XLII; Ceinture de XLII; Coiffe d'Aermyne; Cape d'Aermyne; Bottes de XLII; Dokoko; Dofus Ocre; Précurseur majeur; Tacleur majeur; Bloqueur; Bloqueur majeur; Muldo Orchidée</t>
        </is>
      </c>
    </row>
    <row r="5423">
      <c r="A5423" t="inlineStr">
        <is>
          <t>Stuff 3</t>
        </is>
      </c>
      <c r="B5423">
        <f>HYPERLINK("https://www.dofusbook.net/fr/equipement/368281-stuff-3/objets", "link")</f>
        <v/>
      </c>
      <c r="C5423" t="n">
        <v>1</v>
      </c>
      <c r="D5423" t="inlineStr">
        <is>
          <t>Sabres d'Atcham; Amulette du Strigide; Anneau Tique; Alliance Gloursonne; Ceinture de Vortex; Kidibonnet; Cape du Chalœil; Sandales  d'Atcham; Dofus Pourpre; Dofus Turquoise; Dolmanax; Vigoureux majeur; Nomade; Remueur; Kramkram</t>
        </is>
      </c>
    </row>
    <row r="5424">
      <c r="A5424" t="inlineStr">
        <is>
          <t>Stuff 1</t>
        </is>
      </c>
      <c r="B5424">
        <f>HYPERLINK("https://www.dofusbook.net/fr/equipement/368276-stuff-1/objets", "link")</f>
        <v/>
      </c>
      <c r="C5424" t="n">
        <v>2</v>
      </c>
      <c r="D5424" t="inlineStr">
        <is>
          <t>Manthache; Collier du Valet Veinard; Alliance Gloursonne; Gant du Valet Veinard; Menoture; Dorabysses; Cape du Kamasterisk; Baleinabottes; Dofus des Glaces; Carapace Air majeur; Miraculé majeur; Nomade; Cascadeur majeur; Dévastateur Air majeur; Kramkram</t>
        </is>
      </c>
    </row>
    <row r="5425">
      <c r="A5425" t="inlineStr">
        <is>
          <t>Stuff 1</t>
        </is>
      </c>
      <c r="B5425">
        <f>HYPERLINK("https://www.dofusbook.net/fr/equipement/368308-stuff-1/objets", "link")</f>
        <v/>
      </c>
      <c r="C5425" t="n">
        <v>5</v>
      </c>
      <c r="D5425" t="inlineStr">
        <is>
          <t>Plumeau Bil; Amulette de Nileza; Bague Gloursonne; Anneau de Nidas; Ceinture de Vortex; Couronne de Nidas; Voile d'encre; Pataugastrique; Érudit majeur; Nomade; Dévastateur Feu majeur; Miraculé majeur; Fonceur majeur; Remueur; Dragodinde Prune et Emeraude</t>
        </is>
      </c>
    </row>
    <row r="5426">
      <c r="A5426" t="inlineStr">
        <is>
          <t>Stuff 3</t>
        </is>
      </c>
      <c r="B5426">
        <f>HYPERLINK("https://www.dofusbook.net/fr/equipement/368335-stuff-3/objets", "link")</f>
        <v/>
      </c>
      <c r="C5426" t="n">
        <v>2</v>
      </c>
      <c r="D5426" t="inlineStr">
        <is>
          <t>Manthache; Amulette du Cycloïde; Alliance Gloursonne; Anneau d'Allister; Menoture; Couronne d'Allister; Capibou; Bottes de la Reine des Voleurs</t>
        </is>
      </c>
    </row>
    <row r="5427">
      <c r="A5427" t="inlineStr">
        <is>
          <t>Stuff 2</t>
        </is>
      </c>
      <c r="B5427">
        <f>HYPERLINK("https://www.dofusbook.net/fr/equipement/368271-stuff-2/objets", "link")</f>
        <v/>
      </c>
      <c r="C5427" t="n">
        <v>3</v>
      </c>
      <c r="D5427" t="inlineStr">
        <is>
          <t>Rapière aux Glyphes; Collier de la Dame du Hasard; Alliance Gloursonne; Pikano; Ceinture Glaciale; Kidibonnet; Cape de Kongoku; Pikottes; Ralentisseur majeur; Remueur; Chanceux majeur; Miraculé majeur; Entraveur majeur; Temporiseur majeur; Dragodinde Prune et Emeraude</t>
        </is>
      </c>
    </row>
    <row r="5428">
      <c r="A5428" t="inlineStr">
        <is>
          <t>Stuff 3</t>
        </is>
      </c>
      <c r="B5428">
        <f>HYPERLINK("https://www.dofusbook.net/fr/equipement/368284-stuff-3/objets", "link")</f>
        <v/>
      </c>
      <c r="C5428" t="n">
        <v>0</v>
      </c>
      <c r="D5428" t="inlineStr">
        <is>
          <t>Sabres d'Atcham; Amulette du Strigide; Alliance Gloursonne; Anneau Rifique; Ceinture du Barbétoal; Chapeau des Malveilleurs; Cape des Malveilleurs; Pataugastrique</t>
        </is>
      </c>
    </row>
    <row r="5429">
      <c r="A5429" t="inlineStr">
        <is>
          <t>Stuff 3</t>
        </is>
      </c>
      <c r="B5429">
        <f>HYPERLINK("https://www.dofusbook.net/fr/equipement/368316-stuff-3/objets", "link")</f>
        <v/>
      </c>
      <c r="C5429" t="n">
        <v>4</v>
      </c>
      <c r="D5429" t="inlineStr">
        <is>
          <t>Dagues Açantes; Amulette Luminescente; Anneau de la Fuji Givrefoux; Pikano; Ceintacé; Maskrobe; Cape de Kongoku; Pikottes; Dofus Pourpre; Temporiseur majeur; Remueur; Entraveur majeur; Vigoureux majeur; Muldo Doré</t>
        </is>
      </c>
    </row>
    <row r="5430">
      <c r="A5430" t="inlineStr">
        <is>
          <t>Stuff 1</t>
        </is>
      </c>
      <c r="B5430">
        <f>HYPERLINK("https://www.dofusbook.net/fr/equipement/368279-stuff-1/objets", "link")</f>
        <v/>
      </c>
      <c r="C5430" t="n">
        <v>2</v>
      </c>
      <c r="D5430" t="inlineStr">
        <is>
          <t>Arc de Guten Tak; Amulette de Pol Ouatnos; Pikano; Alliance Gloursonne; Ceinture de la Reine des Voleurs; Coiffe de la Reine des Voleurs; Voile d'encre; Baleinabottes; Dofus Pourpre; Chanceux majeur; Remueur; Vigoureux majeur; Observateur; Miraculé majeur; Dragodinde Prune et Ebène</t>
        </is>
      </c>
    </row>
    <row r="5431">
      <c r="A5431" t="inlineStr">
        <is>
          <t>Stuff 1</t>
        </is>
      </c>
      <c r="B5431">
        <f>HYPERLINK("https://www.dofusbook.net/fr/equipement/368311-stuff-1/objets", "link")</f>
        <v/>
      </c>
      <c r="C5431" t="n">
        <v>1</v>
      </c>
      <c r="D5431" t="inlineStr">
        <is>
          <t>Dagues Érhy; Amulette du Strigide; Bracelet du Piloztère; Alliance Gloursonne; Ceintacé; Chapeau de Gein; Voile d'encre; Bottes du Strigide; Dofus des Glaces; Dofus Pourpre; Remueur; Érudit majeur; Vigoureux majeur; Cascadeur majeur; Muldo Doré</t>
        </is>
      </c>
    </row>
    <row r="5432">
      <c r="A5432" t="inlineStr">
        <is>
          <t>Stuff 2</t>
        </is>
      </c>
      <c r="B5432">
        <f>HYPERLINK("https://www.dofusbook.net/fr/equipement/368274-stuff-2/objets", "link")</f>
        <v/>
      </c>
      <c r="C5432" t="n">
        <v>3</v>
      </c>
      <c r="D5432" t="inlineStr">
        <is>
          <t>Dagues Érhy; Amulette du Strigide; Gelano; Bague Gloursonne; Ceintacé; Casque de Missiz Frizz; Voile d'encre; Bottes du Strigide; Remueur; Nomade; Observateur; Carapace Terre majeur; Temporiseur majeur; Vigoureux majeur; Dragodinde Prune et Ivoire</t>
        </is>
      </c>
    </row>
    <row r="5433">
      <c r="A5433" t="inlineStr">
        <is>
          <t>Stuff 2</t>
        </is>
      </c>
      <c r="B5433">
        <f>HYPERLINK("https://www.dofusbook.net/fr/equipement/368306-stuff-2/objets", "link")</f>
        <v/>
      </c>
      <c r="C5433" t="n">
        <v>2</v>
      </c>
      <c r="D5433" t="inlineStr">
        <is>
          <t>Hache du Chalœil; Amulette Ementaire Deluxe; Alliance Gloursonne; Pikano; Ceinture de l'Indicible; Voile d'encre; Bottes de l'Indicible; Dofus Turquoise; Dofus des Glaces; Miraculé majeur; Remueur; Nomade; Vigoureux majeur; Kramkram</t>
        </is>
      </c>
    </row>
    <row r="5434">
      <c r="A5434" t="inlineStr">
        <is>
          <t>Stuff 3</t>
        </is>
      </c>
      <c r="B5434">
        <f>HYPERLINK("https://www.dofusbook.net/fr/equipement/368269-stuff-3/objets", "link")</f>
        <v/>
      </c>
      <c r="C5434" t="n">
        <v>3</v>
      </c>
      <c r="D5434" t="inlineStr">
        <is>
          <t>Marteau des égarés; Amulette de Pol Ouatnos; Alliance Gloursonne; Bague Gloursonne; Ceinture du Barbétoal; Chapeau Lisson; Voile d'encre; Baleinabottes; Dofus Pourpre; Dofus des Glaces; Dolmanax; Dofus Turquoise; Vigoureux majeur; Remueur; Kramkram</t>
        </is>
      </c>
    </row>
    <row r="5435">
      <c r="A5435" t="inlineStr">
        <is>
          <t>Stuff 3</t>
        </is>
      </c>
      <c r="B5435">
        <f>HYPERLINK("https://www.dofusbook.net/fr/equipement/368301-stuff-3/objets", "link")</f>
        <v/>
      </c>
      <c r="C5435" t="n">
        <v>5</v>
      </c>
      <c r="D5435" t="inlineStr">
        <is>
          <t>Sceptre du Roi Joueur; Amulette Voldelor; Alliance du Lévitrof; Alliance Gloursonne; Sangle Ouare; Coiffe du Lévitrof; Cape de la Dame du Hasard; Pataugastrique; Dévastateur Eau majeur; Remueur; Fonceur majeur; Chanceux majeur; Observateur; Nomade; Kramkram</t>
        </is>
      </c>
    </row>
    <row r="5436">
      <c r="A5436" t="inlineStr">
        <is>
          <t>Stuff 1</t>
        </is>
      </c>
      <c r="B5436">
        <f>HYPERLINK("https://www.dofusbook.net/fr/equipement/368333-stuff-1/objets", "link")</f>
        <v/>
      </c>
      <c r="C5436" t="n">
        <v>3</v>
      </c>
      <c r="D5436" t="inlineStr">
        <is>
          <t>Dagues Érhy; Pendentif mignon de Koutoulou; Anneau de Nidas; Anneau de Padgref; Ceinture de Vortex; Casque Cyclopéen; Cape de Diondin; Pantoufles Émar; Dofus Turquoise; Dofus Pourpre; Remueur; Nomade; Vigoureux majeur; Miraculé majeur; Dragodinde Amande et Emeraude</t>
        </is>
      </c>
    </row>
    <row r="5437">
      <c r="A5437" t="inlineStr">
        <is>
          <t>Stuff 1</t>
        </is>
      </c>
      <c r="B5437">
        <f>HYPERLINK("https://www.dofusbook.net/fr/equipement/368264-stuff-1/objets", "link")</f>
        <v/>
      </c>
      <c r="C5437" t="n">
        <v>4</v>
      </c>
      <c r="D5437" t="inlineStr">
        <is>
          <t>Bâthon; Amulette du Strigide; Anneau Chevelu; Bague Gloursonne; Ceintacé; Casque de Missiz Frizz; Voile d'encre; Bottes de la Cour Sombre; Dofus Turquoise; Dofus Ocre; Dofus Nébuleux; Dofus Pourpre; Carapace Terre majeur; Culbuteur majeur; Muldo Indigo et Orchidée</t>
        </is>
      </c>
    </row>
    <row r="5438">
      <c r="A5438" t="inlineStr">
        <is>
          <t>Stuff 1</t>
        </is>
      </c>
      <c r="B5438">
        <f>HYPERLINK("https://www.dofusbook.net/fr/equipement/368296-stuff-1/objets", "link")</f>
        <v/>
      </c>
      <c r="C5438" t="n">
        <v>4</v>
      </c>
      <c r="D5438" t="inlineStr">
        <is>
          <t>Dagues Açantes; Amulette Luminescente; Grésilanneau; Pikano; Ceintacé; Maskrobe; Cape Reski; Pikottes; Dofus Pourpre; Remueur; Nomade</t>
        </is>
      </c>
    </row>
    <row r="5439">
      <c r="A5439" t="inlineStr">
        <is>
          <t>Stuff 1</t>
        </is>
      </c>
      <c r="B5439">
        <f>HYPERLINK("https://www.dofusbook.net/fr/equipement/368328-stuff-1/objets", "link")</f>
        <v/>
      </c>
      <c r="C5439" t="n">
        <v>2</v>
      </c>
      <c r="D5439" t="inlineStr">
        <is>
          <t>Arc de Koutoulou; Amulette de l'Indicible; Alliance Gloursonne; Pikano; Ceintacé; Casque du Chalœil; Voile d'encre; Bottes de l'Indicible; Dofus Pourpre; Dofus Turquoise; Dofus des Glaces; Nomade; Remueur; Kramkram</t>
        </is>
      </c>
    </row>
    <row r="5440">
      <c r="A5440" t="inlineStr">
        <is>
          <t>Loic Objectif 200</t>
        </is>
      </c>
      <c r="B5440">
        <f>HYPERLINK("https://www.dofusbook.net/fr/equipement/5932365-loic-objectif-200/objets", "link")</f>
        <v/>
      </c>
      <c r="C5440" t="n">
        <v>5</v>
      </c>
      <c r="D5440" t="inlineStr">
        <is>
          <t>L'Épée Nice; Amibou; Anneau de Padgref; Alliance Gloursonne; Quatre-feuilles; Menoture; Chapibou; Cape Indescriptible; Pantoufles Émar; Dofus Turquoise; Dofus Pourpre; Remueur; Temporiseur majeur; Cascadeur majeur; Nomade; Dragodinde Prune et Ebène</t>
        </is>
      </c>
    </row>
    <row r="5441">
      <c r="A5441" t="inlineStr">
        <is>
          <t>Kra-pul Terre ret pm</t>
        </is>
      </c>
      <c r="B5441">
        <f>HYPERLINK("https://www.dofusbook.net/fr/equipement/5966600-kra-pul-terre-ret-pm-/objets", "link")</f>
        <v/>
      </c>
      <c r="C5441" t="n">
        <v>6</v>
      </c>
      <c r="D5441" t="inlineStr">
        <is>
          <t>Arc du Chalœil; Amulette du Kamasterisk; Chevalière du Roi Joueur; Anneau Chevelu; Quatre-feuilles; Ceinture Volkorne; Masque de Koutoulou; Cape au Logis; Bottes du Kamasterisk; Dofus Pourpre; Dofus Turquoise; Remueur; Enragé majeur; Temporiseur majeur; Nomade; Kompost</t>
        </is>
      </c>
    </row>
    <row r="5442">
      <c r="A5442" t="inlineStr">
        <is>
          <t>Kra-pul Air</t>
        </is>
      </c>
      <c r="B5442">
        <f>HYPERLINK("https://www.dofusbook.net/fr/equipement/5977352-kra-pul-air-/objets", "link")</f>
        <v/>
      </c>
      <c r="C5442" t="n">
        <v>4</v>
      </c>
      <c r="D5442" t="inlineStr">
        <is>
          <t>Baguette du Dragoeuf; Amulette Voldelor; Alliance Gloursonne; Anneau de Padgref; Quatre-feuilles; Menoture; Corne de Torkélonia; Carapace de Torkélonia; Bottes du Cycloïde; Dofus Pourpre; Dofus Turquoise; Nomade; Cascadeur majeur; Vigoureux majeur; Remueur; Siroko</t>
        </is>
      </c>
    </row>
    <row r="5443">
      <c r="A5443" t="inlineStr">
        <is>
          <t>HEAL</t>
        </is>
      </c>
      <c r="B5443">
        <f>HYPERLINK("https://www.dofusbook.net/fr/equipement/4567988-heal/objets", "link")</f>
        <v/>
      </c>
      <c r="C5443" t="n">
        <v>15</v>
      </c>
      <c r="D5443" t="inlineStr">
        <is>
          <t>Le Thanos; Amulette Séculaire; Anneauræus; Anneauræus; Quatre-feuilles; Ceinture Séculaire; Masque Vaudou Ark; Cape de Diondin; Bottes Innommables; Dofus Pourpre; Dofus Turquoise; Nomade; Érudit majeur; Guérisseur majeur; Remueur; Dragodinde Orchidée et Rousse</t>
        </is>
      </c>
    </row>
    <row r="5444">
      <c r="A5444" t="inlineStr">
        <is>
          <t>Kra-pul Multi</t>
        </is>
      </c>
      <c r="B5444">
        <f>HYPERLINK("https://www.dofusbook.net/fr/equipement/5972085-kra-pul-multi/objets", "link")</f>
        <v/>
      </c>
      <c r="C5444" t="n">
        <v>2</v>
      </c>
      <c r="D5444" t="inlineStr">
        <is>
          <t>Arc Volkorne; Amulette de Shokkoth; Anneau Volkorne; Crocanneau; Quatre-feuilles; Ceinture Volkorne; Le Dorado; Cape au Logis; Sandales de Tal Kasha; Dofus Turquoise; Dofus Pourpre; Vigoureux majeur; Fonceur majeur; Nomade; Remueur; Kramkram</t>
        </is>
      </c>
    </row>
    <row r="5445">
      <c r="A5445" t="inlineStr">
        <is>
          <t>Kra-pul Eau ret pa</t>
        </is>
      </c>
      <c r="B5445">
        <f>HYPERLINK("https://www.dofusbook.net/fr/equipement/5943403-kra-pul-eau-ret-pa/objets", "link")</f>
        <v/>
      </c>
      <c r="C5445" t="n">
        <v>9</v>
      </c>
      <c r="D5445" t="inlineStr">
        <is>
          <t>Dagoulinantes; Amulette de Shokkoth; Bracelet des Fonds marins; Anneau Volkorne; Quatre-feuilles; Pagne du Rykaon; Kidibonnet; Chevelure de Tal Kasha; Sandales de Tal Kasha; Dofus Turquoise; Dofus Pourpre; Chanceux majeur; Nomade; Étourdisseur majeur; Remueur; Boskito</t>
        </is>
      </c>
    </row>
    <row r="5446">
      <c r="A5446" t="inlineStr">
        <is>
          <t>Kra-pul 200</t>
        </is>
      </c>
      <c r="B5446">
        <f>HYPERLINK("https://www.dofusbook.net/fr/equipement/5962244-kra-pul-200/objets", "link")</f>
        <v/>
      </c>
      <c r="C5446" t="n">
        <v>2</v>
      </c>
      <c r="D5446" t="inlineStr">
        <is>
          <t>Arc corrompu; Amulette Séculaire; Chevalière du Roi Joueur; Anneau Tique; Quatre-feuilles; Ceinture Séculaire; Heaume Oplate; Cape Hulco; Bottes Owesli; Dofus Turquoise; Dofus Pourpre; Remueur; Vigoureux majeur; Érudit majeur; Nomade; Brûlih</t>
        </is>
      </c>
    </row>
    <row r="5447">
      <c r="A5447" t="inlineStr">
        <is>
          <t>Comparatif</t>
        </is>
      </c>
      <c r="B5447">
        <f>HYPERLINK("https://www.dofusbook.net/fr/equipement/5898015-comparatif/objets", "link")</f>
        <v/>
      </c>
      <c r="C5447" t="n">
        <v>5</v>
      </c>
      <c r="D5447" t="inlineStr">
        <is>
          <t>Le Thanos; Amulette de Pol Ouatnos; Bracelet des Fonds marins; Anneau Tique; Quatre-feuilles; Poulpagne; Binocle Airvoyant; Cape de la Dame du Hasard; Bottes de la Dame du Hasard; Dofus Turquoise; Dofus Pourpre; Nomade; Temporiseur majeur; Remueur; Guérisseur majeur; Médugivre</t>
        </is>
      </c>
    </row>
    <row r="5448">
      <c r="A5448" t="inlineStr">
        <is>
          <t>Ultime Eau ret pm</t>
        </is>
      </c>
      <c r="B5448">
        <f>HYPERLINK("https://www.dofusbook.net/fr/equipement/5144609-ultime-eau-ret-pm/objets", "link")</f>
        <v/>
      </c>
      <c r="C5448" t="n">
        <v>11</v>
      </c>
      <c r="D5448" t="inlineStr">
        <is>
          <t>Baguette Hique; Amulette de Shokkoth; Bracelet des Fonds marins; Anneau Volkorne; Quatre-feuilles; Poulpagne; Casquette de Meno; Cape Solution; Bottes de Meno; Dofus Pourpre; Dofus Turquoise; Dofus Ébène; Temporiseur majeur; Nomade; Chanceux majeur; Dehluge</t>
        </is>
      </c>
    </row>
    <row r="5449">
      <c r="A5449" t="inlineStr">
        <is>
          <t>Objectif 200</t>
        </is>
      </c>
      <c r="B5449">
        <f>HYPERLINK("https://www.dofusbook.net/fr/equipement/151439-objectif-200/objets", "link")</f>
        <v/>
      </c>
      <c r="C5449" t="n">
        <v>10</v>
      </c>
      <c r="D5449" t="inlineStr">
        <is>
          <t>Baguette de Torkélonia; Amulette du Strigide; Bracelet du Piloztère; Bague Trithon; Quatre-feuilles; Ceintacé; Casque Dragoeuf; Carapace de Torkélonia; Tentassons; Dofus Pourpre; Dofus Turquoise; Vigoureux majeur; Remueur; Nomade; Temporiseur majeur; Dragodinde Emeraude et Ivoire</t>
        </is>
      </c>
    </row>
    <row r="5450">
      <c r="A5450" t="inlineStr">
        <is>
          <t>Antoine</t>
        </is>
      </c>
      <c r="B5450">
        <f>HYPERLINK("https://www.dofusbook.net/fr/equipement/5349595-antoine/objets", "link")</f>
        <v/>
      </c>
      <c r="C5450" t="n">
        <v>16</v>
      </c>
      <c r="D5450" t="inlineStr">
        <is>
          <t>Arc Nécrotique; Collier de la Dame du Hasard; Bracelet du Piloztère; Anneau Toriété; Quatre-feuilles; Ceintacé; Casque Dragoeuf; Cape de la Dame du Hasard; Bottes du Chalœil; Dofus Émeraude; Dofus Pourpre; Dofus Turquoise; Observateur; Nomade; Remueur; Kokulte</t>
        </is>
      </c>
    </row>
    <row r="5451">
      <c r="A5451" t="inlineStr">
        <is>
          <t>Antoine retrait</t>
        </is>
      </c>
      <c r="B5451">
        <f>HYPERLINK("https://www.dofusbook.net/fr/equipement/5920503-antoine-retrait/objets", "link")</f>
        <v/>
      </c>
      <c r="C5451" t="n">
        <v>2</v>
      </c>
      <c r="D5451" t="inlineStr">
        <is>
          <t>Bâthon; Amulette Volcanique; Chevalière du Roi Joueur; Bague Gloursonne; Bouclier cubiste; Ceintacé; Chapeau de Gein; Voile d'encre; Bottes du Roi Joueur; Dofus Pourpre; Dofus Turquoise; Carapace Terre majeur; Nomade; Temporiseur majeur; Remueur; Léopardo</t>
        </is>
      </c>
    </row>
    <row r="5452">
      <c r="A5452" t="inlineStr">
        <is>
          <t>Ultime 3</t>
        </is>
      </c>
      <c r="B5452">
        <f>HYPERLINK("https://www.dofusbook.net/fr/equipement/5332675-ultime-3/objets", "link")</f>
        <v/>
      </c>
      <c r="C5452" t="n">
        <v>5</v>
      </c>
      <c r="D5452" t="inlineStr">
        <is>
          <t>Arc de Koutoulou; Amulette du Strigide; Bracelet du Piloztère; Bague Trithon; Quatre-feuilles; Ceintacé; Casque Dragoeuf; Chevelure de Tal Kasha; Sandales de Tal Kasha; Dofus Turquoise; Dofus Pourpre; Remueur; Nomade; Miraculé majeur; Vigoureux majeur; Dragodinde Emeraude et Ivoire</t>
        </is>
      </c>
    </row>
    <row r="5453">
      <c r="A5453" t="inlineStr">
        <is>
          <t>Iop M 200</t>
        </is>
      </c>
      <c r="B5453">
        <f>HYPERLINK("https://www.dofusbook.net/fr/equipement/4751188-iop-m-200/objets", "link")</f>
        <v/>
      </c>
      <c r="C5453" t="n">
        <v>9</v>
      </c>
      <c r="D5453" t="inlineStr">
        <is>
          <t>Crocobur; Amulette Volkorne; Alliance Gloursonne; Anneau Volkorne; Bouclier du Captain Amakna; Sangle Ouare; Casque Dragoeuf; Chevelure de Tal Kasha; Sandales de Tal Kasha; Dofus Turquoise; Dofus Ébène; Dofus Émeraude; Dofus Ocre; Dofus Pourpre; Dofus Nébuleux; Sakochère</t>
        </is>
      </c>
    </row>
    <row r="5454">
      <c r="A5454" t="inlineStr">
        <is>
          <t>Ecaflip M 200</t>
        </is>
      </c>
      <c r="B5454">
        <f>HYPERLINK("https://www.dofusbook.net/fr/equipement/4586911-ecaflip-m-200/objets", "link")</f>
        <v/>
      </c>
      <c r="C5454" t="n">
        <v>10</v>
      </c>
      <c r="D5454" t="inlineStr">
        <is>
          <t>Arc du Chalœil; Amulette Volkorne; Bague Trithon; Anneau Volkorne; Quatre-feuilles; Ceinture Volkorne; Casque Dragoeuf; Voile d'encre; Bottes Trithon; Dokoko; Dofus Turquoise; Dofus Émeraude; Dofus Ocre; Dofus Pourpre; Dofus des Glaces; Sakochère</t>
        </is>
      </c>
    </row>
    <row r="5455">
      <c r="A5455" t="inlineStr">
        <is>
          <t>Iop F 200</t>
        </is>
      </c>
      <c r="B5455">
        <f>HYPERLINK("https://www.dofusbook.net/fr/equipement/4552592-iop-f-200/objets", "link")</f>
        <v/>
      </c>
      <c r="C5455" t="n">
        <v>7</v>
      </c>
      <c r="D5455" t="inlineStr">
        <is>
          <t>Amulette du Cœur Saignant; Anneau Volkorne; Alliance de Missiz Frizz; Bouclier du Captain Amakna; Ceinture Volkorne; Casque de Missiz Frizz; Cape du Cœur Saignant; Bottes du Cœur Saignant; Dofus Pourpre; Dofus Turquoise; Dofus Nébuleux; Dofus Ébène; Dofus Ocre; Dofus des Glaces</t>
        </is>
      </c>
    </row>
    <row r="5456">
      <c r="A5456" t="inlineStr">
        <is>
          <t>Eau</t>
        </is>
      </c>
      <c r="B5456">
        <f>HYPERLINK("https://www.dofusbook.net/fr/equipement/2909265-eau-/objets", "link")</f>
        <v/>
      </c>
      <c r="C5456" t="n">
        <v>13</v>
      </c>
      <c r="D5456" t="inlineStr">
        <is>
          <t>Sceptre du Roi Joueur; Amulette Volkorne; Alliance Gloursonne; Anneau Volkorne; Bouclier du Captain Amakna; Sangle Ouare; Kidibonnet; Chevelure de Tal Kasha; Sandales de Tal Kasha; Dofus Émeraude; Dofus Ocre; Dofus Pourpre; Dofus Nébuleux; Dofus Ébène; Dofus Turquoise; Pioute bleu</t>
        </is>
      </c>
    </row>
    <row r="5457">
      <c r="A5457" t="inlineStr">
        <is>
          <t>Full feu</t>
        </is>
      </c>
      <c r="B5457">
        <f>HYPERLINK("https://www.dofusbook.net/fr/equipement/2889761-full-feu/objets", "link")</f>
        <v/>
      </c>
      <c r="C5457" t="n">
        <v>18</v>
      </c>
      <c r="D5457" t="inlineStr">
        <is>
          <t>Massier; Amulette Volkorne; Anneau Volkorne; Anneauræus; Bouclier du Captain Amakna; Ceinture Volkorne; Casque Dragoeuf; Voile d'encre; Pataugastrique; Dofus Nébuleux; Dofus Ébène; Dofus Pourpre; Dofus des Glaces; Dofus Turquoise; Dofus Ocre; Pioute rouge</t>
        </is>
      </c>
    </row>
    <row r="5458">
      <c r="A5458" t="inlineStr">
        <is>
          <t>Iop M 200</t>
        </is>
      </c>
      <c r="B5458">
        <f>HYPERLINK("https://www.dofusbook.net/fr/equipement/4546369-iop-m-200/objets", "link")</f>
        <v/>
      </c>
      <c r="C5458" t="n">
        <v>13</v>
      </c>
      <c r="D5458" t="inlineStr">
        <is>
          <t>Crocobur; Amulette du Cœur Saignant; Anneau Volkorne; Anneau Chevelu; Bouclier du Captain Amakna; Ceinture Volkorne; Masque de Funespadon; Cape du Cœur Saignant; Bottes du Cœur Saignant; Dofus Turquoise; Dofus Ébène; Dofus Ocre; Dofus Pourpre; Dofus Nébuleux; Voyageur; Volkorne Améthyste et Pourpre</t>
        </is>
      </c>
    </row>
    <row r="5459">
      <c r="A5459" t="inlineStr">
        <is>
          <t>New-Iop</t>
        </is>
      </c>
      <c r="B5459">
        <f>HYPERLINK("https://www.dofusbook.net/fr/equipement/4442295-new-iop/objets", "link")</f>
        <v/>
      </c>
      <c r="C5459" t="n">
        <v>12</v>
      </c>
      <c r="D5459" t="inlineStr">
        <is>
          <t>Plume de Buhorado; Amulette du Strigide; Anneau de Padgref; Alliance Gloursonne; Quatre-feuilles; Ceinture du Strigide; Casque Dragoeuf; Chevelure de Tal Kasha; Sandales de Tal Kasha; Dofus Ocre; Dofus Abyssal; Dofus Turquoise; Dofus Ébène; Dofus Pourpre; Dofus Nébuleux; Volkorne Emeraude et Ebène</t>
        </is>
      </c>
    </row>
    <row r="5460">
      <c r="A5460" t="inlineStr">
        <is>
          <t>Full feu</t>
        </is>
      </c>
      <c r="B5460">
        <f>HYPERLINK("https://www.dofusbook.net/fr/equipement/2050983-full-feu/objets", "link")</f>
        <v/>
      </c>
      <c r="C5460" t="n">
        <v>10</v>
      </c>
      <c r="D5460" t="inlineStr">
        <is>
          <t>Arc corrompu; Amulette Séculaire; Anneauræus; Anneauræus; Quatre-feuilles; Ceinture Séculaire; Casque Dragoeuf; Cape de Diondin; Bottes Innommables; Dofus Turquoise; Guérisseur majeur; Remueur; Miraculé majeur; Nomade; Érudit majeur; Dragodinde Orchidée et Rousse</t>
        </is>
      </c>
    </row>
    <row r="5461">
      <c r="A5461" t="inlineStr">
        <is>
          <t>Iop M 200</t>
        </is>
      </c>
      <c r="B5461">
        <f>HYPERLINK("https://www.dofusbook.net/fr/equipement/4415776-iop-m-200/objets", "link")</f>
        <v/>
      </c>
      <c r="C5461" t="n">
        <v>5</v>
      </c>
      <c r="D5461" t="inlineStr">
        <is>
          <t>Dagues Ricol; Amulette Volkorne; Anneau Volkorne; Anneauræus; Bouclier du Captain Amakna; Ceinture Volkorne; Heaume Oplate; Voile d'encre; Pompes Funèbres; Dofus Nébuleux; Dofus Ébène; Dofus Turquoise; Dofus Pourpre; Dofus Ocre; Dofus des Glaces; Pioute rouge</t>
        </is>
      </c>
    </row>
    <row r="5462">
      <c r="A5462" t="inlineStr">
        <is>
          <t>Enutrof M 200</t>
        </is>
      </c>
      <c r="B5462">
        <f>HYPERLINK("https://www.dofusbook.net/fr/equipement/3973441-enutrof-m-200/objets", "link")</f>
        <v/>
      </c>
      <c r="C5462" t="n">
        <v>11</v>
      </c>
      <c r="D5462" t="inlineStr">
        <is>
          <t>Bâthon; Amulette Volcanique; Bague Gloursonne; Chevalière du Roi Joueur; Bouclier cubiste; Ceintacé; Chapeau de Gein; Voile d'encre; Bottes du Roi Joueur; Dofus Turquoise; Dofus Pourpre; Nomade; Temporiseur majeur; Remueur; Carapace Terre majeur; Léopardo</t>
        </is>
      </c>
    </row>
    <row r="5463">
      <c r="A5463" t="inlineStr">
        <is>
          <t>Iop M 200</t>
        </is>
      </c>
      <c r="B5463">
        <f>HYPERLINK("https://www.dofusbook.net/fr/equipement/4340717-iop-m-200/objets", "link")</f>
        <v/>
      </c>
      <c r="C5463" t="n">
        <v>7</v>
      </c>
      <c r="D5463" t="inlineStr">
        <is>
          <t>Dagues de Srambad; Torquistik; Goulano; Baguistik; Goulclier; Ceinture de la Reine des Voleurs; Coiffe de la Reine des Voleurs; Cape au Logis; Goulbottes; Dofus Émeraude; Dofus Ocre; Dofus des Glaces; Dofus Pourpre; Dokoko; Dofus Ébène; Wabbit</t>
        </is>
      </c>
    </row>
    <row r="5464">
      <c r="A5464" t="inlineStr">
        <is>
          <t>Stuff 2</t>
        </is>
      </c>
      <c r="B5464">
        <f>HYPERLINK("https://www.dofusbook.net/fr/equipement/795819-stuff-2/objets", "link")</f>
        <v/>
      </c>
      <c r="C5464" t="n">
        <v>11</v>
      </c>
      <c r="D5464" t="inlineStr">
        <is>
          <t>Arc de Guten Tak; Amulette Luminescente; Bracelet du Piloztère; Bague Trithon; Quatre-feuilles; Ceinture Luminescente; Masque Trithon; Cape Luminescente; Bottes Trithon; Dofus Turquoise; Dofus Ivoire; Dolmanax; Dofus Ocre; Dofus Pourpre; Dofus des Glaces; Muldo Ebène</t>
        </is>
      </c>
    </row>
    <row r="5465">
      <c r="A5465" t="inlineStr">
        <is>
          <t>Stuff 3</t>
        </is>
      </c>
      <c r="B5465">
        <f>HYPERLINK("https://www.dofusbook.net/fr/equipement/784856-stuff-3/objets", "link")</f>
        <v/>
      </c>
      <c r="C5465" t="n">
        <v>10</v>
      </c>
      <c r="D5465" t="inlineStr">
        <is>
          <t>Epée Maudite du Saigneur Guerrier; Amulette du Strigide; Bague Trithon; Anneau de la Fuji Givrefoux; Bouclier du Captain Amakna; Ceinture du Strigide; Masque Trithon; Cape de la Fuji Givrefoux; Bottes Trithon; Dofus Pourpre; Dofus Turquoise; Dofus Nébuleux; Dofus des Glaces; Dofus Ocre; Dofus Abyssal; Sakochère</t>
        </is>
      </c>
    </row>
    <row r="5466">
      <c r="A5466" t="inlineStr">
        <is>
          <t>youtube</t>
        </is>
      </c>
      <c r="B5466">
        <f>HYPERLINK("https://www.dofusbook.net/fr/equipement/1893213-youtube/objets", "link")</f>
        <v/>
      </c>
      <c r="C5466" t="n">
        <v>9</v>
      </c>
      <c r="D5466" t="inlineStr">
        <is>
          <t>Héqache; Amulette du Strigide; Bague Trithon; Anneau de la Fuji Givrefoux; Bouclier du Captain Amakna; Ceinture du Strigide; Masque Trithon; Cape de la Fuji Givrefoux; Bottes Trithon; Dofus Turquoise; Dofus Nébuleux; Dofus Ocre; Dofus Abyssal; Dofus Pourpre; Dofus des Glaces; Volkorne Améthyste et Emeraude</t>
        </is>
      </c>
    </row>
    <row r="5467">
      <c r="A5467" t="inlineStr">
        <is>
          <t>Féca M 200</t>
        </is>
      </c>
      <c r="B5467">
        <f>HYPERLINK("https://www.dofusbook.net/fr/equipement/3421585-feca-m-200/objets", "link")</f>
        <v/>
      </c>
      <c r="C5467" t="n">
        <v>14</v>
      </c>
      <c r="D5467" t="inlineStr">
        <is>
          <t>Dagues d'Ilyzaelle; Amulette du Strigide; Anneau Chevelu; Bague Gloursonne; Bouclier du Captain Amakna; Ceinture du Strigide; Masque de Koutoulou; Cape au Logis; Bottes de la Cour Sombre; Dofus Pourpre; Dofus Turquoise; Dofus des Glaces; Remueur; Vigoureux majeur; Enragé majeur; Muldo Doré et Emeraude</t>
        </is>
      </c>
    </row>
    <row r="5468">
      <c r="A5468" t="inlineStr">
        <is>
          <t>Eca feu</t>
        </is>
      </c>
      <c r="B5468">
        <f>HYPERLINK("https://www.dofusbook.net/fr/equipement/2646105-eca-feu/objets", "link")</f>
        <v/>
      </c>
      <c r="C5468" t="n">
        <v>5</v>
      </c>
      <c r="D5468" t="inlineStr">
        <is>
          <t>Arc corrompu; Amulette Séculaire; Anneau Tique; Anneauræus; Quatre-feuilles; Ceinture Séculaire; Chapeau de Gein; Cape de Diondin; Bottes d'Otomaï; Dofus Pourpre; Dofus Turquoise; Érudit majeur; Carapace Feu majeur; Nomade; Remueur; Kramkram</t>
        </is>
      </c>
    </row>
    <row r="5469">
      <c r="A5469" t="inlineStr">
        <is>
          <t>Iop M 200</t>
        </is>
      </c>
      <c r="B5469">
        <f>HYPERLINK("https://www.dofusbook.net/fr/equipement/3250222-iop-m-200/objets", "link")</f>
        <v/>
      </c>
      <c r="C5469" t="n">
        <v>10</v>
      </c>
      <c r="D5469" t="inlineStr">
        <is>
          <t>Sceptre du Roi Joueur; Amulette de Shokkoth; Bracelet des Fonds marins; Alliance Gloursonne; Quatre-feuilles; Poulpagne; Capuche de l'Œil Attentif; Cape de Mantaze; Sandales des Fonds marins; Dokoko; Dofus Émeraude; Dofus Turquoise; Chanceux majeur; Remueur; Nomade; Muldo Ebène et Indigo</t>
        </is>
      </c>
    </row>
    <row r="5470">
      <c r="A5470" t="inlineStr">
        <is>
          <t>Full feu</t>
        </is>
      </c>
      <c r="B5470">
        <f>HYPERLINK("https://www.dofusbook.net/fr/equipement/2063118-full-feu/objets", "link")</f>
        <v/>
      </c>
      <c r="C5470" t="n">
        <v>9</v>
      </c>
      <c r="D5470" t="inlineStr">
        <is>
          <t>Arc corrompu; Amulette d'Otomaï; Anneau de Nidas; Anneauræus; Quatre-feuilles; Ceinture Séculaire; Couronne de Nidas; Cape de Diondin; Bottes Innommables; Dofus Turquoise; Dofus Pourpre; Remueur; Carapace Feu majeur; Nomade; Érudit majeur; Kramkram</t>
        </is>
      </c>
    </row>
    <row r="5471">
      <c r="A5471" t="inlineStr">
        <is>
          <t>Stuff 1</t>
        </is>
      </c>
      <c r="B5471">
        <f>HYPERLINK("https://www.dofusbook.net/fr/equipement/151430-stuff-1/objets", "link")</f>
        <v/>
      </c>
      <c r="C5471" t="n">
        <v>6</v>
      </c>
      <c r="D5471" t="inlineStr">
        <is>
          <t>Epée Maudite du Saigneur Guerrier; Amulette du Strigide; Bague Trithon; Anneau de Padgref; Bouclier du Captain Amakna; Ceinture du Strigide; Masque Trithon; Cape des Justiciers; Getas de Padgref; Dofus Pourpre; Dofus Ocre; Dofus Nébuleux; Dofus Turquoise; Dofus des Glaces; Dofus Abyssal; Muldo Doré et Emeraude</t>
        </is>
      </c>
    </row>
    <row r="5472">
      <c r="A5472" t="inlineStr">
        <is>
          <t>Full feu</t>
        </is>
      </c>
      <c r="B5472">
        <f>HYPERLINK("https://www.dofusbook.net/fr/equipement/1978848-full-feu/objets", "link")</f>
        <v/>
      </c>
      <c r="C5472" t="n">
        <v>3</v>
      </c>
      <c r="D5472" t="inlineStr">
        <is>
          <t>Arc corrompu; Amulette du Strigide; Anneau de Padgref; Chevalière du Roi Joueur; Quatre-feuilles; Ceinture du Strigide; Coiffe de Padgref; Cape d'Atcham; Getas de Padgref; Dofus Turquoise; Dofus Abyssal; Dofus des Glaces; Dofus Ocre; Dofus Pourpre; Dofus Nébuleux; Muldo Doré et Emeraude</t>
        </is>
      </c>
    </row>
    <row r="5473">
      <c r="A5473" t="inlineStr">
        <is>
          <t>Combi pano agi</t>
        </is>
      </c>
      <c r="B5473">
        <f>HYPERLINK("https://www.dofusbook.net/fr/equipement/1945686-combi-pano-agi/objets", "link")</f>
        <v/>
      </c>
      <c r="C5473" t="n">
        <v>6</v>
      </c>
      <c r="D5473" t="inlineStr">
        <is>
          <t>Baguette Hernelle; Amibou; Anneau de Padgref; Gant du Valet Veinard; Quatre-feuilles; Menoture; Coiffe de Padgref; Cape Indescriptible; Palmes Trithons; Dofus Émeraude; Dofus Turquoise; Dofus Pourpre; Cascadeur majeur; Dévastateur Air majeur; Remueur; Muldo Ebène et Orchidée</t>
        </is>
      </c>
    </row>
    <row r="5474">
      <c r="A5474" t="inlineStr">
        <is>
          <t>Koli 1v1</t>
        </is>
      </c>
      <c r="B5474">
        <f>HYPERLINK("https://www.dofusbook.net/fr/equipement/1894100-koli-1v1/objets", "link")</f>
        <v/>
      </c>
      <c r="C5474" t="n">
        <v>7</v>
      </c>
      <c r="D5474" t="inlineStr">
        <is>
          <t>Epée Maudite du Saigneur Guerrier; Amulette du Strigide; Bague Trithon; Bracelet du Piloztère; Bouclier du Captain Amakna; Ceinture du Strigide; Masque Trithon; Voile d'encre; Bottes Trithon; Dofus des Glaces; Dofus Abyssal; Dofus Pourpre; Dofus Ocre; Dofus Turquoise; Dofus Nébuleux; Muldo Doré et Emeraude</t>
        </is>
      </c>
    </row>
    <row r="5475">
      <c r="A5475" t="inlineStr">
        <is>
          <t>Stuff 3</t>
        </is>
      </c>
      <c r="B5475">
        <f>HYPERLINK("https://www.dofusbook.net/fr/equipement/151432-stuff-3/objets", "link")</f>
        <v/>
      </c>
      <c r="C5475" t="n">
        <v>3</v>
      </c>
      <c r="D5475" t="inlineStr">
        <is>
          <t>Héqache; Amulette du Strigide; Anneau de la Fuji Givrefoux; Anneau des égarés; Bouclier du Captain Amakna; Ceinture du Strigide; Coiffe de la Fuji Givrefoux; Cape de la Fuji Givrefoux; Bottes de la Fuji Givrefoux; Dofus Nébuleux; Dofus Turquoise; Dofus des Glaces; Dofus Abyssal; Dofus Pourpre; Dofus Ocre; Kramkram</t>
        </is>
      </c>
    </row>
    <row r="5476">
      <c r="A5476" t="inlineStr">
        <is>
          <t>Air sans cri</t>
        </is>
      </c>
      <c r="B5476">
        <f>HYPERLINK("https://www.dofusbook.net/fr/equipement/1253678-air-sans-cri/objets", "link")</f>
        <v/>
      </c>
      <c r="C5476" t="n">
        <v>1</v>
      </c>
      <c r="D5476" t="inlineStr"/>
    </row>
    <row r="5477">
      <c r="A5477" t="inlineStr">
        <is>
          <t>Air sans cri</t>
        </is>
      </c>
      <c r="B5477">
        <f>HYPERLINK("https://www.dofusbook.net/fr/equipement/1248177-air-sans-cri/objets", "link")</f>
        <v/>
      </c>
      <c r="C5477" t="n">
        <v>3</v>
      </c>
      <c r="D5477" t="inlineStr">
        <is>
          <t>Manthache; Collier du Valet Veinard; Alliance Gloursonne; Gant du Valet Veinard; Quatre-feuilles; Menoture; Cape Indescriptible; Dofus Émeraude; Cascadeur majeur; Nomade; Miraculé majeur; Remueur; Carapace Air majeur; Kramkram</t>
        </is>
      </c>
    </row>
    <row r="5478">
      <c r="A5478" t="inlineStr">
        <is>
          <t>full air</t>
        </is>
      </c>
      <c r="B5478">
        <f>HYPERLINK("https://www.dofusbook.net/fr/equipement/1223219-full-air/objets", "link")</f>
        <v/>
      </c>
      <c r="C5478" t="n">
        <v>8</v>
      </c>
      <c r="D5478" t="inlineStr">
        <is>
          <t>Pelle de la Cour Sombre; Amibou; Bracelet du Piloztère; Gant du Valet Veinard; Quatre-feuilles; Menoture; Capuche de Moum-Ra; Capibou; Pantoufles Émar; Dofus Turquoise; Dofus Pourpre; Dofus Émeraude; Miraculé majeur; Cascadeur majeur; Nomade; Muldo Doré et Ebène</t>
        </is>
      </c>
    </row>
    <row r="5479">
      <c r="A5479" t="inlineStr">
        <is>
          <t>Full terre roxor</t>
        </is>
      </c>
      <c r="B5479">
        <f>HYPERLINK("https://www.dofusbook.net/fr/equipement/1149380-full-terre-roxor/objets", "link")</f>
        <v/>
      </c>
      <c r="C5479" t="n">
        <v>7</v>
      </c>
      <c r="D5479" t="inlineStr">
        <is>
          <t>Arc du Chalœil; Amulette du Strigide; Anneau de Brouce; Anneau Chevelu; Quatre-feuilles; Ceinture de Brouce; Masque de Koutoulou; Cape au Logis; Getas Bernacle; Dofus Pourpre; Dofus Émeraude; Dofus Turquoise; Miraculé majeur; Remueur; Enragé majeur; Muldo Pourpre et Emeraude</t>
        </is>
      </c>
    </row>
    <row r="5480">
      <c r="A5480" t="inlineStr">
        <is>
          <t>Full terre roxor</t>
        </is>
      </c>
      <c r="B5480">
        <f>HYPERLINK("https://www.dofusbook.net/fr/equipement/1044769-full-terre-roxor/objets", "link")</f>
        <v/>
      </c>
      <c r="C5480" t="n">
        <v>7</v>
      </c>
      <c r="D5480" t="inlineStr">
        <is>
          <t>Arc du Chalœil; Amulette du Strigide; Anneau de Brouce; Anneau Chevelu; Quatre-feuilles; Ceinture de Brouce; Casque Dragoeuf; Cape au Logis; Sabots Minables; Dofus Pourpre; Dofus Émeraude; Dofus Turquoise; Miraculé majeur; Remueur; Enragé majeur; Muldo Pourpre et Emeraude</t>
        </is>
      </c>
    </row>
    <row r="5481">
      <c r="A5481" t="inlineStr">
        <is>
          <t>Stuff 1</t>
        </is>
      </c>
      <c r="B5481">
        <f>HYPERLINK("https://www.dofusbook.net/fr/equipement/1031719-stuff-1/objets", "link")</f>
        <v/>
      </c>
      <c r="C5481" t="n">
        <v>3</v>
      </c>
      <c r="D5481" t="inlineStr">
        <is>
          <t>Dagoulinantes; Collier de la Dame du Hasard; Bracelet du Piloztère; Bracelet des Fonds marins; Quatre-feuilles; Poulpagne; Kidibonnet; Cape de la Dame du Hasard; Bottes Voldelor; Dofus Turquoise; Dofus Pourpre; Dofus Émeraude; Remueur; Chanceux majeur; Nomade; Kramkram</t>
        </is>
      </c>
    </row>
    <row r="5482">
      <c r="A5482" t="inlineStr">
        <is>
          <t>Stuff 3</t>
        </is>
      </c>
      <c r="B5482">
        <f>HYPERLINK("https://www.dofusbook.net/fr/equipement/1023116-stuff-3/objets", "link")</f>
        <v/>
      </c>
      <c r="C5482" t="n">
        <v>4</v>
      </c>
      <c r="D5482" t="inlineStr">
        <is>
          <t>Épée Brûlâme; Collier de la Dame du Hasard; Anneau Tique; Bracelet du Piloztère; Bouclier du Captain Amakna; Ceintrigue; Kidibonnet; Cape de la Dame du Hasard; Sandales  d'Atcham; Dofus Turquoise; Dofus Pourpre; Remueur; Carapace Feu majeur; Érudit majeur; Chanceux majeur; Muldo Prune et Emeraude</t>
        </is>
      </c>
    </row>
    <row r="5483">
      <c r="A5483" t="inlineStr">
        <is>
          <t>Stuff 2</t>
        </is>
      </c>
      <c r="B5483">
        <f>HYPERLINK("https://www.dofusbook.net/fr/equipement/151449-stuff-2/objets", "link")</f>
        <v/>
      </c>
      <c r="C5483" t="n">
        <v>12</v>
      </c>
      <c r="D5483" t="inlineStr">
        <is>
          <t>Hachoirs de Viandargh; Amibou; Anneau d'Allister; Anneau de Padgref; Quatre-feuilles; Menoture; Chapibou; Cape Indescriptible; Palmes Trithons; Dofus Pourpre; Dofus Turquoise; Dokoko; Remueur; Miraculé majeur; Cascadeur majeur; Muldo Ebène et Emeraude</t>
        </is>
      </c>
    </row>
    <row r="5484">
      <c r="A5484" t="inlineStr">
        <is>
          <t>Eau feu</t>
        </is>
      </c>
      <c r="B5484">
        <f>HYPERLINK("https://www.dofusbook.net/fr/equipement/913302-eau-feu/objets", "link")</f>
        <v/>
      </c>
      <c r="C5484" t="n">
        <v>8</v>
      </c>
      <c r="D5484" t="inlineStr">
        <is>
          <t>Sabres d'Atcham; Talisman Glouti; Alliance Gloursonne; Anneau Tique; Cadran de Terre; Ceinture Instable; Dorabysses; Cape d'Atcham; Sandales  d'Atcham; Dofus Émeraude; Dofus Turquoise; Dofus Pourpre; Dofus Ocre; Engourdisseur majeur; Puissant majeur; Muldo Doré et Emeraude</t>
        </is>
      </c>
    </row>
    <row r="5485">
      <c r="A5485" t="inlineStr">
        <is>
          <t>Stuff 2</t>
        </is>
      </c>
      <c r="B5485">
        <f>HYPERLINK("https://www.dofusbook.net/fr/equipement/787890-stuff-2/objets", "link")</f>
        <v/>
      </c>
      <c r="C5485" t="n">
        <v>5</v>
      </c>
      <c r="D5485" t="inlineStr">
        <is>
          <t>Hachoirs de Viandargh; Amulette du Granduk; Anneau d'Allister; Anneau de Padgref; Quatre-feuilles; Menoture; Masque du Granduk; Cape Indescriptible; Palmes Trithons; Dofus Émeraude; Dofus Pourpre; Dofus Turquoise; Cascadeur majeur; Remueur; Observateur; Muldo Ebène et Emeraude</t>
        </is>
      </c>
    </row>
    <row r="5486">
      <c r="A5486" t="inlineStr">
        <is>
          <t>Stuff 3</t>
        </is>
      </c>
      <c r="B5486">
        <f>HYPERLINK("https://www.dofusbook.net/fr/equipement/764039-stuff-3/objets", "link")</f>
        <v/>
      </c>
      <c r="C5486" t="n">
        <v>4</v>
      </c>
      <c r="D5486" t="inlineStr">
        <is>
          <t>Harpelle; Pendentif affamé; Anneauræus; Anneauræus; Quatre-feuilles; Ceinture Séculaire; Coiffe Séculaire; Cape de Diondin; Getas Bernacle; Dofus Turquoise; Dofus Émeraude; Carapace Feu majeur; Remueur; Carapace Terre majeur; Érudit majeur; Muldo Prune et Emeraude</t>
        </is>
      </c>
    </row>
    <row r="5487">
      <c r="A5487" t="inlineStr">
        <is>
          <t>Stuff 1</t>
        </is>
      </c>
      <c r="B5487">
        <f>HYPERLINK("https://www.dofusbook.net/fr/equipement/669251-stuff-1/objets", "link")</f>
        <v/>
      </c>
      <c r="C5487" t="n">
        <v>7</v>
      </c>
      <c r="D5487" t="inlineStr">
        <is>
          <t>Arc du Chalœil; Collier de Tourthon; Bague Gloursonne; Anneau Chevelu; Ceinture de la Cour Sombre; Masque de Koutoulou; Cape au Logis; Bottes de la Cour Sombre; Dofus Pourpre; Dofus Émeraude; Dofus Turquoise; Remueur; Enragé majeur; Carapace Terre majeur; Muldo Pourpre et Emeraude; Bouclier des Zoblaks</t>
        </is>
      </c>
    </row>
    <row r="5488">
      <c r="A5488" t="inlineStr">
        <is>
          <t>Stuff 1</t>
        </is>
      </c>
      <c r="B5488">
        <f>HYPERLINK("https://www.dofusbook.net/fr/equipement/151424-stuff-1/objets", "link")</f>
        <v/>
      </c>
      <c r="C5488" t="n">
        <v>13</v>
      </c>
      <c r="D5488" t="inlineStr">
        <is>
          <t>Arc du Chalœil; Collier de Tourthon; Anneau Chevelu; Bague Gloursonne; Quatre-feuilles; Ceinture de la Cour Sombre; Masque de Koutoulou; Cape au Logis; Bottes de la Cour Sombre; Dofus Turquoise; Dofus Pourpre; Dofus Émeraude; Fonceur majeur; Remueur; Enragé majeur; Muldo Pourpre et Emeraude</t>
        </is>
      </c>
    </row>
    <row r="5489">
      <c r="A5489" t="inlineStr">
        <is>
          <t>Stuff 2</t>
        </is>
      </c>
      <c r="B5489">
        <f>HYPERLINK("https://www.dofusbook.net/fr/equipement/151425-stuff-2/objets", "link")</f>
        <v/>
      </c>
      <c r="C5489" t="n">
        <v>12</v>
      </c>
      <c r="D5489" t="inlineStr">
        <is>
          <t>Arc de Koutoulou; Amulette du Strigide; Alliance Gloursonne; Bague Trithon; Ceinture du Strigide; Némès de Tal Kasha; Chevelure de Tal Kasha; Sandales de Tal Kasha; Dofus Ocre; Dofus Émeraude; Dofus Pourpre; Dofus Turquoise; Joueur majeur; Acrobate majeur; Muldo Prune et Emeraude; Bouclier des Zoblaks</t>
        </is>
      </c>
    </row>
    <row r="5490">
      <c r="A5490" t="inlineStr">
        <is>
          <t>Stuff 2</t>
        </is>
      </c>
      <c r="B5490">
        <f>HYPERLINK("https://www.dofusbook.net/fr/equipement/151481-stuff-2/objets", "link")</f>
        <v/>
      </c>
      <c r="C5490" t="n">
        <v>1</v>
      </c>
      <c r="D5490" t="inlineStr">
        <is>
          <t>Baguette de Malléfisk; Amulette de Nileza; Anneau Tique; Anneau de Nidas; Ceinture de Vortex; Casque Dragoeuf; Cape de Nileza; Pantoufles Émar; Dofus Turquoise; Carapace Feu majeur; Nomade; Carapace Terre majeur; Remueur; Érudit majeur; Kramkram</t>
        </is>
      </c>
    </row>
    <row r="5491">
      <c r="A5491" t="inlineStr">
        <is>
          <t>Stuff 3</t>
        </is>
      </c>
      <c r="B5491">
        <f>HYPERLINK("https://www.dofusbook.net/fr/equipement/151459-stuff-3/objets", "link")</f>
        <v/>
      </c>
      <c r="C5491" t="n">
        <v>5</v>
      </c>
      <c r="D5491" t="inlineStr">
        <is>
          <t>Bâton Beau; Amulette du Strigide; Pikano; Bague Gloursonne; Ceinture du Strigide; Coiffe du Lévitrof; Voile d'encre; Pantoufles du Piloztère; Dofus Ocre; Dofus Pourpre; Dofus Turquoise; Remueur; Vigoureux majeur; Miraculé majeur</t>
        </is>
      </c>
    </row>
    <row r="5492">
      <c r="A5492" t="inlineStr">
        <is>
          <t>Stuff 1</t>
        </is>
      </c>
      <c r="B5492">
        <f>HYPERLINK("https://www.dofusbook.net/fr/equipement/151448-stuff-1/objets", "link")</f>
        <v/>
      </c>
      <c r="C5492" t="n">
        <v>11</v>
      </c>
      <c r="D5492" t="inlineStr">
        <is>
          <t>Epée Gloursonne; Amulette du Strigide; Alliance Gloursonne; Bague Gloursonne; Ceinture du Strigide; Casque du Chalœil; Dofusteuse; Bottes du Strigide; Dolmanax; Dofus Ocre; Dofus des Glaces; Dofus Pourpre; Dofus Émeraude; Dofus Turquoise; Pioute vert</t>
        </is>
      </c>
    </row>
    <row r="5493">
      <c r="A5493" t="inlineStr">
        <is>
          <t>Stuff 1</t>
        </is>
      </c>
      <c r="B5493">
        <f>HYPERLINK("https://www.dofusbook.net/fr/equipement/151495-stuff-1/objets", "link")</f>
        <v/>
      </c>
      <c r="C5493" t="n">
        <v>15</v>
      </c>
      <c r="D5493" t="inlineStr">
        <is>
          <t>Baguette de Malléfisk; Amulette de Nileza; Anneau Tique; Anneau de Nidas; Ceinture de Vortex; Casque Dragoeuf; Cape de Nileza; Pantoufles Émar; Dofus Turquoise; Carapace Terre majeur; Remueur; Miraculé majeur; Carapace Feu majeur; Nomade; Kramkram</t>
        </is>
      </c>
    </row>
    <row r="5494">
      <c r="A5494" t="inlineStr">
        <is>
          <t>Stuff 1</t>
        </is>
      </c>
      <c r="B5494">
        <f>HYPERLINK("https://www.dofusbook.net/fr/equipement/151448-stuff-1/objets", "link")</f>
        <v/>
      </c>
      <c r="C5494" t="n">
        <v>11</v>
      </c>
      <c r="D5494" t="inlineStr">
        <is>
          <t>Epée Gloursonne; Amulette du Strigide; Alliance Gloursonne; Bague Gloursonne; Ceinture du Strigide; Casque du Chalœil; Dofusteuse; Bottes du Strigide; Dolmanax; Dofus Ocre; Dofus des Glaces; Dofus Pourpre; Dofus Émeraude; Dofus Turquoise; Pioute vert</t>
        </is>
      </c>
    </row>
    <row r="5495">
      <c r="A5495" t="inlineStr">
        <is>
          <t>Stuff 1</t>
        </is>
      </c>
      <c r="B5495">
        <f>HYPERLINK("https://www.dofusbook.net/fr/equipement/151495-stuff-1/objets", "link")</f>
        <v/>
      </c>
      <c r="C5495" t="n">
        <v>15</v>
      </c>
      <c r="D5495" t="inlineStr">
        <is>
          <t>Baguette de Malléfisk; Amulette de Nileza; Anneau Tique; Anneau de Nidas; Ceinture de Vortex; Casque Dragoeuf; Cape de Nileza; Pantoufles Émar; Dofus Turquoise; Carapace Feu majeur; Nomade; Carapace Terre majeur; Remueur; Miraculé majeur; Kramkram</t>
        </is>
      </c>
    </row>
    <row r="5496">
      <c r="A5496" t="inlineStr">
        <is>
          <t>Stuff 2</t>
        </is>
      </c>
      <c r="B5496">
        <f>HYPERLINK("https://www.dofusbook.net/fr/equipement/151470-stuff-2/objets", "link")</f>
        <v/>
      </c>
      <c r="C5496" t="n">
        <v>8</v>
      </c>
      <c r="D5496" t="inlineStr">
        <is>
          <t>Arc Nécrotique; Talisman Igans; Anneau Tique; Bracelet des Fonds marins; Ceinture du Strigide; Kidibonnet; Cape de la Dame du Hasard; Bottes de la Dame du Hasard; Dofus Pourpre; Dofus Turquoise; Remueur; Chanceux majeur; Nomade; Érudit majeur; Kramkram</t>
        </is>
      </c>
    </row>
    <row r="5497">
      <c r="A5497" t="inlineStr">
        <is>
          <t>Stuff 1</t>
        </is>
      </c>
      <c r="B5497">
        <f>HYPERLINK("https://www.dofusbook.net/fr/equipement/151480-stuff-1/objets", "link")</f>
        <v/>
      </c>
      <c r="C5497" t="n">
        <v>2</v>
      </c>
      <c r="D5497" t="inlineStr">
        <is>
          <t>Plumeau Bil; Amulette d'Otomaï; Kralano; Bague Gloursonne; Sangle Aise; Cagoule de Vortex; Voile d'encre; Bottes d'Otomaï; Dofus Turquoise; Nomade; Vigoureux majeur; Remueur; Observateur; Érudit majeur; Kramkram</t>
        </is>
      </c>
    </row>
    <row r="5498">
      <c r="A5498" t="inlineStr">
        <is>
          <t>Stuff 2</t>
        </is>
      </c>
      <c r="B5498">
        <f>HYPERLINK("https://www.dofusbook.net/fr/equipement/151458-stuff-2/objets", "link")</f>
        <v/>
      </c>
      <c r="C5498" t="n">
        <v>3</v>
      </c>
      <c r="D5498" t="inlineStr">
        <is>
          <t>Dagues de Srambad; Amulule; Alliance de Missiz Frizz; Bracelet du Piloztère; Ceintacé; Coiffe du Lévitrof; Cape Ovri; Pantoufles du Piloztère; Dofus Pourpre; Dofus Turquoise; Enragé majeur; Remueur; Chanceux majeur; Nomade</t>
        </is>
      </c>
    </row>
    <row r="5499">
      <c r="A5499" t="inlineStr">
        <is>
          <t>Stuff 3</t>
        </is>
      </c>
      <c r="B5499">
        <f>HYPERLINK("https://www.dofusbook.net/fr/equipement/151447-stuff-3/objets", "link")</f>
        <v/>
      </c>
      <c r="C5499" t="n">
        <v>4</v>
      </c>
      <c r="D5499" t="inlineStr">
        <is>
          <t>Dagues Érhy; Amulette du Strigide; Anneau Chevelu; Bague Gloursonne; Ceinture du Strigide; Le Kim; Voile d'encre; Bottes de la Cour Sombre; Dofus Turquoise; Dofus Ocre; Vigoureux majeur; Enragé majeur; Remueur; Nomade; Kramkram</t>
        </is>
      </c>
    </row>
    <row r="5500">
      <c r="A5500" t="inlineStr">
        <is>
          <t>Stuff 3</t>
        </is>
      </c>
      <c r="B5500">
        <f>HYPERLINK("https://www.dofusbook.net/fr/equipement/151482-stuff-3/objets", "link")</f>
        <v/>
      </c>
      <c r="C5500" t="n">
        <v>2</v>
      </c>
      <c r="D5500" t="inlineStr">
        <is>
          <t>Harpelle; Pendentif affamé; Anneau de Padgref; Anneau Tique; Ceinture Séculaire; Coiffe Séculaire; Cape de Diondin; Bottes Innommables; Dofus Turquoise; Dofus Émeraude; Carapace Terre majeur; Érudit majeur; Carapace Feu majeur; Remueur</t>
        </is>
      </c>
    </row>
    <row r="5501">
      <c r="A5501" t="inlineStr">
        <is>
          <t>Stuff 1</t>
        </is>
      </c>
      <c r="B5501">
        <f>HYPERLINK("https://www.dofusbook.net/fr/equipement/151469-stuff-1/objets", "link")</f>
        <v/>
      </c>
      <c r="C5501" t="n">
        <v>4</v>
      </c>
      <c r="D5501" t="inlineStr">
        <is>
          <t>Sceptre du Roi Joueur; Collier de la Dame du Hasard; Bracelet des Fonds marins; Anneau Tique; Ceinture du Barbétoal; Kidibonnet; Cape du Barbétoal; Bottes Voldelor; Dofus Turquoise; Vigoureux majeur; Remueur; Étourdisseur majeur; Chanceux majeur; Nomade; Dehluge</t>
        </is>
      </c>
    </row>
    <row r="5502">
      <c r="A5502" t="inlineStr">
        <is>
          <t>Stuff 2</t>
        </is>
      </c>
      <c r="B5502">
        <f>HYPERLINK("https://www.dofusbook.net/fr/equipement/151434-stuff-2/objets", "link")</f>
        <v/>
      </c>
      <c r="C5502" t="n">
        <v>7</v>
      </c>
      <c r="D5502" t="inlineStr">
        <is>
          <t>Pelle de la Cour Sombre; Amulette Voldelor; Bracelet du Piloztère; Anneau de Padgref; Ceinture Rasboulaire du Rasboul; Coiffe de Padgref; Cape du Valet Veinard; Pantoufles Émar; Dofus Turquoise; Dolmanax; Nomade; Miraculé majeur; Remueur; Cascadeur majeur; Kramkram</t>
        </is>
      </c>
    </row>
    <row r="5503">
      <c r="A5503" t="inlineStr">
        <is>
          <t>Stuff 2</t>
        </is>
      </c>
      <c r="B5503">
        <f>HYPERLINK("https://www.dofusbook.net/fr/equipement/151446-stuff-2/objets", "link")</f>
        <v/>
      </c>
      <c r="C5503" t="n">
        <v>4</v>
      </c>
      <c r="D5503" t="inlineStr">
        <is>
          <t>Marteau R'ture; Collier de Tourthon; Bague Gloursonne; Anneau Chevelu; Ceinture de la Cour Sombre; Masque de Koutoulou; Cape au Logis; Bottes de la Cour Sombre; Dofus Turquoise; Dofus Pourpre; Nomade; Remueur; Carapace Terre majeur; Enragé majeur; Kramkram</t>
        </is>
      </c>
    </row>
    <row r="5504">
      <c r="A5504" t="inlineStr">
        <is>
          <t>Stuff 2</t>
        </is>
      </c>
      <c r="B5504">
        <f>HYPERLINK("https://www.dofusbook.net/fr/equipement/151443-stuff-2/objets", "link")</f>
        <v/>
      </c>
      <c r="C5504" t="n">
        <v>4</v>
      </c>
      <c r="D5504" t="inlineStr">
        <is>
          <t>Le Thanos; Amulette d'Otomaï; Kralano; Bague Gloursonne; Sangle Aise; Couronne de Nidas; Voile d'encre; Bottes d'Otomaï; Dofus Turquoise; Remueur; Temporiseur majeur; Érudit majeur; Nomade; Miraculé majeur; Kramkram</t>
        </is>
      </c>
    </row>
    <row r="5505">
      <c r="A5505" t="inlineStr">
        <is>
          <t>Stuff 1</t>
        </is>
      </c>
      <c r="B5505">
        <f>HYPERLINK("https://www.dofusbook.net/fr/equipement/151433-stuff-1/objets", "link")</f>
        <v/>
      </c>
      <c r="C5505" t="n">
        <v>2</v>
      </c>
      <c r="D5505" t="inlineStr">
        <is>
          <t>Hache Euvale; Amulette du Strigide; Bracelet du Piloztère; Pikano; Ceinture de la Reine des Voleurs; Casquipik; Cape des Justiciers; Baleinabottes; Dofus Turquoise; Nomade; Temporiseur majeur; Remueur; Vigoureux majeur; Entraveur majeur; Kramkram</t>
        </is>
      </c>
    </row>
    <row r="5506">
      <c r="A5506" t="inlineStr">
        <is>
          <t>Stuff 1</t>
        </is>
      </c>
      <c r="B5506">
        <f>HYPERLINK("https://www.dofusbook.net/fr/equipement/151445-stuff-1/objets", "link")</f>
        <v/>
      </c>
      <c r="C5506" t="n">
        <v>7</v>
      </c>
      <c r="D5506" t="inlineStr">
        <is>
          <t>Dagues Érhy; Amulette du Strigide; Alliance de Missiz Frizz; Bague Gloursonne; Ceintacé; Chapeau de Gein; Voile d'encre; Bottes du Strigide; Dofus Turquoise; Enragé majeur; Vigoureux majeur; Nomade; Érudit majeur; Remueur</t>
        </is>
      </c>
    </row>
    <row r="5507">
      <c r="A5507" t="inlineStr">
        <is>
          <t>Stuff 3</t>
        </is>
      </c>
      <c r="B5507">
        <f>HYPERLINK("https://www.dofusbook.net/fr/equipement/151435-stuff-3/objets", "link")</f>
        <v/>
      </c>
      <c r="C5507" t="n">
        <v>6</v>
      </c>
      <c r="D5507" t="inlineStr">
        <is>
          <t>Rapière aux Glyphes; Amulette du Sinistrofu; Alliance Gloursonne; Anneau Glacial; Ceinture de la Reine des Voleurs; Kidibonnet; Cape des Malveilleurs; Bottes de la Reine des Voleurs; Dofus Émeraude; Dofus Turquoise; Nomade; Survivant majeur; Miraculé majeur; Remueur; Eliôme</t>
        </is>
      </c>
    </row>
    <row r="5508">
      <c r="A5508" t="inlineStr">
        <is>
          <t>Stuff 3</t>
        </is>
      </c>
      <c r="B5508">
        <f>HYPERLINK("https://www.dofusbook.net/fr/equipement/151426-stuff-3/objets", "link")</f>
        <v/>
      </c>
      <c r="C5508" t="n">
        <v>4</v>
      </c>
      <c r="D5508" t="inlineStr">
        <is>
          <t>Harpelle; Pendentif affamé; Anneau Tique; Anneau de Padgref; Ceinture Séculaire; Coiffe Séculaire; Cape de Diondin; Bottes Innommables; Dofus Turquoise; Dofus Émeraude; Érudit majeur; Carapace Feu majeur; Remueur; Carapace Terre majeur; Muldo Prune et Emeraude; Bouclier des Zoblaks</t>
        </is>
      </c>
    </row>
    <row r="5509">
      <c r="A5509" t="inlineStr">
        <is>
          <t>Stuff 1</t>
        </is>
      </c>
      <c r="B5509">
        <f>HYPERLINK("https://www.dofusbook.net/fr/equipement/151442-stuff-1/objets", "link")</f>
        <v/>
      </c>
      <c r="C5509" t="n">
        <v>4</v>
      </c>
      <c r="D5509" t="inlineStr">
        <is>
          <t>Rapière aux Glyphes; Amulette de Danathor; Bracelet des Fonds marins; Alliance du Lévitrof; Ceinture de Danathor; Kidibonnet; Cape Glaciale; Pataugastrique; Dofus Turquoise; Miraculé majeur; Nomade; Dévastateur Eau majeur; Chanceux majeur; Remueur</t>
        </is>
      </c>
    </row>
    <row r="5510">
      <c r="A5510" t="inlineStr">
        <is>
          <t>Stuff 3</t>
        </is>
      </c>
      <c r="B5510">
        <f>HYPERLINK("https://www.dofusbook.net/fr/equipement/151444-stuff-3/objets", "link")</f>
        <v/>
      </c>
      <c r="C5510" t="n">
        <v>6</v>
      </c>
      <c r="D5510" t="inlineStr">
        <is>
          <t>Baguette Nolog; Amulette Héroclite; Bague Gloursonne; Anneau de Brouce; Ceinture de Brouce; Chapeau de Gein; Cape au Logis; Baleinabottes; Dofus Turquoise; Remueur; Vigoureux majeur; Furibond majeur; Nomade; Enragé majeur</t>
        </is>
      </c>
    </row>
    <row r="5511">
      <c r="A5511" t="inlineStr">
        <is>
          <t>ANTI FEU</t>
        </is>
      </c>
      <c r="B5511">
        <f>HYPERLINK("https://www.dofusbook.net/fr/equipement/6014818-anti-feu/objets", "link")</f>
        <v/>
      </c>
      <c r="C5511" t="n">
        <v>0</v>
      </c>
      <c r="D5511" t="inlineStr"/>
    </row>
    <row r="5512">
      <c r="A5512" t="inlineStr">
        <is>
          <t>ANTI SRAM</t>
        </is>
      </c>
      <c r="B5512">
        <f>HYPERLINK("https://www.dofusbook.net/fr/equipement/5997037-anti-sram/objets", "link")</f>
        <v/>
      </c>
      <c r="C5512" t="n">
        <v>1</v>
      </c>
      <c r="D5512" t="inlineStr">
        <is>
          <t>Arc du Chalœil; Amulette du Cœur Saignant; Anneau Volkorne; Bague Gloursonne; Cadran d'Air; Ceinture Volkorne; Casque Volkorne; Cape du Cœur Saignant; Bottes du Cœur Saignant; Dofus Ocre; Dofus Abyssal; Dofus Pourpre; Dofus Ivoire; Dofus Turquoise; Dofus Ébène; Tiwabbit Kiafin</t>
        </is>
      </c>
    </row>
    <row r="5513">
      <c r="A5513" t="inlineStr">
        <is>
          <t>Arabmental</t>
        </is>
      </c>
      <c r="B5513">
        <f>HYPERLINK("https://www.dofusbook.net/fr/equipement/5938078-arabmental/objets", "link")</f>
        <v/>
      </c>
      <c r="C5513" t="n">
        <v>6</v>
      </c>
      <c r="D5513" t="inlineStr">
        <is>
          <t>Arc du Chalœil; Amulette du Cœur Saignant; Anneau Volkorne; Bracelet du Piloztère; Bouclier du Stalak; Ceinture Volkorne; Casque Volkorne; Cape du Cœur Saignant; Bottes du Cœur Saignant; Dofus Ocre; Dofus des Glaces; Dofus Pourpre; Dofus Nébuleux; Dofus Turquoise; Dofus Ébène; Kompost</t>
        </is>
      </c>
    </row>
    <row r="5514">
      <c r="A5514" t="inlineStr">
        <is>
          <t>ANTI STEAM</t>
        </is>
      </c>
      <c r="B5514">
        <f>HYPERLINK("https://www.dofusbook.net/fr/equipement/5944848-anti-steam/objets", "link")</f>
        <v/>
      </c>
      <c r="C5514" t="n">
        <v>5</v>
      </c>
      <c r="D5514" t="inlineStr">
        <is>
          <t>Masse Ossiale; Amulette du Sinistrofu; Alliance Gloursonne; Crocanneau; Bouclier du Stalak; Ceinture Glaciale; Masque de Kao; Cape Solution; Bottes du Sinistrofu; Dofus Forgelave; Dofus Ivoire; Dofus Ébène; Fortification majeure; Bousculeur majeur; Culbuteur majeur; Tatouf</t>
        </is>
      </c>
    </row>
    <row r="5515">
      <c r="A5515" t="inlineStr">
        <is>
          <t>DOPOUCAC</t>
        </is>
      </c>
      <c r="B5515">
        <f>HYPERLINK("https://www.dofusbook.net/fr/equipement/5338471-dopoucac/objets", "link")</f>
        <v/>
      </c>
      <c r="C5515" t="n">
        <v>9</v>
      </c>
      <c r="D5515" t="inlineStr">
        <is>
          <t>Rapière aux Glyphes; Amulette Luminescente; Bague Instable; Alliance Gloursonne; Bouclier précieux; Sangle Ouare; Masque d'Anerice; Cape d'Anerice; Pataugastrique; Dofus Émeraude; Dofus Abyssal; Dofus Ocre; Dofus Ivoire; Bousculeur majeur; Culbuteur majeur; Tatouf</t>
        </is>
      </c>
    </row>
    <row r="5516">
      <c r="A5516" t="inlineStr">
        <is>
          <t>AIR/2</t>
        </is>
      </c>
      <c r="B5516">
        <f>HYPERLINK("https://www.dofusbook.net/fr/equipement/5318725-air-2/objets", "link")</f>
        <v/>
      </c>
      <c r="C5516" t="n">
        <v>7</v>
      </c>
      <c r="D5516" t="inlineStr">
        <is>
          <t>Pelle de la Cour Sombre; Collier du Valet Veinard; Gant du Valet Veinard; Alliance Gloursonne; Bouclier du Stalak; Ceinture de la Reine des Voleurs; Coiffe de la Reine des Voleurs; Cape du Valet Veinard; Bottes de la Reine des Voleurs; Dofus Ocre; Dofus Abyssal; Dofus Argenté; Dofus Ivoire; Dofus Vulbis; Dofus Ébène; Blérodoudou</t>
        </is>
      </c>
    </row>
    <row r="5517">
      <c r="A5517" t="inlineStr">
        <is>
          <t>AIR/1</t>
        </is>
      </c>
      <c r="B5517">
        <f>HYPERLINK("https://www.dofusbook.net/fr/equipement/5318150-air-1/objets", "link")</f>
        <v/>
      </c>
      <c r="C5517" t="n">
        <v>9</v>
      </c>
      <c r="D5517" t="inlineStr">
        <is>
          <t>Arc Ahique; Collier du Valet Veinard; Alliance Gloursonne; Gant du Valet Veinard; Bouclier cubiste; Sangle Oriole; Coiffe de la Reine des Voleurs; Cape du Valet Veinard; Bottes de la Reine des Voleurs; Dofus Argenté; Dofus Ivoire; Dofus Vulbis; Dofus Ébène; Dofus Ocre; Dofus Abyssal; Kougnard</t>
        </is>
      </c>
    </row>
    <row r="5518">
      <c r="A5518" t="inlineStr">
        <is>
          <t>EAU1</t>
        </is>
      </c>
      <c r="B5518">
        <f>HYPERLINK("https://www.dofusbook.net/fr/equipement/5317718-eau1/objets", "link")</f>
        <v/>
      </c>
      <c r="C5518" t="n">
        <v>7</v>
      </c>
      <c r="D5518" t="inlineStr">
        <is>
          <t>Rapière aux Glyphes; Amulette de Shokkoth; Alliance Gloursonne; Bracelet des Fonds marins; Bouclier du Stalak; Pagne du Rykaon; Masque des Fonds marins; Cape du Sinistrofu; Sandales des Fonds marins; Dofus Argenté; Dofus Ivoire; Dofus Vulbis; Dofus Ébène; Dofus Ocre; Dofus Abyssal; Volkorne Jade</t>
        </is>
      </c>
    </row>
    <row r="5519">
      <c r="A5519" t="inlineStr">
        <is>
          <t>EAU2</t>
        </is>
      </c>
      <c r="B5519">
        <f>HYPERLINK("https://www.dofusbook.net/fr/equipement/5318090-eau2/objets", "link")</f>
        <v/>
      </c>
      <c r="C5519" t="n">
        <v>7</v>
      </c>
      <c r="D5519" t="inlineStr">
        <is>
          <t>Rapière aux Glyphes; Amulette de Shokkoth; Bracelet des Fonds marins; Alliance Gloursonne; Bouclier du Stalak; Pagne du Rykaon; Masque des Fonds marins; Cape de l'Œil Attentif; Sandales des Fonds marins; Dofus Ocre; Dofus Abyssal; Dofus Argenté; Dofus Ivoire; Dofus Vulbis; Dofus Ébène; Kougnard</t>
        </is>
      </c>
    </row>
    <row r="5520">
      <c r="A5520" t="inlineStr">
        <is>
          <t>Zobal M 200</t>
        </is>
      </c>
      <c r="B5520">
        <f>HYPERLINK("https://www.dofusbook.net/fr/equipement/5275101-zobal-m-200/objets", "link")</f>
        <v/>
      </c>
      <c r="C5520" t="n">
        <v>64</v>
      </c>
      <c r="D5520" t="inlineStr">
        <is>
          <t>Bagdette Café; Amulette du Strigide; Pikano; Alliance Gloursonne; Quatre-feuilles; Ceinture du Strigide; Némès de Tal Kasha; Chevelure de Tal Kasha; Sandales de Tal Kasha; Dofus Ivoire; Dofus Vulbis; Dofus Turquoise; Dofus des Glaces; Dofus Pourpre; Dofus Ocre; Kokulte</t>
        </is>
      </c>
    </row>
    <row r="5521">
      <c r="A5521" t="inlineStr">
        <is>
          <t>Zobal M 200</t>
        </is>
      </c>
      <c r="B5521">
        <f>HYPERLINK("https://www.dofusbook.net/fr/equipement/4489888-zobal-m-200/objets", "link")</f>
        <v/>
      </c>
      <c r="C5521" t="n">
        <v>2</v>
      </c>
      <c r="D5521" t="inlineStr">
        <is>
          <t>Amulette du Strigide; Alliance Gloursonne; Anneau de Padgref; Bouclier du Captain Amakna; Ceinture du Strigide; Coiffe de Padgref; Chevelure de Tal Kasha; Getas de Padgref; Dofus Ocre; Dofus des Glaces; Dofus Abyssal; Dofus Turquoise; Dofus Ébène; Voyageur; Kokulte</t>
        </is>
      </c>
    </row>
    <row r="5522">
      <c r="A5522" t="inlineStr">
        <is>
          <t>Zobal M 200</t>
        </is>
      </c>
      <c r="B5522">
        <f>HYPERLINK("https://www.dofusbook.net/fr/equipement/4486290-zobal-m-200/objets", "link")</f>
        <v/>
      </c>
      <c r="C5522" t="n">
        <v>2</v>
      </c>
      <c r="D5522" t="inlineStr">
        <is>
          <t>Amulette du Strigide; Alliance Gloursonne; Anneau de Padgref; Quatre-feuilles; Ceinture du Strigide; Coiffe de Padgref; Chevelure de Tal Kasha; Getas de Padgref; Dofus Abyssal; Dofus Turquoise; Dofus des Glaces; Dofus Ocre; Dofus Ébène; Voyageur; Kokulte</t>
        </is>
      </c>
    </row>
    <row r="5523">
      <c r="A5523" t="inlineStr">
        <is>
          <t>Sadida F 200 terre</t>
        </is>
      </c>
      <c r="B5523">
        <f>HYPERLINK("https://www.dofusbook.net/fr/equipement/5966179-sadida-f-200-terre/objets", "link")</f>
        <v/>
      </c>
      <c r="C5523" t="n">
        <v>0</v>
      </c>
      <c r="D5523" t="inlineStr">
        <is>
          <t>Sceptre du Roi Joueur; Amulette Ementaire Deluxe; Bracelet des Fonds marins; Alliance Gloursonne; Bouclier cubiste; Poulpagne; Chapeau Tyron; Cape de Mantaze; Sandales des Fonds marins; Dragodinde Amande et Indigo</t>
        </is>
      </c>
    </row>
    <row r="5524">
      <c r="A5524" t="inlineStr">
        <is>
          <t>Crâ F 200 fzu eau</t>
        </is>
      </c>
      <c r="B5524">
        <f>HYPERLINK("https://www.dofusbook.net/fr/equipement/5966151-cra-f-200-fzu-eau/objets", "link")</f>
        <v/>
      </c>
      <c r="C5524" t="n">
        <v>1</v>
      </c>
      <c r="D5524" t="inlineStr">
        <is>
          <t>Arc Nécrotique; Amulette du Strigide; Anneau de Nidas; Alliance Gloursonne; Quatre-feuilles; Ceinture du Strigide; Coiffe Cryochrone; Cape de la Dame du Hasard; Pataugastrique; Dofus Pourpre; Dofus Turquoise; Vigoureux majeur; Nomade; Chanceux majeur; Remueur; Kokulte</t>
        </is>
      </c>
    </row>
    <row r="5525">
      <c r="A5525" t="inlineStr">
        <is>
          <t>eni eau songe</t>
        </is>
      </c>
      <c r="B5525">
        <f>HYPERLINK("https://www.dofusbook.net/fr/equipement/5841891-eni-eau-songe-/objets", "link")</f>
        <v/>
      </c>
      <c r="C5525" t="n">
        <v>1</v>
      </c>
      <c r="D5525" t="inlineStr">
        <is>
          <t>Dagoulinantes; Amulette de Shokkoth; Alliance Gloursonne; Bracelet des Fonds marins; Bouclier d'Ilyzaelle; Poulpagne; Masque des Fonds marins; Cape Sulhit; Bottes de Meno; Dofus des Glaces; Dofus Pourpre; Dofus Abyssal; Dofus Ocre; Nomade; Chanceux majeur; Dragodinde Amande et Indigo</t>
        </is>
      </c>
    </row>
    <row r="5526">
      <c r="A5526" t="inlineStr">
        <is>
          <t>Pandawa F 200 tank</t>
        </is>
      </c>
      <c r="B5526">
        <f>HYPERLINK("https://www.dofusbook.net/fr/equipement/5926472-pandawa-f-200-tank/objets", "link")</f>
        <v/>
      </c>
      <c r="C5526" t="n">
        <v>1</v>
      </c>
      <c r="D5526" t="inlineStr">
        <is>
          <t>Pelle de la Cour Sombre; Collier Rophante; Alliance Gloursonne; Anneau Tique; Sept ans de malheur; Ceinture de Kongoku; Masque d'Anerice; Cape d'Anerice; Pataugastrique; Dofus Ocre; Dofus Ivoire; Dofus Émeraude; Miraculé majeur; Bloqueur majeur; Obstructeur majeur; Platypus</t>
        </is>
      </c>
    </row>
    <row r="5527">
      <c r="A5527" t="inlineStr">
        <is>
          <t>Féca F 200 songe</t>
        </is>
      </c>
      <c r="B5527">
        <f>HYPERLINK("https://www.dofusbook.net/fr/equipement/5842011-feca-f-200-songe/objets", "link")</f>
        <v/>
      </c>
      <c r="C5527" t="n">
        <v>8</v>
      </c>
      <c r="D5527" t="inlineStr">
        <is>
          <t>Manthache; Collier du Valet Veinard; Alliance Gloursonne; Gant du Valet Veinard; Cadran d'Eau; Menoture; Dorabysses; Cape Martegel; Palmes Trithons; Dofus Ocre; Dofus des Glaces; Dofus Abyssal; Dofus Pourpre; Cascadeur majeur; Nomade; Dragodinde Ebène et Ivoire</t>
        </is>
      </c>
    </row>
    <row r="5528">
      <c r="A5528" t="inlineStr">
        <is>
          <t>200 air songe</t>
        </is>
      </c>
      <c r="B5528">
        <f>HYPERLINK("https://www.dofusbook.net/fr/equipement/5841839-200-air-songe/objets", "link")</f>
        <v/>
      </c>
      <c r="C5528" t="n">
        <v>5</v>
      </c>
      <c r="D5528" t="inlineStr">
        <is>
          <t>Pelle de la Cour Sombre; Collier du Valet Veinard; Alliance Gloursonne; Gant du Valet Veinard; Bouclier d'Ilyzaelle; Sangle Oriole; Dorabysses; Cape Martegel; Pantoufles Émar; Dofus Pourpre; Dofus Abyssal; Vigoureux majeur; Remueur; Cascadeur majeur; Nomade; Dragodinde Ebène et Ivoire</t>
        </is>
      </c>
    </row>
    <row r="5529">
      <c r="A5529" t="inlineStr">
        <is>
          <t>Pandawa F 200</t>
        </is>
      </c>
      <c r="B5529">
        <f>HYPERLINK("https://www.dofusbook.net/fr/equipement/5841940-pandawa-f-200/objets", "link")</f>
        <v/>
      </c>
      <c r="C5529" t="n">
        <v>1</v>
      </c>
      <c r="D5529" t="inlineStr">
        <is>
          <t>Dagues d'Ilyzaelle; Amulette du Cœur Saignant; Anneau Crustique; Anneau Crustique; Bouclier du Captain Amakna; Ceinture Gence; Corne de Torkélonia; Carapace de Torkélonia; Bottes du Cœur Saignant; Dofus Ocre; Dofus Turquoise; Dofus Nébuleux; Dofus Abyssal; Dofus Pourpre; Dofus des Glaces; Dragodinde Ivoire et Pourpre</t>
        </is>
      </c>
    </row>
    <row r="5530">
      <c r="A5530" t="inlineStr">
        <is>
          <t>Stuff 2</t>
        </is>
      </c>
      <c r="B5530">
        <f>HYPERLINK("https://www.dofusbook.net/fr/equipement/102091-stuff-2/objets", "link")</f>
        <v/>
      </c>
      <c r="C5530" t="n">
        <v>4</v>
      </c>
      <c r="D5530" t="inlineStr">
        <is>
          <t>Manthache; Collier du Valet Veinard; Gant du Valet Veinard; Alliance Gloursonne; Casque Dragoeuf; Cape Indescriptible; Palmes Trithons; Dofus Pourpre; Cascadeur majeur; Vigoureux majeur; Remueur; Nomade; Kramkram</t>
        </is>
      </c>
    </row>
    <row r="5531">
      <c r="A5531" t="inlineStr">
        <is>
          <t>esq</t>
        </is>
      </c>
      <c r="B5531">
        <f>HYPERLINK("https://www.dofusbook.net/fr/equipement/4008197-esq/objets", "link")</f>
        <v/>
      </c>
      <c r="C5531" t="n">
        <v>7</v>
      </c>
      <c r="D5531" t="inlineStr">
        <is>
          <t>Arc de Koutoulou; Amulette Volkorne; Anneau Volkorne; Alliance Gloursonne; Bouclier du Stalak; Sangle Ouare; Capuche de l'Œil Attentif; Cape de l'Œil Attentif; Pataugastrique; Dofus Ocre; Dofus Abyssal; Dofus Turquoise; Dofus Ivoire; Dofus Pourpre; Pioute bleu</t>
        </is>
      </c>
    </row>
    <row r="5532">
      <c r="A5532" t="inlineStr">
        <is>
          <t>sur2</t>
        </is>
      </c>
      <c r="B5532">
        <f>HYPERLINK("https://www.dofusbook.net/fr/equipement/1668111-sur2/objets", "link")</f>
        <v/>
      </c>
      <c r="C5532" t="n">
        <v>16</v>
      </c>
      <c r="D5532" t="inlineStr">
        <is>
          <t>Lav'Hache; Collier de Tourthon; Alliance Gloursonne; Bouclier d'Ilyzaelle; Ceinture Volkorne; Masque de Koutoulou; Cape au Logis; Tentassons; Dofus Pourpre; Dofus Abyssal; Dofus Ocre; Dofus Ivoire; Enragé majeur; Carapace Terre majeur; Drakopin</t>
        </is>
      </c>
    </row>
    <row r="5533">
      <c r="A5533" t="inlineStr">
        <is>
          <t>EAU2</t>
        </is>
      </c>
      <c r="B5533">
        <f>HYPERLINK("https://www.dofusbook.net/fr/equipement/102169-eau2/objets", "link")</f>
        <v/>
      </c>
      <c r="C5533" t="n">
        <v>6</v>
      </c>
      <c r="D5533" t="inlineStr">
        <is>
          <t>Sceptre du Roi Joueur; Amulette de Shokkoth; Bracelet des Fonds marins; Alliance Gloursonne; Bouclier du Stalak; Pagne du Rykaon; Casque d'Ilyzaelle; Cape Solution; Bottes de la Dame du Hasard; Dofus des Glaces; Dofus Abyssal; Dofus Ocre; Dofus Ivoire; Dofus Pourpre; Nomade; Dragodinde Indigo et Ivoire</t>
        </is>
      </c>
    </row>
    <row r="5534">
      <c r="A5534" t="inlineStr">
        <is>
          <t>MULTI2</t>
        </is>
      </c>
      <c r="B5534">
        <f>HYPERLINK("https://www.dofusbook.net/fr/equipement/3923075-multi2/objets", "link")</f>
        <v/>
      </c>
      <c r="C5534" t="n">
        <v>11</v>
      </c>
      <c r="D5534" t="inlineStr">
        <is>
          <t>Arc Honte; Amulette Volkorne; Alliance Gloursonne; Anneau Volkorne; Bouclier du Stalak; Ceinture du Barbétoal; Masque de l'Esprit Salvateur; Cape Martegel; Bottes de la Dame du Hasard; Dofus Pourpre; Dofus Abyssal; Dofus Ocre; Dofus des Glaces; Dofus Ivoire; Remueur; Muldo Orchidée et Pourpre</t>
        </is>
      </c>
    </row>
    <row r="5535">
      <c r="A5535" t="inlineStr">
        <is>
          <t>MULTI</t>
        </is>
      </c>
      <c r="B5535">
        <f>HYPERLINK("https://www.dofusbook.net/fr/equipement/102196-multi/objets", "link")</f>
        <v/>
      </c>
      <c r="C5535" t="n">
        <v>5</v>
      </c>
      <c r="D5535" t="inlineStr">
        <is>
          <t>Arc Nécrotique; Amulette Volkorne; Alliance Gloursonne; Anneau Volkorne; Bouclier du Stalak; Ceinture de l'Esprit Salvateur; Masque de l'Esprit Salvateur; Cape Martegel; Bottes de l'Esprit Salvateur; Dofus Pourpre; Dofus Abyssal; Dolmanax; Dofus Ocre; Dofus des Glaces; Dofus Ivoire; Muldo Orchidée et Pourpre</t>
        </is>
      </c>
    </row>
    <row r="5536">
      <c r="A5536" t="inlineStr">
        <is>
          <t>Stuff 1</t>
        </is>
      </c>
      <c r="B5536">
        <f>HYPERLINK("https://www.dofusbook.net/fr/equipement/102168-stuff-1/objets", "link")</f>
        <v/>
      </c>
      <c r="C5536" t="n">
        <v>5</v>
      </c>
      <c r="D5536" t="inlineStr">
        <is>
          <t>Marteau des égarés; Amulette Ementaire Deluxe; Bague Gloursonne; Alliance Gloursonne; Bouclier du Stalak; Ceinture de l'Esprit Salvateur; Masque de l'Esprit Salvateur; Cape Solution; Bottes de l'Esprit Salvateur; Dofus Pourpre; Dofus Ocre; Dofus Abyssal; Dofus des Glaces; Dofus Ivoire; Dolmanax</t>
        </is>
      </c>
    </row>
    <row r="5537">
      <c r="A5537" t="inlineStr">
        <is>
          <t>Stuff 3</t>
        </is>
      </c>
      <c r="B5537">
        <f>HYPERLINK("https://www.dofusbook.net/fr/equipement/102197-stuff-3/objets", "link")</f>
        <v/>
      </c>
      <c r="C5537" t="n">
        <v>3</v>
      </c>
      <c r="D5537" t="inlineStr">
        <is>
          <t>Alliance Gloursonne; Bouclier du Stalak; Masque de l'Esprit Salvateur; Bottes de l'Esprit Salvateur; Dofus Pourpre; Dofus Ivoire; Dolmanax; Dofus Ocre; Dofus des Glaces; Dofus Abyssal</t>
        </is>
      </c>
    </row>
    <row r="5538">
      <c r="A5538" t="inlineStr">
        <is>
          <t>EAU</t>
        </is>
      </c>
      <c r="B5538">
        <f>HYPERLINK("https://www.dofusbook.net/fr/equipement/102195-eau/objets", "link")</f>
        <v/>
      </c>
      <c r="C5538" t="n">
        <v>7</v>
      </c>
      <c r="D5538" t="inlineStr">
        <is>
          <t>Sceptre du Roi Joueur; Amulette Volkorne; Anneau Volkorne; Alliance Gloursonne; Bouclier du Stalak; Ceinture de la Reine des Voleurs; Capuche de l'Œil Attentif; Cape Solution; Bottes de la Reine des Voleurs; Dofus des Glaces; Dofus Abyssal; Dofus Ocre; Dofus Ivoire; Dolmanax; Dofus Pourpre; Muldo Indigo</t>
        </is>
      </c>
    </row>
    <row r="5539">
      <c r="A5539" t="inlineStr">
        <is>
          <t>Stuff 1</t>
        </is>
      </c>
      <c r="B5539">
        <f>HYPERLINK("https://www.dofusbook.net/fr/equipement/102042-stuff-1/objets", "link")</f>
        <v/>
      </c>
      <c r="C5539" t="n">
        <v>19</v>
      </c>
      <c r="D5539" t="inlineStr">
        <is>
          <t>Arc corrompu; Amulette Volkorne; Anneauræus; Bague Gloursonne; Bouclier du Stalak; Ceinture Volkorne; Casque Dragoeuf; Cape de Diondin; Pataugastrique; Dofus Ivoire; Dofus Pourpre; Dofus Abyssal; Carapace Feu majeur; Nomade; Étourdisseur majeur; Dragodinde Ivoire et Orchidée</t>
        </is>
      </c>
    </row>
    <row r="5540">
      <c r="A5540" t="inlineStr">
        <is>
          <t>Stuff 3</t>
        </is>
      </c>
      <c r="B5540">
        <f>HYPERLINK("https://www.dofusbook.net/fr/equipement/102170-stuff-3/objets", "link")</f>
        <v/>
      </c>
      <c r="C5540" t="n">
        <v>9</v>
      </c>
      <c r="D5540" t="inlineStr">
        <is>
          <t>Dagues Érhy; Amulette Volkorne; Anneau Crustique; Anneau de Brouce; Quatre-feuilles; Ceinture Volkorne; Masque de Koutoulou; Cape au Logis; Bottes du Cœur Saignant; Dofus Pourpre; Dofus Ivoire; Dofus Ocre; Dofus Turquoise; Dofus Abyssal; Enragé majeur; Bwak de Terre</t>
        </is>
      </c>
    </row>
    <row r="5541">
      <c r="A5541" t="inlineStr">
        <is>
          <t>Stuff 2</t>
        </is>
      </c>
      <c r="B5541">
        <f>HYPERLINK("https://www.dofusbook.net/fr/equipement/102043-stuff-2/objets", "link")</f>
        <v/>
      </c>
      <c r="C5541" t="n">
        <v>6</v>
      </c>
      <c r="D5541" t="inlineStr">
        <is>
          <t>Lav'Hache; Collier de Tourthon; Anneau de Brouce; Anneau Crustique; Bouclier d'Ilyzaelle; Ceinture Volkorne; Casque Dragoeuf; Cape de la Cour Sombre; Bottes de la Cour Sombre; Dofus Ocre; Dofus Abyssal; Dofus Ivoire; Dofus Pourpre; Remueur; Nomade; Drakopin</t>
        </is>
      </c>
    </row>
    <row r="5542">
      <c r="A5542" t="inlineStr">
        <is>
          <t>dopou</t>
        </is>
      </c>
      <c r="B5542">
        <f>HYPERLINK("https://www.dofusbook.net/fr/equipement/3670886-dopou/objets", "link")</f>
        <v/>
      </c>
      <c r="C5542" t="n">
        <v>10</v>
      </c>
      <c r="D5542" t="inlineStr">
        <is>
          <t>Lav'Hache; Torquistik; Bague Trithon; Bague Instable; Bouclier précieux; Ceinture Gence; Casque Dragoeuf; Cape Solution; Bottistik; Dofus Abyssal; Dofus Émeraude; Dofus Ivoire; Dofus Forgelave; Culbuteur majeur; Bousculeur majeur; Volkorne Roux</t>
        </is>
      </c>
    </row>
    <row r="5543">
      <c r="A5543" t="inlineStr">
        <is>
          <t>Enutrof M 200</t>
        </is>
      </c>
      <c r="B5543">
        <f>HYPERLINK("https://www.dofusbook.net/fr/equipement/3516139-enutrof-m-200/objets", "link")</f>
        <v/>
      </c>
      <c r="C5543" t="n">
        <v>2</v>
      </c>
      <c r="D5543" t="inlineStr">
        <is>
          <t>Le Thanos; Alliance Gloursonne; Bouclier du Stalak; Dofus des Glaces; Dofus Abyssal; Dofus Ivoire; Dofus Pourpre; Chanceux majeur</t>
        </is>
      </c>
    </row>
    <row r="5544">
      <c r="A5544" t="inlineStr">
        <is>
          <t>tri</t>
        </is>
      </c>
      <c r="B5544">
        <f>HYPERLINK("https://www.dofusbook.net/fr/equipement/3459808-tri/objets", "link")</f>
        <v/>
      </c>
      <c r="C5544" t="n">
        <v>4</v>
      </c>
      <c r="D5544" t="inlineStr">
        <is>
          <t>Dofus Ocre; Dofus Ivoire; Dofus des Glaces; Dofus Pourpre; Dofus Abyssal</t>
        </is>
      </c>
    </row>
    <row r="5545">
      <c r="A5545" t="inlineStr">
        <is>
          <t>dopou</t>
        </is>
      </c>
      <c r="B5545">
        <f>HYPERLINK("https://www.dofusbook.net/fr/equipement/3346543-dopou/objets", "link")</f>
        <v/>
      </c>
      <c r="C5545" t="n">
        <v>7</v>
      </c>
      <c r="D5545" t="inlineStr">
        <is>
          <t>Collier Rophante; Bague Instable; Bague Trithon; Bouclier précieux; Ceinture Gence; Masque d'Anerice; Cape d'Anerice; Bottistik; Dofus Abyssal; Dofus Ivoire; Dofus Émeraude; Bousculeur majeur; Culbuteur majeur; Pousseur majeur; Tatouf</t>
        </is>
      </c>
    </row>
    <row r="5546">
      <c r="A5546" t="inlineStr">
        <is>
          <t>eau1</t>
        </is>
      </c>
      <c r="B5546">
        <f>HYPERLINK("https://www.dofusbook.net/fr/equipement/2724467-eau1/objets", "link")</f>
        <v/>
      </c>
      <c r="C5546" t="n">
        <v>7</v>
      </c>
      <c r="D5546" t="inlineStr">
        <is>
          <t>Rapière aux Glyphes; Amulette de Shokkoth; Pikano; Alliance Gloursonne; Cadran de Feu; Sangle Ouare; Kidibonnet; Cape de la Dame du Hasard; Bottes de la Dame du Hasard; Dofus Ocre; Dofus Turquoise; Dofus des Veilleurs; Dofus Émeraude; Chanceux majeur; Déserteur majeur</t>
        </is>
      </c>
    </row>
    <row r="5547">
      <c r="A5547" t="inlineStr">
        <is>
          <t>corrompue2</t>
        </is>
      </c>
      <c r="B5547">
        <f>HYPERLINK("https://www.dofusbook.net/fr/equipement/2700225-corrompue2/objets", "link")</f>
        <v/>
      </c>
      <c r="C5547" t="n">
        <v>9</v>
      </c>
      <c r="D5547" t="inlineStr">
        <is>
          <t>Lance corrompue; Amulette de l'Indicible; Alliance Gloursonne; Bague Gloursonne; Bouclier d'Ilyzaelle; Ceinture de l'Indicible; Casque du Chalœil; Cape du Chalœil; Bottes de l'Indicible; Dofus Émeraude; Dofus Ocre; Dofus Pourpre; Dofus des Glaces; Dolmanax; Dofus Abyssal; Muldo Ebène et Orchidée</t>
        </is>
      </c>
    </row>
    <row r="5548">
      <c r="A5548" t="inlineStr">
        <is>
          <t>corrompue1</t>
        </is>
      </c>
      <c r="B5548">
        <f>HYPERLINK("https://www.dofusbook.net/fr/equipement/2697798-corrompue1/objets", "link")</f>
        <v/>
      </c>
      <c r="C5548" t="n">
        <v>4</v>
      </c>
      <c r="D5548" t="inlineStr">
        <is>
          <t>Lance corrompue; Amulette du Kamasterisk; Bague Gloursonne; Alliance Gloursonne; Bouclier d'Ilyzaelle; Ceinture de l'Esprit Salvateur; Masque de l'Esprit Salvateur; Cape du Kamasterisk; Bottes de l'Esprit Salvateur; Dofus Pourpre; Dofus des Glaces; Dolmanax; Dofus Abyssal; Dofus Émeraude; Dofus Ocre; Muldo Ebène et Orchidée</t>
        </is>
      </c>
    </row>
    <row r="5549">
      <c r="A5549" t="inlineStr">
        <is>
          <t>air1</t>
        </is>
      </c>
      <c r="B5549">
        <f>HYPERLINK("https://www.dofusbook.net/fr/equipement/1574279-air1/objets", "link")</f>
        <v/>
      </c>
      <c r="C5549" t="n">
        <v>7</v>
      </c>
      <c r="D5549" t="inlineStr">
        <is>
          <t>Manthache; Collier du Valet Veinard; Gant du Valet Veinard; Alliance Gloursonne; Bouclier d'Ilyzaelle; Menoture; Casque Dragoeuf; Cape Indescriptible; Palmes Trithons; Dofus Pourpre; Dofus des Glaces; Dofus Abyssal; Dofus Émeraude; Remueur; Cascadeur majeur; Muldo Ebène</t>
        </is>
      </c>
    </row>
    <row r="5550">
      <c r="A5550" t="inlineStr">
        <is>
          <t>feudws</t>
        </is>
      </c>
      <c r="B5550">
        <f>HYPERLINK("https://www.dofusbook.net/fr/equipement/1901031-feudws/objets", "link")</f>
        <v/>
      </c>
      <c r="C5550" t="n">
        <v>3</v>
      </c>
      <c r="D5550" t="inlineStr">
        <is>
          <t>Plumeau Bil; Pendentif mignon de Koutoulou; Anneau Rifique; Anneau Tique; Cadran de Feu; Ceinture de Vortex; Casque Dragoeuf; Cape de Diondin; Bottes Innommables; Dofus Abyssal; Dolmanax; Étourdisseur majeur; Déserteur majeur; Érudit majeur; Remueur; Muldo Pourpre et Amande</t>
        </is>
      </c>
    </row>
    <row r="5551">
      <c r="A5551" t="inlineStr">
        <is>
          <t>eaudws</t>
        </is>
      </c>
      <c r="B5551">
        <f>HYPERLINK("https://www.dofusbook.net/fr/equipement/1898457-eaudws/objets", "link")</f>
        <v/>
      </c>
      <c r="C5551" t="n">
        <v>2</v>
      </c>
      <c r="D5551" t="inlineStr">
        <is>
          <t>Sceptre du Roi Joueur; Amulette Voldelor; Alliance Gloursonne; Bracelet des Fonds marins; Ceinture Voldelor; Casque Dragoeuf; Chevelure de Tal Kasha; Pataugastrique; Dofus Pourpre; Dofus Abyssal; Déserteur majeur; Remueur; Chanceux majeur; Étourdisseur majeur; Muldo Ebène et Pourpre</t>
        </is>
      </c>
    </row>
    <row r="5552">
      <c r="A5552" t="inlineStr">
        <is>
          <t>anerice</t>
        </is>
      </c>
      <c r="B5552">
        <f>HYPERLINK("https://www.dofusbook.net/fr/equipement/1898418-anerice/objets", "link")</f>
        <v/>
      </c>
      <c r="C5552" t="n">
        <v>7</v>
      </c>
      <c r="D5552" t="inlineStr">
        <is>
          <t>Manthache; Pendentif mignon de Koutoulou; Gant du Valet Veinard; Alliance Gloursonne; Menoture; Masque d'Anerice; Cape d'Anerice; Palmes Trithons; Dofus Pourpre; Dofus Émeraude; Dofus Abyssal; Cascadeur majeur; Remueur; Miraculé majeur; Muldo Ebène</t>
        </is>
      </c>
    </row>
    <row r="5553">
      <c r="A5553" t="inlineStr">
        <is>
          <t>air2</t>
        </is>
      </c>
      <c r="B5553">
        <f>HYPERLINK("https://www.dofusbook.net/fr/equipement/1898399-air2/objets", "link")</f>
        <v/>
      </c>
      <c r="C5553" t="n">
        <v>4</v>
      </c>
      <c r="D5553" t="inlineStr">
        <is>
          <t>Manthache; Amulette du Kamasterisk; Gant du Valet Veinard; Alliance Gloursonne; Cadran de Feu; Menoture; Casque Dragoeuf; Cape du Valet Veinard; Palmes Trithons; Dofus Pourpre; Dofus Abyssal; Dofus Émeraude; Remueur; Carapace Air majeur; Cascadeur majeur; Muldo Ebène</t>
        </is>
      </c>
    </row>
    <row r="5554">
      <c r="A5554" t="inlineStr">
        <is>
          <t>AN2</t>
        </is>
      </c>
      <c r="B5554">
        <f>HYPERLINK("https://www.dofusbook.net/fr/equipement/1854675-an2/objets", "link")</f>
        <v/>
      </c>
      <c r="C5554" t="n">
        <v>2</v>
      </c>
      <c r="D5554" t="inlineStr">
        <is>
          <t>Hache Euvale; Amulette Luminescente; Alliance Gloursonne; Bague Trithon; Bouclier précieux; Ceinture Luminescente; Casque Dragoeuf; Bottes Owesli; Dokoko; Dofus des Veilleurs; Dofus Émeraude; Miraculé majeur</t>
        </is>
      </c>
    </row>
    <row r="5555">
      <c r="A5555" t="inlineStr">
        <is>
          <t>anerice</t>
        </is>
      </c>
      <c r="B5555">
        <f>HYPERLINK("https://www.dofusbook.net/fr/equipement/1854554-anerice/objets", "link")</f>
        <v/>
      </c>
      <c r="C5555" t="n">
        <v>2</v>
      </c>
      <c r="D5555" t="inlineStr">
        <is>
          <t>Hache Euvale; Amulette Luminescente; Bague Trithon; Alliance Gloursonne; Kidibonnet; Cape Luminescente; Bottes Owesli; Dofus Émeraude; Miraculé majeur; Remueur; Culbuteur majeur</t>
        </is>
      </c>
    </row>
    <row r="5556">
      <c r="A5556" t="inlineStr">
        <is>
          <t>anerice</t>
        </is>
      </c>
      <c r="B5556">
        <f>HYPERLINK("https://www.dofusbook.net/fr/equipement/1778806-anerice/objets", "link")</f>
        <v/>
      </c>
      <c r="C5556" t="n">
        <v>2</v>
      </c>
      <c r="D5556" t="inlineStr">
        <is>
          <t>Harpelle; Pendentif mignon de Koutoulou; Anneauræus; Anneau Rifique; Carapar; Ceinture de Vortex; Masque d'Anerice; Cape de Diondin; Bottes Innommables; Dofus Abyssal; Érudit majeur; Étourdisseur majeur; Déserteur majeur; Remueur; Muldo Ebène et Indigo</t>
        </is>
      </c>
    </row>
    <row r="5557">
      <c r="A5557" t="inlineStr">
        <is>
          <t>Stuff 3</t>
        </is>
      </c>
      <c r="B5557">
        <f>HYPERLINK("https://www.dofusbook.net/fr/equipement/102113-stuff-3/objets", "link")</f>
        <v/>
      </c>
      <c r="C5557" t="n">
        <v>1</v>
      </c>
      <c r="D5557" t="inlineStr">
        <is>
          <t>Harpelle; Pendentif mignon de Koutoulou; Anneau de Nidas; Anneauræus; Carapar; Ceinture de Vortex; Casque Cyclopéen; Cape de Diondin; Bottes Innommables; Dofus Abyssal; Dofus Cawotte; Érudit majeur; Étourdisseur majeur; Déserteur majeur; Remueur; Muldo Ebène et Orchidée</t>
        </is>
      </c>
    </row>
    <row r="5558">
      <c r="A5558" t="inlineStr">
        <is>
          <t>Stuff 3</t>
        </is>
      </c>
      <c r="B5558">
        <f>HYPERLINK("https://www.dofusbook.net/fr/equipement/102104-stuff-3/objets", "link")</f>
        <v/>
      </c>
      <c r="C5558" t="n">
        <v>4</v>
      </c>
      <c r="D5558" t="inlineStr">
        <is>
          <t>Rapière aux Glyphes; Amulette de Shokkoth; Bracelet des Fonds marins; Alliance Gloursonne; Poulpagne; Casque Dragoeuf; Cape de Mantaze; Sandales des Fonds marins; Dofus Pourpre; Dofus Émeraude; Dofus Abyssal; Remueur; Miraculé majeur; Chanceux majeur</t>
        </is>
      </c>
    </row>
    <row r="5559">
      <c r="A5559" t="inlineStr">
        <is>
          <t>rture</t>
        </is>
      </c>
      <c r="B5559">
        <f>HYPERLINK("https://www.dofusbook.net/fr/equipement/1746729-rture/objets", "link")</f>
        <v/>
      </c>
      <c r="C5559" t="n">
        <v>8</v>
      </c>
      <c r="D5559" t="inlineStr">
        <is>
          <t>Marteau R'ture; Amulette du Strigide; Anneau Crustique; Anneau Crustique; Ceintouse; Casque Dragoeuf; Voile d'encre; Bottes du Strigide; Dolmanax; Dofus Ocre; Dofus Pourpre; Dofus Abyssal; Étourdisseur majeur; Remueur; Muldo Pourpre</t>
        </is>
      </c>
    </row>
    <row r="5560">
      <c r="A5560" t="inlineStr">
        <is>
          <t>drago</t>
        </is>
      </c>
      <c r="B5560">
        <f>HYPERLINK("https://www.dofusbook.net/fr/equipement/1744081-drago/objets", "link")</f>
        <v/>
      </c>
      <c r="C5560" t="n">
        <v>1</v>
      </c>
      <c r="D5560" t="inlineStr">
        <is>
          <t>Plumeau Bil; Pendentif mignon de Koutoulou; Bague Gloursonne; Anneau Rifique; Ceinture de Vortex; Casque Dragoeuf; Cape de Diondin; Bottes Innommables; Dofus Abyssal; Carapace Terre majeur; Érudit majeur; Remueur; Étourdisseur majeur; Déserteur majeur; Muldo Ebène et Amande</t>
        </is>
      </c>
    </row>
    <row r="5561">
      <c r="A5561" t="inlineStr">
        <is>
          <t>finale</t>
        </is>
      </c>
      <c r="B5561">
        <f>HYPERLINK("https://www.dofusbook.net/fr/equipement/1744028-finale/objets", "link")</f>
        <v/>
      </c>
      <c r="C5561" t="n">
        <v>1</v>
      </c>
      <c r="D5561" t="inlineStr">
        <is>
          <t>Plumeau Bil; Pendentif mignon de Koutoulou; Bague Gloursonne; Anneau de Nidas; Ceinture de Vortex; Casque Cyclopéen; Voile d'encre; Pataugastrique; Dofus Abyssal; Dolmanax; Déserteur majeur; Érudit majeur; Remueur; Étourdisseur majeur; Muldo Ebène et Pourpre</t>
        </is>
      </c>
    </row>
    <row r="5562">
      <c r="A5562" t="inlineStr">
        <is>
          <t>Stuff 2</t>
        </is>
      </c>
      <c r="B5562">
        <f>HYPERLINK("https://www.dofusbook.net/fr/equipement/102028-stuff-2/objets", "link")</f>
        <v/>
      </c>
      <c r="C5562" t="n">
        <v>4</v>
      </c>
      <c r="D5562" t="inlineStr">
        <is>
          <t>Héqache; Amulette du Strigide; Anneau des égarés; Anneau Crustique; Menoture; Masque de Koutoulou; Cape du Kamasterisk; Bottes du Strigide; Dofus Cawotte; Dolmanax; Dofus Pourpre; Dofus Abyssal; Étourdisseur majeur; Muldo Ebène et Pourpre</t>
        </is>
      </c>
    </row>
    <row r="5563">
      <c r="A5563" t="inlineStr">
        <is>
          <t>Stuff 1</t>
        </is>
      </c>
      <c r="B5563">
        <f>HYPERLINK("https://www.dofusbook.net/fr/equipement/102027-stuff-1/objets", "link")</f>
        <v/>
      </c>
      <c r="C5563" t="n">
        <v>4</v>
      </c>
      <c r="D5563" t="inlineStr">
        <is>
          <t>Bâthon; Amulette de Gein; Ceinture de Gein; Casque Dragoeuf; Voile d'encre; Pataugastrique; Dolmanax; Dofus Pourpre; Dofus Abyssal; Dofus Cawotte; Étourdisseur majeur</t>
        </is>
      </c>
    </row>
    <row r="5564">
      <c r="A5564" t="inlineStr">
        <is>
          <t>noneutre2</t>
        </is>
      </c>
      <c r="B5564">
        <f>HYPERLINK("https://www.dofusbook.net/fr/equipement/1726496-noneutre2/objets", "link")</f>
        <v/>
      </c>
      <c r="C5564" t="n">
        <v>2</v>
      </c>
      <c r="D5564" t="inlineStr">
        <is>
          <t>Rapière aux Glyphes; Amulette de Shokkoth; Bracelet des Fonds marins; Alliance Gloursonne; Ceinture de la Reine des Voleurs; Casque Dragoeuf; Cape de Mantaze; Bottes de la Reine des Voleurs; Dofus Abyssal; Dofus Ocre; Dofus Pourpre; Dofus des Glaces; Remueur; Chanceux majeur; Muldo Indigo et Pourpre</t>
        </is>
      </c>
    </row>
    <row r="5565">
      <c r="A5565" t="inlineStr">
        <is>
          <t>Stuff 2</t>
        </is>
      </c>
      <c r="B5565">
        <f>HYPERLINK("https://www.dofusbook.net/fr/equipement/102109-stuff-2/objets", "link")</f>
        <v/>
      </c>
      <c r="C5565" t="n">
        <v>7</v>
      </c>
      <c r="D5565" t="inlineStr">
        <is>
          <t>Baguette Range; Amulette du Strigide; Anneau de Padgref; Alliance Gloursonne; Ceinture du Strigide; Coiffe de Padgref; Voile d'encre; Getas de Padgref; Dofus Turquoise; Dolmanax; Dofus Nébuleux; Dofus Pourpre; Dofus des Glaces; Dofus Ocre; Muldo Ebène et Indigo</t>
        </is>
      </c>
    </row>
    <row r="5566">
      <c r="A5566" t="inlineStr">
        <is>
          <t>padrange</t>
        </is>
      </c>
      <c r="B5566">
        <f>HYPERLINK("https://www.dofusbook.net/fr/equipement/1725667-padrange/objets", "link")</f>
        <v/>
      </c>
      <c r="C5566" t="n">
        <v>7</v>
      </c>
      <c r="D5566" t="inlineStr">
        <is>
          <t>Baguette Range; Amulette du Strigide; Anneau Rifique; Alliance Gloursonne; Ceintacé; Casque Cyclopéen; Voile d'encre; Bottes du Cycloïde; Dofus Turquoise; Dofus Nébuleux; Dofus Pourpre; Dofus des Glaces; Remueur; Nomade; Kramkram</t>
        </is>
      </c>
    </row>
    <row r="5567">
      <c r="A5567" t="inlineStr">
        <is>
          <t>Stuff 3</t>
        </is>
      </c>
      <c r="B5567">
        <f>HYPERLINK("https://www.dofusbook.net/fr/equipement/102023-stuff-3/objets", "link")</f>
        <v/>
      </c>
      <c r="C5567" t="n">
        <v>6</v>
      </c>
      <c r="D5567" t="inlineStr">
        <is>
          <t>Hache du Chalœil; Amulette du Strigide; Anneau de Brouce; Bague Gloursonne; Ceintacé; Casque Dragoeuf; Voile d'encre; Bottes du Strigide; Dofus Turquoise; Dofus Pourpre; Dolmanax; Dofus des Glaces; Vigoureux majeur; Remueur; Muldo Pourpre</t>
        </is>
      </c>
    </row>
    <row r="5568">
      <c r="A5568" t="inlineStr">
        <is>
          <t>noneutre2</t>
        </is>
      </c>
      <c r="B5568">
        <f>HYPERLINK("https://www.dofusbook.net/fr/equipement/1712186-noneutre2/objets", "link")</f>
        <v/>
      </c>
      <c r="C5568" t="n">
        <v>5</v>
      </c>
      <c r="D5568" t="inlineStr">
        <is>
          <t>Epée Toche; Amulette du Strigide; Bague Trithon; Anneau Crustique; Ceintouse; Masque de Koutoulou; Voile d'encre; Bottes Trithon; Dofus Pourpre; Dolmanax; Dofus Turquoise; Dofus Abyssal; Dofus Cawotte; Remueur; Muldo Indigo et Pourpre</t>
        </is>
      </c>
    </row>
    <row r="5569">
      <c r="A5569" t="inlineStr">
        <is>
          <t>noneutre</t>
        </is>
      </c>
      <c r="B5569">
        <f>HYPERLINK("https://www.dofusbook.net/fr/equipement/1712039-noneutre/objets", "link")</f>
        <v/>
      </c>
      <c r="C5569" t="n">
        <v>3</v>
      </c>
      <c r="D5569" t="inlineStr">
        <is>
          <t>Arc de Koutoulou; Amulette du Strigide; Bague Gloursonne; Alliance Gloursonne; Ceinture du Strigide; Casque Dragoeuf; Chevelure de Tal Kasha; Bottes du Strigide; Dofus Turquoise; Dolmanax; Dofus Ocre; Dofus Abyssal; Dofus Pourpre; Dofus Cawotte; Muldo Indigo</t>
        </is>
      </c>
    </row>
    <row r="5570">
      <c r="A5570" t="inlineStr">
        <is>
          <t>Stuff 2</t>
        </is>
      </c>
      <c r="B5570">
        <f>HYPERLINK("https://www.dofusbook.net/fr/equipement/102022-stuff-2/objets", "link")</f>
        <v/>
      </c>
      <c r="C5570" t="n">
        <v>4</v>
      </c>
      <c r="D5570" t="inlineStr">
        <is>
          <t>Hache du Chalœil; Amulette du Strigide; Anneau Chevelu; Alliance Gloursonne; Ceintacé; Casque Dragoeuf; Voile d'encre; Bottes du Strigide; Dofus Turquoise; Dofus Pourpre; Dofus des Glaces; Nomade; Remueur; Kramkram</t>
        </is>
      </c>
    </row>
    <row r="5571">
      <c r="A5571" t="inlineStr">
        <is>
          <t>tero3</t>
        </is>
      </c>
      <c r="B5571">
        <f>HYPERLINK("https://www.dofusbook.net/fr/equipement/1697999-tero3/objets", "link")</f>
        <v/>
      </c>
      <c r="C5571" t="n">
        <v>3</v>
      </c>
      <c r="D5571" t="inlineStr">
        <is>
          <t>Epée Toche; Amulette du Strigide; Anneau Crustique; Bague Gloursonne; Ceinture de Gein; Chapeau de Gein; Voile d'encre; Chaussons du Comte Razof; Dofus Abyssal; Dofus Ocre; Dofus Cawotte; Dolmanax; Étourdisseur majeur; Remueur; Muldo Orchidée et Pourpre</t>
        </is>
      </c>
    </row>
    <row r="5572">
      <c r="A5572" t="inlineStr">
        <is>
          <t>tero2</t>
        </is>
      </c>
      <c r="B5572">
        <f>HYPERLINK("https://www.dofusbook.net/fr/equipement/1697953-tero2/objets", "link")</f>
        <v/>
      </c>
      <c r="C5572" t="n">
        <v>4</v>
      </c>
      <c r="D5572" t="inlineStr">
        <is>
          <t>Hache Téroïde; Amulette du Strigide; Goulano; Bague Gloursonne; Ceintacé; Chapeau du Comte Razof; Voile d'encre; Chaussons du Comte Razof; Dofus Cawotte; Dolmanax; Dofus Turquoise; Dofus Abyssal; Étourdisseur majeur; Remueur; Muldo Orchidée et Pourpre</t>
        </is>
      </c>
    </row>
    <row r="5573">
      <c r="A5573" t="inlineStr">
        <is>
          <t>tero</t>
        </is>
      </c>
      <c r="B5573">
        <f>HYPERLINK("https://www.dofusbook.net/fr/equipement/1697808-tero/objets", "link")</f>
        <v/>
      </c>
      <c r="C5573" t="n">
        <v>5</v>
      </c>
      <c r="D5573" t="inlineStr">
        <is>
          <t>Sabres d'Atcham; Amulette de Gein; Bague Gloursonne; Alliance Gloursonne; Ceinture de Gein; Chapeau de Gein; Cape d'Atcham; Sandales  d'Atcham; Dofus Cawotte; Dofus des Glaces; Dofus Ocre; Dofus Abyssal; Dofus Turquoise; Dolmanax; Muldo Indigo</t>
        </is>
      </c>
    </row>
    <row r="5574">
      <c r="A5574" t="inlineStr">
        <is>
          <t>tero2</t>
        </is>
      </c>
      <c r="B5574">
        <f>HYPERLINK("https://www.dofusbook.net/fr/equipement/1696709-tero2/objets", "link")</f>
        <v/>
      </c>
      <c r="C5574" t="n">
        <v>7</v>
      </c>
      <c r="D5574" t="inlineStr">
        <is>
          <t>Hache Téroïde; Amulette du Strigide; Anneau Crustique; Bague Gloursonne; Menoture; Masque de Koutoulou; Voile d'encre; Bottes du Strigide; Dofus Turquoise; Dofus Cawotte; Dolmanax; Dofus Pourpre; Dofus Abyssal; Étourdisseur majeur; Muldo Pourpre</t>
        </is>
      </c>
    </row>
    <row r="5575">
      <c r="A5575" t="inlineStr">
        <is>
          <t>respou</t>
        </is>
      </c>
      <c r="B5575">
        <f>HYPERLINK("https://www.dofusbook.net/fr/equipement/1680102-respou/objets", "link")</f>
        <v/>
      </c>
      <c r="C5575" t="n">
        <v>1</v>
      </c>
      <c r="D5575" t="inlineStr">
        <is>
          <t>Sceptre du Roi Joueur; Amulette du Sinistrofu; Alliance Gloursonne; Bracelet des Fonds marins; Ceinture de la Reine des Voleurs; Kidibonnet; Cape du Sinistrofu; Bottes du Nocturlabe; Dofus des Glaces; Dofus Abyssal; Dofus Pourpre; Chanceux majeur; Solide majeur; Remueur</t>
        </is>
      </c>
    </row>
    <row r="5576">
      <c r="A5576" t="inlineStr">
        <is>
          <t>ter3</t>
        </is>
      </c>
      <c r="B5576">
        <f>HYPERLINK("https://www.dofusbook.net/fr/equipement/1679449-ter3/objets", "link")</f>
        <v/>
      </c>
      <c r="C5576" t="n">
        <v>5</v>
      </c>
      <c r="D5576" t="inlineStr">
        <is>
          <t>Marteau R'ture; Amulette du Kamasterisk; Anneau Chevelu; Anneau de Brouce; Ceintacé; Coiffe de la Fuji Givrefoux; Voile d'encre; Bottes du Kamasterisk; Dofus Cawotte; Dofus Pourpre; Dofus Nébuleux; Remueur; Temporiseur majeur; Évasif majeur; Muldo Pourpre</t>
        </is>
      </c>
    </row>
    <row r="5577">
      <c r="A5577" t="inlineStr">
        <is>
          <t>ter2</t>
        </is>
      </c>
      <c r="B5577">
        <f>HYPERLINK("https://www.dofusbook.net/fr/equipement/1679416-ter2/objets", "link")</f>
        <v/>
      </c>
      <c r="C5577" t="n">
        <v>4</v>
      </c>
      <c r="D5577" t="inlineStr">
        <is>
          <t>Marteau R'ture; Amulette du Kamasterisk; Anneau Chevelu; Bague Gloursonne; Bouclier du Stalak; Ceinture de Gein; Masque de Koutoulou; Cape au Logis; Bottes du Kamasterisk; Dofus Ocre; Dofus Nébuleux; Dofus Pourpre; Enragé majeur; Temporiseur majeur</t>
        </is>
      </c>
    </row>
    <row r="5578">
      <c r="A5578" t="inlineStr">
        <is>
          <t>terre</t>
        </is>
      </c>
      <c r="B5578">
        <f>HYPERLINK("https://www.dofusbook.net/fr/equipement/1676772-terre/objets", "link")</f>
        <v/>
      </c>
      <c r="C5578" t="n">
        <v>6</v>
      </c>
      <c r="D5578" t="inlineStr">
        <is>
          <t>Marteau R'ture; Amulette du Kamasterisk; Alliance Gloursonne; Anneau de Brouce; Ceinture de Kongoku; Coiffe de la Fuji Givrefoux; Cape de Kongoku; Baleinabottes; Dofus Pourpre; Dofus Cawotte; Dofus Nébuleux; Remueur; Temporiseur majeur; Enragé majeur; Muldo Pourpre</t>
        </is>
      </c>
    </row>
    <row r="5579">
      <c r="A5579" t="inlineStr">
        <is>
          <t>noair2</t>
        </is>
      </c>
      <c r="B5579">
        <f>HYPERLINK("https://www.dofusbook.net/fr/equipement/1676749-noair2/objets", "link")</f>
        <v/>
      </c>
      <c r="C5579" t="n">
        <v>2</v>
      </c>
      <c r="D5579" t="inlineStr">
        <is>
          <t>Baguette Range; Amulette du Strigide; Anneau de Padgref; Alliance Gloursonne; Ceintacé; Bottes du Strigide; Dofus Turquoise; Dofus des Glaces; Dofus Pourpre</t>
        </is>
      </c>
    </row>
    <row r="5580">
      <c r="A5580" t="inlineStr">
        <is>
          <t>noair</t>
        </is>
      </c>
      <c r="B5580">
        <f>HYPERLINK("https://www.dofusbook.net/fr/equipement/1676711-noair/objets", "link")</f>
        <v/>
      </c>
      <c r="C5580" t="n">
        <v>4</v>
      </c>
      <c r="D5580" t="inlineStr">
        <is>
          <t>Marteau Phossile; Amulette du Strigide; Anneau de Padgref; Alliance Gloursonne; Ceinture du Strigide; Coiffe de Padgref; Voile d'encre; Getas de Padgref; Dolmanax; Dofus Turquoise; Dofus Ocre; Dofus des Glaces; Dofus Pourpre; Dofus Nébuleux; Muldo Indigo et Orchidée</t>
        </is>
      </c>
    </row>
    <row r="5581">
      <c r="A5581" t="inlineStr">
        <is>
          <t>noair</t>
        </is>
      </c>
      <c r="B5581">
        <f>HYPERLINK("https://www.dofusbook.net/fr/equipement/1675120-noair/objets", "link")</f>
        <v/>
      </c>
      <c r="C5581" t="n">
        <v>2</v>
      </c>
      <c r="D5581" t="inlineStr">
        <is>
          <t>Hache du Chalœil; Amulette du Strigide; Anneau Chevelu; Alliance Gloursonne; Ceintacé; Chapeau Lisson; Voile d'encre; Bottes du Strigide; Dofus Turquoise; Dofus des Glaces; Dofus Pourpre; Dolmanax; Évasif majeur; Remueur; Muldo Indigo</t>
        </is>
      </c>
    </row>
    <row r="5582">
      <c r="A5582" t="inlineStr">
        <is>
          <t>noair2</t>
        </is>
      </c>
      <c r="B5582">
        <f>HYPERLINK("https://www.dofusbook.net/fr/equipement/1675028-noair2/objets", "link")</f>
        <v/>
      </c>
      <c r="C5582" t="n">
        <v>1</v>
      </c>
      <c r="D5582" t="inlineStr">
        <is>
          <t>Sceptre du Roi Joueur; Amulette de Shokkoth; Alliance Gloursonne; Bracelet des Fonds marins; Ceinture de la Reine des Voleurs; Casque Dragoeuf; Cape du Sinistrofu; Bottes de la Reine des Voleurs; Dofus Abyssal; Dofus Ocre; Dofus Pourpre; Dofus des Glaces; Remueur; Chanceux majeur; Muldo Indigo et Orchidée</t>
        </is>
      </c>
    </row>
    <row r="5583">
      <c r="A5583" t="inlineStr">
        <is>
          <t>noair</t>
        </is>
      </c>
      <c r="B5583">
        <f>HYPERLINK("https://www.dofusbook.net/fr/equipement/1674963-noair/objets", "link")</f>
        <v/>
      </c>
      <c r="C5583" t="n">
        <v>1</v>
      </c>
      <c r="D5583" t="inlineStr">
        <is>
          <t>Plumeau Bil; Pendentif mignon de Koutoulou; Anneau Rifique; Baguistik; Ceinture de Vortex; Casque Dragoeuf; Cape de Diondin; Bottes Innommables; Dolmanax; Dofus Cawotte; Érudit majeur; Remueur; Étourdisseur majeur; Déserteur majeur; Muldo Orchidée et Pourpre</t>
        </is>
      </c>
    </row>
    <row r="5584">
      <c r="A5584" t="inlineStr">
        <is>
          <t>noair2</t>
        </is>
      </c>
      <c r="B5584">
        <f>HYPERLINK("https://www.dofusbook.net/fr/equipement/1674800-noair2/objets", "link")</f>
        <v/>
      </c>
      <c r="C5584" t="n">
        <v>3</v>
      </c>
      <c r="D5584" t="inlineStr">
        <is>
          <t>Baguette de Malléfisk; Pendentif mignon de Koutoulou; Anneau de Nidas; Anneau Rifique; Protopagne; Ruskauffe; Voile d'encre; Bottes Innommables; Dolmanax; Dofus Ocre; Remueur; Déserteur majeur; Érudit majeur</t>
        </is>
      </c>
    </row>
    <row r="5585">
      <c r="A5585" t="inlineStr">
        <is>
          <t>noair</t>
        </is>
      </c>
      <c r="B5585">
        <f>HYPERLINK("https://www.dofusbook.net/fr/equipement/1674636-noair/objets", "link")</f>
        <v/>
      </c>
      <c r="C5585" t="n">
        <v>3</v>
      </c>
      <c r="D5585" t="inlineStr">
        <is>
          <t>Baguette de Malléfisk; Pendentif mignon de Koutoulou; Anneau de Nidas; Anneau Rifique; Protopagne; Chapeau de Gein; Voile d'encre; Bottes Innommables; Dolmanax; Dofus Ocre; Remueur; Déserteur majeur; Érudit majeur; Muldo Indigo et Orchidée</t>
        </is>
      </c>
    </row>
    <row r="5586">
      <c r="A5586" t="inlineStr">
        <is>
          <t>tac2</t>
        </is>
      </c>
      <c r="B5586">
        <f>HYPERLINK("https://www.dofusbook.net/fr/equipement/1588632-tac2/objets", "link")</f>
        <v/>
      </c>
      <c r="C5586" t="n">
        <v>3</v>
      </c>
      <c r="D5586" t="inlineStr">
        <is>
          <t>Marteau R'ture; Amulette du Strigide; Anneau Crustique; Anneau Crustique; Ceintacé; Casque Dragoeuf; Cape de la Cour Sombre; Bottes du Strigide; Dofus Cawotte; Dolmanax; Dofus Abyssal; Remueur; Étourdisseur majeur; Muldo Indigo et Pourpre</t>
        </is>
      </c>
    </row>
    <row r="5587">
      <c r="A5587" t="inlineStr">
        <is>
          <t>sur1</t>
        </is>
      </c>
      <c r="B5587">
        <f>HYPERLINK("https://www.dofusbook.net/fr/equipement/1668015-sur1/objets", "link")</f>
        <v/>
      </c>
      <c r="C5587" t="n">
        <v>5</v>
      </c>
      <c r="D5587" t="inlineStr">
        <is>
          <t>Dagues Érhy; Amulette du Kamasterisk; Anneau Crustique; Alliance Gloursonne; Ceintouse; Casque Dragoeuf; Cape du Kamasterisk; Bottes du Cycloïde; Dofus Cawotte; Dofus Ocre; Dolmanax; Dofus Abyssal; Remueur; Étourdisseur majeur; Muldo Pourpre</t>
        </is>
      </c>
    </row>
    <row r="5588">
      <c r="A5588" t="inlineStr">
        <is>
          <t>Stuff 2</t>
        </is>
      </c>
      <c r="B5588">
        <f>HYPERLINK("https://www.dofusbook.net/fr/equipement/102157-stuff-2/objets", "link")</f>
        <v/>
      </c>
      <c r="C5588" t="n">
        <v>3</v>
      </c>
      <c r="D5588" t="inlineStr">
        <is>
          <t>Hache Téroïde; Amulette de Gein; Anneau Crustique; Bague Gloursonne; Ceinture de Gein; Masque de Koutoulou; Voile d'encre; Tentassons; Dofus Abyssal; Dolmanax; Dofus Turquoise; Étourdisseur majeur; Remueur</t>
        </is>
      </c>
    </row>
    <row r="5589">
      <c r="A5589" t="inlineStr">
        <is>
          <t>terair</t>
        </is>
      </c>
      <c r="B5589">
        <f>HYPERLINK("https://www.dofusbook.net/fr/equipement/1666240-terair/objets", "link")</f>
        <v/>
      </c>
      <c r="C5589" t="n">
        <v>2</v>
      </c>
      <c r="D5589" t="inlineStr">
        <is>
          <t>Anneau Crustique; Alliance Gloursonne; Ceintouse; Casque Dragoeuf; Cape du Kamasterisk; Tentassons; Dofus Abyssal; Étourdisseur majeur</t>
        </is>
      </c>
    </row>
    <row r="5590">
      <c r="A5590" t="inlineStr">
        <is>
          <t>Stuff 2</t>
        </is>
      </c>
      <c r="B5590">
        <f>HYPERLINK("https://www.dofusbook.net/fr/equipement/102085-stuff-2/objets", "link")</f>
        <v/>
      </c>
      <c r="C5590" t="n">
        <v>4</v>
      </c>
      <c r="D5590" t="inlineStr">
        <is>
          <t>Arc du Chalœil; Amulette du Strigide; Bague Gloursonne; Alliance Gloursonne; Ougature; Masque de Koutoulou; Voile d'encre; Tentassons; Dofus Turquoise; Dolmanax; Dofus Abyssal; Dofus Pourpre; Cavaleur majeur; Remueur; Muldo Indigo</t>
        </is>
      </c>
    </row>
    <row r="5591">
      <c r="A5591" t="inlineStr">
        <is>
          <t>Stuff 1</t>
        </is>
      </c>
      <c r="B5591">
        <f>HYPERLINK("https://www.dofusbook.net/fr/equipement/102084-stuff-1/objets", "link")</f>
        <v/>
      </c>
      <c r="C5591" t="n">
        <v>4</v>
      </c>
      <c r="D5591" t="inlineStr">
        <is>
          <t>Arc du Chalœil; Amulette du Strigide; Anneau de Brouce; Bague Gloursonne; Protopagne; Masque de Koutoulou; Voile d'encre; Bottes de Brouce; Dofus Turquoise; Dolmanax; Dofus Pourpre; Dofus Abyssal; Remueur; Cavaleur majeur; Muldo Indigo et Pourpre</t>
        </is>
      </c>
    </row>
    <row r="5592">
      <c r="A5592" t="inlineStr">
        <is>
          <t>noneutre</t>
        </is>
      </c>
      <c r="B5592">
        <f>HYPERLINK("https://www.dofusbook.net/fr/equipement/1663660-noneutre/objets", "link")</f>
        <v/>
      </c>
      <c r="C5592" t="n">
        <v>3</v>
      </c>
      <c r="D5592" t="inlineStr">
        <is>
          <t>Hache du Chalœil; Amulette du Strigide; Bague Trithon; Bague Gloursonne; Ceintacé; Masque de Koutoulou; Voile d'encre; Bottes du Strigide; Dofus Turquoise; Dolmanax; Dofus des Glaces; Dofus Pourpre; Carapace Terre majeur; Vigoureux majeur; Muldo Indigo et Pourpre</t>
        </is>
      </c>
    </row>
    <row r="5593">
      <c r="A5593" t="inlineStr">
        <is>
          <t>noneutre</t>
        </is>
      </c>
      <c r="B5593">
        <f>HYPERLINK("https://www.dofusbook.net/fr/equipement/1663275-noneutre/objets", "link")</f>
        <v/>
      </c>
      <c r="C5593" t="n">
        <v>4</v>
      </c>
      <c r="D5593" t="inlineStr">
        <is>
          <t>Baguette de Malléfisk; Pendentif mignon de Koutoulou; Anneau de Nidas; Anneau Tique; Protopagne; Casque Cyclopéen; Voile d'encre; Bottes Innommables; Dolmanax; Dofus Abyssal; Dofus Ocre; Déserteur majeur; Érudit majeur; Remueur</t>
        </is>
      </c>
    </row>
    <row r="5594">
      <c r="A5594" t="inlineStr">
        <is>
          <t>greg2</t>
        </is>
      </c>
      <c r="B5594">
        <f>HYPERLINK("https://www.dofusbook.net/fr/equipement/1657109-greg2/objets", "link")</f>
        <v/>
      </c>
      <c r="C5594" t="n">
        <v>2</v>
      </c>
      <c r="D5594" t="inlineStr">
        <is>
          <t>Sabres d'Atcham; Amulette du Strigide; Alliance Gloursonne; Anneau Tique; Ceinture de Vortex; Le Dorado; Chevelure de Tal Kasha; Sandales  d'Atcham; Dofus Pourpre; Dofus des Glaces; Dofus Turquoise; Étourdisseur majeur; Remueur; Déserteur majeur; Muldo Ebène et Pourpre</t>
        </is>
      </c>
    </row>
    <row r="5595">
      <c r="A5595" t="inlineStr">
        <is>
          <t>greg</t>
        </is>
      </c>
      <c r="B5595">
        <f>HYPERLINK("https://www.dofusbook.net/fr/equipement/1657077-greg/objets", "link")</f>
        <v/>
      </c>
      <c r="C5595" t="n">
        <v>2</v>
      </c>
      <c r="D5595" t="inlineStr">
        <is>
          <t>Sabres d'Atcham; Amulette du Strigide; Anneau Tique; Alliance Gloursonne; Ceinture de Vortex; Masque du Barbétoal; Cape Matelassée; Sandales  d'Atcham; Dofus Pourpre; Dofus des Glaces; Dofus Turquoise; Étourdisseur majeur; Remueur; Déserteur majeur; Muldo Ebène et Indigo</t>
        </is>
      </c>
    </row>
    <row r="5596">
      <c r="A5596" t="inlineStr">
        <is>
          <t>Stuff 1</t>
        </is>
      </c>
      <c r="B5596">
        <f>HYPERLINK("https://www.dofusbook.net/fr/equipement/102156-stuff-1/objets", "link")</f>
        <v/>
      </c>
      <c r="C5596" t="n">
        <v>3</v>
      </c>
      <c r="D5596" t="inlineStr">
        <is>
          <t>Marteau R'ture; Amulette du Strigide; Alliance Gloursonne; Anneau Crustique; Ceintouse; Masque de Koutoulou; Voile d'encre; Tentassons; Dofus Pourpre; Dolmanax; Dofus Cawotte; Remueur; Carapace Eau majeur; Étourdisseur majeur; Muldo Orchidée et Pourpre</t>
        </is>
      </c>
    </row>
    <row r="5597">
      <c r="A5597" t="inlineStr">
        <is>
          <t>sram3</t>
        </is>
      </c>
      <c r="B5597">
        <f>HYPERLINK("https://www.dofusbook.net/fr/equipement/1651929-sram3/objets", "link")</f>
        <v/>
      </c>
      <c r="C5597" t="n">
        <v>6</v>
      </c>
      <c r="D5597" t="inlineStr">
        <is>
          <t>Dagues de Srambad; Amulette de l'Indicible; Alliance Gloursonne; Pikano; Ceinture de la Reine des Voleurs; Masque de Koutoulou; Voile d'encre; Bottes de la Reine des Voleurs; Dofus Pourpre; Dolmanax; Dofus des Glaces; Vigoureux majeur; Carapace Terre majeur; Remueur; Muldo Indigo et Pourpre</t>
        </is>
      </c>
    </row>
    <row r="5598">
      <c r="A5598" t="inlineStr">
        <is>
          <t>rescrit</t>
        </is>
      </c>
      <c r="B5598">
        <f>HYPERLINK("https://www.dofusbook.net/fr/equipement/1652535-rescrit/objets", "link")</f>
        <v/>
      </c>
      <c r="C5598" t="n">
        <v>4</v>
      </c>
      <c r="D5598" t="inlineStr">
        <is>
          <t>Hache du Chalœil; Amulette du Strigide; Bague Gloursonne; Goulano; Ceintacé; Masque de Koutoulou; Voile d'encre; Bottes du Strigide; Dofus Turquoise; Dofus des Glaces; Dolmanax; Dofus Pourpre; Muldo Orchidée et Pourpre</t>
        </is>
      </c>
    </row>
    <row r="5599">
      <c r="A5599" t="inlineStr">
        <is>
          <t>sram4</t>
        </is>
      </c>
      <c r="B5599">
        <f>HYPERLINK("https://www.dofusbook.net/fr/equipement/1652457-sram4/objets", "link")</f>
        <v/>
      </c>
      <c r="C5599" t="n">
        <v>4</v>
      </c>
      <c r="D5599" t="inlineStr">
        <is>
          <t>Hache du Chalœil; Amulette du Strigide; Goulano; Bague Gloursonne; Ceinture de l'Indicible; Masque de Koutoulou; Cape du Chalœil; Bottes du Chalœil; Dofus des Glaces; Dofus Pourpre; Remueur; Muldo Indigo et Orchidée</t>
        </is>
      </c>
    </row>
    <row r="5600">
      <c r="A5600" t="inlineStr">
        <is>
          <t>tac3</t>
        </is>
      </c>
      <c r="B5600">
        <f>HYPERLINK("https://www.dofusbook.net/fr/equipement/1639685-tac3/objets", "link")</f>
        <v/>
      </c>
      <c r="C5600" t="n">
        <v>2</v>
      </c>
      <c r="D5600" t="inlineStr">
        <is>
          <t>Marteau R'ture; Collier de Tourthon; Anneau Crustique; Anneau Crustique; Ceinture de la Cour Sombre; Casque Dragoeuf; Cape de la Cour Sombre; Tentassons; Dolmanax; Dofus Ocre; Dofus Abyssal; Remueur; Étourdisseur majeur; Muldo Orchidée et Pourpre</t>
        </is>
      </c>
    </row>
    <row r="5601">
      <c r="A5601" t="inlineStr">
        <is>
          <t>sram2</t>
        </is>
      </c>
      <c r="B5601">
        <f>HYPERLINK("https://www.dofusbook.net/fr/equipement/1638399-sram2/objets", "link")</f>
        <v/>
      </c>
      <c r="C5601" t="n">
        <v>3</v>
      </c>
      <c r="D5601" t="inlineStr">
        <is>
          <t>Dagues de Srambad; Amulette Luminescente; Pikano; Alliance Gloursonne; Ceinture de la Reine des Voleurs; Coiffe de la Reine des Voleurs; Voile d'encre; Sabots Minables; Dofus des Glaces; Dofus Abyssal; Dofus Pourpre; Vigoureux majeur; Remueur; Muldo Indigo et Pourpre</t>
        </is>
      </c>
    </row>
    <row r="5602">
      <c r="A5602" t="inlineStr">
        <is>
          <t>srambad</t>
        </is>
      </c>
      <c r="B5602">
        <f>HYPERLINK("https://www.dofusbook.net/fr/equipement/1638320-srambad/objets", "link")</f>
        <v/>
      </c>
      <c r="C5602" t="n">
        <v>4</v>
      </c>
      <c r="D5602" t="inlineStr">
        <is>
          <t>Dagues de Srambad; Amulette Ementaire Deluxe; Pikano; Alliance Gloursonne; Ceinture de la Reine des Voleurs; Coiffe de la Reine des Voleurs; Voile d'encre; Sabots Minables; Dofus des Glaces; Dofus Abyssal; Dolmanax; Dofus Pourpre; Remueur; Vigoureux majeur; Muldo Indigo et Pourpre</t>
        </is>
      </c>
    </row>
    <row r="5603">
      <c r="A5603" t="inlineStr">
        <is>
          <t>noneutre</t>
        </is>
      </c>
      <c r="B5603">
        <f>HYPERLINK("https://www.dofusbook.net/fr/equipement/1637838-noneutre/objets", "link")</f>
        <v/>
      </c>
      <c r="C5603" t="n">
        <v>1</v>
      </c>
      <c r="D5603" t="inlineStr">
        <is>
          <t>Rapière aux Glyphes; Amulette de Shokkoth; Alliance Gloursonne; Bracelet des Fonds marins; Poulpagne; Masque des Fonds marins; Cape de Mantaze; Bottes du Sinistrofu; Dofus des Glaces; Dofus Abyssal; Dofus Pourpre; Chanceux majeur; Carapace Eau majeur; Remueur; Muldo Indigo</t>
        </is>
      </c>
    </row>
    <row r="5604">
      <c r="A5604" t="inlineStr">
        <is>
          <t>noneutre</t>
        </is>
      </c>
      <c r="B5604">
        <f>HYPERLINK("https://www.dofusbook.net/fr/equipement/1637792-noneutre/objets", "link")</f>
        <v/>
      </c>
      <c r="C5604" t="n">
        <v>1</v>
      </c>
      <c r="D5604" t="inlineStr">
        <is>
          <t>Plumeau Bil; Pendentif mignon de Koutoulou; Baguistik; Bague Gloursonne; Ceinture de Vortex; Casque Cyclopéen; Voile d'encre; Pataugastrique; Dofus Abyssal; Érudit majeur; Remueur; Étourdisseur majeur; Carapace Feu majeur; Déserteur majeur; Muldo Orchidée et Pourpre</t>
        </is>
      </c>
    </row>
    <row r="5605">
      <c r="A5605" t="inlineStr">
        <is>
          <t>terre2</t>
        </is>
      </c>
      <c r="B5605">
        <f>HYPERLINK("https://www.dofusbook.net/fr/equipement/1626562-terre2/objets", "link")</f>
        <v/>
      </c>
      <c r="C5605" t="n">
        <v>3</v>
      </c>
      <c r="D5605" t="inlineStr">
        <is>
          <t>Arc du Chalœil; Collier de Tourthon; Anneau de Brouce; Baguistik; Quatre-feuilles; Ceinture de Gein; Chapeau de Gein; Voile d'encre; Bottes du Cycloïde; Dofus Ocre; Dofus Abyssal; Dofus Turquoise; Dofus Pourpre; Cavaleur majeur; Remueur; Muldo Indigo</t>
        </is>
      </c>
    </row>
    <row r="5606">
      <c r="A5606" t="inlineStr">
        <is>
          <t>Stuff 3</t>
        </is>
      </c>
      <c r="B5606">
        <f>HYPERLINK("https://www.dofusbook.net/fr/equipement/102188-stuff-3/objets", "link")</f>
        <v/>
      </c>
      <c r="C5606" t="n">
        <v>1</v>
      </c>
      <c r="D5606" t="inlineStr">
        <is>
          <t>Dagoulinantes; Amulette de Shokkoth; Alliance Gloursonne; Bracelet des Fonds marins; Poulpagne; Casque Dragoeuf; Chevelure de Tal Kasha; Sandales des Fonds marins; Dofus Pourpre; Dofus Abyssal; Dofus des Glaces; Chanceux majeur; Muldo Ebène et Indigo</t>
        </is>
      </c>
    </row>
    <row r="5607">
      <c r="A5607" t="inlineStr">
        <is>
          <t>noair</t>
        </is>
      </c>
      <c r="B5607">
        <f>HYPERLINK("https://www.dofusbook.net/fr/equipement/1616179-noair/objets", "link")</f>
        <v/>
      </c>
      <c r="C5607" t="n">
        <v>1</v>
      </c>
      <c r="D5607" t="inlineStr">
        <is>
          <t>Rapière aux Glyphes; Amulette de Shokkoth; Bracelet des Fonds marins; Alliance Gloursonne; Poulpagne; Kidibonnet; Cape du Sinistrofu; Sandales des Fonds marins; Dofus Pourpre; Dofus des Glaces; Dofus Abyssal; Chanceux majeur; Carapace Terre majeur; Muldo Indigo</t>
        </is>
      </c>
    </row>
    <row r="5608">
      <c r="A5608" t="inlineStr">
        <is>
          <t>terre</t>
        </is>
      </c>
      <c r="B5608">
        <f>HYPERLINK("https://www.dofusbook.net/fr/equipement/1611478-terre/objets", "link")</f>
        <v/>
      </c>
      <c r="C5608" t="n">
        <v>5</v>
      </c>
      <c r="D5608" t="inlineStr">
        <is>
          <t>Arc du Chalœil; Amulette du Strigide; Anneau des égarés; Bracelet du Piloztère; Bouclier d'Anerice; Ceinture du Strigide; Masque d'Anerice; Cape d'Anerice; Bottes du Strigide; Dofus Pourpre; Dolmanax; Dofus Turquoise; Dofus des Glaces; Dofus Ocre; Dofus Abyssal; Muldo Ebène et Indigo</t>
        </is>
      </c>
    </row>
    <row r="5609">
      <c r="A5609" t="inlineStr">
        <is>
          <t>an2</t>
        </is>
      </c>
      <c r="B5609">
        <f>HYPERLINK("https://www.dofusbook.net/fr/equipement/1611405-an2/objets", "link")</f>
        <v/>
      </c>
      <c r="C5609" t="n">
        <v>3</v>
      </c>
      <c r="D5609" t="inlineStr">
        <is>
          <t>Arc du Chalœil; Amulette du Strigide; Anneau des égarés; Anneau de Brouce; Bouclier d'Anerice; Ceinture de Brouce; Masque d'Anerice; Cape d'Anerice; Bottes de Brouce; Dofus des Glaces; Dofus Ocre; Dolmanax; Dofus Abyssal; Dofus Émeraude; Dofus Pourpre; Muldo Ebène et Indigo</t>
        </is>
      </c>
    </row>
    <row r="5610">
      <c r="A5610" t="inlineStr">
        <is>
          <t>anerice</t>
        </is>
      </c>
      <c r="B5610">
        <f>HYPERLINK("https://www.dofusbook.net/fr/equipement/1608589-anerice/objets", "link")</f>
        <v/>
      </c>
      <c r="C5610" t="n">
        <v>2</v>
      </c>
      <c r="D5610" t="inlineStr">
        <is>
          <t>Rapière aux Glyphes; Amulette de Shokkoth; Bracelet des Fonds marins; Alliance Gloursonne; Poulpagne; Masque d'Anerice; Cape d'Anerice; Sandales Circulaires du Kimbo; Dofus Pourpre; Dofus Abyssal; Chanceux majeur; Remueur; Muldo Ebène et Indigo</t>
        </is>
      </c>
    </row>
    <row r="5611">
      <c r="A5611" t="inlineStr">
        <is>
          <t>tero</t>
        </is>
      </c>
      <c r="B5611">
        <f>HYPERLINK("https://www.dofusbook.net/fr/equipement/1601268-tero/objets", "link")</f>
        <v/>
      </c>
      <c r="C5611" t="n">
        <v>3</v>
      </c>
      <c r="D5611" t="inlineStr">
        <is>
          <t>Hache Téroïde; Amulette du Strigide; Anneau Crustique; Bague Gloursonne; Ceintacé; Masque de Koutoulou; Voile d'encre; Bottes du Strigide; Dofus Turquoise; Dolmanax; Dofus Pourpre; Dofus Abyssal; Carapace Terre majeur; Étourdisseur majeur; Muldo Pourpre et Amande</t>
        </is>
      </c>
    </row>
    <row r="5612">
      <c r="A5612" t="inlineStr">
        <is>
          <t>eau</t>
        </is>
      </c>
      <c r="B5612">
        <f>HYPERLINK("https://www.dofusbook.net/fr/equipement/1600440-eau/objets", "link")</f>
        <v/>
      </c>
      <c r="C5612" t="n">
        <v>1</v>
      </c>
      <c r="D5612" t="inlineStr">
        <is>
          <t>Sceptre du Roi Joueur; Amulette du Sinistrofu; Bracelet des Fonds marins; Alliance Gloursonne; Poulpagne; Casque Dragoeuf; Cape du Sinistrofu; Pataugastrique; Dofus Abyssal; Déserteur majeur; Chanceux majeur; Étourdisseur majeur; Muldo Ebène et Indigo</t>
        </is>
      </c>
    </row>
    <row r="5613">
      <c r="A5613" t="inlineStr">
        <is>
          <t>srambad</t>
        </is>
      </c>
      <c r="B5613">
        <f>HYPERLINK("https://www.dofusbook.net/fr/equipement/1598076-srambad/objets", "link")</f>
        <v/>
      </c>
      <c r="C5613" t="n">
        <v>5</v>
      </c>
      <c r="D5613" t="inlineStr">
        <is>
          <t>Dagues de Srambad; Amulette du Piloztère; Alliance Gloursonne; Pikano; Ceinture de la Reine des Voleurs; Coiffe de la Reine des Voleurs; Voile d'encre; Sabots Minables; Dofus des Glaces; Dofus Abyssal; Dofus Cawotte; Dofus Ocre; Nomade; Remueur; Kramkram</t>
        </is>
      </c>
    </row>
    <row r="5614">
      <c r="A5614" t="inlineStr">
        <is>
          <t>soin</t>
        </is>
      </c>
      <c r="B5614">
        <f>HYPERLINK("https://www.dofusbook.net/fr/equipement/1596224-soin/objets", "link")</f>
        <v/>
      </c>
      <c r="C5614" t="n">
        <v>4</v>
      </c>
      <c r="D5614" t="inlineStr">
        <is>
          <t>Baguette de Malléfisk; Pendentif mignon de Koutoulou; Anneau de Nidas; Anneau Tique; Ceinture de Vortex; Cagoule de Vortex; Voile d'encre; Pataugastrique; Dolmanax; Dofus Cawotte; Remueur; Érudit majeur; Étourdisseur majeur; Muldo Orchidée et Pourpre</t>
        </is>
      </c>
    </row>
    <row r="5615">
      <c r="A5615" t="inlineStr">
        <is>
          <t>air</t>
        </is>
      </c>
      <c r="B5615">
        <f>HYPERLINK("https://www.dofusbook.net/fr/equipement/1590150-air/objets", "link")</f>
        <v/>
      </c>
      <c r="C5615" t="n">
        <v>2</v>
      </c>
      <c r="D5615" t="inlineStr">
        <is>
          <t>Manthache; Collier du Valet Veinard; Alliance Gloursonne; Gant du Valet Veinard; Menoture; Casque Dragoeuf; Chevelure de Tal Kasha; Palmes Trithons; Dofus Abyssal; Dofus Cawotte; Remueur; Étourdisseur majeur; Cascadeur majeur; Muldo Ebène</t>
        </is>
      </c>
    </row>
    <row r="5616">
      <c r="A5616" t="inlineStr">
        <is>
          <t>tacle</t>
        </is>
      </c>
      <c r="B5616">
        <f>HYPERLINK("https://www.dofusbook.net/fr/equipement/1588590-tacle/objets", "link")</f>
        <v/>
      </c>
      <c r="C5616" t="n">
        <v>3</v>
      </c>
      <c r="D5616" t="inlineStr">
        <is>
          <t>Marteau R'ture; Amulette du Strigide; Anneau Crustique; Alliance Gloursonne; Ceinture de Brouce; Casque Dragoeuf; Cape de la Cour Sombre; Bottes de la Cour Sombre; Dofus Abyssal; Dofus Ocre; Remueur; Obstructeur majeur; Étourdisseur majeur; Évasif majeur; Muldo Indigo</t>
        </is>
      </c>
    </row>
    <row r="5617">
      <c r="A5617" t="inlineStr">
        <is>
          <t>Stuff 3</t>
        </is>
      </c>
      <c r="B5617">
        <f>HYPERLINK("https://www.dofusbook.net/fr/equipement/102158-stuff-3/objets", "link")</f>
        <v/>
      </c>
      <c r="C5617" t="n">
        <v>1</v>
      </c>
      <c r="D5617" t="inlineStr">
        <is>
          <t>Marteau R'ture; Collier de Tourthon; Anneau Crustique; Anneau Crustique; Ceintouse; Casque Dragoeuf; Cape de la Cour Sombre; Tentassons; Dofus Abyssal; Dolmanax; Dofus Ocre; Remueur; Étourdisseur majeur; Muldo Orchidée et Pourpre</t>
        </is>
      </c>
    </row>
    <row r="5618">
      <c r="A5618" t="inlineStr">
        <is>
          <t>Stuff 3</t>
        </is>
      </c>
      <c r="B5618">
        <f>HYPERLINK("https://www.dofusbook.net/fr/equipement/102155-stuff-3/objets", "link")</f>
        <v/>
      </c>
      <c r="C5618" t="n">
        <v>3</v>
      </c>
      <c r="D5618" t="inlineStr">
        <is>
          <t>Pelle de Katrepat; Collier de la Dame du Hasard; Alliance Gloursonne; Ceinture du Strigide; Casque Dragoeuf; Cape de la Dame du Hasard; Pataugastrique; Dofus Turquoise; Dofus Abyssal; Déserteur majeur; Remueur; Étourdisseur majeur; Nomade; Kramkram</t>
        </is>
      </c>
    </row>
    <row r="5619">
      <c r="A5619" t="inlineStr">
        <is>
          <t>Stuff 1</t>
        </is>
      </c>
      <c r="B5619">
        <f>HYPERLINK("https://www.dofusbook.net/fr/equipement/102108-stuff-1/objets", "link")</f>
        <v/>
      </c>
      <c r="C5619" t="n">
        <v>7</v>
      </c>
      <c r="D5619" t="inlineStr">
        <is>
          <t>Dagues de Srambad; Amulette Luminescente; Goulano; Alliance Gloursonne; Goulclier; Ceinture Luminescente; Casque du Chalœil; Cape Luminescente; Goulbottes; Dofus Turquoise; Dofus Ocre; Dofus Nébuleux; Dofus Pourpre; Dofus des Glaces; Dolmanax</t>
        </is>
      </c>
    </row>
    <row r="5620">
      <c r="A5620" t="inlineStr">
        <is>
          <t>monfreretropnul</t>
        </is>
      </c>
      <c r="B5620">
        <f>HYPERLINK("https://www.dofusbook.net/fr/equipement/1326320-monfreretropnul/objets", "link")</f>
        <v/>
      </c>
      <c r="C5620" t="n">
        <v>1</v>
      </c>
      <c r="D5620" t="inlineStr"/>
    </row>
    <row r="5621">
      <c r="A5621" t="inlineStr">
        <is>
          <t>Stuff 1</t>
        </is>
      </c>
      <c r="B5621">
        <f>HYPERLINK("https://www.dofusbook.net/fr/equipement/102153-stuff-1/objets", "link")</f>
        <v/>
      </c>
      <c r="C5621" t="n">
        <v>1</v>
      </c>
      <c r="D5621" t="inlineStr">
        <is>
          <t>Sceptre du Roi Joueur; Amulette de Shokkoth; Alliance Gloursonne; Pikano; Poulpagne; Casque Dragoeuf; Chevelure de Tal Kasha; Sandales de Tal Kasha; Dofus Turquoise; Dofus Abyssal; Remueur; Étourdisseur majeur; Déserteur majeur; Chanceux majeur; Muldo Indigo et Amande</t>
        </is>
      </c>
    </row>
    <row r="5622">
      <c r="A5622" t="inlineStr">
        <is>
          <t>Stuff 3</t>
        </is>
      </c>
      <c r="B5622">
        <f>HYPERLINK("https://www.dofusbook.net/fr/equipement/101999-stuff-3/objets", "link")</f>
        <v/>
      </c>
      <c r="C5622" t="n">
        <v>5</v>
      </c>
      <c r="D5622" t="inlineStr">
        <is>
          <t>Arc du Chalœil; Amulette du Strigide; Alliance Gloursonne; Bague Trithon; Ceintacé; Masque de Koutoulou; Voile d'encre; Bottes du Strigide; Dofus Pourpre; Dofus Turquoise; Dolmanax; Miraculé majeur</t>
        </is>
      </c>
    </row>
    <row r="5623">
      <c r="A5623" t="inlineStr">
        <is>
          <t>caca</t>
        </is>
      </c>
      <c r="B5623">
        <f>HYPERLINK("https://www.dofusbook.net/fr/equipement/1005445-caca/objets", "link")</f>
        <v/>
      </c>
      <c r="C5623" t="n">
        <v>5</v>
      </c>
      <c r="D5623" t="inlineStr">
        <is>
          <t>Epée Toche; Amulette du Strigide; Anneau de Brouce; Bague Gloursonne; Ceinture du Strigide; Bonnet Ko; Voile d'encre; Bottistik; Dofus Turquoise; Dofus Ocre; Dofus Émeraude; Dokoko; Nomade; Remueur; Muldo Indigo et Pourpre</t>
        </is>
      </c>
    </row>
    <row r="5624">
      <c r="A5624" t="inlineStr">
        <is>
          <t>PVP</t>
        </is>
      </c>
      <c r="B5624">
        <f>HYPERLINK("https://www.dofusbook.net/fr/equipement/1003375-pvp/objets", "link")</f>
        <v/>
      </c>
      <c r="C5624" t="n">
        <v>7</v>
      </c>
      <c r="D5624" t="inlineStr">
        <is>
          <t>Epée Toche; Amulette du Strigide; Bague Gloursonne; Alliance Gloursonne; Bouclier du Captain Amakna; Ceinture du Strigide; Bonnet Ko; Voile d'encre; Bottes du Strigide; Dofus Ocre; Dokoko; Dofus Émeraude; Dofus des Glaces; Dofus Pourpre; Dofus Turquoise; Muldo Ebène et Orchidée</t>
        </is>
      </c>
    </row>
    <row r="5625">
      <c r="A5625" t="inlineStr">
        <is>
          <t>Stuff 1</t>
        </is>
      </c>
      <c r="B5625">
        <f>HYPERLINK("https://www.dofusbook.net/fr/equipement/102165-stuff-1/objets", "link")</f>
        <v/>
      </c>
      <c r="C5625" t="n">
        <v>3</v>
      </c>
      <c r="D5625" t="inlineStr">
        <is>
          <t>Epée Toche; Amulette du Strigide; Bague Gloursonne; Baguistik; Ceinture de Gein; Masque de Koutoulou; Voile d'encre; Bottes du Strigide; Dofus des Glaces; Dofus Pourpre; Dolmanax; Dofus Turquoise; Remueur; Carapace Eau majeur; Muldo Ebène et Pourpre</t>
        </is>
      </c>
    </row>
    <row r="5626">
      <c r="A5626" t="inlineStr">
        <is>
          <t>Stuff 1</t>
        </is>
      </c>
      <c r="B5626">
        <f>HYPERLINK("https://www.dofusbook.net/fr/equipement/102096-stuff-1/objets", "link")</f>
        <v/>
      </c>
      <c r="C5626" t="n">
        <v>4</v>
      </c>
      <c r="D5626" t="inlineStr">
        <is>
          <t>Manthache; Collier du Valet Veinard; Alliance Gloursonne; Gant du Valet Veinard; Menoture; Casque Dragoeuf; Cape Indescriptible; Palmes Trithons; Dofus Abyssal; Dofus Cawotte; Dolmanax; Étourdisseur majeur; Remueur; Cascadeur majeur; Muldo Indigo et Orchidée</t>
        </is>
      </c>
    </row>
    <row r="5627">
      <c r="A5627" t="inlineStr">
        <is>
          <t>Stuff 3</t>
        </is>
      </c>
      <c r="B5627">
        <f>HYPERLINK("https://www.dofusbook.net/fr/equipement/102044-stuff-3/objets", "link")</f>
        <v/>
      </c>
      <c r="C5627" t="n">
        <v>3</v>
      </c>
      <c r="D5627" t="inlineStr">
        <is>
          <t>Hache Téroïde; Amulette du Strigide; Alliance Gloursonne; Baguistik; Ceintacé; Masque de Koutoulou; Voile d'encre; Bottes du Strigide; Dolmanax; Dofus Turquoise; Dofus Pourpre; Dofus Cawotte; Carapace Terre majeur; Étourdisseur majeur; Muldo Indigo et Pourpre</t>
        </is>
      </c>
    </row>
    <row r="5628">
      <c r="A5628" t="inlineStr">
        <is>
          <t>Stuff 1</t>
        </is>
      </c>
      <c r="B5628">
        <f>HYPERLINK("https://www.dofusbook.net/fr/equipement/102057-stuff-1/objets", "link")</f>
        <v/>
      </c>
      <c r="C5628" t="n">
        <v>1</v>
      </c>
      <c r="D5628" t="inlineStr">
        <is>
          <t>Dagoulinantes; Amulette de Shokkoth; Alliance Gloursonne; Bracelet des Fonds marins; Ceinture du Barbétoal; Némès de Tal Kasha; Chevelure de Tal Kasha; Pataugastrique; Dolmanax; Déserteur majeur; Remueur; Étourdisseur majeur; Chanceux majeur; Muldo Ebène et Pourpre</t>
        </is>
      </c>
    </row>
    <row r="5629">
      <c r="A5629" t="inlineStr">
        <is>
          <t>Stuff 3</t>
        </is>
      </c>
      <c r="B5629">
        <f>HYPERLINK("https://www.dofusbook.net/fr/equipement/102029-stuff-3/objets", "link")</f>
        <v/>
      </c>
      <c r="C5629" t="n">
        <v>2</v>
      </c>
      <c r="D5629" t="inlineStr">
        <is>
          <t>Héqache; Amulette du Strigide; Alliance Gloursonne; Anneau Crustique; Ceintacé; Chapoulpe; Cape de la Cour Sombre; Tentassons; Dofus Turquoise; Remueur; Nomade; Étourdisseur majeur; Kramkram</t>
        </is>
      </c>
    </row>
    <row r="5630">
      <c r="A5630" t="inlineStr">
        <is>
          <t>Stuff 1</t>
        </is>
      </c>
      <c r="B5630">
        <f>HYPERLINK("https://www.dofusbook.net/fr/equipement/102189-stuff-1/objets", "link")</f>
        <v/>
      </c>
      <c r="C5630" t="n">
        <v>2</v>
      </c>
      <c r="D5630" t="inlineStr">
        <is>
          <t>Rapière aux Glyphes; Amulette de Shokkoth; Bracelet des Fonds marins; Alliance Gloursonne; Poulpagne; Kidibonnet; Chevelure de Tal Kasha; Sandales des Fonds marins; Dokoko; Dofus Abyssal; Dofus Émeraude; Chanceux majeur; Nomade; Kramkram</t>
        </is>
      </c>
    </row>
    <row r="5631">
      <c r="A5631" t="inlineStr">
        <is>
          <t>Stuff 1</t>
        </is>
      </c>
      <c r="B5631">
        <f>HYPERLINK("https://www.dofusbook.net/fr/equipement/102206-stuff-1/objets", "link")</f>
        <v/>
      </c>
      <c r="C5631" t="n">
        <v>4</v>
      </c>
      <c r="D5631" t="inlineStr">
        <is>
          <t>Baguette de Malléfisk; Pendentif mignon de Koutoulou; Bague Gloursonne; Anneau de Nidas; Protopagne; Casque Dragoeuf; Cape de Diondin; Tongues de Nidas; Dolmanax; Déserteur majeur; Érudit majeur; Remueur; Muldo Ebène et Orchidée</t>
        </is>
      </c>
    </row>
    <row r="5632">
      <c r="A5632" t="inlineStr">
        <is>
          <t>Stuff 2</t>
        </is>
      </c>
      <c r="B5632">
        <f>HYPERLINK("https://www.dofusbook.net/fr/equipement/102163-stuff-2/objets", "link")</f>
        <v/>
      </c>
      <c r="C5632" t="n">
        <v>2</v>
      </c>
      <c r="D5632" t="inlineStr">
        <is>
          <t>Plumeau Bil; Pendentif mignon de Koutoulou; Anneau Rifique; Anneau de Nidas; Ceinture de Vortex; Casque Dragoeuf; Cape de Diondin; Bottes Innommables; Dofus Cawotte; Dolmanax; Déserteur majeur; Étourdisseur majeur; Érudit majeur; Remueur</t>
        </is>
      </c>
    </row>
    <row r="5633">
      <c r="A5633" t="inlineStr">
        <is>
          <t>Stuff 3</t>
        </is>
      </c>
      <c r="B5633">
        <f>HYPERLINK("https://www.dofusbook.net/fr/equipement/102208-stuff-3/objets", "link")</f>
        <v/>
      </c>
      <c r="C5633" t="n">
        <v>6</v>
      </c>
      <c r="D5633" t="inlineStr">
        <is>
          <t>Baguette de Malléfisk; Pendentif affamé; Anneau de Nidas; Anneau Rifique; Protopagne; Casque Cyclopéen; Voile d'encre; Bottes Innommables; Dofus Ocre; Dofus Émeraude; Remueur; Carapace Neutre majeur; Carapace Terre majeur; Érudit majeur</t>
        </is>
      </c>
    </row>
    <row r="5634">
      <c r="A5634" t="inlineStr">
        <is>
          <t>Stuff 1</t>
        </is>
      </c>
      <c r="B5634">
        <f>HYPERLINK("https://www.dofusbook.net/fr/equipement/102201-stuff-1/objets", "link")</f>
        <v/>
      </c>
      <c r="C5634" t="n">
        <v>5</v>
      </c>
      <c r="D5634" t="inlineStr">
        <is>
          <t>Dagoulinantes; Amulette de Shokkoth; Alliance Gloursonne; Bague Trithon; Ceinture du Barbétoal; Masque du Barbétoal; Chevelure de Tal Kasha; Pataugastrique; Dofus Turquoise; Chanceux majeur; Nomade; Étourdisseur majeur; Remueur; Kramkram</t>
        </is>
      </c>
    </row>
    <row r="5635">
      <c r="A5635" t="inlineStr">
        <is>
          <t>Stuff 2</t>
        </is>
      </c>
      <c r="B5635">
        <f>HYPERLINK("https://www.dofusbook.net/fr/equipement/102190-stuff-2/objets", "link")</f>
        <v/>
      </c>
      <c r="C5635" t="n">
        <v>1</v>
      </c>
      <c r="D5635" t="inlineStr">
        <is>
          <t>Arc Hétype; Pendentif mignon de Koutoulou; Anneau Tique; Anneau de Nidas; Ceinture de Gein; Casque Cyclopéen; Cape de Diondin; Bottes Innommables; Remueur; Nomade; Érudit majeur; Kramkram</t>
        </is>
      </c>
    </row>
    <row r="5636">
      <c r="A5636" t="inlineStr">
        <is>
          <t>Stuff 3</t>
        </is>
      </c>
      <c r="B5636">
        <f>HYPERLINK("https://www.dofusbook.net/fr/equipement/102203-stuff-3/objets", "link")</f>
        <v/>
      </c>
      <c r="C5636" t="n">
        <v>5</v>
      </c>
      <c r="D5636" t="inlineStr">
        <is>
          <t>Dagues Érhy; Amulette du Strigide; Anneau Chevelu; Bague Gloursonne; Ceintacé; Chapoulpe; Voile d'encre; Bottes du Strigide; Dolmanax; Dofus Turquoise; Remueur; Carapace Air majeur; Étourdisseur majeur; Nomade; Kramkram</t>
        </is>
      </c>
    </row>
    <row r="5637">
      <c r="A5637" t="inlineStr">
        <is>
          <t>Stuff 2</t>
        </is>
      </c>
      <c r="B5637">
        <f>HYPERLINK("https://www.dofusbook.net/fr/equipement/102187-stuff-2/objets", "link")</f>
        <v/>
      </c>
      <c r="C5637" t="n">
        <v>1</v>
      </c>
      <c r="D5637" t="inlineStr">
        <is>
          <t>Rapière aux Glyphes; Amulette de Shokkoth; Alliance Gloursonne; Bracelet des Fonds marins; Poulpagne; Casque Dragoeuf; Cape de Mantaze; Sandales des Fonds marins; Dofus Abyssal; Dofus Pourpre; Dofus des Glaces; Nomade; Chanceux majeur; Remueur; Dragodinde en armure</t>
        </is>
      </c>
    </row>
    <row r="5638">
      <c r="A5638" t="inlineStr">
        <is>
          <t>Stuff 3</t>
        </is>
      </c>
      <c r="B5638">
        <f>HYPERLINK("https://www.dofusbook.net/fr/equipement/102167-stuff-3/objets", "link")</f>
        <v/>
      </c>
      <c r="C5638" t="n">
        <v>3</v>
      </c>
      <c r="D5638" t="inlineStr">
        <is>
          <t>Rapière aux Glyphes; Amulette du Piloztère; Alliance Gloursonne; Bracelet des Fonds marins; Ceinture du Barbétoal; Kidibonnet; Capchalot; Sandales des Fonds marins; Dofus des Glaces; Carapace Air majeur; Remueur; Évasif majeur; Nomade; Kramkram</t>
        </is>
      </c>
    </row>
    <row r="5639">
      <c r="A5639" t="inlineStr">
        <is>
          <t>Stuff 1</t>
        </is>
      </c>
      <c r="B5639">
        <f>HYPERLINK("https://www.dofusbook.net/fr/equipement/102162-stuff-1/objets", "link")</f>
        <v/>
      </c>
      <c r="C5639" t="n">
        <v>2</v>
      </c>
      <c r="D5639" t="inlineStr">
        <is>
          <t>Marteau Phossile; Pendentif mignon de Koutoulou; Anneau Tique; Anneau de Nidas; Ceinture de Vortex; Cagoule de Vortex; Voile d'encre; Pataugastrique; Dolmanax; Carapace Feu majeur; Nomade; Déserteur majeur; Érudit majeur; Remueur; Kramkram</t>
        </is>
      </c>
    </row>
    <row r="5640">
      <c r="A5640" t="inlineStr">
        <is>
          <t>Stuff 2</t>
        </is>
      </c>
      <c r="B5640">
        <f>HYPERLINK("https://www.dofusbook.net/fr/equipement/102154-stuff-2/objets", "link")</f>
        <v/>
      </c>
      <c r="C5640" t="n">
        <v>1</v>
      </c>
      <c r="D5640" t="inlineStr">
        <is>
          <t>Harpelle; Pendentif mignon de Koutoulou; Anneau Rifique; Anneau de Nidas; Ceinture de Vortex; Casque Dragoeuf; Cape de Diondin; Bottes Innommables; Érudit majeur; Nomade; Déserteur majeur; Remueur; Kramkram</t>
        </is>
      </c>
    </row>
    <row r="5641">
      <c r="A5641" t="inlineStr">
        <is>
          <t>Stuff 2</t>
        </is>
      </c>
      <c r="B5641">
        <f>HYPERLINK("https://www.dofusbook.net/fr/equipement/102207-stuff-2/objets", "link")</f>
        <v/>
      </c>
      <c r="C5641" t="n">
        <v>3</v>
      </c>
      <c r="D5641" t="inlineStr">
        <is>
          <t>Baguette de Malléfisk; Pendentif mignon de Koutoulou; Bague Gloursonne; Anneau de Nidas; Protopagne; Casque Cyclopéen; Voile d'encre; Bottes Innommables; Dofus Ocre; Dolmanax; Dofus Abyssal; Remueur; Déserteur majeur; Érudit majeur; Muldo Indigo et Pourpre</t>
        </is>
      </c>
    </row>
    <row r="5642">
      <c r="A5642" t="inlineStr">
        <is>
          <t>Stuff 3</t>
        </is>
      </c>
      <c r="B5642">
        <f>HYPERLINK("https://www.dofusbook.net/fr/equipement/102164-stuff-3/objets", "link")</f>
        <v/>
      </c>
      <c r="C5642" t="n">
        <v>2</v>
      </c>
      <c r="D5642" t="inlineStr">
        <is>
          <t>Pelle de Katrepat; Talisman Igans; Alliance Gloursonne; Ceintrigue; Casque Dragoeuf; Cape de la Dame du Hasard; Pataugastrique; Dolmanax; Déserteur majeur; Étourdisseur majeur; Remueur</t>
        </is>
      </c>
    </row>
    <row r="5643">
      <c r="A5643" t="inlineStr">
        <is>
          <t>Stuff 2</t>
        </is>
      </c>
      <c r="B5643">
        <f>HYPERLINK("https://www.dofusbook.net/fr/equipement/102202-stuff-2/objets", "link")</f>
        <v/>
      </c>
      <c r="C5643" t="n">
        <v>3</v>
      </c>
      <c r="D5643" t="inlineStr">
        <is>
          <t>Dagoulinantes; Amulette de Shokkoth; Bague Trithon; Alliance Gloursonne; Poulpagne; Masque du Barbétoal; Chevelure de Tal Kasha; Sandales de Tal Kasha; Dofus Turquoise; Remueur; Étourdisseur majeur; Nomade; Kramkram</t>
        </is>
      </c>
    </row>
    <row r="5644">
      <c r="A5644" t="inlineStr">
        <is>
          <t>Stuff 3</t>
        </is>
      </c>
      <c r="B5644">
        <f>HYPERLINK("https://www.dofusbook.net/fr/equipement/102191-stuff-3/objets", "link")</f>
        <v/>
      </c>
      <c r="C5644" t="n">
        <v>2</v>
      </c>
      <c r="D5644" t="inlineStr">
        <is>
          <t>Dagues Érhy; Amulette du Strigide; Bracelet du Piloztère; Alliance Gloursonne; Ceintacé; Casque de Missiz Frizz; Voile d'encre; Bottes du Strigide; Dofus Pourpre; Dofus Turquoise; Vigoureux majeur; Remueur; Nomade; Kramkram</t>
        </is>
      </c>
    </row>
    <row r="5645">
      <c r="A5645" t="inlineStr">
        <is>
          <t>Stuff 1</t>
        </is>
      </c>
      <c r="B5645">
        <f>HYPERLINK("https://www.dofusbook.net/fr/equipement/102186-stuff-1/objets", "link")</f>
        <v/>
      </c>
      <c r="C5645" t="n">
        <v>1</v>
      </c>
      <c r="D5645" t="inlineStr">
        <is>
          <t>Rapière aux Glyphes; Amulette de Shokkoth; Bracelet des Fonds marins; Alliance Gloursonne; Poulpagne; Masque des Fonds marins; Chevelure de Tal Kasha; Bottes du Sinistrofu; Dofus Pourpre; Dofus des Glaces; Carapace Eau majeur; Chanceux majeur; Remueur; Évasif majeur; Muldo Indigo et Pourpre</t>
        </is>
      </c>
    </row>
    <row r="5646">
      <c r="A5646" t="inlineStr">
        <is>
          <t>Stuff 2</t>
        </is>
      </c>
      <c r="B5646">
        <f>HYPERLINK("https://www.dofusbook.net/fr/equipement/102166-stuff-2/objets", "link")</f>
        <v/>
      </c>
      <c r="C5646" t="n">
        <v>3</v>
      </c>
      <c r="D5646" t="inlineStr">
        <is>
          <t>Epée Loponèze; Amulette Voldelor; Alliance Gloursonne; Grésilanneau; Ceinture du Barbétoal; Coiffe de la Reine des Voleurs; Cape Matelassée; Bottes de la Reine des Voleurs; Dolmanax; Dofus des Glaces; Remueur; Nomade</t>
        </is>
      </c>
    </row>
    <row r="5647">
      <c r="A5647" t="inlineStr">
        <is>
          <t>Stuff 2</t>
        </is>
      </c>
      <c r="B5647">
        <f>HYPERLINK("https://www.dofusbook.net/fr/equipement/102148-stuff-2/objets", "link")</f>
        <v/>
      </c>
      <c r="C5647" t="n">
        <v>5</v>
      </c>
      <c r="D5647" t="inlineStr">
        <is>
          <t>Hache Téroïde; Amulette Ementaire Deluxe; Alliance Gloursonne; Anneau du Katcheur; Cadran de Feu; Ceinture du Strigide; Masque du Katcheur; Voile d'encre; Bottes du Cycloïde; Dolmanax; Dofus des Glaces; Dofus Émeraude; Dofus Ocre; Dokoko; Remueur; Muldo Ebène et Pourpre</t>
        </is>
      </c>
    </row>
    <row r="5648">
      <c r="A5648" t="inlineStr">
        <is>
          <t>Stuff 3</t>
        </is>
      </c>
      <c r="B5648">
        <f>HYPERLINK("https://www.dofusbook.net/fr/equipement/102095-stuff-3/objets", "link")</f>
        <v/>
      </c>
      <c r="C5648" t="n">
        <v>8</v>
      </c>
      <c r="D5648" t="inlineStr">
        <is>
          <t>Dagoulinantes; Amulette de Shokkoth; Alliance Gloursonne; Bague Trithon; Ceinture Luminescente; Kidibonnet; Cape des Malveilleurs; Bottes des Malveilleurs; Dofus Émeraude; Culbuteur majeur; Remueur; Carapace Neutre majeur; Miraculé majeur; Bousculeur majeur</t>
        </is>
      </c>
    </row>
    <row r="5649">
      <c r="A5649" t="inlineStr">
        <is>
          <t>Stuff 3</t>
        </is>
      </c>
      <c r="B5649">
        <f>HYPERLINK("https://www.dofusbook.net/fr/equipement/102092-stuff-3/objets", "link")</f>
        <v/>
      </c>
      <c r="C5649" t="n">
        <v>1</v>
      </c>
      <c r="D5649" t="inlineStr">
        <is>
          <t>Marteau des Anciens Steamers; Amulette du Strigide; Pikano; Alliance Gloursonne; Ceintacé; Némès de Tal Kasha; Chevelure de Tal Kasha; Sandales  d'Atcham; Dofus Pourpre; Dofus Turquoise; Dolmanax; Remueur; Vigoureux majeur; Nomade</t>
        </is>
      </c>
    </row>
    <row r="5650">
      <c r="A5650" t="inlineStr">
        <is>
          <t>Stuff 2</t>
        </is>
      </c>
      <c r="B5650">
        <f>HYPERLINK("https://www.dofusbook.net/fr/equipement/102145-stuff-2/objets", "link")</f>
        <v/>
      </c>
      <c r="C5650" t="n">
        <v>0</v>
      </c>
      <c r="D5650" t="inlineStr">
        <is>
          <t>Baguette de Malléfisk; Amulette de Nileza; Anneau de Nidas; Anneau Tique; Ceinture Séculaire; Couronne de Nidas; Voile d'encre; Pataugastrique; Déserteur majeur; Remueur; Temporiseur majeur; Érudit majeur; Carapace Eau majeur; Carapace Neutre majeur</t>
        </is>
      </c>
    </row>
    <row r="5651">
      <c r="A5651" t="inlineStr">
        <is>
          <t>Stuff 3</t>
        </is>
      </c>
      <c r="B5651">
        <f>HYPERLINK("https://www.dofusbook.net/fr/equipement/102140-stuff-3/objets", "link")</f>
        <v/>
      </c>
      <c r="C5651" t="n">
        <v>0</v>
      </c>
      <c r="D5651" t="inlineStr">
        <is>
          <t>Sabres d'Atcham; Amulette du Strigide; Anneau Tique; Alliance Gloursonne; Ceintacé; Cagoule de Vortex; Voile d'encre; Sandales  d'Atcham; Dolmanax; Dofus Turquoise; Nomade; Remueur; Kramkram</t>
        </is>
      </c>
    </row>
    <row r="5652">
      <c r="A5652" t="inlineStr">
        <is>
          <t>Stuff 2</t>
        </is>
      </c>
      <c r="B5652">
        <f>HYPERLINK("https://www.dofusbook.net/fr/equipement/102064-stuff-2/objets", "link")</f>
        <v/>
      </c>
      <c r="C5652" t="n">
        <v>1</v>
      </c>
      <c r="D5652" t="inlineStr">
        <is>
          <t>Dagoulinantes; Talisman Igans; Alliance Gloursonne; Anneau Glacial; Poulpagne; Masque du Barbétoal; Cape des Malveilleurs; Bottes Owesli; Dofus Émeraude; Remueur; Carapace Feu majeur; Miraculé majeur; Culbuteur majeur</t>
        </is>
      </c>
    </row>
    <row r="5653">
      <c r="A5653" t="inlineStr">
        <is>
          <t>Stuff 1</t>
        </is>
      </c>
      <c r="B5653">
        <f>HYPERLINK("https://www.dofusbook.net/fr/equipement/102129-stuff-1/objets", "link")</f>
        <v/>
      </c>
      <c r="C5653" t="n">
        <v>0</v>
      </c>
      <c r="D5653" t="inlineStr">
        <is>
          <t>Dagues Érhy; Amulette du Strigide; Alliance Gloursonne; Pikano; Ceintacé; Chapeau de Gein; Voile d'encre; Bottes du Strigide; Dolmanax; Dofus des Glaces; Dofus Turquoise; Remueur; Nomade; Kramkram</t>
        </is>
      </c>
    </row>
    <row r="5654">
      <c r="A5654" t="inlineStr">
        <is>
          <t>Stuff 2</t>
        </is>
      </c>
      <c r="B5654">
        <f>HYPERLINK("https://www.dofusbook.net/fr/equipement/102121-stuff-2/objets", "link")</f>
        <v/>
      </c>
      <c r="C5654" t="n">
        <v>0</v>
      </c>
      <c r="D5654" t="inlineStr">
        <is>
          <t>Baguette de Malléfisk; Torquistik; Alliance Gloursonne; Baguistik; Ceintrigue; Casque Dragoeuf; Cape des Malveilleurs; Bottes de Meno; Dofus Ocre; Dokoko; Dofus Émeraude; Miraculé majeur; Remueur; Culbuteur majeur</t>
        </is>
      </c>
    </row>
    <row r="5655">
      <c r="A5655" t="inlineStr">
        <is>
          <t>Stuff 3</t>
        </is>
      </c>
      <c r="B5655">
        <f>HYPERLINK("https://www.dofusbook.net/fr/equipement/102110-stuff-3/objets", "link")</f>
        <v/>
      </c>
      <c r="C5655" t="n">
        <v>2</v>
      </c>
      <c r="D5655" t="inlineStr">
        <is>
          <t>Hache du Chalœil; Amulette du Strigide; Ceintacé; Casque de Missiz Frizz; Voile d'encre; Dofus Ocre; Dofus Nébuleux; Dofus des Glaces; Dofus Pourpre; Dolmanax; Dofus Turquoise</t>
        </is>
      </c>
    </row>
    <row r="5656">
      <c r="A5656" t="inlineStr">
        <is>
          <t>Stuff 1</t>
        </is>
      </c>
      <c r="B5656">
        <f>HYPERLINK("https://www.dofusbook.net/fr/equipement/102102-stuff-1/objets", "link")</f>
        <v/>
      </c>
      <c r="C5656" t="n">
        <v>3</v>
      </c>
      <c r="D5656" t="inlineStr">
        <is>
          <t>Arc de Koutoulou; Amulette du Strigide; Pikano; Alliance Gloursonne; Ceintacé; Chapeau Lisson; Chevelure de Tal Kasha; Bottes du Strigide; Dolmanax; Dofus Pourpre; Dofus Turquoise; Remueur; Vigoureux majeur; Nomade; Kramkram</t>
        </is>
      </c>
    </row>
    <row r="5657">
      <c r="A5657" t="inlineStr">
        <is>
          <t>Stuff 3</t>
        </is>
      </c>
      <c r="B5657">
        <f>HYPERLINK("https://www.dofusbook.net/fr/equipement/102152-stuff-3/objets", "link")</f>
        <v/>
      </c>
      <c r="C5657" t="n">
        <v>0</v>
      </c>
      <c r="D5657" t="inlineStr">
        <is>
          <t>Baguette de Malléfisk; Pendentif affamé; Anneau de Nidas; Anneau Tique; Ceinture de Gein; Couronne de Nidas; Voile d'encre; Pataugastrique; Temporiseur majeur; Érudit majeur; Remueur; Déserteur majeur</t>
        </is>
      </c>
    </row>
    <row r="5658">
      <c r="A5658" t="inlineStr">
        <is>
          <t>Stuff 2</t>
        </is>
      </c>
      <c r="B5658">
        <f>HYPERLINK("https://www.dofusbook.net/fr/equipement/102094-stuff-2/objets", "link")</f>
        <v/>
      </c>
      <c r="C5658" t="n">
        <v>0</v>
      </c>
      <c r="D5658" t="inlineStr">
        <is>
          <t>Dagoulinantes; Talisman Igans; Bague Trithon; Alliance Gloursonne; Ceinture Luminescente; Kidibonnet; Cape des Malveilleurs; Bottes Owesli; Dofus Émeraude; Culbuteur majeur; Remueur; Miraculé majeur; Carapace Air majeur; Bousculeur majeur</t>
        </is>
      </c>
    </row>
    <row r="5659">
      <c r="A5659" t="inlineStr">
        <is>
          <t>Stuff 1</t>
        </is>
      </c>
      <c r="B5659">
        <f>HYPERLINK("https://www.dofusbook.net/fr/equipement/102147-stuff-1/objets", "link")</f>
        <v/>
      </c>
      <c r="C5659" t="n">
        <v>1</v>
      </c>
      <c r="D5659" t="inlineStr">
        <is>
          <t>Arc Honte; Amulette Ementaire Deluxe; Bague Gloursonne; Alliance Gloursonne; Cadran de Feu; Ceinture du Strigide; Casque du Chalœil; Cape du Chalœil; Bottes du Chalœil; Dolmanax; Dofus Émeraude; Dofus Ocre; Dofus des Glaces; Dokoko; Dofus Pourpre; Muldo Ebène et Pourpre</t>
        </is>
      </c>
    </row>
    <row r="5660">
      <c r="A5660" t="inlineStr">
        <is>
          <t>Stuff 3</t>
        </is>
      </c>
      <c r="B5660">
        <f>HYPERLINK("https://www.dofusbook.net/fr/equipement/102086-stuff-3/objets", "link")</f>
        <v/>
      </c>
      <c r="C5660" t="n">
        <v>0</v>
      </c>
      <c r="D5660" t="inlineStr">
        <is>
          <t>Dagues Érhy; Amulette du Strigide; Alliance Gloursonne; Bracelet du Piloztère; Ceintacé; Casque Dragoeuf; Voile d'encre; Bottes du Strigide; Dofus Turquoise; Dofus Abyssal; Dofus Pourpre; Remueur; Cavaleur majeur; Nomade; Kramkram</t>
        </is>
      </c>
    </row>
    <row r="5661">
      <c r="A5661" t="inlineStr">
        <is>
          <t>Stuff 2</t>
        </is>
      </c>
      <c r="B5661">
        <f>HYPERLINK("https://www.dofusbook.net/fr/equipement/102142-stuff-2/objets", "link")</f>
        <v/>
      </c>
      <c r="C5661" t="n">
        <v>0</v>
      </c>
      <c r="D5661" t="inlineStr">
        <is>
          <t>Dagues Érhy; Amulette du Strigide; Alliance Gloursonne; Bague Trithon; Ceintacé; Chapeau de Gein; Voile d'encre; Bottes du Strigide; Dofus Pourpre; Dofus Turquoise; Dofus Émeraude; Remueur; Miraculé majeur</t>
        </is>
      </c>
    </row>
    <row r="5662">
      <c r="A5662" t="inlineStr">
        <is>
          <t>Stuff 1</t>
        </is>
      </c>
      <c r="B5662">
        <f>HYPERLINK("https://www.dofusbook.net/fr/equipement/102078-stuff-1/objets", "link")</f>
        <v/>
      </c>
      <c r="C5662" t="n">
        <v>0</v>
      </c>
      <c r="D5662" t="inlineStr">
        <is>
          <t>Dagoulinantes; Talisman Igans; Bague Trithon; Alliance Gloursonne; Poulpagne; Casque Dragoeuf; Cape des Malveilleurs; Bottes Owesli; Dofus Turquoise; Miraculé majeur; Culbuteur majeur; Remueur; Chanceux majeur; Bousculeur majeur</t>
        </is>
      </c>
    </row>
    <row r="5663">
      <c r="A5663" t="inlineStr">
        <is>
          <t>Stuff 3</t>
        </is>
      </c>
      <c r="B5663">
        <f>HYPERLINK("https://www.dofusbook.net/fr/equipement/102131-stuff-3/objets", "link")</f>
        <v/>
      </c>
      <c r="C5663" t="n">
        <v>1</v>
      </c>
      <c r="D5663" t="inlineStr">
        <is>
          <t>Hache du Chalœil; Amulette du Strigide; Alliance Gloursonne; Bracelet du Piloztère; Ceintacé; Chapeau Lisson; Dofusteuse; Bottes du Strigide; Dolmanax; Dofus des Glaces; Dofus Turquoise; Remueur; Nomade; Kramkram</t>
        </is>
      </c>
    </row>
    <row r="5664">
      <c r="A5664" t="inlineStr">
        <is>
          <t>Stuff 1</t>
        </is>
      </c>
      <c r="B5664">
        <f>HYPERLINK("https://www.dofusbook.net/fr/equipement/102123-stuff-1/objets", "link")</f>
        <v/>
      </c>
      <c r="C5664" t="n">
        <v>1</v>
      </c>
      <c r="D5664" t="inlineStr">
        <is>
          <t>Arc Hétype; Pendentif mignon de Koutoulou; Kralano; Anneau de Nidas; Protopagne; Casque Cyclopéen; Cape de Diondin; Bottes Innommables; Dofus Abyssal; Érudit majeur; Carapace Eau majeur; Cavaleur majeur; Remueur</t>
        </is>
      </c>
    </row>
    <row r="5665">
      <c r="A5665" t="inlineStr">
        <is>
          <t>Stuff 2</t>
        </is>
      </c>
      <c r="B5665">
        <f>HYPERLINK("https://www.dofusbook.net/fr/equipement/102112-stuff-2/objets", "link")</f>
        <v/>
      </c>
      <c r="C5665" t="n">
        <v>0</v>
      </c>
      <c r="D5665" t="inlineStr">
        <is>
          <t>Plumeau Bil; Pendentif mignon de Koutoulou; Anneau Rifique; Anneau de Nidas; Ceinture de Vortex; Casque Dragoeuf; Cape de Diondin; Bottes Innommables; Dofus Cawotte; Étourdisseur majeur; Déserteur majeur; Remueur; Érudit majeur; Muldo Indigo et Orchidée</t>
        </is>
      </c>
    </row>
    <row r="5666">
      <c r="A5666" t="inlineStr">
        <is>
          <t>Stuff 3</t>
        </is>
      </c>
      <c r="B5666">
        <f>HYPERLINK("https://www.dofusbook.net/fr/equipement/102149-stuff-3/objets", "link")</f>
        <v/>
      </c>
      <c r="C5666" t="n">
        <v>1</v>
      </c>
      <c r="D5666" t="inlineStr">
        <is>
          <t>Dagues Érhy; Amulette Ementaire Deluxe; Anneau du Katcheur; Alliance Gloursonne; Cadran de Feu; Ceinture du Strigide; Chapeau Lisson; Voile d'encre; Bottes du Strigide; Dokoko; Dofus des Glaces; Dofus Émeraude; Dofus Ocre; Dolmanax; Remueur; Muldo Ebène et Pourpre</t>
        </is>
      </c>
    </row>
    <row r="5667">
      <c r="A5667" t="inlineStr">
        <is>
          <t>Stuff 1</t>
        </is>
      </c>
      <c r="B5667">
        <f>HYPERLINK("https://www.dofusbook.net/fr/equipement/102144-stuff-1/objets", "link")</f>
        <v/>
      </c>
      <c r="C5667" t="n">
        <v>0</v>
      </c>
      <c r="D5667" t="inlineStr">
        <is>
          <t>Arc Hétype; Pendentif affamé; Anneau Rifique; Anneau de Nidas; Ceinture de Gein; Couronne de Nidas; Voile d'encre; Bottes Innommables; Dofus Ocre; Remueur; Déserteur majeur; Érudit majeur; Muldo Ebène et Orchidée</t>
        </is>
      </c>
    </row>
    <row r="5668">
      <c r="A5668" t="inlineStr">
        <is>
          <t>Stuff 3</t>
        </is>
      </c>
      <c r="B5668">
        <f>HYPERLINK("https://www.dofusbook.net/fr/equipement/102080-stuff-3/objets", "link")</f>
        <v/>
      </c>
      <c r="C5668" t="n">
        <v>1</v>
      </c>
      <c r="D5668" t="inlineStr">
        <is>
          <t>Baguette de Malléfisk; Torquistik; Anneau de Nidas; Alliance Gloursonne; Ceintrigue; Casque Dragoeuf; Cape des Malveilleurs; Bottes Owesli; Dokoko; Dofus Ocre; Dofus Émeraude; Culbuteur majeur; Remueur; Miraculé majeur</t>
        </is>
      </c>
    </row>
    <row r="5669">
      <c r="A5669" t="inlineStr">
        <is>
          <t>Stuff 3</t>
        </is>
      </c>
      <c r="B5669">
        <f>HYPERLINK("https://www.dofusbook.net/fr/equipement/102080-stuff-3/objets", "link")</f>
        <v/>
      </c>
      <c r="C5669" t="n">
        <v>1</v>
      </c>
      <c r="D5669" t="inlineStr">
        <is>
          <t>Baguette de Malléfisk; Torquistik; Anneau de Nidas; Alliance Gloursonne; Ceintrigue; Casque Dragoeuf; Cape des Malveilleurs; Bottes Owesli; Dokoko; Dofus Ocre; Dofus Émeraude; Culbuteur majeur; Remueur; Miraculé majeur</t>
        </is>
      </c>
    </row>
    <row r="5670">
      <c r="A5670" t="inlineStr">
        <is>
          <t>Stuff 3</t>
        </is>
      </c>
      <c r="B5670">
        <f>HYPERLINK("https://www.dofusbook.net/fr/equipement/102125-stuff-3/objets", "link")</f>
        <v/>
      </c>
      <c r="C5670" t="n">
        <v>3</v>
      </c>
      <c r="D5670" t="inlineStr">
        <is>
          <t>Rapière aux Glyphes; Amulette du Piloztère; Alliance Gloursonne; Bracelet des Fonds marins; Poulpagne; Masque des Fonds marins; Cape du Sinistrofu; Pataugastrique; Évasif majeur; Nomade; Chanceux majeur; Remueur; Kramkram</t>
        </is>
      </c>
    </row>
    <row r="5671">
      <c r="A5671" t="inlineStr">
        <is>
          <t>Stuff 1</t>
        </is>
      </c>
      <c r="B5671">
        <f>HYPERLINK("https://www.dofusbook.net/fr/equipement/102063-stuff-1/objets", "link")</f>
        <v/>
      </c>
      <c r="C5671" t="n">
        <v>1</v>
      </c>
      <c r="D5671" t="inlineStr">
        <is>
          <t>Dagoulinantes; Amulette Luminescente; Bracelet des Fonds marins; Alliance Gloursonne; Ceinture Luminescente; Masque du Barbétoal; Cape du Chalœil; Bottes Owesli; Dolmanax; Dofus Ocre; Dofus Émeraude; Miraculé majeur; Remueur; Culbuteur majeur</t>
        </is>
      </c>
    </row>
    <row r="5672">
      <c r="A5672" t="inlineStr">
        <is>
          <t>Stuff 1</t>
        </is>
      </c>
      <c r="B5672">
        <f>HYPERLINK("https://www.dofusbook.net/fr/equipement/102120-stuff-1/objets", "link")</f>
        <v/>
      </c>
      <c r="C5672" t="n">
        <v>1</v>
      </c>
      <c r="D5672" t="inlineStr">
        <is>
          <t>Baguette de Malléfisk; Talisman Igans; Alliance Gloursonne; Baguistik; Poulpagne; Casque Dragoeuf; Cape des Malveilleurs; Bottistik; Dokoko; Dofus Émeraude; Guérisseur majeur; Miraculé majeur; Remueur; Culbuteur majeur</t>
        </is>
      </c>
    </row>
    <row r="5673">
      <c r="A5673" t="inlineStr">
        <is>
          <t>Stuff 2</t>
        </is>
      </c>
      <c r="B5673">
        <f>HYPERLINK("https://www.dofusbook.net/fr/equipement/102151-stuff-2/objets", "link")</f>
        <v/>
      </c>
      <c r="C5673" t="n">
        <v>2</v>
      </c>
      <c r="D5673" t="inlineStr">
        <is>
          <t>Baguette de Malléfisk; Amulette de Nileza; Anneau Tique; Anneau de Nidas; Ceinture de Gein; Couronne de Nidas; Voile d'encre; Pataugastrique; Dolmanax; Temporiseur majeur; Érudit majeur; Carapace Neutre majeur; Déserteur majeur; Remueur</t>
        </is>
      </c>
    </row>
    <row r="5674">
      <c r="A5674" t="inlineStr">
        <is>
          <t>Stuff 3</t>
        </is>
      </c>
      <c r="B5674">
        <f>HYPERLINK("https://www.dofusbook.net/fr/equipement/102098-stuff-3/objets", "link")</f>
        <v/>
      </c>
      <c r="C5674" t="n">
        <v>4</v>
      </c>
      <c r="D5674" t="inlineStr">
        <is>
          <t>Sabres d'Atcham; Amulette du Strigide; Anneau de Padgref; Alliance Gloursonne; Ceintacé; Chapeau Lisson; Cape d'Atcham; Pataugastrique; Dofus Cawotte; Dofus Turquoise; Dofus des Glaces; Remueur; Étourdisseur majeur; Nomade; Kramkram</t>
        </is>
      </c>
    </row>
    <row r="5675">
      <c r="A5675" t="inlineStr">
        <is>
          <t>Stuff 3</t>
        </is>
      </c>
      <c r="B5675">
        <f>HYPERLINK("https://www.dofusbook.net/fr/equipement/102146-stuff-3/objets", "link")</f>
        <v/>
      </c>
      <c r="C5675" t="n">
        <v>2</v>
      </c>
      <c r="D5675" t="inlineStr">
        <is>
          <t>Épée d'Otomaï; Talisman Igans; Anneau de Nidas; Anneau Tique; Ceinture de Gein; Chapeau de Gein; Voile d'encre; Pataugastrique; Dokoko; Dofus des Glaces; Dévastateur Feu majeur; Nomade; Érudit majeur; Remueur; Kramkram</t>
        </is>
      </c>
    </row>
    <row r="5676">
      <c r="A5676" t="inlineStr">
        <is>
          <t>Stuff 1</t>
        </is>
      </c>
      <c r="B5676">
        <f>HYPERLINK("https://www.dofusbook.net/fr/equipement/102093-stuff-1/objets", "link")</f>
        <v/>
      </c>
      <c r="C5676" t="n">
        <v>2</v>
      </c>
      <c r="D5676" t="inlineStr">
        <is>
          <t>Dagues Érhy; Amulette du Strigide; Anneau Chevelu; Alliance Gloursonne; Ceintacé; Chapeau de Gein; Voile d'encre; Bottes du Strigide; Dolmanax; Dofus Émeraude; Dofus Turquoise; Remueur; Miraculé majeur</t>
        </is>
      </c>
    </row>
    <row r="5677">
      <c r="A5677" t="inlineStr">
        <is>
          <t>Stuff 1</t>
        </is>
      </c>
      <c r="B5677">
        <f>HYPERLINK("https://www.dofusbook.net/fr/equipement/102141-stuff-1/objets", "link")</f>
        <v/>
      </c>
      <c r="C5677" t="n">
        <v>2</v>
      </c>
      <c r="D5677" t="inlineStr">
        <is>
          <t>Baguette de Malléfisk; Torquistik; Alliance Gloursonne; Anneau de Nidas; Ceintrigue; Casque Dragoeuf; Cape des Malveilleurs; Bottes Owesli; Dofus Ocre; Dofus Émeraude; Dokoko; Culbuteur majeur; Remueur; Miraculé majeur</t>
        </is>
      </c>
    </row>
    <row r="5678">
      <c r="A5678" t="inlineStr">
        <is>
          <t>Stuff 2</t>
        </is>
      </c>
      <c r="B5678">
        <f>HYPERLINK("https://www.dofusbook.net/fr/equipement/102130-stuff-2/objets", "link")</f>
        <v/>
      </c>
      <c r="C5678" t="n">
        <v>2</v>
      </c>
      <c r="D5678" t="inlineStr">
        <is>
          <t>Hache du Chalœil; Amulette du Strigide; Grésilanneau; Alliance Gloursonne; Ceintacé; Casque de Missiz Frizz; Voile d'encre; Bottes du Strigide; Dofus Turquoise; Dolmanax; Dofus des Glaces; Remueur; Nomade; Kramkram</t>
        </is>
      </c>
    </row>
    <row r="5679">
      <c r="A5679" t="inlineStr">
        <is>
          <t>Stuff 3</t>
        </is>
      </c>
      <c r="B5679">
        <f>HYPERLINK("https://www.dofusbook.net/fr/equipement/102065-stuff-3/objets", "link")</f>
        <v/>
      </c>
      <c r="C5679" t="n">
        <v>4</v>
      </c>
      <c r="D5679" t="inlineStr">
        <is>
          <t>Dagoulinantes; Talisman Igans; Bague Trithon; Alliance Gloursonne; Kidibonnet; Cape du Sinistrofu; Bottes Owesli; Bousculeur majeur; Miraculé majeur; Culbuteur majeur; Remueur</t>
        </is>
      </c>
    </row>
    <row r="5680">
      <c r="A5680" t="inlineStr">
        <is>
          <t>Stuff 3</t>
        </is>
      </c>
      <c r="B5680">
        <f>HYPERLINK("https://www.dofusbook.net/fr/equipement/102122-stuff-3/objets", "link")</f>
        <v/>
      </c>
      <c r="C5680" t="n">
        <v>2</v>
      </c>
      <c r="D5680" t="inlineStr">
        <is>
          <t>Dague Adou; Amulette du Strigide; Bague Trithon; Alliance Gloursonne; Ceintacé; Chapeau Lisson; Chevelure de Tal Kasha; Sandales de Tal Kasha; Dofus Émeraude; Dolmanax; Dofus Turquoise; Dofus des Glaces; Miraculé majeur; Remueur</t>
        </is>
      </c>
    </row>
    <row r="5681">
      <c r="A5681" t="inlineStr">
        <is>
          <t>Stuff 1</t>
        </is>
      </c>
      <c r="B5681">
        <f>HYPERLINK("https://www.dofusbook.net/fr/equipement/102111-stuff-1/objets", "link")</f>
        <v/>
      </c>
      <c r="C5681" t="n">
        <v>2</v>
      </c>
      <c r="D5681" t="inlineStr">
        <is>
          <t>Harpelle; Pendentif affamé; Anneau Rifique; Anneau Tique; Carapar; Ceinture de Vortex; Casque Cyclopéen; Voile d'encre; Pataugastrique; Dolmanax; Dofus Cawotte; Déserteur majeur; Érudit majeur; Remueur; Étourdisseur majeur; Muldo Indigo et Orchidée</t>
        </is>
      </c>
    </row>
    <row r="5682">
      <c r="A5682" t="inlineStr">
        <is>
          <t>Stuff 2</t>
        </is>
      </c>
      <c r="B5682">
        <f>HYPERLINK("https://www.dofusbook.net/fr/equipement/102103-stuff-2/objets", "link")</f>
        <v/>
      </c>
      <c r="C5682" t="n">
        <v>4</v>
      </c>
      <c r="D5682" t="inlineStr">
        <is>
          <t>Dague Adou; Amulette du Strigide; Alliance Gloursonne; Ceintacé; Chapeau Lisson; Chevelure de Tal Kasha; Bottes du Strigide; Dofus Pourpre; Dofus Turquoise; Dofus des Glaces; Remueur; Nomade; Miraculé majeur; Kramkram</t>
        </is>
      </c>
    </row>
    <row r="5683">
      <c r="A5683" t="inlineStr">
        <is>
          <t>Stuff 2</t>
        </is>
      </c>
      <c r="B5683">
        <f>HYPERLINK("https://www.dofusbook.net/fr/equipement/102148-stuff-2/objets", "link")</f>
        <v/>
      </c>
      <c r="C5683" t="n">
        <v>5</v>
      </c>
      <c r="D5683" t="inlineStr">
        <is>
          <t>Hache Téroïde; Amulette Ementaire Deluxe; Anneau du Katcheur; Alliance Gloursonne; Cadran de Feu; Ceinture du Strigide; Masque du Katcheur; Voile d'encre; Bottes du Cycloïde; Dofus Ocre; Dokoko; Dolmanax; Dofus des Glaces; Dofus Émeraude; Remueur; Muldo Ebène et Pourpre</t>
        </is>
      </c>
    </row>
    <row r="5684">
      <c r="A5684" t="inlineStr">
        <is>
          <t>Stuff 3</t>
        </is>
      </c>
      <c r="B5684">
        <f>HYPERLINK("https://www.dofusbook.net/fr/equipement/102095-stuff-3/objets", "link")</f>
        <v/>
      </c>
      <c r="C5684" t="n">
        <v>8</v>
      </c>
      <c r="D5684" t="inlineStr">
        <is>
          <t>Dagoulinantes; Amulette de Shokkoth; Alliance Gloursonne; Bague Trithon; Ceinture Luminescente; Kidibonnet; Cape des Malveilleurs; Bottes des Malveilleurs; Dofus Émeraude; Culbuteur majeur; Remueur; Carapace Neutre majeur; Miraculé majeur; Bousculeur majeur</t>
        </is>
      </c>
    </row>
    <row r="5685">
      <c r="A5685" t="inlineStr">
        <is>
          <t>Stuff 3</t>
        </is>
      </c>
      <c r="B5685">
        <f>HYPERLINK("https://www.dofusbook.net/fr/equipement/102143-stuff-3/objets", "link")</f>
        <v/>
      </c>
      <c r="C5685" t="n">
        <v>3</v>
      </c>
      <c r="D5685" t="inlineStr">
        <is>
          <t>Dagues Érhy; Amulette du Strigide; Bague Trithon; Alliance Gloursonne; Ceintacé; Chapeau de Gein; Voile d'encre; Bottes du Strigide; Dolmanax; Dofus Émeraude; Dofus Turquoise; Remueur; Miraculé majeur; Carapace Feu majeur</t>
        </is>
      </c>
    </row>
    <row r="5686">
      <c r="A5686" t="inlineStr">
        <is>
          <t>Stuff 1</t>
        </is>
      </c>
      <c r="B5686">
        <f>HYPERLINK("https://www.dofusbook.net/fr/equipement/102090-stuff-1/objets", "link")</f>
        <v/>
      </c>
      <c r="C5686" t="n">
        <v>7</v>
      </c>
      <c r="D5686" t="inlineStr">
        <is>
          <t>Manthache; Collier du Valet Veinard; Gant du Valet Veinard; Alliance Gloursonne; Menoture; Casque Dragoeuf; Cape du Kamasterisk; Palmes Trithons; Dofus Pourpre; Dofus Émeraude; Dofus Abyssal; Cascadeur majeur; Remueur; Évasif majeur</t>
        </is>
      </c>
    </row>
    <row r="5687">
      <c r="A5687" t="inlineStr">
        <is>
          <t>Stuff 1</t>
        </is>
      </c>
      <c r="B5687">
        <f>HYPERLINK("https://www.dofusbook.net/fr/equipement/102138-stuff-1/objets", "link")</f>
        <v/>
      </c>
      <c r="C5687" t="n">
        <v>1</v>
      </c>
      <c r="D5687" t="inlineStr">
        <is>
          <t>Plumeau Bil; Pendentif affamé; Anneau Rifique; Anneau de Nidas; Ceinture de Vortex; Casque Cyclopéen; Cape de Diondin; Bottes Innommables; Érudit majeur; Carapace Terre majeur; Déserteur majeur; Nomade; Remueur</t>
        </is>
      </c>
    </row>
    <row r="5688">
      <c r="A5688" t="inlineStr">
        <is>
          <t>Stuff 2</t>
        </is>
      </c>
      <c r="B5688">
        <f>HYPERLINK("https://www.dofusbook.net/fr/equipement/102079-stuff-2/objets", "link")</f>
        <v/>
      </c>
      <c r="C5688" t="n">
        <v>2</v>
      </c>
      <c r="D5688" t="inlineStr">
        <is>
          <t>Dagoulinantes; Talisman Igans; Bague Trithon; Alliance Gloursonne; Ceinture du Barbétoal; Kidibonnet; Cape Luminescente; Bottes Owesli; Dolmanax; Dofus Émeraude; Bousculeur majeur; Miraculé majeur; Culbuteur majeur; Remueur</t>
        </is>
      </c>
    </row>
    <row r="5689">
      <c r="A5689" t="inlineStr">
        <is>
          <t>Stuff 3</t>
        </is>
      </c>
      <c r="B5689">
        <f>HYPERLINK("https://www.dofusbook.net/fr/equipement/102059-stuff-3/objets", "link")</f>
        <v/>
      </c>
      <c r="C5689" t="n">
        <v>1</v>
      </c>
      <c r="D5689" t="inlineStr">
        <is>
          <t>Harpelle; Pendentif affamé; Bague Gloursonne; Anneau Tique; Ceinture de Vortex; Cagoule de Vortex; Voile d'encre; Pataugastrique; Dofus Abyssal; Dolmanax; Étourdisseur majeur; Remueur; Déserteur majeur; Érudit majeur</t>
        </is>
      </c>
    </row>
    <row r="5690">
      <c r="A5690" t="inlineStr">
        <is>
          <t>Stuff 2</t>
        </is>
      </c>
      <c r="B5690">
        <f>HYPERLINK("https://www.dofusbook.net/fr/equipement/102124-stuff-2/objets", "link")</f>
        <v/>
      </c>
      <c r="C5690" t="n">
        <v>1</v>
      </c>
      <c r="D5690" t="inlineStr">
        <is>
          <t>Rapière aux Glyphes; Amulette de Shokkoth; Alliance Gloursonne; Bracelet des Fonds marins; Poulpagne; Casque Dragoeuf; Cape de Mantaze; Sandales des Fonds marins; Remueur; Nomade; Chanceux majeur; Kramkram</t>
        </is>
      </c>
    </row>
    <row r="5691">
      <c r="A5691" t="inlineStr">
        <is>
          <t>Stuff 1</t>
        </is>
      </c>
      <c r="B5691">
        <f>HYPERLINK("https://www.dofusbook.net/fr/equipement/102039-stuff-1/objets", "link")</f>
        <v/>
      </c>
      <c r="C5691" t="n">
        <v>2</v>
      </c>
      <c r="D5691" t="inlineStr">
        <is>
          <t>Dagues Érhy; Amulette du Strigide; Alliance Gloursonne; Bague Trithon; Ceintacé; Masque de Koutoulou; Voile d'encre; Bottes du Strigide; Dofus des Veilleurs; Dolmanax; Dofus Émeraude; Dofus Turquoise; Dokoko; Miraculé majeur</t>
        </is>
      </c>
    </row>
    <row r="5692">
      <c r="A5692" t="inlineStr">
        <is>
          <t>Stuff 3</t>
        </is>
      </c>
      <c r="B5692">
        <f>HYPERLINK("https://www.dofusbook.net/fr/equipement/102011-stuff-3/objets", "link")</f>
        <v/>
      </c>
      <c r="C5692" t="n">
        <v>4</v>
      </c>
      <c r="D5692" t="inlineStr">
        <is>
          <t>Dagoulinantes; Talisman Igans; Alliance Gloursonne; Bague Trithon; Poulpagne; Casque Dragoeuf; Cape des Malveilleurs; Bottes Owesli; Dofus Émeraude; Remueur; Culbuteur majeur; Miraculé majeur</t>
        </is>
      </c>
    </row>
    <row r="5693">
      <c r="A5693" t="inlineStr">
        <is>
          <t>Stuff 1</t>
        </is>
      </c>
      <c r="B5693">
        <f>HYPERLINK("https://www.dofusbook.net/fr/equipement/101997-stuff-1/objets", "link")</f>
        <v/>
      </c>
      <c r="C5693" t="n">
        <v>2</v>
      </c>
      <c r="D5693" t="inlineStr">
        <is>
          <t>Dagoulinantes; Talisman Igans; Alliance Gloursonne; Bague Trithon; Poulpagne; Masque du Barbétoal; Chevelure de Tal Kasha; Bottes Owesli; Dofus Émeraude; Remueur; Culbuteur majeur; Miraculé majeur</t>
        </is>
      </c>
    </row>
    <row r="5694">
      <c r="A5694" t="inlineStr">
        <is>
          <t>Stuff 3</t>
        </is>
      </c>
      <c r="B5694">
        <f>HYPERLINK("https://www.dofusbook.net/fr/equipement/102056-stuff-3/objets", "link")</f>
        <v/>
      </c>
      <c r="C5694" t="n">
        <v>3</v>
      </c>
      <c r="D5694" t="inlineStr">
        <is>
          <t>Héqache; Amulette du Strigide; Anneau Chevelu; Alliance Gloursonne; Ceinture du Strigide; Masque de Koutoulou; Cape du Kamasterisk; Bottes du Strigide; Dolmanax; Dofus Émeraude; Dofus Pourpre; Dofus Turquoise; Dofus des Glaces; Imprenable majeur</t>
        </is>
      </c>
    </row>
    <row r="5695">
      <c r="A5695" t="inlineStr">
        <is>
          <t>Stuff 1</t>
        </is>
      </c>
      <c r="B5695">
        <f>HYPERLINK("https://www.dofusbook.net/fr/equipement/102051-stuff-1/objets", "link")</f>
        <v/>
      </c>
      <c r="C5695" t="n">
        <v>2</v>
      </c>
      <c r="D5695" t="inlineStr">
        <is>
          <t>Dagoulinantes; Talisman Igans; Bague Trithon; Alliance Gloursonne; Poulpagne; Casque Dragoeuf; Cape des Malveilleurs; Bottes Owesli; Dolmanax; Dofus Émeraude; Dokoko; Culbuteur majeur; Remueur; Miraculé majeur</t>
        </is>
      </c>
    </row>
    <row r="5696">
      <c r="A5696" t="inlineStr">
        <is>
          <t>Stuff 2</t>
        </is>
      </c>
      <c r="B5696">
        <f>HYPERLINK("https://www.dofusbook.net/fr/equipement/102046-stuff-2/objets", "link")</f>
        <v/>
      </c>
      <c r="C5696" t="n">
        <v>1</v>
      </c>
      <c r="D5696" t="inlineStr">
        <is>
          <t>Hache du Chalœil; Amulette du Strigide; Alliance Gloursonne; Anneau Chevelu; Ceintacé; Chapeau Lisson; Voile d'encre; Bottes du Strigide; Dofus des Glaces; Dolmanax; Dofus Pourpre; Nomade; Remueur; Kramkram</t>
        </is>
      </c>
    </row>
    <row r="5697">
      <c r="A5697" t="inlineStr">
        <is>
          <t>Stuff 3</t>
        </is>
      </c>
      <c r="B5697">
        <f>HYPERLINK("https://www.dofusbook.net/fr/equipement/102041-stuff-3/objets", "link")</f>
        <v/>
      </c>
      <c r="C5697" t="n">
        <v>1</v>
      </c>
      <c r="D5697" t="inlineStr">
        <is>
          <t>Dagues de Srambad; Amulette Luminescente; Alliance Gloursonne; Anneau Chevelu; Ceinture de la Reine des Voleurs; Coiffe de la Reine des Voleurs; Voile d'encre; Sabots Minables; Dolmanax; Dofus des Glaces; Miraculé majeur; Nomade; Remueur; Carapace Air majeur; Brâkarien</t>
        </is>
      </c>
    </row>
    <row r="5698">
      <c r="A5698" t="inlineStr">
        <is>
          <t>Stuff 1</t>
        </is>
      </c>
      <c r="B5698">
        <f>HYPERLINK("https://www.dofusbook.net/fr/equipement/102033-stuff-1/objets", "link")</f>
        <v/>
      </c>
      <c r="C5698" t="n">
        <v>1</v>
      </c>
      <c r="D5698" t="inlineStr">
        <is>
          <t>Dagues Érhy; Amulette du Strigide; Bracelet du Piloztère; Alliance Gloursonne; Ceintacé; Casque Dragoeuf; Voile d'encre; Bottes du Strigide; Dofus Turquoise; Dofus Émeraude; Dolmanax; Dofus Pourpre; Nomade; Remueur; Kramkram</t>
        </is>
      </c>
    </row>
    <row r="5699">
      <c r="A5699" t="inlineStr">
        <is>
          <t>Stuff 2</t>
        </is>
      </c>
      <c r="B5699">
        <f>HYPERLINK("https://www.dofusbook.net/fr/equipement/102058-stuff-2/objets", "link")</f>
        <v/>
      </c>
      <c r="C5699" t="n">
        <v>1</v>
      </c>
      <c r="D5699" t="inlineStr">
        <is>
          <t>Harpelle; Pendentif mignon de Koutoulou; Anneau Tique; Anneau Rifique; Ceinture de Vortex; Casque Dragoeuf; Cape de Diondin; Bottes Innommables; Dolmanax; Étourdisseur majeur; Érudit majeur; Déserteur majeur; Remueur; Muldo Orchidée et Pourpre</t>
        </is>
      </c>
    </row>
    <row r="5700">
      <c r="A5700" t="inlineStr">
        <is>
          <t>Stuff 3</t>
        </is>
      </c>
      <c r="B5700">
        <f>HYPERLINK("https://www.dofusbook.net/fr/equipement/102053-stuff-3/objets", "link")</f>
        <v/>
      </c>
      <c r="C5700" t="n">
        <v>1</v>
      </c>
      <c r="D5700" t="inlineStr">
        <is>
          <t>Hache Euvale; Amulette Luminescente; Alliance Gloursonne; Bague Trithon; Ceinture Luminescente; Casque Dragoeuf; Cape des Malveilleurs; Bottes Owesli; Dofus Ocre; Dolmanax; Miraculé majeur; Culbuteur majeur; Remueur; Bousculeur majeur</t>
        </is>
      </c>
    </row>
    <row r="5701">
      <c r="A5701" t="inlineStr">
        <is>
          <t>Stuff 1</t>
        </is>
      </c>
      <c r="B5701">
        <f>HYPERLINK("https://www.dofusbook.net/fr/equipement/102048-stuff-1/objets", "link")</f>
        <v/>
      </c>
      <c r="C5701" t="n">
        <v>4</v>
      </c>
      <c r="D5701" t="inlineStr">
        <is>
          <t>Dagoulinantes; Amulette de Shokkoth; Bracelet des Fonds marins; Alliance Gloursonne; Poulpagne; Casque Dragoeuf; Chevelure de Tal Kasha; Sandales de Tal Kasha; Dofus Pourpre; Dofus Turquoise; Dofus des Glaces; Étourdisseur majeur; Remueur; Chanceux majeur</t>
        </is>
      </c>
    </row>
    <row r="5702">
      <c r="A5702" t="inlineStr">
        <is>
          <t>Stuff 3</t>
        </is>
      </c>
      <c r="B5702">
        <f>HYPERLINK("https://www.dofusbook.net/fr/equipement/102035-stuff-3/objets", "link")</f>
        <v/>
      </c>
      <c r="C5702" t="n">
        <v>1</v>
      </c>
      <c r="D5702" t="inlineStr">
        <is>
          <t>Arc Hétype; Pendentif affamé; Bague Gloursonne; Anneau de Nidas; Ceinture Séculaire; Casque Dragoeuf; Cape de Diondin; Tongues de Nidas; Dokoko; Dofus Émeraude; Remueur; Érudit majeur</t>
        </is>
      </c>
    </row>
    <row r="5703">
      <c r="A5703" t="inlineStr">
        <is>
          <t>Stuff 2</t>
        </is>
      </c>
      <c r="B5703">
        <f>HYPERLINK("https://www.dofusbook.net/fr/equipement/102010-stuff-2/objets", "link")</f>
        <v/>
      </c>
      <c r="C5703" t="n">
        <v>1</v>
      </c>
      <c r="D5703" t="inlineStr">
        <is>
          <t>Dagues de Srambad; Amulette Luminescente; Alliance Gloursonne; Anneau Chevelu; Ceinture de la Reine des Voleurs; Coiffe de la Reine des Voleurs; Voile d'encre; Sabots Minables; Dofus des Glaces; Dofus Émeraude; Dolmanax; Miraculé majeur; Carapace Neutre majeur; Remueur</t>
        </is>
      </c>
    </row>
    <row r="5704">
      <c r="A5704" t="inlineStr">
        <is>
          <t>Stuff 2</t>
        </is>
      </c>
      <c r="B5704">
        <f>HYPERLINK("https://www.dofusbook.net/fr/equipement/102055-stuff-2/objets", "link")</f>
        <v/>
      </c>
      <c r="C5704" t="n">
        <v>3</v>
      </c>
      <c r="D5704" t="inlineStr">
        <is>
          <t>Dagues Érhy; Amulette du Strigide; Anneau Chevelu; Alliance Gloursonne; Ceintacé; Casque Dragoeuf; Cape du Kamasterisk; Bottes du Strigide; Dofus Turquoise; Dofus Pourpre; Dofus des Glaces; Dofus Émeraude; Évasif majeur; Remueur</t>
        </is>
      </c>
    </row>
    <row r="5705">
      <c r="A5705" t="inlineStr">
        <is>
          <t>Stuff 3</t>
        </is>
      </c>
      <c r="B5705">
        <f>HYPERLINK("https://www.dofusbook.net/fr/equipement/102050-stuff-3/objets", "link")</f>
        <v/>
      </c>
      <c r="C5705" t="n">
        <v>3</v>
      </c>
      <c r="D5705" t="inlineStr">
        <is>
          <t>Dagoulinantes; Amulette de Shokkoth; Alliance Gloursonne; Bracelet des Fonds marins; Poulpagne; Casque Dragoeuf; Chevelure de Tal Kasha; Sandales de Tal Kasha; Dofus Émeraude; Dofus Cawotte; Dokoko; Étourdisseur majeur; Remueur; Engourdisseur majeur</t>
        </is>
      </c>
    </row>
    <row r="5706">
      <c r="A5706" t="inlineStr">
        <is>
          <t>Stuff 1</t>
        </is>
      </c>
      <c r="B5706">
        <f>HYPERLINK("https://www.dofusbook.net/fr/equipement/102045-stuff-1/objets", "link")</f>
        <v/>
      </c>
      <c r="C5706" t="n">
        <v>2</v>
      </c>
      <c r="D5706" t="inlineStr">
        <is>
          <t>Hache du Chalœil; Amulette Ementaire Deluxe; Bague Gloursonne; Alliance Gloursonne; Bouclier du Sadida cassé; Ceinture de Gein; Coiffe du Glourséleste; Voile d'encre; Pataugastrique; Dofus Pourpre; Dolmanax; Dofus des Glaces; Dokoko; Remueur; Nomade; Kramkram</t>
        </is>
      </c>
    </row>
    <row r="5707">
      <c r="A5707" t="inlineStr">
        <is>
          <t>Stuff 2</t>
        </is>
      </c>
      <c r="B5707">
        <f>HYPERLINK("https://www.dofusbook.net/fr/equipement/102040-stuff-2/objets", "link")</f>
        <v/>
      </c>
      <c r="C5707" t="n">
        <v>0</v>
      </c>
      <c r="D5707" t="inlineStr">
        <is>
          <t>Dagues Érhy; Amulette du Strigide; Alliance Gloursonne; Anneau Chevelu; Ceintacé; Chapeau de Gein; Voile d'encre; Bottes du Strigide; Dofus Turquoise; Dolmanax; Dofus Émeraude; Remueur; Miraculé majeur</t>
        </is>
      </c>
    </row>
    <row r="5708">
      <c r="A5708" t="inlineStr">
        <is>
          <t>Stuff 1</t>
        </is>
      </c>
      <c r="B5708">
        <f>HYPERLINK("https://www.dofusbook.net/fr/equipement/102021-stuff-1/objets", "link")</f>
        <v/>
      </c>
      <c r="C5708" t="n">
        <v>0</v>
      </c>
      <c r="D5708" t="inlineStr">
        <is>
          <t>Hache du Chalœil; Amulette du Strigide; Alliance Gloursonne; Anneau Chevelu; Ceintacé; Masque de Koutoulou; Voile d'encre; Bottes du Strigide; Dofus des Glaces; Dofus Turquoise; Dofus Pourpre; Dolmanax; Évasif majeur; Carapace Eau majeur; Muldo Indigo et Pourpre</t>
        </is>
      </c>
    </row>
    <row r="5709">
      <c r="A5709" t="inlineStr">
        <is>
          <t>Stuff 3</t>
        </is>
      </c>
      <c r="B5709">
        <f>HYPERLINK("https://www.dofusbook.net/fr/equipement/102011-stuff-3/objets", "link")</f>
        <v/>
      </c>
      <c r="C5709" t="n">
        <v>4</v>
      </c>
      <c r="D5709" t="inlineStr">
        <is>
          <t>Dagoulinantes; Talisman Igans; Alliance Gloursonne; Bague Trithon; Poulpagne; Casque Dragoeuf; Cape des Malveilleurs; Bottes Owesli; Dofus Émeraude; Remueur; Culbuteur majeur; Miraculé majeur</t>
        </is>
      </c>
    </row>
    <row r="5710">
      <c r="A5710" t="inlineStr">
        <is>
          <t>Stuff 1</t>
        </is>
      </c>
      <c r="B5710">
        <f>HYPERLINK("https://www.dofusbook.net/fr/equipement/101997-stuff-1/objets", "link")</f>
        <v/>
      </c>
      <c r="C5710" t="n">
        <v>2</v>
      </c>
      <c r="D5710" t="inlineStr">
        <is>
          <t>Dagoulinantes; Talisman Igans; Alliance Gloursonne; Bague Trithon; Poulpagne; Masque du Barbétoal; Chevelure de Tal Kasha; Bottes Owesli; Dofus Émeraude; Remueur; Culbuteur majeur; Miraculé majeur</t>
        </is>
      </c>
    </row>
    <row r="5711">
      <c r="A5711" t="inlineStr">
        <is>
          <t>Stuff 3</t>
        </is>
      </c>
      <c r="B5711">
        <f>HYPERLINK("https://www.dofusbook.net/fr/equipement/102056-stuff-3/objets", "link")</f>
        <v/>
      </c>
      <c r="C5711" t="n">
        <v>3</v>
      </c>
      <c r="D5711" t="inlineStr">
        <is>
          <t>Héqache; Amulette du Strigide; Alliance Gloursonne; Anneau Chevelu; Ceinture du Strigide; Masque de Koutoulou; Cape du Kamasterisk; Bottes du Strigide; Dofus des Glaces; Dolmanax; Dofus Émeraude; Dofus Pourpre; Dofus Turquoise; Imprenable majeur</t>
        </is>
      </c>
    </row>
    <row r="5712">
      <c r="A5712" t="inlineStr">
        <is>
          <t>Stuff 1</t>
        </is>
      </c>
      <c r="B5712">
        <f>HYPERLINK("https://www.dofusbook.net/fr/equipement/102051-stuff-1/objets", "link")</f>
        <v/>
      </c>
      <c r="C5712" t="n">
        <v>2</v>
      </c>
      <c r="D5712" t="inlineStr">
        <is>
          <t>Dagoulinantes; Talisman Igans; Alliance Gloursonne; Bague Trithon; Poulpagne; Casque Dragoeuf; Cape des Malveilleurs; Bottes Owesli; Dolmanax; Dofus Émeraude; Dokoko; Miraculé majeur; Culbuteur majeur; Remueur</t>
        </is>
      </c>
    </row>
    <row r="5713">
      <c r="A5713" t="inlineStr">
        <is>
          <t>Stuff 2</t>
        </is>
      </c>
      <c r="B5713">
        <f>HYPERLINK("https://www.dofusbook.net/fr/equipement/102046-stuff-2/objets", "link")</f>
        <v/>
      </c>
      <c r="C5713" t="n">
        <v>1</v>
      </c>
      <c r="D5713" t="inlineStr">
        <is>
          <t>Hache du Chalœil; Amulette du Strigide; Alliance Gloursonne; Anneau Chevelu; Ceintacé; Chapeau Lisson; Voile d'encre; Bottes du Strigide; Dofus des Glaces; Dolmanax; Dofus Pourpre; Remueur; Nomade; Kramkram</t>
        </is>
      </c>
    </row>
    <row r="5714">
      <c r="A5714" t="inlineStr">
        <is>
          <t>Stuff 3</t>
        </is>
      </c>
      <c r="B5714">
        <f>HYPERLINK("https://www.dofusbook.net/fr/equipement/102041-stuff-3/objets", "link")</f>
        <v/>
      </c>
      <c r="C5714" t="n">
        <v>1</v>
      </c>
      <c r="D5714" t="inlineStr">
        <is>
          <t>Dagues de Srambad; Amulette Luminescente; Alliance Gloursonne; Anneau Chevelu; Ceinture de la Reine des Voleurs; Coiffe de la Reine des Voleurs; Voile d'encre; Sabots Minables; Dolmanax; Dofus des Glaces; Remueur; Carapace Air majeur; Miraculé majeur; Nomade; Brâkarien</t>
        </is>
      </c>
    </row>
    <row r="5715">
      <c r="A5715" t="inlineStr">
        <is>
          <t>Stuff 1</t>
        </is>
      </c>
      <c r="B5715">
        <f>HYPERLINK("https://www.dofusbook.net/fr/equipement/102033-stuff-1/objets", "link")</f>
        <v/>
      </c>
      <c r="C5715" t="n">
        <v>1</v>
      </c>
      <c r="D5715" t="inlineStr">
        <is>
          <t>Dagues Érhy; Amulette du Strigide; Alliance Gloursonne; Bracelet du Piloztère; Ceintacé; Casque Dragoeuf; Voile d'encre; Bottes du Strigide; Dofus Turquoise; Dofus Émeraude; Dolmanax; Dofus Pourpre; Nomade; Remueur; Kramkram</t>
        </is>
      </c>
    </row>
    <row r="5716">
      <c r="A5716" t="inlineStr">
        <is>
          <t>Ecaflip M 200</t>
        </is>
      </c>
      <c r="B5716">
        <f>HYPERLINK("https://www.dofusbook.net/fr/equipement/4526797-ecaflip-m-200/objets", "link")</f>
        <v/>
      </c>
      <c r="C5716" t="n">
        <v>12</v>
      </c>
      <c r="D5716" t="inlineStr">
        <is>
          <t>Pelle Emélaka; Amulette du Strigide; Anneau Volkorne; Goulano; Bouclier du Stalak; Ceinture du Strigide; Casque Volkorne; Voile d'encre; Bottes du Strigide; Dolmanax; Dofus Ocre; Dofus Nébuleux; Dofus Pourpre; Dofus Vulbis; Dofus Turquoise; Kokulte</t>
        </is>
      </c>
    </row>
    <row r="5717">
      <c r="A5717" t="inlineStr">
        <is>
          <t>Crâ F 200</t>
        </is>
      </c>
      <c r="B5717">
        <f>HYPERLINK("https://www.dofusbook.net/fr/equipement/3307701-cra-f-200/objets", "link")</f>
        <v/>
      </c>
      <c r="C5717" t="n">
        <v>3</v>
      </c>
      <c r="D5717" t="inlineStr">
        <is>
          <t>Bâton Beau; Amulette du Strigide; Bracelet du Piloztère; Anneau de Padgref; Quatre-feuilles; Ceinture du Strigide; Coiffe de Padgref; Cape Reski; Bottes du Strigide; Dofus Ocre; Dolmanax; Dofus Turquoise; Dofus Pourpre; Dofus Nébuleux; Dofus Vulbis; Fëanor</t>
        </is>
      </c>
    </row>
    <row r="5718">
      <c r="A5718" t="inlineStr">
        <is>
          <t>Eca Air 200</t>
        </is>
      </c>
      <c r="B5718">
        <f>HYPERLINK("https://www.dofusbook.net/fr/equipement/4299956-eca-air-200/objets", "link")</f>
        <v/>
      </c>
      <c r="C5718" t="n">
        <v>6</v>
      </c>
      <c r="D5718" t="inlineStr">
        <is>
          <t>Manthache; Collier du Valet Veinard; Gant du Valet Veinard; Alliance Gloursonne; Bouclier du Stalak; Menoture; Casque Volkorne; Cape Indescriptible; Palmes Trithons; Dofus Turquoise; Dofus Nébuleux; Dofus Ocre; Dofus Vulbis; Equilibriste majeur; Cascadeur majeur; Pioute jaune</t>
        </is>
      </c>
    </row>
    <row r="5719">
      <c r="A5719" t="inlineStr">
        <is>
          <t>Eau-Do pou. 2018</t>
        </is>
      </c>
      <c r="B5719">
        <f>HYPERLINK("https://www.dofusbook.net/fr/equipement/759237-eau-do-pou--2018/objets", "link")</f>
        <v/>
      </c>
      <c r="C5719" t="n">
        <v>16</v>
      </c>
      <c r="D5719" t="inlineStr">
        <is>
          <t>Dagoulinantes; Amulette du Sinistrofu; Bague Trithon; Bracelet des Fonds marins; Bouclier Taverne; Sangle Ouare; Masque Trithon; Cape Solution; Bottes de la Dame du Hasard; Dofus Nébuleux; Dofus Turquoise; Chanceux majeur; Remueur; Culbuteur majeur; Bousculeur majeur; El Scarador</t>
        </is>
      </c>
    </row>
    <row r="5720">
      <c r="A5720" t="inlineStr">
        <is>
          <t>Eni feu/soin 1.29</t>
        </is>
      </c>
      <c r="B5720">
        <f>HYPERLINK("https://www.dofusbook.net/fr/equipement/3442543-eni-feu-soin-1-29/objets", "link")</f>
        <v/>
      </c>
      <c r="C5720" t="n">
        <v>3</v>
      </c>
      <c r="D5720" t="inlineStr"/>
    </row>
    <row r="5721">
      <c r="A5721" t="inlineStr">
        <is>
          <t>Pandawa F 200</t>
        </is>
      </c>
      <c r="B5721">
        <f>HYPERLINK("https://www.dofusbook.net/fr/equipement/3261173-pandawa-f-200/objets", "link")</f>
        <v/>
      </c>
      <c r="C5721" t="n">
        <v>1</v>
      </c>
      <c r="D5721" t="inlineStr">
        <is>
          <t>La Baguette des Limbes; Plimclik; Alliance Feudala; Gelano; Puissante Ceinture Fulgurante; Billréole; Puissante Cape Fulgurante; Bottes Horchons</t>
        </is>
      </c>
    </row>
    <row r="5722">
      <c r="A5722" t="inlineStr">
        <is>
          <t>Stuff 3</t>
        </is>
      </c>
      <c r="B5722">
        <f>HYPERLINK("https://www.dofusbook.net/fr/equipement/153411-stuff-3/objets", "link")</f>
        <v/>
      </c>
      <c r="C5722" t="n">
        <v>1</v>
      </c>
      <c r="D5722" t="inlineStr">
        <is>
          <t>Az'tech; Amulette de Shokkoth; Bracelet des Fonds marins; Pikano; Bouclier du Captain Amakna; Pagne du Rykaon; Kidibonnet; Cape de la Dame du Hasard; Bottes de la Dame du Hasard; Dofus Pourpre; Dofus Turquoise</t>
        </is>
      </c>
    </row>
    <row r="5723">
      <c r="A5723" t="inlineStr">
        <is>
          <t>Stuff 1</t>
        </is>
      </c>
      <c r="B5723">
        <f>HYPERLINK("https://www.dofusbook.net/fr/equipement/153393-stuff-1/objets", "link")</f>
        <v/>
      </c>
      <c r="C5723" t="n">
        <v>5</v>
      </c>
      <c r="D5723" t="inlineStr">
        <is>
          <t>Az'tech; Amulette du Strigide; Anneau de Padgref; Bracelet du Piloztère; Bouclier du Captain Amakna; Ceinture du Strigide; Némès de Tal Kasha; Chevelure de Tal Kasha; Sandales de Tal Kasha; Dofus Nébuleux; Dofus des Glaces; Dofus Abyssal; Dolmanax; Dofus Ocre; Dofus Turquoise; Muldo Prune et Emeraude</t>
        </is>
      </c>
    </row>
    <row r="5724">
      <c r="A5724" t="inlineStr">
        <is>
          <t>Prospection</t>
        </is>
      </c>
      <c r="B5724">
        <f>HYPERLINK("https://www.dofusbook.net/fr/equipement/3160684-prospection/objets", "link")</f>
        <v/>
      </c>
      <c r="C5724" t="n">
        <v>1</v>
      </c>
      <c r="D5724" t="inlineStr"/>
    </row>
    <row r="5725">
      <c r="A5725" t="inlineStr">
        <is>
          <t>panda pvm</t>
        </is>
      </c>
      <c r="B5725">
        <f>HYPERLINK("https://www.dofusbook.net/fr/equipement/3103346-panda-pvm/objets", "link")</f>
        <v/>
      </c>
      <c r="C5725" t="n">
        <v>1</v>
      </c>
      <c r="D5725" t="inlineStr">
        <is>
          <t>La Baguette des Limbes; Ouassulette; Gelano; Alliance Feudala; Puissante Ceinture Fulgurante; Billréole; Puissante Cape Fulgurante; Bottes Horchons</t>
        </is>
      </c>
    </row>
    <row r="5726">
      <c r="A5726" t="inlineStr">
        <is>
          <t>Eau</t>
        </is>
      </c>
      <c r="B5726">
        <f>HYPERLINK("https://www.dofusbook.net/fr/equipement/3078431-eau/objets", "link")</f>
        <v/>
      </c>
      <c r="C5726" t="n">
        <v>2</v>
      </c>
      <c r="D5726" t="inlineStr">
        <is>
          <t>Rapière aux Glyphes; Amulette du Sinistrofu; Annolamour; Alliance Gloursonne; Bouclier du Captain Amakna; Poulpagne; Capuche de l'Œil Attentif; Cape de l'Œil Attentif; Bottes du Sinistrofu; Dofus Turquoise; Dofus Nébuleux; Dolmanax; Dofus Ocre; Dofus Pourpre; Dofus Abyssal; Muldo Indigo</t>
        </is>
      </c>
    </row>
    <row r="5727">
      <c r="A5727" t="inlineStr">
        <is>
          <t>Stuff 2</t>
        </is>
      </c>
      <c r="B5727">
        <f>HYPERLINK("https://www.dofusbook.net/fr/equipement/153397-stuff-2/objets", "link")</f>
        <v/>
      </c>
      <c r="C5727" t="n">
        <v>1</v>
      </c>
      <c r="D5727" t="inlineStr">
        <is>
          <t>Rapière aux Glyphes; Amulette de Shokkoth; Alliance Gloursonne; Bracelet des Fonds marins; Bouclier du Stalak; Poulpagne; Capuche de l'Œil Attentif; Cape de l'Œil Attentif; Bottes du Sinistrofu; Remueur; Nomade; Muldo Indigo</t>
        </is>
      </c>
    </row>
    <row r="5728">
      <c r="A5728" t="inlineStr">
        <is>
          <t>cra air</t>
        </is>
      </c>
      <c r="B5728">
        <f>HYPERLINK("https://www.dofusbook.net/fr/equipement/2640107-cra-air/objets", "link")</f>
        <v/>
      </c>
      <c r="C5728" t="n">
        <v>2</v>
      </c>
      <c r="D5728" t="inlineStr">
        <is>
          <t>Glaive Icération; Amulette Ementaire; Gelano; Anneau du Meulou; Le Karde Cœur; Solomonk; Caracape Minotoris; Bottes Harry; Dokoko; Dofus Pourpre; Dofus Émeraude; Dolmanax; Remueur; Nomade; Kramkram</t>
        </is>
      </c>
    </row>
    <row r="5729">
      <c r="A5729" t="inlineStr">
        <is>
          <t>Multi</t>
        </is>
      </c>
      <c r="B5729">
        <f>HYPERLINK("https://www.dofusbook.net/fr/equipement/2639829-multi/objets", "link")</f>
        <v/>
      </c>
      <c r="C5729" t="n">
        <v>4</v>
      </c>
      <c r="D5729" t="inlineStr">
        <is>
          <t>Hache du Chalœil; Amulette du Strigide; Alliance Gloursonne; Anneau de Padgref; Bouclier du Captain Amakna; Ceintacé; Capuche de l'Œil Putride; Voile d'encre; Bottes du Strigide; Dolmanax; Dofus des Glaces; Dofus Turquoise; Dofus Nébuleux; Nomade; Remueur; Kramkram</t>
        </is>
      </c>
    </row>
    <row r="5730">
      <c r="A5730" t="inlineStr">
        <is>
          <t>Bi element</t>
        </is>
      </c>
      <c r="B5730">
        <f>HYPERLINK("https://www.dofusbook.net/fr/equipement/472728-bi-element/objets", "link")</f>
        <v/>
      </c>
      <c r="C5730" t="n">
        <v>4</v>
      </c>
      <c r="D5730" t="inlineStr">
        <is>
          <t>Rapière aux Glyphes; Amulette de Shokkoth; Alliance Gloursonne; Bracelet des Fonds marins; Bouclier du Stalak; Poulpagne; Capuche de l'Œil Attentif; Cape de l'Œil Attentif; Bottes du Nocturlabe; Dofus Pourpre; Vigoureux majeur; Remueur; Nomade; Taquin majeur; Chanceux majeur; Bouftor</t>
        </is>
      </c>
    </row>
    <row r="5731">
      <c r="A5731" t="inlineStr">
        <is>
          <t>multi-elements</t>
        </is>
      </c>
      <c r="B5731">
        <f>HYPERLINK("https://www.dofusbook.net/fr/equipement/1100844-multi-elements/objets", "link")</f>
        <v/>
      </c>
      <c r="C5731" t="n">
        <v>1</v>
      </c>
      <c r="D5731" t="inlineStr">
        <is>
          <t>Arc de Koutoulou; Amulette Voldelor; Alliance Gloursonne; Anneau de Padgref; Quatre-feuilles; Ceinture Voldelor; Némès de Tal Kasha; Chevelure de Tal Kasha; Sandales de Tal Kasha; Dofus Pourpre; Dolmanax; Dofus Turquoise; Dofus des Glaces; Dofus Ocre; Dofus Nébuleux; Muldo Prune et Emeraude</t>
        </is>
      </c>
    </row>
    <row r="5732">
      <c r="A5732" t="inlineStr">
        <is>
          <t>full vita</t>
        </is>
      </c>
      <c r="B5732">
        <f>HYPERLINK("https://www.dofusbook.net/fr/equipement/1722373-full-vita/objets", "link")</f>
        <v/>
      </c>
      <c r="C5732" t="n">
        <v>1</v>
      </c>
      <c r="D5732" t="inlineStr">
        <is>
          <t>Rouleau à Pâtisserie d'Aermyne; Collier du Tanukouï San; Alliance Gloursonne; Bague Gloursonne; Bouclier d'Anerice; Ceinture de XLII; Masque d'Anerice; Cape d'Anerice; Bottes de XLII; Bounax</t>
        </is>
      </c>
    </row>
    <row r="5733">
      <c r="A5733" t="inlineStr">
        <is>
          <t>Full terre</t>
        </is>
      </c>
      <c r="B5733">
        <f>HYPERLINK("https://www.dofusbook.net/fr/equipement/1682348-full-terre/objets", "link")</f>
        <v/>
      </c>
      <c r="C5733" t="n">
        <v>2</v>
      </c>
      <c r="D5733" t="inlineStr">
        <is>
          <t>Arc du Chalœil; Amulette du Strigide; Bracelet du Piloztère; Anneau de Brouce; Quatre-feuilles; Ceinture du Strigide; Masque de Koutoulou; Cape au Logis; Sabots Minables; Dofus Pourpre; Dofus Turquoise; Forcené majeur; Enragé majeur; Carapace Neutre majeur; Observateur; Muldo Indigo et Pourpre</t>
        </is>
      </c>
    </row>
    <row r="5734">
      <c r="A5734" t="inlineStr">
        <is>
          <t>Tri-elements</t>
        </is>
      </c>
      <c r="B5734">
        <f>HYPERLINK("https://www.dofusbook.net/fr/equipement/1325051-tri-elements/objets", "link")</f>
        <v/>
      </c>
      <c r="C5734" t="n">
        <v>3</v>
      </c>
      <c r="D5734" t="inlineStr">
        <is>
          <t>Héqache; Amulette du Strigide; Alliance Gloursonne; Bracelet du Piloztère; Quatre-feuilles; Ceintacé; Casque des égarés; Voile d'encre; Bottes du Strigide; Dofus des Glaces; Dofus Pourpre; Dofus Nébuleux; Dofus Turquoise; Remueur; Vigoureux majeur; Muldo Prune et Emeraude</t>
        </is>
      </c>
    </row>
    <row r="5735">
      <c r="A5735" t="inlineStr">
        <is>
          <t>terre air</t>
        </is>
      </c>
      <c r="B5735">
        <f>HYPERLINK("https://www.dofusbook.net/fr/equipement/671231-terre-air-/objets", "link")</f>
        <v/>
      </c>
      <c r="C5735" t="n">
        <v>3</v>
      </c>
      <c r="D5735" t="inlineStr">
        <is>
          <t>Héqache; Amulette du Kamasterisk; Alliance Gloursonne; Bague Gloursonne; Quatre-feuilles; Ceinture de la Reine des Voleurs; Coiffe de la Reine des Voleurs; Cape du Kamasterisk; Bottes du Kamasterisk; Dofus Ocre; Dofus Nébuleux; Dofus Pourpre; Dofus Abyssal; Dofus Turquoise; Dofus des Glaces; Muldo Ebène et Indigo</t>
        </is>
      </c>
    </row>
    <row r="5736">
      <c r="A5736" t="inlineStr">
        <is>
          <t>Full feu</t>
        </is>
      </c>
      <c r="B5736">
        <f>HYPERLINK("https://www.dofusbook.net/fr/equipement/914899-full-feu-/objets", "link")</f>
        <v/>
      </c>
      <c r="C5736" t="n">
        <v>2</v>
      </c>
      <c r="D5736" t="inlineStr">
        <is>
          <t>Harpelle; Pendentif mignon de Koutoulou; Anneauræus; Anneauræus; Bouclier Terrdala; Ceinture de Gein; Casque Cyclopéen; Voile d'encre; Bottes Innommables; Dofus Ocre; Dofus Émeraude; Remueur; Miraculé majeur; Nomade; Érudit majeur; Péki</t>
        </is>
      </c>
    </row>
    <row r="5737">
      <c r="A5737" t="inlineStr">
        <is>
          <t>Panda</t>
        </is>
      </c>
      <c r="B5737">
        <f>HYPERLINK("https://www.dofusbook.net/fr/equipement/1173482-panda/objets", "link")</f>
        <v/>
      </c>
      <c r="C5737" t="n">
        <v>2</v>
      </c>
      <c r="D5737" t="inlineStr">
        <is>
          <t>Epée Loponèze; Amulette de Shokkoth; Bracelet des Fonds marins; Alliance Gloursonne; Quatre-feuilles; Poulpagne; Kidibonnet; Cape du Sinistrofu; Bottes du Sinistrofu; Dofus Émeraude; Fonceur majeur; Nomade; Remueur; Miraculé majeur; Chanceux majeur; Muldo Indigo et Pourpre</t>
        </is>
      </c>
    </row>
    <row r="5738">
      <c r="A5738" t="inlineStr">
        <is>
          <t>will kilson</t>
        </is>
      </c>
      <c r="B5738">
        <f>HYPERLINK("https://www.dofusbook.net/fr/equipement/1390646-will-kilson/objets", "link")</f>
        <v/>
      </c>
      <c r="C5738" t="n">
        <v>3</v>
      </c>
      <c r="D5738" t="inlineStr">
        <is>
          <t>Will Killson; Amulette du Strigide; Anneau de Padgref; Alliance Gloursonne; Bouclier Pandawa; Menoture; Coiffe de Padgref; Cape Indescriptible; Palmes Trithons; Dofus Ocre; Dofus Abyssal; Dofus Émeraude; Dofus Turquoise; Dofus Nébuleux; Cascadeur majeur; Pioute jaune</t>
        </is>
      </c>
    </row>
    <row r="5739">
      <c r="A5739" t="inlineStr">
        <is>
          <t>full air</t>
        </is>
      </c>
      <c r="B5739">
        <f>HYPERLINK("https://www.dofusbook.net/fr/equipement/1324578-full-air/objets", "link")</f>
        <v/>
      </c>
      <c r="C5739" t="n">
        <v>5</v>
      </c>
      <c r="D5739" t="inlineStr">
        <is>
          <t>Will Killson; Amulette du Strigide; Anneau de Padgref; Gant du Valet Veinard; Bouclier du Captain Amakna; Menoture; Némès de Tal Kasha; Cape Indescriptible; Bottes du Strigide; Dofus Turquoise; Dofus des Glaces; Dofus Nébuleux; Equilibriste majeur; Remueur; Cascadeur majeur; Pioute jaune</t>
        </is>
      </c>
    </row>
    <row r="5740">
      <c r="A5740" t="inlineStr">
        <is>
          <t>eau-ret pm</t>
        </is>
      </c>
      <c r="B5740">
        <f>HYPERLINK("https://www.dofusbook.net/fr/equipement/1313001-eau-ret-pm/objets", "link")</f>
        <v/>
      </c>
      <c r="C5740" t="n">
        <v>1</v>
      </c>
      <c r="D5740" t="inlineStr">
        <is>
          <t>Rapière aux Glyphes; Amulette du Sinistrofu; Bracelet des Fonds marins; Alliance Gloursonne; Bouclier cubiste; Poulpagne; Kidibonnet; Cape de Mantaze; Bottes du Sinistrofu; Entraveur majeur; Temporiseur; Ralentisseur majeur; Chanceux majeur; Temporiseur majeur; Muldo Indigo</t>
        </is>
      </c>
    </row>
    <row r="5741">
      <c r="A5741" t="inlineStr">
        <is>
          <t>Stuff 1</t>
        </is>
      </c>
      <c r="B5741">
        <f>HYPERLINK("https://www.dofusbook.net/fr/equipement/1263537-stuff-1/objets", "link")</f>
        <v/>
      </c>
      <c r="C5741" t="n">
        <v>1</v>
      </c>
      <c r="D5741" t="inlineStr">
        <is>
          <t>Arc de Koutoulou; Amulette du Strigide; Alliance Gloursonne; Bracelet des Fonds marins; Quatre-feuilles; Menoture; Némès de Tal Kasha; Chevelure de Tal Kasha; Sandales  d'Atcham; Dofus Turquoise; Dofus Nébuleux; Dofus Pourpre; Vigoureux majeur; Étourdisseur majeur; Remueur; Muldo Ebène et Indigo</t>
        </is>
      </c>
    </row>
    <row r="5742">
      <c r="A5742" t="inlineStr">
        <is>
          <t>Stuff 1</t>
        </is>
      </c>
      <c r="B5742">
        <f>HYPERLINK("https://www.dofusbook.net/fr/equipement/1263535-stuff-1/objets", "link")</f>
        <v/>
      </c>
      <c r="C5742" t="n">
        <v>3</v>
      </c>
      <c r="D5742" t="inlineStr">
        <is>
          <t>Arc de Koutoulou; Amulette du Strigide; Alliance Gloursonne; Bracelet des Fonds marins; Quatre-feuilles; Menoture; Némès de Tal Kasha; Chevelure de Tal Kasha; Dofus Nébuleux; Dofus Pourpre; Dofus Turquoise; Vigoureux majeur; Étourdisseur majeur; Remueur; Muldo Ebène et Indigo</t>
        </is>
      </c>
    </row>
    <row r="5743">
      <c r="A5743" t="inlineStr">
        <is>
          <t>multi</t>
        </is>
      </c>
      <c r="B5743">
        <f>HYPERLINK("https://www.dofusbook.net/fr/equipement/1199675-multi/objets", "link")</f>
        <v/>
      </c>
      <c r="C5743" t="n">
        <v>2</v>
      </c>
      <c r="D5743" t="inlineStr">
        <is>
          <t>Sabres d'Atcham; Amulette du Strigide; Anneau de Padgref; Alliance Gloursonne; Bouclier du Captain Amakna; Ceintacé; Coiffe de Padgref; Chevelure de Tal Kasha; Sandales de Tal Kasha; Dofus Ocre; Dofus Abyssal; Dofus Pourpre; Dofus des Glaces; Dofus Turquoise; Dofus Nébuleux; Muldo Prune et Emeraude</t>
        </is>
      </c>
    </row>
    <row r="5744">
      <c r="A5744" t="inlineStr">
        <is>
          <t>Ecaflip</t>
        </is>
      </c>
      <c r="B5744">
        <f>HYPERLINK("https://www.dofusbook.net/fr/equipement/1173488-ecaflip/objets", "link")</f>
        <v/>
      </c>
      <c r="C5744" t="n">
        <v>2</v>
      </c>
      <c r="D5744" t="inlineStr">
        <is>
          <t>Sabres d'Atcham; Amulette du Strigide; Anneau de Padgref; Alliance Gloursonne; Bouclier du Captain Amakna; Ceintacé; Némès de Tal Kasha; Chevelure de Tal Kasha; Pataugastrique; Dofus Pourpre; Dofus Turquoise; Nomade; Remueur; Vigoureux majeur; Érudit majeur; Muldo Prune et Orchidée</t>
        </is>
      </c>
    </row>
    <row r="5745">
      <c r="A5745" t="inlineStr">
        <is>
          <t>terre air</t>
        </is>
      </c>
      <c r="B5745">
        <f>HYPERLINK("https://www.dofusbook.net/fr/equipement/589774-terre-air/objets", "link")</f>
        <v/>
      </c>
      <c r="C5745" t="n">
        <v>2</v>
      </c>
      <c r="D5745" t="inlineStr">
        <is>
          <t>Héqache; Amulette du Strigide; Anneau Chevelu; Alliance Gloursonne; Ceintacé; Coiffe de la Fuji Givrefoux; Cape du Kamasterisk; Bottes du Kamasterisk; Dofus Turquoise; Dolmanax; Dofus Pourpre; Fonceur majeur; Remueur; Muldo Prune et Ebène</t>
        </is>
      </c>
    </row>
    <row r="5746">
      <c r="A5746" t="inlineStr">
        <is>
          <t>Ouginak</t>
        </is>
      </c>
      <c r="B5746">
        <f>HYPERLINK("https://www.dofusbook.net/fr/equipement/1173478-ouginak/objets", "link")</f>
        <v/>
      </c>
      <c r="C5746" t="n">
        <v>1</v>
      </c>
      <c r="D5746" t="inlineStr">
        <is>
          <t>Arc de Koutoulou; Amulette du Strigide; Alliance Gloursonne; Anneau de Padgref; Quatre-feuilles; Ceintacé; Némès de Tal Kasha; Chevelure de Tal Kasha; Sandales de Tal Kasha; Dofus Émeraude; Dofus Turquoise; Dofus Nébuleux; Dolmanax; Dofus Pourpre; Vigoureux majeur; Muldo Prune et Orchidée</t>
        </is>
      </c>
    </row>
    <row r="5747">
      <c r="A5747" t="inlineStr">
        <is>
          <t>Cra</t>
        </is>
      </c>
      <c r="B5747">
        <f>HYPERLINK("https://www.dofusbook.net/fr/equipement/1173487-cra/objets", "link")</f>
        <v/>
      </c>
      <c r="C5747" t="n">
        <v>2</v>
      </c>
      <c r="D5747" t="inlineStr">
        <is>
          <t>Bâton Beau; Amulette du Strigide; Anneau de Padgref; Bracelet du Piloztère; Quatre-feuilles; Ceintacé; Le Dorado; Voile d'encre; Bottes du Strigide; Dofus Turquoise; Dofus des Glaces; Dofus Pourpre; Nomade; Remueur; Vigoureux majeur; Muldo Doré et Emeraude</t>
        </is>
      </c>
    </row>
    <row r="5748">
      <c r="A5748" t="inlineStr">
        <is>
          <t>Kael</t>
        </is>
      </c>
      <c r="B5748">
        <f>HYPERLINK("https://www.dofusbook.net/fr/equipement/1156738-kael/objets", "link")</f>
        <v/>
      </c>
      <c r="C5748" t="n">
        <v>2</v>
      </c>
      <c r="D5748" t="inlineStr">
        <is>
          <t>Dague Hirr; Amulette Hendart; Alliance Gloursonne; Anneau de Brouce; Écorce de Brouce; Ceinture Rasboulaire du Rasboul; Coiffe de la Fuji Givrefoux; Cape de la Fuji Givrefoux; Sabots Minables; Dofus Émeraude; Dofus Turquoise; Remueur; Carapace Air majeur; Vigoureux majeur; Nomade; Kramkram</t>
        </is>
      </c>
    </row>
    <row r="5749">
      <c r="A5749" t="inlineStr">
        <is>
          <t>eau</t>
        </is>
      </c>
      <c r="B5749">
        <f>HYPERLINK("https://www.dofusbook.net/fr/equipement/1005036-eau-/objets", "link")</f>
        <v/>
      </c>
      <c r="C5749" t="n">
        <v>1</v>
      </c>
      <c r="D5749" t="inlineStr">
        <is>
          <t>Rapière aux Glyphes; Amulette de Shokkoth; Bracelet des Fonds marins; Alliance Gloursonne; Bouclier précieux; Poulpagne; Kidibonnet; Cape de Mantaze; Sandales des Fonds marins; Fonceur majeur; Chanceux majeur; Muldo Indigo</t>
        </is>
      </c>
    </row>
    <row r="5750">
      <c r="A5750" t="inlineStr">
        <is>
          <t>eau</t>
        </is>
      </c>
      <c r="B5750">
        <f>HYPERLINK("https://www.dofusbook.net/fr/equipement/1005033-eau-/objets", "link")</f>
        <v/>
      </c>
      <c r="C5750" t="n">
        <v>1</v>
      </c>
      <c r="D5750" t="inlineStr"/>
    </row>
    <row r="5751">
      <c r="A5751" t="inlineStr">
        <is>
          <t>pvm cra do cri</t>
        </is>
      </c>
      <c r="B5751">
        <f>HYPERLINK("https://www.dofusbook.net/fr/equipement/1002538-pvm-cra-do-cri/objets", "link")</f>
        <v/>
      </c>
      <c r="C5751" t="n">
        <v>1</v>
      </c>
      <c r="D5751" t="inlineStr">
        <is>
          <t>Bâton Beau; Amulette du Strigide; Alliance Gloursonne; Anneau de Padgref; Ceinture du Strigide; Coiffe de Padgref; Getas de Padgref</t>
        </is>
      </c>
    </row>
    <row r="5752">
      <c r="A5752" t="inlineStr">
        <is>
          <t>eau-ret</t>
        </is>
      </c>
      <c r="B5752">
        <f>HYPERLINK("https://www.dofusbook.net/fr/equipement/989474-eau-ret/objets", "link")</f>
        <v/>
      </c>
      <c r="C5752" t="n">
        <v>1</v>
      </c>
      <c r="D5752" t="inlineStr">
        <is>
          <t>Dagues Açantes; Amulette Hale; Bracelet des Fonds marins; Alliance Gloursonne; Bouclier cubiste; Ceinture Glaciale; Kidibonnet; Cape de Léthaline; Chaussures Face; Temporiseur majeur; Remueur; Ralentisseur majeur; Temporiseur; Entraveur majeur; Muldo Pourpre</t>
        </is>
      </c>
    </row>
    <row r="5753">
      <c r="A5753" t="inlineStr">
        <is>
          <t>air</t>
        </is>
      </c>
      <c r="B5753">
        <f>HYPERLINK("https://www.dofusbook.net/fr/equipement/918346-air/objets", "link")</f>
        <v/>
      </c>
      <c r="C5753" t="n">
        <v>4</v>
      </c>
      <c r="D5753" t="inlineStr">
        <is>
          <t>Manthache; Amulette Ementaire Deluxe; Alliance Gloursonne; Gant du Valet Veinard; Menoture; Dorabysses; Cape du Valet Veinard; Palmes Trithons; Dolmanax; Dofus Émeraude; Cascadeur majeur; Carapace Neutre majeur; Remueur; Muldo Ebène</t>
        </is>
      </c>
    </row>
    <row r="5754">
      <c r="A5754" t="inlineStr">
        <is>
          <t>feu</t>
        </is>
      </c>
      <c r="B5754">
        <f>HYPERLINK("https://www.dofusbook.net/fr/equipement/894608-feu/objets", "link")</f>
        <v/>
      </c>
      <c r="C5754" t="n">
        <v>2</v>
      </c>
      <c r="D5754" t="inlineStr">
        <is>
          <t>Baguette de Malléfisk; Torquistik; Anneauræus; Anneau Rifique; Sept ans de malheur; Cagoule de Vortex; Voile d'encre; Pataugastrique; Érudit majeur; Fonceur majeur; Remueur; Étourdisseur majeur; Obstructeur majeur; Carapace Neutre majeur; Muldo Orchidée et Pourpre</t>
        </is>
      </c>
    </row>
    <row r="5755">
      <c r="A5755" t="inlineStr">
        <is>
          <t>terre feu soin</t>
        </is>
      </c>
      <c r="B5755">
        <f>HYPERLINK("https://www.dofusbook.net/fr/equipement/853227-terre-feu-soin/objets", "link")</f>
        <v/>
      </c>
      <c r="C5755" t="n">
        <v>1</v>
      </c>
      <c r="D5755" t="inlineStr">
        <is>
          <t>Baguette de Malléfisk; Torquistik; Anneau Tique; Anneauræus; Sept ans de malheur; Ceinture du Comte Razof; Chapeau du Comte Razof; Cape de Diondin; Pataugastrique; Carapace Neutre majeur; Obstructeur majeur; Fonceur majeur; Étourdisseur majeur; Érudit majeur; Temporiseur majeur; Muldo Orchidée</t>
        </is>
      </c>
    </row>
    <row r="5756">
      <c r="A5756" t="inlineStr">
        <is>
          <t>feu soin ret pa</t>
        </is>
      </c>
      <c r="B5756">
        <f>HYPERLINK("https://www.dofusbook.net/fr/equipement/884077-feu-soin-ret-pa/objets", "link")</f>
        <v/>
      </c>
      <c r="C5756" t="n">
        <v>1</v>
      </c>
      <c r="D5756" t="inlineStr">
        <is>
          <t>Baguette de Malléfisk; Pendentif affamé; Chevalière du Roi Joueur; Bague Gloursonne; Sept ans de malheur; Ceinture de Vortex; Cape de Diondin; Chaussons du Comte Razof; Étourdisseur majeur; Remueur; Érudit majeur; Obstructeur majeur; Nomade; El Scarador</t>
        </is>
      </c>
    </row>
    <row r="5757">
      <c r="A5757" t="inlineStr">
        <is>
          <t>jul</t>
        </is>
      </c>
      <c r="B5757">
        <f>HYPERLINK("https://www.dofusbook.net/fr/equipement/866386-jul/objets", "link")</f>
        <v/>
      </c>
      <c r="C5757" t="n">
        <v>1</v>
      </c>
      <c r="D5757" t="inlineStr">
        <is>
          <t>Bâton Beau; Amulette du Strigide; Bague Trithon; Anneau de Padgref; Quatre-feuilles; Ceintacé; Coiffe de Padgref; Chevelure de Tal Kasha; Sandales de Tal Kasha; Dofus Nébuleux; Dofus Pourpre; Dofus Abyssal; Dofus Turquoise; Dofus des Glaces; Dofus Ocre; Muldo Prune et Emeraude</t>
        </is>
      </c>
    </row>
    <row r="5758">
      <c r="A5758" t="inlineStr">
        <is>
          <t>terre feu ret pa</t>
        </is>
      </c>
      <c r="B5758">
        <f>HYPERLINK("https://www.dofusbook.net/fr/equipement/824938-terre-feu-ret-pa/objets", "link")</f>
        <v/>
      </c>
      <c r="C5758" t="n">
        <v>2</v>
      </c>
      <c r="D5758" t="inlineStr">
        <is>
          <t>Baguette de Malléfisk; Pendentif affamé; Anneau Tique; Anneau Rifique; Sept ans de malheur; Ceinture de Vortex; Cagoule de Vortex; Cape de Diondin; Pataugastrique; Étourdisseur majeur; Érudit majeur; Fonceur majeur; Guérisseur majeur; Carapace Neutre majeur; Obstructeur majeur; Muldo Orchidée et Pourpre</t>
        </is>
      </c>
    </row>
    <row r="5759">
      <c r="A5759" t="inlineStr">
        <is>
          <t>eau air</t>
        </is>
      </c>
      <c r="B5759">
        <f>HYPERLINK("https://www.dofusbook.net/fr/equipement/705689-eau-air/objets", "link")</f>
        <v/>
      </c>
      <c r="C5759" t="n">
        <v>1</v>
      </c>
      <c r="D5759" t="inlineStr">
        <is>
          <t>Ougarteau; Kralamansion; Annolamour; Kralano; Ougature; Ougalurette; Voile d'encre; Bottes Répané; Dofus Kaliptus; Dofus Ocre; Dofus Pourpre; Dofus Cawotte; Dofus Turquoise</t>
        </is>
      </c>
    </row>
    <row r="5760">
      <c r="A5760" t="inlineStr">
        <is>
          <t>Eau-Do pou</t>
        </is>
      </c>
      <c r="B5760">
        <f>HYPERLINK("https://www.dofusbook.net/fr/equipement/705527-eau-do-pou/objets", "link")</f>
        <v/>
      </c>
      <c r="C5760" t="n">
        <v>1</v>
      </c>
      <c r="D5760" t="inlineStr">
        <is>
          <t>Hache Euvale; Amulette Luminescente; Bracelet des Fonds marins; Alliance Gloursonne; Poulpagne; Chapeau des Malveilleurs; Cape Luminescente; Bottes Owesli; Dofus Émeraude; Dofus Abyssal; Remueur; Bousculeur majeur; Culbuteur majeur; Nomade; El Scarador</t>
        </is>
      </c>
    </row>
    <row r="5761">
      <c r="A5761" t="inlineStr">
        <is>
          <t>air ret pa tacle</t>
        </is>
      </c>
      <c r="B5761">
        <f>HYPERLINK("https://www.dofusbook.net/fr/equipement/632725-air-ret-pa-tacle/objets", "link")</f>
        <v/>
      </c>
      <c r="C5761" t="n">
        <v>2</v>
      </c>
      <c r="D5761" t="inlineStr">
        <is>
          <t>Manthache; Collier du Valet Veinard; Alliance Gloursonne; Gant du Valet Veinard; Menoture; Capuche de Moum-Ra; Cape du Kamasterisk; Palmes Trithons; Cascadeur majeur; Carapace Neutre majeur; Étourdisseur majeur; Obstructeur majeur; Remueur; Muldo Ebène</t>
        </is>
      </c>
    </row>
    <row r="5762">
      <c r="A5762" t="inlineStr">
        <is>
          <t>air</t>
        </is>
      </c>
      <c r="B5762">
        <f>HYPERLINK("https://www.dofusbook.net/fr/equipement/589366-air/objets", "link")</f>
        <v/>
      </c>
      <c r="C5762" t="n">
        <v>2</v>
      </c>
      <c r="D5762" t="inlineStr">
        <is>
          <t>Manthache; Collier du Valet Veinard; Gant du Valet Veinard; Alliance Gloursonne; Menoture; Capuche de Moum-Ra; Cape du Kamasterisk; Palmes Trithons; Equilibriste majeur; Nomade; Temporiseur majeur; Cascadeur majeur; Carapace Neutre majeur; Remueur; Muldo Ebène</t>
        </is>
      </c>
    </row>
    <row r="5763">
      <c r="A5763" t="inlineStr">
        <is>
          <t>terre feu.</t>
        </is>
      </c>
      <c r="B5763">
        <f>HYPERLINK("https://www.dofusbook.net/fr/equipement/578866-terre-feu-/objets", "link")</f>
        <v/>
      </c>
      <c r="C5763" t="n">
        <v>1</v>
      </c>
      <c r="D5763" t="inlineStr">
        <is>
          <t>Dagues Érhy; Amulette du Strigide; Bague Gloursonne; Bague Trithon; Ceinture du Strigide; Masque Trithon; Voile d'encre; Bottes du Strigide</t>
        </is>
      </c>
    </row>
    <row r="5764">
      <c r="A5764" t="inlineStr">
        <is>
          <t>terre feu</t>
        </is>
      </c>
      <c r="B5764">
        <f>HYPERLINK("https://www.dofusbook.net/fr/equipement/577723-terre-feu/objets", "link")</f>
        <v/>
      </c>
      <c r="C5764" t="n">
        <v>1</v>
      </c>
      <c r="D5764" t="inlineStr">
        <is>
          <t>Dagues Érhy; Amulette du Strigide; Bague Gloursonne; Anneau Chevelu; Ceintacé; Chapeau de Gein; Voile d'encre; Bottes du Strigide; Dofus Ocre; Dofus Abyssal; Dofus Turquoise; Dofus Pourpre; Muldo Prune et Orchidée</t>
        </is>
      </c>
    </row>
    <row r="5765">
      <c r="A5765" t="inlineStr">
        <is>
          <t>feu/soin</t>
        </is>
      </c>
      <c r="B5765">
        <f>HYPERLINK("https://www.dofusbook.net/fr/equipement/495765-feu-soin/objets", "link")</f>
        <v/>
      </c>
      <c r="C5765" t="n">
        <v>5</v>
      </c>
      <c r="D5765" t="inlineStr">
        <is>
          <t>Hache Hélème; Pendentif affamé; Kralano; Anneau de Nidas; Bouclier du Cycloïde; Ceinture Séculaire; Couronne de Nidas; Cape de Diondin; Pataugastrique; Nomade; Remueur; Guérisseur majeur; Érudit majeur; Déserteur majeur; Astucieux majeur; Muldo Indigo et Orchidée</t>
        </is>
      </c>
    </row>
    <row r="5766">
      <c r="A5766" t="inlineStr">
        <is>
          <t>terre-air</t>
        </is>
      </c>
      <c r="B5766">
        <f>HYPERLINK("https://www.dofusbook.net/fr/equipement/467253-terre-air/objets", "link")</f>
        <v/>
      </c>
      <c r="C5766" t="n">
        <v>1</v>
      </c>
      <c r="D5766" t="inlineStr">
        <is>
          <t>Marteau R'ture; Collier de Tourthon; Bague Gloursonne; Anneau Chevelu; Bouclier d'Ilyzaelle; Ceinture de la Cour Sombre; Masque de Koutoulou; Cape au Logis; Bottes de la Cour Sombre</t>
        </is>
      </c>
    </row>
    <row r="5767">
      <c r="A5767" t="inlineStr">
        <is>
          <t>pvp3</t>
        </is>
      </c>
      <c r="B5767">
        <f>HYPERLINK("https://www.dofusbook.net/fr/equipement/426357-pvp3/objets", "link")</f>
        <v/>
      </c>
      <c r="C5767" t="n">
        <v>2</v>
      </c>
      <c r="D5767" t="inlineStr">
        <is>
          <t>Hache Harnée; Amulette du Strigide; Anneau de Padgref; Alliance Gloursonne; Ceinture du Strigide; Némès de Tal Kasha; Chevelure de Tal Kasha; Sandales de Tal Kasha; Dofus Turquoise; Dofus Ocre; Dofus Pourpre; Dofus Nébuleux; Dofus Émeraude; Dofus des Glaces; Muldo Ebène et Indigo</t>
        </is>
      </c>
    </row>
    <row r="5768">
      <c r="A5768" t="inlineStr">
        <is>
          <t>pvp2</t>
        </is>
      </c>
      <c r="B5768">
        <f>HYPERLINK("https://www.dofusbook.net/fr/equipement/426202-pvp2/objets", "link")</f>
        <v/>
      </c>
      <c r="C5768" t="n">
        <v>1</v>
      </c>
      <c r="D5768" t="inlineStr">
        <is>
          <t>Hache Harnée; Amulette du Strigide; Alliance Gloursonne; Anneau Tique; Ceinture de Vortex; Chapeau des Malveilleurs; Cape d'Atcham; Sandales  d'Atcham</t>
        </is>
      </c>
    </row>
    <row r="5769">
      <c r="A5769" t="inlineStr">
        <is>
          <t>pvp</t>
        </is>
      </c>
      <c r="B5769">
        <f>HYPERLINK("https://www.dofusbook.net/fr/equipement/425664-pvp/objets", "link")</f>
        <v/>
      </c>
      <c r="C5769" t="n">
        <v>3</v>
      </c>
      <c r="D5769" t="inlineStr">
        <is>
          <t>Hache Harnée; Amulette du Strigide; Alliance Gloursonne; Anneau de Padgref; Ceinture du Strigide; Némès de Tal Kasha; Chevelure de Tal Kasha; Sandales de Tal Kasha; Dofus Ocre; Dofus Turquoise; Dolmanax; Dofus Pourpre; Dofus des Glaces; Dofus Émeraude; Muldo Ebène et Indigo</t>
        </is>
      </c>
    </row>
    <row r="5770">
      <c r="A5770" t="inlineStr">
        <is>
          <t>cra bfergh</t>
        </is>
      </c>
      <c r="B5770">
        <f>HYPERLINK("https://www.dofusbook.net/fr/equipement/409758-cra-bfergh/objets", "link")</f>
        <v/>
      </c>
      <c r="C5770" t="n">
        <v>1</v>
      </c>
      <c r="D5770" t="inlineStr">
        <is>
          <t>Epée Gloursonne; Amulette du Strigide; Alliance Gloursonne; Bague Gloursonne; Ceinture du Strigide; Bonnet Ko; Pèlerine d'Augilol; Bottes du Strigide; Dolmanax; Dofus Abyssal; Dofus Turquoise; Dofus des Glaces; Dofus Ocre; Dofus Pourpre; Muldo Prune et Emeraude</t>
        </is>
      </c>
    </row>
    <row r="5771">
      <c r="A5771" t="inlineStr">
        <is>
          <t>do cri eau air</t>
        </is>
      </c>
      <c r="B5771">
        <f>HYPERLINK("https://www.dofusbook.net/fr/equipement/393420-do-cri-eau-air/objets", "link")</f>
        <v/>
      </c>
      <c r="C5771" t="n">
        <v>1</v>
      </c>
      <c r="D5771" t="inlineStr">
        <is>
          <t>Bâtonnet Ronien; Amulette du Strigide; Anneau de Padgref; Alliance Gloursonne; Ceinture du Strigide; Némès de Tal Kasha; Chevelure de Tal Kasha; Sandales de Tal Kasha; Dofus Pourpre; Dofus des Glaces; Dofus Turquoise; Dofus Nébuleux; Dofus Ocre; Taquin majeur; Muldo Prune et Emeraude</t>
        </is>
      </c>
    </row>
    <row r="5772">
      <c r="A5772" t="inlineStr">
        <is>
          <t>feu air do cri</t>
        </is>
      </c>
      <c r="B5772">
        <f>HYPERLINK("https://www.dofusbook.net/fr/equipement/392200-feu-air-do-cri/objets", "link")</f>
        <v/>
      </c>
      <c r="C5772" t="n">
        <v>5</v>
      </c>
      <c r="D5772" t="inlineStr">
        <is>
          <t>Baguette Range; Amulette du Strigide; Anneau de Padgref; Bracelet du Piloztère; Ceintacé; Coiffe de Padgref; Cape d'Atcham; Pataugastrique; Dofus Pourpre; Dofus Turquoise; Remueur; Vigoureux majeur; Sanguinaire majeur; Nomade; Muldo Prune et Emeraude</t>
        </is>
      </c>
    </row>
    <row r="5773">
      <c r="A5773" t="inlineStr">
        <is>
          <t>pvpm</t>
        </is>
      </c>
      <c r="B5773">
        <f>HYPERLINK("https://www.dofusbook.net/fr/equipement/383266-pvpm/objets", "link")</f>
        <v/>
      </c>
      <c r="C5773" t="n">
        <v>1</v>
      </c>
      <c r="D5773" t="inlineStr">
        <is>
          <t>Hache Téroïde; Amulette du Strigide; Bague Gloursonne; Anneau Chevelu; Ceintacé; Chapeau de Gein; Voile d'encre; Bottes du Strigide; Dofus Pourpre; Dofus Turquoise; Vigoureux majeur; Nomade; Remueur; El Scarador</t>
        </is>
      </c>
    </row>
    <row r="5774">
      <c r="A5774" t="inlineStr">
        <is>
          <t>Osa Pvpm</t>
        </is>
      </c>
      <c r="B5774">
        <f>HYPERLINK("https://www.dofusbook.net/fr/equipement/354826-osa-pvpm/objets", "link")</f>
        <v/>
      </c>
      <c r="C5774" t="n">
        <v>2</v>
      </c>
      <c r="D5774" t="inlineStr">
        <is>
          <t>Arc Hétype; Pendentif affamé; Anneau Tique; Anneau de Nidas; Bouclier cubiste; Ceinture de Vortex; Couronne de Nidas; Voile d'encre; Pataugastrique; Temporiseur majeur; Remueur; Déserteur majeur; Nomade; Érudit majeur; Carapace Neutre majeur; Croum</t>
        </is>
      </c>
    </row>
    <row r="5775">
      <c r="A5775" t="inlineStr">
        <is>
          <t>Ret pm</t>
        </is>
      </c>
      <c r="B5775">
        <f>HYPERLINK("https://www.dofusbook.net/fr/equipement/310863-ret-pm/objets", "link")</f>
        <v/>
      </c>
      <c r="C5775" t="n">
        <v>1</v>
      </c>
      <c r="D5775" t="inlineStr">
        <is>
          <t>Amulette Hale; Pikano; Alliance Gloursonne; Poulpagne; Kidibonnet; Chaussures Face</t>
        </is>
      </c>
    </row>
    <row r="5776">
      <c r="A5776" t="inlineStr">
        <is>
          <t>test</t>
        </is>
      </c>
      <c r="B5776">
        <f>HYPERLINK("https://www.dofusbook.net/fr/equipement/153633-test/objets", "link")</f>
        <v/>
      </c>
      <c r="C5776" t="n">
        <v>2</v>
      </c>
      <c r="D5776" t="inlineStr">
        <is>
          <t>Arc Nécrotique; Talisman Igans; Alliance Gloursonne; Bague Gloursonne; Ceintrigue; Casquette de Meno; Cape de Meno; Bottes de Meno; Dofus Turquoise; Dofus Pourpre; Dofus Ocre; Dofus Émeraude; Muldo Ebène et Orchidée; Bouclier Démoniaque</t>
        </is>
      </c>
    </row>
    <row r="5777">
      <c r="A5777" t="inlineStr">
        <is>
          <t>Stuff 2</t>
        </is>
      </c>
      <c r="B5777">
        <f>HYPERLINK("https://www.dofusbook.net/fr/equipement/153410-stuff-2/objets", "link")</f>
        <v/>
      </c>
      <c r="C5777" t="n">
        <v>2</v>
      </c>
      <c r="D5777" t="inlineStr">
        <is>
          <t>Dagues de Srambad; Amulette Luminescente; Alliance Gloursonne; Bracelet du Piloztère; Ceintacé; Coiffe de la Reine des Voleurs; Voile d'encre; Bottes de la Reine des Voleurs; Dofus Pourpre; Temporiseur majeur; Ralentisseur majeur; Nomade; Vigoureux majeur; Remueur; El Scarador</t>
        </is>
      </c>
    </row>
    <row r="5778">
      <c r="A5778" t="inlineStr">
        <is>
          <t>Stuff 2</t>
        </is>
      </c>
      <c r="B5778">
        <f>HYPERLINK("https://www.dofusbook.net/fr/equipement/153391-stuff-2/objets", "link")</f>
        <v/>
      </c>
      <c r="C5778" t="n">
        <v>1</v>
      </c>
      <c r="D5778" t="inlineStr">
        <is>
          <t>Dagues Lassay; Collier du Tanukouï San; Gelano; Anneau Nobstant; Ceinture Phossile; Cascterre; Cape Souveraine du Roissingue; Bottes Phossiles; Dofus Pourpre; Dokoko; Remueur; Cascadeur majeur; Observateur; Nomade; Siroko</t>
        </is>
      </c>
    </row>
    <row r="5779">
      <c r="A5779" t="inlineStr">
        <is>
          <t>Stuff 1</t>
        </is>
      </c>
      <c r="B5779">
        <f>HYPERLINK("https://www.dofusbook.net/fr/equipement/153399-stuff-1/objets", "link")</f>
        <v/>
      </c>
      <c r="C5779" t="n">
        <v>2</v>
      </c>
      <c r="D5779" t="inlineStr">
        <is>
          <t>Pioche de Grizou; Amulette du Sinistrofu; Bracelet du Piloztère; Anneau Glacial; Ceinture Glaciale; Masque Vaudou Jav; Cape Reski; Bottes du Nocturlabe; Dofus Turquoise; Dofus Pourpre; Nomade; Taquin majeur; Vigoureux majeur; Chanceux majeur; Dehluge</t>
        </is>
      </c>
    </row>
    <row r="5780">
      <c r="A5780" t="inlineStr">
        <is>
          <t>Stuff 3</t>
        </is>
      </c>
      <c r="B5780">
        <f>HYPERLINK("https://www.dofusbook.net/fr/equipement/153401-stuff-3/objets", "link")</f>
        <v/>
      </c>
      <c r="C5780" t="n">
        <v>2</v>
      </c>
      <c r="D5780" t="inlineStr">
        <is>
          <t>Dagues Açantes; Amulette du Sinistrofu; Alliance Gloursonne; Pikano; Ceinture Glaciale; Kidibonnet; Cape de Léthaline; Pikottes; Entraveur majeur; Remueur; Temporiseur; Temporiseur majeur; Ralentisseur majeur; Nomade; Dragoune Rose</t>
        </is>
      </c>
    </row>
    <row r="5781">
      <c r="A5781" t="inlineStr">
        <is>
          <t>Stuff 3</t>
        </is>
      </c>
      <c r="B5781">
        <f>HYPERLINK("https://www.dofusbook.net/fr/equipement/153395-stuff-3/objets", "link")</f>
        <v/>
      </c>
      <c r="C5781" t="n">
        <v>2</v>
      </c>
      <c r="D5781" t="inlineStr">
        <is>
          <t>Marteau des Anciens Steamers; Amulette du Strigide; Bracelet des Fonds marins; Alliance Gloursonne; Ceinture du Strigide; Némès de Tal Kasha; Chevelure de Tal Kasha; Sandales de Tal Kasha; Dofus Nébuleux; Dofus Turquoise; Croum</t>
        </is>
      </c>
    </row>
    <row r="5782">
      <c r="A5782" t="inlineStr">
        <is>
          <t>Stuff 1</t>
        </is>
      </c>
      <c r="B5782">
        <f>HYPERLINK("https://www.dofusbook.net/fr/equipement/153390-stuff-1/objets", "link")</f>
        <v/>
      </c>
      <c r="C5782" t="n">
        <v>1</v>
      </c>
      <c r="D5782" t="inlineStr">
        <is>
          <t>Manthache; Collier du Valet Veinard; Gant du Valet Veinard; Alliance Gloursonne; Menoture; Némès de Tal Kasha; Chevelure de Tal Kasha; Sandales de Tal Kasha; Dofus Cawotte; Dofus Émeraude; Étourdisseur majeur; Remueur; Cascadeur majeur; Fonceur majeur; Muldo Ebène</t>
        </is>
      </c>
    </row>
    <row r="5783">
      <c r="A5783" t="inlineStr">
        <is>
          <t>Stuff 3</t>
        </is>
      </c>
      <c r="B5783">
        <f>HYPERLINK("https://www.dofusbook.net/fr/equipement/153398-stuff-3/objets", "link")</f>
        <v/>
      </c>
      <c r="C5783" t="n">
        <v>2</v>
      </c>
      <c r="D5783" t="inlineStr">
        <is>
          <t>Rapière aux Glyphes; Amulette du Sinistrofu; Bracelet du Piloztère; Alliance Gloursonne; Cadran d'Air; Poulpagne; Casque Dragoeuf; Cape Matelassée; Bottes du Sinistrofu; Dofus Turquoise; Dofus Émeraude; Dokoko; Nomade; Remueur; Chanceux majeur; Muldo Indigo</t>
        </is>
      </c>
    </row>
    <row r="5784">
      <c r="A5784" t="inlineStr">
        <is>
          <t>Stuff 3</t>
        </is>
      </c>
      <c r="B5784">
        <f>HYPERLINK("https://www.dofusbook.net/fr/equipement/153392-stuff-3/objets", "link")</f>
        <v/>
      </c>
      <c r="C5784" t="n">
        <v>1</v>
      </c>
      <c r="D5784" t="inlineStr">
        <is>
          <t>La Baguette des Limbes; Col de Ush; Anneau Nobstant; Anneau du Chêne Mou; Ceinture Phossile; Le Nahitse; Cape Hulco; Bottes de Ush; Dofus des Glaces; Dofus Nébuleux; Remueur; Érudit majeur; Vigoureux majeur; Nomade; Brûlih</t>
        </is>
      </c>
    </row>
    <row r="5785">
      <c r="A5785" t="inlineStr">
        <is>
          <t>Stuff 2</t>
        </is>
      </c>
      <c r="B5785">
        <f>HYPERLINK("https://www.dofusbook.net/fr/equipement/153400-stuff-2/objets", "link")</f>
        <v/>
      </c>
      <c r="C5785" t="n">
        <v>2</v>
      </c>
      <c r="D5785" t="inlineStr">
        <is>
          <t>Bêche Asse; Amulette de Gein; Bracelet du Piloztère; Anneau de Brouce; Ceinture de Brouce; Coiffe du Comte Harebourg; Cape au Logis; Sabots Minables; Dofus Pourpre; Vigoureux majeur; Enragé majeur; Nomade; Remueur; Forcené majeur; Kompost</t>
        </is>
      </c>
    </row>
    <row r="5786">
      <c r="A5786" t="inlineStr">
        <is>
          <t>Stuff 2</t>
        </is>
      </c>
      <c r="B5786">
        <f>HYPERLINK("https://www.dofusbook.net/fr/equipement/153394-stuff-2/objets", "link")</f>
        <v/>
      </c>
      <c r="C5786" t="n">
        <v>2</v>
      </c>
      <c r="D5786" t="inlineStr">
        <is>
          <t>Couteaux à Champignons; Amulette Ementaire Deluxe; Anneau Colerette; Anneau de XLII; Ceinture de XLII; Chapignon; Caprin; Bottes de XLII; Dofus Turquoise; Dofus Émeraude; Dokoko; Dofus Pourpre; Dofus Ocre; Dolmanax; Muldo Prune et Doré</t>
        </is>
      </c>
    </row>
    <row r="5787">
      <c r="A5787" t="inlineStr">
        <is>
          <t>zobal</t>
        </is>
      </c>
      <c r="B5787">
        <f>HYPERLINK("https://www.dofusbook.net/fr/equipement/5385096-zobal/objets", "link")</f>
        <v/>
      </c>
      <c r="C5787" t="n">
        <v>64</v>
      </c>
      <c r="D5787" t="inlineStr">
        <is>
          <t>Sabres d'Atcham; Amulette du Strigide; Alliance Gloursonne; Anneau de Padgref; Quatre-feuilles; Ceinture du Strigide; Coiffe de Padgref; Cape d'Atcham; Getas de Padgref; Dofus Abyssal; Dofus Pourpre; Dofus des Glaces; Dofus Turquoise; Dofus Émeraude; Voyageur</t>
        </is>
      </c>
    </row>
    <row r="5788">
      <c r="A5788" t="inlineStr">
        <is>
          <t>Crâ M 200</t>
        </is>
      </c>
      <c r="B5788">
        <f>HYPERLINK("https://www.dofusbook.net/fr/equipement/6002788-cra-m-200/objets", "link")</f>
        <v/>
      </c>
      <c r="C5788" t="n">
        <v>1</v>
      </c>
      <c r="D5788" t="inlineStr">
        <is>
          <t>Amulette du Strigide; Anneau d'Allister; Quatre-feuilles; Ceinture du Strigide; Dofus des Glaces; Dofus Émeraude; Dofus Abyssal; Dofus Pourpre; Blérodoudou</t>
        </is>
      </c>
    </row>
    <row r="5789">
      <c r="A5789" t="inlineStr">
        <is>
          <t>Enutrof M 200</t>
        </is>
      </c>
      <c r="B5789">
        <f>HYPERLINK("https://www.dofusbook.net/fr/equipement/5910368-enutrof-m-200/objets", "link")</f>
        <v/>
      </c>
      <c r="C5789" t="n">
        <v>3</v>
      </c>
      <c r="D5789" t="inlineStr">
        <is>
          <t>Marteau Lahre; Collier du Valet Veinard; Gant du Valet Veinard; Anneau d'Allister; Bouclier du Captain Amakna; Menoture; Couronne d'Allister; Cape du Valet Veinard; Bottes d'Allister; Dofus des Glaces; Dofus Pourpre; Dofus Vulbis; Equilibriste majeur; Saccageur Air majeur; Ravageur Air majeur; Blérodoudou</t>
        </is>
      </c>
    </row>
    <row r="5790">
      <c r="A5790" t="inlineStr">
        <is>
          <t>Enutrof M 200</t>
        </is>
      </c>
      <c r="B5790">
        <f>HYPERLINK("https://www.dofusbook.net/fr/equipement/5910332-enutrof-m-200/objets", "link")</f>
        <v/>
      </c>
      <c r="C5790" t="n">
        <v>1</v>
      </c>
      <c r="D5790" t="inlineStr">
        <is>
          <t>Marteau Lahre; Amulette du Strigide; Anneau de Padgref; Gant du Valet Veinard; Bouclier du Captain Amakna; Menoture; Coiffe de Padgref; Cape Indescriptible; Palmes Trithons; Dofus Ocre; Dofus Turquoise; Dofus des Glaces; Dévastateur Air majeur; Cascadeur majeur; Nomade; Pioute jaune</t>
        </is>
      </c>
    </row>
    <row r="5791">
      <c r="A5791" t="inlineStr">
        <is>
          <t>Iop M 200</t>
        </is>
      </c>
      <c r="B5791">
        <f>HYPERLINK("https://www.dofusbook.net/fr/equipement/5851780-iop-m-200/objets", "link")</f>
        <v/>
      </c>
      <c r="C5791" t="n">
        <v>2</v>
      </c>
      <c r="D5791" t="inlineStr">
        <is>
          <t>Harpelle; Amulette Volkorne; Anneauræus; Anneau de Padgref; Quatre-feuilles; Ceinture Séculaire; Heaume Oplate; Cape de Jahash Jurgen; Getas de Padgref; Dofus Ocre; Dofus Abyssal; Dofus Vulbis; Dofus Ivoire; Dofus Turquoise; Dofus Ébène; Pioute rouge</t>
        </is>
      </c>
    </row>
    <row r="5792">
      <c r="A5792" t="inlineStr">
        <is>
          <t>Eniripsa M 200</t>
        </is>
      </c>
      <c r="B5792">
        <f>HYPERLINK("https://www.dofusbook.net/fr/equipement/5848621-eniripsa-m-200/objets", "link")</f>
        <v/>
      </c>
      <c r="C5792" t="n">
        <v>3</v>
      </c>
      <c r="D5792" t="inlineStr">
        <is>
          <t>Arc Hétype; Pendentif affamé; Anneauræus; Anneau Rifique; Bouclier du Cycloïde; Ceinture Séculaire; Coiffe Séculaire; Cape de Diondin; Bottes Innommables; Dofus Ocre; Savant majeur; Miraculé majeur; Guérisseur majeur; Nomade; Érudit majeur; Dragodinde Orchidée et Rousse</t>
        </is>
      </c>
    </row>
    <row r="5793">
      <c r="A5793" t="inlineStr">
        <is>
          <t>Eniripsa F 200</t>
        </is>
      </c>
      <c r="B5793">
        <f>HYPERLINK("https://www.dofusbook.net/fr/equipement/5742453-eniripsa-f-200/objets", "link")</f>
        <v/>
      </c>
      <c r="C5793" t="n">
        <v>1</v>
      </c>
      <c r="D5793" t="inlineStr"/>
    </row>
    <row r="5794">
      <c r="A5794" t="inlineStr">
        <is>
          <t>Iop F 200</t>
        </is>
      </c>
      <c r="B5794">
        <f>HYPERLINK("https://www.dofusbook.net/fr/equipement/5633752-iop-f-200/objets", "link")</f>
        <v/>
      </c>
      <c r="C5794" t="n">
        <v>1</v>
      </c>
      <c r="D5794" t="inlineStr">
        <is>
          <t>Collier du Valet Veinard; Gant du Valet Veinard; Anneau d'Allister; Couronne d'Allister; Cape de Jahash Jurgen; Bottes d'Allister</t>
        </is>
      </c>
    </row>
    <row r="5795">
      <c r="A5795" t="inlineStr">
        <is>
          <t>Zobal M 200</t>
        </is>
      </c>
      <c r="B5795">
        <f>HYPERLINK("https://www.dofusbook.net/fr/equipement/5627949-zobal-m-200/objets", "link")</f>
        <v/>
      </c>
      <c r="C5795" t="n">
        <v>4</v>
      </c>
      <c r="D5795" t="inlineStr">
        <is>
          <t>Dagues d'Ilyzaelle; Amulette du Cœur Saignant; Anneau Volkorne; Alliance de Missiz Frizz; Bouclier du Captain Amakna; Ceinture Volkorne; Masque de Koutoulou; Cape du Cœur Saignant; Bottes du Cœur Saignant; Dolmanax; Dofus des Glaces; Dofus Pourpre; Dofus Turquoise; Forcené majeur; Furibond majeur; Pioute vert</t>
        </is>
      </c>
    </row>
    <row r="5796">
      <c r="A5796" t="inlineStr">
        <is>
          <t>Sacrieur F 200</t>
        </is>
      </c>
      <c r="B5796">
        <f>HYPERLINK("https://www.dofusbook.net/fr/equipement/5627879-sacrieur-f-200/objets", "link")</f>
        <v/>
      </c>
      <c r="C5796" t="n">
        <v>3</v>
      </c>
      <c r="D5796" t="inlineStr">
        <is>
          <t>Arc corrompu; Collier de la Dame du Hasard; Alliance de Missiz Frizz; Anneau de Padgref; Quatre-feuilles; Ceinture Séculaire; Coiffe de Padgref; Cape de la Dame du Hasard; Getas de Padgref; Dofus Turquoise; Dolmanax; Dofus Ocre; Dofus Pourpre; Dofus des Glaces; Savant majeur; Pioute rouge</t>
        </is>
      </c>
    </row>
    <row r="5797">
      <c r="A5797" t="inlineStr">
        <is>
          <t>Enutrof F 200</t>
        </is>
      </c>
      <c r="B5797">
        <f>HYPERLINK("https://www.dofusbook.net/fr/equipement/5627436-enutrof-f-200/objets", "link")</f>
        <v/>
      </c>
      <c r="C5797" t="n">
        <v>5</v>
      </c>
      <c r="D5797" t="inlineStr">
        <is>
          <t>Dagoulinantes; Amulette de Shokkoth; Anneau Volkorne; Bracelet des Fonds marins; Bouclier du Stalak; Ceinture de la Reine des Voleurs; Kidibonnet; Cape de Mantaze; Bottes de la Reine des Voleurs; Dofus Turquoise; Dofus des Glaces; Dofus Pourpre; Remueur; Chanceux majeur; Nomade; Dehluge</t>
        </is>
      </c>
    </row>
    <row r="5798">
      <c r="A5798" t="inlineStr">
        <is>
          <t>Crâ M 200</t>
        </is>
      </c>
      <c r="B5798">
        <f>HYPERLINK("https://www.dofusbook.net/fr/equipement/5627377-cra-m-200/objets", "link")</f>
        <v/>
      </c>
      <c r="C5798" t="n">
        <v>7</v>
      </c>
      <c r="D5798" t="inlineStr">
        <is>
          <t>Arc Volkorne; Amulette Volkorne; Anneau Volkorne; Bague Trithon; Quatre-feuilles; Ceinture Volkorne; Masque Trithon; Cape de Jahash Jurgen; Bottes Trithon; Dofus Turquoise; Dolmanax; Dofus Ocre; Dofus Pourpre; Dofus des Glaces; Puissant majeur; Chacha Angora</t>
        </is>
      </c>
    </row>
    <row r="5799">
      <c r="A5799" t="inlineStr">
        <is>
          <t>Zobal F 200</t>
        </is>
      </c>
      <c r="B5799">
        <f>HYPERLINK("https://www.dofusbook.net/fr/equipement/5620316-zobal-f-200/objets", "link")</f>
        <v/>
      </c>
      <c r="C5799" t="n">
        <v>2</v>
      </c>
      <c r="D5799" t="inlineStr">
        <is>
          <t>Dagues d'Ilyzaelle; Amulette du Strigide; Alliance de Missiz Frizz; Anneau de la Fuji Givrefoux; Cadran d'Eau; Ceinture du Strigide; Coiffe de la Fuji Givrefoux; Cape de la Fuji Givrefoux; Bottes de la Fuji Givrefoux; Dofus Pourpre; Dofus Turquoise; Furibond majeur; Turbulent; Voyageur; Puissant majeur; Dragodinde Ivoire et Pourpre</t>
        </is>
      </c>
    </row>
    <row r="5800">
      <c r="A5800" t="inlineStr">
        <is>
          <t>Féca M 200</t>
        </is>
      </c>
      <c r="B5800">
        <f>HYPERLINK("https://www.dofusbook.net/fr/equipement/5462947-feca-m-200/objets", "link")</f>
        <v/>
      </c>
      <c r="C5800" t="n">
        <v>5</v>
      </c>
      <c r="D5800" t="inlineStr">
        <is>
          <t>Crocobur; Amulette Volkorne; Anneau Volkorne; Anneau de Padgref; Bouclier du Captain Amakna; Ceinture du Strigide; Casque Volkorne; Cape de Jahash Jurgen; Bottes du Strigide; Dofus des Glaces; Dofus Ocre; Dofus Pourpre; Dofus Abyssal; Dofus Ivoire; Dofus Turquoise; Kokulte</t>
        </is>
      </c>
    </row>
    <row r="5801">
      <c r="A5801" t="inlineStr">
        <is>
          <t>Sacrieur F 200</t>
        </is>
      </c>
      <c r="B5801">
        <f>HYPERLINK("https://www.dofusbook.net/fr/equipement/5460381-sacrieur-f-200/objets", "link")</f>
        <v/>
      </c>
      <c r="C5801" t="n">
        <v>2</v>
      </c>
      <c r="D5801" t="inlineStr"/>
    </row>
    <row r="5802">
      <c r="A5802" t="inlineStr">
        <is>
          <t>Ecaflip F 200</t>
        </is>
      </c>
      <c r="B5802">
        <f>HYPERLINK("https://www.dofusbook.net/fr/equipement/5264920-ecaflip-f-200/objets", "link")</f>
        <v/>
      </c>
      <c r="C5802" t="n">
        <v>1</v>
      </c>
      <c r="D5802" t="inlineStr"/>
    </row>
    <row r="5803">
      <c r="A5803" t="inlineStr">
        <is>
          <t>Ecaflip F 200</t>
        </is>
      </c>
      <c r="B5803">
        <f>HYPERLINK("https://www.dofusbook.net/fr/equipement/5250808-ecaflip-f-200/objets", "link")</f>
        <v/>
      </c>
      <c r="C5803" t="n">
        <v>3</v>
      </c>
      <c r="D5803" t="inlineStr"/>
    </row>
    <row r="5804">
      <c r="A5804" t="inlineStr">
        <is>
          <t>Ecaflip F 200</t>
        </is>
      </c>
      <c r="B5804">
        <f>HYPERLINK("https://www.dofusbook.net/fr/equipement/5229469-ecaflip-f-200/objets", "link")</f>
        <v/>
      </c>
      <c r="C5804" t="n">
        <v>1</v>
      </c>
      <c r="D5804" t="inlineStr"/>
    </row>
    <row r="5805">
      <c r="A5805" t="inlineStr">
        <is>
          <t>Sadida M 200</t>
        </is>
      </c>
      <c r="B5805">
        <f>HYPERLINK("https://www.dofusbook.net/fr/equipement/5198724-sadida-m-200/objets", "link")</f>
        <v/>
      </c>
      <c r="C5805" t="n">
        <v>2</v>
      </c>
      <c r="D5805" t="inlineStr">
        <is>
          <t>Dagues Cacterre; Amulette du Strigide; Anneau de Padgref; Bague Trithon; Bouclier du Captain Amakna; Ceinture du Strigide; Masque Trithon; Cape de la Dame du Hasard; Bottes Trithon; Dofus Turquoise; Dofus Ébène; Dofus Ocre; Dofus Abyssal; Dofus Pourpre; Dofus des Glaces; Chacha Angora</t>
        </is>
      </c>
    </row>
    <row r="5806">
      <c r="A5806" t="inlineStr">
        <is>
          <t>Sadida F 200</t>
        </is>
      </c>
      <c r="B5806">
        <f>HYPERLINK("https://www.dofusbook.net/fr/equipement/5198163-sadida-f-200/objets", "link")</f>
        <v/>
      </c>
      <c r="C5806" t="n">
        <v>1</v>
      </c>
      <c r="D5806" t="inlineStr">
        <is>
          <t>Dagues Érhy; Amulette Ementaire Deluxe; Anneau Volkorne; Alliance du Lévitrof; Bouclier du Stalak; Ceinture Volkorne; Casque Dragoeuf; Voile d'encre; Bottes de l'Esprit Salvateur; Dofus Ivoire; Dofus Pourpre; Dofus Abyssal; Dofus Ocre; Remueur; Nomade; Dragodinde Ivoire et Pourpre</t>
        </is>
      </c>
    </row>
    <row r="5807">
      <c r="A5807" t="inlineStr">
        <is>
          <t>Féca M 200</t>
        </is>
      </c>
      <c r="B5807">
        <f>HYPERLINK("https://www.dofusbook.net/fr/equipement/5155800-feca-m-200/objets", "link")</f>
        <v/>
      </c>
      <c r="C5807" t="n">
        <v>4</v>
      </c>
      <c r="D5807" t="inlineStr">
        <is>
          <t>Marteau R'ture; Amulette du Cœur Saignant; Anneau Crustique; Anneau Crustique; Bouclier du Captain Amakna; Ceinture Volkorne; Masque de Koutoulou; Cape au Logis; Bottes du Cœur Saignant; Dofus Ocre; Dofus Pourpre; Dofus Ébène; Dofus Turquoise; Enragé majeur; Forcené majeur; Pioute vert</t>
        </is>
      </c>
    </row>
    <row r="5808">
      <c r="A5808" t="inlineStr">
        <is>
          <t>Crâ F 200</t>
        </is>
      </c>
      <c r="B5808">
        <f>HYPERLINK("https://www.dofusbook.net/fr/equipement/5142993-cra-f-200/objets", "link")</f>
        <v/>
      </c>
      <c r="C5808" t="n">
        <v>4</v>
      </c>
      <c r="D5808" t="inlineStr">
        <is>
          <t>Crocobur; Amulette Volkorne; Anneau Volkorne; Bague Trithon; Quatre-feuilles; Ceinture Volkorne; Masque Trithon; Cape de Jahash Jurgen; Bottes Trithon; Dofus Pourpre; Dofus Ivoire; Dofus Turquoise; Dofus Ébène; Dofus Ocre; Dofus Abyssal; Chacha Angora</t>
        </is>
      </c>
    </row>
    <row r="5809">
      <c r="A5809" t="inlineStr">
        <is>
          <t>Huppermage F 200</t>
        </is>
      </c>
      <c r="B5809">
        <f>HYPERLINK("https://www.dofusbook.net/fr/equipement/5136675-huppermage-f-200/objets", "link")</f>
        <v/>
      </c>
      <c r="C5809" t="n">
        <v>3</v>
      </c>
      <c r="D5809" t="inlineStr">
        <is>
          <t>Arc corrompu; Pendentif affamé; Bague Gloursonne; Anneau Tique; Bouclier du Stalak; Ceinture de Vortex; Heaume Oplate; Bravoure de Rykke Errel; Chaussures Ardentes; Dofus Ivoire; Dofus Abyssal; Dofus Ocre; Dofus Ébène; Nomade; Étourdisseur majeur; Minimino</t>
        </is>
      </c>
    </row>
    <row r="5810">
      <c r="A5810" t="inlineStr">
        <is>
          <t>Eniripsa F 200</t>
        </is>
      </c>
      <c r="B5810">
        <f>HYPERLINK("https://www.dofusbook.net/fr/equipement/5054095-eniripsa-f-200/objets", "link")</f>
        <v/>
      </c>
      <c r="C5810" t="n">
        <v>2</v>
      </c>
      <c r="D5810" t="inlineStr">
        <is>
          <t>Arc corrompu; Pendentif affamé; Anneauræus; Anneauræus; Bouclier du Stalak; Ceinture Séculaire; Heaume Oplate; Cape de Jahash Jurgen; Bottes Innommables; Dofus Pourpre; Dofus Ocre; Dofus Nébuleux; Érudit majeur; Nomade; Astucieux majeur; Bisouglours</t>
        </is>
      </c>
    </row>
    <row r="5811">
      <c r="A5811" t="inlineStr">
        <is>
          <t>Ecaflip F 200</t>
        </is>
      </c>
      <c r="B5811">
        <f>HYPERLINK("https://www.dofusbook.net/fr/equipement/5035709-ecaflip-f-200/objets", "link")</f>
        <v/>
      </c>
      <c r="C5811" t="n">
        <v>4</v>
      </c>
      <c r="D5811" t="inlineStr">
        <is>
          <t>Crocobur; Amulette du Strigide; Bague Trithon; Anneau de Padgref; Bouclier du Stalak; Ceinture du Strigide; Masque Trithon; Cape de Jahash Jurgen; Bottes Trithon; Dofus Pourpre; Dofus Abyssal; Dofus Ocre; Dofus Ivoire; Dofus Turquoise; Dofus Ébène; Chacha Angora</t>
        </is>
      </c>
    </row>
    <row r="5812">
      <c r="A5812" t="inlineStr">
        <is>
          <t>Ecaflip F 200</t>
        </is>
      </c>
      <c r="B5812">
        <f>HYPERLINK("https://www.dofusbook.net/fr/equipement/5018159-ecaflip-f-200/objets", "link")</f>
        <v/>
      </c>
      <c r="C5812" t="n">
        <v>5</v>
      </c>
      <c r="D5812" t="inlineStr">
        <is>
          <t>Torquistik; Baguistik; Bague Gloursonne; Bouclier du Stalak; Ceinture de la Reine des Voleurs; Coiffe de la Reine des Voleurs; Voile d'encre; Bottes de la Reine des Voleurs; Dofus Pourpre; Dofus Ivoire; Dofus Vulbis; Dofus Abyssal; Dofus des Glaces; Dofus Ocre; Dragodinde Ivoire et Pourpre</t>
        </is>
      </c>
    </row>
    <row r="5813">
      <c r="A5813" t="inlineStr">
        <is>
          <t>Huppermage M 200</t>
        </is>
      </c>
      <c r="B5813">
        <f>HYPERLINK("https://www.dofusbook.net/fr/equipement/5015428-huppermage-m-200/objets", "link")</f>
        <v/>
      </c>
      <c r="C5813" t="n">
        <v>3</v>
      </c>
      <c r="D5813" t="inlineStr">
        <is>
          <t>Arc corrompu; Pendentif affamé; Anneau Tique; Anneauræus; Bouclier du Stalak; Ceinture de Vortex; Heaume Oplate; Voile d'encre; Sabots de Vortex; Dofus Ivoire; Dofus Pourpre; Dofus Ocre; Remueur; Érudit majeur; Nomade; Dragodinde Ivoire et Orchidée</t>
        </is>
      </c>
    </row>
    <row r="5814">
      <c r="A5814" t="inlineStr">
        <is>
          <t>Iop M 200</t>
        </is>
      </c>
      <c r="B5814">
        <f>HYPERLINK("https://www.dofusbook.net/fr/equipement/5013497-iop-m-200/objets", "link")</f>
        <v/>
      </c>
      <c r="C5814" t="n">
        <v>2</v>
      </c>
      <c r="D5814" t="inlineStr">
        <is>
          <t>Crocobur; Amulette du Cœur Saignant; Alliance Gloursonne; Anneau Volkorne; Bouclier d'Ilyzaelle; Ceinture Volkorne; Coiffe de la Reine des Voleurs; Cape du Cœur Saignant; Bottes de la Reine des Voleurs; Dofus Ivoire; Dofus Pourpre; Dofus Ébène; Dofus Ocre; Dofus Abyssal; Dofus Vulbis; Volkorne Rubis et Améthyste</t>
        </is>
      </c>
    </row>
    <row r="5815">
      <c r="A5815" t="inlineStr">
        <is>
          <t>Sadida M 200</t>
        </is>
      </c>
      <c r="B5815">
        <f>HYPERLINK("https://www.dofusbook.net/fr/equipement/5009605-sadida-m-200/objets", "link")</f>
        <v/>
      </c>
      <c r="C5815" t="n">
        <v>4</v>
      </c>
      <c r="D5815" t="inlineStr">
        <is>
          <t>Dagues d'Ilyzaelle; Amulette du Cœur Saignant; Anneau du Comte Harebourg; Alliance de Missiz Frizz; Bouclier du Captain Amakna; Ceinture du Strigide; Coiffe du Comte Harebourg; Cape du Cœur Saignant; Bottes du Cœur Saignant; Dofus Pourpre; Dofus Nébuleux; Dofus Turquoise; Dofus Ocre; Forcené majeur; Furibond majeur; Pioute vert</t>
        </is>
      </c>
    </row>
    <row r="5816">
      <c r="A5816" t="inlineStr">
        <is>
          <t>Sadida F 200</t>
        </is>
      </c>
      <c r="B5816">
        <f>HYPERLINK("https://www.dofusbook.net/fr/equipement/5009579-sadida-f-200/objets", "link")</f>
        <v/>
      </c>
      <c r="C5816" t="n">
        <v>2</v>
      </c>
      <c r="D5816" t="inlineStr">
        <is>
          <t>Dagues Érhy; Amulette Ementaire Deluxe; Bague Gloursonne; Anneau Volkorne; Bouclier du Stalak; Ceinture Volkorne; Chapeau de Gein; Voile d'encre; Chaussons de Macrab; Dofus Ocre; Dofus Ivoire; Dofus Pourpre; Miraculé majeur; Nomade; Remueur; Dragodinde Amande et Ivoire</t>
        </is>
      </c>
    </row>
    <row r="5817">
      <c r="A5817" t="inlineStr">
        <is>
          <t>Huppermage F 200</t>
        </is>
      </c>
      <c r="B5817">
        <f>HYPERLINK("https://www.dofusbook.net/fr/equipement/4998202-huppermage-f-200/objets", "link")</f>
        <v/>
      </c>
      <c r="C5817" t="n">
        <v>1</v>
      </c>
      <c r="D5817" t="inlineStr">
        <is>
          <t>Epée Toche; Amulette du Strigide; Bague Gloursonne; Chevalière du Roi Joueur; Bouclier du Captain Amakna; Ceinture du Strigide; Couronne du Roi Joueur; Cape au Logis; Bottes du Strigide; Dofus des Glaces; Dofus Nébuleux; Dofus Ocre; Dofus Turquoise; Dofus Ébène; Dofus Pourpre; Kokulte</t>
        </is>
      </c>
    </row>
    <row r="5818">
      <c r="A5818" t="inlineStr">
        <is>
          <t>Féca M 200</t>
        </is>
      </c>
      <c r="B5818">
        <f>HYPERLINK("https://www.dofusbook.net/fr/equipement/4992184-feca-m-200/objets", "link")</f>
        <v/>
      </c>
      <c r="C5818" t="n">
        <v>2</v>
      </c>
      <c r="D5818" t="inlineStr"/>
    </row>
    <row r="5819">
      <c r="A5819" t="inlineStr">
        <is>
          <t>Crâ M 200</t>
        </is>
      </c>
      <c r="B5819">
        <f>HYPERLINK("https://www.dofusbook.net/fr/equipement/4974294-cra-m-200/objets", "link")</f>
        <v/>
      </c>
      <c r="C5819" t="n">
        <v>2</v>
      </c>
      <c r="D5819" t="inlineStr">
        <is>
          <t>Dagues d'Ilyzaelle; Amulette du Cœur Saignant; Anneau du Comte Harebourg; Alliance de Missiz Frizz; Bouclier du Captain Amakna; Ceinture Volkorne; Masque de Koutoulou; Cape du Cœur Saignant; Bottes du Cœur Saignant; Dofus Pourpre; Dofus des Glaces; Dofus Nébuleux; Dofus Turquoise; Dofus Vulbis; Dofus Ocre; Pioute vert</t>
        </is>
      </c>
    </row>
    <row r="5820">
      <c r="A5820" t="inlineStr">
        <is>
          <t>Huppermage F 200</t>
        </is>
      </c>
      <c r="B5820">
        <f>HYPERLINK("https://www.dofusbook.net/fr/equipement/4974196-huppermage-f-200/objets", "link")</f>
        <v/>
      </c>
      <c r="C5820" t="n">
        <v>3</v>
      </c>
      <c r="D5820" t="inlineStr">
        <is>
          <t>Harpelle; Amulette du Strigide; Bague Trithon; Anneau de Padgref; Bouclier du Captain Amakna; Ceinture du Strigide; Coiffe de Padgref; Cape d'Atcham; Getas de Padgref; Dofus Vulbis; Dofus Turquoise; Dofus des Glaces; Dofus Ocre; Dofus Pourpre; Engourdisseur majeur; Chacha Angora</t>
        </is>
      </c>
    </row>
    <row r="5821">
      <c r="A5821" t="inlineStr">
        <is>
          <t>Huppermage F 200</t>
        </is>
      </c>
      <c r="B5821">
        <f>HYPERLINK("https://www.dofusbook.net/fr/equipement/4974195-huppermage-f-200/objets", "link")</f>
        <v/>
      </c>
      <c r="C5821" t="n">
        <v>1</v>
      </c>
      <c r="D5821" t="inlineStr"/>
    </row>
    <row r="5822">
      <c r="A5822" t="inlineStr">
        <is>
          <t>Osamodas F 200</t>
        </is>
      </c>
      <c r="B5822">
        <f>HYPERLINK("https://www.dofusbook.net/fr/equipement/4967678-osamodas-f-200/objets", "link")</f>
        <v/>
      </c>
      <c r="C5822" t="n">
        <v>2</v>
      </c>
      <c r="D5822" t="inlineStr">
        <is>
          <t>Dagues d'Ilyzaelle; Amulette du Cœur Saignant; Bague Gloursonne; Pikano; Bouclier du Captain Amakna; Ceinture Volkorne; Casque Dragoeuf; Cape du Cœur Saignant; Bottes du Cœur Saignant; Dofus Vulbis; Dofus Ocre; Dofus des Glaces; Dofus Pourpre; Dofus Nébuleux; Dofus Turquoise; Pioute vert</t>
        </is>
      </c>
    </row>
    <row r="5823">
      <c r="A5823" t="inlineStr">
        <is>
          <t>Huppermage F 200</t>
        </is>
      </c>
      <c r="B5823">
        <f>HYPERLINK("https://www.dofusbook.net/fr/equipement/4960297-huppermage-f-200/objets", "link")</f>
        <v/>
      </c>
      <c r="C5823" t="n">
        <v>4</v>
      </c>
      <c r="D5823" t="inlineStr">
        <is>
          <t>Dagues d'Ilyzaelle; Amulette du Strigide; Bague Trithon; Alliance de Missiz Frizz; Bouclier du Captain Amakna; Ceinture du Strigide; Masque Trithon; Cape du Cœur Saignant; Bottes du Strigide; Dofus Ocre; Dofus Vulbis; Dofus Turquoise; Dofus Nébuleux; Dofus Pourpre; Dofus des Glaces; Kokulte</t>
        </is>
      </c>
    </row>
    <row r="5824">
      <c r="A5824" t="inlineStr">
        <is>
          <t>Ecaflip F 200</t>
        </is>
      </c>
      <c r="B5824">
        <f>HYPERLINK("https://www.dofusbook.net/fr/equipement/4953425-ecaflip-f-200/objets", "link")</f>
        <v/>
      </c>
      <c r="C5824" t="n">
        <v>3</v>
      </c>
      <c r="D5824" t="inlineStr">
        <is>
          <t>Amulette du Strigide; Alliance de Missiz Frizz; Anneau de Padgref; Bouclier du Stalak; Ceinture de Gein; Coiffe de Padgref; Cape de Jahash Jurgen; Getas de Padgref; Dofus Nébuleux; Dofus Turquoise; Dofus des Glaces; Dofus Pourpre; Dofus Vulbis; Dofus Ocre; Chacha Angora</t>
        </is>
      </c>
    </row>
    <row r="5825">
      <c r="A5825" t="inlineStr">
        <is>
          <t>Steamer M 200</t>
        </is>
      </c>
      <c r="B5825">
        <f>HYPERLINK("https://www.dofusbook.net/fr/equipement/4946711-steamer-m-200/objets", "link")</f>
        <v/>
      </c>
      <c r="C5825" t="n">
        <v>2</v>
      </c>
      <c r="D5825" t="inlineStr">
        <is>
          <t>Arc Hétype; Pendentif affamé; Bague Gloursonne; Anneau de Nidas; Bouclier du Cycloïde; Ceinture de Vortex; Couronne de Nidas; Cape de Diondin; Bottes Innommables; Dofus Ocre; Dofus Ivoire; Érudit majeur; Guérisseur majeur; Docteur majeur; Nomade; Dragodinde Orchidée et Rousse</t>
        </is>
      </c>
    </row>
    <row r="5826">
      <c r="A5826" t="inlineStr">
        <is>
          <t>Eniripsa F 200</t>
        </is>
      </c>
      <c r="B5826">
        <f>HYPERLINK("https://www.dofusbook.net/fr/equipement/4942527-eniripsa-f-200/objets", "link")</f>
        <v/>
      </c>
      <c r="C5826" t="n">
        <v>2</v>
      </c>
      <c r="D5826" t="inlineStr">
        <is>
          <t>Epée du Dark Vlad; Amulette du Strigide; Alliance de Missiz Frizz; Anneau de Padgref; Bouclier du Captain Amakna; Ceinture du Strigide; Coiffe de Padgref; Cape de la Dame du Hasard; Getas de Padgref; Dofus des Glaces; Dofus Ocre; Dofus Vulbis; Dofus Pourpre; Dofus Nébuleux; Dofus Turquoise; Pioute rouge</t>
        </is>
      </c>
    </row>
    <row r="5827">
      <c r="A5827" t="inlineStr">
        <is>
          <t>Sadida M 200</t>
        </is>
      </c>
      <c r="B5827">
        <f>HYPERLINK("https://www.dofusbook.net/fr/equipement/4936490-sadida-m-200/objets", "link")</f>
        <v/>
      </c>
      <c r="C5827" t="n">
        <v>2</v>
      </c>
      <c r="D5827" t="inlineStr">
        <is>
          <t>Sceptre du Roi Joueur; Amulette de l'Œil Attentif; Alliance Gloursonne; Anneau Volkorne; Bouclier du Stalak; Poulpagne; Casque Dragoeuf; Cape de l'Œil Attentif; Bottes du Sinistrofu; Dofus Vulbis; Dofus Ivoire; Dofus Pourpre; Dofus des Glaces; Dofus Ocre; Remueur; Dragodinde Amande et Dorée</t>
        </is>
      </c>
    </row>
    <row r="5828">
      <c r="A5828" t="inlineStr">
        <is>
          <t>Sadida M 200</t>
        </is>
      </c>
      <c r="B5828">
        <f>HYPERLINK("https://www.dofusbook.net/fr/equipement/4936384-sadida-m-200/objets", "link")</f>
        <v/>
      </c>
      <c r="C5828" t="n">
        <v>3</v>
      </c>
      <c r="D5828" t="inlineStr">
        <is>
          <t>Dagues d'Ilyzaelle; Amulette du Cœur Saignant; Anneau Volkorne; Alliance de Missiz Frizz; Quatre-feuilles; Ceinture Volkorne; Casque de Missiz Frizz; Cape du Cœur Saignant; Bottes du Cœur Saignant; Dofus Ocre; Dofus Pourpre; Dofus Nébuleux; Dofus Abyssal; Dofus Turquoise; Dofus Vulbis; Pioute vert</t>
        </is>
      </c>
    </row>
    <row r="5829">
      <c r="A5829" t="inlineStr">
        <is>
          <t>Sadida M 200</t>
        </is>
      </c>
      <c r="B5829">
        <f>HYPERLINK("https://www.dofusbook.net/fr/equipement/4936201-sadida-m-200/objets", "link")</f>
        <v/>
      </c>
      <c r="C5829" t="n">
        <v>1</v>
      </c>
      <c r="D5829" t="inlineStr">
        <is>
          <t>Dagues Érhy; Amulette du Strigide; Bague Gloursonne; Anneau Volkorne; Bouclier cubiste; Ceinture Volkorne; Chapeau de Gein; Capille; Sabots Minables; Dofus des Glaces; Dofus Ocre; Dofus Abyssal; Dofus Ivoire; Dofus Ébène; Carapace Feu majeur; Muldo Ebène et Pourpre</t>
        </is>
      </c>
    </row>
    <row r="5830">
      <c r="A5830" t="inlineStr">
        <is>
          <t>Ouginak F 200</t>
        </is>
      </c>
      <c r="B5830">
        <f>HYPERLINK("https://www.dofusbook.net/fr/equipement/4924876-ouginak-f-200/objets", "link")</f>
        <v/>
      </c>
      <c r="C5830" t="n">
        <v>4</v>
      </c>
      <c r="D5830" t="inlineStr">
        <is>
          <t>Dagues d'Ilyzaelle; Collier de Tourthon; Anneau Crustique; Anneau Crustique; Bouclier du Captain Amakna; Ceinture de la Reine des Voleurs; Coiffe de la Reine des Voleurs; Cape du Cœur Saignant; Bottes du Cœur Saignant; Dofus Nébuleux; Dofus Pourpre; Dofus Abyssal; Dofus Vulbis; Dofus Turquoise; Dofus Ocre; Pioute vert</t>
        </is>
      </c>
    </row>
    <row r="5831">
      <c r="A5831" t="inlineStr">
        <is>
          <t>doairrr</t>
        </is>
      </c>
      <c r="B5831">
        <f>HYPERLINK("https://www.dofusbook.net/fr/equipement/4901886-doairrr/objets", "link")</f>
        <v/>
      </c>
      <c r="C5831" t="n">
        <v>4</v>
      </c>
      <c r="D5831" t="inlineStr">
        <is>
          <t>Manthache; Collier du Valet Veinard; Gant du Valet Veinard; Anneau Volkorne; Bouclier du Stalak; Ceinture de la Reine des Voleurs; Casque Volkorne; Cape du Valet Veinard; Bottes de la Reine des Voleurs; Dofus Pourpre; Dofus Vulbis; Dofus Ocre; Dofus des Glaces; Saccageur Air majeur; Ravageur Air majeur; Blérodoudou</t>
        </is>
      </c>
    </row>
    <row r="5832">
      <c r="A5832" t="inlineStr">
        <is>
          <t>Féca M 200</t>
        </is>
      </c>
      <c r="B5832">
        <f>HYPERLINK("https://www.dofusbook.net/fr/equipement/4895465-feca-m-200/objets", "link")</f>
        <v/>
      </c>
      <c r="C5832" t="n">
        <v>3</v>
      </c>
      <c r="D5832" t="inlineStr">
        <is>
          <t>Arc Nécrotique; Amulette du Strigide; Anneau de Padgref; Bague Trithon; Bouclier du Stalak; Ceinture du Strigide; Masque Trithon; Cape d'Atcham; Bottes Trithon; Dofus Turquoise; Dofus Abyssal; Dofus des Glaces; Dofus Ocre; Dofus Pourpre; Dofus Nébuleux; Chacha Angora</t>
        </is>
      </c>
    </row>
    <row r="5833">
      <c r="A5833" t="inlineStr">
        <is>
          <t>Iop F 200</t>
        </is>
      </c>
      <c r="B5833">
        <f>HYPERLINK("https://www.dofusbook.net/fr/equipement/4874755-iop-f-200/objets", "link")</f>
        <v/>
      </c>
      <c r="C5833" t="n">
        <v>2</v>
      </c>
      <c r="D5833" t="inlineStr">
        <is>
          <t>Dagues d'Ilyzaelle; Amulette du Strigide; Bague Gloursonne; Anneau du Comte Harebourg; Bouclier du Captain Amakna; Ceinture Volkorne; Masque de Koutoulou; Cape au Logis; Bottes du Strigide; Dofus Nébuleux; Dofus Turquoise; Dofus Ébène; Dofus Ocre; Dofus Abyssal; Enragé majeur; Kokulte</t>
        </is>
      </c>
    </row>
    <row r="5834">
      <c r="A5834" t="inlineStr">
        <is>
          <t>Xélor M 200</t>
        </is>
      </c>
      <c r="B5834">
        <f>HYPERLINK("https://www.dofusbook.net/fr/equipement/4874644-xelor-m-200/objets", "link")</f>
        <v/>
      </c>
      <c r="C5834" t="n">
        <v>1</v>
      </c>
      <c r="D5834" t="inlineStr">
        <is>
          <t>Crocobur; Amulette Volkorne; Anneau Volkorne; Anneau du Cycloïde; Quatre-feuilles; Ceinture de la Reine des Voleurs; Coiffe de la Reine des Voleurs; Cape au Logis; Bottes de la Reine des Voleurs; Dofus Turquoise; Dofus Ébène; Dofus Nébuleux; Dofus Pourpre; Dofus Ivoire; Dofus Ocre</t>
        </is>
      </c>
    </row>
    <row r="5835">
      <c r="A5835" t="inlineStr">
        <is>
          <t>Ecaflip F 200</t>
        </is>
      </c>
      <c r="B5835">
        <f>HYPERLINK("https://www.dofusbook.net/fr/equipement/4874503-ecaflip-f-200/objets", "link")</f>
        <v/>
      </c>
      <c r="C5835" t="n">
        <v>1</v>
      </c>
      <c r="D5835" t="inlineStr">
        <is>
          <t>Sabres d'Atcham; Amulette Volkorne; Anneau Volkorne; Bague Trithon; Bouclier du Stalak; Ceintacé; Masque Trithon; Cape d'Atcham; Sandales  d'Atcham; Dofus Ivoire; Dofus Pourpre; Dofus Vulbis; Dofus Ébène; Dofus Turquoise; Dofus des Glaces</t>
        </is>
      </c>
    </row>
    <row r="5836">
      <c r="A5836" t="inlineStr">
        <is>
          <t>Sram M 200</t>
        </is>
      </c>
      <c r="B5836">
        <f>HYPERLINK("https://www.dofusbook.net/fr/equipement/4848221-sram-m-200/objets", "link")</f>
        <v/>
      </c>
      <c r="C5836" t="n">
        <v>4</v>
      </c>
      <c r="D5836" t="inlineStr">
        <is>
          <t>Dagues Eudin; Amulette Volkorne; Anneau du Cycloïde; Chevalière du Roi Joueur; Bouclier du Stalak; Ceinture Volkorne; Le Dorado; Cape de Jahash Jurgen; Bottes de l'Esprit Salvateur; Dofus des Glaces; Dofus Ivoire; Dofus Pourpre; Dofus Ébène; Dofus Ocre; Dofus Abyssal; Dragodinde Ivoire et Orchidée</t>
        </is>
      </c>
    </row>
    <row r="5837">
      <c r="A5837" t="inlineStr">
        <is>
          <t>Ecaflip M 200</t>
        </is>
      </c>
      <c r="B5837">
        <f>HYPERLINK("https://www.dofusbook.net/fr/equipement/4845550-ecaflip-m-200/objets", "link")</f>
        <v/>
      </c>
      <c r="C5837" t="n">
        <v>4</v>
      </c>
      <c r="D5837" t="inlineStr">
        <is>
          <t>Crocobur; Amulette Volkorne; Bague Trithon; Anneau Volkorne; Quatre-feuilles; Ceinture Volkorne; Masque Trithon; Cape de Jahash Jurgen; Bottes Trithon; Dofus Pourpre; Dofus Nébuleux; Dofus Turquoise; Dofus Abyssal; Dofus Ocre; Dofus Ébène; Chacha Angora</t>
        </is>
      </c>
    </row>
    <row r="5838">
      <c r="A5838" t="inlineStr">
        <is>
          <t>Zobal M 200</t>
        </is>
      </c>
      <c r="B5838">
        <f>HYPERLINK("https://www.dofusbook.net/fr/equipement/4720723-zobal-m-200/objets", "link")</f>
        <v/>
      </c>
      <c r="C5838" t="n">
        <v>3</v>
      </c>
      <c r="D5838" t="inlineStr">
        <is>
          <t>Crocobur; Amulette Volkorne; Bague Trithon; Anneau Volkorne; Bouclier du Captain Amakna; Ceinture Volkorne; Masque Trithon; Chevelure de Tal Kasha; Bottes Trithon; Dofus Ocre; Dofus Abyssal; Dofus Pourpre; Dofus des Glaces; Dofus Turquoise; Dofus Nébuleux; Kokulte</t>
        </is>
      </c>
    </row>
    <row r="5839">
      <c r="A5839" t="inlineStr">
        <is>
          <t>Zobal M 200</t>
        </is>
      </c>
      <c r="B5839">
        <f>HYPERLINK("https://www.dofusbook.net/fr/equipement/4720722-zobal-m-200/objets", "link")</f>
        <v/>
      </c>
      <c r="C5839" t="n">
        <v>1</v>
      </c>
      <c r="D5839" t="inlineStr"/>
    </row>
    <row r="5840">
      <c r="A5840" t="inlineStr">
        <is>
          <t>Zobal M 200</t>
        </is>
      </c>
      <c r="B5840">
        <f>HYPERLINK("https://www.dofusbook.net/fr/equipement/4720721-zobal-m-200/objets", "link")</f>
        <v/>
      </c>
      <c r="C5840" t="n">
        <v>1</v>
      </c>
      <c r="D5840" t="inlineStr"/>
    </row>
    <row r="5841">
      <c r="A5841" t="inlineStr">
        <is>
          <t>Zobal M 200</t>
        </is>
      </c>
      <c r="B5841">
        <f>HYPERLINK("https://www.dofusbook.net/fr/equipement/4720719-zobal-m-200/objets", "link")</f>
        <v/>
      </c>
      <c r="C5841" t="n">
        <v>1</v>
      </c>
      <c r="D5841" t="inlineStr"/>
    </row>
    <row r="5842">
      <c r="A5842" t="inlineStr">
        <is>
          <t>Crâ F 200</t>
        </is>
      </c>
      <c r="B5842">
        <f>HYPERLINK("https://www.dofusbook.net/fr/equipement/4645136-cra-f-200/objets", "link")</f>
        <v/>
      </c>
      <c r="C5842" t="n">
        <v>2</v>
      </c>
      <c r="D5842" t="inlineStr">
        <is>
          <t>Dagoulinantes; Amulette de Shokkoth; Alliance de Missiz Frizz; Anneau Volkorne; Bouclier du Cycloïde; Poulpagne; Coiffe de Danathor; Cape du Sinistrofu; Bottes du Sinistrofu; Taquin majeur; Remueur; Dévastateur Eau majeur; Chanceux majeur; Vigoureux majeur; Nomade; Pioute bleu</t>
        </is>
      </c>
    </row>
    <row r="5843">
      <c r="A5843" t="inlineStr">
        <is>
          <t>Crâ M 200</t>
        </is>
      </c>
      <c r="B5843">
        <f>HYPERLINK("https://www.dofusbook.net/fr/equipement/4601691-cra-m-200/objets", "link")</f>
        <v/>
      </c>
      <c r="C5843" t="n">
        <v>5</v>
      </c>
      <c r="D5843" t="inlineStr">
        <is>
          <t>Dagoulinantes; Amulette du Sinistrofu; Anneau Volkorne; Bracelet des Fonds marins; Quatre-feuilles; Sangle Ouare; Capuche de l'Œil Attentif; Cape du Sinistrofu; Bottes du Sinistrofu; Dofus Pourpre; Dofus des Glaces; Dofus Turquoise; Dofus Ocre; Taquin majeur; Joueur majeur; Pioute bleu</t>
        </is>
      </c>
    </row>
    <row r="5844">
      <c r="A5844" t="inlineStr">
        <is>
          <t>Ecaflip F 200</t>
        </is>
      </c>
      <c r="B5844">
        <f>HYPERLINK("https://www.dofusbook.net/fr/equipement/4563620-ecaflip-f-200/objets", "link")</f>
        <v/>
      </c>
      <c r="C5844" t="n">
        <v>1</v>
      </c>
      <c r="D5844" t="inlineStr"/>
    </row>
    <row r="5845">
      <c r="A5845" t="inlineStr">
        <is>
          <t>Iop M 200</t>
        </is>
      </c>
      <c r="B5845">
        <f>HYPERLINK("https://www.dofusbook.net/fr/equipement/4480273-iop-m-200/objets", "link")</f>
        <v/>
      </c>
      <c r="C5845" t="n">
        <v>5</v>
      </c>
      <c r="D5845" t="inlineStr">
        <is>
          <t>Bâton Beau; Amulette Volkorne; Bague Trithon; Anneau Volkorne; Bouclier du Stalak; Ceinture Volkorne; Masque Trithon; Cape de Jahash Jurgen; Bottes Trithon; Dofus Ocre; Dofus Ébène; Dofus Pourpre; Dofus Nébuleux; Dofus Turquoise; Dofus Abyssal; Chacha Angora</t>
        </is>
      </c>
    </row>
    <row r="5846">
      <c r="A5846" t="inlineStr">
        <is>
          <t>Iop M 200</t>
        </is>
      </c>
      <c r="B5846">
        <f>HYPERLINK("https://www.dofusbook.net/fr/equipement/4373360-iop-m-200/objets", "link")</f>
        <v/>
      </c>
      <c r="C5846" t="n">
        <v>8</v>
      </c>
      <c r="D5846" t="inlineStr">
        <is>
          <t>Crocobur; Collier de Tourthon; Anneau Crustique; Anneau du Comte Harebourg; Bouclier du Captain Amakna; Ceinture Gence; Coiffe du Comte Harebourg; Cape au Logis; Baleinabottes; Dofus des Glaces; Furibond majeur; Enragé majeur; Forcené majeur; Vigoureux majeur; Robuste majeur; Kompost</t>
        </is>
      </c>
    </row>
    <row r="5847">
      <c r="A5847" t="inlineStr">
        <is>
          <t>Ecaflip F 200</t>
        </is>
      </c>
      <c r="B5847">
        <f>HYPERLINK("https://www.dofusbook.net/fr/equipement/4272057-ecaflip-f-200/objets", "link")</f>
        <v/>
      </c>
      <c r="C5847" t="n">
        <v>6</v>
      </c>
      <c r="D5847" t="inlineStr">
        <is>
          <t>Crocobur; Amulette Volkorne; Anneau Volkorne; Bague Trithon; Bouclier du Stalak; Ceinture Volkorne; Masque Trithon; Cape de Jahash Jurgen; Bottes Trithon; Dofus Ocre; Dofus Abyssal; Dofus Pourpre; Dofus des Glaces; Dofus Turquoise; Dofus Nébuleux; Chacha Angora</t>
        </is>
      </c>
    </row>
    <row r="5848">
      <c r="A5848" t="inlineStr">
        <is>
          <t>Sadida M 200</t>
        </is>
      </c>
      <c r="B5848">
        <f>HYPERLINK("https://www.dofusbook.net/fr/equipement/4240385-sadida-m-200/objets", "link")</f>
        <v/>
      </c>
      <c r="C5848" t="n">
        <v>2</v>
      </c>
      <c r="D5848" t="inlineStr">
        <is>
          <t>Sceptre du Roi Joueur; Collier de la Dame du Hasard; Bracelet des Fonds marins; Anneau Volkorne; Quatre-feuilles; Pagne du Rykaon; Kidibonnet; Cape de la Dame du Hasard; Sandales de Tal Kasha; Dofus Turquoise; Dofus Pourpre; Dofus Nébuleux; Dofus Ocre; Chanceux majeur; Taquin majeur; Pioute bleu</t>
        </is>
      </c>
    </row>
    <row r="5849">
      <c r="A5849" t="inlineStr">
        <is>
          <t>Sadida M 200</t>
        </is>
      </c>
      <c r="B5849">
        <f>HYPERLINK("https://www.dofusbook.net/fr/equipement/4240287-sadida-m-200/objets", "link")</f>
        <v/>
      </c>
      <c r="C5849" t="n">
        <v>3</v>
      </c>
      <c r="D5849" t="inlineStr">
        <is>
          <t>Dagues d'Ilyzaelle; Amulette du Strigide; Alliance de Missiz Frizz; Anneau du Comte Harebourg; Quatre-feuilles; Ceinture du Strigide; Masque de Koutoulou; Cape de Jahash Jurgen; Bottes du Cœur Saignant; Dofus Nébuleux; Dofus Turquoise; Dofus Ocre; Dofus Pourpre; Forcené majeur; Enragé majeur; Pioute vert</t>
        </is>
      </c>
    </row>
    <row r="5850">
      <c r="A5850" t="inlineStr">
        <is>
          <t>Féca M 200</t>
        </is>
      </c>
      <c r="B5850">
        <f>HYPERLINK("https://www.dofusbook.net/fr/equipement/4193960-feca-m-200/objets", "link")</f>
        <v/>
      </c>
      <c r="C5850" t="n">
        <v>4</v>
      </c>
      <c r="D5850" t="inlineStr">
        <is>
          <t>Dagues de Srambad; Torquistik; Goulano; Baguistik; Bouclier Bontarien; Ceinture de la Reine des Voleurs; Coiffe de la Reine des Voleurs; Cape de Kongoku; Bottes de la Reine des Voleurs; Dofus des Glaces; Dofus Vulbis; Dofus Ocre; Dofus Abyssal; Dofus Ivoire; Bastion majeur; Wabbit</t>
        </is>
      </c>
    </row>
    <row r="5851">
      <c r="A5851" t="inlineStr">
        <is>
          <t>Féca F 200</t>
        </is>
      </c>
      <c r="B5851">
        <f>HYPERLINK("https://www.dofusbook.net/fr/equipement/4193898-feca-f-200/objets", "link")</f>
        <v/>
      </c>
      <c r="C5851" t="n">
        <v>2</v>
      </c>
      <c r="D5851" t="inlineStr">
        <is>
          <t>Manthache; Amulette Martegel; Gant du Valet Veinard; Anneau Tique; Bouclier de Solar; Ceintacé; Bandeau Culaire; Cape Parition; Bottes Voldelor; Dofus Ivoire; Dofus Vulbis; Dofus Forgelave; Dofus Ocre; Inflexible majeur; Solide majeur; Chacha Tigré</t>
        </is>
      </c>
    </row>
    <row r="5852">
      <c r="A5852" t="inlineStr">
        <is>
          <t>Ecaflip M 200</t>
        </is>
      </c>
      <c r="B5852">
        <f>HYPERLINK("https://www.dofusbook.net/fr/equipement/4152705-ecaflip-m-200/objets", "link")</f>
        <v/>
      </c>
      <c r="C5852" t="n">
        <v>4</v>
      </c>
      <c r="D5852" t="inlineStr">
        <is>
          <t>Le Thanos; Pendentif affamé; Lavanneau; Anneau de Nidas; Bivalve; Ceintrigue; Couronne de Nidas; Cape de Diondin; Bottes de Meno; Guérisseur majeur; Docteur majeur; Érudit majeur; Guérisseur; Astucieux majeur; Soigneur majeur; Dragodinde Orchidée et Rousse</t>
        </is>
      </c>
    </row>
    <row r="5853">
      <c r="A5853" t="inlineStr">
        <is>
          <t>Ecaflip M 200</t>
        </is>
      </c>
      <c r="B5853">
        <f>HYPERLINK("https://www.dofusbook.net/fr/equipement/4152554-ecaflip-m-200/objets", "link")</f>
        <v/>
      </c>
      <c r="C5853" t="n">
        <v>1</v>
      </c>
      <c r="D5853" t="inlineStr"/>
    </row>
    <row r="5854">
      <c r="A5854" t="inlineStr">
        <is>
          <t>Eniripsa M 200</t>
        </is>
      </c>
      <c r="B5854">
        <f>HYPERLINK("https://www.dofusbook.net/fr/equipement/4138755-eniripsa-m-200/objets", "link")</f>
        <v/>
      </c>
      <c r="C5854" t="n">
        <v>2</v>
      </c>
      <c r="D5854" t="inlineStr">
        <is>
          <t>Arc corrompu; Amulette Volkorne; Anneau de Nidas; Bague Gloursonne; Quatre-feuilles; Ceinture de Vortex; Heaume Oplate; Cape de Kongoku; Bottes du Lévitrof; Volkorne Doré et Emeraude</t>
        </is>
      </c>
    </row>
    <row r="5855">
      <c r="A5855" t="inlineStr">
        <is>
          <t>Ecaflip M 200</t>
        </is>
      </c>
      <c r="B5855">
        <f>HYPERLINK("https://www.dofusbook.net/fr/equipement/4114369-ecaflip-m-200/objets", "link")</f>
        <v/>
      </c>
      <c r="C5855" t="n">
        <v>5</v>
      </c>
      <c r="D5855" t="inlineStr">
        <is>
          <t>Dagues d'Ilyzaelle; Amulette du Strigide; Anneau Crustique; Bague Trithon; Quatre-feuilles; Ceinture du Strigide; Masque Trithon; Cape au Logis; Bottes Trithon; Dofus Ocre; Dofus Abyssal; Dofus Pourpre; Dofus des Glaces; Dofus Turquoise; Dofus Nébuleux; Pioute vert</t>
        </is>
      </c>
    </row>
    <row r="5856">
      <c r="A5856" t="inlineStr">
        <is>
          <t>Ecaflip M 200</t>
        </is>
      </c>
      <c r="B5856">
        <f>HYPERLINK("https://www.dofusbook.net/fr/equipement/4082824-ecaflip-m-200/objets", "link")</f>
        <v/>
      </c>
      <c r="C5856" t="n">
        <v>7</v>
      </c>
      <c r="D5856" t="inlineStr">
        <is>
          <t>Bâton Beau; Amulette du Strigide; Bague Trithon; Bracelet du Piloztère; Bouclier du Stalak; Ceinture du Strigide; Masque Trithon; Chevelure de Tal Kasha; Bottes Trithon; Dofus Pourpre; Dofus des Glaces; Dofus Turquoise; Dofus Nébuleux; Dofus Ocre; Dofus Vulbis; Chacha Angora</t>
        </is>
      </c>
    </row>
    <row r="5857">
      <c r="A5857" t="inlineStr">
        <is>
          <t>Féca M 200</t>
        </is>
      </c>
      <c r="B5857">
        <f>HYPERLINK("https://www.dofusbook.net/fr/equipement/4035330-feca-m-200/objets", "link")</f>
        <v/>
      </c>
      <c r="C5857" t="n">
        <v>2</v>
      </c>
      <c r="D5857" t="inlineStr">
        <is>
          <t>Dagues Érhy; Amulette du Strigide; Alliance de Missiz Frizz; Bague Trithon; Bouclier du Captain Amakna; Ceinture du Strigide; Masque Trithon; Cape au Logis; Bottes du Strigide; Dofus Turquoise; Dofus Nébuleux; Dofus Vulbis; Dofus Ocre; Dofus Pourpre; Dofus des Glaces; Pioute vert</t>
        </is>
      </c>
    </row>
    <row r="5858">
      <c r="A5858" t="inlineStr">
        <is>
          <t>Sadida M 200</t>
        </is>
      </c>
      <c r="B5858">
        <f>HYPERLINK("https://www.dofusbook.net/fr/equipement/3955324-sadida-m-200/objets", "link")</f>
        <v/>
      </c>
      <c r="C5858" t="n">
        <v>2</v>
      </c>
      <c r="D5858" t="inlineStr"/>
    </row>
    <row r="5859">
      <c r="A5859" t="inlineStr">
        <is>
          <t>Zobal M 200</t>
        </is>
      </c>
      <c r="B5859">
        <f>HYPERLINK("https://www.dofusbook.net/fr/equipement/3923755-zobal-m-200/objets", "link")</f>
        <v/>
      </c>
      <c r="C5859" t="n">
        <v>2</v>
      </c>
      <c r="D5859" t="inlineStr">
        <is>
          <t>Lav'Hache; Amulette Luminescente; Alliance Gloursonne; Bague Instable; Bouclier précieux; Ceinture Gence; Masque Trithon; Cape Solution; Bottes Trithon; Dofus Ivoire; Dofus Ocre; Dofus Nébuleux; Dofus des Glaces; Bousculeur majeur; Culbuteur majeur; Gelutin</t>
        </is>
      </c>
    </row>
    <row r="5860">
      <c r="A5860" t="inlineStr">
        <is>
          <t>Sadida M 200</t>
        </is>
      </c>
      <c r="B5860">
        <f>HYPERLINK("https://www.dofusbook.net/fr/equipement/3866549-sadida-m-200/objets", "link")</f>
        <v/>
      </c>
      <c r="C5860" t="n">
        <v>2</v>
      </c>
      <c r="D5860" t="inlineStr">
        <is>
          <t>Amulette Ementaire Deluxe; Goulano; Alliance Gloursonne; Bouclier du Stalak; Protopagne; Coiffe du Lévitrof; Dofusteuse; Bottes de l'Indicible</t>
        </is>
      </c>
    </row>
    <row r="5861">
      <c r="A5861" t="inlineStr">
        <is>
          <t>Féca F 200</t>
        </is>
      </c>
      <c r="B5861">
        <f>HYPERLINK("https://www.dofusbook.net/fr/equipement/3862921-feca-f-200/objets", "link")</f>
        <v/>
      </c>
      <c r="C5861" t="n">
        <v>2</v>
      </c>
      <c r="D5861" t="inlineStr">
        <is>
          <t>Hachoirs de Viandargh; Amulette du Strigide; Bague Trithon; Anneau Vicieux; Bouclier du Captain Amakna; Ceinture du Strigide; Némès de Tal Kasha; Chevelure de Tal Kasha; Bottes Trithon; Dofus Pourpre; Dofus Nébuleux; Dofus Ocre; Dofus Turquoise; Dofus Vulbis; Dofus des Glaces; Pioute jaune</t>
        </is>
      </c>
    </row>
    <row r="5862">
      <c r="A5862" t="inlineStr">
        <is>
          <t>Zobal M 200</t>
        </is>
      </c>
      <c r="B5862">
        <f>HYPERLINK("https://www.dofusbook.net/fr/equipement/3827566-zobal-m-200/objets", "link")</f>
        <v/>
      </c>
      <c r="C5862" t="n">
        <v>1</v>
      </c>
      <c r="D5862" t="inlineStr">
        <is>
          <t>Dagues d'Ilyzaelle; Amulette du Strigide; Anneau du Comte Harebourg; Bague Trithon; Bouclier du Captain Amakna; Ceinture du Strigide; Masque Trithon; Cape au Logis; Bottes Trithon; Dofus Pourpre; Dofus Ocre; Dofus Nébuleux; Dofus Abyssal; Dofus Vulbis; Dofus Turquoise; Pioute jaune</t>
        </is>
      </c>
    </row>
    <row r="5863">
      <c r="A5863" t="inlineStr">
        <is>
          <t>Crâ M 200</t>
        </is>
      </c>
      <c r="B5863">
        <f>HYPERLINK("https://www.dofusbook.net/fr/equipement/3857402-cra-m-200/objets", "link")</f>
        <v/>
      </c>
      <c r="C5863" t="n">
        <v>4</v>
      </c>
      <c r="D5863" t="inlineStr">
        <is>
          <t>Bâtonnet Ronien; Amulette du Strigide; Bague Trithon; Alliance de Missiz Frizz; Quatre-feuilles; Ceinture du Strigide; Masque Trithon; Cape Reski; Bottes Trithon; Dofus Turquoise; Dofus Nébuleux; Dofus Vulbis; Dofus Pourpre; Dolmanax; Dofus Ocre; Chacha Angora</t>
        </is>
      </c>
    </row>
    <row r="5864">
      <c r="A5864" t="inlineStr">
        <is>
          <t>Huppermage F 200</t>
        </is>
      </c>
      <c r="B5864">
        <f>HYPERLINK("https://www.dofusbook.net/fr/equipement/3857274-huppermage-f-200/objets", "link")</f>
        <v/>
      </c>
      <c r="C5864" t="n">
        <v>4</v>
      </c>
      <c r="D5864" t="inlineStr">
        <is>
          <t>Sceptre du Roi Joueur; Amulette du Strigide; Bracelet des Fonds marins; Anneau Volkorne; Bouclier du Captain Amakna; Ceinture du Strigide; Kidibonnet; Chevelure de Tal Kasha; Bottes de la Dame du Hasard; Dofus Ocre; Dofus Nébuleux; Dofus Pourpre; Dofus Vulbis; Dofus Turquoise; Chanceux majeur; Pioute bleu</t>
        </is>
      </c>
    </row>
    <row r="5865">
      <c r="A5865" t="inlineStr">
        <is>
          <t>Zobal M 200</t>
        </is>
      </c>
      <c r="B5865">
        <f>HYPERLINK("https://www.dofusbook.net/fr/equipement/3805518-zobal-m-200/objets", "link")</f>
        <v/>
      </c>
      <c r="C5865" t="n">
        <v>2</v>
      </c>
      <c r="D5865" t="inlineStr">
        <is>
          <t>Héqache; Amulette de Gein; Alliance Gloursonne; Bague Trithon; Bouclier précieux; Ceinture Luminescente; Masque Trithon; Cape Solution; Bottistik; Dofus Vulbis; Dofus des Glaces; Dofus Pourpre; Dofus Ocre; Dofus Ivoire; Culbuteur majeur; Gelutin</t>
        </is>
      </c>
    </row>
    <row r="5866">
      <c r="A5866" t="inlineStr">
        <is>
          <t>Zobal M 200</t>
        </is>
      </c>
      <c r="B5866">
        <f>HYPERLINK("https://www.dofusbook.net/fr/equipement/3777168-zobal-m-200/objets", "link")</f>
        <v/>
      </c>
      <c r="C5866" t="n">
        <v>1</v>
      </c>
      <c r="D5866" t="inlineStr">
        <is>
          <t>Gelutin</t>
        </is>
      </c>
    </row>
    <row r="5867">
      <c r="A5867" t="inlineStr">
        <is>
          <t>Iop M 200</t>
        </is>
      </c>
      <c r="B5867">
        <f>HYPERLINK("https://www.dofusbook.net/fr/equipement/3715123-iop-m-200/objets", "link")</f>
        <v/>
      </c>
      <c r="C5867" t="n">
        <v>4</v>
      </c>
      <c r="D5867" t="inlineStr">
        <is>
          <t>Sabres d'Atcham; Amulette du Strigide; Anneau de Padgref; Bague Trithon; Bouclier du Captain Amakna; Ceinture du Strigide; Masque Trithon; Cape d'Atcham; Bottes du Strigide; Dofus Pourpre; Dofus des Glaces; Dofus Vulbis; Dofus Nébuleux; Dofus Ocre; Dofus Turquoise; Dragodinde Emeraude et Ivoire</t>
        </is>
      </c>
    </row>
    <row r="5868">
      <c r="A5868" t="inlineStr">
        <is>
          <t>Féca M 200</t>
        </is>
      </c>
      <c r="B5868">
        <f>HYPERLINK("https://www.dofusbook.net/fr/equipement/3678021-feca-m-200/objets", "link")</f>
        <v/>
      </c>
      <c r="C5868" t="n">
        <v>1</v>
      </c>
      <c r="D5868" t="inlineStr">
        <is>
          <t>Gant du Valet Veinard; Alliance Gloursonne; Dorabysses; Cape du Valet Veinard</t>
        </is>
      </c>
    </row>
    <row r="5869">
      <c r="A5869" t="inlineStr">
        <is>
          <t>Xélor F 200</t>
        </is>
      </c>
      <c r="B5869">
        <f>HYPERLINK("https://www.dofusbook.net/fr/equipement/3646077-xelor-f-200/objets", "link")</f>
        <v/>
      </c>
      <c r="C5869" t="n">
        <v>3</v>
      </c>
      <c r="D5869" t="inlineStr">
        <is>
          <t>Lav'Hache; Collier de Tourthon; Anneau Chevelu; Anneau Crustique; Cadran d'Eau; Ceinture de la Cour Sombre; Masque de Koutoulou; Cape du Cœur Saignant; Bottes de la Cour Sombre; Dofus Ivoire; Dofus Abyssal; Dofus Ocre; Dofus Nébuleux; Dofus des Glaces; Enragé majeur; Muldo Indigo et Pourpre</t>
        </is>
      </c>
    </row>
    <row r="5870">
      <c r="A5870" t="inlineStr">
        <is>
          <t>Zobal M 200</t>
        </is>
      </c>
      <c r="B5870">
        <f>HYPERLINK("https://www.dofusbook.net/fr/equipement/3596548-zobal-m-200/objets", "link")</f>
        <v/>
      </c>
      <c r="C5870" t="n">
        <v>6</v>
      </c>
      <c r="D5870" t="inlineStr">
        <is>
          <t>Marteau des égarés; Amulette du Strigide; Alliance Gloursonne; Bague Trithon; Bouclier Taverne; Ceintacé; Masque Trithon; Voile d'encre; Bottes du Strigide; Dofus Turquoise; Dofus Ivoire; Dofus Vulbis; Dofus des Glaces; Dofus Nébuleux; Dofus Ocre; Dragodinde Emeraude et Ivoire</t>
        </is>
      </c>
    </row>
    <row r="5871">
      <c r="A5871" t="inlineStr">
        <is>
          <t>Steamer M 200</t>
        </is>
      </c>
      <c r="B5871">
        <f>HYPERLINK("https://www.dofusbook.net/fr/equipement/3596260-steamer-m-200/objets", "link")</f>
        <v/>
      </c>
      <c r="C5871" t="n">
        <v>3</v>
      </c>
      <c r="D5871" t="inlineStr">
        <is>
          <t>Arc Volkorne; Amulette Volkorne; Bague Trithon; Anneau Volkorne; Quatre-feuilles; Ceinture Volkorne; Casque Volkorne; Cape du Chalœil; Bottes du Strigide; Dofus Turquoise; Dofus Ocre; Dofus Nébuleux; Dofus Abyssal; Dofus des Glaces; Dofus Pourpre; Dragodinde Emeraude et Ivoire</t>
        </is>
      </c>
    </row>
    <row r="5872">
      <c r="A5872" t="inlineStr">
        <is>
          <t>Zobal M 200</t>
        </is>
      </c>
      <c r="B5872">
        <f>HYPERLINK("https://www.dofusbook.net/fr/equipement/3580907-zobal-m-200/objets", "link")</f>
        <v/>
      </c>
      <c r="C5872" t="n">
        <v>1</v>
      </c>
      <c r="D5872" t="inlineStr"/>
    </row>
    <row r="5873">
      <c r="A5873" t="inlineStr">
        <is>
          <t>Zobal M 200</t>
        </is>
      </c>
      <c r="B5873">
        <f>HYPERLINK("https://www.dofusbook.net/fr/equipement/3578258-zobal-m-200/objets", "link")</f>
        <v/>
      </c>
      <c r="C5873" t="n">
        <v>6</v>
      </c>
      <c r="D5873" t="inlineStr">
        <is>
          <t>Epée Maudite du Saigneur Guerrier; Amulette du Strigide; Alliance de Missiz Frizz; Bague Trithon; Bouclier du Captain Amakna; Ceinture du Strigide; Némès de Tal Kasha; Chevelure de Tal Kasha; Bottes du Strigide; Dofus Turquoise; Dofus Nébuleux; Dofus Ocre; Dofus Abyssal; Dofus Pourpre; Dofus des Glaces; Muldo Prune et Emeraude</t>
        </is>
      </c>
    </row>
    <row r="5874">
      <c r="A5874" t="inlineStr">
        <is>
          <t>Zobal M 200</t>
        </is>
      </c>
      <c r="B5874">
        <f>HYPERLINK("https://www.dofusbook.net/fr/equipement/3578236-zobal-m-200/objets", "link")</f>
        <v/>
      </c>
      <c r="C5874" t="n">
        <v>3</v>
      </c>
      <c r="D5874" t="inlineStr">
        <is>
          <t>Epée Gloursonne; Amulette de l'Indicible; Alliance Gloursonne; Bague Gloursonne; Bouclier du Captain Amakna; Ceinture de l'Esprit Salvateur; Masque de l'Esprit Salvateur; Cape du Chalœil; Bottes de l'Esprit Salvateur; Dolmanax; Dofus Ocre; Dofus Vulbis; Dofus des Glaces; Dofus Pourpre; Dofus Nébuleux; Dragodinde Ivoire et Pourpre</t>
        </is>
      </c>
    </row>
    <row r="5875">
      <c r="A5875" t="inlineStr">
        <is>
          <t>Ecaflip M 200</t>
        </is>
      </c>
      <c r="B5875">
        <f>HYPERLINK("https://www.dofusbook.net/fr/equipement/3484678-ecaflip-m-200/objets", "link")</f>
        <v/>
      </c>
      <c r="C5875" t="n">
        <v>6</v>
      </c>
      <c r="D5875" t="inlineStr">
        <is>
          <t>Arc de Koutoulou; Amulette de l'Indicible; Alliance Brûlâme; Alliance Gloursonne; Bouclier du Stalak; Ceinture de l'Indicible; Le Dorado; Dofusteuse; Bottes de l'Esprit Salvateur; Dofus Nébuleux; Dofus Ocre; Dofus des Glaces; Fonceur majeur; Vigoureux majeur; Robuste majeur; Muldo Indigo et Orchidée</t>
        </is>
      </c>
    </row>
    <row r="5876">
      <c r="A5876" t="inlineStr">
        <is>
          <t>Zobal M 200</t>
        </is>
      </c>
      <c r="B5876">
        <f>HYPERLINK("https://www.dofusbook.net/fr/equipement/3461173-zobal-m-200/objets", "link")</f>
        <v/>
      </c>
      <c r="C5876" t="n">
        <v>2</v>
      </c>
      <c r="D5876" t="inlineStr"/>
    </row>
    <row r="5877">
      <c r="A5877" t="inlineStr">
        <is>
          <t>Zobal M 200</t>
        </is>
      </c>
      <c r="B5877">
        <f>HYPERLINK("https://www.dofusbook.net/fr/equipement/3461166-zobal-m-200/objets", "link")</f>
        <v/>
      </c>
      <c r="C5877" t="n">
        <v>1</v>
      </c>
      <c r="D5877" t="inlineStr"/>
    </row>
    <row r="5878">
      <c r="A5878" t="inlineStr">
        <is>
          <t>Zobal M 200</t>
        </is>
      </c>
      <c r="B5878">
        <f>HYPERLINK("https://www.dofusbook.net/fr/equipement/3461164-zobal-m-200/objets", "link")</f>
        <v/>
      </c>
      <c r="C5878" t="n">
        <v>1</v>
      </c>
      <c r="D5878" t="inlineStr"/>
    </row>
    <row r="5879">
      <c r="A5879" t="inlineStr">
        <is>
          <t>Zobal M 200</t>
        </is>
      </c>
      <c r="B5879">
        <f>HYPERLINK("https://www.dofusbook.net/fr/equipement/3461162-zobal-m-200/objets", "link")</f>
        <v/>
      </c>
      <c r="C5879" t="n">
        <v>1</v>
      </c>
      <c r="D5879" t="inlineStr"/>
    </row>
    <row r="5880">
      <c r="A5880" t="inlineStr">
        <is>
          <t>Zobal M 200</t>
        </is>
      </c>
      <c r="B5880">
        <f>HYPERLINK("https://www.dofusbook.net/fr/equipement/3461161-zobal-m-200/objets", "link")</f>
        <v/>
      </c>
      <c r="C5880" t="n">
        <v>1</v>
      </c>
      <c r="D5880" t="inlineStr"/>
    </row>
    <row r="5881">
      <c r="A5881" t="inlineStr">
        <is>
          <t>Zobal M 200</t>
        </is>
      </c>
      <c r="B5881">
        <f>HYPERLINK("https://www.dofusbook.net/fr/equipement/3461160-zobal-m-200/objets", "link")</f>
        <v/>
      </c>
      <c r="C5881" t="n">
        <v>1</v>
      </c>
      <c r="D5881" t="inlineStr"/>
    </row>
    <row r="5882">
      <c r="A5882" t="inlineStr">
        <is>
          <t>Zobal M 200</t>
        </is>
      </c>
      <c r="B5882">
        <f>HYPERLINK("https://www.dofusbook.net/fr/equipement/3454576-zobal-m-200/objets", "link")</f>
        <v/>
      </c>
      <c r="C5882" t="n">
        <v>1</v>
      </c>
      <c r="D5882" t="inlineStr"/>
    </row>
    <row r="5883">
      <c r="A5883" t="inlineStr">
        <is>
          <t>Steamer M 200</t>
        </is>
      </c>
      <c r="B5883">
        <f>HYPERLINK("https://www.dofusbook.net/fr/equipement/3443617-steamer-m-200/objets", "link")</f>
        <v/>
      </c>
      <c r="C5883" t="n">
        <v>3</v>
      </c>
      <c r="D5883" t="inlineStr">
        <is>
          <t>Sabres d'Atcham; Amulette Volkorne; Alliance Brûlâme; Anneau Volkorne; Bouclier du Captain Amakna; Ceinture Volkorne; Casque Volkorne; Cape d'Atcham; Sandales  d'Atcham; Dofus Turquoise; Dofus Nébuleux; Dofus Ocre; Dofus Ivoire; Dofus Pourpre; Dofus des Glaces; Dragodinde Emeraude et Ivoire</t>
        </is>
      </c>
    </row>
    <row r="5884">
      <c r="A5884" t="inlineStr">
        <is>
          <t>Sadida M 200</t>
        </is>
      </c>
      <c r="B5884">
        <f>HYPERLINK("https://www.dofusbook.net/fr/equipement/3443401-sadida-m-200/objets", "link")</f>
        <v/>
      </c>
      <c r="C5884" t="n">
        <v>2</v>
      </c>
      <c r="D5884" t="inlineStr">
        <is>
          <t>Collier Rophante; Ceinture de l'Esprit Salvateur; Masque de l'Esprit Salvateur; Cape d'Anerice; Bottes de l'Esprit Salvateur</t>
        </is>
      </c>
    </row>
    <row r="5885">
      <c r="A5885" t="inlineStr">
        <is>
          <t>Ecaflip M 200</t>
        </is>
      </c>
      <c r="B5885">
        <f>HYPERLINK("https://www.dofusbook.net/fr/equipement/3432072-ecaflip-m-200/objets", "link")</f>
        <v/>
      </c>
      <c r="C5885" t="n">
        <v>1</v>
      </c>
      <c r="D5885" t="inlineStr"/>
    </row>
    <row r="5886">
      <c r="A5886" t="inlineStr">
        <is>
          <t>Zobal M 200</t>
        </is>
      </c>
      <c r="B5886">
        <f>HYPERLINK("https://www.dofusbook.net/fr/equipement/3427678-zobal-m-200/objets", "link")</f>
        <v/>
      </c>
      <c r="C5886" t="n">
        <v>1</v>
      </c>
      <c r="D5886" t="inlineStr">
        <is>
          <t>Amulette Luminescente; Bague Trithon; Culotte de Bethel; Cape Luminescente; Bottes de l'Indicible; Dofus Ivoire; Dofus Ocre; Bousculeur majeur; Culbuteur majeur; Remueur</t>
        </is>
      </c>
    </row>
    <row r="5887">
      <c r="A5887" t="inlineStr">
        <is>
          <t>Sram M 200</t>
        </is>
      </c>
      <c r="B5887">
        <f>HYPERLINK("https://www.dofusbook.net/fr/equipement/3277986-sram-m-200/objets", "link")</f>
        <v/>
      </c>
      <c r="C5887" t="n">
        <v>2</v>
      </c>
      <c r="D5887" t="inlineStr"/>
    </row>
    <row r="5888">
      <c r="A5888" t="inlineStr">
        <is>
          <t>Sram M 200</t>
        </is>
      </c>
      <c r="B5888">
        <f>HYPERLINK("https://www.dofusbook.net/fr/equipement/3265902-sram-m-200/objets", "link")</f>
        <v/>
      </c>
      <c r="C5888" t="n">
        <v>1</v>
      </c>
      <c r="D5888" t="inlineStr"/>
    </row>
    <row r="5889">
      <c r="A5889" t="inlineStr">
        <is>
          <t>Terre</t>
        </is>
      </c>
      <c r="B5889">
        <f>HYPERLINK("https://www.dofusbook.net/fr/equipement/3203114-terre/objets", "link")</f>
        <v/>
      </c>
      <c r="C5889" t="n">
        <v>5</v>
      </c>
      <c r="D5889" t="inlineStr">
        <is>
          <t>Dagues d'Ilyzaelle; Amulette Luminescente; Bracelet du Piloztère; Bague Gloursonne; Bouclier du Captain Amakna; Ceinture de l'Indicible; Masque de Koutoulou; Voile d'encre; Bottes du Roi Joueur</t>
        </is>
      </c>
    </row>
    <row r="5890">
      <c r="A5890" t="inlineStr">
        <is>
          <t>crittttt</t>
        </is>
      </c>
      <c r="B5890">
        <f>HYPERLINK("https://www.dofusbook.net/fr/equipement/2999218-crittttt/objets", "link")</f>
        <v/>
      </c>
      <c r="C5890" t="n">
        <v>4</v>
      </c>
      <c r="D5890" t="inlineStr">
        <is>
          <t>Epée Maudite du Saigneur Guerrier; Amulette du Strigide; Alliance de Missiz Frizz; Bague Trithon; Bouclier du Captain Amakna; Ceinture du Strigide; Masque Trithon; Chevelure de Tal Kasha; Bottes Trithon; Dofus Turquoise; Dofus Nébuleux; Dofus Vulbis; Dofus Ocre; Dofus Pourpre; Dofus des Glaces; Muldo Prune et Emeraude</t>
        </is>
      </c>
    </row>
    <row r="5891">
      <c r="A5891" t="inlineStr">
        <is>
          <t>semiopti</t>
        </is>
      </c>
      <c r="B5891">
        <f>HYPERLINK("https://www.dofusbook.net/fr/equipement/2997531-semiopti/objets", "link")</f>
        <v/>
      </c>
      <c r="C5891" t="n">
        <v>6</v>
      </c>
      <c r="D5891" t="inlineStr">
        <is>
          <t>Bâton Beau; Amulette du Strigide; Alliance de Missiz Frizz; Anneau de Padgref; Cadran de Terre; Ceinture du Strigide; Coiffe de Padgref; Cape Reski; Getas de Padgref; Forcené majeur; Taquin majeur; Astucieux majeur; Voyageur; Turbulent; Puissant majeur; Muldo Prune et Emeraude</t>
        </is>
      </c>
    </row>
    <row r="5892">
      <c r="A5892" t="inlineStr">
        <is>
          <t>fullfeu</t>
        </is>
      </c>
      <c r="B5892">
        <f>HYPERLINK("https://www.dofusbook.net/fr/equipement/2976039-fullfeu/objets", "link")</f>
        <v/>
      </c>
      <c r="C5892" t="n">
        <v>2</v>
      </c>
      <c r="D5892" t="inlineStr">
        <is>
          <t>Épée d'Otomaï; Amulette d'Otomaï; Anneau Tamie; Anneau de Padgref; Cadran de Terre; Ceinture Séculaire; Coiffe Séculaire; Cape de Diondin; Bottes d'Otomaï; Ravageur Feu majeur; Astucieux majeur; Saccageur Feu majeur; Astucieux; Savant majeur; Voyageur; Brûlih</t>
        </is>
      </c>
    </row>
    <row r="5893">
      <c r="A5893" t="inlineStr">
        <is>
          <t>retetroxx</t>
        </is>
      </c>
      <c r="B5893">
        <f>HYPERLINK("https://www.dofusbook.net/fr/equipement/2975992-retetroxx/objets", "link")</f>
        <v/>
      </c>
      <c r="C5893" t="n">
        <v>2</v>
      </c>
      <c r="D5893" t="inlineStr">
        <is>
          <t>La Baguette des Limbes; Collier de la Dame du Hasard; Gelano; Pikano; Bouclier cubiste; Ceinture Glaciale; Casquipik; Cape de Meno; Bottes de Meno; Temporiseur; Taquin majeur; Ralentisseur majeur; Joueur majeur; Entraveur majeur</t>
        </is>
      </c>
    </row>
    <row r="5894">
      <c r="A5894" t="inlineStr">
        <is>
          <t>multi</t>
        </is>
      </c>
      <c r="B5894">
        <f>HYPERLINK("https://www.dofusbook.net/fr/equipement/2975943-multi/objets", "link")</f>
        <v/>
      </c>
      <c r="C5894" t="n">
        <v>5</v>
      </c>
      <c r="D5894" t="inlineStr">
        <is>
          <t>La Baguette des Limbes; Amulette du Strigide; Anneau de Padgref; Bracelet du Piloztère; Cadran de Terre; Ceinture du Strigide; Coiffe de Padgref; Cape Reski; Getas de Padgref; Equilibriste majeur; Turbulent; Savant majeur; Astucieux majeur; Acrobate majeur; Puissant majeur; Muldo Prune et Emeraude</t>
        </is>
      </c>
    </row>
    <row r="5895">
      <c r="A5895" t="inlineStr">
        <is>
          <t>maxderet</t>
        </is>
      </c>
      <c r="B5895">
        <f>HYPERLINK("https://www.dofusbook.net/fr/equipement/2968887-maxderet/objets", "link")</f>
        <v/>
      </c>
      <c r="C5895" t="n">
        <v>1</v>
      </c>
      <c r="D5895" t="inlineStr">
        <is>
          <t>Pelle Dorado; Amulette du Glourséleste; Anneau Tamie; Anneau Tamie; Bouclier cubiste; Ceinture Glaciale; Casquipik; Cape de la Dame du Hasard; Pikottes; Dofus Cawotte; Entraveur; Ralentisseur majeur; Entraveur majeur; Entraveur mineur; Ralentisseur</t>
        </is>
      </c>
    </row>
    <row r="5896">
      <c r="A5896" t="inlineStr">
        <is>
          <t>retpm</t>
        </is>
      </c>
      <c r="B5896">
        <f>HYPERLINK("https://www.dofusbook.net/fr/equipement/2950050-retpm/objets", "link")</f>
        <v/>
      </c>
      <c r="C5896" t="n">
        <v>2</v>
      </c>
      <c r="D5896" t="inlineStr">
        <is>
          <t>Hachoirs de Viandargh; Amulette du Glourséleste; Anneau Tamie; Anneau Aimgéroks; Bouclier cubiste; Sangle Cible; Casquipik; Cape Tif; Pikottes; Entraveur majeur; Nomade; Temporiseur; Remueur; Entraveur; Temporiseur majeur</t>
        </is>
      </c>
    </row>
    <row r="5897">
      <c r="A5897" t="inlineStr">
        <is>
          <t>intel</t>
        </is>
      </c>
      <c r="B5897">
        <f>HYPERLINK("https://www.dofusbook.net/fr/equipement/2944257-intel/objets", "link")</f>
        <v/>
      </c>
      <c r="C5897" t="n">
        <v>1</v>
      </c>
      <c r="D5897" t="inlineStr">
        <is>
          <t>Épée d'Otomaï; Amulette d'Otomaï; Anneau Tamie; Anneau Tamie; Cadran de Terre; Ceinture Séculaire; Coiffe Séculaire; Cape de Diondin; Bottes d'Otomaï; Savant; Astucieux; Savant majeur; Voyageur; Saccageur Feu majeur; Astucieux majeur; Brûlih</t>
        </is>
      </c>
    </row>
    <row r="5898">
      <c r="A5898" t="inlineStr">
        <is>
          <t>dvdx</t>
        </is>
      </c>
      <c r="B5898">
        <f>HYPERLINK("https://www.dofusbook.net/fr/equipement/2920517-dvdx/objets", "link")</f>
        <v/>
      </c>
      <c r="C5898" t="n">
        <v>1</v>
      </c>
      <c r="D5898" t="inlineStr">
        <is>
          <t>Pyraguette</t>
        </is>
      </c>
    </row>
    <row r="5899">
      <c r="A5899" t="inlineStr">
        <is>
          <t>ret thl</t>
        </is>
      </c>
      <c r="B5899">
        <f>HYPERLINK("https://www.dofusbook.net/fr/equipement/2915559-ret-thl/objets", "link")</f>
        <v/>
      </c>
      <c r="C5899" t="n">
        <v>1</v>
      </c>
      <c r="D5899" t="inlineStr">
        <is>
          <t>Pelle Dorado; Amulette du Glourséleste; Gelano; Anneau de Nidas; Bouclier cubiste; Ceinture du Glourséleste; Masque du Glourséleste; Cape du Glourséleste; Bottes du Glourséleste; Entraveur majeur; Voyageur; Ralentisseur; Entraveur; Ralentisseur majeur</t>
        </is>
      </c>
    </row>
    <row r="5900">
      <c r="A5900" t="inlineStr">
        <is>
          <t>ret</t>
        </is>
      </c>
      <c r="B5900">
        <f>HYPERLINK("https://www.dofusbook.net/fr/equipement/2914451-ret/objets", "link")</f>
        <v/>
      </c>
      <c r="C5900" t="n">
        <v>1</v>
      </c>
      <c r="D5900" t="inlineStr">
        <is>
          <t>Bâton Fracass; Amulette du Wabbit Céphale; Gelano; Anneau du Wabbit Céphale; Le Karde Cœur; Ceintruche; Chapeau Truche; Cape Xélomorphe; Bottes du Wabbit Céphale; Dofus Cawotte; Entraveur mineur; Temporiseur; Ralentisseur; Voyageur; Temporiseur mineur</t>
        </is>
      </c>
    </row>
    <row r="5901">
      <c r="A5901" t="inlineStr">
        <is>
          <t>elem</t>
        </is>
      </c>
      <c r="B5901">
        <f>HYPERLINK("https://www.dofusbook.net/fr/equipement/2859101-elem/objets", "link")</f>
        <v/>
      </c>
      <c r="C5901" t="n">
        <v>2</v>
      </c>
      <c r="D5901" t="inlineStr">
        <is>
          <t>Bâton Beau; Amulette du Strigide; Bracelet du Piloztère; Alliance de Missiz Frizz; Bouclier du Stalak; Ceintacé; Masque Vaudou Tam; Cape Reski; Bottes du Strigide; Érudit majeur; Nomade; Vigoureux; Remueur; Chanceux majeur; Vigoureux majeur; Muldo Prune et Emeraude</t>
        </is>
      </c>
    </row>
    <row r="5902">
      <c r="A5902" t="inlineStr">
        <is>
          <t>ret</t>
        </is>
      </c>
      <c r="B5902">
        <f>HYPERLINK("https://www.dofusbook.net/fr/equipement/2851284-ret/objets", "link")</f>
        <v/>
      </c>
      <c r="C5902" t="n">
        <v>1</v>
      </c>
      <c r="D5902" t="inlineStr">
        <is>
          <t>Dagues Açantes; Amulette du Glourséleste; Anneau Tamie; Anneau Tamie; Bouclier cubiste; Ceinture Glaciale; Coiffe de Danathor; Cape du Glourséleste; Pataugastrique; Entraveur; Remueur; Entraveur majeur; Temporiseur majeur; Nomade</t>
        </is>
      </c>
    </row>
    <row r="5903">
      <c r="A5903" t="inlineStr">
        <is>
          <t>multi</t>
        </is>
      </c>
      <c r="B5903">
        <f>HYPERLINK("https://www.dofusbook.net/fr/equipement/2832911-multi/objets", "link")</f>
        <v/>
      </c>
      <c r="C5903" t="n">
        <v>8</v>
      </c>
      <c r="D5903" t="inlineStr">
        <is>
          <t>Hache du Chalœil; Amulette du Strigide; Alliance de Missiz Frizz; Bague Trithon; Quatre-feuilles; Ceinture du Strigide; Masque Trithon; Cape d'Atcham; Bottes Trithon; Dolmanax; Dofus Ocre; Dofus Pourpre; Dofus des Glaces; Dofus Turquoise; Dofus Nébuleux; Muldo Prune et Emeraude</t>
        </is>
      </c>
    </row>
    <row r="5904">
      <c r="A5904" t="inlineStr">
        <is>
          <t>nrv</t>
        </is>
      </c>
      <c r="B5904">
        <f>HYPERLINK("https://www.dofusbook.net/fr/equipement/2832865-nrv/objets", "link")</f>
        <v/>
      </c>
      <c r="C5904" t="n">
        <v>2</v>
      </c>
      <c r="D5904" t="inlineStr">
        <is>
          <t>Marteau R'ture; Amulette du Strigide; Anneau de Brouce; Bracelet du Piloztère; Bouclier du Stalak; Ceinture du Strigide; Masque de Koutoulou; Cape au Logis; Bottes du Cycloïde; Dofus Turquoise; Vigoureux majeur; Forcené majeur; Nomade; Enragé majeur; Remueur; Kompost</t>
        </is>
      </c>
    </row>
    <row r="5905">
      <c r="A5905" t="inlineStr">
        <is>
          <t>lourd</t>
        </is>
      </c>
      <c r="B5905">
        <f>HYPERLINK("https://www.dofusbook.net/fr/equipement/2832856-lourd/objets", "link")</f>
        <v/>
      </c>
      <c r="C5905" t="n">
        <v>3</v>
      </c>
      <c r="D5905" t="inlineStr">
        <is>
          <t>Marteau R'ture; Amulette du Strigide; Anneau du Comte Harebourg; Anneau de Brouce; Bouclier du Stalak; Ceinture de Brouce; Coiffe du Comte Harebourg; Cape au Logis; Bottes de Brouce; Dofus Turquoise; Forcené majeur; Voyageur; Forcené; Furibond majeur; Kompost</t>
        </is>
      </c>
    </row>
    <row r="5906">
      <c r="A5906" t="inlineStr">
        <is>
          <t>eau</t>
        </is>
      </c>
      <c r="B5906">
        <f>HYPERLINK("https://www.dofusbook.net/fr/equipement/2816005-eau/objets", "link")</f>
        <v/>
      </c>
      <c r="C5906" t="n">
        <v>1</v>
      </c>
      <c r="D5906" t="inlineStr">
        <is>
          <t>Dagoulinantes; Amulette Luminescente; Alliance Gloursonne; Bracelet des Fonds marins; Ceinture Luminescente; Casque d'Ilyzaelle; Cape de Mantaze</t>
        </is>
      </c>
    </row>
    <row r="5907">
      <c r="A5907" t="inlineStr">
        <is>
          <t>forcee</t>
        </is>
      </c>
      <c r="B5907">
        <f>HYPERLINK("https://www.dofusbook.net/fr/equipement/2795298-forcee/objets", "link")</f>
        <v/>
      </c>
      <c r="C5907" t="n">
        <v>2</v>
      </c>
      <c r="D5907" t="inlineStr">
        <is>
          <t>Bêche Asse; Amulette du Strigide; Bracelet du Piloztère; Anneau de Brouce; Quatre-feuilles; Ceinture du Strigide; Masque Vaudou Eth; Cape au Logis; Sabots Minables; Dofus Turquoise; Forcené majeur; Remueur; Enragé majeur; Vigoureux majeur; Nomade; Kompost</t>
        </is>
      </c>
    </row>
    <row r="5908">
      <c r="A5908" t="inlineStr">
        <is>
          <t>force</t>
        </is>
      </c>
      <c r="B5908">
        <f>HYPERLINK("https://www.dofusbook.net/fr/equipement/2795173-force/objets", "link")</f>
        <v/>
      </c>
      <c r="C5908" t="n">
        <v>3</v>
      </c>
      <c r="D5908" t="inlineStr">
        <is>
          <t>Bêche Asse; Collier de Tourthon; Anneau de Brouce; Bracelet du Piloztère; Bouclier du Stalak; Ceinture de Brouce; Coiffe du Comte Harebourg; Cape au Logis; Sabots Minables; Furibond majeur; Remueur; Forcené majeur; Enragé majeur; Vigoureux majeur; Nomade; Kompost</t>
        </is>
      </c>
    </row>
    <row r="5909">
      <c r="A5909" t="inlineStr">
        <is>
          <t>roxxeur</t>
        </is>
      </c>
      <c r="B5909">
        <f>HYPERLINK("https://www.dofusbook.net/fr/equipement/2777932-roxxeur/objets", "link")</f>
        <v/>
      </c>
      <c r="C5909" t="n">
        <v>3</v>
      </c>
      <c r="D5909" t="inlineStr">
        <is>
          <t>Hache du Chalœil; Amulette du Strigide; Bracelet du Piloztère; Alliance de Missiz Frizz; Quatre-feuilles; Ceinture du Strigide; Masque Vaudou Tam; Cape des Justiciers; Pataugastrique; Dofus Turquoise; Dofus Pourpre; Nomade; Vigoureux; Remueur; Vigoureux majeur; Muldo Prune et Emeraude</t>
        </is>
      </c>
    </row>
    <row r="5910">
      <c r="A5910" t="inlineStr">
        <is>
          <t>pacher</t>
        </is>
      </c>
      <c r="B5910">
        <f>HYPERLINK("https://www.dofusbook.net/fr/equipement/2760283-pacher/objets", "link")</f>
        <v/>
      </c>
      <c r="C5910" t="n">
        <v>1</v>
      </c>
      <c r="D5910" t="inlineStr">
        <is>
          <t>Hache du Chalœil; Amulette du Strigide; Bracelet du Piloztère; Alliance de Missiz Frizz; Quatre-feuilles; Ceintacé; Masque Vaudou Tam; Cape des Justiciers; Bottes du Strigide; Dofus Pourpre; Dofus Turquoise; Nomade; Remueur; Vigoureux majeur; Muldo Prune et Emeraude</t>
        </is>
      </c>
    </row>
    <row r="5911">
      <c r="A5911" t="inlineStr">
        <is>
          <t>mathafack</t>
        </is>
      </c>
      <c r="B5911">
        <f>HYPERLINK("https://www.dofusbook.net/fr/equipement/2751615-mathafack/objets", "link")</f>
        <v/>
      </c>
      <c r="C5911" t="n">
        <v>4</v>
      </c>
      <c r="D5911" t="inlineStr">
        <is>
          <t>Marteau des égarés; Amulette Ementaire Deluxe; Alliance Gloursonne; Alliance Brûlâme; Bouclier du Stalak; Ceinture de l'Indicible; Casque du Chalœil; Cape de l'Œil Putride; Bottes de l'Indicible; Dokoko; Dofus des Glaces; Dofus Ivoire; Dofus Ocre; Miraculé majeur; Remueur; Muldo Ebène et Indigo</t>
        </is>
      </c>
    </row>
    <row r="5912">
      <c r="A5912" t="inlineStr">
        <is>
          <t>law</t>
        </is>
      </c>
      <c r="B5912">
        <f>HYPERLINK("https://www.dofusbook.net/fr/equipement/2699213-law/objets", "link")</f>
        <v/>
      </c>
      <c r="C5912" t="n">
        <v>4</v>
      </c>
      <c r="D5912" t="inlineStr">
        <is>
          <t>Epée Gloursonne; Amulette du Strigide; Alliance Gloursonne; Bague Gloursonne; Bouclier du Stalak; Ceinture du Strigide; Masque Vaudou Tam; Cape des Justiciers; Bottes du Strigide; Dofus Pourpre; Dofus Turquoise; Voyageur; Furibond majeur; Puissant majeur; Savant majeur; Muldo Prune et Emeraude</t>
        </is>
      </c>
    </row>
    <row r="5913">
      <c r="A5913" t="inlineStr">
        <is>
          <t>roxx</t>
        </is>
      </c>
      <c r="B5913">
        <f>HYPERLINK("https://www.dofusbook.net/fr/equipement/2672366-roxx/objets", "link")</f>
        <v/>
      </c>
      <c r="C5913" t="n">
        <v>2</v>
      </c>
      <c r="D5913" t="inlineStr">
        <is>
          <t>Hache du Guerrier Zoth; Amulette du Strigide; Alliance de Missiz Frizz; Anneau Nobstant; Cadran de Terre; Ceinture du Strigide; Masque Vaudou Tam; Cape Reski; Bottes Phossiles; Dofus Pourpre; Puissant majeur; Nomade; Vigoureux; Remueur; Vigoureux majeur; Muldo Prune et Emeraude</t>
        </is>
      </c>
    </row>
    <row r="5914">
      <c r="A5914" t="inlineStr">
        <is>
          <t>air</t>
        </is>
      </c>
      <c r="B5914">
        <f>HYPERLINK("https://www.dofusbook.net/fr/equipement/2650680-air/objets", "link")</f>
        <v/>
      </c>
      <c r="C5914" t="n">
        <v>3</v>
      </c>
      <c r="D5914" t="inlineStr">
        <is>
          <t>Lance Horselé; Collier du Valet Veinard; Gant du Valet Veinard; Alliance Gloursonne; Bouclier du Captain Amakna; Menoture; Chapeau de Tournoyé; Cape Indescriptible; Palmes Trithons; Dofus Nébuleux; Dofus Pourpre; Dofus des Glaces; Vigoureux majeur; Dévastateur Air majeur; Cascadeur majeur; Siroko</t>
        </is>
      </c>
    </row>
    <row r="5915">
      <c r="A5915" t="inlineStr">
        <is>
          <t>feu</t>
        </is>
      </c>
      <c r="B5915">
        <f>HYPERLINK("https://www.dofusbook.net/fr/equipement/2647082-feu/objets", "link")</f>
        <v/>
      </c>
      <c r="C5915" t="n">
        <v>3</v>
      </c>
      <c r="D5915" t="inlineStr">
        <is>
          <t>Massier; Pendentif affamé; Anneauræus; Chevalière du Roi Joueur; Bouclier du Captain Amakna; Ceinture du Strigide; Heaume Oplate; Cape de Diondin; Bottes du Strigide; Dofus Turquoise; Dofus des Glaces; Dofus Pourpre; Dofus Nébuleux; Érudit majeur; Vigoureux majeur; Brûlih</t>
        </is>
      </c>
    </row>
    <row r="5916">
      <c r="A5916" t="inlineStr">
        <is>
          <t>vit</t>
        </is>
      </c>
      <c r="B5916">
        <f>HYPERLINK("https://www.dofusbook.net/fr/equipement/2632216-vit/objets", "link")</f>
        <v/>
      </c>
      <c r="C5916" t="n">
        <v>4</v>
      </c>
      <c r="D5916" t="inlineStr">
        <is>
          <t>Arc du Chalœil; Collier Rophante; Bague Trithon; Alliance Brûlâme; Bouclier de Solar; Ceinture du Barbétoal; Masque d'Anerice; Cape d'Anerice; Bottes du Chalœil; Dofus Ocre; Dofus Émeraude; Remueur; Miraculé; Miraculé majeur; Survivant majeur; Dauge</t>
        </is>
      </c>
    </row>
    <row r="5917">
      <c r="A5917" t="inlineStr">
        <is>
          <t>vth</t>
        </is>
      </c>
      <c r="B5917">
        <f>HYPERLINK("https://www.dofusbook.net/fr/equipement/2623480-vth/objets", "link")</f>
        <v/>
      </c>
      <c r="C5917" t="n">
        <v>2</v>
      </c>
      <c r="D5917" t="inlineStr">
        <is>
          <t>Lav'Hache; Amulette Luminescente; Bague Trithon; Anneau Crustique; Bouclier du Captain Amakna; Ceinture Gence; Masque Trithon; Cape au Logis; Bottistik; Dofus Nébuleux; Dofus Turquoise; Dofus des Glaces; Culbuteur majeur; Enragé majeur; Bousculeur majeur; Tanuk</t>
        </is>
      </c>
    </row>
    <row r="5918">
      <c r="A5918" t="inlineStr">
        <is>
          <t>xcv</t>
        </is>
      </c>
      <c r="B5918">
        <f>HYPERLINK("https://www.dofusbook.net/fr/equipement/2544481-xcv/objets", "link")</f>
        <v/>
      </c>
      <c r="C5918" t="n">
        <v>1</v>
      </c>
      <c r="D5918" t="inlineStr"/>
    </row>
    <row r="5919">
      <c r="A5919" t="inlineStr">
        <is>
          <t>fgd</t>
        </is>
      </c>
      <c r="B5919">
        <f>HYPERLINK("https://www.dofusbook.net/fr/equipement/2500172-fgd/objets", "link")</f>
        <v/>
      </c>
      <c r="C5919" t="n">
        <v>2</v>
      </c>
      <c r="D5919" t="inlineStr">
        <is>
          <t>Sabres d'Atcham; Amulette du Strigide; Anneau de Padgref; Bague Trithon; Quatre-feuilles; Ceinture du Strigide; Masque Trithon; Cape d'Atcham; Bottes Trithon; Dofus Turquoise; Dofus Nébuleux; Dofus Pourpre; Dofus Ocre; Dolmanax; Dofus des Glaces; Muldo Prune et Emeraude</t>
        </is>
      </c>
    </row>
    <row r="5920">
      <c r="A5920" t="inlineStr">
        <is>
          <t>stufftaclerecrit</t>
        </is>
      </c>
      <c r="B5920">
        <f>HYPERLINK("https://www.dofusbook.net/fr/equipement/2450867-stufftaclerecrit/objets", "link")</f>
        <v/>
      </c>
      <c r="C5920" t="n">
        <v>3</v>
      </c>
      <c r="D5920" t="inlineStr">
        <is>
          <t>Dagues de Srambad; Amulette Luminescente; Bracelet du Piloztère; Goulano; Goulclier; Ceinture de la Reine des Voleurs; Coiffe de la Reine des Voleurs; Cape Luminescente; Bottes de la Reine des Voleurs; Dokoko; Dofus Nébuleux; Dofus Ocre; Dofus Abyssal; Dofus des Glaces; Dofus Ivoire; Muldo Ebène</t>
        </is>
      </c>
    </row>
    <row r="5921">
      <c r="A5921" t="inlineStr">
        <is>
          <t>stuffterreair</t>
        </is>
      </c>
      <c r="B5921">
        <f>HYPERLINK("https://www.dofusbook.net/fr/equipement/2450796-stuffterreair/objets", "link")</f>
        <v/>
      </c>
      <c r="C5921" t="n">
        <v>3</v>
      </c>
      <c r="D5921" t="inlineStr">
        <is>
          <t>Lance corrompue; Amulette de Nevark; Anneau de la Fuji Givrefoux; Anneau des égarés; Cadran d'Eau; Ceinture de Nevark; Casque des égarés; Cape de Nevark; Bottes des égarés; Dofus des Glaces; Dofus Ivoire; Dofus Vulbis; Dofus Nébuleux; Dofus Ocre; Dofus Abyssal; Kramkram</t>
        </is>
      </c>
    </row>
    <row r="5922">
      <c r="A5922" t="inlineStr">
        <is>
          <t>stufffeueau</t>
        </is>
      </c>
      <c r="B5922">
        <f>HYPERLINK("https://www.dofusbook.net/fr/equipement/2450757-stufffeueau/objets", "link")</f>
        <v/>
      </c>
      <c r="C5922" t="n">
        <v>6</v>
      </c>
      <c r="D5922" t="inlineStr">
        <is>
          <t>Arc Nécrotique; Amulette de l'Œil Putride; Alliance Gloursonne; Anneau Tique; Quatre-feuilles; Ceinture de l'Esprit Malsain; Capuche de l'Œil Putride; Cape de l'Œil Putride; Bottes de l'Esprit Malsain; Dofus Abyssal; Dofus des Glaces; Dofus Vulbis; Dofus Nébuleux; Dofus Ocre; Dofus Ivoire; Kramkram</t>
        </is>
      </c>
    </row>
    <row r="5923">
      <c r="A5923" t="inlineStr">
        <is>
          <t>sdq</t>
        </is>
      </c>
      <c r="B5923">
        <f>HYPERLINK("https://www.dofusbook.net/fr/equipement/2449701-sdq/objets", "link")</f>
        <v/>
      </c>
      <c r="C5923" t="n">
        <v>2</v>
      </c>
      <c r="D5923" t="inlineStr">
        <is>
          <t>Sabres d'Atcham; Amulette du Strigide; Bague Trithon; Anneau de Padgref; Quatre-feuilles; Ceinture du Strigide; Coiffe de Padgref; Cape d'Atcham; Sandales  d'Atcham; Dofus Ocre; Dofus Abyssal; Dofus Pourpre; Dofus des Glaces; Dofus Turquoise; Dofus Nébuleux; Muldo Prune et Emeraude</t>
        </is>
      </c>
    </row>
    <row r="5924">
      <c r="A5924" t="inlineStr">
        <is>
          <t>feu</t>
        </is>
      </c>
      <c r="B5924">
        <f>HYPERLINK("https://www.dofusbook.net/fr/equipement/2449202-feu/objets", "link")</f>
        <v/>
      </c>
      <c r="C5924" t="n">
        <v>13</v>
      </c>
      <c r="D5924" t="inlineStr">
        <is>
          <t>Arc corrompu; Pendentif mignon de Koutoulou; Chevalière du Roi Joueur; Baguistik; Cadran de Terre; Ceinture de Vortex; Casque Cyclopéen; Cape de Diondin; Pompes Funèbres; Dofus des Glaces; Dofus Vulbis; Dofus Nébuleux; Dofus Ocre; Dévastateur Feu majeur; Érudit majeur; Brûlih</t>
        </is>
      </c>
    </row>
    <row r="5925">
      <c r="A5925" t="inlineStr">
        <is>
          <t>stuffair</t>
        </is>
      </c>
      <c r="B5925">
        <f>HYPERLINK("https://www.dofusbook.net/fr/equipement/2444634-stuffair/objets", "link")</f>
        <v/>
      </c>
      <c r="C5925" t="n">
        <v>4</v>
      </c>
      <c r="D5925" t="inlineStr">
        <is>
          <t>Manthache; Collier du Valet Veinard; Anneau d'Allister; Gant du Valet Veinard; Bouclier Aerdala; Ceintouse; Masque du Granduk; Cape de Klime; Palmes Trithons; Dofus Nébuleux; Dofus Vulbis; Dofus Ocre; Remueur; Obstructeur majeur; Cascadeur majeur; Blokus</t>
        </is>
      </c>
    </row>
    <row r="5926">
      <c r="A5926" t="inlineStr">
        <is>
          <t>vitadopou</t>
        </is>
      </c>
      <c r="B5926">
        <f>HYPERLINK("https://www.dofusbook.net/fr/equipement/2443138-vitadopou/objets", "link")</f>
        <v/>
      </c>
      <c r="C5926" t="n">
        <v>5</v>
      </c>
      <c r="D5926" t="inlineStr">
        <is>
          <t>Epée Gloursonne; Amulette Luminescente; Alliance Gloursonne; Bague Trithon; Bouclier précieux; Ceinture Luminescente; Masque Trithon; Cape Luminescente; Bottes Trithon; Dofus Nébuleux; Dofus Émeraude; Dofus Vulbis; Dofus des Glaces; Dofus Ocre; Dofus Turquoise; Dauge</t>
        </is>
      </c>
    </row>
    <row r="5927">
      <c r="A5927" t="inlineStr">
        <is>
          <t>domm</t>
        </is>
      </c>
      <c r="B5927">
        <f>HYPERLINK("https://www.dofusbook.net/fr/equipement/2438503-domm/objets", "link")</f>
        <v/>
      </c>
      <c r="C5927" t="n">
        <v>3</v>
      </c>
      <c r="D5927" t="inlineStr">
        <is>
          <t>Arc Ahique; Amulette de l'Indicible; Alliance Gloursonne; Grésilanneau; Bouclier du Stalak; Menoture; Masque de l'Esprit Salvateur; Voilamibe; Bottes de l'Esprit Salvateur; Dofus des Glaces; Dofus Nébuleux; Dofus Pourpre; Robuste majeur; Vigoureux majeur; Remueur; Dragodinde en armure</t>
        </is>
      </c>
    </row>
    <row r="5928">
      <c r="A5928" t="inlineStr">
        <is>
          <t>stuffdofixe</t>
        </is>
      </c>
      <c r="B5928">
        <f>HYPERLINK("https://www.dofusbook.net/fr/equipement/2404033-stuffdofixe/objets", "link")</f>
        <v/>
      </c>
      <c r="C5928" t="n">
        <v>3</v>
      </c>
      <c r="D5928" t="inlineStr">
        <is>
          <t>Epée Gloursonne; Amulette de l'Indicible; Bague Gloursonne; Alliance Gloursonne; Quatre-feuilles; Ceinture de l'Indicible; Masque de l'Esprit Salvateur; Voilamibe; Bottes de l'Indicible; Dofus Pourpre; Dofus Abyssal; Dofus des Glaces; Dofus Vulbis; Dofus Nébuleux; Robuste majeur; Kramkram</t>
        </is>
      </c>
    </row>
    <row r="5929">
      <c r="A5929" t="inlineStr">
        <is>
          <t>aireau</t>
        </is>
      </c>
      <c r="B5929">
        <f>HYPERLINK("https://www.dofusbook.net/fr/equipement/2312632-aireau/objets", "link")</f>
        <v/>
      </c>
      <c r="C5929" t="n">
        <v>5</v>
      </c>
      <c r="D5929" t="inlineStr">
        <is>
          <t>Arc de Koutoulou; Amulette du Strigide; Anneau d'Allister; Alliance Gloursonne; Bouclier du Captain Amakna; Menoture; Capuche de Moum-Ra; Cape des Malveilleurs; Baleinabottes; Dofus Pourpre; Chanceux majeur; Nomade; Cascadeur majeur; Remueur; Vigoureux majeur; Muldo Prune et Emeraude</t>
        </is>
      </c>
    </row>
    <row r="5930">
      <c r="A5930" t="inlineStr">
        <is>
          <t>eau/air</t>
        </is>
      </c>
      <c r="B5930">
        <f>HYPERLINK("https://www.dofusbook.net/fr/equipement/2289498-eau-air/objets", "link")</f>
        <v/>
      </c>
      <c r="C5930" t="n">
        <v>5</v>
      </c>
      <c r="D5930" t="inlineStr">
        <is>
          <t>Arc de Koutoulou; Amulette du Strigide; Anneau d'Allister; Alliance Gloursonne; Bouclier du Captain Amakna; Menoture; Capuche de l'Œil Putride; Cape de l'Œil Putride; Pataugastrique; Dofus Pourpre; Dofus Turquoise; Cascadeur majeur; Vigoureux majeur; Remueur; Nomade; Muldo Prune et Emeraude</t>
        </is>
      </c>
    </row>
    <row r="5931">
      <c r="A5931" t="inlineStr">
        <is>
          <t>cancer</t>
        </is>
      </c>
      <c r="B5931">
        <f>HYPERLINK("https://www.dofusbook.net/fr/equipement/2261769-cancer/objets", "link")</f>
        <v/>
      </c>
      <c r="C5931" t="n">
        <v>4</v>
      </c>
      <c r="D5931" t="inlineStr">
        <is>
          <t>Héqache; Amulette du Cœur Vaillant; Anneau Crustique; Anneau Crustique; Sept ans de malheur; Ceintouse; Chapoulpe; Cape du Cœur Vaillant; Tentassons; Dofus Émeraude; Dofus des Glaces; Dofus Vulbis; Dofus Abyssal; Dofus Ocre; Dofus Ivoire; Muldo Ebène et Pourpre</t>
        </is>
      </c>
    </row>
    <row r="5932">
      <c r="A5932" t="inlineStr">
        <is>
          <t>crit</t>
        </is>
      </c>
      <c r="B5932">
        <f>HYPERLINK("https://www.dofusbook.net/fr/equipement/2161111-crit/objets", "link")</f>
        <v/>
      </c>
      <c r="C5932" t="n">
        <v>1</v>
      </c>
      <c r="D5932" t="inlineStr">
        <is>
          <t>Sabres d'Atcham; Amulette du Strigide; Bague Trithon; Anneau de Padgref; Bouclier du Captain Amakna; Ceinture du Strigide; Masque Trithon; Cape d'Atcham; Bottes Trithon; Dofus Ocre; Dofus Abyssal; Dofus Turquoise; Dofus des Glaces; Dofus Pourpre; Dofus Nébuleux; Muldo Prune et Emeraude</t>
        </is>
      </c>
    </row>
    <row r="5933">
      <c r="A5933" t="inlineStr">
        <is>
          <t>critarc</t>
        </is>
      </c>
      <c r="B5933">
        <f>HYPERLINK("https://www.dofusbook.net/fr/equipement/2156735-critarc/objets", "link")</f>
        <v/>
      </c>
      <c r="C5933" t="n">
        <v>3</v>
      </c>
      <c r="D5933" t="inlineStr">
        <is>
          <t>Arc de Guten Tak; Amulette du Strigide; Alliance de Missiz Frizz; Bague Trithon; Quatre-feuilles; Ceinture du Strigide; Masque Trithon; Cape du Cœur Saignant; Bottes Trithon; Dolmanax; Dofus Ocre; Dofus Pourpre; Dofus des Glaces; Dofus Turquoise; Dofus Nébuleux; Muldo Prune et Emeraude</t>
        </is>
      </c>
    </row>
    <row r="5934">
      <c r="A5934" t="inlineStr">
        <is>
          <t>feueauairdocrit</t>
        </is>
      </c>
      <c r="B5934">
        <f>HYPERLINK("https://www.dofusbook.net/fr/equipement/2145832-feueauairdocrit/objets", "link")</f>
        <v/>
      </c>
      <c r="C5934" t="n">
        <v>3</v>
      </c>
      <c r="D5934" t="inlineStr">
        <is>
          <t>Sabres d'Atcham; Amulette du Strigide; Anneau de Padgref; Alliance Gloursonne; Bouclier du Captain Amakna; Ceinture du Strigide; Coiffe de Padgref; Cape d'Atcham; Getas de Padgref; Dofus Turquoise; Dofus Abyssal; Dofus Pourpre; Dofus des Glaces; Dofus Ocre; Dofus Nébuleux; Muldo Prune et Emeraude</t>
        </is>
      </c>
    </row>
    <row r="5935">
      <c r="A5935" t="inlineStr">
        <is>
          <t>cancerettacle</t>
        </is>
      </c>
      <c r="B5935">
        <f>HYPERLINK("https://www.dofusbook.net/fr/equipement/2145713-cancerettacle/objets", "link")</f>
        <v/>
      </c>
      <c r="C5935" t="n">
        <v>3</v>
      </c>
      <c r="D5935" t="inlineStr">
        <is>
          <t>Marteau R'ture; Amulette de Pol Ouatnos; Goulano; Alliance Gloursonne; Sept ans de malheur; Ceintouse; Chapoulpe; Cape de Diondin; Pataugastrique; Dofus Ivoire; Carapace Eau majeur; Obstructeur majeur; Temporiseur majeur; Carapace Feu majeur; Étourdisseur majeur; Muldo Indigo</t>
        </is>
      </c>
    </row>
    <row r="5936">
      <c r="A5936" t="inlineStr">
        <is>
          <t>full eau</t>
        </is>
      </c>
      <c r="B5936">
        <f>HYPERLINK("https://www.dofusbook.net/fr/equipement/2990950-full-eau/objets", "link")</f>
        <v/>
      </c>
      <c r="C5936" t="n">
        <v>2</v>
      </c>
      <c r="D5936" t="inlineStr">
        <is>
          <t>Sceptre du Roi Joueur; Amulette de Shokkoth; Anneau Volkorne; Alliance Gloursonne; Cadran de Terre; Culotte de Bethel; Masque de Funespadon; Cape Solution; Chaussons de Macrab; Dofus Ébène; Dofus Abyssal; Dokoko; Dofus Ivoire; Dofus des Glaces; Dofus Vulbis; Koalak Sanguin</t>
        </is>
      </c>
    </row>
    <row r="5937">
      <c r="A5937" t="inlineStr">
        <is>
          <t>MODE GROS TANK SAMER</t>
        </is>
      </c>
      <c r="B5937">
        <f>HYPERLINK("https://www.dofusbook.net/fr/equipement/5966578-mode-gros-tank-samer/objets", "link")</f>
        <v/>
      </c>
      <c r="C5937" t="n">
        <v>1</v>
      </c>
      <c r="D5937" t="inlineStr">
        <is>
          <t>Rouleau à Pâtisserie d'Aermyne; Collier Rophante; Alliance Gloursonne; Bague Trithon; Bouclier d'Anerice; Ceinture de Kongoku; Masque d'Anerice; Cape d'Aermyne; Pataugastrique; Dofus Ocre; Dofus Ivoire; Dofus Abyssal; Dofus Émeraude; Bloqueur majeur; Tacleur majeur; Givrefoux</t>
        </is>
      </c>
    </row>
    <row r="5938">
      <c r="A5938" t="inlineStr">
        <is>
          <t>TERRE</t>
        </is>
      </c>
      <c r="B5938">
        <f>HYPERLINK("https://www.dofusbook.net/fr/equipement/5755341-terre/objets", "link")</f>
        <v/>
      </c>
      <c r="C5938" t="n">
        <v>2</v>
      </c>
      <c r="D5938" t="inlineStr">
        <is>
          <t>Arc du Chalœil; Collier de Tourthon; Chevalière du Roi Joueur; Anneau Volkorne; Quatre-feuilles; Ceinture Volkorne; Couronne du Roi Joueur; Cape au Logis; Bottes du Roi Joueur; Dofus des Glaces; Dofus Abyssal; Dofus Pourpre; Dofus Ivoire; Dofus Ocre; Dofus Ébène; Bwak de Terre</t>
        </is>
      </c>
    </row>
    <row r="5939">
      <c r="A5939" t="inlineStr">
        <is>
          <t>FEU</t>
        </is>
      </c>
      <c r="B5939">
        <f>HYPERLINK("https://www.dofusbook.net/fr/equipement/5912590-feu/objets", "link")</f>
        <v/>
      </c>
      <c r="C5939" t="n">
        <v>1</v>
      </c>
      <c r="D5939" t="inlineStr">
        <is>
          <t>Arc corrompu; Amulette Volkorne; Chevalière du Roi Joueur; Anneau Volkorne; Quatre-feuilles; Croture; Couronne du Roi Joueur; Cape de Nileza; Bottes du Roi Joueur; Dofus Vulbis; Dofus Abyssal; Dofus Turquoise; Dofus Ivoire; Dofus Ocre; Dofus Ébène</t>
        </is>
      </c>
    </row>
    <row r="5940">
      <c r="A5940" t="inlineStr">
        <is>
          <t>DO CRIT FEU DIST</t>
        </is>
      </c>
      <c r="B5940">
        <f>HYPERLINK("https://www.dofusbook.net/fr/equipement/5915535-do-crit-feu-dist/objets", "link")</f>
        <v/>
      </c>
      <c r="C5940" t="n">
        <v>1</v>
      </c>
      <c r="D5940" t="inlineStr">
        <is>
          <t>Arc Nécrotique; Amulette du Strigide; Anneauræus; Anneau de Padgref; Quatre-feuilles; Ceinture du Strigide; Coiffe de Padgref; Voile d'encre; Getas de Padgref; Dofus Ocre; Dofus Ébène; Dofus Vulbis; Dofus des Glaces; Dofus Turquoise; Dofus Ivoire; Kokulte</t>
        </is>
      </c>
    </row>
    <row r="5941">
      <c r="A5941" t="inlineStr">
        <is>
          <t>DO CRIT FEU</t>
        </is>
      </c>
      <c r="B5941">
        <f>HYPERLINK("https://www.dofusbook.net/fr/equipement/5915464-do-crit-feu/objets", "link")</f>
        <v/>
      </c>
      <c r="C5941" t="n">
        <v>1</v>
      </c>
      <c r="D5941" t="inlineStr">
        <is>
          <t>Dagues Ricol; Amulette du Strigide; Anneau de Padgref; Anneauræus; Bouclier du Captain Amakna; Ceinture du Strigide; Coiffe de Padgref; Voile d'encre; Getas de Padgref; Dofus Vulbis; Dofus Nébuleux; Dofus Turquoise; Dofus Ivoire; Dofus Ocre; Dofus Ébène; Kokulte</t>
        </is>
      </c>
    </row>
    <row r="5942">
      <c r="A5942" t="inlineStr">
        <is>
          <t>Do crit 2</t>
        </is>
      </c>
      <c r="B5942">
        <f>HYPERLINK("https://www.dofusbook.net/fr/equipement/5893756-do-crit-2/objets", "link")</f>
        <v/>
      </c>
      <c r="C5942" t="n">
        <v>1</v>
      </c>
      <c r="D5942" t="inlineStr">
        <is>
          <t>Baguette de Torkélonia; Amulette du Strigide; Bague Gloursonne; Anneau de Padgref; Quatre-feuilles; Ceinture du Strigide; Coiffe de Padgref; Carapace de Torkélonia; Getas de Padgref; Dofus Ébène; Dofus Turquoise; Dofus Ocre; Dofus Ivoire; Dofus Vulbis; Dofus des Glaces; Kokulte</t>
        </is>
      </c>
    </row>
    <row r="5943">
      <c r="A5943" t="inlineStr">
        <is>
          <t>test</t>
        </is>
      </c>
      <c r="B5943">
        <f>HYPERLINK("https://www.dofusbook.net/fr/equipement/2101727-test/objets", "link")</f>
        <v/>
      </c>
      <c r="C5943" t="n">
        <v>1</v>
      </c>
      <c r="D5943" t="inlineStr">
        <is>
          <t>Hache du Chalœil; Amulette du Strigide; Bague Trithon; Alliance Gloursonne; Quatre-feuilles; Ceintacé; Masque Trithon; Chevelure de Tal Kasha; Sandales de Tal Kasha; Dofus des Glaces; Dolmanax; Dofus Abyssal; Dofus Ocre; Dofus Vulbis; Dofus Turquoise; Kokulte</t>
        </is>
      </c>
    </row>
    <row r="5944">
      <c r="A5944" t="inlineStr">
        <is>
          <t>Do Crit</t>
        </is>
      </c>
      <c r="B5944">
        <f>HYPERLINK("https://www.dofusbook.net/fr/equipement/3455879-do-crit/objets", "link")</f>
        <v/>
      </c>
      <c r="C5944" t="n">
        <v>4</v>
      </c>
      <c r="D5944" t="inlineStr">
        <is>
          <t>Arc Nécrotique; Amulette Volkorne; Bague Trithon; Anneau Volkorne; Quatre-feuilles; Ceintacé; Masque Trithon; Cape de la Dame du Hasard; Bottes de la Dame du Hasard; Dofus des Glaces; Dofus Vulbis; Dofus Turquoise; Dofus Ébène; Dofus Ocre; Dofus Abyssal; Kokulte</t>
        </is>
      </c>
    </row>
    <row r="5945">
      <c r="A5945" t="inlineStr">
        <is>
          <t>EAU AIR CRIT</t>
        </is>
      </c>
      <c r="B5945">
        <f>HYPERLINK("https://www.dofusbook.net/fr/equipement/5887634-eau-air-crit/objets", "link")</f>
        <v/>
      </c>
      <c r="C5945" t="n">
        <v>3</v>
      </c>
      <c r="D5945" t="inlineStr">
        <is>
          <t>Hache du Korriandre; Amulette Volkorne; Bague Trithon; Anneau Volkorne; Quatre-feuilles; Ceintacé; Némès de Tal Kasha; Chevelure de Tal Kasha; Bottes Trithon; Dofus Ocre; Dofus des Glaces; Dofus Vulbis; Dofus Ivoire; Dofus Turquoise; Dofus Ébène; Kokulte</t>
        </is>
      </c>
    </row>
    <row r="5946">
      <c r="A5946" t="inlineStr">
        <is>
          <t>FEU 2</t>
        </is>
      </c>
      <c r="B5946">
        <f>HYPERLINK("https://www.dofusbook.net/fr/equipement/5854844-feu-2/objets", "link")</f>
        <v/>
      </c>
      <c r="C5946" t="n">
        <v>1</v>
      </c>
      <c r="D5946" t="inlineStr">
        <is>
          <t>Arc corrompu; Amulette Volkorne; Anneau Tique; Anneau Volkorne; Quatre-feuilles; Croture; Cagoule de Vortex; Cape de Nileza; Pataugastrique; Dofus Ocre; Dofus Ébène; Dofus Vulbis; Dofus des Glaces; Dofus Ivoire; Dofus Abyssal; Bwak de Feu</t>
        </is>
      </c>
    </row>
    <row r="5947">
      <c r="A5947" t="inlineStr">
        <is>
          <t>Feu</t>
        </is>
      </c>
      <c r="B5947">
        <f>HYPERLINK("https://www.dofusbook.net/fr/equipement/5826819-feu/objets", "link")</f>
        <v/>
      </c>
      <c r="C5947" t="n">
        <v>1</v>
      </c>
      <c r="D5947" t="inlineStr">
        <is>
          <t>Arc corrompu; Amulette Volkorne; Anneau Volkorne; Chevalière du Roi Joueur; Quatre-feuilles; Croture; Couronne du Roi Joueur; Cape de la Dame du Hasard; Bottes du Roi Joueur; Dofus Turquoise; Dofus Ivoire; Dofus Ocre; Dofus des Glaces; Dofus Vulbis; Dofus Abyssal; Pioute rouge</t>
        </is>
      </c>
    </row>
    <row r="5948">
      <c r="A5948" t="inlineStr">
        <is>
          <t>TERRE FEU</t>
        </is>
      </c>
      <c r="B5948">
        <f>HYPERLINK("https://www.dofusbook.net/fr/equipement/5826929-terre-feu/objets", "link")</f>
        <v/>
      </c>
      <c r="C5948" t="n">
        <v>1</v>
      </c>
      <c r="D5948" t="inlineStr">
        <is>
          <t>Hache Téroïde; Amulette Volkorne; Chevalière du Roi Joueur; Bague Gloursonne; Quatre-feuilles; Ceinture Volkorne; Couronne du Roi Joueur; Voile d'encre; Bottes du Roi Joueur; Dofus Ivoire; Dofus Abyssal; Dofus Ocre; Dofus des Glaces; Dofus Vulbis; Dofus Ébène; Bwak de Terre</t>
        </is>
      </c>
    </row>
    <row r="5949">
      <c r="A5949" t="inlineStr">
        <is>
          <t>EAU AIR</t>
        </is>
      </c>
      <c r="B5949">
        <f>HYPERLINK("https://www.dofusbook.net/fr/equipement/5807225-eau-air-/objets", "link")</f>
        <v/>
      </c>
      <c r="C5949" t="n">
        <v>1</v>
      </c>
      <c r="D5949" t="inlineStr">
        <is>
          <t>Arc de Koutoulou; Amulette Volkorne; Anneau Volkorne; Alliance Gloursonne; Quatre-feuilles; Sangle Ouare; Némès de Tal Kasha; Chevelure de Tal Kasha; Sandales de Tal Kasha; Dofus Ivoire; Dofus Ébène; Dofus des Glaces; Dofus Turquoise; Dofus Ocre; Dofus Abyssal; Pioute bleu</t>
        </is>
      </c>
    </row>
    <row r="5950">
      <c r="A5950" t="inlineStr">
        <is>
          <t>EAU</t>
        </is>
      </c>
      <c r="B5950">
        <f>HYPERLINK("https://www.dofusbook.net/fr/equipement/5759922-eau/objets", "link")</f>
        <v/>
      </c>
      <c r="C5950" t="n">
        <v>2</v>
      </c>
      <c r="D5950" t="inlineStr">
        <is>
          <t>Baguette Hique; Collier de la Dame du Hasard; Alliance Gloursonne; Anneau Volkorne; Quatre-feuilles; Sangle Ouare; Capuche de l'Œil Attentif; Cape de la Dame du Hasard; Bottes de la Dame du Hasard; Dofus Turquoise; Dofus Ébène; Dofus des Glaces; Dofus Abyssal; Dofus Ivoire; Dofus Ocre; Bwak de Feu</t>
        </is>
      </c>
    </row>
    <row r="5951">
      <c r="A5951" t="inlineStr">
        <is>
          <t>EAU 2</t>
        </is>
      </c>
      <c r="B5951">
        <f>HYPERLINK("https://www.dofusbook.net/fr/equipement/5803137-eau-2/objets", "link")</f>
        <v/>
      </c>
      <c r="C5951" t="n">
        <v>1</v>
      </c>
      <c r="D5951" t="inlineStr">
        <is>
          <t>Baguette Hique; Collier de la Dame du Hasard; Bracelet des Fonds marins; Anneau Volkorne; Quatre-feuilles; Sangle Ouare; Masque des Fonds marins; Cape de la Dame du Hasard; Bottes de la Dame du Hasard; Dofus Ocre; Dofus Ébène; Dofus Turquoise; Dofus Ivoire; Dofus Vulbis; Dofus Abyssal; Pioute bleu</t>
        </is>
      </c>
    </row>
    <row r="5952">
      <c r="A5952" t="inlineStr">
        <is>
          <t>EAU Pas cher</t>
        </is>
      </c>
      <c r="B5952">
        <f>HYPERLINK("https://www.dofusbook.net/fr/equipement/5782461-eau-pas-cher/objets", "link")</f>
        <v/>
      </c>
      <c r="C5952" t="n">
        <v>1</v>
      </c>
      <c r="D5952" t="inlineStr">
        <is>
          <t>Baguette Hique; Collier de la Dame du Hasard; Alliance Gloursonne; Bracelet des Fonds marins; Quatre-feuilles; Sangle Ouare; Capuche de l'Œil Attentif; Cape de la Dame du Hasard; Bottes de la Dame du Hasard; Dofus Vulbis; Dofus Abyssal; Dofus Turquoise; Dofus Ivoire; Dofus Ocre; Dofus Ébène; Pioute bleu</t>
        </is>
      </c>
    </row>
    <row r="5953">
      <c r="A5953" t="inlineStr">
        <is>
          <t>FULL FEU</t>
        </is>
      </c>
      <c r="B5953">
        <f>HYPERLINK("https://www.dofusbook.net/fr/equipement/5492665-full-feu/objets", "link")</f>
        <v/>
      </c>
      <c r="C5953" t="n">
        <v>1</v>
      </c>
      <c r="D5953" t="inlineStr">
        <is>
          <t>Arc corrompu; Amulette Volkorne; Chevalière du Roi Joueur; Anneau Volkorne; Quatre-feuilles; Croture; Couronne du Roi Joueur; Cape de Nileza; Bottes du Roi Joueur; Dofus Ébène; Dofus Abyssal; Dofus Ocre; Dofus Ivoire; Dofus Vulbis; Dofus des Glaces; Bisouglours</t>
        </is>
      </c>
    </row>
    <row r="5954">
      <c r="A5954" t="inlineStr">
        <is>
          <t>Stuff Bastien</t>
        </is>
      </c>
      <c r="B5954">
        <f>HYPERLINK("https://www.dofusbook.net/fr/equipement/5576024-stuff-bastien/objets", "link")</f>
        <v/>
      </c>
      <c r="C5954" t="n">
        <v>5</v>
      </c>
      <c r="D5954" t="inlineStr">
        <is>
          <t>Arc corrompu; Amulette Séculaire; Anneau Tamie; Anneau Tamie; Bouclier du Stalak; Sangle Aise; Coiffe Séculaire; Cape de Diondin; Bottes Innommables; Dofus Pourpre; Dévastateur Feu majeur; Érudit majeur; Remueur; Astucieux majeur; Nomade; Bisouglours</t>
        </is>
      </c>
    </row>
    <row r="5955">
      <c r="A5955" t="inlineStr">
        <is>
          <t>TERRE</t>
        </is>
      </c>
      <c r="B5955">
        <f>HYPERLINK("https://www.dofusbook.net/fr/equipement/4169251-terre/objets", "link")</f>
        <v/>
      </c>
      <c r="C5955" t="n">
        <v>3</v>
      </c>
      <c r="D5955" t="inlineStr">
        <is>
          <t>Arc du Chalœil; Amulette du Cœur Saignant; Bracelet du Piloztère; Bague Gloursonne; Quatre-feuilles; Ceinture Volkorne; Masque de Koutoulou; Cape au Logis; Bottes du Cœur Saignant; Dofus Nébuleux; Dofus des Glaces; Dofus Turquoise; Dofus Abyssal; Dofus Ocre; Dofus Ivoire; Bulbisou</t>
        </is>
      </c>
    </row>
    <row r="5956">
      <c r="A5956" t="inlineStr">
        <is>
          <t>FARM NIDAS</t>
        </is>
      </c>
      <c r="B5956">
        <f>HYPERLINK("https://www.dofusbook.net/fr/equipement/5432163-farm-nidas/objets", "link")</f>
        <v/>
      </c>
      <c r="C5956" t="n">
        <v>1</v>
      </c>
      <c r="D5956" t="inlineStr">
        <is>
          <t>Epée Gloursonne; Amulette du Strigide; Bague Gloursonne; Alliance Gloursonne; Quatre-feuilles; Ceinture du Strigide; Masque Vaudou Tam; Cape Reski; Bottes du Strigide; Dofus Pourpre; Dofus Nébuleux; Dofus Ocre; Dofus Turquoise; Dofus des Glaces; Voyageur; Kokulte</t>
        </is>
      </c>
    </row>
    <row r="5957">
      <c r="A5957" t="inlineStr">
        <is>
          <t>test</t>
        </is>
      </c>
      <c r="B5957">
        <f>HYPERLINK("https://www.dofusbook.net/fr/equipement/2647969-test/objets", "link")</f>
        <v/>
      </c>
      <c r="C5957" t="n">
        <v>4</v>
      </c>
      <c r="D5957" t="inlineStr">
        <is>
          <t>Baguette Héroclite; Amulette d'Ilyzaelle; Anneau de Pol Ouatnos; Anneau Volkorne; Bouclier du Stalak; Poulpagne; Casque d'Ilyzaelle; Cape de l'Œil Attentif; Bottes du Nocturlabe; Dofus Pourpre; Dofus Abyssal; Dofus Ivoire; Dofus Ébène; Taquin majeur; Chanceux majeur; Kanigloups</t>
        </is>
      </c>
    </row>
    <row r="5958">
      <c r="A5958" t="inlineStr">
        <is>
          <t>full feu</t>
        </is>
      </c>
      <c r="B5958">
        <f>HYPERLINK("https://www.dofusbook.net/fr/equipement/2819309-full-feu/objets", "link")</f>
        <v/>
      </c>
      <c r="C5958" t="n">
        <v>7</v>
      </c>
      <c r="D5958" t="inlineStr">
        <is>
          <t>Arc corrompu; Pendentif affamé; Chevalière du Roi Joueur; Anneauræus; Bouclier du Stalak; Croture; Cape de Diondin; Bottes Innommables; Vigoureux majeur; Brûlih</t>
        </is>
      </c>
    </row>
    <row r="5959">
      <c r="A5959" t="inlineStr">
        <is>
          <t>feu eau</t>
        </is>
      </c>
      <c r="B5959">
        <f>HYPERLINK("https://www.dofusbook.net/fr/equipement/5410657-feu-eau/objets", "link")</f>
        <v/>
      </c>
      <c r="C5959" t="n">
        <v>1</v>
      </c>
      <c r="D5959" t="inlineStr">
        <is>
          <t>Arc Nécrotique; Amulette Volkorne; Anneau Volkorne; Anneau de Pol Ouatnos; Cadran de Terre; Ceintacé; Masque de l'Esprit Malsain; Cape de l'Œil Putride; Bottes de la Dame du Hasard; Dofus Ivoire; Dofus des Glaces; Dofus Ébène; Dofus Abyssal; Remueur; Vigoureux majeur; Walk</t>
        </is>
      </c>
    </row>
    <row r="5960">
      <c r="A5960" t="inlineStr">
        <is>
          <t>eau air</t>
        </is>
      </c>
      <c r="B5960">
        <f>HYPERLINK("https://www.dofusbook.net/fr/equipement/2606356-eau-air/objets", "link")</f>
        <v/>
      </c>
      <c r="C5960" t="n">
        <v>10</v>
      </c>
      <c r="D5960" t="inlineStr">
        <is>
          <t>Arc de Koutoulou; Amulette d'Ilyzaelle; Anneau de Pol Ouatnos; Alliance Gloursonne; Bouclier du Stalak; Ceintacé; Casque d'Ilyzaelle; Chevelure de Tal Kasha; Bottes de la Reine des Voleurs; Dofus Ocre; Dofus des Glaces; Dofus Pourpre; Cascadeur majeur; Chanceux majeur; Vigoureux majeur; Mini Wa</t>
        </is>
      </c>
    </row>
    <row r="5961">
      <c r="A5961" t="inlineStr">
        <is>
          <t>PROSPECTION</t>
        </is>
      </c>
      <c r="B5961">
        <f>HYPERLINK("https://www.dofusbook.net/fr/equipement/5359940-prospection/objets", "link")</f>
        <v/>
      </c>
      <c r="C5961" t="n">
        <v>3</v>
      </c>
      <c r="D5961" t="inlineStr">
        <is>
          <t>Hache à Lamelles; Collier du Minotot; Grésilanneau; Bracelet du Minotot; Tranche des Sous-bois; Casque Harnage; Cape du Minotot; Bottines des sous-bois; Dokille; Dofus Kaliptus; Joueur; Joueur majeur; Taquin; Taquin majeur; Bloalak</t>
        </is>
      </c>
    </row>
    <row r="5962">
      <c r="A5962" t="inlineStr">
        <is>
          <t>TERRE</t>
        </is>
      </c>
      <c r="B5962">
        <f>HYPERLINK("https://www.dofusbook.net/fr/equipement/5359821-terre/objets", "link")</f>
        <v/>
      </c>
      <c r="C5962" t="n">
        <v>2</v>
      </c>
      <c r="D5962" t="inlineStr">
        <is>
          <t>Arc du Chalœil; Collier de Tourthon; Alliance Gloursonne; Bague Trithon; Ceintacé; Masque de Koutoulou; Cape au Logis; Bottes du Cœur Saignant; Bulbisou</t>
        </is>
      </c>
    </row>
    <row r="5963">
      <c r="A5963" t="inlineStr">
        <is>
          <t>MULTI DO CRIT</t>
        </is>
      </c>
      <c r="B5963">
        <f>HYPERLINK("https://www.dofusbook.net/fr/equipement/5359731-multi-do-crit/objets", "link")</f>
        <v/>
      </c>
      <c r="C5963" t="n">
        <v>2</v>
      </c>
      <c r="D5963" t="inlineStr">
        <is>
          <t>Hache du Chalœil; Amulette du Strigide; Bague Trithon; Alliance Gloursonne; Quatre-feuilles; Ceintacé; Némès de Tal Kasha; Chevelure de Tal Kasha; Bottes de la Dame du Hasard; Dolmanax; Dofus Émeraude; Dofus Turquoise; Enragé majeur; Nomade; Remueur; Kokulte</t>
        </is>
      </c>
    </row>
    <row r="5964">
      <c r="A5964" t="inlineStr">
        <is>
          <t>AIR CC</t>
        </is>
      </c>
      <c r="B5964">
        <f>HYPERLINK("https://www.dofusbook.net/fr/equipement/5351761-air-cc/objets", "link")</f>
        <v/>
      </c>
      <c r="C5964" t="n">
        <v>3</v>
      </c>
      <c r="D5964" t="inlineStr">
        <is>
          <t>Manthache; Amulette du Strigide; Gant du Valet Veinard; Alliance Gloursonne; Quatre-feuilles; Menoture; Casque des égarés; Cape de Crânonier; Palmes Trithons; Dofus Turquoise; Dofus Ébène; Dofus Ocre; Dofus des Glaces; Dofus Vulbis; Dofus Abyssal; Blérodoudou</t>
        </is>
      </c>
    </row>
    <row r="5965">
      <c r="A5965" t="inlineStr">
        <is>
          <t>Panda Armand</t>
        </is>
      </c>
      <c r="B5965">
        <f>HYPERLINK("https://www.dofusbook.net/fr/equipement/5325475-panda-armand/objets", "link")</f>
        <v/>
      </c>
      <c r="C5965" t="n">
        <v>2</v>
      </c>
      <c r="D5965" t="inlineStr">
        <is>
          <t>Arc Hétype; Amulette Volkorne; Anneau de Nidas; Anneau Tique; Bouclier du Stalak; Ceinture de Vortex; Cagoule de Vortex; Cape de Diondin; Bottes Innommables; Dofus Vulbis; Dofus Abyssal; Dofus des Glaces; Remueur; Dévastateur Feu majeur; Érudit majeur; Bisouglours</t>
        </is>
      </c>
    </row>
    <row r="5966">
      <c r="A5966" t="inlineStr">
        <is>
          <t>FEU RET PA</t>
        </is>
      </c>
      <c r="B5966">
        <f>HYPERLINK("https://www.dofusbook.net/fr/equipement/4572777-feu-ret-pa/objets", "link")</f>
        <v/>
      </c>
      <c r="C5966" t="n">
        <v>11</v>
      </c>
      <c r="D5966" t="inlineStr">
        <is>
          <t>Arc corrompu; Amulette Volkorne; Anneauræus; Anneau Tique; Bouclier du Stalak; Ceinture de Vortex; Cagoule de Vortex; Cape de Diondin; Chaussures Ardentes; Dofus des Glaces; Dofus Ébène; Dofus Ocre; Dofus Ivoire; Dofus Abyssal; Nomade; Ross</t>
        </is>
      </c>
    </row>
    <row r="5967">
      <c r="A5967" t="inlineStr">
        <is>
          <t>Roublard Armand</t>
        </is>
      </c>
      <c r="B5967">
        <f>HYPERLINK("https://www.dofusbook.net/fr/equipement/5325385-roublard-armand/objets", "link")</f>
        <v/>
      </c>
      <c r="C5967" t="n">
        <v>3</v>
      </c>
      <c r="D5967" t="inlineStr">
        <is>
          <t>Sceptre du Roi Joueur; Amulette de Shokkoth; Bracelet des Fonds marins; Anneau Volkorne; Cadran de Terre; Poulpagne; Kidibonnet; Cape de Mantaze; Sandales des Fonds marins; Dofus Vulbis; Dofus des Glaces; Dofus Pourpre; Dofus Abyssal; Dévastateur Eau majeur; Chanceux majeur; Kanigloups</t>
        </is>
      </c>
    </row>
    <row r="5968">
      <c r="A5968" t="inlineStr">
        <is>
          <t>Stuff Armand Multi</t>
        </is>
      </c>
      <c r="B5968">
        <f>HYPERLINK("https://www.dofusbook.net/fr/equipement/5262970-stuff-armand-multi/objets", "link")</f>
        <v/>
      </c>
      <c r="C5968" t="n">
        <v>10</v>
      </c>
      <c r="D5968" t="inlineStr">
        <is>
          <t>Dagues Érhy; Amulette du Strigide; Anneau Volkorne; Alliance Brûlâme; Quatre-feuilles; Ceinture Volkorne; Masque Brûlâme; Voile d'encre; Pompes Funèbres; Dofus Pourpre; Dofus Ivoire; Dofus Vulbis; Dofus des Glaces; Dofus Ocre; Dofus Abyssal; Volkorne Rubis et Améthyste</t>
        </is>
      </c>
    </row>
    <row r="5969">
      <c r="A5969" t="inlineStr">
        <is>
          <t>Stuff Air Armand</t>
        </is>
      </c>
      <c r="B5969">
        <f>HYPERLINK("https://www.dofusbook.net/fr/equipement/5262743-stuff-air-armand/objets", "link")</f>
        <v/>
      </c>
      <c r="C5969" t="n">
        <v>4</v>
      </c>
      <c r="D5969" t="inlineStr">
        <is>
          <t>Manthache; Collier du Valet Veinard; Alliance Gloursonne; Gant du Valet Veinard; Bouclier du Stalak; Ceinture de Vortex; Dorabysses; Cape Indescriptible; Palmes Trithons; Dofus Nébuleux; Dofus Ébène; Dofus des Glaces; Dofus Ocre; Dofus Vulbis; Carapace Terre majeur; Volkorne Améthyste</t>
        </is>
      </c>
    </row>
    <row r="5970">
      <c r="A5970" t="inlineStr">
        <is>
          <t>Stuff Armand</t>
        </is>
      </c>
      <c r="B5970">
        <f>HYPERLINK("https://www.dofusbook.net/fr/equipement/5262588-stuff-armand/objets", "link")</f>
        <v/>
      </c>
      <c r="C5970" t="n">
        <v>6</v>
      </c>
      <c r="D5970" t="inlineStr">
        <is>
          <t>Arc du Chalœil; Amulette Volkorne; Anneau Volkorne; Chevalière du Roi Joueur; Quatre-feuilles; Ceinture Volkorne; Couronne du Roi Joueur; Voile d'encre; Bottes du Roi Joueur; Dofus Vulbis; Dofus Ébène; Dofus Ocre; Dofus des Glaces; Dofus Ivoire; Dofus Abyssal; Cromeugnon</t>
        </is>
      </c>
    </row>
    <row r="5971">
      <c r="A5971" t="inlineStr">
        <is>
          <t>TERRE</t>
        </is>
      </c>
      <c r="B5971">
        <f>HYPERLINK("https://www.dofusbook.net/fr/equipement/4345338-terre/objets", "link")</f>
        <v/>
      </c>
      <c r="C5971" t="n">
        <v>7</v>
      </c>
      <c r="D5971" t="inlineStr">
        <is>
          <t>Arc du Chalœil; Collier de Tourthon; Chevalière du Roi Joueur; Anneau Volkorne; Quatre-feuilles; Ceinture Volkorne; Couronne du Roi Joueur; Cape au Logis; Bottes du Roi Joueur; Dofus Turquoise; Dofus Nébuleux; Dofus Ocre; Dofus Ivoire; Dofus des Glaces; Dofus Ébène; Bwak de Terre</t>
        </is>
      </c>
    </row>
    <row r="5972">
      <c r="A5972" t="inlineStr">
        <is>
          <t>EAU</t>
        </is>
      </c>
      <c r="B5972">
        <f>HYPERLINK("https://www.dofusbook.net/fr/equipement/4644416-eau/objets", "link")</f>
        <v/>
      </c>
      <c r="C5972" t="n">
        <v>6</v>
      </c>
      <c r="D5972" t="inlineStr">
        <is>
          <t>Baguette Hique; Collier de la Dame du Hasard; Alliance Gloursonne; Anneau Volkorne; Quatre-feuilles; Sangle Ouare; Kidibonnet; Cape de la Dame du Hasard; Bottes de la Dame du Hasard; Dofus Turquoise; Dofus Ivoire; Dofus des Glaces; Dofus Ébène; Dofus Nébuleux; Dofus Abyssal; Pioute bleu</t>
        </is>
      </c>
    </row>
    <row r="5973">
      <c r="A5973" t="inlineStr">
        <is>
          <t>Eau - Ret PM</t>
        </is>
      </c>
      <c r="B5973">
        <f>HYPERLINK("https://www.dofusbook.net/fr/equipement/4633471-eau---ret-pm/objets", "link")</f>
        <v/>
      </c>
      <c r="C5973" t="n">
        <v>3</v>
      </c>
      <c r="D5973" t="inlineStr">
        <is>
          <t>Baguette Hique; Amulette de Shokkoth; Pikano; Alliance Gloursonne; Bouclier cubiste; Ceinture Glaciale; Kidibonnet; Cape de la Dame du Hasard; Bottes de la Dame du Hasard; Entraveur majeur; Ralentisseur majeur; Remueur; Chanceux majeur; Nomade; Temporiseur majeur; Gwo Tofu Ventripotent</t>
        </is>
      </c>
    </row>
    <row r="5974">
      <c r="A5974" t="inlineStr">
        <is>
          <t>AIR - FEU full Dofus</t>
        </is>
      </c>
      <c r="B5974">
        <f>HYPERLINK("https://www.dofusbook.net/fr/equipement/4564452-air---feu-full-dofus/objets", "link")</f>
        <v/>
      </c>
      <c r="C5974" t="n">
        <v>7</v>
      </c>
      <c r="D5974" t="inlineStr">
        <is>
          <t>Arc Honte; Amulette Volkorne; Anneau Volkorne; Alliance Gloursonne; Bouclier du Stalak; Ceinture Volkorne; Masquegel; Cape Martegel; Chaussures Ardentes; Dolmanax; Dofus Abyssal; Dofus Ocre; Dofus Ivoire; Dofus des Glaces; Dofus Ébène; Volkorne Rubis et Turquoise</t>
        </is>
      </c>
    </row>
    <row r="5975">
      <c r="A5975" t="inlineStr">
        <is>
          <t>AIR - FEU Trophées</t>
        </is>
      </c>
      <c r="B5975">
        <f>HYPERLINK("https://www.dofusbook.net/fr/equipement/4593230-air---feu-trophees/objets", "link")</f>
        <v/>
      </c>
      <c r="C5975" t="n">
        <v>5</v>
      </c>
      <c r="D5975" t="inlineStr">
        <is>
          <t>Arc Honte; Pendentif mignon de Koutoulou; Anneau Tique; Alliance Gloursonne; Bouclier du Stalak; Ceinture de Vortex; Masquegel; Cape Martegel; Chaussures Ardentes; Dofus Ocre; Dofus Ivoire; Dofus des Glaces; Dofus Ébène; Dofus Abyssal; Nomade; Volkorne Turquoise</t>
        </is>
      </c>
    </row>
    <row r="5976">
      <c r="A5976" t="inlineStr">
        <is>
          <t>Stuff Feu - RET PA</t>
        </is>
      </c>
      <c r="B5976">
        <f>HYPERLINK("https://www.dofusbook.net/fr/equipement/1468455-stuff-feu---ret-pa/objets", "link")</f>
        <v/>
      </c>
      <c r="C5976" t="n">
        <v>6</v>
      </c>
      <c r="D5976" t="inlineStr">
        <is>
          <t>Arc corrompu; Amulette de Nileza; Anneau de Nidas; Anneau Tique; Cadran de Terre; Ceinture de Vortex; Cagoule de Vortex; Cape de Diondin; Bottes Innommables; Dofus Ocre; Dofus Abyssal; Dofus Ivoire; Érudit majeur; Carapace Feu majeur; Nomade; Ross</t>
        </is>
      </c>
    </row>
    <row r="5977">
      <c r="A5977" t="inlineStr">
        <is>
          <t>EAU - DO CRIT</t>
        </is>
      </c>
      <c r="B5977">
        <f>HYPERLINK("https://www.dofusbook.net/fr/equipement/4577627-eau---do-crit/objets", "link")</f>
        <v/>
      </c>
      <c r="C5977" t="n">
        <v>17</v>
      </c>
      <c r="D5977" t="inlineStr">
        <is>
          <t>Sceptre du Roi Joueur; Collier de la Dame du Hasard; Anneau Volkorne; Bague Trithon; Bouclier du Stalak; Sangle Ouare; Némès de Tal Kasha; Cape de la Dame du Hasard; Bottes de la Dame du Hasard; Dofus Ocre; Dofus Abyssal; Dofus des Glaces; Dofus Ivoire; Dofus Turquoise; Dofus Ébène; Pioute bleu</t>
        </is>
      </c>
    </row>
    <row r="5978">
      <c r="A5978" t="inlineStr">
        <is>
          <t>TANK</t>
        </is>
      </c>
      <c r="B5978">
        <f>HYPERLINK("https://www.dofusbook.net/fr/equipement/4572878-tank/objets", "link")</f>
        <v/>
      </c>
      <c r="C5978" t="n">
        <v>6</v>
      </c>
      <c r="D5978" t="inlineStr">
        <is>
          <t>Arc corrompu; Pendentif mignon de Koutoulou; Anneau Tique; Anneau Rifique; Bouclier du Stalak; Ceinture de Vortex; Casque Dragoeuf; Cape de Diondin; Pataugastrique; Dofus Ivoire; Dofus Ébène; Dofus Abyssal; Carapace Feu majeur; Nomade; Érudit majeur; Bwak de Terre</t>
        </is>
      </c>
    </row>
    <row r="5979">
      <c r="A5979" t="inlineStr">
        <is>
          <t>Terre</t>
        </is>
      </c>
      <c r="B5979">
        <f>HYPERLINK("https://www.dofusbook.net/fr/equipement/3829809-terre/objets", "link")</f>
        <v/>
      </c>
      <c r="C5979" t="n">
        <v>3</v>
      </c>
      <c r="D5979" t="inlineStr">
        <is>
          <t>Arc du Chalœil; Collier de Tourthon; Anneau Volkorne; Chevalière du Roi Joueur; Quatre-feuilles; Ceinture Volkorne; Couronne du Roi Joueur; Cape de Jahash Jurgen; Bottes du Roi Joueur; Dofus des Glaces; Dofus Ivoire; Dofus Nébuleux; Dofus Ébène; Dofus Abyssal; Dofus Ocre; Muldo Orchidée et Pourpre</t>
        </is>
      </c>
    </row>
    <row r="5980">
      <c r="A5980" t="inlineStr">
        <is>
          <t>TERRE FEU AIR</t>
        </is>
      </c>
      <c r="B5980">
        <f>HYPERLINK("https://www.dofusbook.net/fr/equipement/4465783-terre-feu-air/objets", "link")</f>
        <v/>
      </c>
      <c r="C5980" t="n">
        <v>1</v>
      </c>
      <c r="D5980" t="inlineStr">
        <is>
          <t>Arc Honte; Amulette Volkorne; Alliance Gloursonne; Anneau Volkorne; Quatre-feuilles; Ceinture Volkorne; Masquegel; Cape Martegel; Pataugastrique; Dofus Ocre; Dofus Ivoire; Dofus des Glaces; Dofus Ébène; Dolmanax; Dofus Abyssal; Gwo Tofu Ventripotent</t>
        </is>
      </c>
    </row>
    <row r="5981">
      <c r="A5981" t="inlineStr">
        <is>
          <t>FEU</t>
        </is>
      </c>
      <c r="B5981">
        <f>HYPERLINK("https://www.dofusbook.net/fr/equipement/3475345-feu/objets", "link")</f>
        <v/>
      </c>
      <c r="C5981" t="n">
        <v>5</v>
      </c>
      <c r="D5981" t="inlineStr">
        <is>
          <t>Arc corrompu; Amulette de Nileza; Anneau Tamie; Anneau Tamie; Quatre-feuilles; Ceinture de Vortex; Heaume Oplate; Cape de Nileza; Bottes Innommables; Dofus Ocre; Dofus Nébuleux; Dofus des Glaces; Nomade; Érudit majeur; Dévastateur Feu majeur; Bisouglours</t>
        </is>
      </c>
    </row>
    <row r="5982">
      <c r="A5982" t="inlineStr">
        <is>
          <t>TERRE-FEU</t>
        </is>
      </c>
      <c r="B5982">
        <f>HYPERLINK("https://www.dofusbook.net/fr/equipement/4189593-terre-feu/objets", "link")</f>
        <v/>
      </c>
      <c r="C5982" t="n">
        <v>4</v>
      </c>
      <c r="D5982" t="inlineStr">
        <is>
          <t>Arc du Chalœil; Amulette Volkorne; Anneau Volkorne; Chevalière du Roi Joueur; Quatre-feuilles; Ceinture Volkorne; Couronne du Roi Joueur; Voile d'encre; Bottes du Roi Joueur; Dofus Ébène; Dofus Nébuleux; Dofus des Glaces; Dofus Ivoire; Dolmanax; Dofus Ocre; Kougnard</t>
        </is>
      </c>
    </row>
    <row r="5983">
      <c r="A5983" t="inlineStr">
        <is>
          <t>TERRE FEU EAU</t>
        </is>
      </c>
      <c r="B5983">
        <f>HYPERLINK("https://www.dofusbook.net/fr/equipement/4414425-terre-feu-eau/objets", "link")</f>
        <v/>
      </c>
      <c r="C5983" t="n">
        <v>4</v>
      </c>
      <c r="D5983" t="inlineStr">
        <is>
          <t>Crocobur; Amulette Volkorne; Anneau Volkorne; Chevalière du Roi Joueur; Bouclier d'Anerice; Ceinture Volkorne; Couronne du Roi Joueur; Cape d'Anerice; Bottes du Roi Joueur; Dofus Ocre; Dofus Ivoire; Dofus des Glaces; Dofus Ébène; Dolmanax; Dofus Abyssal; Kougnard</t>
        </is>
      </c>
    </row>
    <row r="5984">
      <c r="A5984" t="inlineStr">
        <is>
          <t>FEU EAU</t>
        </is>
      </c>
      <c r="B5984">
        <f>HYPERLINK("https://www.dofusbook.net/fr/equipement/4414610-feu-eau/objets", "link")</f>
        <v/>
      </c>
      <c r="C5984" t="n">
        <v>4</v>
      </c>
      <c r="D5984" t="inlineStr">
        <is>
          <t>Arc Nécrotique; Collier de la Dame du Hasard; Anneau Volkorne; Bague Trithon; Quatre-feuilles; Ceinture de l'Esprit Malsain; Masque de l'Esprit Malsain; Cape de la Dame du Hasard; Bottes de la Dame du Hasard; Dofus Ocre; Dofus Abyssal; Dofus des Glaces; Dofus Ivoire; Dofus Turquoise; Dofus Ébène; Muldo Prune et Emeraude</t>
        </is>
      </c>
    </row>
    <row r="5985">
      <c r="A5985" t="inlineStr">
        <is>
          <t>AIR</t>
        </is>
      </c>
      <c r="B5985">
        <f>HYPERLINK("https://www.dofusbook.net/fr/equipement/4260873-air/objets", "link")</f>
        <v/>
      </c>
      <c r="C5985" t="n">
        <v>5</v>
      </c>
      <c r="D5985" t="inlineStr">
        <is>
          <t>Crocobur; Collier du Valet Veinard; Anneau Volkorne; Gant du Valet Veinard; Quatre-feuilles; Menoture; Casque Volkorne; Cape Indescriptible; Palmes Trithons; Dofus Ocre; Dofus Ivoire; Dofus Turquoise; Dofus des Glaces; Dofus Ébène; Dofus Abyssal; Blérodoudou</t>
        </is>
      </c>
    </row>
    <row r="5986">
      <c r="A5986" t="inlineStr">
        <is>
          <t>Stuff Nordes</t>
        </is>
      </c>
      <c r="B5986">
        <f>HYPERLINK("https://www.dofusbook.net/fr/equipement/4380207-stuff-nordes/objets", "link")</f>
        <v/>
      </c>
      <c r="C5986" t="n">
        <v>3</v>
      </c>
      <c r="D5986" t="inlineStr">
        <is>
          <t>Crocobur; Collier Rophante; Gant du Valet Veinard; Alliance Gloursonne; Bouclier à hélice; Menoture; Dorabysses; Cape Indescriptible; Pantoufles Émar; Dofus Émeraude; Dofus Abyssal; Dokoko; Dofus Ivoire; Miraculé majeur; Cascadeur majeur; Kramkram</t>
        </is>
      </c>
    </row>
    <row r="5987">
      <c r="A5987" t="inlineStr">
        <is>
          <t>Do pou</t>
        </is>
      </c>
      <c r="B5987">
        <f>HYPERLINK("https://www.dofusbook.net/fr/equipement/4360609-do-pou/objets", "link")</f>
        <v/>
      </c>
      <c r="C5987" t="n">
        <v>8</v>
      </c>
      <c r="D5987" t="inlineStr">
        <is>
          <t>Arc du Chalœil; Torquistik; Bague Trithon; Bague Instable; Bouclier précieux; L'Élémenture; Casque Dragoeuf; Cape Solution; Bottistik; Dofus Abyssal; Dofus Émeraude; Dofus Ivoire; Dofus Ocre; Culbuteur majeur; Bousculeur majeur; Balafreux</t>
        </is>
      </c>
    </row>
    <row r="5988">
      <c r="A5988" t="inlineStr">
        <is>
          <t>TERRE FEU</t>
        </is>
      </c>
      <c r="B5988">
        <f>HYPERLINK("https://www.dofusbook.net/fr/equipement/4353458-terre-feu/objets", "link")</f>
        <v/>
      </c>
      <c r="C5988" t="n">
        <v>7</v>
      </c>
      <c r="D5988" t="inlineStr">
        <is>
          <t>Arc du Chalœil; Amulette Volkorne; Chevalière du Roi Joueur; Anneau Volkorne; Quatre-feuilles; Ceinture Volkorne; Couronne du Roi Joueur; Voile d'encre; Bottes du Roi Joueur; Dofus Turquoise; Dofus Abyssal; Dofus Ocre; Dofus Ivoire; Dofus des Glaces; Dofus Ébène; Fëanor</t>
        </is>
      </c>
    </row>
    <row r="5989">
      <c r="A5989" t="inlineStr">
        <is>
          <t>DWS Sadida</t>
        </is>
      </c>
      <c r="B5989">
        <f>HYPERLINK("https://www.dofusbook.net/fr/equipement/4344106-dws-sadida/objets", "link")</f>
        <v/>
      </c>
      <c r="C5989" t="n">
        <v>6</v>
      </c>
      <c r="D5989" t="inlineStr">
        <is>
          <t>Dagues Érhy; Amulette de l'Œil Putride; Bague Gloursonne; Alliance Gloursonne; Bouclier du Stalak; Ceinture de l'Esprit Salvateur; Masque de l'Esprit Salvateur; Cape de l'Œil Putride; Bottes de l'Esprit Salvateur; Dofus Ocre; Dofus Ivoire; Dofus des Glaces; Dofus Ébène; Dofus Pourpre; Dofus Abyssal; Muldo Ebène</t>
        </is>
      </c>
    </row>
    <row r="5990">
      <c r="A5990" t="inlineStr">
        <is>
          <t>Ecaflip M 200</t>
        </is>
      </c>
      <c r="B5990">
        <f>HYPERLINK("https://www.dofusbook.net/fr/equipement/3858462-ecaflip-m-200/objets", "link")</f>
        <v/>
      </c>
      <c r="C5990" t="n">
        <v>3</v>
      </c>
      <c r="D5990" t="inlineStr">
        <is>
          <t>Arc Nécrotique; Collier de la Dame du Hasard; Alliance Gloursonne; Bracelet du Piloztère; Bouclier du Stalak; Sangle Ouare; Capuche de l'Œil Attentif; Cape de la Dame du Hasard; Bottes de la Dame du Hasard; Dofus Nébuleux; Dofus Abyssal; Dofus Pourpre; Dofus Ocre; Dofus Turquoise; Dofus des Glaces; Pioute bleu</t>
        </is>
      </c>
    </row>
    <row r="5991">
      <c r="A5991" t="inlineStr">
        <is>
          <t>EAU FEU</t>
        </is>
      </c>
      <c r="B5991">
        <f>HYPERLINK("https://www.dofusbook.net/fr/equipement/4297918-eau-feu/objets", "link")</f>
        <v/>
      </c>
      <c r="C5991" t="n">
        <v>1</v>
      </c>
      <c r="D5991" t="inlineStr"/>
    </row>
    <row r="5992">
      <c r="A5992" t="inlineStr">
        <is>
          <t>Féca M 200</t>
        </is>
      </c>
      <c r="B5992">
        <f>HYPERLINK("https://www.dofusbook.net/fr/equipement/4288880-feca-m-200/objets", "link")</f>
        <v/>
      </c>
      <c r="C5992" t="n">
        <v>2</v>
      </c>
      <c r="D5992" t="inlineStr">
        <is>
          <t>Sceptre du Roi Joueur; Amulette de Shokkoth; Anneau Volkorne; Alliance Gloursonne; Bouclier du Stalak; Sangle Ouare; Kidibonnet; Cape du Sinistrofu; Sandales des Fonds marins; Dofus Ocre; Dofus Ivoire; Dofus des Glaces; Dofus Abyssal; Chanceux majeur; Dévastateur Eau majeur; Kanigloups</t>
        </is>
      </c>
    </row>
    <row r="5993">
      <c r="A5993" t="inlineStr">
        <is>
          <t>Féca M 200</t>
        </is>
      </c>
      <c r="B5993">
        <f>HYPERLINK("https://www.dofusbook.net/fr/equipement/4260887-feca-m-200/objets", "link")</f>
        <v/>
      </c>
      <c r="C5993" t="n">
        <v>1</v>
      </c>
      <c r="D5993" t="inlineStr">
        <is>
          <t>Pyraguette; Amulette de l'Œil Putride; Anneau Tique; Lavanneau; Ceintrigue; Masque Paztek; Cape de Meno; Sandales Paztek</t>
        </is>
      </c>
    </row>
    <row r="5994">
      <c r="A5994" t="inlineStr">
        <is>
          <t>full eau</t>
        </is>
      </c>
      <c r="B5994">
        <f>HYPERLINK("https://www.dofusbook.net/fr/equipement/2499717-full-eau/objets", "link")</f>
        <v/>
      </c>
      <c r="C5994" t="n">
        <v>3</v>
      </c>
      <c r="D5994" t="inlineStr">
        <is>
          <t>Baguette Héroclite; Amulette de l'Œil Attentif; Alliance Gloursonne; Bracelet des Fonds marins; Bouclier du Stalak; Poulpagne; Masque des Fonds marins; Cape Solution; Bottes du Nocturlabe; Dofus Pourpre; Dofus des Glaces; Dofus Abyssal; Dévastateur Eau majeur; Chanceux majeur; Carapace Air majeur; Muldo Indigo</t>
        </is>
      </c>
    </row>
    <row r="5995">
      <c r="A5995" t="inlineStr">
        <is>
          <t>Féca M 200</t>
        </is>
      </c>
      <c r="B5995">
        <f>HYPERLINK("https://www.dofusbook.net/fr/equipement/3966360-feca-m-200/objets", "link")</f>
        <v/>
      </c>
      <c r="C5995" t="n">
        <v>1</v>
      </c>
      <c r="D5995" t="inlineStr">
        <is>
          <t>Baguette Héroclite; Amulette de Shokkoth; Bracelet des Fonds marins; Anneau Volkorne; Bouclier du Stalak; Pagne du Rykaon; Capuche de l'Œil Attentif; Cape Solution; Sandales des Fonds marins; Dofus Pourpre; Dofus Ocre; Dofus Abyssal; Vigoureux majeur; Chanceux majeur; Kanigloups</t>
        </is>
      </c>
    </row>
    <row r="5996">
      <c r="A5996" t="inlineStr">
        <is>
          <t>BEST TERRE FEU</t>
        </is>
      </c>
      <c r="B5996">
        <f>HYPERLINK("https://www.dofusbook.net/fr/equipement/3479655-best-terre-feu/objets", "link")</f>
        <v/>
      </c>
      <c r="C5996" t="n">
        <v>5</v>
      </c>
      <c r="D5996" t="inlineStr">
        <is>
          <t>Bêche Asse; Amulette Volkorne; Chevalière du Roi Joueur; Anneau Volkorne; Quatre-feuilles; Ceinture Volkorne; Couronne du Roi Joueur; Voile d'encre; Bottes du Roi Joueur; Dokoko; Dofus Ivoire; Dolmanax; Dofus Ocre; Dofus Nébuleux; Dofus Abyssal; Fëanor</t>
        </is>
      </c>
    </row>
    <row r="5997">
      <c r="A5997" t="inlineStr">
        <is>
          <t>EAU</t>
        </is>
      </c>
      <c r="B5997">
        <f>HYPERLINK("https://www.dofusbook.net/fr/equipement/4223091-eau/objets", "link")</f>
        <v/>
      </c>
      <c r="C5997" t="n">
        <v>2</v>
      </c>
      <c r="D5997" t="inlineStr">
        <is>
          <t>Baguette Hique; Collier de la Dame du Hasard; Anneau Volkorne; Bracelet des Fonds marins; Quatre-feuilles; Sangle Ouare; Capuche de l'Œil Attentif; Cape de la Dame du Hasard; Bottes de la Dame du Hasard; Dofus Ocre; Dofus des Glaces; Dofus Nébuleux; Dofus Abyssal; Dofus Turquoise; Dofus Ivoire; Pioute bleu</t>
        </is>
      </c>
    </row>
    <row r="5998">
      <c r="A5998" t="inlineStr">
        <is>
          <t>Terre PVP</t>
        </is>
      </c>
      <c r="B5998">
        <f>HYPERLINK("https://www.dofusbook.net/fr/equipement/4222212-terre-pvp/objets", "link")</f>
        <v/>
      </c>
      <c r="C5998" t="n">
        <v>8</v>
      </c>
      <c r="D5998" t="inlineStr">
        <is>
          <t>Marteau R'ture; Amulette du Cœur Saignant; Bracelet du Piloztère; Anneau Volkorne; Bouclier du Captain Amakna; Ceinture Volkorne; Masque de Koutoulou; Cape au Logis; Bottes du Cœur Saignant; Dofus Ocre; Dofus Abyssal; Dofus des Glaces; Dofus Ivoire; Dokoko; Dofus Nébuleux; Bulbisou</t>
        </is>
      </c>
    </row>
    <row r="5999">
      <c r="A5999" t="inlineStr">
        <is>
          <t>TERRE INI</t>
        </is>
      </c>
      <c r="B5999">
        <f>HYPERLINK("https://www.dofusbook.net/fr/equipement/4187677-terre-ini/objets", "link")</f>
        <v/>
      </c>
      <c r="C5999" t="n">
        <v>3</v>
      </c>
      <c r="D5999" t="inlineStr">
        <is>
          <t>Arc du Chalœil; Collier de Tourthon; Anneau Crustique; Anneau Crustique; Quatre-feuilles; Ceinture de la Cour Sombre; Masque de Koutoulou; Cape au Logis; Bottes de la Cour Sombre</t>
        </is>
      </c>
    </row>
    <row r="6000">
      <c r="A6000" t="inlineStr">
        <is>
          <t>Sram F SKIN RDV</t>
        </is>
      </c>
      <c r="B6000">
        <f>HYPERLINK("https://www.dofusbook.net/fr/equipement/4067142-sram-f-skin-rdv/objets", "link")</f>
        <v/>
      </c>
      <c r="C6000" t="n">
        <v>1</v>
      </c>
      <c r="D6000" t="inlineStr">
        <is>
          <t>Bouclier Brâkmarien; Coiffe de la Reine des Voleurs; Cape de Julith; Godron Brâkmarien</t>
        </is>
      </c>
    </row>
    <row r="6001">
      <c r="A6001" t="inlineStr">
        <is>
          <t>Stuff PVM</t>
        </is>
      </c>
      <c r="B6001">
        <f>HYPERLINK("https://www.dofusbook.net/fr/equipement/4138558-stuff-pvm/objets", "link")</f>
        <v/>
      </c>
      <c r="C6001" t="n">
        <v>2</v>
      </c>
      <c r="D6001" t="inlineStr">
        <is>
          <t>Hache du Chalœil; Amulette Volkorne; Chevalière du Roi Joueur; Anneau Volkorne; Quatre-feuilles; Ceinture Volkorne; Couronne du Roi Joueur; Voile d'encre; Bottes du Roi Joueur; Dofus Turquoise; Dofus Abyssal; Dolmanax; Dofus Ocre; Dofus Nébuleux; Dofus des Glaces; Cromeugnon</t>
        </is>
      </c>
    </row>
    <row r="6002">
      <c r="A6002" t="inlineStr">
        <is>
          <t>Stuff PVM</t>
        </is>
      </c>
      <c r="B6002">
        <f>HYPERLINK("https://www.dofusbook.net/fr/equipement/4138545-stuff-pvm/objets", "link")</f>
        <v/>
      </c>
      <c r="C6002" t="n">
        <v>2</v>
      </c>
      <c r="D6002" t="inlineStr">
        <is>
          <t>Dagoulinantes; Amulette de Shokkoth; Alliance Gloursonne; Bracelet du Piloztère; Quatre-feuilles; Poulpagne; Kidibonnet; Cape Solution; Getas Bernacle; Dofus Abyssal; Taquin majeur; Chanceux majeur; Nomade; Dévastateur Eau majeur; Kanigloups</t>
        </is>
      </c>
    </row>
    <row r="6003">
      <c r="A6003" t="inlineStr">
        <is>
          <t>Stuff Retrait PM</t>
        </is>
      </c>
      <c r="B6003">
        <f>HYPERLINK("https://www.dofusbook.net/fr/equipement/769171-stuff-retrait-pm/objets", "link")</f>
        <v/>
      </c>
      <c r="C6003" t="n">
        <v>7</v>
      </c>
      <c r="D6003" t="inlineStr">
        <is>
          <t>Marteau R'ture; Amulette du Glourséleste; Pikano; Anneau Tamie; Bouclier cubiste; Ceinture Instable; Casquipik; Cape de Meno; Pantoufles Émar; Temporiseur; Ralentisseur majeur; Remueur; Entraveur majeur; Entraveur; Temporiseur majeur; Blokus</t>
        </is>
      </c>
    </row>
    <row r="6004">
      <c r="A6004" t="inlineStr">
        <is>
          <t>EAU</t>
        </is>
      </c>
      <c r="B6004">
        <f>HYPERLINK("https://www.dofusbook.net/fr/equipement/4003383-eau/objets", "link")</f>
        <v/>
      </c>
      <c r="C6004" t="n">
        <v>4</v>
      </c>
      <c r="D6004" t="inlineStr">
        <is>
          <t>Dagoulinantes; Amulette de Shokkoth; Anneau Volkorne; Alliance Gloursonne; Quatre-feuilles; Sangle Ouare; Capuche de l'Œil Attentif; Cape Solution; Sandales des Fonds marins; Dofus des Glaces; Dofus Ivoire; Dofus Turquoise; Dofus Nébuleux; Dofus Ocre; Dofus Abyssal; Kanigloups</t>
        </is>
      </c>
    </row>
    <row r="6005">
      <c r="A6005" t="inlineStr">
        <is>
          <t>FEU EAU</t>
        </is>
      </c>
      <c r="B6005">
        <f>HYPERLINK("https://www.dofusbook.net/fr/equipement/3991462-feu-eau/objets", "link")</f>
        <v/>
      </c>
      <c r="C6005" t="n">
        <v>1</v>
      </c>
      <c r="D6005" t="inlineStr">
        <is>
          <t>Arc Nécrotique; Amulette Volkorne; Lavanneau; Anneau Volkorne; Quatre-feuilles; Ceintacé; Masque de l'Esprit Malsain; Cape de la Dame du Hasard; Bottes de la Dame du Hasard; Dofus Ocre; Dofus Abyssal; Dofus des Glaces; Dofus Ivoire; Dofus Turquoise; Dofus Nébuleux; Walk</t>
        </is>
      </c>
    </row>
    <row r="6006">
      <c r="A6006" t="inlineStr">
        <is>
          <t>TERRE EAU</t>
        </is>
      </c>
      <c r="B6006">
        <f>HYPERLINK("https://www.dofusbook.net/fr/equipement/3991440-terre-eau/objets", "link")</f>
        <v/>
      </c>
      <c r="C6006" t="n">
        <v>4</v>
      </c>
      <c r="D6006" t="inlineStr">
        <is>
          <t>Baguette des égarés; Amulette du Strigide; Anneau Volkorne; Bracelet des Fonds marins; Bouclier du Captain Amakna; Ceinture Volkorne; Casque en Grithril; Cape au Logis; Bottes Honyme; Dofus des Glaces; Dofus Ivoire; Dofus Turquoise; Dofus Nébuleux; Dofus Ocre; Dofus Abyssal; Bébé Pandawa</t>
        </is>
      </c>
    </row>
    <row r="6007">
      <c r="A6007" t="inlineStr">
        <is>
          <t>EAU - AIR</t>
        </is>
      </c>
      <c r="B6007">
        <f>HYPERLINK("https://www.dofusbook.net/fr/equipement/3991402-eau---air/objets", "link")</f>
        <v/>
      </c>
      <c r="C6007" t="n">
        <v>1</v>
      </c>
      <c r="D6007" t="inlineStr">
        <is>
          <t>Arc de Koutoulou; Amulette Volkorne; Alliance Gloursonne; Anneau Volkorne; Quatre-feuilles; Ceintacé; Casque Volkorne; Chevelure de Tal Kasha; Sandales de Tal Kasha; Dofus Ocre; Dofus Abyssal; Dofus des Glaces; Dofus Ivoire; Dofus Turquoise; Dofus Nébuleux; Kokulte</t>
        </is>
      </c>
    </row>
    <row r="6008">
      <c r="A6008" t="inlineStr">
        <is>
          <t>FEU RET</t>
        </is>
      </c>
      <c r="B6008">
        <f>HYPERLINK("https://www.dofusbook.net/fr/equipement/3979673-feu-ret-/objets", "link")</f>
        <v/>
      </c>
      <c r="C6008" t="n">
        <v>2</v>
      </c>
      <c r="D6008" t="inlineStr">
        <is>
          <t>Arc Hétype; Amulette de Nileza; Anneau Tamie; Anneau Tamie; Quatre-feuilles; Ceinture de Vortex; Heaume Oplate; Cape de Nileza; Bottes Innommables; Dofus Ocre; Dofus Nébuleux; Dofus des Glaces; Nomade; Érudit majeur; Dévastateur Feu majeur; Koalak Sanguin</t>
        </is>
      </c>
    </row>
    <row r="6009">
      <c r="A6009" t="inlineStr">
        <is>
          <t>EAU</t>
        </is>
      </c>
      <c r="B6009">
        <f>HYPERLINK("https://www.dofusbook.net/fr/equipement/3971859-eau/objets", "link")</f>
        <v/>
      </c>
      <c r="C6009" t="n">
        <v>3</v>
      </c>
      <c r="D6009" t="inlineStr">
        <is>
          <t>Baguette Hique; Amulette de Shokkoth; Bracelet du Piloztère; Alliance Gloursonne; Bouclier du Stalak; Sangle Ouare; Capuche de l'Œil Attentif; Cape de l'Œil Attentif; Sandales des Fonds marins; Dofus Turquoise; Dofus des Glaces; Dofus Nébuleux; Dofus Abyssal; Dofus Pourpre; Dofus Ocre; Pioute bleu</t>
        </is>
      </c>
    </row>
    <row r="6010">
      <c r="A6010" t="inlineStr">
        <is>
          <t>full soin</t>
        </is>
      </c>
      <c r="B6010">
        <f>HYPERLINK("https://www.dofusbook.net/fr/equipement/3965993-full-soin/objets", "link")</f>
        <v/>
      </c>
      <c r="C6010" t="n">
        <v>3</v>
      </c>
      <c r="D6010" t="inlineStr">
        <is>
          <t>Le Thanos; Pendentif affamé; Anneau Rifique; Baguistik; Bouclier du Cycloïde; Ceinture de Vortex; Masque Ardent; Cape de Diondin; Chaussures Ardentes; Dofus Ivoire; Dofus Abyssal; Dofus Ocre; Érudit majeur; Guérisseur majeur; Nomade; Meuch</t>
        </is>
      </c>
    </row>
    <row r="6011">
      <c r="A6011" t="inlineStr">
        <is>
          <t>Féca M 200</t>
        </is>
      </c>
      <c r="B6011">
        <f>HYPERLINK("https://www.dofusbook.net/fr/equipement/3966018-feca-m-200/objets", "link")</f>
        <v/>
      </c>
      <c r="C6011" t="n">
        <v>1</v>
      </c>
      <c r="D6011" t="inlineStr">
        <is>
          <t>Sceptre du Roi Joueur; Amulette de l'Œil Attentif; Bracelet du Piloztère; Anneau Volkorne; Cadran d'Air; Ceinture de la Reine des Voleurs; Masque des Fonds marins; Cape Solution; Bottes de la Reine des Voleurs; Dofus Abyssal; Dofus Ocre; Dofus Ivoire; Dofus des Glaces; Chanceux majeur; Kanigloups</t>
        </is>
      </c>
    </row>
    <row r="6012">
      <c r="A6012" t="inlineStr">
        <is>
          <t>TEST</t>
        </is>
      </c>
      <c r="B6012">
        <f>HYPERLINK("https://www.dofusbook.net/fr/equipement/3955076-test/objets", "link")</f>
        <v/>
      </c>
      <c r="C6012" t="n">
        <v>4</v>
      </c>
      <c r="D6012" t="inlineStr">
        <is>
          <t>Baguette des égarés; Amulette Luminescente; Anneau Volkorne; Anneau en Grithril; Ceinture Volkorne; Casque en Grithril; Cape Luminescente; Bottes Honyme; Dofus Nébuleux; Dofus Abyssal; Dofus Ocre; Dofus Ivoire; Dofus Pourpre; Dofus des Glaces</t>
        </is>
      </c>
    </row>
    <row r="6013">
      <c r="A6013" t="inlineStr">
        <is>
          <t>Crâ F 200</t>
        </is>
      </c>
      <c r="B6013">
        <f>HYPERLINK("https://www.dofusbook.net/fr/equipement/3950239-cra-f-200/objets", "link")</f>
        <v/>
      </c>
      <c r="C6013" t="n">
        <v>1</v>
      </c>
      <c r="D6013" t="inlineStr">
        <is>
          <t>Baguette Hique; Amulette de Shokkoth; Alliance Gloursonne; Anneau Volkorne; Bouclier cubiste; Sangle Ouare; Capuche de l'Œil Attentif; Cape Solution; Pataugastrique; Dofus Ocre; Dofus Nébuleux; Dofus des Glaces; Dofus Abyssal; Dévastateur Eau majeur; Chanceux majeur; Kanigloups</t>
        </is>
      </c>
    </row>
    <row r="6014">
      <c r="A6014" t="inlineStr">
        <is>
          <t>Xélor F 200</t>
        </is>
      </c>
      <c r="B6014">
        <f>HYPERLINK("https://www.dofusbook.net/fr/equipement/3932345-xelor-f-200/objets", "link")</f>
        <v/>
      </c>
      <c r="C6014" t="n">
        <v>5</v>
      </c>
      <c r="D6014" t="inlineStr">
        <is>
          <t>Arc du Chalœil; Amulette du Strigide; Anneau Crustique; Anneau Chevelu; Cadran de Terre; Ceinture du Strigide; Masque de Koutoulou; Cape au Logis; Bottes du Cœur Saignant; Dofus Ocre; Dofus Turquoise; Dofus Abyssal; Dofus des Glaces; Dofus Ivoire; Enragé majeur; Dragodinde Prune et Pourpre</t>
        </is>
      </c>
    </row>
    <row r="6015">
      <c r="A6015" t="inlineStr">
        <is>
          <t>TERRE Do Crit</t>
        </is>
      </c>
      <c r="B6015">
        <f>HYPERLINK("https://www.dofusbook.net/fr/equipement/3909261-terre-do-crit/objets", "link")</f>
        <v/>
      </c>
      <c r="C6015" t="n">
        <v>5</v>
      </c>
      <c r="D6015" t="inlineStr">
        <is>
          <t>Arc du Chalœil; Amulette du Cœur Saignant; Anneau Volkorne; Anneau Chevelu; Bouclier du Captain Amakna; Ceinture Volkorne; Masque de Koutoulou; Cape du Cœur Saignant; Bottes du Cœur Saignant; Dofus Nébuleux; Dofus des Glaces; Dofus Turquoise; Dofus Abyssal; Dofus Ocre; Dofus Ivoire; Pioute vert</t>
        </is>
      </c>
    </row>
    <row r="6016">
      <c r="A6016" t="inlineStr">
        <is>
          <t>Féca M 200</t>
        </is>
      </c>
      <c r="B6016">
        <f>HYPERLINK("https://www.dofusbook.net/fr/equipement/3919862-feca-m-200/objets", "link")</f>
        <v/>
      </c>
      <c r="C6016" t="n">
        <v>2</v>
      </c>
      <c r="D6016" t="inlineStr">
        <is>
          <t>Arc Honte; Amulette Volkorne; Alliance Gloursonne; Anneau Volkorne; Ceinture de l'Esprit Salvateur; Casque Volkorne; Voile d'encre; Bottes de l'Esprit Salvateur; Dofus Pourpre; Dofus Abyssal; Dofus Ocre; Dofus Ivoire; Dofus des Glaces</t>
        </is>
      </c>
    </row>
    <row r="6017">
      <c r="A6017" t="inlineStr">
        <is>
          <t>TERRE</t>
        </is>
      </c>
      <c r="B6017">
        <f>HYPERLINK("https://www.dofusbook.net/fr/equipement/3878453-terre/objets", "link")</f>
        <v/>
      </c>
      <c r="C6017" t="n">
        <v>4</v>
      </c>
      <c r="D6017" t="inlineStr">
        <is>
          <t>Arc du Chalœil; Amulette du Strigide; Bague Gloursonne; Bague Trithon; Quatre-feuilles; Ceinture de Brouce; Masque de Koutoulou; Cape au Logis; Bottes du Strigide; Dofus Turquoise; Dofus Nébuleux; Dofus Ocre; Dofus des Glaces; Enragé majeur; Dévastateur Terre majeur; Pioute vert</t>
        </is>
      </c>
    </row>
    <row r="6018">
      <c r="A6018" t="inlineStr">
        <is>
          <t>EAU RET PA</t>
        </is>
      </c>
      <c r="B6018">
        <f>HYPERLINK("https://www.dofusbook.net/fr/equipement/3893987-eau-ret-pa/objets", "link")</f>
        <v/>
      </c>
      <c r="C6018" t="n">
        <v>8</v>
      </c>
      <c r="D6018" t="inlineStr">
        <is>
          <t>Sceptre du Roi Joueur; Amulette de Shokkoth; Alliance Gloursonne; Bracelet des Fonds marins; Cadran de Terre; Sangle Ouare; Némès de Tal Kasha; Chevelure de Tal Kasha; Sandales de Tal Kasha; Dofus Abyssal; Dofus Ivoire; Dofus Turquoise; Dofus Ocre; Dofus des Glaces; Paralyseur majeur; Koalak Sanguin</t>
        </is>
      </c>
    </row>
    <row r="6019">
      <c r="A6019" t="inlineStr">
        <is>
          <t>Stuff Air/Eau/retPA</t>
        </is>
      </c>
      <c r="B6019">
        <f>HYPERLINK("https://www.dofusbook.net/fr/equipement/1528322-stuff-air-eau-retpa/objets", "link")</f>
        <v/>
      </c>
      <c r="C6019" t="n">
        <v>9</v>
      </c>
      <c r="D6019" t="inlineStr">
        <is>
          <t>Dagoulinantes; Amibou; Bracelet des Fonds marins; Alliance Gloursonne; Sept ans de malheur; Menoture; Némès de Tal Kasha; Chevelure de Tal Kasha; Palmes Trithons; Dofus Ocre; Carapace Eau majeur; Miraculé majeur; Carapace Air majeur; Étourdisseur majeur; Muldo Ebène et Ivoire</t>
        </is>
      </c>
    </row>
    <row r="6020">
      <c r="A6020" t="inlineStr">
        <is>
          <t>TERRE LOW COST</t>
        </is>
      </c>
      <c r="B6020">
        <f>HYPERLINK("https://www.dofusbook.net/fr/equipement/3883493-terre-low-cost/objets", "link")</f>
        <v/>
      </c>
      <c r="C6020" t="n">
        <v>1</v>
      </c>
      <c r="D6020" t="inlineStr">
        <is>
          <t>Arc du Chalœil; Amulette du Cœur Saignant; Anneau de Brouce; Anneau Crustique; Quatre-feuilles; Ceinture Gence; Coiffe du Comte Harebourg; Cape au Logis; Bottes du Cœur Saignant; Dofus Ocre; Dofus Nébuleux; Dofus des Glaces; Dofus Turquoise; Enragé majeur; Forcené majeur; Pioute vert</t>
        </is>
      </c>
    </row>
    <row r="6021">
      <c r="A6021" t="inlineStr">
        <is>
          <t>Huppermage F 200</t>
        </is>
      </c>
      <c r="B6021">
        <f>HYPERLINK("https://www.dofusbook.net/fr/equipement/3874886-huppermage-f-200/objets", "link")</f>
        <v/>
      </c>
      <c r="C6021" t="n">
        <v>6</v>
      </c>
      <c r="D6021" t="inlineStr">
        <is>
          <t>Lav'Hache; Torquistik; Bague Instable; Bague Trithon; Bouclier Taverne; Ceinture Gence; Masque Trithon; Cape des Malveilleurs; Bottes du Cœur Vaillant; Dofus Ocre; Dofus Ivoire; Dofus Abyssal; Pousseur majeur; Bousculeur majeur; Culbuteur majeur; Balafreux</t>
        </is>
      </c>
    </row>
    <row r="6022">
      <c r="A6022" t="inlineStr">
        <is>
          <t>Sadida F 200</t>
        </is>
      </c>
      <c r="B6022">
        <f>HYPERLINK("https://www.dofusbook.net/fr/equipement/3851225-sadida-f-200/objets", "link")</f>
        <v/>
      </c>
      <c r="C6022" t="n">
        <v>1</v>
      </c>
      <c r="D6022" t="inlineStr">
        <is>
          <t>Arc Hétype; Amulette Volcanique; Anneauræus; Anneauræus; Bouclier cubiste; Ceinture de Vortex; Heaume Oplate; Cape de l'Œil Putride; Sabots Volcaniques; Dofus Ivoire; Dofus Ocre; Dofus Abyssal; Érudit majeur; Nomade; Temporiseur majeur; Gwo Tofu Ventripotent</t>
        </is>
      </c>
    </row>
    <row r="6023">
      <c r="A6023" t="inlineStr">
        <is>
          <t>Stuff Air</t>
        </is>
      </c>
      <c r="B6023">
        <f>HYPERLINK("https://www.dofusbook.net/fr/equipement/230203-stuff-air/objets", "link")</f>
        <v/>
      </c>
      <c r="C6023" t="n">
        <v>4</v>
      </c>
      <c r="D6023" t="inlineStr">
        <is>
          <t>Hachoirs de Viandargh; Collier du Valet Veinard; Gant du Valet Veinard; Alliance Gloursonne; Bouclier du Captain Amakna; Menoture; Dorabysses; Cape Indescriptible; Palmes Trithons; Dofus Émeraude; Dofus Ivoire; Dofus Abyssal; Dofus Ocre; Nomade; Cascadeur majeur; Blérodoudou</t>
        </is>
      </c>
    </row>
    <row r="6024">
      <c r="A6024" t="inlineStr">
        <is>
          <t>stuff full eau</t>
        </is>
      </c>
      <c r="B6024">
        <f>HYPERLINK("https://www.dofusbook.net/fr/equipement/2019390-stuff-full-eau/objets", "link")</f>
        <v/>
      </c>
      <c r="C6024" t="n">
        <v>3</v>
      </c>
      <c r="D6024" t="inlineStr">
        <is>
          <t>Dagoulinantes; Amulette de Shokkoth; Alliance Gloursonne; Bracelet des Fonds marins; Quatre-feuilles; Sangle Ouare; Capuche de l'Œil Attentif; Cape Solution; Sandales des Fonds marins; Dofus Abyssal; Dofus Ocre; Dofus Ivoire; Dofus des Glaces; Dévastateur Eau majeur; Chanceux majeur; Kanigloups</t>
        </is>
      </c>
    </row>
    <row r="6025">
      <c r="A6025" t="inlineStr">
        <is>
          <t>Stuff Terre</t>
        </is>
      </c>
      <c r="B6025">
        <f>HYPERLINK("https://www.dofusbook.net/fr/equipement/1299264-stuff-terre/objets", "link")</f>
        <v/>
      </c>
      <c r="C6025" t="n">
        <v>9</v>
      </c>
      <c r="D6025" t="inlineStr">
        <is>
          <t>Arc du Chalœil; Amulette du Strigide; Bracelet du Piloztère; Anneau Chevelu; Quatre-feuilles; Ceinture du Strigide; Masque de Koutoulou; Cape au Logis; Bottes du Cœur Saignant; Dofus Abyssal; Dofus Pourpre; Dofus Nébuleux; Dofus Turquoise; Dofus Ocre; Enragé majeur; Pioute vert</t>
        </is>
      </c>
    </row>
    <row r="6026">
      <c r="A6026" t="inlineStr">
        <is>
          <t>TEST</t>
        </is>
      </c>
      <c r="B6026">
        <f>HYPERLINK("https://www.dofusbook.net/fr/equipement/3870450-test/objets", "link")</f>
        <v/>
      </c>
      <c r="C6026" t="n">
        <v>1</v>
      </c>
      <c r="D6026" t="inlineStr">
        <is>
          <t>Hache du Chalœil; Amulette du Strigide; Bracelet du Piloztère; Bague Trithon; Quatre-feuilles; Ceinture du Strigide; Masque Trithon; Cape au Logis; Bottes Trithon; Dolmanax; Dofus Ivoire; Dofus Turquoise; Dofus Nébuleux; Dofus Ocre; Dofus Abyssal; Kokulte</t>
        </is>
      </c>
    </row>
    <row r="6027">
      <c r="A6027" t="inlineStr">
        <is>
          <t>DO CRIT</t>
        </is>
      </c>
      <c r="B6027">
        <f>HYPERLINK("https://www.dofusbook.net/fr/equipement/3841684-do-crit/objets", "link")</f>
        <v/>
      </c>
      <c r="C6027" t="n">
        <v>4</v>
      </c>
      <c r="D6027" t="inlineStr">
        <is>
          <t>Hache Téroïde; Amulette du Strigide; Anneau de Padgref; Bague Trithon; Quatre-feuilles; Ceinture du Strigide; Masque Trithon; Chevelure de Tal Kasha; Bottes Trithon; Dofus Ivoire; Dofus Turquoise; Dofus Ocre; Dofus Nébuleux; Dolmanax; Voyageur; Kokulte</t>
        </is>
      </c>
    </row>
    <row r="6028">
      <c r="A6028" t="inlineStr">
        <is>
          <t>TEST</t>
        </is>
      </c>
      <c r="B6028">
        <f>HYPERLINK("https://www.dofusbook.net/fr/equipement/3864455-test/objets", "link")</f>
        <v/>
      </c>
      <c r="C6028" t="n">
        <v>3</v>
      </c>
      <c r="D6028" t="inlineStr">
        <is>
          <t>Manthache; Collier du Valet Veinard; Alliance Gloursonne; Gant du Valet Veinard; Quatre-feuilles; Menoture; Chapibou; Cape Indescriptible; Palmes Trithons; Dofus Ocre; Dofus des Glaces; Dofus Ivoire; Dofus Abyssal; Nomade; Dévastateur Air majeur; Blérodoudou</t>
        </is>
      </c>
    </row>
    <row r="6029">
      <c r="A6029" t="inlineStr">
        <is>
          <t>Eau - Ret PA</t>
        </is>
      </c>
      <c r="B6029">
        <f>HYPERLINK("https://www.dofusbook.net/fr/equipement/3385442-eau---ret-pa/objets", "link")</f>
        <v/>
      </c>
      <c r="C6029" t="n">
        <v>2</v>
      </c>
      <c r="D6029" t="inlineStr">
        <is>
          <t>Sceptre du Roi Joueur; Amulette de Shokkoth; Alliance Gloursonne; Anneau Tique; Cadran de Terre; Poulpagne; Némès de Tal Kasha; Chevelure de Tal Kasha; Pataugastrique; Dofus Abyssal; Dofus Ivoire; Étourdisseur majeur; Chanceux majeur; Miraculé majeur; Nomade; Dragodinde Indigo et Ivoire</t>
        </is>
      </c>
    </row>
    <row r="6030">
      <c r="A6030" t="inlineStr">
        <is>
          <t>Do crit</t>
        </is>
      </c>
      <c r="B6030">
        <f>HYPERLINK("https://www.dofusbook.net/fr/equipement/3844279-do-crit/objets", "link")</f>
        <v/>
      </c>
      <c r="C6030" t="n">
        <v>1</v>
      </c>
      <c r="D6030" t="inlineStr">
        <is>
          <t>Hache Téroïde; Amulette du Strigide; Bague Trithon; Anneau de Padgref; Ceinture du Strigide; Masque d'Anerice; Chevelure de Tal Kasha; Bottes du Roi Joueur</t>
        </is>
      </c>
    </row>
    <row r="6031">
      <c r="A6031" t="inlineStr">
        <is>
          <t>Féca M 200</t>
        </is>
      </c>
      <c r="B6031">
        <f>HYPERLINK("https://www.dofusbook.net/fr/equipement/3843489-feca-m-200/objets", "link")</f>
        <v/>
      </c>
      <c r="C6031" t="n">
        <v>1</v>
      </c>
      <c r="D6031" t="inlineStr">
        <is>
          <t>Baguette Héroclite; Amulette de Shokkoth; Alliance Gloursonne; Bracelet des Fonds marins; Bouclier du Stalak; Sangle Ouare; Casque d'Ilyzaelle; Cape Solution; Sandales des Fonds marins; Dofus Abyssal; Dofus Pourpre; Dofus Ivoire; Dofus des Glaces; Chanceux majeur; Dévastateur Eau majeur; Kanigloups</t>
        </is>
      </c>
    </row>
    <row r="6032">
      <c r="A6032" t="inlineStr">
        <is>
          <t>Féca M 200</t>
        </is>
      </c>
      <c r="B6032">
        <f>HYPERLINK("https://www.dofusbook.net/fr/equipement/3843440-feca-m-200/objets", "link")</f>
        <v/>
      </c>
      <c r="C6032" t="n">
        <v>2</v>
      </c>
      <c r="D6032" t="inlineStr">
        <is>
          <t>Lav'Hache; Amulette du Cœur Vaillant; Anneau Crustique; Anneau Crustique; Sept ans de malheur; Ceintouse; Masque de Koutoulou; Cape au Logis; Tentassons; Dofus Ivoire; Dofus Pourpre; Dofus Ocre; Dofus des Glaces; Dofus Abyssal; Carapace Terre majeur; Drakopin</t>
        </is>
      </c>
    </row>
    <row r="6033">
      <c r="A6033" t="inlineStr">
        <is>
          <t>Stuff Dom crit</t>
        </is>
      </c>
      <c r="B6033">
        <f>HYPERLINK("https://www.dofusbook.net/fr/equipement/1376332-stuff-dom-crit/objets", "link")</f>
        <v/>
      </c>
      <c r="C6033" t="n">
        <v>4</v>
      </c>
      <c r="D6033" t="inlineStr">
        <is>
          <t>Hache Téroïde; Amulette du Strigide; Bague Trithon; Bague Gloursonne; Bouclier du Captain Amakna; Ceinture de Gein; Masque Trithon; Cape au Logis; Bottes Trithon; Dofus Ocre; Dofus Abyssal; Dofus des Glaces; Dofus Nébuleux; Dofus Turquoise; Dofus Pourpre; Kokulte</t>
        </is>
      </c>
    </row>
    <row r="6034">
      <c r="A6034" t="inlineStr">
        <is>
          <t>Stuff Do Crit</t>
        </is>
      </c>
      <c r="B6034">
        <f>HYPERLINK("https://www.dofusbook.net/fr/equipement/1399133-stuff-do-crit/objets", "link")</f>
        <v/>
      </c>
      <c r="C6034" t="n">
        <v>2</v>
      </c>
      <c r="D6034" t="inlineStr">
        <is>
          <t>Hache du Chalœil; Amulette du Strigide; Alliance Gloursonne; Anneau de Padgref; Quatre-feuilles; Ceinture du Strigide; Coiffe de Padgref; Cape au Logis; Getas de Padgref; Dofus Turquoise; Dokoko; Dofus Ocre; Dofus Abyssal; Dolmanax; Dofus Nébuleux; Chacha Angora</t>
        </is>
      </c>
    </row>
    <row r="6035">
      <c r="A6035" t="inlineStr">
        <is>
          <t>DO POU</t>
        </is>
      </c>
      <c r="B6035">
        <f>HYPERLINK("https://www.dofusbook.net/fr/equipement/3813989-do-pou/objets", "link")</f>
        <v/>
      </c>
      <c r="C6035" t="n">
        <v>3</v>
      </c>
      <c r="D6035" t="inlineStr">
        <is>
          <t>Lav'Hache; Torquistik; Bague Instable; Bague Trithon; Bouclier précieux; Ceinture Gence; Casque Dragoeuf; Cape Solution; Bottistik; Dofus Ivoire; Pousseur majeur; Bousculeur; Bousculeur majeur; Culbuteur; Culbuteur majeur; Balafreux</t>
        </is>
      </c>
    </row>
    <row r="6036">
      <c r="A6036" t="inlineStr">
        <is>
          <t>Stuff Multi Chaloeil</t>
        </is>
      </c>
      <c r="B6036">
        <f>HYPERLINK("https://www.dofusbook.net/fr/equipement/230187-stuff-multi-chaloeil/objets", "link")</f>
        <v/>
      </c>
      <c r="C6036" t="n">
        <v>9</v>
      </c>
      <c r="D6036" t="inlineStr">
        <is>
          <t>Hache du Chalœil; Amulette du Strigide; Anneau de Padgref; Alliance Gloursonne; Quatre-feuilles; Ceintacé; Coiffe de Padgref; Cape au Logis; Getas de Padgref; Dofus Pourpre; Dofus des Glaces; Dofus Nébuleux; Dofus Turquoise; Dofus Ivoire; Dolmanax; Kokulte</t>
        </is>
      </c>
    </row>
    <row r="6037">
      <c r="A6037" t="inlineStr">
        <is>
          <t>full air</t>
        </is>
      </c>
      <c r="B6037">
        <f>HYPERLINK("https://www.dofusbook.net/fr/equipement/2896363-full-air/objets", "link")</f>
        <v/>
      </c>
      <c r="C6037" t="n">
        <v>2</v>
      </c>
      <c r="D6037" t="inlineStr">
        <is>
          <t>Manthache; Collier du Valet Veinard; Alliance Gloursonne; Gant du Valet Veinard; Bouclier cubiste; Menoture; Couronne d'Allister; Cape du Kamasterisk; Palmes Trithons; Dofus Ivoire; Dofus des Glaces; Dofus Ocre; Dofus Abyssal; Cascadeur majeur; Nomade; Blérodoudou</t>
        </is>
      </c>
    </row>
    <row r="6038">
      <c r="A6038" t="inlineStr">
        <is>
          <t>EAU</t>
        </is>
      </c>
      <c r="B6038">
        <f>HYPERLINK("https://www.dofusbook.net/fr/equipement/3444912-eau/objets", "link")</f>
        <v/>
      </c>
      <c r="C6038" t="n">
        <v>3</v>
      </c>
      <c r="D6038" t="inlineStr">
        <is>
          <t>Sceptre du Roi Joueur; Amulette de Shokkoth; Alliance Gloursonne; Bracelet des Fonds marins; Quatre-feuilles; Sangle Ouare; Kidibonnet; Cape Solution; Sandales des Fonds marins; Dofus Abyssal; Dofus des Glaces; Dofus Ivoire; Dévastateur Eau majeur; Chanceux majeur; Fonceur majeur; Kanigloups</t>
        </is>
      </c>
    </row>
    <row r="6039">
      <c r="A6039" t="inlineStr">
        <is>
          <t>Full FEU</t>
        </is>
      </c>
      <c r="B6039">
        <f>HYPERLINK("https://www.dofusbook.net/fr/equipement/3475423-full-feu/objets", "link")</f>
        <v/>
      </c>
      <c r="C6039" t="n">
        <v>3</v>
      </c>
      <c r="D6039" t="inlineStr">
        <is>
          <t>Arc corrompu; Amulette Séculaire; Anneau Tamie; Anneau Tamie; Bouclier du Stalak; Ceinture Séculaire; Heaume Oplate; Cape de Diondin; Bottes Innommables; Dofus Nébuleux; Dofus Pourpre; Dofus des Glaces; Érudit majeur; Nomade; Dévastateur Feu majeur; Bisouglours</t>
        </is>
      </c>
    </row>
    <row r="6040">
      <c r="A6040" t="inlineStr">
        <is>
          <t>Stuff AIR</t>
        </is>
      </c>
      <c r="B6040">
        <f>HYPERLINK("https://www.dofusbook.net/fr/equipement/3022202-stuff-air/objets", "link")</f>
        <v/>
      </c>
      <c r="C6040" t="n">
        <v>3</v>
      </c>
      <c r="D6040" t="inlineStr">
        <is>
          <t>Manthache; Collier du Valet Veinard; Alliance Gloursonne; Gant du Valet Veinard; Cadran d'Air; Menoture; Dorabysses; Cape Indescriptible; Palmes Trithons; Dokoko; Dofus des Glaces; Dofus Ocre; Dofus Abyssal; Dévastateur Air majeur; Nomade; Blérodoudou</t>
        </is>
      </c>
    </row>
    <row r="6041">
      <c r="A6041" t="inlineStr">
        <is>
          <t>Ecaflip M 200</t>
        </is>
      </c>
      <c r="B6041">
        <f>HYPERLINK("https://www.dofusbook.net/fr/equipement/3786334-ecaflip-m-200/objets", "link")</f>
        <v/>
      </c>
      <c r="C6041" t="n">
        <v>1</v>
      </c>
      <c r="D6041" t="inlineStr">
        <is>
          <t>Hache du Chalœil; Amulette du Strigide; Quatre-feuilles; Ceinture du Strigide; Némès de Tal Kasha; Chevelure de Tal Kasha</t>
        </is>
      </c>
    </row>
    <row r="6042">
      <c r="A6042" t="inlineStr">
        <is>
          <t>EAU</t>
        </is>
      </c>
      <c r="B6042">
        <f>HYPERLINK("https://www.dofusbook.net/fr/equipement/3770503-eau/objets", "link")</f>
        <v/>
      </c>
      <c r="C6042" t="n">
        <v>3</v>
      </c>
      <c r="D6042" t="inlineStr">
        <is>
          <t>Sceptre du Roi Joueur; Amulette de Shokkoth; Alliance Gloursonne; Bracelet des Fonds marins; Quatre-feuilles; Poulpagne; Némès de Tal Kasha; Chevelure de Tal Kasha; Pataugastrique; Dofus Abyssal; Dofus des Glaces; Dofus Nébuleux; Dévastateur Eau majeur; Nomade; Chanceux majeur; Kanigloups</t>
        </is>
      </c>
    </row>
    <row r="6043">
      <c r="A6043" t="inlineStr">
        <is>
          <t>Stuff Terre 2.48</t>
        </is>
      </c>
      <c r="B6043">
        <f>HYPERLINK("https://www.dofusbook.net/fr/equipement/2080025-stuff-terre-2-48/objets", "link")</f>
        <v/>
      </c>
      <c r="C6043" t="n">
        <v>3</v>
      </c>
      <c r="D6043" t="inlineStr">
        <is>
          <t>Arc du Chalœil; Amulette de Gein; Anneau de Brouce; Anneau Chevelu; Quatre-feuilles; Ceinture Gence; Chapeau de Gein; Cape au Logis; Bottes du Cœur Saignant; Dofus des Glaces; Dofus Nébuleux; Dofus Turquoise; Dofus Ocre; Enragé majeur; Dévastateur Terre majeur; Bulbisou</t>
        </is>
      </c>
    </row>
    <row r="6044">
      <c r="A6044" t="inlineStr">
        <is>
          <t>DO POU</t>
        </is>
      </c>
      <c r="B6044">
        <f>HYPERLINK("https://www.dofusbook.net/fr/equipement/3445540-do-pou/objets", "link")</f>
        <v/>
      </c>
      <c r="C6044" t="n">
        <v>3</v>
      </c>
      <c r="D6044" t="inlineStr">
        <is>
          <t>Lav'Hache; Torquistik; Bague Instable; Bague Trithon; Bouclier précieux; Ceinture Gence; Casque Dragoeuf; Cape Solution; Bottistik; Dofus Ivoire; Bousculeur; Bousculeur majeur; Culbuteur; Culbuteur majeur; Pousseur majeur; Balafreux</t>
        </is>
      </c>
    </row>
    <row r="6045">
      <c r="A6045" t="inlineStr">
        <is>
          <t>Stuff Terre - Feu</t>
        </is>
      </c>
      <c r="B6045">
        <f>HYPERLINK("https://www.dofusbook.net/fr/equipement/230196-stuff-terre---feu/objets", "link")</f>
        <v/>
      </c>
      <c r="C6045" t="n">
        <v>3</v>
      </c>
      <c r="D6045" t="inlineStr">
        <is>
          <t>Dagues Érhy; Amulette du Strigide; Baguistik; Chevalière du Roi Joueur; Bouclier du Captain Amakna; Ceintacé; Couronne du Roi Joueur; Voile d'encre; Bottes du Cycloïde; Dofus Abyssal; Dofus Pourpre; Dofus des Glaces; Carapace Terre majeur; Remueur; Miraculé majeur; Muldo Orchidée et Pourpre</t>
        </is>
      </c>
    </row>
    <row r="6046">
      <c r="A6046" t="inlineStr">
        <is>
          <t>Stuff TERRE FEU</t>
        </is>
      </c>
      <c r="B6046">
        <f>HYPERLINK("https://www.dofusbook.net/fr/equipement/2081264-stuff-terre-feu/objets", "link")</f>
        <v/>
      </c>
      <c r="C6046" t="n">
        <v>4</v>
      </c>
      <c r="D6046" t="inlineStr">
        <is>
          <t>Arc à Lamelles; Amulette Volcanique; Chevalière du Roi Joueur; Bague Gloursonne; Ceintacé; Chapeau de Gein; Voile d'encre; Sabots Volcaniques; Dolmanax; Dofus Nébuleux; Dofus Ocre; Dofus Abyssal; Dofus des Glaces; Dofus Ivoire; Dragodinde Orchidée et Pourpre</t>
        </is>
      </c>
    </row>
    <row r="6047">
      <c r="A6047" t="inlineStr">
        <is>
          <t>Stuff Air PvP</t>
        </is>
      </c>
      <c r="B6047">
        <f>HYPERLINK("https://www.dofusbook.net/fr/equipement/230183-stuff-air-pvp/objets", "link")</f>
        <v/>
      </c>
      <c r="C6047" t="n">
        <v>2</v>
      </c>
      <c r="D6047" t="inlineStr">
        <is>
          <t>Manthache; Collier du Valet Veinard; Alliance Gloursonne; Gant du Valet Veinard; Quatre-feuilles; Menoture; Chapibou; Cape Indescriptible; Palmes Trithons; Dofus Turquoise; Dofus Abyssal; Dofus Nébuleux; Dofus Ivoire; Dofus Pourpre; Remueur; Muldo Ebène</t>
        </is>
      </c>
    </row>
    <row r="6048">
      <c r="A6048" t="inlineStr">
        <is>
          <t>Stuff Eau</t>
        </is>
      </c>
      <c r="B6048">
        <f>HYPERLINK("https://www.dofusbook.net/fr/equipement/967624-stuff-eau/objets", "link")</f>
        <v/>
      </c>
      <c r="C6048" t="n">
        <v>2</v>
      </c>
      <c r="D6048" t="inlineStr">
        <is>
          <t>Dagoulinantes; Amulette de Shokkoth; Bracelet des Fonds marins; Alliance Gloursonne; Bouclier du Captain Amakna; Sangle Ouare; Kidibonnet; Cape Solution; Sandales des Fonds marins; Dofus Turquoise; Dofus Abyssal; Dofus Nébuleux; Nomade; Dévastateur Eau majeur; Chanceux majeur; Dragodinde Emeraude et Indigo</t>
        </is>
      </c>
    </row>
    <row r="6049">
      <c r="A6049" t="inlineStr">
        <is>
          <t>TERRE 2</t>
        </is>
      </c>
      <c r="B6049">
        <f>HYPERLINK("https://www.dofusbook.net/fr/equipement/3711778-terre-2/objets", "link")</f>
        <v/>
      </c>
      <c r="C6049" t="n">
        <v>3</v>
      </c>
      <c r="D6049" t="inlineStr">
        <is>
          <t>Arc du Chalœil; Collier de Tourthon; Bracelet du Piloztère; Anneau Chevelu; Quatre-feuilles; Ceinture de la Reine des Voleurs; Coiffe de la Reine des Voleurs; Cape au Logis; Bottes Honyme; Dofus des Glaces; Dofus Nébuleux; Dofus Ocre; Enragé majeur; Dévastateur Terre majeur; Forcené majeur; Dragodinde Emeraude et Pourpre</t>
        </is>
      </c>
    </row>
    <row r="6050">
      <c r="A6050" t="inlineStr">
        <is>
          <t>Stuff TERRE</t>
        </is>
      </c>
      <c r="B6050">
        <f>HYPERLINK("https://www.dofusbook.net/fr/equipement/3710908-stuff-terre/objets", "link")</f>
        <v/>
      </c>
      <c r="C6050" t="n">
        <v>3</v>
      </c>
      <c r="D6050" t="inlineStr">
        <is>
          <t>Arc du Chalœil; Collier de Tourthon; Anneau de Brouce; Anneau Chevelu; Quatre-feuilles; Ceintacé; Coiffe de la Reine des Voleurs; Cape au Logis; Bottes du Roi Joueur; Dofus Ocre; Dofus des Glaces; Dofus Nébuleux; Forcené majeur; Enragé majeur; Dévastateur Terre majeur; Dragodinde Emeraude et Pourpre</t>
        </is>
      </c>
    </row>
    <row r="6051">
      <c r="A6051" t="inlineStr">
        <is>
          <t>TERRE EAU</t>
        </is>
      </c>
      <c r="B6051">
        <f>HYPERLINK("https://www.dofusbook.net/fr/equipement/3711789-terre-eau/objets", "link")</f>
        <v/>
      </c>
      <c r="C6051" t="n">
        <v>3</v>
      </c>
      <c r="D6051" t="inlineStr">
        <is>
          <t>Dagues de Srambad; Amulette Luminescente; Bracelet du Piloztère; Anneau en Grithril; Quatre-feuilles; Ceinture en Grithril; Casque en Grithril; Cape au Logis; Bottes Honyme; Dolmanax; Dofus des Glaces; Dofus Pourpre; Dofus Nébuleux; Dofus Turquoise; Dofus Abyssal; Kramkram</t>
        </is>
      </c>
    </row>
    <row r="6052">
      <c r="A6052" t="inlineStr">
        <is>
          <t>MULTI</t>
        </is>
      </c>
      <c r="B6052">
        <f>HYPERLINK("https://www.dofusbook.net/fr/equipement/3439080-multi/objets", "link")</f>
        <v/>
      </c>
      <c r="C6052" t="n">
        <v>10</v>
      </c>
      <c r="D6052" t="inlineStr">
        <is>
          <t>Arc Volkorne; Amulette Volkorne; Bracelet du Piloztère; Anneau Volkorne; Quatre-feuilles; Ceinture Volkorne; Le Dorado; Dofusteuse; Bottes du Cœur Vaillant; Dolmanax; Dofus des Glaces; Dofus Turquoise; Dofus Abyssal; Dofus Nébuleux; Dofus Ocre; Muldo Prune et Emeraude</t>
        </is>
      </c>
    </row>
    <row r="6053">
      <c r="A6053" t="inlineStr">
        <is>
          <t>MULTI</t>
        </is>
      </c>
      <c r="B6053">
        <f>HYPERLINK("https://www.dofusbook.net/fr/equipement/3532486-multi/objets", "link")</f>
        <v/>
      </c>
      <c r="C6053" t="n">
        <v>1</v>
      </c>
      <c r="D6053" t="inlineStr">
        <is>
          <t>Hache du Chalœil; Amulette du Strigide; Alliance Gloursonne; Anneau de Padgref; Quatre-feuilles; Ceinture du Strigide; Coiffe de Padgref; Cape au Logis; Getas de Padgref; Dofus Turquoise; Dofus des Glaces; Dofus Ocre; Dofus Abyssal; Dolmanax; Dofus Nébuleux; Dragodinde Emeraude</t>
        </is>
      </c>
    </row>
    <row r="6054">
      <c r="A6054" t="inlineStr">
        <is>
          <t>Terre LowCost</t>
        </is>
      </c>
      <c r="B6054">
        <f>HYPERLINK("https://www.dofusbook.net/fr/equipement/3479823-terre-lowcost/objets", "link")</f>
        <v/>
      </c>
      <c r="C6054" t="n">
        <v>1</v>
      </c>
      <c r="D6054" t="inlineStr">
        <is>
          <t>Arc du Chalœil; Collier de Tourthon; Bague Gloursonne; Anneau Chevelu; Quatre-feuilles; Ceinture de Brouce; Masque de Koutoulou; Cape au Logis; Bottes de la Cour Sombre; Dofus Ocre; Dofus Turquoise; Dofus des Glaces; Dofus Nébuleux; Dévastateur Terre majeur; Enragé majeur; Kompost</t>
        </is>
      </c>
    </row>
    <row r="6055">
      <c r="A6055" t="inlineStr">
        <is>
          <t>AIR EAU</t>
        </is>
      </c>
      <c r="B6055">
        <f>HYPERLINK("https://www.dofusbook.net/fr/equipement/3469682-air-eau/objets", "link")</f>
        <v/>
      </c>
      <c r="C6055" t="n">
        <v>1</v>
      </c>
      <c r="D6055" t="inlineStr">
        <is>
          <t>Arc de Koutoulou; Amulette Voldelor; Bracelet du Piloztère; Alliance Gloursonne; Cadran d'Air; Menoture; Némès de Tal Kasha; Chevelure de Tal Kasha; Bottes de la Reine des Voleurs; Dofus Pourpre; Dofus Abyssal; Dofus Ocre; Dofus Ivoire; Dofus des Glaces; Nomade; Dragodinde Ebène et Indigo</t>
        </is>
      </c>
    </row>
    <row r="6056">
      <c r="A6056" t="inlineStr">
        <is>
          <t>DO POU TERRE AIR</t>
        </is>
      </c>
      <c r="B6056">
        <f>HYPERLINK("https://www.dofusbook.net/fr/equipement/3453434-do-pou-terre-air/objets", "link")</f>
        <v/>
      </c>
      <c r="C6056" t="n">
        <v>6</v>
      </c>
      <c r="D6056" t="inlineStr">
        <is>
          <t>Lance corrompue; Amulette du Cœur Vaillant; Bague Trithon; Bracelet du Piloztère; Bouclier Taverne; Ceinture Gence; Chapibou; Cape de la Fuji Givrefoux; Bottes Trithon; Dofus Ivoire; Dofus Ocre; Dofus Abyssal; Miraculé majeur; Bousculeur majeur; Culbuteur majeur; Tanuk</t>
        </is>
      </c>
    </row>
    <row r="6057">
      <c r="A6057" t="inlineStr">
        <is>
          <t>Feu test</t>
        </is>
      </c>
      <c r="B6057">
        <f>HYPERLINK("https://www.dofusbook.net/fr/equipement/3427427-feu-test/objets", "link")</f>
        <v/>
      </c>
      <c r="C6057" t="n">
        <v>1</v>
      </c>
      <c r="D6057" t="inlineStr">
        <is>
          <t>Arc Hétype; Amulette Séculaire; Anneau de Nidas; Anneau Tique; Quatre-feuilles; Ceinture de Vortex; Heaume Oplate; Voile d'encre; Bottes Innommables; Dofus Pourpre; Dofus Abyssal; Dofus Ivoire; Miraculé majeur; Érudit majeur; Remueur; Muldo Pourpre</t>
        </is>
      </c>
    </row>
    <row r="6058">
      <c r="A6058" t="inlineStr">
        <is>
          <t>full feu</t>
        </is>
      </c>
      <c r="B6058">
        <f>HYPERLINK("https://www.dofusbook.net/fr/equipement/3413953-full-feu/objets", "link")</f>
        <v/>
      </c>
      <c r="C6058" t="n">
        <v>1</v>
      </c>
      <c r="D6058" t="inlineStr">
        <is>
          <t>Pendentif affamé; Coiffe Séculaire; Bottes Innommables</t>
        </is>
      </c>
    </row>
    <row r="6059">
      <c r="A6059" t="inlineStr">
        <is>
          <t>feca pvp ret pa</t>
        </is>
      </c>
      <c r="B6059">
        <f>HYPERLINK("https://www.dofusbook.net/fr/equipement/3401704-feca-pvp-ret-pa/objets", "link")</f>
        <v/>
      </c>
      <c r="C6059" t="n">
        <v>4</v>
      </c>
      <c r="D6059" t="inlineStr">
        <is>
          <t>Épée Brûlâme; Amulette du Strigide; Anneau Kturne; Bracelet du Piloztère; Bouclier cubiste; Ceinture de l'Esprit Malsain; Casquette de Meno; Cape de la Dame du Hasard; Pataugastrique; Dofus des Glaces; Dofus Abyssal; Dofus Turquoise; Dofus Ivoire; Remueur; Carapace Eau majeur; Muldo Orchidée</t>
        </is>
      </c>
    </row>
    <row r="6060">
      <c r="A6060" t="inlineStr">
        <is>
          <t>Féca M 200</t>
        </is>
      </c>
      <c r="B6060">
        <f>HYPERLINK("https://www.dofusbook.net/fr/equipement/3401734-feca-m-200/objets", "link")</f>
        <v/>
      </c>
      <c r="C6060" t="n">
        <v>5</v>
      </c>
      <c r="D6060" t="inlineStr">
        <is>
          <t>Lav'Hache; Amulette du Cœur Vaillant; Anneau Crustique; Anneau Crustique; Sept ans de malheur; Ceintouse; Chapoulpe; Voile d'encre; Baleinabottes; Dofus Abyssal; Dofus Pourpre; Dofus Ivoire; Dofus des Glaces; Carapace Terre majeur; Remueur; Muldo Ebène et Pourpre</t>
        </is>
      </c>
    </row>
    <row r="6061">
      <c r="A6061" t="inlineStr">
        <is>
          <t>TEST</t>
        </is>
      </c>
      <c r="B6061">
        <f>HYPERLINK("https://www.dofusbook.net/fr/equipement/2895834-test/objets", "link")</f>
        <v/>
      </c>
      <c r="C6061" t="n">
        <v>3</v>
      </c>
      <c r="D6061" t="inlineStr">
        <is>
          <t>Lance Horselé; Collier du Valet Veinard; Gant du Valet Veinard; Alliance Gloursonne; Quatre-feuilles; Menoture; Couronne d'Allister; Cape du Kamasterisk; Palmes Trithons; Dofus Ivoire; Dofus Ocre; Dofus Abyssal; Miraculé majeur; Évasif majeur; Cascadeur majeur; Muldo Indigo et Orchidée</t>
        </is>
      </c>
    </row>
    <row r="6062">
      <c r="A6062" t="inlineStr">
        <is>
          <t>Hupper multi</t>
        </is>
      </c>
      <c r="B6062">
        <f>HYPERLINK("https://www.dofusbook.net/fr/equipement/3281289-hupper-multi/objets", "link")</f>
        <v/>
      </c>
      <c r="C6062" t="n">
        <v>6</v>
      </c>
      <c r="D6062" t="inlineStr">
        <is>
          <t>Lance corrompue; Amulette du Cœur Vaillant; Chevalière du Roi Joueur; Bracelet du Piloztère; Bouclier précieux; Ceinture Gence; Masque de l'Esprit Malsain; Cape Solution; Bottes du Cœur Vaillant; Dofus Ivoire; Dofus Abyssal; Nomade; Remueur; Bousculeur majeur; Culbuteur majeur; Muldo Indigo et Pourpre</t>
        </is>
      </c>
    </row>
    <row r="6063">
      <c r="A6063" t="inlineStr">
        <is>
          <t>Huppermage M 200</t>
        </is>
      </c>
      <c r="B6063">
        <f>HYPERLINK("https://www.dofusbook.net/fr/equipement/3341659-huppermage-m-200/objets", "link")</f>
        <v/>
      </c>
      <c r="C6063" t="n">
        <v>2</v>
      </c>
      <c r="D6063" t="inlineStr">
        <is>
          <t>Arc du Chalœil; Amulette Luminescente; Bracelet du Piloztère; Bague Trithon; Bouclier précieux; Ceinture Luminescente; Masque Trithon; Cape Luminescente; Bottes Trithon</t>
        </is>
      </c>
    </row>
    <row r="6064">
      <c r="A6064" t="inlineStr">
        <is>
          <t>12 / 6</t>
        </is>
      </c>
      <c r="B6064">
        <f>HYPERLINK("https://www.dofusbook.net/fr/equipement/3340272-12---6/objets", "link")</f>
        <v/>
      </c>
      <c r="C6064" t="n">
        <v>2</v>
      </c>
      <c r="D6064" t="inlineStr">
        <is>
          <t>Arc du Chalœil; Amulette Luminescente; Bague Trithon; Bracelet du Piloztère; Bouclier Taverne; Ceinture Luminescente; Masque Trithon; Cape Luminescente; Bottes Trithon; Dofus des Glaces; Dofus Pourpre; Dofus Abyssal; Dofus Ocre; Dofus Ivoire; Bousculeur majeur; Muldo Ebène et Pourpre</t>
        </is>
      </c>
    </row>
    <row r="6065">
      <c r="A6065" t="inlineStr">
        <is>
          <t>Do pou</t>
        </is>
      </c>
      <c r="B6065">
        <f>HYPERLINK("https://www.dofusbook.net/fr/equipement/3348443-do-pou/objets", "link")</f>
        <v/>
      </c>
      <c r="C6065" t="n">
        <v>4</v>
      </c>
      <c r="D6065" t="inlineStr">
        <is>
          <t>Arc du Chalœil; Amulette Luminescente; Bracelet du Piloztère; Bague Trithon; Bouclier Taverne; Ceintacé; Masque de Koutoulou; Cape Luminescente; Bottes du Cœur Vaillant; Dofus Ivoire; Dofus des Glaces; Dofus Abyssal; Culbuteur majeur; Bousculeur majeur; Pousseur majeur; Muldo Ebène et Pourpre</t>
        </is>
      </c>
    </row>
    <row r="6066">
      <c r="A6066" t="inlineStr">
        <is>
          <t>FEU</t>
        </is>
      </c>
      <c r="B6066">
        <f>HYPERLINK("https://www.dofusbook.net/fr/equipement/3351308-feu/objets", "link")</f>
        <v/>
      </c>
      <c r="C6066" t="n">
        <v>2</v>
      </c>
      <c r="D6066" t="inlineStr">
        <is>
          <t>Arc Hétype; Pendentif affamé; Anneauræus; Chevalière du Roi Joueur; Bouclier du Stalak; Ceinture de Vortex; Heaume Oplate; Cape de Diondin; Bottes Innommables; Dofus Abyssal; Dofus Pourpre; Dofus des Glaces; Dévastateur Feu majeur; Nomade; Érudit majeur; Muldo Indigo et Pourpre</t>
        </is>
      </c>
    </row>
    <row r="6067">
      <c r="A6067" t="inlineStr">
        <is>
          <t>Multi</t>
        </is>
      </c>
      <c r="B6067">
        <f>HYPERLINK("https://www.dofusbook.net/fr/equipement/3332916-multi/objets", "link")</f>
        <v/>
      </c>
      <c r="C6067" t="n">
        <v>3</v>
      </c>
      <c r="D6067" t="inlineStr">
        <is>
          <t>Hache du Chalœil; Amulette de l'Indicible; Anneau Toriété; Anneau Tique; Quatre-feuilles; Ceinture de l'Indicible; Le Dorado; Voile d'encre; Bottes de l'Indicible; Dofus Ocre; Dofus des Glaces; Dolmanax; Dofus Abyssal; Dofus Turquoise; Dofus Pourpre; Kramkram</t>
        </is>
      </c>
    </row>
    <row r="6068">
      <c r="A6068" t="inlineStr">
        <is>
          <t>FEU TEST</t>
        </is>
      </c>
      <c r="B6068">
        <f>HYPERLINK("https://www.dofusbook.net/fr/equipement/3369705-feu-test/objets", "link")</f>
        <v/>
      </c>
      <c r="C6068" t="n">
        <v>1</v>
      </c>
      <c r="D6068" t="inlineStr">
        <is>
          <t>Arc Hétype; Amulette Séculaire; Anneau Tique; Anneau de Nidas; Quatre-feuilles; Ceinture de Vortex; Heaume Oplate; Voile d'encre; Bottes Innommables; Dofus Abyssal; Dofus Ivoire; Dofus Pourpre; Érudit majeur; Remueur; Miraculé majeur; Muldo Pourpre</t>
        </is>
      </c>
    </row>
    <row r="6069">
      <c r="A6069" t="inlineStr">
        <is>
          <t>Multi do crit</t>
        </is>
      </c>
      <c r="B6069">
        <f>HYPERLINK("https://www.dofusbook.net/fr/equipement/3358173-multi-do-crit/objets", "link")</f>
        <v/>
      </c>
      <c r="C6069" t="n">
        <v>2</v>
      </c>
      <c r="D6069" t="inlineStr">
        <is>
          <t>Sabres d'Atcham; Amulette du Strigide; Anneau Tique; Anneau de Padgref; Quatre-feuilles; Ceinture du Strigide; Coiffe de Padgref; Cape d'Atcham; Getas de Padgref; Dofus Turquoise; Dofus Nébuleux; Dofus Ocre; Dofus Abyssal; Dolmanax; Dofus des Glaces; Muldo Indigo et Orchidée</t>
        </is>
      </c>
    </row>
    <row r="6070">
      <c r="A6070" t="inlineStr">
        <is>
          <t>TERRE</t>
        </is>
      </c>
      <c r="B6070">
        <f>HYPERLINK("https://www.dofusbook.net/fr/equipement/3372214-terre/objets", "link")</f>
        <v/>
      </c>
      <c r="C6070" t="n">
        <v>6</v>
      </c>
      <c r="D6070" t="inlineStr">
        <is>
          <t>Arc du Chalœil; Collier de Tourthon; Bague Gloursonne; Anneau Chevelu; Quatre-feuilles; Ceinture de Brouce; Masque de Koutoulou; Cape au Logis; Bottes de Brouce; Dofus Pourpre; Miraculé majeur; Forcené majeur; Enragé majeur; Remueur; Vigoureux majeur; Kompost</t>
        </is>
      </c>
    </row>
    <row r="6071">
      <c r="A6071" t="inlineStr">
        <is>
          <t>Eau - Feu</t>
        </is>
      </c>
      <c r="B6071">
        <f>HYPERLINK("https://www.dofusbook.net/fr/equipement/3382230-eau---feu/objets", "link")</f>
        <v/>
      </c>
      <c r="C6071" t="n">
        <v>4</v>
      </c>
      <c r="D6071" t="inlineStr">
        <is>
          <t>Arc Nécrotique; Talisman Igans; Anneau Tique; Lavanneau; Cadran de Terre; Ceintrigue; Kidibonnet; Cape de la Dame du Hasard; Bottes de Meno; Dofus des Glaces; Dofus Abyssal; Dofus Turquoise; Paralyseur majeur; Remueur; Étourdisseur majeur; Muldo Orchidée</t>
        </is>
      </c>
    </row>
    <row r="6072">
      <c r="A6072" t="inlineStr">
        <is>
          <t>Eau - Ret PA</t>
        </is>
      </c>
      <c r="B6072">
        <f>HYPERLINK("https://www.dofusbook.net/fr/equipement/3382134-eau---ret-pa/objets", "link")</f>
        <v/>
      </c>
      <c r="C6072" t="n">
        <v>2</v>
      </c>
      <c r="D6072" t="inlineStr">
        <is>
          <t>Dagoulinantes; Talisman Glouti; Bracelet des Fonds marins; Alliance Gloursonne; Cadran de Terre; Culotte de Bethel; Kidibonnet; Cape Solution; Chaussons de Macrab; Dofus Émeraude; Dofus Abyssal; Étourdisseur majeur; Carapace Eau majeur; Chanceux majeur; Muldo Ebène et Indigo</t>
        </is>
      </c>
    </row>
    <row r="6073">
      <c r="A6073" t="inlineStr">
        <is>
          <t>DOPOU 2.45</t>
        </is>
      </c>
      <c r="B6073">
        <f>HYPERLINK("https://www.dofusbook.net/fr/equipement/2623632-dopou-2-45/objets", "link")</f>
        <v/>
      </c>
      <c r="C6073" t="n">
        <v>1</v>
      </c>
      <c r="D6073" t="inlineStr">
        <is>
          <t>Arc du Chalœil; Amulette Luminescente; Alliance Gloursonne; Bague Trithon; Bouclier précieux; Sangle Ouare; Masque d'Anerice; Cape d'Anerice; Pataugastrique; Pousseur majeur; Culbuteur majeur; Miraculé majeur; Remueur; Bousculeur majeur; Dauge</t>
        </is>
      </c>
    </row>
    <row r="6074">
      <c r="A6074" t="inlineStr">
        <is>
          <t>STUFF FEU</t>
        </is>
      </c>
      <c r="B6074">
        <f>HYPERLINK("https://www.dofusbook.net/fr/equipement/2641754-stuff-feu/objets", "link")</f>
        <v/>
      </c>
      <c r="C6074" t="n">
        <v>1</v>
      </c>
      <c r="D6074" t="inlineStr">
        <is>
          <t>Arc Hétype; Pendentif affamé; Chevalière du Roi Joueur; Anneau Tique; Quatre-feuilles; Ceinture de Vortex; Heaume Oplate; Voile d'encre; Bottes Innommables; Dofus Abyssal; Dofus Ivoire; Dofus Pourpre; Dofus Ocre; Miraculé majeur; Érudit majeur; Muldo Pourpre</t>
        </is>
      </c>
    </row>
    <row r="6075">
      <c r="A6075" t="inlineStr">
        <is>
          <t>Stuff Hache Chaloeil</t>
        </is>
      </c>
      <c r="B6075">
        <f>HYPERLINK("https://www.dofusbook.net/fr/equipement/1483191-stuff-hache-chaloeil/objets", "link")</f>
        <v/>
      </c>
      <c r="C6075" t="n">
        <v>2</v>
      </c>
      <c r="D6075" t="inlineStr">
        <is>
          <t>Hache du Chalœil; Amulette du Strigide; Bracelet du Piloztère; Alliance Gloursonne; Quatre-feuilles; Ceintacé; Le Dorado; Voile d'encre; Bottes du Strigide; Dofus Abyssal; Dofus Pourpre; Dofus des Glaces; Dofus Turquoise; Dofus Ivoire; Nomade; Kramkram</t>
        </is>
      </c>
    </row>
    <row r="6076">
      <c r="A6076" t="inlineStr">
        <is>
          <t>Stuff FEU</t>
        </is>
      </c>
      <c r="B6076">
        <f>HYPERLINK("https://www.dofusbook.net/fr/equipement/3022274-stuff-feu/objets", "link")</f>
        <v/>
      </c>
      <c r="C6076" t="n">
        <v>5</v>
      </c>
      <c r="D6076" t="inlineStr">
        <is>
          <t>Harpelle; Pendentif mignon de Koutoulou; Anneauræus; Anneauræus; Bouclier précieux; Ceinture de Gein; Casque Cyclopéen; Cape de Diondin; Bottes Innommables; Dofus Abyssal; Dofus Émeraude; Miraculé majeur; Nomade; Érudit majeur; Remueur; Dauge</t>
        </is>
      </c>
    </row>
    <row r="6077">
      <c r="A6077" t="inlineStr">
        <is>
          <t>FEU</t>
        </is>
      </c>
      <c r="B6077">
        <f>HYPERLINK("https://www.dofusbook.net/fr/equipement/3048122-feu/objets", "link")</f>
        <v/>
      </c>
      <c r="C6077" t="n">
        <v>1</v>
      </c>
      <c r="D6077" t="inlineStr">
        <is>
          <t>Arc Hétype; Pendentif affamé; Chevalière du Roi Joueur; Anneau Tique; Cadran de Feu; Ceinture Séculaire; Coiffe Séculaire; Cape de Diondin; Bottes Innommables; Dokoko; Dofus Abyssal; Érudit majeur; Miraculé majeur; Dévastateur Feu majeur; Remueur; Muldo Indigo</t>
        </is>
      </c>
    </row>
    <row r="6078">
      <c r="A6078" t="inlineStr">
        <is>
          <t>EAU</t>
        </is>
      </c>
      <c r="B6078">
        <f>HYPERLINK("https://www.dofusbook.net/fr/equipement/2169817-eau/objets", "link")</f>
        <v/>
      </c>
      <c r="C6078" t="n">
        <v>2</v>
      </c>
      <c r="D6078" t="inlineStr">
        <is>
          <t>Sceptre du Roi Joueur; Amulette de l'Œil Attentif; Alliance Gloursonne; Bracelet des Fonds marins; Quatre-feuilles; Poulpagne; Masque des Fonds marins; Cape de Mantaze; Bottes du Sinistrofu; Dofus Ocre; Dofus Pourpre; Dofus Émeraude; Vigoureux majeur; Chanceux majeur; Observateur</t>
        </is>
      </c>
    </row>
    <row r="6079">
      <c r="A6079" t="inlineStr">
        <is>
          <t>FEU EAU</t>
        </is>
      </c>
      <c r="B6079">
        <f>HYPERLINK("https://www.dofusbook.net/fr/equipement/2081338-feu-eau/objets", "link")</f>
        <v/>
      </c>
      <c r="C6079" t="n">
        <v>2</v>
      </c>
      <c r="D6079" t="inlineStr">
        <is>
          <t>Épée Brûlâme; Amulette de l'Œil Putride; Bracelet du Piloztère; Anneau Tique; Bouclier d'Ilyzaelle; Ceinture de l'Esprit Malsain; Masque de l'Esprit Malsain; Cape de l'Œil Putride; Bottes de l'Esprit Malsain; Dokoko; Dofus Ocre; Dofus Émeraude; Dofus Abyssal; Dolmanax; Dofus Ivoire; Muldo Ebène et Orchidée</t>
        </is>
      </c>
    </row>
    <row r="6080">
      <c r="A6080" t="inlineStr">
        <is>
          <t>full eau cher</t>
        </is>
      </c>
      <c r="B6080">
        <f>HYPERLINK("https://www.dofusbook.net/fr/equipement/2995039-full-eau-cher/objets", "link")</f>
        <v/>
      </c>
      <c r="C6080" t="n">
        <v>7</v>
      </c>
      <c r="D6080" t="inlineStr">
        <is>
          <t>Sceptre du Roi Joueur; Amulette de Shokkoth; Bracelet des Fonds marins; Alliance Gloursonne; Bouclier d'Ilyzaelle; Sangle Ouare; Masque des Fonds marins; Cape Solution; Bottes du Nocturlabe; Dofus Abyssal; Dofus Ivoire; Dévastateur Eau majeur; Chanceux majeur; Remueur; Carapace Eau majeur; Muldo Indigo et Orchidée</t>
        </is>
      </c>
    </row>
    <row r="6081">
      <c r="A6081" t="inlineStr">
        <is>
          <t>FULL FEU</t>
        </is>
      </c>
      <c r="B6081">
        <f>HYPERLINK("https://www.dofusbook.net/fr/equipement/2993332-full-feu/objets", "link")</f>
        <v/>
      </c>
      <c r="C6081" t="n">
        <v>4</v>
      </c>
      <c r="D6081" t="inlineStr">
        <is>
          <t>Harpelle; Pendentif affamé; Anneau Tique; Chevalière du Roi Joueur; Bouclier cubiste; Ceinture Séculaire; Coiffe Séculaire; Cape de Diondin; Bottes Innommables; Dofus Ivoire; Dofus Nébuleux; Dofus des Glaces; Dofus Abyssal; Remueur; Carapace Eau majeur; Muldo Orchidée et Pourpre</t>
        </is>
      </c>
    </row>
    <row r="6082">
      <c r="A6082" t="inlineStr">
        <is>
          <t>full feu</t>
        </is>
      </c>
      <c r="B6082">
        <f>HYPERLINK("https://www.dofusbook.net/fr/equipement/2969597-full-feu/objets", "link")</f>
        <v/>
      </c>
      <c r="C6082" t="n">
        <v>4</v>
      </c>
      <c r="D6082" t="inlineStr">
        <is>
          <t>Arc corrompu; Pendentif affamé; Anneau Tique; Kralano; Ceinture de Vortex; Coiffe Séculaire; Cape de Diondin; Bottes Innommables</t>
        </is>
      </c>
    </row>
    <row r="6083">
      <c r="A6083" t="inlineStr">
        <is>
          <t>eau air</t>
        </is>
      </c>
      <c r="B6083">
        <f>HYPERLINK("https://www.dofusbook.net/fr/equipement/2586998-eau-air/objets", "link")</f>
        <v/>
      </c>
      <c r="C6083" t="n">
        <v>3</v>
      </c>
      <c r="D6083" t="inlineStr">
        <is>
          <t>Arc de Koutoulou; Amulette Voldelor; Bague Gloursonne; Alliance Gloursonne; Bouclier du Stalak; Ceinture de la Reine des Voleurs; Coiffe de la Reine des Voleurs; Cape de l'Œil Attentif; Bottes de la Reine des Voleurs; Dofus Pourpre; Dofus Nébuleux; Dofus Ocre; Dofus Abyssal; Dofus des Glaces; Dofus Ivoire; Muldo Ebène</t>
        </is>
      </c>
    </row>
    <row r="6084">
      <c r="A6084" t="inlineStr">
        <is>
          <t>full do</t>
        </is>
      </c>
      <c r="B6084">
        <f>HYPERLINK("https://www.dofusbook.net/fr/equipement/2934443-full-do/objets", "link")</f>
        <v/>
      </c>
      <c r="C6084" t="n">
        <v>4</v>
      </c>
      <c r="D6084" t="inlineStr">
        <is>
          <t>Pyraguette; Amulette de l'Indicible; Alliance Gloursonne; Bague Gloursonne; Bouclier du Stalak; Ceinture de la Reine des Voleurs; Coiffe de la Reine des Voleurs; Cape du Chalœil; Bottes de la Reine des Voleurs; Dofus Pourpre; Dofus Ivoire; Dofus Ocre; Dofus des Glaces; Dolmanax; Dofus Abyssal; Muldo Indigo</t>
        </is>
      </c>
    </row>
    <row r="6085">
      <c r="A6085" t="inlineStr">
        <is>
          <t>multi</t>
        </is>
      </c>
      <c r="B6085">
        <f>HYPERLINK("https://www.dofusbook.net/fr/equipement/2907585-multi/objets", "link")</f>
        <v/>
      </c>
      <c r="C6085" t="n">
        <v>2</v>
      </c>
      <c r="D6085" t="inlineStr">
        <is>
          <t>Dagues de Srambad; Amulette du Strigide; Bague Gloursonne; Alliance Gloursonne; Quatre-feuilles; Ceinture de la Reine des Voleurs; Coiffe de la Reine des Voleurs; Voile d'encre; Baleinabottes; Dofus Pourpre; Dofus des Glaces; Dofus Ivoire; Dofus Ocre; Dofus Abyssal; Robuste majeur; Muldo Roux et Doré</t>
        </is>
      </c>
    </row>
    <row r="6086">
      <c r="A6086" t="inlineStr">
        <is>
          <t>full air</t>
        </is>
      </c>
      <c r="B6086">
        <f>HYPERLINK("https://www.dofusbook.net/fr/equipement/2904715-full-air/objets", "link")</f>
        <v/>
      </c>
      <c r="C6086" t="n">
        <v>2</v>
      </c>
      <c r="D6086" t="inlineStr">
        <is>
          <t>Manthache; Collier du Valet Veinard; Alliance Gloursonne; Gant du Valet Veinard; Cadran d'Air; Menoture; Capuche de Moum-Ra; Cape de Crânonier; Palmes Trithons; Miraculé majeur; Carapace Air majeur; Dévastateur Air majeur; Cascadeur majeur; Remueur; Muldo Ebène et Orchidée</t>
        </is>
      </c>
    </row>
    <row r="6087">
      <c r="A6087" t="inlineStr">
        <is>
          <t>eau terre</t>
        </is>
      </c>
      <c r="B6087">
        <f>HYPERLINK("https://www.dofusbook.net/fr/equipement/2889694-eau-terre/objets", "link")</f>
        <v/>
      </c>
      <c r="C6087" t="n">
        <v>1</v>
      </c>
      <c r="D6087" t="inlineStr">
        <is>
          <t>Amulette Luminescente; Culotte de Bethel; Masque de Funespadon; Cape Luminescente; Chaussons de Macrab</t>
        </is>
      </c>
    </row>
    <row r="6088">
      <c r="A6088" t="inlineStr">
        <is>
          <t>full do cri</t>
        </is>
      </c>
      <c r="B6088">
        <f>HYPERLINK("https://www.dofusbook.net/fr/equipement/2713693-full-do-cri/objets", "link")</f>
        <v/>
      </c>
      <c r="C6088" t="n">
        <v>3</v>
      </c>
      <c r="D6088" t="inlineStr">
        <is>
          <t>Hache du Chalœil; Amulette du Strigide; Bague Trithon; Alliance Gloursonne; Quatre-feuilles; Ceintacé; Masque Trithon; Voile d'encre; Bottes Honyme; Dofus des Glaces; Dolmanax; Dofus Abyssal; Dofus Turquoise; Dofus Pourpre; Carapace Eau majeur; Muldo Orchidée et Pourpre</t>
        </is>
      </c>
    </row>
    <row r="6089">
      <c r="A6089" t="inlineStr">
        <is>
          <t>test2</t>
        </is>
      </c>
      <c r="B6089">
        <f>HYPERLINK("https://www.dofusbook.net/fr/equipement/2713798-test2/objets", "link")</f>
        <v/>
      </c>
      <c r="C6089" t="n">
        <v>5</v>
      </c>
      <c r="D6089" t="inlineStr">
        <is>
          <t>Lance corrompue; Amulette du Cœur Vaillant; Bague Trithon; Alliance Gloursonne; Bouclier précieux; Ceinture Gence; Coiffe de la Reine des Voleurs; Cape du Cœur Vaillant; Tentassons; Dofus Abyssal; Dofus des Glaces; Remueur; Culbuteur majeur; Carapace Terre majeur; Bousculeur majeur; Muldo Ebène</t>
        </is>
      </c>
    </row>
    <row r="6090">
      <c r="A6090" t="inlineStr">
        <is>
          <t>STUFF AIR</t>
        </is>
      </c>
      <c r="B6090">
        <f>HYPERLINK("https://www.dofusbook.net/fr/equipement/2713337-stuff-air/objets", "link")</f>
        <v/>
      </c>
      <c r="C6090" t="n">
        <v>4</v>
      </c>
      <c r="D6090" t="inlineStr">
        <is>
          <t>Hachoirs de Viandargh; Amibou; Bague Trithon; Alliance Gloursonne; Bouclier précieux; Menoture; Masque Trithon; Cape du Cœur Vaillant; Palmes Trithons; Dofus Émeraude; Dofus Abyssal; Carapace Feu majeur; Remueur; Bousculeur majeur; Culbuteur majeur; Muldo Ebène</t>
        </is>
      </c>
    </row>
    <row r="6091">
      <c r="A6091" t="inlineStr">
        <is>
          <t>STUFF TERRE AIR</t>
        </is>
      </c>
      <c r="B6091">
        <f>HYPERLINK("https://www.dofusbook.net/fr/equipement/1509734-stuff-terre-air/objets", "link")</f>
        <v/>
      </c>
      <c r="C6091" t="n">
        <v>5</v>
      </c>
      <c r="D6091" t="inlineStr">
        <is>
          <t>Lance corrompue; Amibou; Bague Trithon; Gant du Valet Veinard; Bouclier précieux; Ceinture Gence; Masque Trithon; Cape du Cœur Vaillant; Tentassons; Dofus Abyssal; Dofus des Glaces; Bousculeur majeur; Carapace Air majeur; Culbuteur majeur; Remueur; Muldo Orchidée et Pourpre</t>
        </is>
      </c>
    </row>
    <row r="6092">
      <c r="A6092" t="inlineStr">
        <is>
          <t>STUFF TERRE</t>
        </is>
      </c>
      <c r="B6092">
        <f>HYPERLINK("https://www.dofusbook.net/fr/equipement/2673764-stuff-terre/objets", "link")</f>
        <v/>
      </c>
      <c r="C6092" t="n">
        <v>1</v>
      </c>
      <c r="D6092" t="inlineStr">
        <is>
          <t>Arc du Chalœil; Collier de Tourthon; Bague Gloursonne; Chevalière du Roi Joueur; Quatre-feuilles; Ceintacé; Chapeau de Gein; Cape du Cœur Saignant; Bottes du Cœur Saignant; Dofus Pourpre; Dofus Ocre; Dofus Abyssal; Dofus des Glaces; Enragé majeur; Carapace Neutre majeur; Muldo Orchidée et Pourpre</t>
        </is>
      </c>
    </row>
    <row r="6093">
      <c r="A6093" t="inlineStr">
        <is>
          <t>actuel</t>
        </is>
      </c>
      <c r="B6093">
        <f>HYPERLINK("https://www.dofusbook.net/fr/equipement/2648093-actuel/objets", "link")</f>
        <v/>
      </c>
      <c r="C6093" t="n">
        <v>4</v>
      </c>
      <c r="D6093" t="inlineStr">
        <is>
          <t>Hache du Chalœil; Amulette du Strigide; Bracelet du Piloztère; Alliance Gloursonne; Quatre-feuilles; Ceintacé; Le Dorado; Sandales  d'Atcham; Dofus Pourpre; Dofus des Glaces; Remueur; Nomade; Vigoureux majeur; Muldo Emeraude</t>
        </is>
      </c>
    </row>
    <row r="6094">
      <c r="A6094" t="inlineStr">
        <is>
          <t>test</t>
        </is>
      </c>
      <c r="B6094">
        <f>HYPERLINK("https://www.dofusbook.net/fr/equipement/2600725-test/objets", "link")</f>
        <v/>
      </c>
      <c r="C6094" t="n">
        <v>3</v>
      </c>
      <c r="D6094" t="inlineStr">
        <is>
          <t>Hache du Chalœil; Torquistik; Alliance Gloursonne; Bracelet du Piloztère; Quatre-feuilles; Ceintacé; Masque Trithon; Voile d'encre; Bottistik; Dofus des Glaces; Dofus Pourpre; Sanguinaire majeur; Vigoureux majeur; Remueur; Muldo Pourpre</t>
        </is>
      </c>
    </row>
    <row r="6095">
      <c r="A6095" t="inlineStr">
        <is>
          <t>full eau cher</t>
        </is>
      </c>
      <c r="B6095">
        <f>HYPERLINK("https://www.dofusbook.net/fr/equipement/2647604-full-eau-cher/objets", "link")</f>
        <v/>
      </c>
      <c r="C6095" t="n">
        <v>3</v>
      </c>
      <c r="D6095" t="inlineStr">
        <is>
          <t>Dagoulinantes; Amulette de Shokkoth; Bracelet des Fonds marins; Alliance Gloursonne; Bouclier du Stalak; Sangle Ouare; Capuche de l'Œil Attentif; Cape Solution; Sandales des Fonds marins; Dofus Nébuleux; Dofus Turquoise; Dofus des Glaces; Chanceux majeur; Remueur; Carapace Eau majeur; Muldo Ebène et Indigo</t>
        </is>
      </c>
    </row>
    <row r="6096">
      <c r="A6096" t="inlineStr">
        <is>
          <t>STUFF 2.45 EAU PVM</t>
        </is>
      </c>
      <c r="B6096">
        <f>HYPERLINK("https://www.dofusbook.net/fr/equipement/2641734-stuff-2-45-eau-pvm/objets", "link")</f>
        <v/>
      </c>
      <c r="C6096" t="n">
        <v>1</v>
      </c>
      <c r="D6096" t="inlineStr">
        <is>
          <t>Dagoulinantes; Amulette de l'Œil Attentif; Alliance Gloursonne; Bracelet des Fonds marins; Quatre-feuilles; Poulpagne; Capuche de l'Œil Attentif; Cape de Mantaze; Pantoufles du Piloztère; Dofus Ocre; Dofus Nébuleux; Dofus Ivoire; Dofus Pourpre; Muldo Ebène et Indigo</t>
        </is>
      </c>
    </row>
    <row r="6097">
      <c r="A6097" t="inlineStr">
        <is>
          <t>STUFF 2.45 EAU DOPOU</t>
        </is>
      </c>
      <c r="B6097">
        <f>HYPERLINK("https://www.dofusbook.net/fr/equipement/2575990-stuff-2-45-eau-dopou/objets", "link")</f>
        <v/>
      </c>
      <c r="C6097" t="n">
        <v>2</v>
      </c>
      <c r="D6097" t="inlineStr">
        <is>
          <t>Dagoulinantes; Amulette de l'Œil Attentif; Bague Trithon; Alliance Gloursonne; Bouclier d'Ilyzaelle; Ceinture Luminescente; Capuche de l'Œil Putride; Cape Solution; Bottes Trithon; Dofus Émeraude; Miraculé majeur; Carapace Air majeur; Bousculeur majeur; Remueur; Culbuteur majeur; Dragodinde Prune et Emeraude</t>
        </is>
      </c>
    </row>
    <row r="6098">
      <c r="A6098" t="inlineStr">
        <is>
          <t>full air</t>
        </is>
      </c>
      <c r="B6098">
        <f>HYPERLINK("https://www.dofusbook.net/fr/equipement/2615169-full-air/objets", "link")</f>
        <v/>
      </c>
      <c r="C6098" t="n">
        <v>1</v>
      </c>
      <c r="D6098" t="inlineStr">
        <is>
          <t>Manthache; Collier du Valet Veinard; Gant du Valet Veinard; Alliance Gloursonne; Quatre-feuilles; Menoture; Capuche de Moum-Ra; Cape Indescriptible; Palmes Trithons; Dofus des Glaces; Cascadeur majeur; Remueur; Dévastateur Air majeur; Acrobate majeur; Carapace Eau majeur; Muldo Ebène</t>
        </is>
      </c>
    </row>
    <row r="6099">
      <c r="A6099" t="inlineStr">
        <is>
          <t>full do cri</t>
        </is>
      </c>
      <c r="B6099">
        <f>HYPERLINK("https://www.dofusbook.net/fr/equipement/2217874-full-do-cri/objets", "link")</f>
        <v/>
      </c>
      <c r="C6099" t="n">
        <v>5</v>
      </c>
      <c r="D6099" t="inlineStr">
        <is>
          <t>Dagues d'Ilyzaelle; Amulette du Strigide; Anneau de Padgref; Bague Trithon; Bouclier du Captain Amakna; Ceinture du Strigide; Le Dorado; Cape du Cœur Saignant; Bottes du Cœur Saignant; Dofus Ocre; Dofus Pourpre; Dolmanax; Dofus des Glaces; Dofus Turquoise; Dofus Nébuleux; Muldo Emeraude</t>
        </is>
      </c>
    </row>
    <row r="6100">
      <c r="A6100" t="inlineStr">
        <is>
          <t>STUFF 2.45 EAU</t>
        </is>
      </c>
      <c r="B6100">
        <f>HYPERLINK("https://www.dofusbook.net/fr/equipement/2579628-stuff-2-45-eau/objets", "link")</f>
        <v/>
      </c>
      <c r="C6100" t="n">
        <v>1</v>
      </c>
      <c r="D6100" t="inlineStr">
        <is>
          <t>Dagoulinantes; Amulette de l'Œil Attentif; Bracelet des Fonds marins; Alliance Gloursonne; Quatre-feuilles; Poulpagne; Capuche de l'Œil Attentif; Chevelure de Tal Kasha; Pantoufles du Piloztère; Dofus Nébuleux; Dofus Ivoire; Dofus Pourpre; Dofus Ocre; Carapace Air majeur; Carapace Terre majeur; Muldo Ebène et Indigo</t>
        </is>
      </c>
    </row>
    <row r="6101">
      <c r="A6101" t="inlineStr">
        <is>
          <t>STUFF 2.45 EAU / AIR</t>
        </is>
      </c>
      <c r="B6101">
        <f>HYPERLINK("https://www.dofusbook.net/fr/equipement/2576263-stuff-2-45-eau---air/objets", "link")</f>
        <v/>
      </c>
      <c r="C6101" t="n">
        <v>2</v>
      </c>
      <c r="D6101" t="inlineStr">
        <is>
          <t>Arc de Koutoulou; Amulette du Strigide; Bracelet du Piloztère; Alliance Gloursonne; Quatre-feuilles; Ceintacé; Némès de Tal Kasha; Chevelure de Tal Kasha; Sandales de Tal Kasha; Dofus Émeraude; Dofus Nébuleux; Dolmanax; Dofus des Glaces; Dofus Turquoise; Dofus Abyssal; Muldo Ebène et Indigo</t>
        </is>
      </c>
    </row>
    <row r="6102">
      <c r="A6102" t="inlineStr">
        <is>
          <t>full air</t>
        </is>
      </c>
      <c r="B6102">
        <f>HYPERLINK("https://www.dofusbook.net/fr/equipement/2584448-full-air/objets", "link")</f>
        <v/>
      </c>
      <c r="C6102" t="n">
        <v>3</v>
      </c>
      <c r="D6102" t="inlineStr">
        <is>
          <t>Lance Horselé; Amulette d'Ilyzaelle; Alliance Gloursonne; Gant du Valet Veinard; Bouclier du Captain Amakna; Menoture; Chapeau de Tournoyé; Cape de Crânonier; Palmes Trithons; Dofus Pourpre; Dofus Ivoire; Dofus des Glaces; Dofus Abyssal; Remueur; Cascadeur majeur; Muldo Ebène</t>
        </is>
      </c>
    </row>
    <row r="6103">
      <c r="A6103" t="inlineStr">
        <is>
          <t>terre eau</t>
        </is>
      </c>
      <c r="B6103">
        <f>HYPERLINK("https://www.dofusbook.net/fr/equipement/2100349-terre-eau/objets", "link")</f>
        <v/>
      </c>
      <c r="C6103" t="n">
        <v>3</v>
      </c>
      <c r="D6103" t="inlineStr">
        <is>
          <t>Dagues de Srambad; Amulette Luminescente; Bracelet du Piloztère; Anneau Crustique; Bouclier Taverne; Ceinture de la Reine des Voleurs; Coiffe de la Reine des Voleurs; Voile d'encre; Bottes Honyme; Dofus des Glaces; Dofus Abyssal; Dofus Ocre; Dofus Émeraude; Dofus Pourpre; Carapace Feu majeur; Muldo Ebène et Indigo</t>
        </is>
      </c>
    </row>
    <row r="6104">
      <c r="A6104" t="inlineStr">
        <is>
          <t>terre</t>
        </is>
      </c>
      <c r="B6104">
        <f>HYPERLINK("https://www.dofusbook.net/fr/equipement/2510809-terre/objets", "link")</f>
        <v/>
      </c>
      <c r="C6104" t="n">
        <v>3</v>
      </c>
      <c r="D6104" t="inlineStr">
        <is>
          <t>Arc du Chalœil; Collier de Tourthon; Bracelet du Piloztère; Chevalière du Roi Joueur; Bouclier du Stalak; Ceinture de la Reine des Voleurs; Coiffe de la Reine des Voleurs; Cape du Cœur Saignant; Baleinabottes; Dofus Ocre; Dofus Ivoire; Dofus Émeraude; Dofus des Glaces; Dofus Pourpre; Dofus Abyssal; Muldo Indigo et Orchidée</t>
        </is>
      </c>
    </row>
    <row r="6105">
      <c r="A6105" t="inlineStr">
        <is>
          <t>full terre</t>
        </is>
      </c>
      <c r="B6105">
        <f>HYPERLINK("https://www.dofusbook.net/fr/equipement/2100611-full-terre/objets", "link")</f>
        <v/>
      </c>
      <c r="C6105" t="n">
        <v>4</v>
      </c>
      <c r="D6105" t="inlineStr">
        <is>
          <t>Lav'Hache; Amulette du Cœur Saignant; Anneau Crustique; Anneau Crustique; Bouclier alvéolé; Ceintouse; Chapoulpe; Cape du Cœur Saignant; Bottes du Cœur Saignant; Dofus Pourpre; Dofus Ivoire; Dofus Émeraude; Dofus des Glaces; Dofus Ocre; Dofus Abyssal; Muldo Pourpre</t>
        </is>
      </c>
    </row>
    <row r="6106">
      <c r="A6106" t="inlineStr">
        <is>
          <t>Stuff Terre - Air</t>
        </is>
      </c>
      <c r="B6106">
        <f>HYPERLINK("https://www.dofusbook.net/fr/equipement/2157963-stuff-terre---air/objets", "link")</f>
        <v/>
      </c>
      <c r="C6106" t="n">
        <v>2</v>
      </c>
      <c r="D6106" t="inlineStr">
        <is>
          <t>Héqache; Amulette du Cœur Vaillant; Alliance Brûlâme; Gant du Valet Veinard; Bouclier du Captain Amakna; Ceintouse; Chapoulpe; Cape du Cœur Vaillant; Bottes du Cœur Vaillant; Dofus des Glaces; Dofus Pourpre; Dofus Nébuleux; Dofus Ocre; Dofus Abyssal; Bousculeur majeur; Muldo Pourpre</t>
        </is>
      </c>
    </row>
    <row r="6107">
      <c r="A6107" t="inlineStr">
        <is>
          <t>Stuff Crrazy</t>
        </is>
      </c>
      <c r="B6107">
        <f>HYPERLINK("https://www.dofusbook.net/fr/equipement/2261960-stuff-crrazy/objets", "link")</f>
        <v/>
      </c>
      <c r="C6107" t="n">
        <v>2</v>
      </c>
      <c r="D6107" t="inlineStr">
        <is>
          <t>Sceptre du Roi Joueur; Amulette du Sinistrofu; Alliance Gloursonne; Bague Trithon; Bouclier précieux; Sangle Ouare; Masque d'Anerice; Cape d'Anerice; Pataugastrique; Dofus Émeraude; Dofus Abyssal; Remueur; Culbuteur majeur; Miraculé majeur; Bousculeur majeur; Dauge</t>
        </is>
      </c>
    </row>
    <row r="6108">
      <c r="A6108" t="inlineStr">
        <is>
          <t>test 3</t>
        </is>
      </c>
      <c r="B6108">
        <f>HYPERLINK("https://www.dofusbook.net/fr/equipement/2222744-test-3/objets", "link")</f>
        <v/>
      </c>
      <c r="C6108" t="n">
        <v>3</v>
      </c>
      <c r="D6108" t="inlineStr">
        <is>
          <t>Dagues d'Ilyzaelle; Amulette du Strigide; Anneau Crustique; Anneau du Comte Harebourg; Bouclier du Captain Amakna; Ceinture du Strigide; Coiffe du Comte Harebourg; Cape au Logis; Bottes du Comte Harebourg; Dofus Pourpre; Dofus Nébuleux; Dofus Turquoise; Dolmanax; Dofus Ocre; Forcené majeur; Kompost</t>
        </is>
      </c>
    </row>
    <row r="6109">
      <c r="A6109" t="inlineStr">
        <is>
          <t>test 2</t>
        </is>
      </c>
      <c r="B6109">
        <f>HYPERLINK("https://www.dofusbook.net/fr/equipement/2169516-test-2/objets", "link")</f>
        <v/>
      </c>
      <c r="C6109" t="n">
        <v>3</v>
      </c>
      <c r="D6109" t="inlineStr">
        <is>
          <t>Arc du Chalœil; Collier de Tourthon; Bague Gloursonne; Chevalière du Roi Joueur; Bouclier du Captain Amakna; Ceintacé; Chapeau de Gein; Cape du Cœur Saignant; Bottes du Cœur Saignant; Dofus Ocre; Dofus Pourpre; Dofus des Glaces; Dofus Nébuleux; Carapace Neutre majeur; Enragé majeur; Muldo Orchidée et Pourpre</t>
        </is>
      </c>
    </row>
    <row r="6110">
      <c r="A6110" t="inlineStr">
        <is>
          <t>Stuff Air - Eau</t>
        </is>
      </c>
      <c r="B6110">
        <f>HYPERLINK("https://www.dofusbook.net/fr/equipement/2207234-stuff-air---eau/objets", "link")</f>
        <v/>
      </c>
      <c r="C6110" t="n">
        <v>8</v>
      </c>
      <c r="D6110" t="inlineStr">
        <is>
          <t>Arc de Koutoulou; Amulette d'Ilyzaelle; Bracelet du Piloztère; Alliance Gloursonne; Bouclier du Stalak; Menoture; Casque d'Ilyzaelle; Chevelure de Tal Kasha; Bottes Voldelor; Dofus Pourpre; Dofus des Glaces; Dofus Nébuleux; Carapace Eau majeur; Chanceux majeur; Remueur; Muldo Ebène</t>
        </is>
      </c>
    </row>
    <row r="6111">
      <c r="A6111" t="inlineStr">
        <is>
          <t>Stuff 12/6 full pano</t>
        </is>
      </c>
      <c r="B6111">
        <f>HYPERLINK("https://www.dofusbook.net/fr/equipement/2124497-stuff-12-6-full-pano/objets", "link")</f>
        <v/>
      </c>
      <c r="C6111" t="n">
        <v>2</v>
      </c>
      <c r="D6111" t="inlineStr">
        <is>
          <t>Hache du Chalœil; Amulette Luminescente; Anneau Crustique; Alliance Brûlâme; Quatre-feuilles; Ceinture Luminescente; Masque Brûlâme; Cape Luminescente; Pompes Funèbres; Dofus Turquoise; Dofus Nébuleux; Dolmanax; Dofus Ocre; Dofus Pourpre; Dofus des Glaces; Muldo Orchidée et Pourpre</t>
        </is>
      </c>
    </row>
    <row r="6112">
      <c r="A6112" t="inlineStr">
        <is>
          <t>Stuff Terre 11/6</t>
        </is>
      </c>
      <c r="B6112">
        <f>HYPERLINK("https://www.dofusbook.net/fr/equipement/2114965-stuff-terre-11-6/objets", "link")</f>
        <v/>
      </c>
      <c r="C6112" t="n">
        <v>4</v>
      </c>
      <c r="D6112" t="inlineStr">
        <is>
          <t>Lav'Hache; Amulette Volcanique; Chevalière du Roi Joueur; Anneau Crustique; Bouclier du Captain Amakna; Ceinture Gence; Chapeau de Gein; Voile d'encre; Sabots Volcaniques; Dofus des Glaces; Dofus Abyssal; Dofus Ocre; Dofus Nébuleux; Carapace Neutre majeur; Enragé majeur; Muldo Pourpre</t>
        </is>
      </c>
    </row>
    <row r="6113">
      <c r="A6113" t="inlineStr">
        <is>
          <t>Stuff Feu</t>
        </is>
      </c>
      <c r="B6113">
        <f>HYPERLINK("https://www.dofusbook.net/fr/equipement/2134847-stuff-feu/objets", "link")</f>
        <v/>
      </c>
      <c r="C6113" t="n">
        <v>2</v>
      </c>
      <c r="D6113" t="inlineStr">
        <is>
          <t>Arc corrompu; Pendentif affamé; Anneauræus; Anneau de Nidas; Bouclier cubiste; Ceinture de Vortex; Couronne de Nidas; Cape de Diondin; Bottes Innommables; Dofus Nébuleux; Dofus Ocre; Dofus Pourpre; Dofus des Glaces; Dévastateur Feu majeur; Érudit majeur; Muldo Ebène et Orchidée</t>
        </is>
      </c>
    </row>
    <row r="6114">
      <c r="A6114" t="inlineStr">
        <is>
          <t>Stuff Eau</t>
        </is>
      </c>
      <c r="B6114">
        <f>HYPERLINK("https://www.dofusbook.net/fr/equipement/2134810-stuff-eau/objets", "link")</f>
        <v/>
      </c>
      <c r="C6114" t="n">
        <v>1</v>
      </c>
      <c r="D6114" t="inlineStr">
        <is>
          <t>Sceptre du Roi Joueur; Amulette de l'Œil Attentif; Bracelet des Fonds marins; Anneau Tique; Bouclier d'Ilyzaelle; Poulpagne; Capuche de l'Œil Attentif; Cape de l'Œil Attentif; Sandales des Fonds marins; Dofus Ocre; Dofus des Glaces; Dofus Abyssal; Dofus Émeraude; Dofus Ivoire; Précurseur majeur; Muldo Turquoise et Pourpre</t>
        </is>
      </c>
    </row>
    <row r="6115">
      <c r="A6115" t="inlineStr">
        <is>
          <t>Stuff Air</t>
        </is>
      </c>
      <c r="B6115">
        <f>HYPERLINK("https://www.dofusbook.net/fr/equipement/2122886-stuff-air/objets", "link")</f>
        <v/>
      </c>
      <c r="C6115" t="n">
        <v>12</v>
      </c>
      <c r="D6115" t="inlineStr">
        <is>
          <t>Manthache; Collier du Valet Veinard; Alliance Gloursonne; Gant du Valet Veinard; Quatre-feuilles; Menoture; Capuche de Moum-Ra; Cape Indescriptible; Palmes Trithons; Dofus des Glaces; Dofus Nébuleux; Dofus Ocre; Dofus Abyssal; Dévastateur Air majeur; Cascadeur majeur; Muldo Ebène</t>
        </is>
      </c>
    </row>
    <row r="6116">
      <c r="A6116" t="inlineStr">
        <is>
          <t>Stuff Air - Feu</t>
        </is>
      </c>
      <c r="B6116">
        <f>HYPERLINK("https://www.dofusbook.net/fr/equipement/2119519-stuff-air---feu/objets", "link")</f>
        <v/>
      </c>
      <c r="C6116" t="n">
        <v>2</v>
      </c>
      <c r="D6116" t="inlineStr">
        <is>
          <t>Hache du Chalœil; Amulette du Strigide; Alliance Gloursonne; Anneau de Padgref; Quatre-feuilles; Ceinture du Strigide; Coiffe de Padgref; Voile d'encre; Getas de Padgref; Dofus Ocre; Dofus Abyssal; Dolmanax; Dofus Nébuleux; Dofus Turquoise; Dokoko; Muldo Indigo et Emeraude</t>
        </is>
      </c>
    </row>
    <row r="6117">
      <c r="A6117" t="inlineStr">
        <is>
          <t>Stuff Terre 2</t>
        </is>
      </c>
      <c r="B6117">
        <f>HYPERLINK("https://www.dofusbook.net/fr/equipement/2111013-stuff-terre-2/objets", "link")</f>
        <v/>
      </c>
      <c r="C6117" t="n">
        <v>2</v>
      </c>
      <c r="D6117" t="inlineStr">
        <is>
          <t>Dagues d'Ilyzaelle; Amulette Luminescente; Bague Trithon; Anneau Crustique; Bouclier Taverne; Masque de Koutoulou; Cape du Cœur Saignant; Bottes du Cœur Saignant; Dofus Turquoise; Dofus Émeraude; Dofus Ivoire; Remueur; Miraculé majeur; Enragé majeur</t>
        </is>
      </c>
    </row>
    <row r="6118">
      <c r="A6118" t="inlineStr">
        <is>
          <t>terre air</t>
        </is>
      </c>
      <c r="B6118">
        <f>HYPERLINK("https://www.dofusbook.net/fr/equipement/2100427-terre-air-/objets", "link")</f>
        <v/>
      </c>
      <c r="C6118" t="n">
        <v>1</v>
      </c>
      <c r="D6118" t="inlineStr">
        <is>
          <t>Lance corrompue; Collier de Tourthon; Bracelet du Piloztère; Anneau Crustique; Sept ans de malheur; Ceintouse; Chapoulpe; Cape du Cœur Vaillant; Baleinabottes; Dofus Pourpre; Dofus Abyssal; Dofus Ocre; Dofus Ivoire; Dofus Émeraude; Dofus des Glaces; Muldo Ebène et Pourpre</t>
        </is>
      </c>
    </row>
    <row r="6119">
      <c r="A6119" t="inlineStr">
        <is>
          <t>feu ret pm tenta nou</t>
        </is>
      </c>
      <c r="B6119">
        <f>HYPERLINK("https://www.dofusbook.net/fr/equipement/1632454-feu-ret-pm-tenta-nou/objets", "link")</f>
        <v/>
      </c>
      <c r="C6119" t="n">
        <v>4</v>
      </c>
      <c r="D6119" t="inlineStr">
        <is>
          <t>Arc Hétype; Pendentif affamé; Anneau Rifique; Anneau Tique; Ambrouclier; Ceinture de Vortex; Casque Cyclopéen; Cape de Diondin; Bottes Innommables; Dofus Ocre; Miraculé majeur; Érudit majeur; Carapace Eau majeur; Carapace Feu majeur; Temporiseur majeur; Muldo Orchidée et Pourpre</t>
        </is>
      </c>
    </row>
    <row r="6120">
      <c r="A6120" t="inlineStr">
        <is>
          <t>Stuff Do Pou</t>
        </is>
      </c>
      <c r="B6120">
        <f>HYPERLINK("https://www.dofusbook.net/fr/equipement/1444087-stuff-do-pou/objets", "link")</f>
        <v/>
      </c>
      <c r="C6120" t="n">
        <v>2</v>
      </c>
      <c r="D6120" t="inlineStr">
        <is>
          <t>Arc du Chalœil; Torquistik; Bague Instable; Anneau de Brouce; Bouclier précieux; Ceintacé; Scaphandre Ojine; Voile d'encre; Bottistik; Dofus Ocre; Dofus Émeraude; Dofus Abyssal; Carapace Neutre majeur; Culbuteur majeur; Bousculeur majeur; Muldo Pourpre</t>
        </is>
      </c>
    </row>
    <row r="6121">
      <c r="A6121" t="inlineStr">
        <is>
          <t>test</t>
        </is>
      </c>
      <c r="B6121">
        <f>HYPERLINK("https://www.dofusbook.net/fr/equipement/1552397-test/objets", "link")</f>
        <v/>
      </c>
      <c r="C6121" t="n">
        <v>3</v>
      </c>
      <c r="D6121" t="inlineStr">
        <is>
          <t>Arc du Chalœil; Collier de Tourthon; Anneau Crustique; Anneau Crustique; Ftalmo; Ceintacé; Masque de Koutoulou; Ankhape; Bottes de la Cour Sombre; Dofus Turquoise; Dofus Émeraude; Enragé majeur; Carapace Neutre majeur; Miraculé majeur; Carapace Terre majeur; Muldo Pourpre et Ivoire</t>
        </is>
      </c>
    </row>
    <row r="6122">
      <c r="A6122" t="inlineStr">
        <is>
          <t>test</t>
        </is>
      </c>
      <c r="B6122">
        <f>HYPERLINK("https://www.dofusbook.net/fr/equipement/1531784-test/objets", "link")</f>
        <v/>
      </c>
      <c r="C6122" t="n">
        <v>1</v>
      </c>
      <c r="D6122" t="inlineStr">
        <is>
          <t>Sceptre du Roi Joueur; Amulette de Shokkoth; Bracelet des Fonds marins; Alliance Gloursonne; Sept ans de malheur; Poulpagne; Kidibonnet; Cape de Mantaze; Sandales des Fonds marins; Dofus Abyssal; Miraculé majeur; Fonceur majeur; Étourdisseur majeur; Chanceux majeur; Carapace Air majeur; Muldo Indigo</t>
        </is>
      </c>
    </row>
    <row r="6123">
      <c r="A6123" t="inlineStr">
        <is>
          <t>Stuff Feu</t>
        </is>
      </c>
      <c r="B6123">
        <f>HYPERLINK("https://www.dofusbook.net/fr/equipement/1531664-stuff-feu/objets", "link")</f>
        <v/>
      </c>
      <c r="C6123" t="n">
        <v>6</v>
      </c>
      <c r="D6123" t="inlineStr">
        <is>
          <t>Baguette de Malléfisk; Pendentif affamé; Anneau Tique; Kralano; Bouclier du Cycloïde; Ceinture de Vortex; Couronne de Nidas; Cape de Diondin; Bottes Innommables; Dofus Ocre; Dofus Abyssal; Évasif majeur; Carapace Terre majeur; Fonceur majeur; Carapace Neutre majeur; Muldo Orchidée</t>
        </is>
      </c>
    </row>
    <row r="6124">
      <c r="A6124" t="inlineStr">
        <is>
          <t>Stuff Feu/Air</t>
        </is>
      </c>
      <c r="B6124">
        <f>HYPERLINK("https://www.dofusbook.net/fr/equipement/1531558-stuff-feu-air/objets", "link")</f>
        <v/>
      </c>
      <c r="C6124" t="n">
        <v>3</v>
      </c>
      <c r="D6124" t="inlineStr">
        <is>
          <t>Baguette de Malléfisk; Pendentif mignon de Koutoulou; Anneau Tique; Gant du Valet Veinard; Cadran de Feu; Ceinture de Vortex; Casque Cyclopéen; Cape de Diondin; Bottes Innommables; Dofus Ocre; Dofus Abyssal; Dofus des Glaces; Carapace Neutre majeur; Fonceur majeur; Carapace Terre majeur; Muldo Pourpre et Ivoire</t>
        </is>
      </c>
    </row>
    <row r="6125">
      <c r="A6125" t="inlineStr">
        <is>
          <t>Stuff Eau/Air</t>
        </is>
      </c>
      <c r="B6125">
        <f>HYPERLINK("https://www.dofusbook.net/fr/equipement/1531371-stuff-eau-air/objets", "link")</f>
        <v/>
      </c>
      <c r="C6125" t="n">
        <v>1</v>
      </c>
      <c r="D6125" t="inlineStr">
        <is>
          <t>Arc de Koutoulou; Amibou; Alliance Gloursonne; Bracelet des Fonds marins; Quatre-feuilles; Menoture; Némès de Tal Kasha; Chevelure de Tal Kasha; Palmes Trithons; Dofus Ocre; Dofus Turquoise; Dofus des Glaces; Carapace Eau majeur; Miraculé majeur; Fonceur majeur; Muldo Ebène</t>
        </is>
      </c>
    </row>
    <row r="6126">
      <c r="A6126" t="inlineStr">
        <is>
          <t>test</t>
        </is>
      </c>
      <c r="B6126">
        <f>HYPERLINK("https://www.dofusbook.net/fr/equipement/1529433-test/objets", "link")</f>
        <v/>
      </c>
      <c r="C6126" t="n">
        <v>2</v>
      </c>
      <c r="D6126" t="inlineStr">
        <is>
          <t>Baguette de Malléfisk; Pendentif affamé; Anneau Tique; Kralano; Sept ans de malheur; Ceinture de Vortex; Cagoule de Vortex; Voile d'encre; Pataugastrique; Dofus Ocre; Carapace Feu majeur; Carapace Neutre majeur; Étourdisseur majeur; Muldo Turquoise et Ivoire</t>
        </is>
      </c>
    </row>
    <row r="6127">
      <c r="A6127" t="inlineStr">
        <is>
          <t>Stuff Terre</t>
        </is>
      </c>
      <c r="B6127">
        <f>HYPERLINK("https://www.dofusbook.net/fr/equipement/1528532-stuff-terre/objets", "link")</f>
        <v/>
      </c>
      <c r="C6127" t="n">
        <v>7</v>
      </c>
      <c r="D6127" t="inlineStr">
        <is>
          <t>Arc du Chalœil; Amulette du Strigide; Bracelet du Piloztère; Anneau Crustique; Sept ans de malheur; Ceintouse; Masque de Koutoulou; Voile d'encre; Tentassons; Dofus Ocre; Étourdisseur majeur; Carapace Eau majeur; Carapace Terre majeur; Carapace Neutre majeur; Muldo Turquoise et Ivoire</t>
        </is>
      </c>
    </row>
    <row r="6128">
      <c r="A6128" t="inlineStr">
        <is>
          <t>Eau / Feu / Do Pou 2</t>
        </is>
      </c>
      <c r="B6128">
        <f>HYPERLINK("https://www.dofusbook.net/fr/equipement/1527799-eau---feu---do-pou-2/objets", "link")</f>
        <v/>
      </c>
      <c r="C6128" t="n">
        <v>1</v>
      </c>
      <c r="D6128" t="inlineStr">
        <is>
          <t>Baguette de Malléfisk; Talisman Igans; Alliance Gloursonne; Bracelet des Fonds marins; Bouclier précieux; Sangle Ouare; Kidibonnet; Cape des Malveilleurs; Bottes Owesli; Bousculeur majeur; Carapace Feu majeur; Remueur; Culbuteur majeur; Miraculé majeur; Carapace Neutre majeur; Muldo Indigo et Pourpre</t>
        </is>
      </c>
    </row>
    <row r="6129">
      <c r="A6129" t="inlineStr">
        <is>
          <t>Stuff Eau/Feu/Pou</t>
        </is>
      </c>
      <c r="B6129">
        <f>HYPERLINK("https://www.dofusbook.net/fr/equipement/1527661-stuff-eau-feu-pou/objets", "link")</f>
        <v/>
      </c>
      <c r="C6129" t="n">
        <v>1</v>
      </c>
      <c r="D6129" t="inlineStr">
        <is>
          <t>Baguette de Malléfisk; Amulette du Sinistrofu; Anneau Tique; Anneau de Nidas; Bouclier précieux; Ceintacé; Couronne de Nidas; Cape des Malveilleurs; Bottes Trithon; Remueur; Bousculeur majeur; Carapace Terre majeur; Culbuteur majeur; Miraculé majeur; Carapace Neutre majeur; Muldo Orchidée</t>
        </is>
      </c>
    </row>
    <row r="6130">
      <c r="A6130" t="inlineStr">
        <is>
          <t>Stuff Eau / Do Pou</t>
        </is>
      </c>
      <c r="B6130">
        <f>HYPERLINK("https://www.dofusbook.net/fr/equipement/1524243-stuff-eau---do-pou/objets", "link")</f>
        <v/>
      </c>
      <c r="C6130" t="n">
        <v>2</v>
      </c>
      <c r="D6130" t="inlineStr">
        <is>
          <t>Sceptre du Roi Joueur; Amulette Luminescente; Alliance Gloursonne; Anneau Tique; Bouclier précieux; Ceinture Luminescente; Kidibonnet; Cape du Sinistrofu; Sandales des Fonds marins; Dofus Émeraude; Bousculeur majeur; Remueur; Culbuteur majeur; Miraculé majeur; Carapace Eau majeur; Muldo Ebène et Orchidée</t>
        </is>
      </c>
    </row>
    <row r="6131">
      <c r="A6131" t="inlineStr">
        <is>
          <t>Stuff Feu/Terre/Pou</t>
        </is>
      </c>
      <c r="B6131">
        <f>HYPERLINK("https://www.dofusbook.net/fr/equipement/1526923-stuff-feu-terre-pou/objets", "link")</f>
        <v/>
      </c>
      <c r="C6131" t="n">
        <v>2</v>
      </c>
      <c r="D6131" t="inlineStr">
        <is>
          <t>Baguette de Malléfisk; Torquistik; Anneau Chevelu; Goulano; Bouclier précieux; Ceintacé; Chapeau de Gein; Voile d'encre; Bottistik; Bousculeur majeur; Carapace Neutre majeur; Remueur; Culbuteur majeur; Miraculé majeur; Carapace Feu majeur; Muldo Orchidée et Pourpre</t>
        </is>
      </c>
    </row>
    <row r="6132">
      <c r="A6132" t="inlineStr">
        <is>
          <t>Stuff Tournois</t>
        </is>
      </c>
      <c r="B6132">
        <f>HYPERLINK("https://www.dofusbook.net/fr/equipement/1524099-stuff-tournois/objets", "link")</f>
        <v/>
      </c>
      <c r="C6132" t="n">
        <v>1</v>
      </c>
      <c r="D6132" t="inlineStr">
        <is>
          <t>Dagoulinantes; Amulette Luminescente; Alliance Gloursonne; Bracelet des Fonds marins; Bouclier précieux; Ceinture Luminescente; Masque des Fonds marins; Cape Luminescente; Sandales des Fonds marins; Dokoko; Dofus Ocre; Dofus Émeraude; Dofus Abyssal; Dofus Vulbis</t>
        </is>
      </c>
    </row>
    <row r="6133">
      <c r="A6133" t="inlineStr">
        <is>
          <t>Terre Feu 12/6 Erhy</t>
        </is>
      </c>
      <c r="B6133">
        <f>HYPERLINK("https://www.dofusbook.net/fr/equipement/230193-terre--feu-12-6-erhy/objets", "link")</f>
        <v/>
      </c>
      <c r="C6133" t="n">
        <v>5</v>
      </c>
      <c r="D6133" t="inlineStr">
        <is>
          <t>Dagues Érhy; Amulette du Strigide; Bague Gloursonne; Bracelet du Piloztère; Bouclier Terrdala; Ceinture de Gein; Chapeau de Gein; Voile d'encre; Bottes du Roi Joueur; Dofus Ocre; Dofus Nébuleux; Dofus Pourpre; Dofus Turquoise; Remueur; Nomade; Kwaltess</t>
        </is>
      </c>
    </row>
    <row r="6134">
      <c r="A6134" t="inlineStr">
        <is>
          <t>Stuff Eau - Feu</t>
        </is>
      </c>
      <c r="B6134">
        <f>HYPERLINK("https://www.dofusbook.net/fr/equipement/1467419-stuff-eau---feu/objets", "link")</f>
        <v/>
      </c>
      <c r="C6134" t="n">
        <v>5</v>
      </c>
      <c r="D6134" t="inlineStr">
        <is>
          <t>Arc Nécrotique; Talisman Igans; Chevalière du Roi Joueur; Anneau Tique; Bouclier cubiste; Ceintrigue; Kidibonnet; Cape de la Dame du Hasard; Bottes Owesli; Dofus Nébuleux; Dofus Ocre; Dofus Turquoise; Dokoko; Dofus Pourpre; Dofus Abyssal; Kramkram</t>
        </is>
      </c>
    </row>
    <row r="6135">
      <c r="A6135" t="inlineStr">
        <is>
          <t>Stuff Feu/RetPM/Res</t>
        </is>
      </c>
      <c r="B6135">
        <f>HYPERLINK("https://www.dofusbook.net/fr/equipement/1397034-stuff-feu-retpm-res/objets", "link")</f>
        <v/>
      </c>
      <c r="C6135" t="n">
        <v>1</v>
      </c>
      <c r="D6135" t="inlineStr">
        <is>
          <t>Arc Hétype; Amulette de Nileza; Anneau Tique; Anneau de Nidas; Ambrouclier; Ceintacé; Couronne de Nidas; Voile d'encre; Bottes Innommables; Dofus Ocre; Érudit majeur; Temporiseur majeur; Cavaleur majeur; Carapace Feu majeur; Nomade; Kramkram</t>
        </is>
      </c>
    </row>
    <row r="6136">
      <c r="A6136" t="inlineStr">
        <is>
          <t>Stuff Eau - Air</t>
        </is>
      </c>
      <c r="B6136">
        <f>HYPERLINK("https://www.dofusbook.net/fr/equipement/230185-stuff-eau---air/objets", "link")</f>
        <v/>
      </c>
      <c r="C6136" t="n">
        <v>1</v>
      </c>
      <c r="D6136" t="inlineStr">
        <is>
          <t>Marteau des Anciens Steamers; Amulette Voldelor; Gant du Valet Veinard; Alliance Gloursonne; Ceinture Voldelor; Némès de Tal Kasha; Chevelure de Tal Kasha; Bottes Voldelor; Dofus Pourpre; Dofus Émeraude; Dofus Abyssal; Dofus Turquoise; Dofus des Glaces; Dofus Ocre; Muldo Ebène</t>
        </is>
      </c>
    </row>
    <row r="6137">
      <c r="A6137" t="inlineStr">
        <is>
          <t>Multi/Ceinture class</t>
        </is>
      </c>
      <c r="B6137">
        <f>HYPERLINK("https://www.dofusbook.net/fr/equipement/230184-multi-ceinture-class/objets", "link")</f>
        <v/>
      </c>
      <c r="C6137" t="n">
        <v>3</v>
      </c>
      <c r="D6137" t="inlineStr">
        <is>
          <t>Hache du Chalœil; Amulette du Strigide; Alliance Gloursonne; Bracelet du Piloztère; Ceinture Billonnante; Le Dorado; Voile d'encre; Bottes du Strigide; Dofus Ocre; Dolmanax; Dofus des Glaces; Dofus Turquoise; Dofus Pourpre; Nomade; Kramkram</t>
        </is>
      </c>
    </row>
    <row r="6138">
      <c r="A6138" t="inlineStr">
        <is>
          <t>Stuff Multi Egare</t>
        </is>
      </c>
      <c r="B6138">
        <f>HYPERLINK("https://www.dofusbook.net/fr/equipement/230186-stuff-multi-egare/objets", "link")</f>
        <v/>
      </c>
      <c r="C6138" t="n">
        <v>6</v>
      </c>
      <c r="D6138" t="inlineStr">
        <is>
          <t>Marteau des égarés; Amulette du Strigide; Bracelet du Piloztère; Alliance Gloursonne; Ceintacé; Le Dorado; Voile d'encre; Bottes du Strigide; Dofus des Glaces; Dofus Turquoise; Dofus Pourpre; Dolmanax; Nomade; Cavaleur majeur; Kramkram</t>
        </is>
      </c>
    </row>
    <row r="6139">
      <c r="A6139" t="inlineStr">
        <is>
          <t>Stuff DJ Chaloeil</t>
        </is>
      </c>
      <c r="B6139">
        <f>HYPERLINK("https://www.dofusbook.net/fr/equipement/230208-stuff-dj-chaloeil/objets", "link")</f>
        <v/>
      </c>
      <c r="C6139" t="n">
        <v>3</v>
      </c>
      <c r="D6139" t="inlineStr">
        <is>
          <t>Arc Hétype; Amulette Séculaire; Bague Gloursonne; Anneau Tamie; Ceinture Séculaire; Casque Dragoeuf; Sac Rebleux; Pantoufles Émar; Observateur; Érudit majeur; Voyageur; Nomade; Miraculé majeur; Remueur; Kramkram</t>
        </is>
      </c>
    </row>
    <row r="6140">
      <c r="A6140" t="inlineStr">
        <is>
          <t>Stuff Eau</t>
        </is>
      </c>
      <c r="B6140">
        <f>HYPERLINK("https://www.dofusbook.net/fr/equipement/230200-stuff-eau/objets", "link")</f>
        <v/>
      </c>
      <c r="C6140" t="n">
        <v>6</v>
      </c>
      <c r="D6140" t="inlineStr">
        <is>
          <t>Sceptre du Roi Joueur; Amulette de Pol Ouatnos; Bracelet du Piloztère; Bracelet des Fonds marins; Ceintacé; Masque des Fonds marins; Cape de Mantaze; Pataugastrique; Dofus Pourpre; Remueur; Vigoureux majeur; Chanceux majeur; Miraculé majeur; Nomade; Kramkram</t>
        </is>
      </c>
    </row>
    <row r="6141">
      <c r="A6141" t="inlineStr">
        <is>
          <t>Stuff Eau - Air</t>
        </is>
      </c>
      <c r="B6141">
        <f>HYPERLINK("https://www.dofusbook.net/fr/equipement/230199-stuff-eau---air/objets", "link")</f>
        <v/>
      </c>
      <c r="C6141" t="n">
        <v>10</v>
      </c>
      <c r="D6141" t="inlineStr">
        <is>
          <t>Marteau des Anciens Steamers; Collier du Valet Veinard; Bracelet des Fonds marins; Gant du Valet Veinard; Sangle Ouare; Masque des Fonds marins; Cape du Valet Veinard; Sandales des Fonds marins; Dofus Ocre; Dofus des Glaces; Dofus Émeraude; Dofus Pourpre; Examinateur; Muldo Ebène et Pourpre</t>
        </is>
      </c>
    </row>
    <row r="6142">
      <c r="A6142" t="inlineStr">
        <is>
          <t>Stuff Stri-Glours</t>
        </is>
      </c>
      <c r="B6142">
        <f>HYPERLINK("https://www.dofusbook.net/fr/equipement/230195-stuff-stri-glours/objets", "link")</f>
        <v/>
      </c>
      <c r="C6142" t="n">
        <v>2</v>
      </c>
      <c r="D6142" t="inlineStr">
        <is>
          <t>Epée Gloursonne; Amulette du Strigide; Alliance Gloursonne; Bague Gloursonne; Bouclier du Captain Amakna; Ceinture du Strigide; Casque de Missiz Frizz; Cape Reski; Bottes du Strigide; Dolmanax; Dofus Pourpre; Dofus Ocre; Dofus des Glaces; Dofus Turquoise; Forcené majeur; Muldo Doré</t>
        </is>
      </c>
    </row>
    <row r="6143">
      <c r="A6143" t="inlineStr">
        <is>
          <t>Stuff Multi 11/6</t>
        </is>
      </c>
      <c r="B6143">
        <f>HYPERLINK("https://www.dofusbook.net/fr/equipement/230194-stuff-multi-11-6/objets", "link")</f>
        <v/>
      </c>
      <c r="C6143" t="n">
        <v>3</v>
      </c>
      <c r="D6143" t="inlineStr">
        <is>
          <t>Dagues Érhy; Amulette du Strigide; Bracelet du Piloztère; Bague Gloursonne; Bouclier du Captain Amakna; Ceintacé; Chapeau de Gein; Voile d'encre; Bottes du Strigide; Dofus Pourpre; Dofus Turquoise; Dofus Nébuleux; Nomade; Remueur; Vigoureux majeur; Kramkram</t>
        </is>
      </c>
    </row>
    <row r="6144">
      <c r="A6144" t="inlineStr">
        <is>
          <t>Stuff Air 199</t>
        </is>
      </c>
      <c r="B6144">
        <f>HYPERLINK("https://www.dofusbook.net/fr/equipement/230191-stuff-air-199/objets", "link")</f>
        <v/>
      </c>
      <c r="C6144" t="n">
        <v>3</v>
      </c>
      <c r="D6144" t="inlineStr">
        <is>
          <t>Bâton Brelle; Amulette de Nevark; Kralano; Alliance Gloursonne; Ceinture de Klime; Couronne d'Allister; Cape de Klime; Pantoufles Émar; Cascadeur majeur; Voyageur; Nomade; Dévastateur Air majeur; Remueur; Miraculé majeur; Blérodoudou</t>
        </is>
      </c>
    </row>
    <row r="6145">
      <c r="A6145" t="inlineStr">
        <is>
          <t>Stuff Air PVP</t>
        </is>
      </c>
      <c r="B6145">
        <f>HYPERLINK("https://www.dofusbook.net/fr/equipement/230190-stuff-air-pvp/objets", "link")</f>
        <v/>
      </c>
      <c r="C6145" t="n">
        <v>2</v>
      </c>
      <c r="D6145" t="inlineStr">
        <is>
          <t>Manthache; Collier du Valet Veinard; Alliance Gloursonne; Gant du Valet Veinard; Quatre-feuilles; Ceintacé; Capuche de Moum-Ra; Cape Indescriptible; Palmes Trithons; Dofus Pourpre; Vigoureux majeur; Remueur; Cascadeur majeur; Carapace Terre majeur; Muldo Ebène</t>
        </is>
      </c>
    </row>
    <row r="6146">
      <c r="A6146" t="inlineStr">
        <is>
          <t>Stuff Feu PVM</t>
        </is>
      </c>
      <c r="B6146">
        <f>HYPERLINK("https://www.dofusbook.net/fr/equipement/230192-stuff-feu-pvm/objets", "link")</f>
        <v/>
      </c>
      <c r="C6146" t="n">
        <v>4</v>
      </c>
      <c r="D6146" t="inlineStr">
        <is>
          <t>Baguette de Malléfisk; Amulette Séculaire; Anneau Tamie; Anneau Tamie; Bouclier du Cycloïde; Sangle Aise; Coiffe Séculaire; Cape de Diondin; Bottes Innommables; Dofus des Glaces; Dévastateur Feu majeur; Astucieux majeur; Saccageur Feu majeur; Nomade; Érudit majeur; Brûlih</t>
        </is>
      </c>
    </row>
    <row r="6147">
      <c r="A6147" t="inlineStr">
        <is>
          <t>Stuff Res 2.42</t>
        </is>
      </c>
      <c r="B6147">
        <f>HYPERLINK("https://www.dofusbook.net/fr/equipement/1374323-stuff-res-2-42/objets", "link")</f>
        <v/>
      </c>
      <c r="C6147" t="n">
        <v>2</v>
      </c>
      <c r="D6147" t="inlineStr">
        <is>
          <t>Hache du Chalœil; Talisman Igans; Bracelet du Piloztère; Goulano; Bouclier d'Anerice; Ceintacé; Masque d'Anerice; Cape d'Anerice; Goulbottes; Dofus Émeraude; Dokoko; Dofus Ocre; Dofus des Glaces; Dofus Abyssal; Dolmanax; Muldo Orchidée et Ivoire</t>
        </is>
      </c>
    </row>
    <row r="6148">
      <c r="A6148" t="inlineStr">
        <is>
          <t>Stuff Multi Atcham</t>
        </is>
      </c>
      <c r="B6148">
        <f>HYPERLINK("https://www.dofusbook.net/fr/equipement/230182-stuff-multi-atcham/objets", "link")</f>
        <v/>
      </c>
      <c r="C6148" t="n">
        <v>4</v>
      </c>
      <c r="D6148" t="inlineStr">
        <is>
          <t>Sabres d'Atcham; Amulette du Strigide; Anneau de Pol Ouatnos; Alliance Gloursonne; Bouclier Akwadala; Ceinture de Kongoku; Chapeau des Malveilleurs; Cape des Malveilleurs; Pataugastrique; Dofus Pourpre; Carapace Eau majeur; Nomade; Obstructeur majeur; Remueur; Bloqueur majeur; Blokus</t>
        </is>
      </c>
    </row>
    <row r="6149">
      <c r="A6149" t="inlineStr">
        <is>
          <t>Stuff Aermyne XLII</t>
        </is>
      </c>
      <c r="B6149">
        <f>HYPERLINK("https://www.dofusbook.net/fr/equipement/230181-stuff-aermyne-xlii/objets", "link")</f>
        <v/>
      </c>
      <c r="C6149" t="n">
        <v>3</v>
      </c>
      <c r="D6149" t="inlineStr">
        <is>
          <t>Rouleau à Pâtisserie d'Aermyne; Talisman Glouti; Anneau Tique; Anneau de XLII; Ceinture de XLII; Coiffe d'Aermyne; Cape d'Aermyne; Bottes de XLII; Dofus Abyssal; Dokoko; Dofus Émeraude; Dofus Ocre; Bloqueur majeur; Précurseur majeur; Muldo Roux</t>
        </is>
      </c>
    </row>
    <row r="6150">
      <c r="A6150" t="inlineStr">
        <is>
          <t>Stuff Feu</t>
        </is>
      </c>
      <c r="B6150">
        <f>HYPERLINK("https://www.dofusbook.net/fr/equipement/1456557-stuff-feu/objets", "link")</f>
        <v/>
      </c>
      <c r="C6150" t="n">
        <v>2</v>
      </c>
      <c r="D6150" t="inlineStr">
        <is>
          <t>Dagues Ricol; Amulette Séculaire; Anneau de Nidas; Anneau Tique; Bouclier du Captain Amakna; Ceinture Séculaire; Coiffe Séculaire; Voile d'encre; Bottes Innommables; Dofus Pourpre; Dofus Ocre; Dofus Émeraude; Dofus Nébuleux; Dofus Turquoise; Dofus Abyssal; Muldo Orchidée et Pourpre</t>
        </is>
      </c>
    </row>
    <row r="6151">
      <c r="A6151" t="inlineStr">
        <is>
          <t>Stuff Terre</t>
        </is>
      </c>
      <c r="B6151">
        <f>HYPERLINK("https://www.dofusbook.net/fr/equipement/1456498-stuff-terre/objets", "link")</f>
        <v/>
      </c>
      <c r="C6151" t="n">
        <v>5</v>
      </c>
      <c r="D6151" t="inlineStr">
        <is>
          <t>Arc du Chalœil; Collier de Tourthon; Anneau Crustique; Chevalière du Roi Joueur; Bouclier du Captain Amakna; Ceintacé; Masque de Koutoulou; Voile d'encre; Bottes du Roi Joueur; Dofus des Glaces; Dofus Ocre; Dofus Pourpre; Dofus Nébuleux; Dofus Abyssal; Dofus Émeraude; Muldo Pourpre</t>
        </is>
      </c>
    </row>
    <row r="6152">
      <c r="A6152" t="inlineStr">
        <is>
          <t>Stuff Eau - Air</t>
        </is>
      </c>
      <c r="B6152">
        <f>HYPERLINK("https://www.dofusbook.net/fr/equipement/230204-stuff-eau---air/objets", "link")</f>
        <v/>
      </c>
      <c r="C6152" t="n">
        <v>3</v>
      </c>
      <c r="D6152" t="inlineStr">
        <is>
          <t>Arc de Koutoulou; Amulette du Strigide; Bracelet du Piloztère; Alliance Gloursonne; Ceintacé; Némès de Tal Kasha; Chevelure de Tal Kasha; Bottes Voldelor; Dofus Turquoise; Dofus Abyssal; Dofus Émeraude; Dofus Ocre; Dofus Pourpre; Nomade; Kramkram</t>
        </is>
      </c>
    </row>
    <row r="6153">
      <c r="A6153" t="inlineStr">
        <is>
          <t>Stuff Eau</t>
        </is>
      </c>
      <c r="B6153">
        <f>HYPERLINK("https://www.dofusbook.net/fr/equipement/1440222-stuff-eau/objets", "link")</f>
        <v/>
      </c>
      <c r="C6153" t="n">
        <v>2</v>
      </c>
      <c r="D6153" t="inlineStr">
        <is>
          <t>Dagoulinantes; Amulette de Shokkoth; Alliance Gloursonne; Bracelet des Fonds marins; Quatre-feuilles; Pagne du Rykaon; Masque des Fonds marins; Cape de Mantaze; Sandales Circulaires du Kimbo; Dofus Pourpre; Dofus Émeraude; Dofus Abyssal; Dofus Turquoise; Remueur; Nomade; Muldo Indigo et Pourpre</t>
        </is>
      </c>
    </row>
    <row r="6154">
      <c r="A6154" t="inlineStr">
        <is>
          <t>Stuff Multi</t>
        </is>
      </c>
      <c r="B6154">
        <f>HYPERLINK("https://www.dofusbook.net/fr/equipement/230202-stuff-multi/objets", "link")</f>
        <v/>
      </c>
      <c r="C6154" t="n">
        <v>2</v>
      </c>
      <c r="D6154" t="inlineStr">
        <is>
          <t>Hache du Chalœil; Amulette du Strigide; Alliance Gloursonne; Bracelet du Piloztère; Ceintacé; Le Dorado; Voile d'encre; Bottes du Strigide; Dofus Pourpre; Dofus Abyssal; Dolmanax; Dofus des Glaces; Dofus Turquoise; Nomade; Kramkram</t>
        </is>
      </c>
    </row>
    <row r="6155">
      <c r="A6155" t="inlineStr">
        <is>
          <t>Stuff Multi</t>
        </is>
      </c>
      <c r="B6155">
        <f>HYPERLINK("https://www.dofusbook.net/fr/equipement/230189-stuff-multi/objets", "link")</f>
        <v/>
      </c>
      <c r="C6155" t="n">
        <v>3</v>
      </c>
      <c r="D6155" t="inlineStr">
        <is>
          <t>Épée Brûlâme; Collier de la Dame du Hasard; Anneau Tique; Bracelet des Fonds marins; Bouclier du Captain Amakna; Ceinture de l'Esprit Malsain; Masque de l'Esprit Malsain; Cape de la Dame du Hasard; Bottes de l'Esprit Malsain; Dofus Nébuleux; Dolmanax; Dofus Ocre; Dofus Pourpre; Dofus des Glaces; Dofus Turquoise; Muldo Orchidée et Pourpre</t>
        </is>
      </c>
    </row>
    <row r="6156">
      <c r="A6156" t="inlineStr">
        <is>
          <t>Stuff Anti-CC</t>
        </is>
      </c>
      <c r="B6156">
        <f>HYPERLINK("https://www.dofusbook.net/fr/equipement/1435776-stuff-anti-cc/objets", "link")</f>
        <v/>
      </c>
      <c r="C6156" t="n">
        <v>3</v>
      </c>
      <c r="D6156" t="inlineStr">
        <is>
          <t>Arc du Chalœil; Amulette de Pol Ouatnos; Bracelet du Piloztère; Pikano; Bouclier du Stalak; Ceinture de la Reine des Voleurs; Masque de Koutoulou; Cape au Logis; Pantoufles du Piloztère; Dofus Turquoise; Dofus Abyssal; Dofus Ocre; Dokoko; Dofus Nébuleux; Carapace Air majeur; Kramkram</t>
        </is>
      </c>
    </row>
    <row r="6157">
      <c r="A6157" t="inlineStr">
        <is>
          <t>Stuff Air - Feu</t>
        </is>
      </c>
      <c r="B6157">
        <f>HYPERLINK("https://www.dofusbook.net/fr/equipement/1344045-stuff-air---feu/objets", "link")</f>
        <v/>
      </c>
      <c r="C6157" t="n">
        <v>3</v>
      </c>
      <c r="D6157" t="inlineStr">
        <is>
          <t>Hache du Chalœil; Amulette du Strigide; Alliance Gloursonne; Anneau de Padgref; Quatre-feuilles; Ceinture du Strigide; Coiffe de Padgref; Voile d'encre; Getas de Padgref; Dofus Turquoise; Dokoko; Dofus Ocre; Dofus Abyssal; Dolmanax; Dofus Nébuleux; Muldo Indigo et Emeraude</t>
        </is>
      </c>
    </row>
    <row r="6158">
      <c r="A6158" t="inlineStr">
        <is>
          <t>Eliotrope M 200</t>
        </is>
      </c>
      <c r="B6158">
        <f>HYPERLINK("https://www.dofusbook.net/fr/equipement/5875826-eliotrope-m-200/objets", "link")</f>
        <v/>
      </c>
      <c r="C6158" t="n">
        <v>5</v>
      </c>
      <c r="D6158" t="inlineStr">
        <is>
          <t>Arc de Koutoulou; Amulette d'Ilyzaelle; Alliance Gloursonne; Anneau de Pol Ouatnos; Bouclier du Stalak; Ceinture Voldelor; Casque d'Ilyzaelle; Cape Matelassée; Bottes de la Reine des Voleurs; Dofus Ocre; Dofus Pourpre; Nomade; Robuste majeur; Vigoureux majeur; Cascadeur majeur; Volkorne Indigo et Ebène</t>
        </is>
      </c>
    </row>
    <row r="6159">
      <c r="A6159" t="inlineStr">
        <is>
          <t>Eniripsa M 200</t>
        </is>
      </c>
      <c r="B6159">
        <f>HYPERLINK("https://www.dofusbook.net/fr/equipement/5887328-eniripsa-m-200/objets", "link")</f>
        <v/>
      </c>
      <c r="C6159" t="n">
        <v>1</v>
      </c>
      <c r="D6159" t="inlineStr">
        <is>
          <t>Harpelle; Amulette d'Otomaï; Anneau de Pol Ouatnos; Anneau Tamie; Bouclier du Cycloïde; Ceinture Séculaire; Coiffe Séculaire; Cape de Diondin; Pantoufles Émar; Dofus Turquoise; Guérisseur majeur; Nomade; Érudit majeur; Soigneur majeur; Remueur; Brûlih</t>
        </is>
      </c>
    </row>
    <row r="6160">
      <c r="A6160" t="inlineStr">
        <is>
          <t>Eliotrope M 200</t>
        </is>
      </c>
      <c r="B6160">
        <f>HYPERLINK("https://www.dofusbook.net/fr/equipement/5857925-eliotrope-m-200/objets", "link")</f>
        <v/>
      </c>
      <c r="C6160" t="n">
        <v>3</v>
      </c>
      <c r="D6160" t="inlineStr">
        <is>
          <t>Sabres d'Atcham; Amulette de l'Œil Putride; Anneau de Padgref; Anneau de Pol Ouatnos; Bouclier du Captain Amakna; Ceintacé; Capuche de l'Œil Putride; Cape d'Atcham; Sandales  d'Atcham; Dofus Turquoise; Dofus Abyssal; Dofus Émeraude; Dofus Ocre; Dofus Pourpre; Dofus des Glaces; Muldo Prune et Emeraude</t>
        </is>
      </c>
    </row>
    <row r="6161">
      <c r="A6161" t="inlineStr">
        <is>
          <t>Pandawa M 200</t>
        </is>
      </c>
      <c r="B6161">
        <f>HYPERLINK("https://www.dofusbook.net/fr/equipement/5909205-pandawa-m-200/objets", "link")</f>
        <v/>
      </c>
      <c r="C6161" t="n">
        <v>3</v>
      </c>
      <c r="D6161" t="inlineStr">
        <is>
          <t>Épée Brûlâme; Collier de la Dame du Hasard; Alliance Gloursonne; Alliance de Missiz Frizz; Bouclier du Captain Amakna; Ceintacé; Coiffe du Lévitrof; Cape de la Dame du Hasard; Pataugastrique; Dofus Turquoise; Dofus Pourpre; Nomade; Remueur; Observateur; Vigoureux majeur; Muldo Prune et Emeraude</t>
        </is>
      </c>
    </row>
    <row r="6162">
      <c r="A6162" t="inlineStr">
        <is>
          <t>Enutrof M 200</t>
        </is>
      </c>
      <c r="B6162">
        <f>HYPERLINK("https://www.dofusbook.net/fr/equipement/5955210-enutrof-m-200/objets", "link")</f>
        <v/>
      </c>
      <c r="C6162" t="n">
        <v>1</v>
      </c>
      <c r="D6162" t="inlineStr">
        <is>
          <t>Dagoulinantes; Amulette de Shokkoth; Anneau Glacial; Alliance Gloursonne; Bouclier cubiste; Sangle Ouare; Kidibonnet; Cape Glaciale; Pataugastrique; Dofus Turquoise; Chanceux majeur; Temporiseur majeur; Remueur; Entraveur majeur; Nomade; Dehluge</t>
        </is>
      </c>
    </row>
    <row r="6163">
      <c r="A6163" t="inlineStr">
        <is>
          <t>Iop M 200</t>
        </is>
      </c>
      <c r="B6163">
        <f>HYPERLINK("https://www.dofusbook.net/fr/equipement/5941851-iop-m-200/objets", "link")</f>
        <v/>
      </c>
      <c r="C6163" t="n">
        <v>4</v>
      </c>
      <c r="D6163" t="inlineStr">
        <is>
          <t>Dagues du Dragoeuf; Amulette du Strigide; Bague Gloursonne; Chevalière du Roi Joueur; Bouclier du Captain Amakna; Ceintacé; Casque de Missiz Frizz; Voile d'encre; Bottes du Strigide; Dofus Turquoise; Dofus Ocre; Dofus Pourpre; Nomade; Vigoureux majeur; Enragé majeur; Chacha Angora</t>
        </is>
      </c>
    </row>
    <row r="6164">
      <c r="A6164" t="inlineStr">
        <is>
          <t>Pandawa M 200</t>
        </is>
      </c>
      <c r="B6164">
        <f>HYPERLINK("https://www.dofusbook.net/fr/equipement/5921628-pandawa-m-200/objets", "link")</f>
        <v/>
      </c>
      <c r="C6164" t="n">
        <v>1</v>
      </c>
      <c r="D6164" t="inlineStr">
        <is>
          <t>Rouleau à Pâtisserie d'Aermyne; Amulette Cryochrone; Anneau Crustique; Alliance Gloursonne; Bouclier Feudala; Ceinture de Kongoku; Casque Dragoeuf; Cape Matelassée; Pataugastrique; Dofus Émeraude; Nomade; Remueur; Fonceur majeur; Obstructeur majeur; Bloqueur majeur; Muldo Roux et Indigo</t>
        </is>
      </c>
    </row>
    <row r="6165">
      <c r="A6165" t="inlineStr">
        <is>
          <t>Eliotrope M 200</t>
        </is>
      </c>
      <c r="B6165">
        <f>HYPERLINK("https://www.dofusbook.net/fr/equipement/5470421-eliotrope-m-200/objets", "link")</f>
        <v/>
      </c>
      <c r="C6165" t="n">
        <v>3</v>
      </c>
      <c r="D6165" t="inlineStr">
        <is>
          <t>Baguette de Malléfisk; Amulette d'Otomaï; Anneau Tamie; Anneau Tamie; Bouclier du Cycloïde; Ceinture Séculaire; Coiffe Séculaire; Cape de Diondin; Pantoufles Émar; Dofus Pourpre; Dofus Turquoise; Érudit majeur; Remueur; Guérisseur majeur; Nomade; Brûlih</t>
        </is>
      </c>
    </row>
    <row r="6166">
      <c r="A6166" t="inlineStr">
        <is>
          <t>Iop M 200</t>
        </is>
      </c>
      <c r="B6166">
        <f>HYPERLINK("https://www.dofusbook.net/fr/equipement/5507387-iop-m-200/objets", "link")</f>
        <v/>
      </c>
      <c r="C6166" t="n">
        <v>6</v>
      </c>
      <c r="D6166" t="inlineStr">
        <is>
          <t>Arc du Chalœil; Collier de Tourthon; Anneau Crustique; Anneau de Brouce; Bouclier du Captain Amakna; Ceinture de Brouce; Masque de Koutoulou; Cape au Logis; Sabots Minables; Dofus Turquoise; Dofus Pourpre; Nomade; Enragé majeur; Remueur; Vigoureux majeur; Pioute vert</t>
        </is>
      </c>
    </row>
    <row r="6167">
      <c r="A6167" t="inlineStr">
        <is>
          <t>Enutrof M 200</t>
        </is>
      </c>
      <c r="B6167">
        <f>HYPERLINK("https://www.dofusbook.net/fr/equipement/5788789-enutrof-m-200/objets", "link")</f>
        <v/>
      </c>
      <c r="C6167" t="n">
        <v>1</v>
      </c>
      <c r="D6167" t="inlineStr">
        <is>
          <t>Dagues Açantes; Collier Lunaire; Pikano; Alliance Gloursonne; Bouclier cubiste; Ceinture Glaciale; Casquipik; Cape de Léthaline; Pantoufles Émar; Entraveur majeur; Nomade; Chanceux majeur; Ralentisseur majeur; Temporiseur majeur; Remueur; Volkorne Turquoise</t>
        </is>
      </c>
    </row>
    <row r="6168">
      <c r="A6168" t="inlineStr">
        <is>
          <t>coco is back</t>
        </is>
      </c>
      <c r="B6168">
        <f>HYPERLINK("https://www.dofusbook.net/fr/equipement/5867649-coco-is-back/objets", "link")</f>
        <v/>
      </c>
      <c r="C6168" t="n">
        <v>1</v>
      </c>
      <c r="D6168" t="inlineStr">
        <is>
          <t>Crocobur; Amulette du Strigide; Bague Gloursonne; Anneau Chevelu; Cadran d'Eau; Ceinture de la Cour Sombre; Casque Dragoeuf; Cape au Logis; Bottes de la Cour Sombre; Dofus Turquoise; Dofus Ocre; Dofus Ivoire; Dofus Ébène; Dofus Pourpre; Remueur; Bulbisou</t>
        </is>
      </c>
    </row>
    <row r="6169">
      <c r="A6169" t="inlineStr">
        <is>
          <t>terre opti</t>
        </is>
      </c>
      <c r="B6169">
        <f>HYPERLINK("https://www.dofusbook.net/fr/equipement/6011713-terre-opti/objets", "link")</f>
        <v/>
      </c>
      <c r="C6169" t="n">
        <v>0</v>
      </c>
      <c r="D6169" t="inlineStr">
        <is>
          <t>Arc du Chalœil; Amulette du Cœur Saignant; Anneau Volkorne; Chevalière du Roi Joueur; Quatre-feuilles; Ceinture Volkorne; Couronne du Roi Joueur; Cape du Cœur Saignant; Bottes du Cœur Saignant; Dofus Vulbis; Dofus Ocre; Dofus Turquoise; Dofus Ivoire; Dofus Pourpre; Dofus Ébène; Pioute vert</t>
        </is>
      </c>
    </row>
    <row r="6170">
      <c r="A6170" t="inlineStr">
        <is>
          <t>test</t>
        </is>
      </c>
      <c r="B6170">
        <f>HYPERLINK("https://www.dofusbook.net/fr/equipement/6003340-test/objets", "link")</f>
        <v/>
      </c>
      <c r="C6170" t="n">
        <v>1</v>
      </c>
      <c r="D6170" t="inlineStr">
        <is>
          <t>Hache du Chalœil; Amulette Volkorne; Anneau Volkorne; Bague Trithon; Quatre-feuilles; Ceinture Volkorne; Masque Trithon; Cape du Chalœil; Bottes Trithon; Dofus Turquoise; Dofus Ébène; Dolmanax; Dofus Ocre; Dofus Ivoire; Dofus Pourpre; Chacha Angora</t>
        </is>
      </c>
    </row>
    <row r="6171">
      <c r="A6171" t="inlineStr">
        <is>
          <t>test agi</t>
        </is>
      </c>
      <c r="B6171">
        <f>HYPERLINK("https://www.dofusbook.net/fr/equipement/5868907-test-agi/objets", "link")</f>
        <v/>
      </c>
      <c r="C6171" t="n">
        <v>2</v>
      </c>
      <c r="D6171" t="inlineStr">
        <is>
          <t>Manthache; Collier du Valet Veinard; Gant du Valet Veinard; Alliance Gloursonne; Bouclier précieux; Menoture; Casque Volkorne; Cape Martegel; Bottes de l'Esprit Salvateur; Dofus Pourpre; Dofus Argenté; Dofus Ébène; Dofus Ivoire; Dofus Vulbis; Cascadeur majeur; Blérodoudou</t>
        </is>
      </c>
    </row>
    <row r="6172">
      <c r="A6172" t="inlineStr">
        <is>
          <t>test</t>
        </is>
      </c>
      <c r="B6172">
        <f>HYPERLINK("https://www.dofusbook.net/fr/equipement/5839110-test/objets", "link")</f>
        <v/>
      </c>
      <c r="C6172" t="n">
        <v>2</v>
      </c>
      <c r="D6172" t="inlineStr">
        <is>
          <t>Arc corrompu; Amulette Volkorne; Anneauræus; Anneauræus; Quatre-feuilles; Ceinture de Gein; Heaume Oplate; Cape de la Dame du Hasard; Bottes de la Dame du Hasard; Dofus Pourpre; Dofus Ivoire; Dofus Ébène; Dofus Ocre; Dofus Turquoise; Nomade; Pioute rouge</t>
        </is>
      </c>
    </row>
    <row r="6173">
      <c r="A6173" t="inlineStr">
        <is>
          <t>agi</t>
        </is>
      </c>
      <c r="B6173">
        <f>HYPERLINK("https://www.dofusbook.net/fr/equipement/596863-agi/objets", "link")</f>
        <v/>
      </c>
      <c r="C6173" t="n">
        <v>15</v>
      </c>
      <c r="D6173" t="inlineStr">
        <is>
          <t>Manthache; Collier du Valet Veinard; Alliance Gloursonne; Gant du Valet Veinard; Cadran d'Air; Menoture; Casque Dragoeuf; Cape Martegel; Palmes Trithons; Dofus Vulbis; Dofus Pourpre; Dofus Ébène; Dofus Ivoire; Vigoureux majeur; Cascadeur majeur; Blérodoudou</t>
        </is>
      </c>
    </row>
    <row r="6174">
      <c r="A6174" t="inlineStr">
        <is>
          <t>test</t>
        </is>
      </c>
      <c r="B6174">
        <f>HYPERLINK("https://www.dofusbook.net/fr/equipement/5311096-test/objets", "link")</f>
        <v/>
      </c>
      <c r="C6174" t="n">
        <v>3</v>
      </c>
      <c r="D6174" t="inlineStr">
        <is>
          <t>Arc corrompu; Amulette Volkorne; Chevalière du Roi Joueur; Anneauræus; Quatre-feuilles; Croture; Heaume Oplate; Cape de la Dame du Hasard; Bottes de la Dame du Hasard; Dofus Nébuleux; Dofus Ocre; Dofus Turquoise; Dofus Pourpre; Dofus Ivoire; Nomade; Pioute rouge</t>
        </is>
      </c>
    </row>
    <row r="6175">
      <c r="A6175" t="inlineStr">
        <is>
          <t>eau/feu</t>
        </is>
      </c>
      <c r="B6175">
        <f>HYPERLINK("https://www.dofusbook.net/fr/equipement/2463798-eau-feu/objets", "link")</f>
        <v/>
      </c>
      <c r="C6175" t="n">
        <v>6</v>
      </c>
      <c r="D6175" t="inlineStr">
        <is>
          <t>Arc Nécrotique; Talisman Igans; Bracelet des Fonds marins; Anneau Tique; Quatre-feuilles; Ceintacé; Casquette de Meno; Cape de la Dame du Hasard; Bottes de la Dame du Hasard; Dofus Pourpre; Dofus Turquoise; Dofus Ivoire; Dofus Ocre; Fonceur majeur; Nomade; Chacha Angora</t>
        </is>
      </c>
    </row>
    <row r="6176">
      <c r="A6176" t="inlineStr">
        <is>
          <t>eau</t>
        </is>
      </c>
      <c r="B6176">
        <f>HYPERLINK("https://www.dofusbook.net/fr/equipement/5782830-eau/objets", "link")</f>
        <v/>
      </c>
      <c r="C6176" t="n">
        <v>3</v>
      </c>
      <c r="D6176" t="inlineStr">
        <is>
          <t>Dagoulinantes; Amulette du Sinistrofu; Alliance Gloursonne; Anneau en Grithril; Cadran d'Eau; Sangle Ouare; Kidibonnet; Cape Solution; Bottes du Sinistrofu; Dofus Ivoire; Dofus Abyssal; Dofus Ébène; Dofus Pourpre; Dofus Émeraude; Chanceux majeur; Kanigloups</t>
        </is>
      </c>
    </row>
    <row r="6177">
      <c r="A6177" t="inlineStr">
        <is>
          <t>test</t>
        </is>
      </c>
      <c r="B6177">
        <f>HYPERLINK("https://www.dofusbook.net/fr/equipement/5660445-test/objets", "link")</f>
        <v/>
      </c>
      <c r="C6177" t="n">
        <v>1</v>
      </c>
      <c r="D6177" t="inlineStr">
        <is>
          <t>Arc corrompu; Amulette Volkorne; Anneauræus; Anneauræus; Bouclier du Stalak; Ceinture Volkorne; Heaume Oplate; Voile d'encre; Bottes Innommables; Dofus Pourpre; Dofus Ébène; Dofus Ivoire; Remueur; Nomade; Érudit majeur; Pioute rouge</t>
        </is>
      </c>
    </row>
    <row r="6178">
      <c r="A6178" t="inlineStr">
        <is>
          <t>test</t>
        </is>
      </c>
      <c r="B6178">
        <f>HYPERLINK("https://www.dofusbook.net/fr/equipement/5518326-test/objets", "link")</f>
        <v/>
      </c>
      <c r="C6178" t="n">
        <v>42</v>
      </c>
      <c r="D6178" t="inlineStr">
        <is>
          <t>Marteau R'ture; Amulette du Strigide; Anneau Crustique; Anneau Chevelu; Bouclier Taverne; Ceinture de la Cour Sombre; Masque de Koutoulou; Cape au Logis; Bottes de la Cour Sombre; Dofus Ivoire; Dofus Ébène; Dofus Turquoise; Dofus Pourpre; Remueur; Enragé majeur; Pioute vert</t>
        </is>
      </c>
    </row>
    <row r="6179">
      <c r="A6179" t="inlineStr">
        <is>
          <t>test</t>
        </is>
      </c>
      <c r="B6179">
        <f>HYPERLINK("https://www.dofusbook.net/fr/equipement/5241486-test/objets", "link")</f>
        <v/>
      </c>
      <c r="C6179" t="n">
        <v>6</v>
      </c>
      <c r="D6179" t="inlineStr">
        <is>
          <t>Pelle Dorado; Amulette des Chocomanciens; Pikano; Alliance Gloursonne; Bouclier cubiste; Ceinture Instable; Kidibonnet; Cape de Léthaline; Pikottes; Dofus Ocre; Chanceux majeur; Entraveur majeur; Ralentisseur majeur; Temporiseur; Temporiseur majeur; Gwo Tofu Ventripotent</t>
        </is>
      </c>
    </row>
    <row r="6180">
      <c r="A6180" t="inlineStr">
        <is>
          <t>test</t>
        </is>
      </c>
      <c r="B6180">
        <f>HYPERLINK("https://www.dofusbook.net/fr/equipement/5660197-test/objets", "link")</f>
        <v/>
      </c>
      <c r="C6180" t="n">
        <v>5</v>
      </c>
      <c r="D6180" t="inlineStr">
        <is>
          <t>Arc corrompu; Amulette Volkorne; Anneauræus; Anneauræus; Cadran de Terre; Ceinture Séculaire; Coiffe Séculaire; Cape de Diondin; Bottes Innommables; Dofus Ivoire; Dofus Ébène; Remueur; Érudit majeur; Nomade; Carapace Feu majeur; Bisouglours</t>
        </is>
      </c>
    </row>
    <row r="6181">
      <c r="A6181" t="inlineStr">
        <is>
          <t>test</t>
        </is>
      </c>
      <c r="B6181">
        <f>HYPERLINK("https://www.dofusbook.net/fr/equipement/5659628-test/objets", "link")</f>
        <v/>
      </c>
      <c r="C6181" t="n">
        <v>9</v>
      </c>
      <c r="D6181" t="inlineStr">
        <is>
          <t>Arc corrompu; Amulette Volkorne; Chevalière du Roi Joueur; Anneauræus; Bouclier du Stalak; Ceinture Volkorne; Casque Dragoeuf; Cape de Diondin; Bottes Innommables; Dofus Pourpre; Dofus Ébène; Dofus Vulbis; Dofus Ocre; Dofus Ivoire; Érudit majeur; Bisouglours</t>
        </is>
      </c>
    </row>
    <row r="6182">
      <c r="A6182" t="inlineStr">
        <is>
          <t>Eniripsa F 200</t>
        </is>
      </c>
      <c r="B6182">
        <f>HYPERLINK("https://www.dofusbook.net/fr/equipement/5656389-eniripsa-f-200/objets", "link")</f>
        <v/>
      </c>
      <c r="C6182" t="n">
        <v>6</v>
      </c>
      <c r="D6182" t="inlineStr">
        <is>
          <t>Arc corrompu; Pendentif mignon de Koutoulou; Anneauræus; Anneau Rifique; Cadran de Terre; Ceinture de Vortex; Casque Dragoeuf; Cape de Diondin; Pataugastrique; Dofus Ivoire; Dofus Ébène; Dofus Pourpre; Dofus Vulbis; Érudit majeur; Bisouglours</t>
        </is>
      </c>
    </row>
    <row r="6183">
      <c r="A6183" t="inlineStr">
        <is>
          <t>Huppermage F 200</t>
        </is>
      </c>
      <c r="B6183">
        <f>HYPERLINK("https://www.dofusbook.net/fr/equipement/5652021-huppermage-f-200/objets", "link")</f>
        <v/>
      </c>
      <c r="C6183" t="n">
        <v>9</v>
      </c>
      <c r="D6183" t="inlineStr">
        <is>
          <t>Arc corrompu; Pendentif affamé; Chevalière du Roi Joueur; Anneauræus; Bouclier du Stalak; Ceinture de Vortex; Heaume Oplate; Cape de la Dame du Hasard; Bottes de la Dame du Hasard; Dofus Ocre; Dofus Turquoise; Dofus Ivoire; Dofus Pourpre; Dofus Ébène; Nomade; Pioute rouge</t>
        </is>
      </c>
    </row>
    <row r="6184">
      <c r="A6184" t="inlineStr">
        <is>
          <t>eau</t>
        </is>
      </c>
      <c r="B6184">
        <f>HYPERLINK("https://www.dofusbook.net/fr/equipement/1382385-eau/objets", "link")</f>
        <v/>
      </c>
      <c r="C6184" t="n">
        <v>4</v>
      </c>
      <c r="D6184" t="inlineStr">
        <is>
          <t>Baguette Héroclite; Amulette du Sinistrofu; Alliance Gloursonne; Anneau en Grithril; Quatre-feuilles; Ceinture en Grithril; Casque en Grithril; Cape du Sinistrofu; Bottes du Sinistrofu; Dofus Nébuleux; Dofus Ivoire; Dofus Turquoise; Dofus Ocre; Dofus Vulbis; Dofus Pourpre; Pioute bleu</t>
        </is>
      </c>
    </row>
    <row r="6185">
      <c r="A6185" t="inlineStr">
        <is>
          <t>tset</t>
        </is>
      </c>
      <c r="B6185">
        <f>HYPERLINK("https://www.dofusbook.net/fr/equipement/5473904-tset/objets", "link")</f>
        <v/>
      </c>
      <c r="C6185" t="n">
        <v>1</v>
      </c>
      <c r="D6185" t="inlineStr">
        <is>
          <t>Marteau R'ture; Collier de Tourthon; Bague Gloursonne; Anneau Chevelu; Quatre-feuilles; Ceinture de la Cour Sombre; Masque de Koutoulou; Cape au Logis; Bottes de la Cour Sombre; Dofus Pourpre; Dofus Ivoire; Dofus Turquoise; Dofus Nébuleux; Remueur; Enragé majeur; Bulbisou</t>
        </is>
      </c>
    </row>
    <row r="6186">
      <c r="A6186" t="inlineStr">
        <is>
          <t>farm trithons</t>
        </is>
      </c>
      <c r="B6186">
        <f>HYPERLINK("https://www.dofusbook.net/fr/equipement/1444762-farm-trithons/objets", "link")</f>
        <v/>
      </c>
      <c r="C6186" t="n">
        <v>3</v>
      </c>
      <c r="D6186" t="inlineStr">
        <is>
          <t>Hache du Guerrier Zoth; Amulette du Glourséleste; Alliance Gloursonne; Pikano; Bouclier cubiste; Ceinture Instable; Casquipik; Cape de Léthaline; Pantoufles Émar; Entraveur majeur; Remueur; Temporiseur majeur; Entraveur; Ralentisseur majeur; Temporiseur; Gwo Tofu Ventripotent</t>
        </is>
      </c>
    </row>
    <row r="6187">
      <c r="A6187" t="inlineStr">
        <is>
          <t>eau-do pou</t>
        </is>
      </c>
      <c r="B6187">
        <f>HYPERLINK("https://www.dofusbook.net/fr/equipement/5433628-eau-do-pou/objets", "link")</f>
        <v/>
      </c>
      <c r="C6187" t="n">
        <v>3</v>
      </c>
      <c r="D6187" t="inlineStr">
        <is>
          <t>Masse Ossiale; Amulette Luminescente; Alliance Gloursonne; Bracelet des Fonds marins; Bouclier précieux; Sangle Ouare; Masque Paztek; Cape Solution; Sandales Paztek; Dokoko; Dofus Ivoire; Dofus Ébène; Bousculeur majeur; Remueur; Culbuteur majeur; Balafreux</t>
        </is>
      </c>
    </row>
    <row r="6188">
      <c r="A6188" t="inlineStr">
        <is>
          <t>Stuff 1</t>
        </is>
      </c>
      <c r="B6188">
        <f>HYPERLINK("https://www.dofusbook.net/fr/equipement/596890-stuff-1/objets", "link")</f>
        <v/>
      </c>
      <c r="C6188" t="n">
        <v>6</v>
      </c>
      <c r="D6188" t="inlineStr">
        <is>
          <t>Arc Hétype; Amulette d'Otomaï; Anneau Tamie; Anneau Tamie; Bivalve; Ceinture Séculaire; Coiffe Séculaire; Cape de Diondin; Pataugastrique; Dolmanax; Dévastateur Feu majeur; Érudit majeur; Savant majeur; Nomade; Astucieux majeur; Brûlih</t>
        </is>
      </c>
    </row>
    <row r="6189">
      <c r="A6189" t="inlineStr">
        <is>
          <t>test</t>
        </is>
      </c>
      <c r="B6189">
        <f>HYPERLINK("https://www.dofusbook.net/fr/equipement/5061717-test/objets", "link")</f>
        <v/>
      </c>
      <c r="C6189" t="n">
        <v>8</v>
      </c>
      <c r="D6189" t="inlineStr">
        <is>
          <t>Arc du Chalœil; Collier de Tourthon; Anneau Chevelu; Anneau du Cycloïde; Quatre-feuilles; Ceinture Volkorne; Masque de Koutoulou; Cape de la Cour Sombre; Bottes de la Cour Sombre; Dolmanax; Dofus Nébuleux; Dofus Pourpre; Remueur; Enragé majeur; Nomade; Kompost</t>
        </is>
      </c>
    </row>
    <row r="6190">
      <c r="A6190" t="inlineStr">
        <is>
          <t>eau/feu</t>
        </is>
      </c>
      <c r="B6190">
        <f>HYPERLINK("https://www.dofusbook.net/fr/equipement/2625125-eau-feu/objets", "link")</f>
        <v/>
      </c>
      <c r="C6190" t="n">
        <v>4</v>
      </c>
      <c r="D6190" t="inlineStr">
        <is>
          <t>Arc Nécrotique; Talisman Igans; Bracelet des Fonds marins; Anneau Tique; Bouclier cubiste; Ceintacé; Casquette de Meno; Cape de la Dame du Hasard; Bottes de la Dame du Hasard; Dofus Turquoise; Dofus Ébène; Dofus Ivoire; Dofus Pourpre; Nomade; Remueur; Muldo Orchidée et Emeraude</t>
        </is>
      </c>
    </row>
    <row r="6191">
      <c r="A6191" t="inlineStr">
        <is>
          <t>test</t>
        </is>
      </c>
      <c r="B6191">
        <f>HYPERLINK("https://www.dofusbook.net/fr/equipement/5086324-test/objets", "link")</f>
        <v/>
      </c>
      <c r="C6191" t="n">
        <v>3</v>
      </c>
      <c r="D6191" t="inlineStr">
        <is>
          <t>Arc corrompu; Amulette Volkorne; Bague Gloursonne; Chevalière du Roi Joueur; Quatre-feuilles; Ceinture de l'Esprit Malsain; Heaume Oplate; Voile d'encre; Bottes Innommables; Dofus Pourpre; Dokoko; Dofus Ivoire; Dofus Turquoise; Dofus Ocre; Nomade; Bwak de Terre</t>
        </is>
      </c>
    </row>
    <row r="6192">
      <c r="A6192" t="inlineStr">
        <is>
          <t>Stuff 3</t>
        </is>
      </c>
      <c r="B6192">
        <f>HYPERLINK("https://www.dofusbook.net/fr/equipement/596859-stuff-3/objets", "link")</f>
        <v/>
      </c>
      <c r="C6192" t="n">
        <v>4</v>
      </c>
      <c r="D6192" t="inlineStr">
        <is>
          <t>Dagoulinantes; Amulette de Shokkoth; Alliance Gloursonne; Bracelet des Fonds marins; Sept ans de malheur; Sangle Ouare; Kidibonnet; Cape Solution; Sandales Circulaires du Kimbo; Dofus Émeraude; Dolmanax; Fonceur majeur; Remueur; Chanceux majeur; Nomade; Kanigloups</t>
        </is>
      </c>
    </row>
    <row r="6193">
      <c r="A6193" t="inlineStr">
        <is>
          <t>test</t>
        </is>
      </c>
      <c r="B6193">
        <f>HYPERLINK("https://www.dofusbook.net/fr/equipement/4708949-test/objets", "link")</f>
        <v/>
      </c>
      <c r="C6193" t="n">
        <v>9</v>
      </c>
      <c r="D6193" t="inlineStr">
        <is>
          <t>Arc corrompu; Pendentif affamé; Anneau Toriété; Anneau de Nidas; Bouclier du Cycloïde; Ceinture de Vortex; Couronne de Nidas; Cape de Diondin; Pataugastrique; Nomade; Remueur; Érudit majeur; Bisouglours</t>
        </is>
      </c>
    </row>
    <row r="6194">
      <c r="A6194" t="inlineStr">
        <is>
          <t>ougi eau</t>
        </is>
      </c>
      <c r="B6194">
        <f>HYPERLINK("https://www.dofusbook.net/fr/equipement/4384565-ougi-eau/objets", "link")</f>
        <v/>
      </c>
      <c r="C6194" t="n">
        <v>1</v>
      </c>
      <c r="D6194" t="inlineStr">
        <is>
          <t>Dagoulinantes; Amulette de Shokkoth; Bracelet des Fonds marins; Alliance Gloursonne; Bouclier du Stalak; Sangle Ouare; Kidibonnet; Cape du Sinistrofu; Bottes du Sinistrofu; Dofus Pourpre; Dofus Turquoise; Dévastateur Eau majeur; Nomade; Remueur; Chanceux majeur; Kanigloups</t>
        </is>
      </c>
    </row>
    <row r="6195">
      <c r="A6195" t="inlineStr">
        <is>
          <t>test</t>
        </is>
      </c>
      <c r="B6195">
        <f>HYPERLINK("https://www.dofusbook.net/fr/equipement/2160961-test/objets", "link")</f>
        <v/>
      </c>
      <c r="C6195" t="n">
        <v>2</v>
      </c>
      <c r="D6195" t="inlineStr">
        <is>
          <t>Lav'Hache; Amulette du Cœur Vaillant; Bague Gloursonne; Chevalière du Roi Joueur; Bouclier du Stalak; Ceinture Volkorne; Masque de Koutoulou; Cape de la Cour Sombre; Bottes de la Cour Sombre; Dofus Pourpre; Dokoko; Dofus Ocre; Nomade; Dévastateur Terre majeur; Enragé majeur; Bulbisou</t>
        </is>
      </c>
    </row>
    <row r="6196">
      <c r="A6196" t="inlineStr">
        <is>
          <t>test</t>
        </is>
      </c>
      <c r="B6196">
        <f>HYPERLINK("https://www.dofusbook.net/fr/equipement/4590389-test/objets", "link")</f>
        <v/>
      </c>
      <c r="C6196" t="n">
        <v>2</v>
      </c>
      <c r="D6196" t="inlineStr">
        <is>
          <t>Arc Honte; Pendentif mignon de Koutoulou; Anneau Toriété; Anneau Rifique; Bouclier du Stalak; Ceinture de l'Esprit Salvateur; Cagoule de Vortex; Cape Martegel; Pantoufles Émar; Dofus Abyssal; Dofus Ocre; Dofus Pourpre; Cascadeur majeur; Érudit majeur; Nomade; Willy le Relou</t>
        </is>
      </c>
    </row>
    <row r="6197">
      <c r="A6197" t="inlineStr">
        <is>
          <t>Stuff 1</t>
        </is>
      </c>
      <c r="B6197">
        <f>HYPERLINK("https://www.dofusbook.net/fr/equipement/596854-stuff-1/objets", "link")</f>
        <v/>
      </c>
      <c r="C6197" t="n">
        <v>6</v>
      </c>
      <c r="D6197" t="inlineStr">
        <is>
          <t>Dagues Érhy; Amulette du Strigide; Chevalière du Roi Joueur; Bague Gloursonne; Bouclier du Captain Amakna; Ceinture du Strigide; Masque Brûlâme; Cape du Professeur Xa; Bottes du Cycloïde; Dofus Abyssal; Dofus Turquoise; Dofus Pourpre; Dofus Ocre; Remueur; Vigoureux majeur; Chacha Angora</t>
        </is>
      </c>
    </row>
    <row r="6198">
      <c r="A6198" t="inlineStr">
        <is>
          <t>Stuff 1</t>
        </is>
      </c>
      <c r="B6198">
        <f>HYPERLINK("https://www.dofusbook.net/fr/equipement/596886-stuff-1/objets", "link")</f>
        <v/>
      </c>
      <c r="C6198" t="n">
        <v>6</v>
      </c>
      <c r="D6198" t="inlineStr">
        <is>
          <t>Hache du Chalœil; Amulette du Strigide; Anneau Toriété; Alliance Gloursonne; Bouclier du Stalak; Ceinture du Strigide; Masque de l'Esprit Salvateur; Voile d'encre; Bottes Honyme; Dofus Turquoise; Dofus Pourpre; Nomade; Remueur; Robuste majeur; Vigoureux majeur; Chacha Angora</t>
        </is>
      </c>
    </row>
    <row r="6199">
      <c r="A6199" t="inlineStr">
        <is>
          <t>feu do pou</t>
        </is>
      </c>
      <c r="B6199">
        <f>HYPERLINK("https://www.dofusbook.net/fr/equipement/4518399-feu-do-pou/objets", "link")</f>
        <v/>
      </c>
      <c r="C6199" t="n">
        <v>2</v>
      </c>
      <c r="D6199" t="inlineStr">
        <is>
          <t>Plumeau Bil; Torquistik; Anneauræus; Chevalière du Roi Joueur; Bouclier Taverne; Ceintacé; Chapeau des Malveilleurs; Voile d'encre; Bottistik; Dofus Ocre; Bousculeur majeur; Nomade; Érudit majeur; Remueur; Culbuteur majeur; Scarakiri</t>
        </is>
      </c>
    </row>
    <row r="6200">
      <c r="A6200" t="inlineStr">
        <is>
          <t>test</t>
        </is>
      </c>
      <c r="B6200">
        <f>HYPERLINK("https://www.dofusbook.net/fr/equipement/4438173-test/objets", "link")</f>
        <v/>
      </c>
      <c r="C6200" t="n">
        <v>2</v>
      </c>
      <c r="D6200" t="inlineStr">
        <is>
          <t>Arc Hétype; Collier de la Dame du Hasard; Anneau de Nidas; Anneau du Professeur Xa; Bouclier cubiste; Ceinture Instable; Couronne de Nidas; Cape de Diondin; Pantoufles Émar; Entraveur majeur; Remueur; Temporiseur majeur; Érudit majeur; Nomade; Léopardo</t>
        </is>
      </c>
    </row>
    <row r="6201">
      <c r="A6201" t="inlineStr">
        <is>
          <t>test</t>
        </is>
      </c>
      <c r="B6201">
        <f>HYPERLINK("https://www.dofusbook.net/fr/equipement/4438278-test/objets", "link")</f>
        <v/>
      </c>
      <c r="C6201" t="n">
        <v>2</v>
      </c>
      <c r="D6201" t="inlineStr">
        <is>
          <t>Dagues Açantes; Amulette Luminescente; Pikano; Alliance Gloursonne; Bouclier cubiste; Ceintacé; Kidibonnet; Cape de Léthaline; Pikottes; Nomade; Chanceux majeur; Entraveur majeur; Remueur; Temporiseur majeur; Léopardo</t>
        </is>
      </c>
    </row>
    <row r="6202">
      <c r="A6202" t="inlineStr">
        <is>
          <t>ougi feu</t>
        </is>
      </c>
      <c r="B6202">
        <f>HYPERLINK("https://www.dofusbook.net/fr/equipement/4422058-ougi-feu/objets", "link")</f>
        <v/>
      </c>
      <c r="C6202" t="n">
        <v>3</v>
      </c>
      <c r="D6202" t="inlineStr">
        <is>
          <t>Plumeau Bil; Amulette de Nileza; Anneauræus; Chevalière du Roi Joueur; Bouclier Taverne; Ceinture Séculaire; Coiffe Séculaire; Voile d'encre; Pataugastrique; Dofus Ocre; Dofus Pourpre; Dofus Émeraude; Érudit majeur; Remueur; Nomade; Pioute rouge</t>
        </is>
      </c>
    </row>
    <row r="6203">
      <c r="A6203" t="inlineStr">
        <is>
          <t>multi</t>
        </is>
      </c>
      <c r="B6203">
        <f>HYPERLINK("https://www.dofusbook.net/fr/equipement/2616515-multi/objets", "link")</f>
        <v/>
      </c>
      <c r="C6203" t="n">
        <v>11</v>
      </c>
      <c r="D6203" t="inlineStr">
        <is>
          <t>Hache du Chalœil; Amulette du Strigide; Alliance Gloursonne; Bracelet du Piloztère; Quatre-feuilles; Ceinture du Strigide; Le Dorado; Dofusteuse; Bottes Honyme; Dofus des Glaces; Dofus Pourpre; Dofus Turquoise; Nomade; Remueur; Vigoureux majeur; Muldo Doré et Emeraude</t>
        </is>
      </c>
    </row>
    <row r="6204">
      <c r="A6204" t="inlineStr">
        <is>
          <t>eca</t>
        </is>
      </c>
      <c r="B6204">
        <f>HYPERLINK("https://www.dofusbook.net/fr/equipement/4409650-eca/objets", "link")</f>
        <v/>
      </c>
      <c r="C6204" t="n">
        <v>7</v>
      </c>
      <c r="D6204" t="inlineStr">
        <is>
          <t>Arc Nécrotique; Talisman Igans; Anneau Tique; Bracelet des Fonds marins; Bouclier du Stalak; Ceintacé; Kidibonnet; Cape de la Dame du Hasard; Bottes de la Dame du Hasard; Dofus Turquoise; Dofus Pourpre; Vigoureux majeur; Remueur; Nomade; Observateur; Muldo Orchidée et Emeraude</t>
        </is>
      </c>
    </row>
    <row r="6205">
      <c r="A6205" t="inlineStr">
        <is>
          <t>test</t>
        </is>
      </c>
      <c r="B6205">
        <f>HYPERLINK("https://www.dofusbook.net/fr/equipement/4287221-test/objets", "link")</f>
        <v/>
      </c>
      <c r="C6205" t="n">
        <v>2</v>
      </c>
      <c r="D6205" t="inlineStr">
        <is>
          <t>Lav'Hache; Amulette du Strigide; Bracelet du Piloztère; Anneau Chevelu; Bouclier du Stalak; Ceinture Volkorne; Masque de Koutoulou; Cape au Logis; Bottes du Strigide; Dofus Pourpre; Dofus Ocre; Remueur; Nomade; Vigoureux majeur; Enragé majeur; Bulbisou</t>
        </is>
      </c>
    </row>
    <row r="6206">
      <c r="A6206" t="inlineStr">
        <is>
          <t>Sadida F 200</t>
        </is>
      </c>
      <c r="B6206">
        <f>HYPERLINK("https://www.dofusbook.net/fr/equipement/4346668-sadida-f-200/objets", "link")</f>
        <v/>
      </c>
      <c r="C6206" t="n">
        <v>6</v>
      </c>
      <c r="D6206" t="inlineStr">
        <is>
          <t>Arc Nécrotique; Amulette Volkorne; Alliance Gloursonne; Anneau Volkorne; Bouclier cubiste; Ceinture de l'Esprit Salvateur; Masque de l'Esprit Salvateur; Voilamibe; Bottes de l'Esprit Salvateur; Dofus Ocre; Dofus Abyssal; Dofus des Glaces; Dolmanax; Dofus Pourpre; Entraveur majeur; Wabbit</t>
        </is>
      </c>
    </row>
    <row r="6207">
      <c r="A6207" t="inlineStr">
        <is>
          <t>Enutrof M 200</t>
        </is>
      </c>
      <c r="B6207">
        <f>HYPERLINK("https://www.dofusbook.net/fr/equipement/4267631-enutrof-m-200/objets", "link")</f>
        <v/>
      </c>
      <c r="C6207" t="n">
        <v>1</v>
      </c>
      <c r="D6207" t="inlineStr">
        <is>
          <t>Épée Brûlâme; Collier de la Dame du Hasard; Bracelet du Piloztère; Anneau de Nidas; Bouclier cubiste; Sangle Ouare; Casquette de Meno; Cape Solution; Bottes de Meno; Dofus Ocre; Dofus Pourpre; Entraveur majeur; Ralentisseur majeur; Vigoureux majeur; Temporiseur majeur; Léopardo</t>
        </is>
      </c>
    </row>
    <row r="6208">
      <c r="A6208" t="inlineStr">
        <is>
          <t>Eniripsa F 200</t>
        </is>
      </c>
      <c r="B6208">
        <f>HYPERLINK("https://www.dofusbook.net/fr/equipement/4267394-eniripsa-f-200/objets", "link")</f>
        <v/>
      </c>
      <c r="C6208" t="n">
        <v>1</v>
      </c>
      <c r="D6208" t="inlineStr">
        <is>
          <t>Sabres d'Atcham; Amulette Volkorne; Kralano; Anneau Volkorne; Bouclier du Captain Amakna; Ceintacé; Casque Volkorne; Cape d'Atcham; Sandales  d'Atcham; Dofus Turquoise; Dofus Abyssal; Dofus Émeraude; Dofus Pourpre; Dolmanax; Dofus des Glaces; Chacha Angora</t>
        </is>
      </c>
    </row>
    <row r="6209">
      <c r="A6209" t="inlineStr">
        <is>
          <t>Stuff 1</t>
        </is>
      </c>
      <c r="B6209">
        <f>HYPERLINK("https://www.dofusbook.net/fr/equipement/596882-stuff-1/objets", "link")</f>
        <v/>
      </c>
      <c r="C6209" t="n">
        <v>2</v>
      </c>
      <c r="D6209" t="inlineStr">
        <is>
          <t>Dagues Érhy; Amulette Volkorne; Alliance Gloursonne; Anneau de Nidas; Cadran de Terre; Ceintacé; Casque Volkorne; Cape Martegel; Sandales  d'Atcham; Dofus Abyssal; Dofus Ocre; Entraveur majeur; Vigoureux majeur; Temporiseur majeur; Nomade; Willy le Relou</t>
        </is>
      </c>
    </row>
    <row r="6210">
      <c r="A6210" t="inlineStr">
        <is>
          <t>Iop M 200</t>
        </is>
      </c>
      <c r="B6210">
        <f>HYPERLINK("https://www.dofusbook.net/fr/equipement/4258342-iop-m-200/objets", "link")</f>
        <v/>
      </c>
      <c r="C6210" t="n">
        <v>2</v>
      </c>
      <c r="D6210" t="inlineStr">
        <is>
          <t>Épée Brûlâme; Talisman Igans; Bracelet des Fonds marins; Anneau Tique; Bouclier du Captain Amakna; Sangle Ouare; Kidibonnet; Cape de la Dame du Hasard; Bottes de la Dame du Hasard; Dofus Pourpre; Dofus Turquoise; Dofus Ivoire; Dofus des Glaces; Remueur; Nomade; Chacha Angora</t>
        </is>
      </c>
    </row>
    <row r="6211">
      <c r="A6211" t="inlineStr">
        <is>
          <t>Stuff 1</t>
        </is>
      </c>
      <c r="B6211">
        <f>HYPERLINK("https://www.dofusbook.net/fr/equipement/596879-stuff-1/objets", "link")</f>
        <v/>
      </c>
      <c r="C6211" t="n">
        <v>1</v>
      </c>
      <c r="D6211" t="inlineStr">
        <is>
          <t>Marteau d'Henual; Amulette du Strigide; Anneau Toriété; Alliance Gloursonne; Bouclier du Stalak; Ceinture du Strigide; Masque de l'Esprit Salvateur; Voile d'encre; Bottes Honyme; Dofus des Glaces; Dofus Pourpre; Dofus Turquoise; Dolmanax; Nomade; Remueur; Sakochère</t>
        </is>
      </c>
    </row>
    <row r="6212">
      <c r="A6212" t="inlineStr">
        <is>
          <t>Sacrieur F 200</t>
        </is>
      </c>
      <c r="B6212">
        <f>HYPERLINK("https://www.dofusbook.net/fr/equipement/4179521-sacrieur-f-200/objets", "link")</f>
        <v/>
      </c>
      <c r="C6212" t="n">
        <v>5</v>
      </c>
      <c r="D6212" t="inlineStr">
        <is>
          <t>Dagues de Srambad; Amulette du Strigide; Bracelet du Piloztère; Anneau Volkorne; Bouclier Taverne; Ceinture Volkorne; Kidibonnet; Cape au Logis; Bottes Honyme; Dofus Pourpre; Dofus des Glaces; Dofus Abyssal; Dofus Émeraude; Dofus Turquoise; Remueur; Muldo Doré et Pourpre</t>
        </is>
      </c>
    </row>
    <row r="6213">
      <c r="A6213" t="inlineStr">
        <is>
          <t>Pandawa F 200</t>
        </is>
      </c>
      <c r="B6213">
        <f>HYPERLINK("https://www.dofusbook.net/fr/equipement/4171938-pandawa-f-200/objets", "link")</f>
        <v/>
      </c>
      <c r="C6213" t="n">
        <v>6</v>
      </c>
      <c r="D6213" t="inlineStr">
        <is>
          <t>Arc Nécrotique; Amulette Volkorne; Bracelet du Piloztère; Anneau Volkorne; Quatre-feuilles; Ceinture Volkorne; Casquette de Meno; Cape de Meno; Bottes de Meno; Dofus Ivoire; Dofus des Glaces; Dofus Turquoise; Dofus Ocre; Dofus Pourpre; Dofus Abyssal; Walk</t>
        </is>
      </c>
    </row>
    <row r="6214">
      <c r="A6214" t="inlineStr">
        <is>
          <t>Stuff 1</t>
        </is>
      </c>
      <c r="B6214">
        <f>HYPERLINK("https://www.dofusbook.net/fr/equipement/596887-stuff-1/objets", "link")</f>
        <v/>
      </c>
      <c r="C6214" t="n">
        <v>2</v>
      </c>
      <c r="D6214" t="inlineStr">
        <is>
          <t>Canne Harr; Amulette d'Otomaï; Kralano; Anneau de Padgref; Bouclier du Captain Amakna; Ceinture Séculaire; Coiffe de Padgref; Cape Hiculteur; Pantoufles Émar; Dofus Pourpre; Dofus Turquoise; Remueur; Érudit majeur; Vigoureux majeur; Nomade; Chacha Angora</t>
        </is>
      </c>
    </row>
    <row r="6215">
      <c r="A6215" t="inlineStr">
        <is>
          <t>Stuff 1</t>
        </is>
      </c>
      <c r="B6215">
        <f>HYPERLINK("https://www.dofusbook.net/fr/equipement/596891-stuff-1/objets", "link")</f>
        <v/>
      </c>
      <c r="C6215" t="n">
        <v>5</v>
      </c>
      <c r="D6215" t="inlineStr">
        <is>
          <t>Épée de la Reine des Voleurs; Amulette du Kamasterisk; Anneau du Cycloïde; Anneau des égarés; Bouclier du Stalak; Ceintacé; Coiffe de la Reine des Voleurs; Cape du Kamasterisk; Baleinabottes; Dofus Pourpre; Vigoureux majeur; Enragé majeur; Nomade; Cascadeur majeur; Remueur; Mékrabe</t>
        </is>
      </c>
    </row>
    <row r="6216">
      <c r="A6216" t="inlineStr">
        <is>
          <t>multi</t>
        </is>
      </c>
      <c r="B6216">
        <f>HYPERLINK("https://www.dofusbook.net/fr/equipement/596864-multi/objets", "link")</f>
        <v/>
      </c>
      <c r="C6216" t="n">
        <v>3</v>
      </c>
      <c r="D6216" t="inlineStr">
        <is>
          <t>Dagues Érhy; Amulette de l'Indicible; Bracelet du Piloztère; Chevalière du Roi Joueur; Bouclier du Captain Amakna; Ceinture de l'Indicible; Le Dorado; Cape au Logis; Baleinabottes; Dolmanax; Dofus Pourpre; Dofus Turquoise; Dofus des Glaces; Vigoureux majeur; Nomade; Chacha Angora</t>
        </is>
      </c>
    </row>
    <row r="6217">
      <c r="A6217" t="inlineStr">
        <is>
          <t>do pou</t>
        </is>
      </c>
      <c r="B6217">
        <f>HYPERLINK("https://www.dofusbook.net/fr/equipement/2463700-do-pou/objets", "link")</f>
        <v/>
      </c>
      <c r="C6217" t="n">
        <v>5</v>
      </c>
      <c r="D6217" t="inlineStr">
        <is>
          <t>Dagoulinantes; Amulette du Strigide; Anneau Toriété; Bague Trithon; Bouclier précieux; Sangle Ouare; Kidibonnet; Cape Matelassée; Bottes Trithon; Dofus Émeraude; Dofus Turquoise; Chanceux majeur; Culbuteur majeur; Bousculeur majeur; Remueur; Écumouth</t>
        </is>
      </c>
    </row>
    <row r="6218">
      <c r="A6218" t="inlineStr">
        <is>
          <t>dopou dopou dopou</t>
        </is>
      </c>
      <c r="B6218">
        <f>HYPERLINK("https://www.dofusbook.net/fr/equipement/1465833-dopou-dopou-dopou-/objets", "link")</f>
        <v/>
      </c>
      <c r="C6218" t="n">
        <v>4</v>
      </c>
      <c r="D6218" t="inlineStr">
        <is>
          <t>Lav'Hache; Amulette Luminescente; Bague Gloursonne; Bague Trithon; Bouclier précieux; Ceinture Gence; Chapeau de Gein; Cape au Logis; Bottes Trithon; Dokoko; Dofus Pourpre; Remueur; Nomade; Bousculeur majeur; Culbuteur majeur; Kramkram</t>
        </is>
      </c>
    </row>
    <row r="6219">
      <c r="A6219" t="inlineStr">
        <is>
          <t>Enutrof M 200</t>
        </is>
      </c>
      <c r="B6219">
        <f>HYPERLINK("https://www.dofusbook.net/fr/equipement/3599486-enutrof-m-200/objets", "link")</f>
        <v/>
      </c>
      <c r="C6219" t="n">
        <v>2</v>
      </c>
      <c r="D6219" t="inlineStr">
        <is>
          <t>Bâtonnet Ronien; Amulette Hale; Pikano; Alliance Gloursonne; Bouclier cubiste; Ceinture Glaciale; Maskrobe; Cape de Léthaline; Chaussures Face; Dofus Ocre; Dofus Pourpre; Ralentisseur majeur; Entraveur majeur; Remueur; Temporiseur majeur; Volkorne Turquoise</t>
        </is>
      </c>
    </row>
    <row r="6220">
      <c r="A6220" t="inlineStr">
        <is>
          <t>Enutrof M 200</t>
        </is>
      </c>
      <c r="B6220">
        <f>HYPERLINK("https://www.dofusbook.net/fr/equipement/3540896-enutrof-m-200/objets", "link")</f>
        <v/>
      </c>
      <c r="C6220" t="n">
        <v>2</v>
      </c>
      <c r="D6220" t="inlineStr">
        <is>
          <t>Baguette Héroclite; Amulette de Pol Ouatnos; Pikano; Alliance Gloursonne; Bouclier cubiste; Ceinture Glaciale; Kidibonnet; Cape du Barbétoal; Pikottes; Dofus Ocre; Nomade; Chanceux majeur; Remueur; Temporiseur majeur; Vigoureux majeur; Dragodinde Prune et Indigo</t>
        </is>
      </c>
    </row>
    <row r="6221">
      <c r="A6221" t="inlineStr">
        <is>
          <t>Sacrieur F 200</t>
        </is>
      </c>
      <c r="B6221">
        <f>HYPERLINK("https://www.dofusbook.net/fr/equipement/3490201-sacrieur-f-200/objets", "link")</f>
        <v/>
      </c>
      <c r="C6221" t="n">
        <v>4</v>
      </c>
      <c r="D6221" t="inlineStr">
        <is>
          <t>Hache Ériphe; Amulette du Cycloïde; Anneau Chevelu; Gant du Valet Veinard; Bouclier d'Ilyzaelle; Ceinture de l'Esprit Salvateur; Coiffe de la Fuji Givrefoux; Cape du Kamasterisk; Bottes du Kamasterisk; Dofus Émeraude; Dofus Ivoire; Dofus Abyssal; Dofus Pourpre; Dofus Ocre; Nomade; Volkorne Doré et Prune</t>
        </is>
      </c>
    </row>
    <row r="6222">
      <c r="A6222" t="inlineStr">
        <is>
          <t>Sacrieur F 200</t>
        </is>
      </c>
      <c r="B6222">
        <f>HYPERLINK("https://www.dofusbook.net/fr/equipement/3487493-sacrieur-f-200/objets", "link")</f>
        <v/>
      </c>
      <c r="C6222" t="n">
        <v>2</v>
      </c>
      <c r="D6222" t="inlineStr">
        <is>
          <t>Héqache; Amulette du Strigide; Bague Gloursonne; Bague Trithon; Bouclier du Captain Amakna; Ceinture Volkorne; Casque Volkorne; Cape au Logis; Bottes du Strigide; Dofus Abyssal; Dofus Turquoise; Dofus des Glaces; Dofus Ocre; Dofus Pourpre; Dofus Émeraude; Muldo Doré et Emeraude</t>
        </is>
      </c>
    </row>
    <row r="6223">
      <c r="A6223" t="inlineStr">
        <is>
          <t>Stuff 2</t>
        </is>
      </c>
      <c r="B6223">
        <f>HYPERLINK("https://www.dofusbook.net/fr/equipement/2365879-stuff-2/objets", "link")</f>
        <v/>
      </c>
      <c r="C6223" t="n">
        <v>2</v>
      </c>
      <c r="D6223" t="inlineStr">
        <is>
          <t>Hache du Chalœil; Amulette du Strigide; Bracelet du Piloztère; Anneau Toriété; Quatre-feuilles; Ceinture du Strigide; Le Dorado; Dofusteuse; Bottes Honyme; Dofus Pourpre; Dofus Turquoise; Dofus Émeraude; Dofus des Glaces; Remueur; Miraculé majeur; Muldo Prune et Emeraude</t>
        </is>
      </c>
    </row>
    <row r="6224">
      <c r="A6224" t="inlineStr">
        <is>
          <t>Osamodas M 200</t>
        </is>
      </c>
      <c r="B6224">
        <f>HYPERLINK("https://www.dofusbook.net/fr/equipement/3412661-osamodas-m-200/objets", "link")</f>
        <v/>
      </c>
      <c r="C6224" t="n">
        <v>4</v>
      </c>
      <c r="D6224" t="inlineStr">
        <is>
          <t>La Racine Hagogue; Amulette du Strigide; Bracelet du Piloztère; Anneau Toriété; Bouclier cubiste; Ceintacé; Coiffe de la Reine des Voleurs; Cape Matelassée; Bottes de la Reine des Voleurs; Chanceux majeur; Miraculé majeur; Enragé majeur; Remueur; Cascadeur majeur; Survivant majeur; Muldo Caméléon</t>
        </is>
      </c>
    </row>
    <row r="6225">
      <c r="A6225" t="inlineStr">
        <is>
          <t>drak eau</t>
        </is>
      </c>
      <c r="B6225">
        <f>HYPERLINK("https://www.dofusbook.net/fr/equipement/2704230-drak-eau/objets", "link")</f>
        <v/>
      </c>
      <c r="C6225" t="n">
        <v>1</v>
      </c>
      <c r="D6225" t="inlineStr">
        <is>
          <t>Pelle Fik; Amulette de Shokkoth; Gelano; Alliance Gloursonne; Bouclier cubiste; Ceinture de Kongoku; Casquette de Meno; Cape de Meno; Sandales Circulaires du Kimbo; Dofus Ocre; Chanceux majeur; Entraveur majeur; Nomade; Temporiseur majeur; Remueur; Croum</t>
        </is>
      </c>
    </row>
    <row r="6226">
      <c r="A6226" t="inlineStr">
        <is>
          <t>drak</t>
        </is>
      </c>
      <c r="B6226">
        <f>HYPERLINK("https://www.dofusbook.net/fr/equipement/2703727-drak/objets", "link")</f>
        <v/>
      </c>
      <c r="C6226" t="n">
        <v>4</v>
      </c>
      <c r="D6226" t="inlineStr">
        <is>
          <t>Marteau R'ture; Amulette du Cycloïde; Alliance Gloursonne; Anneau de Padgref; Bouclier cubiste; Ceinture Luminescente; Masque de Koutoulou; Cape de Kongoku; Baleinabottes; Temporiseur majeur; Remueur; Ralentisseur majeur; Entraveur majeur; Enragé majeur; Nomade; Muldo Indigo et Pourpre</t>
        </is>
      </c>
    </row>
    <row r="6227">
      <c r="A6227" t="inlineStr">
        <is>
          <t>feu pvm</t>
        </is>
      </c>
      <c r="B6227">
        <f>HYPERLINK("https://www.dofusbook.net/fr/equipement/2695328-feu-pvm/objets", "link")</f>
        <v/>
      </c>
      <c r="C6227" t="n">
        <v>2</v>
      </c>
      <c r="D6227" t="inlineStr">
        <is>
          <t>Arc corrompu; Amulette de Nileza; Anneauræus; Anneau de Nidas; Quatre-feuilles; Ceinture Séculaire; Coiffe Séculaire; Cape de Diondin; Bottes Honyme; Dofus Pourpre; Dofus Turquoise; Érudit majeur; Remueur; Vigoureux majeur; Nomade; Muldo Doré et Orchidée</t>
        </is>
      </c>
    </row>
    <row r="6228">
      <c r="A6228" t="inlineStr">
        <is>
          <t>terre</t>
        </is>
      </c>
      <c r="B6228">
        <f>HYPERLINK("https://www.dofusbook.net/fr/equipement/2627925-terre/objets", "link")</f>
        <v/>
      </c>
      <c r="C6228" t="n">
        <v>1</v>
      </c>
      <c r="D6228" t="inlineStr">
        <is>
          <t>Marteau R'ture; Amulette Héroclite; Bracelet du Piloztère; Anneau de Brouce; Bouclier Taverne; Ceintacé; Le Kim; Cape au Logis; Baleinabottes</t>
        </is>
      </c>
    </row>
    <row r="6229">
      <c r="A6229" t="inlineStr">
        <is>
          <t>terre</t>
        </is>
      </c>
      <c r="B6229">
        <f>HYPERLINK("https://www.dofusbook.net/fr/equipement/2627791-terre/objets", "link")</f>
        <v/>
      </c>
      <c r="C6229" t="n">
        <v>1</v>
      </c>
      <c r="D6229" t="inlineStr">
        <is>
          <t>Baguette Hique; Collier de la Dame du Hasard; Bracelet du Piloztère; Anneau de Nidas; Bouclier cubiste; Sangle Ouare; Kidibonnet; Cape de Kongoku; Pataugastrique</t>
        </is>
      </c>
    </row>
    <row r="6230">
      <c r="A6230" t="inlineStr">
        <is>
          <t>eau/feu</t>
        </is>
      </c>
      <c r="B6230">
        <f>HYPERLINK("https://www.dofusbook.net/fr/equipement/2625079-eau-feu/objets", "link")</f>
        <v/>
      </c>
      <c r="C6230" t="n">
        <v>2</v>
      </c>
      <c r="D6230" t="inlineStr">
        <is>
          <t>Épée Brûlâme; Talisman Igans; Anneau Tique; Bracelet des Fonds marins; Bouclier du Captain Amakna; Ceinture du Strigide; Casquette de Meno; Cape de la Dame du Hasard; Bottes de la Dame du Hasard; Dofus Émeraude; Dofus Ocre; Dofus Pourpre; Dofus Turquoise; Remueur; Nomade; Muldo Orchidée et Emeraude</t>
        </is>
      </c>
    </row>
    <row r="6231">
      <c r="A6231" t="inlineStr">
        <is>
          <t>test</t>
        </is>
      </c>
      <c r="B6231">
        <f>HYPERLINK("https://www.dofusbook.net/fr/equipement/2624627-test/objets", "link")</f>
        <v/>
      </c>
      <c r="C6231" t="n">
        <v>3</v>
      </c>
      <c r="D6231" t="inlineStr">
        <is>
          <t>Épée Brûlâme; Amulette du Strigide; Anneau Tique; Lavanneau; Bouclier du Captain Amakna; Ceinture du Strigide; Le Dorado; Cape de la Dame du Hasard; Bottes Honyme; Dofus Turquoise; Dofus des Glaces; Dofus Pourpre; Nomade; Remueur; Vigoureux majeur; Muldo Doré et Orchidée</t>
        </is>
      </c>
    </row>
    <row r="6232">
      <c r="A6232" t="inlineStr">
        <is>
          <t>test</t>
        </is>
      </c>
      <c r="B6232">
        <f>HYPERLINK("https://www.dofusbook.net/fr/equipement/2065143-test/objets", "link")</f>
        <v/>
      </c>
      <c r="C6232" t="n">
        <v>3</v>
      </c>
      <c r="D6232" t="inlineStr">
        <is>
          <t>Marteau de Katrepat; Amulette du Strigide; Chevalière du Roi Joueur; Bague Gloursonne; Bouclier du Captain Amakna; Ceinture du Strigide; Masque Brûlâme; Cape du Professeur Xa; Bottes du Cycloïde; Dofus Pourpre; Dofus Ocre; Dofus Turquoise; Vigoureux majeur; Enragé majeur; Remueur; Kramkram</t>
        </is>
      </c>
    </row>
    <row r="6233">
      <c r="A6233" t="inlineStr">
        <is>
          <t>test</t>
        </is>
      </c>
      <c r="B6233">
        <f>HYPERLINK("https://www.dofusbook.net/fr/equipement/2365624-test/objets", "link")</f>
        <v/>
      </c>
      <c r="C6233" t="n">
        <v>4</v>
      </c>
      <c r="D6233" t="inlineStr">
        <is>
          <t>Arc Ahique; Collier du Valet Veinard; Gant du Valet Veinard; Anneau Raille; Quatre-feuilles; Ceinture de la Reine des Voleurs; Coiffe de la Reine des Voleurs; Cape du Valet Veinard; Bottes de la Reine des Voleurs; Dofus Turquoise; Dofus Nébuleux; Dolmanax; Dofus Ocre; Dofus Pourpre; Dofus des Glaces; Muldo Ebène et Emeraude</t>
        </is>
      </c>
    </row>
    <row r="6234">
      <c r="A6234" t="inlineStr">
        <is>
          <t>cra persé</t>
        </is>
      </c>
      <c r="B6234">
        <f>HYPERLINK("https://www.dofusbook.net/fr/equipement/2301036-cra-perse/objets", "link")</f>
        <v/>
      </c>
      <c r="C6234" t="n">
        <v>7</v>
      </c>
      <c r="D6234" t="inlineStr">
        <is>
          <t>Marteau Phossile; Amulette du Strigide; Kralano; Anneau de Padgref; Quatre-feuilles; Ceinture du Strigide; Le Dorado; Cape Reski; Pantoufles Émar; Dofus Nébuleux; Dofus Turquoise; Dofus Pourpre; Nomade; Vigoureux majeur; Remueur; Muldo Doré et Emeraude</t>
        </is>
      </c>
    </row>
    <row r="6235">
      <c r="A6235" t="inlineStr">
        <is>
          <t>terre-feu</t>
        </is>
      </c>
      <c r="B6235">
        <f>HYPERLINK("https://www.dofusbook.net/fr/equipement/596865-terre-feu/objets", "link")</f>
        <v/>
      </c>
      <c r="C6235" t="n">
        <v>1</v>
      </c>
      <c r="D6235" t="inlineStr">
        <is>
          <t>Epée Toche; Amulette du Strigide; Bague Gloursonne; Bracelet du Piloztère; Bouclier du Captain Amakna; Ceinture du Strigide; Chapeau de Gein; Voile d'encre; Bottes de la Cour Sombre; Dofus Turquoise; Dolmanax; Dofus Ocre; Nomade; Remueur; Enragé majeur; Dragodinde en armure</t>
        </is>
      </c>
    </row>
    <row r="6236">
      <c r="A6236" t="inlineStr">
        <is>
          <t>feca feu</t>
        </is>
      </c>
      <c r="B6236">
        <f>HYPERLINK("https://www.dofusbook.net/fr/equipement/1758887-feca-feu/objets", "link")</f>
        <v/>
      </c>
      <c r="C6236" t="n">
        <v>1</v>
      </c>
      <c r="D6236" t="inlineStr">
        <is>
          <t>Arc Hétype; Talisman Igans; Anneau de Nidas; Chevalière du Roi Joueur; Sept ans de malheur; Ceinture de Vortex; Casque Dragoeuf; Voile d'encre; Pataugastrique; Dofus Émeraude; Dofus Ocre; Temporiseur majeur; Étourdisseur majeur; Entraveur majeur; Érudit majeur; Muldo Ebène et Indigo</t>
        </is>
      </c>
    </row>
    <row r="6237">
      <c r="A6237" t="inlineStr">
        <is>
          <t>pvm</t>
        </is>
      </c>
      <c r="B6237">
        <f>HYPERLINK("https://www.dofusbook.net/fr/equipement/1690329-pvm/objets", "link")</f>
        <v/>
      </c>
      <c r="C6237" t="n">
        <v>5</v>
      </c>
      <c r="D6237" t="inlineStr">
        <is>
          <t>Bâton Beau; Amulette du Strigide; Bracelet du Piloztère; Bague Gloursonne; Quatre-feuilles; Ceinture du Strigide; Le Dorado; Cape Reski; Pataugastrique; Dofus Pourpre; Nomade; Chanceux majeur; Vigoureux majeur; Érudit majeur; Remueur; Muldo Doré et Emeraude</t>
        </is>
      </c>
    </row>
    <row r="6238">
      <c r="A6238" t="inlineStr">
        <is>
          <t>vrai</t>
        </is>
      </c>
      <c r="B6238">
        <f>HYPERLINK("https://www.dofusbook.net/fr/equipement/1667746-vrai/objets", "link")</f>
        <v/>
      </c>
      <c r="C6238" t="n">
        <v>2</v>
      </c>
      <c r="D6238" t="inlineStr">
        <is>
          <t>Dagoulinantes; Amulette de Shokkoth; Bracelet des Fonds marins; Alliance Gloursonne; La Rondelle; Sangle Ouare; Kidibonnet; Cape Matelassée; Sandales Circulaires du Kimbo; Dofus Turquoise; Dofus Pourpre; Dofus Ocre; Dofus Émeraude; Nomade; Miraculé majeur; Kramkram</t>
        </is>
      </c>
    </row>
    <row r="6239">
      <c r="A6239" t="inlineStr">
        <is>
          <t>res</t>
        </is>
      </c>
      <c r="B6239">
        <f>HYPERLINK("https://www.dofusbook.net/fr/equipement/1664786-res/objets", "link")</f>
        <v/>
      </c>
      <c r="C6239" t="n">
        <v>4</v>
      </c>
      <c r="D6239" t="inlineStr">
        <is>
          <t>Manthache; Collier du Valet Veinard; Anneau de XLII; Alliance Gloursonne; Bouclier Terrdala; Menoture; Masque d'Anerice; Cape d'Anerice; Baleinabottes; Dokoko; Dofus Émeraude; Dofus Pourpre; Dofus Ocre; Nomade; Miraculé majeur; Muldo Ebène</t>
        </is>
      </c>
    </row>
    <row r="6240">
      <c r="A6240" t="inlineStr">
        <is>
          <t>testeuh</t>
        </is>
      </c>
      <c r="B6240">
        <f>HYPERLINK("https://www.dofusbook.net/fr/equipement/1491336-testeuh/objets", "link")</f>
        <v/>
      </c>
      <c r="C6240" t="n">
        <v>1</v>
      </c>
      <c r="D6240" t="inlineStr">
        <is>
          <t>Héqache; Amulette du Strigide; Bracelet du Piloztère; Bague Gloursonne; Bouclier Taverne; Ceinture du Strigide; Coiffe de la Reine des Voleurs; Capille; Baleinabottes; Dofus Émeraude; Dofus Turquoise; Dofus Pourpre; Dofus Ocre; Remueur; Nomade; Muldo Ebène et Orchidée</t>
        </is>
      </c>
    </row>
    <row r="6241">
      <c r="A6241" t="inlineStr">
        <is>
          <t>hihi</t>
        </is>
      </c>
      <c r="B6241">
        <f>HYPERLINK("https://www.dofusbook.net/fr/equipement/1503766-hihi/objets", "link")</f>
        <v/>
      </c>
      <c r="C6241" t="n">
        <v>2</v>
      </c>
      <c r="D6241" t="inlineStr">
        <is>
          <t>Héqache; Amulette du Strigide; Bague Trithon; Anneau Chevelu; Bouclier du Captain Amakna; Ceinture du Strigide; Bonnet Ko; Voile d'encre; Tentassons; Dofus Turquoise; Dofus Ocre; Dofus Émeraude; Remueur; Nomade; Miraculé majeur; Muldo Ebène et Pourpre</t>
        </is>
      </c>
    </row>
    <row r="6242">
      <c r="A6242" t="inlineStr">
        <is>
          <t>ggg</t>
        </is>
      </c>
      <c r="B6242">
        <f>HYPERLINK("https://www.dofusbook.net/fr/equipement/1491383-ggg/objets", "link")</f>
        <v/>
      </c>
      <c r="C6242" t="n">
        <v>3</v>
      </c>
      <c r="D6242" t="inlineStr">
        <is>
          <t>Hache Euvale; Amulette Luminescente; Alliance Gloursonne; Bague Trithon; Bouclier précieux; Sangle Ouare; Kidibonnet; Cape Luminescente; Baleinabottes; Dofus Ocre; Dofus Émeraude; Dofus Turquoise; Culbuteur majeur; Bousculeur majeur; Miraculé majeur; Muldo Ebène et Pourpre</t>
        </is>
      </c>
    </row>
    <row r="6243">
      <c r="A6243" t="inlineStr">
        <is>
          <t>res/do pou</t>
        </is>
      </c>
      <c r="B6243">
        <f>HYPERLINK("https://www.dofusbook.net/fr/equipement/1462181-res-do--pou/objets", "link")</f>
        <v/>
      </c>
      <c r="C6243" t="n">
        <v>1</v>
      </c>
      <c r="D6243" t="inlineStr">
        <is>
          <t>Rouleau à Pâtisserie d'Aermyne; Amulette du Strigide; Bague Trithon; Alliance Gloursonne; Bouclier d'Anerice; Sangle Ouare; Masque d'Anerice; Cape d'Anerice; Pataugastrique; Dofus Turquoise; Dofus Émeraude; Bousculeur majeur; Remueur; Miraculé majeur; Culbuteur majeur; Péki</t>
        </is>
      </c>
    </row>
    <row r="6244">
      <c r="A6244" t="inlineStr">
        <is>
          <t>farm trithons</t>
        </is>
      </c>
      <c r="B6244">
        <f>HYPERLINK("https://www.dofusbook.net/fr/equipement/1444317-farm-trithons/objets", "link")</f>
        <v/>
      </c>
      <c r="C6244" t="n">
        <v>2</v>
      </c>
      <c r="D6244" t="inlineStr">
        <is>
          <t>La Baguette des Limbes; Talisman Igans; Anneau Tamie; Anneau Kturne; Bouclier du Stalak; Ceinture du Glourséleste; Masque du Glourséleste; Cape Reski; Pataugastrique; Érudit majeur; Féroce majeur; Chanceux majeur; Remueur; Robuste majeur; Vigoureux majeur; Muldo Doré</t>
        </is>
      </c>
    </row>
    <row r="6245">
      <c r="A6245" t="inlineStr">
        <is>
          <t>hupp-air</t>
        </is>
      </c>
      <c r="B6245">
        <f>HYPERLINK("https://www.dofusbook.net/fr/equipement/1443108-hupp-air/objets", "link")</f>
        <v/>
      </c>
      <c r="C6245" t="n">
        <v>2</v>
      </c>
      <c r="D6245" t="inlineStr">
        <is>
          <t>Hachoirs de Viandargh; Collier du Valet Veinard; Gant du Valet Veinard; Alliance Gloursonne; Bouclier Taverne; Menoture; Dorabysses; Cape du Barbétoal; Baleinabottes; Dofus Turquoise; Dofus Pourpre; Cascadeur majeur; Remueur; Vigoureux majeur; Nomade; Muldo Prune et Ebène</t>
        </is>
      </c>
    </row>
    <row r="6246">
      <c r="A6246" t="inlineStr">
        <is>
          <t>soutien</t>
        </is>
      </c>
      <c r="B6246">
        <f>HYPERLINK("https://www.dofusbook.net/fr/equipement/1431151-soutien/objets", "link")</f>
        <v/>
      </c>
      <c r="C6246" t="n">
        <v>1</v>
      </c>
      <c r="D6246" t="inlineStr">
        <is>
          <t>Pelle de la Cour Sombre; Amulette du Strigide; Anneau de Pol Ouatnos; Alliance Gloursonne; Bouclier du Mont Kipou; Ceinture de Kongoku; Casque Dragoeuf; Cape de Kongoku; Baleinabottes; Dofus Ocre; Dokoko; Dofus Émeraude; Temporiseur majeur; Étourdisseur majeur; Miraculé majeur; Kramkram</t>
        </is>
      </c>
    </row>
    <row r="6247">
      <c r="A6247" t="inlineStr">
        <is>
          <t>fecafeu</t>
        </is>
      </c>
      <c r="B6247">
        <f>HYPERLINK("https://www.dofusbook.net/fr/equipement/1431074-fecafeu/objets", "link")</f>
        <v/>
      </c>
      <c r="C6247" t="n">
        <v>1</v>
      </c>
      <c r="D6247" t="inlineStr">
        <is>
          <t>Arc Hétype; Amulette d'Otomaï; Anneau de Nidas; Chevalière du Roi Joueur; Bouclier cubiste; Ceinture de Vortex; Couronne de Nidas; Cape de Diondin; Pantoufles Émar; Érudit majeur; Remueur; Nomade; Dévastateur Feu majeur; Entraveur majeur; Temporiseur majeur; Muldo Indigo et Amande</t>
        </is>
      </c>
    </row>
    <row r="6248">
      <c r="A6248" t="inlineStr">
        <is>
          <t>farm</t>
        </is>
      </c>
      <c r="B6248">
        <f>HYPERLINK("https://www.dofusbook.net/fr/equipement/1423307-farm/objets", "link")</f>
        <v/>
      </c>
      <c r="C6248" t="n">
        <v>3</v>
      </c>
      <c r="D6248" t="inlineStr">
        <is>
          <t>La Baguette des Limbes; Amulette du Glourséleste; Alliance Gloursonne; Bague Gloursonne; Bouclier du Stalak; Ceinture du Strigide; Le Dorado; Cape Reski; Pataugastrique; Féroce majeur; Dévastateur Air majeur; Dévastateur Feu majeur; Robuste majeur; Dévastateur Eau majeur; Vigoureux majeur; Chacha Tigré</t>
        </is>
      </c>
    </row>
    <row r="6249">
      <c r="A6249" t="inlineStr">
        <is>
          <t>mode res</t>
        </is>
      </c>
      <c r="B6249">
        <f>HYPERLINK("https://www.dofusbook.net/fr/equipement/1420904-mode-res/objets", "link")</f>
        <v/>
      </c>
      <c r="C6249" t="n">
        <v>3</v>
      </c>
      <c r="D6249" t="inlineStr">
        <is>
          <t>Bêche Asse; Amulette du Strigide; Annolamour; Chevalière du Roi Joueur; Bouclier d'Anerice; Ceinture de Kongoku; Casque Dragoeuf; Cape d'Anerice; Baleinabottes; Dofus Émeraude; Dokoko; Remueur; Enragé majeur; Nomade; Fonceur majeur; Kramkram</t>
        </is>
      </c>
    </row>
    <row r="6250">
      <c r="A6250" t="inlineStr">
        <is>
          <t>eau-air</t>
        </is>
      </c>
      <c r="B6250">
        <f>HYPERLINK("https://www.dofusbook.net/fr/equipement/1405035-eau-air/objets", "link")</f>
        <v/>
      </c>
      <c r="C6250" t="n">
        <v>2</v>
      </c>
      <c r="D6250" t="inlineStr">
        <is>
          <t>L'Épée Nice; Amulette du Strigide; Anneau des égarés; Bracelet du Piloztère; Bouclier du Captain Amakna; Ceintacé; Casque des égarés; Cape du Kamasterisk; Baleinabottes; Dofus Émeraude; Dofus Turquoise; Dofus Pourpre; Vigoureux majeur; Nomade; Remueur; Kramkram</t>
        </is>
      </c>
    </row>
    <row r="6251">
      <c r="A6251" t="inlineStr">
        <is>
          <t>Stuff 2</t>
        </is>
      </c>
      <c r="B6251">
        <f>HYPERLINK("https://www.dofusbook.net/fr/equipement/596878-stuff-2/objets", "link")</f>
        <v/>
      </c>
      <c r="C6251" t="n">
        <v>2</v>
      </c>
      <c r="D6251" t="inlineStr">
        <is>
          <t>Plumeau Bil; Amulette d'Otomaï; Anneau de Padgref; Bague Gloursonne; Quatre-feuilles; Ceinture Séculaire; Coiffe Séculaire; Voile d'encre; Tongues de Nidas; Dofus Turquoise; Dokoko; Dofus Ocre; Érudit majeur; Nomade; Remueur; Dragodinde en armure</t>
        </is>
      </c>
    </row>
    <row r="6252">
      <c r="A6252" t="inlineStr">
        <is>
          <t>nunu ret pm</t>
        </is>
      </c>
      <c r="B6252">
        <f>HYPERLINK("https://www.dofusbook.net/fr/equipement/1356403-nunu-ret-pm/objets", "link")</f>
        <v/>
      </c>
      <c r="C6252" t="n">
        <v>3</v>
      </c>
      <c r="D6252" t="inlineStr">
        <is>
          <t>Pelle Dorado; Amulette Luminescente; Anneau Tamie; Pikano; Bouclier cubiste; Ceinture Instable; Kidibonnet; Cape de Léthaline; Pikottes; Dofus Ocre; Temporiseur; Ralentisseur majeur; Temporiseur majeur; Entraveur; Entraveur majeur; Dragoune Noire</t>
        </is>
      </c>
    </row>
    <row r="6253">
      <c r="A6253" t="inlineStr">
        <is>
          <t>nini feu</t>
        </is>
      </c>
      <c r="B6253">
        <f>HYPERLINK("https://www.dofusbook.net/fr/equipement/1297331-nini-feu/objets", "link")</f>
        <v/>
      </c>
      <c r="C6253" t="n">
        <v>1</v>
      </c>
      <c r="D6253" t="inlineStr">
        <is>
          <t>Harpelle; Amulette de Nileza; Anneau Tique; Anneau de Nidas; Ceinture de Vortex; Couronne de Nidas; Cape de Diondin; Pataugastrique; Dofus Pourpre; Nomade; Vigoureux majeur; Remueur; Érudit majeur; Savant majeur; Muldo Doré et Pourpre</t>
        </is>
      </c>
    </row>
    <row r="6254">
      <c r="A6254" t="inlineStr">
        <is>
          <t>zobzob</t>
        </is>
      </c>
      <c r="B6254">
        <f>HYPERLINK("https://www.dofusbook.net/fr/equipement/1297264-zobzob/objets", "link")</f>
        <v/>
      </c>
      <c r="C6254" t="n">
        <v>1</v>
      </c>
      <c r="D6254" t="inlineStr">
        <is>
          <t>Arc du Chalœil; Amulette de Gein; Anneau Crustique; Anneau Crustique; Bouclier du Captain Amakna; Ceintacé; Chapeau de Gein; Cape au Logis; Baleinabottes; Dofus Émeraude; Dofus Pourpre; Miraculé majeur; Nomade; Remueur; Enragé majeur; Bontique</t>
        </is>
      </c>
    </row>
    <row r="6255">
      <c r="A6255" t="inlineStr">
        <is>
          <t>test</t>
        </is>
      </c>
      <c r="B6255">
        <f>HYPERLINK("https://www.dofusbook.net/fr/equipement/1288828-test/objets", "link")</f>
        <v/>
      </c>
      <c r="C6255" t="n">
        <v>1</v>
      </c>
      <c r="D6255" t="inlineStr">
        <is>
          <t>Baguette Range; Amulette du Strigide; Kralano; Anneau de Padgref; Quatre-feuilles; Ceinture du Strigide; Coiffe de Padgref; Voilamibe; Getas de Padgref; Dofus Turquoise; Dolmanax; Dofus Pourpre; Dofus des Glaces; Dofus Nébuleux; Dofus Ocre; Muldo Doré et Orchidée</t>
        </is>
      </c>
    </row>
    <row r="6256">
      <c r="A6256" t="inlineStr">
        <is>
          <t>terre-feu-eau</t>
        </is>
      </c>
      <c r="B6256">
        <f>HYPERLINK("https://www.dofusbook.net/fr/equipement/1288457-terre-feu-eau/objets", "link")</f>
        <v/>
      </c>
      <c r="C6256" t="n">
        <v>1</v>
      </c>
      <c r="D6256" t="inlineStr">
        <is>
          <t>Hache du Chalœil; Amulette du Strigide; Chevalière du Roi Joueur; Bracelet des Fonds marins; Quatre-feuilles; Ceinture du Strigide; Le Dorado; Dofusteuse; Pataugastrique; Dofus des Glaces; Dofus Pourpre; Dofus Turquoise; Nomade; Vigoureux majeur; Remueur; Muldo Doré et Indigo</t>
        </is>
      </c>
    </row>
    <row r="6257">
      <c r="A6257" t="inlineStr">
        <is>
          <t>pvm feu-eau</t>
        </is>
      </c>
      <c r="B6257">
        <f>HYPERLINK("https://www.dofusbook.net/fr/equipement/1288760-pvm-feu-eau/objets", "link")</f>
        <v/>
      </c>
      <c r="C6257" t="n">
        <v>1</v>
      </c>
      <c r="D6257" t="inlineStr">
        <is>
          <t>Arc Nécrotique; Talisman Igans; Bracelet des Fonds marins; Anneau Tique; Quatre-feuilles; Ceintrigue; Le Dorado; Cape de la Dame du Hasard; Pataugastrique; Dofus Turquoise; Dofus des Glaces; Dofus Pourpre; Remueur; Nomade; Vigoureux majeur; Muldo Doré et Orchidée</t>
        </is>
      </c>
    </row>
    <row r="6258">
      <c r="A6258" t="inlineStr">
        <is>
          <t>Stuff 2</t>
        </is>
      </c>
      <c r="B6258">
        <f>HYPERLINK("https://www.dofusbook.net/fr/equipement/596873-stuff-2/objets", "link")</f>
        <v/>
      </c>
      <c r="C6258" t="n">
        <v>1</v>
      </c>
      <c r="D6258" t="inlineStr">
        <is>
          <t>Pelle de Nidas; Amulette de Pol Ouatnos; Bracelet du Piloztère; Alliance Gloursonne; Ceinture Voldelor; Kidibonnet; Cape du Barbétoal; Bottes Voldelor; Dofus Émeraude; Dofus Pourpre; Remueur; Chanceux majeur; Miraculé majeur; Survivant majeur; Vampyrette</t>
        </is>
      </c>
    </row>
    <row r="6259">
      <c r="A6259" t="inlineStr">
        <is>
          <t>Stuff 3</t>
        </is>
      </c>
      <c r="B6259">
        <f>HYPERLINK("https://www.dofusbook.net/fr/equipement/596897-stuff-3/objets", "link")</f>
        <v/>
      </c>
      <c r="C6259" t="n">
        <v>5</v>
      </c>
      <c r="D6259" t="inlineStr">
        <is>
          <t>Sabres d'Atcham; Amulette du Strigide; Anneau de Padgref; Alliance Gloursonne; Quatre-feuilles; Sangle Ouare; Le Dorado; Cape d'Atcham; Pataugastrique; Dofus Pourpre; Dofus des Glaces; Dofus Turquoise; Remueur; Vigoureux majeur; Nomade; Dragodinde en armure</t>
        </is>
      </c>
    </row>
    <row r="6260">
      <c r="A6260" t="inlineStr">
        <is>
          <t>Stuff 2</t>
        </is>
      </c>
      <c r="B6260">
        <f>HYPERLINK("https://www.dofusbook.net/fr/equipement/596892-stuff-2/objets", "link")</f>
        <v/>
      </c>
      <c r="C6260" t="n">
        <v>3</v>
      </c>
      <c r="D6260" t="inlineStr">
        <is>
          <t>Marteau Reine; Amulette de Pol Ouatnos; Gant du Valet Veinard; Anneau Crustique; Ceintacé; Chapoulpe; Cape du Kamasterisk; Tentassons; Dofus Pourpre; Vigoureux majeur; Enragé majeur; Nomade; Cascadeur majeur; Remueur; Dragodinde en armure</t>
        </is>
      </c>
    </row>
    <row r="6261">
      <c r="A6261" t="inlineStr">
        <is>
          <t>Stuff 1</t>
        </is>
      </c>
      <c r="B6261">
        <f>HYPERLINK("https://www.dofusbook.net/fr/equipement/596877-stuff-1/objets", "link")</f>
        <v/>
      </c>
      <c r="C6261" t="n">
        <v>2</v>
      </c>
      <c r="D6261" t="inlineStr">
        <is>
          <t>Epée Gloursonne; Amulette du Strigide; Bague Gloursonne; Alliance Gloursonne; Ceinture du Strigide; Chapeau de Gein; Voile d'encre; Bottes du Strigide; Dokoko; Dofus Pourpre; Dofus Ocre; Dofus Émeraude; Dofus Turquoise; Voyageur; Dragodinde en armure</t>
        </is>
      </c>
    </row>
    <row r="6262">
      <c r="A6262" t="inlineStr">
        <is>
          <t>Stuff 1</t>
        </is>
      </c>
      <c r="B6262">
        <f>HYPERLINK("https://www.dofusbook.net/fr/equipement/596894-stuff-1/objets", "link")</f>
        <v/>
      </c>
      <c r="C6262" t="n">
        <v>2</v>
      </c>
      <c r="D6262" t="inlineStr">
        <is>
          <t>Dagoulinantes; Amulette du Strigide; Alliance Gloursonne; Bague Trithon; Ceinture de Kongoku; Boucle d'oreille de Kongoku; Cape Matelassée; Pataugastrique; Dofus Turquoise; Dofus Pourpre; Vigoureux majeur; Nomade; Miraculé majeur; Remueur; Muldo Ebène et Indigo</t>
        </is>
      </c>
    </row>
    <row r="6263">
      <c r="A6263" t="inlineStr">
        <is>
          <t>Stuff 3</t>
        </is>
      </c>
      <c r="B6263">
        <f>HYPERLINK("https://www.dofusbook.net/fr/equipement/596889-stuff-3/objets", "link")</f>
        <v/>
      </c>
      <c r="C6263" t="n">
        <v>2</v>
      </c>
      <c r="D6263" t="inlineStr">
        <is>
          <t>Sabres d'Atcham; Amulette du Strigide; Anneau Tique; Bracelet du Piloztère; Ceintacé; Chapeau des Malveilleurs; Cape d'Atcham; Bottes du Chalœil; Dofus Pourpre; Dofus des Glaces; Dofus Turquoise; Remueur; Vigoureux majeur; Nomade; Kramkram</t>
        </is>
      </c>
    </row>
    <row r="6264">
      <c r="A6264" t="inlineStr">
        <is>
          <t>Stuff 2</t>
        </is>
      </c>
      <c r="B6264">
        <f>HYPERLINK("https://www.dofusbook.net/fr/equipement/596884-stuff-2/objets", "link")</f>
        <v/>
      </c>
      <c r="C6264" t="n">
        <v>6</v>
      </c>
      <c r="D6264" t="inlineStr">
        <is>
          <t>Hache du Chalœil; Amulette de Pol Ouatnos; Alliance Gloursonne; Bague Gloursonne; Ceintacé; Chapeau de Gein; Voile d'encre; Bottes du Lévitrof; Dolmanax; Dofus Pourpre; Dofus des Glaces; Dofus Turquoise; Vigoureux majeur; Remueur; Dragodinde en armure</t>
        </is>
      </c>
    </row>
    <row r="6265">
      <c r="A6265" t="inlineStr">
        <is>
          <t>Stuff 1</t>
        </is>
      </c>
      <c r="B6265">
        <f>HYPERLINK("https://www.dofusbook.net/fr/equipement/596872-stuff-1/objets", "link")</f>
        <v/>
      </c>
      <c r="C6265" t="n">
        <v>2</v>
      </c>
      <c r="D6265" t="inlineStr">
        <is>
          <t>Pelle de Nidas; Amulette Voldelor; Bracelet du Piloztère; Alliance Gloursonne; Ceinture Voldelor; Kidibonnet; Cape du Chalœil; Sandales des Fonds marins; Dofus Turquoise; Miraculé majeur; Chanceux majeur; Remueur; Nomade; Carapace Air majeur; Eliôme</t>
        </is>
      </c>
    </row>
    <row r="6266">
      <c r="A6266" t="inlineStr">
        <is>
          <t>Stuff 2</t>
        </is>
      </c>
      <c r="B6266">
        <f>HYPERLINK("https://www.dofusbook.net/fr/equipement/596896-stuff-2/objets", "link")</f>
        <v/>
      </c>
      <c r="C6266" t="n">
        <v>4</v>
      </c>
      <c r="D6266" t="inlineStr">
        <is>
          <t>Sabres d'Atcham; Talisman Glouti; Anneau de Padgref; Anneau Tique; Ceinture du Strigide; Dorabysses; Cape d'Atcham; Sandales  d'Atcham; Dofus des Glaces; Dofus Ocre; Dolmanax; Dofus Pourpre; Dofus Nébuleux; Dofus Turquoise; Muldo Pourpre et Emeraude</t>
        </is>
      </c>
    </row>
    <row r="6267">
      <c r="A6267" t="inlineStr">
        <is>
          <t>Stuff 3</t>
        </is>
      </c>
      <c r="B6267">
        <f>HYPERLINK("https://www.dofusbook.net/fr/equipement/596881-stuff-3/objets", "link")</f>
        <v/>
      </c>
      <c r="C6267" t="n">
        <v>2</v>
      </c>
      <c r="D6267" t="inlineStr">
        <is>
          <t>Sabres d'Atcham; Pendentif mignon de Koutoulou; Anneau Rifique; Anneau de Padgref; Ceinture Séculaire; Casque Cyclopéen; Cape d'Atcham; Sandales  d'Atcham; Dolmanax; Dofus Nébuleux; Dofus Pourpre; Dofus Ocre; Dofus Turquoise; Dofus des Glaces; Muldo Doré et Pourpre</t>
        </is>
      </c>
    </row>
    <row r="6268">
      <c r="A6268" t="inlineStr">
        <is>
          <t>Stuff 1</t>
        </is>
      </c>
      <c r="B6268">
        <f>HYPERLINK("https://www.dofusbook.net/fr/equipement/596872-stuff-1/objets", "link")</f>
        <v/>
      </c>
      <c r="C6268" t="n">
        <v>2</v>
      </c>
      <c r="D6268" t="inlineStr">
        <is>
          <t>Pelle de Nidas; Amulette Voldelor; Bracelet du Piloztère; Alliance Gloursonne; Ceinture Voldelor; Kidibonnet; Cape du Chalœil; Sandales des Fonds marins; Dofus Turquoise; Miraculé majeur; Chanceux majeur; Remueur; Nomade; Carapace Air majeur; Eliôme</t>
        </is>
      </c>
    </row>
    <row r="6269">
      <c r="A6269" t="inlineStr">
        <is>
          <t>Stuff 2</t>
        </is>
      </c>
      <c r="B6269">
        <f>HYPERLINK("https://www.dofusbook.net/fr/equipement/596896-stuff-2/objets", "link")</f>
        <v/>
      </c>
      <c r="C6269" t="n">
        <v>4</v>
      </c>
      <c r="D6269" t="inlineStr">
        <is>
          <t>Sabres d'Atcham; Talisman Glouti; Anneau Tique; Anneau de Padgref; Ceinture du Strigide; Dorabysses; Cape d'Atcham; Sandales  d'Atcham; Dofus des Glaces; Dofus Ocre; Dolmanax; Dofus Pourpre; Dofus Nébuleux; Dofus Turquoise; Muldo Pourpre et Emeraude</t>
        </is>
      </c>
    </row>
    <row r="6270">
      <c r="A6270" t="inlineStr">
        <is>
          <t>Stuff 3</t>
        </is>
      </c>
      <c r="B6270">
        <f>HYPERLINK("https://www.dofusbook.net/fr/equipement/596881-stuff-3/objets", "link")</f>
        <v/>
      </c>
      <c r="C6270" t="n">
        <v>2</v>
      </c>
      <c r="D6270" t="inlineStr">
        <is>
          <t>Sabres d'Atcham; Pendentif mignon de Koutoulou; Anneau de Padgref; Anneau Rifique; Ceinture Séculaire; Casque Cyclopéen; Cape d'Atcham; Sandales  d'Atcham; Dofus Pourpre; Dofus Ocre; Dofus Turquoise; Dofus des Glaces; Dolmanax; Dofus Nébuleux; Muldo Doré et Pourpre</t>
        </is>
      </c>
    </row>
    <row r="6271">
      <c r="A6271" t="inlineStr">
        <is>
          <t>Stuff 3</t>
        </is>
      </c>
      <c r="B6271">
        <f>HYPERLINK("https://www.dofusbook.net/fr/equipement/596874-stuff-3/objets", "link")</f>
        <v/>
      </c>
      <c r="C6271" t="n">
        <v>1</v>
      </c>
      <c r="D6271" t="inlineStr">
        <is>
          <t>Rapière aux Glyphes; Amulette Luminescente; Anneau de Pol Ouatnos; Alliance Gloursonne; Ceinture Voldelor; Kidibonnet; Cape Luminescente; Sandales Circulaires du Kimbo; Dofus Émeraude; Dofus Pourpre; Chanceux majeur; Miraculé majeur; Carapace Air majeur; Remueur; Bontique</t>
        </is>
      </c>
    </row>
    <row r="6272">
      <c r="A6272" t="inlineStr">
        <is>
          <t>Stuff 3</t>
        </is>
      </c>
      <c r="B6272">
        <f>HYPERLINK("https://www.dofusbook.net/fr/equipement/596893-stuff-3/objets", "link")</f>
        <v/>
      </c>
      <c r="C6272" t="n">
        <v>3</v>
      </c>
      <c r="D6272" t="inlineStr">
        <is>
          <t>Pelle de la Cour Sombre; Collier du Valet Veinard; Anneau des égarés; Alliance Gloursonne; Ceintacé; Coiffe de la Reine des Voleurs; Cape du Kamasterisk; Baleinabottes; Dofus Pourpre; Dolmanax; Carapace Air majeur; Cascadeur majeur; Nomade; Enragé majeur; Siroko</t>
        </is>
      </c>
    </row>
    <row r="6273">
      <c r="A6273" t="inlineStr">
        <is>
          <t>Stuff 2</t>
        </is>
      </c>
      <c r="B6273">
        <f>HYPERLINK("https://www.dofusbook.net/fr/equipement/596888-stuff-2/objets", "link")</f>
        <v/>
      </c>
      <c r="C6273" t="n">
        <v>0</v>
      </c>
      <c r="D6273" t="inlineStr">
        <is>
          <t>Sabres d'Atcham; Talisman Glouti; Kralano; Anneau Tique; Ceinture du Barbétoal; Dorabysses; Cape d'Atcham; Sandales  d'Atcham; Dofus des Glaces; Dofus Ocre; Dofus Turquoise; Dolmanax; Dofus Pourpre; Astucieux majeur; Dragodinde en armure</t>
        </is>
      </c>
    </row>
    <row r="6274">
      <c r="A6274" t="inlineStr">
        <is>
          <t>Stuff 1</t>
        </is>
      </c>
      <c r="B6274">
        <f>HYPERLINK("https://www.dofusbook.net/fr/equipement/596883-stuff-1/objets", "link")</f>
        <v/>
      </c>
      <c r="C6274" t="n">
        <v>3</v>
      </c>
      <c r="D6274" t="inlineStr">
        <is>
          <t>Hache du Chalœil; Amulette de l'Indicible; Bague Gloursonne; Anneau Crustique; Ceinture de l'Indicible; Couronne du Roi Joueur; Voile d'encre; Bottes du Lévitrof; Dolmanax; Dofus Turquoise; Dofus Ocre; Dofus des Glaces; Nomade; Remueur; Dragodinde en armure</t>
        </is>
      </c>
    </row>
    <row r="6275">
      <c r="A6275" t="inlineStr">
        <is>
          <t>Stuff 2</t>
        </is>
      </c>
      <c r="B6275">
        <f>HYPERLINK("https://www.dofusbook.net/fr/equipement/596858-stuff-2/objets", "link")</f>
        <v/>
      </c>
      <c r="C6275" t="n">
        <v>1</v>
      </c>
      <c r="D6275" t="inlineStr">
        <is>
          <t>Dagoulinantes; Amulette de Shokkoth; Anneau de Pol Ouatnos; Alliance Gloursonne; Ceinture de Kongoku; Boucle d'oreille de Kongoku; Cape Matelassée; Sandales Circulaires du Kimbo; Dofus Pourpre; Dofus Turquoise; Dolmanax; Remueur; Fonceur majeur; Chanceux majeur; Dragodinde en armure</t>
        </is>
      </c>
    </row>
    <row r="6276">
      <c r="A6276" t="inlineStr">
        <is>
          <t>Stuff 1</t>
        </is>
      </c>
      <c r="B6276">
        <f>HYPERLINK("https://www.dofusbook.net/fr/equipement/596860-stuff-1/objets", "link")</f>
        <v/>
      </c>
      <c r="C6276" t="n">
        <v>2</v>
      </c>
      <c r="D6276" t="inlineStr">
        <is>
          <t>Marteau des égarés; Amulette de Pol Ouatnos; Alliance Gloursonne; Bague Gloursonne; Ceinture du Barbétoal; Casque du Chalœil; Cape du Chalœil; Bottes du Chalœil; Dofus Pourpre; Dofus Ocre; Dofus Turquoise; Dolmanax; Puissant majeur; Furibond majeur; Dragodinde en armure</t>
        </is>
      </c>
    </row>
    <row r="6277">
      <c r="A6277" t="inlineStr">
        <is>
          <t>Stuff 2</t>
        </is>
      </c>
      <c r="B6277">
        <f>HYPERLINK("https://www.dofusbook.net/fr/equipement/596855-stuff-2/objets", "link")</f>
        <v/>
      </c>
      <c r="C6277" t="n">
        <v>2</v>
      </c>
      <c r="D6277" t="inlineStr">
        <is>
          <t>Dagues Érhy; Amulette du Strigide; Bague Gloursonne; Chevalière du Roi Joueur; Bouclier du Captain Amakna; Ceinture de Gein; Chapeau de Gein; Voile d'encre; Bottes de la Cour Sombre; Dofus Ocre; Dofus Turquoise; Dofus Nébuleux; Nomade; Remueur; Enragé majeur; Dragodinde en armure</t>
        </is>
      </c>
    </row>
    <row r="6278">
      <c r="A6278" t="inlineStr">
        <is>
          <t>Stuff 2</t>
        </is>
      </c>
      <c r="B6278">
        <f>HYPERLINK("https://www.dofusbook.net/fr/equipement/596867-stuff-2/objets", "link")</f>
        <v/>
      </c>
      <c r="C6278" t="n">
        <v>1</v>
      </c>
      <c r="D6278" t="inlineStr">
        <is>
          <t>Rapière aux Glyphes; Talisman Igans; Anneau Glacial; Bracelet des Fonds marins; Ceinture Glaciale; Masque des Fonds marins; Cape Glaciale; Sandales des Fonds marins; Dofus Turquoise; Dofus Ocre; Dragodinde en armure</t>
        </is>
      </c>
    </row>
    <row r="6279">
      <c r="A6279" t="inlineStr">
        <is>
          <t>Stuff 3</t>
        </is>
      </c>
      <c r="B6279">
        <f>HYPERLINK("https://www.dofusbook.net/fr/equipement/596862-stuff-3/objets", "link")</f>
        <v/>
      </c>
      <c r="C6279" t="n">
        <v>1</v>
      </c>
      <c r="D6279" t="inlineStr">
        <is>
          <t>Arc Hétype; Amulette du Cycloïde; Chevalière du Roi Joueur; Bague Gloursonne; Ceinture de Gein; Chapeau de Gein; Voile d'encre; Pataugastrique; Remueur; Enragé majeur; Nomade; Temporiseur majeur; Érudit majeur; Brûlih</t>
        </is>
      </c>
    </row>
    <row r="6280">
      <c r="A6280" t="inlineStr">
        <is>
          <t>Stuff 1</t>
        </is>
      </c>
      <c r="B6280">
        <f>HYPERLINK("https://www.dofusbook.net/fr/equipement/596857-stuff-1/objets", "link")</f>
        <v/>
      </c>
      <c r="C6280" t="n">
        <v>4</v>
      </c>
      <c r="D6280" t="inlineStr">
        <is>
          <t>Arc Hétype; Amulette de Gein; Chevalière du Roi Joueur; Bague Gloursonne; Ceintacé; Chapeau de Gein; Voile d'encre; Bottes du Cycloïde; Dolmanax; Remueur; Nomade; Érudit majeur; Enragé majeur; Fonceur majeur; Dragodinde en armure</t>
        </is>
      </c>
    </row>
    <row r="6281">
      <c r="A6281" t="inlineStr">
        <is>
          <t>Stuff 1</t>
        </is>
      </c>
      <c r="B6281">
        <f>HYPERLINK("https://www.dofusbook.net/fr/equipement/596866-stuff-1/objets", "link")</f>
        <v/>
      </c>
      <c r="C6281" t="n">
        <v>2</v>
      </c>
      <c r="D6281" t="inlineStr">
        <is>
          <t>Pelle Dorado; Amulette du Glourséleste; Anneau Tamie; Pikano; Poulpagne; Maskrobe; Cape de Meno; Bottes de Meno; Temporiseur; Remueur; Ralentisseur majeur; Entraveur majeur; Observateur; Temporiseur majeur; Drakopin</t>
        </is>
      </c>
    </row>
    <row r="6282">
      <c r="A6282" t="inlineStr">
        <is>
          <t>Stuff 2</t>
        </is>
      </c>
      <c r="B6282">
        <f>HYPERLINK("https://www.dofusbook.net/fr/equipement/596861-stuff-2/objets", "link")</f>
        <v/>
      </c>
      <c r="C6282" t="n">
        <v>1</v>
      </c>
      <c r="D6282" t="inlineStr">
        <is>
          <t>Épée du Granduk; Amulette du Granduk; Alliance Gloursonne; Anneau d'Allister; Ceinture de Klime; Masque du Granduk; Cape de Klime; Bottes du Cycloïde; Dofus Pourpre; Dofus Turquoise; Dofus Cawotte; Acrobate majeur; Equilibriste majeur; Kwaltess</t>
        </is>
      </c>
    </row>
    <row r="6283">
      <c r="A6283" t="inlineStr">
        <is>
          <t>Stuff 3</t>
        </is>
      </c>
      <c r="B6283">
        <f>HYPERLINK("https://www.dofusbook.net/fr/equipement/596856-stuff-3/objets", "link")</f>
        <v/>
      </c>
      <c r="C6283" t="n">
        <v>2</v>
      </c>
      <c r="D6283" t="inlineStr">
        <is>
          <t>Amulette du Strigide; Bague Gloursonne; Chevalière du Roi Joueur; Bouclier du Captain Amakna; Ceinture du Strigide; Bonnet Ko; Voile d'encre; Chaussons du Comte Razof; Dofus Ocre; Dofus Turquoise; Dofus Pourpre; Vigoureux majeur; Remueur; Nomade; Muldo Doré et Pourpre</t>
        </is>
      </c>
    </row>
    <row r="6284">
      <c r="A6284" t="inlineStr">
        <is>
          <t>Stuff 3</t>
        </is>
      </c>
      <c r="B6284">
        <f>HYPERLINK("https://www.dofusbook.net/fr/equipement/596868-stuff-3/objets", "link")</f>
        <v/>
      </c>
      <c r="C6284" t="n">
        <v>1</v>
      </c>
      <c r="D6284" t="inlineStr">
        <is>
          <t>Pelle Dorado; Pikano; Anneau Tamie; Ceinture de Kongoku; Kidibonnet; Cape de Léthaline; Pikottes; Dofus Ocre; Temporiseur majeur; Ralentisseur majeur; Entraveur majeur; Temporiseur; Remueur; Drakopin</t>
        </is>
      </c>
    </row>
    <row r="6285">
      <c r="A6285" t="inlineStr">
        <is>
          <t>eau</t>
        </is>
      </c>
      <c r="B6285">
        <f>HYPERLINK("https://www.dofusbook.net/fr/equipement/3002401-eau/objets", "link")</f>
        <v/>
      </c>
      <c r="C6285" t="n">
        <v>8</v>
      </c>
      <c r="D6285" t="inlineStr">
        <is>
          <t>Amulette de Shokkoth; Alliance Gloursonne; Cadran de Terre; Casque Dragoeuf; Dofus des Glaces; Dofus Abyssal; Dofus Pourpre; Dofus Ivoire; Étourdisseur majeur; Chanceux majeur; Muldo Indigo</t>
        </is>
      </c>
    </row>
    <row r="6286">
      <c r="A6286" t="inlineStr">
        <is>
          <t>do pou</t>
        </is>
      </c>
      <c r="B6286">
        <f>HYPERLINK("https://www.dofusbook.net/fr/equipement/1096398-do-pou/objets", "link")</f>
        <v/>
      </c>
      <c r="C6286" t="n">
        <v>263</v>
      </c>
      <c r="D6286" t="inlineStr">
        <is>
          <t>Rod Gerse; Col de Ush; Anneau du Chêne Mou; Gelano; Cadran d'Air; Ceinture de Soissanth; Chapeau de Dremoan; Cape de Tengu Givrefoux; Bottes de Dremoan; Dofus des Glaces; Dofus Pourpre; Nomade; Érudit majeur; Dévastateur Feu majeur; Remueur; Bisouglours</t>
        </is>
      </c>
    </row>
    <row r="6287">
      <c r="A6287" t="inlineStr">
        <is>
          <t>Osamodas M 200</t>
        </is>
      </c>
      <c r="B6287">
        <f>HYPERLINK("https://www.dofusbook.net/fr/equipement/3478342-osamodas-m-200/objets", "link")</f>
        <v/>
      </c>
      <c r="C6287" t="n">
        <v>1</v>
      </c>
      <c r="D6287" t="inlineStr">
        <is>
          <t>Amulette de la Boule; Alliance de Silimelle; Alliance de Silimelle; Puissante Ceinture Fulgurante; Gulliver; Cape du Désir O'Boul; Bottes Animales; Dofus des Glaces; Dofus Turquoise; Dofus Nébuleux; Dofus Ocre; Dofus Pourpre</t>
        </is>
      </c>
    </row>
    <row r="6288">
      <c r="A6288" t="inlineStr">
        <is>
          <t>qddazd</t>
        </is>
      </c>
      <c r="B6288">
        <f>HYPERLINK("https://www.dofusbook.net/fr/equipement/3187788-qddazd/objets", "link")</f>
        <v/>
      </c>
      <c r="C6288" t="n">
        <v>3</v>
      </c>
      <c r="D6288" t="inlineStr">
        <is>
          <t>Amulette du Strigide; Anneau de Brouce; Bague Trithon; Bouclier du Stalak; Ceinture du Strigide; Dofusteuse; Bottes Trithon; Dofus Vulbis; Dofus Ocre; Dofus Pourpre; Dofus Turquoise; Enragé majeur; Vigoureux majeur; Kompost</t>
        </is>
      </c>
    </row>
    <row r="6289">
      <c r="A6289" t="inlineStr">
        <is>
          <t>Féca M 200</t>
        </is>
      </c>
      <c r="B6289">
        <f>HYPERLINK("https://www.dofusbook.net/fr/equipement/4664415-feca-m-200/objets", "link")</f>
        <v/>
      </c>
      <c r="C6289" t="n">
        <v>7</v>
      </c>
      <c r="D6289" t="inlineStr">
        <is>
          <t>Amulette du Strigide; Bouclier du Stalak; Dofus Pourpre; Vigoureux majeur; Remueur; Chanceux majeur; Nomade; Kanigloups</t>
        </is>
      </c>
    </row>
    <row r="6290">
      <c r="A6290" t="inlineStr">
        <is>
          <t>qddazd</t>
        </is>
      </c>
      <c r="B6290">
        <f>HYPERLINK("https://www.dofusbook.net/fr/equipement/3187787-qddazd/objets", "link")</f>
        <v/>
      </c>
      <c r="C6290" t="n">
        <v>83</v>
      </c>
      <c r="D6290" t="inlineStr">
        <is>
          <t>Plume de Buhorado; Amulette du Cœur Vaillant; Anneau Chevelu; Bague Trithon; Bouclier Taverne; Ceinture Gence; Corne de Torkélonia; Carapace de Torkélonia; Bottes Trithon; Dofus Ocre; Dofus Abyssal; Dofus Ivoire; Bousculeur majeur; Culbuteur majeur; Enragé majeur; Kokulte</t>
        </is>
      </c>
    </row>
    <row r="6291">
      <c r="A6291" t="inlineStr">
        <is>
          <t>jbkj</t>
        </is>
      </c>
      <c r="B6291">
        <f>HYPERLINK("https://www.dofusbook.net/fr/equipement/2038572-jbkj/objets", "link")</f>
        <v/>
      </c>
      <c r="C6291" t="n">
        <v>12</v>
      </c>
      <c r="D6291" t="inlineStr">
        <is>
          <t>Dagues du Dragoeuf; Amulette du Strigide; Bague Trithon; Bague Gloursonne; Cadran d'Eau; Ceinture du Strigide; Corne de Torkélonia; Carapace de Torkélonia; Bottes Trithon; Dofus Abyssal; Dofus Turquoise; Dofus Vulbis; Dofus des Glaces; Dofus Ébène; Dofus Ocre; Kokulte</t>
        </is>
      </c>
    </row>
    <row r="6292">
      <c r="A6292" t="inlineStr">
        <is>
          <t>lol</t>
        </is>
      </c>
      <c r="B6292">
        <f>HYPERLINK("https://www.dofusbook.net/fr/equipement/1763600-lol/objets", "link")</f>
        <v/>
      </c>
      <c r="C6292" t="n">
        <v>34</v>
      </c>
      <c r="D6292" t="inlineStr">
        <is>
          <t>Arc du Chalœil; Amulette du Cœur Saignant; Bracelet du Piloztère; Anneau Chevelu; Quatre-feuilles; Masque de Koutoulou; Cape au Logis; Bottes du Cœur Saignant; Dofus Ébène; Dofus Ivoire; Dofus Abyssal; Dofus Turquoise; Dofus Ocre; Enragé majeur; Dragodinde Ivoire et Pourpre</t>
        </is>
      </c>
    </row>
    <row r="6293">
      <c r="A6293" t="inlineStr">
        <is>
          <t>Iop M 200</t>
        </is>
      </c>
      <c r="B6293">
        <f>HYPERLINK("https://www.dofusbook.net/fr/equipement/4524501-iop-m-200/objets", "link")</f>
        <v/>
      </c>
      <c r="C6293" t="n">
        <v>22</v>
      </c>
      <c r="D6293" t="inlineStr">
        <is>
          <t>Epée Maudite du Saigneur Guerrier; Amulette du Strigide; Bracelet du Piloztère; Anneau de Padgref; Bouclier du Captain Amakna; Ceinture du Strigide; Couronne de Brâm Barbe-Monde; Chevelure de Tal Kasha; Getas de Padgref; Dofus Nébuleux; Dofus Turquoise; Dofus Pourpre; Dofus Vulbis; Dofus Ébène; Dofus Argenté; Kokulte</t>
        </is>
      </c>
    </row>
    <row r="6294">
      <c r="A6294" t="inlineStr">
        <is>
          <t>Steamer M 200</t>
        </is>
      </c>
      <c r="B6294">
        <f>HYPERLINK("https://www.dofusbook.net/fr/equipement/3340957-steamer-m-200/objets", "link")</f>
        <v/>
      </c>
      <c r="C6294" t="n">
        <v>0</v>
      </c>
      <c r="D6294" t="inlineStr">
        <is>
          <t>Bagdette Café; Amulette du Strigide; Anneau Volkorne; Pikano; Quatre-feuilles; Ceinture du Strigide; Némès de Tal Kasha; Chevelure de Tal Kasha; Sandales de Tal Kasha; Dofus Argenté; Dofus des Glaces; Dofus Turquoise; Dofus Vulbis; Dofus Ocre; Dofus Ébène; Kokulte</t>
        </is>
      </c>
    </row>
    <row r="6295">
      <c r="A6295" t="inlineStr">
        <is>
          <t>cra Eau</t>
        </is>
      </c>
      <c r="B6295">
        <f>HYPERLINK("https://www.dofusbook.net/fr/equipement/1538355-cra-eau/objets", "link")</f>
        <v/>
      </c>
      <c r="C6295" t="n">
        <v>37</v>
      </c>
      <c r="D6295" t="inlineStr">
        <is>
          <t>Arc Volkorne; Amulette du Strigide; Anneau Volkorne; Bague Trithon; Quatre-feuilles; Ceinture du Strigide; Casque Volkorne; Chevelure de Tal Kasha; Bottes Trithon; Dofus Ébène; Dolmanax; Dofus Turquoise; Dofus Ocre; Dofus Vulbis; Dofus des Glaces; Kokulte</t>
        </is>
      </c>
    </row>
    <row r="6296">
      <c r="A6296" t="inlineStr">
        <is>
          <t>eau</t>
        </is>
      </c>
      <c r="B6296">
        <f>HYPERLINK("https://www.dofusbook.net/fr/equipement/3200374-eau/objets", "link")</f>
        <v/>
      </c>
      <c r="C6296" t="n">
        <v>3</v>
      </c>
      <c r="D6296" t="inlineStr">
        <is>
          <t>Rapière aux Glyphes; Amulette de Shokkoth; Bracelet des Fonds marins; Alliance Gloursonne; Bouclier du Stalak; Ceinture de la Reine des Voleurs; Kidibonnet; Cape de Jahash Jurgen; Bottes de la Reine des Voleurs; Dofus Ocre; Dofus Abyssal; Dofus Vulbis; Dofus Ébène; Dofus Pourpre; Chanceux majeur; Kanigloups</t>
        </is>
      </c>
    </row>
    <row r="6297">
      <c r="A6297" t="inlineStr">
        <is>
          <t>qddazd</t>
        </is>
      </c>
      <c r="B6297">
        <f>HYPERLINK("https://www.dofusbook.net/fr/equipement/1220163-qddazd/objets", "link")</f>
        <v/>
      </c>
      <c r="C6297" t="n">
        <v>6</v>
      </c>
      <c r="D6297" t="inlineStr">
        <is>
          <t>Amulette de Shokkoth; Alliance Gloursonne; Quatre-feuilles; Casque Dragoeuf; Dofus Abyssal; Dofus Pourpre; Dofus Turquoise; Remueur; Chanceux majeur; Vigoureux majeur</t>
        </is>
      </c>
    </row>
    <row r="6298">
      <c r="A6298" t="inlineStr">
        <is>
          <t>srgserges</t>
        </is>
      </c>
      <c r="B6298">
        <f>HYPERLINK("https://www.dofusbook.net/fr/equipement/3180724-srgserges/objets", "link")</f>
        <v/>
      </c>
      <c r="C6298" t="n">
        <v>19</v>
      </c>
      <c r="D6298" t="inlineStr">
        <is>
          <t>Arc du Chalœil; Collier de Tourthon; Bracelet du Piloztère; Anneau de Brouce; Cadran d'Air; Ceinture Gence; Masque de Koutoulou; Cape au Logis; Bottes de Brouce; Dofus Abyssal; Dokoko; Dofus Ivoire; Enragé majeur; Muraille Air majeure; Vigoureux majeur; Tiwabbit Kiafin</t>
        </is>
      </c>
    </row>
    <row r="6299">
      <c r="A6299" t="inlineStr">
        <is>
          <t>guyk</t>
        </is>
      </c>
      <c r="B6299">
        <f>HYPERLINK("https://www.dofusbook.net/fr/equipement/1160743-guyk/objets", "link")</f>
        <v/>
      </c>
      <c r="C6299" t="n">
        <v>2</v>
      </c>
      <c r="D6299" t="inlineStr">
        <is>
          <t>Bâtonnet Ronien; Amulette du Strigide; Bracelet des Fonds marins; Alliance Gloursonne; Quatre-feuilles; Ceinture du Strigide; Sandales de Tal Kasha; Dofus Pourpre; Dofus Turquoise; Dofus des Glaces; Dofus Nébuleux; Dofus Ocre</t>
        </is>
      </c>
    </row>
    <row r="6300">
      <c r="A6300" t="inlineStr">
        <is>
          <t>rtyryr</t>
        </is>
      </c>
      <c r="B6300">
        <f>HYPERLINK("https://www.dofusbook.net/fr/equipement/3118789-rtyryr/objets", "link")</f>
        <v/>
      </c>
      <c r="C6300" t="n">
        <v>7</v>
      </c>
      <c r="D6300" t="inlineStr">
        <is>
          <t>Manthache; Collier du Valet Veinard; Alliance Gloursonne; Gant du Valet Veinard; Bouclier précieux; Menoture; Casque d'Ilyzaelle; Cape Indescriptible; Palmes Trithons; Dokoko; Dofus Émeraude; Dofus Abyssal; Dofus Ivoire; Miraculé majeur; Remueur</t>
        </is>
      </c>
    </row>
    <row r="6301">
      <c r="A6301" t="inlineStr">
        <is>
          <t>terre</t>
        </is>
      </c>
      <c r="B6301">
        <f>HYPERLINK("https://www.dofusbook.net/fr/equipement/3185937-terre/objets", "link")</f>
        <v/>
      </c>
      <c r="C6301" t="n">
        <v>7</v>
      </c>
      <c r="D6301" t="inlineStr">
        <is>
          <t>Dagues d'Ilyzaelle; Amulette du Strigide; Anneau Crustique; Anneau Chevelu; Cadran d'Eau; Ceinture Gence; Masque de Koutoulou; Cape au Logis; Bottes du Strigide; Dofus Abyssal; Dofus Pourpre; Dofus Nébuleux; Dofus Turquoise; Enragé majeur; Vigoureux majeur; Kramkram</t>
        </is>
      </c>
    </row>
    <row r="6302">
      <c r="A6302" t="inlineStr">
        <is>
          <t>do crit</t>
        </is>
      </c>
      <c r="B6302">
        <f>HYPERLINK("https://www.dofusbook.net/fr/equipement/3071217-do-crit/objets", "link")</f>
        <v/>
      </c>
      <c r="C6302" t="n">
        <v>1</v>
      </c>
      <c r="D6302" t="inlineStr">
        <is>
          <t>Amulette du Strigide; Alliance Gloursonne; Bague Gloursonne; Ceinture du Strigide; Cape d'Atcham; Sandales  d'Atcham; Dofus Ivoire; Dofus Abyssal; Dofus Turquoise; Dofus des Glaces; Dofus Pourpre; Dofus Ocre; Muldo Ebène et Indigo</t>
        </is>
      </c>
    </row>
    <row r="6303">
      <c r="A6303" t="inlineStr">
        <is>
          <t>terre eau</t>
        </is>
      </c>
      <c r="B6303">
        <f>HYPERLINK("https://www.dofusbook.net/fr/equipement/3133155-terre-eau/objets", "link")</f>
        <v/>
      </c>
      <c r="C6303" t="n">
        <v>2</v>
      </c>
      <c r="D6303" t="inlineStr">
        <is>
          <t>Épouvante; Amulette du Strigide; Anneau Chevelu; Pikano; Quatre-feuilles; Ceintacé; Masque de Funespadon; Cape Solution; Bottes du Strigide; Dofus des Glaces; Dofus Turquoise; Dofus Pourpre; Vigoureux majeur; Nomade; Remueur; Muldo Ebène et Indigo</t>
        </is>
      </c>
    </row>
    <row r="6304">
      <c r="A6304" t="inlineStr">
        <is>
          <t>bl pvp</t>
        </is>
      </c>
      <c r="B6304">
        <f>HYPERLINK("https://www.dofusbook.net/fr/equipement/3028729-bl-pvp/objets", "link")</f>
        <v/>
      </c>
      <c r="C6304" t="n">
        <v>3</v>
      </c>
      <c r="D6304" t="inlineStr">
        <is>
          <t>Hache du Guerrier Zoth; Col de Ush; Bracelet Ventré; Alliance de Guten Tak; Bouclier Taverne; Slip Iholo; Casque Dragoeuf; Cape Souveraine du Roissingue; Bottes de Ush; Remueur; Culbuteur; Pousseur majeur; Bousculeur majeur; Bousculeur; Culbuteur majeur; Kafarce</t>
        </is>
      </c>
    </row>
    <row r="6305">
      <c r="A6305" t="inlineStr">
        <is>
          <t>camille</t>
        </is>
      </c>
      <c r="B6305">
        <f>HYPERLINK("https://www.dofusbook.net/fr/equipement/1145844-camille/objets", "link")</f>
        <v/>
      </c>
      <c r="C6305" t="n">
        <v>3</v>
      </c>
      <c r="D6305" t="inlineStr">
        <is>
          <t>Le Thanos; Amulette d'Ilyzaelle; Bracelet du Piloztère; Alliance Gloursonne; Bouclier d'Ilyzaelle; Ceinture de la Reine des Voleurs; Casque d'Ilyzaelle; Bottes de la Reine des Voleurs; Dofus Pourpre; Dofus des Glaces; Dofus Ocre; Saccageur Eau majeur; Robuste majeur; Turbulent; Kanigloups</t>
        </is>
      </c>
    </row>
    <row r="6306">
      <c r="A6306" t="inlineStr">
        <is>
          <t>air</t>
        </is>
      </c>
      <c r="B6306">
        <f>HYPERLINK("https://www.dofusbook.net/fr/equipement/2955800-air/objets", "link")</f>
        <v/>
      </c>
      <c r="C6306" t="n">
        <v>5</v>
      </c>
      <c r="D6306" t="inlineStr">
        <is>
          <t>Lance Horselé; Collier du Valet Veinard; Alliance Gloursonne; Gant du Valet Veinard; Cadran de Terre; Menoture; Couronne d'Allister; Cape Indescriptible; Palmes Trithons; Dofus Pourpre; Dofus Abyssal; Dofus des Glaces; Cascadeur majeur; Étourdisseur majeur; Remueur; Muldo Ebène</t>
        </is>
      </c>
    </row>
    <row r="6307">
      <c r="A6307" t="inlineStr">
        <is>
          <t>fgdhdfhg</t>
        </is>
      </c>
      <c r="B6307">
        <f>HYPERLINK("https://www.dofusbook.net/fr/equipement/1219991-fgdhdfhg/objets", "link")</f>
        <v/>
      </c>
      <c r="C6307" t="n">
        <v>8</v>
      </c>
      <c r="D6307" t="inlineStr">
        <is>
          <t>Héqache; Amulette du Strigide; Bague Gloursonne; Anneau Chevelu; Bouclier du Captain Amakna; Ceinture du Strigide; Masque de Koutoulou; Cape au Logis; Bottes du Cœur Saignant; Dofus Abyssal; Dofus Pourpre; Dofus des Glaces; Dofus Ocre; Dofus Turquoise; Enragé majeur; Kompost</t>
        </is>
      </c>
    </row>
    <row r="6308">
      <c r="A6308" t="inlineStr">
        <is>
          <t>fyj</t>
        </is>
      </c>
      <c r="B6308">
        <f>HYPERLINK("https://www.dofusbook.net/fr/equipement/2223171-fyj/objets", "link")</f>
        <v/>
      </c>
      <c r="C6308" t="n">
        <v>3</v>
      </c>
      <c r="D6308" t="inlineStr">
        <is>
          <t>Lav'Hache; Torquistik; Bague Instable; Anneau de Pol Ouatnos; Bouclier Taverne; Ceinture Gence; Casque Dragoeuf; Cape du Cœur Vaillant; Bottistik; Dofus Abyssal; Dofus Pourpre; Dofus Ivoire; Culbuteur majeur; Remueur</t>
        </is>
      </c>
    </row>
    <row r="6309">
      <c r="A6309" t="inlineStr">
        <is>
          <t>lol</t>
        </is>
      </c>
      <c r="B6309">
        <f>HYPERLINK("https://www.dofusbook.net/fr/equipement/2922732-lol/objets", "link")</f>
        <v/>
      </c>
      <c r="C6309" t="n">
        <v>1</v>
      </c>
      <c r="D6309" t="inlineStr">
        <is>
          <t>Amulette du Strigide; Bague Trithon; Anneau Chevelu; Bouclier d'Anerice; Ceinture du Strigide; Masque Trithon; Cape d'Anerice; Bottes Trithon; Dofus Turquoise; Dofus Abyssal; Dofus Ocre; Dofus Ivoire; Dofus Émeraude; Dofus des Glaces</t>
        </is>
      </c>
    </row>
    <row r="6310">
      <c r="A6310" t="inlineStr">
        <is>
          <t>retrait</t>
        </is>
      </c>
      <c r="B6310">
        <f>HYPERLINK("https://www.dofusbook.net/fr/equipement/388187-retrait/objets", "link")</f>
        <v/>
      </c>
      <c r="C6310" t="n">
        <v>2</v>
      </c>
      <c r="D6310" t="inlineStr">
        <is>
          <t>Baguette Hique; Collier de la Dame du Hasard; Pikano; Alliance Gloursonne; Bouclier cubiste; Ceinture Glaciale; Kidibonnet; Cape de la Dame du Hasard; Bottes de Meno; Dofus Abyssal; Dofus Pourpre; Dofus Ocre; Temporiseur majeur; Ralentisseur majeur; Entraveur majeur</t>
        </is>
      </c>
    </row>
    <row r="6311">
      <c r="A6311" t="inlineStr">
        <is>
          <t>fécorce</t>
        </is>
      </c>
      <c r="B6311">
        <f>HYPERLINK("https://www.dofusbook.net/fr/equipement/343333-fecorce/objets", "link")</f>
        <v/>
      </c>
      <c r="C6311" t="n">
        <v>1</v>
      </c>
      <c r="D6311" t="inlineStr">
        <is>
          <t>Racine de Fécorce; Amulette du Strigide; Pikano; Bague Trithon; Bouclier Pandawa; Ceinture du Strigide; Casquipik; Cape Solution; Bottes Trithon; Dofus Ocre; Dofus des Glaces; Dofus Pourpre; Dofus Ivoire; Dokoko; Dofus Turquoise; Muldo Ebène et Pourpre</t>
        </is>
      </c>
    </row>
    <row r="6312">
      <c r="A6312" t="inlineStr">
        <is>
          <t>brouture</t>
        </is>
      </c>
      <c r="B6312">
        <f>HYPERLINK("https://www.dofusbook.net/fr/equipement/1219962-brouture/objets", "link")</f>
        <v/>
      </c>
      <c r="C6312" t="n">
        <v>0</v>
      </c>
      <c r="D6312" t="inlineStr">
        <is>
          <t>Tige du Brouture; Amulette du Strigide; Anneau de Padgref; Bague Gloursonne; Cadran d'Eau; Ceinture du Strigide; Coiffe de Padgref; Voile d'encre; Getas de Padgref; Dofus Ocre; Dofus Pourpre; Dokoko; Dofus Turquoise; Dofus Ivoire; Dofus des Glaces; Muldo Prune et Emeraude</t>
        </is>
      </c>
    </row>
    <row r="6313">
      <c r="A6313" t="inlineStr">
        <is>
          <t>xdfxdfg</t>
        </is>
      </c>
      <c r="B6313">
        <f>HYPERLINK("https://www.dofusbook.net/fr/equipement/2876420-xdfxdfg/objets", "link")</f>
        <v/>
      </c>
      <c r="C6313" t="n">
        <v>0</v>
      </c>
      <c r="D6313" t="inlineStr">
        <is>
          <t>Amulette d'Ilyzaelle; Alliance Gloursonne; Casque d'Ilyzaelle; Pataugastrique</t>
        </is>
      </c>
    </row>
    <row r="6314">
      <c r="A6314" t="inlineStr">
        <is>
          <t>trollol</t>
        </is>
      </c>
      <c r="B6314">
        <f>HYPERLINK("https://www.dofusbook.net/fr/equipement/2869670-trollol/objets", "link")</f>
        <v/>
      </c>
      <c r="C6314" t="n">
        <v>0</v>
      </c>
      <c r="D6314" t="inlineStr">
        <is>
          <t>Torquistik; Bague Trithon; Anneau de Pol Ouatnos; Ceinture Luminescente; Masque d'Anerice; Cape d'Anerice; Pataugastrique; Péki</t>
        </is>
      </c>
    </row>
    <row r="6315">
      <c r="A6315" t="inlineStr">
        <is>
          <t>pyra</t>
        </is>
      </c>
      <c r="B6315">
        <f>HYPERLINK("https://www.dofusbook.net/fr/equipement/1760264-pyra/objets", "link")</f>
        <v/>
      </c>
      <c r="C6315" t="n">
        <v>14</v>
      </c>
      <c r="D6315" t="inlineStr">
        <is>
          <t>Pyraguette; Talisman Igans; Alliance Gloursonne; Anneauræus; Bouclier du Stalak; Ceinture de l'Esprit Malsain; Masque d'Anerice; Cape d'Anerice; Pataugastrique; Dofus Émeraude; Dofus Ivoire; Dofus des Glaces; Nomade; Remueur; Miraculé majeur; Péki</t>
        </is>
      </c>
    </row>
    <row r="6316">
      <c r="A6316" t="inlineStr">
        <is>
          <t>terre</t>
        </is>
      </c>
      <c r="B6316">
        <f>HYPERLINK("https://www.dofusbook.net/fr/equipement/1966426-terre/objets", "link")</f>
        <v/>
      </c>
      <c r="C6316" t="n">
        <v>1</v>
      </c>
      <c r="D6316" t="inlineStr">
        <is>
          <t>Marteau R'ture; Collier de Tourthon; Bague Gloursonne; Anneau Chevelu; Cadran de Terre; Ceinture Gence; Cape au Logis; Dofus Ivoire; Dofus Émeraude; Dofus Abyssal; Étourdisseur majeur; Miraculé majeur; Remueur; Cube</t>
        </is>
      </c>
    </row>
    <row r="6317">
      <c r="A6317" t="inlineStr">
        <is>
          <t>do pou</t>
        </is>
      </c>
      <c r="B6317">
        <f>HYPERLINK("https://www.dofusbook.net/fr/equipement/2854334-do-pou/objets", "link")</f>
        <v/>
      </c>
      <c r="C6317" t="n">
        <v>0</v>
      </c>
      <c r="D6317" t="inlineStr">
        <is>
          <t>Hachoirs de Viandargh; Torquistik; Bague Instable; Bague Trithon; Bouclier précieux; Ceinture Luminescente; Masque d'Anerice; Cape du Cœur Vaillant; Bottistik; Dofus Émeraude; Miraculé majeur; Péki</t>
        </is>
      </c>
    </row>
    <row r="6318">
      <c r="A6318" t="inlineStr">
        <is>
          <t>air</t>
        </is>
      </c>
      <c r="B6318">
        <f>HYPERLINK("https://www.dofusbook.net/fr/equipement/2849358-air/objets", "link")</f>
        <v/>
      </c>
      <c r="C6318" t="n">
        <v>2</v>
      </c>
      <c r="D6318" t="inlineStr">
        <is>
          <t>Lance Horselé; Collier Rophante; Alliance Gloursonne; Gant du Valet Veinard; Cadran d'Eau; Menoture; Dorabysses; Cape du Valet Veinard; Palmes Trithons; Dofus Ivoire; Dofus Émeraude; Miraculé majeur; Cascadeur majeur; Remueur; Péki</t>
        </is>
      </c>
    </row>
    <row r="6319">
      <c r="A6319" t="inlineStr">
        <is>
          <t>terre do pou</t>
        </is>
      </c>
      <c r="B6319">
        <f>HYPERLINK("https://www.dofusbook.net/fr/equipement/656499-terre-do-pou/objets", "link")</f>
        <v/>
      </c>
      <c r="C6319" t="n">
        <v>0</v>
      </c>
      <c r="D6319" t="inlineStr">
        <is>
          <t>Amulette du Strigide; Bague Gloursonne; Quatre-feuilles; Ceinture du Strigide; Masque de Koutoulou; Cape du Cœur Saignant; Dofus Turquoise; Dofus Ocre; Dokoko; Dofus des Glaces; Dofus Abyssal; Dofus Pourpre</t>
        </is>
      </c>
    </row>
    <row r="6320">
      <c r="A6320" t="inlineStr">
        <is>
          <t>tutut</t>
        </is>
      </c>
      <c r="B6320">
        <f>HYPERLINK("https://www.dofusbook.net/fr/equipement/2822371-tutut/objets", "link")</f>
        <v/>
      </c>
      <c r="C6320" t="n">
        <v>2</v>
      </c>
      <c r="D6320" t="inlineStr">
        <is>
          <t>Le Thanos; Pendentif affamé; Anneauræus; Bague Gloursonne; Coiffe Séculaire; Voile d'encre; Bottes du Strigide</t>
        </is>
      </c>
    </row>
    <row r="6321">
      <c r="A6321" t="inlineStr">
        <is>
          <t>terre do crit</t>
        </is>
      </c>
      <c r="B6321">
        <f>HYPERLINK("https://www.dofusbook.net/fr/equipement/2781688-terre-do-crit/objets", "link")</f>
        <v/>
      </c>
      <c r="C6321" t="n">
        <v>0</v>
      </c>
      <c r="D6321" t="inlineStr">
        <is>
          <t>Amulette du Strigide; Bague Gloursonne; Alliance Gloursonne; Bouclier du Stalak; Ceinture du Strigide; Masque de Koutoulou; Sandales de Tal Kasha; Dofus des Glaces; Vigoureux majeur; Carapace Neutre majeur; Remueur; Dévastateur Terre majeur; Muldo Orchidée et Pourpre</t>
        </is>
      </c>
    </row>
    <row r="6322">
      <c r="A6322" t="inlineStr">
        <is>
          <t>air ahique</t>
        </is>
      </c>
      <c r="B6322">
        <f>HYPERLINK("https://www.dofusbook.net/fr/equipement/605016-air-ahique/objets", "link")</f>
        <v/>
      </c>
      <c r="C6322" t="n">
        <v>1</v>
      </c>
      <c r="D6322" t="inlineStr">
        <is>
          <t>Hachoirs de Viandargh; Amibou; Bague Instable; Alliance Gloursonne; Bouclier Taverne; Menoture; Casque Dragoeuf; Capibou; Palmes Trithons; Dokoko; Dofus Émeraude; Culbuteur majeur; Cascadeur majeur; Miraculé majeur; Remueur; Muldo Ebène</t>
        </is>
      </c>
    </row>
    <row r="6323">
      <c r="A6323" t="inlineStr">
        <is>
          <t>lol</t>
        </is>
      </c>
      <c r="B6323">
        <f>HYPERLINK("https://www.dofusbook.net/fr/equipement/1156991-lol/objets", "link")</f>
        <v/>
      </c>
      <c r="C6323" t="n">
        <v>13</v>
      </c>
      <c r="D6323" t="inlineStr">
        <is>
          <t>Baguette de Malléfisk; Amulette d'Ilyzaelle; Anneau Rifique; Anneau de Padgref; Carapar; Ceinture de Vortex; Casque d'Ilyzaelle; Cape du Valet Veinard; Chaussures Ardentes; Dofus Ocre; Dolmanax; Dofus des Glaces; Cascadeur majeur; Remueur; Guérisseur majeur; Muldo Ebène et Pourpre</t>
        </is>
      </c>
    </row>
    <row r="6324">
      <c r="A6324" t="inlineStr">
        <is>
          <t>heal</t>
        </is>
      </c>
      <c r="B6324">
        <f>HYPERLINK("https://www.dofusbook.net/fr/equipement/650875-heal/objets", "link")</f>
        <v/>
      </c>
      <c r="C6324" t="n">
        <v>2</v>
      </c>
      <c r="D6324" t="inlineStr">
        <is>
          <t>Baguette de Malléfisk; Pendentif affamé; Anneau Rifique; Anneauræus; Cadran de Feu; Ceinture de Vortex; Casque Cyclopéen; Cape de Diondin; Bottes Innommables; Dofus Pourpre; Remueur; Chanceux majeur; Carapace Eau majeur; Vigoureux majeur; Nomade</t>
        </is>
      </c>
    </row>
    <row r="6325">
      <c r="A6325" t="inlineStr">
        <is>
          <t>VS Osa</t>
        </is>
      </c>
      <c r="B6325">
        <f>HYPERLINK("https://www.dofusbook.net/fr/equipement/343328-vs-osa/objets", "link")</f>
        <v/>
      </c>
      <c r="C6325" t="n">
        <v>6</v>
      </c>
      <c r="D6325" t="inlineStr">
        <is>
          <t>Epée Maudite du Saigneur Guerrier; Amulette du Strigide; Bracelet du Piloztère; Bague Trithon; Bouclier du Captain Amakna; Ceinture du Strigide; Masque Trithon; Dofusteuse; Bottes Trithon; Dolmanax; Dofus des Glaces; Dofus Pourpre; Dofus Turquoise; Dofus Ocre; Robuste majeur; Muldo Emeraude</t>
        </is>
      </c>
    </row>
    <row r="6326">
      <c r="A6326" t="inlineStr">
        <is>
          <t>dopou</t>
        </is>
      </c>
      <c r="B6326">
        <f>HYPERLINK("https://www.dofusbook.net/fr/equipement/1858429-dopou/objets", "link")</f>
        <v/>
      </c>
      <c r="C6326" t="n">
        <v>5</v>
      </c>
      <c r="D6326" t="inlineStr">
        <is>
          <t>Héqache; Torquistik; Bague Instable; Bague Trithon; Bouclier précieux; Sangle Ouare; Casque Dragoeuf; Cape du Cœur Vaillant; Bottistik</t>
        </is>
      </c>
    </row>
    <row r="6327">
      <c r="A6327" t="inlineStr">
        <is>
          <t>rtyyr</t>
        </is>
      </c>
      <c r="B6327">
        <f>HYPERLINK("https://www.dofusbook.net/fr/equipement/1761583-rtyyr/objets", "link")</f>
        <v/>
      </c>
      <c r="C6327" t="n">
        <v>3</v>
      </c>
      <c r="D6327" t="inlineStr">
        <is>
          <t>Dagues d'Ilyzaelle; Amulette du Strigide; Anneau du Comte Harebourg; Anneau Crustique; Bouclier du Captain Amakna; Ceinture du Strigide; Coiffe du Comte Harebourg; Cape au Logis; Bottes du Comte Harebourg; Dofus Turquoise; Dofus des Glaces; Dofus Pourpre; Dofus Nébuleux; Dofus Ocre; Dofus Vulbis; Kompost</t>
        </is>
      </c>
    </row>
    <row r="6328">
      <c r="A6328" t="inlineStr">
        <is>
          <t>djydrju</t>
        </is>
      </c>
      <c r="B6328">
        <f>HYPERLINK("https://www.dofusbook.net/fr/equipement/1768497-djydrju/objets", "link")</f>
        <v/>
      </c>
      <c r="C6328" t="n">
        <v>8</v>
      </c>
      <c r="D6328" t="inlineStr">
        <is>
          <t>Arc Nécrotique; Amulette de Shokkoth; Bague Gloursonne; Alliance Gloursonne; Bouclier du Stalak; Pagne du Rykaon; Kidibonnet; Dofus Pourpre; Dofus des Glaces; Dofus Ocre; Muldo Indigo et Orchidée</t>
        </is>
      </c>
    </row>
    <row r="6329">
      <c r="A6329" t="inlineStr">
        <is>
          <t>cra Feu</t>
        </is>
      </c>
      <c r="B6329">
        <f>HYPERLINK("https://www.dofusbook.net/fr/equipement/1538274-cra-feu/objets", "link")</f>
        <v/>
      </c>
      <c r="C6329" t="n">
        <v>9</v>
      </c>
      <c r="D6329" t="inlineStr">
        <is>
          <t>Bague Gloursonne; Anneau de Padgref; Quatre-feuilles; Coiffe de Padgref; Getas de Padgref; Dofus Turquoise; Dofus Ocre; Dofus Pourpre; Dofus des Glaces; Muldo Orchidée</t>
        </is>
      </c>
    </row>
    <row r="6330">
      <c r="A6330" t="inlineStr">
        <is>
          <t>fzefz</t>
        </is>
      </c>
      <c r="B6330">
        <f>HYPERLINK("https://www.dofusbook.net/fr/equipement/2509565-fzefz/objets", "link")</f>
        <v/>
      </c>
      <c r="C6330" t="n">
        <v>1</v>
      </c>
      <c r="D6330" t="inlineStr">
        <is>
          <t>Bracelet des Fonds marins; Alliance Gloursonne; Cape du Sinistrofu; Bottes du Sinistrofu</t>
        </is>
      </c>
    </row>
    <row r="6331">
      <c r="A6331" t="inlineStr">
        <is>
          <t>eau</t>
        </is>
      </c>
      <c r="B6331">
        <f>HYPERLINK("https://www.dofusbook.net/fr/equipement/2504872-eau/objets", "link")</f>
        <v/>
      </c>
      <c r="C6331" t="n">
        <v>7</v>
      </c>
      <c r="D6331" t="inlineStr">
        <is>
          <t>Dagoulinantes; Amulette de Shokkoth; Bracelet des Fonds marins; Alliance Gloursonne; Bouclier du Captain Amakna; Poulpagne; Coiffe de Danathor; Cape du Sinistrofu; Bottes du Sinistrofu; Dofus Ocre; Dofus Nébuleux; Dofus Pourpre; Vigoureux majeur; Nomade; Chanceux majeur; Dehluge</t>
        </is>
      </c>
    </row>
    <row r="6332">
      <c r="A6332" t="inlineStr">
        <is>
          <t>Koli Tank</t>
        </is>
      </c>
      <c r="B6332">
        <f>HYPERLINK("https://www.dofusbook.net/fr/equipement/411873-koli-tank/objets", "link")</f>
        <v/>
      </c>
      <c r="C6332" t="n">
        <v>0</v>
      </c>
      <c r="D6332" t="inlineStr">
        <is>
          <t>Anneauræus; Bouclier du Stalak; Dorabysses; Cape Indescriptible; Dofus Pourpre; Dofus des Glaces; Dofus Abyssal</t>
        </is>
      </c>
    </row>
    <row r="6333">
      <c r="A6333" t="inlineStr">
        <is>
          <t>full feu</t>
        </is>
      </c>
      <c r="B6333">
        <f>HYPERLINK("https://www.dofusbook.net/fr/equipement/2261169-full-feu/objets", "link")</f>
        <v/>
      </c>
      <c r="C6333" t="n">
        <v>0</v>
      </c>
      <c r="D6333" t="inlineStr">
        <is>
          <t>Quatre-feuilles; Dofus Pourpre; Dofus des Glaces; Dofus Ocre; Dofus Nébuleux; Remueur; Vigoureux majeur</t>
        </is>
      </c>
    </row>
    <row r="6334">
      <c r="A6334" t="inlineStr">
        <is>
          <t>dopiege</t>
        </is>
      </c>
      <c r="B6334">
        <f>HYPERLINK("https://www.dofusbook.net/fr/equipement/2057023-dopiege/objets", "link")</f>
        <v/>
      </c>
      <c r="C6334" t="n">
        <v>3</v>
      </c>
      <c r="D6334" t="inlineStr">
        <is>
          <t>Manthache; Collier du Valet Veinard; Gant du Valet Veinard; Alliance Gloursonne; Bouclier du Stalak; Menoture; Masque de Klime; Cape Indescriptible; Palmes Trithons; Dofus Turquoise; Dofus Vulbis; Dofus des Glaces; Dofus Ocre; Dofus Nébuleux; Equilibriste majeur</t>
        </is>
      </c>
    </row>
    <row r="6335">
      <c r="A6335" t="inlineStr">
        <is>
          <t>erger</t>
        </is>
      </c>
      <c r="B6335">
        <f>HYPERLINK("https://www.dofusbook.net/fr/equipement/1923285-erger/objets", "link")</f>
        <v/>
      </c>
      <c r="C6335" t="n">
        <v>3</v>
      </c>
      <c r="D6335" t="inlineStr">
        <is>
          <t>Hache Euvale; Amulette du Strigide; Alliance Gloursonne; Anneau Chevelu; Quatre-feuilles; Ceintacé; Masque de Koutoulou; Cape au Logis; Bottes du Strigide; Dofus Pourpre; Dofus des Glaces; Dofus Turquoise; Dofus Ocre; Carapace Eau majeur; Vigoureux majeur; Kramkram</t>
        </is>
      </c>
    </row>
    <row r="6336">
      <c r="A6336" t="inlineStr">
        <is>
          <t>kghkg</t>
        </is>
      </c>
      <c r="B6336">
        <f>HYPERLINK("https://www.dofusbook.net/fr/equipement/2336046-kghkg/objets", "link")</f>
        <v/>
      </c>
      <c r="C6336" t="n">
        <v>1</v>
      </c>
      <c r="D6336" t="inlineStr">
        <is>
          <t>La Racine Hagogue; Pendentif mignon de Koutoulou; Anneau de Nidas; Anneau Rifique; Cadran de Feu; Ceinture de Vortex; Casque Dragoeuf; Voile d'encre; Bottes Innommables; Dofus Abyssal; Dofus Ivoire; Dofus Ocre; Remueur; Érudit majeur; Miraculé majeur; Muldo Ebène et Pourpre</t>
        </is>
      </c>
    </row>
    <row r="6337">
      <c r="A6337" t="inlineStr">
        <is>
          <t>rdgsrg</t>
        </is>
      </c>
      <c r="B6337">
        <f>HYPERLINK("https://www.dofusbook.net/fr/equipement/2231665-rdgsrg/objets", "link")</f>
        <v/>
      </c>
      <c r="C6337" t="n">
        <v>0</v>
      </c>
      <c r="D6337" t="inlineStr">
        <is>
          <t>Manthache; Collier du Valet Veinard; Alliance Gloursonne; Gant du Valet Veinard; Quatre-feuilles; Menoture; Casque Dragoeuf; Cape Indescriptible; Palmes Trithons; Dofus Abyssal; Dofus Ivoire; Dofus Émeraude; Remueur; Miraculé majeur; Cascadeur majeur; Muldo Ebène</t>
        </is>
      </c>
    </row>
    <row r="6338">
      <c r="A6338" t="inlineStr">
        <is>
          <t>eau</t>
        </is>
      </c>
      <c r="B6338">
        <f>HYPERLINK("https://www.dofusbook.net/fr/equipement/1761216-eau/objets", "link")</f>
        <v/>
      </c>
      <c r="C6338" t="n">
        <v>0</v>
      </c>
      <c r="D6338" t="inlineStr">
        <is>
          <t>Dagoulinantes; Amulette de Shokkoth; Alliance Gloursonne; Bracelet des Fonds marins; Cadran de Terre; Ceinture du Barbétoal; Casque Dragoeuf; Cape du Barbétoal; Pataugastrique; Dofus Pourpre; Remueur; Chanceux majeur; Étourdisseur majeur; Muldo Indigo</t>
        </is>
      </c>
    </row>
    <row r="6339">
      <c r="A6339" t="inlineStr">
        <is>
          <t>tank</t>
        </is>
      </c>
      <c r="B6339">
        <f>HYPERLINK("https://www.dofusbook.net/fr/equipement/1761031-tank/objets", "link")</f>
        <v/>
      </c>
      <c r="C6339" t="n">
        <v>5</v>
      </c>
      <c r="D6339" t="inlineStr">
        <is>
          <t>Arc corrompu; Pendentif mignon de Koutoulou; Anneauræus; Anneau Rifique; Cadran de Terre; Ceinture de Vortex; Casque Dragoeuf; Cape de Diondin; Bottes Innommables; Dofus Pourpre; Dofus des Glaces; Remueur; Étourdisseur majeur; Érudit majeur; Miraculé majeur; Muldo Orchidée et Pourpre</t>
        </is>
      </c>
    </row>
    <row r="6340">
      <c r="A6340" t="inlineStr">
        <is>
          <t>stuff 1</t>
        </is>
      </c>
      <c r="B6340">
        <f>HYPERLINK("https://www.dofusbook.net/fr/equipement/805211-stuff-1/objets", "link")</f>
        <v/>
      </c>
      <c r="C6340" t="n">
        <v>1</v>
      </c>
      <c r="D6340" t="inlineStr">
        <is>
          <t>Amulette du Strigide; Anneau Chevelu; Bague Gloursonne; Cadran d'Eau; Ceinture du Strigide; Chapeau de Gein; Cape du Cœur Saignant; Bottes du Cœur Saignant; Dofus Ocre; Dofus des Glaces; Dolmanax; Dofus Abyssal; Dofus Turquoise; Dofus Pourpre; Muldo Orchidée</t>
        </is>
      </c>
    </row>
    <row r="6341">
      <c r="A6341" t="inlineStr">
        <is>
          <t>Eni</t>
        </is>
      </c>
      <c r="B6341">
        <f>HYPERLINK("https://www.dofusbook.net/fr/equipement/1541883-eni/objets", "link")</f>
        <v/>
      </c>
      <c r="C6341" t="n">
        <v>0</v>
      </c>
      <c r="D6341" t="inlineStr">
        <is>
          <t>Amulette du Strigide; Bague Gloursonne; Quatre-feuilles; Ceinture du Strigide; Masque de Koutoulou; Cape au Logis; Sabots Minables; Dofus des Glaces; Dofus des Glaces; Dofus Abyssal; Dofus Ocre; Muldo Indigo</t>
        </is>
      </c>
    </row>
    <row r="6342">
      <c r="A6342" t="inlineStr">
        <is>
          <t>stuitfyj</t>
        </is>
      </c>
      <c r="B6342">
        <f>HYPERLINK("https://www.dofusbook.net/fr/equipement/1947155-stuitfyj/objets", "link")</f>
        <v/>
      </c>
      <c r="C6342" t="n">
        <v>1</v>
      </c>
      <c r="D6342" t="inlineStr">
        <is>
          <t>Héqache; Amulette du Strigide; Alliance de Missiz Frizz; Anneau du Comte Harebourg; Quatre-feuilles; Ceinture du Strigide; Coiffe du Comte Harebourg; Cape Reski; Bottes du Strigide; Dofus Pourpre; Dofus Nébuleux; Dofus Turquoise; Dofus Abyssal; Dofus Vulbis; Dofus Ocre</t>
        </is>
      </c>
    </row>
    <row r="6343">
      <c r="A6343" t="inlineStr">
        <is>
          <t>oiytyi</t>
        </is>
      </c>
      <c r="B6343">
        <f>HYPERLINK("https://www.dofusbook.net/fr/equipement/2016355-oiytyi/objets", "link")</f>
        <v/>
      </c>
      <c r="C6343" t="n">
        <v>0</v>
      </c>
      <c r="D6343" t="inlineStr">
        <is>
          <t>Pyraguette; Amulette de l'Indicible; Alliance Gloursonne; Bague Gloursonne; Ceinture de l'Indicible; Casque du Chalœil; Cape du Chalœil; Bottes de l'Indicible</t>
        </is>
      </c>
    </row>
    <row r="6344">
      <c r="A6344" t="inlineStr">
        <is>
          <t>hgtrj</t>
        </is>
      </c>
      <c r="B6344">
        <f>HYPERLINK("https://www.dofusbook.net/fr/equipement/1759923-hgtrj/objets", "link")</f>
        <v/>
      </c>
      <c r="C6344" t="n">
        <v>1</v>
      </c>
      <c r="D6344" t="inlineStr">
        <is>
          <t>Baguette Houffe-Craitien; Collier de la Dame du Hasard; Anneauræus; Anneau Rifique; Quatre-feuilles; Ceinture Séculaire; Coiffe Séculaire; Cape de la Dame du Hasard; Bottes de la Dame du Hasard; Dofus Pourpre; Dofus Nébuleux; Dofus Turquoise; Dofus Vulbis; Dofus Ocre; Astucieux majeur; Brûlih</t>
        </is>
      </c>
    </row>
    <row r="6345">
      <c r="A6345" t="inlineStr">
        <is>
          <t>rthrdh</t>
        </is>
      </c>
      <c r="B6345">
        <f>HYPERLINK("https://www.dofusbook.net/fr/equipement/2016199-rthrdh/objets", "link")</f>
        <v/>
      </c>
      <c r="C6345" t="n">
        <v>4</v>
      </c>
      <c r="D6345" t="inlineStr">
        <is>
          <t>Amrothiline; Amulette du Strigide; Anneau du Comte Harebourg; Bague Trithon; Quatre-feuilles; Ceinture du Strigide; Masque de Koutoulou; Cape au Logis; Bottes Trithon; Dofus Ocre; Dofus Pourpre; Dolmanax; Dofus Turquoise; Dofus des Glaces; Muldo Prune et Emeraude</t>
        </is>
      </c>
    </row>
    <row r="6346">
      <c r="A6346" t="inlineStr">
        <is>
          <t>rthrdh</t>
        </is>
      </c>
      <c r="B6346">
        <f>HYPERLINK("https://www.dofusbook.net/fr/equipement/1967113-rthrdh/objets", "link")</f>
        <v/>
      </c>
      <c r="C6346" t="n">
        <v>3</v>
      </c>
      <c r="D6346" t="inlineStr">
        <is>
          <t>Amrothiline; Amulette du Strigide; Bague Trithon; Anneau du Comte Harebourg; Quatre-feuilles; Ceinture du Strigide; Masque de Koutoulou; Cape au Logis; Bottes Trithon; Dofus Pourpre; Dolmanax; Dofus Turquoise; Dofus des Glaces; Dofus Nébuleux; Dofus Ocre; Muldo Prune et Emeraude</t>
        </is>
      </c>
    </row>
    <row r="6347">
      <c r="A6347" t="inlineStr">
        <is>
          <t>stuff</t>
        </is>
      </c>
      <c r="B6347">
        <f>HYPERLINK("https://www.dofusbook.net/fr/equipement/1920003-stuff/objets", "link")</f>
        <v/>
      </c>
      <c r="C6347" t="n">
        <v>1</v>
      </c>
      <c r="D6347" t="inlineStr">
        <is>
          <t>Dagues du Dragoeuf; La Feuille de Printemps; Anneau du Wabbit Céphale; Anneau du Meulou; Bouclier du Sadida; Ceinture Claire en Abrakleur; Casque Dragoeuf; Caracape Minotoris; Bottes du Wabbit Céphale; Dofus Pourpre; Dofus Émeraude; Dolmanax; Dokoko; Nomade; Remueur; Muldo Ebène et Pourpre</t>
        </is>
      </c>
    </row>
    <row r="6348">
      <c r="A6348" t="inlineStr">
        <is>
          <t>feurandom</t>
        </is>
      </c>
      <c r="B6348">
        <f>HYPERLINK("https://www.dofusbook.net/fr/equipement/1756663-feurandom/objets", "link")</f>
        <v/>
      </c>
      <c r="C6348" t="n">
        <v>1</v>
      </c>
      <c r="D6348" t="inlineStr">
        <is>
          <t>Baguette de Malléfisk; Pendentif affamé; Anneau Tique; Anneau de Nidas; Bouclier du serrurier; Ceinture de Vortex; Couronne de Nidas; Cape de Diondin; Bottes Innommables; Érudit majeur; Temporiseur majeur; Vagabond majeur; Fonceur majeur; Remueur; Déserteur majeur; Muldo Orchidée</t>
        </is>
      </c>
    </row>
    <row r="6349">
      <c r="A6349" t="inlineStr">
        <is>
          <t>feu200</t>
        </is>
      </c>
      <c r="B6349">
        <f>HYPERLINK("https://www.dofusbook.net/fr/equipement/1256589-feu200/objets", "link")</f>
        <v/>
      </c>
      <c r="C6349" t="n">
        <v>1</v>
      </c>
      <c r="D6349" t="inlineStr">
        <is>
          <t>Baguette de Malléfisk; Pendentif affamé; Anneauræus; Anneau de Nidas; Bouclier du serrurier; Ceinture de Vortex; Chapeau de la Fin Patraque; Cape Bleutée; Bottes Innommables; Dofus Ocre; Vagabond majeur; Déserteur majeur; Remueur; Érudit majeur; Temporiseur majeur; Muldo Ebène et Orchidée</t>
        </is>
      </c>
    </row>
    <row r="6350">
      <c r="A6350" t="inlineStr">
        <is>
          <t>adazd</t>
        </is>
      </c>
      <c r="B6350">
        <f>HYPERLINK("https://www.dofusbook.net/fr/equipement/1726164-adazd/objets", "link")</f>
        <v/>
      </c>
      <c r="C6350" t="n">
        <v>0</v>
      </c>
      <c r="D6350" t="inlineStr">
        <is>
          <t>Amulette du Strigide; Ceinture du Strigide; Némès de Tal Kasha; Chevelure de Tal Kasha; Sandales de Tal Kasha; Dolmanax</t>
        </is>
      </c>
    </row>
    <row r="6351">
      <c r="A6351" t="inlineStr">
        <is>
          <t>uytf</t>
        </is>
      </c>
      <c r="B6351">
        <f>HYPERLINK("https://www.dofusbook.net/fr/equipement/1771451-uytf/objets", "link")</f>
        <v/>
      </c>
      <c r="C6351" t="n">
        <v>0</v>
      </c>
      <c r="D6351" t="inlineStr">
        <is>
          <t>Lance corrompue; Amulette du Cycloïde; Alliance Gloursonne; Pikano; Bouclier d'Ilyzaelle; Ceinture de la Reine des Voleurs; Coiffe de la Reine des Voleurs; Cape au Logis; Baleinabottes; Dofus Ocre; Dofus des Glaces; Dofus Pourpre; Carapace Air majeur; Carapace Neutre majeur; Vigoureux majeur; Kramkram</t>
        </is>
      </c>
    </row>
    <row r="6352">
      <c r="A6352" t="inlineStr">
        <is>
          <t>iyuoghoy</t>
        </is>
      </c>
      <c r="B6352">
        <f>HYPERLINK("https://www.dofusbook.net/fr/equipement/1760004-iyuoghoy/objets", "link")</f>
        <v/>
      </c>
      <c r="C6352" t="n">
        <v>0</v>
      </c>
      <c r="D6352" t="inlineStr">
        <is>
          <t>Amulette Voldelor; Alliance Gloursonne; Bouclier du Stalak; Ceinture Voldelor; Cape Tif; Chaussures Face; Dofus Pourpre; Dolmanax; Dofus Turquoise; Dofus Abyssal; Dofus Émeraude; Dofus Ocre</t>
        </is>
      </c>
    </row>
    <row r="6353">
      <c r="A6353" t="inlineStr">
        <is>
          <t>esgfsgr</t>
        </is>
      </c>
      <c r="B6353">
        <f>HYPERLINK("https://www.dofusbook.net/fr/equipement/1715104-esgfsgr/objets", "link")</f>
        <v/>
      </c>
      <c r="C6353" t="n">
        <v>0</v>
      </c>
      <c r="D6353" t="inlineStr">
        <is>
          <t>Karnak; Amulette de l'Orfélin; Gelano; Sceau Souverain du Roissingue; Le Karde Cœur; Casque Dragoeuf; Cape Itaineflam; Bottes de Grozilla; Nomade; Robuste majeur; Vigoureux majeur; Cascadeur; Cascadeur majeur; Remueur; Siroko</t>
        </is>
      </c>
    </row>
    <row r="6354">
      <c r="A6354" t="inlineStr">
        <is>
          <t>enu</t>
        </is>
      </c>
      <c r="B6354">
        <f>HYPERLINK("https://www.dofusbook.net/fr/equipement/1538776-enu/objets", "link")</f>
        <v/>
      </c>
      <c r="C6354" t="n">
        <v>0</v>
      </c>
      <c r="D6354" t="inlineStr">
        <is>
          <t>Marteau Hubohu; La Feuille de Printemps; Anneau de Loopine; Ceinture du Royalmouth; Cape Dragoeuf; Protège-Tibias Ancestraux; Dofus Kaliptus; Taquin; Joueur; Dragodinde Turquoise</t>
        </is>
      </c>
    </row>
    <row r="6355">
      <c r="A6355" t="inlineStr">
        <is>
          <t>Panda</t>
        </is>
      </c>
      <c r="B6355">
        <f>HYPERLINK("https://www.dofusbook.net/fr/equipement/1538740-panda/objets", "link")</f>
        <v/>
      </c>
      <c r="C6355" t="n">
        <v>1</v>
      </c>
      <c r="D6355" t="inlineStr">
        <is>
          <t>Marteau Hubohu; La Feuille de Printemps; Anneau de Loopine; Anneau de Loopine; Ceinture du Royalmouth; Doro le Blak; Cape Dragoeuf; Getas Bernacle; Dofus Kaliptus; Taquin; Joueur; Dragodinde Turquoise</t>
        </is>
      </c>
    </row>
    <row r="6356">
      <c r="A6356" t="inlineStr">
        <is>
          <t>Zobal</t>
        </is>
      </c>
      <c r="B6356">
        <f>HYPERLINK("https://www.dofusbook.net/fr/equipement/1538405-zobal-/objets", "link")</f>
        <v/>
      </c>
      <c r="C6356" t="n">
        <v>1</v>
      </c>
      <c r="D6356" t="inlineStr">
        <is>
          <t>Marteau Hubohu; La Feuille de Printemps; Anneau de Loopine; Anneau de Loopine; Ceinture du Royalmouth; Kanistère; Cape Dragoeuf; Protège-Tibias Ancestraux; Dofus Kaliptus; Taquin; Joueur; Dragodinde Turquoise</t>
        </is>
      </c>
    </row>
    <row r="6357">
      <c r="A6357" t="inlineStr">
        <is>
          <t>Eni</t>
        </is>
      </c>
      <c r="B6357">
        <f>HYPERLINK("https://www.dofusbook.net/fr/equipement/1538439-eni/objets", "link")</f>
        <v/>
      </c>
      <c r="C6357" t="n">
        <v>2</v>
      </c>
      <c r="D6357" t="inlineStr">
        <is>
          <t>Bâton du Shamansot; Amulette du Royalmouth; Anneau de Loopine; Anneau de Loopine; Ceinture du Royalmouth; Coiffe du Royalmouth; Cape Houte; Bottes du Royalmouth; Dofus Kaliptus; Dragodinde Turquoise</t>
        </is>
      </c>
    </row>
    <row r="6358">
      <c r="A6358" t="inlineStr">
        <is>
          <t>Stuff 3</t>
        </is>
      </c>
      <c r="B6358">
        <f>HYPERLINK("https://www.dofusbook.net/fr/equipement/171158-stuff-3/objets", "link")</f>
        <v/>
      </c>
      <c r="C6358" t="n">
        <v>2</v>
      </c>
      <c r="D6358" t="inlineStr">
        <is>
          <t>Manthache; Amulette d'Ilyzaelle; Alliance Gloursonne; Gant du Valet Veinard; Bouclier d'Ilyzaelle; Ceinture du Barbétoal; Capuche de Moum-Ra; Cape Indescriptible; Baleinabottes; Dofus Émeraude; Nomade; Carapace Air majeur; Vigoureux majeur; Remueur; Miraculé majeur; La Chose</t>
        </is>
      </c>
    </row>
    <row r="6359">
      <c r="A6359" t="inlineStr">
        <is>
          <t>Stuff 2</t>
        </is>
      </c>
      <c r="B6359">
        <f>HYPERLINK("https://www.dofusbook.net/fr/equipement/171157-stuff-2/objets", "link")</f>
        <v/>
      </c>
      <c r="C6359" t="n">
        <v>2</v>
      </c>
      <c r="D6359" t="inlineStr">
        <is>
          <t>Arc Nécrotique; Talisman Igans; Alliance Gloursonne; Alliance du Lévitrof; Carapar; Ceintrigue; Capuche de l'Œil Putride; Cape de la Dame du Hasard; Pataugastrique; Dofus Émeraude; Nomade; Vigoureux majeur; Miraculé majeur; Survivant majeur; Remueur; Dauge</t>
        </is>
      </c>
    </row>
    <row r="6360">
      <c r="A6360" t="inlineStr">
        <is>
          <t>Stuff 1</t>
        </is>
      </c>
      <c r="B6360">
        <f>HYPERLINK("https://www.dofusbook.net/fr/equipement/171159-stuff-1/objets", "link")</f>
        <v/>
      </c>
      <c r="C6360" t="n">
        <v>3</v>
      </c>
      <c r="D6360" t="inlineStr">
        <is>
          <t>Pelle de Nidas; Amulette du Strigide; Grésilanneau; Alliance Gloursonne; Ceintacé; Coiffe d'Hel Munster; Voilamibe; Bottes du Strigide; Dolmanax; Dofus Pourpre; Vigoureux majeur; Nomade; Cascadeur majeur; Remueur; Kramkram</t>
        </is>
      </c>
    </row>
    <row r="6361">
      <c r="A6361" t="inlineStr">
        <is>
          <t>Stuff 1</t>
        </is>
      </c>
      <c r="B6361">
        <f>HYPERLINK("https://www.dofusbook.net/fr/equipement/171173-stuff-1/objets", "link")</f>
        <v/>
      </c>
      <c r="C6361" t="n">
        <v>1</v>
      </c>
      <c r="D6361" t="inlineStr">
        <is>
          <t>Harpelle; Amulette d'Otomaï; Anneau Tamie; Anneau de Nidas; Ceinture Séculaire; Couronne de Nidas; Cape de Diondin; Pantoufles Émar; Nomade; Temporiseur majeur; Astucieux majeur; Guérisseur majeur; Remueur; Érudit majeur</t>
        </is>
      </c>
    </row>
    <row r="6362">
      <c r="A6362" t="inlineStr">
        <is>
          <t>Stuff 1</t>
        </is>
      </c>
      <c r="B6362">
        <f>HYPERLINK("https://www.dofusbook.net/fr/equipement/171156-stuff-1/objets", "link")</f>
        <v/>
      </c>
      <c r="C6362" t="n">
        <v>2</v>
      </c>
      <c r="D6362" t="inlineStr">
        <is>
          <t>Arc Nécrotique; Talisman Igans; Alliance du Lévitrof; Alliance Gloursonne; Carapar; Ceintrigue; Casquette de Meno; Cape de la Dame du Hasard; Pataugastrique; Dofus Émeraude; Dolmanax; Nomade; Miraculé majeur; Remueur; Vigoureux majeur; Muldo Indigo et Orchidée</t>
        </is>
      </c>
    </row>
    <row r="6363">
      <c r="A6363" t="inlineStr">
        <is>
          <t>Stuff 1</t>
        </is>
      </c>
      <c r="B6363">
        <f>HYPERLINK("https://www.dofusbook.net/fr/equipement/171162-stuff-1/objets", "link")</f>
        <v/>
      </c>
      <c r="C6363" t="n">
        <v>2</v>
      </c>
      <c r="D6363" t="inlineStr">
        <is>
          <t>Sabres d'Atcham; Amulette d'Ilyzaelle; Alliance Gloursonne; Bague Gloursonne; Bouclier d'Ilyzaelle; Ceintrigue; Casque d'Ilyzaelle; Cape d'Atcham; Sandales  d'Atcham; Dofus des Glaces; Dofus Pourpre; Dofus Ocre; Dolmanax; Dofus Turquoise; Muldo Ebène et Pourpre</t>
        </is>
      </c>
    </row>
    <row r="6364">
      <c r="A6364" t="inlineStr">
        <is>
          <t>Stuff 1</t>
        </is>
      </c>
      <c r="B6364">
        <f>HYPERLINK("https://www.dofusbook.net/fr/equipement/171176-stuff-1/objets", "link")</f>
        <v/>
      </c>
      <c r="C6364" t="n">
        <v>4</v>
      </c>
      <c r="D6364" t="inlineStr">
        <is>
          <t>Epée Gloursonne; Amulette de l'Indicible; Alliance Gloursonne; Bague Gloursonne; Ceinture de l'Indicible; Casque du Chalœil; Cape du Chalœil; Bottes du Chalœil; Dolmanax; Dofus des Glaces; Dofus Ocre; Dofus Turquoise; Dofus Pourpre; Voyageur; Dragodinde en armure</t>
        </is>
      </c>
    </row>
    <row r="6365">
      <c r="A6365" t="inlineStr">
        <is>
          <t>Stuff 3</t>
        </is>
      </c>
      <c r="B6365">
        <f>HYPERLINK("https://www.dofusbook.net/fr/equipement/171161-stuff-3/objets", "link")</f>
        <v/>
      </c>
      <c r="C6365" t="n">
        <v>2</v>
      </c>
      <c r="D6365" t="inlineStr">
        <is>
          <t>Dague Hirr; Amulette Hendart; Anneau du Professeur Xa; Anneau Aimgéroks; Ceinture du Père Fwetar; Coiffe d'Ogivol; Cape d'Ogivol; Bottines Hodore; Cascadeur majeur; Vigoureux majeur; Enragé majeur; Nomade; Robuste majeur; Remueur; Kramkram</t>
        </is>
      </c>
    </row>
    <row r="6366">
      <c r="A6366" t="inlineStr">
        <is>
          <t>Stuff 3</t>
        </is>
      </c>
      <c r="B6366">
        <f>HYPERLINK("https://www.dofusbook.net/fr/equipement/171178-stuff-3/objets", "link")</f>
        <v/>
      </c>
      <c r="C6366" t="n">
        <v>3</v>
      </c>
      <c r="D6366" t="inlineStr">
        <is>
          <t>Dagues Érhy; Amulette du Strigide; Alliance du Lévitrof; Bracelet du Piloztère; Ceinture de l'Indicible; Le Dorado; Dofusteuse; Bottes du Strigide; Dofus Pourpre; Dolmanax; Dofus Turquoise; Remueur; Vigoureux majeur; Nomade; Kramkram</t>
        </is>
      </c>
    </row>
    <row r="6367">
      <c r="A6367" t="inlineStr">
        <is>
          <t>Stuff 1</t>
        </is>
      </c>
      <c r="B6367">
        <f>HYPERLINK("https://www.dofusbook.net/fr/equipement/171168-stuff-1/objets", "link")</f>
        <v/>
      </c>
      <c r="C6367" t="n">
        <v>6</v>
      </c>
      <c r="D6367" t="inlineStr">
        <is>
          <t>Dagues Érhy; Amulette du Strigide; Bague Gloursonne; Bracelet du Piloztère; Ceinture du Strigide; Casque de Missiz Frizz; Voile d'encre; Sabots Minables; Dofus Turquoise; Dofus Pourpre; Nomade; Remueur; Vigoureux majeur; Enragé majeur; Phortiche</t>
        </is>
      </c>
    </row>
    <row r="6368">
      <c r="A6368" t="inlineStr">
        <is>
          <t>Stuff 3</t>
        </is>
      </c>
      <c r="B6368">
        <f>HYPERLINK("https://www.dofusbook.net/fr/equipement/171175-stuff-3/objets", "link")</f>
        <v/>
      </c>
      <c r="C6368" t="n">
        <v>1</v>
      </c>
      <c r="D6368" t="inlineStr">
        <is>
          <t>Sabres d'Atcham; Kralamansion; Anneau de Padgref; Alliance Gloursonne; Ceintacé; Chapeau des Malveilleurs; Cape des Malveilleurs; Pantoufles Émar; Dofus Turquoise; Dofus Pourpre; Nomade; Remueur; Sanguinaire majeur; Vigoureux majeur; Kramkram</t>
        </is>
      </c>
    </row>
    <row r="6369">
      <c r="A6369" t="inlineStr">
        <is>
          <t>Stuff 3</t>
        </is>
      </c>
      <c r="B6369">
        <f>HYPERLINK("https://www.dofusbook.net/fr/equipement/171170-stuff-3/objets", "link")</f>
        <v/>
      </c>
      <c r="C6369" t="n">
        <v>4</v>
      </c>
      <c r="D6369" t="inlineStr">
        <is>
          <t>Dagues du Dragoeuf; Amulette du Cycloïde; Bracelet du Piloztère; Bague Gloursonne; Ceinture du Strigide; Casque de Missiz Frizz; Cape du Professeur Xa; Bottes du Strigide; Dofus Pourpre; Vigoureux majeur; Nomade; Remueur; Turbulent; Robuste majeur; Kramkram</t>
        </is>
      </c>
    </row>
    <row r="6370">
      <c r="A6370" t="inlineStr">
        <is>
          <t>Stuff 3</t>
        </is>
      </c>
      <c r="B6370">
        <f>HYPERLINK("https://www.dofusbook.net/fr/equipement/171161-stuff-3/objets", "link")</f>
        <v/>
      </c>
      <c r="C6370" t="n">
        <v>2</v>
      </c>
      <c r="D6370" t="inlineStr">
        <is>
          <t>Dague Hirr; Amulette Hendart; Anneau du Professeur Xa; Anneau Aimgéroks; Ceinture du Père Fwetar; Coiffe d'Ogivol; Cape d'Ogivol; Bottines Hodore; Cascadeur majeur; Vigoureux majeur; Enragé majeur; Nomade; Robuste majeur; Remueur; Kramkram</t>
        </is>
      </c>
    </row>
    <row r="6371">
      <c r="A6371" t="inlineStr">
        <is>
          <t>Stuff 3</t>
        </is>
      </c>
      <c r="B6371">
        <f>HYPERLINK("https://www.dofusbook.net/fr/equipement/171178-stuff-3/objets", "link")</f>
        <v/>
      </c>
      <c r="C6371" t="n">
        <v>3</v>
      </c>
      <c r="D6371" t="inlineStr">
        <is>
          <t>Dagues Érhy; Amulette du Strigide; Alliance du Lévitrof; Bracelet du Piloztère; Ceinture de l'Indicible; Le Dorado; Dofusteuse; Bottes du Strigide; Dofus Pourpre; Dolmanax; Dofus Turquoise; Remueur; Vigoureux majeur; Nomade; Kramkram</t>
        </is>
      </c>
    </row>
    <row r="6372">
      <c r="A6372" t="inlineStr">
        <is>
          <t>Stuff 1</t>
        </is>
      </c>
      <c r="B6372">
        <f>HYPERLINK("https://www.dofusbook.net/fr/equipement/171168-stuff-1/objets", "link")</f>
        <v/>
      </c>
      <c r="C6372" t="n">
        <v>6</v>
      </c>
      <c r="D6372" t="inlineStr">
        <is>
          <t>Dagues Érhy; Amulette du Strigide; Bracelet du Piloztère; Bague Gloursonne; Ceinture du Strigide; Casque de Missiz Frizz; Voile d'encre; Sabots Minables; Dofus Turquoise; Dofus Pourpre; Nomade; Remueur; Vigoureux majeur; Enragé majeur; Phortiche</t>
        </is>
      </c>
    </row>
    <row r="6373">
      <c r="A6373" t="inlineStr">
        <is>
          <t>Stuff 3</t>
        </is>
      </c>
      <c r="B6373">
        <f>HYPERLINK("https://www.dofusbook.net/fr/equipement/171175-stuff-3/objets", "link")</f>
        <v/>
      </c>
      <c r="C6373" t="n">
        <v>1</v>
      </c>
      <c r="D6373" t="inlineStr">
        <is>
          <t>Sabres d'Atcham; Kralamansion; Anneau de Padgref; Alliance Gloursonne; Ceintacé; Chapeau des Malveilleurs; Cape des Malveilleurs; Pantoufles Émar; Dofus Turquoise; Dofus Pourpre; Remueur; Sanguinaire majeur; Vigoureux majeur; Nomade; Kramkram</t>
        </is>
      </c>
    </row>
    <row r="6374">
      <c r="A6374" t="inlineStr">
        <is>
          <t>Iop M 200</t>
        </is>
      </c>
      <c r="B6374">
        <f>HYPERLINK("https://www.dofusbook.net/fr/equipement/5785190-iop-m-200/objets", "link")</f>
        <v/>
      </c>
      <c r="C6374" t="n">
        <v>0</v>
      </c>
      <c r="D6374" t="inlineStr"/>
    </row>
    <row r="6375">
      <c r="A6375" t="inlineStr">
        <is>
          <t>Crâ M 200</t>
        </is>
      </c>
      <c r="B6375">
        <f>HYPERLINK("https://www.dofusbook.net/fr/equipement/5518721-cra-m-200/objets", "link")</f>
        <v/>
      </c>
      <c r="C6375" t="n">
        <v>0</v>
      </c>
      <c r="D6375" t="inlineStr"/>
    </row>
    <row r="6376">
      <c r="A6376" t="inlineStr">
        <is>
          <t>Sadida M 200</t>
        </is>
      </c>
      <c r="B6376">
        <f>HYPERLINK("https://www.dofusbook.net/fr/equipement/5436926-sadida-m-200/objets", "link")</f>
        <v/>
      </c>
      <c r="C6376" t="n">
        <v>0</v>
      </c>
      <c r="D6376" t="inlineStr"/>
    </row>
    <row r="6377">
      <c r="A6377" t="inlineStr">
        <is>
          <t>Ecaflip M 200</t>
        </is>
      </c>
      <c r="B6377">
        <f>HYPERLINK("https://www.dofusbook.net/fr/equipement/5436368-ecaflip-m-200/objets", "link")</f>
        <v/>
      </c>
      <c r="C6377" t="n">
        <v>0</v>
      </c>
      <c r="D6377" t="inlineStr">
        <is>
          <t>Amulette de Danathor; Gelano; Ceinture de Danathor; Coiffe de Danathor</t>
        </is>
      </c>
    </row>
    <row r="6378">
      <c r="A6378" t="inlineStr">
        <is>
          <t>Steamer M 200</t>
        </is>
      </c>
      <c r="B6378">
        <f>HYPERLINK("https://www.dofusbook.net/fr/equipement/4932190-steamer-m-200/objets", "link")</f>
        <v/>
      </c>
      <c r="C6378" t="n">
        <v>0</v>
      </c>
      <c r="D6378" t="inlineStr">
        <is>
          <t>Anneau Ancestral; Ceinture du Royalmouth; Sac à Croquer; Bottes Croquantes</t>
        </is>
      </c>
    </row>
    <row r="6379">
      <c r="A6379" t="inlineStr">
        <is>
          <t>Sadida M 200</t>
        </is>
      </c>
      <c r="B6379">
        <f>HYPERLINK("https://www.dofusbook.net/fr/equipement/4929119-sadida-m-200/objets", "link")</f>
        <v/>
      </c>
      <c r="C6379" t="n">
        <v>0</v>
      </c>
      <c r="D6379" t="inlineStr">
        <is>
          <t>Arc du Chalœil; Amulette Héroclite; Anneau Aimgéroks; Anneau de Brouce; Détourné; Ceinture de Brouce; Le Kim; Cape au Logis; Sabots Minables; Dragodinde Pourpre</t>
        </is>
      </c>
    </row>
    <row r="6380">
      <c r="A6380" t="inlineStr">
        <is>
          <t>Osamodas F 200</t>
        </is>
      </c>
      <c r="B6380">
        <f>HYPERLINK("https://www.dofusbook.net/fr/equipement/4891344-osamodas-f-200/objets", "link")</f>
        <v/>
      </c>
      <c r="C6380" t="n">
        <v>1</v>
      </c>
      <c r="D6380" t="inlineStr"/>
    </row>
    <row r="6381">
      <c r="A6381" t="inlineStr">
        <is>
          <t>loliol</t>
        </is>
      </c>
      <c r="B6381">
        <f>HYPERLINK("https://www.dofusbook.net/fr/equipement/1802909-loliol/objets", "link")</f>
        <v/>
      </c>
      <c r="C6381" t="n">
        <v>1</v>
      </c>
      <c r="D6381" t="inlineStr">
        <is>
          <t>Baguette Héroclite; Amulette d'Ilyzaelle; Anneau de Pol Ouatnos; Alliance Gloursonne; Ceinture de l'Esprit Salvateur; Cape Matelassée; Bottes de la Reine des Voleurs</t>
        </is>
      </c>
    </row>
    <row r="6382">
      <c r="A6382" t="inlineStr">
        <is>
          <t>zgdsgg</t>
        </is>
      </c>
      <c r="B6382">
        <f>HYPERLINK("https://www.dofusbook.net/fr/equipement/2068954-zgdsgg/objets", "link")</f>
        <v/>
      </c>
      <c r="C6382" t="n">
        <v>4</v>
      </c>
      <c r="D6382" t="inlineStr">
        <is>
          <t>Sabres d'Atcham; Talisman Glouti; Anneau Tique; Alliance Gloursonne; Bouclier Taverne; Ceintacé; Dorabysses; Cape d'Atcham; Sandales  d'Atcham; Dokoko; Dofus Turquoise; Dofus Émeraude; Dofus Pourpre; Puissant majeur; Survivant majeur; Muldo Ebène et Pourpre</t>
        </is>
      </c>
    </row>
    <row r="6383">
      <c r="A6383" t="inlineStr">
        <is>
          <t>rblablalbla</t>
        </is>
      </c>
      <c r="B6383">
        <f>HYPERLINK("https://www.dofusbook.net/fr/equipement/1840320-rblablalbla/objets", "link")</f>
        <v/>
      </c>
      <c r="C6383" t="n">
        <v>2</v>
      </c>
      <c r="D6383" t="inlineStr">
        <is>
          <t>Couteaux à Champignons; Amulette Ripage; Anneau de XLII; Anneau Colerette; Bouclier Taverne; Ceinture de XLII; Chapignon; Caprin; Bottes de XLII; Dofus Émeraude; Dofus Cawotte; Dofus Pourpre; Dokoko; Dofus Turquoise; Acrobate majeur; Muldo Prune et Emeraude</t>
        </is>
      </c>
    </row>
    <row r="6384">
      <c r="A6384" t="inlineStr">
        <is>
          <t>Stuff 2</t>
        </is>
      </c>
      <c r="B6384">
        <f>HYPERLINK("https://www.dofusbook.net/fr/equipement/1687577-stuff-2-/objets", "link")</f>
        <v/>
      </c>
      <c r="C6384" t="n">
        <v>4</v>
      </c>
      <c r="D6384" t="inlineStr">
        <is>
          <t>Arc Hétype; Amulette d'Otomaï; Anneau Tamie; Anneau Tamie; Carapar; Frimature; Chapeau Potin; Cape de Nileza; Pantoufles Émar; Dokoko; Miraculé majeur; Remueur; Temporiseur majeur; Nomade; Érudit majeur</t>
        </is>
      </c>
    </row>
    <row r="6385">
      <c r="A6385" t="inlineStr">
        <is>
          <t>stuff 1</t>
        </is>
      </c>
      <c r="B6385">
        <f>HYPERLINK("https://www.dofusbook.net/fr/equipement/1681270-stuff-1/objets", "link")</f>
        <v/>
      </c>
      <c r="C6385" t="n">
        <v>1</v>
      </c>
      <c r="D6385" t="inlineStr">
        <is>
          <t>Arc du Chalœil; Collier de Tourthon; Bague Gloursonne; Anneau Crustique; Quatre-feuilles; Ceinture de la Cour Sombre; Coiffe de la Reine des Voleurs; Voile d'encre; Bottes de la Cour Sombre; Dofus Ocre; Dofus Turquoise; Dofus Pourpre; Remueur; Enragé majeur; Nomade; Muldo Indigo et Pourpre</t>
        </is>
      </c>
    </row>
    <row r="6386">
      <c r="A6386" t="inlineStr">
        <is>
          <t>stuff</t>
        </is>
      </c>
      <c r="B6386">
        <f>HYPERLINK("https://www.dofusbook.net/fr/equipement/1688811-stuff----/objets", "link")</f>
        <v/>
      </c>
      <c r="C6386" t="n">
        <v>0</v>
      </c>
      <c r="D6386" t="inlineStr">
        <is>
          <t>Dagues du Dragoeuf; Amulule; Bague Gloursonne; Gelano; Ceinture d'Henual; Casque de Missiz Frizz; Cape du Professeur Xa; Bottes de Missiz Frizz</t>
        </is>
      </c>
    </row>
    <row r="6387">
      <c r="A6387" t="inlineStr">
        <is>
          <t>stuff 1</t>
        </is>
      </c>
      <c r="B6387">
        <f>HYPERLINK("https://www.dofusbook.net/fr/equipement/1681380-stuff-1/objets", "link")</f>
        <v/>
      </c>
      <c r="C6387" t="n">
        <v>1</v>
      </c>
      <c r="D6387" t="inlineStr">
        <is>
          <t>Épée du Granduk; Amulette du Granduk; Bracelet du Piloztère; Anneau de Brouce; Ceinture de Brouce; Masque du Granduk; Cape au Logis; Bottes de Brouce; Muldo Ebène et Pourpre</t>
        </is>
      </c>
    </row>
    <row r="6388">
      <c r="A6388" t="inlineStr">
        <is>
          <t>Stuff 1</t>
        </is>
      </c>
      <c r="B6388">
        <f>HYPERLINK("https://www.dofusbook.net/fr/equipement/143010-stuff-1/objets", "link")</f>
        <v/>
      </c>
      <c r="C6388" t="n">
        <v>1</v>
      </c>
      <c r="D6388" t="inlineStr">
        <is>
          <t>Épée du Granduk; Amulette du Granduk; Anneau de Pol Ouatnos; Alliance Gloursonne; Ceinture du Nocturlabe; Masque du Granduk; Cape Matelassée; Pantoufles Émar; Dofus Émeraude; Dofus Pourpre; Ravageur Air majeur; Acrobate majeur; Survivant majeur; Equilibriste majeur; Kramkram</t>
        </is>
      </c>
    </row>
    <row r="6389">
      <c r="A6389" t="inlineStr">
        <is>
          <t>Stuff 2</t>
        </is>
      </c>
      <c r="B6389">
        <f>HYPERLINK("https://www.dofusbook.net/fr/equipement/143003-stuff-2/objets", "link")</f>
        <v/>
      </c>
      <c r="C6389" t="n">
        <v>1</v>
      </c>
      <c r="D6389" t="inlineStr">
        <is>
          <t>Marteau Xiko; Amulette Héroclite; Anneau de Brouce; Gelano; Ceinture de Brouce; Casque de Missiz Frizz; Cape du Professeur Xa; Bottes de Brouce; Dofus Pourpre; Dofus Émeraude; Ravageur Terre majeur; Furibond majeur; Turbulent; Survivant majeur; Kompost</t>
        </is>
      </c>
    </row>
    <row r="6390">
      <c r="A6390" t="inlineStr">
        <is>
          <t>Stuff 2</t>
        </is>
      </c>
      <c r="B6390">
        <f>HYPERLINK("https://www.dofusbook.net/fr/equipement/142998-stuff-2/objets", "link")</f>
        <v/>
      </c>
      <c r="C6390" t="n">
        <v>1</v>
      </c>
      <c r="D6390" t="inlineStr">
        <is>
          <t>Baguette Hique; Collier de la Dame du Hasard; Pikano; Anneau Tamie; Ceinture Instable; Casquipik; Cape de Léthaline; Pantoufles Émar; Ralentisseur majeur; Remueur; Temporiseur majeur; Fonceur majeur; Entraveur majeur; Nomade; Tifoux</t>
        </is>
      </c>
    </row>
    <row r="6391">
      <c r="A6391" t="inlineStr">
        <is>
          <t>Stuff 3</t>
        </is>
      </c>
      <c r="B6391">
        <f>HYPERLINK("https://www.dofusbook.net/fr/equipement/143012-stuff-3/objets", "link")</f>
        <v/>
      </c>
      <c r="C6391" t="n">
        <v>0</v>
      </c>
      <c r="D6391" t="inlineStr">
        <is>
          <t>Collier du Valet Veinard; Alliance Gloursonne; Menoture; Dorabysses; Cape du Valet Veinard; Palmes Trithons</t>
        </is>
      </c>
    </row>
    <row r="6392">
      <c r="A6392" t="inlineStr">
        <is>
          <t>Stuff 1</t>
        </is>
      </c>
      <c r="B6392">
        <f>HYPERLINK("https://www.dofusbook.net/fr/equipement/143005-stuff-1/objets", "link")</f>
        <v/>
      </c>
      <c r="C6392" t="n">
        <v>1</v>
      </c>
      <c r="D6392" t="inlineStr">
        <is>
          <t>Hache du Chalœil; Amulette du Strigide; Alliance du Lévitrof; Bracelet du Piloztère; Slip Iholo; Coiffe du Lévitrof; Cape des Malveilleurs; Bottes du Chalœil; Dofus Pourpre; Dofus Ocre; Vigoureux majeur; Nomade; Miraculé majeur; Remueur; Kwaltess</t>
        </is>
      </c>
    </row>
    <row r="6393">
      <c r="A6393" t="inlineStr">
        <is>
          <t>Stuff 1</t>
        </is>
      </c>
      <c r="B6393">
        <f>HYPERLINK("https://www.dofusbook.net/fr/equipement/143000-stuff-1/objets", "link")</f>
        <v/>
      </c>
      <c r="C6393" t="n">
        <v>1</v>
      </c>
      <c r="D6393" t="inlineStr">
        <is>
          <t>Baguette Hernelle; Amulette d'Otomaï; Anneau de Padgref; Bague Gloursonne; Sangle Aise; Coiffe de Padgref; Cape de Nileza; Pataugastrique; Dofus Turquoise; Érudit majeur; Miraculé majeur; Nomade; Vigoureux majeur; Remueur; Kramkram</t>
        </is>
      </c>
    </row>
    <row r="6394">
      <c r="A6394" t="inlineStr">
        <is>
          <t>Stuff 2</t>
        </is>
      </c>
      <c r="B6394">
        <f>HYPERLINK("https://www.dofusbook.net/fr/equipement/142992-stuff-2/objets", "link")</f>
        <v/>
      </c>
      <c r="C6394" t="n">
        <v>2</v>
      </c>
      <c r="D6394" t="inlineStr">
        <is>
          <t>Hache du Chalœil; Amulette du Strigide; Alliance Gloursonne; Anneau Tique; Bouclier de Guilde; Ceintacé; Casque du Chalœil; Voile d'encre; Bottes du Chalœil; Dofus Ocre; Dofus Pourpre; Dolmanax; Nomade; Vigoureux majeur; Remueur</t>
        </is>
      </c>
    </row>
    <row r="6395">
      <c r="A6395" t="inlineStr">
        <is>
          <t>Stuff 3</t>
        </is>
      </c>
      <c r="B6395">
        <f>HYPERLINK("https://www.dofusbook.net/fr/equipement/143007-stuff-3/objets", "link")</f>
        <v/>
      </c>
      <c r="C6395" t="n">
        <v>0</v>
      </c>
      <c r="D6395" t="inlineStr">
        <is>
          <t>Sabres d'Atcham; Amulette du Strigide; Alliance Gloursonne; Bracelet du Piloztère; Ceintacé; Chapeau des Malveilleurs; Cape des Malveilleurs; Pataugastrique; Dofus Pourpre; Dofus Turquoise; Nomade; Carapace Eau majeur; Remueur; Fonceur majeur; Kramkram</t>
        </is>
      </c>
    </row>
    <row r="6396">
      <c r="A6396" t="inlineStr">
        <is>
          <t>Stuff 1</t>
        </is>
      </c>
      <c r="B6396">
        <f>HYPERLINK("https://www.dofusbook.net/fr/equipement/143002-stuff-1/objets", "link")</f>
        <v/>
      </c>
      <c r="C6396" t="n">
        <v>1</v>
      </c>
      <c r="D6396" t="inlineStr">
        <is>
          <t>Dagues Érhy; Amulette du Strigide; Bague Gloursonne; Gelano; Ceinture du Strigide; Couronne du Roi Joueur; Voile d'encre; Bottes du Cycloïde; Dofus Turquoise; Dofus Pourpre; Dofus Ocre; Vigoureux majeur; Nomade; Remueur; Kramkram</t>
        </is>
      </c>
    </row>
    <row r="6397">
      <c r="A6397" t="inlineStr">
        <is>
          <t>Stuff 1</t>
        </is>
      </c>
      <c r="B6397">
        <f>HYPERLINK("https://www.dofusbook.net/fr/equipement/142997-stuff-1/objets", "link")</f>
        <v/>
      </c>
      <c r="C6397" t="n">
        <v>0</v>
      </c>
      <c r="D6397" t="inlineStr">
        <is>
          <t>Arc Honte; Collier de la Dame du Hasard; Anneau Tamie; Anneau de Nidas; Ceinture Instable; Maskrobe; Cape de Meno; Bottes de Meno; Dofus Pourpre; Dofus Ocre; Chanceux majeur; Entraveur majeur; Remueur; Temporiseur majeur</t>
        </is>
      </c>
    </row>
    <row r="6398">
      <c r="A6398" t="inlineStr">
        <is>
          <t>Stuff 1</t>
        </is>
      </c>
      <c r="B6398">
        <f>HYPERLINK("https://www.dofusbook.net/fr/equipement/142991-stuff-1/objets", "link")</f>
        <v/>
      </c>
      <c r="C6398" t="n">
        <v>1</v>
      </c>
      <c r="D6398" t="inlineStr">
        <is>
          <t>Sabres d'Atcham; Amulette du Strigide; Alliance Gloursonne; Anneau de Padgref; Ceinture du Strigide; Le Dorado; Dofusteuse; Pataugastrique; Dofus Turquoise; Dolmanax; Dofus Pourpre; Vigoureux majeur; Nomade; Remueur</t>
        </is>
      </c>
    </row>
    <row r="6399">
      <c r="A6399" t="inlineStr">
        <is>
          <t>Stuff 2</t>
        </is>
      </c>
      <c r="B6399">
        <f>HYPERLINK("https://www.dofusbook.net/fr/equipement/143006-stuff-2/objets", "link")</f>
        <v/>
      </c>
      <c r="C6399" t="n">
        <v>0</v>
      </c>
      <c r="D6399" t="inlineStr">
        <is>
          <t>Marteau des Anciens Steamers; Amulette du Strigide; Bracelet du Piloztère; Alliance Gloursonne; Ceinture Voldelor; Chapeau des Malveilleurs; Voilamibe; Pataugastrique; Dofus Pourpre; Dofus Turquoise; Vigoureux majeur; Remueur; Fonceur majeur; Nomade</t>
        </is>
      </c>
    </row>
    <row r="6400">
      <c r="A6400" t="inlineStr">
        <is>
          <t>Stuff 2</t>
        </is>
      </c>
      <c r="B6400">
        <f>HYPERLINK("https://www.dofusbook.net/fr/equipement/143001-stuff-2/objets", "link")</f>
        <v/>
      </c>
      <c r="C6400" t="n">
        <v>1</v>
      </c>
      <c r="D6400" t="inlineStr">
        <is>
          <t>Baguette de Malléfisk; Amulette de Nileza; Alliance Boletée; Anneau de Padgref; Ceinture Hyolite; Cagoule de Vortex; Cape de Diondin; Bottes Innommables; Érudit majeur; Carapace Eau majeur; Nomade; Carapace Feu majeur; Remueur; Carapace Terre majeur</t>
        </is>
      </c>
    </row>
    <row r="6401">
      <c r="A6401" t="inlineStr">
        <is>
          <t>Stuff 3</t>
        </is>
      </c>
      <c r="B6401">
        <f>HYPERLINK("https://www.dofusbook.net/fr/equipement/142993-stuff-3/objets", "link")</f>
        <v/>
      </c>
      <c r="C6401" t="n">
        <v>3</v>
      </c>
      <c r="D6401" t="inlineStr">
        <is>
          <t>Baguette Hernelle; Frimamulette; Kralano; Anneau de Padgref; Slip du Roi de Bonta; Coiffe de Padgref; Cape Matelassée; Pantoufles Émar; Dofus Turquoise; Dofus Pourpre; Miraculé majeur; Nomade; Vigoureux majeur; Remueur</t>
        </is>
      </c>
    </row>
    <row r="6402">
      <c r="A6402" t="inlineStr">
        <is>
          <t>Stuff 1</t>
        </is>
      </c>
      <c r="B6402">
        <f>HYPERLINK("https://www.dofusbook.net/fr/equipement/143010-stuff-1/objets", "link")</f>
        <v/>
      </c>
      <c r="C6402" t="n">
        <v>1</v>
      </c>
      <c r="D6402" t="inlineStr">
        <is>
          <t>Épée du Granduk; Amulette du Granduk; Anneau de Pol Ouatnos; Alliance Gloursonne; Ceinture du Nocturlabe; Masque du Granduk; Cape Matelassée; Pantoufles Émar; Dofus Émeraude; Dofus Pourpre; Ravageur Air majeur; Acrobate majeur; Survivant majeur; Equilibriste majeur; Kramkram</t>
        </is>
      </c>
    </row>
    <row r="6403">
      <c r="A6403" t="inlineStr">
        <is>
          <t>Stuff 2</t>
        </is>
      </c>
      <c r="B6403">
        <f>HYPERLINK("https://www.dofusbook.net/fr/equipement/143003-stuff-2/objets", "link")</f>
        <v/>
      </c>
      <c r="C6403" t="n">
        <v>1</v>
      </c>
      <c r="D6403" t="inlineStr">
        <is>
          <t>Marteau Xiko; Amulette Héroclite; Gelano; Anneau de Brouce; Ceinture de Brouce; Casque de Missiz Frizz; Cape du Professeur Xa; Bottes de Brouce; Dofus Émeraude; Dofus Pourpre; Furibond majeur; Turbulent; Survivant majeur; Ravageur Terre majeur; Kompost</t>
        </is>
      </c>
    </row>
    <row r="6404">
      <c r="A6404" t="inlineStr">
        <is>
          <t>Stuff 2</t>
        </is>
      </c>
      <c r="B6404">
        <f>HYPERLINK("https://www.dofusbook.net/fr/equipement/142998-stuff-2/objets", "link")</f>
        <v/>
      </c>
      <c r="C6404" t="n">
        <v>1</v>
      </c>
      <c r="D6404" t="inlineStr">
        <is>
          <t>Baguette Hique; Collier de la Dame du Hasard; Pikano; Anneau Tamie; Ceinture Instable; Casquipik; Cape de Léthaline; Pantoufles Émar; Ralentisseur majeur; Remueur; Temporiseur majeur; Fonceur majeur; Entraveur majeur; Nomade; Tifoux</t>
        </is>
      </c>
    </row>
    <row r="6405">
      <c r="A6405" t="inlineStr">
        <is>
          <t>Sacri 253</t>
        </is>
      </c>
      <c r="B6405">
        <f>HYPERLINK("https://www.dofusbook.net/fr/equipement/5983024-sacri-253/objets", "link")</f>
        <v/>
      </c>
      <c r="C6405" t="n">
        <v>0</v>
      </c>
      <c r="D6405" t="inlineStr">
        <is>
          <t>Arc Nécrotique</t>
        </is>
      </c>
    </row>
    <row r="6406">
      <c r="A6406" t="inlineStr">
        <is>
          <t>Tank</t>
        </is>
      </c>
      <c r="B6406">
        <f>HYPERLINK("https://www.dofusbook.net/fr/equipement/4715356-tank-/objets", "link")</f>
        <v/>
      </c>
      <c r="C6406" t="n">
        <v>9</v>
      </c>
      <c r="D6406" t="inlineStr">
        <is>
          <t>Arc Hétype; Torquistik; Baguistik; Bague Gloursonne; Carapar; Ceinture de Gein; Voile d'encre; Bottes Honyme; Dofus Émeraude; Remueur; Carapace Neutre majeur; Érudit majeur; Carapace Terre majeur; Nomade; Dragodinde en armure</t>
        </is>
      </c>
    </row>
    <row r="6407">
      <c r="A6407" t="inlineStr">
        <is>
          <t>Roi</t>
        </is>
      </c>
      <c r="B6407">
        <f>HYPERLINK("https://www.dofusbook.net/fr/equipement/5510971-roi/objets", "link")</f>
        <v/>
      </c>
      <c r="C6407" t="n">
        <v>0</v>
      </c>
      <c r="D6407" t="inlineStr">
        <is>
          <t>Sceptre du Roi Joueur; Amulette de Shokkoth; Alliance Gloursonne; Bracelet des Fonds marins; Bouclier d'Ilyzaelle; Poulpagne; Casque Dragoeuf; Cape de l'Œil Attentif; Sandales des Fonds marins; Dofus Abyssal; Dofus Émeraude; Dofus Ivoire; Remueur; Chanceux majeur; Nomade; Bwak d'Eau</t>
        </is>
      </c>
    </row>
    <row r="6408">
      <c r="A6408" t="inlineStr">
        <is>
          <t>Pandawa M 200</t>
        </is>
      </c>
      <c r="B6408">
        <f>HYPERLINK("https://www.dofusbook.net/fr/equipement/5783375-pandawa-m-200/objets", "link")</f>
        <v/>
      </c>
      <c r="C6408" t="n">
        <v>2</v>
      </c>
      <c r="D6408" t="inlineStr">
        <is>
          <t>Baguette de Malléfisk; Amulette Volkorne; Anneauræus; Anneauræus; Bouclier cubiste; Ceinture Volkorne; Casque Dragoeuf; Cape de Diondin; Bottes Innommables; Kramkram</t>
        </is>
      </c>
    </row>
    <row r="6409">
      <c r="A6409" t="inlineStr">
        <is>
          <t>Pandawa M 200</t>
        </is>
      </c>
      <c r="B6409">
        <f>HYPERLINK("https://www.dofusbook.net/fr/equipement/4715417-pandawa-m-200/objets", "link")</f>
        <v/>
      </c>
      <c r="C6409" t="n">
        <v>3</v>
      </c>
      <c r="D6409" t="inlineStr">
        <is>
          <t>Arc Hétype; Pendentif mignon de Koutoulou; Anneauræus; Anneau Rifique; Bouclier cubiste; Ceinture de Vortex; Casque Dragoeuf; Cape de Diondin; Bottes Innommables; Carapace Air majeur; Nomade; Miraculé majeur; Remueur; Carapace Feu majeur; Érudit majeur; Kramkram</t>
        </is>
      </c>
    </row>
    <row r="6410">
      <c r="A6410" t="inlineStr">
        <is>
          <t>Ecaflip M 200</t>
        </is>
      </c>
      <c r="B6410">
        <f>HYPERLINK("https://www.dofusbook.net/fr/equipement/4507748-ecaflip-m-200/objets", "link")</f>
        <v/>
      </c>
      <c r="C6410" t="n">
        <v>6</v>
      </c>
      <c r="D6410" t="inlineStr">
        <is>
          <t>Hache Téroïde; Amulette Volkorne; Bague Trithon; Bague Gloursonne; Bouclier du Captain Amakna; Ceinture Volkorne; Masque Trithon; Cape au Logis; Bottes Trithon; Dofus Turquoise; Dofus des Glaces; Dofus Ocre; Dofus Abyssal; Dofus Pourpre; Dofus Ivoire; Kokulte</t>
        </is>
      </c>
    </row>
    <row r="6411">
      <c r="A6411" t="inlineStr">
        <is>
          <t>Groudon</t>
        </is>
      </c>
      <c r="B6411">
        <f>HYPERLINK("https://www.dofusbook.net/fr/equipement/5626608-groudon/objets", "link")</f>
        <v/>
      </c>
      <c r="C6411" t="n">
        <v>1</v>
      </c>
      <c r="D6411" t="inlineStr">
        <is>
          <t>Hache Téroïde; Amulette du Strigide; Bague Trithon; Bague Gloursonne; Bouclier du Captain Amakna; Ceinture du Strigide; Masque Trithon; Cape au Logis; Bottes Trithon; Dofus Ocre; Dofus Abyssal; Dofus Pourpre; Dofus Ivoire; Dofus Turquoise; Dofus des Glaces; Kokulte</t>
        </is>
      </c>
    </row>
    <row r="6412">
      <c r="A6412" t="inlineStr">
        <is>
          <t>Dormir</t>
        </is>
      </c>
      <c r="B6412">
        <f>HYPERLINK("https://www.dofusbook.net/fr/equipement/5606570-dormir/objets", "link")</f>
        <v/>
      </c>
      <c r="C6412" t="n">
        <v>2</v>
      </c>
      <c r="D6412" t="inlineStr"/>
    </row>
    <row r="6413">
      <c r="A6413" t="inlineStr">
        <is>
          <t>Natsu</t>
        </is>
      </c>
      <c r="B6413">
        <f>HYPERLINK("https://www.dofusbook.net/fr/equipement/5574158-natsu/objets", "link")</f>
        <v/>
      </c>
      <c r="C6413" t="n">
        <v>4</v>
      </c>
      <c r="D6413" t="inlineStr">
        <is>
          <t>Arc corrompu; Amulette Volkorne; Anneauræus; Anneauræus; Bouclier du Stalak; Ceinture Volkorne; Casque Dragoeuf; Cape de Diondin; Bottes Innommables; Dofus Ébène; Dofus Abyssal; Dofus Ivoire; Remueur; Érudit majeur; Nomade; Bwak de Feu</t>
        </is>
      </c>
    </row>
    <row r="6414">
      <c r="A6414" t="inlineStr">
        <is>
          <t>Mini Illidan</t>
        </is>
      </c>
      <c r="B6414">
        <f>HYPERLINK("https://www.dofusbook.net/fr/equipement/5371790-mini-illidan/objets", "link")</f>
        <v/>
      </c>
      <c r="C6414" t="n">
        <v>0</v>
      </c>
      <c r="D6414" t="inlineStr">
        <is>
          <t>Arc corrompu; Pendentif mignon de Koutoulou; Bague Gloursonne; Anneauræus; Bouclier du Stalak; Croture; Casque Cyclopéen; Cape de Diondin; Bottes Innommables; Bwak de Feu</t>
        </is>
      </c>
    </row>
    <row r="6415">
      <c r="A6415" t="inlineStr">
        <is>
          <t>Hidan</t>
        </is>
      </c>
      <c r="B6415">
        <f>HYPERLINK("https://www.dofusbook.net/fr/equipement/5274056-hidan/objets", "link")</f>
        <v/>
      </c>
      <c r="C6415" t="n">
        <v>1</v>
      </c>
      <c r="D6415" t="inlineStr">
        <is>
          <t>Couteaux Sacrificiels; Amulette Volkorne; Lavanneau; Anneau Volkorne; Bouclier du Captain Amakna; Ceinture de l'Esprit Malsain; Casquette de Meno; Cape de la Dame du Hasard; Pataugastrique; Dofus Pourpre; Dofus Ébène; Dofus Turquoise; Dofus Abyssal; Dofus Ocre</t>
        </is>
      </c>
    </row>
    <row r="6416">
      <c r="A6416" t="inlineStr">
        <is>
          <t>Coup de Karaté</t>
        </is>
      </c>
      <c r="B6416">
        <f>HYPERLINK("https://www.dofusbook.net/fr/equipement/5426601-coup-de-karate-/objets", "link")</f>
        <v/>
      </c>
      <c r="C6416" t="n">
        <v>3</v>
      </c>
      <c r="D6416" t="inlineStr">
        <is>
          <t>Arc Nécrotique; Amulette Volkorne; Bague Trithon; Anneau Volkorne; Quatre-feuilles; Ceinture Volkorne; Masque Trithon; Cape de la Dame du Hasard; Bottes Trithon; Dofus Ébène; Dofus Abyssal; Dofus Turquoise; Dofus Ivoire; Dofus Ocre; Dofus Pourpre; Kokulte</t>
        </is>
      </c>
    </row>
    <row r="6417">
      <c r="A6417" t="inlineStr">
        <is>
          <t>Bob</t>
        </is>
      </c>
      <c r="B6417">
        <f>HYPERLINK("https://www.dofusbook.net/fr/equipement/5471539-bob/objets", "link")</f>
        <v/>
      </c>
      <c r="C6417" t="n">
        <v>2</v>
      </c>
      <c r="D6417" t="inlineStr">
        <is>
          <t>Marteau R'ture; Amulette du Strigide; Anneau Crustique; Anneau Crustique; Bouclier du Captain Amakna; Ceinture du Strigide; Masque de Koutoulou; Cape au Logis; Bottes du Cœur Saignant; Dofus Émeraude; Dofus Pourpre; Dofus Turquoise; Remueur; Enragé majeur; Nomade; Kokulte</t>
        </is>
      </c>
    </row>
    <row r="6418">
      <c r="A6418" t="inlineStr">
        <is>
          <t>Eni Feu CC 200</t>
        </is>
      </c>
      <c r="B6418">
        <f>HYPERLINK("https://www.dofusbook.net/fr/equipement/4681902-eni-feu-cc-200/objets", "link")</f>
        <v/>
      </c>
      <c r="C6418" t="n">
        <v>2</v>
      </c>
      <c r="D6418" t="inlineStr">
        <is>
          <t>Arc corrompu; Amulette Volkorne; Anneauræus; Anneauræus; Quatre-feuilles; Ceinture Séculaire; Coiffe Séculaire; Cape de Diondin; Bottes Innommables; Dofus Turquoise; Savant majeur; Nomade; Érudit majeur; Remueur; Guérisseur majeur; Bwak de Feu</t>
        </is>
      </c>
    </row>
    <row r="6419">
      <c r="A6419" t="inlineStr">
        <is>
          <t>BeauGoss</t>
        </is>
      </c>
      <c r="B6419">
        <f>HYPERLINK("https://www.dofusbook.net/fr/equipement/4243577-beaugoss/objets", "link")</f>
        <v/>
      </c>
      <c r="C6419" t="n">
        <v>10</v>
      </c>
      <c r="D6419" t="inlineStr">
        <is>
          <t>Manthache; Collier du Valet Veinard; Alliance Gloursonne; Gant du Valet Veinard; Bouclier d'Ilyzaelle; Menoture; Casque Dragoeuf; Cape Indescriptible; Palmes Trithons; Dofus Émeraude; Dofus Ivoire; Dofus Vulbis; Dofus Abyssal; Remueur; Cascadeur majeur; Bwak d'Air</t>
        </is>
      </c>
    </row>
    <row r="6420">
      <c r="A6420" t="inlineStr">
        <is>
          <t>Zobal M 200</t>
        </is>
      </c>
      <c r="B6420">
        <f>HYPERLINK("https://www.dofusbook.net/fr/equipement/4992451-zobal-m-200/objets", "link")</f>
        <v/>
      </c>
      <c r="C6420" t="n">
        <v>1</v>
      </c>
      <c r="D6420" t="inlineStr">
        <is>
          <t>Arc du Chalœil; Amulette Luminescente; Bague Trithon; Bouclier précieux; Sangle Ouare; Masque d'Anerice; Cape Solution; Bottes Trithon; Dofus Émeraude; Pousseur majeur; Remueur; Miraculé majeur; Culbuteur majeur; Nomade; Péki</t>
        </is>
      </c>
    </row>
    <row r="6421">
      <c r="A6421" t="inlineStr">
        <is>
          <t>Lucifer</t>
        </is>
      </c>
      <c r="B6421">
        <f>HYPERLINK("https://www.dofusbook.net/fr/equipement/4795869-lucifer/objets", "link")</f>
        <v/>
      </c>
      <c r="C6421" t="n">
        <v>8</v>
      </c>
      <c r="D6421" t="inlineStr">
        <is>
          <t>Arc corrompu; Pendentif mignon de Koutoulou; Anneauræus; Anneauræus; Cadran de Terre; Ceinture de Vortex; Casque Cyclopéen; Cape de Diondin; Chaussures Ardentes; Dofus Ébène; Dofus Abyssal; Dofus Ivoire; Érudit majeur; Nomade; Remueur; Bwak de Feu</t>
        </is>
      </c>
    </row>
    <row r="6422">
      <c r="A6422" t="inlineStr">
        <is>
          <t>Résistance Feu</t>
        </is>
      </c>
      <c r="B6422">
        <f>HYPERLINK("https://www.dofusbook.net/fr/equipement/4538023-resistance-feu/objets", "link")</f>
        <v/>
      </c>
      <c r="C6422" t="n">
        <v>5</v>
      </c>
      <c r="D6422" t="inlineStr">
        <is>
          <t>Arc corrompu; Pendentif mignon de Koutoulou; Lavanneau; Anneauræus; Bouclier du Stalak; Ceinture de Vortex; Casque Cyclopéen; Voile d'encre; Pataugastrique; Dofus Abyssal; Dofus Ivoire; Dofus Ébène; Nomade; Remueur; Bwak de Terre</t>
        </is>
      </c>
    </row>
    <row r="6423">
      <c r="A6423" t="inlineStr">
        <is>
          <t>Ninja</t>
        </is>
      </c>
      <c r="B6423">
        <f>HYPERLINK("https://www.dofusbook.net/fr/equipement/4561131-ninja/objets", "link")</f>
        <v/>
      </c>
      <c r="C6423" t="n">
        <v>3</v>
      </c>
      <c r="D6423" t="inlineStr">
        <is>
          <t>Arc corrompu; Amulette Volkorne; Anneauræus; Anneauræus; Quatre-feuilles; Ceinture Séculaire; Coiffe Séculaire; Cape de Diondin; Bottes Innommables; Dofus Ocre; Dofus Abyssal; Dofus Pourpre; Dofus Turquoise; Érudit majeur; Nomade; Dragodinde Ivoire et Orchidée</t>
        </is>
      </c>
    </row>
    <row r="6424">
      <c r="A6424" t="inlineStr">
        <is>
          <t>Stuff SS GOD</t>
        </is>
      </c>
      <c r="B6424">
        <f>HYPERLINK("https://www.dofusbook.net/fr/equipement/2772657-stuff-ss-god/objets", "link")</f>
        <v/>
      </c>
      <c r="C6424" t="n">
        <v>8</v>
      </c>
      <c r="D6424" t="inlineStr">
        <is>
          <t>Epée Toche; Amulette du Strigide; Bague Gloursonne; Anneau Chevelu; Bouclier du Captain Amakna; Ceinture du Strigide; Masque de Koutoulou; Voile d'encre; Bottes du Roi Joueur; Dofus des Glaces; Dofus Turquoise; Dofus Pourpre; Remueur; Vigoureux majeur; Nomade</t>
        </is>
      </c>
    </row>
    <row r="6425">
      <c r="A6425" t="inlineStr">
        <is>
          <t>Employer</t>
        </is>
      </c>
      <c r="B6425">
        <f>HYPERLINK("https://www.dofusbook.net/fr/equipement/4715605-employer/objets", "link")</f>
        <v/>
      </c>
      <c r="C6425" t="n">
        <v>0</v>
      </c>
      <c r="D6425" t="inlineStr">
        <is>
          <t>Manthache; Collier du Valet Veinard; Alliance Gloursonne; Gant du Valet Veinard; Bouclier du Stalak; Menoture; Couronne d'Allister; Cape Indescriptible; Palmes Trithons; Dofus des Glaces; Dofus Ocre; Dofus Pourpre; Dévastateur Air majeur; Cascadeur majeur; Nomade; Blérodoudou</t>
        </is>
      </c>
    </row>
    <row r="6426">
      <c r="A6426" t="inlineStr">
        <is>
          <t>Eni Feu 200</t>
        </is>
      </c>
      <c r="B6426">
        <f>HYPERLINK("https://www.dofusbook.net/fr/equipement/4595335-eni-feu-200-/objets", "link")</f>
        <v/>
      </c>
      <c r="C6426" t="n">
        <v>6</v>
      </c>
      <c r="D6426" t="inlineStr">
        <is>
          <t>Arc corrompu; Pendentif mignon de Koutoulou; Anneauræus; Anneau Tique; Cadran de Terre; Ceinture de Vortex; Casque Cyclopéen; Cape de Diondin; Bottes Innommables; Dofus Ébène; Dofus Abyssal; Dofus Ivoire; Dofus Ocre; Érudit majeur; Nomade; Bwak de Feu</t>
        </is>
      </c>
    </row>
    <row r="6427">
      <c r="A6427" t="inlineStr">
        <is>
          <t>Fuite</t>
        </is>
      </c>
      <c r="B6427">
        <f>HYPERLINK("https://www.dofusbook.net/fr/equipement/4542076-fuite/objets", "link")</f>
        <v/>
      </c>
      <c r="C6427" t="n">
        <v>4</v>
      </c>
      <c r="D6427" t="inlineStr">
        <is>
          <t>Arc corrompu; Pendentif affamé; Lavanneau; Anneau Rifique; Bouclier du Stalak; Ceinture Séculaire; Coiffe Séculaire; Cape de Diondin; Bottes Innommables; Dofus Ivoire; Dofus Ébène; Dofus Abyssal; Nomade; Remueur; Érudit majeur; Kouin-Kouin Noir</t>
        </is>
      </c>
    </row>
    <row r="6428">
      <c r="A6428" t="inlineStr">
        <is>
          <t>stuff 200 meilleur</t>
        </is>
      </c>
      <c r="B6428">
        <f>HYPERLINK("https://www.dofusbook.net/fr/equipement/2525626-stuff-200-meilleur/objets", "link")</f>
        <v/>
      </c>
      <c r="C6428" t="n">
        <v>10</v>
      </c>
      <c r="D6428" t="inlineStr">
        <is>
          <t>Crocobur; Amulette du Strigide; Bracelet du Piloztère; Alliance Gloursonne; Bouclier du Captain Amakna; Ceinture du Strigide; Masque de Koutoulou; Dofusteuse; Bottes du Chalœil; Dofus Pourpre; Dofus Ébène; Dofus Turquoise; Dofus des Glaces; Nomade; Remueur; Kokulte</t>
        </is>
      </c>
    </row>
    <row r="6429">
      <c r="A6429" t="inlineStr">
        <is>
          <t>Stuff 200 Air</t>
        </is>
      </c>
      <c r="B6429">
        <f>HYPERLINK("https://www.dofusbook.net/fr/equipement/2962969-stuff-200-air/objets", "link")</f>
        <v/>
      </c>
      <c r="C6429" t="n">
        <v>4</v>
      </c>
      <c r="D6429" t="inlineStr">
        <is>
          <t>Manthache; Collier du Valet Veinard; Alliance Gloursonne; Gant du Valet Veinard; Bouclier d'Ilyzaelle; Menoture; Capuche de Moum-Ra; Cape Indescriptible; Palmes Trithons; Dofus Émeraude; Acrobate majeur; Remueur; Cascadeur majeur; Miraculé majeur; Nomade; Siroko</t>
        </is>
      </c>
    </row>
    <row r="6430">
      <c r="A6430" t="inlineStr">
        <is>
          <t>200 Air 12pa/6pm</t>
        </is>
      </c>
      <c r="B6430">
        <f>HYPERLINK("https://www.dofusbook.net/fr/equipement/2963570-200-air-12pa-6pm/objets", "link")</f>
        <v/>
      </c>
      <c r="C6430" t="n">
        <v>6</v>
      </c>
      <c r="D6430" t="inlineStr">
        <is>
          <t>Manthache; Collier du Valet Veinard; Gant du Valet Veinard; Alliance Gloursonne; Bouclier d'Ilyzaelle; Ceinture de la Reine des Voleurs; Coiffe de la Reine des Voleurs; Cape du Valet Veinard; Bottes de la Reine des Voleurs; Dofus Pourpre; Dofus Ivoire; Dofus Ocre; Dofus Émeraude; Dofus Abyssal; Fugitif majeur; Muldo Pourpre</t>
        </is>
      </c>
    </row>
    <row r="6431">
      <c r="A6431" t="inlineStr">
        <is>
          <t>Air Résistance</t>
        </is>
      </c>
      <c r="B6431">
        <f>HYPERLINK("https://www.dofusbook.net/fr/equipement/4071994-air-resistance/objets", "link")</f>
        <v/>
      </c>
      <c r="C6431" t="n">
        <v>4</v>
      </c>
      <c r="D6431" t="inlineStr">
        <is>
          <t>Manthache; Collier du Valet Veinard; Alliance Gloursonne; Gant du Valet Veinard; Bouclier d'Ilyzaelle; Menoture; Casque Dragoeuf; Cape Martegel; Palmes Trithons; Dofus Abyssal; Dofus Ivoire; Dofus Émeraude; Nomade; Remueur; Cascadeur majeur; Bwak d'Air</t>
        </is>
      </c>
    </row>
    <row r="6432">
      <c r="A6432" t="inlineStr">
        <is>
          <t>Air/Eau 200 -PA</t>
        </is>
      </c>
      <c r="B6432">
        <f>HYPERLINK("https://www.dofusbook.net/fr/equipement/3442158-air-eau-200--pa/objets", "link")</f>
        <v/>
      </c>
      <c r="C6432" t="n">
        <v>13</v>
      </c>
      <c r="D6432" t="inlineStr">
        <is>
          <t>Hache du Korriandre; Amulette Hale; Alliance Gloursonne; Bracelet des Fonds marins; Sept ans de malheur; Menoture; Masque du Barbétoal; Chevelure de Tal Kasha; Sandales de Tal Kasha; Dofus Ivoire; Dofus Turquoise; Dofus Abyssal; Remueur; Étourdisseur majeur; Nomade</t>
        </is>
      </c>
    </row>
    <row r="6433">
      <c r="A6433" t="inlineStr">
        <is>
          <t>Stuff 200 Terre</t>
        </is>
      </c>
      <c r="B6433">
        <f>HYPERLINK("https://www.dofusbook.net/fr/equipement/3368282-stuff-200-terre/objets", "link")</f>
        <v/>
      </c>
      <c r="C6433" t="n">
        <v>8</v>
      </c>
      <c r="D6433" t="inlineStr">
        <is>
          <t>Dagues Érhy; Amulette du Strigide; Anneau Chevelu; Bague Gloursonne; Bouclier du Captain Amakna; Ceinture du Strigide; Masque de Koutoulou; Voile d'encre; Bottes du Roi Joueur; Dofus Turquoise; Dofus des Glaces; Dofus Pourpre; Nomade; Remueur; Vigoureux majeur</t>
        </is>
      </c>
    </row>
    <row r="6434">
      <c r="A6434" t="inlineStr">
        <is>
          <t>Pods</t>
        </is>
      </c>
      <c r="B6434">
        <f>HYPERLINK("https://www.dofusbook.net/fr/equipement/3854271-pods/objets", "link")</f>
        <v/>
      </c>
      <c r="C6434" t="n">
        <v>0</v>
      </c>
      <c r="D6434" t="inlineStr">
        <is>
          <t>Griffe Rose; Amulette du Nocturlabe; Anneau du Comte Harebourg; Anneau Crustique; Bouclier cubiste; String Automnal du Chêne Mou; Coiffe du Comte Harebourg; Cape au Logis; Bottes du Meulou; Porteur; Forcené majeur; Porteur majeur; Enragé majeur; Porteur mineur; Furibond majeur; Chauffe-souris</t>
        </is>
      </c>
    </row>
    <row r="6435">
      <c r="A6435" t="inlineStr">
        <is>
          <t>Stuff Po le cra</t>
        </is>
      </c>
      <c r="B6435">
        <f>HYPERLINK("https://www.dofusbook.net/fr/equipement/2543568-stuff-po-le-cra/objets", "link")</f>
        <v/>
      </c>
      <c r="C6435" t="n">
        <v>3</v>
      </c>
      <c r="D6435" t="inlineStr">
        <is>
          <t>Hache du Chalœil; Amulette du Strigide; Anneau Chevelu; Bague Gloursonne; Ceinture du Strigide; Voile d'encre; Bottes du Roi Joueur; Dofus des Glaces; Dofus Pourpre; Dofus Turquoise; Remueur; Vigoureux majeur; Nomade; Kramkram</t>
        </is>
      </c>
    </row>
    <row r="6436">
      <c r="A6436" t="inlineStr">
        <is>
          <t>Stuff 200 PO</t>
        </is>
      </c>
      <c r="B6436">
        <f>HYPERLINK("https://www.dofusbook.net/fr/equipement/2761211-stuff-200-po/objets", "link")</f>
        <v/>
      </c>
      <c r="C6436" t="n">
        <v>6</v>
      </c>
      <c r="D6436" t="inlineStr">
        <is>
          <t>Marteau des égarés; Amulette du Strigide; Chevalière du Roi Joueur; Alliance Gloursonne; Quatre-feuilles; Ceinture du Strigide; Le Dorado; Dofusteuse; Bottes du Chalœil; Dofus Pourpre; Dofus Turquoise; Vigoureux majeur; Nomade; Remueur; Kramkram</t>
        </is>
      </c>
    </row>
    <row r="6437">
      <c r="A6437" t="inlineStr">
        <is>
          <t>IsMeLuigi</t>
        </is>
      </c>
      <c r="B6437">
        <f>HYPERLINK("https://www.dofusbook.net/fr/equipement/2659120-ismeluigi/objets", "link")</f>
        <v/>
      </c>
      <c r="C6437" t="n">
        <v>0</v>
      </c>
      <c r="D6437" t="inlineStr">
        <is>
          <t>Baguette Hique; Collier de la Dame du Hasard; Anneau Tamie; Anneau Tamie; Bouclier cubiste; Ceinture Instable; Kidibonnet; Cape de Meno; Bottes de Meno; Entraveur; Entraveur majeur; Temporiseur; Temporiseur majeur; Ralentisseur majeur; Remueur; Muldo Ebène et Indigo</t>
        </is>
      </c>
    </row>
    <row r="6438">
      <c r="A6438" t="inlineStr">
        <is>
          <t>Stuff 200 SS</t>
        </is>
      </c>
      <c r="B6438">
        <f>HYPERLINK("https://www.dofusbook.net/fr/equipement/2609476-stuff-200-ss/objets", "link")</f>
        <v/>
      </c>
      <c r="C6438" t="n">
        <v>6</v>
      </c>
      <c r="D6438" t="inlineStr">
        <is>
          <t>Epée Toche; Amulette du K.O.; Bague Gloursonne; Anneau Chevelu; Bouclier Taverne; Ceinture du K.O.; Casque de Missiz Frizz; Voile d'encre; Sabots Minables; Dofus Turquoise; Dofus Pourpre; Vigoureux majeur; Remueur; Enragé majeur; Nomade</t>
        </is>
      </c>
    </row>
    <row r="6439">
      <c r="A6439" t="inlineStr">
        <is>
          <t>Stuff 2003</t>
        </is>
      </c>
      <c r="B6439">
        <f>HYPERLINK("https://www.dofusbook.net/fr/equipement/2659471-stuff-2003/objets", "link")</f>
        <v/>
      </c>
      <c r="C6439" t="n">
        <v>0</v>
      </c>
      <c r="D6439" t="inlineStr">
        <is>
          <t>Baguette Hique; Amulette du Glourséleste; Anneau Tamie; Anneau Tamie; Bouclier cubiste; Ceinture Instable; Kidibonnet; Cape de Meno; Bottes de Meno; Ralentisseur majeur; Entraveur; Entraveur majeur; Remueur; Temporiseur; Temporiseur majeur; Muldo Ebène et Indigo</t>
        </is>
      </c>
    </row>
    <row r="6440">
      <c r="A6440" t="inlineStr">
        <is>
          <t>stuff200 chance/air</t>
        </is>
      </c>
      <c r="B6440">
        <f>HYPERLINK("https://www.dofusbook.net/fr/equipement/2661482-stuff200-chance-air/objets", "link")</f>
        <v/>
      </c>
      <c r="C6440" t="n">
        <v>1</v>
      </c>
      <c r="D6440" t="inlineStr">
        <is>
          <t>Arc de Koutoulou; Amulette du Strigide; Alliance Gloursonne; Bracelet des Fonds marins; Ceinture du Barbétoal; Kidibonnet; Chevelure de Tal Kasha; Sandales de Tal Kasha; Dofus Pourpre; Dofus Turquoise; Remueur; Carapace Eau majeur; Nomade; Carapace Air majeur; Kramkram; Darclier</t>
        </is>
      </c>
    </row>
    <row r="6441">
      <c r="A6441" t="inlineStr">
        <is>
          <t>Stuff 200chance/inte</t>
        </is>
      </c>
      <c r="B6441">
        <f>HYPERLINK("https://www.dofusbook.net/fr/equipement/2597731-stuff-200chance-inte/objets", "link")</f>
        <v/>
      </c>
      <c r="C6441" t="n">
        <v>4</v>
      </c>
      <c r="D6441" t="inlineStr">
        <is>
          <t>Arc Nécrotique; Talisman Igans; Bracelet des Fonds marins; Anneau Tique; Bouclier cubiste; Ceintrigue; Casquette de Meno; Cape de la Dame du Hasard; Pataugastrique; Dofus Pourpre; Dofus Turquoise; Dofus Émeraude; Remueur; Nomade; Carapace Feu majeur; Kramkram</t>
        </is>
      </c>
    </row>
    <row r="6442">
      <c r="A6442" t="inlineStr">
        <is>
          <t>stuff 200</t>
        </is>
      </c>
      <c r="B6442">
        <f>HYPERLINK("https://www.dofusbook.net/fr/equipement/2586766-stuff-200/objets", "link")</f>
        <v/>
      </c>
      <c r="C6442" t="n">
        <v>0</v>
      </c>
      <c r="D6442" t="inlineStr">
        <is>
          <t>L'Épée Nice; Amulette du Strigide; Bague Gloursonne; Anneau Chevelu; Bouclier d'Ilyzaelle; Ceintacé; Masque de Koutoulou; Voile d'encre; Bottes du Strigide; Dofus des Glaces; Dofus Pourpre; Dofus Turquoise; Dofus Émeraude; Miraculé majeur; Carapace Terre majeur; Kramkram</t>
        </is>
      </c>
    </row>
    <row r="6443">
      <c r="A6443" t="inlineStr">
        <is>
          <t>pour le fun/200</t>
        </is>
      </c>
      <c r="B6443">
        <f>HYPERLINK("https://www.dofusbook.net/fr/equipement/2569674-pour-le-fun-200/objets", "link")</f>
        <v/>
      </c>
      <c r="C6443" t="n">
        <v>1</v>
      </c>
      <c r="D6443" t="inlineStr">
        <is>
          <t>Arc du Chalœil; Amulette du Strigide; Anneau Chevelu; Bague Gloursonne; Bouclier alvéolé; Ceinture du Strigide; Masque de Koutoulou; Voile d'encre; Bottes du Roi Joueur; Dofus Turquoise; Dofus Émeraude; Dofus des Glaces; Dofus Pourpre; Remueur; Nomade; Kramkram</t>
        </is>
      </c>
    </row>
    <row r="6444">
      <c r="A6444" t="inlineStr">
        <is>
          <t>stuff200cheat/multi</t>
        </is>
      </c>
      <c r="B6444">
        <f>HYPERLINK("https://www.dofusbook.net/fr/equipement/2566532-stuff200cheat-multi/objets", "link")</f>
        <v/>
      </c>
      <c r="C6444" t="n">
        <v>3</v>
      </c>
      <c r="D6444" t="inlineStr">
        <is>
          <t>Marteau des égarés; Amulette du Strigide; Alliance Gloursonne; Bague Gloursonne; Bouclier alvéolé; Ceinture du Strigide; Casque du Chalœil; Cape du Chalœil; Bottes du Chalœil; Dofus Turquoise; Dolmanax; Dofus Émeraude; Dofus Ocre; Dofus Pourpre; Dofus des Glaces; Muldo Indigo et Orchidée</t>
        </is>
      </c>
    </row>
    <row r="6445">
      <c r="A6445" t="inlineStr">
        <is>
          <t>stuff/stri/glour</t>
        </is>
      </c>
      <c r="B6445">
        <f>HYPERLINK("https://www.dofusbook.net/fr/equipement/2555693-stuff-stri-glour/objets", "link")</f>
        <v/>
      </c>
      <c r="C6445" t="n">
        <v>3</v>
      </c>
      <c r="D6445" t="inlineStr">
        <is>
          <t>Epée Gloursonne; Amulette du Strigide; Bague Gloursonne; Alliance Gloursonne; Bouclier d'Ilyzaelle; Ceinture du Strigide; Casque du Chalœil; Cape du Chalœil; Bottes du Strigide; Dofus Émeraude; Dofus Turquoise; Dofus Pourpre; Dofus Ocre; Dolmanax; Dofus Ivoire; Muldo Indigo et Orchidée</t>
        </is>
      </c>
    </row>
    <row r="6446">
      <c r="A6446" t="inlineStr">
        <is>
          <t>stuff 200 gab</t>
        </is>
      </c>
      <c r="B6446">
        <f>HYPERLINK("https://www.dofusbook.net/fr/equipement/2547135-stuff-200-gab/objets", "link")</f>
        <v/>
      </c>
      <c r="C6446" t="n">
        <v>2</v>
      </c>
      <c r="D6446" t="inlineStr">
        <is>
          <t>Marteau des égarés; Amulette du Strigide; Bague Gloursonne; Bracelet du Piloztère; Quatre-feuilles; Ceinture du Strigide; Le Dorado; Dofusteuse; Bottes du Chalœil; Dofus Turquoise; Dolmanax; Dofus Pourpre; Vigoureux majeur; Nomade; Remueur; Kramkram</t>
        </is>
      </c>
    </row>
    <row r="6447">
      <c r="A6447" t="inlineStr">
        <is>
          <t>Stuff 200 CC</t>
        </is>
      </c>
      <c r="B6447">
        <f>HYPERLINK("https://www.dofusbook.net/fr/equipement/2543044-stuff-200-cc/objets", "link")</f>
        <v/>
      </c>
      <c r="C6447" t="n">
        <v>6</v>
      </c>
      <c r="D6447" t="inlineStr">
        <is>
          <t>Sabres d'Atcham; Amulette du Strigide; Anneau Tique; Alliance Gloursonne; Quatre-feuilles; Ceinture du Strigide; Capuche de l'Œil Putride; Cape d'Atcham; Sandales  d'Atcham; Dofus Turquoise; Dofus Ocre; Dofus des Glaces; Dofus Pourpre; Dolmanax; Kramkram</t>
        </is>
      </c>
    </row>
    <row r="6448">
      <c r="A6448" t="inlineStr">
        <is>
          <t>Stuff du Pouta</t>
        </is>
      </c>
      <c r="B6448">
        <f>HYPERLINK("https://www.dofusbook.net/fr/equipement/2538029-stuff-du-pouta/objets", "link")</f>
        <v/>
      </c>
      <c r="C6448" t="n">
        <v>0</v>
      </c>
      <c r="D6448" t="inlineStr">
        <is>
          <t>Sabres d'Atcham; Amulette du Strigide; Alliance Gloursonne; Anneau Tique; Quatre-feuilles; Ceinture du Strigide; Casque du Chalœil; Cape du Chalœil; Bottes du Chalœil; Dofus Vulbis; Dofus Ocre; Dofus Pourpre; Dofus des Glaces; Dofus Turquoise; Dofus Abyssal; Kramkram</t>
        </is>
      </c>
    </row>
    <row r="6449">
      <c r="A6449" t="inlineStr">
        <is>
          <t>stuff 200</t>
        </is>
      </c>
      <c r="B6449">
        <f>HYPERLINK("https://www.dofusbook.net/fr/equipement/2499890-stuff-200/objets", "link")</f>
        <v/>
      </c>
      <c r="C6449" t="n">
        <v>0</v>
      </c>
      <c r="D6449" t="inlineStr">
        <is>
          <t>Sabres d'Atcham; Amulette du Strigide; Anneau Tique; Alliance Gloursonne; Quatre-feuilles; Ceinture du Strigide; Le Dorado; Cape de l'Œil Putride; Bottes du Chalœil; Dofus des Glaces; Dofus Turquoise; Dofus Pourpre; Vigoureux majeur; Remueur; Nomade; Kramkram</t>
        </is>
      </c>
    </row>
    <row r="6450">
      <c r="A6450" t="inlineStr">
        <is>
          <t>oLiViEr</t>
        </is>
      </c>
      <c r="B6450">
        <f>HYPERLINK("https://www.dofusbook.net/fr/equipement/2454106-olivier/objets", "link")</f>
        <v/>
      </c>
      <c r="C6450" t="n">
        <v>1</v>
      </c>
      <c r="D6450" t="inlineStr">
        <is>
          <t>Héqache; Amulette du Strigide; Bague Gloursonne; Anneau des égarés; Bouclier alvéolé; Ceinture du Strigide; Capuche de Moum-Ra; Cape au Logis; Bottes des égarés; Dofus Pourpre; Dofus des Glaces; Dofus Turquoise; Dofus Ivoire; Dofus Émeraude; Dofus Ocre</t>
        </is>
      </c>
    </row>
    <row r="6451">
      <c r="A6451" t="inlineStr">
        <is>
          <t>truc</t>
        </is>
      </c>
      <c r="B6451">
        <f>HYPERLINK("https://www.dofusbook.net/fr/equipement/2138256-truc/objets", "link")</f>
        <v/>
      </c>
      <c r="C6451" t="n">
        <v>3</v>
      </c>
      <c r="D6451" t="inlineStr">
        <is>
          <t>Marteau de Katrepat; Amulette du Strigide; Bague Gloursonne; Alliance Brûlâme; Bouclier du Captain Amakna; Ceinture de l'Esprit Salvateur; Masque Brûlâme; Voile d'encre; Pompes Funèbres; Dofus Turquoise; Dofus Ivoire; Dofus Émeraude; Dofus Ocre; Dofus Pourpre; Dofus Abyssal; Muldo Orchidée et Pourpre</t>
        </is>
      </c>
    </row>
    <row r="6452">
      <c r="A6452" t="inlineStr">
        <is>
          <t>Stuff 1</t>
        </is>
      </c>
      <c r="B6452">
        <f>HYPERLINK("https://www.dofusbook.net/fr/equipement/117922-stuff-1/objets", "link")</f>
        <v/>
      </c>
      <c r="C6452" t="n">
        <v>1</v>
      </c>
      <c r="D6452" t="inlineStr">
        <is>
          <t>Héqache; Amulette du Strigide; Alliance Gloursonne; Bague Gloursonne; Sangle Ouare; Coiffe de la Fuji Givrefoux; Cape au Logis; Baleinabottes; Dofus Pourpre; Dokoko; Dolmanax; Remueur; Obstructeur majeur; Bloqueur majeur</t>
        </is>
      </c>
    </row>
    <row r="6453">
      <c r="A6453" t="inlineStr">
        <is>
          <t>Sonj-Dmg insane</t>
        </is>
      </c>
      <c r="B6453">
        <f>HYPERLINK("https://www.dofusbook.net/fr/equipement/5194239-sonj-dmg-insane--/objets", "link")</f>
        <v/>
      </c>
      <c r="C6453" t="n">
        <v>6</v>
      </c>
      <c r="D6453" t="inlineStr">
        <is>
          <t>Pelle du Professeur Xa; Amulette Volkorne; Chevalière du Roi Joueur; Bague Gloursonne; Bivalve; Ceinture Volkorne; Couronne du Roi Joueur; Cape du Professeur Xa; Bottes du Roi Joueur; Dofus Pourpre; Dofus Ocre; Dofus des Glaces; Dofus Nébuleux; Dolmanax; Dofus Turquoise; Cromeugnon</t>
        </is>
      </c>
    </row>
    <row r="6454">
      <c r="A6454" t="inlineStr">
        <is>
          <t>Sonj-Tank/Dmg/Tacle</t>
        </is>
      </c>
      <c r="B6454">
        <f>HYPERLINK("https://www.dofusbook.net/fr/equipement/5191902-sonj-tank-dmg-tacle-/objets", "link")</f>
        <v/>
      </c>
      <c r="C6454" t="n">
        <v>12</v>
      </c>
      <c r="D6454" t="inlineStr">
        <is>
          <t>Lav'Hache; Collier de Tourthon; Anneau de Pol Ouatnos; Anneau de XLII; Bouclier précieux; Ceinture de XLII; Casque Dragoeuf; Cape au Logis; Baleinabottes; Dofus Émeraude; Dofus Abyssal; Initiateur majeur; Fonceur majeur; Remueur; Miraculé majeur; Titard</t>
        </is>
      </c>
    </row>
    <row r="6455">
      <c r="A6455" t="inlineStr">
        <is>
          <t>Sonj-Dmg/Regen bled</t>
        </is>
      </c>
      <c r="B6455">
        <f>HYPERLINK("https://www.dofusbook.net/fr/equipement/5197119-sonj-dmg-regen-bled-/objets", "link")</f>
        <v/>
      </c>
      <c r="C6455" t="n">
        <v>9</v>
      </c>
      <c r="D6455" t="inlineStr">
        <is>
          <t>Couteaux Sacrificiels; Amulette Volkorne; Anneau Volkorne; Alliance Gloursonne; Bouclier alvéolé; Ceintrigue; Casqnoar; Cape Solution; Pataugastrique; Dofus Émeraude; Dofus Pourpre; Vigoureux majeur; Nomade; Robuste majeur; Remueur; Eliôme</t>
        </is>
      </c>
    </row>
    <row r="6456">
      <c r="A6456" t="inlineStr">
        <is>
          <t>Sonj-Dmg/Regen opti</t>
        </is>
      </c>
      <c r="B6456">
        <f>HYPERLINK("https://www.dofusbook.net/fr/equipement/5196445-sonj-dmg-regen-opti-/objets", "link")</f>
        <v/>
      </c>
      <c r="C6456" t="n">
        <v>8</v>
      </c>
      <c r="D6456" t="inlineStr">
        <is>
          <t>Couteaux Sacrificiels; Amulette Volkorne; Alliance Gloursonne; Anneau Volkorne; Bouclier alvéolé; Ceinture Volkorne; Masque Paztek; Cape Paztek; Pataugastrique; Dofus des Glaces; Dofus Ocre; Dofus Pourpre; Dofus Abyssal; Dolmanax; Dofus Émeraude; Eliôme</t>
        </is>
      </c>
    </row>
    <row r="6457">
      <c r="A6457" t="inlineStr">
        <is>
          <t>Sonj- ougi du bled</t>
        </is>
      </c>
      <c r="B6457">
        <f>HYPERLINK("https://www.dofusbook.net/fr/equipement/5241530-sonj--ougi-du-bled-/objets", "link")</f>
        <v/>
      </c>
      <c r="C6457" t="n">
        <v>4</v>
      </c>
      <c r="D6457" t="inlineStr">
        <is>
          <t>L'Épée Nice; Collier du Valet Veinard; Alliance Gloursonne; Gant du Valet Veinard; Bouclier d'Ilyzaelle; Menoture; Casque Dragoeuf; Cape Indescriptible; Palmes Trithons; Dofus Pourpre; Dofus Émeraude; Dofus Abyssal; Remueur; Cascadeur majeur; Nomade; Bwak d'Air</t>
        </is>
      </c>
    </row>
    <row r="6458">
      <c r="A6458" t="inlineStr">
        <is>
          <t>Sonj- ougi opti</t>
        </is>
      </c>
      <c r="B6458">
        <f>HYPERLINK("https://www.dofusbook.net/fr/equipement/5258532-sonj--ougi-opti-/objets", "link")</f>
        <v/>
      </c>
      <c r="C6458" t="n">
        <v>4</v>
      </c>
      <c r="D6458" t="inlineStr">
        <is>
          <t>Lance Horselé; Collier du Valet Veinard; Gant du Valet Veinard; Alliance Gloursonne; Bouclier d'Ilyzaelle; Menoture; Casque Dragoeuf; Cape Indescriptible; Palmes Trithons; Dofus Pourpre; Dofus Ocre; Dofus Émeraude; Dofus Abyssal; Nomade; Cascadeur majeur; Bwak d'Air</t>
        </is>
      </c>
    </row>
    <row r="6459">
      <c r="A6459" t="inlineStr">
        <is>
          <t>12 Pa</t>
        </is>
      </c>
      <c r="B6459">
        <f>HYPERLINK("https://www.dofusbook.net/fr/equipement/5298854-12-pa-/objets", "link")</f>
        <v/>
      </c>
      <c r="C6459" t="n">
        <v>0</v>
      </c>
      <c r="D6459" t="inlineStr">
        <is>
          <t>Épée du Granduk; Collier du Valet Veinard; Anneau d'Allister; Gant du Valet Veinard; Bouclier du Stalak; Ceinture du Nocturlabe; Couronne d'Allister; Cape du Valet Veinard; Bottes d'Allister; Dofus des Glaces; Dofus Ocre; Dofus Pourpre; Saccageur Air majeur; Equilibriste majeur; Voyageur; Blérodoudou</t>
        </is>
      </c>
    </row>
    <row r="6460">
      <c r="A6460" t="inlineStr">
        <is>
          <t>11 pa / cape jahash</t>
        </is>
      </c>
      <c r="B6460">
        <f>HYPERLINK("https://www.dofusbook.net/fr/equipement/5299023-11-pa---cape-jahash/objets", "link")</f>
        <v/>
      </c>
      <c r="C6460" t="n">
        <v>1</v>
      </c>
      <c r="D6460" t="inlineStr">
        <is>
          <t>Épée du Granduk; Collier du Valet Veinard; Gant du Valet Veinard; Anneau d'Allister; Bouclier du Stalak; Menoture; Casque Volkorne; Cape de Jahash Jurgen; Palmes Trithons; Dofus Ocre; Dofus des Glaces; Dévastateur Air majeur; Nomade; Cascadeur majeur; Saccageur Air majeur; Blérodoudou</t>
        </is>
      </c>
    </row>
    <row r="6461">
      <c r="A6461" t="inlineStr">
        <is>
          <t>testcranoubclemenpabo</t>
        </is>
      </c>
      <c r="B6461">
        <f>HYPERLINK("https://www.dofusbook.net/fr/equipement/4017671-testcranoubclemenpabo/objets", "link")</f>
        <v/>
      </c>
      <c r="C6461" t="n">
        <v>1</v>
      </c>
      <c r="D6461" t="inlineStr">
        <is>
          <t>Épée Brûlâme; Amulette du Strigide; Bague Gloursonne; Alliance Gloursonne; Bouclier du Captain Amakna; Ceinture du Strigide; Kidibonnet; Cape de la Dame du Hasard; Bottes de la Dame du Hasard; Dofus des Glaces; Dofus Ivoire; Dofus Ocre; Dofus Turquoise; Dofus Pourpre; Dofus Abyssal; Muldo Indigo et Orchidée</t>
        </is>
      </c>
    </row>
    <row r="6462">
      <c r="A6462" t="inlineStr">
        <is>
          <t>Feu pvm</t>
        </is>
      </c>
      <c r="B6462">
        <f>HYPERLINK("https://www.dofusbook.net/fr/equipement/2461407-feu-pvm/objets", "link")</f>
        <v/>
      </c>
      <c r="C6462" t="n">
        <v>7</v>
      </c>
      <c r="D6462" t="inlineStr">
        <is>
          <t>Massier; Talisman Igans; Anneau Tamie; Anneau Tamie; Bouclier du Stalak; Ceintrigue; Heaume Oplate; Cape de Diondin; Bottes Innommables; Dofus des Glaces; Saccageur Feu majeur; Érudit majeur; Astucieux majeur; Nomade; Dévastateur Feu majeur; Bisouglours</t>
        </is>
      </c>
    </row>
    <row r="6463">
      <c r="A6463" t="inlineStr">
        <is>
          <t>2Huppermage F 200</t>
        </is>
      </c>
      <c r="B6463">
        <f>HYPERLINK("https://www.dofusbook.net/fr/equipement/3939374-2huppermage-f-200/objets", "link")</f>
        <v/>
      </c>
      <c r="C6463" t="n">
        <v>2</v>
      </c>
      <c r="D6463" t="inlineStr">
        <is>
          <t>Arc Nécrotique; Amulette du Strigide; Alliance Gloursonne; Bague Gloursonne; Quatre-feuilles; Ceinture du Strigide; Kidibonnet; Cape de la Dame du Hasard; Bottes de la Dame du Hasard; Dofus Pourpre; Dofus Abyssal; Dofus des Glaces; Dofus Ivoire; Dofus Ocre; Dofus Turquoise; Muldo Indigo et Orchidée</t>
        </is>
      </c>
    </row>
    <row r="6464">
      <c r="A6464" t="inlineStr">
        <is>
          <t>1Huppermage F 200</t>
        </is>
      </c>
      <c r="B6464">
        <f>HYPERLINK("https://www.dofusbook.net/fr/equipement/3907595-1huppermage-f-200/objets", "link")</f>
        <v/>
      </c>
      <c r="C6464" t="n">
        <v>6</v>
      </c>
      <c r="D6464" t="inlineStr">
        <is>
          <t>Épée Brûlâme; Amulette du Strigide; Bague Gloursonne; Alliance Gloursonne; Bouclier du Captain Amakna; Ceinture du Strigide; Kidibonnet; Cape de la Dame du Hasard; Bottes de la Dame du Hasard; Dofus des Glaces; Dofus Ivoire; Dofus Ocre; Dofus Turquoise; Dofus Pourpre; Dofus Abyssal; Muldo Indigo et Orchidée</t>
        </is>
      </c>
    </row>
    <row r="6465">
      <c r="A6465" t="inlineStr">
        <is>
          <t>Roublard F 200</t>
        </is>
      </c>
      <c r="B6465">
        <f>HYPERLINK("https://www.dofusbook.net/fr/equipement/5234163-roublard-f-200/objets", "link")</f>
        <v/>
      </c>
      <c r="C6465" t="n">
        <v>2</v>
      </c>
      <c r="D6465" t="inlineStr"/>
    </row>
    <row r="6466">
      <c r="A6466" t="inlineStr">
        <is>
          <t>firearc</t>
        </is>
      </c>
      <c r="B6466">
        <f>HYPERLINK("https://www.dofusbook.net/fr/equipement/2729597-firearc/objets", "link")</f>
        <v/>
      </c>
      <c r="C6466" t="n">
        <v>13</v>
      </c>
      <c r="D6466" t="inlineStr">
        <is>
          <t>Arc du Chalœil; Collier de Tourthon; Bague Gloursonne; Anneau Chevelu; Bouclier du Stalak; Ceinture Volkorne; Masque de Koutoulou; Cape au Logis; Bottes du Cœur Saignant; Dofus Pourpre; Dofus des Glaces; Dofus Ocre; Enragé majeur; Dévastateur Terre majeur; Saccageur Terre majeur; Bulbisou</t>
        </is>
      </c>
    </row>
    <row r="6467">
      <c r="A6467" t="inlineStr">
        <is>
          <t>Stuff 2</t>
        </is>
      </c>
      <c r="B6467">
        <f>HYPERLINK("https://www.dofusbook.net/fr/equipement/382474-stuff-2/objets", "link")</f>
        <v/>
      </c>
      <c r="C6467" t="n">
        <v>0</v>
      </c>
      <c r="D6467" t="inlineStr">
        <is>
          <t>Baguette de Malléfisk; Pendentif mignon de Koutoulou; Anneauræus; Anneauræus; Carapar; Ceinture de Vortex; Casque Cyclopéen; Cape de Diondin; Bottes de l'Esprit Malsain; Érudit majeur</t>
        </is>
      </c>
    </row>
    <row r="6468">
      <c r="A6468" t="inlineStr">
        <is>
          <t>Sacrieur F 200</t>
        </is>
      </c>
      <c r="B6468">
        <f>HYPERLINK("https://www.dofusbook.net/fr/equipement/4916918-sacrieur-f-200/objets", "link")</f>
        <v/>
      </c>
      <c r="C6468" t="n">
        <v>6</v>
      </c>
      <c r="D6468" t="inlineStr">
        <is>
          <t>Karnak; Collier du Valet Veinard; Alliance Gloursonne; Gant du Valet Veinard; Bouclier d'Ilyzaelle; Menoture; Couronne d'Allister; Cape Indescriptible; Palmes Trithons; Dofus Ocre; Dofus Abyssal; Dofus Ivoire; Dofus Émeraude; Fonceur majeur; Miraculé majeur; La Chose</t>
        </is>
      </c>
    </row>
    <row r="6469">
      <c r="A6469" t="inlineStr">
        <is>
          <t>ceinturepa</t>
        </is>
      </c>
      <c r="B6469">
        <f>HYPERLINK("https://www.dofusbook.net/fr/equipement/2795373-ceinturepa/objets", "link")</f>
        <v/>
      </c>
      <c r="C6469" t="n">
        <v>26</v>
      </c>
      <c r="D6469" t="inlineStr">
        <is>
          <t>Arc du Chalœil; Collier de Tourthon; Anneau Volkorne; Anneau Chevelu; Ceinture Volkorne; Masque de Koutoulou; Cape au Logis; Bottes de la Cour Sombre; Dofus Nébuleux; Dofus Turquoise; Dofus Pourpre; Vigoureux majeur; Remueur; Enragé majeur; Bulbisou</t>
        </is>
      </c>
    </row>
    <row r="6470">
      <c r="A6470" t="inlineStr">
        <is>
          <t>Zobal M 200</t>
        </is>
      </c>
      <c r="B6470">
        <f>HYPERLINK("https://www.dofusbook.net/fr/equipement/4274198-zobal-m-200/objets", "link")</f>
        <v/>
      </c>
      <c r="C6470" t="n">
        <v>5</v>
      </c>
      <c r="D6470" t="inlineStr">
        <is>
          <t>Arc du Chalœil; Collier de Tourthon; Bague Gloursonne; Anneau de Brouce; Quatre-feuilles; Ceinture de la Reine des Voleurs; Coiffe de la Reine des Voleurs; Cape au Logis; Baleinabottes; Dofus Pourpre; Dofus Turquoise; Dofus Nébuleux; Dofus Ocre; Enragé majeur; Vigoureux majeur; Pioute vert</t>
        </is>
      </c>
    </row>
    <row r="6471">
      <c r="A6471" t="inlineStr">
        <is>
          <t>ledebile</t>
        </is>
      </c>
      <c r="B6471">
        <f>HYPERLINK("https://www.dofusbook.net/fr/equipement/3484936-ledebile/objets", "link")</f>
        <v/>
      </c>
      <c r="C6471" t="n">
        <v>10</v>
      </c>
      <c r="D6471" t="inlineStr">
        <is>
          <t>Marteau R'ture; Amulette du Strigide; Anneau Chevelu; Bague Gloursonne; Bouclier du Captain Amakna; Ceintacé; Masque de Koutoulou; Cape au Logis; Bottes du Strigide; Dofus Abyssal; Dofus Turquoise; Dofus Pourpre; Enragé majeur; Vigoureux majeur; Pioute vert</t>
        </is>
      </c>
    </row>
    <row r="6472">
      <c r="A6472" t="inlineStr">
        <is>
          <t>Sadi vaudou 1</t>
        </is>
      </c>
      <c r="B6472">
        <f>HYPERLINK("https://www.dofusbook.net/fr/equipement/3445530-sadi-vaudou-1/objets", "link")</f>
        <v/>
      </c>
      <c r="C6472" t="n">
        <v>24</v>
      </c>
      <c r="D6472" t="inlineStr">
        <is>
          <t>Amulette Volkorne; Alliance Brûlâme; Anneau Volkorne; Ceinture Volkorne; Masque Brûlâme; Pompes Funèbres</t>
        </is>
      </c>
    </row>
    <row r="6473">
      <c r="A6473" t="inlineStr">
        <is>
          <t>blblb</t>
        </is>
      </c>
      <c r="B6473">
        <f>HYPERLINK("https://www.dofusbook.net/fr/equipement/1601752-blblb/objets", "link")</f>
        <v/>
      </c>
      <c r="C6473" t="n">
        <v>21</v>
      </c>
      <c r="D6473" t="inlineStr">
        <is>
          <t>Lav'Hache; Torquistik; Bague Trithon; Bague Gloursonne; Bouclier Taverne; Ceinture Gence; Chapeau de Gein; Cape au Logis; Bottistik; Dofus Ivoire; Culbuteur; Carapace Terre majeur; Remueur; Culbuteur majeur; Bousculeur majeur; Péki</t>
        </is>
      </c>
    </row>
    <row r="6474">
      <c r="A6474" t="inlineStr">
        <is>
          <t>Tortank feu alta</t>
        </is>
      </c>
      <c r="B6474">
        <f>HYPERLINK("https://www.dofusbook.net/fr/equipement/3578989-tortank-feu-alta/objets", "link")</f>
        <v/>
      </c>
      <c r="C6474" t="n">
        <v>5</v>
      </c>
      <c r="D6474" t="inlineStr">
        <is>
          <t>Marteau R'ture; Amulette du Strigide; Anneau Chevelu; Bague Trithon; Bouclier du Captain Amakna; Ceintacé; Masque Trithon; Cape au Logis; Bottes Trithon; Dofus Ocre; Dofus Nébuleux; Dofus Pourpre; Dofus des Glaces; Dofus Ivoire; Dofus Turquoise; Kokulte</t>
        </is>
      </c>
    </row>
    <row r="6475">
      <c r="A6475" t="inlineStr">
        <is>
          <t>Sadida</t>
        </is>
      </c>
      <c r="B6475">
        <f>HYPERLINK("https://www.dofusbook.net/fr/equipement/3521512-sadida-/objets", "link")</f>
        <v/>
      </c>
      <c r="C6475" t="n">
        <v>13</v>
      </c>
      <c r="D6475" t="inlineStr">
        <is>
          <t>Hache Téroïde; Amulette du Strigide; Chevalière du Roi Joueur; Bague Gloursonne; Quatre-feuilles; Ceinture de la Reine des Voleurs; Coiffe de la Reine des Voleurs; Cape au Logis; Baleinabottes; Dofus Pourpre; Dofus Ivoire; Dofus Turquoise; Dofus Nébuleux; Dofus Ocre; Enragé majeur; Dragodinde Amande et Pourpre</t>
        </is>
      </c>
    </row>
    <row r="6476">
      <c r="A6476" t="inlineStr">
        <is>
          <t>Sadida M 200</t>
        </is>
      </c>
      <c r="B6476">
        <f>HYPERLINK("https://www.dofusbook.net/fr/equipement/4148853-sadida-m-200/objets", "link")</f>
        <v/>
      </c>
      <c r="C6476" t="n">
        <v>9</v>
      </c>
      <c r="D6476" t="inlineStr">
        <is>
          <t>Dagues Érhy; Amulette du Strigide; Anneau de Brouce; Bague Gloursonne; Quatre-feuilles; Ceinture Gence; Coiffe de la Reine des Voleurs; Cape au Logis; Bottes du Strigide; Dofus Ivoire; Dofus Nébuleux; Dofus Ocre; Dofus Turquoise; Dofus Pourpre; Enragé majeur; Dragodinde Amande et Pourpre</t>
        </is>
      </c>
    </row>
    <row r="6477">
      <c r="A6477" t="inlineStr">
        <is>
          <t>feufeufeufeu</t>
        </is>
      </c>
      <c r="B6477">
        <f>HYPERLINK("https://www.dofusbook.net/fr/equipement/3612686-feufeufeufeu/objets", "link")</f>
        <v/>
      </c>
      <c r="C6477" t="n">
        <v>12</v>
      </c>
      <c r="D6477" t="inlineStr">
        <is>
          <t>Arc du Chalœil; Collier de Tourthon; Anneau de Brouce; Bague Gloursonne; Bouclier du Stalak; Ceinture de la Reine des Voleurs; Coiffe de la Reine des Voleurs; Cape au Logis; Baleinabottes; Dofus Pourpre; Dofus Nébuleux; Dofus des Glaces; Dévastateur Terre majeur; Remueur; Enragé majeur</t>
        </is>
      </c>
    </row>
    <row r="6478">
      <c r="A6478" t="inlineStr">
        <is>
          <t>Sadida cancertoncu</t>
        </is>
      </c>
      <c r="B6478">
        <f>HYPERLINK("https://www.dofusbook.net/fr/equipement/4149288-sadida-cancertoncu/objets", "link")</f>
        <v/>
      </c>
      <c r="C6478" t="n">
        <v>15</v>
      </c>
      <c r="D6478" t="inlineStr">
        <is>
          <t>Dagues Érhy; Amulette Martegel; Alliance Gloursonne; Anneau Toriété; Bouclier cubiste; Ceinture de l'Indicible; Masquegel; Cape Martegel; Bottes de l'Indicible; Dofus Ocre; Dofus Pourpre; Dofus Ivoire; Dofus des Glaces; Entraveur majeur; Léopardo</t>
        </is>
      </c>
    </row>
    <row r="6479">
      <c r="A6479" t="inlineStr">
        <is>
          <t>Sram M 200</t>
        </is>
      </c>
      <c r="B6479">
        <f>HYPERLINK("https://www.dofusbook.net/fr/equipement/4103275-sram-m-200/objets", "link")</f>
        <v/>
      </c>
      <c r="C6479" t="n">
        <v>0</v>
      </c>
      <c r="D6479" t="inlineStr"/>
    </row>
    <row r="6480">
      <c r="A6480" t="inlineStr">
        <is>
          <t>fucking singe</t>
        </is>
      </c>
      <c r="B6480">
        <f>HYPERLINK("https://www.dofusbook.net/fr/equipement/3617239-fucking-singe/objets", "link")</f>
        <v/>
      </c>
      <c r="C6480" t="n">
        <v>6</v>
      </c>
      <c r="D6480" t="inlineStr">
        <is>
          <t>Baguette Range; Pendentif mignon de Koutoulou; Alliance Brûlâme; Anneau Toriété; Bouclier du Stalak; Ceinture de Vortex; Casque Cyclopéen; Cape Martegel; Pantoufles Émar; Dofus Ocre; Dofus Pourpre; Dofus des Glaces; Carapace Terre majeur; Étourdisseur majeur; Vigoureux majeur; Kramkram</t>
        </is>
      </c>
    </row>
    <row r="6481">
      <c r="A6481" t="inlineStr">
        <is>
          <t>eaudopou</t>
        </is>
      </c>
      <c r="B6481">
        <f>HYPERLINK("https://www.dofusbook.net/fr/equipement/3616975-eaudopou/objets", "link")</f>
        <v/>
      </c>
      <c r="C6481" t="n">
        <v>5</v>
      </c>
      <c r="D6481" t="inlineStr">
        <is>
          <t>Rapière aux Glyphes; Amulette du Sinistrofu; Anneau Volkorne; Alliance Gloursonne; Bouclier d'Ilyzaelle; Ceinture Glaciale; Capuche de l'Œil Attentif; Cape Solution; Bottes du Sinistrofu; Dofus Ocre; Dofus Nébuleux; Dofus Pourpre; Dofus Abyssal; Dofus Turquoise; Culbuteur majeur; Kramkram</t>
        </is>
      </c>
    </row>
    <row r="6482">
      <c r="A6482" t="inlineStr">
        <is>
          <t>singe eaufeu</t>
        </is>
      </c>
      <c r="B6482">
        <f>HYPERLINK("https://www.dofusbook.net/fr/equipement/3616934-singe-eaufeu/objets", "link")</f>
        <v/>
      </c>
      <c r="C6482" t="n">
        <v>2</v>
      </c>
      <c r="D6482" t="inlineStr">
        <is>
          <t>Épée Brûlâme; Amulette Volkorne; Anneau Toriété; Anneau Volkorne; Bouclier du Stalak; Ceinture de l'Esprit Malsain; Masque de l'Esprit Malsain; Cape de la Dame du Hasard; Bottes de la Dame du Hasard; Dofus des Glaces; Dofus Pourpre; Dofus Abyssal; Dofus Ocre; Dofus Nébuleux; Dofus Turquoise; Volkorne Rubis et Améthyste</t>
        </is>
      </c>
    </row>
    <row r="6483">
      <c r="A6483" t="inlineStr">
        <is>
          <t>singe feuair</t>
        </is>
      </c>
      <c r="B6483">
        <f>HYPERLINK("https://www.dofusbook.net/fr/equipement/3616898-singe-feuair/objets", "link")</f>
        <v/>
      </c>
      <c r="C6483" t="n">
        <v>4</v>
      </c>
      <c r="D6483" t="inlineStr">
        <is>
          <t>Sabres d'Atcham; Amulette Volkorne; Anneau Volkorne; Alliance Gloursonne; Bouclier du Stalak; Ceinture de Kongoku; Casque Volkorne; Cape d'Atcham; Sandales  d'Atcham; Dofus Abyssal; Dofus des Glaces; Dofus Pourpre; Dofus Nébuleux; Dofus Ocre; Dofus Turquoise; Kramkram</t>
        </is>
      </c>
    </row>
    <row r="6484">
      <c r="A6484" t="inlineStr">
        <is>
          <t>re crit</t>
        </is>
      </c>
      <c r="B6484">
        <f>HYPERLINK("https://www.dofusbook.net/fr/equipement/2699002-re-crit/objets", "link")</f>
        <v/>
      </c>
      <c r="C6484" t="n">
        <v>1</v>
      </c>
      <c r="D6484" t="inlineStr">
        <is>
          <t>Torquistik; Goulano; Baguistik; Goulclier; Ceinture de la Reine des Voleurs; Coiffe de la Reine des Voleurs; Bottes de la Reine des Voleurs; Dofus Émeraude; Dofus Turquoise; Dolmanax; Dofus Ocre; Dofus Pourpre</t>
        </is>
      </c>
    </row>
    <row r="6485">
      <c r="A6485" t="inlineStr">
        <is>
          <t>dopou</t>
        </is>
      </c>
      <c r="B6485">
        <f>HYPERLINK("https://www.dofusbook.net/fr/equipement/3601923-dopou/objets", "link")</f>
        <v/>
      </c>
      <c r="C6485" t="n">
        <v>9</v>
      </c>
      <c r="D6485" t="inlineStr">
        <is>
          <t>Héqache; Torquistik; Bague Trithon; Baguistik; Bouclier d'Anerice; Sangle Ouare; Masque Trithon; Cape d'Anerice; Bottes Trithon; Dofus Ocre; Dofus Ivoire; Dofus Abyssal; Volkorne Roux</t>
        </is>
      </c>
    </row>
    <row r="6486">
      <c r="A6486" t="inlineStr">
        <is>
          <t>Ouginak M 200</t>
        </is>
      </c>
      <c r="B6486">
        <f>HYPERLINK("https://www.dofusbook.net/fr/equipement/3549676-ouginak-m-200/objets", "link")</f>
        <v/>
      </c>
      <c r="C6486" t="n">
        <v>7</v>
      </c>
      <c r="D6486" t="inlineStr"/>
    </row>
    <row r="6487">
      <c r="A6487" t="inlineStr">
        <is>
          <t>eau cac</t>
        </is>
      </c>
      <c r="B6487">
        <f>HYPERLINK("https://www.dofusbook.net/fr/equipement/3491559-eau-cac/objets", "link")</f>
        <v/>
      </c>
      <c r="C6487" t="n">
        <v>6</v>
      </c>
      <c r="D6487" t="inlineStr"/>
    </row>
    <row r="6488">
      <c r="A6488" t="inlineStr">
        <is>
          <t>roubababa</t>
        </is>
      </c>
      <c r="B6488">
        <f>HYPERLINK("https://www.dofusbook.net/fr/equipement/3423721-roubababa/objets", "link")</f>
        <v/>
      </c>
      <c r="C6488" t="n">
        <v>3</v>
      </c>
      <c r="D6488" t="inlineStr"/>
    </row>
    <row r="6489">
      <c r="A6489" t="inlineStr">
        <is>
          <t>Ouginak M</t>
        </is>
      </c>
      <c r="B6489">
        <f>HYPERLINK("https://www.dofusbook.net/fr/equipement/3549929-ouginak-m-/objets", "link")</f>
        <v/>
      </c>
      <c r="C6489" t="n">
        <v>0</v>
      </c>
      <c r="D6489" t="inlineStr"/>
    </row>
    <row r="6490">
      <c r="A6490" t="inlineStr">
        <is>
          <t>eauu</t>
        </is>
      </c>
      <c r="B6490">
        <f>HYPERLINK("https://www.dofusbook.net/fr/equipement/3536299-eauu/objets", "link")</f>
        <v/>
      </c>
      <c r="C6490" t="n">
        <v>12</v>
      </c>
      <c r="D6490" t="inlineStr">
        <is>
          <t>Rapière aux Glyphes; Amulette de Shokkoth; Alliance Gloursonne; Bracelet des Fonds marins; Bouclier d'Ilyzaelle; Poulpagne; Capuche de l'Œil Attentif; Cape de l'Œil Attentif; Bottes du Sinistrofu; Dofus Abyssal; Dofus Nébuleux; Dofus Pourpre; Dofus Ocre; Dofus Turquoise; El Scarador</t>
        </is>
      </c>
    </row>
    <row r="6491">
      <c r="A6491" t="inlineStr">
        <is>
          <t>tankouroxx</t>
        </is>
      </c>
      <c r="B6491">
        <f>HYPERLINK("https://www.dofusbook.net/fr/equipement/3554021-tankouroxx/objets", "link")</f>
        <v/>
      </c>
      <c r="C6491" t="n">
        <v>4</v>
      </c>
      <c r="D6491" t="inlineStr">
        <is>
          <t>Rapière aux Glyphes; Amulette de Shokkoth; Alliance Gloursonne; Bracelet des Fonds marins; Bouclier d'Ilyzaelle; Poulpagne; Capuche de l'Œil Attentif; Cape de l'Œil Attentif; Bottes du Sinistrofu; Dofus Turquoise; Dofus Abyssal; Dofus Nébuleux; Dofus Pourpre; Dofus Ocre; Chanceux majeur; Muldo Indigo</t>
        </is>
      </c>
    </row>
    <row r="6492">
      <c r="A6492" t="inlineStr">
        <is>
          <t>testeau2</t>
        </is>
      </c>
      <c r="B6492">
        <f>HYPERLINK("https://www.dofusbook.net/fr/equipement/3553990-testeau2/objets", "link")</f>
        <v/>
      </c>
      <c r="C6492" t="n">
        <v>2</v>
      </c>
      <c r="D6492" t="inlineStr">
        <is>
          <t>Rapière aux Glyphes; Amulette de l'Œil Attentif; Alliance Gloursonne; Bracelet des Fonds marins; Bouclier d'Ilyzaelle; Ceinture Glaciale; Capuche de l'Œil Attentif; Cape Solution; Bottes du Sinistrofu; Dofus Nébuleux; Dofus Pourpre; Dofus Ocre; Dofus Turquoise; Dofus Abyssal; Nomade; Kramkram</t>
        </is>
      </c>
    </row>
    <row r="6493">
      <c r="A6493" t="inlineStr">
        <is>
          <t>watter</t>
        </is>
      </c>
      <c r="B6493">
        <f>HYPERLINK("https://www.dofusbook.net/fr/equipement/3536432-watter/objets", "link")</f>
        <v/>
      </c>
      <c r="C6493" t="n">
        <v>5</v>
      </c>
      <c r="D6493" t="inlineStr">
        <is>
          <t>Marteau des Anciens Steamers; Amulette d'Ilyzaelle; Alliance Gloursonne; Anneau Volkorne; Bouclier d'Ilyzaelle; Ceinture de la Reine des Voleurs; Casque Volkorne; Cape Solution; Bottes de la Reine des Voleurs; Dofus Nébuleux; Dofus Ocre; Dolmanax; Dofus Abyssal; Dofus Pourpre; Kramkram</t>
        </is>
      </c>
    </row>
    <row r="6494">
      <c r="A6494" t="inlineStr">
        <is>
          <t>fullmulti</t>
        </is>
      </c>
      <c r="B6494">
        <f>HYPERLINK("https://www.dofusbook.net/fr/equipement/3536218-fullmulti/objets", "link")</f>
        <v/>
      </c>
      <c r="C6494" t="n">
        <v>6</v>
      </c>
      <c r="D6494" t="inlineStr">
        <is>
          <t>Arc Volkorne; Amulette du Strigide; Anneau Volkorne; Anneau Toriété; Bouclier d'Ilyzaelle; Ceinture du Strigide; Casque Volkorne; Cape du Chalœil; Bottes du Chalœil; Dofus Nébuleux; Dofus Ocre; Dofus des Glaces; Dofus Turquoise; Dolmanax; Dofus Pourpre; Volkorne Rubis et Saphir</t>
        </is>
      </c>
    </row>
    <row r="6495">
      <c r="A6495" t="inlineStr">
        <is>
          <t>testvol</t>
        </is>
      </c>
      <c r="B6495">
        <f>HYPERLINK("https://www.dofusbook.net/fr/equipement/3533187-testvol/objets", "link")</f>
        <v/>
      </c>
      <c r="C6495" t="n">
        <v>2</v>
      </c>
      <c r="D6495" t="inlineStr">
        <is>
          <t>Marteau de Katrepat; Amulette du Strigide; Alliance Brûlâme; Anneau Toriété; Bouclier du Stalak; Ceinture du Strigide; Masque Brûlâme; Voile d'encre; Pompes Funèbres; Dofus Abyssal; Dofus Ocre; Dofus Turquoise; Dofus Nébuleux; Dofus des Glaces; Dofus Pourpre; Kramkram</t>
        </is>
      </c>
    </row>
    <row r="6496">
      <c r="A6496" t="inlineStr">
        <is>
          <t>deuxiemepasdestuff</t>
        </is>
      </c>
      <c r="B6496">
        <f>HYPERLINK("https://www.dofusbook.net/fr/equipement/3533168-deuxiemepasdestuff/objets", "link")</f>
        <v/>
      </c>
      <c r="C6496" t="n">
        <v>2</v>
      </c>
      <c r="D6496" t="inlineStr">
        <is>
          <t>Hache Ériphe; Amulette du Strigide; Alliance Brûlâme; Anneau Toriété; Bouclier du Stalak; Ceinture du Strigide; Coiffe de la Fuji Givrefoux; Cape du Kamasterisk; Baleinabottes; Dofus Turquoise; Dofus Ocre; Dofus Pourpre; Dofus Nébuleux; Dofus Abyssal; Vigoureux majeur; Kramkram</t>
        </is>
      </c>
    </row>
    <row r="6497">
      <c r="A6497" t="inlineStr">
        <is>
          <t>jetrouvepasdestuff</t>
        </is>
      </c>
      <c r="B6497">
        <f>HYPERLINK("https://www.dofusbook.net/fr/equipement/3533154-jetrouvepasdestuff/objets", "link")</f>
        <v/>
      </c>
      <c r="C6497" t="n">
        <v>0</v>
      </c>
      <c r="D6497" t="inlineStr">
        <is>
          <t>Héqache; Amulette du Strigide; Anneau Toriété; Alliance Brûlâme; Bouclier du Stalak; Ceinture du Strigide; Coiffe de la Fuji Givrefoux; Cape du Kamasterisk; Baleinabottes; Dofus Nébuleux; Dofus Abyssal; Dofus Turquoise; Dofus Ocre; Dofus Pourpre; Vigoureux majeur; Kramkram</t>
        </is>
      </c>
    </row>
    <row r="6498">
      <c r="A6498" t="inlineStr">
        <is>
          <t>tjrairterre</t>
        </is>
      </c>
      <c r="B6498">
        <f>HYPERLINK("https://www.dofusbook.net/fr/equipement/3533136-tjrairterre/objets", "link")</f>
        <v/>
      </c>
      <c r="C6498" t="n">
        <v>1</v>
      </c>
      <c r="D6498" t="inlineStr">
        <is>
          <t>Héqache; Amulette du Strigide; Alliance Gloursonne; Alliance Brûlâme; Bouclier du Stalak; Ceinture Volkorne; Casque Volkorne; Cape du Kamasterisk; Baleinabottes; Dofus Turquoise; Dofus Nébuleux; Dofus Pourpre; Dofus Ocre; Nomade; Kramkram</t>
        </is>
      </c>
    </row>
    <row r="6499">
      <c r="A6499" t="inlineStr">
        <is>
          <t>eryphecc</t>
        </is>
      </c>
      <c r="B6499">
        <f>HYPERLINK("https://www.dofusbook.net/fr/equipement/3246443-eryphecc/objets", "link")</f>
        <v/>
      </c>
      <c r="C6499" t="n">
        <v>5</v>
      </c>
      <c r="D6499" t="inlineStr">
        <is>
          <t>Hache Ériphe; Amulette du Strigide; Alliance Gloursonne; Anneau des égarés; Bouclier du Stalak; Ceinture du Strigide; Coiffe de la Fuji Givrefoux; Cape du Kamasterisk; Baleinabottes; Dofus Nébuleux; Dofus des Glaces; Dofus Turquoise; Dofus Pourpre; Dofus Ocre; Nomade; Kramkram</t>
        </is>
      </c>
    </row>
    <row r="6500">
      <c r="A6500" t="inlineStr">
        <is>
          <t>terreairrenne</t>
        </is>
      </c>
      <c r="B6500">
        <f>HYPERLINK("https://www.dofusbook.net/fr/equipement/3246343-terreairrenne/objets", "link")</f>
        <v/>
      </c>
      <c r="C6500" t="n">
        <v>12</v>
      </c>
      <c r="D6500" t="inlineStr">
        <is>
          <t>Héqache; Amulette du Strigide; Alliance Gloursonne; Alliance Brûlâme; Bouclier du Stalak; Ceinture de la Reine des Voleurs; Coiffe de la Reine des Voleurs; Cape du Kamasterisk; Baleinabottes; Dofus Pourpre; Vigoureux majeur; Carapace Feu majeur; Robuste majeur; Nomade; Remueur; Kramkram</t>
        </is>
      </c>
    </row>
    <row r="6501">
      <c r="A6501" t="inlineStr">
        <is>
          <t>terreairbis</t>
        </is>
      </c>
      <c r="B6501">
        <f>HYPERLINK("https://www.dofusbook.net/fr/equipement/3246372-terreairbis/objets", "link")</f>
        <v/>
      </c>
      <c r="C6501" t="n">
        <v>13</v>
      </c>
      <c r="D6501" t="inlineStr">
        <is>
          <t>Héqache; Amulette du Strigide; Alliance Gloursonne; Bracelet du Piloztère; Bouclier du Stalak; Ceintacé; Coiffe de la Reine des Voleurs; Cape du Kamasterisk; Bottes de la Reine des Voleurs; Dofus Pourpre; Dofus Turquoise; Carapace Feu majeur; Nomade; Remueur; Vigoureux majeur; Kramkram</t>
        </is>
      </c>
    </row>
    <row r="6502">
      <c r="A6502" t="inlineStr">
        <is>
          <t>fullterreair</t>
        </is>
      </c>
      <c r="B6502">
        <f>HYPERLINK("https://www.dofusbook.net/fr/equipement/3246313-fullterreair/objets", "link")</f>
        <v/>
      </c>
      <c r="C6502" t="n">
        <v>6</v>
      </c>
      <c r="D6502" t="inlineStr">
        <is>
          <t>Héqache; Amulette du Cœur Vaillant; Alliance Gloursonne; Alliance Brûlâme; Bouclier d'Ilyzaelle; Ceintouse; Chapoulpe; Cape du Cœur Vaillant; Tentassons; Dofus Ocre; Dofus Pourpre; Dofus des Glaces; Dofus Abyssal; Robuste majeur; Puissant majeur; Kramkram</t>
        </is>
      </c>
    </row>
    <row r="6503">
      <c r="A6503" t="inlineStr">
        <is>
          <t>terre</t>
        </is>
      </c>
      <c r="B6503">
        <f>HYPERLINK("https://www.dofusbook.net/fr/equipement/3142581-terre/objets", "link")</f>
        <v/>
      </c>
      <c r="C6503" t="n">
        <v>8</v>
      </c>
      <c r="D6503" t="inlineStr">
        <is>
          <t>Marteau R'ture; Amulette Héroclite; Anneau Chevelu; Bouclier d'Ilyzaelle; Ceinture de la Cour Sombre; Masque de Koutoulou; Cape du Cœur Saignant; Bottes de la Cour Sombre; Remueur; Carapace Terre majeur; Enragé majeur</t>
        </is>
      </c>
    </row>
    <row r="6504">
      <c r="A6504" t="inlineStr">
        <is>
          <t>terre 2</t>
        </is>
      </c>
      <c r="B6504">
        <f>HYPERLINK("https://www.dofusbook.net/fr/equipement/3011660-terre-2/objets", "link")</f>
        <v/>
      </c>
      <c r="C6504" t="n">
        <v>3</v>
      </c>
      <c r="D6504" t="inlineStr"/>
    </row>
    <row r="6505">
      <c r="A6505" t="inlineStr">
        <is>
          <t>Terre Tank</t>
        </is>
      </c>
      <c r="B6505">
        <f>HYPERLINK("https://www.dofusbook.net/fr/equipement/3143227-terre-tank/objets", "link")</f>
        <v/>
      </c>
      <c r="C6505" t="n">
        <v>9</v>
      </c>
      <c r="D6505" t="inlineStr">
        <is>
          <t>Dagues Érhy; Collier de Tourthon; Anneau Chevelu; Bague Gloursonne; Bouclier d'Ilyzaelle; Ceinture de la Cour Sombre; Masque de Koutoulou; Cape du Cœur Saignant; Bottes de la Cour Sombre; Enragé majeur; Dévastateur Terre majeur; Carapace Terre majeur; Remueur</t>
        </is>
      </c>
    </row>
    <row r="6506">
      <c r="A6506" t="inlineStr">
        <is>
          <t>Eniripsa M 200</t>
        </is>
      </c>
      <c r="B6506">
        <f>HYPERLINK("https://www.dofusbook.net/fr/equipement/3457868-eniripsa-m-200/objets", "link")</f>
        <v/>
      </c>
      <c r="C6506" t="n">
        <v>4</v>
      </c>
      <c r="D6506" t="inlineStr"/>
    </row>
    <row r="6507">
      <c r="A6507" t="inlineStr">
        <is>
          <t>spamair</t>
        </is>
      </c>
      <c r="B6507">
        <f>HYPERLINK("https://www.dofusbook.net/fr/equipement/3484891-spamair/objets", "link")</f>
        <v/>
      </c>
      <c r="C6507" t="n">
        <v>4</v>
      </c>
      <c r="D6507" t="inlineStr">
        <is>
          <t>Lance Horselé; Collier du Valet Veinard; Alliance Gloursonne; Gant du Valet Veinard; Bouclier du Stalak; Menoture; Chapeau de Tournoyé; Cape Martegel; Palmes Trithons; Dofus des Glaces; Dofus Abyssal; Remueur; Nomade; Cascadeur majeur; Dragodinde Ebène et Ivoire</t>
        </is>
      </c>
    </row>
    <row r="6508">
      <c r="A6508" t="inlineStr">
        <is>
          <t>fujihekach</t>
        </is>
      </c>
      <c r="B6508">
        <f>HYPERLINK("https://www.dofusbook.net/fr/equipement/3246451-fujihekach/objets", "link")</f>
        <v/>
      </c>
      <c r="C6508" t="n">
        <v>4</v>
      </c>
      <c r="D6508" t="inlineStr">
        <is>
          <t>Héqache; Amulette du Strigide; Bracelet du Piloztère; Alliance Gloursonne; Bouclier du Stalak; Ceinture du Strigide; Coiffe de la Fuji Givrefoux; Cape du Kamasterisk; Baleinabottes; Dofus Turquoise; Dofus Pourpre; Dofus Abyssal; Nomade; Remueur; Vigoureux majeur; Kramkram</t>
        </is>
      </c>
    </row>
    <row r="6509">
      <c r="A6509" t="inlineStr">
        <is>
          <t>feupvm</t>
        </is>
      </c>
      <c r="B6509">
        <f>HYPERLINK("https://www.dofusbook.net/fr/equipement/3023168-feupvm/objets", "link")</f>
        <v/>
      </c>
      <c r="C6509" t="n">
        <v>2</v>
      </c>
      <c r="D6509" t="inlineStr">
        <is>
          <t>Épée d'Otomaï; Amulette d'Otomaï; Anneau Tamie; Anneau Tamie; Bouclier du Stalak; Sangle Aise; Cape de Nileza; Bottes Innommables; Dofus des Glaces; Nomade; Dévastateur Feu majeur; Saccageur Feu majeur; Remueur; Érudit majeur</t>
        </is>
      </c>
    </row>
    <row r="6510">
      <c r="A6510" t="inlineStr">
        <is>
          <t>ppeau</t>
        </is>
      </c>
      <c r="B6510">
        <f>HYPERLINK("https://www.dofusbook.net/fr/equipement/3455513-ppeau/objets", "link")</f>
        <v/>
      </c>
      <c r="C6510" t="n">
        <v>6</v>
      </c>
      <c r="D6510" t="inlineStr">
        <is>
          <t>Epée Kari; Racine Hueuse; Cadran d'Air; Ceinture du Père Fwetar; Casque de Missiz Frizz; Cape Reski; Getas de Padgref; Dofus Pourpre; Nomade; Vigoureux majeur; Vigoureux; Remueur; Puissant majeur</t>
        </is>
      </c>
    </row>
    <row r="6511">
      <c r="A6511" t="inlineStr">
        <is>
          <t>ougiougi</t>
        </is>
      </c>
      <c r="B6511">
        <f>HYPERLINK("https://www.dofusbook.net/fr/equipement/3418064-ougiougi/objets", "link")</f>
        <v/>
      </c>
      <c r="C6511" t="n">
        <v>7</v>
      </c>
      <c r="D6511" t="inlineStr">
        <is>
          <t>Dagoulinantes; Amulette de l'Œil Attentif; Bracelet des Fonds marins; Alliance Gloursonne; Bouclier d'Ilyzaelle; Poulpagne; Masque des Fonds marins; Cape de Mantaze; Bottes du Sinistrofu; Dofus Pourpre; Dofus Turquoise; Carapace Terre majeur; Remueur; Nomade; Kramkram</t>
        </is>
      </c>
    </row>
    <row r="6512">
      <c r="A6512" t="inlineStr">
        <is>
          <t>jesuisgwosse2</t>
        </is>
      </c>
      <c r="B6512">
        <f>HYPERLINK("https://www.dofusbook.net/fr/equipement/3420649-jesuisgwosse2/objets", "link")</f>
        <v/>
      </c>
      <c r="C6512" t="n">
        <v>4</v>
      </c>
      <c r="D6512" t="inlineStr">
        <is>
          <t>Pelle de la Cour Sombre; Collier du Valet Veinard; Alliance Gloursonne; Gant du Valet Veinard; Bouclier du Stalak; Sangle Oriole; Couronne d'Allister; Capibou; Baleinabottes; Dofus Ocre; Dofus Abyssal; Dofus Pourpre; Nomade; Carapace Air majeur; Kramkram</t>
        </is>
      </c>
    </row>
    <row r="6513">
      <c r="A6513" t="inlineStr">
        <is>
          <t>ougiougi7</t>
        </is>
      </c>
      <c r="B6513">
        <f>HYPERLINK("https://www.dofusbook.net/fr/equipement/3420189-ougiougi7/objets", "link")</f>
        <v/>
      </c>
      <c r="C6513" t="n">
        <v>9</v>
      </c>
      <c r="D6513" t="inlineStr">
        <is>
          <t>Dagoulinantes; Amulette du Sinistrofu; Alliance Gloursonne; Bracelet des Fonds marins; Bouclier d'Ilyzaelle; Ceinture Glaciale; Kidibonnet; Cape Solution; Bottes du Sinistrofu; Dofus Pourpre; Dofus Turquoise; Chanceux majeur; Nomade; Carapace Air majeur; Kramkram</t>
        </is>
      </c>
    </row>
    <row r="6514">
      <c r="A6514" t="inlineStr">
        <is>
          <t>ougiougi6</t>
        </is>
      </c>
      <c r="B6514">
        <f>HYPERLINK("https://www.dofusbook.net/fr/equipement/3420184-ougiougi6/objets", "link")</f>
        <v/>
      </c>
      <c r="C6514" t="n">
        <v>5</v>
      </c>
      <c r="D6514" t="inlineStr">
        <is>
          <t>Dagoulinantes; Amulette du Sinistrofu; Alliance Gloursonne; Bracelet des Fonds marins; Bouclier d'Ilyzaelle; Ceinture Glaciale; Capuche de l'Œil Attentif; Cape Solution; Bottes du Sinistrofu; Dofus Turquoise; Dofus Pourpre; Remueur; Nomade; Chanceux majeur; Carapace Air majeur; Kramkram</t>
        </is>
      </c>
    </row>
    <row r="6515">
      <c r="A6515" t="inlineStr">
        <is>
          <t>ougiougi5</t>
        </is>
      </c>
      <c r="B6515">
        <f>HYPERLINK("https://www.dofusbook.net/fr/equipement/3420075-ougiougi5/objets", "link")</f>
        <v/>
      </c>
      <c r="C6515" t="n">
        <v>10</v>
      </c>
      <c r="D6515" t="inlineStr">
        <is>
          <t>Dagoulinantes; Amulette de Shokkoth; Alliance Gloursonne; Bracelet des Fonds marins; Bouclier d'Ilyzaelle; Ceinture Voldelor; Capuche de l'Œil Attentif; Cape Solution; Sandales des Fonds marins; Dofus Pourpre; Dofus Turquoise; Nomade; Chanceux majeur; Carapace Air majeur; Remueur; Kramkram</t>
        </is>
      </c>
    </row>
    <row r="6516">
      <c r="A6516" t="inlineStr">
        <is>
          <t>ougiougi4</t>
        </is>
      </c>
      <c r="B6516">
        <f>HYPERLINK("https://www.dofusbook.net/fr/equipement/3420071-ougiougi4/objets", "link")</f>
        <v/>
      </c>
      <c r="C6516" t="n">
        <v>4</v>
      </c>
      <c r="D6516" t="inlineStr">
        <is>
          <t>Dagoulinantes; Amulette Voldelor; Alliance Gloursonne; Bracelet des Fonds marins; Bouclier d'Ilyzaelle; Ceinture Glaciale; Capuche de l'Œil Attentif; Cape Solution; Sandales des Fonds marins; Dofus Turquoise; Dofus Pourpre; Remueur; Nomade; Chanceux majeur; Carapace Air majeur; Kramkram</t>
        </is>
      </c>
    </row>
    <row r="6517">
      <c r="A6517" t="inlineStr">
        <is>
          <t>ougiougi3</t>
        </is>
      </c>
      <c r="B6517">
        <f>HYPERLINK("https://www.dofusbook.net/fr/equipement/3420067-ougiougi3/objets", "link")</f>
        <v/>
      </c>
      <c r="C6517" t="n">
        <v>4</v>
      </c>
      <c r="D6517" t="inlineStr">
        <is>
          <t>Dagoulinantes; Amulette de l'Œil Attentif; Alliance Gloursonne; Bracelet des Fonds marins; Bouclier d'Ilyzaelle; Ceinture Glaciale; Masque des Fonds marins; Cape Solution; Bottes du Sinistrofu; Dofus Pourpre; Dofus Turquoise; Nomade; Chanceux majeur; Carapace Terre majeur; Remueur; Kramkram</t>
        </is>
      </c>
    </row>
    <row r="6518">
      <c r="A6518" t="inlineStr">
        <is>
          <t>ougiougi2</t>
        </is>
      </c>
      <c r="B6518">
        <f>HYPERLINK("https://www.dofusbook.net/fr/equipement/3418065-ougiougi2/objets", "link")</f>
        <v/>
      </c>
      <c r="C6518" t="n">
        <v>6</v>
      </c>
      <c r="D6518" t="inlineStr">
        <is>
          <t>Dagoulinantes; Amulette de l'Œil Attentif; Alliance Gloursonne; Bracelet des Fonds marins; Bouclier d'Ilyzaelle; Ceinture Glaciale; Kidibonnet; Cape de l'Œil Attentif; Bottes du Sinistrofu; Dofus Turquoise; Dofus Pourpre; Remueur; Nomade; Chanceux majeur; Carapace Terre majeur; Kramkram</t>
        </is>
      </c>
    </row>
    <row r="6519">
      <c r="A6519" t="inlineStr">
        <is>
          <t>jesuischaloeuil</t>
        </is>
      </c>
      <c r="B6519">
        <f>HYPERLINK("https://www.dofusbook.net/fr/equipement/3316481-jesuischaloeuil/objets", "link")</f>
        <v/>
      </c>
      <c r="C6519" t="n">
        <v>1</v>
      </c>
      <c r="D6519" t="inlineStr">
        <is>
          <t>Épée du Granduk; Amulette du Granduk; Gant du Valet Veinard; Anneau d'Allister; Bouclier du Stalak; Menoture; Masque du Granduk; Cape du Valet Veinard; Bottes d'Allister; Dofus Pourpre; Dofus des Glaces; Acrobate majeur; Saccageur Air majeur; Equilibriste majeur; Siroko</t>
        </is>
      </c>
    </row>
    <row r="6520">
      <c r="A6520" t="inlineStr">
        <is>
          <t>achtpauvre</t>
        </is>
      </c>
      <c r="B6520">
        <f>HYPERLINK("https://www.dofusbook.net/fr/equipement/3313823-achtpauvre/objets", "link")</f>
        <v/>
      </c>
      <c r="C6520" t="n">
        <v>9</v>
      </c>
      <c r="D6520" t="inlineStr">
        <is>
          <t>Hachoirs de Viandargh; Amulette du Kamasterisk; Anneau d'Allister; Alliance Gloursonne; Bouclier cubiste; Menoture; Couronne d'Allister; Cape de Klime; Pantoufles Émar; Acrobate majeur; Remueur; Cascadeur majeur; Nomade; Ralentisseur majeur; Temporiseur majeur; Siroko</t>
        </is>
      </c>
    </row>
    <row r="6521">
      <c r="A6521" t="inlineStr">
        <is>
          <t>ppeau</t>
        </is>
      </c>
      <c r="B6521">
        <f>HYPERLINK("https://www.dofusbook.net/fr/equipement/3305407-ppeau/objets", "link")</f>
        <v/>
      </c>
      <c r="C6521" t="n">
        <v>2</v>
      </c>
      <c r="D6521" t="inlineStr">
        <is>
          <t>Pelle Fik; Amulette de Danathor; Alliance Gloursonne; Anneau Glacial; Bouclier d'Anerice; Ceinture de Danathor; Chapeau Pourih; Cape Matelassée; Bottes du Sinistrofu; Dofus Pourpre; Chanceux majeur; Observateur; Remueur; Vigoureux majeur; Nomade; Dehluge</t>
        </is>
      </c>
    </row>
    <row r="6522">
      <c r="A6522" t="inlineStr">
        <is>
          <t>capefuji</t>
        </is>
      </c>
      <c r="B6522">
        <f>HYPERLINK("https://www.dofusbook.net/fr/equipement/3271325-capefuji/objets", "link")</f>
        <v/>
      </c>
      <c r="C6522" t="n">
        <v>0</v>
      </c>
      <c r="D6522" t="inlineStr">
        <is>
          <t>Hache Ériphe; Amulette du Kamasterisk; Alliance Gloursonne; Anneau des égarés; Bouclier d'Ilyzaelle; Ceintouse; Coiffe de la Fuji Givrefoux; Cape du Kamasterisk; Baleinabottes; Dofus Abyssal; Dofus Pourpre; Nomade; Remueur; Vigoureux majeur; Carapace Terre majeur; Kramkram</t>
        </is>
      </c>
    </row>
    <row r="6523">
      <c r="A6523" t="inlineStr">
        <is>
          <t>fullpui</t>
        </is>
      </c>
      <c r="B6523">
        <f>HYPERLINK("https://www.dofusbook.net/fr/equipement/3271027-fullpui/objets", "link")</f>
        <v/>
      </c>
      <c r="C6523" t="n">
        <v>7</v>
      </c>
      <c r="D6523" t="inlineStr">
        <is>
          <t>Marteau de Katrepat; Amulette du Strigide; Alliance Brûlâme; Alliance Gloursonne; Bouclier d'Ilyzaelle; Ceintacé; Chapeau Lisson; Cape du Chalœil; Bottes du Strigide; Dofus Turquoise; Dofus Abyssal; Dofus Pourpre; Vigoureux majeur; Remueur; Nomade; Kramkram</t>
        </is>
      </c>
    </row>
    <row r="6524">
      <c r="A6524" t="inlineStr">
        <is>
          <t>LLLLL</t>
        </is>
      </c>
      <c r="B6524">
        <f>HYPERLINK("https://www.dofusbook.net/fr/equipement/2304484-lllll/objets", "link")</f>
        <v/>
      </c>
      <c r="C6524" t="n">
        <v>2</v>
      </c>
      <c r="D6524" t="inlineStr">
        <is>
          <t>Amulette du Sinistrofu; Alliance Gloursonne; Bracelet des Fonds marins; Bouclier d'Ilyzaelle; Ceinture Glaciale; Kidibonnet; Cape de Mantaze; Sandales des Fonds marins</t>
        </is>
      </c>
    </row>
    <row r="6525">
      <c r="A6525" t="inlineStr">
        <is>
          <t>Altasadi200</t>
        </is>
      </c>
      <c r="B6525">
        <f>HYPERLINK("https://www.dofusbook.net/fr/equipement/3297255-altasadi200/objets", "link")</f>
        <v/>
      </c>
      <c r="C6525" t="n">
        <v>5</v>
      </c>
      <c r="D6525" t="inlineStr">
        <is>
          <t>Lance Horselé; Amibou; Gant du Valet Veinard; Alliance Gloursonne; Bouclier cubiste; Menoture; Couronne d'Allister; Cape du Valet Veinard; Palmes Trithons; Carapace Air majeur; Nomade; Cascadeur majeur; Temporiseur majeur; Remueur; Kramkram</t>
        </is>
      </c>
    </row>
    <row r="6526">
      <c r="A6526" t="inlineStr">
        <is>
          <t>Xélor M 200</t>
        </is>
      </c>
      <c r="B6526">
        <f>HYPERLINK("https://www.dofusbook.net/fr/equipement/3294081-xelor-m-200/objets", "link")</f>
        <v/>
      </c>
      <c r="C6526" t="n">
        <v>2</v>
      </c>
      <c r="D6526" t="inlineStr"/>
    </row>
    <row r="6527">
      <c r="A6527" t="inlineStr">
        <is>
          <t>sacri</t>
        </is>
      </c>
      <c r="B6527">
        <f>HYPERLINK("https://www.dofusbook.net/fr/equipement/3292749-sacri/objets", "link")</f>
        <v/>
      </c>
      <c r="C6527" t="n">
        <v>5</v>
      </c>
      <c r="D6527" t="inlineStr">
        <is>
          <t>Héqache; Amulette du Strigide; Alliance Gloursonne; Bracelet du Piloztère; Bouclier du Stalak; Ceinture du Strigide; Coiffe de la Fuji Givrefoux; Cape du Kamasterisk; Baleinabottes; Dofus Abyssal; Dofus Turquoise; Dofus Pourpre; Remueur; Vigoureux majeur; Nomade; Kramkram</t>
        </is>
      </c>
    </row>
    <row r="6528">
      <c r="A6528" t="inlineStr">
        <is>
          <t>terreairheryph</t>
        </is>
      </c>
      <c r="B6528">
        <f>HYPERLINK("https://www.dofusbook.net/fr/equipement/3246421-terreairheryph/objets", "link")</f>
        <v/>
      </c>
      <c r="C6528" t="n">
        <v>11</v>
      </c>
      <c r="D6528" t="inlineStr">
        <is>
          <t>Hache Ériphe; Amulette du Strigide; Alliance Gloursonne; Anneau des égarés; Bouclier d'Ilyzaelle; Ceinture de la Reine des Voleurs; Coiffe de la Reine des Voleurs; Cape du Kamasterisk; Baleinabottes; Dofus Abyssal; Dofus Pourpre; Nomade; Remueur; Vigoureux majeur; Robuste majeur; Kramkram</t>
        </is>
      </c>
    </row>
    <row r="6529">
      <c r="A6529" t="inlineStr">
        <is>
          <t>ceintace</t>
        </is>
      </c>
      <c r="B6529">
        <f>HYPERLINK("https://www.dofusbook.net/fr/equipement/3277693-ceintace/objets", "link")</f>
        <v/>
      </c>
      <c r="C6529" t="n">
        <v>8</v>
      </c>
      <c r="D6529" t="inlineStr">
        <is>
          <t>Marteau de Katrepat; Amulette du Strigide; Alliance Brûlâme; Alliance Gloursonne; Bouclier du Stalak; Ceintacé; Masque du Katcheur; Voile d'encre; Bottes du Strigide; Dofus Pourpre; Dofus Turquoise; Dofus Abyssal; Nomade; Vigoureux majeur; Remueur; Kramkram</t>
        </is>
      </c>
    </row>
    <row r="6530">
      <c r="A6530" t="inlineStr">
        <is>
          <t>cyclo</t>
        </is>
      </c>
      <c r="B6530">
        <f>HYPERLINK("https://www.dofusbook.net/fr/equipement/3277616-cyclo/objets", "link")</f>
        <v/>
      </c>
      <c r="C6530" t="n">
        <v>5</v>
      </c>
      <c r="D6530" t="inlineStr">
        <is>
          <t>Marteau de Katrepat; Amulette du Strigide; Anneau du Cycloïde; Alliance Gloursonne; Bouclier du Stalak; Ceinture du Strigide; Le Dorado; Voile d'encre; Pompes Funèbres; Dofus Abyssal; Dofus Pourpre; Dofus Turquoise; Vigoureux majeur; Remueur; Nomade; Kramkram</t>
        </is>
      </c>
    </row>
    <row r="6531">
      <c r="A6531" t="inlineStr">
        <is>
          <t>brulame</t>
        </is>
      </c>
      <c r="B6531">
        <f>HYPERLINK("https://www.dofusbook.net/fr/equipement/3277603-brulame/objets", "link")</f>
        <v/>
      </c>
      <c r="C6531" t="n">
        <v>2</v>
      </c>
      <c r="D6531" t="inlineStr">
        <is>
          <t>Marteau de Katrepat; Amulette du Strigide; Alliance Brûlâme; Alliance Gloursonne; Bouclier du Stalak; Ceinture du Strigide; Le Dorado; Voile d'encre; Bottes du Cycloïde; Dofus Pourpre; Dofus Turquoise; Dofus Abyssal; Nomade; Vigoureux majeur; Remueur; Kramkram</t>
        </is>
      </c>
    </row>
    <row r="6532">
      <c r="A6532" t="inlineStr">
        <is>
          <t>lol</t>
        </is>
      </c>
      <c r="B6532">
        <f>HYPERLINK("https://www.dofusbook.net/fr/equipement/3129996-lol/objets", "link")</f>
        <v/>
      </c>
      <c r="C6532" t="n">
        <v>3</v>
      </c>
      <c r="D6532" t="inlineStr"/>
    </row>
    <row r="6533">
      <c r="A6533" t="inlineStr">
        <is>
          <t>Sram F 200</t>
        </is>
      </c>
      <c r="B6533">
        <f>HYPERLINK("https://www.dofusbook.net/fr/equipement/3274281-sram-f-200/objets", "link")</f>
        <v/>
      </c>
      <c r="C6533" t="n">
        <v>3</v>
      </c>
      <c r="D6533" t="inlineStr">
        <is>
          <t>Marteau de Katrepat; Amulette du Strigide; Alliance Brûlâme; Anneau du Cycloïde; Bouclier du Stalak; Ceinture du Strigide; Masque Brûlâme; Cape des Justiciers; Bottes du Cycloïde; Dofus des Glaces; Dofus Turquoise; Dofus Abyssal; Dolmanax; Dofus Ocre; Dofus Pourpre; Muldo Orchidée</t>
        </is>
      </c>
    </row>
    <row r="6534">
      <c r="A6534" t="inlineStr">
        <is>
          <t>fulldebileterre</t>
        </is>
      </c>
      <c r="B6534">
        <f>HYPERLINK("https://www.dofusbook.net/fr/equipement/3267229-fulldebileterre/objets", "link")</f>
        <v/>
      </c>
      <c r="C6534" t="n">
        <v>12</v>
      </c>
      <c r="D6534" t="inlineStr">
        <is>
          <t>Arc du Chalœil; Collier de Tourthon; Anneau de Brouce; Bague Gloursonne; Bouclier du Stalak; Ceinture de la Reine des Voleurs; Coiffe de la Reine des Voleurs; Ankhape; Baleinabottes; Dofus Abyssal; Dofus Pourpre; Remueur; Enragé majeur; Nomade; Carapace Terre majeur; Kramkram</t>
        </is>
      </c>
    </row>
    <row r="6535">
      <c r="A6535" t="inlineStr">
        <is>
          <t>Sram F 200</t>
        </is>
      </c>
      <c r="B6535">
        <f>HYPERLINK("https://www.dofusbook.net/fr/equipement/3266766-sram-f-200/objets", "link")</f>
        <v/>
      </c>
      <c r="C6535" t="n">
        <v>2</v>
      </c>
      <c r="D6535" t="inlineStr">
        <is>
          <t>Bâthon; Amulette du Strigide; Bague Gloursonne; Chevalière du Roi Joueur; Bouclier du Stalak; Ceinture du Strigide; Chapeau de Gein; Voile d'encre; Bottes du Roi Joueur; Dofus Turquoise; Dofus Ocre; Dofus Pourpre; Dofus des Glaces; Remueur; Nomade; Kramkram</t>
        </is>
      </c>
    </row>
    <row r="6536">
      <c r="A6536" t="inlineStr">
        <is>
          <t>Sram F 200</t>
        </is>
      </c>
      <c r="B6536">
        <f>HYPERLINK("https://www.dofusbook.net/fr/equipement/3266710-sram-f-200/objets", "link")</f>
        <v/>
      </c>
      <c r="C6536" t="n">
        <v>0</v>
      </c>
      <c r="D6536" t="inlineStr">
        <is>
          <t>Épée Brûlâme; Collier de la Dame du Hasard; Lavanneau; Anneau Tique; Bouclier du Stalak; Ceinture de l'Esprit Malsain; Casquette de Meno; Cape de la Dame du Hasard; Pataugastrique; Dofus Turquoise; Dofus des Glaces; Dofus Pourpre; Dofus Abyssal; Remueur; Nomade</t>
        </is>
      </c>
    </row>
    <row r="6537">
      <c r="A6537" t="inlineStr">
        <is>
          <t>tri elem</t>
        </is>
      </c>
      <c r="B6537">
        <f>HYPERLINK("https://www.dofusbook.net/fr/equipement/3266700-tri-elem/objets", "link")</f>
        <v/>
      </c>
      <c r="C6537" t="n">
        <v>5</v>
      </c>
      <c r="D6537" t="inlineStr">
        <is>
          <t>Marteau de Katrepat; Amulette du Strigide; Alliance Gloursonne; Alliance Brûlâme; Bouclier du Stalak; Ceintacé; Chapeau Lisson; Cape du Chalœil; Bottes du Strigide; Dofus des Glaces; Dofus Pourpre; Dofus Abyssal; Dofus Turquoise; Nomade; Remueur; Kramkram</t>
        </is>
      </c>
    </row>
    <row r="6538">
      <c r="A6538" t="inlineStr">
        <is>
          <t>Sram M 200</t>
        </is>
      </c>
      <c r="B6538">
        <f>HYPERLINK("https://www.dofusbook.net/fr/equipement/3266681-sram-m-200/objets", "link")</f>
        <v/>
      </c>
      <c r="C6538" t="n">
        <v>3</v>
      </c>
      <c r="D6538" t="inlineStr">
        <is>
          <t>Marteau de Katrepat; Amulette du Strigide; Alliance Brûlâme; Alliance Gloursonne; Bouclier du Stalak; Ceintacé; Chapeau Lisson; Cape du Chalœil; Pompes Funèbres; Dofus Turquoise; Dofus des Glaces; Dofus Pourpre; Dofus Abyssal; Remueur; Nomade; Kramkram</t>
        </is>
      </c>
    </row>
    <row r="6539">
      <c r="A6539" t="inlineStr">
        <is>
          <t>eauair</t>
        </is>
      </c>
      <c r="B6539">
        <f>HYPERLINK("https://www.dofusbook.net/fr/equipement/3246779-eauair/objets", "link")</f>
        <v/>
      </c>
      <c r="C6539" t="n">
        <v>8</v>
      </c>
      <c r="D6539" t="inlineStr">
        <is>
          <t>Arc de Koutoulou; Amulette Voldelor; Alliance Gloursonne; Bouclier du Stalak; Ceinture Voldelor; Casque d'Ilyzaelle; Cape Matelassée; Bottes de la Reine des Voleurs; Dofus des Glaces; Dofus Pourpre; Dofus Abyssal; Vigoureux majeur; Remueur; Carapace Air majeur; Muldo Ebène</t>
        </is>
      </c>
    </row>
    <row r="6540">
      <c r="A6540" t="inlineStr">
        <is>
          <t>terreeau</t>
        </is>
      </c>
      <c r="B6540">
        <f>HYPERLINK("https://www.dofusbook.net/fr/equipement/3246457-terreeau/objets", "link")</f>
        <v/>
      </c>
      <c r="C6540" t="n">
        <v>4</v>
      </c>
      <c r="D6540" t="inlineStr">
        <is>
          <t>Baguette des égarés; Amulette du Strigide; Bracelet du Piloztère; Alliance Gloursonne; Bouclier du Stalak; Ceintacé; Masque de Funespadon; Cape Luminescente; Chaussons de Macrab; Dofus Pourpre; Dofus des Glaces; Dofus Ocre; Dofus Abyssal; Dofus Turquoise; Nomade; Kramkram</t>
        </is>
      </c>
    </row>
    <row r="6541">
      <c r="A6541" t="inlineStr">
        <is>
          <t>terreairchapoulpe</t>
        </is>
      </c>
      <c r="B6541">
        <f>HYPERLINK("https://www.dofusbook.net/fr/equipement/3246385-terreairchapoulpe/objets", "link")</f>
        <v/>
      </c>
      <c r="C6541" t="n">
        <v>3</v>
      </c>
      <c r="D6541" t="inlineStr">
        <is>
          <t>Héqache; Amulette du Strigide; Bracelet du Piloztère; Alliance Gloursonne; Bouclier du Stalak; Ceinture du Strigide; Casque des égarés; Cape du Kamasterisk; Baleinabottes; Dofus des Glaces; Dofus Turquoise; Dofus Pourpre; Dofus Ocre; Vigoureux majeur; Nomade; Kramkram</t>
        </is>
      </c>
    </row>
    <row r="6542">
      <c r="A6542" t="inlineStr">
        <is>
          <t>sramsram</t>
        </is>
      </c>
      <c r="B6542">
        <f>HYPERLINK("https://www.dofusbook.net/fr/equipement/3243392-sramsram/objets", "link")</f>
        <v/>
      </c>
      <c r="C6542" t="n">
        <v>1</v>
      </c>
      <c r="D6542" t="inlineStr">
        <is>
          <t>Marteau de Katrepat; Amulette du Strigide; Bague Gloursonne; Alliance Gloursonne; Bouclier du Stalak; Ceinture du Strigide; Casque du Chalœil; Cape du Chalœil; Bottes du Chalœil; Dofus Pourpre; Dofus des Glaces; Dofus Turquoise; Dofus Abyssal; Dofus Émeraude; Dofus Ocre; Muldo Indigo et Orchidée</t>
        </is>
      </c>
    </row>
    <row r="6543">
      <c r="A6543" t="inlineStr">
        <is>
          <t>lady yuna</t>
        </is>
      </c>
      <c r="B6543">
        <f>HYPERLINK("https://www.dofusbook.net/fr/equipement/3191003-lady-yuna/objets", "link")</f>
        <v/>
      </c>
      <c r="C6543" t="n">
        <v>0</v>
      </c>
      <c r="D6543" t="inlineStr">
        <is>
          <t>Hache Téroïde; Anneau de Brouce; Bague Gloursonne</t>
        </is>
      </c>
    </row>
    <row r="6544">
      <c r="A6544" t="inlineStr">
        <is>
          <t>mouai</t>
        </is>
      </c>
      <c r="B6544">
        <f>HYPERLINK("https://www.dofusbook.net/fr/equipement/3190989-mouai/objets", "link")</f>
        <v/>
      </c>
      <c r="C6544" t="n">
        <v>8</v>
      </c>
      <c r="D6544" t="inlineStr">
        <is>
          <t>Lav'Hache; Amulette Volcanique; Bague Gloursonne; Anneau Crustique; Bouclier d'Ilyzaelle; Ceinture de la Cour Sombre; Masque de Koutoulou; Bottes de la Cour Sombre; Remueur; Carapace Neutre majeur; Miraculé majeur; Enragé majeur; Déserteur majeur; Carapace Terre majeur; Kramkram</t>
        </is>
      </c>
    </row>
    <row r="6545">
      <c r="A6545" t="inlineStr">
        <is>
          <t>debile</t>
        </is>
      </c>
      <c r="B6545">
        <f>HYPERLINK("https://www.dofusbook.net/fr/equipement/3184389-debile/objets", "link")</f>
        <v/>
      </c>
      <c r="C6545" t="n">
        <v>0</v>
      </c>
      <c r="D6545" t="inlineStr"/>
    </row>
    <row r="6546">
      <c r="A6546" t="inlineStr">
        <is>
          <t>merguez</t>
        </is>
      </c>
      <c r="B6546">
        <f>HYPERLINK("https://www.dofusbook.net/fr/equipement/3184370-merguez/objets", "link")</f>
        <v/>
      </c>
      <c r="C6546" t="n">
        <v>1</v>
      </c>
      <c r="D6546" t="inlineStr"/>
    </row>
    <row r="6547">
      <c r="A6547" t="inlineStr">
        <is>
          <t>cac</t>
        </is>
      </c>
      <c r="B6547">
        <f>HYPERLINK("https://www.dofusbook.net/fr/equipement/2792503-cac/objets", "link")</f>
        <v/>
      </c>
      <c r="C6547" t="n">
        <v>0</v>
      </c>
      <c r="D6547" t="inlineStr">
        <is>
          <t>Lav'Hache; Amulette Volcanique; Anneau Crustique; Bague Gloursonne; Quatre-feuilles; Masque de Koutoulou; Voile d'encre; Sabots Volcaniques</t>
        </is>
      </c>
    </row>
    <row r="6548">
      <c r="A6548" t="inlineStr">
        <is>
          <t>jesuisterre</t>
        </is>
      </c>
      <c r="B6548">
        <f>HYPERLINK("https://www.dofusbook.net/fr/equipement/3159644-jesuisterre/objets", "link")</f>
        <v/>
      </c>
      <c r="C6548" t="n">
        <v>6</v>
      </c>
      <c r="D6548" t="inlineStr">
        <is>
          <t>Lav'Hache; Amulette Héroclite; Anneau Crustique; Bague Gloursonne; Ceinture de la Cour Sombre; Masque de Koutoulou; Ankhape; Bottes de la Cour Sombre; Dofus Abyssal; Remueur; Carapace Terre majeur; Carapace Neutre majeur; Enragé majeur; Miraculé majeur; Muldo Ebène et Pourpre</t>
        </is>
      </c>
    </row>
    <row r="6549">
      <c r="A6549" t="inlineStr">
        <is>
          <t>terre</t>
        </is>
      </c>
      <c r="B6549">
        <f>HYPERLINK("https://www.dofusbook.net/fr/equipement/3143303-terre/objets", "link")</f>
        <v/>
      </c>
      <c r="C6549" t="n">
        <v>5</v>
      </c>
      <c r="D6549" t="inlineStr">
        <is>
          <t>Lav'Hache; Collier de Tourthon; Bague Gloursonne; Anneau Toriété; Bouclier du Stalak; Ceinture de la Reine des Voleurs; Coiffe de la Reine des Voleurs; Cape du Cœur Saignant; Baleinabottes; Enragé majeur; Carapace Neutre majeur; Miraculé majeur; Carapace Feu majeur; Remueur; Kramkram</t>
        </is>
      </c>
    </row>
    <row r="6550">
      <c r="A6550" t="inlineStr">
        <is>
          <t>merguez</t>
        </is>
      </c>
      <c r="B6550">
        <f>HYPERLINK("https://www.dofusbook.net/fr/equipement/3115975-merguez/objets", "link")</f>
        <v/>
      </c>
      <c r="C6550" t="n">
        <v>0</v>
      </c>
      <c r="D6550" t="inlineStr"/>
    </row>
    <row r="6551">
      <c r="A6551" t="inlineStr">
        <is>
          <t>dnx</t>
        </is>
      </c>
      <c r="B6551">
        <f>HYPERLINK("https://www.dofusbook.net/fr/equipement/3112449-dnx/objets", "link")</f>
        <v/>
      </c>
      <c r="C6551" t="n">
        <v>0</v>
      </c>
      <c r="D6551" t="inlineStr"/>
    </row>
    <row r="6552">
      <c r="A6552" t="inlineStr">
        <is>
          <t>Full air 2</t>
        </is>
      </c>
      <c r="B6552">
        <f>HYPERLINK("https://www.dofusbook.net/fr/equipement/3015602-full-air-2/objets", "link")</f>
        <v/>
      </c>
      <c r="C6552" t="n">
        <v>0</v>
      </c>
      <c r="D6552" t="inlineStr"/>
    </row>
    <row r="6553">
      <c r="A6553" t="inlineStr">
        <is>
          <t>flotteroub</t>
        </is>
      </c>
      <c r="B6553">
        <f>HYPERLINK("https://www.dofusbook.net/fr/equipement/3016795-flotteroub/objets", "link")</f>
        <v/>
      </c>
      <c r="C6553" t="n">
        <v>2</v>
      </c>
      <c r="D6553" t="inlineStr">
        <is>
          <t>Dagues Érhy; Amulette du Cœur Vaillant; Alliance Brûlâme; Alliance Gloursonne; Bouclier du Stalak; Ceintouse; Masque Brûlâme; Cape du Kamasterisk; Baleinabottes; Dofus Nébuleux; Dofus Pourpre; Dofus des Glaces; Nomade; Vigoureux majeur; Remueur; Kramkram</t>
        </is>
      </c>
    </row>
    <row r="6554">
      <c r="A6554" t="inlineStr">
        <is>
          <t>full air 3</t>
        </is>
      </c>
      <c r="B6554">
        <f>HYPERLINK("https://www.dofusbook.net/fr/equipement/3019618-full-air-3/objets", "link")</f>
        <v/>
      </c>
      <c r="C6554" t="n">
        <v>0</v>
      </c>
      <c r="D6554" t="inlineStr"/>
    </row>
    <row r="6555">
      <c r="A6555" t="inlineStr">
        <is>
          <t>blablabla</t>
        </is>
      </c>
      <c r="B6555">
        <f>HYPERLINK("https://www.dofusbook.net/fr/equipement/3019227-blablabla/objets", "link")</f>
        <v/>
      </c>
      <c r="C6555" t="n">
        <v>0</v>
      </c>
      <c r="D6555" t="inlineStr"/>
    </row>
    <row r="6556">
      <c r="A6556" t="inlineStr">
        <is>
          <t>fulldomeau</t>
        </is>
      </c>
      <c r="B6556">
        <f>HYPERLINK("https://www.dofusbook.net/fr/equipement/3016824-fulldomeau/objets", "link")</f>
        <v/>
      </c>
      <c r="C6556" t="n">
        <v>0</v>
      </c>
      <c r="D6556" t="inlineStr"/>
    </row>
    <row r="6557">
      <c r="A6557" t="inlineStr">
        <is>
          <t>talkasha</t>
        </is>
      </c>
      <c r="B6557">
        <f>HYPERLINK("https://www.dofusbook.net/fr/equipement/3011984-talkasha/objets", "link")</f>
        <v/>
      </c>
      <c r="C6557" t="n">
        <v>1</v>
      </c>
      <c r="D6557" t="inlineStr"/>
    </row>
    <row r="6558">
      <c r="A6558" t="inlineStr">
        <is>
          <t>doublepanno eau-air-</t>
        </is>
      </c>
      <c r="B6558">
        <f>HYPERLINK("https://www.dofusbook.net/fr/equipement/3008327-doublepanno-eau-air-/objets", "link")</f>
        <v/>
      </c>
      <c r="C6558" t="n">
        <v>2</v>
      </c>
      <c r="D6558" t="inlineStr">
        <is>
          <t>Arc Honte; Amulette de l'Œil Putride; Alliance Gloursonne; Anneau Toriété; Bouclier du Stalak; Ceinture du Strigide; Capuche de l'Œil Putride; Cape de l'Œil Putride; Bottes du Strigide; Dofus Pourpre; Dofus Nébuleux; Dofus Turquoise; Dofus des Glaces; Dolmanax; Dofus Ocre; Kramkram</t>
        </is>
      </c>
    </row>
    <row r="6559">
      <c r="A6559" t="inlineStr">
        <is>
          <t>multicheat</t>
        </is>
      </c>
      <c r="B6559">
        <f>HYPERLINK("https://www.dofusbook.net/fr/equipement/3004115-multicheat/objets", "link")</f>
        <v/>
      </c>
      <c r="C6559" t="n">
        <v>3</v>
      </c>
      <c r="D6559" t="inlineStr">
        <is>
          <t>Marteau de Katrepat; Amulette du Strigide; Alliance Brûlâme; Anneau Toriété; Bouclier du Stalak; Ceinture du Strigide; Masque Brûlâme; Voile d'encre; Pompes Funèbres; Dofus Pourpre; Dofus des Glaces; Dofus Nébuleux; Dofus Turquoise; Dolmanax; Dofus Ocre; Kramkram</t>
        </is>
      </c>
    </row>
    <row r="6560">
      <c r="A6560" t="inlineStr">
        <is>
          <t>eauairlopa</t>
        </is>
      </c>
      <c r="B6560">
        <f>HYPERLINK("https://www.dofusbook.net/fr/equipement/3000765-eauairlopa/objets", "link")</f>
        <v/>
      </c>
      <c r="C6560" t="n">
        <v>3</v>
      </c>
      <c r="D6560" t="inlineStr">
        <is>
          <t>Epée Loponèze; Amulette d'Ilyzaelle; Alliance Gloursonne; Anneau Toriété; Bouclier du Captain Amakna; Ceinture Voldelor; Casque d'Ilyzaelle; Cape Matelassée; Bottes de la Reine des Voleurs; Dofus Pourpre; Dofus Ocre; Dofus des Glaces; Carapace Air majeur; Vigoureux majeur</t>
        </is>
      </c>
    </row>
    <row r="6561">
      <c r="A6561" t="inlineStr">
        <is>
          <t>puissance</t>
        </is>
      </c>
      <c r="B6561">
        <f>HYPERLINK("https://www.dofusbook.net/fr/equipement/3000519-puissance/objets", "link")</f>
        <v/>
      </c>
      <c r="C6561" t="n">
        <v>2</v>
      </c>
      <c r="D6561" t="inlineStr">
        <is>
          <t>Marteau de Katrepat; Amulette du Strigide; Anneau Toriété; Alliance Gloursonne; Quatre-feuilles; Ceinture du Strigide; Chapeau Lisson; Chevelure de Tal Kasha; Bottes du Chalœil; Dofus des Glaces; Dofus Pourpre; Dofus Turquoise; Dofus Ocre; Dolmanax; Remueur; Kramkram</t>
        </is>
      </c>
    </row>
    <row r="6562">
      <c r="A6562" t="inlineStr">
        <is>
          <t>feu-air</t>
        </is>
      </c>
      <c r="B6562">
        <f>HYPERLINK("https://www.dofusbook.net/fr/equipement/3000485-feu-air/objets", "link")</f>
        <v/>
      </c>
      <c r="C6562" t="n">
        <v>3</v>
      </c>
      <c r="D6562" t="inlineStr">
        <is>
          <t>Canne Harr; Pendentif mignon de Koutoulou; Anneau de Padgref; Anneau Toriété; Bouclier du Stalak; Ceinture de Vortex; Cagoule de Vortex; Cape d'Atcham; Pompes Funèbres; Dofus Turquoise; Dolmanax; Dofus Ocre; Dofus Pourpre; Dofus des Glaces; Remueur; Kramkram</t>
        </is>
      </c>
    </row>
    <row r="6563">
      <c r="A6563" t="inlineStr">
        <is>
          <t>eau-air-feu</t>
        </is>
      </c>
      <c r="B6563">
        <f>HYPERLINK("https://www.dofusbook.net/fr/equipement/3000432-eau-air-feu/objets", "link")</f>
        <v/>
      </c>
      <c r="C6563" t="n">
        <v>3</v>
      </c>
      <c r="D6563" t="inlineStr">
        <is>
          <t>Sabres d'Atcham; Amulette de l'Œil Putride; Anneau Tique; Alliance Gloursonne; Bouclier du Stalak; Ceinture de l'Esprit Malsain; Chapeau des Malveilleurs; Cape d'Atcham; Pataugastrique; Dofus des Glaces; Dofus Pourpre; Dofus Nébuleux; Dofus Turquoise; Dolmanax; Nomade; Kramkram</t>
        </is>
      </c>
    </row>
    <row r="6564">
      <c r="A6564" t="inlineStr">
        <is>
          <t>terreair</t>
        </is>
      </c>
      <c r="B6564">
        <f>HYPERLINK("https://www.dofusbook.net/fr/equipement/3000370-terreair/objets", "link")</f>
        <v/>
      </c>
      <c r="C6564" t="n">
        <v>1</v>
      </c>
      <c r="D6564" t="inlineStr">
        <is>
          <t>Marteau des Anciens Steamers; Amulette d'Ilyzaelle; Anneau Toriété; Alliance Gloursonne; Bouclier d'Ilyzaelle; Ceinture de la Reine des Voleurs; Casque d'Ilyzaelle; Chevelure de Tal Kasha; Bottes de la Reine des Voleurs; Dofus Ocre; Dofus Nébuleux; Dolmanax; Dofus des Glaces; Dofus Pourpre; Kramkram</t>
        </is>
      </c>
    </row>
    <row r="6565">
      <c r="A6565" t="inlineStr">
        <is>
          <t>terre-feu-air</t>
        </is>
      </c>
      <c r="B6565">
        <f>HYPERLINK("https://www.dofusbook.net/fr/equipement/3000310-terre-feu-air/objets", "link")</f>
        <v/>
      </c>
      <c r="C6565" t="n">
        <v>0</v>
      </c>
      <c r="D6565" t="inlineStr"/>
    </row>
    <row r="6566">
      <c r="A6566" t="inlineStr">
        <is>
          <t>terre-eau-feu</t>
        </is>
      </c>
      <c r="B6566">
        <f>HYPERLINK("https://www.dofusbook.net/fr/equipement/3000281-terre-eau-feu/objets", "link")</f>
        <v/>
      </c>
      <c r="C6566" t="n">
        <v>1</v>
      </c>
      <c r="D6566" t="inlineStr">
        <is>
          <t>Marteau des égarés; Amulette Ementaire Deluxe; Anneau Toriété; Alliance Gloursonne; Bouclier du Stalak; Ceinture de l'Esprit Salvateur; Chapeau Lisson; Dofusteuse; Bottes de l'Esprit Salvateur; Dolmanax; Dofus Ocre; Dofus Pourpre; Dofus des Glaces; Dofus Turquoise; Remueur; Kramkram</t>
        </is>
      </c>
    </row>
    <row r="6567">
      <c r="A6567" t="inlineStr">
        <is>
          <t>terrefeu</t>
        </is>
      </c>
      <c r="B6567">
        <f>HYPERLINK("https://www.dofusbook.net/fr/equipement/3000231-terrefeu/objets", "link")</f>
        <v/>
      </c>
      <c r="C6567" t="n">
        <v>0</v>
      </c>
      <c r="D6567" t="inlineStr">
        <is>
          <t>Amulette du Strigide; Bague Gloursonne; Alliance Gloursonne; Ceinture du Strigide; Chapeau des Malveilleurs</t>
        </is>
      </c>
    </row>
    <row r="6568">
      <c r="A6568" t="inlineStr">
        <is>
          <t>fulldebile</t>
        </is>
      </c>
      <c r="B6568">
        <f>HYPERLINK("https://www.dofusbook.net/fr/equipement/2994845-fulldebile/objets", "link")</f>
        <v/>
      </c>
      <c r="C6568" t="n">
        <v>4</v>
      </c>
      <c r="D6568" t="inlineStr">
        <is>
          <t>Marteau de Katrepat; Amulette du Strigide; Anneau Toriété; Alliance Gloursonne; Bouclier du Stalak; Ceinture du Strigide; Masque de l'Esprit Salvateur; Chevelure de Tal Kasha; Bottes Honyme; Dofus des Glaces; Dofus Pourpre; Dofus Turquoise; Dofus Nébuleux; Vigoureux majeur; Remueur; Kramkram</t>
        </is>
      </c>
    </row>
    <row r="6569">
      <c r="A6569" t="inlineStr">
        <is>
          <t>eauair</t>
        </is>
      </c>
      <c r="B6569">
        <f>HYPERLINK("https://www.dofusbook.net/fr/equipement/2971790-eauair/objets", "link")</f>
        <v/>
      </c>
      <c r="C6569" t="n">
        <v>0</v>
      </c>
      <c r="D6569" t="inlineStr">
        <is>
          <t>Arc de Koutoulou; Amulette d'Ilyzaelle; Anneau Toriété; Alliance Gloursonne; Bouclier du Stalak; Ceinture Voldelor; Casque d'Ilyzaelle; Cape Matelassée; Bottes de la Reine des Voleurs; Dofus Pourpre; Dolmanax; Dofus des Glaces; Remueur; Cascadeur majeur; Chanceux majeur; Muldo Ebène</t>
        </is>
      </c>
    </row>
    <row r="6570">
      <c r="A6570" t="inlineStr">
        <is>
          <t>hnkj</t>
        </is>
      </c>
      <c r="B6570">
        <f>HYPERLINK("https://www.dofusbook.net/fr/equipement/2965695-hnkj/objets", "link")</f>
        <v/>
      </c>
      <c r="C6570" t="n">
        <v>0</v>
      </c>
      <c r="D6570" t="inlineStr">
        <is>
          <t>Fourbamulette; Anneau Ouroboulos; Ceinture Précieuse; Bottes Précieuses</t>
        </is>
      </c>
    </row>
    <row r="6571">
      <c r="A6571" t="inlineStr">
        <is>
          <t>airvariente</t>
        </is>
      </c>
      <c r="B6571">
        <f>HYPERLINK("https://www.dofusbook.net/fr/equipement/2957675-airvariente/objets", "link")</f>
        <v/>
      </c>
      <c r="C6571" t="n">
        <v>2</v>
      </c>
      <c r="D6571" t="inlineStr">
        <is>
          <t>Épée du Granduk; Amulette du Granduk; Gant du Valet Veinard; Anneau d'Allister; Bouclier du Stalak; Ceinture de Klime; Masque du Granduk; Cape de Klime; Bottes d'Allister; Dofus des Glaces; Acrobate majeur; Robuste majeur; Equilibriste majeur; Ravageur Air majeur; Saccageur Air majeur; Muldo Doré</t>
        </is>
      </c>
    </row>
    <row r="6572">
      <c r="A6572" t="inlineStr">
        <is>
          <t>esquive pm</t>
        </is>
      </c>
      <c r="B6572">
        <f>HYPERLINK("https://www.dofusbook.net/fr/equipement/2952766-esquive-pm/objets", "link")</f>
        <v/>
      </c>
      <c r="C6572" t="n">
        <v>0</v>
      </c>
      <c r="D6572" t="inlineStr">
        <is>
          <t>Baguette Héroclite; Amulette d'Ilyzaelle; Bracelet des Fonds marins; Alliance Gloursonne; Bouclier du Stalak; Poulpagne; Kidibonnet; Cape de l'Œil Attentif; Sandales des Fonds marins; Dofus des Glaces; Dévastateur Eau majeur; Cavaleur majeur; Chanceux majeur; Carapace Terre majeur; Déserteur majeur; Muldo Ebène et Indigo</t>
        </is>
      </c>
    </row>
    <row r="6573">
      <c r="A6573" t="inlineStr">
        <is>
          <t>terre-air</t>
        </is>
      </c>
      <c r="B6573">
        <f>HYPERLINK("https://www.dofusbook.net/fr/equipement/2901944-terre-air/objets", "link")</f>
        <v/>
      </c>
      <c r="C6573" t="n">
        <v>1</v>
      </c>
      <c r="D6573" t="inlineStr"/>
    </row>
    <row r="6574">
      <c r="A6574" t="inlineStr">
        <is>
          <t>uli</t>
        </is>
      </c>
      <c r="B6574">
        <f>HYPERLINK("https://www.dofusbook.net/fr/equipement/2900792-uli/objets", "link")</f>
        <v/>
      </c>
      <c r="C6574" t="n">
        <v>0</v>
      </c>
      <c r="D6574" t="inlineStr"/>
    </row>
    <row r="6575">
      <c r="A6575" t="inlineStr">
        <is>
          <t>damehasard</t>
        </is>
      </c>
      <c r="B6575">
        <f>HYPERLINK("https://www.dofusbook.net/fr/equipement/2889430-damehasard/objets", "link")</f>
        <v/>
      </c>
      <c r="C6575" t="n">
        <v>6</v>
      </c>
      <c r="D6575" t="inlineStr">
        <is>
          <t>Collier de la Dame du Hasard; Lavanneau; Alliance Gloursonne; Bouclier du Captain Amakna; Ceinture de l'Esprit Malsain; Casquette de Meno; Cape de la Dame du Hasard; Pataugastrique; Dofus des Glaces; Dofus Pourpre; Dofus Turquoise; Carapace Feu majeur; Vigoureux majeur; Remueur; Muldo Indigo et Orchidée</t>
        </is>
      </c>
    </row>
    <row r="6576">
      <c r="A6576" t="inlineStr">
        <is>
          <t>fullagi</t>
        </is>
      </c>
      <c r="B6576">
        <f>HYPERLINK("https://www.dofusbook.net/fr/equipement/2861989-fullagi/objets", "link")</f>
        <v/>
      </c>
      <c r="C6576" t="n">
        <v>1</v>
      </c>
      <c r="D6576" t="inlineStr">
        <is>
          <t>Hachoirs de Viandargh; Amulette Nécrotique; Anneau d'Allister; Alliance Gloursonne; Cadran d'Air; Ceinture Rasboulaire du Rasboul; Couronne d'Allister; Cape de Klime; Pantoufles Émar; Dofus Pourpre; Remueur; Cascadeur majeur; Nomade; Dévastateur Air majeur; Acrobate majeur; Muldo Doré</t>
        </is>
      </c>
    </row>
    <row r="6577">
      <c r="A6577" t="inlineStr">
        <is>
          <t>jjjj</t>
        </is>
      </c>
      <c r="B6577">
        <f>HYPERLINK("https://www.dofusbook.net/fr/equipement/2851308-jjjj/objets", "link")</f>
        <v/>
      </c>
      <c r="C6577" t="n">
        <v>0</v>
      </c>
      <c r="D6577" t="inlineStr"/>
    </row>
    <row r="6578">
      <c r="A6578" t="inlineStr">
        <is>
          <t>tri elemn</t>
        </is>
      </c>
      <c r="B6578">
        <f>HYPERLINK("https://www.dofusbook.net/fr/equipement/2846747-tri-elemn/objets", "link")</f>
        <v/>
      </c>
      <c r="C6578" t="n">
        <v>4</v>
      </c>
      <c r="D6578" t="inlineStr">
        <is>
          <t>Arc Honte; Amulette de l'Œil Putride; Anneau Tique; Alliance Gloursonne; Quatre-feuilles; Ceinture du Barbétoal; Chapeau des Malveilleurs; Cape de l'Œil Putride; Pataugastrique; Dofus des Glaces; Dofus Pourpre; Dofus Turquoise; Vigoureux majeur; Nomade; Remueur; Kramkram</t>
        </is>
      </c>
    </row>
    <row r="6579">
      <c r="A6579" t="inlineStr">
        <is>
          <t>feuair</t>
        </is>
      </c>
      <c r="B6579">
        <f>HYPERLINK("https://www.dofusbook.net/fr/equipement/2840132-feuair/objets", "link")</f>
        <v/>
      </c>
      <c r="C6579" t="n">
        <v>3</v>
      </c>
      <c r="D6579" t="inlineStr">
        <is>
          <t>Marteau Phossile; Pendentif mignon de Koutoulou; Alliance Gloursonne; Anneauræus; Bouclier du Cycloïde; Ceinture de Vortex; Cagoule de Vortex; Cape de l'Œil Putride; Pantoufles Émar; Dofus Pourpre; Vigoureux majeur; Nomade; Carapace Air majeur; Cascadeur majeur; Remueur; Muldo Ebène et Orchidée</t>
        </is>
      </c>
    </row>
    <row r="6580">
      <c r="A6580" t="inlineStr">
        <is>
          <t>terreeau</t>
        </is>
      </c>
      <c r="B6580">
        <f>HYPERLINK("https://www.dofusbook.net/fr/equipement/2828281-terreeau/objets", "link")</f>
        <v/>
      </c>
      <c r="C6580" t="n">
        <v>2</v>
      </c>
      <c r="D6580" t="inlineStr">
        <is>
          <t>Baguette des égarés; Amulette du Strigide; Alliance Gloursonne; Anneau Crustique; Quatre-feuilles; Ceintacé; Masque de Funespadon; Cape Luminescente; Chaussons de Macrab; Dofus Pourpre; Étourdisseur majeur; Carapace Air majeur; Nomade; Remueur; Vigoureux majeur; Kramkram</t>
        </is>
      </c>
    </row>
    <row r="6581">
      <c r="A6581" t="inlineStr">
        <is>
          <t>terrefeu</t>
        </is>
      </c>
      <c r="B6581">
        <f>HYPERLINK("https://www.dofusbook.net/fr/equipement/2825929-terrefeu/objets", "link")</f>
        <v/>
      </c>
      <c r="C6581" t="n">
        <v>0</v>
      </c>
      <c r="D6581" t="inlineStr">
        <is>
          <t>Bâthon; Torquistik; Chevalière du Roi Joueur; Bague Gloursonne; Bouclier du Cycloïde; Ceintacé; Chapeau de Gein; Voile d'encre; Bottes du Roi Joueur; Dofus Pourpre; Dofus Turquoise; Nomade; Carapace Terre majeur; Vigoureux majeur; Remueur; Kramkram</t>
        </is>
      </c>
    </row>
    <row r="6582">
      <c r="A6582" t="inlineStr">
        <is>
          <t>njhb</t>
        </is>
      </c>
      <c r="B6582">
        <f>HYPERLINK("https://www.dofusbook.net/fr/equipement/2807239-njhb/objets", "link")</f>
        <v/>
      </c>
      <c r="C6582" t="n">
        <v>5</v>
      </c>
      <c r="D6582" t="inlineStr">
        <is>
          <t>Héqache; Amulette du Strigide; Anneau Crustique; Alliance Gloursonne; Sept ans de malheur; Menoture; Chapoulpe; Tentassons; Dofus Pourpre; Dofus Émeraude; Remueur; Étourdisseur majeur; Carapace Air majeur; Fonceur majeur; Muldo Indigo et Orchidée</t>
        </is>
      </c>
    </row>
    <row r="6583">
      <c r="A6583" t="inlineStr">
        <is>
          <t>lll</t>
        </is>
      </c>
      <c r="B6583">
        <f>HYPERLINK("https://www.dofusbook.net/fr/equipement/2807460-lll/objets", "link")</f>
        <v/>
      </c>
      <c r="C6583" t="n">
        <v>0</v>
      </c>
      <c r="D6583" t="inlineStr">
        <is>
          <t>Héqache; Amulette du Strigide; Alliance Gloursonne; Anneau Crustique</t>
        </is>
      </c>
    </row>
    <row r="6584">
      <c r="A6584" t="inlineStr">
        <is>
          <t>Cancer Tank</t>
        </is>
      </c>
      <c r="B6584">
        <f>HYPERLINK("https://www.dofusbook.net/fr/equipement/2806938-cancer-tank/objets", "link")</f>
        <v/>
      </c>
      <c r="C6584" t="n">
        <v>0</v>
      </c>
      <c r="D6584" t="inlineStr">
        <is>
          <t>Le Thanos; Torquistik; Baguistik</t>
        </is>
      </c>
    </row>
    <row r="6585">
      <c r="A6585" t="inlineStr">
        <is>
          <t>air rall</t>
        </is>
      </c>
      <c r="B6585">
        <f>HYPERLINK("https://www.dofusbook.net/fr/equipement/2804771-air-rall/objets", "link")</f>
        <v/>
      </c>
      <c r="C6585" t="n">
        <v>4</v>
      </c>
      <c r="D6585" t="inlineStr">
        <is>
          <t>Manthache; Amulette du Cœur Vaillant; Alliance Gloursonne; Gant du Valet Veinard; Menoture; Casque Dragoeuf; Cape du Cœur Vaillant; Palmes Trithons; Dofus Pourpre; Dofus Émeraude; Remueur; Paralyseur majeur; Cascadeur majeur; Étourdisseur majeur; Muldo Ebène</t>
        </is>
      </c>
    </row>
    <row r="6586">
      <c r="A6586" t="inlineStr">
        <is>
          <t>do crit</t>
        </is>
      </c>
      <c r="B6586">
        <f>HYPERLINK("https://www.dofusbook.net/fr/equipement/2805396-do-crit/objets", "link")</f>
        <v/>
      </c>
      <c r="C6586" t="n">
        <v>1</v>
      </c>
      <c r="D6586" t="inlineStr">
        <is>
          <t>Dague Adou; Amulette du Strigide; Bague Gloursonne; Alliance Gloursonne; Bouclier alvéolé; Ceinture du Strigide; Némès de Tal Kasha; Chevelure de Tal Kasha; Sandales de Tal Kasha; Dofus Nébuleux; Dofus Turquoise; Dofus Pourpre; Dofus Ocre; Dofus des Glaces; Muldo Ebène et Orchidée</t>
        </is>
      </c>
    </row>
    <row r="6587">
      <c r="A6587" t="inlineStr">
        <is>
          <t>agi ret tank</t>
        </is>
      </c>
      <c r="B6587">
        <f>HYPERLINK("https://www.dofusbook.net/fr/equipement/2805414-agi-ret-tank/objets", "link")</f>
        <v/>
      </c>
      <c r="C6587" t="n">
        <v>0</v>
      </c>
      <c r="D6587" t="inlineStr">
        <is>
          <t>Manthache; Amulette du Cœur Vaillant; Gant du Valet Veinard; Alliance Gloursonne; Bouclier du Mont Kipou; Menoture; Masque d'Anerice; Cape d'Anerice; Palmes Trithons; Dofus Émeraude; Étourdisseur majeur; Remueur; Cascadeur majeur; Paralyseur majeur; Muldo Ebène</t>
        </is>
      </c>
    </row>
    <row r="6588">
      <c r="A6588" t="inlineStr">
        <is>
          <t>air/res distance</t>
        </is>
      </c>
      <c r="B6588">
        <f>HYPERLINK("https://www.dofusbook.net/fr/equipement/2056251-air-res-distance/objets", "link")</f>
        <v/>
      </c>
      <c r="C6588" t="n">
        <v>0</v>
      </c>
      <c r="D6588" t="inlineStr"/>
    </row>
    <row r="6589">
      <c r="A6589" t="inlineStr">
        <is>
          <t>bourrin</t>
        </is>
      </c>
      <c r="B6589">
        <f>HYPERLINK("https://www.dofusbook.net/fr/equipement/2804803-bourrin/objets", "link")</f>
        <v/>
      </c>
      <c r="C6589" t="n">
        <v>5</v>
      </c>
      <c r="D6589" t="inlineStr">
        <is>
          <t>Héqache; Amulette du Strigide; Anneau Chevelu; Bague Gloursonne; Quatre-feuilles; Ceintacé; Masque de Koutoulou; Cape au Logis; Bottes du Strigide; Dofus Pourpre; Dofus Nébuleux; Dévastateur Terre majeur; Vigoureux majeur; Enragé majeur; Kramkram</t>
        </is>
      </c>
    </row>
    <row r="6590">
      <c r="A6590" t="inlineStr">
        <is>
          <t>eau/air rall</t>
        </is>
      </c>
      <c r="B6590">
        <f>HYPERLINK("https://www.dofusbook.net/fr/equipement/2805059-eau-air-rall/objets", "link")</f>
        <v/>
      </c>
      <c r="C6590" t="n">
        <v>0</v>
      </c>
      <c r="D6590" t="inlineStr">
        <is>
          <t>Epée Loponèze; Amulette d'Ilyzaelle; Alliance Gloursonne; Anneau Crustique; Cadran de Terre; Menoture; Masque d'Anerice; Cape d'Anerice; Pataugastrique</t>
        </is>
      </c>
    </row>
    <row r="6591">
      <c r="A6591" t="inlineStr">
        <is>
          <t>EAUAIR</t>
        </is>
      </c>
      <c r="B6591">
        <f>HYPERLINK("https://www.dofusbook.net/fr/equipement/2803092-eauair/objets", "link")</f>
        <v/>
      </c>
      <c r="C6591" t="n">
        <v>2</v>
      </c>
      <c r="D6591" t="inlineStr">
        <is>
          <t>Arc de Koutoulou; Amulette d'Ilyzaelle; Alliance Gloursonne; Bracelet des Fonds marins; Bouclier du Stalak; Menoture; Masque du Barbétoal; Chevelure de Tal Kasha; Sandales de Tal Kasha</t>
        </is>
      </c>
    </row>
    <row r="6592">
      <c r="A6592" t="inlineStr">
        <is>
          <t>eau</t>
        </is>
      </c>
      <c r="B6592">
        <f>HYPERLINK("https://www.dofusbook.net/fr/equipement/2803042-eau/objets", "link")</f>
        <v/>
      </c>
      <c r="C6592" t="n">
        <v>0</v>
      </c>
      <c r="D6592" t="inlineStr"/>
    </row>
    <row r="6593">
      <c r="A6593" t="inlineStr">
        <is>
          <t>ralltonsex</t>
        </is>
      </c>
      <c r="B6593">
        <f>HYPERLINK("https://www.dofusbook.net/fr/equipement/2056304-ralltonsex/objets", "link")</f>
        <v/>
      </c>
      <c r="C6593" t="n">
        <v>1</v>
      </c>
      <c r="D6593" t="inlineStr">
        <is>
          <t>Lance Horselé; Amulette du Strigide; Alliance Gloursonne; Gant du Valet Veinard; Bouclier d'Ilyzaelle; Menoture; Chapoulpe; Voile d'encre; Tentassons; Cascadeur majeur; Étourdisseur majeur; Vigoureux majeur; El Scarador</t>
        </is>
      </c>
    </row>
    <row r="6594">
      <c r="A6594" t="inlineStr">
        <is>
          <t>cac</t>
        </is>
      </c>
      <c r="B6594">
        <f>HYPERLINK("https://www.dofusbook.net/fr/equipement/2716209-cac/objets", "link")</f>
        <v/>
      </c>
      <c r="C6594" t="n">
        <v>0</v>
      </c>
      <c r="D6594" t="inlineStr"/>
    </row>
    <row r="6595">
      <c r="A6595" t="inlineStr">
        <is>
          <t>cancerfeuair</t>
        </is>
      </c>
      <c r="B6595">
        <f>HYPERLINK("https://www.dofusbook.net/fr/equipement/2795835-cancerfeuair/objets", "link")</f>
        <v/>
      </c>
      <c r="C6595" t="n">
        <v>6</v>
      </c>
      <c r="D6595" t="inlineStr">
        <is>
          <t>Baguette de Malléfisk; Pendentif mignon de Koutoulou; Anneauræus; Bague Gloursonne; Bouclier d'Anerice; Ceinture de Vortex; Casque Cyclopéen; Cape de Diondin; Chaussures Ardentes; Dofus Abyssal; Carapace Neutre majeur; Obstructeur majeur; Remueur; Carapace Feu majeur; Érudit majeur; Muldo Orchidée et Pourpre</t>
        </is>
      </c>
    </row>
    <row r="6596">
      <c r="A6596" t="inlineStr">
        <is>
          <t>putindecancer</t>
        </is>
      </c>
      <c r="B6596">
        <f>HYPERLINK("https://www.dofusbook.net/fr/equipement/2795712-putindecancer/objets", "link")</f>
        <v/>
      </c>
      <c r="C6596" t="n">
        <v>6</v>
      </c>
      <c r="D6596" t="inlineStr">
        <is>
          <t>Arc Hétype; Amulette de Nileza; Anneauræus; Bague Gloursonne; Bouclier d'Anerice; Ceinture de Vortex; Heaume Oplate; Cape de Nileza; Bottes de Meno; Dofus Abyssal; Carapace Feu majeur; Remueur; Obstructeur majeur; Érudit majeur; Muldo Ebène et Indigo</t>
        </is>
      </c>
    </row>
    <row r="6597">
      <c r="A6597" t="inlineStr">
        <is>
          <t>cancerfeudeux</t>
        </is>
      </c>
      <c r="B6597">
        <f>HYPERLINK("https://www.dofusbook.net/fr/equipement/2795620-cancerfeudeux/objets", "link")</f>
        <v/>
      </c>
      <c r="C6597" t="n">
        <v>6</v>
      </c>
      <c r="D6597" t="inlineStr">
        <is>
          <t>Arc Hétype; Amulette Séculaire; Bague Gloursonne; Anneauræus; Bouclier d'Anerice; Ceinture Séculaire; Heaume Oplate; Cape de Diondin; Chaussures Ardentes; Dofus Abyssal; Dofus Ivoire; Obstructeur majeur; Carapace Neutre majeur; Carapace Eau majeur; Érudit majeur; Muldo Orchidée</t>
        </is>
      </c>
    </row>
    <row r="6598">
      <c r="A6598" t="inlineStr">
        <is>
          <t>cancerfeu</t>
        </is>
      </c>
      <c r="B6598">
        <f>HYPERLINK("https://www.dofusbook.net/fr/equipement/2795512-cancerfeu/objets", "link")</f>
        <v/>
      </c>
      <c r="C6598" t="n">
        <v>3</v>
      </c>
      <c r="D6598" t="inlineStr">
        <is>
          <t>Baguette de Malléfisk; Amulette d'Otomaï; Bague Gloursonne; Anneauræus; Carapar; Ceinture de Vortex; Heaume Oplate; Cape Ardente; Chaussures Ardentes; Dofus Ocre; Dofus Abyssal; Dofus Ivoire; Érudit majeur; Obstructeur majeur; Muldo Orchidée et Pourpre</t>
        </is>
      </c>
    </row>
    <row r="6599">
      <c r="A6599" t="inlineStr">
        <is>
          <t>flottedeux</t>
        </is>
      </c>
      <c r="B6599">
        <f>HYPERLINK("https://www.dofusbook.net/fr/equipement/2795295-flottedeux/objets", "link")</f>
        <v/>
      </c>
      <c r="C6599" t="n">
        <v>2</v>
      </c>
      <c r="D6599" t="inlineStr">
        <is>
          <t>Dagoulinantes; Amulette de l'Œil Attentif; Alliance Gloursonne; Bracelet des Fonds marins; Bouclier du Stalak; Ceinture Glaciale; Capuche de l'Œil Attentif; Cape Solution; Bottes du Sinistrofu; Dofus des Glaces; Dofus Abyssal; Dofus Ocre; Chanceux majeur; Miraculé majeur; Déserteur majeur; Muldo Ebène et Indigo</t>
        </is>
      </c>
    </row>
    <row r="6600">
      <c r="A6600" t="inlineStr">
        <is>
          <t>cancer tank</t>
        </is>
      </c>
      <c r="B6600">
        <f>HYPERLINK("https://www.dofusbook.net/fr/equipement/2794654-cancer-tank/objets", "link")</f>
        <v/>
      </c>
      <c r="C6600" t="n">
        <v>5</v>
      </c>
      <c r="D6600" t="inlineStr">
        <is>
          <t>Épée Brûlâme; Collier de la Dame du Hasard; Alliance Gloursonne; Anneau Tique; Sept ans de malheur; Ceinture de l'Esprit Malsain; Casquette de Meno; Cape de la Dame du Hasard; Pataugastrique; Dofus des Glaces; Dofus Pourpre; Dofus Turquoise; Engourdisseur majeur; Remueur; Étourdisseur majeur; Muldo Orchidée</t>
        </is>
      </c>
    </row>
    <row r="6601">
      <c r="A6601" t="inlineStr">
        <is>
          <t>merguez</t>
        </is>
      </c>
      <c r="B6601">
        <f>HYPERLINK("https://www.dofusbook.net/fr/equipement/2794469-merguez/objets", "link")</f>
        <v/>
      </c>
      <c r="C6601" t="n">
        <v>1</v>
      </c>
      <c r="D6601" t="inlineStr">
        <is>
          <t>Arc Nécrotique; Collier de la Dame du Hasard; Alliance Gloursonne; Lavanneau; Bouclier du Cycloïde; Ceinture de l'Esprit Malsain; Casquette de Meno; Cape de la Dame du Hasard; Pataugastrique; Dofus Turquoise; Dofus Pourpre; Dofus des Glaces; Étourdisseur majeur; Carapace Eau majeur; Remueur; Muldo Orchidée</t>
        </is>
      </c>
    </row>
    <row r="6602">
      <c r="A6602" t="inlineStr">
        <is>
          <t>cac feu/eau</t>
        </is>
      </c>
      <c r="B6602">
        <f>HYPERLINK("https://www.dofusbook.net/fr/equipement/2716340-cac-feu-eau/objets", "link")</f>
        <v/>
      </c>
      <c r="C6602" t="n">
        <v>0</v>
      </c>
      <c r="D6602" t="inlineStr">
        <is>
          <t>Amulette Luminescente; Pikano; Alliance Gloursonne; Ceinture Luminescente</t>
        </is>
      </c>
    </row>
    <row r="6603">
      <c r="A6603" t="inlineStr">
        <is>
          <t>reine</t>
        </is>
      </c>
      <c r="B6603">
        <f>HYPERLINK("https://www.dofusbook.net/fr/equipement/2716870-reine/objets", "link")</f>
        <v/>
      </c>
      <c r="C6603" t="n">
        <v>0</v>
      </c>
      <c r="D6603" t="inlineStr"/>
    </row>
    <row r="6604">
      <c r="A6604" t="inlineStr">
        <is>
          <t>pvp soutiens</t>
        </is>
      </c>
      <c r="B6604">
        <f>HYPERLINK("https://www.dofusbook.net/fr/equipement/2787358-pvp-soutiens/objets", "link")</f>
        <v/>
      </c>
      <c r="C6604" t="n">
        <v>3</v>
      </c>
      <c r="D6604" t="inlineStr">
        <is>
          <t>Baguette de Malléfisk; Amulette du Cycloïde; Anneau de Nidas; Anneau Tique; Quatre-feuilles; Ceinture Séculaire; Couronne de Nidas; Voile d'encre; Pataugastrique; Dofus Émeraude; Miraculé majeur; Remueur; Érudit majeur; Carapace Eau majeur; Guérisseur majeur; Muldo Orchidée et Pourpre</t>
        </is>
      </c>
    </row>
    <row r="6605">
      <c r="A6605" t="inlineStr">
        <is>
          <t>flotte</t>
        </is>
      </c>
      <c r="B6605">
        <f>HYPERLINK("https://www.dofusbook.net/fr/equipement/2729557-flotte/objets", "link")</f>
        <v/>
      </c>
      <c r="C6605" t="n">
        <v>0</v>
      </c>
      <c r="D6605" t="inlineStr">
        <is>
          <t>Sceptre du Roi Joueur; Amulette de l'Œil Attentif; Bracelet des Fonds marins; Alliance Gloursonne; Bouclier du Stalak; Ceinture Glaciale; Capuche de l'Œil Attentif; Cape Solution; Bottes du Sinistrofu; Dofus des Glaces; Dofus Abyssal; Dofus Ocre; Chanceux majeur</t>
        </is>
      </c>
    </row>
    <row r="6606">
      <c r="A6606" t="inlineStr">
        <is>
          <t>re crit do pou air</t>
        </is>
      </c>
      <c r="B6606">
        <f>HYPERLINK("https://www.dofusbook.net/fr/equipement/2708402-re-crit-do-pou-air/objets", "link")</f>
        <v/>
      </c>
      <c r="C6606" t="n">
        <v>6</v>
      </c>
      <c r="D6606" t="inlineStr">
        <is>
          <t>Arc du Chalœil; Collier de Tourthon; Pikano; Alliance Gloursonne; Bouclier du Stalak; Ceinture de la Reine des Voleurs; Coiffe de la Reine des Voleurs; Cape au Logis; Baleinabottes; Dofus Émeraude; Dofus Pourpre; Enragé majeur; Miraculé majeur; Fortification majeure; Remueur</t>
        </is>
      </c>
    </row>
    <row r="6607">
      <c r="A6607" t="inlineStr">
        <is>
          <t>frustration</t>
        </is>
      </c>
      <c r="B6607">
        <f>HYPERLINK("https://www.dofusbook.net/fr/equipement/2705937-frustration/objets", "link")</f>
        <v/>
      </c>
      <c r="C6607" t="n">
        <v>5</v>
      </c>
      <c r="D6607" t="inlineStr">
        <is>
          <t>Dagues de Srambad; Amulette de Pol Ouatnos; Pikano; Alliance Gloursonne; Bouclier du Stalak; Ceinture de la Reine des Voleurs; Coiffe de la Reine des Voleurs; Voile d'encre; Baleinabottes; Dofus Turquoise; Dofus Pourpre; Vigoureux majeur; Fortification majeure; Remueur; Culbuteur majeur; Kramkram</t>
        </is>
      </c>
    </row>
    <row r="6608">
      <c r="A6608" t="inlineStr">
        <is>
          <t>bhjgbv</t>
        </is>
      </c>
      <c r="B6608">
        <f>HYPERLINK("https://www.dofusbook.net/fr/equipement/2709752-bhjgbv/objets", "link")</f>
        <v/>
      </c>
      <c r="C6608" t="n">
        <v>0</v>
      </c>
      <c r="D6608" t="inlineStr"/>
    </row>
    <row r="6609">
      <c r="A6609" t="inlineStr">
        <is>
          <t>eau re crit</t>
        </is>
      </c>
      <c r="B6609">
        <f>HYPERLINK("https://www.dofusbook.net/fr/equipement/2706309-eau-re-crit/objets", "link")</f>
        <v/>
      </c>
      <c r="C6609" t="n">
        <v>0</v>
      </c>
      <c r="D6609" t="inlineStr"/>
    </row>
    <row r="6610">
      <c r="A6610" t="inlineStr">
        <is>
          <t>eau</t>
        </is>
      </c>
      <c r="B6610">
        <f>HYPERLINK("https://www.dofusbook.net/fr/equipement/2705449-eau/objets", "link")</f>
        <v/>
      </c>
      <c r="C6610" t="n">
        <v>2</v>
      </c>
      <c r="D6610" t="inlineStr">
        <is>
          <t>Sceptre du Roi Joueur; Amulette du Strigide; Alliance Gloursonne; Bague Trithon; Bouclier d'Ilyzaelle; Ceinture du Barbétoal; Kidibonnet; Cape des Malveilleurs; Bottes Trithon; Dofus Émeraude; Bousculeur majeur; Carapace Air majeur; Nomade; Culbuteur majeur; Remueur; El Scarador</t>
        </is>
      </c>
    </row>
    <row r="6611">
      <c r="A6611" t="inlineStr">
        <is>
          <t>ROx</t>
        </is>
      </c>
      <c r="B6611">
        <f>HYPERLINK("https://www.dofusbook.net/fr/equipement/2668553-rox/objets", "link")</f>
        <v/>
      </c>
      <c r="C6611" t="n">
        <v>1</v>
      </c>
      <c r="D6611" t="inlineStr">
        <is>
          <t>Hache Téroïde; Amulette du Strigide; Anneau Toriété; Bague Gloursonne; Bouclier du Stalak; Ceinture de Gein; Masque de Koutoulou; Voile d'encre</t>
        </is>
      </c>
    </row>
    <row r="6612">
      <c r="A6612" t="inlineStr">
        <is>
          <t>cfgvc</t>
        </is>
      </c>
      <c r="B6612">
        <f>HYPERLINK("https://www.dofusbook.net/fr/equipement/2348446-cfgvc/objets", "link")</f>
        <v/>
      </c>
      <c r="C6612" t="n">
        <v>1</v>
      </c>
      <c r="D6612" t="inlineStr">
        <is>
          <t>Lav'Hache; Amulette du Strigide; Alliance Gloursonne; Anneau Crustique; Bouclier d'Ilyzaelle; Menoture; Chapoulpe; Voile d'encre; Tentassons; Dofus Émeraude; Dofus Turquoise; Obstructeur majeur; Enragé majeur; Étourdisseur majeur; Muldo Ebène et Ivoire</t>
        </is>
      </c>
    </row>
    <row r="6613">
      <c r="A6613" t="inlineStr">
        <is>
          <t>cancer</t>
        </is>
      </c>
      <c r="B6613">
        <f>HYPERLINK("https://www.dofusbook.net/fr/equipement/2680813-cancer/objets", "link")</f>
        <v/>
      </c>
      <c r="C6613" t="n">
        <v>0</v>
      </c>
      <c r="D6613" t="inlineStr">
        <is>
          <t>Coiffe de la Reine des Voleurs</t>
        </is>
      </c>
    </row>
    <row r="6614">
      <c r="A6614" t="inlineStr">
        <is>
          <t>blblblblb</t>
        </is>
      </c>
      <c r="B6614">
        <f>HYPERLINK("https://www.dofusbook.net/fr/equipement/2677508-blblblblb/objets", "link")</f>
        <v/>
      </c>
      <c r="C6614" t="n">
        <v>0</v>
      </c>
      <c r="D6614" t="inlineStr"/>
    </row>
    <row r="6615">
      <c r="A6615" t="inlineStr">
        <is>
          <t>tair</t>
        </is>
      </c>
      <c r="B6615">
        <f>HYPERLINK("https://www.dofusbook.net/fr/equipement/2677317-tair/objets", "link")</f>
        <v/>
      </c>
      <c r="C6615" t="n">
        <v>5</v>
      </c>
      <c r="D6615" t="inlineStr">
        <is>
          <t>Karnak; Talisman Choh; Alliance Gloursonne; Anneau d'Allister; Carapar; Frimature; Couronne d'Allister; Cape Matelassée; Bottes du Glourséleste; Remueur; Dévastateur Air majeur; Equilibriste majeur; Nomade; Acrobate majeur; Cascadeur majeur; Siroko</t>
        </is>
      </c>
    </row>
    <row r="6616">
      <c r="A6616" t="inlineStr">
        <is>
          <t>tmort</t>
        </is>
      </c>
      <c r="B6616">
        <f>HYPERLINK("https://www.dofusbook.net/fr/equipement/2677271-tmort/objets", "link")</f>
        <v/>
      </c>
      <c r="C6616" t="n">
        <v>0</v>
      </c>
      <c r="D6616" t="inlineStr"/>
    </row>
    <row r="6617">
      <c r="A6617" t="inlineStr">
        <is>
          <t>dopou</t>
        </is>
      </c>
      <c r="B6617">
        <f>HYPERLINK("https://www.dofusbook.net/fr/equipement/1225329-dopou/objets", "link")</f>
        <v/>
      </c>
      <c r="C6617" t="n">
        <v>8</v>
      </c>
      <c r="D6617" t="inlineStr">
        <is>
          <t>Dagoulinantes; Amulette de l'Œil Attentif; Anneau de Pol Ouatnos; Bague Trithon; Bouclier précieux; Pagne du Rykaon; Masque d'Anerice; Cape d'Anerice; Pataugastrique; Dofus Émeraude; Survivant majeur; Remueur; Miraculé majeur; Miraculé; Eliôme</t>
        </is>
      </c>
    </row>
    <row r="6618">
      <c r="A6618" t="inlineStr">
        <is>
          <t>puf</t>
        </is>
      </c>
      <c r="B6618">
        <f>HYPERLINK("https://www.dofusbook.net/fr/equipement/1941789-puf/objets", "link")</f>
        <v/>
      </c>
      <c r="C6618" t="n">
        <v>5</v>
      </c>
      <c r="D6618" t="inlineStr">
        <is>
          <t>Baguette de Malléfisk; Torquistik; Bague Trithon; Anneau de Pol Ouatnos; Bouclier précieux; Pagne du Rykaon; Masque d'Anerice; Cape d'Anerice; Pataugastrique; Dofus Émeraude; Culbuteur majeur; Miraculé majeur; Érudit majeur; Survivant majeur; Remueur; Eliôme</t>
        </is>
      </c>
    </row>
    <row r="6619">
      <c r="A6619" t="inlineStr">
        <is>
          <t>rox</t>
        </is>
      </c>
      <c r="B6619">
        <f>HYPERLINK("https://www.dofusbook.net/fr/equipement/2159564-rox/objets", "link")</f>
        <v/>
      </c>
      <c r="C6619" t="n">
        <v>0</v>
      </c>
      <c r="D6619" t="inlineStr">
        <is>
          <t>Baguette de Malléfisk</t>
        </is>
      </c>
    </row>
    <row r="6620">
      <c r="A6620" t="inlineStr">
        <is>
          <t>hjnbu</t>
        </is>
      </c>
      <c r="B6620">
        <f>HYPERLINK("https://www.dofusbook.net/fr/equipement/2228813-hjnbu/objets", "link")</f>
        <v/>
      </c>
      <c r="C6620" t="n">
        <v>0</v>
      </c>
      <c r="D6620" t="inlineStr">
        <is>
          <t>Dagoulinantes; Amulette de Shokkoth; Capuche de l'Œil Attentif; Cape de l'Œil Attentif</t>
        </is>
      </c>
    </row>
    <row r="6621">
      <c r="A6621" t="inlineStr">
        <is>
          <t>Force des elf</t>
        </is>
      </c>
      <c r="B6621">
        <f>HYPERLINK("https://www.dofusbook.net/fr/equipement/2213696-force-des-elf/objets", "link")</f>
        <v/>
      </c>
      <c r="C6621" t="n">
        <v>0</v>
      </c>
      <c r="D6621" t="inlineStr">
        <is>
          <t>Hache du Korriandre; Amulette du Strigide; Alliance Brûlâme; Alliance Gloursonne; Quatre-feuilles; Ceintacé; Kidibonnet; Chevelure de Tal Kasha; Bottes du Strigide; Dofus Pourpre; Dofus Turquoise; Kramkram</t>
        </is>
      </c>
    </row>
    <row r="6622">
      <c r="A6622" t="inlineStr">
        <is>
          <t>rox</t>
        </is>
      </c>
      <c r="B6622">
        <f>HYPERLINK("https://www.dofusbook.net/fr/equipement/2213720-rox/objets", "link")</f>
        <v/>
      </c>
      <c r="C6622" t="n">
        <v>1</v>
      </c>
      <c r="D6622" t="inlineStr">
        <is>
          <t>Arc Nécrotique; Talisman Igans; Alliance Brûlâme; Alliance Gloursonne; Quatre-feuilles; Ceintacé; Casqnoar; Cape de la Dame du Hasard; Bottes de la Dame du Hasard; Dofus Turquoise; Chanceux majeur; Étourdisseur majeur; Érudit majeur; Remueur; Muldo Orchidée</t>
        </is>
      </c>
    </row>
    <row r="6623">
      <c r="A6623" t="inlineStr">
        <is>
          <t>heal</t>
        </is>
      </c>
      <c r="B6623">
        <f>HYPERLINK("https://www.dofusbook.net/fr/equipement/2217395-heal/objets", "link")</f>
        <v/>
      </c>
      <c r="C6623" t="n">
        <v>2</v>
      </c>
      <c r="D6623" t="inlineStr">
        <is>
          <t>Sabres d'Atcham; Amulette du Strigide; Alliance Brûlâme; Alliance Gloursonne; Quatre-feuilles; Ceintacé; Kidibonnet; Chevelure de Tal Kasha; Bottes du Strigide; Dofus Pourpre; Dofus Turquoise; Vigoureux majeur; Chanceux majeur; Nomade</t>
        </is>
      </c>
    </row>
    <row r="6624">
      <c r="A6624" t="inlineStr">
        <is>
          <t>gbyhvb</t>
        </is>
      </c>
      <c r="B6624">
        <f>HYPERLINK("https://www.dofusbook.net/fr/equipement/2228653-gbyhvb/objets", "link")</f>
        <v/>
      </c>
      <c r="C6624" t="n">
        <v>1</v>
      </c>
      <c r="D6624" t="inlineStr">
        <is>
          <t>Hache du Chalœil; Amulette du Strigide; Alliance Brûlâme; Alliance Gloursonne; Quatre-feuilles; Ceintacé; Casque du Chalœil; Voile d'encre; Bottes du Strigide; Dofus Turquoise; Dofus Pourpre; Nomade; Carapace Neutre majeur; Remueur; Muldo Orchidée et Pourpre</t>
        </is>
      </c>
    </row>
    <row r="6625">
      <c r="A6625" t="inlineStr">
        <is>
          <t>whiskaz</t>
        </is>
      </c>
      <c r="B6625">
        <f>HYPERLINK("https://www.dofusbook.net/fr/equipement/2187437-whiskaz/objets", "link")</f>
        <v/>
      </c>
      <c r="C6625" t="n">
        <v>1</v>
      </c>
      <c r="D6625" t="inlineStr">
        <is>
          <t>Marteau de Katrepat; Amulette du Strigide; Alliance Brûlâme; Alliance Gloursonne; Bouclier Taverne; Ceintacé; Casque Dragoeuf; Dofusteuse; Bottes du Strigide; Dofus Ocre; Dofus des Glaces; Dofus Émeraude; Dolmanax; Dofus Pourpre; Nomade; Kramkram</t>
        </is>
      </c>
    </row>
    <row r="6626">
      <c r="A6626" t="inlineStr">
        <is>
          <t>frolic</t>
        </is>
      </c>
      <c r="B6626">
        <f>HYPERLINK("https://www.dofusbook.net/fr/equipement/2187377-frolic/objets", "link")</f>
        <v/>
      </c>
      <c r="C6626" t="n">
        <v>1</v>
      </c>
      <c r="D6626" t="inlineStr">
        <is>
          <t>Marteau de Katrepat; Amulette du Strigide; Alliance Gloursonne; Alliance Brûlâme; Bouclier Taverne; Ceintacé; Masque Brûlâme; Dofusteuse; Bottes du Strigide; Dofus Pourpre; Dofus Ocre; Dofus des Glaces; Dofus Ivoire; Dolmanax; Ralentisseur majeur; Muldo Ebène et Orchidée</t>
        </is>
      </c>
    </row>
    <row r="6627">
      <c r="A6627" t="inlineStr">
        <is>
          <t>Stuff 3</t>
        </is>
      </c>
      <c r="B6627">
        <f>HYPERLINK("https://www.dofusbook.net/fr/equipement/382475-stuff-3/objets", "link")</f>
        <v/>
      </c>
      <c r="C6627" t="n">
        <v>0</v>
      </c>
      <c r="D6627" t="inlineStr">
        <is>
          <t>Amulette du Sinistrofu; Bracelet des Fonds marins; Alliance Gloursonne; Poulpagne; Capuche de l'Œil Attentif; Cape du Sinistrofu; Pataugastrique</t>
        </is>
      </c>
    </row>
    <row r="6628">
      <c r="A6628" t="inlineStr">
        <is>
          <t>fullpanno</t>
        </is>
      </c>
      <c r="B6628">
        <f>HYPERLINK("https://www.dofusbook.net/fr/equipement/1463640-fullpanno/objets", "link")</f>
        <v/>
      </c>
      <c r="C6628" t="n">
        <v>0</v>
      </c>
      <c r="D6628" t="inlineStr">
        <is>
          <t>Arc corrompu; Amulette d'Otomaï; Anneau de Nidas; Anneauræus; Quatre-feuilles; Ceinture de Vortex; Chapeau de Gein; Cape de Diondin; Bottes d'Otomaï; Érudit majeur; Dévastateur Feu majeur; Déserteur majeur</t>
        </is>
      </c>
    </row>
    <row r="6629">
      <c r="A6629" t="inlineStr">
        <is>
          <t>Stuff 1</t>
        </is>
      </c>
      <c r="B6629">
        <f>HYPERLINK("https://www.dofusbook.net/fr/equipement/382473-stuff-1/objets", "link")</f>
        <v/>
      </c>
      <c r="C6629" t="n">
        <v>0</v>
      </c>
      <c r="D6629" t="inlineStr">
        <is>
          <t>Sceptre du Roi Joueur; Amulette de Shokkoth; Bracelet des Fonds marins; Alliance Gloursonne; Quatre-feuilles; Ceinture Glaciale; Kidibonnet; Cape de Mantaze; Sandales des Fonds marins; Dofus des Glaces; Remueur; Dévastateur Eau majeur; Déserteur majeur; Carapace Eau majeur; Chanceux majeur; Muldo Indigo et Amande</t>
        </is>
      </c>
    </row>
    <row r="6630">
      <c r="A6630" t="inlineStr">
        <is>
          <t>Stuff 1</t>
        </is>
      </c>
      <c r="B6630">
        <f>HYPERLINK("https://www.dofusbook.net/fr/equipement/382470-stuff-1/objets", "link")</f>
        <v/>
      </c>
      <c r="C6630" t="n">
        <v>0</v>
      </c>
      <c r="D6630" t="inlineStr">
        <is>
          <t>Marteau Reine; Amulette du Strigide; Alliance Gloursonne; Bracelet du Piloztère; Bouclier d'Ilyzaelle; Ceinture du Strigide; Masque de Koutoulou; Cape du Kamasterisk; Baleinabottes; Dofus Nébuleux; Dofus Pourpre; Dofus Turquoise; Vigoureux majeur; Enragé majeur; Nomade; Kramkram</t>
        </is>
      </c>
    </row>
    <row r="6631">
      <c r="A6631" t="inlineStr">
        <is>
          <t>multimarteau</t>
        </is>
      </c>
      <c r="B6631">
        <f>HYPERLINK("https://www.dofusbook.net/fr/equipement/1458603-multimarteau/objets", "link")</f>
        <v/>
      </c>
      <c r="C6631" t="n">
        <v>0</v>
      </c>
      <c r="D6631" t="inlineStr"/>
    </row>
    <row r="6632">
      <c r="A6632" t="inlineStr">
        <is>
          <t>pelledanslecu</t>
        </is>
      </c>
      <c r="B6632">
        <f>HYPERLINK("https://www.dofusbook.net/fr/equipement/1922314-pelledanslecu/objets", "link")</f>
        <v/>
      </c>
      <c r="C6632" t="n">
        <v>0</v>
      </c>
      <c r="D6632" t="inlineStr"/>
    </row>
    <row r="6633">
      <c r="A6633" t="inlineStr">
        <is>
          <t>ralltoncu</t>
        </is>
      </c>
      <c r="B6633">
        <f>HYPERLINK("https://www.dofusbook.net/fr/equipement/1913531-ralltoncu/objets", "link")</f>
        <v/>
      </c>
      <c r="C6633" t="n">
        <v>0</v>
      </c>
      <c r="D6633" t="inlineStr">
        <is>
          <t>Hache Téroïde; Amulette du Strigide; Grésilanneau; Chevalière du Roi Joueur; Quatre-feuilles; Ceinture du Strigide; Chapeau de Gein; Voile d'encre; Baleinabottes; Dofus Pourpre; Dofus Turquoise; Dofus Nébuleux; Vigoureux majeur; Remueur; Temporiseur majeur</t>
        </is>
      </c>
    </row>
    <row r="6634">
      <c r="A6634" t="inlineStr">
        <is>
          <t>hbrdfehr</t>
        </is>
      </c>
      <c r="B6634">
        <f>HYPERLINK("https://www.dofusbook.net/fr/equipement/1913708-hbrdfehr/objets", "link")</f>
        <v/>
      </c>
      <c r="C6634" t="n">
        <v>0</v>
      </c>
      <c r="D6634" t="inlineStr">
        <is>
          <t>Hache Téroïde; Amulette du Strigide; Bague Gloursonne; Alliance Gloursonne; Ceinture de Kongoku; Boucle d'oreille de Kongoku; Cape de Kongoku; Bottes du Strigide; Dofus Pourpre; Dolmanax; Dofus Turquoise; Dofus Ocre; Dofus Nébuleux; Ralentisseur majeur; Muldo Indigo et Pourpre</t>
        </is>
      </c>
    </row>
    <row r="6635">
      <c r="A6635" t="inlineStr">
        <is>
          <t>triton</t>
        </is>
      </c>
      <c r="B6635">
        <f>HYPERLINK("https://www.dofusbook.net/fr/equipement/1928236-triton/objets", "link")</f>
        <v/>
      </c>
      <c r="C6635" t="n">
        <v>0</v>
      </c>
      <c r="D6635" t="inlineStr">
        <is>
          <t>Hache Téroïde; Amulette du Strigide; Alliance Gloursonne; Quatre-feuilles; Voile d'encre; Dolmanax; Dofus Ocre; Dofus Turquoise; Dofus Nébuleux; Dofus Pourpre; Ralentisseur majeur; Muldo Indigo et Pourpre</t>
        </is>
      </c>
    </row>
    <row r="6636">
      <c r="A6636" t="inlineStr">
        <is>
          <t>eau</t>
        </is>
      </c>
      <c r="B6636">
        <f>HYPERLINK("https://www.dofusbook.net/fr/equipement/1918927-eau/objets", "link")</f>
        <v/>
      </c>
      <c r="C6636" t="n">
        <v>0</v>
      </c>
      <c r="D6636" t="inlineStr">
        <is>
          <t>Amulette de Gein; Bague Gloursonne; Ceinture de Gein; Chapeau de Gein</t>
        </is>
      </c>
    </row>
    <row r="6637">
      <c r="A6637" t="inlineStr">
        <is>
          <t>roxx</t>
        </is>
      </c>
      <c r="B6637">
        <f>HYPERLINK("https://www.dofusbook.net/fr/equipement/1917323-roxx/objets", "link")</f>
        <v/>
      </c>
      <c r="C6637" t="n">
        <v>0</v>
      </c>
      <c r="D6637" t="inlineStr">
        <is>
          <t>Poolache; Amulette de Gein; Bague Gloursonne; Chevalière du Roi Joueur; Quatre-feuilles; Ceinture de Gein; Chapeau de Gein; Voile d'encre; Bottes du Roi Joueur; Dofus Ocre; Dofus Pourpre; Dofus Nébuleux; Dofus Turquoise; Muldo Ebène et Amande</t>
        </is>
      </c>
    </row>
    <row r="6638">
      <c r="A6638" t="inlineStr">
        <is>
          <t>blblblb</t>
        </is>
      </c>
      <c r="B6638">
        <f>HYPERLINK("https://www.dofusbook.net/fr/equipement/1601956-blblblb/objets", "link")</f>
        <v/>
      </c>
      <c r="C6638" t="n">
        <v>2</v>
      </c>
      <c r="D6638" t="inlineStr">
        <is>
          <t>Harpelle; Amulette du Strigide; Baguistik; Bague Gloursonne; Quatre-feuilles; Ceinture de Gein; Chapeau de Gein; Cape de Diondin; Bottes du Strigide; Dofus Nébuleux; Dofus Pourpre; Dofus des Glaces; Dofus Ocre; Dolmanax; Dofus Turquoise; Muldo Indigo et Pourpre</t>
        </is>
      </c>
    </row>
    <row r="6639">
      <c r="A6639" t="inlineStr">
        <is>
          <t>blblbl foene</t>
        </is>
      </c>
      <c r="B6639">
        <f>HYPERLINK("https://www.dofusbook.net/fr/equipement/1424087-blblbl-foene/objets", "link")</f>
        <v/>
      </c>
      <c r="C6639" t="n">
        <v>0</v>
      </c>
      <c r="D6639" t="inlineStr"/>
    </row>
    <row r="6640">
      <c r="A6640" t="inlineStr">
        <is>
          <t>zzzzzzzzzzz</t>
        </is>
      </c>
      <c r="B6640">
        <f>HYPERLINK("https://www.dofusbook.net/fr/equipement/1390702-zzzzzzzzzzz/objets", "link")</f>
        <v/>
      </c>
      <c r="C6640" t="n">
        <v>1</v>
      </c>
      <c r="D6640" t="inlineStr">
        <is>
          <t>Amulette du Strigide; Goulano; Alliance du Lévitrof; Ceinture du Strigide; Coiffe du Lévitrof; Voile d'encre; Bottes du Strigide; Dofus Turquoise; Dofus des Glaces; Dofus Ocre; Dofus Nébuleux; Dofus Pourpre; Dofus Abyssal; Muldo Indigo et Pourpre</t>
        </is>
      </c>
    </row>
    <row r="6641">
      <c r="A6641" t="inlineStr">
        <is>
          <t>bimbimbim</t>
        </is>
      </c>
      <c r="B6641">
        <f>HYPERLINK("https://www.dofusbook.net/fr/equipement/1373127-bimbimbim/objets", "link")</f>
        <v/>
      </c>
      <c r="C6641" t="n">
        <v>4</v>
      </c>
      <c r="D6641" t="inlineStr">
        <is>
          <t>Sabres d'Atcham; Amulette du Strigide; Anneau de Padgref; Alliance Gloursonne; Quatre-feuilles; Ceinture du Strigide; Le Dorado; Chevelure de Tal Kasha; Pataugastrique; Dofus Pourpre; Dofus Turquoise; Nomade; Puissant majeur; Remueur; Vigoureux majeur; Muldo Doré et Emeraude</t>
        </is>
      </c>
    </row>
    <row r="6642">
      <c r="A6642" t="inlineStr">
        <is>
          <t>deux item strig pata</t>
        </is>
      </c>
      <c r="B6642">
        <f>HYPERLINK("https://www.dofusbook.net/fr/equipement/1363114-deux-item-strig-pata/objets", "link")</f>
        <v/>
      </c>
      <c r="C6642" t="n">
        <v>1</v>
      </c>
      <c r="D6642" t="inlineStr">
        <is>
          <t>Arc Nécrotique; Amulette du Strigide; Alliance Gloursonne; Anneau Tique; Bouclier du Stalak; Ceinture du Strigide; Casquette de Meno; Cape de la Dame du Hasard; Pataugastrique; Dofus Turquoise; Dofus Ocre; Dofus Pourpre; Dofus des Glaces; Vigoureux majeur; Muldo Orchidée</t>
        </is>
      </c>
    </row>
    <row r="6643">
      <c r="A6643" t="inlineStr">
        <is>
          <t>deux item strig</t>
        </is>
      </c>
      <c r="B6643">
        <f>HYPERLINK("https://www.dofusbook.net/fr/equipement/1363107-deux-item-strig/objets", "link")</f>
        <v/>
      </c>
      <c r="C6643" t="n">
        <v>3</v>
      </c>
      <c r="D6643" t="inlineStr">
        <is>
          <t>Arc Nécrotique; Amulette du Strigide; Anneau Tique; Alliance Gloursonne; Bouclier du Stalak; Ceinture du Strigide; Kidibonnet; Cape de la Dame du Hasard; Bottes de Meno; Dofus Ocre; Dofus Pourpre; Dofus des Glaces; Dofus Turquoise; Vigoureux majeur; Muldo Indigo et Orchidée</t>
        </is>
      </c>
    </row>
    <row r="6644">
      <c r="A6644" t="inlineStr">
        <is>
          <t>damestrig</t>
        </is>
      </c>
      <c r="B6644">
        <f>HYPERLINK("https://www.dofusbook.net/fr/equipement/1362993-damestrig/objets", "link")</f>
        <v/>
      </c>
      <c r="C6644" t="n">
        <v>2</v>
      </c>
      <c r="D6644" t="inlineStr">
        <is>
          <t>Arc Nécrotique; Amulette du Strigide; Alliance Gloursonne; Anneau Tique; Bouclier du Stalak; Ceinture du Strigide; Kidibonnet; Cape de la Dame du Hasard; Bottes de la Dame du Hasard; Dofus Pourpre; Dolmanax; Dofus Turquoise; Dofus des Glaces; Dofus Émeraude; Dofus Ocre; Muldo Indigo et Orchidée</t>
        </is>
      </c>
    </row>
    <row r="6645">
      <c r="A6645" t="inlineStr">
        <is>
          <t>meno-dame</t>
        </is>
      </c>
      <c r="B6645">
        <f>HYPERLINK("https://www.dofusbook.net/fr/equipement/1362926-meno-dame/objets", "link")</f>
        <v/>
      </c>
      <c r="C6645" t="n">
        <v>1</v>
      </c>
      <c r="D6645" t="inlineStr">
        <is>
          <t>Arc Nécrotique; Collier de la Dame du Hasard; Anneau Tique; Alliance Gloursonne; Bouclier du Stalak; Ceintacé; Casquette de Meno; Cape de Meno; Bottes de la Dame du Hasard; Dofus Émeraude; Dofus Ocre; Dofus Pourpre; Dolmanax; Dofus Turquoise; Dofus des Glaces; Muldo Orchidée et Pourpre</t>
        </is>
      </c>
    </row>
    <row r="6646">
      <c r="A6646" t="inlineStr">
        <is>
          <t>eau-feu-meno</t>
        </is>
      </c>
      <c r="B6646">
        <f>HYPERLINK("https://www.dofusbook.net/fr/equipement/1362876-eau-feu-meno/objets", "link")</f>
        <v/>
      </c>
      <c r="C6646" t="n">
        <v>2</v>
      </c>
      <c r="D6646" t="inlineStr">
        <is>
          <t>Arc Nécrotique; Amulette du Strigide; Alliance Gloursonne; Anneau Tique; Bouclier du Stalak; Ceinture du Strigide; Casquette de Meno; Cape de Meno; Bottes de Meno; Dofus des Glaces; Dofus Turquoise; Dofus Pourpre; Dofus Ocre; Dolmanax; Dofus Émeraude; Muldo Orchidée</t>
        </is>
      </c>
    </row>
    <row r="6647">
      <c r="A6647" t="inlineStr">
        <is>
          <t>kkklklkl</t>
        </is>
      </c>
      <c r="B6647">
        <f>HYPERLINK("https://www.dofusbook.net/fr/equipement/1281130-kkklklkl/objets", "link")</f>
        <v/>
      </c>
      <c r="C6647" t="n">
        <v>2</v>
      </c>
      <c r="D6647" t="inlineStr">
        <is>
          <t>Arc Nécrotique; Amulette du Strigide; Anneau Tique; Alliance Gloursonne; Bouclier du Stalak; Ceintacé; Chapeau Lisson; Cape de la Dame du Hasard; Bottes du Strigide; Dofus Pourpre; Dofus Ocre; Dofus Émeraude; Dolmanax; Dofus Turquoise; Dofus des Glaces; Muldo Doré et Orchidée</t>
        </is>
      </c>
    </row>
    <row r="6648">
      <c r="A6648" t="inlineStr">
        <is>
          <t>eau-feu</t>
        </is>
      </c>
      <c r="B6648">
        <f>HYPERLINK("https://www.dofusbook.net/fr/equipement/1280894-eau-feu/objets", "link")</f>
        <v/>
      </c>
      <c r="C6648" t="n">
        <v>3</v>
      </c>
      <c r="D6648" t="inlineStr">
        <is>
          <t>Arc Nécrotique; Collier de la Dame du Hasard; Alliance Gloursonne; Anneau Tique; Bouclier du Stalak; Ceinture du Strigide; Kidibonnet; Cape de la Dame du Hasard; Bottes du Strigide; Dofus Pourpre; Dofus Ocre; Dofus Émeraude; Dolmanax; Dofus Turquoise; Dofus des Glaces; Muldo Orchidée et Pourpre</t>
        </is>
      </c>
    </row>
    <row r="6649">
      <c r="A6649" t="inlineStr">
        <is>
          <t>fire</t>
        </is>
      </c>
      <c r="B6649">
        <f>HYPERLINK("https://www.dofusbook.net/fr/equipement/1269606-fire/objets", "link")</f>
        <v/>
      </c>
      <c r="C6649" t="n">
        <v>0</v>
      </c>
      <c r="D6649" t="inlineStr">
        <is>
          <t>Baguette de Malléfisk; Amulette Séculaire; Anneau Tique; Bague Gloursonne; Sept ans de malheur; Ceinture de Gein; Coiffe Séculaire; Cape de Diondin; Bottes d'Otomaï</t>
        </is>
      </c>
    </row>
    <row r="6650">
      <c r="A6650" t="inlineStr">
        <is>
          <t>Res</t>
        </is>
      </c>
      <c r="B6650">
        <f>HYPERLINK("https://www.dofusbook.net/fr/equipement/1267522-res/objets", "link")</f>
        <v/>
      </c>
      <c r="C6650" t="n">
        <v>6</v>
      </c>
      <c r="D6650" t="inlineStr">
        <is>
          <t>Rouleau à Pâtisserie d'Aermyne; Talisman Glouti; Anneau Tique; Anneau de XLII; Sept ans de malheur; Ceinture de XLII; Coiffe d'Aermyne; Cape d'Aermyne; Bottes de XLII; Dokoko; Dofus Émeraude; Dofus Ocre; Bloqueur majeur; Tacleur majeur; Muldo Roux et Amande</t>
        </is>
      </c>
    </row>
    <row r="6651">
      <c r="A6651" t="inlineStr">
        <is>
          <t>kkkk</t>
        </is>
      </c>
      <c r="B6651">
        <f>HYPERLINK("https://www.dofusbook.net/fr/equipement/1239983-kkkk/objets", "link")</f>
        <v/>
      </c>
      <c r="C6651" t="n">
        <v>0</v>
      </c>
      <c r="D6651" t="inlineStr">
        <is>
          <t>Amulette Séculaire; Bague Gloursonne; Anneau Tique; Sept ans de malheur; Ceinture de Vortex; Coiffe Séculaire; Cape de Diondin; Bottes d'Otomaï</t>
        </is>
      </c>
    </row>
    <row r="6652">
      <c r="A6652" t="inlineStr">
        <is>
          <t>ssssssssssh</t>
        </is>
      </c>
      <c r="B6652">
        <f>HYPERLINK("https://www.dofusbook.net/fr/equipement/1180864-ssssssssssh/objets", "link")</f>
        <v/>
      </c>
      <c r="C6652" t="n">
        <v>2</v>
      </c>
      <c r="D6652" t="inlineStr">
        <is>
          <t>Sabres d'Atcham; Amulette du Strigide; Alliance Gloursonne; Anneau de Padgref; Quatre-feuilles; Ceinture du Strigide; Coiffe de Padgref; Cape d'Atcham; Pataugastrique; Dofus Pourpre; Dofus Turquoise; Puissant majeur; Muldo Doré</t>
        </is>
      </c>
    </row>
    <row r="6653">
      <c r="A6653" t="inlineStr">
        <is>
          <t>flecheflche</t>
        </is>
      </c>
      <c r="B6653">
        <f>HYPERLINK("https://www.dofusbook.net/fr/equipement/1067336-flecheflche/objets", "link")</f>
        <v/>
      </c>
      <c r="C6653" t="n">
        <v>2</v>
      </c>
      <c r="D6653" t="inlineStr">
        <is>
          <t>Sabres d'Atcham; Amulette du Strigide; Grésilanneau; Anneau de Padgref; Quatre-feuilles; Ceinture du Strigide; Coiffe de Padgref; Cape d'Atcham; Bottes du Strigide; Dofus des Glaces; Dofus Pourpre; Dofus Nébuleux; Dofus Turquoise; Dofus Ocre; Puissant majeur; Muldo Doré et Emeraude</t>
        </is>
      </c>
    </row>
    <row r="6654">
      <c r="A6654" t="inlineStr">
        <is>
          <t>elina</t>
        </is>
      </c>
      <c r="B6654">
        <f>HYPERLINK("https://www.dofusbook.net/fr/equipement/1067248-elina/objets", "link")</f>
        <v/>
      </c>
      <c r="C6654" t="n">
        <v>8</v>
      </c>
      <c r="D6654" t="inlineStr">
        <is>
          <t>Amrothiline; Amulette du Strigide; Bague Gloursonne; Chevalière du Roi Joueur; Quatre-feuilles; Ceintacé; Chapeau de Gein; Voile d'encre; Bottes du Strigide; Dofus Pourpre; Dofus Turquoise; Vigoureux majeur; Nomade; Obstructeur majeur; Remueur; Blokus</t>
        </is>
      </c>
    </row>
    <row r="6655">
      <c r="A6655" t="inlineStr">
        <is>
          <t>pvmnobrain</t>
        </is>
      </c>
      <c r="B6655">
        <f>HYPERLINK("https://www.dofusbook.net/fr/equipement/1026594-pvmnobrain/objets", "link")</f>
        <v/>
      </c>
      <c r="C6655" t="n">
        <v>5</v>
      </c>
      <c r="D6655" t="inlineStr">
        <is>
          <t>Baguette Range; Amulette du Strigide; Kralano; Anneau de Padgref; Quatre-feuilles; Ceintacé; Coiffe de Padgref; Cape Lati; Pataugastrique; Remueur; Érudit majeur; Nomade; Vigoureux majeur; Cascadeur majeur; Muldo Doré et Emeraude</t>
        </is>
      </c>
    </row>
    <row r="6656">
      <c r="A6656" t="inlineStr">
        <is>
          <t>esquive</t>
        </is>
      </c>
      <c r="B6656">
        <f>HYPERLINK("https://www.dofusbook.net/fr/equipement/1022709-esquive/objets", "link")</f>
        <v/>
      </c>
      <c r="C6656" t="n">
        <v>0</v>
      </c>
      <c r="D6656" t="inlineStr">
        <is>
          <t>Rapière aux Glyphes; Amulette du Piloztère; Bracelet des Fonds marins; Alliance Gloursonne; Cadran de Feu; Poulpagne; Kidibonnet; Cape des Malveilleurs; Sandales des Fonds marins; Dofus Abyssal; Dofus Cawotte; Dofus Pourpre; Dofus des Glaces; Dofus Émeraude; Remueur; Muldo Ebène et Indigo</t>
        </is>
      </c>
    </row>
    <row r="6657">
      <c r="A6657" t="inlineStr">
        <is>
          <t>douze six</t>
        </is>
      </c>
      <c r="B6657">
        <f>HYPERLINK("https://www.dofusbook.net/fr/equipement/1002834-douze-six/objets", "link")</f>
        <v/>
      </c>
      <c r="C6657" t="n">
        <v>0</v>
      </c>
      <c r="D6657" t="inlineStr">
        <is>
          <t>Arc de Koutoulou; Collier du Valet Veinard; Alliance Gloursonne; Gant du Valet Veinard; Bouclier du Stalak; Ceinture de la Reine des Voleurs; Coiffe de la Reine des Voleurs; Cape du Valet Veinard; Bottes de la Reine des Voleurs; Dofus Émeraude; Dofus des Glaces; Dofus Ocre; Dofus Abyssal; Dofus Pourpre; Dolmanax; Muldo Ebène</t>
        </is>
      </c>
    </row>
    <row r="6658">
      <c r="A6658" t="inlineStr">
        <is>
          <t>fm1</t>
        </is>
      </c>
      <c r="B6658">
        <f>HYPERLINK("https://www.dofusbook.net/fr/equipement/1002686-fm1/objets", "link")</f>
        <v/>
      </c>
      <c r="C6658" t="n">
        <v>1</v>
      </c>
      <c r="D6658" t="inlineStr">
        <is>
          <t>Sceptre du Roi Joueur; Amulette de Shokkoth; Alliance Gloursonne; Bracelet des Fonds marins; Bouclier du Stalak; Poulpagne; Masque des Fonds marins; Cape Glaciale; Bottes du Sinistrofu; Dofus Émeraude; Dofus des Glaces; Dofus Pourpre; Chanceux majeur; Carapace Eau majeur; Muldo Indigo et Amande</t>
        </is>
      </c>
    </row>
    <row r="6659">
      <c r="A6659" t="inlineStr">
        <is>
          <t>feu hetype</t>
        </is>
      </c>
      <c r="B6659">
        <f>HYPERLINK("https://www.dofusbook.net/fr/equipement/991683-feu-hetype/objets", "link")</f>
        <v/>
      </c>
      <c r="C6659" t="n">
        <v>0</v>
      </c>
      <c r="D6659" t="inlineStr">
        <is>
          <t>Baguette de Malléfisk; Amulette Séculaire; Anneau Tamie; Anneau Tamie; Bouclier du Stalak; Sangle Aise; Coiffe Séculaire; Cape de Diondin; Bottes Innommables; Dofus Pourpre; Dofus Nébuleux; Vigoureux majeur; Dévastateur Feu majeur; Érudit majeur</t>
        </is>
      </c>
    </row>
    <row r="6660">
      <c r="A6660" t="inlineStr">
        <is>
          <t>beuh</t>
        </is>
      </c>
      <c r="B6660">
        <f>HYPERLINK("https://www.dofusbook.net/fr/equipement/869916-beuh/objets", "link")</f>
        <v/>
      </c>
      <c r="C6660" t="n">
        <v>2</v>
      </c>
      <c r="D6660" t="inlineStr">
        <is>
          <t>Bêche Asse; Collier de Tourthon; Alliance Gloursonne; Anneau Crustique; Sept ans de malheur; Ceintouse; Chapoulpe; Cape de la Cour Sombre; Baleinabottes; Dofus Pourpre; Enragé majeur; Vigoureux majeur; Étourdisseur majeur; Temporiseur majeur; Remueur; Muldo Indigo et Amande</t>
        </is>
      </c>
    </row>
    <row r="6661">
      <c r="A6661" t="inlineStr">
        <is>
          <t>strigide</t>
        </is>
      </c>
      <c r="B6661">
        <f>HYPERLINK("https://www.dofusbook.net/fr/equipement/870503-strigide/objets", "link")</f>
        <v/>
      </c>
      <c r="C6661" t="n">
        <v>3</v>
      </c>
      <c r="D6661" t="inlineStr">
        <is>
          <t>Pelle de Nidas; Amulette du Kamasterisk; Anneau Crustique; Alliance Gloursonne; Bouclier d'Ilyzaelle; Ceinture de la Reine des Voleurs; Masque de Koutoulou; Cape de Kongoku; Bottes de la Reine des Voleurs; Dofus Pourpre; Déserteur majeur; Carapace Air majeur; Temporiseur majeur; Remueur; Étourdisseur majeur</t>
        </is>
      </c>
    </row>
    <row r="6662">
      <c r="A6662" t="inlineStr">
        <is>
          <t>charles</t>
        </is>
      </c>
      <c r="B6662">
        <f>HYPERLINK("https://www.dofusbook.net/fr/equipement/870397-charles/objets", "link")</f>
        <v/>
      </c>
      <c r="C6662" t="n">
        <v>1</v>
      </c>
      <c r="D6662" t="inlineStr">
        <is>
          <t>Bâthon; Amulette de Gein; Chevalière du Roi Joueur; Bague Gloursonne; Sept ans de malheur; Ceinture de Kongoku; Masque de Koutoulou; Voile d'encre; Bottes du Roi Joueur; Dofus Pourpre; Vigoureux majeur; Remueur; Étourdisseur majeur; Déserteur majeur; Carapace Terre majeur; Muldo Pourpre et Amande</t>
        </is>
      </c>
    </row>
    <row r="6663">
      <c r="A6663" t="inlineStr">
        <is>
          <t>foooorce</t>
        </is>
      </c>
      <c r="B6663">
        <f>HYPERLINK("https://www.dofusbook.net/fr/equipement/870257-foooorce/objets", "link")</f>
        <v/>
      </c>
      <c r="C6663" t="n">
        <v>1</v>
      </c>
      <c r="D6663" t="inlineStr">
        <is>
          <t>Bêche Asse; Collier de Tourthon; Anneau Crustique; Anneau Crustique; Bouclier cubiste; Ceinture de la Cour Sombre; Masque de Koutoulou; Cape de la Cour Sombre; Tentassons; Dofus Pourpre; Déserteur majeur; Remueur; Temporiseur majeur; Carapace Eau majeur; Étourdisseur majeur; Muldo Pourpre et Amande</t>
        </is>
      </c>
    </row>
    <row r="6664">
      <c r="A6664" t="inlineStr">
        <is>
          <t>terre/air</t>
        </is>
      </c>
      <c r="B6664">
        <f>HYPERLINK("https://www.dofusbook.net/fr/equipement/870085-terre-air/objets", "link")</f>
        <v/>
      </c>
      <c r="C6664" t="n">
        <v>10</v>
      </c>
      <c r="D6664" t="inlineStr">
        <is>
          <t>Marteau R'ture; Amulette du Kamasterisk; Alliance Gloursonne; Sept ans de malheur; Ceinture de la Reine des Voleurs; Coiffe de la Reine des Voleurs; Cape de Kongoku; Baleinabottes; Dofus Pourpre; Remueur; Vigoureux majeur; Temporiseur majeur; Étourdisseur majeur</t>
        </is>
      </c>
    </row>
    <row r="6665">
      <c r="A6665" t="inlineStr">
        <is>
          <t>babtou</t>
        </is>
      </c>
      <c r="B6665">
        <f>HYPERLINK("https://www.dofusbook.net/fr/equipement/869892-babtou/objets", "link")</f>
        <v/>
      </c>
      <c r="C6665" t="n">
        <v>0</v>
      </c>
      <c r="D6665" t="inlineStr">
        <is>
          <t>Dagues de Srambad; Amulette Luminescente; Alliance Gloursonne; Pikano; Sept ans de malheur; Ceinture de Kongoku; Masque de Koutoulou; Cape Luminescente; Pantoufles du Piloztère; Dofus Pourpre; Temporiseur majeur; Remueur; Étourdisseur majeur; Déserteur majeur; Vigoureux majeur; Muldo Ebène et Amande</t>
        </is>
      </c>
    </row>
    <row r="6666">
      <c r="A6666" t="inlineStr">
        <is>
          <t>eduard</t>
        </is>
      </c>
      <c r="B6666">
        <f>HYPERLINK("https://www.dofusbook.net/fr/equipement/869710-eduard/objets", "link")</f>
        <v/>
      </c>
      <c r="C6666" t="n">
        <v>0</v>
      </c>
      <c r="D6666" t="inlineStr">
        <is>
          <t>Baguette Range; Pendentif mignon de Koutoulou; Anneau Tique; Anneau de Nidas; Ftalmo; Ceinture de Vortex; Casque Cyclopéen; Cape d'Atcham; Pataugastrique; Dofus Turquoise; Dofus Pourpre; Temporiseur majeur; Étourdisseur majeur; Remueur; Vigoureux majeur; Muldo Doré et Orchidée</t>
        </is>
      </c>
    </row>
    <row r="6667">
      <c r="A6667" t="inlineStr">
        <is>
          <t>NLNL</t>
        </is>
      </c>
      <c r="B6667">
        <f>HYPERLINK("https://www.dofusbook.net/fr/equipement/862988-nlnl/objets", "link")</f>
        <v/>
      </c>
      <c r="C6667" t="n">
        <v>0</v>
      </c>
      <c r="D6667" t="inlineStr">
        <is>
          <t>Marteau Phossile; Pendentif mignon de Koutoulou; Alliance Gloursonne; Anneau Tique; Ceinture de Vortex; Cagoule de Vortex; Cape de Kongoku; Pataugastrique</t>
        </is>
      </c>
    </row>
    <row r="6668">
      <c r="A6668" t="inlineStr">
        <is>
          <t>pulpido</t>
        </is>
      </c>
      <c r="B6668">
        <f>HYPERLINK("https://www.dofusbook.net/fr/equipement/867879-pulpido/objets", "link")</f>
        <v/>
      </c>
      <c r="C6668" t="n">
        <v>0</v>
      </c>
      <c r="D6668" t="inlineStr">
        <is>
          <t>Marteau R'ture; Amulette du Kamasterisk; Anneau des égarés; Anneau Crustique; Sept ans de malheur; Ceintouse; Chapoulpe; Cape de Kongoku; Baleinabottes; Dofus Pourpre; Dofus Turquoise; Étourdisseur majeur; Remueur; Temporiseur majeur; Muldo Ebène et Pourpre</t>
        </is>
      </c>
    </row>
    <row r="6669">
      <c r="A6669" t="inlineStr">
        <is>
          <t>facedepoulpe</t>
        </is>
      </c>
      <c r="B6669">
        <f>HYPERLINK("https://www.dofusbook.net/fr/equipement/867776-facedepoulpe/objets", "link")</f>
        <v/>
      </c>
      <c r="C6669" t="n">
        <v>0</v>
      </c>
      <c r="D6669" t="inlineStr">
        <is>
          <t>Marteau R'ture; Amulette du Kamasterisk; Bague Trithon; Anneau Crustique; Sept ans de malheur; Ceintouse; Masque de Koutoulou; Cape de Kongoku; Tentassons; Dofus Turquoise; Dofus Pourpre; Temporiseur majeur; Nomade; Étourdisseur majeur; Remueur; Kramkram</t>
        </is>
      </c>
    </row>
    <row r="6670">
      <c r="A6670" t="inlineStr">
        <is>
          <t>Trithin</t>
        </is>
      </c>
      <c r="B6670">
        <f>HYPERLINK("https://www.dofusbook.net/fr/equipement/865759-trithin/objets", "link")</f>
        <v/>
      </c>
      <c r="C6670" t="n">
        <v>0</v>
      </c>
      <c r="D6670" t="inlineStr">
        <is>
          <t>Marteau R'ture; Amulette de Pol Ouatnos; Anneau Crustique; Bague Trithon; Menoture; Masque Trithon; Cape de Kongoku; Tentassons; Dofus Pourpre; Étourdisseur majeur; Carapace Air majeur; Remueur</t>
        </is>
      </c>
    </row>
    <row r="6671">
      <c r="A6671" t="inlineStr">
        <is>
          <t>Bababba</t>
        </is>
      </c>
      <c r="B6671">
        <f>HYPERLINK("https://www.dofusbook.net/fr/equipement/865555-bababba/objets", "link")</f>
        <v/>
      </c>
      <c r="C6671" t="n">
        <v>0</v>
      </c>
      <c r="D6671" t="inlineStr">
        <is>
          <t>Héqache; Amulette du Kamasterisk; Anneau Crustique; Bague Trithon; Bouclier cubiste; Menoture; Chapoulpe; Cape de Kongoku; Tentassons; Dofus Cawotte; Carapace Air majeur; Vigoureux majeur; Remueur; Étourdisseur majeur; Muldo Ebène et Amande</t>
        </is>
      </c>
    </row>
    <row r="6672">
      <c r="A6672" t="inlineStr">
        <is>
          <t>bite</t>
        </is>
      </c>
      <c r="B6672">
        <f>HYPERLINK("https://www.dofusbook.net/fr/equipement/857349-bite/objets", "link")</f>
        <v/>
      </c>
      <c r="C6672" t="n">
        <v>2</v>
      </c>
      <c r="D6672" t="inlineStr">
        <is>
          <t>Marteau R'ture; Amulette de Pol Ouatnos; Alliance Gloursonne; Anneau Crustique; Sept ans de malheur; Ceinture de la Cour Sombre; Masque de Koutoulou; Cape de la Cour Sombre; Tentassons; Dofus Cawotte; Dofus Émeraude; Déserteur majeur; Temporiseur majeur; Remueur; Étourdisseur majeur; Muldo Indigo et Amande</t>
        </is>
      </c>
    </row>
    <row r="6673">
      <c r="A6673" t="inlineStr">
        <is>
          <t>blll</t>
        </is>
      </c>
      <c r="B6673">
        <f>HYPERLINK("https://www.dofusbook.net/fr/equipement/854035-blll/objets", "link")</f>
        <v/>
      </c>
      <c r="C6673" t="n">
        <v>1</v>
      </c>
      <c r="D6673" t="inlineStr">
        <is>
          <t>Marteau R'ture; Amulette de Pol Ouatnos; Alliance Gloursonne; Chevalière du Roi Joueur; Sept ans de malheur; Menoture; Chapoulpe; Voile d'encre; Tentassons; Dofus Émeraude; Dofus Cawotte; Étourdisseur majeur; Déserteur majeur; Remueur; Temporiseur majeur; Muldo Ebène et Indigo</t>
        </is>
      </c>
    </row>
    <row r="6674">
      <c r="A6674" t="inlineStr">
        <is>
          <t>bim</t>
        </is>
      </c>
      <c r="B6674">
        <f>HYPERLINK("https://www.dofusbook.net/fr/equipement/834238-bim/objets", "link")</f>
        <v/>
      </c>
      <c r="C6674" t="n">
        <v>4</v>
      </c>
      <c r="D6674" t="inlineStr">
        <is>
          <t>Amrothiline; Amulette du Strigide; Alliance Gloursonne; Anneau Tique; Quatre-feuilles; Ceintacé; Casque de Missiz Frizz; Dofusteuse; Bottes du Strigide; Dofus Pourpre; Dofus Turquoise; Dofus Émeraude; Remueur; Vigoureux majeur; Muldo Doré et Pourpre</t>
        </is>
      </c>
    </row>
    <row r="6675">
      <c r="A6675" t="inlineStr">
        <is>
          <t>reine</t>
        </is>
      </c>
      <c r="B6675">
        <f>HYPERLINK("https://www.dofusbook.net/fr/equipement/823106-reine/objets", "link")</f>
        <v/>
      </c>
      <c r="C6675" t="n">
        <v>0</v>
      </c>
      <c r="D6675" t="inlineStr">
        <is>
          <t>Sceptre du Roi Joueur; Amulette de Shokkoth; Alliance Gloursonne; Bracelet des Fonds marins; Bouclier du Stalak; Ceinture de la Reine des Voleurs; Kidibonnet; Cape Glaciale; Bottes de la Reine des Voleurs; Dofus Émeraude; Dofus des Glaces; Remueur; Carapace Air majeur; Chanceux majeur; Muldo Doré et Indigo</t>
        </is>
      </c>
    </row>
    <row r="6676">
      <c r="A6676" t="inlineStr">
        <is>
          <t>test</t>
        </is>
      </c>
      <c r="B6676">
        <f>HYPERLINK("https://www.dofusbook.net/fr/equipement/822046-test/objets", "link")</f>
        <v/>
      </c>
      <c r="C6676" t="n">
        <v>0</v>
      </c>
      <c r="D6676" t="inlineStr">
        <is>
          <t>Sceptre du Roi Joueur; Amulette du Sinistrofu; Alliance Gloursonne; Bracelet des Fonds marins; Bouclier du Stalak; Poulpagne; Kidibonnet; Cape de Meno; Bottes du Sinistrofu; Dofus Pourpre; Dofus Nébuleux; Dofus des Glaces; Dofus Nébuleux; Chanceux majeur; Carapace Air majeur</t>
        </is>
      </c>
    </row>
    <row r="6677">
      <c r="A6677" t="inlineStr">
        <is>
          <t>sinis</t>
        </is>
      </c>
      <c r="B6677">
        <f>HYPERLINK("https://www.dofusbook.net/fr/equipement/821861-sinis/objets", "link")</f>
        <v/>
      </c>
      <c r="C6677" t="n">
        <v>0</v>
      </c>
      <c r="D6677" t="inlineStr">
        <is>
          <t>Sceptre du Roi Joueur; Amulette de Shokkoth; Alliance Gloursonne; Bracelet des Fonds marins; Bouclier du Stalak; Poulpagne; Kidibonnet; Cape du Sinistrofu; Bottes du Sinistrofu; Dofus Abyssal; Dofus Émeraude; Dofus des Glaces; Carapace Eau majeur; Chanceux majeur; Déserteur majeur; Muldo Doré et Ebène</t>
        </is>
      </c>
    </row>
    <row r="6678">
      <c r="A6678" t="inlineStr">
        <is>
          <t>eau mix</t>
        </is>
      </c>
      <c r="B6678">
        <f>HYPERLINK("https://www.dofusbook.net/fr/equipement/814200-eau-mix/objets", "link")</f>
        <v/>
      </c>
      <c r="C6678" t="n">
        <v>0</v>
      </c>
      <c r="D6678" t="inlineStr">
        <is>
          <t>Sceptre du Roi Joueur; Amulette de Shokkoth; Bracelet des Fonds marins; Alliance Gloursonne; Bouclier du Stalak; Poulpagne; Masque des Fonds marins; Cape Glaciale; Bottes du Sinistrofu; Dofus Émeraude; Dofus des Glaces; Dofus Abyssal; Remueur; Chanceux majeur; Déserteur majeur; Muldo Doré et Indigo</t>
        </is>
      </c>
    </row>
    <row r="6679">
      <c r="A6679" t="inlineStr">
        <is>
          <t>eau</t>
        </is>
      </c>
      <c r="B6679">
        <f>HYPERLINK("https://www.dofusbook.net/fr/equipement/813639-eau/objets", "link")</f>
        <v/>
      </c>
      <c r="C6679" t="n">
        <v>0</v>
      </c>
      <c r="D6679" t="inlineStr">
        <is>
          <t>Rapière aux Glyphes; Amulette du Sinistrofu; Bracelet des Fonds marins; Alliance Gloursonne; Bouclier du Stalak; Ceinture Glaciale; Kidibonnet; Cape du Sinistrofu; Bottes de la Reine des Voleurs; Dofus Pourpre; Dofus des Glaces; Dofus Abyssal; Chanceux majeur; Miraculé majeur; Muldo Ebène et Pourpre</t>
        </is>
      </c>
    </row>
    <row r="6680">
      <c r="A6680" t="inlineStr">
        <is>
          <t>blblb</t>
        </is>
      </c>
      <c r="B6680">
        <f>HYPERLINK("https://www.dofusbook.net/fr/equipement/813729-blblb/objets", "link")</f>
        <v/>
      </c>
      <c r="C6680" t="n">
        <v>0</v>
      </c>
      <c r="D6680" t="inlineStr">
        <is>
          <t>Sceptre du Roi Joueur; Amulette de Shokkoth; Alliance Gloursonne; Bracelet des Fonds marins; Ceinture Glaciale; Kidibonnet; Chevelure de Tal Kasha; Sandales de Tal Kasha</t>
        </is>
      </c>
    </row>
    <row r="6681">
      <c r="A6681" t="inlineStr">
        <is>
          <t>kkkk</t>
        </is>
      </c>
      <c r="B6681">
        <f>HYPERLINK("https://www.dofusbook.net/fr/equipement/813416-kkkk/objets", "link")</f>
        <v/>
      </c>
      <c r="C6681" t="n">
        <v>0</v>
      </c>
      <c r="D6681" t="inlineStr">
        <is>
          <t>Hachoirs de Viandargh; Collier du Valet Veinard; Alliance Gloursonne; Gant du Valet Veinard; Bouclier du Stalak; Menoture; Casque des égarés; Cape Indescriptible; Palmes Trithons; Dofus Abyssal; Dofus Émeraude; Remueur; Cascadeur majeur; Carapace Eau majeur; Muldo Doré et Ebène</t>
        </is>
      </c>
    </row>
    <row r="6682">
      <c r="A6682" t="inlineStr">
        <is>
          <t>bnbnb</t>
        </is>
      </c>
      <c r="B6682">
        <f>HYPERLINK("https://www.dofusbook.net/fr/equipement/598784-bnbnb/objets", "link")</f>
        <v/>
      </c>
      <c r="C6682" t="n">
        <v>4</v>
      </c>
      <c r="D6682" t="inlineStr">
        <is>
          <t>Baguette Range; Amulette du Strigide; Alliance Gloursonne; Anneau Tique; Quatre-feuilles; Ceintacé; Le Dorado; Dofusteuse; Bottes du Strigide; Dofus Pourpre; Dofus Turquoise; Dofus Nébuleux; Vigoureux majeur; Nomade; Remueur; Kramkram</t>
        </is>
      </c>
    </row>
    <row r="6683">
      <c r="A6683" t="inlineStr">
        <is>
          <t>cracra</t>
        </is>
      </c>
      <c r="B6683">
        <f>HYPERLINK("https://www.dofusbook.net/fr/equipement/598689-cracra/objets", "link")</f>
        <v/>
      </c>
      <c r="C6683" t="n">
        <v>7</v>
      </c>
      <c r="D6683" t="inlineStr">
        <is>
          <t>Sabres d'Atcham; Amulette du Strigide; Alliance Gloursonne; Anneau Tique; Ceinture du Strigide; Le Dorado; Cape d'Atcham; Sandales  d'Atcham; Dofus Nébuleux; Dofus Ocre; Dofus des Glaces; Dofus Pourpre; Dolmanax; Dofus Turquoise; Muldo Indigo et Orchidée</t>
        </is>
      </c>
    </row>
    <row r="6684">
      <c r="A6684" t="inlineStr">
        <is>
          <t>lll</t>
        </is>
      </c>
      <c r="B6684">
        <f>HYPERLINK("https://www.dofusbook.net/fr/equipement/409863-lll/objets", "link")</f>
        <v/>
      </c>
      <c r="C6684" t="n">
        <v>0</v>
      </c>
      <c r="D6684" t="inlineStr">
        <is>
          <t>Hache du Chalœil; Amulette du Strigide; Bague Trithon; Alliance Gloursonne; Bouclier d'Ilyzaelle; Ceintacé; Chapeau de Gein; Voile d'encre; Bottes du Strigide; Dofus Turquoise; Dofus Émeraude; Dolmanax; Dofus Pourpre; Remueur; Vigoureux majeur; Muldo Orchidée et Pourpre</t>
        </is>
      </c>
    </row>
    <row r="6685">
      <c r="A6685" t="inlineStr">
        <is>
          <t>Stuff 3</t>
        </is>
      </c>
      <c r="B6685">
        <f>HYPERLINK("https://www.dofusbook.net/fr/equipement/382472-stuff-3/objets", "link")</f>
        <v/>
      </c>
      <c r="C6685" t="n">
        <v>2</v>
      </c>
      <c r="D6685" t="inlineStr">
        <is>
          <t>Hache Ériphe; Amulette du Kamasterisk; Alliance Gloursonne; Anneau des égarés; Bouclier d'Ilyzaelle; Ceinture de la Reine des Voleurs; Coiffe de la Reine des Voleurs; Cape de Nevark; Baleinabottes; Dolmanax; Dofus Pourpre; Remueur; Vigoureux majeur; Carapace Air majeur; Nomade; Kramkram</t>
        </is>
      </c>
    </row>
    <row r="6686">
      <c r="A6686" t="inlineStr">
        <is>
          <t>Stuff 2</t>
        </is>
      </c>
      <c r="B6686">
        <f>HYPERLINK("https://www.dofusbook.net/fr/equipement/382471-stuff-2/objets", "link")</f>
        <v/>
      </c>
      <c r="C6686" t="n">
        <v>1</v>
      </c>
      <c r="D6686" t="inlineStr">
        <is>
          <t>Hache Ériphe; Amulette du Kamasterisk; Anneau des égarés; Alliance Gloursonne; Bouclier d'Ilyzaelle; Ceintouse; Casque des égarés; Cape de Nevark; Baleinabottes; Dofus Nébuleux; Dofus Pourpre; Vigoureux majeur; Remueur; Nomade; Carapace Terre majeur; Kramkram</t>
        </is>
      </c>
    </row>
    <row r="6687">
      <c r="A6687" t="inlineStr">
        <is>
          <t>Iop F 200</t>
        </is>
      </c>
      <c r="B6687">
        <f>HYPERLINK("https://www.dofusbook.net/fr/equipement/5067544-iop-f-200/objets", "link")</f>
        <v/>
      </c>
      <c r="C6687" t="n">
        <v>2</v>
      </c>
      <c r="D6687" t="inlineStr">
        <is>
          <t>Marteau des égarés; Amulette Volkorne; Anneau Volkorne; Bague Trithon; Bouclier du Captain Amakna; Ceinture Volkorne; Masque Trithon; Bravoure de Rykke Errel; Bottes Trithon; Dofus Ivoire; Dofus Ocre; Dofus Pourpre; Dofus Ébène; Dofus Turquoise; Dofus des Glaces; Kokulte</t>
        </is>
      </c>
    </row>
    <row r="6688">
      <c r="A6688" t="inlineStr">
        <is>
          <t>Vit</t>
        </is>
      </c>
      <c r="B6688">
        <f>HYPERLINK("https://www.dofusbook.net/fr/equipement/4775367-vit/objets", "link")</f>
        <v/>
      </c>
      <c r="C6688" t="n">
        <v>2</v>
      </c>
      <c r="D6688" t="inlineStr">
        <is>
          <t>Rouleau à Pâtisserie d'Aermyne; Collier Rophante; Anneauræus; Bague Trithon; Carapar; Ceintacé; Masque d'Anerice; Cape d'Anerice; Bottes Innommables; Dofus Ivoire; Dofus Émeraude; Miraculé; Miraculé majeur; Remueur; Survivant majeur; Gupin</t>
        </is>
      </c>
    </row>
    <row r="6689">
      <c r="A6689" t="inlineStr">
        <is>
          <t>Iop M 200</t>
        </is>
      </c>
      <c r="B6689">
        <f>HYPERLINK("https://www.dofusbook.net/fr/equipement/4458304-iop-m-200/objets", "link")</f>
        <v/>
      </c>
      <c r="C6689" t="n">
        <v>4</v>
      </c>
      <c r="D6689" t="inlineStr">
        <is>
          <t>Hache Téroïde; Amulette Volkorne; Chevalière du Roi Joueur; Bague Gloursonne; Bouclier du Captain Amakna; Ceinture Volkorne; Couronne du Roi Joueur; Cape au Logis; Bottes du Roi Joueur; Dofus Turquoise; Dofus Ivoire; Dofus Abyssal; Dofus Ocre; Dofus des Glaces; Dofus Pourpre; Kokulte</t>
        </is>
      </c>
    </row>
    <row r="6690">
      <c r="A6690" t="inlineStr">
        <is>
          <t>Multi dano</t>
        </is>
      </c>
      <c r="B6690">
        <f>HYPERLINK("https://www.dofusbook.net/fr/equipement/3635068-multi-dano/objets", "link")</f>
        <v/>
      </c>
      <c r="C6690" t="n">
        <v>33</v>
      </c>
      <c r="D6690" t="inlineStr">
        <is>
          <t>Sabres d'Atcham; Amulette Volkorne; Bracelet du Piloztère; Anneau Volkorne; Bouclier du Captain Amakna; Ceinture du Strigide; Casque Volkorne; Cape d'Atcham; Sandales  d'Atcham; Dofus des Glaces; Dofus Turquoise; Dolmanax; Dofus Ocre; Dofus Nébuleux; Dofus Pourpre; Kokulte</t>
        </is>
      </c>
    </row>
    <row r="6691">
      <c r="A6691" t="inlineStr">
        <is>
          <t>Ful Chance</t>
        </is>
      </c>
      <c r="B6691">
        <f>HYPERLINK("https://www.dofusbook.net/fr/equipement/3921715-ful-chance/objets", "link")</f>
        <v/>
      </c>
      <c r="C6691" t="n">
        <v>2</v>
      </c>
      <c r="D6691" t="inlineStr">
        <is>
          <t>Pelle Fik; Amulette du Strigide; Alliance Gloursonne; Bague Gloursonne; Bouclier du Captain Amakna; Ceinture du Strigide; Némès de Tal Kasha; Chevelure de Tal Kasha; Sandales de Tal Kasha; Dofus Ivoire; Dofus Pourpre; Dofus des Glaces; Dofus Ocre; Dofus Turquoise; Voyageur; Kokulte</t>
        </is>
      </c>
    </row>
    <row r="6692">
      <c r="A6692" t="inlineStr">
        <is>
          <t>Força Agi</t>
        </is>
      </c>
      <c r="B6692">
        <f>HYPERLINK("https://www.dofusbook.net/fr/equipement/3731896-forca-agi/objets", "link")</f>
        <v/>
      </c>
      <c r="C6692" t="n">
        <v>0</v>
      </c>
      <c r="D6692" t="inlineStr">
        <is>
          <t>Epée Gloursonne; Amulette du Kamasterisk; Bague Gloursonne; Alliance Gloursonne; Bouclier d'Ilyzaelle; Ceinture de la Reine des Voleurs; Coiffe de la Reine des Voleurs; Cape du Kamasterisk; Bottes du Kamasterisk; Dofus Abyssal; Dofus Ocre; Dofus des Glaces; Dofus Pourpre; Dofus Turquoise; Dofus Ivoire; Muldo Ebène et Orchidée</t>
        </is>
      </c>
    </row>
    <row r="6693">
      <c r="A6693" t="inlineStr">
        <is>
          <t>Eniripsa F 200</t>
        </is>
      </c>
      <c r="B6693">
        <f>HYPERLINK("https://www.dofusbook.net/fr/equipement/3644693-eniripsa-f-200/objets", "link")</f>
        <v/>
      </c>
      <c r="C6693" t="n">
        <v>3</v>
      </c>
      <c r="D6693" t="inlineStr">
        <is>
          <t>Sabres d'Atcham; Amulette du Strigide; Anneau de Padgref; Alliance Gloursonne; Bouclier du Captain Amakna; Ceinture du Strigide; Coiffe de Padgref; Cape d'Atcham; Getas de Padgref; Dolmanax; Dofus des Glaces; Dofus Pourpre; Dofus Nébuleux; Dofus Turquoise; Dofus Ocre; Muldo Prune et Doré</t>
        </is>
      </c>
    </row>
    <row r="6694">
      <c r="A6694" t="inlineStr">
        <is>
          <t>Agi</t>
        </is>
      </c>
      <c r="B6694">
        <f>HYPERLINK("https://www.dofusbook.net/fr/equipement/3241854-agi/objets", "link")</f>
        <v/>
      </c>
      <c r="C6694" t="n">
        <v>4</v>
      </c>
      <c r="D6694" t="inlineStr">
        <is>
          <t>Manthache; Collier du Valet Veinard; Gant du Valet Veinard; Anneau d'Allister; Quatre-feuilles; Ceinture Billonnante; Couronne d'Allister; Cape du Valet Veinard; Bottes d'Allister; Dofus Ivoire; Dofus Pourpre; Dofus des Glaces; Dofus Ocre; Dofus Abyssal; Précurseur majeur; Muldo Doré et Amande</t>
        </is>
      </c>
    </row>
    <row r="6695">
      <c r="A6695" t="inlineStr">
        <is>
          <t>Multi</t>
        </is>
      </c>
      <c r="B6695">
        <f>HYPERLINK("https://www.dofusbook.net/fr/equipement/3241844-multi/objets", "link")</f>
        <v/>
      </c>
      <c r="C6695" t="n">
        <v>5</v>
      </c>
      <c r="D6695" t="inlineStr">
        <is>
          <t>Epée Gloursonne; Amulette de l'Indicible; Bague Gloursonne; Alliance Gloursonne; Quatre-feuilles; Ceinture de l'Indicible; Capuche de l'Œil Putride; Cape de l'Œil Putride; Bottes de l'Indicible; Dofus Ocre; Dofus des Glaces; Dofus Turquoise; Dofus Émeraude; Dofus Pourpre; Dofus Abyssal; Muldo Roux et Amande</t>
        </is>
      </c>
    </row>
    <row r="6696">
      <c r="A6696" t="inlineStr">
        <is>
          <t>Str/Cha</t>
        </is>
      </c>
      <c r="B6696">
        <f>HYPERLINK("https://www.dofusbook.net/fr/equipement/3241829-str-cha/objets", "link")</f>
        <v/>
      </c>
      <c r="C6696" t="n">
        <v>2</v>
      </c>
      <c r="D6696" t="inlineStr">
        <is>
          <t>Dagues de Srambad; Amulette Luminescente; Pikano; Alliance du Lévitrof; Bouclier cubiste; Ceinture Luminescente; Casquipik; Cape Luminescente; Pikottes; Dofus Ocre; Dofus Abyssal; Dolmanax; Dofus des Glaces; Ralentisseur majeur; Entraveur majeur; Muldo Indigo et Pourpre</t>
        </is>
      </c>
    </row>
    <row r="6697">
      <c r="A6697" t="inlineStr">
        <is>
          <t>Multi/Crit</t>
        </is>
      </c>
      <c r="B6697">
        <f>HYPERLINK("https://www.dofusbook.net/fr/equipement/3240863-multi-crit/objets", "link")</f>
        <v/>
      </c>
      <c r="C6697" t="n">
        <v>5</v>
      </c>
      <c r="D6697" t="inlineStr">
        <is>
          <t>Epée Gloursonne; Amulette du Strigide; Bague Gloursonne; Alliance Gloursonne; Quatre-feuilles; Ceinture du Strigide; Némès de Tal Kasha; Chevelure de Tal Kasha; Sandales de Tal Kasha; Dofus Abyssal; Dofus Ocre; Dofus Nébuleux; Dofus Pourpre; Dofus Turquoise; Dofus des Glaces; Muldo Prune et Emeraude</t>
        </is>
      </c>
    </row>
    <row r="6698">
      <c r="A6698" t="inlineStr">
        <is>
          <t>INT/cura</t>
        </is>
      </c>
      <c r="B6698">
        <f>HYPERLINK("https://www.dofusbook.net/fr/equipement/3240824-int-cura/objets", "link")</f>
        <v/>
      </c>
      <c r="C6698" t="n">
        <v>0</v>
      </c>
      <c r="D6698" t="inlineStr">
        <is>
          <t>Arc corrompu; Pendentif affamé; Lavanneau; Anneau Rifique; Bouclier du Cycloïde; Ceinture Séculaire; Coiffe Séculaire; Cape de Diondin; Bottes Innommables; Dofus des Glaces; Dofus Abyssal; Dofus Ocre; Dofus Turquoise; Guérisseur majeur; Érudit majeur; Muldo Indigo et Orchidée</t>
        </is>
      </c>
    </row>
    <row r="6699">
      <c r="A6699" t="inlineStr">
        <is>
          <t>Full int</t>
        </is>
      </c>
      <c r="B6699">
        <f>HYPERLINK("https://www.dofusbook.net/fr/equipement/1897780-full-int/objets", "link")</f>
        <v/>
      </c>
      <c r="C6699" t="n">
        <v>2</v>
      </c>
      <c r="D6699" t="inlineStr">
        <is>
          <t>Arc Hétype; Pendentif affamé; Anneau Tamie; Anneau Tamie; Bouclier du Stalak; Ceinture Séculaire; Coiffe Séculaire; Cape de Diondin; Bottes Innommables; Dofus des Glaces; Dokoko; Dofus Abyssal; Dofus Ocre; Érudit majeur; Nomade; Brûlih</t>
        </is>
      </c>
    </row>
    <row r="6700">
      <c r="A6700" t="inlineStr">
        <is>
          <t>air RET PM</t>
        </is>
      </c>
      <c r="B6700">
        <f>HYPERLINK("https://www.dofusbook.net/fr/equipement/5914964-air-ret-pm/objets", "link")</f>
        <v/>
      </c>
      <c r="C6700" t="n">
        <v>4</v>
      </c>
      <c r="D6700" t="inlineStr">
        <is>
          <t>Hachoirs de Viandargh; Collier du Valet Veinard; Alliance Gloursonne; Gant du Valet Veinard; Bouclier du Stalak; Menoture; Chapibou; Cape de Léthaline; Palmes Trithons; Dofus des Glaces; Dofus Abyssal; Dokoko; Dofus Ivoire; Cascadeur majeur; Temporiseur majeur; Kougnard</t>
        </is>
      </c>
    </row>
    <row r="6701">
      <c r="A6701" t="inlineStr">
        <is>
          <t>Air full roxx PVM</t>
        </is>
      </c>
      <c r="B6701">
        <f>HYPERLINK("https://www.dofusbook.net/fr/equipement/5915126-air-full-roxx-pvm/objets", "link")</f>
        <v/>
      </c>
      <c r="C6701" t="n">
        <v>0</v>
      </c>
      <c r="D6701" t="inlineStr">
        <is>
          <t>Arc de Koutoulou; Amulette d'Ilyzaelle; Alliance Gloursonne; Gant du Valet Veinard; Bouclier du Stalak; Menoture; Casque d'Ilyzaelle; Voilamibe; Palmes Trithons; Dofus Pourpre; Dofus des Glaces; Saccageur Air majeur; Cascadeur majeur; Dévastateur Air majeur; Remueur; Dragodinde Ebène et Ivoire</t>
        </is>
      </c>
    </row>
    <row r="6702">
      <c r="A6702" t="inlineStr">
        <is>
          <t>Eau pauvre ret PA</t>
        </is>
      </c>
      <c r="B6702">
        <f>HYPERLINK("https://www.dofusbook.net/fr/equipement/5915205-eau-pauvre-ret-pa/objets", "link")</f>
        <v/>
      </c>
      <c r="C6702" t="n">
        <v>1</v>
      </c>
      <c r="D6702" t="inlineStr">
        <is>
          <t>Arc de Koutoulou; Amulette d'Ilyzaelle; Anneau du Professeur Xa; Alliance Gloursonne; Bouclier du Stalak; Poulpagne; Casque d'Ilyzaelle; Cape de Mantaze; Bottes du Nocturlabe; Dofus Ivoire; Dofus des Glaces; Dofus Abyssal; Dokoko; Étourdisseur majeur; Kougnard</t>
        </is>
      </c>
    </row>
    <row r="6703">
      <c r="A6703" t="inlineStr">
        <is>
          <t>Roub DOPOU</t>
        </is>
      </c>
      <c r="B6703">
        <f>HYPERLINK("https://www.dofusbook.net/fr/equipement/5980925-roub-dopou/objets", "link")</f>
        <v/>
      </c>
      <c r="C6703" t="n">
        <v>0</v>
      </c>
      <c r="D6703" t="inlineStr">
        <is>
          <t>Héqache; Torquistik; Bague Instable; Bague Trithon; Bouclier précieux; Ceinture Gence; Masque Paztek; Cape Solution; Bottistik; Dofus Ivoire; Dofus Abyssal; Dokoko; Dofus Émeraude; Culbuteur majeur; Pousseur majeur; Balafreux</t>
        </is>
      </c>
    </row>
    <row r="6704">
      <c r="A6704" t="inlineStr">
        <is>
          <t>eau RET PA</t>
        </is>
      </c>
      <c r="B6704">
        <f>HYPERLINK("https://www.dofusbook.net/fr/equipement/5914685-eau-ret-pa/objets", "link")</f>
        <v/>
      </c>
      <c r="C6704" t="n">
        <v>2</v>
      </c>
      <c r="D6704" t="inlineStr">
        <is>
          <t>Dagoulinantes; Amulette de Shokkoth; Anneau du Professeur Xa; Alliance Gloursonne; Bouclier du Stalak; Culotte de Bethel; Masque de Funespadon; Cape d'Atcham; Pataugastrique; Dofus Abyssal; Dokoko; Dofus Ivoire; Dofus des Glaces; Étourdisseur majeur; Chanceux majeur; Kougnard</t>
        </is>
      </c>
    </row>
    <row r="6705">
      <c r="A6705" t="inlineStr">
        <is>
          <t>Steamer do crit</t>
        </is>
      </c>
      <c r="B6705">
        <f>HYPERLINK("https://www.dofusbook.net/fr/equipement/5979588-steamer-do-crit/objets", "link")</f>
        <v/>
      </c>
      <c r="C6705" t="n">
        <v>0</v>
      </c>
      <c r="D6705" t="inlineStr">
        <is>
          <t>Baguette de Torkélonia; Amulette du Strigide; Crocanneau; Anneau de Padgref; Quatre-feuilles; Ceinture du Strigide; Coiffe de Padgref; Pèlerine d'Augilol; Getas de Padgref; Dofus des Glaces; Dofus Ivoire; Dolmanax; Dofus Abyssal; Dofus Turquoise; Dofus Ébène; Sakochère</t>
        </is>
      </c>
    </row>
    <row r="6706">
      <c r="A6706" t="inlineStr">
        <is>
          <t>énu eau</t>
        </is>
      </c>
      <c r="B6706">
        <f>HYPERLINK("https://www.dofusbook.net/fr/equipement/5978303-enu-eau/objets", "link")</f>
        <v/>
      </c>
      <c r="C6706" t="n">
        <v>0</v>
      </c>
      <c r="D6706" t="inlineStr">
        <is>
          <t>Arc de Koutoulou; Amulette d'Ilyzaelle; Anneau du Professeur Xa; Alliance Gloursonne; Bouclier du Stalak; Poulpagne; Casque d'Ilyzaelle; Cape de Mantaze; Bottes du Nocturlabe; Dofus des Glaces; Dofus Pourpre; Dévastateur Eau majeur; Chanceux majeur</t>
        </is>
      </c>
    </row>
    <row r="6707">
      <c r="A6707" t="inlineStr">
        <is>
          <t>Retrait</t>
        </is>
      </c>
      <c r="B6707">
        <f>HYPERLINK("https://www.dofusbook.net/fr/equipement/5940363-retrait/objets", "link")</f>
        <v/>
      </c>
      <c r="C6707" t="n">
        <v>1</v>
      </c>
      <c r="D6707" t="inlineStr">
        <is>
          <t>Lav'Hache; Amulette du Strigide; Alliance Gloursonne; Anneau Crustique; Sept ans de malheur; Ceintouse; Masque de Koutoulou; Cape de la Cour Sombre; Tentassons; Dofus Émeraude; Dofus Ivoire; Miraculé majeur; Étourdisseur majeur; Enragé majeur; Remueur; Muldo Roux et Indigo</t>
        </is>
      </c>
    </row>
    <row r="6708">
      <c r="A6708" t="inlineStr">
        <is>
          <t>outil atelier</t>
        </is>
      </c>
      <c r="B6708">
        <f>HYPERLINK("https://www.dofusbook.net/fr/equipement/5942865-outil-atelier/objets", "link")</f>
        <v/>
      </c>
      <c r="C6708" t="n">
        <v>0</v>
      </c>
      <c r="D6708" t="inlineStr"/>
    </row>
    <row r="6709">
      <c r="A6709" t="inlineStr">
        <is>
          <t>eau prospection 200</t>
        </is>
      </c>
      <c r="B6709">
        <f>HYPERLINK("https://www.dofusbook.net/fr/equipement/5355179-eau-prospection-200/objets", "link")</f>
        <v/>
      </c>
      <c r="C6709" t="n">
        <v>7</v>
      </c>
      <c r="D6709" t="inlineStr">
        <is>
          <t>Arc de Koutoulou; Amulette d'Ilyzaelle; Alliance Gloursonne; Anneau du Professeur Xa; Bouclier du Stalak; Poulpagne; Casque d'Ilyzaelle; Cape de Mantaze; Bottes du Nocturlabe; Dofus Kaliptus; Dofus des Glaces; Dofus Pourpre; Chanceux majeur; Dévastateur Eau majeur; Remueur; Vilain Petit Corbac</t>
        </is>
      </c>
    </row>
    <row r="6710">
      <c r="A6710" t="inlineStr">
        <is>
          <t>feca</t>
        </is>
      </c>
      <c r="B6710">
        <f>HYPERLINK("https://www.dofusbook.net/fr/equipement/5919912-feca/objets", "link")</f>
        <v/>
      </c>
      <c r="C6710" t="n">
        <v>0</v>
      </c>
      <c r="D6710" t="inlineStr">
        <is>
          <t>Arc de Koutoulou; Amulette d'Ilyzaelle; Anneau du Professeur Xa; Alliance Gloursonne; Cadran d'Air; Poulpagne; Casque d'Ilyzaelle; Cape Solution; Bottes du Nocturlabe; Dofus Kaliptus; Dofus Émeraude; Taquin majeur; Remueur; Chanceux majeur; Joueur majeur; Vilain Petit Corbac</t>
        </is>
      </c>
    </row>
    <row r="6711">
      <c r="A6711" t="inlineStr">
        <is>
          <t>Air pauvre ret PM</t>
        </is>
      </c>
      <c r="B6711">
        <f>HYPERLINK("https://www.dofusbook.net/fr/equipement/5915170-air-pauvre-ret-pm/objets", "link")</f>
        <v/>
      </c>
      <c r="C6711" t="n">
        <v>0</v>
      </c>
      <c r="D6711" t="inlineStr">
        <is>
          <t>Arc de Koutoulou; Amulette d'Ilyzaelle; Alliance Gloursonne; Gant du Valet Veinard; Bouclier du Stalak; Menoture; Casque d'Ilyzaelle; Voilamibe; Palmes Trithons; Dofus des Glaces; Dofus Ébène; Dofus Ivoire; Dofus Abyssal; Temporiseur majeur; Entraveur majeur; Kougnard</t>
        </is>
      </c>
    </row>
    <row r="6712">
      <c r="A6712" t="inlineStr">
        <is>
          <t>Pp essai</t>
        </is>
      </c>
      <c r="B6712">
        <f>HYPERLINK("https://www.dofusbook.net/fr/equipement/5915165-pp-essai/objets", "link")</f>
        <v/>
      </c>
      <c r="C6712" t="n">
        <v>3</v>
      </c>
      <c r="D6712" t="inlineStr">
        <is>
          <t>Arc de Koutoulou; Collier du Valet Veinard; Gant du Valet Veinard; Alliance Gloursonne; Cadran d'Air; Pagne du Soryo Givrefoux; Couronne d'Allister; Cape Matelassée; Palmes Trithons; Dofus des Glaces; Dofus Kaliptus; Cascadeur majeur; Nomade; Dévastateur Air majeur; Remueur; Nomoon</t>
        </is>
      </c>
    </row>
    <row r="6713">
      <c r="A6713" t="inlineStr">
        <is>
          <t>Pp actuel</t>
        </is>
      </c>
      <c r="B6713">
        <f>HYPERLINK("https://www.dofusbook.net/fr/equipement/5804399-pp-actuel/objets", "link")</f>
        <v/>
      </c>
      <c r="C6713" t="n">
        <v>1</v>
      </c>
      <c r="D6713" t="inlineStr">
        <is>
          <t>Manthache; Collier du Valet Veinard; Alliance Gloursonne; Gant du Valet Veinard; Cadran d'Air; Menoture; Couronne d'Allister; Cape Indescriptible; Palmes Trithons; Dofus des Glaces; Dofus Kaliptus; Dévastateur Air majeur; Remueur; Cascadeur majeur; Nomade; Nomoon</t>
        </is>
      </c>
    </row>
    <row r="6714">
      <c r="A6714" t="inlineStr">
        <is>
          <t>eau full roxx PVM</t>
        </is>
      </c>
      <c r="B6714">
        <f>HYPERLINK("https://www.dofusbook.net/fr/equipement/5915106-eau-full-roxx-pvm/objets", "link")</f>
        <v/>
      </c>
      <c r="C6714" t="n">
        <v>0</v>
      </c>
      <c r="D6714" t="inlineStr">
        <is>
          <t>Arc de Koutoulou; Amulette d'Ilyzaelle; Anneau du Professeur Xa; Alliance Gloursonne; Bouclier du Stalak; Poulpagne; Casque d'Ilyzaelle; Cape de Mantaze; Bottes du Nocturlabe; Dofus Pourpre; Dofus des Glaces; Saccageur Eau majeur; Chanceux majeur; Dévastateur Eau majeur; Remueur; Dragodinde Indigo et Ivoire</t>
        </is>
      </c>
    </row>
    <row r="6715">
      <c r="A6715" t="inlineStr">
        <is>
          <t>Pp test</t>
        </is>
      </c>
      <c r="B6715">
        <f>HYPERLINK("https://www.dofusbook.net/fr/equipement/5903726-pp-test/objets", "link")</f>
        <v/>
      </c>
      <c r="C6715" t="n">
        <v>0</v>
      </c>
      <c r="D6715" t="inlineStr">
        <is>
          <t>Arc de Koutoulou; Amulette d'Ilyzaelle; Alliance Gloursonne; Gant du Valet Veinard; Cadran d'Air; Pagne du Soryo Givrefoux; Casque d'Ilyzaelle; Cape Matelassée; Palmes Trithons; Dofus Kaliptus; Dofus des Glaces; Cascadeur majeur; Remueur; Chanceux majeur; Nomade; Nomoon</t>
        </is>
      </c>
    </row>
    <row r="6716">
      <c r="A6716" t="inlineStr">
        <is>
          <t>Prostatus-prospectus</t>
        </is>
      </c>
      <c r="B6716">
        <f>HYPERLINK("https://www.dofusbook.net/fr/equipement/5891990-prostatus-prospectus/objets", "link")</f>
        <v/>
      </c>
      <c r="C6716" t="n">
        <v>0</v>
      </c>
      <c r="D6716" t="inlineStr">
        <is>
          <t>Hache du Korriandre; Collier du Valet Veinard; Gant du Valet Veinard; Alliance Gloursonne; Cadran d'Air; Menoture; Masque de Klime; Cape Martegel; Bottes du Kamasterisk; Dofus des Glaces; Dofus Kaliptus; Cascadeur majeur; Remueur; Dévastateur Air majeur; Nomade; Nomoon</t>
        </is>
      </c>
    </row>
    <row r="6717">
      <c r="A6717" t="inlineStr">
        <is>
          <t>air pvm</t>
        </is>
      </c>
      <c r="B6717">
        <f>HYPERLINK("https://www.dofusbook.net/fr/equipement/5685449-air-pvm/objets", "link")</f>
        <v/>
      </c>
      <c r="C6717" t="n">
        <v>2</v>
      </c>
      <c r="D6717" t="inlineStr">
        <is>
          <t>Hache du Korriandre; Amulette d'Ilyzaelle; Alliance Gloursonne; Gant du Valet Veinard; Bouclier du Stalak; Menoture; Casque d'Ilyzaelle; Cape Indescriptible; Palmes Trithons; Dofus des Glaces; Dofus Pourpre; Dofus Kaliptus; Nomade; Remueur; Cascadeur majeur; Nomoon</t>
        </is>
      </c>
    </row>
    <row r="6718">
      <c r="A6718" t="inlineStr">
        <is>
          <t>Feu pvm</t>
        </is>
      </c>
      <c r="B6718">
        <f>HYPERLINK("https://www.dofusbook.net/fr/equipement/5461129-feu-pvm/objets", "link")</f>
        <v/>
      </c>
      <c r="C6718" t="n">
        <v>0</v>
      </c>
      <c r="D6718" t="inlineStr">
        <is>
          <t>Arc corrompu; Pendentif mignon de Koutoulou; Anneau Tamie; Anneau Tamie; Bouclier du Stalak; Ceinture de l'Esprit Malsain; Casque Cyclopéen; Cape de Diondin; Bottes Innommables; Dofus des Glaces; Dofus Pourpre; Dofus Kaliptus; Nomade; Remueur; Érudit majeur; Vilain Petit Corbac</t>
        </is>
      </c>
    </row>
    <row r="6719">
      <c r="A6719" t="inlineStr">
        <is>
          <t>PL baleine</t>
        </is>
      </c>
      <c r="B6719">
        <f>HYPERLINK("https://www.dofusbook.net/fr/equipement/5518667-pl--baleine/objets", "link")</f>
        <v/>
      </c>
      <c r="C6719" t="n">
        <v>0</v>
      </c>
      <c r="D6719" t="inlineStr">
        <is>
          <t>Dagues Érhy; Amulette du Cycloïde; Anneau Rifique; Kralano; Droiture de Fallanster; Ceintacé; Casque Cyclopéen; Cape Parition; Pantoufles Émar; Dofus Vulbis; Dofus Abyssal; Dofus Émeraude; Dofus Pourpre; Dofus Ivoire; Vigoureux majeur; Willy le Relou</t>
        </is>
      </c>
    </row>
    <row r="6720">
      <c r="A6720" t="inlineStr">
        <is>
          <t>Moneau</t>
        </is>
      </c>
      <c r="B6720">
        <f>HYPERLINK("https://www.dofusbook.net/fr/equipement/5379202-moneau/objets", "link")</f>
        <v/>
      </c>
      <c r="C6720" t="n">
        <v>6</v>
      </c>
      <c r="D6720" t="inlineStr">
        <is>
          <t>Rapière aux Glyphes; Amulette du Sinistrofu; Anneau Glacial; Alliance Gloursonne; Bouclier du Stalak; Poulpagne; Kidibonnet; Cape Solution; Bottes du Nocturlabe; Dofus Kaliptus; Taquin majeur; Nomade; Joueur majeur; Observateur; Chanceux majeur; Nomoon</t>
        </is>
      </c>
    </row>
    <row r="6721">
      <c r="A6721" t="inlineStr">
        <is>
          <t>eau feu docrit</t>
        </is>
      </c>
      <c r="B6721">
        <f>HYPERLINK("https://www.dofusbook.net/fr/equipement/5357577-eau-feu-docrit/objets", "link")</f>
        <v/>
      </c>
      <c r="C6721" t="n">
        <v>6</v>
      </c>
      <c r="D6721" t="inlineStr">
        <is>
          <t>Sabres d'Atcham; Amulette du Strigide; Anneau Toriété; Anneau de Padgref; Bouclier du Captain Amakna; Ceinture du Strigide; Coiffe de Padgref; Cape d'Atcham; Getas de Padgref; Dofus Émeraude; Dofus Ébène; Dofus Ocre; Dofus Ivoire; Dofus Turquoise; Dofus Pourpre; Chacha Angora</t>
        </is>
      </c>
    </row>
    <row r="6722">
      <c r="A6722" t="inlineStr">
        <is>
          <t>terre pvp</t>
        </is>
      </c>
      <c r="B6722">
        <f>HYPERLINK("https://www.dofusbook.net/fr/equipement/5362543-terre-pvp/objets", "link")</f>
        <v/>
      </c>
      <c r="C6722" t="n">
        <v>2</v>
      </c>
      <c r="D6722" t="inlineStr">
        <is>
          <t>Arc du Chalœil; Collier de Tourthon; Anneau de Brouce; Bague Gloursonne; Bouclier du Stalak; Ceinture Volkorne; Masque de Koutoulou; Cape de la Cour Sombre; Bottes de la Cour Sombre; Dofus Ivoire; Dofus Ébène; Dofus Vulbis; Dofus Abyssal; Dofus Ocre; Dokoko; Bulbisou</t>
        </is>
      </c>
    </row>
    <row r="6723">
      <c r="A6723" t="inlineStr">
        <is>
          <t>feu 200 11-6</t>
        </is>
      </c>
      <c r="B6723">
        <f>HYPERLINK("https://www.dofusbook.net/fr/equipement/5289523-feu-200-11-6/objets", "link")</f>
        <v/>
      </c>
      <c r="C6723" t="n">
        <v>0</v>
      </c>
      <c r="D6723" t="inlineStr">
        <is>
          <t>Arc corrompu; Talisman Igans; Anneau Tamie; Anneau Tamie; Bouclier du Stalak; Ceintrigue; Heaume Oplate; Cape de Diondin; Bottes Innommables; Dofus Vulbis; Dofus des Glaces; Érudit majeur; Astucieux majeur; Dévastateur Feu majeur; Saccageur Feu majeur; Bisouglours</t>
        </is>
      </c>
    </row>
    <row r="6724">
      <c r="A6724" t="inlineStr">
        <is>
          <t>air 200 - 12-6</t>
        </is>
      </c>
      <c r="B6724">
        <f>HYPERLINK("https://www.dofusbook.net/fr/equipement/5288370-air-200---12-6/objets", "link")</f>
        <v/>
      </c>
      <c r="C6724" t="n">
        <v>0</v>
      </c>
      <c r="D6724" t="inlineStr">
        <is>
          <t>Manthache; Collier du Valet Veinard; Anneau d'Allister; Gant du Valet Veinard; Bouclier du Stalak; Ceinture de Nevark; Couronne d'Allister; Cape du Valet Veinard; Bottes d'Allister; Dofus des Glaces; Dofus Ocre; Dofus Pourpre; Dofus Ébène; Dofus Vulbis; Saccageur Air majeur; Blérodoudou</t>
        </is>
      </c>
    </row>
    <row r="6725">
      <c r="A6725" t="inlineStr">
        <is>
          <t>feu 200 - 12-6</t>
        </is>
      </c>
      <c r="B6725">
        <f>HYPERLINK("https://www.dofusbook.net/fr/equipement/5171428-feu-200---12-6/objets", "link")</f>
        <v/>
      </c>
      <c r="C6725" t="n">
        <v>0</v>
      </c>
      <c r="D6725" t="inlineStr">
        <is>
          <t>Arc corrompu; Amulette Volkorne; Anneau Tamie; Anneau Tamie; Bouclier du Stalak; Ceintrigue; Coiffe du Tynril; Cape Martegel; Bottes Innommables; Dofus Ébène; Dofus Vulbis; Dofus des Glaces; Dofus Ocre; Dofus Pourpre; Remueur; Bisouglours</t>
        </is>
      </c>
    </row>
    <row r="6726">
      <c r="A6726" t="inlineStr">
        <is>
          <t>ti-teck</t>
        </is>
      </c>
      <c r="B6726">
        <f>HYPERLINK("https://www.dofusbook.net/fr/equipement/4430811-ti-teck/objets", "link")</f>
        <v/>
      </c>
      <c r="C6726" t="n">
        <v>1</v>
      </c>
      <c r="D6726" t="inlineStr">
        <is>
          <t>Kralamansion; Anneau Toriété; Anneau Bhli; Quatre-feuilles; Sangle Cible; Coiffe de Robbie Capuche; Cape Hulco; Bottes Deuradi; Dofus Pourpre; Dofus des Glaces; Dofus Turquoise; Dofus Nébuleux; Dofus Abyssal; Dofus Ocre; Dragodinde Prune et Ivoire</t>
        </is>
      </c>
    </row>
    <row r="6727">
      <c r="A6727" t="inlineStr">
        <is>
          <t>pano classe</t>
        </is>
      </c>
      <c r="B6727">
        <f>HYPERLINK("https://www.dofusbook.net/fr/equipement/4396723-pano-classe/objets", "link")</f>
        <v/>
      </c>
      <c r="C6727" t="n">
        <v>5</v>
      </c>
      <c r="D6727" t="inlineStr">
        <is>
          <t>Rouleau à Pâtisserie d'Aermyne; Kralamansion; Bracelet du Piloztère; Anneau Raille; Bouclier du serrurier; Sangle Huée; Chapeau Lithique; Cape Wéra; Getas Bernacle; Dofus Émeraude; Dokoko; Dofus Ocre; Dofus Ivoire; Dofus Abyssal; Voyageur; Kougnard</t>
        </is>
      </c>
    </row>
    <row r="6728">
      <c r="A6728" t="inlineStr">
        <is>
          <t>pvp kero</t>
        </is>
      </c>
      <c r="B6728">
        <f>HYPERLINK("https://www.dofusbook.net/fr/equipement/4389788-pvp-kero/objets", "link")</f>
        <v/>
      </c>
      <c r="C6728" t="n">
        <v>0</v>
      </c>
      <c r="D6728" t="inlineStr">
        <is>
          <t>Talisman Igans; Ceintrigue; Dofus Ocre; Dofus Ébène; Dofus Émeraude; Dofus Ivoire; Dolmanax; Dofus Abyssal; Blokus</t>
        </is>
      </c>
    </row>
    <row r="6729">
      <c r="A6729" t="inlineStr">
        <is>
          <t>mule elevage</t>
        </is>
      </c>
      <c r="B6729">
        <f>HYPERLINK("https://www.dofusbook.net/fr/equipement/4359058-mule-elevage/objets", "link")</f>
        <v/>
      </c>
      <c r="C6729" t="n">
        <v>3</v>
      </c>
      <c r="D6729" t="inlineStr">
        <is>
          <t>Épée d'Otomaï; Amulette d'Otomaï; Anneau Tamie; Anneau Tamie; La Rondelle; Frimature; Masque du Glourséleste; Voile d'encre; Bottes d'Otomaï; Dofus Nébuleux; Saccageur Feu majeur; Robuste majeur; Savant majeur; Astucieux majeur; Turbulent</t>
        </is>
      </c>
    </row>
    <row r="6730">
      <c r="A6730" t="inlineStr">
        <is>
          <t>Tank tacle</t>
        </is>
      </c>
      <c r="B6730">
        <f>HYPERLINK("https://www.dofusbook.net/fr/equipement/4015395-tank-tacle/objets", "link")</f>
        <v/>
      </c>
      <c r="C6730" t="n">
        <v>12</v>
      </c>
      <c r="D6730" t="inlineStr">
        <is>
          <t>Rouleau à Pâtisserie d'Aermyne; Collier Rophante; Bague Trithon; Alliance Gloursonne; Bouclier précieux; Ceinture de Kongoku; Masque d'Anerice; Cape d'Anerice; Pataugastrique; Dofus Abyssal; Dofus Ivoire; Dofus Émeraude; Obstructeur majeur; Miraculé majeur; Remueur; Givrefoux</t>
        </is>
      </c>
    </row>
    <row r="6731">
      <c r="A6731" t="inlineStr">
        <is>
          <t>terre-air sramix</t>
        </is>
      </c>
      <c r="B6731">
        <f>HYPERLINK("https://www.dofusbook.net/fr/equipement/4236981-terre-air-sramix/objets", "link")</f>
        <v/>
      </c>
      <c r="C6731" t="n">
        <v>1</v>
      </c>
      <c r="D6731" t="inlineStr">
        <is>
          <t>Epée Gloursonne; Amulette du Kamasterisk; Alliance Gloursonne; Bague Gloursonne; Bouclier d'Ilyzaelle; Ceinture de la Reine des Voleurs; Coiffe de la Reine des Voleurs; Cape du Kamasterisk; Bottes du Kamasterisk; Dofus Abyssal; Dofus Ivoire; Dofus Émeraude; Dofus des Glaces; Dofus Ocre; Dofus Ébène; Muldo Ebène et Orchidée</t>
        </is>
      </c>
    </row>
    <row r="6732">
      <c r="A6732" t="inlineStr">
        <is>
          <t>feu voile</t>
        </is>
      </c>
      <c r="B6732">
        <f>HYPERLINK("https://www.dofusbook.net/fr/equipement/4076387-feu-voile-/objets", "link")</f>
        <v/>
      </c>
      <c r="C6732" t="n">
        <v>6</v>
      </c>
      <c r="D6732" t="inlineStr">
        <is>
          <t>Arc corrompu; Amulette Volkorne; Anneauræus; Anneauræus; Bouclier du Stalak; Ceinture Volkorne; Casque Cyclopéen; Voile d'encre; Pataugastrique; Dofus Abyssal; Dofus Ivoire; Dofus Ocre; Dofus Ébène; Nomade; Érudit majeur; Dragodinde Prune et Orchidée</t>
        </is>
      </c>
    </row>
    <row r="6733">
      <c r="A6733" t="inlineStr">
        <is>
          <t>sramix2000</t>
        </is>
      </c>
      <c r="B6733">
        <f>HYPERLINK("https://www.dofusbook.net/fr/equipement/3645422-sramix2000/objets", "link")</f>
        <v/>
      </c>
      <c r="C6733" t="n">
        <v>5</v>
      </c>
      <c r="D6733" t="inlineStr">
        <is>
          <t>Arc du Chalœil; Collier de Tourthon; Anneau de Brouce; Bague Gloursonne; Quatre-feuilles; Ceinture Gence; Masque de Koutoulou; Cape au Logis; Bottes de Brouce; Dofus Turquoise; Dofus Abyssal; Dofus Nébuleux; Dofus Pourpre; Enragé majeur; Vigoureux majeur; Bulbisou</t>
        </is>
      </c>
    </row>
    <row r="6734">
      <c r="A6734" t="inlineStr">
        <is>
          <t>Eau feu</t>
        </is>
      </c>
      <c r="B6734">
        <f>HYPERLINK("https://www.dofusbook.net/fr/equipement/4083365-eau-feu/objets", "link")</f>
        <v/>
      </c>
      <c r="C6734" t="n">
        <v>0</v>
      </c>
      <c r="D6734" t="inlineStr">
        <is>
          <t>Massier; Anneau Tique; Anneauræus; Bouclier du Stalak; Ceinture de l'Esprit Malsain; Heaume Oplate; Voile d'encre; Bottes de l'Esprit Malsain; Dofus Pourpre; Dofus Abyssal; Dofus Ivoire; Dofus Ocre</t>
        </is>
      </c>
    </row>
    <row r="6735">
      <c r="A6735" t="inlineStr">
        <is>
          <t>meilleur terre</t>
        </is>
      </c>
      <c r="B6735">
        <f>HYPERLINK("https://www.dofusbook.net/fr/equipement/4144206-meilleur-terre/objets", "link")</f>
        <v/>
      </c>
      <c r="C6735" t="n">
        <v>1</v>
      </c>
      <c r="D6735" t="inlineStr">
        <is>
          <t>Arc du Chalœil; Collier de Tourthon; Anneau Crustique; Anneau Volkorne; Bouclier du Stalak; Ceinture Volkorne; Masque de Koutoulou; Cape au Logis; Bottes du Cœur Saignant; Dokoko; Dofus des Glaces; Dofus Abyssal; Dofus Ivoire; Dofus Ocre; Enragé majeur; Bulbisou</t>
        </is>
      </c>
    </row>
    <row r="6736">
      <c r="A6736" t="inlineStr">
        <is>
          <t>eau roxx</t>
        </is>
      </c>
      <c r="B6736">
        <f>HYPERLINK("https://www.dofusbook.net/fr/equipement/3985029-eau-roxx/objets", "link")</f>
        <v/>
      </c>
      <c r="C6736" t="n">
        <v>11</v>
      </c>
      <c r="D6736" t="inlineStr">
        <is>
          <t>Rapière aux Glyphes; Amulette d'Ilyzaelle; Alliance Gloursonne; Anneau Volkorne; Bouclier cubiste; Poulpagne; Casque d'Ilyzaelle; Voilamibe; Bottes du Sinistrofu; Dofus Pourpre; Dofus Ocre; Chanceux majeur; Ralentisseur majeur; Temporiseur majeur; Entraveur majeur; Gwo Tofu Ventripotent</t>
        </is>
      </c>
    </row>
    <row r="6737">
      <c r="A6737" t="inlineStr">
        <is>
          <t>terre pvm</t>
        </is>
      </c>
      <c r="B6737">
        <f>HYPERLINK("https://www.dofusbook.net/fr/equipement/3442470-terre-pvm/objets", "link")</f>
        <v/>
      </c>
      <c r="C6737" t="n">
        <v>12</v>
      </c>
      <c r="D6737" t="inlineStr">
        <is>
          <t>Arc du Chalœil; Amulette du Cœur Saignant; Anneau Crustique; Anneau Crustique; Quatre-feuilles; Ceinture Volkorne; Casque Volkorne; Cape du Cœur Saignant; Bottes du Cœur Saignant; Dofus des Glaces; Dofus Abyssal; Dofus Pourpre; Dofus Ivoire; Dofus Turquoise; Dofus Ocre; Dragodinde Ivoire et Pourpre</t>
        </is>
      </c>
    </row>
    <row r="6738">
      <c r="A6738" t="inlineStr">
        <is>
          <t>full retrait PM</t>
        </is>
      </c>
      <c r="B6738">
        <f>HYPERLINK("https://www.dofusbook.net/fr/equipement/2621975-full-retrait-pm/objets", "link")</f>
        <v/>
      </c>
      <c r="C6738" t="n">
        <v>5</v>
      </c>
      <c r="D6738" t="inlineStr">
        <is>
          <t>Bâtonnet Ronien; Amulette de Shokkoth; Alliance Gloursonne; Anneau Volkorne; Bouclier cubiste; Sangle Ouare; Casquipik; Cape Solution; Pikottes; Dofus Pourpre; Dofus Ocre; Dofus Abyssal; Temporiseur majeur; Chanceux majeur; Entraveur majeur; Léopardo</t>
        </is>
      </c>
    </row>
    <row r="6739">
      <c r="A6739" t="inlineStr">
        <is>
          <t>eau feu matt</t>
        </is>
      </c>
      <c r="B6739">
        <f>HYPERLINK("https://www.dofusbook.net/fr/equipement/4083728-eau-feu-matt/objets", "link")</f>
        <v/>
      </c>
      <c r="C6739" t="n">
        <v>0</v>
      </c>
      <c r="D6739" t="inlineStr">
        <is>
          <t>Arc Nécrotique; Amulette du Strigide; Bracelet des Fonds marins; Alliance Gloursonne; Quatre-feuilles; Ceinture du Strigide; Casquette de Meno; Voile d'encre; Pataugastrique; Dofus Ocre; Dofus Turquoise; Dofus Émeraude; Dofus Abyssal; Dofus Pourpre; Dofus Ivoire; Kokulte</t>
        </is>
      </c>
    </row>
    <row r="6740">
      <c r="A6740" t="inlineStr">
        <is>
          <t>eau air</t>
        </is>
      </c>
      <c r="B6740">
        <f>HYPERLINK("https://www.dofusbook.net/fr/equipement/4083146-eau-air/objets", "link")</f>
        <v/>
      </c>
      <c r="C6740" t="n">
        <v>0</v>
      </c>
      <c r="D6740" t="inlineStr">
        <is>
          <t>Hache du Korriandre; Amulette d'Ilyzaelle; Alliance Gloursonne; Anneau Volkorne; Cadran d'Eau; Sangle Ouare; Casque d'Ilyzaelle; Cape Matelassée; Bottes de la Reine des Voleurs; Dofus Abyssal; Dofus Émeraude; Dofus Ivoire; Dofus Pourpre; Nomade; Remueur; Dragodinde Ebène et Ivoire</t>
        </is>
      </c>
    </row>
    <row r="6741">
      <c r="A6741" t="inlineStr">
        <is>
          <t>feu voile 2</t>
        </is>
      </c>
      <c r="B6741">
        <f>HYPERLINK("https://www.dofusbook.net/fr/equipement/4082602-feu-voile-2/objets", "link")</f>
        <v/>
      </c>
      <c r="C6741" t="n">
        <v>0</v>
      </c>
      <c r="D6741" t="inlineStr">
        <is>
          <t>Arc corrompu; Amulette Volkorne; Anneauræus; Anneauræus; Bouclier du Stalak; Ceinture Volkorne; Heaume Oplate; Voile d'encre; Bottes Innommables; Dofus Abyssal; Dofus Ivoire; Dofus Ocre; Dofus Pourpre; Nomade; Érudit majeur; Dragodinde Prune et Orchidée</t>
        </is>
      </c>
    </row>
    <row r="6742">
      <c r="A6742" t="inlineStr">
        <is>
          <t>air pvm</t>
        </is>
      </c>
      <c r="B6742">
        <f>HYPERLINK("https://www.dofusbook.net/fr/equipement/4080212-air-pvm/objets", "link")</f>
        <v/>
      </c>
      <c r="C6742" t="n">
        <v>1</v>
      </c>
      <c r="D6742" t="inlineStr">
        <is>
          <t>Manthache; Collier du Valet Veinard; Alliance Gloursonne; Gant du Valet Veinard; Bouclier du Captain Amakna; Menoture; Casque Volkorne; Cape Indescriptible; Palmes Trithons; Dofus Abyssal; Dofus Émeraude; Dofus Ivoire; Nomade; Cascadeur majeur; Remueur; Blérodoudou</t>
        </is>
      </c>
    </row>
    <row r="6743">
      <c r="A6743" t="inlineStr">
        <is>
          <t>Pandawa eau</t>
        </is>
      </c>
      <c r="B6743">
        <f>HYPERLINK("https://www.dofusbook.net/fr/equipement/4080207-pandawa-eau/objets", "link")</f>
        <v/>
      </c>
      <c r="C6743" t="n">
        <v>2</v>
      </c>
      <c r="D6743" t="inlineStr">
        <is>
          <t>Hache Rot; Amulette d'Ilyzaelle; Alliance Gloursonne; Anneau Volkorne; Cadran d'Eau; Poulpagne; Casque d'Ilyzaelle; Voilamibe; Bottes du Sinistrofu; Dofus Pourpre; Dofus Abyssal; Dofus Ocre; Dofus Nébuleux; Dofus Ivoire; Chanceux majeur; Kanigloups</t>
        </is>
      </c>
    </row>
    <row r="6744">
      <c r="A6744" t="inlineStr">
        <is>
          <t>panda opti pvm</t>
        </is>
      </c>
      <c r="B6744">
        <f>HYPERLINK("https://www.dofusbook.net/fr/equipement/3520426-panda-opti-pvm/objets", "link")</f>
        <v/>
      </c>
      <c r="C6744" t="n">
        <v>8</v>
      </c>
      <c r="D6744" t="inlineStr">
        <is>
          <t>Rouleau à Pâtisserie d'Aermyne; Amulette de Danathor; Alliance Gloursonne; Anneau de Pol Ouatnos; Bouclier d'Anerice; Ceinture de Kongoku; Casque Dragoeuf; Cape d'Anerice; Pataugastrique; Dofus Ivoire; Dofus Émeraude; Dofus Abyssal; Obstructeur majeur; Miraculé majeur; Remueur; Platypus</t>
        </is>
      </c>
    </row>
    <row r="6745">
      <c r="A6745" t="inlineStr">
        <is>
          <t>feu PVM test</t>
        </is>
      </c>
      <c r="B6745">
        <f>HYPERLINK("https://www.dofusbook.net/fr/equipement/4080054-feu-pvm-test/objets", "link")</f>
        <v/>
      </c>
      <c r="C6745" t="n">
        <v>0</v>
      </c>
      <c r="D6745" t="inlineStr">
        <is>
          <t>Arc corrompu; Amulette Volkorne; Anneauræus; Anneauræus; Quatre-feuilles; Ceinture Volkorne; Casque Cyclopéen; Voile d'encre; Pataugastrique; Dofus Pourpre; Dofus Abyssal; Dofus Ivoire; Dofus Ocre; Érudit majeur; Nomade; Dragodinde Ivoire et Orchidée</t>
        </is>
      </c>
    </row>
    <row r="6746">
      <c r="A6746" t="inlineStr">
        <is>
          <t>Feu cape de classe</t>
        </is>
      </c>
      <c r="B6746">
        <f>HYPERLINK("https://www.dofusbook.net/fr/equipement/3985429-feu-cape-de-classe/objets", "link")</f>
        <v/>
      </c>
      <c r="C6746" t="n">
        <v>7</v>
      </c>
      <c r="D6746" t="inlineStr">
        <is>
          <t>Arc corrompu; Amulette Volkorne; Anneauræus; Anneauræus; Bouclier du Stalak; Ceinture Volkorne; Casque Cyclopéen; Cape Haharnum; Pataugastrique; Dofus Pourpre; Dofus Abyssal; Dofus Ivoire; Dofus Ocre; Érudit majeur; Miraculé majeur; Phortiche</t>
        </is>
      </c>
    </row>
    <row r="6747">
      <c r="A6747" t="inlineStr">
        <is>
          <t>Panda Mafieux</t>
        </is>
      </c>
      <c r="B6747">
        <f>HYPERLINK("https://www.dofusbook.net/fr/equipement/4019786-panda-mafieux/objets", "link")</f>
        <v/>
      </c>
      <c r="C6747" t="n">
        <v>4</v>
      </c>
      <c r="D6747" t="inlineStr">
        <is>
          <t>Arc corrompu; Amulette Volkorne; Anneauræus; Anneauræus; Bouclier du Stalak; Ceinture Volkorne; Heaume Oplate; Voile d'encre; Getas Bernacle; Dofus Ivoire; Dofus Ocre; Dofus Pourpre; Dofus Abyssal; Érudit majeur; Nomade; Bisouglours</t>
        </is>
      </c>
    </row>
    <row r="6748">
      <c r="A6748" t="inlineStr">
        <is>
          <t>terre</t>
        </is>
      </c>
      <c r="B6748">
        <f>HYPERLINK("https://www.dofusbook.net/fr/equipement/3138927-terre/objets", "link")</f>
        <v/>
      </c>
      <c r="C6748" t="n">
        <v>8</v>
      </c>
      <c r="D6748" t="inlineStr">
        <is>
          <t>Epée Kari; Collier de Tourthon; Anneau de Brouce; Bague Gloursonne; Bouclier d'Ilyzaelle; Ceinture Gence; Masque de Koutoulou; Cape au Logis; Bottes de Brouce; Dofus Émeraude; Dofus Ivoire; Dofus Pourpre; Dofus Abyssal; Forcené majeur; Enragé majeur; Dragodinde Ivoire et Pourpre</t>
        </is>
      </c>
    </row>
    <row r="6749">
      <c r="A6749" t="inlineStr">
        <is>
          <t>feu de brousse</t>
        </is>
      </c>
      <c r="B6749">
        <f>HYPERLINK("https://www.dofusbook.net/fr/equipement/4023690-feu-de-brousse/objets", "link")</f>
        <v/>
      </c>
      <c r="C6749" t="n">
        <v>2</v>
      </c>
      <c r="D6749" t="inlineStr">
        <is>
          <t>Pyraguette; Amulette Volkorne; Lavanneau; Anneau Volkorne; Bouclier du Stalak; Ceintrigue; Masque de l'Esprit Salvateur; Cape du Professeur Xa; Bottes Owesli; Dofus Pourpre; Dofus Ocre; Dofus Nébuleux; Dofus Abyssal; Dolmanax; Dofus des Glaces; Volkorne Orchidée et Indigo</t>
        </is>
      </c>
    </row>
    <row r="6750">
      <c r="A6750" t="inlineStr">
        <is>
          <t>Doublesquive plus nul</t>
        </is>
      </c>
      <c r="B6750">
        <f>HYPERLINK("https://www.dofusbook.net/fr/equipement/4014971-doublesquive-plus-nul/objets", "link")</f>
        <v/>
      </c>
      <c r="C6750" t="n">
        <v>0</v>
      </c>
      <c r="D6750" t="inlineStr">
        <is>
          <t>Marteau des égarés; Amulette de l'Indicible; Bague Gloursonne; Alliance Gloursonne; Cadran d'Air; Ceinture de l'Indicible; Casque Dragoeuf; Voilamibe; Bottes de l'Indicible; Dofus Émeraude; Dofus Abyssal; Dofus Pourpre; Dofus Ivoire; Dofus des Glaces; Imprenable majeur; Tanuk</t>
        </is>
      </c>
    </row>
    <row r="6751">
      <c r="A6751" t="inlineStr">
        <is>
          <t>Doublesquive</t>
        </is>
      </c>
      <c r="B6751">
        <f>HYPERLINK("https://www.dofusbook.net/fr/equipement/4015074-doublesquive/objets", "link")</f>
        <v/>
      </c>
      <c r="C6751" t="n">
        <v>0</v>
      </c>
      <c r="D6751" t="inlineStr">
        <is>
          <t>Marteau des égarés; Amulette de l'Indicible; Alliance Gloursonne; Bague Gloursonne; Cadran d'Air; Ceinture de l'Indicible; Chapeau Lisson; Capchalot; Bottes de l'Indicible; Dofus Pourpre; Dofus Ivoire; Dofus des Glaces; Dofus Émeraude; Dofus Abyssal; Robuste majeur; Muldo Turquoise et Ivoire</t>
        </is>
      </c>
    </row>
    <row r="6752">
      <c r="A6752" t="inlineStr">
        <is>
          <t>Esquive PM</t>
        </is>
      </c>
      <c r="B6752">
        <f>HYPERLINK("https://www.dofusbook.net/fr/equipement/3962533-esquive-pm/objets", "link")</f>
        <v/>
      </c>
      <c r="C6752" t="n">
        <v>0</v>
      </c>
      <c r="D6752" t="inlineStr">
        <is>
          <t>Marteau des égarés; Amulette de l'Indicible; Bague Gloursonne; Alliance Gloursonne; Bouclier du Stalak; Ceinture de l'Indicible; Casque Dragoeuf; Voilamibe; Bottes de l'Indicible; Dofus Émeraude; Dofus Abyssal; Dofus Pourpre; Dofus Ivoire; Dofus des Glaces; Robuste majeur; Tanuk</t>
        </is>
      </c>
    </row>
    <row r="6753">
      <c r="A6753" t="inlineStr">
        <is>
          <t>Esquive PA</t>
        </is>
      </c>
      <c r="B6753">
        <f>HYPERLINK("https://www.dofusbook.net/fr/equipement/3965654-esquive-pa/objets", "link")</f>
        <v/>
      </c>
      <c r="C6753" t="n">
        <v>0</v>
      </c>
      <c r="D6753" t="inlineStr">
        <is>
          <t>Marteau des égarés; Amulette de l'Indicible; Alliance Gloursonne; Bague Gloursonne; Bouclier du Stalak; Ceinture de l'Indicible; Casque Dragoeuf; Voilamibe; Bottes de l'Indicible; Dofus Pourpre; Dofus Ivoire; Dofus des Glaces; Dofus Émeraude; Dofus Abyssal; Robuste majeur; Chienchien Tigré</t>
        </is>
      </c>
    </row>
    <row r="6754">
      <c r="A6754" t="inlineStr">
        <is>
          <t>mode eau pvp</t>
        </is>
      </c>
      <c r="B6754">
        <f>HYPERLINK("https://www.dofusbook.net/fr/equipement/3375712-mode-eau-pvp/objets", "link")</f>
        <v/>
      </c>
      <c r="C6754" t="n">
        <v>2</v>
      </c>
      <c r="D6754" t="inlineStr">
        <is>
          <t>Bâton K'Tueuh; Amulette du Sinistrofu; Alliance Gloursonne; Bracelet du Piloztère; Bouclier du Stalak; Poulpagne; Casque Dragoeuf; Cape Solution; Bottes du Sinistrofu; Dofus Pourpre; Dofus Ivoire; Dofus Nébuleux; Dolmanax; Dofus Abyssal; Chanceux majeur; Kanigloups</t>
        </is>
      </c>
    </row>
    <row r="6755">
      <c r="A6755" t="inlineStr">
        <is>
          <t>enu docrit</t>
        </is>
      </c>
      <c r="B6755">
        <f>HYPERLINK("https://www.dofusbook.net/fr/equipement/3870243-enu-docrit/objets", "link")</f>
        <v/>
      </c>
      <c r="C6755" t="n">
        <v>2</v>
      </c>
      <c r="D6755" t="inlineStr">
        <is>
          <t>Épée Brûlâme; Amulette du Strigide; Anneau de Padgref; Alliance de Missiz Frizz; Bouclier du Captain Amakna; Ceinture du Strigide; Coiffe de Padgref; Cape au Logis; Getas de Padgref; Dofus Ocre; Dofus Abyssal; Dofus Pourpre; Dofus des Glaces; Dofus Turquoise; Dofus Nébuleux; Kokulte</t>
        </is>
      </c>
    </row>
    <row r="6756">
      <c r="A6756" t="inlineStr">
        <is>
          <t>docrit test</t>
        </is>
      </c>
      <c r="B6756">
        <f>HYPERLINK("https://www.dofusbook.net/fr/equipement/3943019-docrit-test/objets", "link")</f>
        <v/>
      </c>
      <c r="C6756" t="n">
        <v>3</v>
      </c>
      <c r="D6756" t="inlineStr">
        <is>
          <t>Baguette Range; Amulette du Strigide; Anneau de Padgref; Anneau Toriété; Quatre-feuilles; Ceinture du Strigide; Coiffe de Padgref; Cape Matelassée; Bottes Antrin; Dofus Pourpre; Dofus Ivoire; Dofus des Glaces; Dofus Ocre; Dofus Turquoise; Dofus Abyssal; Kokulte</t>
        </is>
      </c>
    </row>
    <row r="6757">
      <c r="A6757" t="inlineStr">
        <is>
          <t>mule kamas</t>
        </is>
      </c>
      <c r="B6757">
        <f>HYPERLINK("https://www.dofusbook.net/fr/equipement/3831997-mule-kamas/objets", "link")</f>
        <v/>
      </c>
      <c r="C6757" t="n">
        <v>5</v>
      </c>
      <c r="D6757" t="inlineStr">
        <is>
          <t>Arc du Chalœil; Collier de Tourthon; Anneau de Brouce; Anneau Chevelu; Quatre-feuilles; Ceinture Gence; Masque de Koutoulou; Cape au Logis; Bottes de Brouce; Dofus Turquoise; Dofus Abyssal; Dofus Nébuleux; Dofus Pourpre; Enragé majeur; Vigoureux majeur; Bulbisou</t>
        </is>
      </c>
    </row>
    <row r="6758">
      <c r="A6758" t="inlineStr">
        <is>
          <t>hupper brulame</t>
        </is>
      </c>
      <c r="B6758">
        <f>HYPERLINK("https://www.dofusbook.net/fr/equipement/3931195-hupper-brulame/objets", "link")</f>
        <v/>
      </c>
      <c r="C6758" t="n">
        <v>1</v>
      </c>
      <c r="D6758" t="inlineStr">
        <is>
          <t>Épée Brûlâme; Amulette du Strigide; Alliance de Missiz Frizz; Anneau de Padgref; Bouclier du Captain Amakna; Ceinture du Strigide; Coiffe de Padgref; Cape au Logis; Getas de Padgref; Dofus Turquoise; Dofus Émeraude; Dofus Ocre; Dofus Abyssal; Dofus Pourpre; Dofus Ivoire; Kokulte</t>
        </is>
      </c>
    </row>
    <row r="6759">
      <c r="A6759" t="inlineStr">
        <is>
          <t>2.48 n2</t>
        </is>
      </c>
      <c r="B6759">
        <f>HYPERLINK("https://www.dofusbook.net/fr/equipement/3922624-2-48-n2/objets", "link")</f>
        <v/>
      </c>
      <c r="C6759" t="n">
        <v>3</v>
      </c>
      <c r="D6759" t="inlineStr">
        <is>
          <t>Marteau des égarés; Amulette de l'Indicible; Bague Gloursonne; Alliance Gloursonne; Bouclier cubiste; Protopagne; Le Dorado; Dofusteuse; Palmes Trithons; Dofus Pourpre; Dofus Ivoire; Dofus des Glaces; Dofus Abyssal; Étourdisseur majeur; Robuste majeur; Volkorne Ivoire et Turquoise</t>
        </is>
      </c>
    </row>
    <row r="6760">
      <c r="A6760" t="inlineStr">
        <is>
          <t>Pvm lowcost</t>
        </is>
      </c>
      <c r="B6760">
        <f>HYPERLINK("https://www.dofusbook.net/fr/equipement/3928303-pvm-lowcost/objets", "link")</f>
        <v/>
      </c>
      <c r="C6760" t="n">
        <v>1</v>
      </c>
      <c r="D6760" t="inlineStr">
        <is>
          <t>Epée Gloursonne; Amulette du Strigide; Bague Gloursonne; Alliance Gloursonne; Bouclier du Captain Amakna; Ceinture du Strigide; Maskrobe; Dofusteuse; Bottes du Strigide; Dofus Pourpre; Dofus Ivoire; Dofus Émeraude; Dofus des Glaces; Dofus Turquoise; Dofus Abyssal; Kokulte</t>
        </is>
      </c>
    </row>
    <row r="6761">
      <c r="A6761" t="inlineStr">
        <is>
          <t>2.48 n3</t>
        </is>
      </c>
      <c r="B6761">
        <f>HYPERLINK("https://www.dofusbook.net/fr/equipement/3923606-2-48-n3/objets", "link")</f>
        <v/>
      </c>
      <c r="C6761" t="n">
        <v>1</v>
      </c>
      <c r="D6761" t="inlineStr">
        <is>
          <t>Marteau des égarés; Amulette de l'Indicible; Alliance Gloursonne; Bague Gloursonne; Bouclier cubiste; Menoture; Chapeau Lisson; Dofusteuse; Pataugastrique; Dofus des Veilleurs; Dofus Abyssal; Dofus des Glaces; Dofus Ivoire; Étourdisseur majeur; Temporiseur majeur; Muldo Turquoise et Ivoire</t>
        </is>
      </c>
    </row>
    <row r="6762">
      <c r="A6762" t="inlineStr">
        <is>
          <t>Huppermage F 200</t>
        </is>
      </c>
      <c r="B6762">
        <f>HYPERLINK("https://www.dofusbook.net/fr/equipement/3878742-huppermage-f-200/objets", "link")</f>
        <v/>
      </c>
      <c r="C6762" t="n">
        <v>1</v>
      </c>
      <c r="D6762" t="inlineStr">
        <is>
          <t>Marteau des égarés; Amulette de l'Indicible; Alliance Gloursonne; Bague Gloursonne; Bouclier cubiste; Protopagne; Le Dorado; Dofusteuse; Palmes Trithons; Dofus Abyssal; Dofus des Glaces; Dofus Ivoire; Temporiseur majeur; Étourdisseur majeur; Remueur; Boskito</t>
        </is>
      </c>
    </row>
    <row r="6763">
      <c r="A6763" t="inlineStr">
        <is>
          <t>Pandawa air tank</t>
        </is>
      </c>
      <c r="B6763">
        <f>HYPERLINK("https://www.dofusbook.net/fr/equipement/3860027-pandawa-air-tank/objets", "link")</f>
        <v/>
      </c>
      <c r="C6763" t="n">
        <v>5</v>
      </c>
      <c r="D6763" t="inlineStr">
        <is>
          <t>Karnak; Collier du Valet Veinard; Alliance Gloursonne; Gant du Valet Veinard; Bouclier précieux; Menoture; Casque Dragoeuf; Cape du Kamasterisk; Palmes Trithons; Dofus Abyssal; Dofus Émeraude; Dofus Ivoire; Miraculé majeur; Cascadeur majeur; Remueur; Platypus</t>
        </is>
      </c>
    </row>
    <row r="6764">
      <c r="A6764" t="inlineStr">
        <is>
          <t>enu terre nébu</t>
        </is>
      </c>
      <c r="B6764">
        <f>HYPERLINK("https://www.dofusbook.net/fr/equipement/3870106-enu-terre-nebu/objets", "link")</f>
        <v/>
      </c>
      <c r="C6764" t="n">
        <v>0</v>
      </c>
      <c r="D6764" t="inlineStr">
        <is>
          <t>Arc du Chalœil; Collier de Tourthon; Anneau de Brouce; Anneau Chevelu; Quatre-feuilles; Ceinture Gence; Masque de Koutoulou; Cape au Logis; Bottes de Brouce; Dofus Turquoise; Dofus Abyssal; Dofus Nébuleux; Dofus Pourpre; Enragé majeur; Vigoureux majeur; Bulbisou</t>
        </is>
      </c>
    </row>
    <row r="6765">
      <c r="A6765" t="inlineStr">
        <is>
          <t>Enutrof M 200</t>
        </is>
      </c>
      <c r="B6765">
        <f>HYPERLINK("https://www.dofusbook.net/fr/equipement/3811085-enutrof-m-200/objets", "link")</f>
        <v/>
      </c>
      <c r="C6765" t="n">
        <v>1</v>
      </c>
      <c r="D6765" t="inlineStr">
        <is>
          <t>Baguette Héroclite; Amulette de Shokkoth; Anneau Glacial; Alliance Gloursonne; Quatre-feuilles; Ceinture Glaciale; Coiffe de Danathor; Cape Solution; Pataugastrique; Dofus Abyssal; Dofus des Glaces; Dofus Ivoire; Dofus Nébuleux; Nomade; Chanceux majeur; Kanigloups</t>
        </is>
      </c>
    </row>
    <row r="6766">
      <c r="A6766" t="inlineStr">
        <is>
          <t>sram docrit test</t>
        </is>
      </c>
      <c r="B6766">
        <f>HYPERLINK("https://www.dofusbook.net/fr/equipement/3860110-sram-docrit-test/objets", "link")</f>
        <v/>
      </c>
      <c r="C6766" t="n">
        <v>0</v>
      </c>
      <c r="D6766" t="inlineStr">
        <is>
          <t>Arc du Chalœil; Amulette du Strigide; Anneau de Padgref; Bracelet du Piloztère; Quatre-feuilles; Ceinture du Strigide; Coiffe de Padgref; Cape au Logis; Getas de Padgref; Dofus Ocre; Dofus Abyssal; Dofus Pourpre; Dofus Ivoire; Dofus Turquoise; Dofus Nébuleux; Kokulte</t>
        </is>
      </c>
    </row>
    <row r="6767">
      <c r="A6767" t="inlineStr">
        <is>
          <t>panda docrit pvm</t>
        </is>
      </c>
      <c r="B6767">
        <f>HYPERLINK("https://www.dofusbook.net/fr/equipement/3857264-panda-docrit-pvm/objets", "link")</f>
        <v/>
      </c>
      <c r="C6767" t="n">
        <v>0</v>
      </c>
      <c r="D6767" t="inlineStr">
        <is>
          <t>Épée Brûlâme; Amulette du Strigide; Anneau de Padgref; Alliance de Missiz Frizz; Bouclier du Captain Amakna; Ceinture du Strigide; Coiffe de Padgref; Cape au Logis; Getas de Padgref; Dofus Ocre; Dofus Abyssal; Dofus Pourpre; Dofus Ivoire; Dofus Turquoise; Dofus Émeraude; Kokulte</t>
        </is>
      </c>
    </row>
    <row r="6768">
      <c r="A6768" t="inlineStr">
        <is>
          <t>Crâ docrit cc</t>
        </is>
      </c>
      <c r="B6768">
        <f>HYPERLINK("https://www.dofusbook.net/fr/equipement/3848807-cra-docrit-cc/objets", "link")</f>
        <v/>
      </c>
      <c r="C6768" t="n">
        <v>6</v>
      </c>
      <c r="D6768" t="inlineStr">
        <is>
          <t>Arc de Guten Tak; Amulette du Strigide; Alliance de Missiz Frizz; Anneau de Padgref; Quatre-feuilles; Ceinture du Strigide; Coiffe de Padgref; Cape au Logis; Getas de Padgref; Dofus Turquoise; Dofus Nébuleux; Dofus Ocre; Dofus Abyssal; Dofus Pourpre; Dofus des Glaces; Kokulte</t>
        </is>
      </c>
    </row>
    <row r="6769">
      <c r="A6769" t="inlineStr">
        <is>
          <t>mule kamas 2</t>
        </is>
      </c>
      <c r="B6769">
        <f>HYPERLINK("https://www.dofusbook.net/fr/equipement/3832037-mule-kamas-2/objets", "link")</f>
        <v/>
      </c>
      <c r="C6769" t="n">
        <v>0</v>
      </c>
      <c r="D6769" t="inlineStr">
        <is>
          <t>La Baguette des Limbes; Racine Hueuse; Bague de Boréale; Gelano; Cadran de Terre; Ceinture de Boréale; Coiffe de Boréale; Cape Peupret; Bottes de Boréale; Dofus Ocre; Dofus Abyssal; Dofus Pourpre; Dofus des Glaces; Dofus Turquoise; Dofus Nébuleux; Dragodinde Emeraude et Ivoire</t>
        </is>
      </c>
    </row>
    <row r="6770">
      <c r="A6770" t="inlineStr">
        <is>
          <t>multi soin</t>
        </is>
      </c>
      <c r="B6770">
        <f>HYPERLINK("https://www.dofusbook.net/fr/equipement/3708735-multi-soin/objets", "link")</f>
        <v/>
      </c>
      <c r="C6770" t="n">
        <v>1</v>
      </c>
      <c r="D6770" t="inlineStr">
        <is>
          <t>Le Thanos; Amulette d'Ilyzaelle; Alliance Gloursonne; Bracelet du Piloztère; Carapar; Ceintrémorse; Casque d'Ilyzaelle; Capille; Pantoufles Émar; Dofus Pourpre; Dofus Ivoire; Dofus Ocre; Dofus Abyssal</t>
        </is>
      </c>
    </row>
    <row r="6771">
      <c r="A6771" t="inlineStr">
        <is>
          <t>Huppermage F 200</t>
        </is>
      </c>
      <c r="B6771">
        <f>HYPERLINK("https://www.dofusbook.net/fr/equipement/3671633-huppermage-f-200/objets", "link")</f>
        <v/>
      </c>
      <c r="C6771" t="n">
        <v>1</v>
      </c>
      <c r="D6771" t="inlineStr">
        <is>
          <t>Marteau des égarés; Amulette Ementaire Deluxe; Bague Gloursonne; Alliance Gloursonne; Bouclier du Stalak; Protopagne; Le Dorado; Dofusteuse; Bottes de l'Esprit Salvateur; Dofus Pourpre; Dofus Abyssal; Dofus Ivoire; Dofus Ocre; Vigoureux majeur; Dragodinde Ivoire</t>
        </is>
      </c>
    </row>
    <row r="6772">
      <c r="A6772" t="inlineStr">
        <is>
          <t>Huppermage M 200</t>
        </is>
      </c>
      <c r="B6772">
        <f>HYPERLINK("https://www.dofusbook.net/fr/equipement/3707715-huppermage-m-200/objets", "link")</f>
        <v/>
      </c>
      <c r="C6772" t="n">
        <v>1</v>
      </c>
      <c r="D6772" t="inlineStr">
        <is>
          <t>Marteau des égarés; Amulette de l'Indicible; Bague Gloursonne; Alliance Gloursonne; Bouclier du Stalak; Ceintacé; Masque de l'Esprit Salvateur; Voilamibe; Bottes du Chalœil; Dofus Ocre; Dofus Ivoire; Dofus Pourpre; Dofus Abyssal; Vigoureux majeur; Dragodinde Prune et Ivoire</t>
        </is>
      </c>
    </row>
    <row r="6773">
      <c r="A6773" t="inlineStr">
        <is>
          <t>Zobal terre</t>
        </is>
      </c>
      <c r="B6773">
        <f>HYPERLINK("https://www.dofusbook.net/fr/equipement/3631520-zobal-terre/objets", "link")</f>
        <v/>
      </c>
      <c r="C6773" t="n">
        <v>0</v>
      </c>
      <c r="D6773" t="inlineStr">
        <is>
          <t>Epée Kari; Collier de Tourthon; Anneau Chevelu; Anneau de Brouce; Bouclier du Captain Amakna; Ceinture Gence; Masque de Koutoulou; Cape au Logis; Bottes de Brouce; Dofus Turquoise; Dofus Pourpre; Dofus Émeraude; Dofus Abyssal; Enragé majeur; Vigoureux majeur; Dragodinde Ivoire et Pourpre</t>
        </is>
      </c>
    </row>
    <row r="6774">
      <c r="A6774" t="inlineStr">
        <is>
          <t>air tank</t>
        </is>
      </c>
      <c r="B6774">
        <f>HYPERLINK("https://www.dofusbook.net/fr/equipement/3641409-air-tank/objets", "link")</f>
        <v/>
      </c>
      <c r="C6774" t="n">
        <v>4</v>
      </c>
      <c r="D6774" t="inlineStr">
        <is>
          <t>Collier du Valet Veinard; Alliance Gloursonne; Gant du Valet Veinard; Bouclier d'Anerice; Menoture; Casque Dragoeuf; Cape des Justiciers; Palmes Trithons; Dofus Abyssal; Dofus Émeraude; Dofus Ivoire; Miraculé majeur; Cascadeur majeur; Nomade; Dragodinde Ebène et Ivoire</t>
        </is>
      </c>
    </row>
    <row r="6775">
      <c r="A6775" t="inlineStr">
        <is>
          <t>air PVM</t>
        </is>
      </c>
      <c r="B6775">
        <f>HYPERLINK("https://www.dofusbook.net/fr/equipement/3382305-air-pvm/objets", "link")</f>
        <v/>
      </c>
      <c r="C6775" t="n">
        <v>3</v>
      </c>
      <c r="D6775" t="inlineStr">
        <is>
          <t>Karnak; Collier du Valet Veinard; Alliance Gloursonne; Gant du Valet Veinard; Bouclier d'Ilyzaelle; Menoture; Casque Dragoeuf; Cape du Kamasterisk; Palmes Trithons; Dofus Abyssal; Dofus Émeraude; Dofus Ivoire; Remueur; Cascadeur majeur; Fonceur majeur; Dragodinde Ebène et Ivoire</t>
        </is>
      </c>
    </row>
    <row r="6776">
      <c r="A6776" t="inlineStr">
        <is>
          <t>eni pvm</t>
        </is>
      </c>
      <c r="B6776">
        <f>HYPERLINK("https://www.dofusbook.net/fr/equipement/3442717-eni-pvm/objets", "link")</f>
        <v/>
      </c>
      <c r="C6776" t="n">
        <v>3</v>
      </c>
      <c r="D6776" t="inlineStr">
        <is>
          <t>Arc Hétype; Pendentif affamé; Anneau de Nidas; Bague Gloursonne; Bouclier d'Ilyzaelle; Sangle Aise; Couronne de Nidas; Cape de Diondin; Bottes Dogues; Dofus Abyssal; Dofus Émeraude; Savant majeur; Érudit majeur; Guérisseur majeur; Miraculé majeur; Dragodinde Amande et Orchidée</t>
        </is>
      </c>
    </row>
    <row r="6777">
      <c r="A6777" t="inlineStr">
        <is>
          <t>Eni roxx</t>
        </is>
      </c>
      <c r="B6777">
        <f>HYPERLINK("https://www.dofusbook.net/fr/equipement/3539325-eni-roxx/objets", "link")</f>
        <v/>
      </c>
      <c r="C6777" t="n">
        <v>0</v>
      </c>
      <c r="D6777" t="inlineStr">
        <is>
          <t>Epée Toche; Amulette du Strigide; Alliance de Missiz Frizz; Anneau de Padgref; Bouclier du Captain Amakna; Ceintacé; Coiffe de Padgref; Cape au Logis; Pataugastrique; Dofus Abyssal; Dofus Pourpre; Dofus Émeraude; Dofus Turquoise; Vigoureux majeur; Guérisseur majeur; Dragodinde Emeraude et Rousse</t>
        </is>
      </c>
    </row>
    <row r="6778">
      <c r="A6778" t="inlineStr">
        <is>
          <t>2 terre-dopou</t>
        </is>
      </c>
      <c r="B6778">
        <f>HYPERLINK("https://www.dofusbook.net/fr/equipement/3372814-2-terre-dopou/objets", "link")</f>
        <v/>
      </c>
      <c r="C6778" t="n">
        <v>2</v>
      </c>
      <c r="D6778" t="inlineStr">
        <is>
          <t>Héqache; Amulette Luminescente; Anneau Chevelu; Bague Trithon; Bouclier Taverne; Ceinture Gence; Masque de Koutoulou; Cape au Logis; Bottes Trithon; Dofus Ivoire; Dofus Nébuleux; Dofus Abyssal; Bousculeur majeur; Enragé majeur; Culbuteur majeur; Dragodinde Ivoire et Pourpre</t>
        </is>
      </c>
    </row>
    <row r="6779">
      <c r="A6779" t="inlineStr">
        <is>
          <t>Multi - dofusteuse</t>
        </is>
      </c>
      <c r="B6779">
        <f>HYPERLINK("https://www.dofusbook.net/fr/equipement/3371288-multi---dofusteuse/objets", "link")</f>
        <v/>
      </c>
      <c r="C6779" t="n">
        <v>5</v>
      </c>
      <c r="D6779" t="inlineStr">
        <is>
          <t>L'Épée Nice; Amulette Ementaire Deluxe; Alliance Gloursonne; Bracelet du Piloztère; Bouclier Taverne; Ceinture de la Reine des Voleurs; Coiffe de la Reine des Voleurs; Dofusteuse; Bottes de la Reine des Voleurs; Dofus Émeraude; Dofus Nébuleux; Dofus Pourpre; Dofus Abyssal; Dofus Ocre; Dofus Ivoire; Dragodinde Ivoire et Pourpre</t>
        </is>
      </c>
    </row>
    <row r="6780">
      <c r="A6780" t="inlineStr">
        <is>
          <t>multica</t>
        </is>
      </c>
      <c r="B6780">
        <f>HYPERLINK("https://www.dofusbook.net/fr/equipement/3465855-multica/objets", "link")</f>
        <v/>
      </c>
      <c r="C6780" t="n">
        <v>1</v>
      </c>
      <c r="D6780" t="inlineStr">
        <is>
          <t>Épée de la Reine des Voleurs; Amulette Volkorne; Anneau Volkorne; Grésilanneau; Bouclier du Captain Amakna; Ceinture Volkorne; Casque Volkorne; Dofusteuse; Bottes de l'Esprit Salvateur; Dofus Ocre; Dofus Ivoire; Dofus Émeraude; Dofus Nébuleux; Dofus Pourpre; Dofus Abyssal; Dragodinde Ivoire</t>
        </is>
      </c>
    </row>
    <row r="6781">
      <c r="A6781" t="inlineStr">
        <is>
          <t>agi tank test</t>
        </is>
      </c>
      <c r="B6781">
        <f>HYPERLINK("https://www.dofusbook.net/fr/equipement/3083858-agi-tank-test/objets", "link")</f>
        <v/>
      </c>
      <c r="C6781" t="n">
        <v>8</v>
      </c>
      <c r="D6781" t="inlineStr">
        <is>
          <t>Karnak; Collier du Valet Veinard; Alliance Gloursonne; Gant du Valet Veinard; Bouclier d'Ilyzaelle; Menoture; Casque Dragoeuf; Cape du Kamasterisk; Palmes Trithons; Dofus Abyssal; Dofus Émeraude; Dofus Ivoire; Cascadeur majeur; Miraculé majeur; Remueur; Dragodinde Prune et Ebène</t>
        </is>
      </c>
    </row>
    <row r="6782">
      <c r="A6782" t="inlineStr">
        <is>
          <t>noubitest</t>
        </is>
      </c>
      <c r="B6782">
        <f>HYPERLINK("https://www.dofusbook.net/fr/equipement/3441881-noubitest/objets", "link")</f>
        <v/>
      </c>
      <c r="C6782" t="n">
        <v>13</v>
      </c>
      <c r="D6782" t="inlineStr">
        <is>
          <t>Héqache; Amulette Luminescente; Bague Trithon; Anneau Chevelu; Bouclier précieux; Ceinture Gence; Masque de Koutoulou; Cape au Logis; Bottes Trithon; Dofus Émeraude; Dofus Abyssal; Dofus Pourpre; Dofus Ivoire; Enragé majeur; Culbuteur majeur; Dragodinde Ivoire et Pourpre</t>
        </is>
      </c>
    </row>
    <row r="6783">
      <c r="A6783" t="inlineStr">
        <is>
          <t>multi PVM</t>
        </is>
      </c>
      <c r="B6783">
        <f>HYPERLINK("https://www.dofusbook.net/fr/equipement/3442618-multi-pvm/objets", "link")</f>
        <v/>
      </c>
      <c r="C6783" t="n">
        <v>2</v>
      </c>
      <c r="D6783" t="inlineStr">
        <is>
          <t>Épée de la Reine des Voleurs; Amulette du Strigide; Alliance Gloursonne; Bracelet du Piloztère; Bouclier du Captain Amakna; Ceinture de la Reine des Voleurs; Coiffe de la Reine des Voleurs; Dofusteuse; Bottes de la Reine des Voleurs; Dofus Ocre; Dofus Ivoire; Dofus Émeraude; Dofus Nébuleux; Dofus Pourpre; Dofus Abyssal; Dragodinde Ivoire et Pourpre</t>
        </is>
      </c>
    </row>
    <row r="6784">
      <c r="A6784" t="inlineStr">
        <is>
          <t>terre air dopou</t>
        </is>
      </c>
      <c r="B6784">
        <f>HYPERLINK("https://www.dofusbook.net/fr/equipement/3416038-terre-air-dopou/objets", "link")</f>
        <v/>
      </c>
      <c r="C6784" t="n">
        <v>0</v>
      </c>
      <c r="D6784" t="inlineStr">
        <is>
          <t>Lance corrompue; Amulette du Cœur Vaillant; Bague Trithon; Alliance Gloursonne; Bouclier Taverne; Ceinture Gence; Casque Dragoeuf; Cape du Cœur Vaillant; Bottes du Cœur Vaillant; Dofus Émeraude; Dofus Ivoire; Dofus Pourpre; Dofus Nébuleux; Dofus Abyssal; Bousculeur majeur; Muldo Ebène et Pourpre</t>
        </is>
      </c>
    </row>
    <row r="6785">
      <c r="A6785" t="inlineStr">
        <is>
          <t>multi chaloeil</t>
        </is>
      </c>
      <c r="B6785">
        <f>HYPERLINK("https://www.dofusbook.net/fr/equipement/3416027-multi-chaloeil/objets", "link")</f>
        <v/>
      </c>
      <c r="C6785" t="n">
        <v>1</v>
      </c>
      <c r="D6785" t="inlineStr">
        <is>
          <t>Hache du Chalœil; Amulette du Strigide; Alliance Gloursonne; Bracelet du Piloztère; Bouclier cubiste; Ceintacé; Casque du Chalœil; Dofusteuse; Bottes du Strigide; Dofus Pourpre; Dofus Turquoise; Remueur; Sanguinaire majeur; Nomade; Vigoureux majeur; Muldo Ebène et Indigo</t>
        </is>
      </c>
    </row>
    <row r="6786">
      <c r="A6786" t="inlineStr">
        <is>
          <t>DOPOUMATT</t>
        </is>
      </c>
      <c r="B6786">
        <f>HYPERLINK("https://www.dofusbook.net/fr/equipement/3417135-dopoumatt/objets", "link")</f>
        <v/>
      </c>
      <c r="C6786" t="n">
        <v>3</v>
      </c>
      <c r="D6786" t="inlineStr">
        <is>
          <t>Torquistik; Bague Trithon; Bague Instable; Bouclier précieux; Ceinture Gence; Casque Dragoeuf; Cape Luminescente; Bottistik; Dofus Ivoire; Dokoko; Dofus Émeraude; Dofus Abyssal; Remueur; Culbuteur majeur; Muldo Roux et Orchidée</t>
        </is>
      </c>
    </row>
    <row r="6787">
      <c r="A6787" t="inlineStr">
        <is>
          <t>Iop M 200</t>
        </is>
      </c>
      <c r="B6787">
        <f>HYPERLINK("https://www.dofusbook.net/fr/equipement/3441875-iop-m-200/objets", "link")</f>
        <v/>
      </c>
      <c r="C6787" t="n">
        <v>0</v>
      </c>
      <c r="D6787" t="inlineStr"/>
    </row>
    <row r="6788">
      <c r="A6788" t="inlineStr">
        <is>
          <t>Iop M 200</t>
        </is>
      </c>
      <c r="B6788">
        <f>HYPERLINK("https://www.dofusbook.net/fr/equipement/3389540-iop-m-200/objets", "link")</f>
        <v/>
      </c>
      <c r="C6788" t="n">
        <v>3</v>
      </c>
      <c r="D6788" t="inlineStr">
        <is>
          <t>Héqache; Torquistik; Bague Instable; Bague Trithon; Bouclier précieux; Ceinture Gence; Casque Dragoeuf; Cape au Logis; Bottistik; Dofus Émeraude; Dofus Ivoire; Dokoko; Dofus Abyssal; Remueur; Culbuteur majeur; Bontique</t>
        </is>
      </c>
    </row>
    <row r="6789">
      <c r="A6789" t="inlineStr">
        <is>
          <t>anti xelor</t>
        </is>
      </c>
      <c r="B6789">
        <f>HYPERLINK("https://www.dofusbook.net/fr/equipement/3378452-anti-xelor/objets", "link")</f>
        <v/>
      </c>
      <c r="C6789" t="n">
        <v>0</v>
      </c>
      <c r="D6789" t="inlineStr">
        <is>
          <t>Arc du Chalœil; Torquistik; Anneau Chevelu; Bague Trithon; Écorce de Brouce; Ceinture Gence; Masque de Koutoulou; Cape du Kamasterisk; Bottistik; Dofus Abyssal; Dofus Ivoire; Culbuteur majeur; Bousculeur majeur; Évasif majeur; Muldo Pourpre et Ivoire</t>
        </is>
      </c>
    </row>
    <row r="6790">
      <c r="A6790" t="inlineStr">
        <is>
          <t>Pvm</t>
        </is>
      </c>
      <c r="B6790">
        <f>HYPERLINK("https://www.dofusbook.net/fr/equipement/2264543-pvm/objets", "link")</f>
        <v/>
      </c>
      <c r="C6790" t="n">
        <v>2</v>
      </c>
      <c r="D6790" t="inlineStr">
        <is>
          <t>Arc du Chalœil; Torquistik; Anneau Chevelu; Bague Gloursonne; Bouclier Taverne; Ceinture Gence; Masque de Koutoulou; Cape au Logis; Bottistik; Dofus Abyssal; Dofus Ivoire; Bousculeur majeur; Culbuteur majeur; Enragé majeur</t>
        </is>
      </c>
    </row>
    <row r="6791">
      <c r="A6791" t="inlineStr">
        <is>
          <t>PM cra/sadi</t>
        </is>
      </c>
      <c r="B6791">
        <f>HYPERLINK("https://www.dofusbook.net/fr/equipement/3399269-pm-cra-sadi/objets", "link")</f>
        <v/>
      </c>
      <c r="C6791" t="n">
        <v>6</v>
      </c>
      <c r="D6791" t="inlineStr">
        <is>
          <t>Héqache; Torquistik; Bague Trithon; Bague Instable; Bouclier à hélice; Ceinture Gence; Casque Dragoeuf; Capchalot; Bottistik; Dofus Cawotte; Dofus Ivoire; Dokoko; Dofus Abyssal; Culbuteur majeur; Muldo Roux et Pourpre</t>
        </is>
      </c>
    </row>
    <row r="6792">
      <c r="A6792" t="inlineStr">
        <is>
          <t>srambad</t>
        </is>
      </c>
      <c r="B6792">
        <f>HYPERLINK("https://www.dofusbook.net/fr/equipement/3412528-srambad/objets", "link")</f>
        <v/>
      </c>
      <c r="C6792" t="n">
        <v>4</v>
      </c>
      <c r="D6792" t="inlineStr">
        <is>
          <t>Dagues de Srambad; Amulette du Strigide; Bracelet du Piloztère; Alliance Gloursonne; Bouclier du Cycloïde; Ceintacé; Coiffe de la Reine des Voleurs; Cape Luminescente; Bottes de la Reine des Voleurs; Dofus Ivoire; Dofus des Glaces; Dofus Nébuleux; Dofus Abyssal; Remueur; Nomade; Kramkram</t>
        </is>
      </c>
    </row>
    <row r="6793">
      <c r="A6793" t="inlineStr">
        <is>
          <t>chaloeil</t>
        </is>
      </c>
      <c r="B6793">
        <f>HYPERLINK("https://www.dofusbook.net/fr/equipement/3390666-chaloeil/objets", "link")</f>
        <v/>
      </c>
      <c r="C6793" t="n">
        <v>2</v>
      </c>
      <c r="D6793" t="inlineStr">
        <is>
          <t>Hache du Chalœil; Amulette du Strigide; Bracelet du Piloztère; Alliance Gloursonne; Bouclier du Stalak; Ceintacé; Masque de l'Esprit Salvateur; Voile d'encre; Bottes du Strigide; Dofus Abyssal; Dofus Pourpre; Dolmanax; Dofus Ivoire; Nomade; Remueur; Kramkram</t>
        </is>
      </c>
    </row>
    <row r="6794">
      <c r="A6794" t="inlineStr">
        <is>
          <t>Ret pm</t>
        </is>
      </c>
      <c r="B6794">
        <f>HYPERLINK("https://www.dofusbook.net/fr/equipement/3393105-ret-pm/objets", "link")</f>
        <v/>
      </c>
      <c r="C6794" t="n">
        <v>4</v>
      </c>
      <c r="D6794" t="inlineStr">
        <is>
          <t>Massier; Amulette de Nileza; Anneau Tique; Anneau de Nidas; Bouclier Feudala; Ceintacé; Maskrobe; Voile d'encre; Tongues de Nidas; Dofus Abyssal; Dofus Ivoire; Dokoko; Dofus Forgelave; Remueur; Solide majeur; Croum</t>
        </is>
      </c>
    </row>
    <row r="6795">
      <c r="A6795" t="inlineStr">
        <is>
          <t>test dopou</t>
        </is>
      </c>
      <c r="B6795">
        <f>HYPERLINK("https://www.dofusbook.net/fr/equipement/3387478-test-dopou/objets", "link")</f>
        <v/>
      </c>
      <c r="C6795" t="n">
        <v>1</v>
      </c>
      <c r="D6795" t="inlineStr">
        <is>
          <t>Arc du Chalœil; Amulette Luminescente; Anneau Chevelu; Bague Trithon; Bouclier Taverne; Ceinture Gence; Masque de Koutoulou; Cape du Kamasterisk; Bottes Trithon; Dofus Ivoire; Dofus Abyssal; Bousculeur majeur; Nomade; Enragé majeur; Culbuteur majeur</t>
        </is>
      </c>
    </row>
    <row r="6796">
      <c r="A6796" t="inlineStr">
        <is>
          <t>dopou 6000 HP</t>
        </is>
      </c>
      <c r="B6796">
        <f>HYPERLINK("https://www.dofusbook.net/fr/equipement/3371403-dopou-6000-hp/objets", "link")</f>
        <v/>
      </c>
      <c r="C6796" t="n">
        <v>2</v>
      </c>
      <c r="D6796" t="inlineStr">
        <is>
          <t>Arc du Chalœil; Amulette Luminescente; Bague Trithon; Bague Instable; Bouclier précieux; Ceinture Gence; Masque d'Anerice; Cape d'Anerice; Bottistik; Dofus Émeraude; Dofus Ivoire; Remueur; Culbuteur majeur; Bousculeur majeur; Miraculé majeur; Muldo Pourpre et Ivoire</t>
        </is>
      </c>
    </row>
    <row r="6797">
      <c r="A6797" t="inlineStr">
        <is>
          <t>anti sram</t>
        </is>
      </c>
      <c r="B6797">
        <f>HYPERLINK("https://www.dofusbook.net/fr/equipement/3386405-anti-sram/objets", "link")</f>
        <v/>
      </c>
      <c r="C6797" t="n">
        <v>1</v>
      </c>
      <c r="D6797" t="inlineStr">
        <is>
          <t>Arc du Chalœil; Amulette Luminescente; Bague Trithon; Anneau Chevelu; Cadran d'Air; Ceinture Gence; Masque de Koutoulou; Cape du Kamasterisk; Bottes Trithon; Dofus Abyssal; Dofus Ivoire; Nomade; Enragé majeur; Culbuteur majeur; Bousculeur majeur; Toukancre</t>
        </is>
      </c>
    </row>
    <row r="6798">
      <c r="A6798" t="inlineStr">
        <is>
          <t>do pou esquives</t>
        </is>
      </c>
      <c r="B6798">
        <f>HYPERLINK("https://www.dofusbook.net/fr/equipement/3375710-do-pou-esquives/objets", "link")</f>
        <v/>
      </c>
      <c r="C6798" t="n">
        <v>2</v>
      </c>
      <c r="D6798" t="inlineStr">
        <is>
          <t>Arc du Chalœil; Amulette Luminescente; Bague Trithon; Bague Instable; Bouclier à hélice; Ceinture Gence; Masque de Koutoulou; Cape du Kamasterisk; Bottes Trithon; Dofus Ivoire; Dofus Forgelave; Dofus Abyssal; Bousculeur majeur; Cavaleur majeur; Culbuteur majeur; Muldo Pourpre et Ivoire</t>
        </is>
      </c>
    </row>
    <row r="6799">
      <c r="A6799" t="inlineStr">
        <is>
          <t>ré pou</t>
        </is>
      </c>
      <c r="B6799">
        <f>HYPERLINK("https://www.dofusbook.net/fr/equipement/3375628-re-pou/objets", "link")</f>
        <v/>
      </c>
      <c r="C6799" t="n">
        <v>0</v>
      </c>
      <c r="D6799" t="inlineStr">
        <is>
          <t>Arc du Chalœil; Torquistik; Anneau Chevelu; Bague Trithon; Bouclier précieux; Ceintacé; Maskrobe; Capchalot; Bottistik; Dofus Abyssal; Dofus Ivoire; Dofus Forgelave; Solide majeur; Culbuteur majeur; Bousculeur majeur; Croum</t>
        </is>
      </c>
    </row>
    <row r="6800">
      <c r="A6800" t="inlineStr">
        <is>
          <t>anti sadi</t>
        </is>
      </c>
      <c r="B6800">
        <f>HYPERLINK("https://www.dofusbook.net/fr/equipement/3375704-anti-sadi/objets", "link")</f>
        <v/>
      </c>
      <c r="C6800" t="n">
        <v>0</v>
      </c>
      <c r="D6800" t="inlineStr">
        <is>
          <t>Rapière aux Glyphes; Amulette de Shokkoth; Alliance Gloursonne; Bracelet des Fonds marins; Bouclier du Stalak; Poulpagne; Masque des Fonds marins; Cape Solution; Bottes du Sinistrofu; Dokoko; Dofus Ivoire; Dofus Cawotte; Dofus Abyssal; Évasif majeur; Cavaleur majeur</t>
        </is>
      </c>
    </row>
    <row r="6801">
      <c r="A6801" t="inlineStr">
        <is>
          <t>eau retrait</t>
        </is>
      </c>
      <c r="B6801">
        <f>HYPERLINK("https://www.dofusbook.net/fr/equipement/3078975-eau-retrait/objets", "link")</f>
        <v/>
      </c>
      <c r="C6801" t="n">
        <v>0</v>
      </c>
      <c r="D6801" t="inlineStr">
        <is>
          <t>Sceptre du Roi Joueur; Amulette de Shokkoth; Bracelet des Fonds marins; Alliance Gloursonne; Bouclier du Stalak; Poulpagne; Masque d'Anerice; Cape d'Anerice; Bottes du Sinistrofu; Dofus Ocre; Dofus Ivoire; Dofus Abyssal; Étourdisseur majeur; Paralyseur majeur; Chanceux majeur; Muldo Indigo</t>
        </is>
      </c>
    </row>
    <row r="6802">
      <c r="A6802" t="inlineStr">
        <is>
          <t>feu multitache</t>
        </is>
      </c>
      <c r="B6802">
        <f>HYPERLINK("https://www.dofusbook.net/fr/equipement/3102033-feu-multitache/objets", "link")</f>
        <v/>
      </c>
      <c r="C6802" t="n">
        <v>4</v>
      </c>
      <c r="D6802" t="inlineStr">
        <is>
          <t>Arc corrompu; Pendentif affamé; Anneau de Nidas; Bague Gloursonne; Bouclier du Mont Kipou; Ceinture de Vortex; Cagoule de Vortex; Cape de Diondin; Bottes Innommables; Dofus Abyssal; Dofus Ivoire; Miraculé majeur; Remueur; Étourdisseur majeur; Érudit majeur; Muldo Orchidée</t>
        </is>
      </c>
    </row>
    <row r="6803">
      <c r="A6803" t="inlineStr">
        <is>
          <t>full dopou</t>
        </is>
      </c>
      <c r="B6803">
        <f>HYPERLINK("https://www.dofusbook.net/fr/equipement/3380080-full-dopou/objets", "link")</f>
        <v/>
      </c>
      <c r="C6803" t="n">
        <v>3</v>
      </c>
      <c r="D6803" t="inlineStr">
        <is>
          <t>Arc du Chalœil; Amulette Luminescente; Bague Instable; Bague Trithon; Bouclier précieux; Ceinture Gence; Masque d'Anerice; Cape d'Anerice; Bottistik; Dofus Ivoire; Dofus Abyssal; Bousculeur majeur; Pousseur majeur; Remueur; Culbuteur majeur; Muldo Orchidée et Pourpre</t>
        </is>
      </c>
    </row>
    <row r="6804">
      <c r="A6804" t="inlineStr">
        <is>
          <t>1 terre-dopou</t>
        </is>
      </c>
      <c r="B6804">
        <f>HYPERLINK("https://www.dofusbook.net/fr/equipement/3371097-1-terre-dopou/objets", "link")</f>
        <v/>
      </c>
      <c r="C6804" t="n">
        <v>2</v>
      </c>
      <c r="D6804" t="inlineStr">
        <is>
          <t>Lav'Hache; Torquistik; Bague Trithon; Anneau Chevelu; Bouclier Taverne; Ceinture Gence; Masque de Koutoulou; Cape au Logis; Bottistik; Dofus Abyssal; Dofus Ivoire; Dofus Pourpre; Culbuteur majeur; Enragé majeur; Bousculeur majeur; Croum</t>
        </is>
      </c>
    </row>
    <row r="6805">
      <c r="A6805" t="inlineStr">
        <is>
          <t>dopou tank2</t>
        </is>
      </c>
      <c r="B6805">
        <f>HYPERLINK("https://www.dofusbook.net/fr/equipement/3373199-dopou-tank2/objets", "link")</f>
        <v/>
      </c>
      <c r="C6805" t="n">
        <v>1</v>
      </c>
      <c r="D6805" t="inlineStr">
        <is>
          <t>Lav'Hache; Torquistik; Bague Instable; Anneau de Pol Ouatnos; Bouclier Taverne; Ceinture Gence; Casque Dragoeuf; Cape du Cœur Vaillant; Bottistik; Dofus Abyssal; Dofus Ivoire; Culbuteur; Culbuteur majeur; Remueur; Bousculeur majeur; Kafarce</t>
        </is>
      </c>
    </row>
    <row r="6806">
      <c r="A6806" t="inlineStr">
        <is>
          <t>test full intel</t>
        </is>
      </c>
      <c r="B6806">
        <f>HYPERLINK("https://www.dofusbook.net/fr/equipement/3371719-test-full-intel/objets", "link")</f>
        <v/>
      </c>
      <c r="C6806" t="n">
        <v>1</v>
      </c>
      <c r="D6806" t="inlineStr">
        <is>
          <t>Épée d'Otomaï; Pendentif affamé; Anneauræus; Anneau Rifique; Cadran d'Eau; Ceinture Séculaire; Casque Cyclopéen; Cape de Diondin; Bottes Innommables; Dofus Ocre; Dofus Abyssal; Dofus Turquoise; Dofus Ivoire; Nomade; Érudit majeur; Brûlih</t>
        </is>
      </c>
    </row>
    <row r="6807">
      <c r="A6807" t="inlineStr">
        <is>
          <t>tank roxx ero</t>
        </is>
      </c>
      <c r="B6807">
        <f>HYPERLINK("https://www.dofusbook.net/fr/equipement/2152350-tank-roxx-ero/objets", "link")</f>
        <v/>
      </c>
      <c r="C6807" t="n">
        <v>6</v>
      </c>
      <c r="D6807" t="inlineStr">
        <is>
          <t>Marteau R'ture; Amulette du Strigide; Anneau Chevelu; Bague Gloursonne; Cadran d'Eau; Ceinture du Strigide; Masque de Koutoulou; Cape au Logis; Bottes de la Cour Sombre; Dofus Ocre; Dofus Nébuleux; Dofus Ivoire; Dofus Abyssal; Dofus Turquoise; Enragé majeur; Croum</t>
        </is>
      </c>
    </row>
    <row r="6808">
      <c r="A6808" t="inlineStr">
        <is>
          <t>Air-feau-eau 11PA</t>
        </is>
      </c>
      <c r="B6808">
        <f>HYPERLINK("https://www.dofusbook.net/fr/equipement/3117883-air-feau-eau-11pa/objets", "link")</f>
        <v/>
      </c>
      <c r="C6808" t="n">
        <v>1</v>
      </c>
      <c r="D6808" t="inlineStr">
        <is>
          <t>Epée Gloursonne; Amulette de l'Œil Putride; Bague Gloursonne; Alliance Gloursonne; Bouclier cubiste; Ceinture de Kongoku; Capuche de l'Œil Putride; Cape de l'Œil Putride; Bottes des Malveilleurs; Dofus Ocre; Dofus Ivoire; Dokoko; Dofus des Glaces; Dofus Pourpre; Dofus Abyssal; Muldo Ebène</t>
        </is>
      </c>
    </row>
    <row r="6809">
      <c r="A6809" t="inlineStr">
        <is>
          <t>pddd</t>
        </is>
      </c>
      <c r="B6809">
        <f>HYPERLINK("https://www.dofusbook.net/fr/equipement/2098381-pddd/objets", "link")</f>
        <v/>
      </c>
      <c r="C6809" t="n">
        <v>3</v>
      </c>
      <c r="D6809" t="inlineStr">
        <is>
          <t>Arc de Guten Tak; Amulette du Strigide; Alliance Gloursonne; Bague Gloursonne; Bouclier cubiste; Ceinture du Strigide; Couronne du Roi Joueur; Cape Peupret; Bottes du Strigide; Dofus Ocre; Dolmanax; Dofus des Glaces; Dofus Abyssal; Dofus Turquoise; Entraveur majeur; Muldo Prune et Doré</t>
        </is>
      </c>
    </row>
    <row r="6810">
      <c r="A6810" t="inlineStr">
        <is>
          <t>stri fuji</t>
        </is>
      </c>
      <c r="B6810">
        <f>HYPERLINK("https://www.dofusbook.net/fr/equipement/1824501-stri-fuji/objets", "link")</f>
        <v/>
      </c>
      <c r="C6810" t="n">
        <v>1</v>
      </c>
      <c r="D6810" t="inlineStr">
        <is>
          <t>Epée Gloursonne; Amulette du Strigide; Alliance Gloursonne; Bague Gloursonne; Bouclier du Captain Amakna; Ceinture du Strigide; Coiffe de la Fuji Givrefoux; Cape de la Fuji Givrefoux; Bottes du Strigide; Dofus Turquoise; Dofus Nébuleux; Dolmanax; Dofus Ocre; Dofus Pourpre; Dofus Abyssal; Kramkram</t>
        </is>
      </c>
    </row>
    <row r="6811">
      <c r="A6811" t="inlineStr">
        <is>
          <t>TERRE YOLO</t>
        </is>
      </c>
      <c r="B6811">
        <f>HYPERLINK("https://www.dofusbook.net/fr/equipement/1709865-terre-yolo/objets", "link")</f>
        <v/>
      </c>
      <c r="C6811" t="n">
        <v>0</v>
      </c>
      <c r="D6811" t="inlineStr">
        <is>
          <t>Arc du Chalœil; Collier de Tourthon; Anneau Crustique; Anneau Crustique; Quatre-feuilles; Ceinture de Brouce; Masque de Koutoulou; Cape au Logis; Bottes de Brouce; Dofus Ocre; Dofus Pourpre; Dofus Turquoise; Dofus Nébuleux; Enragé majeur; Forcené majeur; Kompost</t>
        </is>
      </c>
    </row>
    <row r="6812">
      <c r="A6812" t="inlineStr">
        <is>
          <t>doucritik</t>
        </is>
      </c>
      <c r="B6812">
        <f>HYPERLINK("https://www.dofusbook.net/fr/equipement/1720376-doucritik/objets", "link")</f>
        <v/>
      </c>
      <c r="C6812" t="n">
        <v>2</v>
      </c>
      <c r="D6812" t="inlineStr">
        <is>
          <t>Sabres d'Atcham; Amulette du Strigide; Bracelet du Piloztère; Anneau de Padgref; Quatre-feuilles; Ceinture du Strigide; Coiffe de Padgref; Cape d'Atcham; Getas de Padgref; Dofus Pourpre; Dolmanax; Dofus Turquoise; Dofus Nébuleux; Dofus Ocre; Dofus Abyssal; Muldo Prune et Emeraude</t>
        </is>
      </c>
    </row>
    <row r="6813">
      <c r="A6813" t="inlineStr">
        <is>
          <t>Air</t>
        </is>
      </c>
      <c r="B6813">
        <f>HYPERLINK("https://www.dofusbook.net/fr/equipement/5509847-air/objets", "link")</f>
        <v/>
      </c>
      <c r="C6813" t="n">
        <v>4</v>
      </c>
      <c r="D6813" t="inlineStr">
        <is>
          <t>Pelle de la Cour Sombre; Collier du Valet Veinard; Alliance Gloursonne; Gant du Valet Veinard; Cadran d'Air; Menoture; Dorabysses; Cape Indescriptible; Palmes Trithons; Dofus Abyssal; Dofus Pourpre; Dofus des Glaces; Cascadeur majeur; Nomade; Remueur; Blérodoudou</t>
        </is>
      </c>
    </row>
    <row r="6814">
      <c r="A6814" t="inlineStr">
        <is>
          <t>FEU ACTUEL</t>
        </is>
      </c>
      <c r="B6814">
        <f>HYPERLINK("https://www.dofusbook.net/fr/equipement/4232265-feu-actuel/objets", "link")</f>
        <v/>
      </c>
      <c r="C6814" t="n">
        <v>11</v>
      </c>
      <c r="D6814" t="inlineStr">
        <is>
          <t>Arc corrompu; Amulette Volkorne; Anneauræus; Anneauræus; Droiture de Fallanster; Croture; Casque Cyclopéen; Cape de Diondin; Bottes Innommables; Dofus Abyssal; Dofus Pourpre; Dofus des Glaces; Remueur; Érudit majeur; Nomade; Bisouglours</t>
        </is>
      </c>
    </row>
    <row r="6815">
      <c r="A6815" t="inlineStr">
        <is>
          <t>ougi eau</t>
        </is>
      </c>
      <c r="B6815">
        <f>HYPERLINK("https://www.dofusbook.net/fr/equipement/5845913-ougi-eau/objets", "link")</f>
        <v/>
      </c>
      <c r="C6815" t="n">
        <v>0</v>
      </c>
      <c r="D6815" t="inlineStr">
        <is>
          <t>Sceptre du Roi Joueur; Amulette de Shokkoth; Alliance Gloursonne; Bracelet des Fonds marins; Quatre-feuilles; Ceinture Glaciale; Masque des Fonds marins; Cape Glaciale; Sandales des Fonds marins; Dofus Ivoire; Dofus Ébène; Dofus Vulbis; Dofus Nébuleux; Dofus Ocre; Dofus Pourpre; Kanigloups</t>
        </is>
      </c>
    </row>
    <row r="6816">
      <c r="A6816" t="inlineStr">
        <is>
          <t>FULL EAU RET PA</t>
        </is>
      </c>
      <c r="B6816">
        <f>HYPERLINK("https://www.dofusbook.net/fr/equipement/2971752-full-eau-ret-pa/objets", "link")</f>
        <v/>
      </c>
      <c r="C6816" t="n">
        <v>3</v>
      </c>
      <c r="D6816" t="inlineStr">
        <is>
          <t>Sceptre du Roi Joueur; Amulette de Shokkoth; Bracelet des Fonds marins; Alliance Gloursonne; Quatre-feuilles; Ceinture Glaciale; Masque de Funespadon; Cape Glaciale; Pataugastrique; Dofus Nébuleux; Dofus Turquoise; Dofus Pourpre; Chanceux majeur; Nomade; Remueur; Kanigloups</t>
        </is>
      </c>
    </row>
    <row r="6817">
      <c r="A6817" t="inlineStr">
        <is>
          <t>nécrotique</t>
        </is>
      </c>
      <c r="B6817">
        <f>HYPERLINK("https://www.dofusbook.net/fr/equipement/5638779-necrotique/objets", "link")</f>
        <v/>
      </c>
      <c r="C6817" t="n">
        <v>0</v>
      </c>
      <c r="D6817" t="inlineStr">
        <is>
          <t>Arc Nécrotique; Amulette du Strigide; Alliance Gloursonne; Bague Trithon; Quatre-feuilles; Ceintacé; Masque Trithon; Cape de la Dame du Hasard; Bottes de la Dame du Hasard; Dofus Vulbis; Dofus Ocre; Dofus des Glaces; Dofus Turquoise; Dofus Nébuleux; Dofus Pourpre; Kokulte</t>
        </is>
      </c>
    </row>
    <row r="6818">
      <c r="A6818" t="inlineStr">
        <is>
          <t>Cra air/feu</t>
        </is>
      </c>
      <c r="B6818">
        <f>HYPERLINK("https://www.dofusbook.net/fr/equipement/5812058-cra-air-feu/objets", "link")</f>
        <v/>
      </c>
      <c r="C6818" t="n">
        <v>0</v>
      </c>
      <c r="D6818" t="inlineStr">
        <is>
          <t>Baguette Range; Amulette du Strigide; Anneau de Padgref; Bracelet du Piloztère; Quatre-feuilles; Ceinture du Strigide; Coiffe de Padgref; Cape de l'Œil Putride; Getas de Padgref; Dofus Ivoire; Dofus Ocre; Dofus Turquoise; Dofus Nébuleux; Dofus des Glaces; Dofus Vulbis; Kokulte</t>
        </is>
      </c>
    </row>
    <row r="6819">
      <c r="A6819" t="inlineStr">
        <is>
          <t>terre air</t>
        </is>
      </c>
      <c r="B6819">
        <f>HYPERLINK("https://www.dofusbook.net/fr/equipement/5410514-terre-air-/objets", "link")</f>
        <v/>
      </c>
      <c r="C6819" t="n">
        <v>1</v>
      </c>
      <c r="D6819" t="inlineStr">
        <is>
          <t>Baguette de Torkélonia; Amulette du Strigide; Bracelet du Piloztère; Alliance Gloursonne; Quatre-feuilles; Ceintacé; Corne de Torkélonia; Carapace de Torkélonia; Bottes du Strigide; Dofus Turquoise; Dofus Nébuleux; Dofus Pourpre; Dolmanax; Dofus des Glaces; Dofus Ocre; Kokulte</t>
        </is>
      </c>
    </row>
    <row r="6820">
      <c r="A6820" t="inlineStr">
        <is>
          <t>Terre FM VITA</t>
        </is>
      </c>
      <c r="B6820">
        <f>HYPERLINK("https://www.dofusbook.net/fr/equipement/5349322-terre-fm-vita/objets", "link")</f>
        <v/>
      </c>
      <c r="C6820" t="n">
        <v>0</v>
      </c>
      <c r="D6820" t="inlineStr">
        <is>
          <t>Arc du Chalœil; Collier de Tourthon; Anneau de Brouce; Anneau Crustique; Bouclier du Stalak; Ceinture de la Reine des Voleurs; Coiffe de la Reine des Voleurs; Cape au Logis; Bottes Honyme; Dofus Pourpre; Dofus des Glaces; Dofus Ivoire; Dofus Ocre; Dofus Ébène; Dévastateur Terre majeur; Bulbisou</t>
        </is>
      </c>
    </row>
    <row r="6821">
      <c r="A6821" t="inlineStr">
        <is>
          <t>EAU FM VITA</t>
        </is>
      </c>
      <c r="B6821">
        <f>HYPERLINK("https://www.dofusbook.net/fr/equipement/4840874-eau-fm-vita/objets", "link")</f>
        <v/>
      </c>
      <c r="C6821" t="n">
        <v>1</v>
      </c>
      <c r="D6821" t="inlineStr">
        <is>
          <t>Sceptre du Roi Joueur; Amulette de Shokkoth; Anneau Volkorne; Alliance Gloursonne; Bouclier du Stalak; Ceinture de la Reine des Voleurs; Kidibonnet; Cape de l'Œil Attentif; Bottes de la Reine des Voleurs; Dofus Ébène; Dofus des Glaces; Dofus Vulbis; Dofus Ocre; Dofus Pourpre; Dofus Ivoire; Kanigloups</t>
        </is>
      </c>
    </row>
    <row r="6822">
      <c r="A6822" t="inlineStr">
        <is>
          <t>Huppermage F 200</t>
        </is>
      </c>
      <c r="B6822">
        <f>HYPERLINK("https://www.dofusbook.net/fr/equipement/5588606-huppermage-f-200/objets", "link")</f>
        <v/>
      </c>
      <c r="C6822" t="n">
        <v>1</v>
      </c>
      <c r="D6822" t="inlineStr">
        <is>
          <t>Baguette de Torkélonia; Amulette du Strigide; Bracelet du Piloztère; Bague Gloursonne; Quatre-feuilles; Ceintacé; Casque Dragoeuf; Carapace de Torkélonia; Bottes du Strigide; Dofus Ivoire; Dofus Turquoise; Dofus Nébuleux; Dofus Ocre; Dofus Pourpre; Voyageur; Kokulte</t>
        </is>
      </c>
    </row>
    <row r="6823">
      <c r="A6823" t="inlineStr">
        <is>
          <t>Hupper EAU PVP</t>
        </is>
      </c>
      <c r="B6823">
        <f>HYPERLINK("https://www.dofusbook.net/fr/equipement/5510647-hupper-eau-pvp/objets", "link")</f>
        <v/>
      </c>
      <c r="C6823" t="n">
        <v>3</v>
      </c>
      <c r="D6823" t="inlineStr">
        <is>
          <t>Dagoulinantes; Amulette de Shokkoth; Anneau Volkorne; Alliance Gloursonne; Cadran d'Eau; Ceinture de Dame Jhessica; Kidibonnet; Cape du Sinistrofu; Bottes du Sinistrofu; Dofus Ocre; Dofus Nébuleux; Dofus Ivoire; Dofus Pourpre; Chanceux majeur; Nomade; Kanigloups</t>
        </is>
      </c>
    </row>
    <row r="6824">
      <c r="A6824" t="inlineStr">
        <is>
          <t>terre ret pm</t>
        </is>
      </c>
      <c r="B6824">
        <f>HYPERLINK("https://www.dofusbook.net/fr/equipement/5669379-terre-ret-pm/objets", "link")</f>
        <v/>
      </c>
      <c r="C6824" t="n">
        <v>0</v>
      </c>
      <c r="D6824" t="inlineStr">
        <is>
          <t>Arc de Guten Tak; Amulette du Strigide; Pikano; Bague Trithon; Quatre-feuilles; Ceintacé; Masque Trithon; Voile d'encre; Bottes du Strigide; Dofus Pourpre; Dofus Nébuleux; Dofus Ocre; Dofus Turquoise; Dofus Ivoire; Voyageur; Gwo Tofu Ventripotent</t>
        </is>
      </c>
    </row>
    <row r="6825">
      <c r="A6825" t="inlineStr">
        <is>
          <t>full terre Do po</t>
        </is>
      </c>
      <c r="B6825">
        <f>HYPERLINK("https://www.dofusbook.net/fr/equipement/2011039-full-terre-do-po/objets", "link")</f>
        <v/>
      </c>
      <c r="C6825" t="n">
        <v>1</v>
      </c>
      <c r="D6825" t="inlineStr">
        <is>
          <t>Arc du Chalœil; Collier de Tourthon; Anneau Chevelu; Bague Trithon; Quatre-feuilles; Ceintacé; Scaphandre Ojine; Cape au Logis; Bottes Trithon; Dofus des Glaces; Dofus Pourpre; Enragé majeur; Culbuteur majeur; Remueur; Bousculeur majeur; Black Tiwabbit</t>
        </is>
      </c>
    </row>
    <row r="6826">
      <c r="A6826" t="inlineStr">
        <is>
          <t>ougi torké</t>
        </is>
      </c>
      <c r="B6826">
        <f>HYPERLINK("https://www.dofusbook.net/fr/equipement/5668766-ougi-torke/objets", "link")</f>
        <v/>
      </c>
      <c r="C6826" t="n">
        <v>0</v>
      </c>
      <c r="D6826" t="inlineStr">
        <is>
          <t>Marteau Reine; Amulette du Strigide; Anneau Chevelu; Bague Gloursonne; Cadran d'Eau; Ceinture du Strigide; Corne de Torkélonia; Carapace de Torkélonia; Bottes du Strigide; Dofus Turquoise; Dofus Ébène; Dofus Nébuleux; Dofus Vulbis; Dofus Pourpre; Dofus Ocre; Kokulte</t>
        </is>
      </c>
    </row>
    <row r="6827">
      <c r="A6827" t="inlineStr">
        <is>
          <t>terre do po</t>
        </is>
      </c>
      <c r="B6827">
        <f>HYPERLINK("https://www.dofusbook.net/fr/equipement/5662789-terre-do-po/objets", "link")</f>
        <v/>
      </c>
      <c r="C6827" t="n">
        <v>0</v>
      </c>
      <c r="D6827" t="inlineStr">
        <is>
          <t>Arc du Chalœil; Torquistik; Bague Trithon; Bague Gloursonne; Quatre-feuilles; Ceinture Gence; Cape du Cœur Vaillant; Bottistik; Dofus Pourpre; Dofus Turquoise; Bousculeur majeur; Nomade; Remueur; Culbuteur majeur; Black Tiwabbit</t>
        </is>
      </c>
    </row>
    <row r="6828">
      <c r="A6828" t="inlineStr">
        <is>
          <t>feu eau</t>
        </is>
      </c>
      <c r="B6828">
        <f>HYPERLINK("https://www.dofusbook.net/fr/equipement/4245513-feu-eau/objets", "link")</f>
        <v/>
      </c>
      <c r="C6828" t="n">
        <v>8</v>
      </c>
      <c r="D6828" t="inlineStr">
        <is>
          <t>Arc Nécrotique; Amulette Volkorne; Alliance Gloursonne; Anneau Volkorne; Quatre-feuilles; Cape de la Dame du Hasard; Pataugastrique; Dofus des Glaces; Dofus Pourpre; Dofus Turquoise; Nomade; Remueur; Vigoureux majeur; Kokulte</t>
        </is>
      </c>
    </row>
    <row r="6829">
      <c r="A6829" t="inlineStr">
        <is>
          <t>croco Eau</t>
        </is>
      </c>
      <c r="B6829">
        <f>HYPERLINK("https://www.dofusbook.net/fr/equipement/5619678-croco--eau/objets", "link")</f>
        <v/>
      </c>
      <c r="C6829" t="n">
        <v>0</v>
      </c>
      <c r="D6829" t="inlineStr">
        <is>
          <t>Dagues Cacterre; Collier de la Dame du Hasard; Alliance Gloursonne; Bague Trithon; Droiture de Fallanster; Ceintacé; Masque Trithon; Cape de la Dame du Hasard; Bottes de la Dame du Hasard; Dofus Turquoise; Dofus Abyssal; Dofus Pourpre; Dolmanax; Dofus Émeraude; Voyageur; Kokulte</t>
        </is>
      </c>
    </row>
    <row r="6830">
      <c r="A6830" t="inlineStr">
        <is>
          <t>croco</t>
        </is>
      </c>
      <c r="B6830">
        <f>HYPERLINK("https://www.dofusbook.net/fr/equipement/5618811-croco/objets", "link")</f>
        <v/>
      </c>
      <c r="C6830" t="n">
        <v>0</v>
      </c>
      <c r="D6830" t="inlineStr">
        <is>
          <t>Crocobur; Amulette du Strigide; Chevalière du Roi Joueur; Bague Gloursonne; Cadran d'Eau; Ceinture Volkorne; Masque de Koutoulou; Cape au Logis; Pompes Funèbres; Dofus Turquoise; Dofus Émeraude; Dofus Pourpre; Vigoureux majeur; Enragé majeur; Remueur; Bulbisou</t>
        </is>
      </c>
    </row>
    <row r="6831">
      <c r="A6831" t="inlineStr">
        <is>
          <t>Feu opti</t>
        </is>
      </c>
      <c r="B6831">
        <f>HYPERLINK("https://www.dofusbook.net/fr/equipement/5600157-feu-opti/objets", "link")</f>
        <v/>
      </c>
      <c r="C6831" t="n">
        <v>0</v>
      </c>
      <c r="D6831" t="inlineStr">
        <is>
          <t>Dagues Ricol; Amulette Volkorne; Anneauræus; Chevalière du Roi Joueur; Cadran d'Eau; Croture; Couronne du Roi Joueur; Voile d'encre; Bottes Honyme; Dofus Pourpre; Dofus Turquoise; Temporiseur majeur; Érudit majeur; Remueur; Nomade; Bisouglours</t>
        </is>
      </c>
    </row>
    <row r="6832">
      <c r="A6832" t="inlineStr">
        <is>
          <t>FEU ROXX MALé</t>
        </is>
      </c>
      <c r="B6832">
        <f>HYPERLINK("https://www.dofusbook.net/fr/equipement/5600085-feu-roxx-male/objets", "link")</f>
        <v/>
      </c>
      <c r="C6832" t="n">
        <v>0</v>
      </c>
      <c r="D6832" t="inlineStr">
        <is>
          <t>Baguette de Malléfisk; Pendentif affamé; Chevalière du Roi Joueur; Anneauræus; Cadran d'Eau; Ceinture de Vortex; Cagoule de Vortex; Voile d'encre; Pantoufles Émar; Dofus des Glaces; Dofus Turquoise; Dolmanax; Dofus Pourpre; Remueur; Nomade; Médugivre</t>
        </is>
      </c>
    </row>
    <row r="6833">
      <c r="A6833" t="inlineStr">
        <is>
          <t>eau /air nouveaus st</t>
        </is>
      </c>
      <c r="B6833">
        <f>HYPERLINK("https://www.dofusbook.net/fr/equipement/1048762-eau--air-nouveaus-st/objets", "link")</f>
        <v/>
      </c>
      <c r="C6833" t="n">
        <v>0</v>
      </c>
      <c r="D6833" t="inlineStr">
        <is>
          <t>Epée Loponèze; Amulette Voldelor; Bracelet des Fonds marins; Alliance Gloursonne; Cadran d'Eau; Menoture; Némès de Tal Kasha; Chevelure de Tal Kasha; Sandales de Tal Kasha; Dofus Nébuleux; Dofus Turquoise; Dofus Pourpre; Dofus des Glaces; Dolmanax; Voyageur; Kokulte</t>
        </is>
      </c>
    </row>
    <row r="6834">
      <c r="A6834" t="inlineStr">
        <is>
          <t>EAU AIR VIOLENT</t>
        </is>
      </c>
      <c r="B6834">
        <f>HYPERLINK("https://www.dofusbook.net/fr/equipement/3802231-eau-air-violent/objets", "link")</f>
        <v/>
      </c>
      <c r="C6834" t="n">
        <v>0</v>
      </c>
      <c r="D6834" t="inlineStr">
        <is>
          <t>Arc de Koutoulou; Amulette du Strigide; Bracelet du Piloztère; Alliance Gloursonne; Cadran de Terre; Ceintacé; Casque Dragoeuf; Chevelure de Tal Kasha; Bottes du Strigide; Dofus Turquoise; Dofus Ocre; Dofus des Glaces; Dofus Nébuleux; Dofus Pourpre; Nomade; Kokulte</t>
        </is>
      </c>
    </row>
    <row r="6835">
      <c r="A6835" t="inlineStr">
        <is>
          <t>EAU AIR VIOLENT 2</t>
        </is>
      </c>
      <c r="B6835">
        <f>HYPERLINK("https://www.dofusbook.net/fr/equipement/3877876-eau-air-violent-2/objets", "link")</f>
        <v/>
      </c>
      <c r="C6835" t="n">
        <v>1</v>
      </c>
      <c r="D6835" t="inlineStr">
        <is>
          <t>Hache du Korriandre; Amulette du Strigide; Alliance Gloursonne; Bague Gloursonne; Bouclier du Captain Amakna; Ceinture du Strigide; Némès de Tal Kasha; Chevelure de Tal Kasha; Sandales de Tal Kasha; Dofus des Glaces; Dofus Vulbis; Dofus Ocre; Dofus Pourpre; Dofus Ivoire; Dofus Turquoise; Kokulte</t>
        </is>
      </c>
    </row>
    <row r="6836">
      <c r="A6836" t="inlineStr">
        <is>
          <t>arc nécrotique</t>
        </is>
      </c>
      <c r="B6836">
        <f>HYPERLINK("https://www.dofusbook.net/fr/equipement/4614571-arc-necrotique/objets", "link")</f>
        <v/>
      </c>
      <c r="C6836" t="n">
        <v>2</v>
      </c>
      <c r="D6836" t="inlineStr">
        <is>
          <t>Arc Nécrotique; Amulette Volkorne; Anneau Volkorne; Bague Trithon; Quatre-feuilles; Ceintacé; Masque Trithon; Cape de la Dame du Hasard; Bottes de la Dame du Hasard; Dofus Ocre; Dofus Turquoise; Dofus Vulbis; Dofus des Glaces; Dofus Nébuleux; Dofus Pourpre; Kokulte</t>
        </is>
      </c>
    </row>
    <row r="6837">
      <c r="A6837" t="inlineStr">
        <is>
          <t>steamer do po</t>
        </is>
      </c>
      <c r="B6837">
        <f>HYPERLINK("https://www.dofusbook.net/fr/equipement/5585491-steamer-do-po/objets", "link")</f>
        <v/>
      </c>
      <c r="C6837" t="n">
        <v>0</v>
      </c>
      <c r="D6837" t="inlineStr">
        <is>
          <t>Plume de Buhorado; Amulette du Cœur Vaillant; Bague Trithon; Alliance Gloursonne; Cadran d'Air; Menoture; Dorabysses; Cape du Cœur Vaillant; Bottes Trithon; Dofus Turquoise; Dokoko; Dofus Ocre; Dofus Abyssal; Dofus Pourpre; Bousculeur majeur; Tofoudre</t>
        </is>
      </c>
    </row>
    <row r="6838">
      <c r="A6838" t="inlineStr">
        <is>
          <t>Full TERR AIR TORKE</t>
        </is>
      </c>
      <c r="B6838">
        <f>HYPERLINK("https://www.dofusbook.net/fr/equipement/5548468-full-terr-air-torke/objets", "link")</f>
        <v/>
      </c>
      <c r="C6838" t="n">
        <v>0</v>
      </c>
      <c r="D6838" t="inlineStr">
        <is>
          <t>Baguette de Torkélonia; Amulette du Strigide; Bague Trithon; Alliance Gloursonne; Quatre-feuilles; Ceintacé; Corne de Torkélonia; Carapace de Torkélonia; Bottes du Strigide; Dofus Turquoise; Dofus Nébuleux; Dofus Pourpre; Dofus des Glaces; Dofus Ocre; Dofus Ivoire; Kokulte</t>
        </is>
      </c>
    </row>
    <row r="6839">
      <c r="A6839" t="inlineStr">
        <is>
          <t>stuff full terre</t>
        </is>
      </c>
      <c r="B6839">
        <f>HYPERLINK("https://www.dofusbook.net/fr/equipement/2011059-stuff-full-terre/objets", "link")</f>
        <v/>
      </c>
      <c r="C6839" t="n">
        <v>3</v>
      </c>
      <c r="D6839" t="inlineStr">
        <is>
          <t>Lav'Hache; Collier de Tourthon; Anneau Chevelu; Anneau de Brouce; Bouclier d'Ilyzaelle; Ceinture Volkorne; Casque Dragoeuf; Cape au Logis; Bottes Honyme; Dofus Ocre; Dofus Ivoire; Dofus Ébène; Dofus Pourpre; Dofus Nébuleux; Enragé majeur; Bulbisou</t>
        </is>
      </c>
    </row>
    <row r="6840">
      <c r="A6840" t="inlineStr">
        <is>
          <t>TERRE AIR</t>
        </is>
      </c>
      <c r="B6840">
        <f>HYPERLINK("https://www.dofusbook.net/fr/equipement/4614569-terre-air/objets", "link")</f>
        <v/>
      </c>
      <c r="C6840" t="n">
        <v>4</v>
      </c>
      <c r="D6840" t="inlineStr">
        <is>
          <t>Baguette de Torkélonia; Amulette du Strigide; Alliance Gloursonne; Bague Trithon; Droiture de Fallanster; Ceintacé; Corne de Torkélonia; Carapace de Torkélonia; Bottes du Strigide; Dofus Abyssal; Dofus des Glaces; Dofus Ocre; Dofus Ivoire; Dofus Turquoise; Dofus Nébuleux; Kokulte</t>
        </is>
      </c>
    </row>
    <row r="6841">
      <c r="A6841" t="inlineStr">
        <is>
          <t>FEU DO PO</t>
        </is>
      </c>
      <c r="B6841">
        <f>HYPERLINK("https://www.dofusbook.net/fr/equipement/5566090-feu-do-po/objets", "link")</f>
        <v/>
      </c>
      <c r="C6841" t="n">
        <v>2</v>
      </c>
      <c r="D6841" t="inlineStr">
        <is>
          <t>Dagues Ricol; Torquistik; Anneauræus; Chevalière du Roi Joueur; Cadran d'Eau; Croture; Heaume Oplate; Voile d'encre; Bottistik; Dofus Abyssal; Érudit majeur; Remueur; Bousculeur majeur; Nomade; Culbuteur majeur; Scarakiri</t>
        </is>
      </c>
    </row>
    <row r="6842">
      <c r="A6842" t="inlineStr">
        <is>
          <t>sacri tank</t>
        </is>
      </c>
      <c r="B6842">
        <f>HYPERLINK("https://www.dofusbook.net/fr/equipement/3767113-sacri-tank/objets", "link")</f>
        <v/>
      </c>
      <c r="C6842" t="n">
        <v>1</v>
      </c>
      <c r="D6842" t="inlineStr">
        <is>
          <t>Manthache; Collier du Valet Veinard; Gant du Valet Veinard; Alliance Gloursonne; Bouclier d'Ilyzaelle; Menoture; Casque Dragoeuf; Cape Martegel; Palmes Trithons; Dofus Ocre; Dofus Émeraude; Dofus Vulbis; Dofus Ivoire; Dofus Abyssal; Cascadeur majeur; Dragodinde en armure</t>
        </is>
      </c>
    </row>
    <row r="6843">
      <c r="A6843" t="inlineStr">
        <is>
          <t>Hupper TERRE PVP</t>
        </is>
      </c>
      <c r="B6843">
        <f>HYPERLINK("https://www.dofusbook.net/fr/equipement/5514393-hupper-terre-pvp-/objets", "link")</f>
        <v/>
      </c>
      <c r="C6843" t="n">
        <v>0</v>
      </c>
      <c r="D6843" t="inlineStr">
        <is>
          <t>Lav'Hache; Amulette du Strigide; Anneau Volkorne; Anneau Chevelu; Bouclier d'Ilyzaelle; Ceinture Volkorne; Masque de Koutoulou; Cape au Logis; Bottes du Cœur Saignant; Dofus Ivoire; Dofus Abyssal; Dofus Ocre; Dofus Ébène; Dofus Turquoise; Enragé majeur; Bulbisou</t>
        </is>
      </c>
    </row>
    <row r="6844">
      <c r="A6844" t="inlineStr">
        <is>
          <t>EAU FEU NON CC</t>
        </is>
      </c>
      <c r="B6844">
        <f>HYPERLINK("https://www.dofusbook.net/fr/equipement/1505997-eau-feu-non-cc/objets", "link")</f>
        <v/>
      </c>
      <c r="C6844" t="n">
        <v>4</v>
      </c>
      <c r="D6844" t="inlineStr">
        <is>
          <t>Pyraguette; Amulette de l'Œil Putride; Alliance Gloursonne; Bracelet des Fonds marins; Bouclier du Stalak; Ceintrigue; Casqnoar; Cape de l'Œil Putride; Bottes Honyme; Dofus Ivoire; Dofus Pourpre; Dofus Vulbis; Dofus Ocre; Dofus Ébène; Dofus des Glaces; Walk</t>
        </is>
      </c>
    </row>
    <row r="6845">
      <c r="A6845" t="inlineStr">
        <is>
          <t>piege</t>
        </is>
      </c>
      <c r="B6845">
        <f>HYPERLINK("https://www.dofusbook.net/fr/equipement/5566028-piege/objets", "link")</f>
        <v/>
      </c>
      <c r="C6845" t="n">
        <v>4</v>
      </c>
      <c r="D6845" t="inlineStr">
        <is>
          <t>Dagues Eudin; Amulette du Strigide; Anneau Crustique; Chevalière du Roi Joueur; Quatre-feuilles; Ceintacé; Solomonk; Cape de Jahash Jurgen; Bottes du Strigide; Dofus Nébuleux; Dofus Turquoise; Dofus des Glaces; Dofus Ocre; Dofus Pourpre; Dofus Vulbis; Bulbisou</t>
        </is>
      </c>
    </row>
    <row r="6846">
      <c r="A6846" t="inlineStr">
        <is>
          <t>Ougi feu PVP</t>
        </is>
      </c>
      <c r="B6846">
        <f>HYPERLINK("https://www.dofusbook.net/fr/equipement/5529688-ougi-feu-pvp/objets", "link")</f>
        <v/>
      </c>
      <c r="C6846" t="n">
        <v>2</v>
      </c>
      <c r="D6846" t="inlineStr">
        <is>
          <t>Dagues Ricol; Amulette de Nileza; Chevalière du Roi Joueur; Bague Gloursonne; Cadran d'Eau; Croture; Heaume Oplate; Cape de Nileza; Pompes Funèbres; Dofus Abyssal; Dofus Pourpre; Nomade; Temporiseur majeur; Remueur; Érudit majeur; Bisouglours</t>
        </is>
      </c>
    </row>
    <row r="6847">
      <c r="A6847" t="inlineStr">
        <is>
          <t>AIR CAC</t>
        </is>
      </c>
      <c r="B6847">
        <f>HYPERLINK("https://www.dofusbook.net/fr/equipement/5548547-air-cac/objets", "link")</f>
        <v/>
      </c>
      <c r="C6847" t="n">
        <v>0</v>
      </c>
      <c r="D6847" t="inlineStr">
        <is>
          <t>Hachoirs de Viandargh; Amulette Volkorne; Alliance Gloursonne; Anneau Volkorne; Cadran d'Eau; Menoture; Casque Volkorne; Chevelure de Tal Kasha; Sandales de Tal Kasha; Dofus Turquoise; Dofus Ocre; Dofus Abyssal; Dofus Ivoire; Dofus Nébuleux; Dofus des Glaces; Kokulte</t>
        </is>
      </c>
    </row>
    <row r="6848">
      <c r="A6848" t="inlineStr">
        <is>
          <t>AIR PVP</t>
        </is>
      </c>
      <c r="B6848">
        <f>HYPERLINK("https://www.dofusbook.net/fr/equipement/5533300-air-pvp/objets", "link")</f>
        <v/>
      </c>
      <c r="C6848" t="n">
        <v>3</v>
      </c>
      <c r="D6848" t="inlineStr">
        <is>
          <t>Manthache; Collier du Valet Veinard; Alliance Gloursonne; Gant du Valet Veinard; Cadran d'Air; Menoture; Dorabysses; Cape Martegel; Palmes Trithons; Dofus Abyssal; Dofus Ivoire; Dofus Pourpre; Dofus Ocre; Cascadeur majeur; Nomade; Koalak Sanguin</t>
        </is>
      </c>
    </row>
    <row r="6849">
      <c r="A6849" t="inlineStr">
        <is>
          <t>Terre EAU RET PM</t>
        </is>
      </c>
      <c r="B6849">
        <f>HYPERLINK("https://www.dofusbook.net/fr/equipement/5529046-terre-eau-ret-pm/objets", "link")</f>
        <v/>
      </c>
      <c r="C6849" t="n">
        <v>2</v>
      </c>
      <c r="D6849" t="inlineStr">
        <is>
          <t>Dagues de Srambad; Amulette Luminescente; Bague Trithon; Anneau Volkorne; Bouclier cubiste; Ceinture Volkorne; Masque Trithon; Cape Luminescente; Bottes Honyme; Dofus Ivoire; Dofus Turquoise; Dofus des Glaces; Dofus Ocre; Dofus Nébuleux; Dofus Pourpre; Léopardo</t>
        </is>
      </c>
    </row>
    <row r="6850">
      <c r="A6850" t="inlineStr">
        <is>
          <t>srambad</t>
        </is>
      </c>
      <c r="B6850">
        <f>HYPERLINK("https://www.dofusbook.net/fr/equipement/1558879-srambad/objets", "link")</f>
        <v/>
      </c>
      <c r="C6850" t="n">
        <v>1</v>
      </c>
      <c r="D6850" t="inlineStr">
        <is>
          <t>Baguette des égarés; Amulette de l'Indicible; Goulano; Alliance Gloursonne; Bouclier du Stalak; Ceinture de la Reine des Voleurs; Coiffe de la Reine des Voleurs; Voile d'encre; Bottes Honyme; Dofus Pourpre; Dofus des Glaces; Dofus Nébuleux; Dofus Ocre; Vigoureux majeur; Nomade; Léopardo</t>
        </is>
      </c>
    </row>
    <row r="6851">
      <c r="A6851" t="inlineStr">
        <is>
          <t>FEU EAU C A C</t>
        </is>
      </c>
      <c r="B6851">
        <f>HYPERLINK("https://www.dofusbook.net/fr/equipement/3933659-feu-eau-c-a-c/objets", "link")</f>
        <v/>
      </c>
      <c r="C6851" t="n">
        <v>3</v>
      </c>
      <c r="D6851" t="inlineStr">
        <is>
          <t>Arc Nécrotique; Amulette Volkorne; Anneau Volkorne; Bague Trithon; Quatre-feuilles; Ceintacé; Masque Trithon; Cape de la Dame du Hasard; Bottes de la Dame du Hasard; Dofus des Glaces; Dofus Turquoise; Dofus Pourpre; Dofus Ocre; Dofus Ivoire; Voyageur; Kokulte</t>
        </is>
      </c>
    </row>
    <row r="6852">
      <c r="A6852" t="inlineStr">
        <is>
          <t>panda soutien 2</t>
        </is>
      </c>
      <c r="B6852">
        <f>HYPERLINK("https://www.dofusbook.net/fr/equipement/5513616-panda-soutien-2/objets", "link")</f>
        <v/>
      </c>
      <c r="C6852" t="n">
        <v>2</v>
      </c>
      <c r="D6852" t="inlineStr">
        <is>
          <t>Rouleau à Pâtisserie d'Aermyne; Collier Rophante; Anneau de Pol Ouatnos; Crocanneau; Droiture de Fallanster; Ceinture de Kongoku; Masque d'Anerice; Cape d'Anerice; Getas Bernacle; Dofus Pourpre; Dofus Turquoise; Remueur; Nomade; Miraculé majeur; Vigoureux majeur; Kougnard</t>
        </is>
      </c>
    </row>
    <row r="6853">
      <c r="A6853" t="inlineStr">
        <is>
          <t>ancien stuff multi</t>
        </is>
      </c>
      <c r="B6853">
        <f>HYPERLINK("https://www.dofusbook.net/fr/equipement/818175-ancien-stuff-multi/objets", "link")</f>
        <v/>
      </c>
      <c r="C6853" t="n">
        <v>2</v>
      </c>
      <c r="D6853" t="inlineStr">
        <is>
          <t>Hache du Chalœil; Amulette du Strigide; Alliance Gloursonne; Bague Trithon; Bouclier du Captain Amakna; Ceintacé; Masque Trithon; Voile d'encre; Bottes du Strigide; Dolmanax; Dofus Pourpre; Dofus Ocre; Dofus Turquoise; Dofus Ivoire; Voyageur; Kokulte</t>
        </is>
      </c>
    </row>
    <row r="6854">
      <c r="A6854" t="inlineStr">
        <is>
          <t>PANDA SOUTIEN SONGE</t>
        </is>
      </c>
      <c r="B6854">
        <f>HYPERLINK("https://www.dofusbook.net/fr/equipement/4384376-panda-soutien-songe/objets", "link")</f>
        <v/>
      </c>
      <c r="C6854" t="n">
        <v>6</v>
      </c>
      <c r="D6854" t="inlineStr">
        <is>
          <t>Rouleau à Pâtisserie d'Aermyne; Amulette Cryochrone; Anneau Cryochrone; Anneau Toriété; Droiture de Fallanster; Ceintacé; Casque Dragoeuf; Voile d'encre; Getas Bernacle; Dofus Turquoise; Dofus Pourpre; Nomade; Miraculé majeur; Vigoureux majeur; Remueur; Kougnard</t>
        </is>
      </c>
    </row>
    <row r="6855">
      <c r="A6855" t="inlineStr">
        <is>
          <t>FEU FM VITA</t>
        </is>
      </c>
      <c r="B6855">
        <f>HYPERLINK("https://www.dofusbook.net/fr/equipement/5491569-feu-fm-vita/objets", "link")</f>
        <v/>
      </c>
      <c r="C6855" t="n">
        <v>2</v>
      </c>
      <c r="D6855" t="inlineStr">
        <is>
          <t>Arc corrompu; Amulette Volkorne; Anneauræus; Anneauræus; Bouclier du Stalak; Croture; Casque Cyclopéen; Cape de Diondin; Bottes Innommables; Dofus Ébène; Dofus des Glaces; Dofus Ivoire; Dofus Ocre; Dofus Vulbis; Dévastateur Feu majeur; Bisouglours</t>
        </is>
      </c>
    </row>
    <row r="6856">
      <c r="A6856" t="inlineStr">
        <is>
          <t>FEU QUI NO RESI ROXX</t>
        </is>
      </c>
      <c r="B6856">
        <f>HYPERLINK("https://www.dofusbook.net/fr/equipement/5349211-feu-qui-no-resi-roxx/objets", "link")</f>
        <v/>
      </c>
      <c r="C6856" t="n">
        <v>1</v>
      </c>
      <c r="D6856" t="inlineStr">
        <is>
          <t>Arc corrompu; Amulette Volkorne; Anneau Volkorne; Anneau Tamie; Bouclier du Stalak; Sangle Aise; Heaume Oplate; Cape de Jahash Jurgen; Bottes Innommables; Dofus Ivoire; Dofus Ébène; Dofus Pourpre; Dofus des Glaces; Nomade; Érudit majeur; Bisouglours</t>
        </is>
      </c>
    </row>
    <row r="6857">
      <c r="A6857" t="inlineStr">
        <is>
          <t>HUZ FEU</t>
        </is>
      </c>
      <c r="B6857">
        <f>HYPERLINK("https://www.dofusbook.net/fr/equipement/5349297-huz-feu/objets", "link")</f>
        <v/>
      </c>
      <c r="C6857" t="n">
        <v>3</v>
      </c>
      <c r="D6857" t="inlineStr">
        <is>
          <t>Arc corrompu; Amulette Volkorne; Anneauræus; Anneauræus; Bouclier du Stalak; Ceinture Volkorne; Heaume Oplate; Voile d'encre; Bottes Innommables; Dofus Ébène; Dofus des Glaces; Dofus Pourpre; Dofus Vulbis; Dofus Ivoire; Dofus Ocre; Bisouglours</t>
        </is>
      </c>
    </row>
    <row r="6858">
      <c r="A6858" t="inlineStr">
        <is>
          <t>feu</t>
        </is>
      </c>
      <c r="B6858">
        <f>HYPERLINK("https://www.dofusbook.net/fr/equipement/5398695-feu/objets", "link")</f>
        <v/>
      </c>
      <c r="C6858" t="n">
        <v>0</v>
      </c>
      <c r="D6858" t="inlineStr">
        <is>
          <t>Arc corrompu; Pendentif mignon de Koutoulou; Anneauræus; Chevalière du Roi Joueur; Bouclier du Stalak; Croture; Casque Cyclopéen; Voile d'encre; Pataugastrique; Dofus des Glaces; Dofus Ocre; Dofus Ébène; Dofus Pourpre; Dofus Ivoire; Dofus Vulbis; Bisouglours</t>
        </is>
      </c>
    </row>
    <row r="6859">
      <c r="A6859" t="inlineStr">
        <is>
          <t>terre feu roub</t>
        </is>
      </c>
      <c r="B6859">
        <f>HYPERLINK("https://www.dofusbook.net/fr/equipement/5349017-terre-feu-roub/objets", "link")</f>
        <v/>
      </c>
      <c r="C6859" t="n">
        <v>0</v>
      </c>
      <c r="D6859" t="inlineStr">
        <is>
          <t>Arc corrompu; Amulette de Nileza; Anneauræus; Anneauræus; Bouclier du Stalak; Ceinture Séculaire; Coiffe Séculaire; Cape de Nileza; Bottes Honyme; Dofus Ivoire; Dofus Vulbis; Dofus Ébène; Dofus des Glaces; Dofus Pourpre; Dofus Ocre; Bisouglours</t>
        </is>
      </c>
    </row>
    <row r="6860">
      <c r="A6860" t="inlineStr">
        <is>
          <t>feu roxx</t>
        </is>
      </c>
      <c r="B6860">
        <f>HYPERLINK("https://www.dofusbook.net/fr/equipement/5348830-feu-roxx/objets", "link")</f>
        <v/>
      </c>
      <c r="C6860" t="n">
        <v>0</v>
      </c>
      <c r="D6860" t="inlineStr">
        <is>
          <t>Arc corrompu; Amulette de Nileza; Anneauræus; Anneauræus; Bouclier du Stalak; Ceinture de Vortex; Heaume Oplate; Cape de Nileza; Bottes Innommables; Dofus Ivoire; Dofus des Glaces; Dofus Ocre; Dofus Ébène; Dofus Pourpre; Nomade; Bisouglours</t>
        </is>
      </c>
    </row>
    <row r="6861">
      <c r="A6861" t="inlineStr">
        <is>
          <t>Eau ret pa</t>
        </is>
      </c>
      <c r="B6861">
        <f>HYPERLINK("https://www.dofusbook.net/fr/equipement/5349098-eau-ret-pa/objets", "link")</f>
        <v/>
      </c>
      <c r="C6861" t="n">
        <v>0</v>
      </c>
      <c r="D6861" t="inlineStr">
        <is>
          <t>Baguette de Malléfisk; Amulette d'Ilyzaelle; Lavanneau; Alliance Gloursonne; Bivalve; Ceintrigue; Casque d'Ilyzaelle; Cape Solution; Pataugastrique; Dofus Vulbis; Dofus Ivoire; Dofus des Glaces; Étourdisseur majeur; Guérisseur majeur; Chanceux majeur; Ross</t>
        </is>
      </c>
    </row>
    <row r="6862">
      <c r="A6862" t="inlineStr">
        <is>
          <t>roub terre</t>
        </is>
      </c>
      <c r="B6862">
        <f>HYPERLINK("https://www.dofusbook.net/fr/equipement/4181545-roub-terre/objets", "link")</f>
        <v/>
      </c>
      <c r="C6862" t="n">
        <v>2</v>
      </c>
      <c r="D6862" t="inlineStr">
        <is>
          <t>Arc du Chalœil; Collier de Tourthon; Anneau Chevelu; Anneau de Brouce; Bouclier du Stalak; Ceinture de la Reine des Voleurs; Coiffe de la Reine des Voleurs; Cape au Logis; Bottes Honyme; Dofus Pourpre; Dofus des Glaces; Dofus Ocre; Dofus Ivoire; Dofus Ébène; Dévastateur Terre majeur; Dragodinde Prune et Pourpre</t>
        </is>
      </c>
    </row>
    <row r="6863">
      <c r="A6863" t="inlineStr">
        <is>
          <t>Feu Qui</t>
        </is>
      </c>
      <c r="B6863">
        <f>HYPERLINK("https://www.dofusbook.net/fr/equipement/4614421-feu-qui/objets", "link")</f>
        <v/>
      </c>
      <c r="C6863" t="n">
        <v>7</v>
      </c>
      <c r="D6863" t="inlineStr">
        <is>
          <t>Arc corrompu; Amulette Volkorne; Anneauræus; Anneauræus; Bouclier du Stalak; Ceinture Séculaire; Coiffe Séculaire; Cape de Diondin; Pompes Funèbres; Dofus Pourpre; Dofus des Glaces; Dofus Ocre; Dévastateur Feu majeur; Érudit majeur; Nomade; Bisouglours</t>
        </is>
      </c>
    </row>
    <row r="6864">
      <c r="A6864" t="inlineStr">
        <is>
          <t>FULL FEU</t>
        </is>
      </c>
      <c r="B6864">
        <f>HYPERLINK("https://www.dofusbook.net/fr/equipement/3186749-full-feu/objets", "link")</f>
        <v/>
      </c>
      <c r="C6864" t="n">
        <v>6</v>
      </c>
      <c r="D6864" t="inlineStr">
        <is>
          <t>Arc corrompu; Amulette Volkorne; Anneauræus; Chevalière du Roi Joueur; Bouclier du Stalak; Ceinture Volkorne; Coiffe Séculaire; Voile d'encre; Pataugastrique; Dofus Pourpre; Dofus Ocre; Dofus Vulbis; Dofus Ivoire; Dofus Ébène; Dofus des Glaces; Bisouglours</t>
        </is>
      </c>
    </row>
    <row r="6865">
      <c r="A6865" t="inlineStr">
        <is>
          <t>iop PVM</t>
        </is>
      </c>
      <c r="B6865">
        <f>HYPERLINK("https://www.dofusbook.net/fr/equipement/5122784-iop-pvm/objets", "link")</f>
        <v/>
      </c>
      <c r="C6865" t="n">
        <v>2</v>
      </c>
      <c r="D6865" t="inlineStr">
        <is>
          <t>Hache du Chalœil; Amulette du Strigide; Bague Trithon; Alliance Gloursonne; Quatre-feuilles; Ceintacé; Masque Trithon; Voile d'encre; Bottes du Strigide; Dolmanax; Dofus Pourpre; Dofus Ocre; Dofus Ivoire; Dofus Turquoise; Voyageur; Kokulte</t>
        </is>
      </c>
    </row>
    <row r="6866">
      <c r="A6866" t="inlineStr">
        <is>
          <t>terre roub 2</t>
        </is>
      </c>
      <c r="B6866">
        <f>HYPERLINK("https://www.dofusbook.net/fr/equipement/4210499-terre-roub-2/objets", "link")</f>
        <v/>
      </c>
      <c r="C6866" t="n">
        <v>1</v>
      </c>
      <c r="D6866" t="inlineStr">
        <is>
          <t>Arc du Chalœil; Collier de Tourthon; Anneau Volkorne; Anneau de Brouce; Quatre-feuilles; Ceinture Volkorne; Masque Vaudou Eth; Cape au Logis; Sabots Minables; Dofus Ivoire; Dofus Pourpre; Dofus Abyssal; Dofus Ocre; Dofus Ébène; Dofus des Glaces; Dragodinde Prune et Pourpre</t>
        </is>
      </c>
    </row>
    <row r="6867">
      <c r="A6867" t="inlineStr">
        <is>
          <t>Feu</t>
        </is>
      </c>
      <c r="B6867">
        <f>HYPERLINK("https://www.dofusbook.net/fr/equipement/3084569-feu/objets", "link")</f>
        <v/>
      </c>
      <c r="C6867" t="n">
        <v>4</v>
      </c>
      <c r="D6867" t="inlineStr">
        <is>
          <t>Arc corrompu; Amulette Volkorne; Anneauræus; Anneauræus; Bouclier du Stalak; Ceinture Séculaire; Coiffe Séculaire; Cape de Diondin; Pompes Funèbres; Dofus des Glaces; Dofus Ivoire; Dofus Ocre; Érudit majeur; Dévastateur Feu majeur; Nomade; Bisouglours</t>
        </is>
      </c>
    </row>
    <row r="6868">
      <c r="A6868" t="inlineStr">
        <is>
          <t>EAU FEU pyraguette</t>
        </is>
      </c>
      <c r="B6868">
        <f>HYPERLINK("https://www.dofusbook.net/fr/equipement/4343303-eau-feu-pyraguette/objets", "link")</f>
        <v/>
      </c>
      <c r="C6868" t="n">
        <v>0</v>
      </c>
      <c r="D6868" t="inlineStr">
        <is>
          <t>Pyraguette; Talisman Igans; Alliance Gloursonne; Lavanneau; Bouclier du Stalak; Ceintrigue; Kidibonnet; Voilamibe; Getas Bernacle; Dofus des Glaces; Dofus Pourpre; Vigoureux majeur; Nomade; Féroce majeur; Remueur; Kougnard</t>
        </is>
      </c>
    </row>
    <row r="6869">
      <c r="A6869" t="inlineStr">
        <is>
          <t>FEU TIMTOTO</t>
        </is>
      </c>
      <c r="B6869">
        <f>HYPERLINK("https://www.dofusbook.net/fr/equipement/5067147-feu-timtoto/objets", "link")</f>
        <v/>
      </c>
      <c r="C6869" t="n">
        <v>0</v>
      </c>
      <c r="D6869" t="inlineStr">
        <is>
          <t>Dagues Ricol; Amulette Volkorne; Anneauræus; Anneauræus; Bouclier d'Ilyzaelle; Ceinture Séculaire; Coiffe Séculaire; Cape de Diondin; Bottes Innommables; Dofus Pourpre; Dofus Ivoire; Dofus Nébuleux; Nomade; Remueur; Érudit majeur; Brûlih</t>
        </is>
      </c>
    </row>
    <row r="6870">
      <c r="A6870" t="inlineStr">
        <is>
          <t>violent feu</t>
        </is>
      </c>
      <c r="B6870">
        <f>HYPERLINK("https://www.dofusbook.net/fr/equipement/3743781-violent-feu/objets", "link")</f>
        <v/>
      </c>
      <c r="C6870" t="n">
        <v>4</v>
      </c>
      <c r="D6870" t="inlineStr">
        <is>
          <t>Arc corrompu; Amulette Volkorne; Anneau Tamie; Anneau Tamie; Bouclier du Stalak; Ceinture Séculaire; Coiffe Séculaire; Cape de Diondin; Bottes Innommables; Dofus des Glaces; Dofus Ivoire; Dofus Ocre; Érudit majeur; Dévastateur Feu majeur; Nomade; Bisouglours</t>
        </is>
      </c>
    </row>
    <row r="6871">
      <c r="A6871" t="inlineStr">
        <is>
          <t>Feu Dommage fixe</t>
        </is>
      </c>
      <c r="B6871">
        <f>HYPERLINK("https://www.dofusbook.net/fr/equipement/4838178-feu-dommage-fixe/objets", "link")</f>
        <v/>
      </c>
      <c r="C6871" t="n">
        <v>5</v>
      </c>
      <c r="D6871" t="inlineStr">
        <is>
          <t>Arc corrompu; Amulette Volkorne; Anneau Tamie; Anneau Tamie; Bouclier du Stalak; Ceinture Volkorne; Heaume Oplate; Voile d'encre; Bottes Innommables; Dofus Ivoire; Dofus des Glaces; Dofus Ocre; Érudit majeur; Dévastateur Feu majeur; Nomade; Bisouglours</t>
        </is>
      </c>
    </row>
    <row r="6872">
      <c r="A6872" t="inlineStr">
        <is>
          <t>Terre feu Air</t>
        </is>
      </c>
      <c r="B6872">
        <f>HYPERLINK("https://www.dofusbook.net/fr/equipement/4377198-terre-feu-air/objets", "link")</f>
        <v/>
      </c>
      <c r="C6872" t="n">
        <v>6</v>
      </c>
      <c r="D6872" t="inlineStr">
        <is>
          <t>Pelle Vétik; Amulette du Strigide; Bracelet du Piloztère; Bague Gloursonne; Quatre-feuilles; Ceintacé; Maskrobe; Cape Reski; Bottes du Strigide; Dofus Turquoise; Dofus Pourpre; Miraculé majeur; Nomade; Vigoureux majeur; Remueur; Kougnard</t>
        </is>
      </c>
    </row>
    <row r="6873">
      <c r="A6873" t="inlineStr">
        <is>
          <t>feu malé soutien</t>
        </is>
      </c>
      <c r="B6873">
        <f>HYPERLINK("https://www.dofusbook.net/fr/equipement/5035520-feu-male-soutien/objets", "link")</f>
        <v/>
      </c>
      <c r="C6873" t="n">
        <v>0</v>
      </c>
      <c r="D6873" t="inlineStr">
        <is>
          <t>Baguette de Malléfisk; Amulette de Nileza; Anneauræus; Anneau Toriété; Bouclier du Cycloïde; Ceinture de Vortex; Cagoule de Vortex; Cape de Diondin; Pataugastrique; Dofus Pourpre; Vigoureux majeur; Nomade; Remueur; Observateur; Érudit majeur; Meuch</t>
        </is>
      </c>
    </row>
    <row r="6874">
      <c r="A6874" t="inlineStr">
        <is>
          <t>Eau retrait pa</t>
        </is>
      </c>
      <c r="B6874">
        <f>HYPERLINK("https://www.dofusbook.net/fr/equipement/3227194-eau-retrait-pa/objets", "link")</f>
        <v/>
      </c>
      <c r="C6874" t="n">
        <v>3</v>
      </c>
      <c r="D6874" t="inlineStr">
        <is>
          <t>Sceptre du Roi Joueur; Amulette de Shokkoth; Bracelet des Fonds marins; Alliance Gloursonne; Cadran de Terre; Ceinture Glaciale; Masque de Funespadon; Cape Glaciale; Pataugastrique; Dofus Ocre; Dofus Pourpre; Dofus des Glaces; Étourdisseur majeur; Chanceux majeur; Nomade; Kanigloups</t>
        </is>
      </c>
    </row>
    <row r="6875">
      <c r="A6875" t="inlineStr">
        <is>
          <t>ougi eau esqui pa</t>
        </is>
      </c>
      <c r="B6875">
        <f>HYPERLINK("https://www.dofusbook.net/fr/equipement/4963113-ougi-eau-esqui-pa/objets", "link")</f>
        <v/>
      </c>
      <c r="C6875" t="n">
        <v>1</v>
      </c>
      <c r="D6875" t="inlineStr">
        <is>
          <t>Sceptre du Roi Joueur; Amulette de Shokkoth; Alliance Gloursonne; Anneau Volkorne; Quatre-feuilles; Ceinture Voldelor; Capuche de l'Œil Attentif; Cape de l'Œil Attentif; Pataugastrique; Dofus Ébène; Dofus des Glaces; Dofus Pourpre; Chanceux majeur; Nomade; Remueur; Dragodinde Prune et Indigo</t>
        </is>
      </c>
    </row>
    <row r="6876">
      <c r="A6876" t="inlineStr">
        <is>
          <t>FULL EAU .</t>
        </is>
      </c>
      <c r="B6876">
        <f>HYPERLINK("https://www.dofusbook.net/fr/equipement/3036922-full-eau--/objets", "link")</f>
        <v/>
      </c>
      <c r="C6876" t="n">
        <v>4</v>
      </c>
      <c r="D6876" t="inlineStr">
        <is>
          <t>Rapière aux Glyphes; Amulette de Shokkoth; Alliance Gloursonne; Bracelet des Fonds marins; Bouclier du Stalak; Sangle Ouare; Masque de Funespadon; Cape Solution; Sandales des Fonds marins; Dofus Ivoire; Dofus Pourpre; Dofus Turquoise; Remueur; Chanceux majeur; Vigoureux majeur; Dragodinde Amande et Indigo</t>
        </is>
      </c>
    </row>
    <row r="6877">
      <c r="A6877" t="inlineStr">
        <is>
          <t>chaleoil</t>
        </is>
      </c>
      <c r="B6877">
        <f>HYPERLINK("https://www.dofusbook.net/fr/equipement/4289676-chaleoil/objets", "link")</f>
        <v/>
      </c>
      <c r="C6877" t="n">
        <v>9</v>
      </c>
      <c r="D6877" t="inlineStr">
        <is>
          <t>Hache du Chalœil; Amulette du Strigide; Bague Trithon; Alliance Gloursonne; Quatre-feuilles; Ceintacé; Masque Trithon; Voile d'encre; Bottes du Strigide; Dofus Nébuleux; Dofus des Glaces; Dofus Turquoise; Dolmanax; Dofus Pourpre; Voyageur; Sakochère</t>
        </is>
      </c>
    </row>
    <row r="6878">
      <c r="A6878" t="inlineStr">
        <is>
          <t>ihka</t>
        </is>
      </c>
      <c r="B6878">
        <f>HYPERLINK("https://www.dofusbook.net/fr/equipement/4897968-ihka/objets", "link")</f>
        <v/>
      </c>
      <c r="C6878" t="n">
        <v>1</v>
      </c>
      <c r="D6878" t="inlineStr">
        <is>
          <t>Spatule Tranche-Gourmands; Amulette du Strigide; Bracelet du Piloztère; Bouclier du Captain Amakna; Ceintacé; Coiffe de la Reine des Voleurs; Cape au Logis; Bottes du Strigide; Dofus Ocre; Dofus Turquoise; Dofus Ébène; Dofus Pourpre; Dofus Ivoire; Dofus des Glaces; Kokulte</t>
        </is>
      </c>
    </row>
    <row r="6879">
      <c r="A6879" t="inlineStr">
        <is>
          <t>terre feu</t>
        </is>
      </c>
      <c r="B6879">
        <f>HYPERLINK("https://www.dofusbook.net/fr/equipement/4887897-terre-feu/objets", "link")</f>
        <v/>
      </c>
      <c r="C6879" t="n">
        <v>0</v>
      </c>
      <c r="D6879" t="inlineStr">
        <is>
          <t>Poolache; Amulette Volkorne; Chevalière du Roi Joueur; Bague Gloursonne; Bouclier d'Ilyzaelle; Ceinture Volkorne; Couronne du Roi Joueur; Voile d'encre; Bottes du Roi Joueur; Dofus Abyssal; Dofus Ocre; Dofus Pourpre; Dofus Turquoise; Dofus des Glaces; Voyageur; Léopardo</t>
        </is>
      </c>
    </row>
    <row r="6880">
      <c r="A6880" t="inlineStr">
        <is>
          <t>MEGA EAU</t>
        </is>
      </c>
      <c r="B6880">
        <f>HYPERLINK("https://www.dofusbook.net/fr/equipement/4614498-mega-eau/objets", "link")</f>
        <v/>
      </c>
      <c r="C6880" t="n">
        <v>0</v>
      </c>
      <c r="D6880" t="inlineStr">
        <is>
          <t>Sceptre du Roi Joueur; Amulette de Shokkoth; Bracelet des Fonds marins; Anneau Volkorne; Bouclier du Stalak; Ceinture Voldelor; Masque des Fonds marins; Cape Solution; Bottes du Sinistrofu; Dofus Pourpre; Dofus Ivoire; Dofus Ocre; Dofus des Glaces; Nomade; Étourdisseur majeur; Kanigloups</t>
        </is>
      </c>
    </row>
    <row r="6881">
      <c r="A6881" t="inlineStr">
        <is>
          <t>eau roxx</t>
        </is>
      </c>
      <c r="B6881">
        <f>HYPERLINK("https://www.dofusbook.net/fr/equipement/4840932-eau-roxx-/objets", "link")</f>
        <v/>
      </c>
      <c r="C6881" t="n">
        <v>0</v>
      </c>
      <c r="D6881" t="inlineStr">
        <is>
          <t>Sceptre du Roi Joueur; Amulette de Shokkoth; Alliance Gloursonne; Anneau Volkorne; Quatre-feuilles; Ceinture Voldelor; Kidibonnet; Cape du Sinistrofu; Bottes du Sinistrofu; Dofus Ébène; Dofus Ocre; Dofus Pourpre; Dofus Ivoire; Dofus des Glaces; Nomade; Dragodinde Prune et Indigo</t>
        </is>
      </c>
    </row>
    <row r="6882">
      <c r="A6882" t="inlineStr">
        <is>
          <t>MEGA AIR</t>
        </is>
      </c>
      <c r="B6882">
        <f>HYPERLINK("https://www.dofusbook.net/fr/equipement/4614535-mega-air/objets", "link")</f>
        <v/>
      </c>
      <c r="C6882" t="n">
        <v>4</v>
      </c>
      <c r="D6882" t="inlineStr">
        <is>
          <t>Manthache; Collier du Valet Veinard; Gant du Valet Veinard; Alliance Gloursonne; Bouclier du Stalak; Menoture; Couronne d'Allister; Cape Indescriptible; Palmes Trithons; Dofus Pourpre; Dofus Nébuleux; Dofus des Glaces; Cascadeur majeur; Remueur; Nomade; Blérodoudou</t>
        </is>
      </c>
    </row>
    <row r="6883">
      <c r="A6883" t="inlineStr">
        <is>
          <t>ougi feufollet</t>
        </is>
      </c>
      <c r="B6883">
        <f>HYPERLINK("https://www.dofusbook.net/fr/equipement/4773920-ougi-feufollet/objets", "link")</f>
        <v/>
      </c>
      <c r="C6883" t="n">
        <v>2</v>
      </c>
      <c r="D6883" t="inlineStr">
        <is>
          <t>Dagues Ricol; Amulette Volkorne; Bague Gloursonne; Anneauræus; Bouclier d'Ilyzaelle; Ceinture Volkorne; Heaume Oplate; Voile d'encre; Pompes Funèbres; Dofus Nébuleux; Dofus Abyssal; Dofus Pourpre; Remueur; Nomade; Érudit majeur; Dragodinde Ivoire et Orchidée</t>
        </is>
      </c>
    </row>
    <row r="6884">
      <c r="A6884" t="inlineStr">
        <is>
          <t>Steamer M 200 do po</t>
        </is>
      </c>
      <c r="B6884">
        <f>HYPERLINK("https://www.dofusbook.net/fr/equipement/3359630-steamer-m-200-do-po/objets", "link")</f>
        <v/>
      </c>
      <c r="C6884" t="n">
        <v>2</v>
      </c>
      <c r="D6884" t="inlineStr">
        <is>
          <t>Lav'Hache; Torquistik; Bague Trithon; Bague Instable; Bouclier précieux; Ceinture Gence; Casque Dragoeuf; Cape Solution; Bottistik; Dofus Abyssal; Culbuteur majeur; Culbuteur; Pousseur majeur; Bousculeur majeur; Balafreux</t>
        </is>
      </c>
    </row>
    <row r="6885">
      <c r="A6885" t="inlineStr">
        <is>
          <t>Steamer air do po</t>
        </is>
      </c>
      <c r="B6885">
        <f>HYPERLINK("https://www.dofusbook.net/fr/equipement/3359629-steamer-air-do-po/objets", "link")</f>
        <v/>
      </c>
      <c r="C6885" t="n">
        <v>1</v>
      </c>
      <c r="D6885" t="inlineStr">
        <is>
          <t>Hachoirs de Viandargh; Amulette du Cœur Vaillant; Bague Trithon; Alliance Gloursonne; Bouclier du Stalak; Menoture; Dorabysses; Cape des Malveilleurs; Bottes Trithon; Dofus Abyssal; Bousculeur majeur; Culbuteur majeur; Nomade; Cascadeur majeur; Remueur; Tofoudre</t>
        </is>
      </c>
    </row>
    <row r="6886">
      <c r="A6886" t="inlineStr">
        <is>
          <t>Ougi Feu roxx ret pm</t>
        </is>
      </c>
      <c r="B6886">
        <f>HYPERLINK("https://www.dofusbook.net/fr/equipement/3371127-ougi-feu-roxx-ret-pm/objets", "link")</f>
        <v/>
      </c>
      <c r="C6886" t="n">
        <v>3</v>
      </c>
      <c r="D6886" t="inlineStr">
        <is>
          <t>Dagues Ricol; Amulette Volkorne; Bague Gloursonne; Anneauræus; Bouclier d'Ilyzaelle; Ceinture Volkorne; Heaume Oplate; Voile d'encre; Pompes Funèbres; Dofus Pourpre; Dofus Abyssal; Nomade; Temporiseur majeur; Érudit majeur; Remueur; Léopardo</t>
        </is>
      </c>
    </row>
    <row r="6887">
      <c r="A6887" t="inlineStr">
        <is>
          <t>MOULTI FLEX</t>
        </is>
      </c>
      <c r="B6887">
        <f>HYPERLINK("https://www.dofusbook.net/fr/equipement/4019346-moulti-flex/objets", "link")</f>
        <v/>
      </c>
      <c r="C6887" t="n">
        <v>1</v>
      </c>
      <c r="D6887" t="inlineStr">
        <is>
          <t>Poolache; Amulette du Strigide; Alliance Gloursonne; Bague Trithon; Quatre-feuilles; Ceintacé; Masque Trithon; Cape au Logis; Bottes du Strigide; Dofus Nébuleux; Dofus des Glaces; Dofus Abyssal; Dofus Turquoise; Dolmanax; Dofus Pourpre; Sakochère</t>
        </is>
      </c>
    </row>
    <row r="6888">
      <c r="A6888" t="inlineStr">
        <is>
          <t>FEU SOIN</t>
        </is>
      </c>
      <c r="B6888">
        <f>HYPERLINK("https://www.dofusbook.net/fr/equipement/4269770-feu-soin/objets", "link")</f>
        <v/>
      </c>
      <c r="C6888" t="n">
        <v>3</v>
      </c>
      <c r="D6888" t="inlineStr">
        <is>
          <t>Arc corrompu; Pendentif affamé; Bague Gloursonne; Anneauræus; Bouclier du Cycloïde; Ceinture de Vortex; Cagoule de Vortex; Cape de Diondin; Bottes Innommables; Dofus Turquoise; Dofus Pourpre; Remueur; Guérisseur majeur; Érudit majeur; Nomade; Ross</t>
        </is>
      </c>
    </row>
    <row r="6889">
      <c r="A6889" t="inlineStr">
        <is>
          <t>feu air ROXX PO</t>
        </is>
      </c>
      <c r="B6889">
        <f>HYPERLINK("https://www.dofusbook.net/fr/equipement/4615492-feu-air-roxx-po/objets", "link")</f>
        <v/>
      </c>
      <c r="C6889" t="n">
        <v>2</v>
      </c>
      <c r="D6889" t="inlineStr">
        <is>
          <t>Marteau Phossile; Amulette du Strigide; Bracelet du Piloztère; Bague Trithon; Quatre-feuilles; Ceinture du Strigide; Masque Trithon; Voile d'encre; Bottes Trithon; Dofus Abyssal; Dofus Pourpre; Dofus des Glaces; Dolmanax; Dofus Turquoise; Voyageur; Sakochère</t>
        </is>
      </c>
    </row>
    <row r="6890">
      <c r="A6890" t="inlineStr">
        <is>
          <t>hécache</t>
        </is>
      </c>
      <c r="B6890">
        <f>HYPERLINK("https://www.dofusbook.net/fr/equipement/4614600-hecache/objets", "link")</f>
        <v/>
      </c>
      <c r="C6890" t="n">
        <v>1</v>
      </c>
      <c r="D6890" t="inlineStr">
        <is>
          <t>Héqache; Amulette du Strigide; Bracelet du Piloztère; Bague Trithon; Quatre-feuilles; Ceinture du Strigide; Masque Trithon; Cape du Kamasterisk; Bottes Trithon; Dolmanax; Dofus Abyssal; Dofus Turquoise; Dofus des Glaces; Dofus Pourpre; Voyageur; Sakochère</t>
        </is>
      </c>
    </row>
    <row r="6891">
      <c r="A6891" t="inlineStr">
        <is>
          <t>hupper do po 2</t>
        </is>
      </c>
      <c r="B6891">
        <f>HYPERLINK("https://www.dofusbook.net/fr/equipement/4606456-hupper-do-po-2/objets", "link")</f>
        <v/>
      </c>
      <c r="C6891" t="n">
        <v>2</v>
      </c>
      <c r="D6891" t="inlineStr">
        <is>
          <t>Lav'Hache; Torquistik; Bague Trithon; Bague Instable; Ceinture Gence; Casque Dragoeuf; Cape du Cœur Vaillant; Bottistik; Dofus Abyssal; Nomade; Bousculeur majeur; Remueur; Pousseur majeur; Culbuteur majeur; Tatouf</t>
        </is>
      </c>
    </row>
    <row r="6892">
      <c r="A6892" t="inlineStr">
        <is>
          <t>hupper multiiii</t>
        </is>
      </c>
      <c r="B6892">
        <f>HYPERLINK("https://www.dofusbook.net/fr/equipement/4606553-hupper-multiiii/objets", "link")</f>
        <v/>
      </c>
      <c r="C6892" t="n">
        <v>2</v>
      </c>
      <c r="D6892" t="inlineStr">
        <is>
          <t>Hache du Chalœil; Amulette Volkorne; Anneau Volkorne; Bague Trithon; Quatre-feuilles; Ceinture Volkorne; Masque Trithon; Dofusteuse; Bottes Trithon; Dolmanax; Dofus Pourpre; Dokoko; Dofus Abyssal; Dofus des Glaces; Dofus Turquoise; Sakochère</t>
        </is>
      </c>
    </row>
    <row r="6893">
      <c r="A6893" t="inlineStr">
        <is>
          <t>hupper Do po</t>
        </is>
      </c>
      <c r="B6893">
        <f>HYPERLINK("https://www.dofusbook.net/fr/equipement/4606377-hupper-do-po/objets", "link")</f>
        <v/>
      </c>
      <c r="C6893" t="n">
        <v>1</v>
      </c>
      <c r="D6893" t="inlineStr">
        <is>
          <t>Hache Ériphe; Torquistik; Bague Instable; Bague Trithon; Bouclier précieux; Sangle Ouare; Masque du Barbétoal; Cape Solution; Bottistik; Dofus Abyssal; Culbuteur majeur; Carapace Feu majeur; Pousseur majeur; Bousculeur majeur; Remueur; Tatouf</t>
        </is>
      </c>
    </row>
    <row r="6894">
      <c r="A6894" t="inlineStr">
        <is>
          <t>TERRE EAU</t>
        </is>
      </c>
      <c r="B6894">
        <f>HYPERLINK("https://www.dofusbook.net/fr/equipement/4536710-terre-eau-/objets", "link")</f>
        <v/>
      </c>
      <c r="C6894" t="n">
        <v>3</v>
      </c>
      <c r="D6894" t="inlineStr">
        <is>
          <t>Arc du Chalœil; Amulette du Strigide; Anneau Toriété; Anneau Volkorne; Quatre-feuilles; Ceinture Volkorne; Masque de Funespadon; Cape Solution; Bottes du Strigide; Dofus Pourpre; Dofus Ivoire; Dolmanax; Dofus des Glaces; Dofus Turquoise; Dofus Ocre; Chacha Angora</t>
        </is>
      </c>
    </row>
    <row r="6895">
      <c r="A6895" t="inlineStr">
        <is>
          <t>full feu 1</t>
        </is>
      </c>
      <c r="B6895">
        <f>HYPERLINK("https://www.dofusbook.net/fr/equipement/271990-full-feu-1-/objets", "link")</f>
        <v/>
      </c>
      <c r="C6895" t="n">
        <v>2</v>
      </c>
      <c r="D6895" t="inlineStr">
        <is>
          <t>Arc corrompu; Amulette de Nileza; Anneauræus; Bague Gloursonne; Cadran de Terre; Ceinture de Vortex; Heaume Oplate; Cape de Nileza; Pompes Funèbres; Dofus Abyssal; Dofus Turquoise; Dofus Pourpre; Érudit majeur; Remueur; Nomade; Dragodinde Ivoire et Orchidée</t>
        </is>
      </c>
    </row>
    <row r="6896">
      <c r="A6896" t="inlineStr">
        <is>
          <t>MULTI VIOLENT</t>
        </is>
      </c>
      <c r="B6896">
        <f>HYPERLINK("https://www.dofusbook.net/fr/equipement/3806095-multi-violent/objets", "link")</f>
        <v/>
      </c>
      <c r="C6896" t="n">
        <v>1</v>
      </c>
      <c r="D6896" t="inlineStr">
        <is>
          <t>Hache Harnée; Amulette du Strigide; Alliance Gloursonne; Bague Trithon; Bouclier du Captain Amakna; Ceinture du Strigide; Masque Trithon; Voile d'encre; Bottes Trithon; Dofus Abyssal; Dofus Turquoise; Dofus des Glaces; Dofus Pourpre; Dolmanax; Voyageur; Sakochère</t>
        </is>
      </c>
    </row>
    <row r="6897">
      <c r="A6897" t="inlineStr">
        <is>
          <t>terre air</t>
        </is>
      </c>
      <c r="B6897">
        <f>HYPERLINK("https://www.dofusbook.net/fr/equipement/4588054-terre-air-/objets", "link")</f>
        <v/>
      </c>
      <c r="C6897" t="n">
        <v>2</v>
      </c>
      <c r="D6897" t="inlineStr">
        <is>
          <t>Héqache; Amulette du Strigide; Alliance Gloursonne; Bracelet du Piloztère; Quatre-feuilles; Ceinture Volkorne; Casque Volkorne; Cape du Kamasterisk; Bottes Honyme; Dolmanax; Dofus Turquoise; Dofus Abyssal; Dofus Pourpre; Dofus des Glaces; Voyageur; Sakochère</t>
        </is>
      </c>
    </row>
    <row r="6898">
      <c r="A6898" t="inlineStr">
        <is>
          <t>feu eau c a c</t>
        </is>
      </c>
      <c r="B6898">
        <f>HYPERLINK("https://www.dofusbook.net/fr/equipement/3951769-feu-eau-c-a-c/objets", "link")</f>
        <v/>
      </c>
      <c r="C6898" t="n">
        <v>2</v>
      </c>
      <c r="D6898" t="inlineStr">
        <is>
          <t>Dagues Cacterre; Amulette du Strigide; Bague Trithon; Bracelet du Piloztère; Bouclier du Captain Amakna; Ceinture du Strigide; Masque Trithon; Cape de la Dame du Hasard; Bottes Trithon; Dofus Ivoire; Dofus Nébuleux; Dofus Turquoise; Dofus des Glaces; Dofus Pourpre; Voyageur; Sakochère</t>
        </is>
      </c>
    </row>
    <row r="6899">
      <c r="A6899" t="inlineStr">
        <is>
          <t>feu eau kdhadada</t>
        </is>
      </c>
      <c r="B6899">
        <f>HYPERLINK("https://www.dofusbook.net/fr/equipement/4584342-feu-eau-kdhadada/objets", "link")</f>
        <v/>
      </c>
      <c r="C6899" t="n">
        <v>0</v>
      </c>
      <c r="D6899" t="inlineStr">
        <is>
          <t>Pyraguette; Amulette Volkorne; Alliance Gloursonne; Anneau Volkorne; Bouclier du Stalak; Ceinture de l'Esprit Malsain; Masque Paztek; Cape Paztek; Sandales Paztek; Dofus Ébène; Dofus Pourpre; Dofus Abyssal; Dofus Ivoire; Dofus Ocre; Dofus des Glaces; Fëanor</t>
        </is>
      </c>
    </row>
    <row r="6900">
      <c r="A6900" t="inlineStr">
        <is>
          <t>cra eau feu</t>
        </is>
      </c>
      <c r="B6900">
        <f>HYPERLINK("https://www.dofusbook.net/fr/equipement/4090145-cra-eau-feu/objets", "link")</f>
        <v/>
      </c>
      <c r="C6900" t="n">
        <v>0</v>
      </c>
      <c r="D6900" t="inlineStr">
        <is>
          <t>Baguette Hique; Amulette du Strigide; Alliance Gloursonne; Anneau Toriété; Quatre-feuilles; Poulpagne; Masque de l'Esprit Malsain; Cape de la Dame du Hasard; Bottes du Strigide; Dofus Nébuleux; Dofus Turquoise; Dofus Pourpre; Dofus Ivoire; Remueur; Nomade; Dragodinde Emeraude et Ivoire</t>
        </is>
      </c>
    </row>
    <row r="6901">
      <c r="A6901" t="inlineStr">
        <is>
          <t>EAU FEU necro</t>
        </is>
      </c>
      <c r="B6901">
        <f>HYPERLINK("https://www.dofusbook.net/fr/equipement/3951724-eau-feu-necro/objets", "link")</f>
        <v/>
      </c>
      <c r="C6901" t="n">
        <v>1</v>
      </c>
      <c r="D6901" t="inlineStr">
        <is>
          <t>Arc Nécrotique; Amulette Volkorne; Bague Trithon; Anneau Volkorne; Quatre-feuilles; Ceintacé; Masque Trithon; Cape de la Dame du Hasard; Bottes de la Dame du Hasard; Dofus Turquoise; Dofus des Glaces; Dofus Pourpre; Dolmanax; Dofus Abyssal; Voyageur; Sakochère</t>
        </is>
      </c>
    </row>
    <row r="6902">
      <c r="A6902" t="inlineStr">
        <is>
          <t>eau air</t>
        </is>
      </c>
      <c r="B6902">
        <f>HYPERLINK("https://www.dofusbook.net/fr/equipement/2735193-eau-air/objets", "link")</f>
        <v/>
      </c>
      <c r="C6902" t="n">
        <v>2</v>
      </c>
      <c r="D6902" t="inlineStr">
        <is>
          <t>Marteau des Anciens Steamers; Amulette de l'Œil Putride; Alliance Gloursonne; Bracelet des Fonds marins; Bouclier du Captain Amakna; Ceintacé; Némès de Tal Kasha; Chevelure de Tal Kasha; Sandales  d'Atcham; Dofus Pourpre; Dofus Turquoise; Dofus des Glaces; Nomade; Remueur; Vigoureux majeur; Kokulte</t>
        </is>
      </c>
    </row>
    <row r="6903">
      <c r="A6903" t="inlineStr">
        <is>
          <t>feu eau roxx</t>
        </is>
      </c>
      <c r="B6903">
        <f>HYPERLINK("https://www.dofusbook.net/fr/equipement/2143224-feu-eau-roxx/objets", "link")</f>
        <v/>
      </c>
      <c r="C6903" t="n">
        <v>2</v>
      </c>
      <c r="D6903" t="inlineStr">
        <is>
          <t>Épée Brûlâme; Amulette Volkorne; Anneau Volkorne; Alliance Gloursonne; Bouclier du Captain Amakna; Ceintacé; Casque Dragoeuf; Cape de la Dame du Hasard; Bottes de la Dame du Hasard; Dofus Pourpre; Dolmanax; Dofus Abyssal; Dofus Turquoise; Dofus des Glaces; Voyageur; Sakochère</t>
        </is>
      </c>
    </row>
    <row r="6904">
      <c r="A6904" t="inlineStr">
        <is>
          <t>Full Eau</t>
        </is>
      </c>
      <c r="B6904">
        <f>HYPERLINK("https://www.dofusbook.net/fr/equipement/4492844-full-eau/objets", "link")</f>
        <v/>
      </c>
      <c r="C6904" t="n">
        <v>1</v>
      </c>
      <c r="D6904" t="inlineStr">
        <is>
          <t>Dagoulinantes; Amulette de Shokkoth; Alliance Gloursonne; Anneau Volkorne; Bouclier du Captain Amakna; Sangle Ouare; Kidibonnet; Cape de la Dame du Hasard; Bottes de la Dame du Hasard; Dofus Turquoise; Dofus des Glaces; Dofus Pourpre; Dolmanax; Dofus Abyssal; Remueur; Pioute bleu</t>
        </is>
      </c>
    </row>
    <row r="6905">
      <c r="A6905" t="inlineStr">
        <is>
          <t>eau Feu pvp khada</t>
        </is>
      </c>
      <c r="B6905">
        <f>HYPERLINK("https://www.dofusbook.net/fr/equipement/3431300-eau-feu-pvp-khada/objets", "link")</f>
        <v/>
      </c>
      <c r="C6905" t="n">
        <v>6</v>
      </c>
      <c r="D6905" t="inlineStr">
        <is>
          <t>Arc Nécrotique; Amulette Volkorne; Anneau Volkorne; Alliance Gloursonne; Quatre-feuilles; Ceintacé; Capuche de l'Œil Putride; Cape de la Dame du Hasard; Bottes de la Dame du Hasard; Dofus Turquoise; Dofus Vulbis; Dofus Pourpre; Dofus Abyssal; Dofus des Glaces; Dofus Ocre; Léopardo</t>
        </is>
      </c>
    </row>
    <row r="6906">
      <c r="A6906" t="inlineStr">
        <is>
          <t>Multi crit</t>
        </is>
      </c>
      <c r="B6906">
        <f>HYPERLINK("https://www.dofusbook.net/fr/equipement/2707741-multi-crit/objets", "link")</f>
        <v/>
      </c>
      <c r="C6906" t="n">
        <v>2</v>
      </c>
      <c r="D6906" t="inlineStr">
        <is>
          <t>Hache du Chalœil; Amulette Volkorne; Anneau de Padgref; Anneau Volkorne; Quatre-feuilles; Ceinture Volkorne; Coiffe de Padgref; Cape de la Dame du Hasard; Getas de Padgref; Dofus Nébuleux; Dofus des Glaces; Dofus Turquoise; Dolmanax; Dofus Pourpre; Dofus Abyssal; Sakochère</t>
        </is>
      </c>
    </row>
    <row r="6907">
      <c r="A6907" t="inlineStr">
        <is>
          <t>cra kadha</t>
        </is>
      </c>
      <c r="B6907">
        <f>HYPERLINK("https://www.dofusbook.net/fr/equipement/4396814-cra-kadha/objets", "link")</f>
        <v/>
      </c>
      <c r="C6907" t="n">
        <v>4</v>
      </c>
      <c r="D6907" t="inlineStr">
        <is>
          <t>Hache du Guerrier Zoth; Amulette du Strigide; Anneau de Padgref; Alliance Gloursonne; Quatre-feuilles; Ceinture du Strigide; Coiffe de Padgref; Cape Reski; Getas de Padgref; Dotruche; Dofus Pourpre; Dofus Émeraude; Dofus Turquoise; Voyageur; Kokulte</t>
        </is>
      </c>
    </row>
    <row r="6908">
      <c r="A6908" t="inlineStr">
        <is>
          <t>Pandawa M 200 EAU</t>
        </is>
      </c>
      <c r="B6908">
        <f>HYPERLINK("https://www.dofusbook.net/fr/equipement/3454104-pandawa-m-200-eau/objets", "link")</f>
        <v/>
      </c>
      <c r="C6908" t="n">
        <v>0</v>
      </c>
      <c r="D6908" t="inlineStr">
        <is>
          <t>Dagoulinantes; Amulette de Shokkoth; Anneau Volkorne; Alliance Gloursonne; Bouclier du Stalak; Poulpagne; Kidibonnet; Cape du Sinistrofu; Bottes du Sinistrofu; Dofus Pourpre; Taquin majeur; Chanceux majeur; Remueur; Vigoureux majeur; Nomade; Dragodinde Amande et Indigo</t>
        </is>
      </c>
    </row>
    <row r="6909">
      <c r="A6909" t="inlineStr">
        <is>
          <t>T F A PO</t>
        </is>
      </c>
      <c r="B6909">
        <f>HYPERLINK("https://www.dofusbook.net/fr/equipement/2172157-t-f-a-po/objets", "link")</f>
        <v/>
      </c>
      <c r="C6909" t="n">
        <v>1</v>
      </c>
      <c r="D6909" t="inlineStr">
        <is>
          <t>Hache Harnée; Amulette du Strigide; Anneau Toriété; Alliance Gloursonne; Bouclier du Stalak; Ceintacé; Capuche de l'Œil Putride; Bottes du Strigide; Dofus Turquoise; Dofus Émeraude; Dofus Pourpre; Vigoureux majeur; Remueur; Observateur; Dragodinde Amande et Ivoire</t>
        </is>
      </c>
    </row>
    <row r="6910">
      <c r="A6910" t="inlineStr">
        <is>
          <t>air FEU VIOLENT</t>
        </is>
      </c>
      <c r="B6910">
        <f>HYPERLINK("https://www.dofusbook.net/fr/equipement/3809531-air-feu-violent/objets", "link")</f>
        <v/>
      </c>
      <c r="C6910" t="n">
        <v>0</v>
      </c>
      <c r="D6910" t="inlineStr">
        <is>
          <t>Baguette de Frigostine; Amulette du Strigide; Alliance Gloursonne; Anneau de Padgref; Cadran de Terre; Menoture; Coiffe de Padgref; Cape Indescriptible; Getas de Padgref; Dofus Nébuleux; Dofus Ivoire; Dofus Pourpre; Dofus des Glaces; Dofus Turquoise; Dofus Abyssal; Dragodinde Emeraude et Ivoire</t>
        </is>
      </c>
    </row>
    <row r="6911">
      <c r="A6911" t="inlineStr">
        <is>
          <t>air 1</t>
        </is>
      </c>
      <c r="B6911">
        <f>HYPERLINK("https://www.dofusbook.net/fr/equipement/2499589-air-1/objets", "link")</f>
        <v/>
      </c>
      <c r="C6911" t="n">
        <v>2</v>
      </c>
      <c r="D6911" t="inlineStr">
        <is>
          <t>Manthache; Collier du Valet Veinard; Gant du Valet Veinard; Alliance Gloursonne; Bouclier du Stalak; Menoture; Couronne d'Allister; Cape Indescriptible; Palmes Trithons; Dofus Abyssal; Dofus des Glaces; Dofus Émeraude; Remueur; Cascadeur majeur; Nomade; Blérodoudou</t>
        </is>
      </c>
    </row>
    <row r="6912">
      <c r="A6912" t="inlineStr">
        <is>
          <t>stuff Air</t>
        </is>
      </c>
      <c r="B6912">
        <f>HYPERLINK("https://www.dofusbook.net/fr/equipement/271996-stuff-air/objets", "link")</f>
        <v/>
      </c>
      <c r="C6912" t="n">
        <v>5</v>
      </c>
      <c r="D6912" t="inlineStr">
        <is>
          <t>Manthache; Collier du Valet Veinard; Alliance Gloursonne; Gant du Valet Veinard; Bouclier du Stalak; Menoture; Dorabysses; Cape Indescriptible; Palmes Trithons; Dofus Pourpre; Dofus des Glaces; Cascadeur majeur; Remueur; Dévastateur Air majeur; Nomade; Blérodoudou</t>
        </is>
      </c>
    </row>
    <row r="6913">
      <c r="A6913" t="inlineStr">
        <is>
          <t>T / F / A</t>
        </is>
      </c>
      <c r="B6913">
        <f>HYPERLINK("https://www.dofusbook.net/fr/equipement/1047578-t---f---a/objets", "link")</f>
        <v/>
      </c>
      <c r="C6913" t="n">
        <v>3</v>
      </c>
      <c r="D6913" t="inlineStr">
        <is>
          <t>Marteau de Katrepat; Amulette du Strigide; Bague Gloursonne; Bouclier du Captain Amakna; Ceintouse; Masque Brûlâme; Voile d'encre; Bottes du Strigide; Dofus Pourpre; Dofus des Glaces; Dofus Turquoise; Dofus Nébuleux; Remueur; Nomade; Sakochère</t>
        </is>
      </c>
    </row>
    <row r="6914">
      <c r="A6914" t="inlineStr">
        <is>
          <t>baguette Hique EAU</t>
        </is>
      </c>
      <c r="B6914">
        <f>HYPERLINK("https://www.dofusbook.net/fr/equipement/4285232-baguette-hique-eau/objets", "link")</f>
        <v/>
      </c>
      <c r="C6914" t="n">
        <v>2</v>
      </c>
      <c r="D6914" t="inlineStr">
        <is>
          <t>Baguette Hique; Collier de la Dame du Hasard; Alliance Gloursonne; Anneau Volkorne; Quatre-feuilles; Ceintacé; Némès de Tal Kasha; Cape de la Dame du Hasard; Bottes Antouche; Dofus Nébuleux; Dofus Pourpre; Dofus des Glaces; Dofus Turquoise; Nomade; Remueur; Kokulte</t>
        </is>
      </c>
    </row>
    <row r="6915">
      <c r="A6915" t="inlineStr">
        <is>
          <t>air Critique</t>
        </is>
      </c>
      <c r="B6915">
        <f>HYPERLINK("https://www.dofusbook.net/fr/equipement/4264358-air-critique/objets", "link")</f>
        <v/>
      </c>
      <c r="C6915" t="n">
        <v>0</v>
      </c>
      <c r="D6915" t="inlineStr">
        <is>
          <t>Plume de Buhorado; Amulette du Strigide; Gant du Valet Veinard; Alliance Gloursonne; Quatre-feuilles; Menoture; Dorabysses; Cape Indescriptible; Bottes du Strigide; Dofus Turquoise; Dofus Pourpre; Dofus Nébuleux; Cascadeur majeur; Remueur; Vigoureux majeur; Kokulte</t>
        </is>
      </c>
    </row>
    <row r="6916">
      <c r="A6916" t="inlineStr">
        <is>
          <t>roub eau</t>
        </is>
      </c>
      <c r="B6916">
        <f>HYPERLINK("https://www.dofusbook.net/fr/equipement/3454305-roub-eau-/objets", "link")</f>
        <v/>
      </c>
      <c r="C6916" t="n">
        <v>12</v>
      </c>
      <c r="D6916" t="inlineStr">
        <is>
          <t>Sceptre du Roi Joueur; Amulette de Shokkoth; Bracelet des Fonds marins; Alliance Gloursonne; Quatre-feuilles; Ceinture Glaciale; Némès de Tal Kasha; Cape Glaciale; Pataugastrique; Dofus Ocre; Dofus des Glaces; Dofus Turquoise; Nomade; Dévastateur Eau majeur; Chanceux majeur; Dragodinde Prune et Indigo</t>
        </is>
      </c>
    </row>
    <row r="6917">
      <c r="A6917" t="inlineStr">
        <is>
          <t>khada multi</t>
        </is>
      </c>
      <c r="B6917">
        <f>HYPERLINK("https://www.dofusbook.net/fr/equipement/4250015-khada-multi/objets", "link")</f>
        <v/>
      </c>
      <c r="C6917" t="n">
        <v>2</v>
      </c>
      <c r="D6917" t="inlineStr">
        <is>
          <t>Hache du Chalœil; Amulette Volkorne; Anneau Volkorne; Bague Trithon; Quatre-feuilles; Ceinture Volkorne; Masque Trithon; Cape au Logis; Pataugastrique; Dofus des Glaces; Dofus Pourpre; Dofus Ébène; Dofus Ocre; Dofus Ivoire; Dofus Turquoise; Kokulte</t>
        </is>
      </c>
    </row>
    <row r="6918">
      <c r="A6918" t="inlineStr">
        <is>
          <t>pvp</t>
        </is>
      </c>
      <c r="B6918">
        <f>HYPERLINK("https://www.dofusbook.net/fr/equipement/956263-pvp/objets", "link")</f>
        <v/>
      </c>
      <c r="C6918" t="n">
        <v>3</v>
      </c>
      <c r="D6918" t="inlineStr">
        <is>
          <t>Arc Nécrotique; Collier de la Dame du Hasard; Anneau Toriété; Alliance Gloursonne; Quatre-feuilles; Ceintacé; Casque Dragoeuf; Cape de la Dame du Hasard; Pataugastrique; Dofus Émeraude; Dofus Pourpre; Dofus Turquoise; Chanceux majeur; Vigoureux majeur; Érudit majeur; Kokulte</t>
        </is>
      </c>
    </row>
    <row r="6919">
      <c r="A6919" t="inlineStr">
        <is>
          <t>eau air c a c</t>
        </is>
      </c>
      <c r="B6919">
        <f>HYPERLINK("https://www.dofusbook.net/fr/equipement/2706222-eau-air-c-a-c-/objets", "link")</f>
        <v/>
      </c>
      <c r="C6919" t="n">
        <v>1</v>
      </c>
      <c r="D6919" t="inlineStr">
        <is>
          <t>Hache du Korriandre; Amulette du Strigide; Anneau Toriété; Alliance Gloursonne; Quatre-feuilles; Ceintacé; Némès de Tal Kasha; Cape de l'Œil Putride; Bottes du Strigide; Dofus Nébuleux; Dofus des Glaces; Dofus Turquoise; Dofus Pourpre; Remueur; Nomade; Kokulte</t>
        </is>
      </c>
    </row>
    <row r="6920">
      <c r="A6920" t="inlineStr">
        <is>
          <t>multi FLEX</t>
        </is>
      </c>
      <c r="B6920">
        <f>HYPERLINK("https://www.dofusbook.net/fr/equipement/4245253-multi-flex/objets", "link")</f>
        <v/>
      </c>
      <c r="C6920" t="n">
        <v>0</v>
      </c>
      <c r="D6920" t="inlineStr">
        <is>
          <t>Arc Nécrotique; Amulette Volkorne; Anneau Volkorne; Alliance Gloursonne; Quatre-feuilles; Ceinture de l'Esprit Malsain; Casque Volkorne; Cape de la Dame du Hasard; Bottes de la Dame du Hasard; Dofus des Glaces; Dofus Pourpre; Dofus Ocre; Dofus Émeraude; Dofus Turquoise; Sakochère</t>
        </is>
      </c>
    </row>
    <row r="6921">
      <c r="A6921" t="inlineStr">
        <is>
          <t>ougi full eau distan</t>
        </is>
      </c>
      <c r="B6921">
        <f>HYPERLINK("https://www.dofusbook.net/fr/equipement/3824846-ougi-full-eau-distan/objets", "link")</f>
        <v/>
      </c>
      <c r="C6921" t="n">
        <v>3</v>
      </c>
      <c r="D6921" t="inlineStr">
        <is>
          <t>Sceptre du Roi Joueur; Amulette de Shokkoth; Anneau Toriété; Alliance Gloursonne; Quatre-feuilles; Ceinture Glaciale; Némès de Tal Kasha; Cape Glaciale; Pataugastrique; Dofus Nébuleux; Dofus Pourpre; Nomade; Vigoureux majeur; Remueur; Chanceux majeur; Dragodinde Amande et Indigo</t>
        </is>
      </c>
    </row>
    <row r="6922">
      <c r="A6922" t="inlineStr">
        <is>
          <t>air</t>
        </is>
      </c>
      <c r="B6922">
        <f>HYPERLINK("https://www.dofusbook.net/fr/equipement/4221680-air/objets", "link")</f>
        <v/>
      </c>
      <c r="C6922" t="n">
        <v>3</v>
      </c>
      <c r="D6922" t="inlineStr">
        <is>
          <t>Plume de Buhorado; Collier du Valet Veinard; Gant du Valet Veinard; Alliance Gloursonne; Quatre-feuilles; Menoture; Dorabysses; Cape Indescriptible; Baleinabottes; Dofus Nébuleux; Dofus Pourpre; Cascadeur majeur; Dévastateur Air majeur; Vigoureux majeur; Remueur; Dragodinde Amande et Ebène</t>
        </is>
      </c>
    </row>
    <row r="6923">
      <c r="A6923" t="inlineStr">
        <is>
          <t>terre-feu</t>
        </is>
      </c>
      <c r="B6923">
        <f>HYPERLINK("https://www.dofusbook.net/fr/equipement/2979664-terre-feu/objets", "link")</f>
        <v/>
      </c>
      <c r="C6923" t="n">
        <v>2</v>
      </c>
      <c r="D6923" t="inlineStr">
        <is>
          <t>Epée Maudite du Saigneur Guerrier; Amulette du Strigide; Bague Gloursonne; Anneau Toriété; Cadran de Terre; Ceintacé; Masque Brûlâme; Cape de la Dame du Hasard; Bottes du Strigide; Dofus Nébuleux; Dofus Pourpre; Dofus Turquoise; Nomade; Remueur; Vigoureux majeur; Dragodinde Prune et Ivoire</t>
        </is>
      </c>
    </row>
    <row r="6924">
      <c r="A6924" t="inlineStr">
        <is>
          <t>Enutrof M 200</t>
        </is>
      </c>
      <c r="B6924">
        <f>HYPERLINK("https://www.dofusbook.net/fr/equipement/4213245-enutrof-m-200/objets", "link")</f>
        <v/>
      </c>
      <c r="C6924" t="n">
        <v>4</v>
      </c>
      <c r="D6924" t="inlineStr">
        <is>
          <t>Amulette de Nileza; Gelano; Bague Gloursonne; Carapar; Ceinture Hyolite; Masque du Glourséleste; Cape de Nileza; Pantoufles Émar; Temporiseur majeur; Remueur; Ralentisseur majeur; Entraveur majeur; Érudit majeur; Nomade; Léopardo</t>
        </is>
      </c>
    </row>
    <row r="6925">
      <c r="A6925" t="inlineStr">
        <is>
          <t>eau sapeuh</t>
        </is>
      </c>
      <c r="B6925">
        <f>HYPERLINK("https://www.dofusbook.net/fr/equipement/4212358-eau-sapeuh/objets", "link")</f>
        <v/>
      </c>
      <c r="C6925" t="n">
        <v>1</v>
      </c>
      <c r="D6925" t="inlineStr">
        <is>
          <t>Sceptre du Roi Joueur; Amulette de Shokkoth; Anneau Volkorne; Alliance Gloursonne; Bouclier du Stalak; Ceinture Glaciale; Masque des Fonds marins; Cape Solution; Sandales des Fonds marins; Dofus Pourpre; Dofus Nébuleux; Chanceux majeur; Nomade; Vigoureux majeur; Remueur; Dehluge</t>
        </is>
      </c>
    </row>
    <row r="6926">
      <c r="A6926" t="inlineStr">
        <is>
          <t>violent eau</t>
        </is>
      </c>
      <c r="B6926">
        <f>HYPERLINK("https://www.dofusbook.net/fr/equipement/3768044-violent-eau/objets", "link")</f>
        <v/>
      </c>
      <c r="C6926" t="n">
        <v>8</v>
      </c>
      <c r="D6926" t="inlineStr">
        <is>
          <t>Baguette Héroclite; Amulette de Shokkoth; Alliance Gloursonne; Anneau Volkorne; Cadran de Terre; Culotte de Bethel; Kidibonnet; Cape Solution; Chaussons de Macrab; Dofus Pourpre; Dofus Abyssal; Dofus des Glaces; Miraculé majeur; Chanceux majeur; Nomade; Kanigloups</t>
        </is>
      </c>
    </row>
    <row r="6927">
      <c r="A6927" t="inlineStr">
        <is>
          <t>Eau vita esqui PA</t>
        </is>
      </c>
      <c r="B6927">
        <f>HYPERLINK("https://www.dofusbook.net/fr/equipement/2012403-eau-vita-esqui-pa/objets", "link")</f>
        <v/>
      </c>
      <c r="C6927" t="n">
        <v>0</v>
      </c>
      <c r="D6927" t="inlineStr">
        <is>
          <t>Amulette de Shokkoth; Alliance Gloursonne; Bracelet des Fonds marins; Bouclier du Stalak; Poulpagne; Capuche de l'Œil Attentif; Cape de l'Œil Attentif; Sandales Circulaires du Kimbo; Dofus Pourpre; Dofus des Glaces; Dofus Abyssal; Chanceux majeur; Nomade; Remueur</t>
        </is>
      </c>
    </row>
    <row r="6928">
      <c r="A6928" t="inlineStr">
        <is>
          <t>Stuff eau</t>
        </is>
      </c>
      <c r="B6928">
        <f>HYPERLINK("https://www.dofusbook.net/fr/equipement/271997-stuff-eau/objets", "link")</f>
        <v/>
      </c>
      <c r="C6928" t="n">
        <v>1</v>
      </c>
      <c r="D6928" t="inlineStr">
        <is>
          <t>Rapière aux Glyphes; Amulette de Shokkoth; Bracelet des Fonds marins; Alliance Gloursonne; Quatre-feuilles; Poulpagne; Kidibonnet; Cape du Sinistrofu; Bottes du Sinistrofu; Dofus Pourpre; Dofus des Glaces; Miraculé majeur; Nomade; Chanceux majeur; Dévastateur Eau majeur; Kanigloups</t>
        </is>
      </c>
    </row>
    <row r="6929">
      <c r="A6929" t="inlineStr">
        <is>
          <t>Feu invocation</t>
        </is>
      </c>
      <c r="B6929">
        <f>HYPERLINK("https://www.dofusbook.net/fr/equipement/3165407-feu-invocation/objets", "link")</f>
        <v/>
      </c>
      <c r="C6929" t="n">
        <v>2</v>
      </c>
      <c r="D6929" t="inlineStr">
        <is>
          <t>Baguette de Malléfisk; Amulette Volkorne; Anneauræus; Anneau de Nidas; Carapar; Ceinture de Vortex; Cagoule de Vortex; Cape de Nileza; Pataugastrique; Dofus Pourpre; Dofus Abyssal; Érudit majeur; Remueur; Nomade; Miraculé majeur; Bisouglours</t>
        </is>
      </c>
    </row>
    <row r="6930">
      <c r="A6930" t="inlineStr">
        <is>
          <t>TERRE</t>
        </is>
      </c>
      <c r="B6930">
        <f>HYPERLINK("https://www.dofusbook.net/fr/equipement/4175566-terre/objets", "link")</f>
        <v/>
      </c>
      <c r="C6930" t="n">
        <v>4</v>
      </c>
      <c r="D6930" t="inlineStr">
        <is>
          <t>Arc du Chalœil; Collier de Tourthon; Anneau de Brouce; Anneau Chevelu; Quatre-feuilles; Ceinture de la Reine des Voleurs; Coiffe de la Reine des Voleurs; Cape au Logis; Sabots Minables; Dofus des Glaces; Dofus Pourpre; Dofus Ivoire; Dévastateur Terre majeur; Remueur; Enragé majeur; Bulbisou</t>
        </is>
      </c>
    </row>
    <row r="6931">
      <c r="A6931" t="inlineStr">
        <is>
          <t>full air</t>
        </is>
      </c>
      <c r="B6931">
        <f>HYPERLINK("https://www.dofusbook.net/fr/equipement/1047582-full-air/objets", "link")</f>
        <v/>
      </c>
      <c r="C6931" t="n">
        <v>1</v>
      </c>
      <c r="D6931" t="inlineStr">
        <is>
          <t>Manthache; Collier du Valet Veinard; Gant du Valet Veinard; Alliance Gloursonne; Quatre-feuilles; Menoture; Dorabysses; Cape Indescriptible; Palmes Trithons; Dofus Pourpre; Dofus Nébuleux; Remueur; Cascadeur majeur; Vigoureux majeur; Nomade; Dragodinde Ebène et Ivoire</t>
        </is>
      </c>
    </row>
    <row r="6932">
      <c r="A6932" t="inlineStr">
        <is>
          <t>zozo riuk</t>
        </is>
      </c>
      <c r="B6932">
        <f>HYPERLINK("https://www.dofusbook.net/fr/equipement/2210209-zozo-riuk/objets", "link")</f>
        <v/>
      </c>
      <c r="C6932" t="n">
        <v>3</v>
      </c>
      <c r="D6932" t="inlineStr">
        <is>
          <t>Dagues Ruik; Collier de Tourthon; Anneau de Brouce; Anneau Chevelu; Bouclier du Captain Amakna; Ceinture de la Reine des Voleurs; Coiffe de la Reine des Voleurs; Cape au Logis; Sabots Minables; Dofus des Glaces; Dofus Pourpre; Dofus Nébuleux; Dofus Turquoise; Enragé majeur; Remueur; Kokulte</t>
        </is>
      </c>
    </row>
    <row r="6933">
      <c r="A6933" t="inlineStr">
        <is>
          <t>EAU HIQUE</t>
        </is>
      </c>
      <c r="B6933">
        <f>HYPERLINK("https://www.dofusbook.net/fr/equipement/4168045-eau-hique/objets", "link")</f>
        <v/>
      </c>
      <c r="C6933" t="n">
        <v>2</v>
      </c>
      <c r="D6933" t="inlineStr">
        <is>
          <t>Baguette Hique; Amulette Volkorne; Alliance Gloursonne; Anneau Volkorne; Quatre-feuilles; Ceintacé; Casque Volkorne; Cape de la Dame du Hasard; Bottes de la Dame du Hasard; Dofus des Glaces; Dofus Pourpre; Dofus Abyssal; Dofus Ocre; Dofus Nébuleux; Dofus Turquoise; Bwak de Feu</t>
        </is>
      </c>
    </row>
    <row r="6934">
      <c r="A6934" t="inlineStr">
        <is>
          <t>terre viol</t>
        </is>
      </c>
      <c r="B6934">
        <f>HYPERLINK("https://www.dofusbook.net/fr/equipement/4165596-terre-viol/objets", "link")</f>
        <v/>
      </c>
      <c r="C6934" t="n">
        <v>1</v>
      </c>
      <c r="D6934" t="inlineStr">
        <is>
          <t>Arc du Chalœil; Collier de Tourthon; Anneau Chevelu; Anneau Volkorne; Quatre-feuilles; Ceinture Volkorne; Masque de Koutoulou; Cape au Logis; Sabots Minables; Dofus Turquoise; Dofus Ivoire; Dofus Nébuleux; Dofus Pourpre; Vigoureux majeur; Enragé majeur; Dragodinde Amande et Pourpre</t>
        </is>
      </c>
    </row>
    <row r="6935">
      <c r="A6935" t="inlineStr">
        <is>
          <t>terre 4po</t>
        </is>
      </c>
      <c r="B6935">
        <f>HYPERLINK("https://www.dofusbook.net/fr/equipement/3740145-terre-4po/objets", "link")</f>
        <v/>
      </c>
      <c r="C6935" t="n">
        <v>2</v>
      </c>
      <c r="D6935" t="inlineStr">
        <is>
          <t>Arc du Chalœil; Collier de Tourthon; Anneau de Brouce; Anneau Chevelu; Quatre-feuilles; Ceinture de la Reine des Voleurs; Coiffe de la Reine des Voleurs; Cape au Logis; Sabots Minables; Dofus Turquoise; Dofus Nébuleux; Dofus Pourpre; Dofus Ivoire; Remueur; Enragé majeur; Dragodinde Amande et Pourpre</t>
        </is>
      </c>
    </row>
    <row r="6936">
      <c r="A6936" t="inlineStr">
        <is>
          <t>full Terre 1</t>
        </is>
      </c>
      <c r="B6936">
        <f>HYPERLINK("https://www.dofusbook.net/fr/equipement/1047741-full-terre-1/objets", "link")</f>
        <v/>
      </c>
      <c r="C6936" t="n">
        <v>8</v>
      </c>
      <c r="D6936" t="inlineStr">
        <is>
          <t>Arc du Chalœil; Amulette du Strigide; Anneau Crustique; Anneau Chevelu; Quatre-feuilles; Ceinture de la Cour Sombre; Coiffe de la Reine des Voleurs; Cape de la Cour Sombre; Sabots Minables; Dofus Pourpre; Dofus Ivoire; Dofus Nébuleux; Enragé majeur; Remueur; Nomade; Dragodinde Amande et Pourpre</t>
        </is>
      </c>
    </row>
    <row r="6937">
      <c r="A6937" t="inlineStr">
        <is>
          <t>eAU</t>
        </is>
      </c>
      <c r="B6937">
        <f>HYPERLINK("https://www.dofusbook.net/fr/equipement/4110617-eau-/objets", "link")</f>
        <v/>
      </c>
      <c r="C6937" t="n">
        <v>0</v>
      </c>
      <c r="D6937" t="inlineStr">
        <is>
          <t>Arc Nécrotique; Amulette Volkorne; Alliance Gloursonne; Anneau Volkorne; Quatre-feuilles; Ceinture Volkorne; Capuche de l'Œil Attentif; Cape de l'Œil Attentif; Pataugastrique; Dofus Nébuleux; Dofus Pourpre; Dolmanax; Dofus des Glaces; Dofus Ocre; Dofus Turquoise; Chacha Angora</t>
        </is>
      </c>
    </row>
    <row r="6938">
      <c r="A6938" t="inlineStr">
        <is>
          <t>kadha Eau air</t>
        </is>
      </c>
      <c r="B6938">
        <f>HYPERLINK("https://www.dofusbook.net/fr/equipement/3859471-kadha-eau-air/objets", "link")</f>
        <v/>
      </c>
      <c r="C6938" t="n">
        <v>1</v>
      </c>
      <c r="D6938" t="inlineStr">
        <is>
          <t>Bâtonnet Ronien; Amulette d'Ilyzaelle; Gant du Valet Veinard; Alliance Gloursonne; Cadran d'Air; Ceintacé; Casque d'Ilyzaelle; Cape du Valet Veinard; Bottes de la Reine des Voleurs; Dokoko; Dofus Ocre; Dofus Pourpre; Dofus Nébuleux; Dofus Ivoire; Dofus des Glaces; Muldo Ebène</t>
        </is>
      </c>
    </row>
    <row r="6939">
      <c r="A6939" t="inlineStr">
        <is>
          <t>T F A PO</t>
        </is>
      </c>
      <c r="B6939">
        <f>HYPERLINK("https://www.dofusbook.net/fr/equipement/2196035-t-f-a-po/objets", "link")</f>
        <v/>
      </c>
      <c r="C6939" t="n">
        <v>2</v>
      </c>
      <c r="D6939" t="inlineStr">
        <is>
          <t>Epée Gloursonne; Amulette du Strigide; Alliance Gloursonne; Bague Gloursonne; Bouclier d'Ilyzaelle; Ceinture Volkorne; Casque Volkorne; Voile d'encre; Bottes du Strigide; Dofus Pourpre; Dofus des Glaces; Dofus Ivoire; Dofus Turquoise; Dofus Ocre; Muldo Prune et Emeraude</t>
        </is>
      </c>
    </row>
    <row r="6940">
      <c r="A6940" t="inlineStr">
        <is>
          <t>FULL TERRE</t>
        </is>
      </c>
      <c r="B6940">
        <f>HYPERLINK("https://www.dofusbook.net/fr/equipement/3163330-full-terre/objets", "link")</f>
        <v/>
      </c>
      <c r="C6940" t="n">
        <v>8</v>
      </c>
      <c r="D6940" t="inlineStr">
        <is>
          <t>Amrothiline; Amulette du Strigide; Anneau Chevelu; Bague Gloursonne; Quatre-feuilles; Ceinture Volkorne; Masque de Koutoulou; Cape au Logis; Bottes du Strigide; Dofus des Glaces; Dofus Pourpre; Dofus Ivoire; Enragé majeur; Vigoureux majeur; Remueur; Dragodinde Ivoire et Pourpre</t>
        </is>
      </c>
    </row>
    <row r="6941">
      <c r="A6941" t="inlineStr">
        <is>
          <t>huz</t>
        </is>
      </c>
      <c r="B6941">
        <f>HYPERLINK("https://www.dofusbook.net/fr/equipement/4090958-huz-/objets", "link")</f>
        <v/>
      </c>
      <c r="C6941" t="n">
        <v>1</v>
      </c>
      <c r="D6941" t="inlineStr">
        <is>
          <t>Amrothiline; Amulette du Cœur Saignant; Anneau Volkorne; Anneau Chevelu; Quatre-feuilles; Ceinture Volkorne; Masque de Funespadon; Cape du Cœur Saignant; Bottes du Cœur Saignant; Dofus Pourpre; Dofus Vulbis; Dofus des Glaces; Dofus Turquoise; Dofus Nébuleux; Dofus Ocre; Kokulte</t>
        </is>
      </c>
    </row>
    <row r="6942">
      <c r="A6942" t="inlineStr">
        <is>
          <t>FOUFOUFEU</t>
        </is>
      </c>
      <c r="B6942">
        <f>HYPERLINK("https://www.dofusbook.net/fr/equipement/3743682-foufoufeu/objets", "link")</f>
        <v/>
      </c>
      <c r="C6942" t="n">
        <v>5</v>
      </c>
      <c r="D6942" t="inlineStr">
        <is>
          <t>Arc corrompu; Amulette de Nileza; Bague Gloursonne; Anneauræus; Cadran de Terre; Ceinture de Vortex; Heaume Oplate; Cape de Nileza; Pompes Funèbres; Dofus Ivoire; Dofus Turquoise; Dofus Pourpre; Nomade; Érudit majeur; Remueur; Dragodinde Prune et Orchidée</t>
        </is>
      </c>
    </row>
    <row r="6943">
      <c r="A6943" t="inlineStr">
        <is>
          <t>MULTI</t>
        </is>
      </c>
      <c r="B6943">
        <f>HYPERLINK("https://www.dofusbook.net/fr/equipement/3917783-multi/objets", "link")</f>
        <v/>
      </c>
      <c r="C6943" t="n">
        <v>2</v>
      </c>
      <c r="D6943" t="inlineStr">
        <is>
          <t>Arc Volkorne; Amulette du Strigide; Alliance Gloursonne; Anneau Toriété; Quatre-feuilles; Ceintacé; Casque du Chalœil; Voile d'encre; Bottes du Strigide; Dofus des Glaces; Dofus Ivoire; Dofus Turquoise; Dofus Pourpre; Vigoureux majeur; Nomade; Koalak Sanguin</t>
        </is>
      </c>
    </row>
    <row r="6944">
      <c r="A6944" t="inlineStr">
        <is>
          <t>air do po</t>
        </is>
      </c>
      <c r="B6944">
        <f>HYPERLINK("https://www.dofusbook.net/fr/equipement/3872081-air-do-po/objets", "link")</f>
        <v/>
      </c>
      <c r="C6944" t="n">
        <v>2</v>
      </c>
      <c r="D6944" t="inlineStr">
        <is>
          <t>Hachoirs de Viandargh; Amibou; Alliance Gloursonne; Bague Instable; Bouclier Taverne; Menoture; Dorabysses; Capibou; Bottes du Cœur Vaillant; Dofus Ocre; Dofus Pourpre; Dofus Ivoire; Cascadeur majeur; Culbuteur majeur; Nomade; Tofoudre</t>
        </is>
      </c>
    </row>
    <row r="6945">
      <c r="A6945" t="inlineStr">
        <is>
          <t>eca do po</t>
        </is>
      </c>
      <c r="B6945">
        <f>HYPERLINK("https://www.dofusbook.net/fr/equipement/3862097-eca-do-po/objets", "link")</f>
        <v/>
      </c>
      <c r="C6945" t="n">
        <v>0</v>
      </c>
      <c r="D6945" t="inlineStr">
        <is>
          <t>Bêche Asse; Torquistik; Bague Trithon; Bague Instable; Bouclier Taverne; Ceinture Gence; Casque Dragoeuf; Cape du Cœur Vaillant; Bottistik; Dofus Ivoire; Enragé majeur; Remueur; Culbuteur majeur; Vigoureux majeur; Nomade; Black Tiwabbit</t>
        </is>
      </c>
    </row>
    <row r="6946">
      <c r="A6946" t="inlineStr">
        <is>
          <t>feu air VIOLENT 2</t>
        </is>
      </c>
      <c r="B6946">
        <f>HYPERLINK("https://www.dofusbook.net/fr/equipement/3858467-feu-air-violent-2/objets", "link")</f>
        <v/>
      </c>
      <c r="C6946" t="n">
        <v>4</v>
      </c>
      <c r="D6946" t="inlineStr">
        <is>
          <t>Arc Oleptik; Pendentif mignon de Koutoulou; Anneau Toriété; Alliance Gloursonne; Quatre-feuilles; Ceintacé; Casque Cyclopéen; Cape du Chalœil; Pantoufles Émar; Dofus des Glaces; Dofus Pourpre; Dofus Nébuleux; Dofus Turquoise; Vigoureux majeur; Nomade; Dragodinde Amande et Ivoire</t>
        </is>
      </c>
    </row>
    <row r="6947">
      <c r="A6947" t="inlineStr">
        <is>
          <t>eni multi</t>
        </is>
      </c>
      <c r="B6947">
        <f>HYPERLINK("https://www.dofusbook.net/fr/equipement/3855056-eni-multi/objets", "link")</f>
        <v/>
      </c>
      <c r="C6947" t="n">
        <v>1</v>
      </c>
      <c r="D6947" t="inlineStr">
        <is>
          <t>Sabres d'Atcham; Amulette du Strigide; Anneau Toriété; Alliance Gloursonne; Bouclier du Captain Amakna; Ceintacé; Capuche Souveraine du Roissingue; Cape d'Atcham; Pataugastrique; Dofus Turquoise; Dofus des Glaces; Dofus Pourpre; Nomade; Miraculé majeur; Étourdisseur majeur; Kramkram</t>
        </is>
      </c>
    </row>
    <row r="6948">
      <c r="A6948" t="inlineStr">
        <is>
          <t>F/E Necrotique</t>
        </is>
      </c>
      <c r="B6948">
        <f>HYPERLINK("https://www.dofusbook.net/fr/equipement/1394119-f-e-necrotique/objets", "link")</f>
        <v/>
      </c>
      <c r="C6948" t="n">
        <v>0</v>
      </c>
      <c r="D6948" t="inlineStr">
        <is>
          <t>Arc Nécrotique; Amulette du Strigide; Alliance Gloursonne; Anneau Tique; Quatre-feuilles; Ceintacé; Casqnoar; Cape de la Dame du Hasard; Bottes de la Dame du Hasard; Dofus Pourpre; Dofus Nébuleux; Remueur; Miraculé majeur; Vigoureux majeur; Nomade; Chacha Angora</t>
        </is>
      </c>
    </row>
    <row r="6949">
      <c r="A6949" t="inlineStr">
        <is>
          <t>Feu invocations soin</t>
        </is>
      </c>
      <c r="B6949">
        <f>HYPERLINK("https://www.dofusbook.net/fr/equipement/3203232-feu-invocations-soin/objets", "link")</f>
        <v/>
      </c>
      <c r="C6949" t="n">
        <v>10</v>
      </c>
      <c r="D6949" t="inlineStr">
        <is>
          <t>Arc corrompu; Pendentif affamé; Anneauræus; Anneau de Nidas; Bouclier d'Anerice; Ceinture de Gein; Casque Dragoeuf; Cape d'Anerice; Pataugastrique; Dofus Ivoire; Dokoko; Miraculé majeur; Remueur; Érudit majeur; Nomade; Dragodinde Dorée et Ivoire</t>
        </is>
      </c>
    </row>
    <row r="6950">
      <c r="A6950" t="inlineStr">
        <is>
          <t>huz full feu</t>
        </is>
      </c>
      <c r="B6950">
        <f>HYPERLINK("https://www.dofusbook.net/fr/equipement/3824768-huz-full-feu/objets", "link")</f>
        <v/>
      </c>
      <c r="C6950" t="n">
        <v>3</v>
      </c>
      <c r="D6950" t="inlineStr">
        <is>
          <t>Arc corrompu; Amulette Volkorne; Anneauræus; Anneauræus; Bouclier du Stalak; Ceinture Volkorne; Heaume Oplate; Voile d'encre; Pompes Funèbres; Dofus Pourpre; Dofus Ivoire; Dofus Abyssal; Dofus des Glaces; Remueur; Nomade; Bisouglours</t>
        </is>
      </c>
    </row>
    <row r="6951">
      <c r="A6951" t="inlineStr">
        <is>
          <t>eau/air/roxx</t>
        </is>
      </c>
      <c r="B6951">
        <f>HYPERLINK("https://www.dofusbook.net/fr/equipement/1109004-eau-air-roxx/objets", "link")</f>
        <v/>
      </c>
      <c r="C6951" t="n">
        <v>7</v>
      </c>
      <c r="D6951" t="inlineStr">
        <is>
          <t>Arc de Koutoulou; Amulette du Strigide; Alliance Gloursonne; Bracelet des Fonds marins; Cadran de Terre; Ceintacé; Capuche Souveraine du Roissingue; Chevelure de Tal Kasha; Bottes du Strigide; Dofus Pourpre; Dofus Turquoise; Nomade; Remueur; Étourdisseur majeur; Vigoureux majeur; Kramkram</t>
        </is>
      </c>
    </row>
    <row r="6952">
      <c r="A6952" t="inlineStr">
        <is>
          <t>Eniripsa AIR 200</t>
        </is>
      </c>
      <c r="B6952">
        <f>HYPERLINK("https://www.dofusbook.net/fr/equipement/3810054-eniripsa-air-200/objets", "link")</f>
        <v/>
      </c>
      <c r="C6952" t="n">
        <v>0</v>
      </c>
      <c r="D6952" t="inlineStr">
        <is>
          <t>Manthache; Collier du Valet Veinard; Alliance Gloursonne; Gant du Valet Veinard; Cadran de Terre; Menoture; Capuche de Moum-Ra; Cape Indescriptible; Palmes Trithons; Dofus Pourpre; Dofus Nébuleux; Cascadeur majeur; Vigoureux majeur; Nomade; Remueur; Bwak d'Air</t>
        </is>
      </c>
    </row>
    <row r="6953">
      <c r="A6953" t="inlineStr">
        <is>
          <t>TERRE VIOLENT</t>
        </is>
      </c>
      <c r="B6953">
        <f>HYPERLINK("https://www.dofusbook.net/fr/equipement/3809814-terre-violent/objets", "link")</f>
        <v/>
      </c>
      <c r="C6953" t="n">
        <v>6</v>
      </c>
      <c r="D6953" t="inlineStr">
        <is>
          <t>Lav'Hache; Collier de Tourthon; Anneau de Brouce; Anneau Chevelu; Bouclier du Stalak; Ceinture Gence; Chapeau de Gein; Cape au Logis; Bottes de Brouce; Dofus Ivoire; Dofus Pourpre; Dofus Ocre; Dofus Turquoise; Dofus Nébuleux; Enragé majeur; Dragodinde Prune et Pourpre</t>
        </is>
      </c>
    </row>
    <row r="6954">
      <c r="A6954" t="inlineStr">
        <is>
          <t>terre 43</t>
        </is>
      </c>
      <c r="B6954">
        <f>HYPERLINK("https://www.dofusbook.net/fr/equipement/3796782-terre-43/objets", "link")</f>
        <v/>
      </c>
      <c r="C6954" t="n">
        <v>2</v>
      </c>
      <c r="D6954" t="inlineStr">
        <is>
          <t>Marteau R'ture; Amulette du Strigide; Anneau de Brouce; Anneau Chevelu; Bouclier du Captain Amakna; Ceinture Gence; Casque Dragoeuf; Cape au Logis; Bottes de Brouce; Dofus Turquoise; Dofus Pourpre; Remueur; Vigoureux majeur; Miraculé majeur; Enragé majeur; Dragodinde Ivoire et Pourpre</t>
        </is>
      </c>
    </row>
    <row r="6955">
      <c r="A6955" t="inlineStr">
        <is>
          <t>eau/air/roxx</t>
        </is>
      </c>
      <c r="B6955">
        <f>HYPERLINK("https://www.dofusbook.net/fr/equipement/2123336-eau-air-roxx/objets", "link")</f>
        <v/>
      </c>
      <c r="C6955" t="n">
        <v>0</v>
      </c>
      <c r="D6955" t="inlineStr">
        <is>
          <t>Arc de Koutoulou; Amulette du Strigide; Bracelet du Piloztère; Bague Trithon; Cadran de Terre; Ceintacé; Masque Trithon; Chevelure de Tal Kasha; Dofus Abyssal; Dofus Turquoise; Dofus Pourpre; Remueur; Vigoureux majeur; Nomade</t>
        </is>
      </c>
    </row>
    <row r="6956">
      <c r="A6956" t="inlineStr">
        <is>
          <t>EAU ROXX INI</t>
        </is>
      </c>
      <c r="B6956">
        <f>HYPERLINK("https://www.dofusbook.net/fr/equipement/3783684-eau-roxx-ini/objets", "link")</f>
        <v/>
      </c>
      <c r="C6956" t="n">
        <v>1</v>
      </c>
      <c r="D6956" t="inlineStr">
        <is>
          <t>Epée Loponèze; Amulette Voldelor; Alliance Gloursonne; Lavanneau; Cadran de Terre; Ceinture Voldelor; Kidibonnet; Cape Solution; Bottes du Sinistrofu; Dofus Pourpre; Dofus Ivoire; Miraculé majeur; Nomade; Chanceux majeur; Remueur; Kanigloups</t>
        </is>
      </c>
    </row>
    <row r="6957">
      <c r="A6957" t="inlineStr">
        <is>
          <t>EAU ROXX INI RETRAIT</t>
        </is>
      </c>
      <c r="B6957">
        <f>HYPERLINK("https://www.dofusbook.net/fr/equipement/3749196-eau-roxx-ini-retrait/objets", "link")</f>
        <v/>
      </c>
      <c r="C6957" t="n">
        <v>0</v>
      </c>
      <c r="D6957" t="inlineStr">
        <is>
          <t>Epée Loponèze; Amulette Voldelor; Alliance Gloursonne; Lavanneau; Cadran de Terre; Culotte de Bethel; Masque de Funespadon; Cape Solution; Bottes du Sinistrofu; Dofus Ivoire; Dofus Abyssal; Remueur; Miraculé majeur; Nomade; Chanceux majeur; Kanigloups</t>
        </is>
      </c>
    </row>
    <row r="6958">
      <c r="A6958" t="inlineStr">
        <is>
          <t>do crit</t>
        </is>
      </c>
      <c r="B6958">
        <f>HYPERLINK("https://www.dofusbook.net/fr/equipement/3793548-do-crit/objets", "link")</f>
        <v/>
      </c>
      <c r="C6958" t="n">
        <v>1</v>
      </c>
      <c r="D6958" t="inlineStr">
        <is>
          <t>Hache Téroïde; Amulette du Strigide; Anneau Chevelu; Bague Trithon; Bouclier du Captain Amakna; Ceinture du Strigide; Masque Trithon; Cape au Logis; Bottes Trithon; Dofus Ocre; Dofus des Glaces; Dofus Ivoire; Dofus Turquoise; Dofus Abyssal; Dofus Pourpre; Kokulte</t>
        </is>
      </c>
    </row>
    <row r="6959">
      <c r="A6959" t="inlineStr">
        <is>
          <t>feu fuck rési max do</t>
        </is>
      </c>
      <c r="B6959">
        <f>HYPERLINK("https://www.dofusbook.net/fr/equipement/3783724-feu-fuck-resi-max-do/objets", "link")</f>
        <v/>
      </c>
      <c r="C6959" t="n">
        <v>4</v>
      </c>
      <c r="D6959" t="inlineStr">
        <is>
          <t>Arc corrompu; Amulette de Nileza; Anneauræus; Anneauræus; Cadran d'Air; Ceinture de Gein; Piruk; Cape de Nileza; Bottes Honyme; Dofus Ivoire; Dofus Abyssal; Dofus des Glaces; Remueur; Érudit majeur; Nomade; Bisouglours</t>
        </is>
      </c>
    </row>
    <row r="6960">
      <c r="A6960" t="inlineStr">
        <is>
          <t>xelor eau Ret Pa</t>
        </is>
      </c>
      <c r="B6960">
        <f>HYPERLINK("https://www.dofusbook.net/fr/equipement/3773621-xelor-eau-ret-pa/objets", "link")</f>
        <v/>
      </c>
      <c r="C6960" t="n">
        <v>3</v>
      </c>
      <c r="D6960" t="inlineStr">
        <is>
          <t>Epée Loponèze; Amulette de Shokkoth; Bracelet des Fonds marins; Alliance Gloursonne; Cadran de Terre; Culotte de Bethel; Masque des Fonds marins; Cape Solution; Sandales Circulaires du Kimbo; Dofus Ivoire; Dofus Abyssal; Nomade; Chanceux majeur; Miraculé majeur; Remueur; Koalak Sanguin</t>
        </is>
      </c>
    </row>
    <row r="6961">
      <c r="A6961" t="inlineStr">
        <is>
          <t>EAU RET PA</t>
        </is>
      </c>
      <c r="B6961">
        <f>HYPERLINK("https://www.dofusbook.net/fr/equipement/3741545-eau-ret-pa/objets", "link")</f>
        <v/>
      </c>
      <c r="C6961" t="n">
        <v>1</v>
      </c>
      <c r="D6961" t="inlineStr">
        <is>
          <t>Epée Loponèze; Amulette de Shokkoth; Bracelet des Fonds marins; Alliance Gloursonne; Cadran de Terre; Culotte de Bethel; Masque des Fonds marins; Cape Solution; Sandales Circulaires du Kimbo; Dofus Ivoire; Dofus Abyssal; Nomade; Chanceux majeur; Miraculé majeur; Remueur; Koalak Sanguin</t>
        </is>
      </c>
    </row>
    <row r="6962">
      <c r="A6962" t="inlineStr">
        <is>
          <t>violent feu</t>
        </is>
      </c>
      <c r="B6962">
        <f>HYPERLINK("https://www.dofusbook.net/fr/equipement/3743889-violent-feu/objets", "link")</f>
        <v/>
      </c>
      <c r="C6962" t="n">
        <v>3</v>
      </c>
      <c r="D6962" t="inlineStr">
        <is>
          <t>Arc corrompu; Amulette de Nileza; Bague Gloursonne; Anneauræus; Cadran de Terre; Ceinture de Vortex; Heaume Oplate; Cape de Nileza; Pompes Funèbres; Dofus Pourpre; Dofus Abyssal; Dofus Ivoire; Érudit majeur; Remueur; Nomade; Dragodinde Amande et Orchidée</t>
        </is>
      </c>
    </row>
    <row r="6963">
      <c r="A6963" t="inlineStr">
        <is>
          <t>AIR</t>
        </is>
      </c>
      <c r="B6963">
        <f>HYPERLINK("https://www.dofusbook.net/fr/equipement/3740393-air/objets", "link")</f>
        <v/>
      </c>
      <c r="C6963" t="n">
        <v>0</v>
      </c>
      <c r="D6963" t="inlineStr">
        <is>
          <t>Manthache; Collier du Valet Veinard; Alliance Gloursonne; Gant du Valet Veinard; Cadran d'Air; Menoture; Casque Dragoeuf; Cape Indescriptible; Palmes Trithons; Dofus Ivoire; Dofus Abyssal; Dofus des Glaces; Miraculé majeur; Nomade; Remueur; Dragodinde Amande et Ebène</t>
        </is>
      </c>
    </row>
    <row r="6964">
      <c r="A6964" t="inlineStr">
        <is>
          <t>violent terre</t>
        </is>
      </c>
      <c r="B6964">
        <f>HYPERLINK("https://www.dofusbook.net/fr/equipement/3749303-violent-terre/objets", "link")</f>
        <v/>
      </c>
      <c r="C6964" t="n">
        <v>2</v>
      </c>
      <c r="D6964" t="inlineStr">
        <is>
          <t>Arc du Chalœil; Collier de Tourthon; Anneau Chevelu; Anneau Crustique; Cadran de Terre; Ceinture Volkorne; Masque de Koutoulou; Cape au Logis; Baleinabottes; Dofus Pourpre; Dofus Abyssal; Dofus Ivoire; Remueur; Enragé majeur; Nomade; Dragodinde Amande et Pourpre</t>
        </is>
      </c>
    </row>
    <row r="6965">
      <c r="A6965" t="inlineStr">
        <is>
          <t>stuff feu 1</t>
        </is>
      </c>
      <c r="B6965">
        <f>HYPERLINK("https://www.dofusbook.net/fr/equipement/1746343-stuff-feu-1/objets", "link")</f>
        <v/>
      </c>
      <c r="C6965" t="n">
        <v>0</v>
      </c>
      <c r="D6965" t="inlineStr">
        <is>
          <t>Arc corrompu; Amulette de Nileza; Bague Gloursonne; Anneauræus; Cadran de Terre; Ceinture de Gein; Casque Dragoeuf; Cape de Nileza; Bottes Honyme; Dofus Ivoire; Dofus des Glaces; Dofus Abyssal; Miraculé majeur; Nomade; Remueur; Dragodinde Amande et Orchidée</t>
        </is>
      </c>
    </row>
    <row r="6966">
      <c r="A6966" t="inlineStr">
        <is>
          <t>MULTI ELEMENT</t>
        </is>
      </c>
      <c r="B6966">
        <f>HYPERLINK("https://www.dofusbook.net/fr/equipement/3706332-multi-element/objets", "link")</f>
        <v/>
      </c>
      <c r="C6966" t="n">
        <v>3</v>
      </c>
      <c r="D6966" t="inlineStr">
        <is>
          <t>Arc Volkorne; Amulette Volkorne; Bague Trithon; Anneau Volkorne; Quatre-feuilles; Ceinture du Strigide; Masque Trithon; Capille; Bottes du Strigide; Dolmanax; Dofus Pourpre; Dofus des Glaces; Dofus Ocre; Dofus Abyssal; Dofus Nébuleux; Volkorne Doré et Emeraude</t>
        </is>
      </c>
    </row>
    <row r="6967">
      <c r="A6967" t="inlineStr">
        <is>
          <t>full air</t>
        </is>
      </c>
      <c r="B6967">
        <f>HYPERLINK("https://www.dofusbook.net/fr/equipement/1024707-full-air/objets", "link")</f>
        <v/>
      </c>
      <c r="C6967" t="n">
        <v>3</v>
      </c>
      <c r="D6967" t="inlineStr">
        <is>
          <t>Manthache; Collier du Valet Veinard; Gant du Valet Veinard; Alliance Gloursonne; Quatre-feuilles; Menoture; Dorabysses; Cape Indescriptible; Palmes Trithons; Dofus Nébuleux; Dofus Abyssal; Dofus Pourpre; Remueur; Cascadeur majeur; Nomade; Muldo Ebène et Pourpre</t>
        </is>
      </c>
    </row>
    <row r="6968">
      <c r="A6968" t="inlineStr">
        <is>
          <t>Eau feu PVP 2</t>
        </is>
      </c>
      <c r="B6968">
        <f>HYPERLINK("https://www.dofusbook.net/fr/equipement/3431329-eau-feu-pvp-2/objets", "link")</f>
        <v/>
      </c>
      <c r="C6968" t="n">
        <v>5</v>
      </c>
      <c r="D6968" t="inlineStr">
        <is>
          <t>Arc Nécrotique; Talisman Igans; Anneau Tique; Alliance Gloursonne; Bouclier cubiste; Ceintrigue; Casqnoar; Cape de la Dame du Hasard; Bottes Honyme; Dofus Pourpre; Dofus Abyssal; Dofus des Glaces; Remueur; Miraculé majeur; Nomade; Muldo Indigo et Orchidée</t>
        </is>
      </c>
    </row>
    <row r="6969">
      <c r="A6969" t="inlineStr">
        <is>
          <t>EAU INTEL INVO</t>
        </is>
      </c>
      <c r="B6969">
        <f>HYPERLINK("https://www.dofusbook.net/fr/equipement/3216091-eau-intel-invo-/objets", "link")</f>
        <v/>
      </c>
      <c r="C6969" t="n">
        <v>2</v>
      </c>
      <c r="D6969" t="inlineStr">
        <is>
          <t>Arc Nécrotique; Collier de la Dame du Hasard; Bracelet du Piloztère; Alliance Gloursonne; Bouclier cubiste; Ceintacé; Casqnoar; Capille; Bottes de la Dame du Hasard; Dofus Abyssal; Dofus des Glaces; Dofus Pourpre; Temporiseur majeur; Nomade; Remueur; Muldo Indigo et Pourpre</t>
        </is>
      </c>
    </row>
    <row r="6970">
      <c r="A6970" t="inlineStr">
        <is>
          <t>air feu</t>
        </is>
      </c>
      <c r="B6970">
        <f>HYPERLINK("https://www.dofusbook.net/fr/equipement/3268609-air-feu/objets", "link")</f>
        <v/>
      </c>
      <c r="C6970" t="n">
        <v>0</v>
      </c>
      <c r="D6970" t="inlineStr">
        <is>
          <t>Marteau Phossile; Pendentif mignon de Koutoulou; Alliance Brûlâme; Alliance Gloursonne; Bouclier cubiste; Sangle Oriole; Casque Cyclopéen; Capille; Pantoufles Émar; Dofus Pourpre; Vigoureux majeur; Remueur; Nomade; Miraculé majeur; Temporiseur majeur; Muldo Ebène et Pourpre</t>
        </is>
      </c>
    </row>
    <row r="6971">
      <c r="A6971" t="inlineStr">
        <is>
          <t>FULL AIR</t>
        </is>
      </c>
      <c r="B6971">
        <f>HYPERLINK("https://www.dofusbook.net/fr/equipement/3270163-full-air/objets", "link")</f>
        <v/>
      </c>
      <c r="C6971" t="n">
        <v>3</v>
      </c>
      <c r="D6971" t="inlineStr">
        <is>
          <t>Manthache; Collier du Valet Veinard; Alliance Gloursonne; Gant du Valet Veinard; Bouclier du Captain Amakna; Menoture; Chapignon; Cape Indescriptible; Palmes Trithons; Dofus Pourpre; Dofus Abyssal; Nomade; Remueur; Cascadeur majeur; Vigoureux majeur; Muldo Ebène et Pourpre</t>
        </is>
      </c>
    </row>
    <row r="6972">
      <c r="A6972" t="inlineStr">
        <is>
          <t>humi</t>
        </is>
      </c>
      <c r="B6972">
        <f>HYPERLINK("https://www.dofusbook.net/fr/equipement/2239923-humi/objets", "link")</f>
        <v/>
      </c>
      <c r="C6972" t="n">
        <v>1</v>
      </c>
      <c r="D6972" t="inlineStr">
        <is>
          <t>Hachoirs de Viandargh; Torquistik; Bague Instable; Bague Trithon; Bouclier précieux; Ceinture Gence; Casque Dragoeuf; Cape du Cœur Vaillant; Bottistik; Pousseur majeur; Remueur; Culbuteur; Bousculeur majeur; Bousculeur; Culbuteur majeur; Muldo Indigo et Orchidée</t>
        </is>
      </c>
    </row>
    <row r="6973">
      <c r="A6973" t="inlineStr">
        <is>
          <t>Ouginak M 200</t>
        </is>
      </c>
      <c r="B6973">
        <f>HYPERLINK("https://www.dofusbook.net/fr/equipement/3327155-ouginak-m-200/objets", "link")</f>
        <v/>
      </c>
      <c r="C6973" t="n">
        <v>1</v>
      </c>
      <c r="D6973" t="inlineStr">
        <is>
          <t>Lav'Hache; Amulette du Strigide; Bague Gloursonne; Anneau Chevelu; Bouclier d'Ilyzaelle; Ceinture du Strigide; Masque de Koutoulou; Cape au Logis; Bottes de la Cour Sombre; Dofus Pourpre; Dofus Argenté; Dofus Turquoise; Dofus Nébuleux; Enragé majeur; Remueur; Muldo Ebène et Pourpre</t>
        </is>
      </c>
    </row>
    <row r="6974">
      <c r="A6974" t="inlineStr">
        <is>
          <t>feu ini</t>
        </is>
      </c>
      <c r="B6974">
        <f>HYPERLINK("https://www.dofusbook.net/fr/equipement/2016723-feu-ini/objets", "link")</f>
        <v/>
      </c>
      <c r="C6974" t="n">
        <v>0</v>
      </c>
      <c r="D6974" t="inlineStr">
        <is>
          <t>Dagues Ricol; Amulette de Nileza; Anneauræus; Anneauræus; Bouclier d'Ilyzaelle; Ceinture de Vortex; Heaume Oplate; Cape de Nileza; Bottes Innommables; Dofus Pourpre; Érudit majeur; Nomade; Vigoureux majeur; Astucieux majeur; Remueur; Muldo Indigo et Orchidée</t>
        </is>
      </c>
    </row>
    <row r="6975">
      <c r="A6975" t="inlineStr">
        <is>
          <t>Full FeU</t>
        </is>
      </c>
      <c r="B6975">
        <f>HYPERLINK("https://www.dofusbook.net/fr/equipement/3284249-full-feu/objets", "link")</f>
        <v/>
      </c>
      <c r="C6975" t="n">
        <v>1</v>
      </c>
      <c r="D6975" t="inlineStr">
        <is>
          <t>Arc corrompu; Amulette de Nileza; Chevalière du Roi Joueur; Bague Gloursonne; Quatre-feuilles; Ceinture de Vortex; Piruk; Cape de Nileza; Pataugastrique; Dofus Nébuleux; Dofus Pourpre; Érudit majeur; Remueur; Nomade; Miraculé majeur; Muldo Indigo et Pourpre</t>
        </is>
      </c>
    </row>
    <row r="6976">
      <c r="A6976" t="inlineStr">
        <is>
          <t>full feu 3</t>
        </is>
      </c>
      <c r="B6976">
        <f>HYPERLINK("https://www.dofusbook.net/fr/equipement/2089462-full-feu-3-/objets", "link")</f>
        <v/>
      </c>
      <c r="C6976" t="n">
        <v>0</v>
      </c>
      <c r="D6976" t="inlineStr">
        <is>
          <t>Arc corrompu; Amulette de l'Œil Putride; Anneauræus; Bague Gloursonne; Quatre-feuilles; Ceinture de Gein; Piruk; Cape de l'Œil Putride; Pataugastrique; Dofus Pourpre; Dofus Nébuleux; Érudit majeur; Nomade; Remueur; Vigoureux majeur; Muldo Ebène et Orchidée</t>
        </is>
      </c>
    </row>
    <row r="6977">
      <c r="A6977" t="inlineStr">
        <is>
          <t>full feu 4 actuel</t>
        </is>
      </c>
      <c r="B6977">
        <f>HYPERLINK("https://www.dofusbook.net/fr/equipement/2300379-full-feu-4-actuel/objets", "link")</f>
        <v/>
      </c>
      <c r="C6977" t="n">
        <v>0</v>
      </c>
      <c r="D6977" t="inlineStr">
        <is>
          <t>Baguette de Malléfisk; Pendentif affamé; Anneau de Nidas; Anneauræus; Carapar; Ceinture de Gein; Chapeau du Comte Razof; Voile d'encre; Pataugastrique; Dofus Abyssal; Vigoureux majeur; Remueur; Guérisseur majeur; Érudit majeur; Nomade; Muldo Ebène et Indigo</t>
        </is>
      </c>
    </row>
    <row r="6978">
      <c r="A6978" t="inlineStr">
        <is>
          <t>eau invo</t>
        </is>
      </c>
      <c r="B6978">
        <f>HYPERLINK("https://www.dofusbook.net/fr/equipement/3143290-eau-invo/objets", "link")</f>
        <v/>
      </c>
      <c r="C6978" t="n">
        <v>0</v>
      </c>
      <c r="D6978" t="inlineStr">
        <is>
          <t>Sceptre du Roi Joueur; Amulette de Shokkoth; Alliance Gloursonne; Bracelet des Fonds marins; Quatre-feuilles; Ceintacé; Casque Dragoeuf; Capille; Sandales des Fonds marins; Dofus Pourpre; Vigoureux majeur; Nomade; Miraculé majeur; Chanceux majeur; Remueur; Muldo Ebène et Indigo</t>
        </is>
      </c>
    </row>
    <row r="6979">
      <c r="A6979" t="inlineStr">
        <is>
          <t>Full air feca</t>
        </is>
      </c>
      <c r="B6979">
        <f>HYPERLINK("https://www.dofusbook.net/fr/equipement/3276377-full-air-feca/objets", "link")</f>
        <v/>
      </c>
      <c r="C6979" t="n">
        <v>1</v>
      </c>
      <c r="D6979" t="inlineStr">
        <is>
          <t>Manthache; Collier du Valet Veinard; Gant du Valet Veinard; Alliance Gloursonne; Bouclier du Stalak; Menoture; Dorabysses; Cape du Kamasterisk; Baleinabottes; Dofus Abyssal; Dofus Pourpre; Vigoureux majeur; Remueur; Cascadeur majeur; Nomade; Muldo Ebène et Orchidée</t>
        </is>
      </c>
    </row>
    <row r="6980">
      <c r="A6980" t="inlineStr">
        <is>
          <t>Ecaflip M 200</t>
        </is>
      </c>
      <c r="B6980">
        <f>HYPERLINK("https://www.dofusbook.net/fr/equipement/3274235-ecaflip-m-200/objets", "link")</f>
        <v/>
      </c>
      <c r="C6980" t="n">
        <v>1</v>
      </c>
      <c r="D6980" t="inlineStr">
        <is>
          <t>Amulette d'Ilyzaelle; Alliance Gloursonne; Bracelet du Piloztère; Quatre-feuilles; Ceinture Glaciale; Casque d'Ilyzaelle; Chevelure de Tal Kasha; Dofus des Glaces; Dofus Pourpre; Dofus Ivoire; Dofus Nébuleux; Nomade; Remueur; Muldo Ebène et Indigo</t>
        </is>
      </c>
    </row>
    <row r="6981">
      <c r="A6981" t="inlineStr">
        <is>
          <t>ecaflip</t>
        </is>
      </c>
      <c r="B6981">
        <f>HYPERLINK("https://www.dofusbook.net/fr/equipement/3274200-ecaflip/objets", "link")</f>
        <v/>
      </c>
      <c r="C6981" t="n">
        <v>1</v>
      </c>
      <c r="D6981" t="inlineStr">
        <is>
          <t>Marteau de Katrepat; Amulette du Strigide; Alliance Gloursonne; Bague Trithon; Bouclier d'Ilyzaelle; Ceintacé; Masque Trithon; Voile d'encre; Bottes Honyme; Dofus Ivoire; Dofus Abyssal; Dofus Pourpre; Nomade; Vigoureux majeur; Remueur; Muldo Ebène et Pourpre</t>
        </is>
      </c>
    </row>
    <row r="6982">
      <c r="A6982" t="inlineStr">
        <is>
          <t>air retrait pm</t>
        </is>
      </c>
      <c r="B6982">
        <f>HYPERLINK("https://www.dofusbook.net/fr/equipement/3268530-air-retrait-pm/objets", "link")</f>
        <v/>
      </c>
      <c r="C6982" t="n">
        <v>0</v>
      </c>
      <c r="D6982" t="inlineStr">
        <is>
          <t>Lance Horselé; Collier du Valet Veinard; Gant du Valet Veinard; Alliance Gloursonne; Bouclier cubiste; Ceinture de XLII; Chapeau de Tournoyé; Cape du Kamasterisk; Baleinabottes; Dofus Pourpre; Miraculé majeur; Nomade; Temporiseur majeur; Vigoureux majeur; Remueur; Muldo Ebène et Indigo</t>
        </is>
      </c>
    </row>
    <row r="6983">
      <c r="A6983" t="inlineStr">
        <is>
          <t>terre rési</t>
        </is>
      </c>
      <c r="B6983">
        <f>HYPERLINK("https://www.dofusbook.net/fr/equipement/3265270-terre-resi/objets", "link")</f>
        <v/>
      </c>
      <c r="C6983" t="n">
        <v>0</v>
      </c>
      <c r="D6983" t="inlineStr">
        <is>
          <t>Arc du Chalœil; Amulette du Strigide; Anneau Chevelu; Bague Gloursonne; Quatre-feuilles; Ceintacé; Casque Dragoeuf; Cape au Logis; Bottes du Strigide; Dofus Ivoire; Dofus Pourpre; Vigoureux majeur; Enragé majeur; Remueur; Muldo Ebène et Pourpre</t>
        </is>
      </c>
    </row>
    <row r="6984">
      <c r="A6984" t="inlineStr">
        <is>
          <t>air invo 2</t>
        </is>
      </c>
      <c r="B6984">
        <f>HYPERLINK("https://www.dofusbook.net/fr/equipement/2892258-air-invo-2/objets", "link")</f>
        <v/>
      </c>
      <c r="C6984" t="n">
        <v>2</v>
      </c>
      <c r="D6984" t="inlineStr">
        <is>
          <t>Lance Horselé; Collier du Valet Veinard; Gant du Valet Veinard; Alliance Gloursonne; Bouclier du Stalak; Menoture; Couronne d'Allister; Cape du Kamasterisk; Baleinabottes; Dofus Abyssal; Miraculé majeur; Nomade; Cascadeur majeur; Remueur; Vigoureux majeur; Muldo Ebène et Indigo</t>
        </is>
      </c>
    </row>
    <row r="6985">
      <c r="A6985" t="inlineStr">
        <is>
          <t>Terre</t>
        </is>
      </c>
      <c r="B6985">
        <f>HYPERLINK("https://www.dofusbook.net/fr/equipement/3240567-terre-/objets", "link")</f>
        <v/>
      </c>
      <c r="C6985" t="n">
        <v>2</v>
      </c>
      <c r="D6985" t="inlineStr">
        <is>
          <t>Arc du Chalœil; Amulette du Strigide; Anneau Crustique; Anneau Chevelu; Quatre-feuilles; Ceinture du Strigide; Masque de Koutoulou; Voile d'encre; Bottes de la Cour Sombre; Dofus Nébuleux; Dofus Turquoise; Dofus Pourpre; Remueur; Nomade; Enragé majeur; Muldo Indigo et Pourpre</t>
        </is>
      </c>
    </row>
    <row r="6986">
      <c r="A6986" t="inlineStr">
        <is>
          <t>terre ivoir</t>
        </is>
      </c>
      <c r="B6986">
        <f>HYPERLINK("https://www.dofusbook.net/fr/equipement/3240551-terre-ivoir/objets", "link")</f>
        <v/>
      </c>
      <c r="C6986" t="n">
        <v>2</v>
      </c>
      <c r="D6986" t="inlineStr">
        <is>
          <t>Arc du Chalœil; Amulette du Strigide; Anneau Crustique; Anneau Crustique; Quatre-feuilles; Ceinture du Strigide; Masque de Koutoulou; Cape au Logis; Bottes de la Cour Sombre; Dofus Pourpre; Dofus Nébuleux; Dofus Ocre; Dofus Ivoire; Dofus Turquoise; Enragé majeur; Muldo Indigo et Pourpre</t>
        </is>
      </c>
    </row>
    <row r="6987">
      <c r="A6987" t="inlineStr">
        <is>
          <t>terre 1</t>
        </is>
      </c>
      <c r="B6987">
        <f>HYPERLINK("https://www.dofusbook.net/fr/equipement/2979591-terre-1/objets", "link")</f>
        <v/>
      </c>
      <c r="C6987" t="n">
        <v>1</v>
      </c>
      <c r="D6987" t="inlineStr">
        <is>
          <t>Arc du Chalœil; Amulette du Strigide; Bague Gloursonne; Anneau Chevelu; Quatre-feuilles; Ceinture de la Cour Sombre; Masque de Koutoulou; Voile d'encre; Bottes de la Cour Sombre; Dofus Nébuleux; Dofus Pourpre; Vigoureux majeur; Nomade; Enragé majeur; Remueur; Muldo Indigo et Pourpre</t>
        </is>
      </c>
    </row>
    <row r="6988">
      <c r="A6988" t="inlineStr">
        <is>
          <t>TERRE</t>
        </is>
      </c>
      <c r="B6988">
        <f>HYPERLINK("https://www.dofusbook.net/fr/equipement/3227799-terre/objets", "link")</f>
        <v/>
      </c>
      <c r="C6988" t="n">
        <v>0</v>
      </c>
      <c r="D6988" t="inlineStr">
        <is>
          <t>Arc du Chalœil; Amulette du Strigide; Bague Gloursonne; Anneau Chevelu; Quatre-feuilles; Ceinture Gence; Masque de Koutoulou; Voile d'encre; Bottes du Strigide; Dofus Pourpre; Dofus Nébuleux; Remueur; Vigoureux majeur; Enragé majeur; Nomade; Muldo Indigo et Pourpre</t>
        </is>
      </c>
    </row>
    <row r="6989">
      <c r="A6989" t="inlineStr">
        <is>
          <t>eau /air</t>
        </is>
      </c>
      <c r="B6989">
        <f>HYPERLINK("https://www.dofusbook.net/fr/equipement/1775504-eau--air-/objets", "link")</f>
        <v/>
      </c>
      <c r="C6989" t="n">
        <v>0</v>
      </c>
      <c r="D6989" t="inlineStr">
        <is>
          <t>Arc de Koutoulou; Amulette du Strigide; Alliance Gloursonne; Bracelet du Piloztère; Quatre-feuilles; Ceinture Voldelor; Némès de Tal Kasha; Chevelure de Tal Kasha; Pataugastrique; Dofus Pourpre; Dofus Turquoise; Vigoureux majeur; Nomade; Étourdisseur majeur; Remueur; Muldo Ebène et Indigo</t>
        </is>
      </c>
    </row>
    <row r="6990">
      <c r="A6990" t="inlineStr">
        <is>
          <t>FULL TERRE</t>
        </is>
      </c>
      <c r="B6990">
        <f>HYPERLINK("https://www.dofusbook.net/fr/equipement/3218806-full-terre/objets", "link")</f>
        <v/>
      </c>
      <c r="C6990" t="n">
        <v>0</v>
      </c>
      <c r="D6990" t="inlineStr">
        <is>
          <t>Arc du Chalœil; Amulette du Strigide; Anneau Chevelu; Bague Trithon; Quatre-feuilles; Ceinture Gence; Masque de Koutoulou; Voile d'encre; Bottes Trithon; Dofus Nébuleux; Dofus Pourpre; Nomade; Remueur; Vigoureux majeur; Enragé majeur; Muldo Indigo et Pourpre</t>
        </is>
      </c>
    </row>
    <row r="6991">
      <c r="A6991" t="inlineStr">
        <is>
          <t>air 1</t>
        </is>
      </c>
      <c r="B6991">
        <f>HYPERLINK("https://www.dofusbook.net/fr/equipement/3218781-air-1/objets", "link")</f>
        <v/>
      </c>
      <c r="C6991" t="n">
        <v>1</v>
      </c>
      <c r="D6991" t="inlineStr">
        <is>
          <t>Manthache; Collier du Valet Veinard; Gant du Valet Veinard; Alliance Gloursonne; Bouclier du Stalak; Menoture; Dorabysses; Cape Indescriptible; Palmes Trithons; Dofus Abyssal; Dofus Pourpre; Remueur; Miraculé majeur; Cascadeur majeur; Nomade; Muldo Ebène et Pourpre</t>
        </is>
      </c>
    </row>
    <row r="6992">
      <c r="A6992" t="inlineStr">
        <is>
          <t>air 1</t>
        </is>
      </c>
      <c r="B6992">
        <f>HYPERLINK("https://www.dofusbook.net/fr/equipement/3216203-air-1/objets", "link")</f>
        <v/>
      </c>
      <c r="C6992" t="n">
        <v>0</v>
      </c>
      <c r="D6992" t="inlineStr">
        <is>
          <t>Manthache; Collier du Valet Veinard; Alliance Gloursonne; Gant du Valet Veinard; Bouclier du Stalak; Menoture; Dorabysses; Cape Indescriptible; Palmes Trithons; Dofus Pourpre; Dofus Abyssal; Nomade; Remueur; Miraculé majeur; Cascadeur majeur; Muldo Ebène et Pourpre</t>
        </is>
      </c>
    </row>
    <row r="6993">
      <c r="A6993" t="inlineStr">
        <is>
          <t>Terre-invo-2</t>
        </is>
      </c>
      <c r="B6993">
        <f>HYPERLINK("https://www.dofusbook.net/fr/equipement/3209894-terre-invo-2/objets", "link")</f>
        <v/>
      </c>
      <c r="C6993" t="n">
        <v>6</v>
      </c>
      <c r="D6993" t="inlineStr">
        <is>
          <t>Lav'Hache; Collier de Tourthon; Anneau Chevelu; Goulano; Bouclier du Stalak; Ceinture Gence; Masque de Koutoulou; Capille; Bottes de la Cour Sombre; Dofus Abyssal; Enragé majeur; Remueur; Vigoureux majeur; Miraculé majeur; Nomade; Muldo Ebène et Indigo</t>
        </is>
      </c>
    </row>
    <row r="6994">
      <c r="A6994" t="inlineStr">
        <is>
          <t>air invo 2</t>
        </is>
      </c>
      <c r="B6994">
        <f>HYPERLINK("https://www.dofusbook.net/fr/equipement/3209694-air-invo-2/objets", "link")</f>
        <v/>
      </c>
      <c r="C6994" t="n">
        <v>4</v>
      </c>
      <c r="D6994" t="inlineStr">
        <is>
          <t>Lance Horselé; Collier du Valet Veinard; Gant du Valet Veinard; Alliance Gloursonne; Bouclier du Stalak; Menoture; Couronne d'Allister; Cape du Kamasterisk; Baleinabottes; Dofus Abyssal; Miraculé majeur; Nomade; Cascadeur majeur; Remueur; Vigoureux majeur; Muldo Ebène et Indigo</t>
        </is>
      </c>
    </row>
    <row r="6995">
      <c r="A6995" t="inlineStr">
        <is>
          <t>FULL TERRE</t>
        </is>
      </c>
      <c r="B6995">
        <f>HYPERLINK("https://www.dofusbook.net/fr/equipement/3209669-full-terre/objets", "link")</f>
        <v/>
      </c>
      <c r="C6995" t="n">
        <v>1</v>
      </c>
      <c r="D6995" t="inlineStr">
        <is>
          <t>Lav'Hache; Amulette du Strigide; Bague Gloursonne; Anneau Chevelu; Bouclier d'Ilyzaelle; Ceinture Gence; Masque de Koutoulou; Voile d'encre; Bottes du Strigide; Dofus Pourpre; Dofus Nébuleux; Remueur; Vigoureux majeur; Miraculé majeur; Nomade; Muldo Indigo et Pourpre</t>
        </is>
      </c>
    </row>
    <row r="6996">
      <c r="A6996" t="inlineStr">
        <is>
          <t>FULL AIR</t>
        </is>
      </c>
      <c r="B6996">
        <f>HYPERLINK("https://www.dofusbook.net/fr/equipement/3203183-full-air/objets", "link")</f>
        <v/>
      </c>
      <c r="C6996" t="n">
        <v>0</v>
      </c>
      <c r="D6996" t="inlineStr">
        <is>
          <t>Manthache; Collier du Valet Veinard; Gant du Valet Veinard; Alliance Gloursonne; Bouclier d'Ilyzaelle; Menoture; Dorabysses; Cape du Kamasterisk; Palmes Trithons; Dofus Nébuleux; Dofus Pourpre; Remueur; Cascadeur majeur; Vigoureux majeur; Nomade; Muldo Ebène et Pourpre</t>
        </is>
      </c>
    </row>
    <row r="6997">
      <c r="A6997" t="inlineStr">
        <is>
          <t>T F A PO</t>
        </is>
      </c>
      <c r="B6997">
        <f>HYPERLINK("https://www.dofusbook.net/fr/equipement/2172201-t-f-a-po/objets", "link")</f>
        <v/>
      </c>
      <c r="C6997" t="n">
        <v>0</v>
      </c>
      <c r="D6997" t="inlineStr">
        <is>
          <t>Marteau de Katrepat; Amulette du Strigide; Bague Gloursonne; Bracelet du Piloztère; Bouclier d'Ilyzaelle; Ceintacé; Masque de Koutoulou; Voile d'encre; Bottes du Strigide; Dofus Turquoise; Dofus Pourpre; Dofus Nébuleux; Nomade; Miraculé majeur; Vigoureux majeur; Muldo Pourpre</t>
        </is>
      </c>
    </row>
    <row r="6998">
      <c r="A6998" t="inlineStr">
        <is>
          <t>chaloeil</t>
        </is>
      </c>
      <c r="B6998">
        <f>HYPERLINK("https://www.dofusbook.net/fr/equipement/1473859-chaloeil/objets", "link")</f>
        <v/>
      </c>
      <c r="C6998" t="n">
        <v>0</v>
      </c>
      <c r="D6998" t="inlineStr">
        <is>
          <t>Hache du Chalœil; Amulette du Strigide; Bracelet du Piloztère; Bague Gloursonne; Bouclier d'Ilyzaelle; Ceintacé; Casque du Chalœil; Voile d'encre; Bottes du Strigide; Dofus Nébuleux; Dofus Pourpre; Vigoureux majeur; Remueur; Nomade; Miraculé majeur; Muldo Orchidée et Pourpre</t>
        </is>
      </c>
    </row>
    <row r="6999">
      <c r="A6999" t="inlineStr">
        <is>
          <t>Terre et Air</t>
        </is>
      </c>
      <c r="B6999">
        <f>HYPERLINK("https://www.dofusbook.net/fr/equipement/3162823-terre-et-air/objets", "link")</f>
        <v/>
      </c>
      <c r="C6999" t="n">
        <v>0</v>
      </c>
      <c r="D6999" t="inlineStr">
        <is>
          <t>Dagues d'Ilyzaelle; Amulette du Strigide; Anneau Chevelu; Bague Trithon; Bouclier d'Ilyzaelle; Ceintouse; Masque Trithon; Cape du Kamasterisk; Baleinabottes; Dofus Turquoise; Dofus Nébuleux; Dofus Pourpre; Miraculé majeur; Nomade; Remueur; Muldo Ebène et Orchidée</t>
        </is>
      </c>
    </row>
    <row r="7000">
      <c r="A7000" t="inlineStr">
        <is>
          <t>terre/invocation</t>
        </is>
      </c>
      <c r="B7000">
        <f>HYPERLINK("https://www.dofusbook.net/fr/equipement/812998-terre-invocation/objets", "link")</f>
        <v/>
      </c>
      <c r="C7000" t="n">
        <v>3</v>
      </c>
      <c r="D7000" t="inlineStr">
        <is>
          <t>Lav'Hache; Amulette Luminescente; Anneau Chevelu; Chevalière du Roi Joueur; Quatre-feuilles; Ceinture Luminescente; Masque de Koutoulou; Cape du Cœur Saignant; Baleinabottes; Dofus Pourpre; Miraculé majeur; Nomade; Remueur; Vigoureux majeur; Enragé majeur; Muldo Ebène et Indigo</t>
        </is>
      </c>
    </row>
    <row r="7001">
      <c r="A7001" t="inlineStr">
        <is>
          <t>TERRE DO PO</t>
        </is>
      </c>
      <c r="B7001">
        <f>HYPERLINK("https://www.dofusbook.net/fr/equipement/3141495-terre-do-po/objets", "link")</f>
        <v/>
      </c>
      <c r="C7001" t="n">
        <v>0</v>
      </c>
      <c r="D7001" t="inlineStr">
        <is>
          <t>Arc du Chalœil; Amulette du Strigide; Anneau Chevelu; Bague Gloursonne; Quatre-feuilles; Ceintacé; Masque de Koutoulou; Cape au Logis; Bottes du Strigide; Dofus Turquoise; Dofus des Glaces; Dofus Pourpre; Dévastateur Terre majeur; Enragé majeur; Vigoureux majeur; Muldo Indigo et Pourpre</t>
        </is>
      </c>
    </row>
    <row r="7002">
      <c r="A7002" t="inlineStr">
        <is>
          <t>Terre do po</t>
        </is>
      </c>
      <c r="B7002">
        <f>HYPERLINK("https://www.dofusbook.net/fr/equipement/3141465-terre-do-po/objets", "link")</f>
        <v/>
      </c>
      <c r="C7002" t="n">
        <v>1</v>
      </c>
      <c r="D7002" t="inlineStr">
        <is>
          <t>Lav'Hache; Torquistik; Bague Gloursonne; Bague Instable; Bouclier Taverne; Ceinture Gence; Casque Dragoeuf; Cape du Cœur Vaillant; Bottistik; Nomade; Remueur; Culbuteur; Bousculeur majeur; Pousseur majeur; Culbuteur majeur; Muldo Pourpre</t>
        </is>
      </c>
    </row>
    <row r="7003">
      <c r="A7003" t="inlineStr">
        <is>
          <t>brulâme</t>
        </is>
      </c>
      <c r="B7003">
        <f>HYPERLINK("https://www.dofusbook.net/fr/equipement/1559011-brulame/objets", "link")</f>
        <v/>
      </c>
      <c r="C7003" t="n">
        <v>0</v>
      </c>
      <c r="D7003" t="inlineStr">
        <is>
          <t>Épée Brûlâme; Amulette du Strigide; Alliance Gloursonne; Anneau Tique; Bouclier d'Ilyzaelle; Ceintacé; Masque Trithon; Cape de la Dame du Hasard; Bottes Trithon; Dofus Pourpre; Dofus Nébuleux; Remueur; Culbuteur majeur; Vigoureux majeur; Nomade; Muldo Ebène et Orchidée</t>
        </is>
      </c>
    </row>
    <row r="7004">
      <c r="A7004" t="inlineStr">
        <is>
          <t>FULL EAU .</t>
        </is>
      </c>
      <c r="B7004">
        <f>HYPERLINK("https://www.dofusbook.net/fr/equipement/3120010-full-eau--/objets", "link")</f>
        <v/>
      </c>
      <c r="C7004" t="n">
        <v>0</v>
      </c>
      <c r="D7004" t="inlineStr">
        <is>
          <t>Sceptre du Roi Joueur; Amulette de Shokkoth; Bracelet des Fonds marins; Alliance Gloursonne; Quatre-feuilles; Ceinture Glaciale; Kidibonnet; Cape Glaciale; Bottes du Sinistrofu; Dofus Pourpre; Dofus Nébuleux; Nomade; Chanceux majeur; Vigoureux majeur; Remueur; Muldo Indigo</t>
        </is>
      </c>
    </row>
    <row r="7005">
      <c r="A7005" t="inlineStr">
        <is>
          <t>terre/feu</t>
        </is>
      </c>
      <c r="B7005">
        <f>HYPERLINK("https://www.dofusbook.net/fr/equipement/3119979-terre-feu/objets", "link")</f>
        <v/>
      </c>
      <c r="C7005" t="n">
        <v>0</v>
      </c>
      <c r="D7005" t="inlineStr">
        <is>
          <t>Hache Téroïde; Amulette du Strigide; Bague Gloursonne; Anneau Chevelu; Bouclier d'Ilyzaelle; Ceintacé; Chapeau de Gein; Voile d'encre; Bottes du Strigide; Dofus Nébuleux; Dofus Abyssal; Dofus Pourpre; Nomade; Vigoureux majeur; Remueur; Muldo Orchidée et Pourpre</t>
        </is>
      </c>
    </row>
    <row r="7006">
      <c r="A7006" t="inlineStr">
        <is>
          <t>FULL EAU .</t>
        </is>
      </c>
      <c r="B7006">
        <f>HYPERLINK("https://www.dofusbook.net/fr/equipement/3107739-full-eau--/objets", "link")</f>
        <v/>
      </c>
      <c r="C7006" t="n">
        <v>0</v>
      </c>
      <c r="D7006" t="inlineStr">
        <is>
          <t>Sceptre du Roi Joueur; Amulette de Shokkoth; Bracelet des Fonds marins; Alliance Gloursonne; Quatre-feuilles; Ceinture Glaciale; Kidibonnet; Cape Glaciale; Bottes du Sinistrofu; Dofus Pourpre; Dofus des Glaces; Nomade; Chanceux majeur; Dévastateur Eau majeur; Remueur; Muldo Indigo</t>
        </is>
      </c>
    </row>
    <row r="7007">
      <c r="A7007" t="inlineStr">
        <is>
          <t>FULL EAU .</t>
        </is>
      </c>
      <c r="B7007">
        <f>HYPERLINK("https://www.dofusbook.net/fr/equipement/3096040-full-eau--/objets", "link")</f>
        <v/>
      </c>
      <c r="C7007" t="n">
        <v>0</v>
      </c>
      <c r="D7007" t="inlineStr">
        <is>
          <t>Sceptre du Roi Joueur; Amulette de Shokkoth; Bracelet des Fonds marins; Alliance Gloursonne; Quatre-feuilles; Ceinture Glaciale; Kidibonnet; Cape Glaciale; Bottes du Sinistrofu; Dofus Pourpre; Dofus Nébuleux; Nomade; Chanceux majeur; Vigoureux majeur; Remueur; Muldo Indigo</t>
        </is>
      </c>
    </row>
    <row r="7008">
      <c r="A7008" t="inlineStr">
        <is>
          <t>FULL EAU .</t>
        </is>
      </c>
      <c r="B7008">
        <f>HYPERLINK("https://www.dofusbook.net/fr/equipement/3094395-full-eau--/objets", "link")</f>
        <v/>
      </c>
      <c r="C7008" t="n">
        <v>0</v>
      </c>
      <c r="D7008" t="inlineStr">
        <is>
          <t>Sceptre du Roi Joueur; Amulette de Shokkoth; Alliance Gloursonne; Bracelet des Fonds marins; Quatre-feuilles; Ceinture Glaciale; Kidibonnet; Cape Glaciale; Bottes du Sinistrofu; Dofus Nébuleux; Dofus Pourpre; Chanceux majeur; Vigoureux majeur; Remueur; Nomade; Muldo Indigo</t>
        </is>
      </c>
    </row>
    <row r="7009">
      <c r="A7009" t="inlineStr">
        <is>
          <t>terre</t>
        </is>
      </c>
      <c r="B7009">
        <f>HYPERLINK("https://www.dofusbook.net/fr/equipement/3084567-terre/objets", "link")</f>
        <v/>
      </c>
      <c r="C7009" t="n">
        <v>2</v>
      </c>
      <c r="D7009" t="inlineStr">
        <is>
          <t>Arc du Chalœil; Amulette du Strigide; Anneau Chevelu; Bague Gloursonne; Quatre-feuilles; Ceinture de la Cour Sombre; Masque de Koutoulou; Voile d'encre; Bottes de la Cour Sombre; Dofus Abyssal; Dofus Pourpre; Dofus Nébuleux; Enragé majeur; Remueur; Nomade; Muldo Indigo et Pourpre</t>
        </is>
      </c>
    </row>
    <row r="7010">
      <c r="A7010" t="inlineStr">
        <is>
          <t>terre 1</t>
        </is>
      </c>
      <c r="B7010">
        <f>HYPERLINK("https://www.dofusbook.net/fr/equipement/2979616-terre-1/objets", "link")</f>
        <v/>
      </c>
      <c r="C7010" t="n">
        <v>1</v>
      </c>
      <c r="D7010" t="inlineStr">
        <is>
          <t>Arc du Chalœil; Amulette du Strigide; Anneau Chevelu; Bague Gloursonne; Quatre-feuilles; Ceinture de la Cour Sombre; Masque de Koutoulou; Voile d'encre; Bottes de la Cour Sombre; Dofus Pourpre; Miraculé majeur; Nomade; Enragé majeur; Remueur; Vigoureux majeur; Muldo Indigo et Pourpre</t>
        </is>
      </c>
    </row>
    <row r="7011">
      <c r="A7011" t="inlineStr">
        <is>
          <t>terre 1</t>
        </is>
      </c>
      <c r="B7011">
        <f>HYPERLINK("https://www.dofusbook.net/fr/equipement/2979594-terre-1/objets", "link")</f>
        <v/>
      </c>
      <c r="C7011" t="n">
        <v>1</v>
      </c>
      <c r="D7011" t="inlineStr">
        <is>
          <t>Arc du Chalœil; Amulette du Strigide; Anneau Chevelu; Bague Gloursonne; Quatre-feuilles; Ceinture de la Cour Sombre; Masque de Koutoulou; Voile d'encre; Bottes de la Cour Sombre; Dofus Pourpre; Vigoureux majeur; Miraculé majeur; Nomade; Enragé majeur; Remueur; Muldo Indigo et Pourpre</t>
        </is>
      </c>
    </row>
    <row r="7012">
      <c r="A7012" t="inlineStr">
        <is>
          <t>FULL EAU .</t>
        </is>
      </c>
      <c r="B7012">
        <f>HYPERLINK("https://www.dofusbook.net/fr/equipement/2971753-full-eau--/objets", "link")</f>
        <v/>
      </c>
      <c r="C7012" t="n">
        <v>0</v>
      </c>
      <c r="D7012" t="inlineStr">
        <is>
          <t>Sceptre du Roi Joueur; Amulette de Shokkoth; Bracelet des Fonds marins; Alliance Gloursonne; Quatre-feuilles; Ceinture Glaciale; Kidibonnet; Cape Glaciale; Bottes du Sinistrofu; Dofus Pourpre; Dofus Nébuleux; Vigoureux majeur; Remueur; Nomade; Chanceux majeur; Muldo Indigo</t>
        </is>
      </c>
    </row>
    <row r="7013">
      <c r="A7013" t="inlineStr">
        <is>
          <t>terre invoquation</t>
        </is>
      </c>
      <c r="B7013">
        <f>HYPERLINK("https://www.dofusbook.net/fr/equipement/2971572-terre-invoquation/objets", "link")</f>
        <v/>
      </c>
      <c r="C7013" t="n">
        <v>1</v>
      </c>
      <c r="D7013" t="inlineStr">
        <is>
          <t>Lav'Hache; Kralamansion; Anneau Chevelu; Bague Gloursonne; Quatre-feuilles; Ceinture de la Cour Sombre; Masque de Koutoulou; Voile d'encre; Bottes de la Cour Sombre; Dofus Pourpre; Vigoureux majeur; Enragé majeur; Nomade; Miraculé majeur; Remueur; Muldo Pourpre</t>
        </is>
      </c>
    </row>
    <row r="7014">
      <c r="A7014" t="inlineStr">
        <is>
          <t>terre 1</t>
        </is>
      </c>
      <c r="B7014">
        <f>HYPERLINK("https://www.dofusbook.net/fr/equipement/2971529-terre-1/objets", "link")</f>
        <v/>
      </c>
      <c r="C7014" t="n">
        <v>1</v>
      </c>
      <c r="D7014" t="inlineStr">
        <is>
          <t>Arc du Chalœil; Amulette du Strigide; Anneau Chevelu; Bague Gloursonne; Quatre-feuilles; Ceinture de la Cour Sombre; Masque de Koutoulou; Voile d'encre; Bottes de la Cour Sombre; Dofus Pourpre; Miraculé majeur; Nomade; Enragé majeur; Remueur; Vigoureux majeur; Muldo Indigo et Pourpre</t>
        </is>
      </c>
    </row>
    <row r="7015">
      <c r="A7015" t="inlineStr">
        <is>
          <t>air do po</t>
        </is>
      </c>
      <c r="B7015">
        <f>HYPERLINK("https://www.dofusbook.net/fr/equipement/2851036-air-do-po/objets", "link")</f>
        <v/>
      </c>
      <c r="C7015" t="n">
        <v>1</v>
      </c>
      <c r="D7015" t="inlineStr">
        <is>
          <t>Hachoirs de Viandargh; Torquistik; Bague Trithon; Bague Instable; Bouclier précieux; Ceinture Gence; Casque Dragoeuf; Cape du Cœur Vaillant; Bottistik; Nomade; Remueur; Pousseur majeur; Culbuteur majeur; Culbuteur; Bousculeur majeur; Muldo Indigo et Orchidée</t>
        </is>
      </c>
    </row>
    <row r="7016">
      <c r="A7016" t="inlineStr">
        <is>
          <t>hécache</t>
        </is>
      </c>
      <c r="B7016">
        <f>HYPERLINK("https://www.dofusbook.net/fr/equipement/2731894-hecache/objets", "link")</f>
        <v/>
      </c>
      <c r="C7016" t="n">
        <v>4</v>
      </c>
      <c r="D7016" t="inlineStr">
        <is>
          <t>Héqache; Amulette du Strigide; Bracelet du Piloztère; Anneau Chevelu; Bouclier du Captain Amakna; Ceinture du Strigide; Masque Brûlâme; Cape du Kamasterisk; Baleinabottes; Dofus Turquoise; Dofus Pourpre; Dofus des Glaces; Nomade; Vigoureux majeur; Remueur; Muldo Indigo et Orchidée</t>
        </is>
      </c>
    </row>
    <row r="7017">
      <c r="A7017" t="inlineStr">
        <is>
          <t>air 2</t>
        </is>
      </c>
      <c r="B7017">
        <f>HYPERLINK("https://www.dofusbook.net/fr/equipement/2706562-air-2/objets", "link")</f>
        <v/>
      </c>
      <c r="C7017" t="n">
        <v>1</v>
      </c>
      <c r="D7017" t="inlineStr">
        <is>
          <t>Manthache; Collier du Valet Veinard; Alliance Gloursonne; Gant du Valet Veinard; Bouclier du Stalak; Menoture; Dorabysses; Cape Indescriptible; Baleinabottes; Dofus Nébuleux; Dofus Pourpre; Cascadeur majeur; Remueur; Vigoureux majeur; Nomade; Muldo Ebène et Pourpre</t>
        </is>
      </c>
    </row>
    <row r="7018">
      <c r="A7018" t="inlineStr">
        <is>
          <t>lance corrompu</t>
        </is>
      </c>
      <c r="B7018">
        <f>HYPERLINK("https://www.dofusbook.net/fr/equipement/2706479-lance-corrompu/objets", "link")</f>
        <v/>
      </c>
      <c r="C7018" t="n">
        <v>3</v>
      </c>
      <c r="D7018" t="inlineStr">
        <is>
          <t>Lance corrompue; Amulette de Nevark; Alliance Gloursonne; Bague Gloursonne; Bouclier Taverne; Ceinture de la Reine des Voleurs; Coiffe de la Reine des Voleurs; Cape de Nevark; Baleinabottes; Dofus des Glaces; Dofus Abyssal; Dofus Pourpre; Dofus Émeraude; Dofus Ocre; Bousculeur majeur; Muldo Ebène et Pourpre</t>
        </is>
      </c>
    </row>
    <row r="7019">
      <c r="A7019" t="inlineStr">
        <is>
          <t>air 2</t>
        </is>
      </c>
      <c r="B7019">
        <f>HYPERLINK("https://www.dofusbook.net/fr/equipement/2699013-air-2/objets", "link")</f>
        <v/>
      </c>
      <c r="C7019" t="n">
        <v>0</v>
      </c>
      <c r="D7019" t="inlineStr">
        <is>
          <t>Manthache; Collier du Valet Veinard; Alliance Gloursonne; Gant du Valet Veinard; Bouclier du Stalak; Menoture; Dorabysses; Cape Indescriptible; Baleinabottes; Dofus Abyssal; Dofus Pourpre; Cascadeur majeur; Remueur; Miraculé majeur; Nomade; Muldo Ebène et Pourpre</t>
        </is>
      </c>
    </row>
    <row r="7020">
      <c r="A7020" t="inlineStr">
        <is>
          <t>terre/eau/do pou</t>
        </is>
      </c>
      <c r="B7020">
        <f>HYPERLINK("https://www.dofusbook.net/fr/equipement/2696436-terre-eau-do-pou/objets", "link")</f>
        <v/>
      </c>
      <c r="C7020" t="n">
        <v>0</v>
      </c>
      <c r="D7020" t="inlineStr">
        <is>
          <t>Héqache; Amulette du Strigide; Bague Trithon; Alliance Gloursonne; Bouclier d'Ilyzaelle; Ceinture Luminescente; Masque Trithon; Cape Solution; Dofus Pourpre; Dofus Abyssal; Dofus Émeraude; Nomade; Remueur; Culbuteur majeur; Muldo Ebène et Indigo</t>
        </is>
      </c>
    </row>
    <row r="7021">
      <c r="A7021" t="inlineStr">
        <is>
          <t>air 2</t>
        </is>
      </c>
      <c r="B7021">
        <f>HYPERLINK("https://www.dofusbook.net/fr/equipement/2696069-air-2/objets", "link")</f>
        <v/>
      </c>
      <c r="C7021" t="n">
        <v>0</v>
      </c>
      <c r="D7021" t="inlineStr">
        <is>
          <t>Manthache; Collier du Valet Veinard; Gant du Valet Veinard; Alliance Gloursonne; Bouclier du Stalak; Menoture; Couronne d'Allister; Cape Indescriptible; Baleinabottes; Dofus Abyssal; Dofus Pourpre; Étourdisseur majeur; Nomade; Cascadeur majeur; Remueur; Muldo Ebène et Indigo</t>
        </is>
      </c>
    </row>
    <row r="7022">
      <c r="A7022" t="inlineStr">
        <is>
          <t>FULL EAU .</t>
        </is>
      </c>
      <c r="B7022">
        <f>HYPERLINK("https://www.dofusbook.net/fr/equipement/2556419-full-eau--/objets", "link")</f>
        <v/>
      </c>
      <c r="C7022" t="n">
        <v>0</v>
      </c>
      <c r="D7022" t="inlineStr">
        <is>
          <t>Sceptre du Roi Joueur; Amulette de Shokkoth; Alliance Gloursonne; Bracelet des Fonds marins; Quatre-feuilles; Ceinture Glaciale; Kidibonnet; Cape Glaciale; Bottes du Sinistrofu; Dofus Pourpre; Dofus Nébuleux; Vigoureux majeur; Remueur; Nomade; Chanceux majeur; Muldo Indigo</t>
        </is>
      </c>
    </row>
    <row r="7023">
      <c r="A7023" t="inlineStr">
        <is>
          <t>air 2</t>
        </is>
      </c>
      <c r="B7023">
        <f>HYPERLINK("https://www.dofusbook.net/fr/equipement/2583049-air-2/objets", "link")</f>
        <v/>
      </c>
      <c r="C7023" t="n">
        <v>1</v>
      </c>
      <c r="D7023" t="inlineStr">
        <is>
          <t>Manthache; Collier du Valet Veinard; Alliance Gloursonne; Gant du Valet Veinard; Cadran de Terre; Menoture; Couronne d'Allister; Cape Indescriptible; Baleinabottes; Dofus Pourpre; Dofus Abyssal; Nomade; Cascadeur majeur; Remueur; Étourdisseur majeur; Muldo Ebène et Indigo</t>
        </is>
      </c>
    </row>
    <row r="7024">
      <c r="A7024" t="inlineStr">
        <is>
          <t>air 2</t>
        </is>
      </c>
      <c r="B7024">
        <f>HYPERLINK("https://www.dofusbook.net/fr/equipement/2583027-air-2/objets", "link")</f>
        <v/>
      </c>
      <c r="C7024" t="n">
        <v>1</v>
      </c>
      <c r="D7024" t="inlineStr">
        <is>
          <t>Manthache; Collier du Valet Veinard; Gant du Valet Veinard; Alliance Gloursonne; Quatre-feuilles; Menoture; Dorabysses; Cape Indescriptible; Palmes Trithons; Dofus Abyssal; Dofus Pourpre; Cascadeur majeur; Nomade; Vigoureux majeur; Remueur; Muldo Ebène et Pourpre</t>
        </is>
      </c>
    </row>
    <row r="7025">
      <c r="A7025" t="inlineStr">
        <is>
          <t>terre 1</t>
        </is>
      </c>
      <c r="B7025">
        <f>HYPERLINK("https://www.dofusbook.net/fr/equipement/2558500-terre-1/objets", "link")</f>
        <v/>
      </c>
      <c r="C7025" t="n">
        <v>0</v>
      </c>
      <c r="D7025" t="inlineStr">
        <is>
          <t>Arc du Chalœil; Amulette du Strigide; Anneau Chevelu; Bague Gloursonne; Quatre-feuilles; Ceinture de la Cour Sombre; Masque de Koutoulou; Voile d'encre; Bottes de la Cour Sombre; Dofus Pourpre; Enragé majeur; Remueur; Vigoureux majeur; Miraculé majeur; Nomade; Muldo Indigo et Pourpre</t>
        </is>
      </c>
    </row>
    <row r="7026">
      <c r="A7026" t="inlineStr">
        <is>
          <t>AIR</t>
        </is>
      </c>
      <c r="B7026">
        <f>HYPERLINK("https://www.dofusbook.net/fr/equipement/2562153-air/objets", "link")</f>
        <v/>
      </c>
      <c r="C7026" t="n">
        <v>3</v>
      </c>
      <c r="D7026" t="inlineStr">
        <is>
          <t>Manthache; Collier du Valet Veinard; Gant du Valet Veinard; Alliance Gloursonne; Bouclier du Stalak; Menoture; Dorabysses; Cape Indescriptible; Palmes Trithons; Dofus Pourpre; Dofus Nébuleux; Nomade; Cascadeur majeur; Vigoureux majeur; Remueur; Muldo Ebène</t>
        </is>
      </c>
    </row>
    <row r="7027">
      <c r="A7027" t="inlineStr">
        <is>
          <t>full eau 1</t>
        </is>
      </c>
      <c r="B7027">
        <f>HYPERLINK("https://www.dofusbook.net/fr/equipement/439804-full-eau-1/objets", "link")</f>
        <v/>
      </c>
      <c r="C7027" t="n">
        <v>0</v>
      </c>
      <c r="D7027" t="inlineStr">
        <is>
          <t>Baguette Hique; Talisman Glouti; Bracelet des Fonds marins; Alliance Gloursonne; Quatre-feuilles; Ceinture Glaciale; Kidibonnet; Cape de la Dame du Hasard; Bottes de la Dame du Hasard; Dofus Pourpre; Dofus Nébuleux; Nomade; Vigoureux majeur; Remueur; Chanceux majeur; Muldo Ebène et Indigo</t>
        </is>
      </c>
    </row>
    <row r="7028">
      <c r="A7028" t="inlineStr">
        <is>
          <t>EAU NEBULEUX</t>
        </is>
      </c>
      <c r="B7028">
        <f>HYPERLINK("https://www.dofusbook.net/fr/equipement/2556398-eau-nebuleux/objets", "link")</f>
        <v/>
      </c>
      <c r="C7028" t="n">
        <v>0</v>
      </c>
      <c r="D7028" t="inlineStr">
        <is>
          <t>Sceptre du Roi Joueur; Talisman Glouti; Bracelet des Fonds marins; Alliance Gloursonne; Quatre-feuilles; Ceinture Glaciale; Masque des Fonds marins; Cape de Mantaze; Pataugastrique; Dofus Pourpre; Dofus Nébuleux; Nomade; Chanceux majeur; Vigoureux majeur; Remueur; Muldo Indigo</t>
        </is>
      </c>
    </row>
    <row r="7029">
      <c r="A7029" t="inlineStr">
        <is>
          <t>terre 2 joy</t>
        </is>
      </c>
      <c r="B7029">
        <f>HYPERLINK("https://www.dofusbook.net/fr/equipement/2527459-terre-2--joy-/objets", "link")</f>
        <v/>
      </c>
      <c r="C7029" t="n">
        <v>0</v>
      </c>
      <c r="D7029" t="inlineStr">
        <is>
          <t>Arc du Chalœil; Amulette du Strigide; Bague Gloursonne; Anneau de Brouce; Quatre-feuilles; Ceinture de Brouce; Masque de Koutoulou; Voile d'encre; Baleinabottes; Dofus Pourpre; Dofus Turquoise; Remueur; Nomade; Enragé majeur; Vigoureux majeur; Muldo Pourpre</t>
        </is>
      </c>
    </row>
    <row r="7030">
      <c r="A7030" t="inlineStr">
        <is>
          <t>eau retrait pm</t>
        </is>
      </c>
      <c r="B7030">
        <f>HYPERLINK("https://www.dofusbook.net/fr/equipement/2518086-eau-retrait-pm/objets", "link")</f>
        <v/>
      </c>
      <c r="C7030" t="n">
        <v>0</v>
      </c>
      <c r="D7030" t="inlineStr">
        <is>
          <t>Baguette Hique; Amulette du Strigide; Alliance Gloursonne; Bracelet du Piloztère; Bouclier cubiste; Ceinture Glaciale; Kidibonnet; Cape de la Dame du Hasard; Pataugastrique; Dofus Turquoise; Nomade; Vigoureux majeur; Remueur; Temporiseur majeur; Chanceux majeur; Muldo Indigo et Orchidée</t>
        </is>
      </c>
    </row>
    <row r="7031">
      <c r="A7031" t="inlineStr">
        <is>
          <t>full Terre 1</t>
        </is>
      </c>
      <c r="B7031">
        <f>HYPERLINK("https://www.dofusbook.net/fr/equipement/2518411-full-terre-1/objets", "link")</f>
        <v/>
      </c>
      <c r="C7031" t="n">
        <v>0</v>
      </c>
      <c r="D7031" t="inlineStr">
        <is>
          <t>Arc du Chalœil; Amulette du Strigide; Anneau Crustique; Anneau Chevelu; Quatre-feuilles; Ceinture de la Cour Sombre; Masque de Koutoulou; Cape du Cœur Saignant; Bottes de la Cour Sombre; Dofus Pourpre; Dofus Nébuleux; Enragé majeur; Remueur; Nomade; Vigoureux majeur; Muldo Indigo</t>
        </is>
      </c>
    </row>
    <row r="7032">
      <c r="A7032" t="inlineStr">
        <is>
          <t>eau air</t>
        </is>
      </c>
      <c r="B7032">
        <f>HYPERLINK("https://www.dofusbook.net/fr/equipement/2459615-eau-air/objets", "link")</f>
        <v/>
      </c>
      <c r="C7032" t="n">
        <v>0</v>
      </c>
      <c r="D7032" t="inlineStr">
        <is>
          <t>Arc de Koutoulou; Amulette de Shokkoth; Alliance Brûlâme; Alliance Gloursonne; Bouclier du Stalak; Ceintacé; Casque d'Ilyzaelle; Chevelure de Tal Kasha; Sandales de Tal Kasha; Dofus Émeraude; Dofus des Glaces; Dofus Abyssal; Dofus Pourpre; Remueur; Nomade; Muldo Ebène et Indigo</t>
        </is>
      </c>
    </row>
    <row r="7033">
      <c r="A7033" t="inlineStr">
        <is>
          <t>FULLL FEUU</t>
        </is>
      </c>
      <c r="B7033">
        <f>HYPERLINK("https://www.dofusbook.net/fr/equipement/1535034-fulll-feuu/objets", "link")</f>
        <v/>
      </c>
      <c r="C7033" t="n">
        <v>1</v>
      </c>
      <c r="D7033" t="inlineStr">
        <is>
          <t>Arc corrompu; Amulette de Nileza; Anneauræus; Anneau Tique; Quatre-feuilles; Ceinture de Vortex; Cagoule de Vortex; Voile d'encre; Pataugastrique; Dofus des Glaces; Dofus Pourpre; Remueur; Érudit majeur; Dévastateur Feu majeur; Nomade; Muldo Doré et Pourpre</t>
        </is>
      </c>
    </row>
    <row r="7034">
      <c r="A7034" t="inlineStr">
        <is>
          <t>eau/feu/roxx</t>
        </is>
      </c>
      <c r="B7034">
        <f>HYPERLINK("https://www.dofusbook.net/fr/equipement/1344342-eau-feu-roxx/objets", "link")</f>
        <v/>
      </c>
      <c r="C7034" t="n">
        <v>0</v>
      </c>
      <c r="D7034" t="inlineStr">
        <is>
          <t>Pyraguette; Talisman Igans; Alliance Gloursonne; Bracelet des Fonds marins; Bouclier du Stalak; Ceintrigue; Casqnoar; Cape de la Dame du Hasard; Pataugastrique; Dofus des Glaces; Dofus Pourpre; Dofus Abyssal; Remueur; Vigoureux majeur; Nomade; Muldo Indigo et Orchidée</t>
        </is>
      </c>
    </row>
    <row r="7035">
      <c r="A7035" t="inlineStr">
        <is>
          <t>full feu 4 actuel</t>
        </is>
      </c>
      <c r="B7035">
        <f>HYPERLINK("https://www.dofusbook.net/fr/equipement/2421187-full-feu-4-actuel/objets", "link")</f>
        <v/>
      </c>
      <c r="C7035" t="n">
        <v>0</v>
      </c>
      <c r="D7035" t="inlineStr">
        <is>
          <t>Arc corrompu; Amulette de l'Œil Putride; Bague Gloursonne; Anneauræus; Quatre-feuilles; Ceinture de Vortex; Capuche de l'Œil Putride; Voile d'encre; Pataugastrique; Dofus Pourpre; Dofus Nébuleux; Nomade; Vigoureux majeur; Remueur; Érudit majeur; Muldo Orchidée et Pourpre</t>
        </is>
      </c>
    </row>
    <row r="7036">
      <c r="A7036" t="inlineStr">
        <is>
          <t>terre /air</t>
        </is>
      </c>
      <c r="B7036">
        <f>HYPERLINK("https://www.dofusbook.net/fr/equipement/2011095-terre--air-/objets", "link")</f>
        <v/>
      </c>
      <c r="C7036" t="n">
        <v>0</v>
      </c>
      <c r="D7036" t="inlineStr">
        <is>
          <t>Héqache; Amulette du Strigide; Bague Gloursonne; Alliance Brûlâme; Bouclier d'Ilyzaelle; Ceintouse; Masque de Koutoulou; Cape du Chalœil; Bottes du Strigide; Dofus Turquoise; Dofus Nébuleux; Dofus Pourpre; Dofus des Glaces; Remueur; Nomade; Muldo Indigo et Pourpre</t>
        </is>
      </c>
    </row>
    <row r="7037">
      <c r="A7037" t="inlineStr">
        <is>
          <t>feu/eau/roxx</t>
        </is>
      </c>
      <c r="B7037">
        <f>HYPERLINK("https://www.dofusbook.net/fr/equipement/2417108-feu-eau-roxx/objets", "link")</f>
        <v/>
      </c>
      <c r="C7037" t="n">
        <v>0</v>
      </c>
      <c r="D7037" t="inlineStr">
        <is>
          <t>Arc Nécrotique; Amulette du Strigide; Alliance Gloursonne; Anneau Tique; Quatre-feuilles; Ceintacé; Casque Dragoeuf; Cape de la Dame du Hasard; Bottes de la Dame du Hasard; Dofus Pourpre; Dofus des Glaces; Dofus Abyssal; Remueur; Vigoureux majeur; Nomade; Muldo Orchidée</t>
        </is>
      </c>
    </row>
    <row r="7038">
      <c r="A7038" t="inlineStr">
        <is>
          <t>full feu 4 actuel</t>
        </is>
      </c>
      <c r="B7038">
        <f>HYPERLINK("https://www.dofusbook.net/fr/equipement/2409378-full-feu-4-actuel/objets", "link")</f>
        <v/>
      </c>
      <c r="C7038" t="n">
        <v>0</v>
      </c>
      <c r="D7038" t="inlineStr">
        <is>
          <t>Arc corrompu; Amulette de l'Œil Putride; Bague Gloursonne; Anneauræus; Quatre-feuilles; Ceinture de Vortex; Capuche de l'Œil Putride; Voile d'encre; Pataugastrique; Dofus Pourpre; Dofus Nébuleux; Nomade; Vigoureux majeur; Remueur; Érudit majeur; Muldo Orchidée et Pourpre</t>
        </is>
      </c>
    </row>
    <row r="7039">
      <c r="A7039" t="inlineStr">
        <is>
          <t>FULL FEU</t>
        </is>
      </c>
      <c r="B7039">
        <f>HYPERLINK("https://www.dofusbook.net/fr/equipement/2403308-full-feu/objets", "link")</f>
        <v/>
      </c>
      <c r="C7039" t="n">
        <v>3</v>
      </c>
      <c r="D7039" t="inlineStr">
        <is>
          <t>Arc corrompu; Amulette de l'Œil Putride; Anneauræus; Bague Gloursonne; Quatre-feuilles; Ceinture de Vortex; Capuche de l'Œil Putride; Voile d'encre; Pataugastrique; Dofus Nébuleux; Dofus Pourpre; Érudit majeur; Nomade; Vigoureux majeur; Remueur; Muldo Orchidée et Pourpre</t>
        </is>
      </c>
    </row>
    <row r="7040">
      <c r="A7040" t="inlineStr">
        <is>
          <t>Feu /air</t>
        </is>
      </c>
      <c r="B7040">
        <f>HYPERLINK("https://www.dofusbook.net/fr/equipement/2403294-feu--air-/objets", "link")</f>
        <v/>
      </c>
      <c r="C7040" t="n">
        <v>2</v>
      </c>
      <c r="D7040" t="inlineStr">
        <is>
          <t>Baguette Range; Amulette du Strigide; Anneau de Padgref; Anneau Tique; Quatre-feuilles; Ceinture du Strigide; Coiffe de Padgref; Voile d'encre; Bottes du Strigide; Dofus Pourpre; Dofus Ocre; Dolmanax; Dofus des Glaces; Dofus Nébuleux; Dofus Turquoise; Muldo Orchidée et Pourpre</t>
        </is>
      </c>
    </row>
    <row r="7041">
      <c r="A7041" t="inlineStr">
        <is>
          <t>feu pas chere</t>
        </is>
      </c>
      <c r="B7041">
        <f>HYPERLINK("https://www.dofusbook.net/fr/equipement/2384109-feu-pas-chere/objets", "link")</f>
        <v/>
      </c>
      <c r="C7041" t="n">
        <v>0</v>
      </c>
      <c r="D7041" t="inlineStr">
        <is>
          <t>Baguette de Malléfisk; Amulette Séculaire; Anneauræus; Anneau de Nidas; Carapar; Sangle Aise; Coiffe Séculaire; Cape de Nileza; Pataugastrique; Guérisseur majeur; Érudit majeur; Nomade; Remueur; Docteur majeur; Miraculé majeur; Muldo Orchidée</t>
        </is>
      </c>
    </row>
    <row r="7042">
      <c r="A7042" t="inlineStr">
        <is>
          <t>nouveau eau air</t>
        </is>
      </c>
      <c r="B7042">
        <f>HYPERLINK("https://www.dofusbook.net/fr/equipement/1884668-nouveau-eau-air/objets", "link")</f>
        <v/>
      </c>
      <c r="C7042" t="n">
        <v>0</v>
      </c>
      <c r="D7042" t="inlineStr">
        <is>
          <t>Arc de Koutoulou; Amulette du Strigide; Alliance Gloursonne; Alliance Brûlâme; Quatre-feuilles; Ceinture du Strigide; Némès de Tal Kasha; Chevelure de Tal Kasha; Sandales de Tal Kasha; Dofus Pourpre; Dofus Ocre; Dofus Émeraude; Dofus Turquoise; Dofus Nébuleux; Dofus des Glaces; Muldo Ebène et Indigo</t>
        </is>
      </c>
    </row>
    <row r="7043">
      <c r="A7043" t="inlineStr">
        <is>
          <t>necrotique</t>
        </is>
      </c>
      <c r="B7043">
        <f>HYPERLINK("https://www.dofusbook.net/fr/equipement/2327901-necrotique/objets", "link")</f>
        <v/>
      </c>
      <c r="C7043" t="n">
        <v>1</v>
      </c>
      <c r="D7043" t="inlineStr">
        <is>
          <t>Arc Nécrotique; Amulette du Strigide; Alliance Gloursonne; Bague Gloursonne; Bouclier du Stalak; Ceinture du Strigide; Kidibonnet; Cape de la Dame du Hasard; Bottes de la Dame du Hasard; Dofus des Glaces; Dofus Pourpre; Dofus Nébuleux; Dofus Ocre; Dofus Émeraude; Dofus Turquoise; Muldo Indigo et Orchidée</t>
        </is>
      </c>
    </row>
    <row r="7044">
      <c r="A7044" t="inlineStr">
        <is>
          <t>MULTI</t>
        </is>
      </c>
      <c r="B7044">
        <f>HYPERLINK("https://www.dofusbook.net/fr/equipement/2305115-multi/objets", "link")</f>
        <v/>
      </c>
      <c r="C7044" t="n">
        <v>2</v>
      </c>
      <c r="D7044" t="inlineStr">
        <is>
          <t>Epée Gloursonne; Amulette Ementaire Deluxe; Bague Gloursonne; Alliance Gloursonne; Quatre-feuilles; Ceinture du Strigide; Casque Dragoeuf; Cape de l'Œil Putride; Bottes du Strigide; Dofus Nébuleux; Dofus Pourpre; Dofus Émeraude; Dofus Ocre; Dofus des Glaces; Dofus Turquoise; Muldo Ebène et Pourpre</t>
        </is>
      </c>
    </row>
    <row r="7045">
      <c r="A7045" t="inlineStr">
        <is>
          <t>feu/eau/roxx</t>
        </is>
      </c>
      <c r="B7045">
        <f>HYPERLINK("https://www.dofusbook.net/fr/equipement/2120412-feu-eau-roxx/objets", "link")</f>
        <v/>
      </c>
      <c r="C7045" t="n">
        <v>6</v>
      </c>
      <c r="D7045" t="inlineStr">
        <is>
          <t>Arc Nécrotique; Amulette du Strigide; Anneau Tique; Alliance Gloursonne; Quatre-feuilles; Ceintacé; Casque Dragoeuf; Cape de la Dame du Hasard; Bottes de la Dame du Hasard; Dofus des Glaces; Dofus Pourpre; Vigoureux majeur; Nomade; Miraculé majeur; Remueur; Muldo Orchidée</t>
        </is>
      </c>
    </row>
    <row r="7046">
      <c r="A7046" t="inlineStr">
        <is>
          <t>eau roxx vie</t>
        </is>
      </c>
      <c r="B7046">
        <f>HYPERLINK("https://www.dofusbook.net/fr/equipement/2300633-eau-roxx-vie/objets", "link")</f>
        <v/>
      </c>
      <c r="C7046" t="n">
        <v>1</v>
      </c>
      <c r="D7046" t="inlineStr">
        <is>
          <t>Rapière aux Glyphes; Amulette de l'Œil Attentif; Goulano; Alliance Gloursonne; Bouclier d'Ilyzaelle; Poulpagne; Bonnet Spairance; Cape de l'Œil Attentif; Sandales Circulaires du Kimbo; Dofus Nébuleux; Dofus Pourpre; Vigoureux majeur; Nomade; Remueur; Miraculé majeur; Muldo Ebène et Orchidée</t>
        </is>
      </c>
    </row>
    <row r="7047">
      <c r="A7047" t="inlineStr">
        <is>
          <t>vie</t>
        </is>
      </c>
      <c r="B7047">
        <f>HYPERLINK("https://www.dofusbook.net/fr/equipement/1714418-vie/objets", "link")</f>
        <v/>
      </c>
      <c r="C7047" t="n">
        <v>2</v>
      </c>
      <c r="D7047" t="inlineStr">
        <is>
          <t>Dagues Cacterre; Amulette du Strigide; Alliance Gloursonne; Bague Trithon; Détourné; Ceintacé; Masque Trithon; Cape de la Dame du Hasard; Bottes du Strigide; Dofus Émeraude; Dofus Ocre; Dofus Pourpre; Dofus Abyssal; Dofus Turquoise; Dofus des Glaces; Muldo Ebène</t>
        </is>
      </c>
    </row>
    <row r="7048">
      <c r="A7048" t="inlineStr">
        <is>
          <t>feu</t>
        </is>
      </c>
      <c r="B7048">
        <f>HYPERLINK("https://www.dofusbook.net/fr/equipement/1048707-feu/objets", "link")</f>
        <v/>
      </c>
      <c r="C7048" t="n">
        <v>3</v>
      </c>
      <c r="D7048" t="inlineStr">
        <is>
          <t>Arc corrompu; Amulette de l'Œil Putride; Anneauræus; Bague Gloursonne; Quatre-feuilles; Ceinture de Vortex; Capuche de l'Œil Putride; Voile d'encre; Pataugastrique; Dofus Nébuleux; Dofus Pourpre; Nomade; Temporiseur majeur; Remueur; Érudit majeur; Muldo Orchidée et Pourpre</t>
        </is>
      </c>
    </row>
    <row r="7049">
      <c r="A7049" t="inlineStr">
        <is>
          <t>feu</t>
        </is>
      </c>
      <c r="B7049">
        <f>HYPERLINK("https://www.dofusbook.net/fr/equipement/994926-feu/objets", "link")</f>
        <v/>
      </c>
      <c r="C7049" t="n">
        <v>0</v>
      </c>
      <c r="D7049" t="inlineStr">
        <is>
          <t>Arc corrompu; Amulette de l'Œil Putride; Anneauræus; Bague Gloursonne; Quatre-feuilles; Ceinture de Vortex; Capuche de l'Œil Putride; Voile d'encre; Pataugastrique; Dofus Nébuleux; Dofus Pourpre; Vigoureux majeur; Remueur; Érudit majeur; Nomade; Muldo Orchidée et Pourpre</t>
        </is>
      </c>
    </row>
    <row r="7050">
      <c r="A7050" t="inlineStr">
        <is>
          <t>full feu 4 actuel</t>
        </is>
      </c>
      <c r="B7050">
        <f>HYPERLINK("https://www.dofusbook.net/fr/equipement/2239860-full-feu-4-actuel/objets", "link")</f>
        <v/>
      </c>
      <c r="C7050" t="n">
        <v>1</v>
      </c>
      <c r="D7050" t="inlineStr">
        <is>
          <t>Baguette de Malléfisk; Amulette de l'Œil Putride; Anneauræus; Bague Gloursonne; Quatre-feuilles; Ceinture de Vortex; Capuche de l'Œil Putride; Voile d'encre; Pataugastrique; Dofus Nébuleux; Dofus Pourpre; Nomade; Vigoureux majeur; Remueur; Érudit majeur; Muldo Orchidée et Pourpre</t>
        </is>
      </c>
    </row>
    <row r="7051">
      <c r="A7051" t="inlineStr">
        <is>
          <t>TBL 60 EAU</t>
        </is>
      </c>
      <c r="B7051">
        <f>HYPERLINK("https://www.dofusbook.net/fr/equipement/2254094-tbl-60-eau/objets", "link")</f>
        <v/>
      </c>
      <c r="C7051" t="n">
        <v>0</v>
      </c>
      <c r="D7051" t="inlineStr">
        <is>
          <t>Bouclier de l'Ancienne Sufokia</t>
        </is>
      </c>
    </row>
    <row r="7052">
      <c r="A7052" t="inlineStr">
        <is>
          <t>sram réseau</t>
        </is>
      </c>
      <c r="B7052">
        <f>HYPERLINK("https://www.dofusbook.net/fr/equipement/2252352-sram-reseau/objets", "link")</f>
        <v/>
      </c>
      <c r="C7052" t="n">
        <v>1</v>
      </c>
      <c r="D7052" t="inlineStr">
        <is>
          <t>Marteau de Katrepat; Amulette du Strigide; Bague Gloursonne; Alliance Gloursonne; Bouclier d'Ilyzaelle; Ceinture du Strigide; Masque d'Anerice; Cape d'Anerice; Bottes du Strigide; Dofus Abyssal; Dofus Ocre; Dofus Pourpre; Dofus des Glaces; Dofus Turquoise; Dolmanax; Muldo Ebène et Pourpre</t>
        </is>
      </c>
    </row>
    <row r="7053">
      <c r="A7053" t="inlineStr">
        <is>
          <t>do po</t>
        </is>
      </c>
      <c r="B7053">
        <f>HYPERLINK("https://www.dofusbook.net/fr/equipement/828858-do-po/objets", "link")</f>
        <v/>
      </c>
      <c r="C7053" t="n">
        <v>5</v>
      </c>
      <c r="D7053" t="inlineStr">
        <is>
          <t>Héqache; Torquistik; Bague Instable; Bague Trithon; Bouclier Taverne; Ceintacé; Casque Dragoeuf; Voile d'encre; Bottistik; Dofus Pourpre; Dofus Émeraude; Bousculeur majeur; Culbuteur majeur; Remueur; Nomade; Muldo Ebène et Pourpre</t>
        </is>
      </c>
    </row>
    <row r="7054">
      <c r="A7054" t="inlineStr">
        <is>
          <t>full feu 4 actuel</t>
        </is>
      </c>
      <c r="B7054">
        <f>HYPERLINK("https://www.dofusbook.net/fr/equipement/2239864-full-feu-4-actuel/objets", "link")</f>
        <v/>
      </c>
      <c r="C7054" t="n">
        <v>1</v>
      </c>
      <c r="D7054" t="inlineStr">
        <is>
          <t>Arc corrompu; Amulette de l'Œil Putride; Anneauræus; Bague Gloursonne; Quatre-feuilles; Ceinture de Vortex; Capuche de l'Œil Putride; Voile d'encre; Pataugastrique; Dofus Nébuleux; Dofus Pourpre; Vigoureux majeur; Remueur; Érudit majeur; Nomade; Muldo Orchidée et Pourpre</t>
        </is>
      </c>
    </row>
    <row r="7055">
      <c r="A7055" t="inlineStr">
        <is>
          <t>full feu 4 actuel</t>
        </is>
      </c>
      <c r="B7055">
        <f>HYPERLINK("https://www.dofusbook.net/fr/equipement/2089985-full-feu-4-actuel/objets", "link")</f>
        <v/>
      </c>
      <c r="C7055" t="n">
        <v>0</v>
      </c>
      <c r="D7055" t="inlineStr">
        <is>
          <t>Arc corrompu; Amulette de l'Œil Putride; Anneauræus; Bague Gloursonne; Quatre-feuilles; Ceinture de Vortex; Capuche de l'Œil Putride; Voile d'encre; Pataugastrique; Dofus Nébuleux; Dofus Pourpre; Nomade; Vigoureux majeur; Remueur; Érudit majeur; Muldo Orchidée et Pourpre</t>
        </is>
      </c>
    </row>
    <row r="7056">
      <c r="A7056" t="inlineStr">
        <is>
          <t>PVM full multi</t>
        </is>
      </c>
      <c r="B7056">
        <f>HYPERLINK("https://www.dofusbook.net/fr/equipement/2230341-pvm-full-multi-/objets", "link")</f>
        <v/>
      </c>
      <c r="C7056" t="n">
        <v>8</v>
      </c>
      <c r="D7056" t="inlineStr">
        <is>
          <t>Bâton Beau; Amulette du Strigide; Bague Gloursonne; Bracelet du Piloztère; Quatre-feuilles; Ceintacé; Coiffe Ranshi; Cape Reski; Bottes du Strigide; Dofus Turquoise; Dofus Pourpre; Dofus Nébuleux; Vigoureux majeur; Nomade; Remueur; Muldo Prune et Doré</t>
        </is>
      </c>
    </row>
    <row r="7057">
      <c r="A7057" t="inlineStr">
        <is>
          <t>PVM full multi</t>
        </is>
      </c>
      <c r="B7057">
        <f>HYPERLINK("https://www.dofusbook.net/fr/equipement/2230333-pvm-full-multi-/objets", "link")</f>
        <v/>
      </c>
      <c r="C7057" t="n">
        <v>0</v>
      </c>
      <c r="D7057" t="inlineStr">
        <is>
          <t>Bâton Beau; Amulette du Strigide; Bague Gloursonne; Bracelet du Piloztère; Quatre-feuilles; Ceintacé; Coiffe Ranshi; Cape Reski; Bottes du Strigide; Dofus Turquoise; Dofus Pourpre; Nomade; Enragé majeur; Remueur; Vigoureux majeur; Muldo Prune et Doré</t>
        </is>
      </c>
    </row>
    <row r="7058">
      <c r="A7058" t="inlineStr">
        <is>
          <t>Mode do po multi</t>
        </is>
      </c>
      <c r="B7058">
        <f>HYPERLINK("https://www.dofusbook.net/fr/equipement/2229970-mode-do-po-multi/objets", "link")</f>
        <v/>
      </c>
      <c r="C7058" t="n">
        <v>0</v>
      </c>
      <c r="D7058" t="inlineStr">
        <is>
          <t>Arc du Chalœil; Torquistik; Bague Trithon; Bracelet du Piloztère; Quatre-feuilles; Ceintacé; Scaphandre Ojine; Voile d'encre; Bottes Trithon; Dofus Pourpre; Dofus des Glaces; Remueur; Nomade; Vigoureux majeur; Culbuteur majeur; Muldo Pourpre</t>
        </is>
      </c>
    </row>
    <row r="7059">
      <c r="A7059" t="inlineStr">
        <is>
          <t>épée brulame</t>
        </is>
      </c>
      <c r="B7059">
        <f>HYPERLINK("https://www.dofusbook.net/fr/equipement/2229852-epee-brulame/objets", "link")</f>
        <v/>
      </c>
      <c r="C7059" t="n">
        <v>1</v>
      </c>
      <c r="D7059" t="inlineStr">
        <is>
          <t>Épée Brûlâme; Amulette du Strigide; Bracelet du Piloztère; Alliance Gloursonne; Bouclier du Captain Amakna; Ceintacé; Masque des Fonds marins; Cape de la Dame du Hasard; Bottes du Strigide; Dofus Turquoise; Dofus Pourpre; Dofus Nébuleux; Remueur; Vigoureux majeur; Nomade; Muldo Ebène et Indigo</t>
        </is>
      </c>
    </row>
    <row r="7060">
      <c r="A7060" t="inlineStr">
        <is>
          <t>Mode multi element</t>
        </is>
      </c>
      <c r="B7060">
        <f>HYPERLINK("https://www.dofusbook.net/fr/equipement/728825-mode-multi-element/objets", "link")</f>
        <v/>
      </c>
      <c r="C7060" t="n">
        <v>0</v>
      </c>
      <c r="D7060" t="inlineStr">
        <is>
          <t>Hache du Chalœil; Amulette du Strigide; Bague Gloursonne; Bracelet du Piloztère; Quatre-feuilles; Ceintacé; Casque du Chalœil; Voile d'encre; Bottes du Strigide; Dofus Pourpre; Dofus des Glaces; Dofus Nébuleux; Remueur; Nomade; Vigoureux majeur; Muldo Orchidée et Pourpre</t>
        </is>
      </c>
    </row>
    <row r="7061">
      <c r="A7061" t="inlineStr">
        <is>
          <t>full terre 2</t>
        </is>
      </c>
      <c r="B7061">
        <f>HYPERLINK("https://www.dofusbook.net/fr/equipement/2061402-full-terre-2/objets", "link")</f>
        <v/>
      </c>
      <c r="C7061" t="n">
        <v>0</v>
      </c>
      <c r="D7061" t="inlineStr">
        <is>
          <t>Arc du Chalœil; Amulette du Strigide; Anneau Chevelu; Anneau Crustique; Quatre-feuilles; Ceinture de la Cour Sombre; Masque de Koutoulou; Cape du Cœur Saignant; Bottes de la Cour Sombre; Dofus Nébuleux; Dofus Pourpre; Enragé majeur; Remueur; Vigoureux majeur; Nomade; Muldo Indigo</t>
        </is>
      </c>
    </row>
    <row r="7062">
      <c r="A7062" t="inlineStr">
        <is>
          <t>multi do crit</t>
        </is>
      </c>
      <c r="B7062">
        <f>HYPERLINK("https://www.dofusbook.net/fr/equipement/2201346-multi-do-crit/objets", "link")</f>
        <v/>
      </c>
      <c r="C7062" t="n">
        <v>0</v>
      </c>
      <c r="D7062" t="inlineStr">
        <is>
          <t>Hache du Chalœil; Amulette du Strigide; Alliance Gloursonne; Bague Trithon; Quatre-feuilles; Ceinture du Strigide; Masque Trithon; Voile d'encre; Bottes Trithon; Dofus Nébuleux; Dofus Émeraude; Dofus des Glaces; Dofus Turquoise; Dofus Ocre; Dofus Pourpre; Muldo Ebène et Pourpre</t>
        </is>
      </c>
    </row>
    <row r="7063">
      <c r="A7063" t="inlineStr">
        <is>
          <t>multi do crit</t>
        </is>
      </c>
      <c r="B7063">
        <f>HYPERLINK("https://www.dofusbook.net/fr/equipement/2201326-multi-do-crit/objets", "link")</f>
        <v/>
      </c>
      <c r="C7063" t="n">
        <v>0</v>
      </c>
      <c r="D7063" t="inlineStr">
        <is>
          <t>Az'tech; Amulette du Strigide; Alliance Gloursonne; Bague Trithon; Bouclier du Captain Amakna; Ceinture du Strigide; Masque Trithon; Chevelure de Tal Kasha; Bottes Trithon; Dofus Turquoise; Dofus Ocre; Dofus Pourpre; Dolmanax; Dofus Émeraude; Dofus des Glaces; Muldo Ebène et Orchidée</t>
        </is>
      </c>
    </row>
    <row r="7064">
      <c r="A7064" t="inlineStr">
        <is>
          <t>marteau égaré</t>
        </is>
      </c>
      <c r="B7064">
        <f>HYPERLINK("https://www.dofusbook.net/fr/equipement/2201297-marteau-egare/objets", "link")</f>
        <v/>
      </c>
      <c r="C7064" t="n">
        <v>0</v>
      </c>
      <c r="D7064" t="inlineStr">
        <is>
          <t>Az'tech; Amulette du Strigide; Alliance Gloursonne; Bague Trithon; Bouclier d'Ilyzaelle; Ceinture du Strigide; Masque Trithon; Chevelure de Tal Kasha; Bottes Trithon; Dolmanax; Dofus Émeraude; Dofus des Glaces; Dofus Turquoise; Dofus Ocre; Dofus Pourpre; Muldo Ebène et Orchidée</t>
        </is>
      </c>
    </row>
    <row r="7065">
      <c r="A7065" t="inlineStr">
        <is>
          <t>T / F / A</t>
        </is>
      </c>
      <c r="B7065">
        <f>HYPERLINK("https://www.dofusbook.net/fr/equipement/1477590-t---f---a/objets", "link")</f>
        <v/>
      </c>
      <c r="C7065" t="n">
        <v>1</v>
      </c>
      <c r="D7065" t="inlineStr">
        <is>
          <t>Marteau de Katrepat; Amulette du Strigide; Bague Gloursonne; Anneau Chevelu; Bouclier d'Ilyzaelle; Ceintacé; Casque du Chalœil; Voile d'encre; Bottes du Strigide; Dofus Nébuleux; Dofus Pourpre; Miraculé majeur; Vigoureux majeur; Nomade; Remueur; Muldo Ebène et Orchidée</t>
        </is>
      </c>
    </row>
    <row r="7066">
      <c r="A7066" t="inlineStr">
        <is>
          <t>full eau 3</t>
        </is>
      </c>
      <c r="B7066">
        <f>HYPERLINK("https://www.dofusbook.net/fr/equipement/2172999-full-eau-3/objets", "link")</f>
        <v/>
      </c>
      <c r="C7066" t="n">
        <v>1</v>
      </c>
      <c r="D7066" t="inlineStr">
        <is>
          <t>Rapière aux Glyphes; Amulette de Shokkoth; Bracelet des Fonds marins; Alliance Gloursonne; Bouclier du Stalak; Poulpagne; Capuche de l'Œil Attentif; Cape de l'Œil Attentif; Sandales Circulaires du Kimbo; Dofus Pourpre; Dofus des Glaces; Dofus Nébuleux; Chanceux majeur; Nomade; Remueur; Muldo Indigo</t>
        </is>
      </c>
    </row>
    <row r="7067">
      <c r="A7067" t="inlineStr">
        <is>
          <t>T / F / A</t>
        </is>
      </c>
      <c r="B7067">
        <f>HYPERLINK("https://www.dofusbook.net/fr/equipement/2171318-t---f---a/objets", "link")</f>
        <v/>
      </c>
      <c r="C7067" t="n">
        <v>1</v>
      </c>
      <c r="D7067" t="inlineStr">
        <is>
          <t>Marteau de Katrepat; Amulette du Strigide; Anneau Chevelu; Bague Gloursonne; Quatre-feuilles; Ceintacé; Casque du Chalœil; Voile d'encre; Bottes du Strigide; Dofus des Glaces; Dofus Turquoise; Dofus Pourpre; Vigoureux majeur; Nomade; Remueur; Muldo Ebène et Orchidée</t>
        </is>
      </c>
    </row>
    <row r="7068">
      <c r="A7068" t="inlineStr">
        <is>
          <t>T / F / A</t>
        </is>
      </c>
      <c r="B7068">
        <f>HYPERLINK("https://www.dofusbook.net/fr/equipement/1458829-t---f---a/objets", "link")</f>
        <v/>
      </c>
      <c r="C7068" t="n">
        <v>2</v>
      </c>
      <c r="D7068" t="inlineStr">
        <is>
          <t>Marteau de Katrepat; Amulette du Strigide; Bague Gloursonne; Anneau Chevelu; Bouclier du Captain Amakna; Ceintacé; Casque du Chalœil; Voile d'encre; Bottes du Strigide; Dofus Turquoise; Dofus Pourpre; Dofus des Glaces; Nomade; Remueur; Vigoureux majeur; Muldo Ebène et Orchidée</t>
        </is>
      </c>
    </row>
    <row r="7069">
      <c r="A7069" t="inlineStr">
        <is>
          <t>necrotique</t>
        </is>
      </c>
      <c r="B7069">
        <f>HYPERLINK("https://www.dofusbook.net/fr/equipement/2146374-necrotique/objets", "link")</f>
        <v/>
      </c>
      <c r="C7069" t="n">
        <v>1</v>
      </c>
      <c r="D7069" t="inlineStr">
        <is>
          <t>Arc Nécrotique; Amulette du Strigide; Bague Gloursonne; Alliance Gloursonne; Bouclier du Stalak; Ceinture du Strigide; Kidibonnet; Cape de la Dame du Hasard; Bottes de la Dame du Hasard; Dofus Émeraude; Dofus Turquoise; Dofus des Glaces; Dofus Pourpre; Dolmanax; Dofus Ocre; Muldo Indigo et Orchidée</t>
        </is>
      </c>
    </row>
    <row r="7070">
      <c r="A7070" t="inlineStr">
        <is>
          <t>Eau vita esqui PA</t>
        </is>
      </c>
      <c r="B7070">
        <f>HYPERLINK("https://www.dofusbook.net/fr/equipement/2146104-eau-vita-esqui-pa/objets", "link")</f>
        <v/>
      </c>
      <c r="C7070" t="n">
        <v>1</v>
      </c>
      <c r="D7070" t="inlineStr">
        <is>
          <t>Rapière aux Glyphes; Amulette de Shokkoth; Alliance Gloursonne; Bracelet des Fonds marins; Bouclier du Captain Amakna; Poulpagne; Capuche de l'Œil Attentif; Cape de l'Œil Attentif; Sandales Circulaires du Kimbo; Dofus Pourpre; Dofus des Glaces; Vigoureux majeur; Remueur; Chanceux majeur; Nomade; Muldo Ebène et Indigo</t>
        </is>
      </c>
    </row>
    <row r="7071">
      <c r="A7071" t="inlineStr">
        <is>
          <t>Eau vita esqui PA</t>
        </is>
      </c>
      <c r="B7071">
        <f>HYPERLINK("https://www.dofusbook.net/fr/equipement/2146093-eau-vita-esqui-pa/objets", "link")</f>
        <v/>
      </c>
      <c r="C7071" t="n">
        <v>0</v>
      </c>
      <c r="D7071" t="inlineStr">
        <is>
          <t>Rapière aux Glyphes; Amulette de Shokkoth; Bracelet des Fonds marins; Alliance Gloursonne; Bouclier du Stalak; Poulpagne; Capuche de l'Œil Attentif; Cape de l'Œil Attentif; Sandales Circulaires du Kimbo; Dofus Pourpre; Dofus des Glaces; Chanceux majeur; Nomade; Étourdisseur majeur; Remueur; Muldo Indigo</t>
        </is>
      </c>
    </row>
    <row r="7072">
      <c r="A7072" t="inlineStr">
        <is>
          <t>I / C / A</t>
        </is>
      </c>
      <c r="B7072">
        <f>HYPERLINK("https://www.dofusbook.net/fr/equipement/2131540-i---c---a-/objets", "link")</f>
        <v/>
      </c>
      <c r="C7072" t="n">
        <v>0</v>
      </c>
      <c r="D7072" t="inlineStr">
        <is>
          <t>Hache Harnée; Amulette du Strigide; Alliance Gloursonne; Bracelet des Fonds marins; Bouclier du Captain Amakna; Poulpagne; Chapeau des Malveilleurs; Chevelure de Tal Kasha; Sandales de Tal Kasha; Dofus des Glaces; Dofus Turquoise; Dofus Pourpre; Vigoureux majeur; Remueur; Nomade; Muldo Ebène et Indigo</t>
        </is>
      </c>
    </row>
    <row r="7073">
      <c r="A7073" t="inlineStr">
        <is>
          <t>Eau vita esqui PA</t>
        </is>
      </c>
      <c r="B7073">
        <f>HYPERLINK("https://www.dofusbook.net/fr/equipement/2127320-eau-vita-esqui-pa/objets", "link")</f>
        <v/>
      </c>
      <c r="C7073" t="n">
        <v>0</v>
      </c>
      <c r="D7073" t="inlineStr">
        <is>
          <t>Rapière aux Glyphes; Amulette de Shokkoth; Alliance Gloursonne; Bracelet des Fonds marins; Bouclier du Stalak; Poulpagne; Capuche de l'Œil Attentif; Cape de l'Œil Attentif; Sandales Circulaires du Kimbo; Dofus Turquoise; Dofus Pourpre; Dofus des Glaces; Remueur; Chanceux majeur; Nomade; Muldo Indigo</t>
        </is>
      </c>
    </row>
    <row r="7074">
      <c r="A7074" t="inlineStr">
        <is>
          <t>necrotique</t>
        </is>
      </c>
      <c r="B7074">
        <f>HYPERLINK("https://www.dofusbook.net/fr/equipement/2129380-necrotique/objets", "link")</f>
        <v/>
      </c>
      <c r="C7074" t="n">
        <v>0</v>
      </c>
      <c r="D7074" t="inlineStr">
        <is>
          <t>Arc Nécrotique; Amulette du Strigide; Bague Gloursonne; Alliance Gloursonne; Bouclier du Stalak; Ceinture du Strigide; Kidibonnet; Cape de la Dame du Hasard; Bottes de la Dame du Hasard; Dofus Émeraude; Dofus Turquoise; Dofus des Glaces; Dofus Pourpre; Dolmanax; Dofus Ocre; Muldo Indigo et Orchidée</t>
        </is>
      </c>
    </row>
    <row r="7075">
      <c r="A7075" t="inlineStr">
        <is>
          <t>T / F/ A 2</t>
        </is>
      </c>
      <c r="B7075">
        <f>HYPERLINK("https://www.dofusbook.net/fr/equipement/2127277-t---f--a----2/objets", "link")</f>
        <v/>
      </c>
      <c r="C7075" t="n">
        <v>2</v>
      </c>
      <c r="D7075" t="inlineStr">
        <is>
          <t>Marteau de Katrepat; Amulette du Strigide; Alliance Brûlâme; Bague Gloursonne; Bouclier du Captain Amakna; Ceinture du Strigide; Chapeau du Comte Razof; Voile d'encre; Baleinabottes; Dofus Turquoise; Dofus Pourpre; Dofus Abyssal; Nomade; Remueur; Vigoureux majeur; Muldo Orchidée et Pourpre</t>
        </is>
      </c>
    </row>
    <row r="7076">
      <c r="A7076" t="inlineStr">
        <is>
          <t>eau/feu/terre..</t>
        </is>
      </c>
      <c r="B7076">
        <f>HYPERLINK("https://www.dofusbook.net/fr/equipement/2114874-eau-feu-terre--/objets", "link")</f>
        <v/>
      </c>
      <c r="C7076" t="n">
        <v>0</v>
      </c>
      <c r="D7076" t="inlineStr">
        <is>
          <t>Arc Nécrotique; Amulette du Strigide; Alliance Gloursonne; Bague Gloursonne; Quatre-feuilles; Ceinture du Strigide; Kidibonnet; Cape de la Dame du Hasard; Bottes de la Dame du Hasard; Dofus Abyssal; Dofus Pourpre; Dofus Nébuleux; Dofus Turquoise; Dofus des Glaces; Dofus Ocre; Muldo Indigo et Orchidée</t>
        </is>
      </c>
    </row>
    <row r="7077">
      <c r="A7077" t="inlineStr">
        <is>
          <t>full feu 2</t>
        </is>
      </c>
      <c r="B7077">
        <f>HYPERLINK("https://www.dofusbook.net/fr/equipement/2061601-full-feu-2/objets", "link")</f>
        <v/>
      </c>
      <c r="C7077" t="n">
        <v>0</v>
      </c>
      <c r="D7077" t="inlineStr">
        <is>
          <t>Arc corrompu; Amulette de l'Œil Putride; Anneau Tique; Bague Gloursonne; Quatre-feuilles; Ceinture de Gein; Casque Cyclopéen; Cape de l'Œil Putride; Pataugastrique; Dofus Nébuleux; Dofus Pourpre; Vigoureux majeur; Remueur; Nomade; Érudit majeur; Muldo Pourpre</t>
        </is>
      </c>
    </row>
    <row r="7078">
      <c r="A7078" t="inlineStr">
        <is>
          <t>F/E Necrotique</t>
        </is>
      </c>
      <c r="B7078">
        <f>HYPERLINK("https://www.dofusbook.net/fr/equipement/2066841-f-e-necrotique/objets", "link")</f>
        <v/>
      </c>
      <c r="C7078" t="n">
        <v>1</v>
      </c>
      <c r="D7078" t="inlineStr">
        <is>
          <t>Épée Brûlâme; Amulette du Strigide; Alliance Gloursonne; Anneau Tique; Bouclier du Captain Amakna; Ceintacé; Casqnoar; Cape de l'Œil Putride; Bottes du Strigide; Dofus Pourpre; Dofus Turquoise; Dofus Nébuleux; Remueur; Vigoureux majeur; Nomade; Muldo Ebène et Orchidée</t>
        </is>
      </c>
    </row>
    <row r="7079">
      <c r="A7079" t="inlineStr">
        <is>
          <t>Eau vita esqui PM</t>
        </is>
      </c>
      <c r="B7079">
        <f>HYPERLINK("https://www.dofusbook.net/fr/equipement/2012285-eau-vita-esqui-pm/objets", "link")</f>
        <v/>
      </c>
      <c r="C7079" t="n">
        <v>0</v>
      </c>
      <c r="D7079" t="inlineStr">
        <is>
          <t>Rapière aux Glyphes; Amulette de Shokkoth; Bracelet des Fonds marins; Alliance Gloursonne; Bouclier du Stalak; Poulpagne; Masque des Fonds marins; Cape de l'Œil Attentif; Sandales Circulaires du Kimbo; Dofus Pourpre; Dofus des Glaces; Chanceux majeur; Nomade; Dévastateur Eau majeur; Remueur; Muldo Indigo</t>
        </is>
      </c>
    </row>
    <row r="7080">
      <c r="A7080" t="inlineStr">
        <is>
          <t>full eau 2</t>
        </is>
      </c>
      <c r="B7080">
        <f>HYPERLINK("https://www.dofusbook.net/fr/equipement/1758939-full-eau-2/objets", "link")</f>
        <v/>
      </c>
      <c r="C7080" t="n">
        <v>0</v>
      </c>
      <c r="D7080" t="inlineStr">
        <is>
          <t>Baguette Hique; Collier de la Dame du Hasard; Alliance Gloursonne; Bague Trithon; Quatre-feuilles; Ceinture Voldelor; Kidibonnet; Cape de la Dame du Hasard; Sandales de Tal Kasha; Dofus Nébuleux; Dofus Pourpre; Chanceux majeur; Remueur; Vigoureux majeur; Nomade; Muldo Ebène et Indigo</t>
        </is>
      </c>
    </row>
    <row r="7081">
      <c r="A7081" t="inlineStr">
        <is>
          <t>terre</t>
        </is>
      </c>
      <c r="B7081">
        <f>HYPERLINK("https://www.dofusbook.net/fr/equipement/1118605-terre/objets", "link")</f>
        <v/>
      </c>
      <c r="C7081" t="n">
        <v>0</v>
      </c>
      <c r="D7081" t="inlineStr">
        <is>
          <t>Arc du Chalœil; Amulette du Strigide; Anneau Chevelu; Anneau Crustique; Quatre-feuilles; Ceinture du Strigide; Masque de Koutoulou; Cape du Chalœil; Bottes de la Cour Sombre; Dofus Pourpre; Dofus Turquoise; Vigoureux majeur; Nomade; Enragé majeur; Remueur; Muldo Indigo</t>
        </is>
      </c>
    </row>
    <row r="7082">
      <c r="A7082" t="inlineStr">
        <is>
          <t>terre/feu</t>
        </is>
      </c>
      <c r="B7082">
        <f>HYPERLINK("https://www.dofusbook.net/fr/equipement/1729693-terre-feu/objets", "link")</f>
        <v/>
      </c>
      <c r="C7082" t="n">
        <v>0</v>
      </c>
      <c r="D7082" t="inlineStr">
        <is>
          <t>Epée Toche; Amulette du Strigide; Goulano; Bague Gloursonne; Quatre-feuilles; Ceinture de Gein; Chapeau du Comte Razof; Voile d'encre; Bottes du Strigide; Dofus Pourpre; Dofus Ocre; Dofus Turquoise; Remueur; Vigoureux majeur; Nomade; Muldo Ebène et Indigo</t>
        </is>
      </c>
    </row>
    <row r="7083">
      <c r="A7083" t="inlineStr">
        <is>
          <t>feu/eau/vie</t>
        </is>
      </c>
      <c r="B7083">
        <f>HYPERLINK("https://www.dofusbook.net/fr/equipement/1628373-feu-eau-vie/objets", "link")</f>
        <v/>
      </c>
      <c r="C7083" t="n">
        <v>1</v>
      </c>
      <c r="D7083" t="inlineStr">
        <is>
          <t>Dagues Cacterre; Talisman Igans; Alliance Gloursonne; Bracelet des Fonds marins; Bouclier du Captain Amakna; Ceintrigue; Casqnoar; Cape de la Dame du Hasard; Pataugastrique; Dofus Pourpre; Dofus Nébuleux; Vigoureux majeur; Nomade; Miraculé majeur; Remueur; Muldo Ebène et Indigo</t>
        </is>
      </c>
    </row>
    <row r="7084">
      <c r="A7084" t="inlineStr">
        <is>
          <t>Stuff 3</t>
        </is>
      </c>
      <c r="B7084">
        <f>HYPERLINK("https://www.dofusbook.net/fr/equipement/1705067-stuff-3/objets", "link")</f>
        <v/>
      </c>
      <c r="C7084" t="n">
        <v>0</v>
      </c>
      <c r="D7084" t="inlineStr">
        <is>
          <t>Marteau Phossile; Amulette du Strigide; Alliance Gloursonne; Anneau Tique; Bouclier du Captain Amakna; Ceintacé; Casque du Chalœil; Voile d'encre; Bottes du Chalœil; Dofus Turquoise; Dofus Pourpre; Miraculé majeur; Vigoureux majeur; Remueur; Nomade; Muldo Doré et Orchidée</t>
        </is>
      </c>
    </row>
    <row r="7085">
      <c r="A7085" t="inlineStr">
        <is>
          <t>Air CC</t>
        </is>
      </c>
      <c r="B7085">
        <f>HYPERLINK("https://www.dofusbook.net/fr/equipement/1704993-air-cc/objets", "link")</f>
        <v/>
      </c>
      <c r="C7085" t="n">
        <v>4</v>
      </c>
      <c r="D7085" t="inlineStr">
        <is>
          <t>Hachoirs de Viandargh; Amulette du Strigide; Anneau des égarés; Alliance Gloursonne; Bouclier du Captain Amakna; Menoture; Dorabysses; Chevelure de Tal Kasha; Bottes du Strigide; Dofus Pourpre; Dofus Abyssal; Dofus Turquoise; Remueur; Cascadeur majeur; Nomade; Muldo Ebène et Indigo</t>
        </is>
      </c>
    </row>
    <row r="7086">
      <c r="A7086" t="inlineStr">
        <is>
          <t>eau</t>
        </is>
      </c>
      <c r="B7086">
        <f>HYPERLINK("https://www.dofusbook.net/fr/equipement/1157885-eau/objets", "link")</f>
        <v/>
      </c>
      <c r="C7086" t="n">
        <v>1</v>
      </c>
      <c r="D7086" t="inlineStr">
        <is>
          <t>Rapière aux Glyphes; Amulette de Shokkoth; Alliance Gloursonne; Bracelet des Fonds marins; Bouclier du Captain Amakna; Poulpagne; Kidibonnet; Cape du Sinistrofu; Bottes du Sinistrofu; Dofus des Glaces; Dofus Émeraude; Dofus Pourpre; Miraculé majeur; Nomade; Chanceux majeur; Muldo Indigo</t>
        </is>
      </c>
    </row>
    <row r="7087">
      <c r="A7087" t="inlineStr">
        <is>
          <t>feu</t>
        </is>
      </c>
      <c r="B7087">
        <f>HYPERLINK("https://www.dofusbook.net/fr/equipement/1157886-feu/objets", "link")</f>
        <v/>
      </c>
      <c r="C7087" t="n">
        <v>1</v>
      </c>
      <c r="D7087" t="inlineStr">
        <is>
          <t>Harpelle; Pendentif mignon de Koutoulou; Anneau Tique; Anneau de Nidas; Bouclier du Captain Amakna; Ceinture de Vortex; Casque Cyclopéen; Voile d'encre; Pataugastrique; Dofus Pourpre; Dofus Turquoise; Nomade; Érudit majeur; Remueur; Miraculé majeur; Muldo Orchidée et Pourpre</t>
        </is>
      </c>
    </row>
    <row r="7088">
      <c r="A7088" t="inlineStr">
        <is>
          <t>Air CC</t>
        </is>
      </c>
      <c r="B7088">
        <f>HYPERLINK("https://www.dofusbook.net/fr/equipement/1694066-air-cc/objets", "link")</f>
        <v/>
      </c>
      <c r="C7088" t="n">
        <v>0</v>
      </c>
      <c r="D7088" t="inlineStr">
        <is>
          <t>Hachoirs de Viandargh; Amulette du Strigide; Anneau des égarés; Alliance Gloursonne; Bouclier du Captain Amakna; Menoture; Dorabysses; Chevelure de Tal Kasha; Bottes du Strigide; Dofus Pourpre; Dofus Turquoise; Nomade; Remueur; Cascadeur majeur; Muldo Ebène et Indigo</t>
        </is>
      </c>
    </row>
    <row r="7089">
      <c r="A7089" t="inlineStr">
        <is>
          <t>T / F /A 2</t>
        </is>
      </c>
      <c r="B7089">
        <f>HYPERLINK("https://www.dofusbook.net/fr/equipement/1546195-t---f--a--2/objets", "link")</f>
        <v/>
      </c>
      <c r="C7089" t="n">
        <v>3</v>
      </c>
      <c r="D7089" t="inlineStr">
        <is>
          <t>Dagues Ruik; Amulette du Strigide; Bague Gloursonne; Anneau Chevelu; Bouclier du Captain Amakna; Ceintacé; Chapeau de Gein; Voile d'encre; Bottes du Strigide; Dofus Turquoise; Dofus Pourpre; Dofus Émeraude; Nomade; Remueur; Vigoureux majeur; Muldo Ebène et Orchidée</t>
        </is>
      </c>
    </row>
    <row r="7090">
      <c r="A7090" t="inlineStr">
        <is>
          <t>full air</t>
        </is>
      </c>
      <c r="B7090">
        <f>HYPERLINK("https://www.dofusbook.net/fr/equipement/1559055-full-air/objets", "link")</f>
        <v/>
      </c>
      <c r="C7090" t="n">
        <v>5</v>
      </c>
      <c r="D7090" t="inlineStr">
        <is>
          <t>Manthache; Collier du Valet Veinard; Alliance Gloursonne; Gant du Valet Veinard; Quatre-feuilles; Menoture; Dorabysses; Chevelure de Tal Kasha; Palmes Trithons; Dofus Nébuleux; Dofus Pourpre; Vigoureux majeur; Nomade; Remueur; Cascadeur majeur; Muldo Ebène et Pourpre</t>
        </is>
      </c>
    </row>
    <row r="7091">
      <c r="A7091" t="inlineStr">
        <is>
          <t>terre/feu/air</t>
        </is>
      </c>
      <c r="B7091">
        <f>HYPERLINK("https://www.dofusbook.net/fr/equipement/1355014-terre-feu-air/objets", "link")</f>
        <v/>
      </c>
      <c r="C7091" t="n">
        <v>0</v>
      </c>
      <c r="D7091" t="inlineStr">
        <is>
          <t>Marteau de Katrepat; Amulette du Strigide; Bague Gloursonne; Anneau Chevelu; Bouclier cubiste; Ceintacé; Chapeau de Gein; Voile d'encre; Bottes du Strigide; Dofus Turquoise; Dofus Pourpre; Dofus Nébuleux; Nomade; Remueur; Vigoureux majeur; Muldo Ebène et Orchidée</t>
        </is>
      </c>
    </row>
    <row r="7092">
      <c r="A7092" t="inlineStr">
        <is>
          <t>T / F / A</t>
        </is>
      </c>
      <c r="B7092">
        <f>HYPERLINK("https://www.dofusbook.net/fr/equipement/1486758-t---f---a/objets", "link")</f>
        <v/>
      </c>
      <c r="C7092" t="n">
        <v>0</v>
      </c>
      <c r="D7092" t="inlineStr">
        <is>
          <t>Marteau de Katrepat; Amulette du Strigide; Bague Gloursonne; Anneau Chevelu; Bouclier du Captain Amakna; Ceintacé; Chapeau de Gein; Voile d'encre; Bottes du Strigide; Dofus Turquoise; Dofus Pourpre; Dofus Nébuleux; Nomade; Remueur; Vigoureux majeur; Muldo Ebène et Orchidée</t>
        </is>
      </c>
    </row>
    <row r="7093">
      <c r="A7093" t="inlineStr">
        <is>
          <t>T / F / A</t>
        </is>
      </c>
      <c r="B7093">
        <f>HYPERLINK("https://www.dofusbook.net/fr/equipement/1477555-t---f---a/objets", "link")</f>
        <v/>
      </c>
      <c r="C7093" t="n">
        <v>1</v>
      </c>
      <c r="D7093" t="inlineStr">
        <is>
          <t>Marteau de Katrepat; Amulette du Strigide; Anneau Chevelu; Bague Gloursonne; Bouclier du Captain Amakna; Ceintacé; Chapeau de Gein; Voile d'encre; Bottes du Strigide; Dofus Pourpre; Dofus Nébuleux; Dofus Turquoise; Remueur; Vigoureux majeur; Nomade; Muldo Ebène et Orchidée</t>
        </is>
      </c>
    </row>
    <row r="7094">
      <c r="A7094" t="inlineStr">
        <is>
          <t>Full roxx Terre</t>
        </is>
      </c>
      <c r="B7094">
        <f>HYPERLINK("https://www.dofusbook.net/fr/equipement/1515163-full-roxx-terre/objets", "link")</f>
        <v/>
      </c>
      <c r="C7094" t="n">
        <v>3</v>
      </c>
      <c r="D7094" t="inlineStr">
        <is>
          <t>Dagues Érhy; Amulette du Strigide; Anneau de Brouce; Anneau Chevelu; Bouclier du Captain Amakna; Ceinture de Brouce; Masque de Koutoulou; Cape au Logis; Bottes du Strigide; Dofus Turquoise; Dofus Pourpre; Dofus Ocre; Dofus Nébuleux; Dofus des Glaces; Dofus Émeraude; Muldo Indigo et Pourpre</t>
        </is>
      </c>
    </row>
    <row r="7095">
      <c r="A7095" t="inlineStr">
        <is>
          <t>Terre/feu 2</t>
        </is>
      </c>
      <c r="B7095">
        <f>HYPERLINK("https://www.dofusbook.net/fr/equipement/1475705-terre-feu-2/objets", "link")</f>
        <v/>
      </c>
      <c r="C7095" t="n">
        <v>0</v>
      </c>
      <c r="D7095" t="inlineStr">
        <is>
          <t>Epée Toche; Amulette du Strigide; Anneau Chevelu; Bague Gloursonne; Bouclier du Captain Amakna; Ceintacé; Chapeau de Gein; Voile d'encre; Bottes du Strigide; Dofus Turquoise; Dofus Pourpre; Dofus des Glaces; Nomade; Vigoureux majeur; Remueur; Muldo Ebène et Orchidée</t>
        </is>
      </c>
    </row>
    <row r="7096">
      <c r="A7096" t="inlineStr">
        <is>
          <t>terre/feu</t>
        </is>
      </c>
      <c r="B7096">
        <f>HYPERLINK("https://www.dofusbook.net/fr/equipement/984671-terre-feu/objets", "link")</f>
        <v/>
      </c>
      <c r="C7096" t="n">
        <v>0</v>
      </c>
      <c r="D7096" t="inlineStr">
        <is>
          <t>Hache Téroïde; Amulette du Strigide; Bague Gloursonne; Anneau Chevelu; Bouclier du Captain Amakna; Ceinture de Gein; Chapeau de Gein; Voile d'encre; Baleinabottes; Dofus Émeraude; Dofus Pourpre; Dofus Turquoise; Remueur; Vigoureux majeur; Nomade; Muldo Ebène et Pourpre</t>
        </is>
      </c>
    </row>
    <row r="7097">
      <c r="A7097" t="inlineStr">
        <is>
          <t>multi</t>
        </is>
      </c>
      <c r="B7097">
        <f>HYPERLINK("https://www.dofusbook.net/fr/equipement/1475561-multi/objets", "link")</f>
        <v/>
      </c>
      <c r="C7097" t="n">
        <v>0</v>
      </c>
      <c r="D7097" t="inlineStr">
        <is>
          <t>Epée Maudite du Saigneur Guerrier; Amulette de l'Indicible; Alliance Gloursonne; Bague Gloursonne; Bouclier du Captain Amakna; Ceinture de l'Indicible; Casque du Chalœil; Voile d'encre; Bottes de l'Indicible; Dofus des Glaces; Dofus Pourpre; Dolmanax; Dofus Turquoise; Dofus Ocre; Dofus Émeraude; Muldo Indigo et Orchidée</t>
        </is>
      </c>
    </row>
    <row r="7098">
      <c r="A7098" t="inlineStr">
        <is>
          <t>terre/air</t>
        </is>
      </c>
      <c r="B7098">
        <f>HYPERLINK("https://www.dofusbook.net/fr/equipement/272015-terre-air/objets", "link")</f>
        <v/>
      </c>
      <c r="C7098" t="n">
        <v>3</v>
      </c>
      <c r="D7098" t="inlineStr">
        <is>
          <t>Manthache; Amulette du Strigide; Alliance Gloursonne; Gant du Valet Veinard; Quatre-feuilles; Menoture; Dorabysses; Cape Indescriptible; Bottes du Strigide; Dofus Pourpre; Dofus des Glaces; Dofus Turquoise; Remueur; Nomade; Cascadeur majeur; Muldo Ebène et Pourpre</t>
        </is>
      </c>
    </row>
    <row r="7099">
      <c r="A7099" t="inlineStr">
        <is>
          <t>sram full air</t>
        </is>
      </c>
      <c r="B7099">
        <f>HYPERLINK("https://www.dofusbook.net/fr/equipement/1475132-sram-full-air/objets", "link")</f>
        <v/>
      </c>
      <c r="C7099" t="n">
        <v>4</v>
      </c>
      <c r="D7099" t="inlineStr">
        <is>
          <t>Manthache; Collier du Valet Veinard; Alliance Gloursonne; Gant du Valet Veinard; Quatre-feuilles; Menoture; Dorabysses; Cape Indescriptible; Palmes Trithons; Dofus Pourpre; Dofus des Glaces; Remueur; Nomade; Dévastateur Air majeur; Cascadeur majeur; Muldo Ebène et Pourpre</t>
        </is>
      </c>
    </row>
    <row r="7100">
      <c r="A7100" t="inlineStr">
        <is>
          <t>sram-ancienne</t>
        </is>
      </c>
      <c r="B7100">
        <f>HYPERLINK("https://www.dofusbook.net/fr/equipement/1169298-sram-ancienne/objets", "link")</f>
        <v/>
      </c>
      <c r="C7100" t="n">
        <v>1</v>
      </c>
      <c r="D7100" t="inlineStr">
        <is>
          <t>Arc du Chalœil; Amulette du Strigide; Anneau Chevelu; Anneau Crustique; Quatre-feuilles; Ceinture du Strigide; Masque de Koutoulou; Voile d'encre; Tentassons; Dofus Pourpre; Dofus Turquoise; Dofus Nébuleux; Nomade; Vigoureux majeur; Remueur; Muldo Indigo et Pourpre</t>
        </is>
      </c>
    </row>
    <row r="7101">
      <c r="A7101" t="inlineStr">
        <is>
          <t>terre / retrait ..</t>
        </is>
      </c>
      <c r="B7101">
        <f>HYPERLINK("https://www.dofusbook.net/fr/equipement/1149222-terre---retrait---/objets", "link")</f>
        <v/>
      </c>
      <c r="C7101" t="n">
        <v>0</v>
      </c>
      <c r="D7101" t="inlineStr">
        <is>
          <t>Arc du Chalœil; Amulette du Strigide; Anneau Crustique; Anneau Chevelu; Quatre-feuilles; Ceinture du Strigide; Masque de Koutoulou; Voile d'encre; Tentassons; Dofus Nébuleux; Dofus Pourpre; Dofus Turquoise; Remueur; Nomade; Vigoureux majeur; Muldo Indigo et Pourpre</t>
        </is>
      </c>
    </row>
    <row r="7102">
      <c r="A7102" t="inlineStr">
        <is>
          <t>F/ E Necrot</t>
        </is>
      </c>
      <c r="B7102">
        <f>HYPERLINK("https://www.dofusbook.net/fr/equipement/1435371-f--e-necrot/objets", "link")</f>
        <v/>
      </c>
      <c r="C7102" t="n">
        <v>0</v>
      </c>
      <c r="D7102" t="inlineStr">
        <is>
          <t>Arc Nécrotique; Amulette du Strigide; Anneau Tique; Alliance Gloursonne; Bouclier cubiste; Ceintacé; Casqnoar; Cape de la Dame du Hasard; Bottes de la Dame du Hasard; Dofus Pourpre; Miraculé majeur; Vigoureux majeur; Nomade; Étourdisseur majeur; Remueur; Muldo Orchidée et Amande</t>
        </is>
      </c>
    </row>
    <row r="7103">
      <c r="A7103" t="inlineStr">
        <is>
          <t>F/ E Necrot</t>
        </is>
      </c>
      <c r="B7103">
        <f>HYPERLINK("https://www.dofusbook.net/fr/equipement/1402959-f--e-necrot/objets", "link")</f>
        <v/>
      </c>
      <c r="C7103" t="n">
        <v>2</v>
      </c>
      <c r="D7103" t="inlineStr">
        <is>
          <t>Arc Nécrotique; Amulette du Strigide; Alliance Gloursonne; Anneau Tique; Bouclier cubiste; Ceintacé; Casqnoar; Cape de la Dame du Hasard; Bottes de la Dame du Hasard; Dofus Pourpre; Dofus Émeraude; Remueur; Vigoureux majeur; Nomade; Étourdisseur majeur; Muldo Orchidée et Amande</t>
        </is>
      </c>
    </row>
    <row r="7104">
      <c r="A7104" t="inlineStr">
        <is>
          <t>F/E Necrotique</t>
        </is>
      </c>
      <c r="B7104">
        <f>HYPERLINK("https://www.dofusbook.net/fr/equipement/1394255-f-e-necrotique/objets", "link")</f>
        <v/>
      </c>
      <c r="C7104" t="n">
        <v>3</v>
      </c>
      <c r="D7104" t="inlineStr">
        <is>
          <t>Arc Nécrotique; Amulette du Strigide; Anneau Tique; Alliance Gloursonne; Bouclier cubiste; Ceintacé; Casqnoar; Cape de la Dame du Hasard; Bottes de la Dame du Hasard; Dofus Nébuleux; Dofus Pourpre; Vigoureux majeur; Nomade; Temporiseur majeur; Remueur; Muldo Orchidée et Amande</t>
        </is>
      </c>
    </row>
    <row r="7105">
      <c r="A7105" t="inlineStr">
        <is>
          <t>terre/feu</t>
        </is>
      </c>
      <c r="B7105">
        <f>HYPERLINK("https://www.dofusbook.net/fr/equipement/1391525-terre-feu/objets", "link")</f>
        <v/>
      </c>
      <c r="C7105" t="n">
        <v>0</v>
      </c>
      <c r="D7105" t="inlineStr"/>
    </row>
    <row r="7106">
      <c r="A7106" t="inlineStr">
        <is>
          <t>multi 2</t>
        </is>
      </c>
      <c r="B7106">
        <f>HYPERLINK("https://www.dofusbook.net/fr/equipement/1364513-multi-2/objets", "link")</f>
        <v/>
      </c>
      <c r="C7106" t="n">
        <v>1</v>
      </c>
      <c r="D7106" t="inlineStr">
        <is>
          <t>Marteau R'ture; Amulette de l'Indicible; Bague Gloursonne; Alliance du Lévitrof; Bouclier cubiste; Ceinture de l'Indicible; Coiffe du Lévitrof; Voile d'encre; Bottes du Lévitrof; Dofus Turquoise; Dofus des Glaces; Dofus Ocre; Dofus Pourpre; Ralentisseur majeur; Entraveur majeur; Muldo Indigo et Pourpre</t>
        </is>
      </c>
    </row>
    <row r="7107">
      <c r="A7107" t="inlineStr">
        <is>
          <t>terre/eau/air</t>
        </is>
      </c>
      <c r="B7107">
        <f>HYPERLINK("https://www.dofusbook.net/fr/equipement/1355024-terre-eau-air/objets", "link")</f>
        <v/>
      </c>
      <c r="C7107" t="n">
        <v>3</v>
      </c>
      <c r="D7107" t="inlineStr">
        <is>
          <t>Dague Adou; Amulette du Strigide; Bague Gloursonne; Alliance Gloursonne; Bouclier cubiste; Ceinture du Strigide; Némès de Tal Kasha; Chevelure de Tal Kasha; Sandales de Tal Kasha; Dofus Ocre; Dofus Pourpre; Dolmanax; Dofus des Glaces; Dofus Émeraude; Dofus Turquoise; Muldo Ebène et Indigo</t>
        </is>
      </c>
    </row>
    <row r="7108">
      <c r="A7108" t="inlineStr">
        <is>
          <t>eau/air/roxx</t>
        </is>
      </c>
      <c r="B7108">
        <f>HYPERLINK("https://www.dofusbook.net/fr/equipement/1344415-eau-air-roxx/objets", "link")</f>
        <v/>
      </c>
      <c r="C7108" t="n">
        <v>0</v>
      </c>
      <c r="D7108" t="inlineStr">
        <is>
          <t>Bâtonnet Ronien; Amulette Voldelor; Bracelet des Fonds marins; Alliance Gloursonne; Quatre-feuilles; Ceintacé; Némès de Tal Kasha; Chevelure de Tal Kasha; Chaussures Face; Dofus des Glaces; Dofus Turquoise; Dofus Pourpre; Remueur; Nomade; Vigoureux majeur; Muldo Ebène</t>
        </is>
      </c>
    </row>
    <row r="7109">
      <c r="A7109" t="inlineStr">
        <is>
          <t>feu/eau</t>
        </is>
      </c>
      <c r="B7109">
        <f>HYPERLINK("https://www.dofusbook.net/fr/equipement/1343968-feu-eau/objets", "link")</f>
        <v/>
      </c>
      <c r="C7109" t="n">
        <v>3</v>
      </c>
      <c r="D7109" t="inlineStr">
        <is>
          <t>Pelle de Katrepat; Talisman Igans; Alliance Gloursonne; Bague Trithon; Bouclier cubiste; Ceintacé; Masque Trithon; Cape de la Dame du Hasard; Pataugastrique; Dofus Turquoise; Dofus Pourpre; Étourdisseur majeur; Vigoureux majeur; Remueur; Nomade; Muldo Ebène et Indigo</t>
        </is>
      </c>
    </row>
    <row r="7110">
      <c r="A7110" t="inlineStr">
        <is>
          <t>cra terre/eau</t>
        </is>
      </c>
      <c r="B7110">
        <f>HYPERLINK("https://www.dofusbook.net/fr/equipement/1343902-cra-terre-eau/objets", "link")</f>
        <v/>
      </c>
      <c r="C7110" t="n">
        <v>5</v>
      </c>
      <c r="D7110" t="inlineStr">
        <is>
          <t>Dagues de Srambad; Amulette du Strigide; Anneau Crustique; Alliance Gloursonne; Bouclier cubiste; Ceinture de la Reine des Voleurs; Coiffe de la Reine des Voleurs; Voile d'encre; Baleinabottes; Dofus Pourpre; Dofus Turquoise; Vigoureux majeur; Nomade; Remueur; Temporiseur majeur; Muldo Ebène et Indigo</t>
        </is>
      </c>
    </row>
    <row r="7111">
      <c r="A7111" t="inlineStr">
        <is>
          <t>feu/air</t>
        </is>
      </c>
      <c r="B7111">
        <f>HYPERLINK("https://www.dofusbook.net/fr/equipement/1343959-feu-air/objets", "link")</f>
        <v/>
      </c>
      <c r="C7111" t="n">
        <v>3</v>
      </c>
      <c r="D7111" t="inlineStr">
        <is>
          <t>Baguette Range; Amulette du Strigide; Anneau Tique; Anneau de Padgref; Quatre-feuilles; Ceinture du Strigide; Coiffe de Padgref; Voile d'encre; Bottes du Strigide; Dolmanax; Dofus des Glaces; Dofus Nébuleux; Dofus Turquoise; Dofus Pourpre; Dofus Ocre; Muldo Orchidée et Pourpre</t>
        </is>
      </c>
    </row>
    <row r="7112">
      <c r="A7112" t="inlineStr">
        <is>
          <t>EAU/FEU/RETRAIT</t>
        </is>
      </c>
      <c r="B7112">
        <f>HYPERLINK("https://www.dofusbook.net/fr/equipement/1339345-eau-feu-retrait/objets", "link")</f>
        <v/>
      </c>
      <c r="C7112" t="n">
        <v>0</v>
      </c>
      <c r="D7112" t="inlineStr">
        <is>
          <t>Pelle de Katrepat; Talisman Igans; Alliance Gloursonne; Bague Trithon; Bouclier du Captain Amakna; Ceintacé; Masque Trithon; Cape de la Dame du Hasard; Pataugastrique; Dofus Pourpre; Dofus Turquoise; Vigoureux majeur; Remueur; Nomade; Étourdisseur majeur; Muldo Ebène et Orchidée</t>
        </is>
      </c>
    </row>
    <row r="7113">
      <c r="A7113" t="inlineStr">
        <is>
          <t>air</t>
        </is>
      </c>
      <c r="B7113">
        <f>HYPERLINK("https://www.dofusbook.net/fr/equipement/1157883-air/objets", "link")</f>
        <v/>
      </c>
      <c r="C7113" t="n">
        <v>1</v>
      </c>
      <c r="D7113" t="inlineStr">
        <is>
          <t>Manthache; Collier du Valet Veinard; Alliance Gloursonne; Gant du Valet Veinard; Bouclier du Captain Amakna; Menoture; Dorabysses; Cape Indescriptible; Palmes Trithons; Dofus Émeraude; Dofus Pourpre; Nomade; Miraculé majeur; Dévastateur Air majeur; Remueur; Muldo Ebène et Pourpre</t>
        </is>
      </c>
    </row>
    <row r="7114">
      <c r="A7114" t="inlineStr">
        <is>
          <t>air retrait</t>
        </is>
      </c>
      <c r="B7114">
        <f>HYPERLINK("https://www.dofusbook.net/fr/equipement/1149619-air-retrait/objets", "link")</f>
        <v/>
      </c>
      <c r="C7114" t="n">
        <v>5</v>
      </c>
      <c r="D7114" t="inlineStr">
        <is>
          <t>Manthache; Collier du Valet Veinard; Gant du Valet Veinard; Alliance Gloursonne; Cadran de Terre; Menoture; Dorabysses; Cape Indescriptible; Tentassons; Dofus Pourpre; Nomade; Remueur; Cascadeur majeur; Vigoureux majeur; Étourdisseur majeur; Muldo Ebène et Indigo</t>
        </is>
      </c>
    </row>
    <row r="7115">
      <c r="A7115" t="inlineStr">
        <is>
          <t>feu/air/retrait</t>
        </is>
      </c>
      <c r="B7115">
        <f>HYPERLINK("https://www.dofusbook.net/fr/equipement/1149420-feu-air-retrait/objets", "link")</f>
        <v/>
      </c>
      <c r="C7115" t="n">
        <v>0</v>
      </c>
      <c r="D7115" t="inlineStr">
        <is>
          <t>Marteau Phossile; Pendentif mignon de Koutoulou; Bague Gloursonne; Anneau Tique; Quatre-feuilles; Ceinture de Vortex; Cagoule de Vortex; Cape de Diondin; Bottes du Strigide; Dofus Turquoise; Dofus Pourpre; Étourdisseur majeur; Nomade; Vigoureux majeur; Remueur; Muldo Ebène et Orchidée</t>
        </is>
      </c>
    </row>
    <row r="7116">
      <c r="A7116" t="inlineStr">
        <is>
          <t>eau retrait</t>
        </is>
      </c>
      <c r="B7116">
        <f>HYPERLINK("https://www.dofusbook.net/fr/equipement/1118876-eau-retrait/objets", "link")</f>
        <v/>
      </c>
      <c r="C7116" t="n">
        <v>1</v>
      </c>
      <c r="D7116" t="inlineStr">
        <is>
          <t>Dagoulinantes; Talisman Glouti; Bracelet des Fonds marins; Alliance Gloursonne; Sept ans de malheur; Ceinture Glaciale; Némès de Tal Kasha; Chevelure de Tal Kasha; Pataugastrique; Dofus des Glaces; Dofus Pourpre; Chanceux majeur; Nomade; Étourdisseur majeur; Remueur; Muldo Ebène et Indigo</t>
        </is>
      </c>
    </row>
    <row r="7117">
      <c r="A7117" t="inlineStr">
        <is>
          <t>feu / retrait</t>
        </is>
      </c>
      <c r="B7117">
        <f>HYPERLINK("https://www.dofusbook.net/fr/equipement/1118714-feu---retrait/objets", "link")</f>
        <v/>
      </c>
      <c r="C7117" t="n">
        <v>0</v>
      </c>
      <c r="D7117" t="inlineStr">
        <is>
          <t>Arc Nécrotique; Talisman Glouti; Anneauræus; Anneau Tique; Sept ans de malheur; Ceinture de Vortex; Coiffe Cryochrone; Cape de Diondin; Pataugastrique; Dofus Turquoise; Dofus Pourpre; Remueur; Nomade; Étourdisseur majeur; Vigoureux majeur; Muldo Indigo et Orchidée</t>
        </is>
      </c>
    </row>
    <row r="7118">
      <c r="A7118" t="inlineStr">
        <is>
          <t>Sapeuh</t>
        </is>
      </c>
      <c r="B7118">
        <f>HYPERLINK("https://www.dofusbook.net/fr/equipement/1055498-sapeuh/objets", "link")</f>
        <v/>
      </c>
      <c r="C7118" t="n">
        <v>1</v>
      </c>
      <c r="D7118" t="inlineStr">
        <is>
          <t>Héqache; Amulette du Strigide; Alliance Gloursonne; Anneau Chevelu; Bouclier du Captain Amakna; Ceinture du Strigide; Casque de Missiz Frizz; Voile d'encre; Tentassons; Dofus Turquoise; Dofus Pourpre; Dofus Ocre; Dofus Émeraude; Dofus des Glaces; Remueur; Muldo Ebène et Indigo</t>
        </is>
      </c>
    </row>
    <row r="7119">
      <c r="A7119" t="inlineStr">
        <is>
          <t>Stuff 1</t>
        </is>
      </c>
      <c r="B7119">
        <f>HYPERLINK("https://www.dofusbook.net/fr/equipement/272007-stuff-1/objets", "link")</f>
        <v/>
      </c>
      <c r="C7119" t="n">
        <v>0</v>
      </c>
      <c r="D7119" t="inlineStr">
        <is>
          <t>Dagues Érhy; Amulette du Strigide; Anneau Chevelu; Bague Gloursonne; Bouclier cubiste; Ceintacé; Couronne du Roi Joueur; Voile d'encre; Bottes du Roi Joueur; Dofus Pourpre; Temporiseur majeur; Nomade; Miraculé majeur; Vigoureux majeur; Remueur; Muldo Orchidée et Pourpre</t>
        </is>
      </c>
    </row>
    <row r="7120">
      <c r="A7120" t="inlineStr">
        <is>
          <t>full Terre</t>
        </is>
      </c>
      <c r="B7120">
        <f>HYPERLINK("https://www.dofusbook.net/fr/equipement/1047886-full-terre/objets", "link")</f>
        <v/>
      </c>
      <c r="C7120" t="n">
        <v>4</v>
      </c>
      <c r="D7120" t="inlineStr">
        <is>
          <t>Epée Toche; Amulette du Strigide; Anneau Crustique; Bague Gloursonne; Bouclier du Captain Amakna; Ceinture de la Cour Sombre; Chapeau de Gein; Voile d'encre; Bottes de la Cour Sombre; Dofus Ocre; Dofus Pourpre; Dofus Nébuleux; Vigoureux majeur; Nomade; Remueur; Muldo Indigo et Pourpre</t>
        </is>
      </c>
    </row>
    <row r="7121">
      <c r="A7121" t="inlineStr">
        <is>
          <t>do po</t>
        </is>
      </c>
      <c r="B7121">
        <f>HYPERLINK("https://www.dofusbook.net/fr/equipement/1040319-do-po/objets", "link")</f>
        <v/>
      </c>
      <c r="C7121" t="n">
        <v>0</v>
      </c>
      <c r="D7121" t="inlineStr">
        <is>
          <t>Arc du Chalœil; Torquistik; Bracelet du Piloztère; Bague Trithon; Quatre-feuilles; Masque Trithon; Voile d'encre; Dofus Ocre; Dofus des Glaces; Dofus Turquoise; Remueur; Nomade; Culbuteur majeur; Muldo Indigo et Pourpre</t>
        </is>
      </c>
    </row>
    <row r="7122">
      <c r="A7122" t="inlineStr">
        <is>
          <t>full agi/vita</t>
        </is>
      </c>
      <c r="B7122">
        <f>HYPERLINK("https://www.dofusbook.net/fr/equipement/1024847-full-agi-vita/objets", "link")</f>
        <v/>
      </c>
      <c r="C7122" t="n">
        <v>1</v>
      </c>
      <c r="D7122" t="inlineStr">
        <is>
          <t>Manthache; Collier du Valet Veinard; Alliance Gloursonne; Gant du Valet Veinard; Bouclier précieux; Menoture; Dorabysses; Cape Indescriptible; Palmes Trithons; Dofus Pourpre; Dofus Émeraude; Nomade; Cascadeur majeur; Remueur; Miraculé majeur; Muldo Ebène et Pourpre</t>
        </is>
      </c>
    </row>
    <row r="7123">
      <c r="A7123" t="inlineStr">
        <is>
          <t>full air</t>
        </is>
      </c>
      <c r="B7123">
        <f>HYPERLINK("https://www.dofusbook.net/fr/equipement/358884-full-air/objets", "link")</f>
        <v/>
      </c>
      <c r="C7123" t="n">
        <v>0</v>
      </c>
      <c r="D7123" t="inlineStr">
        <is>
          <t>Manthache; Collier du Valet Veinard; Gant du Valet Veinard; Alliance Gloursonne; Bouclier du Captain Amakna; Menoture; Dorabysses; Cape Indescriptible; Palmes Trithons; Dofus Pourpre; Dofus Émeraude; Cascadeur majeur; Nomade; Vigoureux majeur; Remueur; Muldo Ebène et Pourpre</t>
        </is>
      </c>
    </row>
    <row r="7124">
      <c r="A7124" t="inlineStr">
        <is>
          <t>feu/eau/retrait</t>
        </is>
      </c>
      <c r="B7124">
        <f>HYPERLINK("https://www.dofusbook.net/fr/equipement/995093-feu-eau-retrait/objets", "link")</f>
        <v/>
      </c>
      <c r="C7124" t="n">
        <v>0</v>
      </c>
      <c r="D7124" t="inlineStr">
        <is>
          <t>Arc Nécrotique; Amulette de l'Œil Attentif; Alliance Gloursonne; Anneau Tique; Bouclier cubiste; Ceinture de l'Esprit Malsain; Masque de l'Esprit Malsain; Cape de l'Œil Putride; Pataugastrique; Dofus Pourpre; Dofus Turquoise; Remueur; Étourdisseur majeur; Vigoureux majeur; Nomade; Muldo Orchidée et Pourpre</t>
        </is>
      </c>
    </row>
    <row r="7125">
      <c r="A7125" t="inlineStr">
        <is>
          <t>eau/air</t>
        </is>
      </c>
      <c r="B7125">
        <f>HYPERLINK("https://www.dofusbook.net/fr/equipement/272010-eau-air/objets", "link")</f>
        <v/>
      </c>
      <c r="C7125" t="n">
        <v>0</v>
      </c>
      <c r="D7125" t="inlineStr">
        <is>
          <t>Arc de Koutoulou; Amulette Voldelor; Alliance Gloursonne; Bracelet du Piloztère; Quatre-feuilles; Ceintacé; Némès de Tal Kasha; Chevelure de Tal Kasha; Bottes du Sinistrofu; Dofus Turquoise; Dofus Pourpre; Dofus Nébuleux; Nomade; Vigoureux majeur; Remueur; Muldo Ebène et Indigo</t>
        </is>
      </c>
    </row>
    <row r="7126">
      <c r="A7126" t="inlineStr">
        <is>
          <t>tri element/ dopou</t>
        </is>
      </c>
      <c r="B7126">
        <f>HYPERLINK("https://www.dofusbook.net/fr/equipement/960045-tri-element--dopou/objets", "link")</f>
        <v/>
      </c>
      <c r="C7126" t="n">
        <v>0</v>
      </c>
      <c r="D7126" t="inlineStr">
        <is>
          <t>Dague Adou; Amulette du Strigide; Bracelet du Piloztère; Alliance Gloursonne; Bouclier du Captain Amakna; Ceintacé; Casque Dragoeuf; Chevelure de Tal Kasha; Bottes du Strigide; Dofus des Glaces; Dofus Pourpre; Dofus Turquoise; Vigoureux majeur; Nomade; Remueur; Muldo Orchidée et Pourpre</t>
        </is>
      </c>
    </row>
    <row r="7127">
      <c r="A7127" t="inlineStr">
        <is>
          <t>chance/intel</t>
        </is>
      </c>
      <c r="B7127">
        <f>HYPERLINK("https://www.dofusbook.net/fr/equipement/956500-chance-intel/objets", "link")</f>
        <v/>
      </c>
      <c r="C7127" t="n">
        <v>2</v>
      </c>
      <c r="D7127" t="inlineStr">
        <is>
          <t>Arc Nécrotique; Talisman Glouti; Alliance Gloursonne; Anneau Tique; Bouclier cubiste; Ceinture de Kongoku; Casquette de Meno; Cape de Meno; Pataugastrique; Dofus des Glaces; Dofus Pourpre; Dofus Turquoise; Remueur; Temporiseur majeur; Nomade; Muldo Ebène et Pourpre</t>
        </is>
      </c>
    </row>
    <row r="7128">
      <c r="A7128" t="inlineStr">
        <is>
          <t>multi</t>
        </is>
      </c>
      <c r="B7128">
        <f>HYPERLINK("https://www.dofusbook.net/fr/equipement/956304-multi/objets", "link")</f>
        <v/>
      </c>
      <c r="C7128" t="n">
        <v>1</v>
      </c>
      <c r="D7128" t="inlineStr">
        <is>
          <t>Bâthon; Amulette Ementaire Deluxe; Bague Trithon; Alliance Gloursonne; Bouclier cubiste; Ceinture Luminescente; Casque du Chalœil; Voile d'encre; Pataugastrique; Dofus Émeraude; Dofus Pourpre; Nomade; Remueur; Vigoureux majeur; Temporiseur majeur; Muldo Indigo et Pourpre</t>
        </is>
      </c>
    </row>
    <row r="7129">
      <c r="A7129" t="inlineStr">
        <is>
          <t>pvp</t>
        </is>
      </c>
      <c r="B7129">
        <f>HYPERLINK("https://www.dofusbook.net/fr/equipement/955655-pvp/objets", "link")</f>
        <v/>
      </c>
      <c r="C7129" t="n">
        <v>0</v>
      </c>
      <c r="D7129" t="inlineStr">
        <is>
          <t>Dagues Érhy; Amulette du Strigide; Alliance Gloursonne; Bracelet du Piloztère; Bouclier du Captain Amakna; Ceintacé; Casque Dragoeuf; Voile d'encre; Bottes du Strigide; Dofus Pourpre; Dofus Turquoise; Dofus Émeraude; Remueur; Vigoureux majeur; Nomade; Muldo Ebène et Pourpre</t>
        </is>
      </c>
    </row>
    <row r="7130">
      <c r="A7130" t="inlineStr">
        <is>
          <t>tri element</t>
        </is>
      </c>
      <c r="B7130">
        <f>HYPERLINK("https://www.dofusbook.net/fr/equipement/620269-tri-element/objets", "link")</f>
        <v/>
      </c>
      <c r="C7130" t="n">
        <v>0</v>
      </c>
      <c r="D7130" t="inlineStr">
        <is>
          <t>Héqache; Amulette du Strigide; Bague Trithon; Alliance Gloursonne; Bouclier précieux; Ceintacé; Masque Trithon; Chevelure de Tal Kasha; Sandales Circulaires du Kimbo; Dofus Turquoise; Dofus Pourpre; Dofus Émeraude; Remueur; Vigoureux majeur; Nomade; Muldo Ebène et Orchidée</t>
        </is>
      </c>
    </row>
    <row r="7131">
      <c r="A7131" t="inlineStr">
        <is>
          <t>zobal do po eau vita</t>
        </is>
      </c>
      <c r="B7131">
        <f>HYPERLINK("https://www.dofusbook.net/fr/equipement/443211-zobal-do-po-eau-vita/objets", "link")</f>
        <v/>
      </c>
      <c r="C7131" t="n">
        <v>2</v>
      </c>
      <c r="D7131" t="inlineStr">
        <is>
          <t>Rapière aux Glyphes; Talisman Glouti; Alliance Gloursonne; Bague Trithon; Bouclier précieux; Ceinture Glaciale; Masque Trithon; Cape Luminescente; Pataugastrique; Dofus Pourpre; Dofus Émeraude; Miraculé majeur; Remueur; Nomade; Culbuteur majeur; Muldo Ebène et Indigo</t>
        </is>
      </c>
    </row>
    <row r="7132">
      <c r="A7132" t="inlineStr">
        <is>
          <t>Stuff 1</t>
        </is>
      </c>
      <c r="B7132">
        <f>HYPERLINK("https://www.dofusbook.net/fr/equipement/272026-stuff-1/objets", "link")</f>
        <v/>
      </c>
      <c r="C7132" t="n">
        <v>2</v>
      </c>
      <c r="D7132" t="inlineStr">
        <is>
          <t>Hache Téroïde; Amulette du Strigide; Anneau Chevelu; Bague Gloursonne; Bouclier du Captain Amakna; Ceinture de Gein; Chapeau de Gein; Voile d'encre; Baleinabottes; Dofus Turquoise; Dofus Émeraude; Dofus Pourpre; Nomade; Remueur; Vigoureux majeur; Kramkram</t>
        </is>
      </c>
    </row>
    <row r="7133">
      <c r="A7133" t="inlineStr">
        <is>
          <t>Stuff 2</t>
        </is>
      </c>
      <c r="B7133">
        <f>HYPERLINK("https://www.dofusbook.net/fr/equipement/272008-stuff-2/objets", "link")</f>
        <v/>
      </c>
      <c r="C7133" t="n">
        <v>1</v>
      </c>
      <c r="D7133" t="inlineStr">
        <is>
          <t>Dagues Érhy; Amulette du Strigide; Bague Gloursonne; Chevalière du Roi Joueur; Ceinture de Gein; Chapeau de Gein; Voile d'encre; Baleinabottes; Dofus Pourpre; Dofus Turquoise; Nomade; Temporiseur majeur; Vigoureux majeur; Remueur; Muldo Ebène et Pourpre</t>
        </is>
      </c>
    </row>
    <row r="7134">
      <c r="A7134" t="inlineStr">
        <is>
          <t>Stuff 3</t>
        </is>
      </c>
      <c r="B7134">
        <f>HYPERLINK("https://www.dofusbook.net/fr/equipement/272009-stuff-3/objets", "link")</f>
        <v/>
      </c>
      <c r="C7134" t="n">
        <v>0</v>
      </c>
      <c r="D7134" t="inlineStr">
        <is>
          <t>Dagues de Srambad; Amulette du Strigide; Alliance du Lévitrof; Bague Gloursonne; Ceinture de l'Indicible; Coiffe du Lévitrof; Voile d'encre; Baleinabottes; Dofus Pourpre; Dofus des Glaces; Nomade; Temporiseur majeur; Vigoureux majeur; Remueur; Muldo Indigo et Pourpre</t>
        </is>
      </c>
    </row>
    <row r="7135">
      <c r="A7135" t="inlineStr">
        <is>
          <t>test</t>
        </is>
      </c>
      <c r="B7135">
        <f>HYPERLINK("https://www.dofusbook.net/fr/equipement/1872689-test/objets", "link")</f>
        <v/>
      </c>
      <c r="C7135" t="n">
        <v>1</v>
      </c>
      <c r="D7135" t="inlineStr">
        <is>
          <t>Amulette du Strigide; Crocanneau; Bracelet du Piloztère; Ceinture du Strigide; Maskrobe; Bottes du Strigide</t>
        </is>
      </c>
    </row>
    <row r="7136">
      <c r="A7136" t="inlineStr">
        <is>
          <t>ret pm</t>
        </is>
      </c>
      <c r="B7136">
        <f>HYPERLINK("https://www.dofusbook.net/fr/equipement/3410020-ret-pm/objets", "link")</f>
        <v/>
      </c>
      <c r="C7136" t="n">
        <v>3</v>
      </c>
      <c r="D7136" t="inlineStr">
        <is>
          <t>Baguette Hique; Amulette du Strigide; Anneau Volkorne; Pikano; Quatre-feuilles; Ceinture du Strigide; Coiffe de Danathor; Cape de la Dame du Hasard; Bottes du Strigide</t>
        </is>
      </c>
    </row>
    <row r="7137">
      <c r="A7137" t="inlineStr">
        <is>
          <t>pvm</t>
        </is>
      </c>
      <c r="B7137">
        <f>HYPERLINK("https://www.dofusbook.net/fr/equipement/1441075-pvm/objets", "link")</f>
        <v/>
      </c>
      <c r="C7137" t="n">
        <v>0</v>
      </c>
      <c r="D7137" t="inlineStr">
        <is>
          <t>Collier du Valet Veinard; Anneau d'Allister; Gant du Valet Veinard; Menoture; Cape Indescriptible</t>
        </is>
      </c>
    </row>
    <row r="7138">
      <c r="A7138" t="inlineStr">
        <is>
          <t>200</t>
        </is>
      </c>
      <c r="B7138">
        <f>HYPERLINK("https://www.dofusbook.net/fr/equipement/2264437-200/objets", "link")</f>
        <v/>
      </c>
      <c r="C7138" t="n">
        <v>3</v>
      </c>
      <c r="D7138" t="inlineStr">
        <is>
          <t>Dagues du Dragoeuf; Amulette du Strigide; Anneau Volkorne; Crocanneau; Quatre-feuilles; Ceinture Volkorne; Casque Volkorne; Dofusteuse; Bottes du Strigide; Kokulte</t>
        </is>
      </c>
    </row>
    <row r="7139">
      <c r="A7139" t="inlineStr">
        <is>
          <t>pvm</t>
        </is>
      </c>
      <c r="B7139">
        <f>HYPERLINK("https://www.dofusbook.net/fr/equipement/1723868-pvm/objets", "link")</f>
        <v/>
      </c>
      <c r="C7139" t="n">
        <v>5</v>
      </c>
      <c r="D7139" t="inlineStr">
        <is>
          <t>Arc du Chalœil; Amulette du Strigide; Crocanneau; Quatre-feuilles; Ceinture du Strigide; Corne de Torkélonia; Carapace de Torkélonia; Bottes du Strigide; Kokulte</t>
        </is>
      </c>
    </row>
    <row r="7140">
      <c r="A7140" t="inlineStr">
        <is>
          <t>eni</t>
        </is>
      </c>
      <c r="B7140">
        <f>HYPERLINK("https://www.dofusbook.net/fr/equipement/2274037-eni/objets", "link")</f>
        <v/>
      </c>
      <c r="C7140" t="n">
        <v>1</v>
      </c>
      <c r="D7140" t="inlineStr">
        <is>
          <t>Arc corrompu; Pendentif affamé; Anneauræus; Anneauræus; Ceinture Séculaire; Coiffe Séculaire; Cape de Diondin; Bottes Innommables</t>
        </is>
      </c>
    </row>
    <row r="7141">
      <c r="A7141" t="inlineStr">
        <is>
          <t>ponda</t>
        </is>
      </c>
      <c r="B7141">
        <f>HYPERLINK("https://www.dofusbook.net/fr/equipement/1284133-ponda/objets", "link")</f>
        <v/>
      </c>
      <c r="C7141" t="n">
        <v>11</v>
      </c>
      <c r="D7141" t="inlineStr">
        <is>
          <t>Amulette de Shokkoth; Anneau Volkorne; Bracelet des Fonds marins; Sangle Ouare; Kidibonnet; Pataugastrique</t>
        </is>
      </c>
    </row>
    <row r="7142">
      <c r="A7142" t="inlineStr">
        <is>
          <t>esq pa</t>
        </is>
      </c>
      <c r="B7142">
        <f>HYPERLINK("https://www.dofusbook.net/fr/equipement/1779931-esq-pa/objets", "link")</f>
        <v/>
      </c>
      <c r="C7142" t="n">
        <v>1</v>
      </c>
      <c r="D7142" t="inlineStr"/>
    </row>
    <row r="7143">
      <c r="A7143" t="inlineStr">
        <is>
          <t>test</t>
        </is>
      </c>
      <c r="B7143">
        <f>HYPERLINK("https://www.dofusbook.net/fr/equipement/1689176-test/objets", "link")</f>
        <v/>
      </c>
      <c r="C7143" t="n">
        <v>0</v>
      </c>
      <c r="D7143" t="inlineStr"/>
    </row>
    <row r="7144">
      <c r="A7144" t="inlineStr">
        <is>
          <t>test</t>
        </is>
      </c>
      <c r="B7144">
        <f>HYPERLINK("https://www.dofusbook.net/fr/equipement/1408370-test/objets", "link")</f>
        <v/>
      </c>
      <c r="C7144" t="n">
        <v>0</v>
      </c>
      <c r="D7144" t="inlineStr"/>
    </row>
    <row r="7145">
      <c r="A7145" t="inlineStr">
        <is>
          <t>Pandawa F 200</t>
        </is>
      </c>
      <c r="B7145">
        <f>HYPERLINK("https://www.dofusbook.net/fr/equipement/3575727-pandawa-f-200/objets", "link")</f>
        <v/>
      </c>
      <c r="C7145" t="n">
        <v>1</v>
      </c>
      <c r="D7145" t="inlineStr">
        <is>
          <t>Baguette Héroclite; Amulette Luminescente; Anneau Volkorne; Bracelet des Fonds marins; Ceinture Luminescente; Masque des Fonds marins; Cape Luminescente; Sandales des Fonds marins</t>
        </is>
      </c>
    </row>
    <row r="7146">
      <c r="A7146" t="inlineStr">
        <is>
          <t>b200b</t>
        </is>
      </c>
      <c r="B7146">
        <f>HYPERLINK("https://www.dofusbook.net/fr/equipement/2272487-b200b/objets", "link")</f>
        <v/>
      </c>
      <c r="C7146" t="n">
        <v>0</v>
      </c>
      <c r="D7146" t="inlineStr">
        <is>
          <t>Arc du Chalœil; Collier de Tourthon; Anneau Crustique; Anneau du Comte Harebourg; Ceinture Volkorne; Coiffe du Comte Harebourg; Cape au Logis</t>
        </is>
      </c>
    </row>
    <row r="7147">
      <c r="A7147" t="inlineStr">
        <is>
          <t>deussan</t>
        </is>
      </c>
      <c r="B7147">
        <f>HYPERLINK("https://www.dofusbook.net/fr/equipement/2264051-deussan/objets", "link")</f>
        <v/>
      </c>
      <c r="C7147" t="n">
        <v>0</v>
      </c>
      <c r="D7147" t="inlineStr">
        <is>
          <t>Amulette de Nevark; Alliance Gloursonne; Ceinture Rasboulaire du Rasboul; Couronne d'Allister; Cape de Klime; Pantoufles Émar</t>
        </is>
      </c>
    </row>
    <row r="7148">
      <c r="A7148" t="inlineStr">
        <is>
          <t>a199a</t>
        </is>
      </c>
      <c r="B7148">
        <f>HYPERLINK("https://www.dofusbook.net/fr/equipement/2264438-a199a/objets", "link")</f>
        <v/>
      </c>
      <c r="C7148" t="n">
        <v>0</v>
      </c>
      <c r="D7148" t="inlineStr">
        <is>
          <t>Amulette d'Hel Munster; Coiffe d'Hel Munster; Cape d'Hel Munster; Sandales Ouzi</t>
        </is>
      </c>
    </row>
    <row r="7149">
      <c r="A7149" t="inlineStr">
        <is>
          <t>pvm 175</t>
        </is>
      </c>
      <c r="B7149">
        <f>HYPERLINK("https://www.dofusbook.net/fr/equipement/1872657-pvm-175/objets", "link")</f>
        <v/>
      </c>
      <c r="C7149" t="n">
        <v>0</v>
      </c>
      <c r="D7149" t="inlineStr">
        <is>
          <t>Baguette Hernelle; Talisman Choh; Slip Iholo; Frimacoiffe; Cape de Tengu Givrefoux; Bottes du Tengu Givrefoux</t>
        </is>
      </c>
    </row>
    <row r="7150">
      <c r="A7150" t="inlineStr">
        <is>
          <t>test2</t>
        </is>
      </c>
      <c r="B7150">
        <f>HYPERLINK("https://www.dofusbook.net/fr/equipement/1780083-test2/objets", "link")</f>
        <v/>
      </c>
      <c r="C7150" t="n">
        <v>4</v>
      </c>
      <c r="D7150" t="inlineStr">
        <is>
          <t>Marteau des égarés; Amulette du Strigide; Alliance Gloursonne; Bague Trithon; Ceintacé; Masque Trithon; Cape du Chalœil; Bottes du Chalœil</t>
        </is>
      </c>
    </row>
    <row r="7151">
      <c r="A7151" t="inlineStr">
        <is>
          <t>Crâ M 200</t>
        </is>
      </c>
      <c r="B7151">
        <f>HYPERLINK("https://www.dofusbook.net/fr/equipement/6009521-cra-m-200/objets", "link")</f>
        <v/>
      </c>
      <c r="C7151" t="n">
        <v>0</v>
      </c>
      <c r="D7151" t="inlineStr">
        <is>
          <t>Baguette de Torkélonia; Amulette du Strigide; Anneau des égarés; Anneau Crustique; Quatre-feuilles; Ceinture Volkorne; Corne de Torkélonia; Cape au Logis; Baleinabottes; Dofus Ivoire; Dofus Ocre; Dofus Nébuleux; Dofus Turquoise; Dofus Ébène; Dofus Pourpre; Dragodinde Ivoire et Pourpre</t>
        </is>
      </c>
    </row>
    <row r="7152">
      <c r="A7152" t="inlineStr">
        <is>
          <t>Pandawa M 200</t>
        </is>
      </c>
      <c r="B7152">
        <f>HYPERLINK("https://www.dofusbook.net/fr/equipement/5942635-pandawa-m-200/objets", "link")</f>
        <v/>
      </c>
      <c r="C7152" t="n">
        <v>0</v>
      </c>
      <c r="D7152" t="inlineStr">
        <is>
          <t>Manthache; Collier du Valet Veinard; Anneau d'Allister; Gant du Valet Veinard; Cadran d'Air; Ceinture du Barbétoal; Couronne d'Allister; Cape du Valet Veinard; Bottes d'Allister; Dofus Vulbis; Dofus Ébène; Dofus Émeraude; Dofus Ivoire; Dofus Pourpre; Dofus Ocre; Kramkram</t>
        </is>
      </c>
    </row>
    <row r="7153">
      <c r="A7153" t="inlineStr">
        <is>
          <t>Huppermage F 200</t>
        </is>
      </c>
      <c r="B7153">
        <f>HYPERLINK("https://www.dofusbook.net/fr/equipement/5883293-huppermage-f-200/objets", "link")</f>
        <v/>
      </c>
      <c r="C7153" t="n">
        <v>0</v>
      </c>
      <c r="D7153" t="inlineStr">
        <is>
          <t>Hache du Chalœil; Amulette Volkorne; Bague Trithon; Anneau Volkorne; Quatre-feuilles; Ceinture Volkorne; Masque Trithon; Cape du Chalœil; Bottes Trithon; Dofus Turquoise; Dofus Ocre; Dofus Émeraude; Dofus Ébène; Dofus Pourpre; Dofus Ivoire; Volkorne Rubis et Améthyste</t>
        </is>
      </c>
    </row>
    <row r="7154">
      <c r="A7154" t="inlineStr">
        <is>
          <t>Eniripsa F 200</t>
        </is>
      </c>
      <c r="B7154">
        <f>HYPERLINK("https://www.dofusbook.net/fr/equipement/5878216-eniripsa-f-200/objets", "link")</f>
        <v/>
      </c>
      <c r="C7154" t="n">
        <v>0</v>
      </c>
      <c r="D7154" t="inlineStr">
        <is>
          <t>Lance Horselé; Collier du Valet Veinard; Alliance Gloursonne; Gant du Valet Veinard; Cadran de Terre; Menoture; Casque Volkorne; Chevelure de Tal Kasha; Palmes Trithons; Dofus Ébène; Dofus Ivoire; Dofus Pourpre; Dofus Ocre; Étourdisseur majeur; Cascadeur majeur; Dragodinde Prune et Ebène</t>
        </is>
      </c>
    </row>
    <row r="7155">
      <c r="A7155" t="inlineStr">
        <is>
          <t>Iop F 200</t>
        </is>
      </c>
      <c r="B7155">
        <f>HYPERLINK("https://www.dofusbook.net/fr/equipement/5878169-iop-f-200/objets", "link")</f>
        <v/>
      </c>
      <c r="C7155" t="n">
        <v>0</v>
      </c>
      <c r="D7155" t="inlineStr">
        <is>
          <t>Marteau R'ture; Amulette du Cœur Saignant; Anneau Chevelu; Anneau Crustique; Cadran d'Eau; Ceinture Volkorne; Masque de Koutoulou; Cape au Logis; Bottes du Cœur Saignant; Dofus Pourpre; Dofus Ivoire; Dofus Turquoise; Dofus Émeraude; Dofus Ébène; Enragé majeur; Volkorne Jade et Emeraude</t>
        </is>
      </c>
    </row>
    <row r="7156">
      <c r="A7156" t="inlineStr">
        <is>
          <t>Crâ M 200</t>
        </is>
      </c>
      <c r="B7156">
        <f>HYPERLINK("https://www.dofusbook.net/fr/equipement/5875430-cra-m-200/objets", "link")</f>
        <v/>
      </c>
      <c r="C7156" t="n">
        <v>0</v>
      </c>
      <c r="D7156" t="inlineStr">
        <is>
          <t>Arc Nécrotique; Amulette Volkorne; Anneau Volkorne; Alliance Gloursonne; Cadran de Terre; Ceinture de Vortex; Casque Volkorne; Cape de la Dame du Hasard; Bottes Lunaires; Dofus Ivoire; Dofus Pourpre; Dofus Ébène; Dofus Ocre; Dofus Turquoise; Volkorne Ivoire et Turquoise</t>
        </is>
      </c>
    </row>
    <row r="7157">
      <c r="A7157" t="inlineStr">
        <is>
          <t>Zobal M 200</t>
        </is>
      </c>
      <c r="B7157">
        <f>HYPERLINK("https://www.dofusbook.net/fr/equipement/5875341-zobal-m-200/objets", "link")</f>
        <v/>
      </c>
      <c r="C7157" t="n">
        <v>0</v>
      </c>
      <c r="D7157" t="inlineStr">
        <is>
          <t>Baguette de Malléfisk; Pendentif affamé; Anneauræus; Anneauræus; Cadran de Feu; Ceinture de Gein; Masque d'Anerice; Cape d'Anerice; Pataugastrique; Dofus Ivoire; Dolmanax; Dofus Vulbis; Dofus Ébène; Dofus Ocre; Guérisseur majeur; Dragodinde Orchidée et Rousse</t>
        </is>
      </c>
    </row>
    <row r="7158">
      <c r="A7158" t="inlineStr">
        <is>
          <t>Ecaflip F 200</t>
        </is>
      </c>
      <c r="B7158">
        <f>HYPERLINK("https://www.dofusbook.net/fr/equipement/5875280-ecaflip-f-200/objets", "link")</f>
        <v/>
      </c>
      <c r="C7158" t="n">
        <v>1</v>
      </c>
      <c r="D7158" t="inlineStr">
        <is>
          <t>Manthache; Collier du Valet Veinard; Gant du Valet Veinard; Alliance Gloursonne; Cadran d'Air; Menoture; Couronne d'Allister; Cape Indescriptible; Palmes Trithons; Dofus Pourpre; Dofus Ébène; Dofus Vulbis; Dofus Ivoire; Dofus Ocre; Cascadeur majeur; Dragodinde Ebène et Ivoire</t>
        </is>
      </c>
    </row>
    <row r="7159">
      <c r="A7159" t="inlineStr">
        <is>
          <t>Crâ M 200</t>
        </is>
      </c>
      <c r="B7159">
        <f>HYPERLINK("https://www.dofusbook.net/fr/equipement/5875306-cra-m-200/objets", "link")</f>
        <v/>
      </c>
      <c r="C7159" t="n">
        <v>0</v>
      </c>
      <c r="D7159" t="inlineStr">
        <is>
          <t>Arc Hétype; Pendentif affamé; Anneau Rifique; Anneauræus; Cadran d'Air; Ceinture de Gein; Heaume Oplate; Voile d'encre; Bottes Innommables; Dofus Pourpre; Dofus Ivoire; Dolmanax; Dofus Ocre; Dofus Ébène; Érudit majeur; Muldo Indigo</t>
        </is>
      </c>
    </row>
    <row r="7160">
      <c r="A7160" t="inlineStr">
        <is>
          <t>Enutrof M 200</t>
        </is>
      </c>
      <c r="B7160">
        <f>HYPERLINK("https://www.dofusbook.net/fr/equipement/5875258-enutrof-m-200/objets", "link")</f>
        <v/>
      </c>
      <c r="C7160" t="n">
        <v>0</v>
      </c>
      <c r="D7160" t="inlineStr">
        <is>
          <t>Arc du Chalœil; Collier de Tourthon; Anneau Chevelu; Anneau Volkorne; Bouclier du Stalak; Ceinture Volkorne; Masque de Koutoulou; Cape au Logis; Baleinabottes; Dofus Ébène; Dolmanax; Dofus Ivoire; Dofus Pourpre; Carapace Terre majeur; Enragé majeur; Dragodinde Dorée et Pourpre</t>
        </is>
      </c>
    </row>
    <row r="7161">
      <c r="A7161" t="inlineStr">
        <is>
          <t>Steamer M 200</t>
        </is>
      </c>
      <c r="B7161">
        <f>HYPERLINK("https://www.dofusbook.net/fr/equipement/5875242-steamer-m-200/objets", "link")</f>
        <v/>
      </c>
      <c r="C7161" t="n">
        <v>0</v>
      </c>
      <c r="D7161" t="inlineStr">
        <is>
          <t>Plume de Buhorado; Amibou; Alliance Gloursonne; Bague Trithon; Cadran d'Air; Menoture; Couronne d'Allister; Capibou; Palmes Trithons; Dofus Ébène; Dofus Turquoise; Dofus Ivoire; Dofus Pourpre; Dofus Ocre; Cascadeur majeur; Kramkram</t>
        </is>
      </c>
    </row>
    <row r="7162">
      <c r="A7162" t="inlineStr">
        <is>
          <t>Ouginak M 200</t>
        </is>
      </c>
      <c r="B7162">
        <f>HYPERLINK("https://www.dofusbook.net/fr/equipement/5872245-ouginak-m-200/objets", "link")</f>
        <v/>
      </c>
      <c r="C7162" t="n">
        <v>0</v>
      </c>
      <c r="D7162" t="inlineStr"/>
    </row>
    <row r="7163">
      <c r="A7163" t="inlineStr">
        <is>
          <t>Steamer M 200</t>
        </is>
      </c>
      <c r="B7163">
        <f>HYPERLINK("https://www.dofusbook.net/fr/equipement/5872220-steamer-m-200/objets", "link")</f>
        <v/>
      </c>
      <c r="C7163" t="n">
        <v>1</v>
      </c>
      <c r="D7163" t="inlineStr">
        <is>
          <t>Arc corrompu; Pendentif affamé; Anneauræus; Anneauræus; Bouclier d'Anerice; Ceinture de Gein; Heaume Oplate; Cape d'Anerice; Bottes Innommables; Dofus Émeraude; Dofus Ivoire; Dolmanax; Dofus Ocre; Dofus Ébène; Érudit majeur; Muldo Turquoise et Orchidée</t>
        </is>
      </c>
    </row>
    <row r="7164">
      <c r="A7164" t="inlineStr">
        <is>
          <t>Enutrof F 200</t>
        </is>
      </c>
      <c r="B7164">
        <f>HYPERLINK("https://www.dofusbook.net/fr/equipement/5872208-enutrof-f-200/objets", "link")</f>
        <v/>
      </c>
      <c r="C7164" t="n">
        <v>2</v>
      </c>
      <c r="D7164" t="inlineStr">
        <is>
          <t>Manthache; Collier du Valet Veinard; Gant du Valet Veinard; Alliance Gloursonne; Cadran d'Air; Menoture; Couronne d'Allister; Cape d'Anerice; Palmes Trithons; Dofus Ébène; Dofus Émeraude; Dofus Ivoire; Dofus Pourpre; Dofus Ocre; Cascadeur majeur; Muldo Ebène et Orchidée</t>
        </is>
      </c>
    </row>
    <row r="7165">
      <c r="A7165" t="inlineStr">
        <is>
          <t>Crâ M 200</t>
        </is>
      </c>
      <c r="B7165">
        <f>HYPERLINK("https://www.dofusbook.net/fr/equipement/5872183-cra-m-200/objets", "link")</f>
        <v/>
      </c>
      <c r="C7165" t="n">
        <v>1</v>
      </c>
      <c r="D7165" t="inlineStr">
        <is>
          <t>Arc de Guten Tak; Amulette du Strigide; Pikano; Anneau Volkorne; Quatre-feuilles; Ceinture Volkorne; Casque en Grithril; Cape au Logis; Baleinabottes; Dofus Turquoise; Dofus Ivoire; Dofus Pourpre; Dofus Ocre; Dofus Ébène; Vigoureux majeur; Kramkram</t>
        </is>
      </c>
    </row>
    <row r="7166">
      <c r="A7166" t="inlineStr">
        <is>
          <t>Xélor M 200</t>
        </is>
      </c>
      <c r="B7166">
        <f>HYPERLINK("https://www.dofusbook.net/fr/equipement/5871082-xelor-m-200/objets", "link")</f>
        <v/>
      </c>
      <c r="C7166" t="n">
        <v>0</v>
      </c>
      <c r="D7166" t="inlineStr"/>
    </row>
    <row r="7167">
      <c r="A7167" t="inlineStr">
        <is>
          <t>Huppermage F 200</t>
        </is>
      </c>
      <c r="B7167">
        <f>HYPERLINK("https://www.dofusbook.net/fr/equipement/5847373-huppermage-f-200/objets", "link")</f>
        <v/>
      </c>
      <c r="C7167" t="n">
        <v>0</v>
      </c>
      <c r="D7167" t="inlineStr">
        <is>
          <t>Arc Nécrotique; Amulette Volkorne; Anneau Volkorne; Alliance Gloursonne; Quatre-feuilles; Ceintacé; Casque du Chalœil; Dofusteuse; Pataugastrique; Dofus Turquoise; Dofus Ébène; Dofus Émeraude; Dofus Ivoire; Dofus Pourpre; Vigoureux majeur; Muldo Prune et Emeraude</t>
        </is>
      </c>
    </row>
    <row r="7168">
      <c r="A7168" t="inlineStr">
        <is>
          <t>Ouginak M 200</t>
        </is>
      </c>
      <c r="B7168">
        <f>HYPERLINK("https://www.dofusbook.net/fr/equipement/5847353-ouginak-m-200/objets", "link")</f>
        <v/>
      </c>
      <c r="C7168" t="n">
        <v>0</v>
      </c>
      <c r="D7168" t="inlineStr">
        <is>
          <t>Manthache; Collier du Valet Veinard; Alliance Gloursonne; Gant du Valet Veinard; Bouclier d'Ilyzaelle; Menoture; Couronne d'Allister; Cape de Crânonier; Palmes Trithons; Dofus Cawotte; Dofus Ivoire; Dofus Pourpre; Dofus Ocre; Dofus Ébène; Cascadeur majeur; Muldo Ebène et Ivoire</t>
        </is>
      </c>
    </row>
    <row r="7169">
      <c r="A7169" t="inlineStr">
        <is>
          <t>Féca F 200</t>
        </is>
      </c>
      <c r="B7169">
        <f>HYPERLINK("https://www.dofusbook.net/fr/equipement/5847332-feca-f-200/objets", "link")</f>
        <v/>
      </c>
      <c r="C7169" t="n">
        <v>2</v>
      </c>
      <c r="D7169" t="inlineStr">
        <is>
          <t>Baguette Héroclite; Amulette de l'Œil Attentif; Alliance Gloursonne; Anneau Volkorne; Bouclier du Stalak; Sangle Ouare; Capuche de l'Œil Attentif; Cape Solution; Pataugastrique; Dofus Argenté; Dofus Pourpre; Dofus Ébène; Dofus Ivoire; Chanceux majeur; Carapace Feu majeur; Dragodinde Indigo et Ivoire</t>
        </is>
      </c>
    </row>
    <row r="7170">
      <c r="A7170" t="inlineStr">
        <is>
          <t>Enutrof F 200</t>
        </is>
      </c>
      <c r="B7170">
        <f>HYPERLINK("https://www.dofusbook.net/fr/equipement/5847319-enutrof-f-200/objets", "link")</f>
        <v/>
      </c>
      <c r="C7170" t="n">
        <v>0</v>
      </c>
      <c r="D7170" t="inlineStr">
        <is>
          <t>Arc corrompu; Amulette Volkorne; Anneauræus; Anneau Volkorne; Bouclier du Stalak; Croture; Heaume Oplate; Voile d'encre; Bottes Innommables; Dofus Ivoire; Dofus Pourpre; Dofus Ocre; Dofus Ébène; Dolmanax; Érudit majeur; Muldo Orchidée et Pourpre</t>
        </is>
      </c>
    </row>
    <row r="7171">
      <c r="A7171" t="inlineStr">
        <is>
          <t>Zobal F 200</t>
        </is>
      </c>
      <c r="B7171">
        <f>HYPERLINK("https://www.dofusbook.net/fr/equipement/5847278-zobal-f-200/objets", "link")</f>
        <v/>
      </c>
      <c r="C7171" t="n">
        <v>0</v>
      </c>
      <c r="D7171" t="inlineStr">
        <is>
          <t>Lav'Hache; Amulette du Cœur Vaillant; Anneau Crustique; Chevalière du Roi Joueur; Cadran de Terre; Ceinture des Chocomanciens; Masque de Koutoulou; Cape du Cœur Saignant; Bottes du Roi Joueur; Dofus Ébène; Dofus Ivoire; Dofus Pourpre; Dofus Ocre; Temporiseur majeur; Enragé majeur; Muldo Ebène et Pourpre</t>
        </is>
      </c>
    </row>
    <row r="7172">
      <c r="A7172" t="inlineStr">
        <is>
          <t>Sadida M 200</t>
        </is>
      </c>
      <c r="B7172">
        <f>HYPERLINK("https://www.dofusbook.net/fr/equipement/5847265-sadida-m-200/objets", "link")</f>
        <v/>
      </c>
      <c r="C7172" t="n">
        <v>0</v>
      </c>
      <c r="D7172" t="inlineStr">
        <is>
          <t>Arc Nécrotique; Amulette Volkorne; Alliance Gloursonne; Anneau Volkorne; Bouclier du Stalak; Ceinture de l'Esprit Salvateur; Masque de l'Esprit Salvateur; Cape de l'Œil Putride; Bottes de l'Esprit Salvateur; Dofus Ivoire; Dofus des Glaces; Dofus Ocre; Dofus Pourpre; Dofus Ébène; Dolmanax; Muldo Ebène et Pourpre</t>
        </is>
      </c>
    </row>
    <row r="7173">
      <c r="A7173" t="inlineStr">
        <is>
          <t>Eniripsa F 200</t>
        </is>
      </c>
      <c r="B7173">
        <f>HYPERLINK("https://www.dofusbook.net/fr/equipement/5847234-eniripsa-f-200/objets", "link")</f>
        <v/>
      </c>
      <c r="C7173" t="n">
        <v>0</v>
      </c>
      <c r="D7173" t="inlineStr">
        <is>
          <t>Dagoulinantes; Amulette de Pol Ouatnos; Alliance Gloursonne; Anneau Volkorne; Cadran de Terre; Menoture; Casque Volkorne; Chevelure de Tal Kasha; Chaussons de Macrab; Dofus Ocre; Dofus Ébène; Dofus Pourpre; Dofus Ivoire; Étourdisseur majeur; Chanceux majeur; Dragoune Rose</t>
        </is>
      </c>
    </row>
    <row r="7174">
      <c r="A7174" t="inlineStr">
        <is>
          <t>Crâ F 200</t>
        </is>
      </c>
      <c r="B7174">
        <f>HYPERLINK("https://www.dofusbook.net/fr/equipement/5847172-cra-f-200/objets", "link")</f>
        <v/>
      </c>
      <c r="C7174" t="n">
        <v>0</v>
      </c>
      <c r="D7174" t="inlineStr">
        <is>
          <t>Bâthon; Amulette des Chocomanciens; Chevalière du Roi Joueur; Anneau Crustique; Cadran de Terre; Ceinture des Chocomanciens; Casque en Grithril; Cape de l'Œil Putride; Pataugastrique; Dofus Ivoire; Dofus Pourpre; Dofus Ocre; Dofus Ébène; Dofus des Glaces; Étourdisseur majeur; Muldo Orchidée et Pourpre</t>
        </is>
      </c>
    </row>
    <row r="7175">
      <c r="A7175" t="inlineStr">
        <is>
          <t>Enutrof M 200</t>
        </is>
      </c>
      <c r="B7175">
        <f>HYPERLINK("https://www.dofusbook.net/fr/equipement/5846238-enutrof-m-200/objets", "link")</f>
        <v/>
      </c>
      <c r="C7175" t="n">
        <v>0</v>
      </c>
      <c r="D7175" t="inlineStr">
        <is>
          <t>Baguette de Torkélonia; Amulette du Strigide; Anneau Crustique; Anneau des égarés; Cadran d'Air; Menoture; Corne de Torkélonia; Cape au Logis; Baleinabottes; Dolmanax; Dofus Turquoise; Dofus Ébène; Dofus Pourpre; Dofus Ivoire; Étourdisseur majeur; Kouin-Kouin Noir</t>
        </is>
      </c>
    </row>
    <row r="7176">
      <c r="A7176" t="inlineStr">
        <is>
          <t>Ecaflip F 200</t>
        </is>
      </c>
      <c r="B7176">
        <f>HYPERLINK("https://www.dofusbook.net/fr/equipement/5846212-ecaflip-f-200/objets", "link")</f>
        <v/>
      </c>
      <c r="C7176" t="n">
        <v>0</v>
      </c>
      <c r="D7176" t="inlineStr">
        <is>
          <t>Baguette de Torkélonia; Amulette du Strigide; Anneau Crustique; Anneau des égarés; Cadran d'Air; Ceintacé; Corne de Torkélonia; Cape au Logis; Baleinabottes; Dofus Ébène; Dofus Turquoise; Dofus Ivoire; Dofus Pourpre; Vigoureux majeur; Enragé majeur; Dragodinde Ivoire et Pourpre</t>
        </is>
      </c>
    </row>
    <row r="7177">
      <c r="A7177" t="inlineStr">
        <is>
          <t>Eliotrope F 200</t>
        </is>
      </c>
      <c r="B7177">
        <f>HYPERLINK("https://www.dofusbook.net/fr/equipement/5846168-eliotrope-f-200/objets", "link")</f>
        <v/>
      </c>
      <c r="C7177" t="n">
        <v>1</v>
      </c>
      <c r="D7177" t="inlineStr">
        <is>
          <t>Baguette de Torkélonia; Amulette du Strigide; Alliance Gloursonne; Alliance Brûlâme; Quatre-feuilles; Menoture; Masque Brûlâme; Carapace de Torkélonia; Pompes Funèbres; Dofus des Glaces; Dofus Turquoise; Dofus Ébène; Dofus Vulbis; Dofus Ivoire; Dofus Pourpre; Dragodinde Ebène et Ivoire</t>
        </is>
      </c>
    </row>
    <row r="7178">
      <c r="A7178" t="inlineStr">
        <is>
          <t>Crâ M 200</t>
        </is>
      </c>
      <c r="B7178">
        <f>HYPERLINK("https://www.dofusbook.net/fr/equipement/5846047-cra-m-200/objets", "link")</f>
        <v/>
      </c>
      <c r="C7178" t="n">
        <v>2</v>
      </c>
      <c r="D7178" t="inlineStr">
        <is>
          <t>Baguette Range; Amibou; Alliance Gloursonne; Anneau de Padgref; Quatre-feuilles; Menoture; Coiffe de Padgref; Capibou; Getas de Padgref; Dofus Ivoire; Dofus Pourpre; Dofus Vulbis; Dofus des Glaces; Dofus Ébène; Dofus Turquoise; Bwak d'Air</t>
        </is>
      </c>
    </row>
    <row r="7179">
      <c r="A7179" t="inlineStr">
        <is>
          <t>Zobal M 200</t>
        </is>
      </c>
      <c r="B7179">
        <f>HYPERLINK("https://www.dofusbook.net/fr/equipement/5841617-zobal-m-200/objets", "link")</f>
        <v/>
      </c>
      <c r="C7179" t="n">
        <v>0</v>
      </c>
      <c r="D7179" t="inlineStr">
        <is>
          <t>Baguette de Torkélonia; Amulette du Kamasterisk; Alliance Brûlâme; Anneau des égarés; Quatre-feuilles; Ceintacé; Corne de Torkélonia; Carapace de Torkélonia; Bottes du Kamasterisk; Dofus Argenté; Dofus Ocre; Dofus Pourpre; Dofus Ivoire; Dofus Turquoise; Dofus Ébène; Bwak de Terre</t>
        </is>
      </c>
    </row>
    <row r="7180">
      <c r="A7180" t="inlineStr">
        <is>
          <t>Pandawa F 200</t>
        </is>
      </c>
      <c r="B7180">
        <f>HYPERLINK("https://www.dofusbook.net/fr/equipement/5841585-pandawa-f-200/objets", "link")</f>
        <v/>
      </c>
      <c r="C7180" t="n">
        <v>0</v>
      </c>
      <c r="D7180" t="inlineStr">
        <is>
          <t>Arc du Chalœil; Collier de Tourthon; Anneau Crustique; Anneau Volkorne; Bouclier du Stalak; Ceinture Volkorne; Masque de Koutoulou; Cape au Logis; Baleinabottes; Dofus Pourpre; Dofus Ébène; Dofus Émeraude; Dofus Ivoire; Miraculé majeur; Enragé majeur; Bwak de Terre</t>
        </is>
      </c>
    </row>
    <row r="7181">
      <c r="A7181" t="inlineStr">
        <is>
          <t>Eniripsa F 200</t>
        </is>
      </c>
      <c r="B7181">
        <f>HYPERLINK("https://www.dofusbook.net/fr/equipement/5841549-eniripsa-f-200/objets", "link")</f>
        <v/>
      </c>
      <c r="C7181" t="n">
        <v>0</v>
      </c>
      <c r="D7181" t="inlineStr">
        <is>
          <t>Arc corrompu; Pendentif mignon de Koutoulou; Anneau Rifique; Anneauræus; Trompe-la-Mort; Ceinture de Gein; Heaume Oplate; Voile d'encre; Bottes Innommables; Dofus Ivoire; Dolmanax; Dofus Ocre; Dofus Ébène; Dofus Émeraude; Érudit majeur; Muldo Orchidée et Pourpre</t>
        </is>
      </c>
    </row>
    <row r="7182">
      <c r="A7182" t="inlineStr">
        <is>
          <t>Crâ M 200</t>
        </is>
      </c>
      <c r="B7182">
        <f>HYPERLINK("https://www.dofusbook.net/fr/equipement/5841500-cra-m-200/objets", "link")</f>
        <v/>
      </c>
      <c r="C7182" t="n">
        <v>2</v>
      </c>
      <c r="D7182" t="inlineStr">
        <is>
          <t>Dagoulinantes; Amulette de Shokkoth; Anneau Glacial; Anneau Volkorne; Bouclier du Stalak; Ceinture Glaciale; Masque des Fonds marins; Cape Solution; Sandales des Fonds marins; Dofus Vulbis; Dofus Ivoire; Dofus Pourpre; Dofus des Glaces; Dofus Ocre; Dofus Ébène; Dragodinde Indigo et Ivoire</t>
        </is>
      </c>
    </row>
    <row r="7183">
      <c r="A7183" t="inlineStr">
        <is>
          <t>Crâ M 200</t>
        </is>
      </c>
      <c r="B7183">
        <f>HYPERLINK("https://www.dofusbook.net/fr/equipement/5836260-cra-m-200/objets", "link")</f>
        <v/>
      </c>
      <c r="C7183" t="n">
        <v>0</v>
      </c>
      <c r="D7183" t="inlineStr">
        <is>
          <t>Hache du Chalœil; Amulette Volkorne; Alliance du Lévitrof; Anneau Volkorne; Quatre-feuilles; Ceinture Volkorne; Coiffe du Lévitrof; Voile d'encre; Bottes du Lévitrof; Dofus des Glaces; Dofus Pourpre; Dofus Turquoise; Dofus Ébène; Dolmanax; Dofus Ivoire; Sakochère</t>
        </is>
      </c>
    </row>
    <row r="7184">
      <c r="A7184" t="inlineStr">
        <is>
          <t>Pandawa F 200</t>
        </is>
      </c>
      <c r="B7184">
        <f>HYPERLINK("https://www.dofusbook.net/fr/equipement/5836253-pandawa-f-200/objets", "link")</f>
        <v/>
      </c>
      <c r="C7184" t="n">
        <v>0</v>
      </c>
      <c r="D7184" t="inlineStr">
        <is>
          <t>Baguette de Malléfisk; Pendentif mignon de Koutoulou; Anneau Rifique; Anneauræus; Cadran de Feu; Croture; Heaume Oplate; Voile d'encre; Bottes Innommables; Dofus Ivoire; Dolmanax; Dofus Ocre; Dofus Ébène; Guérisseur majeur; Érudit majeur; Muldo Orchidée et Pourpre</t>
        </is>
      </c>
    </row>
    <row r="7185">
      <c r="A7185" t="inlineStr">
        <is>
          <t>Enutrof F 200</t>
        </is>
      </c>
      <c r="B7185">
        <f>HYPERLINK("https://www.dofusbook.net/fr/equipement/5836239-enutrof-f-200/objets", "link")</f>
        <v/>
      </c>
      <c r="C7185" t="n">
        <v>0</v>
      </c>
      <c r="D7185" t="inlineStr">
        <is>
          <t>Lance Horselé; Collier du Valet Veinard; Alliance Gloursonne; Gant du Valet Veinard; Trompe-la-Mort; Menoture; Couronne d'Allister; Cape de Crânonier; Palmes Trithons; Dofus Ébène; Dofus Ivoire; Dofus Émeraude; Dofus Ocre; Étourdisseur majeur; Cascadeur majeur; Muldo Ebène</t>
        </is>
      </c>
    </row>
    <row r="7186">
      <c r="A7186" t="inlineStr">
        <is>
          <t>Steamer M 200</t>
        </is>
      </c>
      <c r="B7186">
        <f>HYPERLINK("https://www.dofusbook.net/fr/equipement/5836232-steamer-m-200/objets", "link")</f>
        <v/>
      </c>
      <c r="C7186" t="n">
        <v>0</v>
      </c>
      <c r="D7186" t="inlineStr">
        <is>
          <t>Arc de Koutoulou; Amulette du Strigide; Alliance Gloursonne; Anneau Volkorne; Quatre-feuilles; Ceinture du Strigide; Casque Volkorne; Chevelure de Tal Kasha; Sandales de Tal Kasha; Dofus Vulbis; Dofus Ébène; Dofus Ocre; Dofus Pourpre; Dofus Ivoire; Dofus Turquoise; Volkorne Saphir et Emeraude</t>
        </is>
      </c>
    </row>
    <row r="7187">
      <c r="A7187" t="inlineStr">
        <is>
          <t>Sadida M 200</t>
        </is>
      </c>
      <c r="B7187">
        <f>HYPERLINK("https://www.dofusbook.net/fr/equipement/5836227-sadida-m-200/objets", "link")</f>
        <v/>
      </c>
      <c r="C7187" t="n">
        <v>0</v>
      </c>
      <c r="D7187" t="inlineStr">
        <is>
          <t>Arc Nécrotique; Amulette Volkorne; Alliance Gloursonne; Anneau Volkorne; Bouclier du Stalak; Ceinture de l'Esprit Salvateur; Masque de l'Esprit Salvateur; Cape Solution; Bottes de l'Esprit Salvateur; Dolmanax; Dofus Ivoire; Dofus des Glaces; Dofus Pourpre; Dofus Ébène; Dofus Vulbis; Kramkram</t>
        </is>
      </c>
    </row>
    <row r="7188">
      <c r="A7188" t="inlineStr">
        <is>
          <t>Ecaflip F 200</t>
        </is>
      </c>
      <c r="B7188">
        <f>HYPERLINK("https://www.dofusbook.net/fr/equipement/5836217-ecaflip-f-200/objets", "link")</f>
        <v/>
      </c>
      <c r="C7188" t="n">
        <v>0</v>
      </c>
      <c r="D7188" t="inlineStr">
        <is>
          <t>Arc Nécrotique; Amulette Volkorne; Alliance Gloursonne; Anneau Volkorne; Quatre-feuilles; Ceintacé; Kidibonnet; Cape de la Dame du Hasard; Bottes de la Dame du Hasard; Dofus Ivoire; Dofus Turquoise; Dofus Vulbis; Dofus des Glaces; Dofus Ébène; Dofus Pourpre; Kramkram</t>
        </is>
      </c>
    </row>
    <row r="7189">
      <c r="A7189" t="inlineStr">
        <is>
          <t>Xélor M 200</t>
        </is>
      </c>
      <c r="B7189">
        <f>HYPERLINK("https://www.dofusbook.net/fr/equipement/5836210-xelor-m-200/objets", "link")</f>
        <v/>
      </c>
      <c r="C7189" t="n">
        <v>0</v>
      </c>
      <c r="D7189" t="inlineStr">
        <is>
          <t>Arc du Chalœil; Collier de Tourthon; Anneau Crustique; Anneau Volkorne; Quatre-feuilles; Ceinture Volkorne; Masque de Koutoulou; Cape au Logis; Baleinabottes; Dofus Ébène; Dofus Turquoise; Dofus Ivoire; Dofus Pourpre; Dofus Argenté; Enragé majeur; Bwak de Terre</t>
        </is>
      </c>
    </row>
    <row r="7190">
      <c r="A7190" t="inlineStr">
        <is>
          <t>Ouginak M 200</t>
        </is>
      </c>
      <c r="B7190">
        <f>HYPERLINK("https://www.dofusbook.net/fr/equipement/5836198-ouginak-m-200/objets", "link")</f>
        <v/>
      </c>
      <c r="C7190" t="n">
        <v>2</v>
      </c>
      <c r="D7190" t="inlineStr">
        <is>
          <t>Masse Ossiale; Torquistik; Crocanneau; Bague Trithon; Bouclier précieux; Croture; Masque Paztek; Cape Solution; Sandales Paztek; Dofus Émeraude; Dofus Ébène; Dofus Pourpre; Dofus Ivoire; Bousculeur majeur; Culbuteur majeur; Muldo Ebène et Orchidée</t>
        </is>
      </c>
    </row>
    <row r="7191">
      <c r="A7191" t="inlineStr">
        <is>
          <t>Eliotrope F 200</t>
        </is>
      </c>
      <c r="B7191">
        <f>HYPERLINK("https://www.dofusbook.net/fr/equipement/5836139-eliotrope-f-200/objets", "link")</f>
        <v/>
      </c>
      <c r="C7191" t="n">
        <v>0</v>
      </c>
      <c r="D7191" t="inlineStr">
        <is>
          <t>Rapière aux Glyphes; Amulette de Shokkoth; Alliance Gloursonne; Anneau Volkorne; Bouclier du Stalak; Ceinture de la Reine des Voleurs; Masque des Fonds marins; Cape Solution; Bottes de la Reine des Voleurs; Dofus Ocre; Dofus Ébène; Dofus Vulbis; Dofus Ivoire; Dofus Pourpre; Chanceux majeur; Dragodinde Indigo et Ivoire</t>
        </is>
      </c>
    </row>
    <row r="7192">
      <c r="A7192" t="inlineStr">
        <is>
          <t>Crâ M 200</t>
        </is>
      </c>
      <c r="B7192">
        <f>HYPERLINK("https://www.dofusbook.net/fr/equipement/5827632-cra-m-200/objets", "link")</f>
        <v/>
      </c>
      <c r="C7192" t="n">
        <v>1</v>
      </c>
      <c r="D7192" t="inlineStr">
        <is>
          <t>Arc du Chalœil; Collier de Tourthon; Anneau Crustique; Anneau Volkorne; Quatre-feuilles; Ceinture Volkorne; Masque de Koutoulou; Cape au Logis; Baleinabottes; Dofus Turquoise; Dofus Ébène; Dofus Pourpre; Dofus Ivoire; Dofus Nébuleux; Enragé majeur; Dragodinde Ivoire et Pourpre</t>
        </is>
      </c>
    </row>
    <row r="7193">
      <c r="A7193" t="inlineStr">
        <is>
          <t>Huppermage M 200</t>
        </is>
      </c>
      <c r="B7193">
        <f>HYPERLINK("https://www.dofusbook.net/fr/equipement/5791920-huppermage-m-200/objets", "link")</f>
        <v/>
      </c>
      <c r="C7193" t="n">
        <v>0</v>
      </c>
      <c r="D7193" t="inlineStr">
        <is>
          <t>Amulette du Strigide; Alliance Gloursonne; Anneau Volkorne; Ceintacé; Casque Volkorne; Dofusteuse</t>
        </is>
      </c>
    </row>
    <row r="7194">
      <c r="A7194" t="inlineStr">
        <is>
          <t>Steamer M 200</t>
        </is>
      </c>
      <c r="B7194">
        <f>HYPERLINK("https://www.dofusbook.net/fr/equipement/5777040-steamer-m-200/objets", "link")</f>
        <v/>
      </c>
      <c r="C7194" t="n">
        <v>4</v>
      </c>
      <c r="D7194" t="inlineStr">
        <is>
          <t>Rapière aux Glyphes; Amulette Volkorne; Anneau Volkorne; Bracelet des Fonds marins; Quatre-feuilles; Ceinture de la Reine des Voleurs; Masque des Fonds marins; Cape Solution; Bottes de la Reine des Voleurs; Dofus Turquoise; Dofus Ocre; Dofus Ébène; Dofus Vulbis; Dofus Pourpre; Dofus Ivoire; Dragodinde Indigo et Ivoire</t>
        </is>
      </c>
    </row>
    <row r="7195">
      <c r="A7195" t="inlineStr">
        <is>
          <t>Sacrieur F 200</t>
        </is>
      </c>
      <c r="B7195">
        <f>HYPERLINK("https://www.dofusbook.net/fr/equipement/5791866-sacrieur-f-200/objets", "link")</f>
        <v/>
      </c>
      <c r="C7195" t="n">
        <v>0</v>
      </c>
      <c r="D7195" t="inlineStr">
        <is>
          <t>Lance Horselé; Amulette d'Ilyzaelle; Gant du Valet Veinard; Alliance Gloursonne; Bouclier d'Ilyzaelle; Menoture; Coiffe de la Reine des Voleurs; Cape du Valet Veinard; Bottes de la Reine des Voleurs; Dofus Ébène; Dofus Ivoire; Dofus Émeraude; Dofus Ocre; Dofus Pourpre; Dofus Vulbis; Bwak d'Air</t>
        </is>
      </c>
    </row>
    <row r="7196">
      <c r="A7196" t="inlineStr">
        <is>
          <t>Féca F 200</t>
        </is>
      </c>
      <c r="B7196">
        <f>HYPERLINK("https://www.dofusbook.net/fr/equipement/5777014-feca-f-200/objets", "link")</f>
        <v/>
      </c>
      <c r="C7196" t="n">
        <v>1</v>
      </c>
      <c r="D7196" t="inlineStr">
        <is>
          <t>Baguette Héroclite; Amulette de Shokkoth; Anneau Volkorne; Alliance Gloursonne; Bouclier du Stalak; Ceinture de la Reine des Voleurs; Kidibonnet; Cape Solution; Bottes de la Reine des Voleurs; Dofus Ébène; Dofus Argenté; Dofus Ivoire; Dofus Pourpre; Dofus Vulbis; Chanceux majeur; Dragodinde Indigo et Ivoire</t>
        </is>
      </c>
    </row>
    <row r="7197">
      <c r="A7197" t="inlineStr">
        <is>
          <t>Sram F 200</t>
        </is>
      </c>
      <c r="B7197">
        <f>HYPERLINK("https://www.dofusbook.net/fr/equipement/5776991-sram-f-200/objets", "link")</f>
        <v/>
      </c>
      <c r="C7197" t="n">
        <v>1</v>
      </c>
      <c r="D7197" t="inlineStr">
        <is>
          <t>Karnak; Collier du Valet Veinard; Alliance Gloursonne; Gant du Valet Veinard; Cadran d'Air; Menoture; Coiffe de la Reine des Voleurs; Cape du Valet Veinard; Bottes de la Reine des Voleurs; Dofus Abyssal; Dofus Ébène; Dofus Émeraude; Dofus Ivoire; Dofus Argenté; Dofus Pourpre; Dragodinde Ebène et Ivoire</t>
        </is>
      </c>
    </row>
    <row r="7198">
      <c r="A7198" t="inlineStr">
        <is>
          <t>Ouginak M 200</t>
        </is>
      </c>
      <c r="B7198">
        <f>HYPERLINK("https://www.dofusbook.net/fr/equipement/5776973-ouginak-m-200/objets", "link")</f>
        <v/>
      </c>
      <c r="C7198" t="n">
        <v>0</v>
      </c>
      <c r="D7198" t="inlineStr">
        <is>
          <t>Marteau R'ture; Amulette du Cœur Saignant; Anneau Crustique; Anneau Chevelu; Cadran d'Eau; Ceinture Volkorne; Masque de Koutoulou; Cape au Logis; Bottes du Cœur Saignant; Dofus Pourpre; Dofus Émeraude; Dofus Ébène; Dofus Turquoise; Dofus Ivoire; Enragé majeur; Volkorne Jade et Emeraude</t>
        </is>
      </c>
    </row>
    <row r="7199">
      <c r="A7199" t="inlineStr">
        <is>
          <t>Enutrof M 200</t>
        </is>
      </c>
      <c r="B7199">
        <f>HYPERLINK("https://www.dofusbook.net/fr/equipement/5776948-enutrof-m-200/objets", "link")</f>
        <v/>
      </c>
      <c r="C7199" t="n">
        <v>0</v>
      </c>
      <c r="D7199" t="inlineStr">
        <is>
          <t>Lance Horselé; Pendentif mignon de Koutoulou; Gant du Valet Veinard; Anneau Rifique; Cadran de Terre; Ceinture de Vortex; Casque Cyclopéen; Cape du Valet Veinard; Sabots de Vortex; Dofus Émeraude; Dofus Ivoire; Dofus Pourpre; Dofus Ocre; Dofus Abyssal; Dofus Ébène; Muldo Ebène</t>
        </is>
      </c>
    </row>
    <row r="7200">
      <c r="A7200" t="inlineStr">
        <is>
          <t>Ecaflip F 200</t>
        </is>
      </c>
      <c r="B7200">
        <f>HYPERLINK("https://www.dofusbook.net/fr/equipement/5776913-ecaflip-f-200/objets", "link")</f>
        <v/>
      </c>
      <c r="C7200" t="n">
        <v>1</v>
      </c>
      <c r="D7200" t="inlineStr">
        <is>
          <t>Arc corrompu; Pendentif mignon de Koutoulou; Anneauræus; Anneau Rifique; Bouclier du Stalak; Croture; Heaume Oplate; Voile d'encre; Bottes Innommables; Dofus Ébène; Dofus Émeraude; Dofus Ivoire; Dofus Pourpre; Dofus Ocre; Érudit majeur; Muldo Orchidée</t>
        </is>
      </c>
    </row>
    <row r="7201">
      <c r="A7201" t="inlineStr">
        <is>
          <t>Steamer M 200</t>
        </is>
      </c>
      <c r="B7201">
        <f>HYPERLINK("https://www.dofusbook.net/fr/equipement/5768169-steamer-m-200/objets", "link")</f>
        <v/>
      </c>
      <c r="C7201" t="n">
        <v>0</v>
      </c>
      <c r="D7201" t="inlineStr">
        <is>
          <t>Sceptre du Roi Joueur; Collier de la Dame du Hasard; Alliance Gloursonne; Anneau Volkorne; Quatre-feuilles; Sangle Ouare; Kidibonnet; Cape Solution; Bottes de la Dame du Hasard; Dofus Ébène; Dofus Pourpre; Dofus Ivoire; Dofus Turquoise; Carapace Feu majeur; Chanceux majeur; Dragodinde Emeraude et Indigo</t>
        </is>
      </c>
    </row>
    <row r="7202">
      <c r="A7202" t="inlineStr">
        <is>
          <t>Sacrieur F 200</t>
        </is>
      </c>
      <c r="B7202">
        <f>HYPERLINK("https://www.dofusbook.net/fr/equipement/5768127-sacrieur-f-200/objets", "link")</f>
        <v/>
      </c>
      <c r="C7202" t="n">
        <v>0</v>
      </c>
      <c r="D7202" t="inlineStr">
        <is>
          <t>Lance Horselé; Collier du Valet Veinard; Alliance Gloursonne; Gant du Valet Veinard; Bouclier d'Ilyzaelle; Menoture; Couronne d'Allister; Cape de Crânonier; Palmes Trithons; Dofus Émeraude; Dofus Ivoire; Dofus Pourpre; Dofus Ocre; Dofus Ébène; Cascadeur majeur; Muldo Ebène</t>
        </is>
      </c>
    </row>
    <row r="7203">
      <c r="A7203" t="inlineStr">
        <is>
          <t>Féca F 200</t>
        </is>
      </c>
      <c r="B7203">
        <f>HYPERLINK("https://www.dofusbook.net/fr/equipement/5768094-feca-f-200/objets", "link")</f>
        <v/>
      </c>
      <c r="C7203" t="n">
        <v>1</v>
      </c>
      <c r="D7203" t="inlineStr">
        <is>
          <t>Arc Hétype; Pendentif mignon de Koutoulou; Anneauræus; Anneau Rifique; Cadran de Feu; Croture; Heaume Oplate; Voile d'encre; Bottes Innommables; Dofus Pourpre; Dofus Ocre; Dofus Ébène; Dofus Argenté; Dofus Ivoire; Érudit majeur; Muldo Ebène et Orchidée</t>
        </is>
      </c>
    </row>
    <row r="7204">
      <c r="A7204" t="inlineStr">
        <is>
          <t>Enutrof M 200</t>
        </is>
      </c>
      <c r="B7204">
        <f>HYPERLINK("https://www.dofusbook.net/fr/equipement/5727401-enutrof-m-200/objets", "link")</f>
        <v/>
      </c>
      <c r="C7204" t="n">
        <v>1</v>
      </c>
      <c r="D7204" t="inlineStr">
        <is>
          <t>Manthache; Collier du Valet Veinard; Alliance Gloursonne; Gant du Valet Veinard; Cadran d'Air; Menoture; Couronne d'Allister; Cape Indescriptible; Palmes Trithons; Dofus Pourpre; Dofus Ivoire; Dofus Vulbis; Dofus Ocre; Dofus Ébène; Cascadeur majeur; Dragodinde Ebène et Ivoire</t>
        </is>
      </c>
    </row>
    <row r="7205">
      <c r="A7205" t="inlineStr">
        <is>
          <t>Eniripsa F 200</t>
        </is>
      </c>
      <c r="B7205">
        <f>HYPERLINK("https://www.dofusbook.net/fr/equipement/5727398-eniripsa-f-200/objets", "link")</f>
        <v/>
      </c>
      <c r="C7205" t="n">
        <v>0</v>
      </c>
      <c r="D7205" t="inlineStr"/>
    </row>
    <row r="7206">
      <c r="A7206" t="inlineStr">
        <is>
          <t>Iop F 200</t>
        </is>
      </c>
      <c r="B7206">
        <f>HYPERLINK("https://www.dofusbook.net/fr/equipement/5720077-iop-f-200/objets", "link")</f>
        <v/>
      </c>
      <c r="C7206" t="n">
        <v>0</v>
      </c>
      <c r="D7206" t="inlineStr">
        <is>
          <t>Baguette de Torkélonia; Amulette du Cycloïde; Anneau du Cycloïde; Bague Trithon; Quatre-feuilles; Ceinture Volkorne; Casque Volkorne; Carapace de Torkélonia; Bottes du Cycloïde; Dofus Pourpre; Dofus Ocre; Dolmanax; Dofus Ébène; Dofus Turquoise; Dofus Ivoire; Fëanor</t>
        </is>
      </c>
    </row>
    <row r="7207">
      <c r="A7207" t="inlineStr">
        <is>
          <t>Ouginak M 200</t>
        </is>
      </c>
      <c r="B7207">
        <f>HYPERLINK("https://www.dofusbook.net/fr/equipement/5720013-ouginak-m-200/objets", "link")</f>
        <v/>
      </c>
      <c r="C7207" t="n">
        <v>0</v>
      </c>
      <c r="D7207" t="inlineStr">
        <is>
          <t>Héqache; Amulette du Strigide; Anneau Crustique; Alliance Gloursonne; Bouclier du Captain Amakna; Ceinture Volkorne; Casque Volkorne; Carapace de Torkélonia; Baleinabottes; Dofus Ébène; Dofus Pourpre; Dofus Ivoire; Dofus Turquoise; Dofus Émeraude; Dofus Ocre; Muldo Prune et Emeraude</t>
        </is>
      </c>
    </row>
    <row r="7208">
      <c r="A7208" t="inlineStr">
        <is>
          <t>Ouginak F 200</t>
        </is>
      </c>
      <c r="B7208">
        <f>HYPERLINK("https://www.dofusbook.net/fr/equipement/5719982-ouginak-f-200/objets", "link")</f>
        <v/>
      </c>
      <c r="C7208" t="n">
        <v>0</v>
      </c>
      <c r="D7208" t="inlineStr">
        <is>
          <t>Hachoirs de Viandargh; Amulette du Strigide; Anneau de Padgref; Alliance Gloursonne; Cadran d'Eau; Menoture; Corne de Torkélonia; Carapace de Torkélonia; Palmes Trithons; Dofus Pourpre; Dofus Ocre; Dofus Émeraude; Dofus Ébène; Dofus Turquoise; Dofus Ivoire; Muldo Ebène et Orchidée</t>
        </is>
      </c>
    </row>
    <row r="7209">
      <c r="A7209" t="inlineStr">
        <is>
          <t>Crâ M 200</t>
        </is>
      </c>
      <c r="B7209">
        <f>HYPERLINK("https://www.dofusbook.net/fr/equipement/5718654-cra-m-200/objets", "link")</f>
        <v/>
      </c>
      <c r="C7209" t="n">
        <v>0</v>
      </c>
      <c r="D7209" t="inlineStr">
        <is>
          <t>Manthache; Amulette Volkorne; Anneau de Padgref; Alliance Gloursonne; Quatre-feuilles; Menoture; Casque Volkorne; Carapace de Torkélonia; Palmes Trithons; Dofus Ivoire; Dofus Ébène; Dofus Turquoise; Dofus Ocre; Dofus Pourpre; Cascadeur majeur; Muldo Ebène et Pourpre</t>
        </is>
      </c>
    </row>
    <row r="7210">
      <c r="A7210" t="inlineStr">
        <is>
          <t>Crâ M 200</t>
        </is>
      </c>
      <c r="B7210">
        <f>HYPERLINK("https://www.dofusbook.net/fr/equipement/5718611-cra-m-200/objets", "link")</f>
        <v/>
      </c>
      <c r="C7210" t="n">
        <v>0</v>
      </c>
      <c r="D7210" t="inlineStr">
        <is>
          <t>Arc du Chalœil; Amulette du Cœur Saignant; Anneau Crustique; Anneau Chevelu; Quatre-feuilles; Ceinture Gence; Corne de Torkélonia; Cape au Logis; Bottes du Cœur Saignant; Dofus Turquoise; Dofus Pourpre; Dofus Ivoire; Dofus Ébène; Dofus Ocre; Enragé majeur; Dragodinde Emeraude et Pourpre</t>
        </is>
      </c>
    </row>
    <row r="7211">
      <c r="A7211" t="inlineStr">
        <is>
          <t>Pandawa M 200</t>
        </is>
      </c>
      <c r="B7211">
        <f>HYPERLINK("https://www.dofusbook.net/fr/equipement/5718587-pandawa-m-200/objets", "link")</f>
        <v/>
      </c>
      <c r="C7211" t="n">
        <v>0</v>
      </c>
      <c r="D7211" t="inlineStr">
        <is>
          <t>Baguette de Torkélonia; Amulette du Strigide; Anneau Crustique; Anneau Crustique; Quatre-feuilles; Ceinture du Strigide; Corne de Torkélonia; Carapace de Torkélonia; Bottes du Strigide; Dofus Pourpre; Dofus Ivoire; Dofus Turquoise; Dofus Ocre; Dofus Émeraude; Dofus Ébène; Volkorne Saphir et Emeraude</t>
        </is>
      </c>
    </row>
    <row r="7212">
      <c r="A7212" t="inlineStr">
        <is>
          <t>Enutrof M 200</t>
        </is>
      </c>
      <c r="B7212">
        <f>HYPERLINK("https://www.dofusbook.net/fr/equipement/5718557-enutrof-m-200/objets", "link")</f>
        <v/>
      </c>
      <c r="C7212" t="n">
        <v>0</v>
      </c>
      <c r="D7212" t="inlineStr">
        <is>
          <t>Baguette de Torkélonia; Amulette du Strigide; Anneau Crustique; Anneau des égarés; Cadran d'Air; Ceinture Volkorne; Corne de Torkélonia; Cape au Logis; Baleinabottes; Dofus Turquoise; Dofus Ocre; Dofus Ébène; Dofus Pourpre; Dofus Ivoire; Enragé majeur; Pioute vert</t>
        </is>
      </c>
    </row>
    <row r="7213">
      <c r="A7213" t="inlineStr">
        <is>
          <t>Eniripsa F 200</t>
        </is>
      </c>
      <c r="B7213">
        <f>HYPERLINK("https://www.dofusbook.net/fr/equipement/5718505-eniripsa-f-200/objets", "link")</f>
        <v/>
      </c>
      <c r="C7213" t="n">
        <v>0</v>
      </c>
      <c r="D7213" t="inlineStr">
        <is>
          <t>Baguette de Torkélonia; Amulette du Strigide; Anneau de Padgref; Alliance Gloursonne; Quatre-feuilles; Menoture; Chapeau de Tournoyé; Carapace de Torkélonia; Baleinabottes; Dofus Turquoise; Dofus Ébène; Dofus Ivoire; Dofus Argenté; Dofus Pourpre; Cascadeur majeur; Muldo Ebène et Orchidée</t>
        </is>
      </c>
    </row>
    <row r="7214">
      <c r="A7214" t="inlineStr">
        <is>
          <t>Crâ M 200</t>
        </is>
      </c>
      <c r="B7214">
        <f>HYPERLINK("https://www.dofusbook.net/fr/equipement/5718452-cra-m-200/objets", "link")</f>
        <v/>
      </c>
      <c r="C7214" t="n">
        <v>0</v>
      </c>
      <c r="D7214" t="inlineStr">
        <is>
          <t>Arc corrompu; Amulette Volkorne; Anneauræus; Anneauræus; Quatre-feuilles; Ceinture Séculaire; Coiffe Séculaire; Cape de Diondin; Bottes Innommables; Dofus Pourpre; Dofus Ocre; Dofus Ébène; Dofus Vulbis; Dofus Turquoise; Dofus Ivoire; Dragodinde Ivoire et Orchidée</t>
        </is>
      </c>
    </row>
    <row r="7215">
      <c r="A7215" t="inlineStr">
        <is>
          <t>Sadida M 200</t>
        </is>
      </c>
      <c r="B7215">
        <f>HYPERLINK("https://www.dofusbook.net/fr/equipement/5718431-sadida-m-200/objets", "link")</f>
        <v/>
      </c>
      <c r="C7215" t="n">
        <v>0</v>
      </c>
      <c r="D7215" t="inlineStr">
        <is>
          <t>Arc Nécrotique; Amulette Volkorne; Alliance Gloursonne; Anneau Volkorne; Bouclier du Stalak; Ceinture de l'Esprit Salvateur; Masque de l'Esprit Salvateur; Cape de l'Œil Putride; Bottes de l'Esprit Salvateur; Dofus Pourpre; Dofus Ivoire; Dofus Ocre; Dofus des Glaces; Dolmanax; Dofus Ébène; Muldo Ebène et Pourpre</t>
        </is>
      </c>
    </row>
    <row r="7216">
      <c r="A7216" t="inlineStr">
        <is>
          <t>Féca F 200</t>
        </is>
      </c>
      <c r="B7216">
        <f>HYPERLINK("https://www.dofusbook.net/fr/equipement/5718394-feca-f-200/objets", "link")</f>
        <v/>
      </c>
      <c r="C7216" t="n">
        <v>0</v>
      </c>
      <c r="D7216" t="inlineStr">
        <is>
          <t>Bâthon; Amulette de Pol Ouatnos; Anneau Crustique; Chevalière du Roi Joueur; Cadran de Terre; Ceinture des Chocomanciens; Chapeau du Comte Razof; Voile d'encre; Bottes du Roi Joueur; Dofus Pourpre; Dofus Ocre; Dofus Ébène; Dofus Ivoire; Temporiseur majeur; Étourdisseur majeur; Volkorne Jade et Ivoire</t>
        </is>
      </c>
    </row>
    <row r="7217">
      <c r="A7217" t="inlineStr">
        <is>
          <t>Zobal F 200</t>
        </is>
      </c>
      <c r="B7217">
        <f>HYPERLINK("https://www.dofusbook.net/fr/equipement/5718346-zobal-f-200/objets", "link")</f>
        <v/>
      </c>
      <c r="C7217" t="n">
        <v>0</v>
      </c>
      <c r="D7217" t="inlineStr">
        <is>
          <t>Arc du Chalœil; Amulette du Strigide; Anneau Chevelu; Anneau Crustique; Quatre-feuilles; Ceinture Volkorne; Masque de Koutoulou; Cape au Logis; Baleinabottes; Dofus Argenté; Dofus Ébène; Dofus Turquoise; Dofus Ivoire; Dofus Pourpre; Enragé majeur; Kramkram</t>
        </is>
      </c>
    </row>
    <row r="7218">
      <c r="A7218" t="inlineStr">
        <is>
          <t>Enutrof M 200</t>
        </is>
      </c>
      <c r="B7218">
        <f>HYPERLINK("https://www.dofusbook.net/fr/equipement/5718308-enutrof-m-200/objets", "link")</f>
        <v/>
      </c>
      <c r="C7218" t="n">
        <v>0</v>
      </c>
      <c r="D7218" t="inlineStr">
        <is>
          <t>Baguette de Malléfisk; Pendentif affamé; Anneau de Nidas; Anneauræus; Cadran de Feu; Croture; Heaume Oplate; Voile d'encre; Bottes Innommables; Dofus Ébène; Dofus Ocre; Dolmanax; Dofus Ivoire; Guérisseur majeur; Érudit majeur; Muldo Orchidée</t>
        </is>
      </c>
    </row>
    <row r="7219">
      <c r="A7219" t="inlineStr">
        <is>
          <t>Ecaflip F 200</t>
        </is>
      </c>
      <c r="B7219">
        <f>HYPERLINK("https://www.dofusbook.net/fr/equipement/5718278-ecaflip-f-200/objets", "link")</f>
        <v/>
      </c>
      <c r="C7219" t="n">
        <v>0</v>
      </c>
      <c r="D7219" t="inlineStr">
        <is>
          <t>Héqache; Amulette Luminescente; Anneau Chevelu; Bague Trithon; Bouclier précieux; Ceinture Gence; Masque de Koutoulou; Cape au Logis; Bottes Trithon; Dofus Turquoise; Dofus Ivoire; Dofus Pourpre; Dofus Ébène; Culbuteur majeur; Enragé majeur; Black Tiwabbit</t>
        </is>
      </c>
    </row>
    <row r="7220">
      <c r="A7220" t="inlineStr">
        <is>
          <t>Crâ M 200</t>
        </is>
      </c>
      <c r="B7220">
        <f>HYPERLINK("https://www.dofusbook.net/fr/equipement/5718237-cra-m-200/objets", "link")</f>
        <v/>
      </c>
      <c r="C7220" t="n">
        <v>0</v>
      </c>
      <c r="D7220" t="inlineStr">
        <is>
          <t>Baguette Range; Amulette Volkorne; Anneauræus; Anneau Rifique; Cadran de Terre; Ceinture de Vortex; Casque Volkorne; Cape Martegel; Pataugastrique; Dofus Ébène; Dofus des Glaces; Dofus Vulbis; Dofus Pourpre; Dofus Abyssal; Dofus Ivoire; Volkorne Rubis et Ivoire</t>
        </is>
      </c>
    </row>
    <row r="7221">
      <c r="A7221" t="inlineStr">
        <is>
          <t>Sram F 200</t>
        </is>
      </c>
      <c r="B7221">
        <f>HYPERLINK("https://www.dofusbook.net/fr/equipement/5714156-sram-f-200/objets", "link")</f>
        <v/>
      </c>
      <c r="C7221" t="n">
        <v>0</v>
      </c>
      <c r="D7221" t="inlineStr">
        <is>
          <t>Baguette de Torkélonia; Amulette du Strigide; Anneau Crustique; Anneau Crustique; Bouclier du Stalak; Ceinture du Strigide; Corne de Torkélonia; Carapace de Torkélonia; Bottes du Strigide; Dofus Turquoise; Dofus Ivoire; Dofus des Glaces; Dofus Ocre; Dofus Pourpre; Dofus Ébène; Kramkram</t>
        </is>
      </c>
    </row>
    <row r="7222">
      <c r="A7222" t="inlineStr">
        <is>
          <t>Huppermage M 200</t>
        </is>
      </c>
      <c r="B7222">
        <f>HYPERLINK("https://www.dofusbook.net/fr/equipement/5714121-huppermage-m-200/objets", "link")</f>
        <v/>
      </c>
      <c r="C7222" t="n">
        <v>0</v>
      </c>
      <c r="D7222" t="inlineStr">
        <is>
          <t>Baguette de Torkélonia; Amulette du Strigide; Anneau des égarés; Anneau Crustique; Quatre-feuilles; Menoture; Corne de Torkélonia; Cape au Logis; Baleinabottes; Dofus Émeraude; Dofus Ivoire; Dofus Turquoise; Dofus Pourpre; Dofus Ébène; Vigoureux majeur; Kramkram</t>
        </is>
      </c>
    </row>
    <row r="7223">
      <c r="A7223" t="inlineStr">
        <is>
          <t>Steamer M 200</t>
        </is>
      </c>
      <c r="B7223">
        <f>HYPERLINK("https://www.dofusbook.net/fr/equipement/5714096-steamer-m-200/objets", "link")</f>
        <v/>
      </c>
      <c r="C7223" t="n">
        <v>0</v>
      </c>
      <c r="D7223" t="inlineStr">
        <is>
          <t>Baguette de Torkélonia; Amulette du Strigide; Anneau Crustique; Anneau Crustique; Bouclier du Stalak; Ceinture du Strigide; Corne de Torkélonia; Carapace de Torkélonia; Bottes du Strigide; Dofus Turquoise; Dofus Ivoire; Dofus des Glaces; Dofus Ocre; Dofus Pourpre; Dofus Ébène; Kramkram</t>
        </is>
      </c>
    </row>
    <row r="7224">
      <c r="A7224" t="inlineStr">
        <is>
          <t>Steamer M 200</t>
        </is>
      </c>
      <c r="B7224">
        <f>HYPERLINK("https://www.dofusbook.net/fr/equipement/5714052-steamer-m-200/objets", "link")</f>
        <v/>
      </c>
      <c r="C7224" t="n">
        <v>0</v>
      </c>
      <c r="D7224" t="inlineStr">
        <is>
          <t>Arc corrompu; Pendentif mignon de Koutoulou; Anneauræus; Anneau Rifique; Bouclier du Stalak; Croture; Heaume Oplate; Bottes Innommables; Dofus Pourpre; Dofus Ocre; Dofus Ébène; Dofus Émeraude; Dofus Ivoire; Érudit majeur; Muldo Orchidée et Pourpre</t>
        </is>
      </c>
    </row>
    <row r="7225">
      <c r="A7225" t="inlineStr">
        <is>
          <t>Iop M 200</t>
        </is>
      </c>
      <c r="B7225">
        <f>HYPERLINK("https://www.dofusbook.net/fr/equipement/5714012-iop-m-200/objets", "link")</f>
        <v/>
      </c>
      <c r="C7225" t="n">
        <v>0</v>
      </c>
      <c r="D7225" t="inlineStr">
        <is>
          <t>Arc du Chalœil; Amulette du Cœur Saignant; Anneau Chevelu; Anneau Crustique; Quatre-feuilles; Ceinture Volkorne; Masque de Koutoulou; Cape au Logis; Bottes du Cœur Saignant; Dofus Turquoise; Dofus Ocre; Dofus Ébène; Dofus Pourpre; Dofus Ivoire; Enragé majeur; Dragodinde Ivoire et Pourpre</t>
        </is>
      </c>
    </row>
    <row r="7226">
      <c r="A7226" t="inlineStr">
        <is>
          <t>Eniripsa F 200</t>
        </is>
      </c>
      <c r="B7226">
        <f>HYPERLINK("https://www.dofusbook.net/fr/equipement/5713987-eniripsa-f-200/objets", "link")</f>
        <v/>
      </c>
      <c r="C7226" t="n">
        <v>0</v>
      </c>
      <c r="D7226" t="inlineStr">
        <is>
          <t>Lance Horselé; Collier du Valet Veinard; Alliance Gloursonne; Gant du Valet Veinard; Bouclier du Stalak; Menoture; Casque Volkorne; Cape de Crânonier; Palmes Trithons; Dofus Ivoire; Dofus Pourpre; Dofus Vulbis; Dofus Ébène; Dofus Ocre; Cascadeur majeur; Dragodinde Ebène et Ivoire</t>
        </is>
      </c>
    </row>
    <row r="7227">
      <c r="A7227" t="inlineStr">
        <is>
          <t>Zobal M 200</t>
        </is>
      </c>
      <c r="B7227">
        <f>HYPERLINK("https://www.dofusbook.net/fr/equipement/5713967-zobal-m-200/objets", "link")</f>
        <v/>
      </c>
      <c r="C7227" t="n">
        <v>0</v>
      </c>
      <c r="D7227" t="inlineStr">
        <is>
          <t>Arc du Chalœil; Amulette du Cœur Saignant; Anneau Chevelu; Anneau Crustique; Quatre-feuilles; Ceinture Volkorne; Masque de Koutoulou; Cape au Logis; Bottes du Cœur Saignant; Dofus Turquoise; Dofus Ocre; Dofus Ébène; Dofus Pourpre; Dofus Ivoire; Enragé majeur; Dragodinde Ivoire et Pourpre</t>
        </is>
      </c>
    </row>
    <row r="7228">
      <c r="A7228" t="inlineStr">
        <is>
          <t>Crâ M 200</t>
        </is>
      </c>
      <c r="B7228">
        <f>HYPERLINK("https://www.dofusbook.net/fr/equipement/5713933-cra-m-200/objets", "link")</f>
        <v/>
      </c>
      <c r="C7228" t="n">
        <v>1</v>
      </c>
      <c r="D7228" t="inlineStr">
        <is>
          <t>Pelle de Nidas; Amulette Volkorne; Alliance Gloursonne; Anneau de Pol Ouatnos; Cadran de Terre; Menoture; Casque Volkorne; Cape de la Dame du Hasard; Pataugastrique; Dofus Pourpre; Dofus Ivoire; Dofus Ébène; Dofus des Glaces; Temporiseur majeur; Étourdisseur majeur; Gwo Tofu Ventripotent</t>
        </is>
      </c>
    </row>
    <row r="7229">
      <c r="A7229" t="inlineStr">
        <is>
          <t>Sadida M 200</t>
        </is>
      </c>
      <c r="B7229">
        <f>HYPERLINK("https://www.dofusbook.net/fr/equipement/5713868-sadida-m-200/objets", "link")</f>
        <v/>
      </c>
      <c r="C7229" t="n">
        <v>0</v>
      </c>
      <c r="D7229" t="inlineStr">
        <is>
          <t>Arc Nécrotique; Amulette Volkorne; Anneau Volkorne; Alliance Gloursonne; Bouclier du Stalak; Ceinture de l'Indicible; Masque de l'Esprit Salvateur; Cape de l'Œil Putride; Pataugastrique; Dofus Ébène; Dofus Ocre; Dolmanax; Dofus des Glaces; Dofus Pourpre; Dofus Ivoire; Muldo Ebène et Indigo</t>
        </is>
      </c>
    </row>
    <row r="7230">
      <c r="A7230" t="inlineStr">
        <is>
          <t>Ouginak M 200</t>
        </is>
      </c>
      <c r="B7230">
        <f>HYPERLINK("https://www.dofusbook.net/fr/equipement/5701188-ouginak-m-200/objets", "link")</f>
        <v/>
      </c>
      <c r="C7230" t="n">
        <v>0</v>
      </c>
      <c r="D7230" t="inlineStr">
        <is>
          <t>Harpelle; Amulette Volkorne; Anneauræus; Anneau de Nidas; Cadran d'Eau; Croture; Heaume Oplate; Voile d'encre; Tongues de Nidas; Dofus Pourpre; Dofus Ivoire; Dofus Ocre; Dofus Ébène; Temporiseur majeur; Érudit majeur; Muldo Ebène et Orchidée</t>
        </is>
      </c>
    </row>
    <row r="7231">
      <c r="A7231" t="inlineStr">
        <is>
          <t>Ouginak F 200</t>
        </is>
      </c>
      <c r="B7231">
        <f>HYPERLINK("https://www.dofusbook.net/fr/equipement/5701168-ouginak-f-200/objets", "link")</f>
        <v/>
      </c>
      <c r="C7231" t="n">
        <v>0</v>
      </c>
      <c r="D7231" t="inlineStr">
        <is>
          <t>Masse Ossiale; Amulette du Sinistrofu; Alliance Gloursonne; Bague Trithon; Bouclier précieux; Sangle Ouare; Masque Paztek; Cape Solution; Sandales Paztek; Dofus Ivoire; Dofus Pourpre; Dofus Ocre; Dofus Ébène; Culbuteur majeur; Bousculeur majeur</t>
        </is>
      </c>
    </row>
    <row r="7232">
      <c r="A7232" t="inlineStr">
        <is>
          <t>Crâ M 200</t>
        </is>
      </c>
      <c r="B7232">
        <f>HYPERLINK("https://www.dofusbook.net/fr/equipement/5701135-cra-m-200/objets", "link")</f>
        <v/>
      </c>
      <c r="C7232" t="n">
        <v>0</v>
      </c>
      <c r="D7232" t="inlineStr">
        <is>
          <t>Canne Harr; Pendentif mignon de Koutoulou; Anneauræus; Anneau Rifique; Cadran d'Air; Ceinture de Vortex; Casque Cyclopéen; Cape Martegel; Sabots de Vortex; Dofus Vulbis; Dofus Ivoire; Dofus des Glaces; Dofus Ocre; Dofus Ébène; Dofus Pourpre; Kramkram</t>
        </is>
      </c>
    </row>
    <row r="7233">
      <c r="A7233" t="inlineStr">
        <is>
          <t>Steamer M 200</t>
        </is>
      </c>
      <c r="B7233">
        <f>HYPERLINK("https://www.dofusbook.net/fr/equipement/5701123-steamer-m-200/objets", "link")</f>
        <v/>
      </c>
      <c r="C7233" t="n">
        <v>0</v>
      </c>
      <c r="D7233" t="inlineStr">
        <is>
          <t>Arc du Chalœil; Collier de Tourthon; Anneau Crustique; Anneau Volkorne; Bouclier du Stalak; Ceinture Volkorne; Masque de Koutoulou; Cape au Logis; Baleinabottes; Dofus des Glaces; Dofus Ivoire; Dofus Pourpre; Dofus Ocre; Dofus Ébène; Enragé majeur; Dragodinde Ivoire et Pourpre</t>
        </is>
      </c>
    </row>
    <row r="7234">
      <c r="A7234" t="inlineStr">
        <is>
          <t>Sacrieur M 200</t>
        </is>
      </c>
      <c r="B7234">
        <f>HYPERLINK("https://www.dofusbook.net/fr/equipement/5701095-sacrieur-m-200/objets", "link")</f>
        <v/>
      </c>
      <c r="C7234" t="n">
        <v>0</v>
      </c>
      <c r="D7234" t="inlineStr">
        <is>
          <t>Arc corrompu; Amulette Volkorne; Anneau Volkorne; Anneauræus; Cadran d'Air; Croture; Heaume Oplate; Voile d'encre; Bottes Innommables; Dofus Ébène; Dofus Ivoire; Dofus Pourpre; Dofus Ocre; Carapace Feu majeur; Érudit majeur; Muldo Pourpre</t>
        </is>
      </c>
    </row>
    <row r="7235">
      <c r="A7235" t="inlineStr">
        <is>
          <t>Eniripsa F 200</t>
        </is>
      </c>
      <c r="B7235">
        <f>HYPERLINK("https://www.dofusbook.net/fr/equipement/5699587-eniripsa-f-200/objets", "link")</f>
        <v/>
      </c>
      <c r="C7235" t="n">
        <v>0</v>
      </c>
      <c r="D7235" t="inlineStr">
        <is>
          <t>Arc Ontanporin; Amulette de Shokkoth; Alliance Gloursonne; Anneau Volkorne; Cadran de Terre; Culotte de Bethel; Némès de Tal Kasha; Cape Solution; Chaussons de Macrab; Dofus Ivoire; Dofus Pourpre; Dofus Ocre; Dofus Ébène; Chanceux majeur; Étourdisseur majeur; Muldo Ebène et Indigo</t>
        </is>
      </c>
    </row>
    <row r="7236">
      <c r="A7236" t="inlineStr">
        <is>
          <t>Huppermage M 200</t>
        </is>
      </c>
      <c r="B7236">
        <f>HYPERLINK("https://www.dofusbook.net/fr/equipement/5699547-huppermage-m-200/objets", "link")</f>
        <v/>
      </c>
      <c r="C7236" t="n">
        <v>0</v>
      </c>
      <c r="D7236" t="inlineStr">
        <is>
          <t>Héqache; Torquistik; Bague Trithon; Bague Instable; Bouclier précieux; Sangle Ouare; Masque Paztek; Cape Solution; Sandales Paztek; Dofus Abyssal; Dofus Ivoire; Dofus Émeraude; Dofus Ocre; Bousculeur majeur; Culbuteur majeur; Péki</t>
        </is>
      </c>
    </row>
    <row r="7237">
      <c r="A7237" t="inlineStr">
        <is>
          <t>Osamodas F 200</t>
        </is>
      </c>
      <c r="B7237">
        <f>HYPERLINK("https://www.dofusbook.net/fr/equipement/5682190-osamodas-f-200/objets", "link")</f>
        <v/>
      </c>
      <c r="C7237" t="n">
        <v>0</v>
      </c>
      <c r="D7237" t="inlineStr"/>
    </row>
    <row r="7238">
      <c r="A7238" t="inlineStr">
        <is>
          <t>Sacrieur F 200</t>
        </is>
      </c>
      <c r="B7238">
        <f>HYPERLINK("https://www.dofusbook.net/fr/equipement/5682140-sacrieur-f-200/objets", "link")</f>
        <v/>
      </c>
      <c r="C7238" t="n">
        <v>0</v>
      </c>
      <c r="D7238" t="inlineStr">
        <is>
          <t>Rapière aux Glyphes; Amulette d'Ilyzaelle; Anneau Volkorne; Bracelet des Fonds marins; Bouclier d'Ilyzaelle; Ceinture de la Reine des Voleurs; Masque des Fonds marins; Cape Solution; Bottes de la Reine des Voleurs; Dofus Émeraude; Dofus Ivoire; Dofus Pourpre; Dofus Ocre; Dofus Abyssal; Dofus Ébène; Muldo Ebène et Pourpre</t>
        </is>
      </c>
    </row>
    <row r="7239">
      <c r="A7239" t="inlineStr">
        <is>
          <t>Ouginak F 200</t>
        </is>
      </c>
      <c r="B7239">
        <f>HYPERLINK("https://www.dofusbook.net/fr/equipement/5682115-ouginak-f-200/objets", "link")</f>
        <v/>
      </c>
      <c r="C7239" t="n">
        <v>0</v>
      </c>
      <c r="D7239" t="inlineStr">
        <is>
          <t>Karnak; Collier du Valet Veinard; Alliance Gloursonne; Gant du Valet Veinard; Bouclier d'Ilyzaelle; Menoture; Couronne d'Allister; Cape d'Anerice; Palmes Trithons; Dofus Ébène; Dofus Abyssal; Dofus Ivoire; Dofus Pourpre; Dofus Émeraude; Cascadeur majeur; Volkorne Rubis et Améthyste</t>
        </is>
      </c>
    </row>
    <row r="7240">
      <c r="A7240" t="inlineStr">
        <is>
          <t>Crâ M 200</t>
        </is>
      </c>
      <c r="B7240">
        <f>HYPERLINK("https://www.dofusbook.net/fr/equipement/5682068-cra-m-200/objets", "link")</f>
        <v/>
      </c>
      <c r="C7240" t="n">
        <v>0</v>
      </c>
      <c r="D7240" t="inlineStr">
        <is>
          <t>Épouvante; Amulette du Strigide; Pikano; Anneau Volkorne; Bouclier du Stalak; Ceinture Volkorne; Masque de Funespadon; Cape Solution; Bottes du Strigide; Dofus Pourpre; Dofus Ocre; Dofus Vulbis; Dofus Ébène; Dofus Turquoise; Dofus Ivoire; Kramkram</t>
        </is>
      </c>
    </row>
    <row r="7241">
      <c r="A7241" t="inlineStr">
        <is>
          <t>Enutrof M 200</t>
        </is>
      </c>
      <c r="B7241">
        <f>HYPERLINK("https://www.dofusbook.net/fr/equipement/5682003-enutrof-m-200/objets", "link")</f>
        <v/>
      </c>
      <c r="C7241" t="n">
        <v>0</v>
      </c>
      <c r="D7241" t="inlineStr">
        <is>
          <t>Baguette Hique; Amulette des Chocomanciens; Anneau Volkorne; Alliance Gloursonne; Bouclier du Stalak; Ceinture Glaciale; Kidibonnet; Cape de la Dame du Hasard; Bottes de la Dame du Hasard; Dofus Ébène; Dofus Ivoire; Dofus Pourpre; Dofus Vulbis; Temporiseur majeur; Chanceux majeur; Volkorne Rubis et Turquoise</t>
        </is>
      </c>
    </row>
    <row r="7242">
      <c r="A7242" t="inlineStr">
        <is>
          <t>Ecaflip F 200</t>
        </is>
      </c>
      <c r="B7242">
        <f>HYPERLINK("https://www.dofusbook.net/fr/equipement/5681818-ecaflip-f-200/objets", "link")</f>
        <v/>
      </c>
      <c r="C7242" t="n">
        <v>0</v>
      </c>
      <c r="D7242" t="inlineStr">
        <is>
          <t>Arc de Koutoulou; Amulette Voldelor; Alliance Gloursonne; Anneau Volkorne; Bouclier du Stalak; Sangle Ouare; Casque Volkorne; Dofusteuse; Pataugastrique; Dofus Ivoire; Dofus Pourpre; Dofus Nébuleux; Dofus Ébène; Dofus Émeraude; Vigoureux majeur; Volkorne Jade</t>
        </is>
      </c>
    </row>
    <row r="7243">
      <c r="A7243" t="inlineStr">
        <is>
          <t>Zobal F 200</t>
        </is>
      </c>
      <c r="B7243">
        <f>HYPERLINK("https://www.dofusbook.net/fr/equipement/5681775-zobal-f-200/objets", "link")</f>
        <v/>
      </c>
      <c r="C7243" t="n">
        <v>0</v>
      </c>
      <c r="D7243" t="inlineStr">
        <is>
          <t>Arc du Chalœil; Amulette du Cœur Saignant; Anneau Chevelu; Anneau Crustique; Quatre-feuilles; Ceinture Volkorne; Masque de Koutoulou; Cape au Logis; Bottes du Cœur Saignant; Dofus Ocre; Dofus Pourpre; Dofus Ébène; Dofus Turquoise; Dofus Ivoire; Enragé majeur; Dragodinde Ivoire et Pourpre</t>
        </is>
      </c>
    </row>
    <row r="7244">
      <c r="A7244" t="inlineStr">
        <is>
          <t>Enutrof F 200</t>
        </is>
      </c>
      <c r="B7244">
        <f>HYPERLINK("https://www.dofusbook.net/fr/equipement/5681728-enutrof-f-200/objets", "link")</f>
        <v/>
      </c>
      <c r="C7244" t="n">
        <v>0</v>
      </c>
      <c r="D7244" t="inlineStr">
        <is>
          <t>Arc corrompu; Amulette Volkorne; Anneau Volkorne; Anneauræus; Quatre-feuilles; Ceinture de l'Esprit Malsain; Heaume Oplate; Voile d'encre; Bottes Innommables; Dofus Ivoire; Dofus Pourpre; Dofus Ocre; Dofus Ébène; Dofus Turquoise; Érudit majeur; Muldo Pourpre</t>
        </is>
      </c>
    </row>
    <row r="7245">
      <c r="A7245" t="inlineStr">
        <is>
          <t>Iop F 200</t>
        </is>
      </c>
      <c r="B7245">
        <f>HYPERLINK("https://www.dofusbook.net/fr/equipement/5681693-iop-f-200/objets", "link")</f>
        <v/>
      </c>
      <c r="C7245" t="n">
        <v>0</v>
      </c>
      <c r="D7245" t="inlineStr">
        <is>
          <t>Manthache; Collier du Valet Veinard; Alliance Gloursonne; Gant du Valet Veinard; Cadran d'Air; Menoture; Couronne d'Allister; Cape de Crânonier; Palmes Trithons; Dofus Ébène; Dofus Émeraude; Dofus Ivoire; Dofus Pourpre; Dofus Ocre; Cascadeur majeur; Muldo Ebène et Orchidée</t>
        </is>
      </c>
    </row>
    <row r="7246">
      <c r="A7246" t="inlineStr">
        <is>
          <t>Osamodas M 200</t>
        </is>
      </c>
      <c r="B7246">
        <f>HYPERLINK("https://www.dofusbook.net/fr/equipement/5681602-osamodas-m-200/objets", "link")</f>
        <v/>
      </c>
      <c r="C7246" t="n">
        <v>1</v>
      </c>
      <c r="D7246" t="inlineStr">
        <is>
          <t>Lav'Hache; Amulette du Kamasterisk; Anneau Chevelu; Anneau Crustique; Cadran de Feu; Ceinture Gence; Masque de Koutoulou; Cape du Kamasterisk; Bottes Dogues; Dofus Ébène; Dofus Émeraude; Dofus Ivoire; Dofus Abyssal; Enragé majeur; Carapace Terre majeur; Kramkram</t>
        </is>
      </c>
    </row>
    <row r="7247">
      <c r="A7247" t="inlineStr">
        <is>
          <t>Steamer M 200</t>
        </is>
      </c>
      <c r="B7247">
        <f>HYPERLINK("https://www.dofusbook.net/fr/equipement/5681538-steamer-m-200/objets", "link")</f>
        <v/>
      </c>
      <c r="C7247" t="n">
        <v>0</v>
      </c>
      <c r="D7247" t="inlineStr">
        <is>
          <t>Arc corrompu; Amulette Volkorne; Anneauræus; Anneauræus; Cadran d'Air; Ceinture de l'Esprit Malsain; Heaume Oplate; Cape de Diondin; Bottes de l'Esprit Malsain; Dofus Ébène; Dofus Pourpre; Dofus Ivoire; Dofus Cawotte; Dofus Abyssal; Érudit majeur; Muldo Indigo et Orchidée</t>
        </is>
      </c>
    </row>
    <row r="7248">
      <c r="A7248" t="inlineStr">
        <is>
          <t>Sram M 200</t>
        </is>
      </c>
      <c r="B7248">
        <f>HYPERLINK("https://www.dofusbook.net/fr/equipement/5679957-sram-m-200/objets", "link")</f>
        <v/>
      </c>
      <c r="C7248" t="n">
        <v>0</v>
      </c>
      <c r="D7248" t="inlineStr"/>
    </row>
    <row r="7249">
      <c r="A7249" t="inlineStr">
        <is>
          <t>Ecaflip M 200</t>
        </is>
      </c>
      <c r="B7249">
        <f>HYPERLINK("https://www.dofusbook.net/fr/equipement/5679881-ecaflip-m-200/objets", "link")</f>
        <v/>
      </c>
      <c r="C7249" t="n">
        <v>0</v>
      </c>
      <c r="D7249" t="inlineStr">
        <is>
          <t>Lav'Hache; Amulette du Cœur Vaillant; Anneau Chevelu; Bague Trithon; Bouclier Taverne; Ceinture Gence; Masque de Koutoulou; Cape au Logis; Bottes du Cœur Vaillant; Dofus Ivoire; Dofus Pourpre; Dofus Ébène; Carapace Terre majeur; Enragé majeur; Culbuteur majeur; Black Tiwabbit</t>
        </is>
      </c>
    </row>
    <row r="7250">
      <c r="A7250" t="inlineStr">
        <is>
          <t>Pandawa F 200</t>
        </is>
      </c>
      <c r="B7250">
        <f>HYPERLINK("https://www.dofusbook.net/fr/equipement/5679825-pandawa-f-200/objets", "link")</f>
        <v/>
      </c>
      <c r="C7250" t="n">
        <v>0</v>
      </c>
      <c r="D7250" t="inlineStr">
        <is>
          <t>Baguette de Malléfisk; Pendentif mignon de Koutoulou; Anneauræus; Anneau Rifique; Carapar; Ceinture de Vortex; Heaume Oplate; Voile d'encre; Bottes de Meno; Dofus Ébène; Dofus Ivoire; Dolmanax; Dofus Ocre; Guérisseur majeur; Érudit majeur; Muldo Orchidée et Pourpre</t>
        </is>
      </c>
    </row>
    <row r="7251">
      <c r="A7251" t="inlineStr">
        <is>
          <t>Steamer M 200</t>
        </is>
      </c>
      <c r="B7251">
        <f>HYPERLINK("https://www.dofusbook.net/fr/equipement/5679730-steamer-m-200/objets", "link")</f>
        <v/>
      </c>
      <c r="C7251" t="n">
        <v>0</v>
      </c>
      <c r="D7251" t="inlineStr">
        <is>
          <t>Baguette Héroclite; Amulette de Shokkoth; Alliance Gloursonne; Anneau Volkorne; Bouclier du Stalak; Poulpagne; Masque des Fonds marins; Cape Solution; Sandales des Fonds marins; Dofus Ivoire; Dofus Pourpre; Dofus Ébène; Dofus Abyssal; Chanceux majeur; Observateur; Muldo Indigo</t>
        </is>
      </c>
    </row>
    <row r="7252">
      <c r="A7252" t="inlineStr">
        <is>
          <t>Zobal M 200</t>
        </is>
      </c>
      <c r="B7252">
        <f>HYPERLINK("https://www.dofusbook.net/fr/equipement/5413347-zobal-m-200/objets", "link")</f>
        <v/>
      </c>
      <c r="C7252" t="n">
        <v>1</v>
      </c>
      <c r="D7252" t="inlineStr">
        <is>
          <t>Arc du Chalœil; Amulette du Cœur Saignant; Anneau Chevelu; Anneau Crustique; Quatre-feuilles; Ceinture Volkorne; Masque de Koutoulou; Cape au Logis; Bottes du Cœur Saignant; Dofus Turquoise; Dofus Ébène; Dofus Ivoire; Dofus Pourpre; Enragé majeur; Temporiseur majeur; Volkorne Jade</t>
        </is>
      </c>
    </row>
    <row r="7253">
      <c r="A7253" t="inlineStr">
        <is>
          <t>Enutrof F 200</t>
        </is>
      </c>
      <c r="B7253">
        <f>HYPERLINK("https://www.dofusbook.net/fr/equipement/5413234-enutrof-f-200/objets", "link")</f>
        <v/>
      </c>
      <c r="C7253" t="n">
        <v>1</v>
      </c>
      <c r="D7253" t="inlineStr">
        <is>
          <t>Arc corrompu; Amulette Séculaire; Anneauræus; Anneau de Nidas; Bouclier du Stalak; Ceinture Séculaire; Coiffe Séculaire; Voile d'encre; Tongues de Nidas; Dofus Ivoire; Dofus Pourpre; Dofus Ocre; Dofus Abyssal; Dofus Ébène; Vagabond majeur; Muldo Orchidée et Pourpre</t>
        </is>
      </c>
    </row>
    <row r="7254">
      <c r="A7254" t="inlineStr">
        <is>
          <t>Sadida M 200</t>
        </is>
      </c>
      <c r="B7254">
        <f>HYPERLINK("https://www.dofusbook.net/fr/equipement/5413311-sadida-m-200/objets", "link")</f>
        <v/>
      </c>
      <c r="C7254" t="n">
        <v>2</v>
      </c>
      <c r="D7254" t="inlineStr">
        <is>
          <t>Arc corrompu; Amulette Séculaire; Anneauræus; Anneau de Nidas; Bouclier du Stalak; Ceinture Séculaire; Coiffe Séculaire; Voile d'encre; Tongues de Nidas; Dofus Ivoire; Dofus Pourpre; Dofus Ocre; Dofus Abyssal; Dofus Ébène; Entraveur majeur; Muldo Orchidée et Pourpre</t>
        </is>
      </c>
    </row>
    <row r="7255">
      <c r="A7255" t="inlineStr">
        <is>
          <t>Sacrieur F 200</t>
        </is>
      </c>
      <c r="B7255">
        <f>HYPERLINK("https://www.dofusbook.net/fr/equipement/5413270-sacrieur-f-200/objets", "link")</f>
        <v/>
      </c>
      <c r="C7255" t="n">
        <v>1</v>
      </c>
      <c r="D7255" t="inlineStr">
        <is>
          <t>Baguette Héroclite; Amulette de Shokkoth; Alliance Gloursonne; Anneau Volkorne; Bouclier d'Anerice; Poulpagne; Masque d'Anerice; Cape Solution; Bottes du Sinistrofu; Dofus Pourpre; Dofus Ivoire; Dofus Émeraude; Dofus Ébène; Miraculé majeur; Chanceux majeur; Muldo Indigo et Orchidée</t>
        </is>
      </c>
    </row>
    <row r="7256">
      <c r="A7256" t="inlineStr">
        <is>
          <t>Iop M 200</t>
        </is>
      </c>
      <c r="B7256">
        <f>HYPERLINK("https://www.dofusbook.net/fr/equipement/5413200-iop-m-200/objets", "link")</f>
        <v/>
      </c>
      <c r="C7256" t="n">
        <v>1</v>
      </c>
      <c r="D7256" t="inlineStr">
        <is>
          <t>Baguette de Torkélonia; Amulette du Strigide; Alliance Gloursonne; Anneau Volkorne; Quatre-feuilles; Ceinture Volkorne; Casque Volkorne; Carapace de Torkélonia; Baleinabottes; Dofus Émeraude; Dofus Ébène; Dofus Pourpre; Dofus Ivoire; Dofus Turquoise; Dofus Ocre; Kramkram</t>
        </is>
      </c>
    </row>
    <row r="7257">
      <c r="A7257" t="inlineStr">
        <is>
          <t>Féca F 200</t>
        </is>
      </c>
      <c r="B7257">
        <f>HYPERLINK("https://www.dofusbook.net/fr/equipement/5395766-feca-f-200/objets", "link")</f>
        <v/>
      </c>
      <c r="C7257" t="n">
        <v>0</v>
      </c>
      <c r="D7257" t="inlineStr">
        <is>
          <t>Baguette de Torkélonia; Amulette du Cœur Vaillant; Anneau Crustique; Anneau Crustique; Cadran de Terre; Menoture; Masque de Koutoulou; Carapace de Torkélonia; Tentassons; Dofus Émeraude; Dofus Ébène; Dofus Turquoise; Dofus Ivoire; Dofus Pourpre; Étourdisseur majeur; Muldo Ebène et Indigo</t>
        </is>
      </c>
    </row>
    <row r="7258">
      <c r="A7258" t="inlineStr">
        <is>
          <t>Ouginak F 200</t>
        </is>
      </c>
      <c r="B7258">
        <f>HYPERLINK("https://www.dofusbook.net/fr/equipement/5395726-ouginak-f-200/objets", "link")</f>
        <v/>
      </c>
      <c r="C7258" t="n">
        <v>0</v>
      </c>
      <c r="D7258" t="inlineStr">
        <is>
          <t>L'Épée Nice; Amulette du Strigide; Anneau des égarés; Anneau Volkorne; Bouclier d'Ilyzaelle; Ceinture Volkorne; Corne de Torkélonia; Carapace de Torkélonia; Baleinabottes; Dofus Ébène; Dofus Pourpre; Dofus Ivoire; Dofus Turquoise; Dolmanax; Dofus Émeraude; Volkorne Jade et Améthyste</t>
        </is>
      </c>
    </row>
    <row r="7259">
      <c r="A7259" t="inlineStr">
        <is>
          <t>Crâ M 200</t>
        </is>
      </c>
      <c r="B7259">
        <f>HYPERLINK("https://www.dofusbook.net/fr/equipement/5395337-cra-m-200/objets", "link")</f>
        <v/>
      </c>
      <c r="C7259" t="n">
        <v>0</v>
      </c>
      <c r="D7259" t="inlineStr">
        <is>
          <t>Baguette de Torkélonia; Amulette du Strigide; Anneau Crustique; Anneau Crustique; Quatre-feuilles; Ceinture Volkorne; Casque Volkorne; Carapace de Torkélonia; Bottes du Strigide; Dofus Turquoise; Dofus Ébène; Dofus Vulbis; Dofus Ivoire; Dofus Pourpre; Dofus Ocre; Fëanor</t>
        </is>
      </c>
    </row>
    <row r="7260">
      <c r="A7260" t="inlineStr">
        <is>
          <t>Enutrof F 200</t>
        </is>
      </c>
      <c r="B7260">
        <f>HYPERLINK("https://www.dofusbook.net/fr/equipement/5395693-enutrof-f-200/objets", "link")</f>
        <v/>
      </c>
      <c r="C7260" t="n">
        <v>0</v>
      </c>
      <c r="D7260" t="inlineStr">
        <is>
          <t>Baguette de Torkélonia; Amulette du Strigide; Anneau Crustique; Anneau Crustique; Quatre-feuilles; Ceinture du Strigide; Corne de Torkélonia; Carapace de Torkélonia; Bottes du Strigide; Dofus Turquoise; Dofus Ébène; Dolmanax; Dofus Ivoire; Dofus Pourpre; Dofus Ocre; Fëanor</t>
        </is>
      </c>
    </row>
    <row r="7261">
      <c r="A7261" t="inlineStr">
        <is>
          <t>Pandawa F 200</t>
        </is>
      </c>
      <c r="B7261">
        <f>HYPERLINK("https://www.dofusbook.net/fr/equipement/5395662-pandawa-f-200/objets", "link")</f>
        <v/>
      </c>
      <c r="C7261" t="n">
        <v>2</v>
      </c>
      <c r="D7261" t="inlineStr">
        <is>
          <t>Baguette de Torkélonia; Amulette de Pol Ouatnos; Anneau Crustique; Anneau des égarés; Cadran d'Air; Ceinture Volkorne; Casque Volkorne; Carapace de Torkélonia; Baleinabottes; Dofus Pourpre; Dofus Ivoire; Dofus Turquoise; Dofus Ocre; Dofus Émeraude; Dofus Ébène; Dragodinde Ivoire et Pourpre</t>
        </is>
      </c>
    </row>
    <row r="7262">
      <c r="A7262" t="inlineStr">
        <is>
          <t>Roublard F 200</t>
        </is>
      </c>
      <c r="B7262">
        <f>HYPERLINK("https://www.dofusbook.net/fr/equipement/5395639-roublard-f-200/objets", "link")</f>
        <v/>
      </c>
      <c r="C7262" t="n">
        <v>0</v>
      </c>
      <c r="D7262" t="inlineStr">
        <is>
          <t>Baguette de Torkélonia; Amulette de l'Indicible; Anneau des égarés; Alliance Gloursonne; Cadran d'Air; Menoture; Coiffe de la Reine des Voleurs; Carapace de Torkélonia; Bottes de la Reine des Voleurs; Dolmanax; Dofus Ébène; Dofus Pourpre; Dofus Ocre; Dofus des Glaces; Dofus Ivoire; Muldo Indigo</t>
        </is>
      </c>
    </row>
    <row r="7263">
      <c r="A7263" t="inlineStr">
        <is>
          <t>Eniripsa M 200</t>
        </is>
      </c>
      <c r="B7263">
        <f>HYPERLINK("https://www.dofusbook.net/fr/equipement/5395328-eniripsa-m-200/objets", "link")</f>
        <v/>
      </c>
      <c r="C7263" t="n">
        <v>0</v>
      </c>
      <c r="D7263" t="inlineStr">
        <is>
          <t>Arc Ontanporin; Amulette de l'Œil Attentif; Alliance Gloursonne; Anneau Volkorne; Cadran de Terre; Culotte de Bethel; Capuche de l'Œil Attentif; Cape de l'Œil Attentif; Chaussons de Macrab; Dofus Émeraude; Dofus Ivoire; Dofus Pourpre; Dofus Ocre; Dofus Ébène; Paralyseur majeur; Muldo Ebène et Amande</t>
        </is>
      </c>
    </row>
    <row r="7264">
      <c r="A7264" t="inlineStr">
        <is>
          <t>Xélor M 200</t>
        </is>
      </c>
      <c r="B7264">
        <f>HYPERLINK("https://www.dofusbook.net/fr/equipement/5395514-xelor-m-200/objets", "link")</f>
        <v/>
      </c>
      <c r="C7264" t="n">
        <v>1</v>
      </c>
      <c r="D7264" t="inlineStr">
        <is>
          <t>Lav'Hache; Collier Rophante; Anneau Crustique; Anneau Crustique; Sept ans de malheur; Culotte de Bethel; Coiffe d'Aermyne; Cape Matelassée; Chaussons de Macrab; Dofus Émeraude; Dofus Abyssal; Dofus Cawotte; Dofus Ivoire; Étourdisseur majeur; Paralyseur majeur; Volkorne Jade et Ivoire</t>
        </is>
      </c>
    </row>
    <row r="7265">
      <c r="A7265" t="inlineStr">
        <is>
          <t>Zobal F 200</t>
        </is>
      </c>
      <c r="B7265">
        <f>HYPERLINK("https://www.dofusbook.net/fr/equipement/5395469-zobal-f-200/objets", "link")</f>
        <v/>
      </c>
      <c r="C7265" t="n">
        <v>0</v>
      </c>
      <c r="D7265" t="inlineStr">
        <is>
          <t>Marteau R'ture; Amulette du Cœur Saignant; Anneau Crustique; Anneau Crustique; Cadran de Terre; Ceinture Volkorne; Masque de Koutoulou; Cape au Logis; Bottes du Cœur Saignant; Dofus Ébène; Dofus Pourpre; Dofus Turquoise; Dofus Ivoire; Dofus Ocre; Enragé majeur; Dragodinde Ivoire et Pourpre</t>
        </is>
      </c>
    </row>
    <row r="7266">
      <c r="A7266" t="inlineStr">
        <is>
          <t>Sadida M 200</t>
        </is>
      </c>
      <c r="B7266">
        <f>HYPERLINK("https://www.dofusbook.net/fr/equipement/5395442-sadida-m-200/objets", "link")</f>
        <v/>
      </c>
      <c r="C7266" t="n">
        <v>3</v>
      </c>
      <c r="D7266" t="inlineStr">
        <is>
          <t>Arc Nécrotique; Amulette Volkorne; Alliance Gloursonne; Anneau Volkorne; Bouclier du Stalak; Ceinture de l'Esprit Salvateur; Masque de l'Esprit Salvateur; Cape Solution; Bottes de l'Esprit Salvateur; Dolmanax; Dofus des Glaces; Dofus Pourpre; Dofus Ébène; Dofus Abyssal; Dofus Ivoire; Muldo Ebène et Indigo</t>
        </is>
      </c>
    </row>
    <row r="7267">
      <c r="A7267" t="inlineStr">
        <is>
          <t>Enutrof F 200</t>
        </is>
      </c>
      <c r="B7267">
        <f>HYPERLINK("https://www.dofusbook.net/fr/equipement/5395317-enutrof-f-200/objets", "link")</f>
        <v/>
      </c>
      <c r="C7267" t="n">
        <v>0</v>
      </c>
      <c r="D7267" t="inlineStr">
        <is>
          <t>Manthache; Collier du Valet Veinard; Gant du Valet Veinard; Alliance Gloursonne; Cadran de Terre; Ceintouse; Chapoulpe; Cape du Valet Veinard; Tentassons; Dofus Ébène; Dofus Abyssal; Dofus Ivoire; Dofus Pourpre; Dofus Ocre; Paralyseur majeur; Muldo Ebène</t>
        </is>
      </c>
    </row>
    <row r="7268">
      <c r="A7268" t="inlineStr">
        <is>
          <t>Iop M 200</t>
        </is>
      </c>
      <c r="B7268">
        <f>HYPERLINK("https://www.dofusbook.net/fr/equipement/5395301-iop-m-200/objets", "link")</f>
        <v/>
      </c>
      <c r="C7268" t="n">
        <v>0</v>
      </c>
      <c r="D7268" t="inlineStr">
        <is>
          <t>Massier; Amulette Séculaire; Anneauræus; Anneauræus; Bouclier d'Ilyzaelle; Ceinture Séculaire; Coiffe Séculaire; Cape de Diondin; Bottes Innommables; Dofus Turquoise; Dofus Ivoire; Dofus Pourpre; Dofus Vulbis; Dofus Nébuleux; Dofus Ébène; Dragodinde Ivoire et Orchidée</t>
        </is>
      </c>
    </row>
    <row r="7269">
      <c r="A7269" t="inlineStr">
        <is>
          <t>Zobal M 200</t>
        </is>
      </c>
      <c r="B7269">
        <f>HYPERLINK("https://www.dofusbook.net/fr/equipement/5278674-zobal-m-200/objets", "link")</f>
        <v/>
      </c>
      <c r="C7269" t="n">
        <v>1</v>
      </c>
      <c r="D7269" t="inlineStr"/>
    </row>
    <row r="7270">
      <c r="A7270" t="inlineStr">
        <is>
          <t>Eniripsa F 200</t>
        </is>
      </c>
      <c r="B7270">
        <f>HYPERLINK("https://www.dofusbook.net/fr/equipement/5217901-eniripsa-f-200/objets", "link")</f>
        <v/>
      </c>
      <c r="C7270" t="n">
        <v>3</v>
      </c>
      <c r="D7270" t="inlineStr">
        <is>
          <t>Karnak; Collier du Valet Veinard; Gant du Valet Veinard; Alliance Gloursonne; Cadran de Terre; Ceintouse; Chapoulpe; Cape du Valet Veinard; Tentassons; Dofus Ivoire; Dofus Abyssal; Dofus Ébène; Dofus Pourpre; Dofus Ocre; Dragodinde Ebène et Ivoire</t>
        </is>
      </c>
    </row>
    <row r="7271">
      <c r="A7271" t="inlineStr">
        <is>
          <t>Ouginak M 200</t>
        </is>
      </c>
      <c r="B7271">
        <f>HYPERLINK("https://www.dofusbook.net/fr/equipement/5217871-ouginak-m-200/objets", "link")</f>
        <v/>
      </c>
      <c r="C7271" t="n">
        <v>0</v>
      </c>
      <c r="D7271" t="inlineStr">
        <is>
          <t>Bêche Asse; Amulette du Cœur Saignant; Anneau Chevelu; Anneau Crustique; Cadran d'Eau; Ceinture Volkorne; Masque de Koutoulou; Cape au Logis; Bottes du Cœur Saignant; Dofus Émeraude; Dofus Ivoire; Dofus Pourpre; Dofus Ocre; Dofus Ébène; Enragé majeur; Dragodinde Ivoire et Pourpre</t>
        </is>
      </c>
    </row>
    <row r="7272">
      <c r="A7272" t="inlineStr">
        <is>
          <t>Ecaflip F 200</t>
        </is>
      </c>
      <c r="B7272">
        <f>HYPERLINK("https://www.dofusbook.net/fr/equipement/5217809-ecaflip-f-200/objets", "link")</f>
        <v/>
      </c>
      <c r="C7272" t="n">
        <v>2</v>
      </c>
      <c r="D7272" t="inlineStr">
        <is>
          <t>Arc de Koutoulou; Amulette Voldelor; Anneau Volkorne; Alliance Gloursonne; Cadran d'Air; Ceinture Voldelor; Casque Volkorne; Chevelure de Tal Kasha; Bottes Voldelor; Dofus Abyssal; Dofus Ivoire; Dofus Pourpre; Dofus Vulbis; Dofus Ébène; Dofus Ocre; Volkorne Jade</t>
        </is>
      </c>
    </row>
    <row r="7273">
      <c r="A7273" t="inlineStr">
        <is>
          <t>Pandawa F 200</t>
        </is>
      </c>
      <c r="B7273">
        <f>HYPERLINK("https://www.dofusbook.net/fr/equipement/5217783-pandawa-f-200/objets", "link")</f>
        <v/>
      </c>
      <c r="C7273" t="n">
        <v>2</v>
      </c>
      <c r="D7273" t="inlineStr">
        <is>
          <t>Baguette de Malléfisk; Pendentif mignon de Koutoulou; Anneau Rifique; Anneau de Nidas; Cadran de Feu; String Tue-Mouche; Casque Cyclopéen; Voile d'encre; Tongues de Nidas; Dofus Émeraude; Dofus Ivoire; Dolmanax; Dofus Ocre; Dofus Abyssal; Dofus Ébène; Muldo Ebène et Pourpre</t>
        </is>
      </c>
    </row>
    <row r="7274">
      <c r="A7274" t="inlineStr">
        <is>
          <t>Enutrof M 200</t>
        </is>
      </c>
      <c r="B7274">
        <f>HYPERLINK("https://www.dofusbook.net/fr/equipement/5217746-enutrof-m-200/objets", "link")</f>
        <v/>
      </c>
      <c r="C7274" t="n">
        <v>1</v>
      </c>
      <c r="D7274" t="inlineStr">
        <is>
          <t>Baguette Héroclite; Amulette de l'Œil Attentif; Anneau Volkorne; Alliance Gloursonne; Bouclier du Stalak; Ceinture de l'Esprit Salvateur; Capuche de l'Œil Attentif; Cape de l'Œil Attentif; Bottes de l'Esprit Salvateur; Dofus des Glaces; Dofus Ébène; Dolmanax; Dofus Ivoire; Dofus Pourpre; Dofus Ocre; Muldo Pourpre et Amande</t>
        </is>
      </c>
    </row>
    <row r="7275">
      <c r="A7275" t="inlineStr">
        <is>
          <t>Crâ M 200</t>
        </is>
      </c>
      <c r="B7275">
        <f>HYPERLINK("https://www.dofusbook.net/fr/equipement/5217643-cra-m-200/objets", "link")</f>
        <v/>
      </c>
      <c r="C7275" t="n">
        <v>4</v>
      </c>
      <c r="D7275" t="inlineStr">
        <is>
          <t>Hache du Chalœil; Amulette Volkorne; Anneau Volkorne; Alliance du Lévitrof; Quatre-feuilles; Ceinture Volkorne; Coiffe du Lévitrof; Voile d'encre; Bottes du Lévitrof; Dofus Turquoise; Dofus Ivoire; Dofus Pourpre; Dofus Ocre; Dofus des Glaces; Dofus Ébène; Volkorne Jade et Saphir</t>
        </is>
      </c>
    </row>
    <row r="7276">
      <c r="A7276" t="inlineStr">
        <is>
          <t>Sram M 200</t>
        </is>
      </c>
      <c r="B7276">
        <f>HYPERLINK("https://www.dofusbook.net/fr/equipement/5214438-sram-m-200/objets", "link")</f>
        <v/>
      </c>
      <c r="C7276" t="n">
        <v>2</v>
      </c>
      <c r="D7276" t="inlineStr">
        <is>
          <t>Héqache; Amulette du Kamasterisk; Anneau Volkorne; Alliance Gloursonne; Bouclier d'Ilyzaelle; Ceinture Volkorne; Casque Volkorne; Cape du Kamasterisk; Bottes du Kamasterisk; Dofus Abyssal; Dofus Ébène; Dofus Émeraude; Dofus Pourpre; Dofus Ivoire; Dofus Ocre; Volkorne Améthyste</t>
        </is>
      </c>
    </row>
    <row r="7277">
      <c r="A7277" t="inlineStr">
        <is>
          <t>Féca F 200</t>
        </is>
      </c>
      <c r="B7277">
        <f>HYPERLINK("https://www.dofusbook.net/fr/equipement/5214401-feca-f-200/objets", "link")</f>
        <v/>
      </c>
      <c r="C7277" t="n">
        <v>2</v>
      </c>
      <c r="D7277" t="inlineStr">
        <is>
          <t>Arc Hétype; Pendentif mignon de Koutoulou; Anneauræus; Anneau Rifique; Bouclier du Stalak; Ceinture de Vortex; Heaume Oplate; Voile d'encre; Bottes Innommables; Dofus Ébène; Dolmanax; Dofus Ocre; Dofus Ivoire; Dofus Pourpre; Érudit majeur; Muldo Ebène et Orchidée</t>
        </is>
      </c>
    </row>
    <row r="7278">
      <c r="A7278" t="inlineStr">
        <is>
          <t>Sacrieur F 200</t>
        </is>
      </c>
      <c r="B7278">
        <f>HYPERLINK("https://www.dofusbook.net/fr/equipement/5214386-sacrieur-f-200/objets", "link")</f>
        <v/>
      </c>
      <c r="C7278" t="n">
        <v>0</v>
      </c>
      <c r="D7278" t="inlineStr">
        <is>
          <t>Lance Horselé; Collier du Valet Veinard; Anneau d'Allister; Gant du Valet Veinard; Bouclier d'Ilyzaelle; Sangle Oriole; Couronne d'Allister; Cape du Valet Veinard; Bottes d'Allister; Dofus Abyssal; Dofus Émeraude; Dofus Ébène; Dofus Pourpre; Dofus Ivoire; Dofus Ocre; Muldo Ebène</t>
        </is>
      </c>
    </row>
    <row r="7279">
      <c r="A7279" t="inlineStr">
        <is>
          <t>Eniripsa F 200</t>
        </is>
      </c>
      <c r="B7279">
        <f>HYPERLINK("https://www.dofusbook.net/fr/equipement/5214356-eniripsa-f-200/objets", "link")</f>
        <v/>
      </c>
      <c r="C7279" t="n">
        <v>1</v>
      </c>
      <c r="D7279" t="inlineStr">
        <is>
          <t>Arc corrompu; Pendentif mignon de Koutoulou; Anneauræus; Anneau Rifique; Bouclier du Stalak; Ceinture de Vortex; Casque Cyclopéen; Cape Ardente; Chaussures Ardentes; Dofus Ocre; Dofus Ébène; Dolmanax; Dofus Ivoire; Dofus Pourpre; Paralyseur majeur; Muldo Orchidée et Amande</t>
        </is>
      </c>
    </row>
    <row r="7280">
      <c r="A7280" t="inlineStr">
        <is>
          <t>Crâ F 200</t>
        </is>
      </c>
      <c r="B7280">
        <f>HYPERLINK("https://www.dofusbook.net/fr/equipement/5214339-cra-f-200/objets", "link")</f>
        <v/>
      </c>
      <c r="C7280" t="n">
        <v>1</v>
      </c>
      <c r="D7280" t="inlineStr">
        <is>
          <t>Arc Nécrotique; Collier de la Dame du Hasard; Anneau Volkorne; Alliance Gloursonne; Cadran de Terre; Ceinture de Vortex; Casque Volkorne; Cape de la Dame du Hasard; Bottes de la Dame du Hasard; Dofus Ébène; Dofus Turquoise; Dofus Pourpre; Dofus Ocre; Dofus Ivoire; Dofus Vulbis; Volkorne Rubis et Emeraude</t>
        </is>
      </c>
    </row>
    <row r="7281">
      <c r="A7281" t="inlineStr">
        <is>
          <t>Sram M 200</t>
        </is>
      </c>
      <c r="B7281">
        <f>HYPERLINK("https://www.dofusbook.net/fr/equipement/5214317-sram-m-200/objets", "link")</f>
        <v/>
      </c>
      <c r="C7281" t="n">
        <v>0</v>
      </c>
      <c r="D7281" t="inlineStr">
        <is>
          <t>Arc du Chalœil; Amulette du Cœur Saignant; Anneau Volkorne; Chevalière du Roi Joueur; Quatre-feuilles; Ceinture Volkorne; Couronne du Roi Joueur; Cape du Cœur Saignant; Bottes du Cœur Saignant; Dofus Ébène; Dofus Ocre; Dofus Pourpre; Dofus Vulbis; Dofus Turquoise; Dofus Ivoire; Volkorne Jade et Saphir</t>
        </is>
      </c>
    </row>
    <row r="7282">
      <c r="A7282" t="inlineStr">
        <is>
          <t>Enutrof F 200</t>
        </is>
      </c>
      <c r="B7282">
        <f>HYPERLINK("https://www.dofusbook.net/fr/equipement/5111090-enutrof-f-200/objets", "link")</f>
        <v/>
      </c>
      <c r="C7282" t="n">
        <v>1</v>
      </c>
      <c r="D7282" t="inlineStr">
        <is>
          <t>Arc corrompu; Amulette de l'Œil Putride; Alliance Gloursonne; Anneau Volkorne; Cadran de Terre; Ceinture de Vortex; Casque Volkorne; Cape de l'Œil Putride; Pataugastrique; Muldo Pourpre et Amande</t>
        </is>
      </c>
    </row>
    <row r="7283">
      <c r="A7283" t="inlineStr">
        <is>
          <t>Sadida M 200</t>
        </is>
      </c>
      <c r="B7283">
        <f>HYPERLINK("https://www.dofusbook.net/fr/equipement/5111068-sadida-m-200/objets", "link")</f>
        <v/>
      </c>
      <c r="C7283" t="n">
        <v>1</v>
      </c>
      <c r="D7283" t="inlineStr">
        <is>
          <t>Arc Nécrotique; Amulette de l'Œil Putride; Alliance Gloursonne; Anneau de Nidas; Bouclier du Stalak; Ceinture de l'Esprit Salvateur; Capuche de l'Œil Putride; Cape de l'Œil Putride; Bottes de l'Esprit Salvateur; Dofus des Glaces; Dofus Ivoire; Dofus Ébène; Dofus Abyssal; Dofus Ocre; Dofus Pourpre; Muldo Indigo et Amande</t>
        </is>
      </c>
    </row>
    <row r="7284">
      <c r="A7284" t="inlineStr">
        <is>
          <t>Crâ F 200</t>
        </is>
      </c>
      <c r="B7284">
        <f>HYPERLINK("https://www.dofusbook.net/fr/equipement/5111051-cra-f-200/objets", "link")</f>
        <v/>
      </c>
      <c r="C7284" t="n">
        <v>1</v>
      </c>
      <c r="D7284" t="inlineStr">
        <is>
          <t>Sabres d'Atcham; Amulette Volkorne; Alliance Gloursonne; Anneau Volkorne; Cadran de Terre; Ceintrigue; Casque Volkorne; Cape d'Atcham; Sandales  d'Atcham; Dofus Ivoire; Dofus Pourpre; Dofus Ébène; Dofus Turquoise; Dofus Abyssal; Paralyseur majeur; Volkorne Saphir et Ivoire</t>
        </is>
      </c>
    </row>
    <row r="7285">
      <c r="A7285" t="inlineStr">
        <is>
          <t>Zobal F 200</t>
        </is>
      </c>
      <c r="B7285">
        <f>HYPERLINK("https://www.dofusbook.net/fr/equipement/5094370-zobal-f-200/objets", "link")</f>
        <v/>
      </c>
      <c r="C7285" t="n">
        <v>0</v>
      </c>
      <c r="D7285" t="inlineStr">
        <is>
          <t>Arc de Koutoulou; Amibou; Alliance Gloursonne; Anneau Volkorne; Quatre-feuilles; Menoture; Casque Volkorne; Chevelure de Tal Kasha; Sandales de Tal Kasha; Dofus Turquoise; Dofus Ivoire; Dofus Ocre; Dofus Abyssal; Dofus Pourpre; Dofus Ébène; Muldo Ebène et Orchidée</t>
        </is>
      </c>
    </row>
    <row r="7286">
      <c r="A7286" t="inlineStr">
        <is>
          <t>Eniripsa F 200</t>
        </is>
      </c>
      <c r="B7286">
        <f>HYPERLINK("https://www.dofusbook.net/fr/equipement/5094337-eniripsa-f-200/objets", "link")</f>
        <v/>
      </c>
      <c r="C7286" t="n">
        <v>0</v>
      </c>
      <c r="D7286" t="inlineStr">
        <is>
          <t>Arc corrompu; Amulette Séculaire; Anneauræus; Anneau de Nidas; Quatre-feuilles; Ceinture Séculaire; Coiffe Séculaire; Cape de Diondin; Tongues de Nidas; Dolmanax; Dofus Turquoise; Dofus Ivoire; Dofus Ocre; Dofus Ébène; Dofus Abyssal; Muldo Orchidée</t>
        </is>
      </c>
    </row>
    <row r="7287">
      <c r="A7287" t="inlineStr">
        <is>
          <t>Xélor M 200</t>
        </is>
      </c>
      <c r="B7287">
        <f>HYPERLINK("https://www.dofusbook.net/fr/equipement/5094307-xelor-m-200/objets", "link")</f>
        <v/>
      </c>
      <c r="C7287" t="n">
        <v>0</v>
      </c>
      <c r="D7287" t="inlineStr">
        <is>
          <t>Lance Horselé; Collier du Valet Veinard; Alliance Gloursonne; Gant du Valet Veinard; Cadran d'Air; Menoture; Coiffe de la Reine des Voleurs; Cape du Valet Veinard; Bottes de la Reine des Voleurs; Dofus des Glaces; Dofus Ébène; Dofus Ocre; Dofus Ivoire; Dofus Pourpre; Dofus Abyssal; Muldo Ebène</t>
        </is>
      </c>
    </row>
    <row r="7288">
      <c r="A7288" t="inlineStr">
        <is>
          <t>Ouginak M 200</t>
        </is>
      </c>
      <c r="B7288">
        <f>HYPERLINK("https://www.dofusbook.net/fr/equipement/5094275-ouginak-m-200/objets", "link")</f>
        <v/>
      </c>
      <c r="C7288" t="n">
        <v>0</v>
      </c>
      <c r="D7288" t="inlineStr">
        <is>
          <t>Épée Brûlâme; Amulette Volkorne; Alliance Gloursonne; Anneau Volkorne; Cadran d'Eau; Sangle Ouare; Heaume Oplate; Cape de la Dame du Hasard; Bottes de la Dame du Hasard; Dofus Ébène; Dofus Pourpre; Dofus Ivoire; Dofus des Glaces; Dofus Turquoise; Dofus Émeraude; Volkorne Jade et Rubis</t>
        </is>
      </c>
    </row>
    <row r="7289">
      <c r="A7289" t="inlineStr">
        <is>
          <t>Ecaflip F 200</t>
        </is>
      </c>
      <c r="B7289">
        <f>HYPERLINK("https://www.dofusbook.net/fr/equipement/5094243-ecaflip-f-200/objets", "link")</f>
        <v/>
      </c>
      <c r="C7289" t="n">
        <v>0</v>
      </c>
      <c r="D7289" t="inlineStr">
        <is>
          <t>Hache du Chalœil; Amulette Volkorne; Bague Trithon; Anneau Volkorne; Cadran d'Air; Ceinture Volkorne; Casque du Chalœil; Cape du Chalœil; Bottes du Chalœil; Dofus Ébène; Dofus Turquoise; Dofus des Glaces; Dofus Ivoire; Dofus Pourpre; Dofus Abyssal; Volkorne Rubis et Saphir</t>
        </is>
      </c>
    </row>
    <row r="7290">
      <c r="A7290" t="inlineStr">
        <is>
          <t>Iop F 200</t>
        </is>
      </c>
      <c r="B7290">
        <f>HYPERLINK("https://www.dofusbook.net/fr/equipement/5094198-iop-f-200/objets", "link")</f>
        <v/>
      </c>
      <c r="C7290" t="n">
        <v>1</v>
      </c>
      <c r="D7290" t="inlineStr">
        <is>
          <t>Arc du Chalœil; Amulette du Cœur Saignant; Anneau Chevelu; Anneau Crustique; Quatre-feuilles; Ceinture Volkorne; Masque de Koutoulou; Cape au Logis; Bottes du Cœur Saignant; Dofus Ivoire; Dofus Pourpre; Dofus Ocre; Dofus Turquoise; Dofus Ébène; Enragé majeur; Volkorne Jade et Saphir</t>
        </is>
      </c>
    </row>
    <row r="7291">
      <c r="A7291" t="inlineStr">
        <is>
          <t>Enutrof M 200</t>
        </is>
      </c>
      <c r="B7291">
        <f>HYPERLINK("https://www.dofusbook.net/fr/equipement/5094159-enutrof-m-200/objets", "link")</f>
        <v/>
      </c>
      <c r="C7291" t="n">
        <v>0</v>
      </c>
      <c r="D7291" t="inlineStr">
        <is>
          <t>Marteau R'ture; Amulette de l'Indicible; Anneau Crustique; Anneau Crustique; Bouclier du Stalak; Ceinture de l'Esprit Salvateur; Masque de Koutoulou; Cape au Logis; Bottes de l'Esprit Salvateur; Dofus Abyssal; Dofus Ébène; Dofus Pourpre; Dofus Ocre; Dofus Ivoire; Enragé majeur; Bwak de Terre</t>
        </is>
      </c>
    </row>
    <row r="7292">
      <c r="A7292" t="inlineStr">
        <is>
          <t>Sacrieur F 200</t>
        </is>
      </c>
      <c r="B7292">
        <f>HYPERLINK("https://www.dofusbook.net/fr/equipement/5094092-sacrieur-f-200/objets", "link")</f>
        <v/>
      </c>
      <c r="C7292" t="n">
        <v>0</v>
      </c>
      <c r="D7292" t="inlineStr">
        <is>
          <t>Bêche Asse; Collier de Tourthon; Anneau Chevelu; Anneau Crustique; Cadran d'Eau; Ceinture Volkorne; Masque de Koutoulou; Cape au Logis; Baleinabottes; Dofus Ivoire; Dofus Émeraude; Dofus Ébène; Dofus Pourpre; Dofus Abyssal; Enragé majeur; Dragodinde Ivoire et Pourpre</t>
        </is>
      </c>
    </row>
    <row r="7293">
      <c r="A7293" t="inlineStr">
        <is>
          <t>Steamer M 200</t>
        </is>
      </c>
      <c r="B7293">
        <f>HYPERLINK("https://www.dofusbook.net/fr/equipement/5094086-steamer-m-200/objets", "link")</f>
        <v/>
      </c>
      <c r="C7293" t="n">
        <v>0</v>
      </c>
      <c r="D7293" t="inlineStr"/>
    </row>
    <row r="7294">
      <c r="A7294" t="inlineStr">
        <is>
          <t>Eniripsa F 200</t>
        </is>
      </c>
      <c r="B7294">
        <f>HYPERLINK("https://www.dofusbook.net/fr/equipement/5094044-eniripsa-f-200/objets", "link")</f>
        <v/>
      </c>
      <c r="C7294" t="n">
        <v>0</v>
      </c>
      <c r="D7294" t="inlineStr">
        <is>
          <t>Arc de Koutoulou; Amulette de Shokkoth; Alliance Gloursonne; Anneau Volkorne; Cadran de Terre; Menoture; Casque Volkorne; Chevelure de Tal Kasha; Sandales de Tal Kasha; Dofus Pourpre; Dofus Ocre; Dofus Turquoise; Dofus Ivoire; Dofus Ébène; Dofus Abyssal; Muldo Indigo et Orchidée</t>
        </is>
      </c>
    </row>
    <row r="7295">
      <c r="A7295" t="inlineStr">
        <is>
          <t>Iop M 200</t>
        </is>
      </c>
      <c r="B7295">
        <f>HYPERLINK("https://www.dofusbook.net/fr/equipement/5078908-iop-m-200/objets", "link")</f>
        <v/>
      </c>
      <c r="C7295" t="n">
        <v>3</v>
      </c>
      <c r="D7295" t="inlineStr">
        <is>
          <t>Arc de Koutoulou; Amulette du Strigide; Alliance Gloursonne; Anneau Volkorne; Quatre-feuilles; Ceinture du Strigide; Casque Volkorne; Chevelure de Tal Kasha; Sandales de Tal Kasha; Dofus Ébène; Dofus Ocre; Dofus Pourpre; Dofus Turquoise; Dofus Ivoire; Dofus Vulbis; Volkorne Saphir et Emeraude</t>
        </is>
      </c>
    </row>
    <row r="7296">
      <c r="A7296" t="inlineStr">
        <is>
          <t>Iop M 200</t>
        </is>
      </c>
      <c r="B7296">
        <f>HYPERLINK("https://www.dofusbook.net/fr/equipement/5078877-iop-m-200/objets", "link")</f>
        <v/>
      </c>
      <c r="C7296" t="n">
        <v>1</v>
      </c>
      <c r="D7296" t="inlineStr">
        <is>
          <t>Couteaux Sacrificiels; Amulette Volkorne; Alliance Gloursonne; Anneau Volkorne; Cadran d'Eau; Ceinture de Vortex; Heaume Oplate; Cape Paztek; Pataugastrique; Dokoko; Dofus Émeraude; Dofus Pourpre; Dofus Ivoire; Dofus Vulbis; Dofus Ébène; Dragodinde Ivoire et Orchidée</t>
        </is>
      </c>
    </row>
    <row r="7297">
      <c r="A7297" t="inlineStr">
        <is>
          <t>Zobal F 200</t>
        </is>
      </c>
      <c r="B7297">
        <f>HYPERLINK("https://www.dofusbook.net/fr/equipement/5078818-zobal-f-200/objets", "link")</f>
        <v/>
      </c>
      <c r="C7297" t="n">
        <v>2</v>
      </c>
      <c r="D7297" t="inlineStr">
        <is>
          <t>Couteaux Sacrificiels; Amulette Volkorne; Alliance Gloursonne; Anneau Volkorne; Cadran d'Eau; Poulpagne; Masque Paztek; Cape Paztek; Sandales Paztek; Dofus Ivoire; Dofus Ébène; Dofus Abyssal; Dofus des Glaces; Dofus Pourpre; Dofus Émeraude; Volkorne Jade et Améthyste</t>
        </is>
      </c>
    </row>
    <row r="7298">
      <c r="A7298" t="inlineStr">
        <is>
          <t>Steamer M 200</t>
        </is>
      </c>
      <c r="B7298">
        <f>HYPERLINK("https://www.dofusbook.net/fr/equipement/5078793-steamer-m-200/objets", "link")</f>
        <v/>
      </c>
      <c r="C7298" t="n">
        <v>1</v>
      </c>
      <c r="D7298" t="inlineStr">
        <is>
          <t>Plumeau Bil; Amulette Séculaire; Anneauræus; Anneau de Nidas; Cadran d'Air; Ceinture Séculaire; Coiffe Séculaire; Voile d'encre; Tongues de Nidas; Dofus des Glaces; Dofus Ivoire; Dofus Pourpre; Dofus Ébène; Dofus Ocre; Dofus Abyssal; Muldo Ebène et Orchidée</t>
        </is>
      </c>
    </row>
    <row r="7299">
      <c r="A7299" t="inlineStr">
        <is>
          <t>Sram F 200</t>
        </is>
      </c>
      <c r="B7299">
        <f>HYPERLINK("https://www.dofusbook.net/fr/equipement/5078763-sram-f-200/objets", "link")</f>
        <v/>
      </c>
      <c r="C7299" t="n">
        <v>1</v>
      </c>
      <c r="D7299" t="inlineStr">
        <is>
          <t>Hache Ériphe; Amulette du Kamasterisk; Anneau des égarés; Alliance Gloursonne; Cadran d'Eau; Ceinture Volkorne; Casque Volkorne; Cape au Logis; Baleinabottes; Dofus Ébène; Dofus Émeraude; Dofus Abyssal; Dofus des Glaces; Dofus Ivoire; Dofus Pourpre; Volkorne Jade</t>
        </is>
      </c>
    </row>
    <row r="7300">
      <c r="A7300" t="inlineStr">
        <is>
          <t>Féca F 200</t>
        </is>
      </c>
      <c r="B7300">
        <f>HYPERLINK("https://www.dofusbook.net/fr/equipement/5078732-feca-f-200/objets", "link")</f>
        <v/>
      </c>
      <c r="C7300" t="n">
        <v>1</v>
      </c>
      <c r="D7300" t="inlineStr">
        <is>
          <t>Arc Ontanporin; Amulette de Shokkoth; Alliance Gloursonne; Anneau Volkorne; Cadran de Terre; Culotte de Bethel; Kidibonnet; Cape Solution; Chaussons de Macrab; Dofus Ivoire; Dofus Ébène; Dofus Pourpre; Dofus Abyssal; Étourdisseur majeur; Chanceux majeur; Muldo Ebène et Indigo</t>
        </is>
      </c>
    </row>
    <row r="7301">
      <c r="A7301" t="inlineStr">
        <is>
          <t>Iop M 200</t>
        </is>
      </c>
      <c r="B7301">
        <f>HYPERLINK("https://www.dofusbook.net/fr/equipement/5078706-iop-m-200/objets", "link")</f>
        <v/>
      </c>
      <c r="C7301" t="n">
        <v>3</v>
      </c>
      <c r="D7301" t="inlineStr">
        <is>
          <t>Arc du Chalœil; Amulette du Cœur Vaillant; Anneau Chevelu; Bague Trithon; Bouclier précieux; Ceinture Gence; Masque Trithon; Cape du Cœur Vaillant; Bottes du Cœur Vaillant; Dofus Ébène; Dofus Ivoire; Dofus Abyssal; Dofus Turquoise; Dofus Émeraude; Bousculeur majeur; Muldo Ebène et Pourpre</t>
        </is>
      </c>
    </row>
    <row r="7302">
      <c r="A7302" t="inlineStr">
        <is>
          <t>Enutrof M 200</t>
        </is>
      </c>
      <c r="B7302">
        <f>HYPERLINK("https://www.dofusbook.net/fr/equipement/5078661-enutrof-m-200/objets", "link")</f>
        <v/>
      </c>
      <c r="C7302" t="n">
        <v>1</v>
      </c>
      <c r="D7302" t="inlineStr">
        <is>
          <t>Baguette Hique; Amulette de Shokkoth; Alliance Gloursonne; Anneau Volkorne; Quatre-feuilles; Poulpagne; Kidibonnet; Cape de la Dame du Hasard; Bottes de la Dame du Hasard; Dofus Turquoise; Dofus Ébène; Dofus Ivoire; Dofus Pourpre; Dofus Vulbis; Chanceux majeur; Dragodinde Indigo et Ivoire</t>
        </is>
      </c>
    </row>
    <row r="7303">
      <c r="A7303" t="inlineStr">
        <is>
          <t>Zobal F 200</t>
        </is>
      </c>
      <c r="B7303">
        <f>HYPERLINK("https://www.dofusbook.net/fr/equipement/5078630-zobal-f-200/objets", "link")</f>
        <v/>
      </c>
      <c r="C7303" t="n">
        <v>1</v>
      </c>
      <c r="D7303" t="inlineStr">
        <is>
          <t>Lav'Hache; Amulette du Cœur Saignant; Anneau Crustique; Anneau Crustique; Cadran de Terre; Ceinture des Chocomanciens; Masque de Koutoulou; Cape du Cœur Saignant; Sabots Minables; Dofus Ébène; Dofus Pourpre; Dofus Abyssal; Dofus Ivoire; Temporiseur majeur; Enragé majeur; Muldo Pourpre</t>
        </is>
      </c>
    </row>
    <row r="7304">
      <c r="A7304" t="inlineStr">
        <is>
          <t>Iop M 200</t>
        </is>
      </c>
      <c r="B7304">
        <f>HYPERLINK("https://www.dofusbook.net/fr/equipement/5078595-iop-m-200/objets", "link")</f>
        <v/>
      </c>
      <c r="C7304" t="n">
        <v>1</v>
      </c>
      <c r="D7304" t="inlineStr">
        <is>
          <t>Lance Horselé; Amulette Volkorne; Anneau de Padgref; Alliance Gloursonne; Quatre-feuilles; Menoture; Casque Volkorne; Voile d'encre; Sabots de Vortex; Dofus Pourpre; Dofus Ocre; Dofus Ébène; Dofus Ivoire; Dofus Turquoise; Dofus Abyssal; Muldo Ebène et Pourpre</t>
        </is>
      </c>
    </row>
    <row r="7305">
      <c r="A7305" t="inlineStr">
        <is>
          <t>Eliotrope F 200</t>
        </is>
      </c>
      <c r="B7305">
        <f>HYPERLINK("https://www.dofusbook.net/fr/equipement/5078548-eliotrope-f-200/objets", "link")</f>
        <v/>
      </c>
      <c r="C7305" t="n">
        <v>0</v>
      </c>
      <c r="D7305" t="inlineStr">
        <is>
          <t>Manthache; Collier du Valet Veinard; Gant du Valet Veinard; Alliance Gloursonne; Cadran d'Air; Menoture; Masque de Kao; Cape Indescriptible; Palmes Trithons; Dofus Ébène; Dofus Pourpre; Dofus Abyssal; Dofus Cawotte; Dofus Ivoire; Cascadeur majeur; Volkorne Améthyste</t>
        </is>
      </c>
    </row>
    <row r="7306">
      <c r="A7306" t="inlineStr">
        <is>
          <t>Iop F 200</t>
        </is>
      </c>
      <c r="B7306">
        <f>HYPERLINK("https://www.dofusbook.net/fr/equipement/5061941-iop-f-200/objets", "link")</f>
        <v/>
      </c>
      <c r="C7306" t="n">
        <v>1</v>
      </c>
      <c r="D7306" t="inlineStr">
        <is>
          <t>Arc corrompu; Amulette Séculaire; Anneauræus; Anneauræus; Quatre-feuilles; Ceinture Séculaire; Heaume Oplate; Voile d'encre; Getas de Padgref; Dofus Ocre; Dofus Pourpre; Dofus Ivoire; Dofus Turquoise; Dofus Ébène; Érudit majeur; Muldo Prune et Pourpre</t>
        </is>
      </c>
    </row>
    <row r="7307">
      <c r="A7307" t="inlineStr">
        <is>
          <t>Steamer M 200</t>
        </is>
      </c>
      <c r="B7307">
        <f>HYPERLINK("https://www.dofusbook.net/fr/equipement/5061915-steamer-m-200/objets", "link")</f>
        <v/>
      </c>
      <c r="C7307" t="n">
        <v>1</v>
      </c>
      <c r="D7307" t="inlineStr">
        <is>
          <t>Hache du Chalœil; Amulette Volkorne; Bague Trithon; Anneau Volkorne; Quatre-feuilles; Ceinture Volkorne; Casque du Chalœil; Cape du Chalœil; Bottes du Chalœil; Dofus Pourpre; Dofus Ivoire; Dofus Turquoise; Dofus Ébène; Dofus des Glaces; Dofus Ocre; Kokulte</t>
        </is>
      </c>
    </row>
    <row r="7308">
      <c r="A7308" t="inlineStr">
        <is>
          <t>Enutrof F 200</t>
        </is>
      </c>
      <c r="B7308">
        <f>HYPERLINK("https://www.dofusbook.net/fr/equipement/5061882-enutrof-f-200/objets", "link")</f>
        <v/>
      </c>
      <c r="C7308" t="n">
        <v>1</v>
      </c>
      <c r="D7308" t="inlineStr">
        <is>
          <t>Arc Hétype; Pendentif affamé; Anneau de Nidas; Anneauræus; Cadran de Feu; Ceinture Séculaire; Coiffe Séculaire; Voile d'encre; Pataugastrique; Dofus Ocre; Dofus Ivoire; Dolmanax; Dofus Abyssal; Érudit majeur; Déserteur majeur; Muldo Orchidée et Amande</t>
        </is>
      </c>
    </row>
    <row r="7309">
      <c r="A7309" t="inlineStr">
        <is>
          <t>Huppermage F 200</t>
        </is>
      </c>
      <c r="B7309">
        <f>HYPERLINK("https://www.dofusbook.net/fr/equipement/4306849-huppermage-f-200/objets", "link")</f>
        <v/>
      </c>
      <c r="C7309" t="n">
        <v>2</v>
      </c>
      <c r="D7309" t="inlineStr">
        <is>
          <t>Épée Brûlâme; Amulette Volkorne; Alliance Gloursonne; Anneau Volkorne; Cadran d'Eau; Ceintrigue; Kidibonnet; Cape de la Dame du Hasard; Bottes de la Dame du Hasard; Dofus Turquoise; Dofus Ivoire; Dofus Ocre; Dofus Ébène; Dofus Pourpre; Dofus Abyssal; Muldo Prune et Ebène</t>
        </is>
      </c>
    </row>
    <row r="7310">
      <c r="A7310" t="inlineStr">
        <is>
          <t>Eliotrope F 200</t>
        </is>
      </c>
      <c r="B7310">
        <f>HYPERLINK("https://www.dofusbook.net/fr/equipement/5061847-eliotrope-f-200/objets", "link")</f>
        <v/>
      </c>
      <c r="C7310" t="n">
        <v>2</v>
      </c>
      <c r="D7310" t="inlineStr">
        <is>
          <t>Épée Brûlâme; Amulette Volkorne; Alliance Gloursonne; Anneau Volkorne; Cadran d'Eau; Ceintrigue; Kidibonnet; Cape de la Dame du Hasard; Bottes de la Dame du Hasard; Dofus Turquoise; Dofus Ivoire; Dofus Ocre; Dofus Ébène; Dofus Pourpre; Dofus Abyssal; Muldo Prune et Ebène</t>
        </is>
      </c>
    </row>
    <row r="7311">
      <c r="A7311" t="inlineStr">
        <is>
          <t>Steamer M 200</t>
        </is>
      </c>
      <c r="B7311">
        <f>HYPERLINK("https://www.dofusbook.net/fr/equipement/5061810-steamer-m-200/objets", "link")</f>
        <v/>
      </c>
      <c r="C7311" t="n">
        <v>1</v>
      </c>
      <c r="D7311" t="inlineStr">
        <is>
          <t>Arc corrompu; Pendentif mignon de Koutoulou; Anneau Rifique; Anneauræus; Bouclier du Stalak; Ceinture de Gein; Heaume Oplate; Voile d'encre; Bottes Innommables; Dofus Ivoire; Dofus Pourpre; Dofus Abyssal; Dofus Ocre; Dofus Ébène; Érudit majeur; Muldo Orchidée et Pourpre</t>
        </is>
      </c>
    </row>
    <row r="7312">
      <c r="A7312" t="inlineStr">
        <is>
          <t>Xélor M 200</t>
        </is>
      </c>
      <c r="B7312">
        <f>HYPERLINK("https://www.dofusbook.net/fr/equipement/5061781-xelor-m-200/objets", "link")</f>
        <v/>
      </c>
      <c r="C7312" t="n">
        <v>1</v>
      </c>
      <c r="D7312" t="inlineStr">
        <is>
          <t>Lance Horselé; Amulette de Pol Ouatnos; Alliance Gloursonne; Anneau Volkorne; Cadran de Terre; Menoture; Casque Volkorne; Chevelure de Tal Kasha; Chaussons de Macrab; Dofus Pourpre; Dofus Abyssal; Dofus Turquoise; Dofus Ébène; Dofus Ivoire; Étourdisseur majeur; Volkorne Améthyste et Ivoire</t>
        </is>
      </c>
    </row>
    <row r="7313">
      <c r="A7313" t="inlineStr">
        <is>
          <t>Crâ M 200</t>
        </is>
      </c>
      <c r="B7313">
        <f>HYPERLINK("https://www.dofusbook.net/fr/equipement/5004475-cra-m-200/objets", "link")</f>
        <v/>
      </c>
      <c r="C7313" t="n">
        <v>1</v>
      </c>
      <c r="D7313" t="inlineStr"/>
    </row>
    <row r="7314">
      <c r="A7314" t="inlineStr">
        <is>
          <t>Féca F 200</t>
        </is>
      </c>
      <c r="B7314">
        <f>HYPERLINK("https://www.dofusbook.net/fr/equipement/5004608-feca-f-200/objets", "link")</f>
        <v/>
      </c>
      <c r="C7314" t="n">
        <v>0</v>
      </c>
      <c r="D7314" t="inlineStr">
        <is>
          <t>Epée Toche; Amulette Volcanique; Anneau Crustique; Anneau Crustique; Bouclier des Chocomanciens; Ceinture des Chocomanciens; Masque de Koutoulou; Voile d'encre; Tentassons; Dofus Ivoire; Dofus Ocre; Dofus Ébène; Dofus Pourpre; Dofus Abyssal; Étourdisseur majeur; Muldo Orchidée et Pourpre</t>
        </is>
      </c>
    </row>
    <row r="7315">
      <c r="A7315" t="inlineStr">
        <is>
          <t>Enutrof M 200</t>
        </is>
      </c>
      <c r="B7315">
        <f>HYPERLINK("https://www.dofusbook.net/fr/equipement/5004561-enutrof-m-200/objets", "link")</f>
        <v/>
      </c>
      <c r="C7315" t="n">
        <v>1</v>
      </c>
      <c r="D7315" t="inlineStr"/>
    </row>
    <row r="7316">
      <c r="A7316" t="inlineStr">
        <is>
          <t>Zobal M 200</t>
        </is>
      </c>
      <c r="B7316">
        <f>HYPERLINK("https://www.dofusbook.net/fr/equipement/4935632-zobal-m-200/objets", "link")</f>
        <v/>
      </c>
      <c r="C7316" t="n">
        <v>1</v>
      </c>
      <c r="D7316" t="inlineStr"/>
    </row>
    <row r="7317">
      <c r="A7317" t="inlineStr">
        <is>
          <t>Sacrieur F 200</t>
        </is>
      </c>
      <c r="B7317">
        <f>HYPERLINK("https://www.dofusbook.net/fr/equipement/4935567-sacrieur-f-200/objets", "link")</f>
        <v/>
      </c>
      <c r="C7317" t="n">
        <v>1</v>
      </c>
      <c r="D7317" t="inlineStr">
        <is>
          <t>Couteaux Sacrificiels; Amulette Volkorne; Alliance Gloursonne; Anneau Volkorne; Cadran d'Eau; Poulpagne; Casqnoar; Cape Paztek; Pataugastrique; Dofus Émeraude; Dofus Ébène; Dofus Pourpre; Dofus Abyssal; Dofus Ivoire; Vigoureux majeur; Muldo Ebène et Ivoire</t>
        </is>
      </c>
    </row>
    <row r="7318">
      <c r="A7318" t="inlineStr">
        <is>
          <t>Ouginak M 200</t>
        </is>
      </c>
      <c r="B7318">
        <f>HYPERLINK("https://www.dofusbook.net/fr/equipement/4935527-ouginak-m-200/objets", "link")</f>
        <v/>
      </c>
      <c r="C7318" t="n">
        <v>2</v>
      </c>
      <c r="D7318" t="inlineStr">
        <is>
          <t>Spatule Tranche-Gourmands; Amulette du Strigide; Anneau des égarés; Anneau Chevelu; Cadran d'Eau; Ceinture Volkorne; Casque Volkorne; Cape au Logis; Baleinabottes; Dofus Émeraude; Dofus Ivoire; Dofus Pourpre; Dofus Ébène; Dofus Turquoise; Dofus Abyssal; Volkorne Rubis et Améthyste</t>
        </is>
      </c>
    </row>
    <row r="7319">
      <c r="A7319" t="inlineStr">
        <is>
          <t>Ecaflip F 200</t>
        </is>
      </c>
      <c r="B7319">
        <f>HYPERLINK("https://www.dofusbook.net/fr/equipement/4831663-ecaflip-f-200/objets", "link")</f>
        <v/>
      </c>
      <c r="C7319" t="n">
        <v>1</v>
      </c>
      <c r="D7319" t="inlineStr">
        <is>
          <t>Dagoulinantes; Amulette de Shokkoth; Anneau Volkorne; Bracelet des Fonds marins; Bouclier du Stalak; Sangle Ouare; Kidibonnet; Cape Solution; Sandales des Fonds marins; Dolmanax; Dofus Ivoire; Dofus Pourpre; Dofus Ébène; Dofus Abyssal; Chanceux majeur; Dragodinde Indigo et Ivoire</t>
        </is>
      </c>
    </row>
    <row r="7320">
      <c r="A7320" t="inlineStr">
        <is>
          <t>Enutrof M 200</t>
        </is>
      </c>
      <c r="B7320">
        <f>HYPERLINK("https://www.dofusbook.net/fr/equipement/4831631-enutrof-m-200/objets", "link")</f>
        <v/>
      </c>
      <c r="C7320" t="n">
        <v>1</v>
      </c>
      <c r="D7320" t="inlineStr">
        <is>
          <t>Lance Horselé; Amibou; Anneau Toriété; Alliance Gloursonne; Cadran de Terre; Menoture; Couronne d'Allister; Chevelure de Tal Kasha; Sandales de Tal Kasha; Dofus Abyssal; Dofus Ivoire; Dofus Turquoise; Dofus Ébène; Cascadeur majeur; Étourdisseur majeur; Volkorne Améthyste et Ivoire</t>
        </is>
      </c>
    </row>
    <row r="7321">
      <c r="A7321" t="inlineStr">
        <is>
          <t>Steamer M 200</t>
        </is>
      </c>
      <c r="B7321">
        <f>HYPERLINK("https://www.dofusbook.net/fr/equipement/4831604-steamer-m-200/objets", "link")</f>
        <v/>
      </c>
      <c r="C7321" t="n">
        <v>1</v>
      </c>
      <c r="D7321" t="inlineStr">
        <is>
          <t>Arc corrompu; Amulette Volkorne; Anneau de Pol Ouatnos; Anneauræus; Bouclier du Stalak; Ceinture Volkorne; Heaume Oplate; Voile d'encre; Bottes Innommables; Dofus Abyssal; Dolmanax; Dofus Ivoire; Dofus Ébène; Dofus Ocre; Érudit majeur; Dragodinde Ivoire et Orchidée</t>
        </is>
      </c>
    </row>
    <row r="7322">
      <c r="A7322" t="inlineStr">
        <is>
          <t>Ouginak F 200</t>
        </is>
      </c>
      <c r="B7322">
        <f>HYPERLINK("https://www.dofusbook.net/fr/equipement/4831555-ouginak-f-200/objets", "link")</f>
        <v/>
      </c>
      <c r="C7322" t="n">
        <v>1</v>
      </c>
      <c r="D7322" t="inlineStr">
        <is>
          <t>Karnak; Collier du Valet Veinard; Gant du Valet Veinard; Alliance Gloursonne; Bouclier d'Ilyzaelle; Menoture; Couronne d'Allister; Cape Indescriptible; Palmes Trithons; Dofus Ocre; Dofus Ébène; Dofus Abyssal; Dofus Pourpre; Dofus Ivoire; Cascadeur majeur; Dragodinde Ebène et Ivoire</t>
        </is>
      </c>
    </row>
    <row r="7323">
      <c r="A7323" t="inlineStr">
        <is>
          <t>Xélor M 200</t>
        </is>
      </c>
      <c r="B7323">
        <f>HYPERLINK("https://www.dofusbook.net/fr/equipement/4831523-xelor-m-200/objets", "link")</f>
        <v/>
      </c>
      <c r="C7323" t="n">
        <v>1</v>
      </c>
      <c r="D7323" t="inlineStr">
        <is>
          <t>Dagoulinantes; Amulette de Shokkoth; Alliance Gloursonne; Anneau de Pol Ouatnos; Sept ans de malheur; Culotte de Bethel; Masque de Funespadon; Chevelure de Tal Kasha; Pataugastrique; Dofus Abyssal; Dofus Émeraude; Dofus Ivoire; Dofus des Glaces; Étourdisseur majeur; Paralyseur majeur; Volkorne Jade et Ivoire</t>
        </is>
      </c>
    </row>
    <row r="7324">
      <c r="A7324" t="inlineStr">
        <is>
          <t>Sram F 200</t>
        </is>
      </c>
      <c r="B7324">
        <f>HYPERLINK("https://www.dofusbook.net/fr/equipement/4831495-sram-f-200/objets", "link")</f>
        <v/>
      </c>
      <c r="C7324" t="n">
        <v>2</v>
      </c>
      <c r="D7324" t="inlineStr">
        <is>
          <t>Epée Toche; Amulette Volkorne; Chevalière du Roi Joueur; Anneau Chevelu; Bouclier du Stalak; Ceinture Volkorne; Couronne du Roi Joueur; Voile d'encre; Bottes du Roi Joueur; Dolmanax; Dofus Ocre; Dofus Vulbis; Dofus Abyssal; Dofus Pourpre; Dofus Ivoire; Dragodinde Ivoire et Pourpre</t>
        </is>
      </c>
    </row>
    <row r="7325">
      <c r="A7325" t="inlineStr">
        <is>
          <t>Crâ F 200</t>
        </is>
      </c>
      <c r="B7325">
        <f>HYPERLINK("https://www.dofusbook.net/fr/equipement/4831458-cra-f-200/objets", "link")</f>
        <v/>
      </c>
      <c r="C7325" t="n">
        <v>1</v>
      </c>
      <c r="D7325" t="inlineStr">
        <is>
          <t>Pelle de Nidas; Amulette des Chocomanciens; Alliance Gloursonne; Anneau Volkorne; Cadran de Terre; Ceinture des Chocomanciens; Casque Volkorne; Cape d'Atcham; Pataugastrique; Dofus des Glaces; Dofus Abyssal; Dofus Pourpre; Dofus Ivoire; Dofus Ébène; Dofus Vulbis; Volkorne Ivoire et Turquoise</t>
        </is>
      </c>
    </row>
    <row r="7326">
      <c r="A7326" t="inlineStr">
        <is>
          <t>Enutrof M 200</t>
        </is>
      </c>
      <c r="B7326">
        <f>HYPERLINK("https://www.dofusbook.net/fr/equipement/4831417-enutrof-m-200/objets", "link")</f>
        <v/>
      </c>
      <c r="C7326" t="n">
        <v>0</v>
      </c>
      <c r="D7326" t="inlineStr">
        <is>
          <t>Arc corrompu; Amulette Volkorne; Anneau Rifique; Anneauræus; Cadran de Terre; Menoture; Casque Volkorne; Voile d'encre; Sabots de Vortex; Dolmanax; Dofus Ocre; Dofus Pourpre; Dofus Abyssal; Dofus des Glaces; Dofus Ivoire; Chachyène</t>
        </is>
      </c>
    </row>
    <row r="7327">
      <c r="A7327" t="inlineStr">
        <is>
          <t>Zobal M 200</t>
        </is>
      </c>
      <c r="B7327">
        <f>HYPERLINK("https://www.dofusbook.net/fr/equipement/4831386-zobal-m-200/objets", "link")</f>
        <v/>
      </c>
      <c r="C7327" t="n">
        <v>1</v>
      </c>
      <c r="D7327" t="inlineStr">
        <is>
          <t>Masse Ossiale; Amulette Luminescente; Anneau Volkorne; Alliance Gloursonne; Bouclier précieux; Sangle Ouare; Masque Paztek; Cape Solution; Sandales Paztek; Dofus Ivoire; Dofus Abyssal; Dofus Émeraude; Dofus Ocre; Bousculeur majeur; Culbuteur majeur; Tatouf</t>
        </is>
      </c>
    </row>
    <row r="7328">
      <c r="A7328" t="inlineStr">
        <is>
          <t>Ecaflip F 200</t>
        </is>
      </c>
      <c r="B7328">
        <f>HYPERLINK("https://www.dofusbook.net/fr/equipement/4831356-ecaflip-f-200/objets", "link")</f>
        <v/>
      </c>
      <c r="C7328" t="n">
        <v>1</v>
      </c>
      <c r="D7328" t="inlineStr">
        <is>
          <t>Héqache; Amulette Luminescente; Anneau de Pol Ouatnos; Bague Trithon; Bouclier précieux; Ceinture Gence; Masque de Koutoulou; Cape du Cœur Vaillant; Bottes Trithon; Dofus Abyssal; Dofus Émeraude; Dofus Ivoire; Dofus Turquoise; Culbuteur majeur; Bousculeur majeur; Tatouf</t>
        </is>
      </c>
    </row>
    <row r="7329">
      <c r="A7329" t="inlineStr">
        <is>
          <t>Crâ M 200</t>
        </is>
      </c>
      <c r="B7329">
        <f>HYPERLINK("https://www.dofusbook.net/fr/equipement/4831321-cra-m-200/objets", "link")</f>
        <v/>
      </c>
      <c r="C7329" t="n">
        <v>1</v>
      </c>
      <c r="D7329" t="inlineStr">
        <is>
          <t>Baguette Range; Amulette Volkorne; Alliance Brûlâme; Anneau Rifique; Bouclier du Stalak; Menoture; Casque Volkorne; Cape Martegel; Sabots de Vortex; Dofus Ébène; Dofus des Glaces; Dofus Pourpre; Dofus Abyssal; Dofus Ocre; Dofus Ivoire; Muldo Orchidée</t>
        </is>
      </c>
    </row>
    <row r="7330">
      <c r="A7330" t="inlineStr">
        <is>
          <t>Steamer M 200</t>
        </is>
      </c>
      <c r="B7330">
        <f>HYPERLINK("https://www.dofusbook.net/fr/equipement/4831279-steamer-m-200/objets", "link")</f>
        <v/>
      </c>
      <c r="C7330" t="n">
        <v>1</v>
      </c>
      <c r="D7330" t="inlineStr">
        <is>
          <t>Bâthon; Amulette Volkorne; Bague Gloursonne; Alliance Brûlâme; Bouclier du Stalak; Ceinture Volkorne; Masque Brûlâme; Voile d'encre; Pompes Funèbres; Dofus Pourpre; Dofus Abyssal; Dofus des Glaces; Dofus Ivoire; Dofus Ébène; Dofus Ocre; Muldo Orchidée et Pourpre</t>
        </is>
      </c>
    </row>
    <row r="7331">
      <c r="A7331" t="inlineStr">
        <is>
          <t>Iop M 200</t>
        </is>
      </c>
      <c r="B7331">
        <f>HYPERLINK("https://www.dofusbook.net/fr/equipement/4758188-iop-m-200/objets", "link")</f>
        <v/>
      </c>
      <c r="C7331" t="n">
        <v>1</v>
      </c>
      <c r="D7331" t="inlineStr">
        <is>
          <t>Hache Ériphe; Amulette du Strigide; Alliance Gloursonne; Anneau des égarés; Cadran d'Eau; Ceinture Volkorne; Casque Volkorne; Cape au Logis; Baleinabottes; Dofus Émeraude; Dofus Ocre; Dofus Turquoise; Dofus Abyssal; Dofus Pourpre; Dofus Ivoire; Kramkram</t>
        </is>
      </c>
    </row>
    <row r="7332">
      <c r="A7332" t="inlineStr">
        <is>
          <t>Zobal M 200</t>
        </is>
      </c>
      <c r="B7332">
        <f>HYPERLINK("https://www.dofusbook.net/fr/equipement/4758111-zobal-m-200/objets", "link")</f>
        <v/>
      </c>
      <c r="C7332" t="n">
        <v>0</v>
      </c>
      <c r="D7332" t="inlineStr">
        <is>
          <t>Masse Ossiale; Amulette Luminescente; Alliance Gloursonne; Bague Trithon; Bouclier précieux; Sangle Ouare; Masque Paztek; Cape Solution; Sandales Paztek; Dofus Abyssal; Dofus Émeraude; Dofus Ivoire; Dofus Ocre; Culbuteur majeur; Bousculeur majeur; Écumouth</t>
        </is>
      </c>
    </row>
    <row r="7333">
      <c r="A7333" t="inlineStr">
        <is>
          <t>Steamer M 200</t>
        </is>
      </c>
      <c r="B7333">
        <f>HYPERLINK("https://www.dofusbook.net/fr/equipement/4758087-steamer-m-200/objets", "link")</f>
        <v/>
      </c>
      <c r="C7333" t="n">
        <v>0</v>
      </c>
      <c r="D7333" t="inlineStr">
        <is>
          <t>Arc Nécrotique; Amulette Volkorne; Anneau Volkorne; Alliance Gloursonne; Quatre-feuilles; Pagne du Rykaon; Kidibonnet; Cape de la Dame du Hasard; Bottes de la Dame du Hasard; Dofus des Glaces; Dofus Ocre; Dofus Turquoise; Dofus Abyssal; Dofus Pourpre; Dofus Ivoire; Muldo Ebène et Indigo</t>
        </is>
      </c>
    </row>
    <row r="7334">
      <c r="A7334" t="inlineStr">
        <is>
          <t>Steamer M 200</t>
        </is>
      </c>
      <c r="B7334">
        <f>HYPERLINK("https://www.dofusbook.net/fr/equipement/4735438-steamer-m-200/objets", "link")</f>
        <v/>
      </c>
      <c r="C7334" t="n">
        <v>0</v>
      </c>
      <c r="D7334" t="inlineStr"/>
    </row>
    <row r="7335">
      <c r="A7335" t="inlineStr">
        <is>
          <t>Féca F 200</t>
        </is>
      </c>
      <c r="B7335">
        <f>HYPERLINK("https://www.dofusbook.net/fr/equipement/4735377-feca-f-200/objets", "link")</f>
        <v/>
      </c>
      <c r="C7335" t="n">
        <v>0</v>
      </c>
      <c r="D7335" t="inlineStr">
        <is>
          <t>Arc Ontanporin; Amulette de Shokkoth; Alliance Gloursonne; Anneau Volkorne; Quatre-feuilles; Sangle Ouare; Kidibonnet; Cape de la Dame du Hasard; Bottes de la Dame du Hasard; Dofus Pourpre; Dofus Abyssal; Dofus Turquoise; Dofus Ivoire; Miraculé majeur; Chanceux majeur; Volkorne Rubis</t>
        </is>
      </c>
    </row>
    <row r="7336">
      <c r="A7336" t="inlineStr">
        <is>
          <t>Sram F 200</t>
        </is>
      </c>
      <c r="B7336">
        <f>HYPERLINK("https://www.dofusbook.net/fr/equipement/4735349-sram-f-200/objets", "link")</f>
        <v/>
      </c>
      <c r="C7336" t="n">
        <v>0</v>
      </c>
      <c r="D7336" t="inlineStr">
        <is>
          <t>Héqache; Amulette du Kamasterisk; Alliance Gloursonne; Anneau des égarés; Bouclier d'Ilyzaelle; Ceinture Volkorne; Casque Volkorne; Cape du Kamasterisk; Bottes du Kamasterisk; Dofus des Glaces; Dofus Ocre; Dofus Émeraude; Dofus Abyssal; Dofus Pourpre; Dofus Ivoire; Muldo Ebène et Pourpre</t>
        </is>
      </c>
    </row>
    <row r="7337">
      <c r="A7337" t="inlineStr">
        <is>
          <t>Iop M 200</t>
        </is>
      </c>
      <c r="B7337">
        <f>HYPERLINK("https://www.dofusbook.net/fr/equipement/4735311-iop-m-200/objets", "link")</f>
        <v/>
      </c>
      <c r="C7337" t="n">
        <v>2</v>
      </c>
      <c r="D7337" t="inlineStr">
        <is>
          <t>Héqache; Amulette Luminescente; Anneau de Pol Ouatnos; Bague Trithon; Bouclier précieux; Ceinture Gence; Masque de Koutoulou; Cape du Cœur Vaillant; Bottes Trithon; Dofus Abyssal; Dofus Ivoire; Dofus Émeraude; Bousculeur majeur; Culbuteur majeur; Miraculé majeur; Péki</t>
        </is>
      </c>
    </row>
    <row r="7338">
      <c r="A7338" t="inlineStr">
        <is>
          <t>Crâ M 200</t>
        </is>
      </c>
      <c r="B7338">
        <f>HYPERLINK("https://www.dofusbook.net/fr/equipement/4735289-cra-m-200/objets", "link")</f>
        <v/>
      </c>
      <c r="C7338" t="n">
        <v>0</v>
      </c>
      <c r="D7338" t="inlineStr">
        <is>
          <t>Arc Hétype; Pendentif affamé; Anneauræus; Anneau Rifique; Cadran de Terre; Ceinture de Vortex; Heaume Oplate; Voile d'encre; Sabots de Vortex; Dofus Ocre; Dofus Abyssal; Dolmanax; Dofus Ivoire; Érudit majeur; Étourdisseur majeur; Muldo Ebène et Orchidée</t>
        </is>
      </c>
    </row>
    <row r="7339">
      <c r="A7339" t="inlineStr">
        <is>
          <t>Steamer M 200</t>
        </is>
      </c>
      <c r="B7339">
        <f>HYPERLINK("https://www.dofusbook.net/fr/equipement/4735249-steamer-m-200/objets", "link")</f>
        <v/>
      </c>
      <c r="C7339" t="n">
        <v>1</v>
      </c>
      <c r="D7339" t="inlineStr">
        <is>
          <t>Hache du Chalœil; Amulette Volkorne; Alliance du Lévitrof; Anneau Volkorne; Quatre-feuilles; Ceinture Volkorne; Coiffe du Lévitrof; Voile d'encre; Bottes du Lévitrof; Dofus Pourpre; Dofus Abyssal; Dofus Turquoise; Dofus Ivoire; Dofus des Glaces; Dofus Ocre; Volkorne Jade et Emeraude</t>
        </is>
      </c>
    </row>
    <row r="7340">
      <c r="A7340" t="inlineStr">
        <is>
          <t>Sacrieur F 200</t>
        </is>
      </c>
      <c r="B7340">
        <f>HYPERLINK("https://www.dofusbook.net/fr/equipement/4735226-sacrieur-f-200/objets", "link")</f>
        <v/>
      </c>
      <c r="C7340" t="n">
        <v>1</v>
      </c>
      <c r="D7340" t="inlineStr">
        <is>
          <t>Arc corrompu; Amulette Volkorne; Anneauræus; Anneauræus; Bouclier du Stalak; Ceinture de Gein; Heaume Oplate; Voile d'encre; Bottes Innommables; Dofus Ocre; Dofus Abyssal; Dofus Pourpre; Dofus Ivoire; Miraculé majeur; Érudit majeur; Muldo Pourpre</t>
        </is>
      </c>
    </row>
    <row r="7341">
      <c r="A7341" t="inlineStr">
        <is>
          <t>Roublard M 200</t>
        </is>
      </c>
      <c r="B7341">
        <f>HYPERLINK("https://www.dofusbook.net/fr/equipement/4710808-roublard-m-200/objets", "link")</f>
        <v/>
      </c>
      <c r="C7341" t="n">
        <v>0</v>
      </c>
      <c r="D7341" t="inlineStr"/>
    </row>
    <row r="7342">
      <c r="A7342" t="inlineStr">
        <is>
          <t>Sadida F 200</t>
        </is>
      </c>
      <c r="B7342">
        <f>HYPERLINK("https://www.dofusbook.net/fr/equipement/4710790-sadida-f-200/objets", "link")</f>
        <v/>
      </c>
      <c r="C7342" t="n">
        <v>0</v>
      </c>
      <c r="D7342" t="inlineStr">
        <is>
          <t>Arc Nécrotique; Amulette Volkorne; Anneau de Nidas; Anneau Volkorne; Cadran d'Air; Ceinture de l'Esprit Salvateur; Masque de l'Esprit Salvateur; Cape de l'Œil Putride; Bottes de l'Esprit Salvateur; Dofus des Glaces; Dofus Abyssal; Dofus Pourpre; Dofus Ivoire; Dofus Vulbis; Dofus Ocre; Fëanor</t>
        </is>
      </c>
    </row>
    <row r="7343">
      <c r="A7343" t="inlineStr">
        <is>
          <t>Enutrof M 200</t>
        </is>
      </c>
      <c r="B7343">
        <f>HYPERLINK("https://www.dofusbook.net/fr/equipement/4710781-enutrof-m-200/objets", "link")</f>
        <v/>
      </c>
      <c r="C7343" t="n">
        <v>0</v>
      </c>
      <c r="D7343" t="inlineStr">
        <is>
          <t>Arc corrompu; Amulette Volkorne; Anneau Rifique; Anneauræus; Cadran de Terre; Menoture; Casque Volkorne; Voile d'encre; Sabots de Vortex; Dofus Ocre; Dofus Abyssal; Dofus Pourpre; Dofus Ivoire; Érudit majeur; Étourdisseur majeur; Muldo Orchidée et Amande</t>
        </is>
      </c>
    </row>
    <row r="7344">
      <c r="A7344" t="inlineStr">
        <is>
          <t>Crâ M 200</t>
        </is>
      </c>
      <c r="B7344">
        <f>HYPERLINK("https://www.dofusbook.net/fr/equipement/4710767-cra-m-200/objets", "link")</f>
        <v/>
      </c>
      <c r="C7344" t="n">
        <v>1</v>
      </c>
      <c r="D7344" t="inlineStr">
        <is>
          <t>Pelle de Nidas; Amulette de l'Œil Putride; Pikano; Anneau Volkorne; Cadran de Terre; Ceinture Volkorne; Casque Volkorne; Cape de l'Œil Putride; Pataugastrique; Dofus Pourpre; Dofus Abyssal; Dofus Turquoise; Dofus Ivoire; Dofus des Glaces; Dofus Ocre; Volkorne Ivoire et Turquoise</t>
        </is>
      </c>
    </row>
    <row r="7345">
      <c r="A7345" t="inlineStr">
        <is>
          <t>Ecaflip F 200</t>
        </is>
      </c>
      <c r="B7345">
        <f>HYPERLINK("https://www.dofusbook.net/fr/equipement/4710766-ecaflip-f-200/objets", "link")</f>
        <v/>
      </c>
      <c r="C7345" t="n">
        <v>0</v>
      </c>
      <c r="D7345" t="inlineStr"/>
    </row>
    <row r="7346">
      <c r="A7346" t="inlineStr">
        <is>
          <t>Xélor M 200</t>
        </is>
      </c>
      <c r="B7346">
        <f>HYPERLINK("https://www.dofusbook.net/fr/equipement/4669256-xelor-m-200/objets", "link")</f>
        <v/>
      </c>
      <c r="C7346" t="n">
        <v>0</v>
      </c>
      <c r="D7346" t="inlineStr"/>
    </row>
    <row r="7347">
      <c r="A7347" t="inlineStr">
        <is>
          <t>Iop M 200</t>
        </is>
      </c>
      <c r="B7347">
        <f>HYPERLINK("https://www.dofusbook.net/fr/equipement/4669229-iop-m-200/objets", "link")</f>
        <v/>
      </c>
      <c r="C7347" t="n">
        <v>2</v>
      </c>
      <c r="D7347" t="inlineStr">
        <is>
          <t>Arc du Chalœil; Collier de Tourthon; Anneau Volkorne; Anneau Chevelu; Quatre-feuilles; Ceinture Volkorne; Masque de Koutoulou; Cape au Logis; Baleinabottes; Dofus Pourpre; Dofus Ivoire; Dofus Turquoise; Dofus Abyssal; Carapace Terre majeur; Enragé majeur; Bulbisou</t>
        </is>
      </c>
    </row>
    <row r="7348">
      <c r="A7348" t="inlineStr">
        <is>
          <t>Enutrof M 200</t>
        </is>
      </c>
      <c r="B7348">
        <f>HYPERLINK("https://www.dofusbook.net/fr/equipement/4669196-enutrof-m-200/objets", "link")</f>
        <v/>
      </c>
      <c r="C7348" t="n">
        <v>0</v>
      </c>
      <c r="D7348" t="inlineStr">
        <is>
          <t>Arc corrompu; Amulette Séculaire; Anneau Rifique; Anneauræus; Cadran de Terre; Ceinture Séculaire; Coiffe Séculaire; Cape de la Dame du Hasard; Bottes de la Dame du Hasard; Dofus Turquoise; Dofus Abyssal; Dofus Pourpre; Dofus Ivoire; Dolmanax; Dofus Ocre; Muldo Orchidée</t>
        </is>
      </c>
    </row>
    <row r="7349">
      <c r="A7349" t="inlineStr">
        <is>
          <t>Sacrieur F 200</t>
        </is>
      </c>
      <c r="B7349">
        <f>HYPERLINK("https://www.dofusbook.net/fr/equipement/4669165-sacrieur-f-200/objets", "link")</f>
        <v/>
      </c>
      <c r="C7349" t="n">
        <v>0</v>
      </c>
      <c r="D7349" t="inlineStr">
        <is>
          <t>Karnak; Collier du Valet Veinard; Gant du Valet Veinard; Alliance Gloursonne; Bouclier d'Ilyzaelle; Menoture; Couronne d'Allister; Cape Matelassée; Palmes Trithons; Dofus Émeraude; Dofus Ivoire; Dofus Pourpre; Dofus Abyssal; Miraculé majeur; Cascadeur majeur; Dragodinde Ebène et Ivoire</t>
        </is>
      </c>
    </row>
    <row r="7350">
      <c r="A7350" t="inlineStr">
        <is>
          <t>Féca F 200</t>
        </is>
      </c>
      <c r="B7350">
        <f>HYPERLINK("https://www.dofusbook.net/fr/equipement/4669062-feca-f-200/objets", "link")</f>
        <v/>
      </c>
      <c r="C7350" t="n">
        <v>1</v>
      </c>
      <c r="D7350" t="inlineStr">
        <is>
          <t>Rapière aux Glyphes; Amulette du Sinistrofu; Alliance Gloursonne; Anneau Volkorne; Cadran d'Air; Pagne du Rykaon; Kidibonnet; Cape Solution; Bottes du Sinistrofu; Dofus Vulbis; Dofus Abyssal; Dofus Turquoise; Dofus Ivoire; Dofus Pourpre; Chanceux majeur; Dragodinde Indigo et Ivoire</t>
        </is>
      </c>
    </row>
    <row r="7351">
      <c r="A7351" t="inlineStr">
        <is>
          <t>Ouginak M 200</t>
        </is>
      </c>
      <c r="B7351">
        <f>HYPERLINK("https://www.dofusbook.net/fr/equipement/4649843-ouginak-m-200/objets", "link")</f>
        <v/>
      </c>
      <c r="C7351" t="n">
        <v>0</v>
      </c>
      <c r="D7351" t="inlineStr">
        <is>
          <t>Masse Ossiale; Torquistik; Bague Trithon; Alliance Gloursonne; Bouclier précieux; Sangle Ouare; Masque Paztek; Cape Solution; Sandales Paztek; Dofus Émeraude; Dofus Ivoire; Dofus Ocre; Dofus Abyssal; Bousculeur majeur; Culbuteur majeur; Tatouf</t>
        </is>
      </c>
    </row>
    <row r="7352">
      <c r="A7352" t="inlineStr">
        <is>
          <t>Sram M 200</t>
        </is>
      </c>
      <c r="B7352">
        <f>HYPERLINK("https://www.dofusbook.net/fr/equipement/4649808-sram-m-200/objets", "link")</f>
        <v/>
      </c>
      <c r="C7352" t="n">
        <v>0</v>
      </c>
      <c r="D7352" t="inlineStr">
        <is>
          <t>Epée Toche; Amulette Volkorne; Bague Gloursonne; Chevalière du Roi Joueur; Bouclier du Stalak; Ceinture Volkorne; Couronne du Roi Joueur; Voile d'encre; Bottes du Roi Joueur; Dofus Vulbis; Dofus Abyssal; Dofus Pourpre; Dofus Ivoire; Dofus des Glaces; Dofus Ocre; Kramkram</t>
        </is>
      </c>
    </row>
    <row r="7353">
      <c r="A7353" t="inlineStr">
        <is>
          <t>Enutrof M 200</t>
        </is>
      </c>
      <c r="B7353">
        <f>HYPERLINK("https://www.dofusbook.net/fr/equipement/4648427-enutrof-m-200/objets", "link")</f>
        <v/>
      </c>
      <c r="C7353" t="n">
        <v>0</v>
      </c>
      <c r="D7353" t="inlineStr">
        <is>
          <t>Arc corrompu; Amulette Volkorne; Anneau Rifique; Anneau de Nidas; Cadran de Terre; Menoture; Casque Volkorne; Voile d'encre; Sabots de Vortex; Dofus Pourpre; Dofus Ivoire; Dofus Ocre; Dofus Abyssal; Déserteur majeur; Étourdisseur majeur; Muldo Orchidée et Amande</t>
        </is>
      </c>
    </row>
    <row r="7354">
      <c r="A7354" t="inlineStr">
        <is>
          <t>Xélor M 200</t>
        </is>
      </c>
      <c r="B7354">
        <f>HYPERLINK("https://www.dofusbook.net/fr/equipement/4648410-xelor-m-200/objets", "link")</f>
        <v/>
      </c>
      <c r="C7354" t="n">
        <v>0</v>
      </c>
      <c r="D7354" t="inlineStr">
        <is>
          <t>Sabres d'Atcham; Amulette Volkorne; Alliance Gloursonne; Anneau Volkorne; Cadran de Terre; Menoture; Casque Volkorne; Cape d'Atcham; Sandales  d'Atcham; Dofus Pourpre; Dofus Abyssal; Dofus des Glaces; Dofus Ivoire; Dofus Turquoise; Paralyseur majeur; Kouin-Kouin Noir</t>
        </is>
      </c>
    </row>
    <row r="7355">
      <c r="A7355" t="inlineStr">
        <is>
          <t>Iop M 200</t>
        </is>
      </c>
      <c r="B7355">
        <f>HYPERLINK("https://www.dofusbook.net/fr/equipement/4606532-iop-m-200/objets", "link")</f>
        <v/>
      </c>
      <c r="C7355" t="n">
        <v>2</v>
      </c>
      <c r="D7355" t="inlineStr">
        <is>
          <t>Baguette Range; Amulette Volkorne; Anneau de Padgref; Alliance Gloursonne; Quatre-feuilles; Menoture; Casque Volkorne; Voile d'encre; Bottes Antrin; Dofus Turquoise; Dofus Ivoire; Dofus des Glaces; Dofus Ocre; Dofus Pourpre; Dofus Abyssal; Muldo Prune et Emeraude</t>
        </is>
      </c>
    </row>
    <row r="7356">
      <c r="A7356" t="inlineStr">
        <is>
          <t>Roublard F 200</t>
        </is>
      </c>
      <c r="B7356">
        <f>HYPERLINK("https://www.dofusbook.net/fr/equipement/4606514-roublard-f-200/objets", "link")</f>
        <v/>
      </c>
      <c r="C7356" t="n">
        <v>0</v>
      </c>
      <c r="D7356" t="inlineStr">
        <is>
          <t>Manthache; Collier du Valet Veinard; Anneau d'Allister; Gant du Valet Veinard; Bouclier du Stalak; Sangle Oriole; Couronne d'Allister; Cape du Valet Veinard; Bottes d'Allister; Dofus Vulbis; Dofus Ocre; Dofus des Glaces; Dofus Abyssal; Dolmanax; Dofus Pourpre; Blérodoudou</t>
        </is>
      </c>
    </row>
    <row r="7357">
      <c r="A7357" t="inlineStr">
        <is>
          <t>Crâ M 200</t>
        </is>
      </c>
      <c r="B7357">
        <f>HYPERLINK("https://www.dofusbook.net/fr/equipement/4606497-cra-m-200/objets", "link")</f>
        <v/>
      </c>
      <c r="C7357" t="n">
        <v>1</v>
      </c>
      <c r="D7357" t="inlineStr">
        <is>
          <t>Arc du Chalœil; Amulette du Cœur Saignant; Anneau Crustique; Anneau Crustique; Quatre-feuilles; Ceinture Volkorne; Masque de Koutoulou; Cape au Logis; Bottes du Cœur Saignant; Dofus Nébuleux; Dofus Ocre; Dofus Turquoise; Dofus Abyssal; Dofus Pourpre; Enragé majeur; Bulbisou</t>
        </is>
      </c>
    </row>
    <row r="7358">
      <c r="A7358" t="inlineStr">
        <is>
          <t>Féca F 200</t>
        </is>
      </c>
      <c r="B7358">
        <f>HYPERLINK("https://www.dofusbook.net/fr/equipement/4606485-feca-f-200/objets", "link")</f>
        <v/>
      </c>
      <c r="C7358" t="n">
        <v>1</v>
      </c>
      <c r="D7358" t="inlineStr">
        <is>
          <t>Arc corrompu; Amulette Volkorne; Anneau de Padgref; Anneauræus; Quatre-feuilles; Ceinture Séculaire; Coiffe Séculaire; Cape de Diondin; Bottes Innommables; Dofus Vulbis; Dofus Ocre; Dofus Pourpre; Dofus Abyssal; Dofus Turquoise; Érudit majeur; Bisouglours</t>
        </is>
      </c>
    </row>
    <row r="7359">
      <c r="A7359" t="inlineStr">
        <is>
          <t>Zobal F 200</t>
        </is>
      </c>
      <c r="B7359">
        <f>HYPERLINK("https://www.dofusbook.net/fr/equipement/4606462-zobal-f-200/objets", "link")</f>
        <v/>
      </c>
      <c r="C7359" t="n">
        <v>1</v>
      </c>
      <c r="D7359" t="inlineStr">
        <is>
          <t>Lance Horselé; Amulette du Strigide; Anneau de Padgref; Anneau d'Allister; Quatre-feuilles; Menoture; Casque Volkorne; Cape Indescriptible; Getas de Padgref; Dofus Pourpre; Dofus Abyssal; Dofus Turquoise; Dofus Vulbis; Dofus Ocre; Cascadeur majeur; Pioute jaune</t>
        </is>
      </c>
    </row>
    <row r="7360">
      <c r="A7360" t="inlineStr">
        <is>
          <t>Enutrof M 200</t>
        </is>
      </c>
      <c r="B7360">
        <f>HYPERLINK("https://www.dofusbook.net/fr/equipement/4606435-enutrof-m-200/objets", "link")</f>
        <v/>
      </c>
      <c r="C7360" t="n">
        <v>0</v>
      </c>
      <c r="D7360" t="inlineStr">
        <is>
          <t>Marteau R'ture; Amulette Luminescente; Anneau de Nidas; Pikano; Bouclier cubiste; Poulpagne; Casquipik; Cape de Léthaline; Bottes du Cul Botté; Dofus Cawotte; Temporiseur; Temporiseur majeur; Ralentisseur majeur; Observateur; Entraveur majeur; Volkorne Turquoise</t>
        </is>
      </c>
    </row>
    <row r="7361">
      <c r="A7361" t="inlineStr">
        <is>
          <t>Crâ M 200</t>
        </is>
      </c>
      <c r="B7361">
        <f>HYPERLINK("https://www.dofusbook.net/fr/equipement/4606422-cra-m-200/objets", "link")</f>
        <v/>
      </c>
      <c r="C7361" t="n">
        <v>1</v>
      </c>
      <c r="D7361" t="inlineStr">
        <is>
          <t>Sceptre du Roi Joueur; Amulette de Shokkoth; Bracelet des Fonds marins; Anneau Volkorne; Quatre-feuilles; Pagne du Rykaon; Kidibonnet; Cape Solution; Sandales des Fonds marins; Dofus Pourpre; Dofus des Glaces; Dofus Turquoise; Dofus Vulbis; Dofus Ocre; Chanceux majeur; Kanigloups</t>
        </is>
      </c>
    </row>
    <row r="7362">
      <c r="A7362" t="inlineStr">
        <is>
          <t>Crâ M 200</t>
        </is>
      </c>
      <c r="B7362">
        <f>HYPERLINK("https://www.dofusbook.net/fr/equipement/4606405-cra-m-200/objets", "link")</f>
        <v/>
      </c>
      <c r="C7362" t="n">
        <v>0</v>
      </c>
      <c r="D7362" t="inlineStr">
        <is>
          <t>Sabres d'Atcham; Amulette Volkorne; Anneau de Padgref; Anneau Volkorne; Quatre-feuilles; Ceinture du Strigide; Casque Volkorne; Cape d'Atcham; Sandales  d'Atcham; Dofus Turquoise; Dofus Abyssal; Dofus Pourpre; Dofus des Glaces; Dolmanax; Dofus Ocre; Fëanor</t>
        </is>
      </c>
    </row>
    <row r="7363">
      <c r="A7363" t="inlineStr">
        <is>
          <t>Xélor M 200</t>
        </is>
      </c>
      <c r="B7363">
        <f>HYPERLINK("https://www.dofusbook.net/fr/equipement/4601486-xelor-m-200/objets", "link")</f>
        <v/>
      </c>
      <c r="C7363" t="n">
        <v>0</v>
      </c>
      <c r="D7363" t="inlineStr">
        <is>
          <t>Lance Horselé; Amulette du Cœur Vaillant; Anneau Crustique; Anneau Crustique; Sept ans de malheur; Menoture; Masque d'Anerice; Cape d'Anerice; Pataugastrique; Dofus Cawotte; Dofus Ivoire; Dofus Émeraude; Dofus Abyssal; Paralyseur majeur; Étourdisseur majeur; Muldo Ebène et Indigo</t>
        </is>
      </c>
    </row>
    <row r="7364">
      <c r="A7364" t="inlineStr">
        <is>
          <t>Enutrof M 200</t>
        </is>
      </c>
      <c r="B7364">
        <f>HYPERLINK("https://www.dofusbook.net/fr/equipement/4601473-enutrof-m-200/objets", "link")</f>
        <v/>
      </c>
      <c r="C7364" t="n">
        <v>0</v>
      </c>
      <c r="D7364" t="inlineStr">
        <is>
          <t>Arc corrompu; Pendentif affamé; Anneauræus; Anneau Rifique; Bouclier du Stalak; Menoture; Cagoule de Vortex; Voile d'encre; Sabots de Vortex; Dofus Abyssal; Dofus Pourpre; Dofus Ivoire; Dofus Ocre; Étourdisseur majeur; Déserteur majeur; Muldo Orchidée</t>
        </is>
      </c>
    </row>
    <row r="7365">
      <c r="A7365" t="inlineStr">
        <is>
          <t>Roublard F 200</t>
        </is>
      </c>
      <c r="B7365">
        <f>HYPERLINK("https://www.dofusbook.net/fr/equipement/4601436-roublard-f-200/objets", "link")</f>
        <v/>
      </c>
      <c r="C7365" t="n">
        <v>0</v>
      </c>
      <c r="D7365" t="inlineStr">
        <is>
          <t>Arc de Koutoulou; Amulette de Shokkoth; Anneau Volkorne; Alliance Gloursonne; Bouclier du Stalak; Ceinture de la Reine des Voleurs; Casque Volkorne; Cape Solution; Bottes de la Reine des Voleurs; Dofus Pourpre; Dofus Ivoire; Dolmanax; Dofus Ocre; Dofus des Glaces; Dofus Abyssal; Muldo Ebène et Orchidée</t>
        </is>
      </c>
    </row>
    <row r="7366">
      <c r="A7366" t="inlineStr">
        <is>
          <t>Iop M 200</t>
        </is>
      </c>
      <c r="B7366">
        <f>HYPERLINK("https://www.dofusbook.net/fr/equipement/4601415-iop-m-200/objets", "link")</f>
        <v/>
      </c>
      <c r="C7366" t="n">
        <v>3</v>
      </c>
      <c r="D7366" t="inlineStr">
        <is>
          <t>Arc du Chalœil; Amulette du Cœur Vaillant; Anneau de Pol Ouatnos; Bague Trithon; Bouclier précieux; Ceinture Gence; Masque Trithon; Cape du Cœur Vaillant; Bottes du Cœur Vaillant; Dofus Forgelave; Dofus Abyssal; Dofus Turquoise; Dofus Ivoire; Dofus Émeraude; Bousculeur majeur; Black Tiwabbit</t>
        </is>
      </c>
    </row>
    <row r="7367">
      <c r="A7367" t="inlineStr">
        <is>
          <t>Zobal M 200</t>
        </is>
      </c>
      <c r="B7367">
        <f>HYPERLINK("https://www.dofusbook.net/fr/equipement/4601393-zobal-m-200/objets", "link")</f>
        <v/>
      </c>
      <c r="C7367" t="n">
        <v>0</v>
      </c>
      <c r="D7367" t="inlineStr">
        <is>
          <t>Masse Ossiale; Amulette Luminescente; Bague Trithon; Alliance Gloursonne; Bouclier précieux; Sangle Ouare; Masque Paztek; Cape Solution; Sandales Paztek; Dofus Ivoire; Dofus Émeraude; Dofus Abyssal; Culbuteur majeur; Miraculé majeur; Bousculeur majeur; Volkorne Rubis et Roux</t>
        </is>
      </c>
    </row>
    <row r="7368">
      <c r="A7368" t="inlineStr">
        <is>
          <t>Xélor M 200</t>
        </is>
      </c>
      <c r="B7368">
        <f>HYPERLINK("https://www.dofusbook.net/fr/equipement/4601384-xelor-m-200/objets", "link")</f>
        <v/>
      </c>
      <c r="C7368" t="n">
        <v>0</v>
      </c>
      <c r="D7368" t="inlineStr">
        <is>
          <t>Lance Horselé; Amibou; Anneau de Padgref; Alliance Gloursonne; Quatre-feuilles; Menoture; Couronne d'Allister; Capibou; Palmes Trithons; Dofus Ocre; Dofus Pourpre; Dofus Abyssal; Dofus Turquoise; Dofus Ivoire; Cascadeur majeur; Muldo Ebène et Pourpre</t>
        </is>
      </c>
    </row>
    <row r="7369">
      <c r="A7369" t="inlineStr">
        <is>
          <t>Steamer M 200</t>
        </is>
      </c>
      <c r="B7369">
        <f>HYPERLINK("https://www.dofusbook.net/fr/equipement/4597984-steamer-m-200/objets", "link")</f>
        <v/>
      </c>
      <c r="C7369" t="n">
        <v>0</v>
      </c>
      <c r="D7369" t="inlineStr">
        <is>
          <t>Arc corrompu; Amulette Volkorne; Anneauræus; Anneauræus; Quatre-feuilles; Ceinture de l'Esprit Malsain; Heaume Oplate; Cape de la Dame du Hasard; Bottes de la Dame du Hasard; Dofus Pourpre; Dofus Ivoire; Dofus Ocre; Dofus Turquoise; Dofus Abyssal; Érudit majeur; Muldo Orchidée</t>
        </is>
      </c>
    </row>
    <row r="7370">
      <c r="A7370" t="inlineStr">
        <is>
          <t>Féca F 200</t>
        </is>
      </c>
      <c r="B7370">
        <f>HYPERLINK("https://www.dofusbook.net/fr/equipement/4597962-feca-f-200/objets", "link")</f>
        <v/>
      </c>
      <c r="C7370" t="n">
        <v>1</v>
      </c>
      <c r="D7370" t="inlineStr">
        <is>
          <t>Lav'Hache; Amulette du Cœur Vaillant; Anneau Crustique; Anneau Crustique; Cadran de Terre; Menoture; Masque de Koutoulou; Cape du Cœur Vaillant; Tentassons; Dofus Émeraude; Dolmanax; Dofus Abyssal; Dofus Pourpre; Dofus Ivoire; Étourdisseur majeur; Muldo Ebène</t>
        </is>
      </c>
    </row>
    <row r="7371">
      <c r="A7371" t="inlineStr">
        <is>
          <t>Sram F 200</t>
        </is>
      </c>
      <c r="B7371">
        <f>HYPERLINK("https://www.dofusbook.net/fr/equipement/4597945-sram-f-200/objets", "link")</f>
        <v/>
      </c>
      <c r="C7371" t="n">
        <v>0</v>
      </c>
      <c r="D7371" t="inlineStr">
        <is>
          <t>Hache Ériphe; Amulette du Strigide; Bague Trithon; Anneau des égarés; Bouclier d'Ilyzaelle; Ceinture Volkorne; Casque Volkorne; Cape au Logis; Baleinabottes; Dofus Émeraude; Dofus Ivoire; Dofus Turquoise; Dofus Pourpre; Dofus des Glaces; Dofus Abyssal; Volkorne Jade et Rubis</t>
        </is>
      </c>
    </row>
    <row r="7372">
      <c r="A7372" t="inlineStr">
        <is>
          <t>Eniripsa M 200</t>
        </is>
      </c>
      <c r="B7372">
        <f>HYPERLINK("https://www.dofusbook.net/fr/equipement/4597926-eniripsa-m-200/objets", "link")</f>
        <v/>
      </c>
      <c r="C7372" t="n">
        <v>0</v>
      </c>
      <c r="D7372" t="inlineStr">
        <is>
          <t>Arc corrompu; Pendentif affamé; Anneau Rifique; Anneauræus; Cadran de Terre; Ceinture de Vortex; Cagoule de Vortex; Voile d'encre; Pataugastrique; Dofus Ocre; Dofus Abyssal; Dolmanax; Dofus Ivoire; Érudit majeur; Étourdisseur majeur; Muldo Orchidée et Amande</t>
        </is>
      </c>
    </row>
    <row r="7373">
      <c r="A7373" t="inlineStr">
        <is>
          <t>Crâ F 200</t>
        </is>
      </c>
      <c r="B7373">
        <f>HYPERLINK("https://www.dofusbook.net/fr/equipement/4597884-cra-f-200/objets", "link")</f>
        <v/>
      </c>
      <c r="C7373" t="n">
        <v>0</v>
      </c>
      <c r="D7373" t="inlineStr">
        <is>
          <t>Lav'Hache; Amulette Luminescente; Pikano; Anneau Chevelu; Cadran de Terre; Ceinture Luminescente; Masque de Koutoulou; Cape de la Dame du Hasard; Pataugastrique; Dofus Pourpre; Dofus Ivoire; Dofus des Glaces; Dofus Abyssal; Temporiseur majeur; Étourdisseur majeur; Muldo Indigo</t>
        </is>
      </c>
    </row>
    <row r="7374">
      <c r="A7374" t="inlineStr">
        <is>
          <t>Pandawa F 200</t>
        </is>
      </c>
      <c r="B7374">
        <f>HYPERLINK("https://www.dofusbook.net/fr/equipement/4597870-pandawa-f-200/objets", "link")</f>
        <v/>
      </c>
      <c r="C7374" t="n">
        <v>1</v>
      </c>
      <c r="D7374" t="inlineStr">
        <is>
          <t>Arc Nécrotique; Amulette Volkorne; Alliance Gloursonne; Anneau Volkorne; Quatre-feuilles; Pagne du Rykaon; Kidibonnet; Cape de la Dame du Hasard; Bottes de la Dame du Hasard; Dofus Pourpre; Dofus Ocre; Dofus Turquoise; Dofus Abyssal; Dofus des Glaces; Dofus Ivoire; Muldo Ebène et Indigo</t>
        </is>
      </c>
    </row>
    <row r="7375">
      <c r="A7375" t="inlineStr">
        <is>
          <t>Eniripsa F 200</t>
        </is>
      </c>
      <c r="B7375">
        <f>HYPERLINK("https://www.dofusbook.net/fr/equipement/4597835-eniripsa-f-200/objets", "link")</f>
        <v/>
      </c>
      <c r="C7375" t="n">
        <v>0</v>
      </c>
      <c r="D7375" t="inlineStr">
        <is>
          <t>Arc corrompu; Pendentif affamé; Anneau Rifique; Anneauræus; Bouclier du Stalak; Ceinture de Vortex; Casque Cyclopéen; Cape de Diondin; Bottes Innommables; Dofus Émeraude; Dofus Ivoire; Dofus Ocre; Dolmanax; Dofus Abyssal; Érudit majeur; Muldo Orchidée et Pourpre</t>
        </is>
      </c>
    </row>
    <row r="7376">
      <c r="A7376" t="inlineStr">
        <is>
          <t>Pandawa F 200</t>
        </is>
      </c>
      <c r="B7376">
        <f>HYPERLINK("https://www.dofusbook.net/fr/equipement/4597814-pandawa-f-200/objets", "link")</f>
        <v/>
      </c>
      <c r="C7376" t="n">
        <v>0</v>
      </c>
      <c r="D7376" t="inlineStr">
        <is>
          <t>Baguette de Malléfisk; Pendentif affamé; Anneau Rifique; Anneauræus; Carapar; Ceinture de Vortex; Casque Cyclopéen; Cape de Diondin; Bottes Innommables; Dofus Ocre; Dofus Cawotte; Dofus Abyssal; Dofus Ivoire; Guérisseur majeur; Érudit majeur; Muldo Orchidée et Pourpre</t>
        </is>
      </c>
    </row>
    <row r="7377">
      <c r="A7377" t="inlineStr">
        <is>
          <t>Crâ F 200</t>
        </is>
      </c>
      <c r="B7377">
        <f>HYPERLINK("https://www.dofusbook.net/fr/equipement/4597767-cra-f-200/objets", "link")</f>
        <v/>
      </c>
      <c r="C7377" t="n">
        <v>1</v>
      </c>
      <c r="D7377" t="inlineStr">
        <is>
          <t>Sabres d'Atcham; Amulette Volkorne; Anneau Volkorne; Alliance Gloursonne; Cadran de Terre; Ceinture de Vortex; Casque Volkorne; Cape d'Atcham; Sandales  d'Atcham; Dofus Turquoise; Dofus Ivoire; Dofus Cawotte; Dofus Ocre; Dofus Pourpre; Dofus Abyssal; Volkorne Jade et Ivoire</t>
        </is>
      </c>
    </row>
    <row r="7378">
      <c r="A7378" t="inlineStr">
        <is>
          <t>Pandawa F 200</t>
        </is>
      </c>
      <c r="B7378">
        <f>HYPERLINK("https://www.dofusbook.net/fr/equipement/4597746-pandawa-f-200/objets", "link")</f>
        <v/>
      </c>
      <c r="C7378" t="n">
        <v>0</v>
      </c>
      <c r="D7378" t="inlineStr">
        <is>
          <t>Baguette Héroclite; Amulette de l'Œil Attentif; Alliance Gloursonne; Anneau Volkorne; Bouclier du Stalak; Poulpagne; Capuche de l'Œil Attentif; Cape Solution; Chaussons de Macrab; Dofus Pourpre; Dofus Abyssal; Dofus Turquoise; Dofus Ivoire; Miraculé majeur; Chanceux majeur; Muldo Ebène et Pourpre</t>
        </is>
      </c>
    </row>
    <row r="7379">
      <c r="A7379" t="inlineStr">
        <is>
          <t>Eniripsa M 200</t>
        </is>
      </c>
      <c r="B7379">
        <f>HYPERLINK("https://www.dofusbook.net/fr/equipement/4597725-eniripsa-m-200/objets", "link")</f>
        <v/>
      </c>
      <c r="C7379" t="n">
        <v>0</v>
      </c>
      <c r="D7379" t="inlineStr">
        <is>
          <t>Arc corrompu; Pendentif affamé; Anneauræus; Anneau Rifique; Bouclier d'Anerice; Ceinture de Vortex; Masque d'Anerice; Cape de Diondin; Bottes Innommables; Dolmanax; Dofus Ivoire; Dofus Ocre; Dofus Pourpre; Dofus Abyssal; Érudit majeur; Muldo Orchidée et Amande</t>
        </is>
      </c>
    </row>
    <row r="7380">
      <c r="A7380" t="inlineStr">
        <is>
          <t>Iop M 200</t>
        </is>
      </c>
      <c r="B7380">
        <f>HYPERLINK("https://www.dofusbook.net/fr/equipement/4517897-iop-m-200/objets", "link")</f>
        <v/>
      </c>
      <c r="C7380" t="n">
        <v>2</v>
      </c>
      <c r="D7380" t="inlineStr">
        <is>
          <t>Arc Volkorne; Amulette Volkorne; Anneau Volkorne; Anneau de Padgref; Quatre-feuilles; Ceinture Volkorne; Coiffe de Padgref; Voile d'encre; Getas de Padgref; Dofus des Glaces; Dofus Ocre; Dofus Pourpre; Dofus Abyssal; Dofus Turquoise; Dofus Ivoire; Kokulte</t>
        </is>
      </c>
    </row>
    <row r="7381">
      <c r="A7381" t="inlineStr">
        <is>
          <t>Ouginak F 200</t>
        </is>
      </c>
      <c r="B7381">
        <f>HYPERLINK("https://www.dofusbook.net/fr/equipement/4515509-ouginak-f-200/objets", "link")</f>
        <v/>
      </c>
      <c r="C7381" t="n">
        <v>0</v>
      </c>
      <c r="D7381" t="inlineStr">
        <is>
          <t>Masse Ossiale; Talisman Igans; Bague Trithon; Bague Instable; Bouclier précieux; Ceintrigue; Masque Paztek; Cape Solution; Sandales Paztek; Dofus Pourpre; Dofus Ivoire; Dofus Émeraude; Dofus Ocre; Dofus Abyssal; Bousculeur majeur; Muldo Indigo et Orchidée</t>
        </is>
      </c>
    </row>
    <row r="7382">
      <c r="A7382" t="inlineStr">
        <is>
          <t>Zobal F 200</t>
        </is>
      </c>
      <c r="B7382">
        <f>HYPERLINK("https://www.dofusbook.net/fr/equipement/4515490-zobal-f-200/objets", "link")</f>
        <v/>
      </c>
      <c r="C7382" t="n">
        <v>0</v>
      </c>
      <c r="D7382" t="inlineStr">
        <is>
          <t>Masse Ossiale; Amulette du Sinistrofu; Alliance Gloursonne; Anneau Volkorne; Bouclier précieux; Ceinture Luminescente; Masque Paztek; Cape Solution; Sandales Paztek; Dofus Ocre; Dofus Abyssal; Dofus Émeraude; Dofus Ivoire; Bousculeur majeur; Culbuteur majeur; Muldo Pourpre</t>
        </is>
      </c>
    </row>
    <row r="7383">
      <c r="A7383" t="inlineStr">
        <is>
          <t>Enutrof F 200</t>
        </is>
      </c>
      <c r="B7383">
        <f>HYPERLINK("https://www.dofusbook.net/fr/equipement/4515454-enutrof-f-200/objets", "link")</f>
        <v/>
      </c>
      <c r="C7383" t="n">
        <v>1</v>
      </c>
      <c r="D7383" t="inlineStr">
        <is>
          <t>Baguette Hique; Amulette de l'Œil Attentif; Anneau Volkorne; Alliance Gloursonne; Quatre-feuilles; Poulpagne; Capuche de l'Œil Putride; Cape de la Dame du Hasard; Bottes de la Dame du Hasard; Dofus Ocre; Dofus Pourpre; Dofus Turquoise; Dofus Ivoire; Temporiseur majeur; Chanceux majeur; Muldo Orchidée et Amande</t>
        </is>
      </c>
    </row>
    <row r="7384">
      <c r="A7384" t="inlineStr">
        <is>
          <t>Zobal M 200</t>
        </is>
      </c>
      <c r="B7384">
        <f>HYPERLINK("https://www.dofusbook.net/fr/equipement/4410254-zobal-m-200/objets", "link")</f>
        <v/>
      </c>
      <c r="C7384" t="n">
        <v>0</v>
      </c>
      <c r="D7384" t="inlineStr">
        <is>
          <t>Dagoulinantes; Amulette Luminescente; Alliance Gloursonne; Bague Trithon; Bouclier précieux; Ceinture Luminescente; Masque Paztek; Cape Solution; Bottes Owesli; Dofus Ocre; Dofus Abyssal; Dofus Émeraude; Dofus Ivoire; Bousculeur majeur; Culbuteur majeur; Muldo Ebène et Indigo</t>
        </is>
      </c>
    </row>
    <row r="7385">
      <c r="A7385" t="inlineStr">
        <is>
          <t>Sacrieur F 200</t>
        </is>
      </c>
      <c r="B7385">
        <f>HYPERLINK("https://www.dofusbook.net/fr/equipement/4410245-sacrieur-f-200/objets", "link")</f>
        <v/>
      </c>
      <c r="C7385" t="n">
        <v>0</v>
      </c>
      <c r="D7385" t="inlineStr">
        <is>
          <t>Karnak; Amulette d'Ilyzaelle; Gant du Valet Veinard; Alliance Gloursonne; Bouclier d'Ilyzaelle; Menoture; Masque d'Anerice; Cape d'Anerice; Palmes Trithons; Dofus Émeraude; Dofus Ivoire; Dofus Cawotte; Dofus Ocre; Dofus Pourpre; Dofus Abyssal; Bwak d'Air</t>
        </is>
      </c>
    </row>
    <row r="7386">
      <c r="A7386" t="inlineStr">
        <is>
          <t>Ouginak F 200</t>
        </is>
      </c>
      <c r="B7386">
        <f>HYPERLINK("https://www.dofusbook.net/fr/equipement/4410224-ouginak-f-200/objets", "link")</f>
        <v/>
      </c>
      <c r="C7386" t="n">
        <v>0</v>
      </c>
      <c r="D7386" t="inlineStr">
        <is>
          <t>Crocobur; Amulette du Cœur Saignant; Anneau Crustique; Anneau Crustique; Cadran d'Eau; Ceinture de la Reine des Voleurs; Coiffe de la Reine des Voleurs; Cape du Cœur Saignant; Bottes du Cœur Saignant; Dofus Turquoise; Dofus Abyssal; Dofus Émeraude; Dofus Ivoire; Dofus Pourpre; Dofus Ocre; Muldo Prune et Emeraude</t>
        </is>
      </c>
    </row>
    <row r="7387">
      <c r="A7387" t="inlineStr">
        <is>
          <t>Ecaflip M 200</t>
        </is>
      </c>
      <c r="B7387">
        <f>HYPERLINK("https://www.dofusbook.net/fr/equipement/4410202-ecaflip-m-200/objets", "link")</f>
        <v/>
      </c>
      <c r="C7387" t="n">
        <v>0</v>
      </c>
      <c r="D7387" t="inlineStr">
        <is>
          <t>Manthache; Collier du Valet Veinard; Gant du Valet Veinard; Alliance Gloursonne; Cadran d'Air; Menoture; Couronne d'Allister; Cape Indescriptible; Palmes Trithons; Dofus Vulbis; Dofus Ivoire; Dofus Ocre; Dofus Pourpre; Dofus Abyssal; Cascadeur majeur; Kramkram</t>
        </is>
      </c>
    </row>
    <row r="7388">
      <c r="A7388" t="inlineStr">
        <is>
          <t>Eniripsa F 200</t>
        </is>
      </c>
      <c r="B7388">
        <f>HYPERLINK("https://www.dofusbook.net/fr/equipement/4410192-eniripsa-f-200/objets", "link")</f>
        <v/>
      </c>
      <c r="C7388" t="n">
        <v>0</v>
      </c>
      <c r="D7388" t="inlineStr">
        <is>
          <t>Arc Ontanporin; Amulette de l'Œil Attentif; Alliance Gloursonne; Anneau Volkorne; Cadran de Terre; Poulpagne; Casque Volkorne; Chevelure de Tal Kasha; Pataugastrique; Dofus Abyssal; Dofus Pourpre; Dofus Ivoire; Dofus Turquoise; Étourdisseur majeur; Déserteur majeur; Muldo Orchidée et Amande</t>
        </is>
      </c>
    </row>
    <row r="7389">
      <c r="A7389" t="inlineStr">
        <is>
          <t>Enutrof M 200</t>
        </is>
      </c>
      <c r="B7389">
        <f>HYPERLINK("https://www.dofusbook.net/fr/equipement/4410174-enutrof-m-200/objets", "link")</f>
        <v/>
      </c>
      <c r="C7389" t="n">
        <v>0</v>
      </c>
      <c r="D7389" t="inlineStr">
        <is>
          <t>Hache du Chalœil; Amulette Volkorne; Alliance du Lévitrof; Anneau Volkorne; Quatre-feuilles; Ceinture Volkorne; Coiffe du Lévitrof; Voile d'encre; Bottes du Lévitrof; Dofus Pourpre; Dofus Ivoire; Dofus Turquoise; Dolmanax; Dofus Abyssal; Vagabond majeur; Volkorne Jade et Saphir</t>
        </is>
      </c>
    </row>
    <row r="7390">
      <c r="A7390" t="inlineStr">
        <is>
          <t>Sacrieur F 200</t>
        </is>
      </c>
      <c r="B7390">
        <f>HYPERLINK("https://www.dofusbook.net/fr/equipement/4410158-sacrieur-f-200/objets", "link")</f>
        <v/>
      </c>
      <c r="C7390" t="n">
        <v>0</v>
      </c>
      <c r="D7390" t="inlineStr">
        <is>
          <t>Lance Horselé; Amulette d'Ilyzaelle; Alliance Gloursonne; Gant du Valet Veinard; Bouclier d'Ilyzaelle; Menoture; Coiffe de la Reine des Voleurs; Cape du Valet Veinard; Bottes de la Reine des Voleurs; Dofus Pourpre; Dofus Abyssal; Dofus Émeraude; Dofus Ivoire; Dofus des Glaces; Dofus Ocre; Muldo Ebène</t>
        </is>
      </c>
    </row>
    <row r="7391">
      <c r="A7391" t="inlineStr">
        <is>
          <t>Crâ M 200</t>
        </is>
      </c>
      <c r="B7391">
        <f>HYPERLINK("https://www.dofusbook.net/fr/equipement/4410141-cra-m-200/objets", "link")</f>
        <v/>
      </c>
      <c r="C7391" t="n">
        <v>0</v>
      </c>
      <c r="D7391" t="inlineStr">
        <is>
          <t>Baguette de Malléfisk; Pendentif mignon de Koutoulou; Anneau Rifique; Anneauræus; Carapar; Ceinture de Vortex; Casque Cyclopéen; Voile d'encre; Sabots de Vortex; Dolmanax; Dofus Ivoire; Dofus Ocre; Dofus Pourpre; Dofus Abyssal; Paralyseur majeur; Muldo Pourpre</t>
        </is>
      </c>
    </row>
    <row r="7392">
      <c r="A7392" t="inlineStr">
        <is>
          <t>Steamer M 200</t>
        </is>
      </c>
      <c r="B7392">
        <f>HYPERLINK("https://www.dofusbook.net/fr/equipement/4410128-steamer-m-200/objets", "link")</f>
        <v/>
      </c>
      <c r="C7392" t="n">
        <v>0</v>
      </c>
      <c r="D7392" t="inlineStr">
        <is>
          <t>Plume de Buhorado; Amibou; Alliance Gloursonne; Bague Trithon; Cadran d'Air; Menoture; Masque Trithon; Capibou; Bottes Trithon; Dofus Émeraude; Dofus Abyssal; Dofus Turquoise; Dofus Ivoire; Dofus Pourpre; Bousculeur majeur; Tofoudre</t>
        </is>
      </c>
    </row>
    <row r="7393">
      <c r="A7393" t="inlineStr">
        <is>
          <t>Osamodas F 200</t>
        </is>
      </c>
      <c r="B7393">
        <f>HYPERLINK("https://www.dofusbook.net/fr/equipement/4338703-osamodas-f-200/objets", "link")</f>
        <v/>
      </c>
      <c r="C7393" t="n">
        <v>0</v>
      </c>
      <c r="D7393" t="inlineStr"/>
    </row>
    <row r="7394">
      <c r="A7394" t="inlineStr">
        <is>
          <t>Féca F 200</t>
        </is>
      </c>
      <c r="B7394">
        <f>HYPERLINK("https://www.dofusbook.net/fr/equipement/4338670-feca-f-200/objets", "link")</f>
        <v/>
      </c>
      <c r="C7394" t="n">
        <v>0</v>
      </c>
      <c r="D7394" t="inlineStr">
        <is>
          <t>Crocobur; Amulette du Cœur Vaillant; Anneau Crustique; Anneau Chevelu; Bouclier alvéolé; Ceinture Volkorne; Casque Volkorne; Cape au Logis; Baleinabottes; Dofus Émeraude; Dofus Ivoire; Dofus Ocre; Dofus Pourpre; Dofus Abyssal; Étourdisseur majeur; Volkorne Améthyste et Ivoire</t>
        </is>
      </c>
    </row>
    <row r="7395">
      <c r="A7395" t="inlineStr">
        <is>
          <t>Iop M 200</t>
        </is>
      </c>
      <c r="B7395">
        <f>HYPERLINK("https://www.dofusbook.net/fr/equipement/4338656-iop-m-200/objets", "link")</f>
        <v/>
      </c>
      <c r="C7395" t="n">
        <v>2</v>
      </c>
      <c r="D7395" t="inlineStr">
        <is>
          <t>Crocobur; Amulette du Cœur Saignant; Bague Trithon; Anneau Volkorne; Cadran d'Eau; Ceinture Volkorne; Casque Volkorne; Cape du Cœur Saignant; Bottes du Cœur Saignant; Dofus Pourpre; Dofus Abyssal; Dofus Turquoise; Dofus Ivoire; Dofus Émeraude; Dofus Ocre; Volkorne Rubis et Emeraude</t>
        </is>
      </c>
    </row>
    <row r="7396">
      <c r="A7396" t="inlineStr">
        <is>
          <t>Sadida M 200</t>
        </is>
      </c>
      <c r="B7396">
        <f>HYPERLINK("https://www.dofusbook.net/fr/equipement/4338632-sadida-m-200/objets", "link")</f>
        <v/>
      </c>
      <c r="C7396" t="n">
        <v>0</v>
      </c>
      <c r="D7396" t="inlineStr">
        <is>
          <t>Manthache; Amibou; Alliance Gloursonne; Anneau de Padgref; Quatre-feuilles; Menoture; Couronne d'Allister; Capibou; Pantoufles Émar; Dofus Pourpre; Dofus Ivoire; Dofus Turquoise; Dofus Abyssal; Cascadeur majeur; Temporiseur majeur; Muldo Ebène et Pourpre</t>
        </is>
      </c>
    </row>
    <row r="7397">
      <c r="A7397" t="inlineStr">
        <is>
          <t>Zobal F 200</t>
        </is>
      </c>
      <c r="B7397">
        <f>HYPERLINK("https://www.dofusbook.net/fr/equipement/4308590-zobal-f-200/objets", "link")</f>
        <v/>
      </c>
      <c r="C7397" t="n">
        <v>1</v>
      </c>
      <c r="D7397" t="inlineStr">
        <is>
          <t>Arc Volkorne; Amulette Volkorne; Bague Trithon; Anneau Volkorne; Quatre-feuilles; Ceinture Volkorne; Masque Trithon; Cape d'Atcham; Bottes Trithon; Dofus des Glaces; Dofus Abyssal; Dofus Turquoise; Dofus Ivoire; Dofus Pourpre; Dofus Ocre; Bwak d'Air</t>
        </is>
      </c>
    </row>
    <row r="7398">
      <c r="A7398" t="inlineStr">
        <is>
          <t>Eniripsa F 200</t>
        </is>
      </c>
      <c r="B7398">
        <f>HYPERLINK("https://www.dofusbook.net/fr/equipement/4308481-eniripsa-f-200/objets", "link")</f>
        <v/>
      </c>
      <c r="C7398" t="n">
        <v>0</v>
      </c>
      <c r="D7398" t="inlineStr">
        <is>
          <t>Arc corrompu; Pendentif affamé; Anneauræus; Anneau Toriété; Bouclier du Stalak; Ceinture Séculaire; Coiffe Séculaire; Voile d'encre; Bottes Innommables; Dolmanax; Dofus Ivoire; Dofus Ocre; Dofus Abyssal; Déserteur majeur; Érudit majeur; Volkorne Jade et Rubis</t>
        </is>
      </c>
    </row>
    <row r="7399">
      <c r="A7399" t="inlineStr">
        <is>
          <t>Steamer M 200</t>
        </is>
      </c>
      <c r="B7399">
        <f>HYPERLINK("https://www.dofusbook.net/fr/equipement/4263661-steamer-m-200/objets", "link")</f>
        <v/>
      </c>
      <c r="C7399" t="n">
        <v>1</v>
      </c>
      <c r="D7399" t="inlineStr">
        <is>
          <t>Arc corrompu; Pendentif affamé; Anneau Rifique; Anneauræus; Cadran de Terre; Ceinture de Vortex; Casque Cyclopéen; Voile d'encre; Pataugastrique; Dolmanax; Dofus Ivoire; Dofus Ocre; Dofus Pourpre; Dofus Abyssal; Érudit majeur; Muldo Orchidée et Pourpre</t>
        </is>
      </c>
    </row>
    <row r="7400">
      <c r="A7400" t="inlineStr">
        <is>
          <t>Iop M 200</t>
        </is>
      </c>
      <c r="B7400">
        <f>HYPERLINK("https://www.dofusbook.net/fr/equipement/4232829-iop-m-200/objets", "link")</f>
        <v/>
      </c>
      <c r="C7400" t="n">
        <v>3</v>
      </c>
      <c r="D7400" t="inlineStr">
        <is>
          <t>Lav'Hache; Collier de Tourthon; Anneau de Brouce; Anneau Chevelu; Cadran d'Eau; Ceinture Gence; Diadème de Ganymède; Cape au Logis; Bottes de Brouce; Dofus des Glaces; Dofus Abyssal; Dofus Émeraude; Dofus Ocre; Dofus Pourpre; Dofus Ivoire; Kramkram</t>
        </is>
      </c>
    </row>
    <row r="7401">
      <c r="A7401" t="inlineStr">
        <is>
          <t>Féca F 200</t>
        </is>
      </c>
      <c r="B7401">
        <f>HYPERLINK("https://www.dofusbook.net/fr/equipement/4263621-feca-f-200/objets", "link")</f>
        <v/>
      </c>
      <c r="C7401" t="n">
        <v>0</v>
      </c>
      <c r="D7401" t="inlineStr">
        <is>
          <t>Lance Horselé; Amulette du Cœur Vaillant; Anneau Crustique; Anneau Crustique; Sept ans de malheur; Ceinture Volkorne; Casque Volkorne; Cape d'Anerice; Baleinabottes; Dofus Émeraude; Dofus Abyssal; Dofus Pourpre; Dofus Ivoire; Dofus Ocre; Étourdisseur majeur; Muldo Ebène</t>
        </is>
      </c>
    </row>
    <row r="7402">
      <c r="A7402" t="inlineStr">
        <is>
          <t>Xélor M 200</t>
        </is>
      </c>
      <c r="B7402">
        <f>HYPERLINK("https://www.dofusbook.net/fr/equipement/4263612-xelor-m-200/objets", "link")</f>
        <v/>
      </c>
      <c r="C7402" t="n">
        <v>0</v>
      </c>
      <c r="D7402" t="inlineStr">
        <is>
          <t>Lance Horselé; Amulette du Cœur Vaillant; Anneau de Pol Ouatnos; Anneau Crustique; Sept ans de malheur; Menoture; Masque d'Anerice; Cape d'Anerice; Pataugastrique; Dofus Forgelave; Dofus Ivoire; Dofus Émeraude; Dofus Abyssal; Paralyseur majeur; Étourdisseur majeur; Dauge</t>
        </is>
      </c>
    </row>
    <row r="7403">
      <c r="A7403" t="inlineStr">
        <is>
          <t>Enutrof M 200</t>
        </is>
      </c>
      <c r="B7403">
        <f>HYPERLINK("https://www.dofusbook.net/fr/equipement/4263592-enutrof-m-200/objets", "link")</f>
        <v/>
      </c>
      <c r="C7403" t="n">
        <v>1</v>
      </c>
      <c r="D7403" t="inlineStr">
        <is>
          <t>Arc corrompu; Amulette Volkorne; Anneauræus; Anneau de Nidas; Bouclier du Stalak; Ceinture de Vortex; Couronne de Nidas; Cape de Diondin; Bottes du Cul Botté; Dofus Abyssal; Dofus Pourpre; Dofus Ivoire; Dofus Ocre; Temporiseur majeur; Érudit majeur; Muldo Ebène et Amande</t>
        </is>
      </c>
    </row>
    <row r="7404">
      <c r="A7404" t="inlineStr">
        <is>
          <t>Iop M 200</t>
        </is>
      </c>
      <c r="B7404">
        <f>HYPERLINK("https://www.dofusbook.net/fr/equipement/4234090-iop-m-200/objets", "link")</f>
        <v/>
      </c>
      <c r="C7404" t="n">
        <v>1</v>
      </c>
      <c r="D7404" t="inlineStr">
        <is>
          <t>Crocobur; Amulette du Strigide; Anneau Volkorne; Bague Trithon; Bouclier du Captain Amakna; Ceinture Volkorne; Masque Trithon; Cape Reski; Bottes Trithon; Dofus Vulbis; Dofus des Glaces; Dofus Turquoise; Dofus Abyssal; Dofus Pourpre; Dofus Ocre; Kougnard Albâtre</t>
        </is>
      </c>
    </row>
    <row r="7405">
      <c r="A7405" t="inlineStr">
        <is>
          <t>Ecaflip F 200</t>
        </is>
      </c>
      <c r="B7405">
        <f>HYPERLINK("https://www.dofusbook.net/fr/equipement/4232942-ecaflip-f-200/objets", "link")</f>
        <v/>
      </c>
      <c r="C7405" t="n">
        <v>1</v>
      </c>
      <c r="D7405" t="inlineStr">
        <is>
          <t>Plume de Buhorado; Amulette du Cœur Vaillant; Bague Trithon; Alliance Gloursonne; Cadran d'Air; Ceinture Volkorne; Casque Volkorne; Cape du Cœur Vaillant; Bottes du Cœur Vaillant; Dofus Ivoire; Tofoudre</t>
        </is>
      </c>
    </row>
    <row r="7406">
      <c r="A7406" t="inlineStr">
        <is>
          <t>Xélor M 200</t>
        </is>
      </c>
      <c r="B7406">
        <f>HYPERLINK("https://www.dofusbook.net/fr/equipement/4232934-xelor-m-200/objets", "link")</f>
        <v/>
      </c>
      <c r="C7406" t="n">
        <v>0</v>
      </c>
      <c r="D7406" t="inlineStr">
        <is>
          <t>Crocobur; Amulette du Cœur Saignant; Anneau Crustique; Anneau Volkorne; Bouclier du Captain Amakna; Ceinture Volkorne; Casque Volkorne; Cape du Cœur Saignant; Bottes du Cœur Saignant; Dofus Pourpre; Dofus Abyssal; Dofus Turquoise; Dofus Ivoire; Dofus Nébuleux; Dofus Ocre; Kramkram</t>
        </is>
      </c>
    </row>
    <row r="7407">
      <c r="A7407" t="inlineStr">
        <is>
          <t>Zobal F 200</t>
        </is>
      </c>
      <c r="B7407">
        <f>HYPERLINK("https://www.dofusbook.net/fr/equipement/4232927-zobal-f-200/objets", "link")</f>
        <v/>
      </c>
      <c r="C7407" t="n">
        <v>0</v>
      </c>
      <c r="D7407" t="inlineStr">
        <is>
          <t>Crocobur; Amulette du Strigide; Alliance Gloursonne; Anneau Volkorne; Cadran d'Eau; Ceinture Volkorne; Casque Volkorne; Cape des Justiciers; Bottes du Strigide; Dofus Émeraude; Dofus Ocre; Dofus Turquoise; Dofus Abyssal; Dofus Pourpre; Dofus Ivoire; Kramkram</t>
        </is>
      </c>
    </row>
    <row r="7408">
      <c r="A7408" t="inlineStr">
        <is>
          <t>Huppermage M 200</t>
        </is>
      </c>
      <c r="B7408">
        <f>HYPERLINK("https://www.dofusbook.net/fr/equipement/4232917-huppermage-m-200/objets", "link")</f>
        <v/>
      </c>
      <c r="C7408" t="n">
        <v>1</v>
      </c>
      <c r="D7408" t="inlineStr">
        <is>
          <t>Couteaux Sacrificiels; Amulette Volkorne; Alliance Gloursonne; Anneau Volkorne; Cadran d'Eau; Ceintrigue; Masque Paztek; Cape Solution; Bottes Owesli; Dofus Abyssal; Dofus Pourpre; Dofus Ivoire; Dofus des Glaces; Dofus Ocre; Dofus Émeraude; Muldo Ebène et Orchidée</t>
        </is>
      </c>
    </row>
    <row r="7409">
      <c r="A7409" t="inlineStr">
        <is>
          <t>Crâ M 200</t>
        </is>
      </c>
      <c r="B7409">
        <f>HYPERLINK("https://www.dofusbook.net/fr/equipement/4232914-cra-m-200/objets", "link")</f>
        <v/>
      </c>
      <c r="C7409" t="n">
        <v>0</v>
      </c>
      <c r="D7409" t="inlineStr"/>
    </row>
    <row r="7410">
      <c r="A7410" t="inlineStr">
        <is>
          <t>Sadida M 200</t>
        </is>
      </c>
      <c r="B7410">
        <f>HYPERLINK("https://www.dofusbook.net/fr/equipement/4232905-sadida-m-200/objets", "link")</f>
        <v/>
      </c>
      <c r="C7410" t="n">
        <v>0</v>
      </c>
      <c r="D7410" t="inlineStr"/>
    </row>
    <row r="7411">
      <c r="A7411" t="inlineStr">
        <is>
          <t>Enutrof M 200</t>
        </is>
      </c>
      <c r="B7411">
        <f>HYPERLINK("https://www.dofusbook.net/fr/equipement/4232897-enutrof-m-200/objets", "link")</f>
        <v/>
      </c>
      <c r="C7411" t="n">
        <v>0</v>
      </c>
      <c r="D7411" t="inlineStr">
        <is>
          <t>Lance Horselé; Amulette d'Ilyzaelle; Alliance Gloursonne; Gant du Valet Veinard; Cadran d'Air; Menoture; Couronne d'Allister; Cape du Valet Veinard; Bottes du Cul Botté; Dofus Abyssal; Dofus Ocre; Dofus Émeraude; Dofus Ivoire; Cascadeur majeur; Étourdisseur majeur; Muldo Ebène et Indigo</t>
        </is>
      </c>
    </row>
    <row r="7412">
      <c r="A7412" t="inlineStr">
        <is>
          <t>Féca F 200</t>
        </is>
      </c>
      <c r="B7412">
        <f>HYPERLINK("https://www.dofusbook.net/fr/equipement/4232889-feca-f-200/objets", "link")</f>
        <v/>
      </c>
      <c r="C7412" t="n">
        <v>0</v>
      </c>
      <c r="D7412" t="inlineStr">
        <is>
          <t>Crocobur; Amulette du Cœur Vaillant; Alliance Gloursonne; Anneau Crustique; Bouclier alvéolé; Ceinture Volkorne; Casque Volkorne; Cape au Logis; Baleinabottes; Dofus Abyssal; Dofus Pourpre; Dofus Ivoire; Dolmanax; Dofus Émeraude; Étourdisseur majeur; Volkorne Jade et Ivoire</t>
        </is>
      </c>
    </row>
    <row r="7413">
      <c r="A7413" t="inlineStr">
        <is>
          <t>Crâ M 200</t>
        </is>
      </c>
      <c r="B7413">
        <f>HYPERLINK("https://www.dofusbook.net/fr/equipement/4232880-cra-m-200/objets", "link")</f>
        <v/>
      </c>
      <c r="C7413" t="n">
        <v>0</v>
      </c>
      <c r="D7413" t="inlineStr">
        <is>
          <t>Plume de Buhorado; Amibou; Alliance Gloursonne; Bague Trithon; Cadran d'Air; Menoture; Casque Volkorne; Capibou; Palmes Trithons; Dofus Ocre; Dofus Pourpre; Dofus Abyssal; Dofus Turquoise; Dofus Ivoire; Cascadeur majeur; Tofoudre</t>
        </is>
      </c>
    </row>
    <row r="7414">
      <c r="A7414" t="inlineStr">
        <is>
          <t>Iop M 200</t>
        </is>
      </c>
      <c r="B7414">
        <f>HYPERLINK("https://www.dofusbook.net/fr/equipement/4232867-iop-m-200/objets", "link")</f>
        <v/>
      </c>
      <c r="C7414" t="n">
        <v>4</v>
      </c>
      <c r="D7414" t="inlineStr">
        <is>
          <t>Crocobur; Amulette du Cœur Saignant; Bague Trithon; Anneau Volkorne; Cadran d'Eau; Ceinture Volkorne; Casque Volkorne; Cape du Cœur Saignant; Bottes Trithon; Dofus Ocre; Dofus Pourpre; Dofus Ivoire; Dofus des Glaces; Dofus Turquoise; Dofus Abyssal; Volkorne Rubis et Emeraude</t>
        </is>
      </c>
    </row>
    <row r="7415">
      <c r="A7415" t="inlineStr">
        <is>
          <t>Zobal M 200</t>
        </is>
      </c>
      <c r="B7415">
        <f>HYPERLINK("https://www.dofusbook.net/fr/equipement/4232854-zobal-m-200/objets", "link")</f>
        <v/>
      </c>
      <c r="C7415" t="n">
        <v>0</v>
      </c>
      <c r="D7415" t="inlineStr">
        <is>
          <t>Masse Ossiale; Amulette Luminescente; Alliance Gloursonne; Bague Instable; Bouclier précieux; Poulpagne; Masque Paztek; Cape Solution; Sandales Paztek; Dofus Émeraude; Dofus Abyssal; Dofus Ivoire; Bousculeur majeur; Miraculé majeur; Culbuteur majeur; Muldo Indigo</t>
        </is>
      </c>
    </row>
    <row r="7416">
      <c r="A7416" t="inlineStr">
        <is>
          <t>Ouginak M 200</t>
        </is>
      </c>
      <c r="B7416">
        <f>HYPERLINK("https://www.dofusbook.net/fr/equipement/4232831-ouginak-m-200/objets", "link")</f>
        <v/>
      </c>
      <c r="C7416" t="n">
        <v>1</v>
      </c>
      <c r="D7416" t="inlineStr">
        <is>
          <t>Masse Ossiale; Amulette Volkorne; Bague Instable; Anneau Volkorne; Bouclier Taverne; Ceintrigue; Masque Paztek; Cape Paztek; Sandales Paztek; Dofus Abyssal; Dofus Ivoire; Dofus Émeraude; Dofus Ocre; Dofus Pourpre; Bousculeur majeur; Volkorne Jade</t>
        </is>
      </c>
    </row>
    <row r="7417">
      <c r="A7417" t="inlineStr">
        <is>
          <t>Sadida F 200</t>
        </is>
      </c>
      <c r="B7417">
        <f>HYPERLINK("https://www.dofusbook.net/fr/equipement/4203159-sadida-f-200/objets", "link")</f>
        <v/>
      </c>
      <c r="C7417" t="n">
        <v>1</v>
      </c>
      <c r="D7417" t="inlineStr">
        <is>
          <t>Arc Nécrotique; Amulette Volkorne; Alliance du Lévitrof; Anneau Volkorne; Cadran d'Air; Ceinture Volkorne; Capuche de l'Œil Putride; Cape de l'Œil Putride; Bottes de la Dame du Hasard; Dofus Ocre; Dofus Pourpre; Dofus Abyssal; Dofus des Glaces; Dofus Ivoire; Entraveur majeur; Volkorne Jade et Turquoise</t>
        </is>
      </c>
    </row>
    <row r="7418">
      <c r="A7418" t="inlineStr">
        <is>
          <t>Osamodas M 200</t>
        </is>
      </c>
      <c r="B7418">
        <f>HYPERLINK("https://www.dofusbook.net/fr/equipement/4199469-osamodas-m-200/objets", "link")</f>
        <v/>
      </c>
      <c r="C7418" t="n">
        <v>1</v>
      </c>
      <c r="D7418" t="inlineStr">
        <is>
          <t>Dagues Érhy; Pendentif affamé; Anneauræus; Anneau Rifique; Carapar; Ceinture de Vortex; Casque Cyclopéen; Voile d'encre; Bottes Dogues; Dofus Abyssal; Dolmanax; Dofus Ivoire; Dofus Ocre; Déserteur majeur; Érudit majeur; Volkorne Jade et Améthyste</t>
        </is>
      </c>
    </row>
    <row r="7419">
      <c r="A7419" t="inlineStr">
        <is>
          <t>Huppermage F 200</t>
        </is>
      </c>
      <c r="B7419">
        <f>HYPERLINK("https://www.dofusbook.net/fr/equipement/4199459-huppermage-f-200/objets", "link")</f>
        <v/>
      </c>
      <c r="C7419" t="n">
        <v>1</v>
      </c>
      <c r="D7419" t="inlineStr">
        <is>
          <t>Arc Nécrotique; Amulette Volkorne; Alliance Gloursonne; Anneau Volkorne; Quatre-feuilles; Ceinture Volkorne; Casquette de Meno; Cape de Meno; Bottes de Meno; Dofus des Glaces; Dofus Ocre; Dofus Turquoise; Dofus Abyssal; Dofus Pourpre; Dofus Ivoire; Volkorne Améthyste</t>
        </is>
      </c>
    </row>
    <row r="7420">
      <c r="A7420" t="inlineStr">
        <is>
          <t>Sacrieur F 200</t>
        </is>
      </c>
      <c r="B7420">
        <f>HYPERLINK("https://www.dofusbook.net/fr/equipement/4199315-sacrieur-f-200/objets", "link")</f>
        <v/>
      </c>
      <c r="C7420" t="n">
        <v>0</v>
      </c>
      <c r="D7420" t="inlineStr">
        <is>
          <t>Hachoirs de Viandargh; Amulette du Strigide; Anneau de Padgref; Alliance Gloursonne; Bouclier du Captain Amakna; Menoture; Casque Volkorne; Chevelure de Tal Kasha; Sandales de Tal Kasha; Dofus Abyssal; Dofus Vulbis; Dofus Ivoire; Dofus Pourpre; Dofus Ocre; Dofus Turquoise; Blérodoudou</t>
        </is>
      </c>
    </row>
    <row r="7421">
      <c r="A7421" t="inlineStr">
        <is>
          <t>Iop M 200</t>
        </is>
      </c>
      <c r="B7421">
        <f>HYPERLINK("https://www.dofusbook.net/fr/equipement/4199302-iop-m-200/objets", "link")</f>
        <v/>
      </c>
      <c r="C7421" t="n">
        <v>3</v>
      </c>
      <c r="D7421" t="inlineStr">
        <is>
          <t>Marteau R'ture; Collier de Tourthon; Anneau Crustique; Anneau Volkorne; Bouclier du Captain Amakna; Ceinture Volkorne; Masque de Koutoulou; Cape au Logis; Sabots Minables; Dofus Pourpre; Dofus des Glaces; Dofus Abyssal; Dofus Turquoise; Dofus Ivoire; Enragé majeur; Bulbisou</t>
        </is>
      </c>
    </row>
    <row r="7422">
      <c r="A7422" t="inlineStr">
        <is>
          <t>Xélor M 200</t>
        </is>
      </c>
      <c r="B7422">
        <f>HYPERLINK("https://www.dofusbook.net/fr/equipement/4199296-xelor-m-200/objets", "link")</f>
        <v/>
      </c>
      <c r="C7422" t="n">
        <v>0</v>
      </c>
      <c r="D7422" t="inlineStr">
        <is>
          <t>Dagoulinantes; Amulette du Cœur Vaillant; Alliance Gloursonne; Anneau Crustique; Sept ans de malheur; Menoture; Masque d'Anerice; Cape d'Anerice; Pataugastrique; Dofus Abyssal; Dofus Ivoire; Dofus Émeraude; Étourdisseur majeur; Paralyseur majeur; Miraculé majeur; Muldo Ebène et Indigo</t>
        </is>
      </c>
    </row>
    <row r="7423">
      <c r="A7423" t="inlineStr">
        <is>
          <t>Steamer M 200</t>
        </is>
      </c>
      <c r="B7423">
        <f>HYPERLINK("https://www.dofusbook.net/fr/equipement/4199283-steamer-m-200/objets", "link")</f>
        <v/>
      </c>
      <c r="C7423" t="n">
        <v>1</v>
      </c>
      <c r="D7423" t="inlineStr">
        <is>
          <t>Arc Ontanporin; Amulette Volkorne; Anneau Volkorne; Alliance Gloursonne; Quatre-feuilles; Pagne du Rykaon; Kidibonnet; Cape Solution; Bottes de la Dame du Hasard; Dofus Ocre; Dofus Pourpre; Dofus Abyssal; Dofus Turquoise; Dofus Ivoire; Chanceux majeur; Muldo Ebène et Indigo</t>
        </is>
      </c>
    </row>
    <row r="7424">
      <c r="A7424" t="inlineStr">
        <is>
          <t>Enutrof M 200</t>
        </is>
      </c>
      <c r="B7424">
        <f>HYPERLINK("https://www.dofusbook.net/fr/equipement/4147245-enutrof-m-200/objets", "link")</f>
        <v/>
      </c>
      <c r="C7424" t="n">
        <v>0</v>
      </c>
      <c r="D7424" t="inlineStr">
        <is>
          <t>Lance Horselé; Amulette de Pol Ouatnos; Alliance Brûlâme; Alliance Gloursonne; Bouclier d'Anerice; Menoture; Casque Volkorne; Cape d'Anerice; Palmes Trithons; Dofus Abyssal; Dofus Ivoire; Dofus Cawotte; Étourdisseur majeur; Déserteur majeur; Cascadeur majeur; Volkorne Améthyste et Ivoire</t>
        </is>
      </c>
    </row>
    <row r="7425">
      <c r="A7425" t="inlineStr">
        <is>
          <t>Eniripsa M 200</t>
        </is>
      </c>
      <c r="B7425">
        <f>HYPERLINK("https://www.dofusbook.net/fr/equipement/4107181-eniripsa-m-200/objets", "link")</f>
        <v/>
      </c>
      <c r="C7425" t="n">
        <v>0</v>
      </c>
      <c r="D7425" t="inlineStr"/>
    </row>
    <row r="7426">
      <c r="A7426" t="inlineStr">
        <is>
          <t>Crâ M 200</t>
        </is>
      </c>
      <c r="B7426">
        <f>HYPERLINK("https://www.dofusbook.net/fr/equipement/4089236-cra-m-200/objets", "link")</f>
        <v/>
      </c>
      <c r="C7426" t="n">
        <v>0</v>
      </c>
      <c r="D7426" t="inlineStr">
        <is>
          <t>Arc du Chalœil; Collier de Tourthon; Anneau de Brouce; Anneau Crustique; Quatre-feuilles; Ceinture Volkorne; Masque de Koutoulou; Cape au Logis; Bottes de Brouce; Dofus Abyssal; Dofus Turquoise; Dofus Ivoire; Dofus Pourpre; Carapace Terre majeur; Enragé majeur; Volkorne Jade et Saphir</t>
        </is>
      </c>
    </row>
    <row r="7427">
      <c r="A7427" t="inlineStr">
        <is>
          <t>Pandawa F 200</t>
        </is>
      </c>
      <c r="B7427">
        <f>HYPERLINK("https://www.dofusbook.net/fr/equipement/4089223-pandawa-f-200/objets", "link")</f>
        <v/>
      </c>
      <c r="C7427" t="n">
        <v>1</v>
      </c>
      <c r="D7427" t="inlineStr">
        <is>
          <t>Arc Hétype; Pendentif affamé; Anneauræus; Anneau Rifique; Bouclier d'Anerice; Ceinture de Vortex; Heaume Oplate; Cape d'Anerice; Bottes Innommables; Dofus Ocre; Dofus Émeraude; Dofus Abyssal; Dolmanax; Dofus Ivoire; Érudit majeur; Muldo Ebène et Orchidée</t>
        </is>
      </c>
    </row>
    <row r="7428">
      <c r="A7428" t="inlineStr">
        <is>
          <t>Sacrieur F 200</t>
        </is>
      </c>
      <c r="B7428">
        <f>HYPERLINK("https://www.dofusbook.net/fr/equipement/4089195-sacrieur-f-200/objets", "link")</f>
        <v/>
      </c>
      <c r="C7428" t="n">
        <v>0</v>
      </c>
      <c r="D7428" t="inlineStr">
        <is>
          <t>Rapière aux Glyphes; Amulette d'Ilyzaelle; Alliance Gloursonne; Anneau Volkorne; Bouclier d'Ilyzaelle; Ceinture de la Reine des Voleurs; Casque d'Ilyzaelle; Cape Solution; Bottes de la Reine des Voleurs; Dofus des Glaces; Dofus Abyssal; Dofus Émeraude; Dofus Ivoire; Dolmanax; Dofus Pourpre; Muldo Ebène</t>
        </is>
      </c>
    </row>
    <row r="7429">
      <c r="A7429" t="inlineStr">
        <is>
          <t>Huppermage F 200</t>
        </is>
      </c>
      <c r="B7429">
        <f>HYPERLINK("https://www.dofusbook.net/fr/equipement/4089169-huppermage-f-200/objets", "link")</f>
        <v/>
      </c>
      <c r="C7429" t="n">
        <v>1</v>
      </c>
      <c r="D7429" t="inlineStr">
        <is>
          <t>Épée Brûlâme; Amulette Volkorne; Anneau Volkorne; Alliance Gloursonne; Cadran d'Eau; Sangle Ouare; Kidibonnet; Cape de la Dame du Hasard; Pataugastrique; Dofus Pourpre; Dofus Émeraude; Dofus Abyssal; Dofus Turquoise; Dofus Ivoire; Vigoureux majeur; Kramkram</t>
        </is>
      </c>
    </row>
    <row r="7430">
      <c r="A7430" t="inlineStr">
        <is>
          <t>Iop M 200</t>
        </is>
      </c>
      <c r="B7430">
        <f>HYPERLINK("https://www.dofusbook.net/fr/equipement/4089149-iop-m-200/objets", "link")</f>
        <v/>
      </c>
      <c r="C7430" t="n">
        <v>1</v>
      </c>
      <c r="D7430" t="inlineStr">
        <is>
          <t>Marteau Phossile; Amulette Volkorne; Alliance Gloursonne; Anneau Rifique; Quatre-feuilles; Menoture; Casque Volkorne; Voile d'encre; Sabots de Vortex; Dofus Turquoise; Dofus Abyssal; Dofus Pourpre; Dofus Ivoire; Dofus Émeraude; Dofus Ocre; Muldo Ebène et Indigo</t>
        </is>
      </c>
    </row>
    <row r="7431">
      <c r="A7431" t="inlineStr">
        <is>
          <t>Zobal M 200</t>
        </is>
      </c>
      <c r="B7431">
        <f>HYPERLINK("https://www.dofusbook.net/fr/equipement/4050624-zobal-m-200/objets", "link")</f>
        <v/>
      </c>
      <c r="C7431" t="n">
        <v>0</v>
      </c>
      <c r="D7431" t="inlineStr">
        <is>
          <t>Manthache; Collier du Valet Veinard; Gant du Valet Veinard; Alliance Gloursonne; Bouclier du Stalak; Menoture; Couronne d'Allister; Cape Indescriptible; Palmes Trithons; Dofus des Glaces; Dofus Pourpre; Dofus Vulbis; Dofus Ocre; Cascadeur majeur; Vigoureux majeur; Blérodoudou</t>
        </is>
      </c>
    </row>
    <row r="7432">
      <c r="A7432" t="inlineStr">
        <is>
          <t>Féca F 200</t>
        </is>
      </c>
      <c r="B7432">
        <f>HYPERLINK("https://www.dofusbook.net/fr/equipement/4050610-feca-f-200/objets", "link")</f>
        <v/>
      </c>
      <c r="C7432" t="n">
        <v>0</v>
      </c>
      <c r="D7432" t="inlineStr">
        <is>
          <t>Baguette Héroclite; Amulette de Shokkoth; Alliance Gloursonne; Anneau Volkorne; Bouclier du Stalak; Ceinture de la Reine des Voleurs; Kidibonnet; Cape Solution; Bottes de la Reine des Voleurs; Dofus Pourpre; Dofus Vulbis; Dofus des Glaces; Dolmanax; Chanceux majeur; Vigoureux majeur; Kanigloups</t>
        </is>
      </c>
    </row>
    <row r="7433">
      <c r="A7433" t="inlineStr">
        <is>
          <t>Sram F 200</t>
        </is>
      </c>
      <c r="B7433">
        <f>HYPERLINK("https://www.dofusbook.net/fr/equipement/4050591-sram-f-200/objets", "link")</f>
        <v/>
      </c>
      <c r="C7433" t="n">
        <v>0</v>
      </c>
      <c r="D7433" t="inlineStr">
        <is>
          <t>Arc du Chalœil; Collier de Tourthon; Anneau Volkorne; Anneau Crustique; Bouclier du Stalak; Ceinture Volkorne; Masque de Koutoulou; Cape au Logis; Baleinabottes; Dofus Turquoise; Dolmanax; Dofus des Glaces; Dofus Pourpre; Vigoureux majeur; Enragé majeur; Bulbisou</t>
        </is>
      </c>
    </row>
    <row r="7434">
      <c r="A7434" t="inlineStr">
        <is>
          <t>Roublard M 200</t>
        </is>
      </c>
      <c r="B7434">
        <f>HYPERLINK("https://www.dofusbook.net/fr/equipement/4050567-roublard-m-200/objets", "link")</f>
        <v/>
      </c>
      <c r="C7434" t="n">
        <v>0</v>
      </c>
      <c r="D7434" t="inlineStr">
        <is>
          <t>Manthache; Collier du Valet Veinard; Alliance Gloursonne; Gant du Valet Veinard; Bouclier du Stalak; Menoture; Couronne d'Allister; Cape Indescriptible; Palmes Trithons; Dofus Pourpre; Dofus des Glaces; Dofus Vulbis; Dofus Ocre; Cascadeur majeur; Dévastateur Air majeur; Blérodoudou</t>
        </is>
      </c>
    </row>
    <row r="7435">
      <c r="A7435" t="inlineStr">
        <is>
          <t>Enutrof M 200</t>
        </is>
      </c>
      <c r="B7435">
        <f>HYPERLINK("https://www.dofusbook.net/fr/equipement/4050547-enutrof-m-200/objets", "link")</f>
        <v/>
      </c>
      <c r="C7435" t="n">
        <v>0</v>
      </c>
      <c r="D7435" t="inlineStr">
        <is>
          <t>Baguette Hique; Amulette de Shokkoth; Anneau Volkorne; Pikano; Quatre-feuilles; Ceinture Glaciale; Kidibonnet; Cape de la Dame du Hasard; Bottes de la Dame du Hasard; Dofus Turquoise; Dofus Vulbis; Dofus Pourpre; Dofus Ocre; Temporiseur majeur; Chanceux majeur; Gwo Tofu Ventripotent</t>
        </is>
      </c>
    </row>
    <row r="7436">
      <c r="A7436" t="inlineStr">
        <is>
          <t>Eniripsa F 200</t>
        </is>
      </c>
      <c r="B7436">
        <f>HYPERLINK("https://www.dofusbook.net/fr/equipement/4050522-eniripsa-f-200/objets", "link")</f>
        <v/>
      </c>
      <c r="C7436" t="n">
        <v>0</v>
      </c>
      <c r="D7436" t="inlineStr">
        <is>
          <t>Lance Horselé; Amulette du Granduk; Alliance Gloursonne; Anneau de Padgref; Quatre-feuilles; Menoture; Coiffe de Padgref; Cape Indescriptible; Palmes Trithons; Dofus Turquoise; Dofus Ocre; Dofus des Glaces; Dofus Abyssal; Dofus Vulbis; Dofus Pourpre; Blérodoudou</t>
        </is>
      </c>
    </row>
    <row r="7437">
      <c r="A7437" t="inlineStr">
        <is>
          <t>Crâ M 200</t>
        </is>
      </c>
      <c r="B7437">
        <f>HYPERLINK("https://www.dofusbook.net/fr/equipement/4050506-cra-m-200/objets", "link")</f>
        <v/>
      </c>
      <c r="C7437" t="n">
        <v>0</v>
      </c>
      <c r="D7437" t="inlineStr">
        <is>
          <t>Arc Volkorne; Amulette du Strigide; Anneau Volkorne; Bracelet du Piloztère; Quatre-feuilles; Ceinture Volkorne; Casque Volkorne; Cape des Justiciers; Bottes du Strigide; Dofus Turquoise; Dofus Ocre; Dofus des Glaces; Dofus Abyssal; Dofus Pourpre; Dofus Ivoire; Kougnard Albâtre</t>
        </is>
      </c>
    </row>
    <row r="7438">
      <c r="A7438" t="inlineStr">
        <is>
          <t>Crâ M 200</t>
        </is>
      </c>
      <c r="B7438">
        <f>HYPERLINK("https://www.dofusbook.net/fr/equipement/4050491-cra-m-200/objets", "link")</f>
        <v/>
      </c>
      <c r="C7438" t="n">
        <v>0</v>
      </c>
      <c r="D7438" t="inlineStr">
        <is>
          <t>Arc Hisedaisange; Amulette Volkorne; Alliance Gloursonne; Anneau Volkorne; Quatre-feuilles; Ceintacé; Casque Volkorne; Cape d'Atcham; Sandales  d'Atcham; Dofus Pourpre; Dofus Abyssal; Dofus des Glaces; Dofus Ivoire; Dofus Turquoise; Dofus Ocre; Kramkram</t>
        </is>
      </c>
    </row>
    <row r="7439">
      <c r="A7439" t="inlineStr">
        <is>
          <t>Eniripsa F 200</t>
        </is>
      </c>
      <c r="B7439">
        <f>HYPERLINK("https://www.dofusbook.net/fr/equipement/4050468-eniripsa-f-200/objets", "link")</f>
        <v/>
      </c>
      <c r="C7439" t="n">
        <v>0</v>
      </c>
      <c r="D7439" t="inlineStr">
        <is>
          <t>Lance Horselé; Collier du Valet Veinard; Gant du Valet Veinard; Alliance Gloursonne; Bouclier du Stalak; Ceintouse; Coiffe de la Reine des Voleurs; Cape du Valet Veinard; Bottes de la Reine des Voleurs; Dofus des Glaces; Dofus Ocre; Dolmanax; Dofus Abyssal; Dofus Pourpre; Dofus Ivoire; Muldo Ebène</t>
        </is>
      </c>
    </row>
    <row r="7440">
      <c r="A7440" t="inlineStr">
        <is>
          <t>Eniripsa F 200</t>
        </is>
      </c>
      <c r="B7440">
        <f>HYPERLINK("https://www.dofusbook.net/fr/equipement/4050469-eniripsa-f-200/objets", "link")</f>
        <v/>
      </c>
      <c r="C7440" t="n">
        <v>0</v>
      </c>
      <c r="D7440" t="inlineStr"/>
    </row>
    <row r="7441">
      <c r="A7441" t="inlineStr">
        <is>
          <t>Crâ F 200</t>
        </is>
      </c>
      <c r="B7441">
        <f>HYPERLINK("https://www.dofusbook.net/fr/equipement/4050444-cra-f-200/objets", "link")</f>
        <v/>
      </c>
      <c r="C7441" t="n">
        <v>1</v>
      </c>
      <c r="D7441" t="inlineStr">
        <is>
          <t>Arc de Koutoulou; Amulette Volkorne; Alliance Gloursonne; Anneau Volkorne; Quatre-feuilles; Menoture; Casque Volkorne; Chevelure de Tal Kasha; Sandales de Tal Kasha; Dofus Turquoise; Dofus Abyssal; Dofus Pourpre; Dofus Ivoire; Dofus des Glaces; Paralyseur majeur; Volkorne Saphir et Améthyste</t>
        </is>
      </c>
    </row>
    <row r="7442">
      <c r="A7442" t="inlineStr">
        <is>
          <t>Ecaflip M 200</t>
        </is>
      </c>
      <c r="B7442">
        <f>HYPERLINK("https://www.dofusbook.net/fr/equipement/4048432-ecaflip-m-200/objets", "link")</f>
        <v/>
      </c>
      <c r="C7442" t="n">
        <v>1</v>
      </c>
      <c r="D7442" t="inlineStr">
        <is>
          <t>Arc du Chalœil; Amulette du Strigide; Anneau Crustique; Anneau Chevelu; Quatre-feuilles; Ceinture Volkorne; Masque de Koutoulou; Cape au Logis; Bottes du Strigide; Dolmanax; Dofus Pourpre; Dofus Émeraude; Dofus Abyssal; Dofus Turquoise; Dofus Ivoire; Volkorne Saphir</t>
        </is>
      </c>
    </row>
    <row r="7443">
      <c r="A7443" t="inlineStr">
        <is>
          <t>Ecaflip F 200</t>
        </is>
      </c>
      <c r="B7443">
        <f>HYPERLINK("https://www.dofusbook.net/fr/equipement/4048412-ecaflip-f-200/objets", "link")</f>
        <v/>
      </c>
      <c r="C7443" t="n">
        <v>1</v>
      </c>
      <c r="D7443" t="inlineStr">
        <is>
          <t>Héqache; Amulette du Cœur Vaillant; Anneau Chevelu; Bague Trithon; Bouclier Taverne; Ceinture Gence; Masque Trithon; Cape du Cœur Vaillant; Bottes du Cœur Vaillant; Dofus Turquoise; Dofus Abyssal; Dofus Émeraude; Dofus Ivoire; Dofus Pourpre; Dofus Ocre; Muldo Ebène et Pourpre</t>
        </is>
      </c>
    </row>
    <row r="7444">
      <c r="A7444" t="inlineStr">
        <is>
          <t>Eniripsa F 200</t>
        </is>
      </c>
      <c r="B7444">
        <f>HYPERLINK("https://www.dofusbook.net/fr/equipement/4048269-eniripsa-f-200/objets", "link")</f>
        <v/>
      </c>
      <c r="C7444" t="n">
        <v>0</v>
      </c>
      <c r="D7444" t="inlineStr">
        <is>
          <t>Arc corrompu; Amulette Volkorne; Anneauræus; Anneau de Nidas; Bouclier du Stalak; Ceinture de Vortex; Casque Volkorne; Voile d'encre; Pataugastrique; Dofus Ocre; Dofus Abyssal; Dolmanax; Dofus Ivoire; Érudit majeur; Étourdisseur majeur; Muldo Pourpre et Amande</t>
        </is>
      </c>
    </row>
    <row r="7445">
      <c r="A7445" t="inlineStr">
        <is>
          <t>Zobal M 200</t>
        </is>
      </c>
      <c r="B7445">
        <f>HYPERLINK("https://www.dofusbook.net/fr/equipement/4048370-zobal-m-200/objets", "link")</f>
        <v/>
      </c>
      <c r="C7445" t="n">
        <v>0</v>
      </c>
      <c r="D7445" t="inlineStr">
        <is>
          <t>Dagoulinantes; Amulette Luminescente; Alliance Gloursonne; Bague Trithon; Bouclier précieux; Sangle Ouare; Masque de l'Esprit Malsain; Cape Solution; Bottes Trithon; Dofus Turquoise; Dofus Abyssal; Dofus Émeraude; Dofus Ivoire; Bousculeur majeur; Culbuteur majeur; Volkorne Rubis</t>
        </is>
      </c>
    </row>
    <row r="7446">
      <c r="A7446" t="inlineStr">
        <is>
          <t>Steamer M 200</t>
        </is>
      </c>
      <c r="B7446">
        <f>HYPERLINK("https://www.dofusbook.net/fr/equipement/4048320-steamer-m-200/objets", "link")</f>
        <v/>
      </c>
      <c r="C7446" t="n">
        <v>0</v>
      </c>
      <c r="D7446" t="inlineStr">
        <is>
          <t>Epée Toche; Amulette Volkorne; Bague Gloursonne; Alliance Brûlâme; Bouclier du Stalak; Ceinture Volkorne; Masque de Koutoulou; Voile d'encre; Baleinabottes; Dolmanax; Dofus Abyssal; Dofus Pourpre; Dofus Ivoire; Dofus des Glaces; Vigoureux majeur; Muldo Pourpre</t>
        </is>
      </c>
    </row>
    <row r="7447">
      <c r="A7447" t="inlineStr">
        <is>
          <t>Ouginak F 200</t>
        </is>
      </c>
      <c r="B7447">
        <f>HYPERLINK("https://www.dofusbook.net/fr/equipement/4048303-ouginak-f-200/objets", "link")</f>
        <v/>
      </c>
      <c r="C7447" t="n">
        <v>0</v>
      </c>
      <c r="D7447" t="inlineStr">
        <is>
          <t>Masse Ossiale; Amulette Volkorne; Bague Trithon; Anneau Volkorne; Bouclier précieux; Ceintrigue; Masque Trithon; Cape Solution; Bottes Owesli; Dofus Ocre; Dofus Émeraude; Dofus Abyssal; Dofus Turquoise; Dofus Ivoire; Bousculeur majeur; Muldo Ebène et Indigo</t>
        </is>
      </c>
    </row>
    <row r="7448">
      <c r="A7448" t="inlineStr">
        <is>
          <t>Sram M 200</t>
        </is>
      </c>
      <c r="B7448">
        <f>HYPERLINK("https://www.dofusbook.net/fr/equipement/4048282-sram-m-200/objets", "link")</f>
        <v/>
      </c>
      <c r="C7448" t="n">
        <v>0</v>
      </c>
      <c r="D7448" t="inlineStr">
        <is>
          <t>Dagues Ricol; Amulette Volkorne; Alliance Brûlâme; Chevalière du Roi Joueur; Bouclier du Stalak; Ceinture Volkorne; Couronne du Roi Joueur; Voile d'encre; Bottes du Roi Joueur; Dofus des Glaces; Dofus Abyssal; Dofus Pourpre; Dofus Ivoire; Dolmanax; Dofus Ocre; Muldo Pourpre</t>
        </is>
      </c>
    </row>
    <row r="7449">
      <c r="A7449" t="inlineStr">
        <is>
          <t>Féca F 200</t>
        </is>
      </c>
      <c r="B7449">
        <f>HYPERLINK("https://www.dofusbook.net/fr/equipement/4048258-feca-f-200/objets", "link")</f>
        <v/>
      </c>
      <c r="C7449" t="n">
        <v>1</v>
      </c>
      <c r="D7449" t="inlineStr">
        <is>
          <t>Sabres d'Atcham; Amulette Volkorne; Anneau Volkorne; Bague Trithon; Bouclier Taverne; Ceinture Volkorne; Masque Trithon; Cape d'Atcham; Sandales  d'Atcham; Dofus Turquoise; Dofus Abyssal; Dofus Pourpre; Dofus Ivoire; Dolmanax; Dofus Ocre; Bwak d'Air</t>
        </is>
      </c>
    </row>
    <row r="7450">
      <c r="A7450" t="inlineStr">
        <is>
          <t>Pandawa F 200</t>
        </is>
      </c>
      <c r="B7450">
        <f>HYPERLINK("https://www.dofusbook.net/fr/equipement/4047617-pandawa-f-200/objets", "link")</f>
        <v/>
      </c>
      <c r="C7450" t="n">
        <v>0</v>
      </c>
      <c r="D7450" t="inlineStr">
        <is>
          <t>Baguette de Malléfisk; Pendentif mignon de Koutoulou; Anneau Rifique; Anneauræus; Carapar; Ceinture de Vortex; Heaume Oplate; Voile d'encre; Bottes Innommables; Dofus Ocre; Dofus Abyssal; Dolmanax; Dofus Ivoire; Guérisseur majeur; Érudit majeur; Muldo Orchidée et Pourpre</t>
        </is>
      </c>
    </row>
    <row r="7451">
      <c r="A7451" t="inlineStr">
        <is>
          <t>Enutrof F 200</t>
        </is>
      </c>
      <c r="B7451">
        <f>HYPERLINK("https://www.dofusbook.net/fr/equipement/4047601-enutrof-f-200/objets", "link")</f>
        <v/>
      </c>
      <c r="C7451" t="n">
        <v>0</v>
      </c>
      <c r="D7451" t="inlineStr">
        <is>
          <t>Lance Horselé; Collier du Valet Veinard; Alliance Gloursonne; Gant du Valet Veinard; Cadran de Terre; Menoture; Couronne d'Allister; Cape du Barbétoal; Palmes Trithons; Dofus Abyssal; Dofus Pourpre; Dofus Ivoire; Dofus Ocre; Étourdisseur majeur; Cascadeur majeur; Muldo Ebène et Indigo</t>
        </is>
      </c>
    </row>
    <row r="7452">
      <c r="A7452" t="inlineStr">
        <is>
          <t>Eniripsa F 200</t>
        </is>
      </c>
      <c r="B7452">
        <f>HYPERLINK("https://www.dofusbook.net/fr/equipement/4047549-eniripsa-f-200/objets", "link")</f>
        <v/>
      </c>
      <c r="C7452" t="n">
        <v>0</v>
      </c>
      <c r="D7452" t="inlineStr">
        <is>
          <t>Arc de Koutoulou; Amulette de Pol Ouatnos; Anneau Volkorne; Alliance Gloursonne; Quatre-feuilles; Menoture; Casque Volkorne; Chevelure de Tal Kasha; Sandales de Tal Kasha; Dolmanax; Dofus Pourpre; Dofus des Glaces; Dofus Abyssal; Dofus Turquoise; Dofus Ivoire; Volkorne Améthyste et Ivoire</t>
        </is>
      </c>
    </row>
    <row r="7453">
      <c r="A7453" t="inlineStr">
        <is>
          <t>Pandawa M 200</t>
        </is>
      </c>
      <c r="B7453">
        <f>HYPERLINK("https://www.dofusbook.net/fr/equipement/4047532-pandawa-m-200/objets", "link")</f>
        <v/>
      </c>
      <c r="C7453" t="n">
        <v>1</v>
      </c>
      <c r="D7453" t="inlineStr">
        <is>
          <t>Manthache; Collier du Valet Veinard; Alliance Gloursonne; Gant du Valet Veinard; Bouclier d'Anerice; Menoture; Couronne d'Allister; Cape d'Anerice; Palmes Trithons; Dofus Émeraude; Dofus Abyssal; Dofus Pourpre; Dofus Ivoire; Dolmanax; Dofus Ocre; Muldo Ebène et Orchidée</t>
        </is>
      </c>
    </row>
    <row r="7454">
      <c r="A7454" t="inlineStr">
        <is>
          <t>Roublard F 200</t>
        </is>
      </c>
      <c r="B7454">
        <f>HYPERLINK("https://www.dofusbook.net/fr/equipement/4047505-roublard-f-200/objets", "link")</f>
        <v/>
      </c>
      <c r="C7454" t="n">
        <v>0</v>
      </c>
      <c r="D7454" t="inlineStr">
        <is>
          <t>Arc corrompu; Pendentif mignon de Koutoulou; Anneauræus; Anneau Rifique; Bouclier du Stalak; Ceinture de Gein; Heaume Oplate; Voile d'encre; Bottes Innommables; Dofus Ocre; Dofus Pourpre; Dofus Abyssal; Dofus des Glaces; Dofus Ivoire; Érudit majeur; Muldo Pourpre</t>
        </is>
      </c>
    </row>
    <row r="7455">
      <c r="A7455" t="inlineStr">
        <is>
          <t>Roublard F 200</t>
        </is>
      </c>
      <c r="B7455">
        <f>HYPERLINK("https://www.dofusbook.net/fr/equipement/4040216-roublard-f-200/objets", "link")</f>
        <v/>
      </c>
      <c r="C7455" t="n">
        <v>1</v>
      </c>
      <c r="D7455" t="inlineStr">
        <is>
          <t>Arc du Chalœil; Collier de Tourthon; Anneau Chevelu; Anneau de Brouce; Bouclier du Stalak; Ceinture Volkorne; Masque de Koutoulou; Cape au Logis; Bottes de Brouce; Dofus Pourpre; Dofus Abyssal; Dofus des Glaces; Dofus Ivoire; Enragé majeur; Miraculé majeur; Volkorne Jade et Saphir</t>
        </is>
      </c>
    </row>
    <row r="7456">
      <c r="A7456" t="inlineStr">
        <is>
          <t>Sacrieur F 200</t>
        </is>
      </c>
      <c r="B7456">
        <f>HYPERLINK("https://www.dofusbook.net/fr/equipement/4040205-sacrieur-f-200/objets", "link")</f>
        <v/>
      </c>
      <c r="C7456" t="n">
        <v>0</v>
      </c>
      <c r="D7456" t="inlineStr">
        <is>
          <t>Arc corrompu; Amulette Séculaire; Anneauræus; Anneauræus; Bouclier du Stalak; Ceinture Séculaire; Coiffe Séculaire; Cape de la Dame du Hasard; Bottes de la Dame du Hasard; Dofus Pourpre; Dofus Ivoire; Dolmanax; Dofus Ocre; Dofus Turquoise; Dofus Abyssal; Muldo Orchidée</t>
        </is>
      </c>
    </row>
    <row r="7457">
      <c r="A7457" t="inlineStr">
        <is>
          <t>Eniripsa F 200</t>
        </is>
      </c>
      <c r="B7457">
        <f>HYPERLINK("https://www.dofusbook.net/fr/equipement/4040193-eniripsa-f-200/objets", "link")</f>
        <v/>
      </c>
      <c r="C7457" t="n">
        <v>0</v>
      </c>
      <c r="D7457" t="inlineStr">
        <is>
          <t>Arc Ontanporin; Amulette de Shokkoth; Alliance Gloursonne; Anneau Volkorne; Cadran d'Air; Pagne du Rykaon; Masque de Funespadon; Cape Solution; Chaussons de Macrab; Dofus Pourpre; Dofus Abyssal; Dofus Turquoise; Dofus Ivoire; Dofus Ocre; Chanceux majeur; Muldo Indigo et Amande</t>
        </is>
      </c>
    </row>
    <row r="7458">
      <c r="A7458" t="inlineStr">
        <is>
          <t>Ouginak F 200</t>
        </is>
      </c>
      <c r="B7458">
        <f>HYPERLINK("https://www.dofusbook.net/fr/equipement/4040180-ouginak-f-200/objets", "link")</f>
        <v/>
      </c>
      <c r="C7458" t="n">
        <v>0</v>
      </c>
      <c r="D7458" t="inlineStr">
        <is>
          <t>Karnak; Collier du Valet Veinard; Gant du Valet Veinard; Alliance Gloursonne; Bouclier d'Ilyzaelle; Menoture; Couronne d'Allister; Cape de Crânonier; Palmes Trithons; Dofus Pourpre; Dofus Ivoire; Dofus Émeraude; Dofus Abyssal; Cascadeur majeur; Carapace Air majeur; Volkorne Rubis</t>
        </is>
      </c>
    </row>
    <row r="7459">
      <c r="A7459" t="inlineStr">
        <is>
          <t>Eniripsa F 200</t>
        </is>
      </c>
      <c r="B7459">
        <f>HYPERLINK("https://www.dofusbook.net/fr/equipement/4040170-eniripsa-f-200/objets", "link")</f>
        <v/>
      </c>
      <c r="C7459" t="n">
        <v>0</v>
      </c>
      <c r="D7459" t="inlineStr">
        <is>
          <t>Arc de Koutoulou; Amulette de Shokkoth; Alliance Gloursonne; Anneau Volkorne; Quatre-feuilles; Menoture; Casque Volkorne; Chevelure de Tal Kasha; Sandales de Tal Kasha; Dofus des Glaces; Dofus Abyssal; Dofus Pourpre; Dofus Ivoire; Dofus Turquoise; Dofus Ocre; Muldo Indigo et Orchidée</t>
        </is>
      </c>
    </row>
    <row r="7460">
      <c r="A7460" t="inlineStr">
        <is>
          <t>Steamer M 200</t>
        </is>
      </c>
      <c r="B7460">
        <f>HYPERLINK("https://www.dofusbook.net/fr/equipement/4040162-steamer-m-200/objets", "link")</f>
        <v/>
      </c>
      <c r="C7460" t="n">
        <v>1</v>
      </c>
      <c r="D7460" t="inlineStr">
        <is>
          <t>Arc Volkorne; Amulette de l'Indicible; Anneau Volkorne; Alliance Gloursonne; Bouclier du Stalak; Ceinture Volkorne; Casque Volkorne; Voile d'encre; Bottes de l'Indicible; Dofus Pourpre; Dofus Ivoire; Dolmanax; Dofus Ocre; Dofus des Glaces; Dofus Abyssal; Volkorne Jade</t>
        </is>
      </c>
    </row>
    <row r="7461">
      <c r="A7461" t="inlineStr">
        <is>
          <t>Steamer M 200</t>
        </is>
      </c>
      <c r="B7461">
        <f>HYPERLINK("https://www.dofusbook.net/fr/equipement/4040147-steamer-m-200/objets", "link")</f>
        <v/>
      </c>
      <c r="C7461" t="n">
        <v>0</v>
      </c>
      <c r="D7461" t="inlineStr">
        <is>
          <t>Arc corrompu; Amulette Séculaire; Anneauræus; Anneauræus; Bouclier du Stalak; Ceinture Séculaire; Heaume Oplate; Voile d'encre; Bottes Innommables; Dofus Abyssal; Dolmanax; Dofus Ivoire; Dofus Ocre; Carapace Terre majeur; Érudit majeur; Muldo Orchidée et Pourpre</t>
        </is>
      </c>
    </row>
    <row r="7462">
      <c r="A7462" t="inlineStr">
        <is>
          <t>Sacrieur F 200</t>
        </is>
      </c>
      <c r="B7462">
        <f>HYPERLINK("https://www.dofusbook.net/fr/equipement/4040136-sacrieur-f-200/objets", "link")</f>
        <v/>
      </c>
      <c r="C7462" t="n">
        <v>0</v>
      </c>
      <c r="D7462" t="inlineStr">
        <is>
          <t>Karnak; Amulette d'Ilyzaelle; Gant du Valet Veinard; Alliance Gloursonne; Bouclier d'Ilyzaelle; Menoture; Coiffe de la Reine des Voleurs; Cape du Valet Veinard; Bottes de la Reine des Voleurs; Dofus Émeraude; Dofus Ivoire; Dofus des Glaces; Dofus Pourpre; Dolmanax; Dofus Abyssal; Volkorne Améthyste</t>
        </is>
      </c>
    </row>
    <row r="7463">
      <c r="A7463" t="inlineStr">
        <is>
          <t>Iop M 200</t>
        </is>
      </c>
      <c r="B7463">
        <f>HYPERLINK("https://www.dofusbook.net/fr/equipement/4040121-iop-m-200/objets", "link")</f>
        <v/>
      </c>
      <c r="C7463" t="n">
        <v>2</v>
      </c>
      <c r="D7463" t="inlineStr">
        <is>
          <t>Héqache; Amulette Luminescente; Anneau Chevelu; Bague Trithon; Bouclier précieux; Ceinture Gence; Masque Trithon; Cape au Logis; Bottes du Cœur Vaillant; Dofus Abyssal; Dofus Émeraude; Dofus Ivoire; Dofus Turquoise; Culbuteur majeur; Bousculeur majeur; Volkorne Améthyste et Roux</t>
        </is>
      </c>
    </row>
    <row r="7464">
      <c r="A7464" t="inlineStr">
        <is>
          <t>Crâ M 200</t>
        </is>
      </c>
      <c r="B7464">
        <f>HYPERLINK("https://www.dofusbook.net/fr/equipement/4024887-cra-m-200/objets", "link")</f>
        <v/>
      </c>
      <c r="C7464" t="n">
        <v>2</v>
      </c>
      <c r="D7464" t="inlineStr">
        <is>
          <t>Arc Nécrotique; Amulette Volkorne; Anneau Volkorne; Alliance Gloursonne; Quatre-feuilles; Poulpagne; Casquette de Meno; Cape de la Dame du Hasard; Bottes de la Dame du Hasard; Dofus Pourpre; Dofus Ivoire; Dofus Ocre; Dofus Turquoise; Dofus Abyssal; Entraveur majeur; Muldo Ebène et Pourpre</t>
        </is>
      </c>
    </row>
    <row r="7465">
      <c r="A7465" t="inlineStr">
        <is>
          <t>Crâ M 200</t>
        </is>
      </c>
      <c r="B7465">
        <f>HYPERLINK("https://www.dofusbook.net/fr/equipement/4024856-cra-m-200/objets", "link")</f>
        <v/>
      </c>
      <c r="C7465" t="n">
        <v>1</v>
      </c>
      <c r="D7465" t="inlineStr">
        <is>
          <t>Dagoulinantes; Collier de la Dame du Hasard; Anneau de Pol Ouatnos; Anneau Crustique; Bouclier d'Anerice; Menoture; Capuche de l'Œil Putride; Cape d'Anerice; Sandales de Tal Kasha; Dofus Abyssal; Dofus Ivoire; Dofus Cawotte; Temporiseur majeur; Étourdisseur majeur; Paralyseur majeur; Volkorne Saphir et Turquoise</t>
        </is>
      </c>
    </row>
    <row r="7466">
      <c r="A7466" t="inlineStr">
        <is>
          <t>Enutrof M 200</t>
        </is>
      </c>
      <c r="B7466">
        <f>HYPERLINK("https://www.dofusbook.net/fr/equipement/4024844-enutrof-m-200/objets", "link")</f>
        <v/>
      </c>
      <c r="C7466" t="n">
        <v>0</v>
      </c>
      <c r="D7466" t="inlineStr">
        <is>
          <t>Arc corrompu; Amulette Volkorne; Anneauræus; Anneau Rifique; Cadran de Terre; Ceinture de Vortex; Casque Volkorne; Cape de Diondin; Sabots de Vortex; Dofus Pourpre; Dofus Ivoire; Dofus Ocre; Dolmanax; Dofus Abyssal; Vagabond majeur; Muldo Pourpre et Amande</t>
        </is>
      </c>
    </row>
    <row r="7467">
      <c r="A7467" t="inlineStr">
        <is>
          <t>Sadida M 200</t>
        </is>
      </c>
      <c r="B7467">
        <f>HYPERLINK("https://www.dofusbook.net/fr/equipement/4024830-sadida-m-200/objets", "link")</f>
        <v/>
      </c>
      <c r="C7467" t="n">
        <v>0</v>
      </c>
      <c r="D7467" t="inlineStr">
        <is>
          <t>Dagues Érhy; Amulette Volkorne; Alliance Gloursonne; Anneau Volkorne; Bouclier du Stalak; Ceinture de l'Esprit Salvateur; Casque Volkorne; Cape Solution; Bottes de l'Esprit Salvateur; Dofus Pourpre; Dofus Abyssal; Dofus des Glaces; Dofus Ivoire; Dolmanax; Vagabond majeur; Volkorne Jade et Améthyste</t>
        </is>
      </c>
    </row>
    <row r="7468">
      <c r="A7468" t="inlineStr">
        <is>
          <t>Ecaflip F 200</t>
        </is>
      </c>
      <c r="B7468">
        <f>HYPERLINK("https://www.dofusbook.net/fr/equipement/4024815-ecaflip-f-200/objets", "link")</f>
        <v/>
      </c>
      <c r="C7468" t="n">
        <v>1</v>
      </c>
      <c r="D7468" t="inlineStr">
        <is>
          <t>Sceptre du Roi Joueur; Amulette de Shokkoth; Anneau Volkorne; Alliance Gloursonne; Cadran d'Air; Pagne du Rykaon; Kidibonnet; Cape de la Dame du Hasard; Bottes de la Dame du Hasard; Dofus Pourpre; Dofus Ivoire; Dofus Ocre; Dofus Turquoise; Dofus Abyssal; Chanceux majeur; Muldo Indigo et Orchidée</t>
        </is>
      </c>
    </row>
    <row r="7469">
      <c r="A7469" t="inlineStr">
        <is>
          <t>Enutrof M 200</t>
        </is>
      </c>
      <c r="B7469">
        <f>HYPERLINK("https://www.dofusbook.net/fr/equipement/4024795-enutrof-m-200/objets", "link")</f>
        <v/>
      </c>
      <c r="C7469" t="n">
        <v>0</v>
      </c>
      <c r="D7469" t="inlineStr">
        <is>
          <t>Arc Honte; Amulette Volkorne; Anneau de Nidas; Alliance Gloursonne; Cadran de Terre; Ceinture de l'Esprit Salvateur; Casque Volkorne; Cape de l'Œil Putride; Pataugastrique; Dofus des Glaces; Dofus Abyssal; Dofus Pourpre; Dofus Ivoire; Dofus Ocre; Étourdisseur majeur; Muldo Pourpre et Amande</t>
        </is>
      </c>
    </row>
    <row r="7470">
      <c r="A7470" t="inlineStr">
        <is>
          <t>Ouginak M 200</t>
        </is>
      </c>
      <c r="B7470">
        <f>HYPERLINK("https://www.dofusbook.net/fr/equipement/4024782-ouginak-m-200/objets", "link")</f>
        <v/>
      </c>
      <c r="C7470" t="n">
        <v>0</v>
      </c>
      <c r="D7470" t="inlineStr">
        <is>
          <t>Sabres d'Atcham; Amulette Volkorne; Anneau Volkorne; Alliance Gloursonne; Cadran d'Eau; Sangle Oriole; Casque Volkorne; Cape d'Atcham; Sandales  d'Atcham; Dofus Pourpre; Dofus Ivoire; Dofus Émeraude; Dofus Ocre; Dofus Turquoise; Dofus Abyssal; Volkorne Améthyste</t>
        </is>
      </c>
    </row>
    <row r="7471">
      <c r="A7471" t="inlineStr">
        <is>
          <t>Eniripsa M 200</t>
        </is>
      </c>
      <c r="B7471">
        <f>HYPERLINK("https://www.dofusbook.net/fr/equipement/4024777-eniripsa-m-200/objets", "link")</f>
        <v/>
      </c>
      <c r="C7471" t="n">
        <v>0</v>
      </c>
      <c r="D7471" t="inlineStr">
        <is>
          <t>Sabres d'Atcham; Amulette de l'Œil Putride; Alliance Gloursonne; Anneau Volkorne; Quatre-feuilles; Menoture; Casque Volkorne; Cape de l'Œil Putride; Sandales  d'Atcham; Dofus Turquoise; Dofus Abyssal; Dofus Pourpre; Dofus Ivoire; Dofus Cawotte; Dofus Ocre; Muldo Ebène</t>
        </is>
      </c>
    </row>
    <row r="7472">
      <c r="A7472" t="inlineStr">
        <is>
          <t>Crâ M 200</t>
        </is>
      </c>
      <c r="B7472">
        <f>HYPERLINK("https://www.dofusbook.net/fr/equipement/4006145-cra-m-200/objets", "link")</f>
        <v/>
      </c>
      <c r="C7472" t="n">
        <v>1</v>
      </c>
      <c r="D7472" t="inlineStr">
        <is>
          <t>Arc de Guten Tak; Amulette du Strigide; Anneau Volkorne; Bague Trithon; Quatre-feuilles; Ceinture Volkorne; Masque Trithon; Cape au Logis; Bottes du Strigide; Dofus Pourpre; Dofus Ivoire; Dofus Turquoise; Dofus Ocre; Dofus des Glaces; Dofus Abyssal; Volkorne Améthyste et Emeraude</t>
        </is>
      </c>
    </row>
    <row r="7473">
      <c r="A7473" t="inlineStr">
        <is>
          <t>Steamer F 200</t>
        </is>
      </c>
      <c r="B7473">
        <f>HYPERLINK("https://www.dofusbook.net/fr/equipement/4000156-steamer-f-200/objets", "link")</f>
        <v/>
      </c>
      <c r="C7473" t="n">
        <v>0</v>
      </c>
      <c r="D7473" t="inlineStr">
        <is>
          <t>Hache du Chalœil; Amulette du Strigide; Bague Trithon; Anneau Volkorne; Quatre-feuilles; Ceinture Volkorne; Casque Volkorne; Voile d'encre; Bottes du Strigide; Dofus Abyssal; Dofus Pourpre; Dofus Ivoire; Dofus des Glaces; Dofus Ocre; Dofus Turquoise; Volkorne Rubis</t>
        </is>
      </c>
    </row>
    <row r="7474">
      <c r="A7474" t="inlineStr">
        <is>
          <t>Ecaflip F 200</t>
        </is>
      </c>
      <c r="B7474">
        <f>HYPERLINK("https://www.dofusbook.net/fr/equipement/4000130-ecaflip-f-200/objets", "link")</f>
        <v/>
      </c>
      <c r="C7474" t="n">
        <v>1</v>
      </c>
      <c r="D7474" t="inlineStr">
        <is>
          <t>Dagoulinantes; Amulette de Shokkoth; Alliance Gloursonne; Anneau Volkorne; Bouclier du Stalak; Sangle Ouare; Kidibonnet; Cape de la Dame du Hasard; Bottes de la Dame du Hasard; Dofus Pourpre; Dolmanax; Dofus Abyssal; Dofus Turquoise; Dofus Ivoire; Chanceux majeur; Volkorne Jade</t>
        </is>
      </c>
    </row>
    <row r="7475">
      <c r="A7475" t="inlineStr">
        <is>
          <t>Ecaflip F 200</t>
        </is>
      </c>
      <c r="B7475">
        <f>HYPERLINK("https://www.dofusbook.net/fr/equipement/4000113-ecaflip-f-200/objets", "link")</f>
        <v/>
      </c>
      <c r="C7475" t="n">
        <v>1</v>
      </c>
      <c r="D7475" t="inlineStr">
        <is>
          <t>Hache du Chalœil; Amulette Volkorne; Bague Trithon; Anneau Volkorne; Cadran d'Air; Ceinture Volkorne; Masque Trithon; Voile d'encre; Bottes Trithon; Dofus Abyssal; Dofus Pourpre; Dofus Ivoire; Dofus Turquoise; Dofus Ocre; Dolmanax; Bwak de Terre</t>
        </is>
      </c>
    </row>
    <row r="7476">
      <c r="A7476" t="inlineStr">
        <is>
          <t>Enutrof M 200</t>
        </is>
      </c>
      <c r="B7476">
        <f>HYPERLINK("https://www.dofusbook.net/fr/equipement/4000100-enutrof-m-200/objets", "link")</f>
        <v/>
      </c>
      <c r="C7476" t="n">
        <v>0</v>
      </c>
      <c r="D7476" t="inlineStr">
        <is>
          <t>Manthache; Collier du Valet Veinard; Alliance Gloursonne; Gant du Valet Veinard; Cadran d'Air; Menoture; Casque Volkorne; Cape d'Anerice; Palmes Trithons; Dofus Ocre; Dofus Abyssal; Dofus Pourpre; Dofus Ivoire; Cascadeur majeur; Étourdisseur majeur; Muldo Ebène et Orchidée</t>
        </is>
      </c>
    </row>
    <row r="7477">
      <c r="A7477" t="inlineStr">
        <is>
          <t>Féca F 200</t>
        </is>
      </c>
      <c r="B7477">
        <f>HYPERLINK("https://www.dofusbook.net/fr/equipement/4000083-feca-f-200/objets", "link")</f>
        <v/>
      </c>
      <c r="C7477" t="n">
        <v>0</v>
      </c>
      <c r="D7477" t="inlineStr">
        <is>
          <t>Arc du Chalœil; Collier de Tourthon; Anneau Crustique; Anneau Crustique; Cadran de Terre; Ceinture Volkorne; Casque Volkorne; Cape au Logis; Baleinabottes; Dofus Abyssal; Dofus Pourpre; Dofus Ivoire; Dofus Turquoise; Enragé majeur; Étourdisseur majeur; Volkorne Jade et Rubis</t>
        </is>
      </c>
    </row>
    <row r="7478">
      <c r="A7478" t="inlineStr">
        <is>
          <t>Eniripsa F 200</t>
        </is>
      </c>
      <c r="B7478">
        <f>HYPERLINK("https://www.dofusbook.net/fr/equipement/4000063-eniripsa-f-200/objets", "link")</f>
        <v/>
      </c>
      <c r="C7478" t="n">
        <v>0</v>
      </c>
      <c r="D7478" t="inlineStr">
        <is>
          <t>Arc corrompu; Pendentif affamé; Anneau de Nidas; Anneauræus; Bouclier d'Anerice; Ceinture de Gein; Masque d'Anerice; Cape de Diondin; Bottes Innommables; Dofus Émeraude; Dofus Ocre; Dofus Abyssal; Dolmanax; Dofus Ivoire; Érudit majeur; Muldo Indigo et Orchidée</t>
        </is>
      </c>
    </row>
    <row r="7479">
      <c r="A7479" t="inlineStr">
        <is>
          <t>Steamer M 200</t>
        </is>
      </c>
      <c r="B7479">
        <f>HYPERLINK("https://www.dofusbook.net/fr/equipement/4000046-steamer-m-200/objets", "link")</f>
        <v/>
      </c>
      <c r="C7479" t="n">
        <v>0</v>
      </c>
      <c r="D7479" t="inlineStr">
        <is>
          <t>Héqache; Amulette du Cœur Vaillant; Anneau Chevelu; Bague Trithon; Cadran d'Air; Ceinture Gence; Masque Trithon; Cape du Cœur Vaillant; Bottes du Cœur Vaillant; Dofus des Glaces; Dofus Ivoire; Dofus Turquoise; Dofus Abyssal; Dofus Pourpre; Bousculeur majeur; Muldo Ebène et Pourpre</t>
        </is>
      </c>
    </row>
    <row r="7480">
      <c r="A7480" t="inlineStr">
        <is>
          <t>Crâ F 200</t>
        </is>
      </c>
      <c r="B7480">
        <f>HYPERLINK("https://www.dofusbook.net/fr/equipement/4000025-cra-f-200/objets", "link")</f>
        <v/>
      </c>
      <c r="C7480" t="n">
        <v>1</v>
      </c>
      <c r="D7480" t="inlineStr">
        <is>
          <t>Arc corrompu; Pendentif mignon de Koutoulou; Alliance Gloursonne; Anneau Rifique; Bouclier du Stalak; Ceinture de Vortex; Cagoule de Vortex; Cape Martegel; Sabots de Vortex; Dolmanax; Dofus Ocre; Dofus Pourpre; Dofus Abyssal; Dofus des Glaces; Dofus Ivoire; Muldo Ebène et Orchidée</t>
        </is>
      </c>
    </row>
    <row r="7481">
      <c r="A7481" t="inlineStr">
        <is>
          <t>Eniripsa F 200</t>
        </is>
      </c>
      <c r="B7481">
        <f>HYPERLINK("https://www.dofusbook.net/fr/equipement/4000008-eniripsa-f-200/objets", "link")</f>
        <v/>
      </c>
      <c r="C7481" t="n">
        <v>0</v>
      </c>
      <c r="D7481" t="inlineStr">
        <is>
          <t>Lance Horselé; Collier du Valet Veinard; Alliance Gloursonne; Gant du Valet Veinard; Bouclier du Stalak; Menoture; Couronne d'Allister; Cape de Crânonier; Palmes Trithons; Dofus Abyssal; Dofus Pourpre; Dofus Ivoire; Dofus Ocre; Dofus Émeraude; Cascadeur majeur; Muldo Ebène</t>
        </is>
      </c>
    </row>
    <row r="7482">
      <c r="A7482" t="inlineStr">
        <is>
          <t>Crâ M 200</t>
        </is>
      </c>
      <c r="B7482">
        <f>HYPERLINK("https://www.dofusbook.net/fr/equipement/3999986-cra-m-200/objets", "link")</f>
        <v/>
      </c>
      <c r="C7482" t="n">
        <v>1</v>
      </c>
      <c r="D7482" t="inlineStr">
        <is>
          <t>Arc Nécrotique; Amulette Volkorne; Alliance Gloursonne; Anneau Volkorne; Quatre-feuilles; Ceinture de l'Esprit Malsain; Kidibonnet; Cape de la Dame du Hasard; Bottes de la Dame du Hasard; Dofus des Glaces; Dofus Ocre; Dofus Turquoise; Dofus Abyssal; Dofus Pourpre; Dofus Ivoire; Muldo Ebène et Indigo</t>
        </is>
      </c>
    </row>
    <row r="7483">
      <c r="A7483" t="inlineStr">
        <is>
          <t>Steamer M 200</t>
        </is>
      </c>
      <c r="B7483">
        <f>HYPERLINK("https://www.dofusbook.net/fr/equipement/3999975-steamer-m-200/objets", "link")</f>
        <v/>
      </c>
      <c r="C7483" t="n">
        <v>0</v>
      </c>
      <c r="D7483" t="inlineStr">
        <is>
          <t>Arc corrompu; Pendentif mignon de Koutoulou; Alliance Brûlâme; Anneau Rifique; Bouclier du Stalak; Ceinture de Vortex; Casque Cyclopéen; Cape Martegel; Pompes Funèbres; Dofus Abyssal; Dofus Pourpre; Dofus Ivoire; Dofus Émeraude; Dofus Ocre; Dolmanax; Muldo Orchidée et Pourpre</t>
        </is>
      </c>
    </row>
    <row r="7484">
      <c r="A7484" t="inlineStr">
        <is>
          <t>Pandawa F 200</t>
        </is>
      </c>
      <c r="B7484">
        <f>HYPERLINK("https://www.dofusbook.net/fr/equipement/3967368-pandawa-f-200/objets", "link")</f>
        <v/>
      </c>
      <c r="C7484" t="n">
        <v>1</v>
      </c>
      <c r="D7484" t="inlineStr">
        <is>
          <t>Rapière aux Glyphes; Amulette de Shokkoth; Alliance Gloursonne; Anneau Volkorne; Bouclier du Stalak; Poulpagne; Masque des Fonds marins; Cape Solution; Sandales des Fonds marins; Dofus Pourpre; Dofus Ivoire; Dofus Émeraude; Dofus Abyssal; Miraculé majeur; Chanceux majeur; Muldo Indigo</t>
        </is>
      </c>
    </row>
    <row r="7485">
      <c r="A7485" t="inlineStr">
        <is>
          <t>Pandawa F 200</t>
        </is>
      </c>
      <c r="B7485">
        <f>HYPERLINK("https://www.dofusbook.net/fr/equipement/3967346-pandawa-f-200/objets", "link")</f>
        <v/>
      </c>
      <c r="C7485" t="n">
        <v>1</v>
      </c>
      <c r="D7485" t="inlineStr">
        <is>
          <t>Arc Nécrotique; Amulette Volkorne; Alliance Gloursonne; Anneau Volkorne; Quatre-feuilles; Pagne du Rykaon; Kidibonnet; Cape de la Dame du Hasard; Bottes de la Dame du Hasard; Dofus Abyssal; Dofus Pourpre; Dofus Ivoire; Dofus des Glaces; Dofus Ocre; Dofus Turquoise; Muldo Ebène et Indigo</t>
        </is>
      </c>
    </row>
    <row r="7486">
      <c r="A7486" t="inlineStr">
        <is>
          <t>Pandawa M 200</t>
        </is>
      </c>
      <c r="B7486">
        <f>HYPERLINK("https://www.dofusbook.net/fr/equipement/3967319-pandawa-m-200/objets", "link")</f>
        <v/>
      </c>
      <c r="C7486" t="n">
        <v>3</v>
      </c>
      <c r="D7486" t="inlineStr">
        <is>
          <t>Hache du Chalœil; Amulette Volkorne; Alliance du Lévitrof; Anneau Volkorne; Quatre-feuilles; Ceinture Volkorne; Coiffe du Lévitrof; Voile d'encre; Bottes du Lévitrof; Dofus Pourpre; Dofus Abyssal; Dofus des Glaces; Dofus Ivoire; Dofus Turquoise; Dofus Ocre; Kramkram</t>
        </is>
      </c>
    </row>
    <row r="7487">
      <c r="A7487" t="inlineStr">
        <is>
          <t>Ecaflip F 200</t>
        </is>
      </c>
      <c r="B7487">
        <f>HYPERLINK("https://www.dofusbook.net/fr/equipement/3967304-ecaflip-f-200/objets", "link")</f>
        <v/>
      </c>
      <c r="C7487" t="n">
        <v>0</v>
      </c>
      <c r="D7487" t="inlineStr">
        <is>
          <t>Hache du Chalœil; Amulette Volkorne; Alliance du Lévitrof; Anneau Volkorne; Quatre-feuilles; Ceinture Volkorne; Coiffe du Lévitrof; Voile d'encre; Bottes du Lévitrof; Dofus des Glaces; Dofus Ocre; Dofus Turquoise; Dofus Abyssal; Dofus Pourpre; Dofus Ivoire; Kramkram</t>
        </is>
      </c>
    </row>
    <row r="7488">
      <c r="A7488" t="inlineStr">
        <is>
          <t>Steamer M 200</t>
        </is>
      </c>
      <c r="B7488">
        <f>HYPERLINK("https://www.dofusbook.net/fr/equipement/3960361-steamer-m-200/objets", "link")</f>
        <v/>
      </c>
      <c r="C7488" t="n">
        <v>0</v>
      </c>
      <c r="D7488" t="inlineStr">
        <is>
          <t>Arc du Chalœil; Collier de Tourthon; Anneau Crustique; Anneau de Brouce; Bouclier du Stalak; Ceinture de Brouce; Masque de Koutoulou; Cape au Logis; Bottes de Brouce; Dofus des Glaces; Dofus Abyssal; Dofus Pourpre; Dofus Ivoire; Dolmanax; Dofus Ocre; Bwak de Terre</t>
        </is>
      </c>
    </row>
    <row r="7489">
      <c r="A7489" t="inlineStr">
        <is>
          <t>Ecaflip F 200</t>
        </is>
      </c>
      <c r="B7489">
        <f>HYPERLINK("https://www.dofusbook.net/fr/equipement/3960356-ecaflip-f-200/objets", "link")</f>
        <v/>
      </c>
      <c r="C7489" t="n">
        <v>0</v>
      </c>
      <c r="D7489" t="inlineStr">
        <is>
          <t>Héqache; Amulette du Cœur Vaillant; Bague Trithon; Anneau Chevelu; Bouclier Taverne; Ceinture Gence; Masque Trithon; Cape du Cœur Vaillant; Bottes du Cœur Vaillant; Dofus Émeraude; Dofus Turquoise; Dofus Abyssal; Dofus Pourpre; Dofus Ivoire; Bousculeur majeur; Muldo Ebène</t>
        </is>
      </c>
    </row>
    <row r="7490">
      <c r="A7490" t="inlineStr">
        <is>
          <t>Crâ F 200</t>
        </is>
      </c>
      <c r="B7490">
        <f>HYPERLINK("https://www.dofusbook.net/fr/equipement/3960346-cra-f-200/objets", "link")</f>
        <v/>
      </c>
      <c r="C7490" t="n">
        <v>0</v>
      </c>
      <c r="D7490" t="inlineStr">
        <is>
          <t>Baguette Range; Amulette Volkorne; Alliance Gloursonne; Anneau Rifique; Bouclier du Stalak; Ceinture de Vortex; Casque Volkorne; Cape de Diondin; Sabots de Vortex; Dofus Pourpre; Dofus Abyssal; Dofus des Glaces; Dofus Ivoire; Dolmanax; Dofus Ocre; Muldo Pourpre</t>
        </is>
      </c>
    </row>
    <row r="7491">
      <c r="A7491" t="inlineStr">
        <is>
          <t>Sadida M 200</t>
        </is>
      </c>
      <c r="B7491">
        <f>HYPERLINK("https://www.dofusbook.net/fr/equipement/3960332-sadida-m-200/objets", "link")</f>
        <v/>
      </c>
      <c r="C7491" t="n">
        <v>0</v>
      </c>
      <c r="D7491" t="inlineStr">
        <is>
          <t>Dagues Érhy; Pendentif mignon de Koutoulou; Anneau Rifique; Alliance Gloursonne; Cadran d'Air; Ceinture du Glourséleste; Capuche de l'Œil Putride; Cape de l'Œil Putride; Pantoufles Émar; Dofus Ocre; Dofus des Glaces; Dofus Abyssal; Dofus Pourpre; Dofus Ivoire; Entraveur majeur; Muldo Orchidée et Pourpre</t>
        </is>
      </c>
    </row>
    <row r="7492">
      <c r="A7492" t="inlineStr">
        <is>
          <t>Crâ M 200</t>
        </is>
      </c>
      <c r="B7492">
        <f>HYPERLINK("https://www.dofusbook.net/fr/equipement/3960326-cra-m-200/objets", "link")</f>
        <v/>
      </c>
      <c r="C7492" t="n">
        <v>0</v>
      </c>
      <c r="D7492" t="inlineStr">
        <is>
          <t>Arc Nécrotique; Amulette Volkorne; Alliance Gloursonne; Anneau Volkorne; Cadran de Terre; Ceinture de Vortex; Casque Volkorne; Cape d'Atcham; Sandales  d'Atcham; Dofus Turquoise; Dofus Abyssal; Dofus Pourpre; Dofus Ivoire; Dofus des Glaces; Dofus Ocre; Volkorne Améthyste et Ivoire</t>
        </is>
      </c>
    </row>
    <row r="7493">
      <c r="A7493" t="inlineStr">
        <is>
          <t>Crâ F 200</t>
        </is>
      </c>
      <c r="B7493">
        <f>HYPERLINK("https://www.dofusbook.net/fr/equipement/3958931-cra-f-200/objets", "link")</f>
        <v/>
      </c>
      <c r="C7493" t="n">
        <v>0</v>
      </c>
      <c r="D7493" t="inlineStr">
        <is>
          <t>Héqache; Amulette du Cœur Vaillant; Bague Instable; Bague Trithon; Bouclier Taverne; Ceinture Gence; Masque Trithon; Cape du Cœur Vaillant; Bottes du Cœur Vaillant</t>
        </is>
      </c>
    </row>
    <row r="7494">
      <c r="A7494" t="inlineStr">
        <is>
          <t>Iop M 200</t>
        </is>
      </c>
      <c r="B7494">
        <f>HYPERLINK("https://www.dofusbook.net/fr/equipement/3958908-iop-m-200/objets", "link")</f>
        <v/>
      </c>
      <c r="C7494" t="n">
        <v>1</v>
      </c>
      <c r="D7494" t="inlineStr">
        <is>
          <t>Lav'Hache; Amulette Luminescente; Bague Trithon; Baguistik; Bouclier précieux; Ceinture Gence; Masque de Koutoulou; Cape du Cœur Vaillant; Bottistik; Dofus Ivoire; Dofus Émeraude; Dofus Abyssal; Culbuteur majeur; Bousculeur majeur; Miraculé majeur; Muldo Orchidée et Pourpre</t>
        </is>
      </c>
    </row>
    <row r="7495">
      <c r="A7495" t="inlineStr">
        <is>
          <t>Osamodas F 200</t>
        </is>
      </c>
      <c r="B7495">
        <f>HYPERLINK("https://www.dofusbook.net/fr/equipement/3958888-osamodas-f-200/objets", "link")</f>
        <v/>
      </c>
      <c r="C7495" t="n">
        <v>1</v>
      </c>
      <c r="D7495" t="inlineStr">
        <is>
          <t>Lance Horselé; Collier du Valet Veinard; Anneau de Pol Ouatnos; Alliance Gloursonne; Bouclier d'Anerice; Menoture; Couronne d'Allister; Cape d'Anerice; Palmes Trithons; Dolmanax; Dofus Abyssal; Dofus Émeraude; Dofus Ivoire; Dofus Ocre; Cascadeur majeur; Dragodinde Dorée et Ebène</t>
        </is>
      </c>
    </row>
    <row r="7496">
      <c r="A7496" t="inlineStr">
        <is>
          <t>Ouginak M 200</t>
        </is>
      </c>
      <c r="B7496">
        <f>HYPERLINK("https://www.dofusbook.net/fr/equipement/3958870-ouginak-m-200/objets", "link")</f>
        <v/>
      </c>
      <c r="C7496" t="n">
        <v>0</v>
      </c>
      <c r="D7496" t="inlineStr">
        <is>
          <t>Karnak; Amulette d'Ilyzaelle; Gant du Valet Veinard; Alliance Gloursonne; Bouclier d'Ilyzaelle; Menoture; Coiffe de la Reine des Voleurs; Cape du Valet Veinard; Bottes de la Reine des Voleurs; Dofus Pourpre; Dofus Ivoire; Dofus des Glaces; Dofus Ocre; Dofus Émeraude; Dofus Abyssal; Kramkram</t>
        </is>
      </c>
    </row>
    <row r="7497">
      <c r="A7497" t="inlineStr">
        <is>
          <t>Enutrof M 200</t>
        </is>
      </c>
      <c r="B7497">
        <f>HYPERLINK("https://www.dofusbook.net/fr/equipement/3958851-enutrof-m-200/objets", "link")</f>
        <v/>
      </c>
      <c r="C7497" t="n">
        <v>0</v>
      </c>
      <c r="D7497" t="inlineStr">
        <is>
          <t>Arc corrompu; Amulette Séculaire; Anneauræus; Anneau Rifique; Bouclier du Stalak; Ceinture Séculaire; Coiffe Séculaire; Voile d'encre; Bottes Innommables; Dolmanax; Dofus Abyssal; Dofus Pourpre; Dofus Ivoire; Dofus Ocre; Vagabond majeur; Muldo Orchidée et Pourpre</t>
        </is>
      </c>
    </row>
    <row r="7498">
      <c r="A7498" t="inlineStr">
        <is>
          <t>Zobal M 200</t>
        </is>
      </c>
      <c r="B7498">
        <f>HYPERLINK("https://www.dofusbook.net/fr/equipement/3958837-zobal-m-200/objets", "link")</f>
        <v/>
      </c>
      <c r="C7498" t="n">
        <v>0</v>
      </c>
      <c r="D7498" t="inlineStr">
        <is>
          <t>Arc du Chalœil; Amulette du Cœur Saignant; Anneau Crustique; Anneau Chevelu; Quatre-feuilles; Ceinture Volkorne; Masque de Koutoulou; Cape au Logis; Bottes du Cœur Saignant; Dofus Turquoise; Dofus Ivoire; Dofus Ocre; Dofus Abyssal; Enragé majeur; Temporiseur majeur; Volkorne Jade et Saphir</t>
        </is>
      </c>
    </row>
    <row r="7499">
      <c r="A7499" t="inlineStr">
        <is>
          <t>Sacrieur F 200</t>
        </is>
      </c>
      <c r="B7499">
        <f>HYPERLINK("https://www.dofusbook.net/fr/equipement/3957524-sacrieur-f-200/objets", "link")</f>
        <v/>
      </c>
      <c r="C7499" t="n">
        <v>0</v>
      </c>
      <c r="D7499" t="inlineStr">
        <is>
          <t>Dagoulinantes; Amulette de Shokkoth; Anneau Volkorne; Alliance Gloursonne; Bouclier d'Ilyzaelle; Ceinture de la Reine des Voleurs; Casque d'Ilyzaelle; Cape Solution; Bottes de la Reine des Voleurs; Dofus Pourpre; Dofus Abyssal; Dofus Émeraude; Dofus Ivoire; Dolmanax; Dofus Ocre; Muldo Ebène</t>
        </is>
      </c>
    </row>
    <row r="7500">
      <c r="A7500" t="inlineStr">
        <is>
          <t>Crâ M 200</t>
        </is>
      </c>
      <c r="B7500">
        <f>HYPERLINK("https://www.dofusbook.net/fr/equipement/3958442-cra-m-200/objets", "link")</f>
        <v/>
      </c>
      <c r="C7500" t="n">
        <v>1</v>
      </c>
      <c r="D7500" t="inlineStr">
        <is>
          <t>Sabres d'Atcham; Amulette Volkorne; Alliance Gloursonne; Anneau Volkorne; Quatre-feuilles; Ceinture de l'Esprit Malsain; Casque Volkorne; Cape d'Atcham; Sandales  d'Atcham; Dofus Turquoise; Dofus Abyssal; Dofus Pourpre; Dofus Ivoire; Dofus des Glaces; Dofus Ocre; Volkorne Améthyste et Ivoire</t>
        </is>
      </c>
    </row>
    <row r="7501">
      <c r="A7501" t="inlineStr">
        <is>
          <t>Crâ M 200</t>
        </is>
      </c>
      <c r="B7501">
        <f>HYPERLINK("https://www.dofusbook.net/fr/equipement/3958456-cra-m-200/objets", "link")</f>
        <v/>
      </c>
      <c r="C7501" t="n">
        <v>1</v>
      </c>
      <c r="D7501" t="inlineStr">
        <is>
          <t>Arc Ontanporin; Collier de la Dame du Hasard; Alliance Gloursonne; Pikano; Quatre-feuilles; Culotte de Bethel; Masque de Funespadon; Cape de la Dame du Hasard; Chaussons de Macrab</t>
        </is>
      </c>
    </row>
    <row r="7502">
      <c r="A7502" t="inlineStr">
        <is>
          <t>Roublard M 200</t>
        </is>
      </c>
      <c r="B7502">
        <f>HYPERLINK("https://www.dofusbook.net/fr/equipement/3957541-roublard-m-200/objets", "link")</f>
        <v/>
      </c>
      <c r="C7502" t="n">
        <v>0</v>
      </c>
      <c r="D7502" t="inlineStr">
        <is>
          <t>Dagoulinantes; Amulette de Shokkoth; Anneau Volkorne; Alliance Gloursonne; Bouclier du Stalak; Ceinture de la Reine des Voleurs; Kidibonnet; Cape Solution; Bottes de la Reine des Voleurs; Dofus des Glaces; Dofus Ivoire; Dofus Pourpre; Dofus Abyssal; Miraculé majeur; Chanceux majeur; Muldo Ebène</t>
        </is>
      </c>
    </row>
    <row r="7503">
      <c r="A7503" t="inlineStr">
        <is>
          <t>Xélor M 200</t>
        </is>
      </c>
      <c r="B7503">
        <f>HYPERLINK("https://www.dofusbook.net/fr/equipement/3957519-xelor-m-200/objets", "link")</f>
        <v/>
      </c>
      <c r="C7503" t="n">
        <v>0</v>
      </c>
      <c r="D7503" t="inlineStr"/>
    </row>
    <row r="7504">
      <c r="A7504" t="inlineStr">
        <is>
          <t>Huppermage F 200</t>
        </is>
      </c>
      <c r="B7504">
        <f>HYPERLINK("https://www.dofusbook.net/fr/equipement/3957502-huppermage-f-200/objets", "link")</f>
        <v/>
      </c>
      <c r="C7504" t="n">
        <v>1</v>
      </c>
      <c r="D7504" t="inlineStr">
        <is>
          <t>Arc Volkorne; Amulette du Strigide; Bague Trithon; Anneau Volkorne; Quatre-feuilles; Ceinture Volkorne; Casque Volkorne; Dofusteuse; Bottes du Strigide; Dofus Turquoise; Dofus Abyssal; Dolmanax; Dofus Ivoire; Dofus Pourpre; Dofus Ocre; Volkorne Rubis</t>
        </is>
      </c>
    </row>
    <row r="7505">
      <c r="A7505" t="inlineStr">
        <is>
          <t>Ecaflip F 200</t>
        </is>
      </c>
      <c r="B7505">
        <f>HYPERLINK("https://www.dofusbook.net/fr/equipement/3957478-ecaflip-f-200/objets", "link")</f>
        <v/>
      </c>
      <c r="C7505" t="n">
        <v>0</v>
      </c>
      <c r="D7505" t="inlineStr">
        <is>
          <t>Manthache; Collier du Valet Veinard; Gant du Valet Veinard; Alliance Gloursonne; Bouclier d'Anerice; Menoture; Masque d'Anerice; Cape du Valet Veinard; Palmes Trithons; Dofus Émeraude; Dofus Ivoire; Dofus Cawotte; Dofus Pourpre; Dolmanax; Dofus Abyssal; Muldo Ebène et Ivoire</t>
        </is>
      </c>
    </row>
    <row r="7506">
      <c r="A7506" t="inlineStr">
        <is>
          <t>Eniripsa F 200</t>
        </is>
      </c>
      <c r="B7506">
        <f>HYPERLINK("https://www.dofusbook.net/fr/equipement/3957459-eniripsa-f-200/objets", "link")</f>
        <v/>
      </c>
      <c r="C7506" t="n">
        <v>0</v>
      </c>
      <c r="D7506" t="inlineStr">
        <is>
          <t>Arc corrompu; Amulette Martegel; Anneau de Nidas; Anneauræus; Bouclier d'Anerice; Ceinture de l'Esprit Malsain; Masquegel; Cape d'Anerice; Pataugastrique; Dofus Émeraude; Dofus Abyssal; Dolmanax; Dofus Ivoire; Dofus Pourpre; Dofus Ocre; Muldo Orchidée</t>
        </is>
      </c>
    </row>
    <row r="7507">
      <c r="A7507" t="inlineStr">
        <is>
          <t>Sadida M 200</t>
        </is>
      </c>
      <c r="B7507">
        <f>HYPERLINK("https://www.dofusbook.net/fr/equipement/3957439-sadida-m-200/objets", "link")</f>
        <v/>
      </c>
      <c r="C7507" t="n">
        <v>0</v>
      </c>
      <c r="D7507" t="inlineStr">
        <is>
          <t>Arc Nécrotique; Amulette Volkorne; Anneau Volkorne; Alliance Gloursonne; Bouclier du Stalak; Ceinture de l'Esprit Salvateur; Masque de l'Esprit Salvateur; Voile d'encre; Bottes de l'Esprit Salvateur; Dofus des Glaces; Dofus Ivoire; Dofus Pourpre; Dofus Ocre; Dolmanax; Dofus Abyssal; Muldo Pourpre et Amande</t>
        </is>
      </c>
    </row>
    <row r="7508">
      <c r="A7508" t="inlineStr">
        <is>
          <t>Enutrof M 200</t>
        </is>
      </c>
      <c r="B7508">
        <f>HYPERLINK("https://www.dofusbook.net/fr/equipement/3957423-enutrof-m-200/objets", "link")</f>
        <v/>
      </c>
      <c r="C7508" t="n">
        <v>0</v>
      </c>
      <c r="D7508" t="inlineStr">
        <is>
          <t>Arc corrompu; Amulette Volkorne; Anneauræus; Anneau Rifique; Bouclier du Stalak; Menoture; Casque Volkorne; Voile d'encre; Sabots de Vortex; Dofus Abyssal; Dofus Pourpre; Dofus Ivoire; Dofus Ocre; Étourdisseur majeur; Déserteur majeur; Muldo Pourpre et Amande</t>
        </is>
      </c>
    </row>
    <row r="7509">
      <c r="A7509" t="inlineStr">
        <is>
          <t>Crâ F 200</t>
        </is>
      </c>
      <c r="B7509">
        <f>HYPERLINK("https://www.dofusbook.net/fr/equipement/3957408-cra-f-200/objets", "link")</f>
        <v/>
      </c>
      <c r="C7509" t="n">
        <v>0</v>
      </c>
      <c r="D7509" t="inlineStr">
        <is>
          <t>Arc Ontanporin; Amulette de Shokkoth; Anneau Volkorne; Alliance Gloursonne; Cadran de Terre; Poulpagne; Masque de Funespadon; Cape Solution; Chaussons de Macrab; Dofus Pourpre; Dofus Ivoire; Dofus des Glaces; Dofus Abyssal; Étourdisseur majeur; Chanceux majeur; Muldo Ebène et Indigo</t>
        </is>
      </c>
    </row>
    <row r="7510">
      <c r="A7510" t="inlineStr">
        <is>
          <t>Ouginak M 200</t>
        </is>
      </c>
      <c r="B7510">
        <f>HYPERLINK("https://www.dofusbook.net/fr/equipement/3957394-ouginak-m-200/objets", "link")</f>
        <v/>
      </c>
      <c r="C7510" t="n">
        <v>1</v>
      </c>
      <c r="D7510" t="inlineStr">
        <is>
          <t>Lav'Hache; Collier de Tourthon; Anneau Chevelu; Anneau Crustique; Bouclier d'Ilyzaelle; Ceinture Volkorne; Masque de Koutoulou; Cape au Logis; Sabots Minables; Dofus Émeraude; Dofus Abyssal; Dofus Pourpre; Dofus Ivoire; Dofus Ocre; Enragé majeur; Dragodinde Ivoire et Pourpre</t>
        </is>
      </c>
    </row>
    <row r="7511">
      <c r="A7511" t="inlineStr">
        <is>
          <t>Steamer M 200</t>
        </is>
      </c>
      <c r="B7511">
        <f>HYPERLINK("https://www.dofusbook.net/fr/equipement/3957381-steamer-m-200/objets", "link")</f>
        <v/>
      </c>
      <c r="C7511" t="n">
        <v>0</v>
      </c>
      <c r="D7511" t="inlineStr">
        <is>
          <t>Arc corrompu; Pendentif mignon de Koutoulou; Anneau Rifique; Anneauræus; Bouclier du Stalak; Ceinture de l'Esprit Malsain; Heaume Oplate; Voile d'encre; Bottes Innommables; Dofus Pourpre; Dofus Ivoire; Dofus Ocre; Dolmanax; Dofus Abyssal; Érudit majeur; Muldo Orchidée</t>
        </is>
      </c>
    </row>
    <row r="7512">
      <c r="A7512" t="inlineStr">
        <is>
          <t>Xélor M 200</t>
        </is>
      </c>
      <c r="B7512">
        <f>HYPERLINK("https://www.dofusbook.net/fr/equipement/3957362-xelor-m-200/objets", "link")</f>
        <v/>
      </c>
      <c r="C7512" t="n">
        <v>0</v>
      </c>
      <c r="D7512" t="inlineStr">
        <is>
          <t>Arc Nécrotique; Amulette Volkorne; Alliance Gloursonne; Anneau Volkorne; Cadran de Terre; Ceinture de Vortex; Casque Volkorne; Cape de la Dame du Hasard; Pataugastrique; Dofus Turquoise; Dofus Abyssal; Dofus Pourpre; Dofus Ivoire; Dofus Ocre; Paralyseur majeur; Volkorne Prune et Ivoire</t>
        </is>
      </c>
    </row>
    <row r="7513">
      <c r="A7513" t="inlineStr">
        <is>
          <t>Osamodas M 200</t>
        </is>
      </c>
      <c r="B7513">
        <f>HYPERLINK("https://www.dofusbook.net/fr/equipement/3924452-osamodas-m-200/objets", "link")</f>
        <v/>
      </c>
      <c r="C7513" t="n">
        <v>1</v>
      </c>
      <c r="D7513" t="inlineStr">
        <is>
          <t>Lance Horselé; Collier du Valet Veinard; Alliance Brûlâme; Alliance Gloursonne; Bouclier d'Anerice; Menoture; Couronne d'Allister; Cape d'Anerice; Palmes Trithons; Dofus Ivoire; Dolmanax; Dofus Ocre; Dofus Émeraude; Dofus Abyssal; Cascadeur majeur; Muldo Ebène et Pourpre</t>
        </is>
      </c>
    </row>
    <row r="7514">
      <c r="A7514" t="inlineStr">
        <is>
          <t>Osamodas M 200</t>
        </is>
      </c>
      <c r="B7514">
        <f>HYPERLINK("https://www.dofusbook.net/fr/equipement/3924431-osamodas-m-200/objets", "link")</f>
        <v/>
      </c>
      <c r="C7514" t="n">
        <v>1</v>
      </c>
      <c r="D7514" t="inlineStr">
        <is>
          <t>Dagues Érhy; Amulette Volkorne; Anneau de Nidas; Anneau Rifique; Carapar; Ceinture de Vortex; Casque Cyclopéen; Voile d'encre; Pataugastrique; Dofus Abyssal; Dofus Émeraude; Dofus Ivoire; Dofus Ocre; Dolmanax; Érudit majeur; Muldo Pourpre</t>
        </is>
      </c>
    </row>
    <row r="7515">
      <c r="A7515" t="inlineStr">
        <is>
          <t>Sadida M 200</t>
        </is>
      </c>
      <c r="B7515">
        <f>HYPERLINK("https://www.dofusbook.net/fr/equipement/3924411-sadida-m-200/objets", "link")</f>
        <v/>
      </c>
      <c r="C7515" t="n">
        <v>0</v>
      </c>
      <c r="D7515" t="inlineStr">
        <is>
          <t>Arc corrompu; Amulette Séculaire; Anneau de Nidas; Anneauræus; Bouclier cubiste; Ceinture Séculaire; Couronne de Nidas; Voile d'encre; Tongues de Nidas; Dofus Pourpre; Dofus Ivoire; Dofus Ocre; Dolmanax; Dofus Abyssal; Entraveur majeur; Muldo Pourpre et Amande</t>
        </is>
      </c>
    </row>
    <row r="7516">
      <c r="A7516" t="inlineStr">
        <is>
          <t>Sadida M 200</t>
        </is>
      </c>
      <c r="B7516">
        <f>HYPERLINK("https://www.dofusbook.net/fr/equipement/3924370-sadida-m-200/objets", "link")</f>
        <v/>
      </c>
      <c r="C7516" t="n">
        <v>0</v>
      </c>
      <c r="D7516" t="inlineStr">
        <is>
          <t>Baguette Hique; Collier de la Dame du Hasard; Anneau Tique; Anneau de Nidas; Quatre-feuilles; Ceinture de Vortex; Couronne de Nidas; Cape de la Dame du Hasard; Bottes de la Dame du Hasard; Dofus Turquoise; Dofus Abyssal; Dofus Pourpre; Dofus Ivoire; Dofus des Glaces; Dofus Ocre; Muldo Orchidée et Amande</t>
        </is>
      </c>
    </row>
    <row r="7517">
      <c r="A7517" t="inlineStr">
        <is>
          <t>Enutrof F 200</t>
        </is>
      </c>
      <c r="B7517">
        <f>HYPERLINK("https://www.dofusbook.net/fr/equipement/3924336-enutrof-f-200/objets", "link")</f>
        <v/>
      </c>
      <c r="C7517" t="n">
        <v>0</v>
      </c>
      <c r="D7517" t="inlineStr">
        <is>
          <t>Arc Honte; Amulette Volkorne; Anneau Volkorne; Alliance Gloursonne; Bouclier du Stalak; Menoture; Casque Volkorne; Cape d'Atcham; Sandales  d'Atcham; Dofus Turquoise; Dofus Ivoire; Dofus Pourpre; Dofus Abyssal; Vagabond majeur; Entraveur majeur; Volkorne Ivoire et Turquoise</t>
        </is>
      </c>
    </row>
    <row r="7518">
      <c r="A7518" t="inlineStr">
        <is>
          <t>Féca F 200</t>
        </is>
      </c>
      <c r="B7518">
        <f>HYPERLINK("https://www.dofusbook.net/fr/equipement/3919492-feca-f-200/objets", "link")</f>
        <v/>
      </c>
      <c r="C7518" t="n">
        <v>0</v>
      </c>
      <c r="D7518" t="inlineStr">
        <is>
          <t>Baguette des égarés; Amulette de Shokkoth; Anneau Crustique; Anneau Volkorne; Cadran de Terre; Ceinture Volkorne; Masque de Funespadon; Cape Solution; Chaussons de Macrab; Dolmanax; Dofus Abyssal; Dofus Pourpre; Dofus Ivoire; Dofus Ocre; Paralyseur majeur; Muldo Ebène</t>
        </is>
      </c>
    </row>
    <row r="7519">
      <c r="A7519" t="inlineStr">
        <is>
          <t>Crâ M 200</t>
        </is>
      </c>
      <c r="B7519">
        <f>HYPERLINK("https://www.dofusbook.net/fr/equipement/3919447-cra-m-200/objets", "link")</f>
        <v/>
      </c>
      <c r="C7519" t="n">
        <v>0</v>
      </c>
      <c r="D7519" t="inlineStr">
        <is>
          <t>Pelle de Nidas; Amulette Volkorne; Anneau Volkorne; Anneau de Nidas; Cadran de Terre; Ceinture Instable; Casque Volkorne; Cape de Kongoku; Pataugastrique; Dofus des Glaces; Dofus Ivoire; Dofus Pourpre; Dofus Abyssal; Entraveur majeur; Paralyseur majeur; Volkorne Ivoire et Turquoise</t>
        </is>
      </c>
    </row>
    <row r="7520">
      <c r="A7520" t="inlineStr">
        <is>
          <t>Sadida M 200</t>
        </is>
      </c>
      <c r="B7520">
        <f>HYPERLINK("https://www.dofusbook.net/fr/equipement/3919435-sadida-m-200/objets", "link")</f>
        <v/>
      </c>
      <c r="C7520" t="n">
        <v>0</v>
      </c>
      <c r="D7520" t="inlineStr">
        <is>
          <t>Arc corrompu; Amulette Volkorne; Anneauræus; Anneau de Nidas; Bouclier du Stalak; Ceinture de Kongoku; Couronne de Nidas; Voile d'encre; Pataugastrique; Dofus Abyssal; Dofus Ivoire; Dofus Ocre; Déserteur majeur; Érudit majeur; Temporiseur majeur; Muldo Pourpre et Amande</t>
        </is>
      </c>
    </row>
    <row r="7521">
      <c r="A7521" t="inlineStr">
        <is>
          <t>Sadida M 200</t>
        </is>
      </c>
      <c r="B7521">
        <f>HYPERLINK("https://www.dofusbook.net/fr/equipement/3919418-sadida-m-200/objets", "link")</f>
        <v/>
      </c>
      <c r="C7521" t="n">
        <v>1</v>
      </c>
      <c r="D7521" t="inlineStr">
        <is>
          <t>Arc Nécrotique; Amulette Volkorne; Anneau Volkorne; Alliance Gloursonne; Quatre-feuilles; Ceinture Luminescente; Kidibonnet; Cape de la Dame du Hasard; Bottes de la Dame du Hasard; Dofus Turquoise; Dofus Ivoire; Dofus Ocre; Dofus Pourpre; Dofus Abyssal; Vagabond majeur; Muldo Indigo et Pourpre</t>
        </is>
      </c>
    </row>
    <row r="7522">
      <c r="A7522" t="inlineStr">
        <is>
          <t>Sadida M 200</t>
        </is>
      </c>
      <c r="B7522">
        <f>HYPERLINK("https://www.dofusbook.net/fr/equipement/3919394-sadida-m-200/objets", "link")</f>
        <v/>
      </c>
      <c r="C7522" t="n">
        <v>0</v>
      </c>
      <c r="D7522" t="inlineStr">
        <is>
          <t>Dagues Érhy; Amulette Volkorne; Chevalière du Roi Joueur; Alliance Brûlâme; Bouclier du Stalak; Ceinture Volkorne; Chapeau de Gein; Voile d'encre; Baleinabottes; Dofus Abyssal; Dofus Pourpre; Dofus Ivoire; Dofus Ocre; Carapace Terre majeur; Déserteur majeur; Muldo Ebène et Amande</t>
        </is>
      </c>
    </row>
    <row r="7523">
      <c r="A7523" t="inlineStr">
        <is>
          <t>Zobal M 200</t>
        </is>
      </c>
      <c r="B7523">
        <f>HYPERLINK("https://www.dofusbook.net/fr/equipement/3894979-zobal-m-200/objets", "link")</f>
        <v/>
      </c>
      <c r="C7523" t="n">
        <v>0</v>
      </c>
      <c r="D7523" t="inlineStr">
        <is>
          <t>Dagoulinantes; Amulette Luminescente; Anneau Volkorne; Alliance Gloursonne; Bouclier précieux; Ceinture Luminescente; Kidibonnet; Cape Solution; Bottes Trithon; Dofus Turquoise; Dofus Ivoire; Dofus Émeraude; Dofus Abyssal; Bousculeur majeur; Culbuteur majeur; Muldo Ebène</t>
        </is>
      </c>
    </row>
    <row r="7524">
      <c r="A7524" t="inlineStr">
        <is>
          <t>Ecaflip F 200</t>
        </is>
      </c>
      <c r="B7524">
        <f>HYPERLINK("https://www.dofusbook.net/fr/equipement/3912618-ecaflip-f-200/objets", "link")</f>
        <v/>
      </c>
      <c r="C7524" t="n">
        <v>1</v>
      </c>
      <c r="D7524" t="inlineStr">
        <is>
          <t>Hache du Chalœil; Amulette Volkorne; Anneau Volkorne; Alliance du Lévitrof; Quatre-feuilles; Ceinture Volkorne; Coiffe du Lévitrof; Voile d'encre; Bottes du Lévitrof; Dofus Pourpre; Dofus Ivoire; Dofus Turquoise; Dofus Ocre; Dofus des Glaces; Dofus Abyssal; Volkorne Jade et Saphir</t>
        </is>
      </c>
    </row>
    <row r="7525">
      <c r="A7525" t="inlineStr">
        <is>
          <t>Ouginak M 200</t>
        </is>
      </c>
      <c r="B7525">
        <f>HYPERLINK("https://www.dofusbook.net/fr/equipement/3895002-ouginak-m-200/objets", "link")</f>
        <v/>
      </c>
      <c r="C7525" t="n">
        <v>0</v>
      </c>
      <c r="D7525" t="inlineStr">
        <is>
          <t>Masse Ossiale; Talisman Igans; Anneauræus; Bague Trithon; Bouclier précieux; Ceintrigue; Masque Trithon; Voile d'encre; Bottes Owesli; Dofus Émeraude; Dofus Abyssal; Dofus Pourpre; Dofus Ivoire; Dofus Ocre; Bousculeur majeur; Volkorne Rubis et Roux</t>
        </is>
      </c>
    </row>
    <row r="7526">
      <c r="A7526" t="inlineStr">
        <is>
          <t>Zobal M 200</t>
        </is>
      </c>
      <c r="B7526">
        <f>HYPERLINK("https://www.dofusbook.net/fr/equipement/3894962-zobal-m-200/objets", "link")</f>
        <v/>
      </c>
      <c r="C7526" t="n">
        <v>0</v>
      </c>
      <c r="D7526" t="inlineStr">
        <is>
          <t>Lav'Hache; Amulette du Cœur Saignant; Anneau de Brouce; Anneau Crustique; Cadran de Terre; Ceinture de Brouce; Masque de Koutoulou; Cape du Cœur Saignant; Bottes de Brouce; Dofus Pourpre; Dofus Ivoire; Dofus Ocre; Dofus Turquoise; Dofus Abyssal; Entraveur majeur; Muldo Ebène et Pourpre</t>
        </is>
      </c>
    </row>
    <row r="7527">
      <c r="A7527" t="inlineStr">
        <is>
          <t>Crâ F 200</t>
        </is>
      </c>
      <c r="B7527">
        <f>HYPERLINK("https://www.dofusbook.net/fr/equipement/3894935-cra-f-200/objets", "link")</f>
        <v/>
      </c>
      <c r="C7527" t="n">
        <v>0</v>
      </c>
      <c r="D7527" t="inlineStr">
        <is>
          <t>Arc Volkorne; Amulette Volkorne; Anneau de Padgref; Anneau Volkorne; Quatre-feuilles; Ceinture Volkorne; Casque du Chalœil; Cape du Chalœil; Bottes du Chalœil; Dofus des Glaces; Dofus Abyssal; Dofus Pourpre; Dofus Ivoire; Dofus Turquoise; Dofus Ocre; Volkorne Améthyste</t>
        </is>
      </c>
    </row>
    <row r="7528">
      <c r="A7528" t="inlineStr">
        <is>
          <t>Sram M 200</t>
        </is>
      </c>
      <c r="B7528">
        <f>HYPERLINK("https://www.dofusbook.net/fr/equipement/3894892-sram-m-200/objets", "link")</f>
        <v/>
      </c>
      <c r="C7528" t="n">
        <v>0</v>
      </c>
      <c r="D7528" t="inlineStr">
        <is>
          <t>Arc de Koutoulou; Amulette d'Ilyzaelle; Anneau Volkorne; Alliance Gloursonne; Bouclier du Stalak; Ceinture de la Reine des Voleurs; Casque Volkorne; Cape Solution; Bottes de la Reine des Voleurs; Dofus Pourpre; Dofus Ivoire; Dofus des Glaces; Dofus Ocre; Dolmanax; Dofus Abyssal; Muldo Ebène</t>
        </is>
      </c>
    </row>
    <row r="7529">
      <c r="A7529" t="inlineStr">
        <is>
          <t>Ecaflip F 200</t>
        </is>
      </c>
      <c r="B7529">
        <f>HYPERLINK("https://www.dofusbook.net/fr/equipement/3886035-ecaflip-f-200/objets", "link")</f>
        <v/>
      </c>
      <c r="C7529" t="n">
        <v>0</v>
      </c>
      <c r="D7529" t="inlineStr">
        <is>
          <t>Arc corrompu; Pendentif mignon de Koutoulou; Anneau Rifique; Anneauræus; Bouclier du Stalak; Ceinture de Gein; Heaume Oplate; Voile d'encre; Bottes Innommables; Dolmanax; Dofus Abyssal; Dofus Pourpre; Dofus Ivoire; Dofus Ocre; Érudit majeur; Muldo Pourpre</t>
        </is>
      </c>
    </row>
    <row r="7530">
      <c r="A7530" t="inlineStr">
        <is>
          <t>Sram F 200</t>
        </is>
      </c>
      <c r="B7530">
        <f>HYPERLINK("https://www.dofusbook.net/fr/equipement/3886010-sram-f-200/objets", "link")</f>
        <v/>
      </c>
      <c r="C7530" t="n">
        <v>2</v>
      </c>
      <c r="D7530" t="inlineStr">
        <is>
          <t>Lance Horselé; Collier du Valet Veinard; Gant du Valet Veinard; Alliance Gloursonne; Cadran d'Air; Menoture; Coiffe de la Reine des Voleurs; Cape du Valet Veinard; Bottes de la Reine des Voleurs; Dofus des Glaces; Dofus Ivoire; Dofus Émeraude; Dolmanax; Dofus Pourpre; Dofus Abyssal; Muldo Ebène</t>
        </is>
      </c>
    </row>
    <row r="7531">
      <c r="A7531" t="inlineStr">
        <is>
          <t>Sram M 200</t>
        </is>
      </c>
      <c r="B7531">
        <f>HYPERLINK("https://www.dofusbook.net/fr/equipement/3885969-sram-m-200/objets", "link")</f>
        <v/>
      </c>
      <c r="C7531" t="n">
        <v>1</v>
      </c>
      <c r="D7531" t="inlineStr">
        <is>
          <t>Hache Téroïde; Amulette Volkorne; Anneau Chevelu; Chevalière du Roi Joueur; Bouclier du Stalak; Ceinture Volkorne; Couronne du Roi Joueur; Voile d'encre; Bottes du Roi Joueur; Dolmanax; Dofus Abyssal; Dofus Pourpre; Dofus Ivoire; Dofus Turquoise; Dofus Ocre; Muldo Indigo et Pourpre</t>
        </is>
      </c>
    </row>
    <row r="7532">
      <c r="A7532" t="inlineStr">
        <is>
          <t>Eniripsa M 200</t>
        </is>
      </c>
      <c r="B7532">
        <f>HYPERLINK("https://www.dofusbook.net/fr/equipement/3885888-eniripsa-m-200/objets", "link")</f>
        <v/>
      </c>
      <c r="C7532" t="n">
        <v>1</v>
      </c>
      <c r="D7532" t="inlineStr">
        <is>
          <t>Arc de Koutoulou; Amulette de Shokkoth; Anneau Volkorne; Alliance Gloursonne; Cadran d'Air; Menoture; Casque Volkorne; Cape Matelassée; Sandales de Tal Kasha; Dofus Turquoise; Dofus Ivoire; Dofus Pourpre; Dofus Abyssal; Déserteur majeur; Étourdisseur majeur; Muldo Indigo</t>
        </is>
      </c>
    </row>
    <row r="7533">
      <c r="A7533" t="inlineStr">
        <is>
          <t>Enutrof F 200</t>
        </is>
      </c>
      <c r="B7533">
        <f>HYPERLINK("https://www.dofusbook.net/fr/equipement/3885810-enutrof-f-200/objets", "link")</f>
        <v/>
      </c>
      <c r="C7533" t="n">
        <v>2</v>
      </c>
      <c r="D7533" t="inlineStr">
        <is>
          <t>Arc de Koutoulou; Amulette de Shokkoth; Alliance Gloursonne; Anneau Volkorne; Quatre-feuilles; Menoture; Casque Volkorne; Chevelure de Tal Kasha; Sandales de Tal Kasha; Dofus des Glaces; Dofus Abyssal; Dofus Pourpre; Dofus Ivoire; Dofus Turquoise; Dofus Ocre; Muldo Indigo et Amande</t>
        </is>
      </c>
    </row>
    <row r="7534">
      <c r="A7534" t="inlineStr">
        <is>
          <t>Sadida M 200</t>
        </is>
      </c>
      <c r="B7534">
        <f>HYPERLINK("https://www.dofusbook.net/fr/equipement/3885792-sadida-m-200/objets", "link")</f>
        <v/>
      </c>
      <c r="C7534" t="n">
        <v>1</v>
      </c>
      <c r="D7534" t="inlineStr">
        <is>
          <t>Arc Nécrotique; Amulette Volkorne; Anneau Volkorne; Lavanneau; Bouclier du Stalak; Ceinture de l'Esprit Salvateur; Masque de l'Esprit Salvateur; Cape de l'Œil Putride; Bottes de l'Esprit Salvateur; Dofus Pourpre; Dofus Ivoire; Dofus Ocre; Dofus des Glaces; Dofus Abyssal; Vagabond majeur; Muldo Pourpre et Amande</t>
        </is>
      </c>
    </row>
    <row r="7535">
      <c r="A7535" t="inlineStr">
        <is>
          <t>Sadida M 200</t>
        </is>
      </c>
      <c r="B7535">
        <f>HYPERLINK("https://www.dofusbook.net/fr/equipement/3885776-sadida-m-200/objets", "link")</f>
        <v/>
      </c>
      <c r="C7535" t="n">
        <v>1</v>
      </c>
      <c r="D7535" t="inlineStr">
        <is>
          <t>Arc Nécrotique; Amulette Volkorne; Alliance Gloursonne; Anneau Volkorne; Quatre-feuilles; Ceinture du Barbétoal; Casque Volkorne; Cape de la Dame du Hasard; Bottes de la Dame du Hasard; Dofus des Glaces; Dofus Abyssal; Dofus Pourpre; Dofus Ivoire; Dofus Ocre; Vagabond majeur; Volkorne Saphir et Turquoise</t>
        </is>
      </c>
    </row>
    <row r="7536">
      <c r="A7536" t="inlineStr">
        <is>
          <t>Zobal M 200</t>
        </is>
      </c>
      <c r="B7536">
        <f>HYPERLINK("https://www.dofusbook.net/fr/equipement/3885764-zobal-m-200/objets", "link")</f>
        <v/>
      </c>
      <c r="C7536" t="n">
        <v>0</v>
      </c>
      <c r="D7536" t="inlineStr">
        <is>
          <t>Lav'Hache; Collier de Tourthon; Anneau Crustique; Anneau Crustique; Bouclier du Stalak; Ceinture Volkorne; Masque de Koutoulou; Cape au Logis; Sabots Minables; Dofus des Glaces; Dofus Ivoire; Dofus Pourpre; Dofus Abyssal; Carapace Feu majeur; Enragé majeur; Bwak de Terre</t>
        </is>
      </c>
    </row>
    <row r="7537">
      <c r="A7537" t="inlineStr">
        <is>
          <t>Ouginak M 200</t>
        </is>
      </c>
      <c r="B7537">
        <f>HYPERLINK("https://www.dofusbook.net/fr/equipement/3885729-ouginak-m-200/objets", "link")</f>
        <v/>
      </c>
      <c r="C7537" t="n">
        <v>1</v>
      </c>
      <c r="D7537" t="inlineStr">
        <is>
          <t>Marteau R'ture; Collier de Tourthon; Anneau Crustique; Anneau Crustique; Cadran d'Eau; Ceinture Volkorne; Masque de Koutoulou; Cape au Logis; Baleinabottes; Dofus Abyssal; Dofus Émeraude; Dofus Ivoire; Dofus Pourpre; Vigoureux majeur; Enragé majeur; Bwak de Terre</t>
        </is>
      </c>
    </row>
    <row r="7538">
      <c r="A7538" t="inlineStr">
        <is>
          <t>Ouginak F 200</t>
        </is>
      </c>
      <c r="B7538">
        <f>HYPERLINK("https://www.dofusbook.net/fr/equipement/3885709-ouginak-f-200/objets", "link")</f>
        <v/>
      </c>
      <c r="C7538" t="n">
        <v>3</v>
      </c>
      <c r="D7538" t="inlineStr">
        <is>
          <t>Dagues Ricol; Amulette Volkorne; Chevalière du Roi Joueur; Anneauræus; Cadran d'Eau; Ceinture Séculaire; Heaume Oplate; Voile d'encre; Bottes du Roi Joueur; Dofus Turquoise; Dofus Ivoire; Dofus Ocre; Dofus Pourpre; Dofus Abyssal; Érudit majeur; Muldo Prune et Pourpre</t>
        </is>
      </c>
    </row>
    <row r="7539">
      <c r="A7539" t="inlineStr">
        <is>
          <t>Ouginak M 200</t>
        </is>
      </c>
      <c r="B7539">
        <f>HYPERLINK("https://www.dofusbook.net/fr/equipement/3885698-ouginak-m-200/objets", "link")</f>
        <v/>
      </c>
      <c r="C7539" t="n">
        <v>1</v>
      </c>
      <c r="D7539" t="inlineStr">
        <is>
          <t>Sabres d'Atcham; Amulette Volkorne; Alliance Gloursonne; Anneau Volkorne; Cadran d'Eau; Menoture; Casque Volkorne; Cape d'Atcham; Sandales  d'Atcham; Dofus Émeraude; Dofus Abyssal; Dofus Turquoise; Dofus Ivoire; Dofus des Glaces; Dofus Pourpre; Kramkram</t>
        </is>
      </c>
    </row>
    <row r="7540">
      <c r="A7540" t="inlineStr">
        <is>
          <t>Crâ F 200</t>
        </is>
      </c>
      <c r="B7540">
        <f>HYPERLINK("https://www.dofusbook.net/fr/equipement/3885684-cra-f-200/objets", "link")</f>
        <v/>
      </c>
      <c r="C7540" t="n">
        <v>0</v>
      </c>
      <c r="D7540" t="inlineStr">
        <is>
          <t>Sabres d'Atcham; Amulette Volkorne; Anneau Volkorne; Lavanneau; Quatre-feuilles; Menoture; Casque Volkorne; Cape d'Atcham; Sandales  d'Atcham; Dofus Pourpre; Dofus Ivoire; Dofus des Glaces; Dolmanax; Dofus Turquoise; Dofus Abyssal; Kramkram</t>
        </is>
      </c>
    </row>
    <row r="7541">
      <c r="A7541" t="inlineStr">
        <is>
          <t>Sacrieur F 200</t>
        </is>
      </c>
      <c r="B7541">
        <f>HYPERLINK("https://www.dofusbook.net/fr/equipement/3871234-sacrieur-f-200/objets", "link")</f>
        <v/>
      </c>
      <c r="C7541" t="n">
        <v>0</v>
      </c>
      <c r="D7541" t="inlineStr">
        <is>
          <t>Marteau Phossile; Amulette Volkorne; Alliance Gloursonne; Anneau Rifique; Bouclier Taverne; Menoture; Casque Volkorne; Voile d'encre; Sabots de Vortex; Dofus Abyssal; Dofus Pourpre; Dofus Ivoire; Dofus Émeraude; Dofus Ocre; Miraculé majeur; Muldo Ebène et Indigo</t>
        </is>
      </c>
    </row>
    <row r="7542">
      <c r="A7542" t="inlineStr">
        <is>
          <t>Xélor M 200</t>
        </is>
      </c>
      <c r="B7542">
        <f>HYPERLINK("https://www.dofusbook.net/fr/equipement/3871111-xelor-m-200/objets", "link")</f>
        <v/>
      </c>
      <c r="C7542" t="n">
        <v>0</v>
      </c>
      <c r="D7542" t="inlineStr">
        <is>
          <t>Arc Nécrotique; Amulette Volkorne; Anneau Volkorne; Alliance Gloursonne; Cadran de Terre; Ceinture de Vortex; Casque Volkorne; Cape de la Dame du Hasard; Pataugastrique; Dofus Pourpre; Dofus Ivoire; Dofus des Glaces; Dofus Ocre; Dofus Turquoise; Paralyseur majeur; Volkorne Jade et Ivoire</t>
        </is>
      </c>
    </row>
    <row r="7543">
      <c r="A7543" t="inlineStr">
        <is>
          <t>Enutrof M 200</t>
        </is>
      </c>
      <c r="B7543">
        <f>HYPERLINK("https://www.dofusbook.net/fr/equipement/3866744-enutrof-m-200/objets", "link")</f>
        <v/>
      </c>
      <c r="C7543" t="n">
        <v>0</v>
      </c>
      <c r="D7543" t="inlineStr">
        <is>
          <t>Arc du Chalœil; Amulette du Kamasterisk; Anneau Chevelu; Anneau de Brouce; Bouclier du Stalak; Ceinture Volkorne; Masque de Funespadon; Cape du Kamasterisk; Baleinabottes; Dolmanax; Dofus Abyssal; Dofus Pourpre; Dofus Ivoire; Dofus Ocre; Enragé majeur; Muldo Ebène et Amande</t>
        </is>
      </c>
    </row>
    <row r="7544">
      <c r="A7544" t="inlineStr">
        <is>
          <t>Féca M 200</t>
        </is>
      </c>
      <c r="B7544">
        <f>HYPERLINK("https://www.dofusbook.net/fr/equipement/3866728-feca-m-200/objets", "link")</f>
        <v/>
      </c>
      <c r="C7544" t="n">
        <v>1</v>
      </c>
      <c r="D7544" t="inlineStr">
        <is>
          <t>Pelle de Nidas; Amulette de Pol Ouatnos; Anneau Volkorne; Pikano; Cadran de Terre; Ceinture de l'Indicible; Casque Volkorne; Voile d'encre; Pataugastrique; Dofus Pourpre; Dofus Ivoire; Dofus Ocre; Dofus Abyssal; Étourdisseur majeur; Temporiseur majeur; Kramkram</t>
        </is>
      </c>
    </row>
    <row r="7545">
      <c r="A7545" t="inlineStr">
        <is>
          <t>Iop M 200</t>
        </is>
      </c>
      <c r="B7545">
        <f>HYPERLINK("https://www.dofusbook.net/fr/equipement/3866698-iop-m-200/objets", "link")</f>
        <v/>
      </c>
      <c r="C7545" t="n">
        <v>2</v>
      </c>
      <c r="D7545" t="inlineStr">
        <is>
          <t>Baguette Range; Amulette Volkorne; Alliance Gloursonne; Bague Trithon; Quatre-feuilles; Menoture; Casque Volkorne; Voile d'encre; Bottes Trithon; Dofus Turquoise; Dofus Abyssal; Dofus des Glaces; Dofus Ivoire; Dofus Pourpre; Dofus Ocre; Muldo Ebène et Orchidée</t>
        </is>
      </c>
    </row>
    <row r="7546">
      <c r="A7546" t="inlineStr">
        <is>
          <t>Enutrof M 200</t>
        </is>
      </c>
      <c r="B7546">
        <f>HYPERLINK("https://www.dofusbook.net/fr/equipement/3866680-enutrof-m-200/objets", "link")</f>
        <v/>
      </c>
      <c r="C7546" t="n">
        <v>0</v>
      </c>
      <c r="D7546" t="inlineStr">
        <is>
          <t>Lav'Hache; Amulette du Kamasterisk; Anneau des égarés; Anneau Crustique; Cadran de Terre; Ceinture Volkorne; Casque Volkorne; Cape du Kamasterisk; Bottes du Kamasterisk; Dofus Abyssal; Dofus Pourpre; Dofus Ivoire; Dolmanax; Dofus Ocre; Dofus des Glaces; Muldo Ebène et Amande</t>
        </is>
      </c>
    </row>
    <row r="7547">
      <c r="A7547" t="inlineStr">
        <is>
          <t>Osamodas F 200</t>
        </is>
      </c>
      <c r="B7547">
        <f>HYPERLINK("https://www.dofusbook.net/fr/equipement/3866660-osamodas-f-200/objets", "link")</f>
        <v/>
      </c>
      <c r="C7547" t="n">
        <v>0</v>
      </c>
      <c r="D7547" t="inlineStr">
        <is>
          <t>Sceptre du Roi Joueur; Amulette de Shokkoth; Bracelet des Fonds marins; Anneau Volkorne; Cadran de Feu; Ceinture du Barbétoal; Masque des Fonds marins; Cape Solution; Pataugastrique; Dolmanax; Dofus Ocre; Dofus Abyssal; Dofus Émeraude; Dofus Ivoire; Chanceux majeur; Muldo Indigo</t>
        </is>
      </c>
    </row>
    <row r="7548">
      <c r="A7548" t="inlineStr">
        <is>
          <t>Crâ M 200</t>
        </is>
      </c>
      <c r="B7548">
        <f>HYPERLINK("https://www.dofusbook.net/fr/equipement/3866641-cra-m-200/objets", "link")</f>
        <v/>
      </c>
      <c r="C7548" t="n">
        <v>2</v>
      </c>
      <c r="D7548" t="inlineStr">
        <is>
          <t>Hache Téroïde; Amulette Volkorne; Anneau Volkorne; Chevalière du Roi Joueur; Bouclier du Stalak; Ceinture Volkorne; Couronne du Roi Joueur; Sac Volcanique; Sabots Volcaniques; Dofus Abyssal; Dofus Pourpre; Dofus Ivoire; Dofus Ocre; Dofus Turquoise; Entraveur majeur; Volkorne Jade et Saphir</t>
        </is>
      </c>
    </row>
    <row r="7549">
      <c r="A7549" t="inlineStr">
        <is>
          <t>Iop M 200</t>
        </is>
      </c>
      <c r="B7549">
        <f>HYPERLINK("https://www.dofusbook.net/fr/equipement/3866630-iop-m-200/objets", "link")</f>
        <v/>
      </c>
      <c r="C7549" t="n">
        <v>3</v>
      </c>
      <c r="D7549" t="inlineStr">
        <is>
          <t>Arc Volkorne; Amulette Volkorne; Bague Trithon; Anneau Volkorne; Quatre-feuilles; Ceinture Volkorne; Masque Trithon; Cape d'Atcham; Bottes Trithon; Dofus des Glaces; Dofus Ocre; Dofus Turquoise; Dofus Abyssal; Dofus Pourpre; Dofus Ivoire; Volkorne Améthyste</t>
        </is>
      </c>
    </row>
    <row r="7550">
      <c r="A7550" t="inlineStr">
        <is>
          <t>Huppermage M 200</t>
        </is>
      </c>
      <c r="B7550">
        <f>HYPERLINK("https://www.dofusbook.net/fr/equipement/3863322-huppermage-m-200/objets", "link")</f>
        <v/>
      </c>
      <c r="C7550" t="n">
        <v>1</v>
      </c>
      <c r="D7550" t="inlineStr">
        <is>
          <t>Sabres d'Atcham; Amulette Volkorne; Pikano; Anneau Volkorne; Bouclier Taverne; Ceintacé; Casque Volkorne; Dofusteuse; Sandales  d'Atcham; Dofus Abyssal; Dofus Pourpre; Dofus Ivoire; Dofus Turquoise; Dofus Ocre; Dofus Émeraude; Bwak de Terre</t>
        </is>
      </c>
    </row>
    <row r="7551">
      <c r="A7551" t="inlineStr">
        <is>
          <t>Enutrof M 200</t>
        </is>
      </c>
      <c r="B7551">
        <f>HYPERLINK("https://www.dofusbook.net/fr/equipement/3863278-enutrof-m-200/objets", "link")</f>
        <v/>
      </c>
      <c r="C7551" t="n">
        <v>0</v>
      </c>
      <c r="D7551" t="inlineStr">
        <is>
          <t>Marteau R'ture; Collier de Tourthon; Anneau Chevelu; Anneau de Brouce; Bouclier du Stalak; Ceinture Volkorne; Masque de Koutoulou; Cape au Logis; Bottes de Brouce; Dofus Ocre; Dofus Abyssal; Dofus Pourpre; Dofus Ivoire; Déserteur majeur; Enragé majeur; Fotome</t>
        </is>
      </c>
    </row>
    <row r="7552">
      <c r="A7552" t="inlineStr">
        <is>
          <t>Pandawa F 200</t>
        </is>
      </c>
      <c r="B7552">
        <f>HYPERLINK("https://www.dofusbook.net/fr/equipement/3863250-pandawa-f-200/objets", "link")</f>
        <v/>
      </c>
      <c r="C7552" t="n">
        <v>3</v>
      </c>
      <c r="D7552" t="inlineStr">
        <is>
          <t>Arc Ontanporin; Amulette de Shokkoth; Alliance Gloursonne; Anneau Volkorne; Bouclier du Stalak; Ceinture de la Reine des Voleurs; Kidibonnet; Cape Solution; Bottes de la Reine des Voleurs; Dofus Abyssal; Dofus Émeraude; Dofus Ivoire; Dofus Pourpre; Dofus Turquoise; Chanceux majeur; Muldo Ebène et Orchidée</t>
        </is>
      </c>
    </row>
    <row r="7553">
      <c r="A7553" t="inlineStr">
        <is>
          <t>Huppermage F 200</t>
        </is>
      </c>
      <c r="B7553">
        <f>HYPERLINK("https://www.dofusbook.net/fr/equipement/3856962-huppermage-f-200/objets", "link")</f>
        <v/>
      </c>
      <c r="C7553" t="n">
        <v>1</v>
      </c>
      <c r="D7553" t="inlineStr">
        <is>
          <t>Arc Volkorne; Amulette Volkorne; Alliance Brûlâme; Anneau Volkorne; Bouclier du Stalak; Ceinture Volkorne; Casque du Chalœil; Cape du Chalœil; Bottes du Chalœil; Dofus des Glaces; Dofus Ocre; Dolmanax; Dofus Abyssal; Dofus Pourpre; Dofus Ivoire; Volkorne Saphir et Améthyste</t>
        </is>
      </c>
    </row>
    <row r="7554">
      <c r="A7554" t="inlineStr">
        <is>
          <t>Féca M 200</t>
        </is>
      </c>
      <c r="B7554">
        <f>HYPERLINK("https://www.dofusbook.net/fr/equipement/3856899-feca-m-200/objets", "link")</f>
        <v/>
      </c>
      <c r="C7554" t="n">
        <v>0</v>
      </c>
      <c r="D7554" t="inlineStr"/>
    </row>
    <row r="7555">
      <c r="A7555" t="inlineStr">
        <is>
          <t>Zobal M 200</t>
        </is>
      </c>
      <c r="B7555">
        <f>HYPERLINK("https://www.dofusbook.net/fr/equipement/3818687-zobal-m-200/objets", "link")</f>
        <v/>
      </c>
      <c r="C7555" t="n">
        <v>0</v>
      </c>
      <c r="D7555" t="inlineStr">
        <is>
          <t>Dagues d'Ilyzaelle; Amulette du Cœur Saignant; Anneau Chevelu; Anneau Crustique; Cadran d'Eau; Ceinture Volkorne; Masque de Koutoulou; Cape au Logis; Bottes du Cœur Saignant; Dofus Émeraude; Dofus Abyssal; Dofus Turquoise; Dofus Ivoire; Dofus Pourpre; Dofus Ocre; Dragodinde Ivoire et Pourpre</t>
        </is>
      </c>
    </row>
    <row r="7556">
      <c r="A7556" t="inlineStr">
        <is>
          <t>Roublard F 200</t>
        </is>
      </c>
      <c r="B7556">
        <f>HYPERLINK("https://www.dofusbook.net/fr/equipement/3844088-roublard-f-200/objets", "link")</f>
        <v/>
      </c>
      <c r="C7556" t="n">
        <v>0</v>
      </c>
      <c r="D7556" t="inlineStr">
        <is>
          <t>Baguette Héroclite; Amulette de Shokkoth; Alliance Gloursonne; Anneau Volkorne; Bouclier du Stalak; Ceinture de la Reine des Voleurs; Kidibonnet; Cape Solution; Bottes de la Reine des Voleurs; Dofus Vulbis; Dofus Pourpre; Dofus Ocre; Dofus Ivoire; Dofus des Glaces; Chanceux majeur; Kanigloups</t>
        </is>
      </c>
    </row>
    <row r="7557">
      <c r="A7557" t="inlineStr">
        <is>
          <t>Crâ F 200</t>
        </is>
      </c>
      <c r="B7557">
        <f>HYPERLINK("https://www.dofusbook.net/fr/equipement/3844063-cra-f-200/objets", "link")</f>
        <v/>
      </c>
      <c r="C7557" t="n">
        <v>0</v>
      </c>
      <c r="D7557" t="inlineStr">
        <is>
          <t>Arc de Koutoulou; Amulette du Strigide; Alliance Gloursonne; Anneau Volkorne; Quatre-feuilles; Ceinture du Strigide; Casque Volkorne; Cape Matelassée; Bottes de la Reine des Voleurs; Dofus Vulbis; Dofus Ocre; Dofus Turquoise; Dofus Abyssal; Dofus Pourpre; Dofus Ivoire; Kramkram</t>
        </is>
      </c>
    </row>
    <row r="7558">
      <c r="A7558" t="inlineStr">
        <is>
          <t>Sacrieur M 200</t>
        </is>
      </c>
      <c r="B7558">
        <f>HYPERLINK("https://www.dofusbook.net/fr/equipement/3843529-sacrieur-m-200/objets", "link")</f>
        <v/>
      </c>
      <c r="C7558" t="n">
        <v>0</v>
      </c>
      <c r="D7558" t="inlineStr">
        <is>
          <t>Marteau des Anciens Steamers; Amulette Voldelor; Alliance Gloursonne; Anneau Volkorne; Bouclier d'Ilyzaelle; Ceinture Voldelor; Casque Volkorne; Cape d'Anerice; Bottes Voldelor; Dofus Abyssal; Dofus Pourpre; Dofus Ivoire; Dofus Émeraude; Dofus Ocre; Dofus Turquoise; Muldo Ebène et Pourpre</t>
        </is>
      </c>
    </row>
    <row r="7559">
      <c r="A7559" t="inlineStr">
        <is>
          <t>Crâ M 200</t>
        </is>
      </c>
      <c r="B7559">
        <f>HYPERLINK("https://www.dofusbook.net/fr/equipement/3843514-cra-m-200/objets", "link")</f>
        <v/>
      </c>
      <c r="C7559" t="n">
        <v>0</v>
      </c>
      <c r="D7559" t="inlineStr">
        <is>
          <t>Héqache; Amulette du Cœur Saignant; Anneau Chevelu; Pikano; Quatre-feuilles; Ceinture Volkorne; Casquipik; Cape du Cœur Saignant; Bottes du Cœur Saignant; Dofus Ocre; Dofus Turquoise; Dofus Abyssal; Dofus Pourpre; Dofus Ivoire; Entraveur majeur; Muldo Indigo</t>
        </is>
      </c>
    </row>
    <row r="7560">
      <c r="A7560" t="inlineStr">
        <is>
          <t>Ecaflip F 200</t>
        </is>
      </c>
      <c r="B7560">
        <f>HYPERLINK("https://www.dofusbook.net/fr/equipement/3843258-ecaflip-f-200/objets", "link")</f>
        <v/>
      </c>
      <c r="C7560" t="n">
        <v>0</v>
      </c>
      <c r="D7560" t="inlineStr">
        <is>
          <t>Arc Oleptik; Pendentif mignon de Koutoulou; Anneau Rifique; Alliance Brûlâme; Cadran d'Air; Menoture; Masquegel; Cape Martegel; Pompes Funèbres; Dofus Émeraude; Dofus Ocre; Dolmanax; Dofus Abyssal; Dofus Pourpre; Dofus Ivoire; Muldo Orchidée</t>
        </is>
      </c>
    </row>
    <row r="7561">
      <c r="A7561" t="inlineStr">
        <is>
          <t>Xélor M 200</t>
        </is>
      </c>
      <c r="B7561">
        <f>HYPERLINK("https://www.dofusbook.net/fr/equipement/3843457-xelor-m-200/objets", "link")</f>
        <v/>
      </c>
      <c r="C7561" t="n">
        <v>1</v>
      </c>
      <c r="D7561" t="inlineStr">
        <is>
          <t>Lav'Hache; Collier de Tourthon; Anneau Crustique; Anneau Crustique; Cadran d'Air; Ceinture Volkorne; Masque de Koutoulou; Cape au Logis; Bottes de la Cour Sombre; Dofus Abyssal; Dofus Pourpre; Dofus Ivoire; Dofus Émeraude; Dofus Turquoise; Enragé majeur; Volkorne Jade</t>
        </is>
      </c>
    </row>
    <row r="7562">
      <c r="A7562" t="inlineStr">
        <is>
          <t>Roublard F 200</t>
        </is>
      </c>
      <c r="B7562">
        <f>HYPERLINK("https://www.dofusbook.net/fr/equipement/3818714-roublard-f-200/objets", "link")</f>
        <v/>
      </c>
      <c r="C7562" t="n">
        <v>0</v>
      </c>
      <c r="D7562" t="inlineStr">
        <is>
          <t>Sceptre du Roi Joueur; Amulette de Shokkoth; Bracelet des Fonds marins; Anneau Volkorne; Bouclier du Stalak; Ceinture de la Reine des Voleurs; Masque des Fonds marins; Cape Solution; Bottes de la Reine des Voleurs; Dofus Abyssal; Dofus Pourpre; Dofus Ivoire; Dofus Vulbis; Dofus Ocre; Dofus des Glaces; Kramkram</t>
        </is>
      </c>
    </row>
    <row r="7563">
      <c r="A7563" t="inlineStr">
        <is>
          <t>Roublard M 200</t>
        </is>
      </c>
      <c r="B7563">
        <f>HYPERLINK("https://www.dofusbook.net/fr/equipement/3818697-roublard-m-200/objets", "link")</f>
        <v/>
      </c>
      <c r="C7563" t="n">
        <v>0</v>
      </c>
      <c r="D7563" t="inlineStr">
        <is>
          <t>Canne Harr; Anneau Rifique; Cadran d'Air; Ceinture de Vortex; Masquegel; Cape Martegel; Sabots de Vortex; Dolmanax; Dofus Ocre; Dofus Pourpre; Dofus Abyssal; Dofus des Glaces; Dofus Ivoire; Muldo Orchidée et Pourpre</t>
        </is>
      </c>
    </row>
    <row r="7564">
      <c r="A7564" t="inlineStr">
        <is>
          <t>Iop F 200</t>
        </is>
      </c>
      <c r="B7564">
        <f>HYPERLINK("https://www.dofusbook.net/fr/equipement/3818679-iop-f-200/objets", "link")</f>
        <v/>
      </c>
      <c r="C7564" t="n">
        <v>1</v>
      </c>
      <c r="D7564" t="inlineStr">
        <is>
          <t>Épouvante; Amulette du Strigide; Anneau Volkorne; Anneau en Grithril; Cadran d'Eau; Ceinture Volkorne; Casque en Grithril; Cape Solution; Bottes du Strigide; Dofus Pourpre; Dofus Ivoire; Dofus Émeraude; Dofus Ocre; Dofus Turquoise; Dofus Abyssal; Muldo Ebène</t>
        </is>
      </c>
    </row>
    <row r="7565">
      <c r="A7565" t="inlineStr">
        <is>
          <t>Crâ F 200</t>
        </is>
      </c>
      <c r="B7565">
        <f>HYPERLINK("https://www.dofusbook.net/fr/equipement/3818672-cra-f-200/objets", "link")</f>
        <v/>
      </c>
      <c r="C7565" t="n">
        <v>0</v>
      </c>
      <c r="D7565" t="inlineStr">
        <is>
          <t>Arc Ontanporin; Amulette du Strigide; Anneau en Grithril; Pikano; Quatre-feuilles; Ceinture du Strigide; Masque de Funespadon; Cape Solution; Chaussons de Macrab; Dofus Turquoise; Dofus Abyssal; Dofus Pourpre; Dofus Ivoire; Dofus Vulbis; Dofus Ocre; Kramkram</t>
        </is>
      </c>
    </row>
    <row r="7566">
      <c r="A7566" t="inlineStr">
        <is>
          <t>Féca F 200</t>
        </is>
      </c>
      <c r="B7566">
        <f>HYPERLINK("https://www.dofusbook.net/fr/equipement/3818626-feca-f-200/objets", "link")</f>
        <v/>
      </c>
      <c r="C7566" t="n">
        <v>0</v>
      </c>
      <c r="D7566" t="inlineStr">
        <is>
          <t>Arc Ontanporin; Amulette de l'Œil Attentif; Alliance Gloursonne; Anneau Volkorne; Bouclier du Stalak; Culotte de Bethel; Masque de Funespadon; Cape de l'Œil Attentif; Chaussons de Macrab; Dolmanax; Dofus Abyssal; Dofus Pourpre; Dofus Ivoire; Dofus Ocre; Paralyseur majeur; Muldo Ebène et Pourpre</t>
        </is>
      </c>
    </row>
    <row r="7567">
      <c r="A7567" t="inlineStr">
        <is>
          <t>Crâ M 200</t>
        </is>
      </c>
      <c r="B7567">
        <f>HYPERLINK("https://www.dofusbook.net/fr/equipement/3818611-cra-m-200/objets", "link")</f>
        <v/>
      </c>
      <c r="C7567" t="n">
        <v>1</v>
      </c>
      <c r="D7567" t="inlineStr">
        <is>
          <t>Baguette de Malléfisk; Amulette d'Otomaï; Anneauræus; Lavanneau; Cadran de Feu; Ceinture de Vortex; Heaume Oplate; Cape Ardente; Chaussures Ardentes; Dolmanax; Dofus Ivoire; Dofus Ocre; Dofus Abyssal; Étourdisseur majeur; Érudit majeur; Muldo Orchidée et Pourpre</t>
        </is>
      </c>
    </row>
    <row r="7568">
      <c r="A7568" t="inlineStr">
        <is>
          <t>Féca F 200</t>
        </is>
      </c>
      <c r="B7568">
        <f>HYPERLINK("https://www.dofusbook.net/fr/equipement/3814826-feca-f-200/objets", "link")</f>
        <v/>
      </c>
      <c r="C7568" t="n">
        <v>2</v>
      </c>
      <c r="D7568" t="inlineStr">
        <is>
          <t>Arc corrompu; Collier Rophante; Anneauræus; Anneau de Nidas; Bouclier cubiste; Ceinture de Kongoku; Heaume Oplate; Cape de la Dame du Hasard; Tongues de Nidas; Dofus Abyssal; Dofus Ivoire; Dofus Pourpre; Temporiseur majeur; Étourdisseur majeur; Érudit majeur; Volkorne Jade et Turquoise</t>
        </is>
      </c>
    </row>
    <row r="7569">
      <c r="A7569" t="inlineStr">
        <is>
          <t>Enutrof M 200</t>
        </is>
      </c>
      <c r="B7569">
        <f>HYPERLINK("https://www.dofusbook.net/fr/equipement/3814804-enutrof-m-200/objets", "link")</f>
        <v/>
      </c>
      <c r="C7569" t="n">
        <v>0</v>
      </c>
      <c r="D7569" t="inlineStr">
        <is>
          <t>Arc de Koutoulou; Amulette d'Ilyzaelle; Anneau Volkorne; Alliance Gloursonne; Cadran de Terre; Menoture; Casque Volkorne; Cape Matelassée; Chaussures Face; Dofus des Glaces; Dofus Ivoire; Dofus Pourpre; Dofus Abyssal; Déserteur majeur; Temporiseur majeur; Muldo Indigo</t>
        </is>
      </c>
    </row>
    <row r="7570">
      <c r="A7570" t="inlineStr">
        <is>
          <t>Xélor M 200</t>
        </is>
      </c>
      <c r="B7570">
        <f>HYPERLINK("https://www.dofusbook.net/fr/equipement/3814786-xelor-m-200/objets", "link")</f>
        <v/>
      </c>
      <c r="C7570" t="n">
        <v>0</v>
      </c>
      <c r="D7570" t="inlineStr">
        <is>
          <t>Lance Horselé; Amulette Voldelor; Alliance Gloursonne; Anneau Volkorne; Quatre-feuilles; Menoture; Casque Volkorne; Chevelure de Tal Kasha; Sandales de Tal Kasha; Dofus Pourpre; Dofus Abyssal; Dofus Turquoise; Dofus Ivoire; Dofus Ocre; Paralyseur majeur; Muldo Ebène et Pourpre</t>
        </is>
      </c>
    </row>
    <row r="7571">
      <c r="A7571" t="inlineStr">
        <is>
          <t>Ouginak M 200</t>
        </is>
      </c>
      <c r="B7571">
        <f>HYPERLINK("https://www.dofusbook.net/fr/equipement/3808884-ouginak-m-200/objets", "link")</f>
        <v/>
      </c>
      <c r="C7571" t="n">
        <v>0</v>
      </c>
      <c r="D7571" t="inlineStr">
        <is>
          <t>Masse Ossiale; Talisman Igans; Alliance Gloursonne; Bague Trithon; Bouclier précieux; Ceintrigue; Masque Trithon; Cape des Malveilleurs; Bottes Trithon; Dofus Émeraude; Dofus Abyssal; Dofus Turquoise; Dofus Ivoire; Dofus Ocre; Bousculeur majeur; Muldo Indigo et Orchidée</t>
        </is>
      </c>
    </row>
    <row r="7572">
      <c r="A7572" t="inlineStr">
        <is>
          <t>Crâ M 200</t>
        </is>
      </c>
      <c r="B7572">
        <f>HYPERLINK("https://www.dofusbook.net/fr/equipement/3808849-cra-m-200/objets", "link")</f>
        <v/>
      </c>
      <c r="C7572" t="n">
        <v>0</v>
      </c>
      <c r="D7572" t="inlineStr">
        <is>
          <t>Héqache; Pendentif mignon de Koutoulou; Anneau Rifique; Bague Trithon; Cadran d'Air; Ceinture de Vortex; Chapeau des Malveilleurs; Cape des Malveilleurs; Bottes des Malveilleurs; Dofus des Glaces; Dofus Ivoire; Dofus Ocre; Dofus Pourpre; Dofus Abyssal; Bousculeur majeur; Muldo Ebène et Orchidée</t>
        </is>
      </c>
    </row>
    <row r="7573">
      <c r="A7573" t="inlineStr">
        <is>
          <t>Crâ M 200</t>
        </is>
      </c>
      <c r="B7573">
        <f>HYPERLINK("https://www.dofusbook.net/fr/equipement/3804786-cra-m-200/objets", "link")</f>
        <v/>
      </c>
      <c r="C7573" t="n">
        <v>0</v>
      </c>
      <c r="D7573" t="inlineStr">
        <is>
          <t>Épouvante; Amulette du Strigide; Pikano; Anneau Volkorne; Quatre-feuilles; Ceinture Volkorne; Casquipik; Cape Solution; Bottes du Strigide; Dofus Turquoise; Dofus Abyssal; Dofus Pourpre; Dofus Ivoire; Dolmanax; Dofus Ocre; Muldo Indigo</t>
        </is>
      </c>
    </row>
    <row r="7574">
      <c r="A7574" t="inlineStr">
        <is>
          <t>Iop M 200</t>
        </is>
      </c>
      <c r="B7574">
        <f>HYPERLINK("https://www.dofusbook.net/fr/equipement/3804780-iop-m-200/objets", "link")</f>
        <v/>
      </c>
      <c r="C7574" t="n">
        <v>3</v>
      </c>
      <c r="D7574" t="inlineStr">
        <is>
          <t>Arc du Chalœil; Amulette du Cœur Saignant; Anneau Crustique; Anneau Chevelu; Quatre-feuilles; Ceinture Volkorne; Masque de Koutoulou; Cape au Logis; Bottes du Cœur Saignant; Dofus Turquoise; Dofus Ivoire; Dofus Pourpre; Dofus Abyssal; Enragé majeur; Carapace Eau majeur; Volkorne Jade</t>
        </is>
      </c>
    </row>
    <row r="7575">
      <c r="A7575" t="inlineStr">
        <is>
          <t>Iop M 200</t>
        </is>
      </c>
      <c r="B7575">
        <f>HYPERLINK("https://www.dofusbook.net/fr/equipement/3804771-iop-m-200/objets", "link")</f>
        <v/>
      </c>
      <c r="C7575" t="n">
        <v>2</v>
      </c>
      <c r="D7575" t="inlineStr">
        <is>
          <t>Arc Tangente; Amulette Volkorne; Anneau Volkorne; Alliance du Lévitrof; Quatre-feuilles; Ceinture Volkorne; Coiffe du Lévitrof; Voile d'encre; Bottes du Lévitrof; Dofus des Glaces; Dofus Abyssal; Dofus Pourpre; Dofus Ivoire; Dofus Turquoise; Dofus Ocre; Volkorne Jade</t>
        </is>
      </c>
    </row>
    <row r="7576">
      <c r="A7576" t="inlineStr">
        <is>
          <t>Pandawa F 200</t>
        </is>
      </c>
      <c r="B7576">
        <f>HYPERLINK("https://www.dofusbook.net/fr/equipement/3726699-pandawa-f-200/objets", "link")</f>
        <v/>
      </c>
      <c r="C7576" t="n">
        <v>1</v>
      </c>
      <c r="D7576" t="inlineStr">
        <is>
          <t>Arc Volkorne; Amulette Volkorne; Anneau Volkorne; Bracelet du Piloztère; Quatre-feuilles; Ceinture Volkorne; Capuche de l'Œil Putride; Cape d'Atcham; Sandales  d'Atcham; Dofus Pourpre; Dofus Ivoire; Dofus des Glaces; Dofus Ocre; Dofus Turquoise; Dofus Abyssal; Volkorne Améthyste</t>
        </is>
      </c>
    </row>
    <row r="7577">
      <c r="A7577" t="inlineStr">
        <is>
          <t>Ouginak M 200</t>
        </is>
      </c>
      <c r="B7577">
        <f>HYPERLINK("https://www.dofusbook.net/fr/equipement/3726690-ouginak-m-200/objets", "link")</f>
        <v/>
      </c>
      <c r="C7577" t="n">
        <v>2</v>
      </c>
      <c r="D7577" t="inlineStr">
        <is>
          <t>Dagues Ricol; Amulette Volkorne; Anneau du Cycloïde; Alliance Brûlâme; Bouclier d'Ilyzaelle; Ceinture Volkorne; Casque Volkorne; Voile d'encre; Pompes Funèbres; Dofus Émeraude; Dofus Abyssal; Dofus Pourpre; Dofus Ivoire; Dolmanax; Dofus Ocre; Volkorne Jade et Rubis</t>
        </is>
      </c>
    </row>
    <row r="7578">
      <c r="A7578" t="inlineStr">
        <is>
          <t>Ouginak M 200</t>
        </is>
      </c>
      <c r="B7578">
        <f>HYPERLINK("https://www.dofusbook.net/fr/equipement/3726674-ouginak-m-200/objets", "link")</f>
        <v/>
      </c>
      <c r="C7578" t="n">
        <v>2</v>
      </c>
      <c r="D7578" t="inlineStr">
        <is>
          <t>Épée Brûlâme; Amulette Volkorne; Anneau Volkorne; Lavanneau; Cadran d'Eau; Ceinture de l'Esprit Malsain; Heaume Oplate; Cape de la Dame du Hasard; Bottes de la Dame du Hasard; Dofus Pourpre; Dofus Ivoire; Dofus Turquoise; Dofus Ocre; Dofus Émeraude; Dofus Abyssal; Muldo Orchidée</t>
        </is>
      </c>
    </row>
    <row r="7579">
      <c r="A7579" t="inlineStr">
        <is>
          <t>Crâ F 200</t>
        </is>
      </c>
      <c r="B7579">
        <f>HYPERLINK("https://www.dofusbook.net/fr/equipement/3726660-cra-f-200/objets", "link")</f>
        <v/>
      </c>
      <c r="C7579" t="n">
        <v>2</v>
      </c>
      <c r="D7579" t="inlineStr">
        <is>
          <t>Baguette des égarés; Amulette Luminescente; Anneau Volkorne; Pikano; Bouclier du Stalak; Ceinture Volkorne; Casquipik; Cape Luminescente; Pikottes; Dofus des Glaces; Dofus Abyssal; Dofus Pourpre; Dofus Ivoire; Dolmanax; Dofus Ocre; Muldo Ebène et Indigo</t>
        </is>
      </c>
    </row>
    <row r="7580">
      <c r="A7580" t="inlineStr">
        <is>
          <t>Sram F 200</t>
        </is>
      </c>
      <c r="B7580">
        <f>HYPERLINK("https://www.dofusbook.net/fr/equipement/3726644-sram-f-200/objets", "link")</f>
        <v/>
      </c>
      <c r="C7580" t="n">
        <v>0</v>
      </c>
      <c r="D7580" t="inlineStr">
        <is>
          <t>Baguette des égarés; Amulette du Piloztère; Anneau Volkorne; Bracelet du Piloztère; Bouclier du Stalak; Ceinture Volkorne; Masque de Koutoulou; Cape Solution; Pantoufles du Piloztère; Dofus Pourpre; Dofus Ivoire; Dofus des Glaces; Dolmanax; Dofus Abyssal; Robuste majeur; Muldo Ebène</t>
        </is>
      </c>
    </row>
    <row r="7581">
      <c r="A7581" t="inlineStr">
        <is>
          <t>Sram F 200</t>
        </is>
      </c>
      <c r="B7581">
        <f>HYPERLINK("https://www.dofusbook.net/fr/equipement/3726618-sram-f-200/objets", "link")</f>
        <v/>
      </c>
      <c r="C7581" t="n">
        <v>0</v>
      </c>
      <c r="D7581" t="inlineStr">
        <is>
          <t>Arc de Koutoulou; Amulette d'Ilyzaelle; Alliance Gloursonne; Anneau Volkorne; Bouclier du Stalak; Ceinture de la Reine des Voleurs; Casque Volkorne; Cape Solution; Bottes de la Reine des Voleurs; Dofus des Glaces; Dofus Abyssal; Dofus Pourpre; Dofus Ivoire; Dolmanax; Dofus Ocre; Muldo Ebène</t>
        </is>
      </c>
    </row>
    <row r="7582">
      <c r="A7582" t="inlineStr">
        <is>
          <t>Enutrof F 200</t>
        </is>
      </c>
      <c r="B7582">
        <f>HYPERLINK("https://www.dofusbook.net/fr/equipement/3726602-enutrof-f-200/objets", "link")</f>
        <v/>
      </c>
      <c r="C7582" t="n">
        <v>0</v>
      </c>
      <c r="D7582" t="inlineStr">
        <is>
          <t>Arc Honte; Amulette Volkorne; Anneau de Nidas; Anneau Volkorne; Bouclier du Stalak; Ceinture de Vortex; Casque Volkorne; Cape de Diondin; Sabots de Vortex; Dofus des Glaces; Dofus Ivoire; Dofus Pourpre; Dolmanax; Dofus Abyssal; Vagabond majeur; Volkorne Jade</t>
        </is>
      </c>
    </row>
    <row r="7583">
      <c r="A7583" t="inlineStr">
        <is>
          <t>Crâ F 200</t>
        </is>
      </c>
      <c r="B7583">
        <f>HYPERLINK("https://www.dofusbook.net/fr/equipement/3715484-cra-f-200/objets", "link")</f>
        <v/>
      </c>
      <c r="C7583" t="n">
        <v>0</v>
      </c>
      <c r="D7583" t="inlineStr">
        <is>
          <t>Épouvante; Amulette du Strigide; Pikano; Anneau Volkorne; Quatre-feuilles; Ceinture Volkorne; Casquipik; Cape Solution; Bottes du Strigide; Dofus Vulbis; Dofus Pourpre; Dofus Turquoise; Dofus Ocre; Dofus Nébuleux; Dofus des Glaces; Dragodinde Ivoire et Pourpre</t>
        </is>
      </c>
    </row>
    <row r="7584">
      <c r="A7584" t="inlineStr">
        <is>
          <t>Zobal M 200</t>
        </is>
      </c>
      <c r="B7584">
        <f>HYPERLINK("https://www.dofusbook.net/fr/equipement/3704362-zobal-m-200/objets", "link")</f>
        <v/>
      </c>
      <c r="C7584" t="n">
        <v>0</v>
      </c>
      <c r="D7584" t="inlineStr">
        <is>
          <t>Harpelle; Pendentif mignon de Koutoulou; Anneau Rifique; Anneauræus; Cadran d'Eau; Ceinture de Gein; Heaume Oplate; Voile d'encre; Bottes Innommables; Dofus Pourpre; Dofus Ivoire; Dofus Ocre; Dofus Émeraude; Dofus Abyssal; Érudit majeur; Muldo Ebène et Pourpre</t>
        </is>
      </c>
    </row>
    <row r="7585">
      <c r="A7585" t="inlineStr">
        <is>
          <t>Zobal M 200</t>
        </is>
      </c>
      <c r="B7585">
        <f>HYPERLINK("https://www.dofusbook.net/fr/equipement/3704345-zobal-m-200/objets", "link")</f>
        <v/>
      </c>
      <c r="C7585" t="n">
        <v>0</v>
      </c>
      <c r="D7585" t="inlineStr">
        <is>
          <t>Lav'Hache; Collier de Tourthon; Anneau Chevelu; Anneau Crustique; Cadran d'Eau; Ceinture en Grithril; Casque en Grithril; Cape au Logis; Sabots Minables; Dofus Abyssal; Dofus Ocre; Dofus Émeraude; Dofus Ivoire; Miraculé majeur; Enragé majeur; Dragodinde Ivoire et Pourpre</t>
        </is>
      </c>
    </row>
    <row r="7586">
      <c r="A7586" t="inlineStr">
        <is>
          <t>Iop F 200</t>
        </is>
      </c>
      <c r="B7586">
        <f>HYPERLINK("https://www.dofusbook.net/fr/equipement/3704328-iop-f-200/objets", "link")</f>
        <v/>
      </c>
      <c r="C7586" t="n">
        <v>2</v>
      </c>
      <c r="D7586" t="inlineStr">
        <is>
          <t>Épouvante; Collier de Tourthon; Anneau en Grithril; Pikano; Bouclier d'Ilyzaelle; Ceinture de la Reine des Voleurs; Casque en Grithril; Cape au Logis; Bottes de la Reine des Voleurs; Dofus Pourpre; Dofus Ivoire; Dokoko; Dofus Ocre; Dofus Émeraude; Dofus Abyssal; Volkorne Jade</t>
        </is>
      </c>
    </row>
    <row r="7587">
      <c r="A7587" t="inlineStr">
        <is>
          <t>Féca M 200</t>
        </is>
      </c>
      <c r="B7587">
        <f>HYPERLINK("https://www.dofusbook.net/fr/equipement/3704306-feca-m-200/objets", "link")</f>
        <v/>
      </c>
      <c r="C7587" t="n">
        <v>0</v>
      </c>
      <c r="D7587" t="inlineStr">
        <is>
          <t>Baguette des égarés; Amulette de Pol Ouatnos; Pikano; Anneau Volkorne; Cadran de Terre; Ceinture Volkorne; Masque de Funespadon; Cape Solution; Chaussons de Macrab; Dofus des Glaces; Dofus Émeraude; Dolmanax; Dofus Abyssal; Dofus Pourpre; Dofus Ivoire; Volkorne Améthyste</t>
        </is>
      </c>
    </row>
    <row r="7588">
      <c r="A7588" t="inlineStr">
        <is>
          <t>Crâ M 200</t>
        </is>
      </c>
      <c r="B7588">
        <f>HYPERLINK("https://www.dofusbook.net/fr/equipement/3697505-cra-m-200/objets", "link")</f>
        <v/>
      </c>
      <c r="C7588" t="n">
        <v>1</v>
      </c>
      <c r="D7588" t="inlineStr">
        <is>
          <t>Arc corrompu; Amulette Volkorne; Anneauræus; Anneauræus; Quatre-feuilles; Ceinture Séculaire; Coiffe Séculaire; Cape de la Dame du Hasard; Bottes de la Dame du Hasard; Dofus Turquoise; Dofus Ivoire; Dofus Vulbis; Dofus Ocre; Dofus Pourpre; Dofus Abyssal; Volkorne Rubis</t>
        </is>
      </c>
    </row>
    <row r="7589">
      <c r="A7589" t="inlineStr">
        <is>
          <t>Eniripsa M 200</t>
        </is>
      </c>
      <c r="B7589">
        <f>HYPERLINK("https://www.dofusbook.net/fr/equipement/3697502-eniripsa-m-200/objets", "link")</f>
        <v/>
      </c>
      <c r="C7589" t="n">
        <v>0</v>
      </c>
      <c r="D7589" t="inlineStr">
        <is>
          <t>Baguette Héroclite; Amulette de l'Œil Attentif; Anneau Volkorne; Alliance Gloursonne; Bouclier du Stalak; Ceinture de la Reine des Voleurs; Capuche de l'Œil Attentif; Cape de l'Œil Attentif; Bottes de la Reine des Voleurs; Dofus Cawotte; Dofus Ocre; Dofus des Glaces; Dofus Abyssal; Dofus Pourpre; Dofus Ivoire; Muldo Ebène et Orchidée</t>
        </is>
      </c>
    </row>
    <row r="7590">
      <c r="A7590" t="inlineStr">
        <is>
          <t>Pandawa F 200</t>
        </is>
      </c>
      <c r="B7590">
        <f>HYPERLINK("https://www.dofusbook.net/fr/equipement/3697496-pandawa-f-200/objets", "link")</f>
        <v/>
      </c>
      <c r="C7590" t="n">
        <v>0</v>
      </c>
      <c r="D7590" t="inlineStr">
        <is>
          <t>Manthache; Collier du Valet Veinard; Gant du Valet Veinard; Alliance Gloursonne; Cadran d'Air; Menoture; Coiffe de la Reine des Voleurs; Cape du Valet Veinard; Bottes de la Reine des Voleurs; Dofus Pourpre; Dofus Ivoire; Dolmanax; Dofus Cawotte; Dofus Émeraude; Dofus Abyssal; Muldo Ebène</t>
        </is>
      </c>
    </row>
    <row r="7591">
      <c r="A7591" t="inlineStr">
        <is>
          <t>Enutrof M 200</t>
        </is>
      </c>
      <c r="B7591">
        <f>HYPERLINK("https://www.dofusbook.net/fr/equipement/3691020-enutrof-m-200/objets", "link")</f>
        <v/>
      </c>
      <c r="C7591" t="n">
        <v>0</v>
      </c>
      <c r="D7591" t="inlineStr">
        <is>
          <t>Arc du Chalœil; Amulette du Cœur Vaillant; Anneau Crustique; Alliance Brûlâme; Cadran de Terre; Ceinture Volkorne; Casque Volkorne; Cape du Cœur Vaillant; Bottes du Cœur Vaillant; Dofus Ocre; Dofus Turquoise; Dofus Abyssal; Dofus Pourpre; Dofus Ivoire; Vagabond majeur; Muldo Pourpre et Amande</t>
        </is>
      </c>
    </row>
    <row r="7592">
      <c r="A7592" t="inlineStr">
        <is>
          <t>Pandawa M 200</t>
        </is>
      </c>
      <c r="B7592">
        <f>HYPERLINK("https://www.dofusbook.net/fr/equipement/3691003-pandawa-m-200/objets", "link")</f>
        <v/>
      </c>
      <c r="C7592" t="n">
        <v>1</v>
      </c>
      <c r="D7592" t="inlineStr">
        <is>
          <t>Arc Hétype; Pendentif mignon de Koutoulou; Anneau Rifique; Anneauræus; Bouclier d'Anerice; Ceinture de Gein; Heaume Oplate; Cape d'Anerice; Bottes Innommables; Dolmanax; Dofus Ivoire; Dofus Cawotte; Dofus Ocre; Dofus Émeraude; Dofus Abyssal; Muldo Ebène et Indigo</t>
        </is>
      </c>
    </row>
    <row r="7593">
      <c r="A7593" t="inlineStr">
        <is>
          <t>Crâ M 200</t>
        </is>
      </c>
      <c r="B7593">
        <f>HYPERLINK("https://www.dofusbook.net/fr/equipement/3690978-cra-m-200/objets", "link")</f>
        <v/>
      </c>
      <c r="C7593" t="n">
        <v>0</v>
      </c>
      <c r="D7593" t="inlineStr">
        <is>
          <t>Hache du Chalœil; Amulette Volkorne; Anneau Volkorne; Bague Trithon; Quatre-feuilles; Ceinture Volkorne; Masque Trithon; Voile d'encre; Bottes Trithon; Dofus des Glaces; Dofus Ocre; Dofus Turquoise; Dofus Abyssal; Dofus Pourpre; Dofus Ivoire; Volkorne Jade et Améthyste</t>
        </is>
      </c>
    </row>
    <row r="7594">
      <c r="A7594" t="inlineStr">
        <is>
          <t>Pandawa F 200</t>
        </is>
      </c>
      <c r="B7594">
        <f>HYPERLINK("https://www.dofusbook.net/fr/equipement/3690967-pandawa-f-200/objets", "link")</f>
        <v/>
      </c>
      <c r="C7594" t="n">
        <v>1</v>
      </c>
      <c r="D7594" t="inlineStr">
        <is>
          <t>Arc Nécrotique; Amulette Volkorne; Anneau Volkorne; Anneauræus; Cadran d'Air; Poulpagne; Kidibonnet; Cape de la Dame du Hasard; Bottes de la Dame du Hasard; Dofus Turquoise; Dofus Ivoire; Dofus Cawotte; Dofus Ocre; Dofus Pourpre; Dofus Abyssal; Muldo Turquoise et Pourpre</t>
        </is>
      </c>
    </row>
    <row r="7595">
      <c r="A7595" t="inlineStr">
        <is>
          <t>Eniripsa F 200</t>
        </is>
      </c>
      <c r="B7595">
        <f>HYPERLINK("https://www.dofusbook.net/fr/equipement/3690945-eniripsa-f-200/objets", "link")</f>
        <v/>
      </c>
      <c r="C7595" t="n">
        <v>0</v>
      </c>
      <c r="D7595" t="inlineStr">
        <is>
          <t>Massier; Amulette Volkorne; Anneauræus; Alliance Brûlâme; Bouclier du Stalak; Ceinture de Gein; Masquegel; Cape Martegel; Pataugastrique; Dofus Ocre; Dofus Cawotte; Dofus Abyssal; Dolmanax; Dofus Ivoire; Érudit majeur; Muldo Turquoise et Amande</t>
        </is>
      </c>
    </row>
    <row r="7596">
      <c r="A7596" t="inlineStr">
        <is>
          <t>Iop M 200</t>
        </is>
      </c>
      <c r="B7596">
        <f>HYPERLINK("https://www.dofusbook.net/fr/equipement/3690930-iop-m-200/objets", "link")</f>
        <v/>
      </c>
      <c r="C7596" t="n">
        <v>3</v>
      </c>
      <c r="D7596" t="inlineStr">
        <is>
          <t>Arc du Chalœil; Amulette Luminescente; Bague Trithon; Bague Instable; Bouclier précieux; Ceinture Gence; Masque d'Anerice; Cape d'Anerice; Bottes du Cœur Vaillant; Dofus Cawotte; Dofus Ivoire; Dofus Émeraude; Dofus Ocre; Bousculeur majeur; Culbuteur majeur; Muldo Orchidée et Ivoire</t>
        </is>
      </c>
    </row>
    <row r="7597">
      <c r="A7597" t="inlineStr">
        <is>
          <t>Sacrieur F 200</t>
        </is>
      </c>
      <c r="B7597">
        <f>HYPERLINK("https://www.dofusbook.net/fr/equipement/3690922-sacrieur-f-200/objets", "link")</f>
        <v/>
      </c>
      <c r="C7597" t="n">
        <v>1</v>
      </c>
      <c r="D7597" t="inlineStr">
        <is>
          <t>Hachoirs de Viandargh; Collier du Valet Veinard; Alliance Brûlâme; Gant du Valet Veinard; Bouclier d'Ilyzaelle; Ceintouse; Masque Brûlâme; Cape du Valet Veinard; Pompes Funèbres; Dofus des Glaces; Dofus Ocre; Dofus Émeraude; Dofus Abyssal; Dofus Pourpre; Dofus Ivoire; Muldo Ebène</t>
        </is>
      </c>
    </row>
    <row r="7598">
      <c r="A7598" t="inlineStr">
        <is>
          <t>Ecaflip F 200</t>
        </is>
      </c>
      <c r="B7598">
        <f>HYPERLINK("https://www.dofusbook.net/fr/equipement/3690915-ecaflip-f-200/objets", "link")</f>
        <v/>
      </c>
      <c r="C7598" t="n">
        <v>0</v>
      </c>
      <c r="D7598" t="inlineStr">
        <is>
          <t>Lance Horselé; Collier du Valet Veinard; Gant du Valet Veinard; Anneau de Padgref; Cadran d'Air; Sangle Oriole; Coiffe de Padgref; Cape du Valet Veinard; Getas de Padgref; Dofus Pourpre; Dofus Ivoire; Dolmanax; Dofus Ocre; Dofus Émeraude; Dofus Abyssal; Muldo Ebène</t>
        </is>
      </c>
    </row>
    <row r="7599">
      <c r="A7599" t="inlineStr">
        <is>
          <t>Ouginak M 200</t>
        </is>
      </c>
      <c r="B7599">
        <f>HYPERLINK("https://www.dofusbook.net/fr/equipement/3690895-ouginak-m-200/objets", "link")</f>
        <v/>
      </c>
      <c r="C7599" t="n">
        <v>0</v>
      </c>
      <c r="D7599" t="inlineStr">
        <is>
          <t>Arc Hétype; Amulette Séculaire; Alliance Brûlâme; Anneauræus; Cadran d'Eau; Ceinture Séculaire; Heaume Oplate; Voile d'encre; Bottes Innommables; Dofus Ocre; Dolmanax; Dofus Abyssal; Dofus Émeraude; Dofus Ivoire; Érudit majeur; Muldo Orchidée et Pourpre</t>
        </is>
      </c>
    </row>
    <row r="7600">
      <c r="A7600" t="inlineStr">
        <is>
          <t>Huppermage M 200</t>
        </is>
      </c>
      <c r="B7600">
        <f>HYPERLINK("https://www.dofusbook.net/fr/equipement/3681212-huppermage-m-200/objets", "link")</f>
        <v/>
      </c>
      <c r="C7600" t="n">
        <v>1</v>
      </c>
      <c r="D7600" t="inlineStr">
        <is>
          <t>Épée Brûlâme; Amulette Volkorne; Anneau Volkorne; Alliance Gloursonne; Bouclier du Captain Amakna; Ceintacé; Casque Volkorne; Cape de la Dame du Hasard; Bottes de la Dame du Hasard; Dofus Pourpre; Dofus Ivoire; Dofus des Glaces; Dofus Ocre; Dofus Turquoise; Dofus Abyssal; Kramkram</t>
        </is>
      </c>
    </row>
    <row r="7601">
      <c r="A7601" t="inlineStr">
        <is>
          <t>Enutrof M 200</t>
        </is>
      </c>
      <c r="B7601">
        <f>HYPERLINK("https://www.dofusbook.net/fr/equipement/3675510-enutrof-m-200/objets", "link")</f>
        <v/>
      </c>
      <c r="C7601" t="n">
        <v>1</v>
      </c>
      <c r="D7601" t="inlineStr">
        <is>
          <t>Lance Horselé; Amulette de Pol Ouatnos; Alliance Gloursonne; Alliance Brûlâme; Bouclier du Stalak; Menoture; Casque Volkorne; Cape du Cœur Vaillant; Bottes du Cœur Vaillant; Dofus Abyssal; Dofus Pourpre; Dofus Ivoire; Déserteur majeur; Étourdisseur majeur; Cascadeur majeur; Volkorne Améthyste et Ivoire</t>
        </is>
      </c>
    </row>
    <row r="7602">
      <c r="A7602" t="inlineStr">
        <is>
          <t>Osamodas M 200</t>
        </is>
      </c>
      <c r="B7602">
        <f>HYPERLINK("https://www.dofusbook.net/fr/equipement/3675496-osamodas-m-200/objets", "link")</f>
        <v/>
      </c>
      <c r="C7602" t="n">
        <v>0</v>
      </c>
      <c r="D7602" t="inlineStr">
        <is>
          <t>Sceptre du Roi Joueur; Amulette de Shokkoth; Anneau Volkorne; Alliance Gloursonne; Bouclier d'Anerice; Ceinture Glaciale; Kidibonnet; Cape d'Anerice; Chaussons de Macrab; Dofus Émeraude; Dofus Ivoire; Dofus Ocre; Dofus Abyssal; Miraculé majeur; Chanceux majeur; Muldo Pourpre et Amande</t>
        </is>
      </c>
    </row>
    <row r="7603">
      <c r="A7603" t="inlineStr">
        <is>
          <t>Xélor M 200</t>
        </is>
      </c>
      <c r="B7603">
        <f>HYPERLINK("https://www.dofusbook.net/fr/equipement/3672317-xelor-m-200/objets", "link")</f>
        <v/>
      </c>
      <c r="C7603" t="n">
        <v>0</v>
      </c>
      <c r="D7603" t="inlineStr">
        <is>
          <t>Lance Horselé; Amulette de l'Indicible; Anneau Volkorne; Alliance Gloursonne; Sept ans de malheur; Menoture; Casque Volkorne; Cape d'Anerice; Pataugastrique; Dofus Ivoire; Dofus Émeraude; Dofus des Glaces; Étourdisseur majeur; Paralyseur majeur; Miraculé majeur; Muldo Indigo et Orchidée</t>
        </is>
      </c>
    </row>
    <row r="7604">
      <c r="A7604" t="inlineStr">
        <is>
          <t>Osamodas F 200</t>
        </is>
      </c>
      <c r="B7604">
        <f>HYPERLINK("https://www.dofusbook.net/fr/equipement/3672299-osamodas-f-200/objets", "link")</f>
        <v/>
      </c>
      <c r="C7604" t="n">
        <v>0</v>
      </c>
      <c r="D7604" t="inlineStr">
        <is>
          <t>Dagues Érhy; Collier Rophante; Anneau Chevelu; Anneau Crustique; Bouclier d'Anerice; Ceinture Volkorne; Masque de Koutoulou; Cape d'Anerice; Baleinabottes; Dofus Abyssal; Dolmanax; Dofus Ivoire; Dofus Émeraude; Miraculé majeur; Enragé majeur; Dragodinde Dorée et Pourpre</t>
        </is>
      </c>
    </row>
    <row r="7605">
      <c r="A7605" t="inlineStr">
        <is>
          <t>Eliotrope F 200</t>
        </is>
      </c>
      <c r="B7605">
        <f>HYPERLINK("https://www.dofusbook.net/fr/equipement/3672291-eliotrope-f-200/objets", "link")</f>
        <v/>
      </c>
      <c r="C7605" t="n">
        <v>1</v>
      </c>
      <c r="D7605" t="inlineStr">
        <is>
          <t>Baguette des égarés; Amulette de Pol Ouatnos; Anneau Volkorne; Anneau en Grithril; Bouclier du Stalak; Ceinture Volkorne; Casque en Grithril; Voile d'encre; Chaussons de Macrab; Dofus Pourpre; Dofus Ivoire; Dolmanax; Dofus Ocre; Dofus des Glaces; Dofus Abyssal; Volkorne Améthyste</t>
        </is>
      </c>
    </row>
    <row r="7606">
      <c r="A7606" t="inlineStr">
        <is>
          <t>Féca F 200</t>
        </is>
      </c>
      <c r="B7606">
        <f>HYPERLINK("https://www.dofusbook.net/fr/equipement/3672280-feca-f-200/objets", "link")</f>
        <v/>
      </c>
      <c r="C7606" t="n">
        <v>1</v>
      </c>
      <c r="D7606" t="inlineStr">
        <is>
          <t>Arc corrompu; Amulette Volkorne; Anneauræus; Anneau de Nidas; Quatre-feuilles; Ceinture Séculaire; Couronne de Nidas; Voile d'encre; Pataugastrique; Dofus Turquoise; Dofus Ivoire; Dofus Pourpre; Dofus Abyssal; Dofus Ocre; Érudit majeur; Muldo Indigo et Orchidée</t>
        </is>
      </c>
    </row>
    <row r="7607">
      <c r="A7607" t="inlineStr">
        <is>
          <t>Zobal M 200</t>
        </is>
      </c>
      <c r="B7607">
        <f>HYPERLINK("https://www.dofusbook.net/fr/equipement/3672268-zobal-m-200/objets", "link")</f>
        <v/>
      </c>
      <c r="C7607" t="n">
        <v>0</v>
      </c>
      <c r="D7607" t="inlineStr">
        <is>
          <t>Arc du Chalœil; Amulette de Pol Ouatnos; Anneau Crustique; Anneau Chevelu; Bouclier d'Anerice; Ceinture Volkorne; Masque de Koutoulou; Cape d'Anerice; Baleinabottes; Dofus Émeraude; Dofus Ivoire; Dofus Turquoise; Dofus Pourpre; Dofus Abyssal; Miraculé majeur; Dragodinde Ivoire et Pourpre</t>
        </is>
      </c>
    </row>
    <row r="7608">
      <c r="A7608" t="inlineStr">
        <is>
          <t>Osamodas F 200</t>
        </is>
      </c>
      <c r="B7608">
        <f>HYPERLINK("https://www.dofusbook.net/fr/equipement/3672258-osamodas-f-200/objets", "link")</f>
        <v/>
      </c>
      <c r="C7608" t="n">
        <v>2</v>
      </c>
      <c r="D7608" t="inlineStr">
        <is>
          <t>Dagues Érhy; Collier du Valet Veinard; Anneau de Pol Ouatnos; Alliance Gloursonne; Bouclier d'Anerice; Menoture; Couronne d'Allister; Cape d'Anerice; Tentassons; Dofus Ocre; Dofus Émeraude; Dofus Abyssal; Dofus Ivoire; Cascadeur majeur; Miraculé majeur; Dragodinde Dorée et Ebène</t>
        </is>
      </c>
    </row>
    <row r="7609">
      <c r="A7609" t="inlineStr">
        <is>
          <t>Crâ M 200</t>
        </is>
      </c>
      <c r="B7609">
        <f>HYPERLINK("https://www.dofusbook.net/fr/equipement/3672237-cra-m-200/objets", "link")</f>
        <v/>
      </c>
      <c r="C7609" t="n">
        <v>1</v>
      </c>
      <c r="D7609" t="inlineStr">
        <is>
          <t>Massier; Amulette Volkorne; Anneau Volkorne; Alliance Gloursonne; Cadran de Terre; Ceinture de Vortex; Casque Volkorne; Voile d'encre; Sabots de Vortex; Dofus Pourpre; Dofus Ivoire; Dofus Turquoise; Dofus Ocre; Dofus des Glaces; Dofus Abyssal; Volkorne Jade et Améthyste</t>
        </is>
      </c>
    </row>
    <row r="7610">
      <c r="A7610" t="inlineStr">
        <is>
          <t>Zobal M 200</t>
        </is>
      </c>
      <c r="B7610">
        <f>HYPERLINK("https://www.dofusbook.net/fr/equipement/3672222-zobal-m-200/objets", "link")</f>
        <v/>
      </c>
      <c r="C7610" t="n">
        <v>0</v>
      </c>
      <c r="D7610" t="inlineStr">
        <is>
          <t>Dagoulinantes; Amulette du Sinistrofu; Alliance Gloursonne; Bague Trithon; Bouclier précieux; Ceinture Luminescente; Masque de l'Esprit Malsain; Cape Solution; Bottes Trithon; Dofus Émeraude; Dofus Ivoire; Dofus Ocre; Miraculé majeur; Culbuteur majeur; Bousculeur majeur; Muldo Ebène et Indigo</t>
        </is>
      </c>
    </row>
    <row r="7611">
      <c r="A7611" t="inlineStr">
        <is>
          <t>Sadida M 200</t>
        </is>
      </c>
      <c r="B7611">
        <f>HYPERLINK("https://www.dofusbook.net/fr/equipement/3669457-sadida-m-200/objets", "link")</f>
        <v/>
      </c>
      <c r="C7611" t="n">
        <v>2</v>
      </c>
      <c r="D7611" t="inlineStr">
        <is>
          <t>Arc Nécrotique; Collier de la Dame du Hasard; Anneau Volkorne; Alliance Gloursonne; Quatre-feuilles; Ceinture du Barbétoal; Casque Volkorne; Cape de la Dame du Hasard; Bottes de la Dame du Hasard; Dofus Pourpre; Dofus Ivoire; Dofus Turquoise; Dofus Ocre; Dofus des Glaces; Dofus Abyssal; Muldo Indigo et Orchidée</t>
        </is>
      </c>
    </row>
    <row r="7612">
      <c r="A7612" t="inlineStr">
        <is>
          <t>Sadida M 200</t>
        </is>
      </c>
      <c r="B7612">
        <f>HYPERLINK("https://www.dofusbook.net/fr/equipement/3669444-sadida-m-200/objets", "link")</f>
        <v/>
      </c>
      <c r="C7612" t="n">
        <v>1</v>
      </c>
      <c r="D7612" t="inlineStr">
        <is>
          <t>Dagues Érhy; Amulette Volkorne; Alliance Gloursonne; Anneau Volkorne; Bouclier du Stalak; Ceinture de l'Indicible; Casque Volkorne; Cape des Justiciers; Bottes de l'Indicible; Dofus Pourpre; Dofus Abyssal; Dofus des Glaces; Dofus Ivoire; Dolmanax; Dofus Ocre; Volkorne Jade</t>
        </is>
      </c>
    </row>
    <row r="7613">
      <c r="A7613" t="inlineStr">
        <is>
          <t>Pandawa F 200</t>
        </is>
      </c>
      <c r="B7613">
        <f>HYPERLINK("https://www.dofusbook.net/fr/equipement/3669436-pandawa-f-200/objets", "link")</f>
        <v/>
      </c>
      <c r="C7613" t="n">
        <v>1</v>
      </c>
      <c r="D7613" t="inlineStr">
        <is>
          <t>Arc Volkorne; Amulette Volkorne; Anneau Volkorne; Alliance Brûlâme; Bouclier du Stalak; Ceinture Volkorne; Casque du Chalœil; Cape du Chalœil; Bottes du Chalœil; Dofus Pourpre; Dofus Ivoire; Dofus des Glaces; Dofus Ocre; Dolmanax; Dofus Abyssal; Volkorne Saphir et Améthyste</t>
        </is>
      </c>
    </row>
    <row r="7614">
      <c r="A7614" t="inlineStr">
        <is>
          <t>Iop M 200</t>
        </is>
      </c>
      <c r="B7614">
        <f>HYPERLINK("https://www.dofusbook.net/fr/equipement/3669422-iop-m-200/objets", "link")</f>
        <v/>
      </c>
      <c r="C7614" t="n">
        <v>1</v>
      </c>
      <c r="D7614" t="inlineStr">
        <is>
          <t>Lance Horselé; Amibou; Anneau de Padgref; Alliance Gloursonne; Quatre-feuilles; Menoture; Chapibou; Cape Indescriptible; Palmes Trithons; Dofus Turquoise; Dofus Abyssal; Dofus Pourpre; Dofus Ivoire; Dofus Ocre; Cascadeur majeur; Muldo Ebène</t>
        </is>
      </c>
    </row>
    <row r="7615">
      <c r="A7615" t="inlineStr">
        <is>
          <t>Iop M 200</t>
        </is>
      </c>
      <c r="B7615">
        <f>HYPERLINK("https://www.dofusbook.net/fr/equipement/3669409-iop-m-200/objets", "link")</f>
        <v/>
      </c>
      <c r="C7615" t="n">
        <v>1</v>
      </c>
      <c r="D7615" t="inlineStr">
        <is>
          <t>Baguette Range; Amulette Volkorne; Alliance Brûlâme; Anneau Rifique; Bouclier du Stalak; Menoture; Casque Volkorne; Cape Martegel; Sabots de Vortex; Dofus Pourpre; Dofus Ivoire; Dofus Ocre; Dofus des Glaces; Dofus Abyssal; Vigoureux majeur; Muldo Orchidée</t>
        </is>
      </c>
    </row>
    <row r="7616">
      <c r="A7616" t="inlineStr">
        <is>
          <t>Féca M 200</t>
        </is>
      </c>
      <c r="B7616">
        <f>HYPERLINK("https://www.dofusbook.net/fr/equipement/3669381-feca-m-200/objets", "link")</f>
        <v/>
      </c>
      <c r="C7616" t="n">
        <v>1</v>
      </c>
      <c r="D7616" t="inlineStr">
        <is>
          <t>Arc Ontanporin; Amulette de l'Œil Attentif; Alliance Gloursonne; Anneau Volkorne; Bouclier du Stalak; Culotte de Bethel; Capuche de l'Œil Attentif; Cape de l'Œil Attentif; Chaussons de Macrab; Dofus Turquoise; Dofus Abyssal; Dofus Pourpre; Dofus Ivoire; Dofus Ocre; Vagabond majeur; Muldo Ebène</t>
        </is>
      </c>
    </row>
    <row r="7617">
      <c r="A7617" t="inlineStr">
        <is>
          <t>Roublard M 200</t>
        </is>
      </c>
      <c r="B7617">
        <f>HYPERLINK("https://www.dofusbook.net/fr/equipement/3668276-roublard-m-200/objets", "link")</f>
        <v/>
      </c>
      <c r="C7617" t="n">
        <v>0</v>
      </c>
      <c r="D7617" t="inlineStr">
        <is>
          <t>Arc de Koutoulou; Amulette d'Ilyzaelle; Anneau Volkorne; Alliance Gloursonne; Bouclier du Stalak; Ceinture de la Reine des Voleurs; Casque Volkorne; Cape Solution; Bottes de la Reine des Voleurs; Dofus des Glaces; Dofus Ivoire; Dolmanax; Dofus Ocre; Dofus Pourpre; Dofus Abyssal; Muldo Ebène</t>
        </is>
      </c>
    </row>
    <row r="7618">
      <c r="A7618" t="inlineStr">
        <is>
          <t>Sram M 200</t>
        </is>
      </c>
      <c r="B7618">
        <f>HYPERLINK("https://www.dofusbook.net/fr/equipement/3668259-sram-m-200/objets", "link")</f>
        <v/>
      </c>
      <c r="C7618" t="n">
        <v>1</v>
      </c>
      <c r="D7618" t="inlineStr">
        <is>
          <t>Hache Ériphe; Amulette du Kamasterisk; Alliance Gloursonne; Anneau Volkorne; Bouclier d'Ilyzaelle; Ceinture Volkorne; Casque Volkorne; Cape du Kamasterisk; Bottes du Kamasterisk; Dofus des Glaces; Dofus Abyssal; Dofus Pourpre; Dofus Ivoire; Dofus Émeraude; Dofus Ocre; Volkorne Jade et Rubis</t>
        </is>
      </c>
    </row>
    <row r="7619">
      <c r="A7619" t="inlineStr">
        <is>
          <t>Ouginak M 200</t>
        </is>
      </c>
      <c r="B7619">
        <f>HYPERLINK("https://www.dofusbook.net/fr/equipement/3668244-ouginak-m-200/objets", "link")</f>
        <v/>
      </c>
      <c r="C7619" t="n">
        <v>0</v>
      </c>
      <c r="D7619" t="inlineStr">
        <is>
          <t>Hache Ériphe; Amulette du Cœur Vaillant; Alliance Brûlâme; Alliance Gloursonne; Bouclier d'Ilyzaelle; Ceinture Volkorne; Casque Volkorne; Cape au Logis; Baleinabottes; Dofus Émeraude; Dofus Ivoire; Dofus Pourpre; Dolmanax; Dofus Abyssal; Miraculé majeur; Volkorne Jade</t>
        </is>
      </c>
    </row>
    <row r="7620">
      <c r="A7620" t="inlineStr">
        <is>
          <t>Ecaflip F 200</t>
        </is>
      </c>
      <c r="B7620">
        <f>HYPERLINK("https://www.dofusbook.net/fr/equipement/3668230-ecaflip-f-200/objets", "link")</f>
        <v/>
      </c>
      <c r="C7620" t="n">
        <v>0</v>
      </c>
      <c r="D7620" t="inlineStr">
        <is>
          <t>Lance Horselé; Collier du Valet Veinard; Alliance Gloursonne; Gant du Valet Veinard; Cadran d'Air; Sangle Oriole; Némès de Tal Kasha; Chevelure de Tal Kasha; Sandales de Tal Kasha; Dofus Turquoise; Dofus Abyssal; Dofus Pourpre; Dofus Ivoire; Dofus Émeraude; Dofus Ocre; Muldo Ebène</t>
        </is>
      </c>
    </row>
    <row r="7621">
      <c r="A7621" t="inlineStr">
        <is>
          <t>Sacrieur F 200</t>
        </is>
      </c>
      <c r="B7621">
        <f>HYPERLINK("https://www.dofusbook.net/fr/equipement/3668213-sacrieur-f-200/objets", "link")</f>
        <v/>
      </c>
      <c r="C7621" t="n">
        <v>0</v>
      </c>
      <c r="D7621" t="inlineStr">
        <is>
          <t>Lance Horselé; Collier du Valet Veinard; Anneau de Pol Ouatnos; Alliance Gloursonne; Bouclier d'Ilyzaelle; Menoture; Masque d'Anerice; Cape d'Anerice; Palmes Trithons; Dofus Pourpre; Dofus Abyssal; Dofus Émeraude; Dofus Ivoire; Dofus Ocre; Cascadeur majeur; Dragodinde Ebène et Ivoire</t>
        </is>
      </c>
    </row>
    <row r="7622">
      <c r="A7622" t="inlineStr">
        <is>
          <t>Enutrof M 200</t>
        </is>
      </c>
      <c r="B7622">
        <f>HYPERLINK("https://www.dofusbook.net/fr/equipement/3668207-enutrof-m-200/objets", "link")</f>
        <v/>
      </c>
      <c r="C7622" t="n">
        <v>0</v>
      </c>
      <c r="D7622" t="inlineStr">
        <is>
          <t>Hache du Chalœil; Amulette Volkorne; Anneau Volkorne; Alliance du Lévitrof; Quatre-feuilles; Ceinture Volkorne; Coiffe du Lévitrof; Voile d'encre; Bottes du Lévitrof; Dofus Pourpre; Dofus Abyssal; Dofus Turquoise; Dofus Ivoire; Dofus Ocre; Vagabond majeur; Volkorne Jade</t>
        </is>
      </c>
    </row>
    <row r="7623">
      <c r="A7623" t="inlineStr">
        <is>
          <t>Iop F 200</t>
        </is>
      </c>
      <c r="B7623">
        <f>HYPERLINK("https://www.dofusbook.net/fr/equipement/3668194-iop-f-200/objets", "link")</f>
        <v/>
      </c>
      <c r="C7623" t="n">
        <v>3</v>
      </c>
      <c r="D7623" t="inlineStr">
        <is>
          <t>Bâthon; Amulette Volkorne; Anneau Volkorne; Alliance Brûlâme; Bouclier d'Ilyzaelle; Ceinture Volkorne; Masque Brûlâme; Voile d'encre; Pompes Funèbres; Dofus des Glaces; Dofus Ivoire; Dofus Émeraude; Dofus Ocre; Dofus Pourpre; Dofus Abyssal; Volkorne Jade et Rubis</t>
        </is>
      </c>
    </row>
    <row r="7624">
      <c r="A7624" t="inlineStr">
        <is>
          <t>Crâ F 200</t>
        </is>
      </c>
      <c r="B7624">
        <f>HYPERLINK("https://www.dofusbook.net/fr/equipement/3665493-cra-f-200/objets", "link")</f>
        <v/>
      </c>
      <c r="C7624" t="n">
        <v>0</v>
      </c>
      <c r="D7624" t="inlineStr">
        <is>
          <t>Arc Ontanporin; Collier de la Dame du Hasard; Alliance Gloursonne; Anneau Volkorne; Quatre-feuilles; Pagne du Rykaon; Kidibonnet; Cape de la Dame du Hasard; Pataugastrique; Dofus Pourpre; Dofus des Glaces; Dofus Abyssal; Dofus Turquoise; Dofus Ivoire; Chanceux majeur; Muldo Indigo et Orchidée</t>
        </is>
      </c>
    </row>
    <row r="7625">
      <c r="A7625" t="inlineStr">
        <is>
          <t>Crâ M 200</t>
        </is>
      </c>
      <c r="B7625">
        <f>HYPERLINK("https://www.dofusbook.net/fr/equipement/3646389-cra-m-200/objets", "link")</f>
        <v/>
      </c>
      <c r="C7625" t="n">
        <v>0</v>
      </c>
      <c r="D7625" t="inlineStr">
        <is>
          <t>Arc Nécrotique; Amulette Volkorne; Alliance Gloursonne; Anneau Volkorne; Cadran de Terre; Ceinture Volkorne; Casquette de Meno; Cape de Meno; Bottes de Meno; Dofus Pourpre; Dofus Ivoire; Dofus des Glaces; Dofus Ocre; Dofus Turquoise; Dofus Abyssal; Volkorne Améthyste et Ivoire</t>
        </is>
      </c>
    </row>
    <row r="7626">
      <c r="A7626" t="inlineStr">
        <is>
          <t>Xélor M 200</t>
        </is>
      </c>
      <c r="B7626">
        <f>HYPERLINK("https://www.dofusbook.net/fr/equipement/3665463-xelor-m-200/objets", "link")</f>
        <v/>
      </c>
      <c r="C7626" t="n">
        <v>0</v>
      </c>
      <c r="D7626" t="inlineStr">
        <is>
          <t>Lav'Hache; Amulette du Cœur Vaillant; Anneau Crustique; Anneau Volkorne; Cadran de Terre; Ceinture Volkorne; Casque Volkorne; Cape du Cœur Vaillant; Bottes du Cœur Vaillant; Dofus des Glaces; Dofus Ivoire; Dofus Pourpre; Dofus Ocre; Dofus Abyssal; Paralyseur majeur; Volkorne Améthyste et Ivoire</t>
        </is>
      </c>
    </row>
    <row r="7627">
      <c r="A7627" t="inlineStr">
        <is>
          <t>Féca M 200</t>
        </is>
      </c>
      <c r="B7627">
        <f>HYPERLINK("https://www.dofusbook.net/fr/equipement/3629220-feca-m-200/objets", "link")</f>
        <v/>
      </c>
      <c r="C7627" t="n">
        <v>2</v>
      </c>
      <c r="D7627" t="inlineStr">
        <is>
          <t>Marteau R'ture; Amulette du Cœur Vaillant; Anneau Chevelu; Anneau Crustique; Sept ans de malheur; Menoture; Couronne du Roi Joueur; Voile d'encre; Bottes du Roi Joueur; Dofus Pourpre; Dofus Abyssal; Dofus Ocre; Dofus Ivoire; Étourdisseur majeur; Temporiseur majeur; Muldo Roux et Orchidée</t>
        </is>
      </c>
    </row>
    <row r="7628">
      <c r="A7628" t="inlineStr">
        <is>
          <t>Enutrof F 200</t>
        </is>
      </c>
      <c r="B7628">
        <f>HYPERLINK("https://www.dofusbook.net/fr/equipement/3646431-enutrof-f-200/objets", "link")</f>
        <v/>
      </c>
      <c r="C7628" t="n">
        <v>0</v>
      </c>
      <c r="D7628" t="inlineStr">
        <is>
          <t>Arc Nécrotique; Amulette Volkorne; Anneauræus; Anneau Volkorne; Bouclier du Stalak; Ceinture de Vortex; Kidibonnet; Cape de la Dame du Hasard; Bottes de la Dame du Hasard; Dofus Ocre; Dofus Pourpre; Dofus Abyssal; Dofus des Glaces; Dofus Ivoire; Vagabond majeur; Muldo Ebène et Amande</t>
        </is>
      </c>
    </row>
    <row r="7629">
      <c r="A7629" t="inlineStr">
        <is>
          <t>Eniripsa F 200</t>
        </is>
      </c>
      <c r="B7629">
        <f>HYPERLINK("https://www.dofusbook.net/fr/equipement/3646363-eniripsa-f-200/objets", "link")</f>
        <v/>
      </c>
      <c r="C7629" t="n">
        <v>0</v>
      </c>
      <c r="D7629" t="inlineStr">
        <is>
          <t>Arc de Koutoulou; Amulette Volkorne; Anneau Volkorne; Alliance Gloursonne; Quatre-feuilles; Menoture; Casque Volkorne; Chevelure de Tal Kasha; Sandales de Tal Kasha; Dolmanax; Dofus Ocre; Dofus Turquoise; Dofus Abyssal; Dofus Pourpre; Dofus Ivoire; Kramkram</t>
        </is>
      </c>
    </row>
    <row r="7630">
      <c r="A7630" t="inlineStr">
        <is>
          <t>Crâ M 200</t>
        </is>
      </c>
      <c r="B7630">
        <f>HYPERLINK("https://www.dofusbook.net/fr/equipement/3645004-cra-m-200/objets", "link")</f>
        <v/>
      </c>
      <c r="C7630" t="n">
        <v>0</v>
      </c>
      <c r="D7630" t="inlineStr">
        <is>
          <t>Arc Volkorne; Amulette Volkorne; Anneau de Padgref; Anneau Volkorne; Quatre-feuilles; Ceinture Volkorne; Coiffe de Padgref; Cape Reski; Getas de Padgref; Dofus des Glaces; Dofus Ocre; Dolmanax; Dofus Abyssal; Dofus Turquoise; Dofus Pourpre; Dragodinde Ebène et Ivoire</t>
        </is>
      </c>
    </row>
    <row r="7631">
      <c r="A7631" t="inlineStr">
        <is>
          <t>Eniripsa F 200</t>
        </is>
      </c>
      <c r="B7631">
        <f>HYPERLINK("https://www.dofusbook.net/fr/equipement/3644985-eniripsa-f-200/objets", "link")</f>
        <v/>
      </c>
      <c r="C7631" t="n">
        <v>0</v>
      </c>
      <c r="D7631" t="inlineStr">
        <is>
          <t>Arc Nécrotique; Amulette Volkorne; Alliance Gloursonne; Anneau Volkorne; Cadran de Terre; Ceinture de l'Esprit Salvateur; Casque Volkorne; Cape de l'Œil Putride; Bottes de l'Esprit Salvateur; Dofus Émeraude; Dofus Ocre; Dofus des Glaces; Dofus Abyssal; Dofus Pourpre; Dofus Ivoire; Volkorne Jade et Ivoire</t>
        </is>
      </c>
    </row>
    <row r="7632">
      <c r="A7632" t="inlineStr">
        <is>
          <t>Eniripsa M 200</t>
        </is>
      </c>
      <c r="B7632">
        <f>HYPERLINK("https://www.dofusbook.net/fr/equipement/3630914-eniripsa-m-200/objets", "link")</f>
        <v/>
      </c>
      <c r="C7632" t="n">
        <v>0</v>
      </c>
      <c r="D7632" t="inlineStr">
        <is>
          <t>Arc Honte; Talisman Igans; Alliance Gloursonne; Anneau Volkorne; Cadran de Terre; Ceinture de Vortex; Casque Volkorne; Cape de l'Œil Putride; Pataugastrique; Dofus Abyssal; Dolmanax; Dofus Ocre; Étourdisseur majeur; Déserteur majeur; Temporiseur majeur; Muldo Pourpre et Amande</t>
        </is>
      </c>
    </row>
    <row r="7633">
      <c r="A7633" t="inlineStr">
        <is>
          <t>Iop M 200</t>
        </is>
      </c>
      <c r="B7633">
        <f>HYPERLINK("https://www.dofusbook.net/fr/equipement/3630904-iop-m-200/objets", "link")</f>
        <v/>
      </c>
      <c r="C7633" t="n">
        <v>2</v>
      </c>
      <c r="D7633" t="inlineStr">
        <is>
          <t>Baguette Héroclite; Amulette de Shokkoth; Alliance Gloursonne; Bracelet des Fonds marins; Cadran d'Air; Ceinture de la Reine des Voleurs; Capuche de l'Œil Attentif; Cape Solution; Bottes de la Reine des Voleurs; Dofus Ocre; Dofus Pourpre; Dofus Abyssal; Dofus Émeraude; Dofus Ivoire; Chanceux majeur; Muldo Indigo</t>
        </is>
      </c>
    </row>
    <row r="7634">
      <c r="A7634" t="inlineStr">
        <is>
          <t>Iop M 200</t>
        </is>
      </c>
      <c r="B7634">
        <f>HYPERLINK("https://www.dofusbook.net/fr/equipement/3630860-iop-m-200/objets", "link")</f>
        <v/>
      </c>
      <c r="C7634" t="n">
        <v>2</v>
      </c>
      <c r="D7634" t="inlineStr">
        <is>
          <t>Hache Euvale; Collier de Tourthon; Pikano; Anneau en Grithril; Cadran d'Eau; Ceinture de la Reine des Voleurs; Casque en Grithril; Cape au Logis; Bottes de la Reine des Voleurs; Dofus des Glaces; Dofus Ivoire; Dofus Émeraude; Dofus Ocre; Dofus Pourpre; Dofus Abyssal; Volkorne Jade</t>
        </is>
      </c>
    </row>
    <row r="7635">
      <c r="A7635" t="inlineStr">
        <is>
          <t>Enutrof M 200</t>
        </is>
      </c>
      <c r="B7635">
        <f>HYPERLINK("https://www.dofusbook.net/fr/equipement/3630842-enutrof-m-200/objets", "link")</f>
        <v/>
      </c>
      <c r="C7635" t="n">
        <v>0</v>
      </c>
      <c r="D7635" t="inlineStr">
        <is>
          <t>Arc de Koutoulou; Amulette de l'Œil Putride; Alliance Gloursonne; Anneau Volkorne; Quatre-feuilles; Menoture; Casque Volkorne; Chevelure de Tal Kasha; Pataugastrique; Dofus Pourpre; Dofus Abyssal; Dofus Turquoise; Dofus Ivoire; Temporiseur majeur; Étourdisseur majeur; Muldo Indigo et Orchidée</t>
        </is>
      </c>
    </row>
    <row r="7636">
      <c r="A7636" t="inlineStr">
        <is>
          <t>Roublard M 200</t>
        </is>
      </c>
      <c r="B7636">
        <f>HYPERLINK("https://www.dofusbook.net/fr/equipement/3630824-roublard-m-200/objets", "link")</f>
        <v/>
      </c>
      <c r="C7636" t="n">
        <v>0</v>
      </c>
      <c r="D7636" t="inlineStr">
        <is>
          <t>Héqache; Amulette du Kamasterisk; Alliance Gloursonne; Anneau des égarés; Cadran d'Air; Ceinture de la Reine des Voleurs; Coiffe de la Reine des Voleurs; Cape du Kamasterisk; Baleinabottes; Dofus des Glaces; Dofus Abyssal; Dolmanax; Dofus Ivoire; Dofus Pourpre; Dofus Ocre; Muldo Ebène et Orchidée</t>
        </is>
      </c>
    </row>
    <row r="7637">
      <c r="A7637" t="inlineStr">
        <is>
          <t>Roublard M 200</t>
        </is>
      </c>
      <c r="B7637">
        <f>HYPERLINK("https://www.dofusbook.net/fr/equipement/3630791-roublard-m-200/objets", "link")</f>
        <v/>
      </c>
      <c r="C7637" t="n">
        <v>0</v>
      </c>
      <c r="D7637" t="inlineStr">
        <is>
          <t>Pyraguette; Amulette Volkorne; Alliance Gloursonne; Anneau Volkorne; Bouclier du Stalak; Ceintrigue; Kidibonnet; Voile d'encre; Bottes Owesli; Dofus Émeraude; Dofus Ocre; Dofus Pourpre; Dofus Abyssal; Dofus des Glaces; Dofus Ivoire; Muldo Indigo et Pourpre</t>
        </is>
      </c>
    </row>
    <row r="7638">
      <c r="A7638" t="inlineStr">
        <is>
          <t>Féca M 200</t>
        </is>
      </c>
      <c r="B7638">
        <f>HYPERLINK("https://www.dofusbook.net/fr/equipement/3630668-feca-m-200/objets", "link")</f>
        <v/>
      </c>
      <c r="C7638" t="n">
        <v>0</v>
      </c>
      <c r="D7638" t="inlineStr">
        <is>
          <t>Bâthon; Amulette Volkorne; Chevalière du Roi Joueur; Alliance Brûlâme; Sept ans de malheur; Ceinture Volkorne; Casque Volkorne; Voile d'encre; Pompes Funèbres; Dofus Pourpre; Dofus Ivoire; Dofus Cawotte; Dofus Ocre; Dofus Émeraude; Dofus Abyssal; Volkorne Ivoire et Turquoise</t>
        </is>
      </c>
    </row>
    <row r="7639">
      <c r="A7639" t="inlineStr">
        <is>
          <t>Eniripsa F 200</t>
        </is>
      </c>
      <c r="B7639">
        <f>HYPERLINK("https://www.dofusbook.net/fr/equipement/3629194-eniripsa-f-200/objets", "link")</f>
        <v/>
      </c>
      <c r="C7639" t="n">
        <v>0</v>
      </c>
      <c r="D7639" t="inlineStr">
        <is>
          <t>Arc Nécrotique; Amulette Volkorne; Alliance Gloursonne; Quatre-feuilles; Ceinture de Vortex; Casqnoar; Cape de la Dame du Hasard; Pataugastrique; Dofus Turquoise; Dofus Ivoire; Dofus Ocre; Dofus Abyssal; Déserteur majeur; Étourdisseur majeur; Muldo Ebène et Amande</t>
        </is>
      </c>
    </row>
    <row r="7640">
      <c r="A7640" t="inlineStr">
        <is>
          <t>Enutrof F 200</t>
        </is>
      </c>
      <c r="B7640">
        <f>HYPERLINK("https://www.dofusbook.net/fr/equipement/3629275-enutrof-f-200/objets", "link")</f>
        <v/>
      </c>
      <c r="C7640" t="n">
        <v>0</v>
      </c>
      <c r="D7640" t="inlineStr"/>
    </row>
    <row r="7641">
      <c r="A7641" t="inlineStr">
        <is>
          <t>Xélor F 200</t>
        </is>
      </c>
      <c r="B7641">
        <f>HYPERLINK("https://www.dofusbook.net/fr/equipement/3629165-xelor-f-200/objets", "link")</f>
        <v/>
      </c>
      <c r="C7641" t="n">
        <v>0</v>
      </c>
      <c r="D7641" t="inlineStr">
        <is>
          <t>Dagoulinantes; Amulette d'Ilyzaelle; Alliance Gloursonne; Anneau Volkorne; Sept ans de malheur; Menoture; Masque d'Anerice; Cape d'Anerice; Pataugastrique; Dofus Abyssal; Dofus Ivoire; Dofus Émeraude; Dofus des Glaces; Paralyseur majeur; Étourdisseur majeur; Muldo Ebène et Indigo</t>
        </is>
      </c>
    </row>
    <row r="7642">
      <c r="A7642" t="inlineStr">
        <is>
          <t>Enutrof M 200</t>
        </is>
      </c>
      <c r="B7642">
        <f>HYPERLINK("https://www.dofusbook.net/fr/equipement/3625451-enutrof-m-200/objets", "link")</f>
        <v/>
      </c>
      <c r="C7642" t="n">
        <v>0</v>
      </c>
      <c r="D7642" t="inlineStr">
        <is>
          <t>Hache du Chalœil; Amulette Volkorne; Alliance du Lévitrof; Anneau Volkorne; Quatre-feuilles; Ceinture Volkorne; Coiffe du Lévitrof; Voile d'encre; Bottes du Lévitrof; Dofus Ocre; Dofus Pourpre; Dofus Abyssal; Dofus Turquoise; Dofus Ivoire; Vagabond majeur; Kramkram</t>
        </is>
      </c>
    </row>
    <row r="7643">
      <c r="A7643" t="inlineStr">
        <is>
          <t>Ecaflip F 200</t>
        </is>
      </c>
      <c r="B7643">
        <f>HYPERLINK("https://www.dofusbook.net/fr/equipement/3625450-ecaflip-f-200/objets", "link")</f>
        <v/>
      </c>
      <c r="C7643" t="n">
        <v>0</v>
      </c>
      <c r="D7643" t="inlineStr"/>
    </row>
    <row r="7644">
      <c r="A7644" t="inlineStr">
        <is>
          <t>Crâ M 200</t>
        </is>
      </c>
      <c r="B7644">
        <f>HYPERLINK("https://www.dofusbook.net/fr/equipement/3625440-cra-m-200/objets", "link")</f>
        <v/>
      </c>
      <c r="C7644" t="n">
        <v>0</v>
      </c>
      <c r="D7644" t="inlineStr">
        <is>
          <t>Hache Téroïde; Amulette Volkorne; Anneau Volkorne; Chevalière du Roi Joueur; Cadran de Terre; Ceinture Volkorne; Couronne du Roi Joueur; Voile d'encre; Bottes du Roi Joueur; Dofus Turquoise; Dofus Abyssal; Dofus des Glaces; Dofus Ivoire; Dofus Pourpre; Dofus Ocre; Kramkram</t>
        </is>
      </c>
    </row>
    <row r="7645">
      <c r="A7645" t="inlineStr">
        <is>
          <t>Huppermage F 200</t>
        </is>
      </c>
      <c r="B7645">
        <f>HYPERLINK("https://www.dofusbook.net/fr/equipement/3625419-huppermage-f-200/objets", "link")</f>
        <v/>
      </c>
      <c r="C7645" t="n">
        <v>1</v>
      </c>
      <c r="D7645" t="inlineStr">
        <is>
          <t>Arc Volkorne; Amulette Volkorne; Anneau Volkorne; Alliance Brûlâme; Bouclier du Stalak; Ceinture Volkorne; Casque du Chalœil; Cape du Chalœil; Bottes du Chalœil; Dofus Pourpre; Dofus Ivoire; Dofus Turquoise; Dofus Ocre; Dofus des Glaces; Dofus Abyssal; Volkorne Rubis et Saphir</t>
        </is>
      </c>
    </row>
    <row r="7646">
      <c r="A7646" t="inlineStr">
        <is>
          <t>Pandawa M 200</t>
        </is>
      </c>
      <c r="B7646">
        <f>HYPERLINK("https://www.dofusbook.net/fr/equipement/3625407-pandawa-m-200/objets", "link")</f>
        <v/>
      </c>
      <c r="C7646" t="n">
        <v>0</v>
      </c>
      <c r="D7646" t="inlineStr">
        <is>
          <t>Arc Hétype; Amulette Séculaire; Anneauræus; Anneauræus; Cadran de Feu; Ceinture Séculaire; Heaume Oplate; Cape Martegel; Bottes Innommables; Dofus Ocre; Dolmanax; Dofus Ivoire; Dofus Abyssal; Érudit majeur; Miraculé majeur; Muldo Indigo et Orchidée</t>
        </is>
      </c>
    </row>
    <row r="7647">
      <c r="A7647" t="inlineStr">
        <is>
          <t>Sram M 200</t>
        </is>
      </c>
      <c r="B7647">
        <f>HYPERLINK("https://www.dofusbook.net/fr/equipement/3616833-sram-m-200/objets", "link")</f>
        <v/>
      </c>
      <c r="C7647" t="n">
        <v>0</v>
      </c>
      <c r="D7647" t="inlineStr">
        <is>
          <t>Arc corrompu; Pendentif mignon de Koutoulou; Anneau Rifique; Anneauræus; Bouclier du Stalak; Ceinture de Gein; Heaume Oplate; Voile d'encre; Bottes Innommables; Dofus Abyssal; Dofus Pourpre; Dofus Ivoire; Dofus Ocre; Érudit majeur; Vigoureux majeur; Muldo Orchidée et Pourpre</t>
        </is>
      </c>
    </row>
    <row r="7648">
      <c r="A7648" t="inlineStr">
        <is>
          <t>Zobal F 200</t>
        </is>
      </c>
      <c r="B7648">
        <f>HYPERLINK("https://www.dofusbook.net/fr/equipement/3618887-zobal-f-200/objets", "link")</f>
        <v/>
      </c>
      <c r="C7648" t="n">
        <v>0</v>
      </c>
      <c r="D7648" t="inlineStr">
        <is>
          <t>Arc Hétype; Pendentif mignon de Koutoulou; Anneauræus; Anneau Rifique; Bouclier de Solar; Ceinture de Gein; Heaume Oplate; Voile d'encre; Bottes Innommables; Dofus Ocre; Dofus Vulbis; Dofus Ivoire; Dofus Émeraude; Miraculé majeur; Érudit majeur; Dragodinde Amande et Orchidée</t>
        </is>
      </c>
    </row>
    <row r="7649">
      <c r="A7649" t="inlineStr">
        <is>
          <t>Ouginak M 200</t>
        </is>
      </c>
      <c r="B7649">
        <f>HYPERLINK("https://www.dofusbook.net/fr/equipement/3608196-ouginak-m-200/objets", "link")</f>
        <v/>
      </c>
      <c r="C7649" t="n">
        <v>0</v>
      </c>
      <c r="D7649" t="inlineStr">
        <is>
          <t>Canne Harr; Pendentif mignon de Koutoulou; Anneau Rifique; Alliance Brûlâme; Bouclier d'Ilyzaelle; Menoture; Masquegel; Cape Martegel; Pompes Funèbres; Dofus Émeraude; Dofus Abyssal; Dofus Pourpre; Dofus Ivoire; Dolmanax; Dofus Ocre; Muldo Ebène et Orchidée</t>
        </is>
      </c>
    </row>
    <row r="7650">
      <c r="A7650" t="inlineStr">
        <is>
          <t>Iop M 200</t>
        </is>
      </c>
      <c r="B7650">
        <f>HYPERLINK("https://www.dofusbook.net/fr/equipement/3619526-iop-m-200/objets", "link")</f>
        <v/>
      </c>
      <c r="C7650" t="n">
        <v>2</v>
      </c>
      <c r="D7650" t="inlineStr">
        <is>
          <t>Arc Honte; Pendentif mignon de Koutoulou; Anneau Rifique; Alliance Gloursonne; Cadran d'Air; Menoture; Masquegel; Cape Martegel; Palmes Trithons; Dofus Pourpre; Dofus Ivoire; Dolmanax; Dofus Ocre; Dofus des Glaces; Dofus Abyssal; Muldo Ebène et Orchidée</t>
        </is>
      </c>
    </row>
    <row r="7651">
      <c r="A7651" t="inlineStr">
        <is>
          <t>Sacrieur M 200</t>
        </is>
      </c>
      <c r="B7651">
        <f>HYPERLINK("https://www.dofusbook.net/fr/equipement/3618935-sacrieur-m-200/objets", "link")</f>
        <v/>
      </c>
      <c r="C7651" t="n">
        <v>0</v>
      </c>
      <c r="D7651" t="inlineStr">
        <is>
          <t>Épée Brûlâme; Amulette Volkorne; Alliance Gloursonne; Anneau Volkorne; Cadran d'Eau; Ceinture de l'Esprit Malsain; Heaume Oplate; Cape de la Dame du Hasard; Bottes de la Dame du Hasard; Dofus Émeraude; Dofus Abyssal; Dofus Pourpre; Dofus Ivoire; Dofus Turquoise; Dofus Ocre; Muldo Prune et Emeraude</t>
        </is>
      </c>
    </row>
    <row r="7652">
      <c r="A7652" t="inlineStr">
        <is>
          <t>Xélor M 200</t>
        </is>
      </c>
      <c r="B7652">
        <f>HYPERLINK("https://www.dofusbook.net/fr/equipement/3618917-xelor-m-200/objets", "link")</f>
        <v/>
      </c>
      <c r="C7652" t="n">
        <v>1</v>
      </c>
      <c r="D7652" t="inlineStr">
        <is>
          <t>Lav'Hache; Amulette du Cœur Vaillant; Anneau Crustique; Anneau Crustique; Cadran de Terre; Ceinture Volkorne; Casque Volkorne; Cape au Logis; Sabots Minables; Dofus Ocre; Dofus Pourpre; Dofus Abyssal; Dofus Ivoire; Enragé majeur; Étourdisseur majeur; Kramkram</t>
        </is>
      </c>
    </row>
    <row r="7653">
      <c r="A7653" t="inlineStr">
        <is>
          <t>Crâ M 200</t>
        </is>
      </c>
      <c r="B7653">
        <f>HYPERLINK("https://www.dofusbook.net/fr/equipement/3616949-cra-m-200/objets", "link")</f>
        <v/>
      </c>
      <c r="C7653" t="n">
        <v>0</v>
      </c>
      <c r="D7653" t="inlineStr">
        <is>
          <t>Sabres d'Atcham; Amulette du Strigide; Bague Trithon; Bracelet du Piloztère; Quatre-feuilles; Ceinture du Strigide; Masque Trithon; Cape d'Atcham; Sandales  d'Atcham; Dofus Pourpre; Dofus Vulbis; Dofus Turquoise; Dofus Ocre; Dofus des Glaces; Dofus Abyssal; Kramkram</t>
        </is>
      </c>
    </row>
    <row r="7654">
      <c r="A7654" t="inlineStr">
        <is>
          <t>Huppermage F 200</t>
        </is>
      </c>
      <c r="B7654">
        <f>HYPERLINK("https://www.dofusbook.net/fr/equipement/3616928-huppermage-f-200/objets", "link")</f>
        <v/>
      </c>
      <c r="C7654" t="n">
        <v>1</v>
      </c>
      <c r="D7654" t="inlineStr">
        <is>
          <t>Sabres d'Atcham; Amulette Volkorne; Bague Trithon; Anneau Volkorne; Bouclier Taverne; Ceintacé; Casque Volkorne; Cape d'Atcham; Bottes Trithon; Dofus Turquoise; Dofus Abyssal; Dofus Pourpre; Dofus Ivoire; Dofus Émeraude; Dofus Ocre; Kramkram</t>
        </is>
      </c>
    </row>
    <row r="7655">
      <c r="A7655" t="inlineStr">
        <is>
          <t>Ouginak M 200</t>
        </is>
      </c>
      <c r="B7655">
        <f>HYPERLINK("https://www.dofusbook.net/fr/equipement/3616886-ouginak-m-200/objets", "link")</f>
        <v/>
      </c>
      <c r="C7655" t="n">
        <v>0</v>
      </c>
      <c r="D7655" t="inlineStr">
        <is>
          <t>Massier; Torquistik; Anneauræus; Bague Instable; Bouclier précieux; Ceintrigue; Masque Ardent; Capchalot; Bottistik; Dofus Émeraude; Dofus Ivoire; Dofus Ocre; Dofus Abyssal; Bousculeur majeur; Culbuteur majeur; Muldo Orchidée et Pourpre</t>
        </is>
      </c>
    </row>
    <row r="7656">
      <c r="A7656" t="inlineStr">
        <is>
          <t>Ouginak F 200</t>
        </is>
      </c>
      <c r="B7656">
        <f>HYPERLINK("https://www.dofusbook.net/fr/equipement/3616869-ouginak-f-200/objets", "link")</f>
        <v/>
      </c>
      <c r="C7656" t="n">
        <v>0</v>
      </c>
      <c r="D7656" t="inlineStr">
        <is>
          <t>Marteau Phossile; Amulette Volkorne; Anneau Rifique; Alliance Brûlâme; Bouclier d'Ilyzaelle; Menoture; Casque Volkorne; Voile d'encre; Pompes Funèbres; Dofus Émeraude; Dofus Abyssal; Dofus Vulbis; Dofus Ivoire; Dofus Pourpre; Dofus Ocre; Kramkram</t>
        </is>
      </c>
    </row>
    <row r="7657">
      <c r="A7657" t="inlineStr">
        <is>
          <t>Eniripsa M 200</t>
        </is>
      </c>
      <c r="B7657">
        <f>HYPERLINK("https://www.dofusbook.net/fr/equipement/3616851-eniripsa-m-200/objets", "link")</f>
        <v/>
      </c>
      <c r="C7657" t="n">
        <v>0</v>
      </c>
      <c r="D7657" t="inlineStr">
        <is>
          <t>Arc Honte; Amulette de l'Œil Putride; Anneau Volkorne; Alliance Gloursonne; Cadran de Terre; Menoture; Casque Volkorne; Cape de l'Œil Putride; Pataugastrique; Dofus Pourpre; Dofus Ivoire; Dolmanax; Dofus des Glaces; Dofus Abyssal; Vagabond majeur; Kramkram</t>
        </is>
      </c>
    </row>
    <row r="7658">
      <c r="A7658" t="inlineStr">
        <is>
          <t>Eniripsa F 200</t>
        </is>
      </c>
      <c r="B7658">
        <f>HYPERLINK("https://www.dofusbook.net/fr/equipement/3616813-eniripsa-f-200/objets", "link")</f>
        <v/>
      </c>
      <c r="C7658" t="n">
        <v>1</v>
      </c>
      <c r="D7658" t="inlineStr">
        <is>
          <t>Arc de Koutoulou; Amulette de Shokkoth; Anneau Volkorne; Alliance Gloursonne; Bouclier du Stalak; Menoture; Casque Volkorne; Cape Matelassée; Sandales de Tal Kasha; Dofus Turquoise; Dofus Ivoire; Dofus Pourpre; Dofus Abyssal; Déserteur majeur; Étourdisseur majeur; Muldo Indigo</t>
        </is>
      </c>
    </row>
    <row r="7659">
      <c r="A7659" t="inlineStr">
        <is>
          <t>Ecaflip M 200</t>
        </is>
      </c>
      <c r="B7659">
        <f>HYPERLINK("https://www.dofusbook.net/fr/equipement/3608314-ecaflip-m-200/objets", "link")</f>
        <v/>
      </c>
      <c r="C7659" t="n">
        <v>0</v>
      </c>
      <c r="D7659" t="inlineStr">
        <is>
          <t>Hache du Chalœil; Amulette Volkorne; Alliance Brûlâme; Anneau Volkorne; Bouclier du Stalak; Ceintacé; Casque Volkorne; Voile d'encre; Pompes Funèbres; Dofus Turquoise; Dofus Abyssal; Dofus Pourpre; Dofus Ivoire; Dofus des Glaces; Dofus Ocre; Muldo Pourpre</t>
        </is>
      </c>
    </row>
    <row r="7660">
      <c r="A7660" t="inlineStr">
        <is>
          <t>Féca F 200</t>
        </is>
      </c>
      <c r="B7660">
        <f>HYPERLINK("https://www.dofusbook.net/fr/equipement/3608311-feca-f-200/objets", "link")</f>
        <v/>
      </c>
      <c r="C7660" t="n">
        <v>0</v>
      </c>
      <c r="D7660" t="inlineStr">
        <is>
          <t>Arc Nécrotique; Amulette Volkorne; Anneau Volkorne; Alliance Gloursonne; Quatre-feuilles; Ceintacé; Casqnoar; Cape de la Dame du Hasard; Bottes de la Dame du Hasard; Dofus des Glaces; Dofus Ivoire; Dofus Pourpre; Dofus Ocre; Dofus Turquoise; Dofus Abyssal; Muldo Orchidée et Amande</t>
        </is>
      </c>
    </row>
    <row r="7661">
      <c r="A7661" t="inlineStr">
        <is>
          <t>Iop M 200</t>
        </is>
      </c>
      <c r="B7661">
        <f>HYPERLINK("https://www.dofusbook.net/fr/equipement/3608299-iop-m-200/objets", "link")</f>
        <v/>
      </c>
      <c r="C7661" t="n">
        <v>2</v>
      </c>
      <c r="D7661" t="inlineStr">
        <is>
          <t>Lav'Hache; Amulette Luminescente; Anneau Chevelu; Bague Trithon; Bouclier précieux; Ceinture Gence; Masque de Koutoulou; Cape du Cœur Vaillant; Bottes Trithon; Dofus Abyssal; Dofus Ivoire; Dofus Émeraude; Miraculé majeur; Culbuteur majeur; Bousculeur majeur; Muldo Ebène</t>
        </is>
      </c>
    </row>
    <row r="7662">
      <c r="A7662" t="inlineStr">
        <is>
          <t>Steamer M 200</t>
        </is>
      </c>
      <c r="B7662">
        <f>HYPERLINK("https://www.dofusbook.net/fr/equipement/3608292-steamer-m-200/objets", "link")</f>
        <v/>
      </c>
      <c r="C7662" t="n">
        <v>0</v>
      </c>
      <c r="D7662" t="inlineStr">
        <is>
          <t>Arc Volkorne; Amulette Volkorne; Anneau Volkorne; Alliance Brûlâme; Bouclier du Stalak; Ceinture Volkorne; Masque Brûlâme; Voile d'encre; Pompes Funèbres; Dofus des Glaces; Dofus Ivoire; Dofus Pourpre; Dofus Ocre; Dofus Vulbis; Dofus Abyssal; Kramkram</t>
        </is>
      </c>
    </row>
    <row r="7663">
      <c r="A7663" t="inlineStr">
        <is>
          <t>Ouginak M 200</t>
        </is>
      </c>
      <c r="B7663">
        <f>HYPERLINK("https://www.dofusbook.net/fr/equipement/3608184-ouginak-m-200/objets", "link")</f>
        <v/>
      </c>
      <c r="C7663" t="n">
        <v>0</v>
      </c>
      <c r="D7663" t="inlineStr">
        <is>
          <t>L'Épée Nice; Amulette du Cœur Vaillant; Alliance Gloursonne; Alliance Brûlâme; Bouclier d'Ilyzaelle; Ceinture Volkorne; Casque Volkorne; Cape du Cœur Vaillant; Bottes du Cœur Vaillant; Dofus Émeraude; Dofus Abyssal; Dofus Ocre; Dofus Ivoire; Dokoko; Dofus Pourpre; Kramkram</t>
        </is>
      </c>
    </row>
    <row r="7664">
      <c r="A7664" t="inlineStr">
        <is>
          <t>Xélor M 200</t>
        </is>
      </c>
      <c r="B7664">
        <f>HYPERLINK("https://www.dofusbook.net/fr/equipement/3608178-xelor-m-200/objets", "link")</f>
        <v/>
      </c>
      <c r="C7664" t="n">
        <v>0</v>
      </c>
      <c r="D7664" t="inlineStr">
        <is>
          <t>Lance Horselé; Collier du Valet Veinard; Gant du Valet Veinard; Alliance Gloursonne; Cadran de Terre; Menoture; Casque Volkorne; Cape du Cœur Vaillant; Palmes Trithons; Dofus Pourpre; Dofus Ocre; Dofus Ivoire; Dofus Abyssal; Cascadeur majeur; Étourdisseur majeur; Muldo Ebène</t>
        </is>
      </c>
    </row>
    <row r="7665">
      <c r="A7665" t="inlineStr">
        <is>
          <t>Enutrof M 200</t>
        </is>
      </c>
      <c r="B7665">
        <f>HYPERLINK("https://www.dofusbook.net/fr/equipement/3608168-enutrof-m-200/objets", "link")</f>
        <v/>
      </c>
      <c r="C7665" t="n">
        <v>0</v>
      </c>
      <c r="D7665" t="inlineStr">
        <is>
          <t>Arc corrompu; Amulette Volkorne; Anneau Rifique; Alliance Brûlâme; Cadran de Terre; Menoture; Casque Volkorne; Voile d'encre; Sabots de Vortex; Dolmanax; Dofus Abyssal; Dofus Pourpre; Dofus Ivoire; Dofus Ocre; Déserteur majeur; Muldo Pourpre et Amande</t>
        </is>
      </c>
    </row>
    <row r="7666">
      <c r="A7666" t="inlineStr">
        <is>
          <t>Crâ F 200</t>
        </is>
      </c>
      <c r="B7666">
        <f>HYPERLINK("https://www.dofusbook.net/fr/equipement/3608148-cra-f-200/objets", "link")</f>
        <v/>
      </c>
      <c r="C7666" t="n">
        <v>0</v>
      </c>
      <c r="D7666" t="inlineStr">
        <is>
          <t>Hache Téroïde; Amulette Volkorne; Anneau Crustique; Anneau Chevelu; Quatre-feuilles; Ceinture Volkorne; Masque de Koutoulou; Cape au Logis; Baleinabottes; Dofus Turquoise; Dofus Ivoire; Dofus Pourpre; Dofus Abyssal; Enragé majeur; Vigoureux majeur; Dragodinde Ivoire et Pourpre</t>
        </is>
      </c>
    </row>
    <row r="7667">
      <c r="A7667" t="inlineStr">
        <is>
          <t>Féca M 200</t>
        </is>
      </c>
      <c r="B7667">
        <f>HYPERLINK("https://www.dofusbook.net/fr/equipement/3600902-feca-m-200/objets", "link")</f>
        <v/>
      </c>
      <c r="C7667" t="n">
        <v>0</v>
      </c>
      <c r="D7667" t="inlineStr">
        <is>
          <t>Arc Volkorne; Amulette Luminescente; Alliance Gloursonne; Anneau Volkorne; Cadran de Terre; Culotte de Bethel; Casque Volkorne; Voile d'encre; Pataugastrique; Dofus Pourpre; Dofus Abyssal; Dofus Vulbis; Dofus Ivoire; Dofus Ocre; Étourdisseur majeur; Kramkram</t>
        </is>
      </c>
    </row>
    <row r="7668">
      <c r="A7668" t="inlineStr">
        <is>
          <t>Sacrieur F 200</t>
        </is>
      </c>
      <c r="B7668">
        <f>HYPERLINK("https://www.dofusbook.net/fr/equipement/3600891-sacrieur-f-200/objets", "link")</f>
        <v/>
      </c>
      <c r="C7668" t="n">
        <v>0</v>
      </c>
      <c r="D7668" t="inlineStr">
        <is>
          <t>Marteau des Anciens Steamers; Amulette d'Ilyzaelle; Anneau Volkorne; Alliance Gloursonne; Cadran d'Eau; Ceinture du Barbétoal; Casque Volkorne; Cape Solution; Bottes de la Reine des Voleurs; Dofus Émeraude; Dofus Ocre; Dofus Abyssal; Dofus Pourpre; Dofus Ivoire; Miraculé majeur; Muldo Ebène</t>
        </is>
      </c>
    </row>
    <row r="7669">
      <c r="A7669" t="inlineStr">
        <is>
          <t>Ecaflip M 200</t>
        </is>
      </c>
      <c r="B7669">
        <f>HYPERLINK("https://www.dofusbook.net/fr/equipement/3600862-ecaflip-m-200/objets", "link")</f>
        <v/>
      </c>
      <c r="C7669" t="n">
        <v>0</v>
      </c>
      <c r="D7669" t="inlineStr">
        <is>
          <t>Marteau Phossile; Amulette Volkorne; Alliance Brûlâme; Anneau Rifique; Bouclier Taverne; Menoture; Casque Volkorne; Cape Martegel; Sabots de Vortex; Dofus des Glaces; Dofus Abyssal; Dofus Pourpre; Dofus Ivoire; Dofus Vulbis; Dofus Ocre; Kramkram</t>
        </is>
      </c>
    </row>
    <row r="7670">
      <c r="A7670" t="inlineStr">
        <is>
          <t>Crâ M 200</t>
        </is>
      </c>
      <c r="B7670">
        <f>HYPERLINK("https://www.dofusbook.net/fr/equipement/3600848-cra-m-200/objets", "link")</f>
        <v/>
      </c>
      <c r="C7670" t="n">
        <v>0</v>
      </c>
      <c r="D7670" t="inlineStr">
        <is>
          <t>Arc Volkorne; Amulette Volkorne; Anneau de Padgref; Anneau Volkorne; Quatre-feuilles; Ceinture Volkorne; Coiffe de Padgref; Voile d'encre; Getas de Padgref; Dofus Turquoise; Dofus Ivoire; Dofus Pourpre; Dofus Ocre; Dofus Vulbis; Dofus Abyssal; Kramkram</t>
        </is>
      </c>
    </row>
    <row r="7671">
      <c r="A7671" t="inlineStr">
        <is>
          <t>Iop M 200</t>
        </is>
      </c>
      <c r="B7671">
        <f>HYPERLINK("https://www.dofusbook.net/fr/equipement/3600834-iop-m-200/objets", "link")</f>
        <v/>
      </c>
      <c r="C7671" t="n">
        <v>1</v>
      </c>
      <c r="D7671" t="inlineStr">
        <is>
          <t>Arc Volkorne; Amulette du Strigide; Bague Trithon; Anneau Volkorne; Quatre-feuilles; Ceinture du Strigide; Casque Volkorne; Cape des Justiciers; Bottes Trithon; Dofus Pourpre; Dofus Abyssal; Dofus Turquoise; Dofus Ivoire; Dofus des Glaces; Dofus Ocre; Muldo Orchidée et Pourpre</t>
        </is>
      </c>
    </row>
    <row r="7672">
      <c r="A7672" t="inlineStr">
        <is>
          <t>Xélor F 200</t>
        </is>
      </c>
      <c r="B7672">
        <f>HYPERLINK("https://www.dofusbook.net/fr/equipement/3600810-xelor-f-200/objets", "link")</f>
        <v/>
      </c>
      <c r="C7672" t="n">
        <v>0</v>
      </c>
      <c r="D7672" t="inlineStr">
        <is>
          <t>Dagoulinantes; Amulette de Pol Ouatnos; Anneau Volkorne; Alliance Gloursonne; Sept ans de malheur; Menoture; Casque Volkorne; Chevelure de Tal Kasha; Pataugastrique; Dofus des Glaces; Dofus Abyssal; Dofus Émeraude; Dofus Turquoise; Paralyseur majeur; Étourdisseur majeur; Kramkram</t>
        </is>
      </c>
    </row>
    <row r="7673">
      <c r="A7673" t="inlineStr">
        <is>
          <t>Crâ M 200</t>
        </is>
      </c>
      <c r="B7673">
        <f>HYPERLINK("https://www.dofusbook.net/fr/equipement/3564908-cra-m-200/objets", "link")</f>
        <v/>
      </c>
      <c r="C7673" t="n">
        <v>0</v>
      </c>
      <c r="D7673" t="inlineStr">
        <is>
          <t>Arc de Koutoulou; Amulette du Strigide; Alliance Gloursonne; Anneau Volkorne; Quatre-feuilles; Ceinture du Strigide; Casque Volkorne; Chevelure de Tal Kasha; Sandales de Tal Kasha; Dofus Turquoise; Dofus Abyssal; Dofus Pourpre; Dofus Ivoire; Dofus Vulbis; Dofus Ocre; Volkorne Saphir et Emeraude</t>
        </is>
      </c>
    </row>
    <row r="7674">
      <c r="A7674" t="inlineStr">
        <is>
          <t>Ecaflip M 200</t>
        </is>
      </c>
      <c r="B7674">
        <f>HYPERLINK("https://www.dofusbook.net/fr/equipement/3564890-ecaflip-m-200/objets", "link")</f>
        <v/>
      </c>
      <c r="C7674" t="n">
        <v>1</v>
      </c>
      <c r="D7674" t="inlineStr">
        <is>
          <t>Épouvante; Amulette du Strigide; Anneau en Grithril; Anneau Volkorne; Bouclier d'Ilyzaelle; Ceinture Volkorne; Casque en Grithril; Cape au Logis; Bottes du Strigide; Dofus Turquoise; Dofus Ivoire; Dofus Émeraude; Dofus Ocre; Dofus Pourpre; Dofus Abyssal; Volkorne Améthyste</t>
        </is>
      </c>
    </row>
    <row r="7675">
      <c r="A7675" t="inlineStr">
        <is>
          <t>Féca M 200</t>
        </is>
      </c>
      <c r="B7675">
        <f>HYPERLINK("https://www.dofusbook.net/fr/equipement/3564881-feca-m-200/objets", "link")</f>
        <v/>
      </c>
      <c r="C7675" t="n">
        <v>1</v>
      </c>
      <c r="D7675" t="inlineStr">
        <is>
          <t>Baguette Héroclite; Amulette de Shokkoth; Alliance Gloursonne; Anneau Volkorne; Bouclier du Stalak; Poulpagne; Masque des Fonds marins; Cape Solution; Sandales des Fonds marins; Dofus Abyssal; Dofus Ivoire; Dofus Émeraude; Dofus Pourpre; Miraculé majeur; Chanceux majeur; Muldo Indigo</t>
        </is>
      </c>
    </row>
    <row r="7676">
      <c r="A7676" t="inlineStr">
        <is>
          <t>Féca F 200</t>
        </is>
      </c>
      <c r="B7676">
        <f>HYPERLINK("https://www.dofusbook.net/fr/equipement/3564869-feca-f-200/objets", "link")</f>
        <v/>
      </c>
      <c r="C7676" t="n">
        <v>1</v>
      </c>
      <c r="D7676" t="inlineStr">
        <is>
          <t>Arc Volkorne; Amulette de l'Œil Putride; Anneau Volkorne; Alliance Gloursonne; Cadran de Terre; Ceinture Volkorne; Casque Volkorne; Cape de l'Œil Putride; Pataugastrique; Dofus Pourpre; Dofus Ivoire; Dofus Ocre; Dofus des Glaces; Dofus Abyssal; Paralyseur majeur; Kramkram</t>
        </is>
      </c>
    </row>
    <row r="7677">
      <c r="A7677" t="inlineStr">
        <is>
          <t>Ouginak M 200</t>
        </is>
      </c>
      <c r="B7677">
        <f>HYPERLINK("https://www.dofusbook.net/fr/equipement/3564862-ouginak-m-200/objets", "link")</f>
        <v/>
      </c>
      <c r="C7677" t="n">
        <v>1</v>
      </c>
      <c r="D7677" t="inlineStr">
        <is>
          <t>Hache Ériphe; Amulette du Kamasterisk; Alliance Gloursonne; Alliance Brûlâme; Bouclier d'Ilyzaelle; Ceinture Volkorne; Casque Volkorne; Cape du Kamasterisk; Bottes du Kamasterisk; Dofus Émeraude; Dofus Abyssal; Dofus Pourpre; Dofus Ivoire; Dofus Vulbis; Dofus Ocre; Kramkram</t>
        </is>
      </c>
    </row>
    <row r="7678">
      <c r="A7678" t="inlineStr">
        <is>
          <t>Xélor M 200</t>
        </is>
      </c>
      <c r="B7678">
        <f>HYPERLINK("https://www.dofusbook.net/fr/equipement/3564852-xelor-m-200/objets", "link")</f>
        <v/>
      </c>
      <c r="C7678" t="n">
        <v>0</v>
      </c>
      <c r="D7678" t="inlineStr">
        <is>
          <t>Lance Horselé; Amulette de Pol Ouatnos; Anneau Volkorne; Alliance Gloursonne; Cadran de Terre; Menoture; Casque Volkorne; Chevelure de Tal Kasha; Sandales de Tal Kasha; Dofus Pourpre; Dofus Ivoire; Dofus Ocre; Dofus Turquoise; Dofus Abyssal; Paralyseur majeur; Kramkram</t>
        </is>
      </c>
    </row>
    <row r="7679">
      <c r="A7679" t="inlineStr">
        <is>
          <t>Eliotrope F 200</t>
        </is>
      </c>
      <c r="B7679">
        <f>HYPERLINK("https://www.dofusbook.net/fr/equipement/3564833-eliotrope-f-200/objets", "link")</f>
        <v/>
      </c>
      <c r="C7679" t="n">
        <v>3</v>
      </c>
      <c r="D7679" t="inlineStr">
        <is>
          <t>Arc de Koutoulou; Amulette du Strigide; Alliance Gloursonne; Anneau Volkorne; Quatre-feuilles; Menoture; Casque Volkorne; Chevelure de Tal Kasha; Sandales de Tal Kasha; Dofus Turquoise; Dofus Abyssal; Dofus Pourpre; Dofus Ivoire; Dofus Vulbis; Dofus Ocre; Kramkram</t>
        </is>
      </c>
    </row>
    <row r="7680">
      <c r="A7680" t="inlineStr">
        <is>
          <t>Sram F 200</t>
        </is>
      </c>
      <c r="B7680">
        <f>HYPERLINK("https://www.dofusbook.net/fr/equipement/3555354-sram-f-200/objets", "link")</f>
        <v/>
      </c>
      <c r="C7680" t="n">
        <v>0</v>
      </c>
      <c r="D7680" t="inlineStr">
        <is>
          <t>Héqache; Amulette du Kamasterisk; Alliance Brûlâme; Alliance Gloursonne; Bouclier d'Ilyzaelle; Ceinture Volkorne; Casque Volkorne; Cape du Kamasterisk; Bottes du Kamasterisk; Dofus Vulbis; Dofus Ocre; Dofus Ivoire; Dofus Pourpre; Dofus Abyssal; Dofus des Glaces; Kramkram</t>
        </is>
      </c>
    </row>
    <row r="7681">
      <c r="A7681" t="inlineStr">
        <is>
          <t>Pandawa F 200</t>
        </is>
      </c>
      <c r="B7681">
        <f>HYPERLINK("https://www.dofusbook.net/fr/equipement/3555342-pandawa-f-200/objets", "link")</f>
        <v/>
      </c>
      <c r="C7681" t="n">
        <v>1</v>
      </c>
      <c r="D7681" t="inlineStr">
        <is>
          <t>Arc Volkorne; Amulette Volkorne; Alliance Brûlâme; Anneau Volkorne; Cadran d'Air; Ceinture Volkorne; Masque Brûlâme; Voile d'encre; Pataugastrique; Dofus des Glaces; Dofus Abyssal; Dofus Pourpre; Dofus Ivoire; Dofus Émeraude; Dofus Ocre; Kramkram</t>
        </is>
      </c>
    </row>
    <row r="7682">
      <c r="A7682" t="inlineStr">
        <is>
          <t>Zobal M 200</t>
        </is>
      </c>
      <c r="B7682">
        <f>HYPERLINK("https://www.dofusbook.net/fr/equipement/3555318-zobal-m-200/objets", "link")</f>
        <v/>
      </c>
      <c r="C7682" t="n">
        <v>0</v>
      </c>
      <c r="D7682" t="inlineStr">
        <is>
          <t>Manthache; Collier du Valet Veinard; Gant du Valet Veinard; Alliance Gloursonne; Bouclier du Stalak; Menoture; Casque Volkorne; Cape de Crânonier; Palmes Trithons; Dofus Pourpre; Dofus Émeraude; Remueur; Cascadeur majeur; Nomade; Miraculé majeur; Dragodinde Ebène</t>
        </is>
      </c>
    </row>
    <row r="7683">
      <c r="A7683" t="inlineStr">
        <is>
          <t>Roublard F 200</t>
        </is>
      </c>
      <c r="B7683">
        <f>HYPERLINK("https://www.dofusbook.net/fr/equipement/3555298-roublard-f-200/objets", "link")</f>
        <v/>
      </c>
      <c r="C7683" t="n">
        <v>1</v>
      </c>
      <c r="D7683" t="inlineStr">
        <is>
          <t>Arc Hétype; Amulette Volkorne; Anneau Rifique; Anneauræus; Bouclier du Stalak; Ceinture Séculaire; Coiffe Séculaire; Cape de Diondin; Bottes Innommables; Dofus des Glaces; Dofus Vulbis; Dofus Pourpre; Dofus Ocre; Dolmanax; Érudit majeur; Brûlih</t>
        </is>
      </c>
    </row>
    <row r="7684">
      <c r="A7684" t="inlineStr">
        <is>
          <t>Enutrof M 200</t>
        </is>
      </c>
      <c r="B7684">
        <f>HYPERLINK("https://www.dofusbook.net/fr/equipement/3555274-enutrof-m-200/objets", "link")</f>
        <v/>
      </c>
      <c r="C7684" t="n">
        <v>1</v>
      </c>
      <c r="D7684" t="inlineStr">
        <is>
          <t>Baguette Hique; Amulette Luminescente; Alliance Gloursonne; Pikano; Bouclier cubiste; Ceinture Glaciale; Kidibonnet; Cape de la Dame du Hasard; Bottes de la Dame du Hasard; Dofus Ocre; Dofus Turquoise; Dofus Pourpre; Entraveur majeur; Chanceux majeur; Temporiseur majeur; Muldo Prune et Emeraude</t>
        </is>
      </c>
    </row>
    <row r="7685">
      <c r="A7685" t="inlineStr">
        <is>
          <t>Crâ M 200</t>
        </is>
      </c>
      <c r="B7685">
        <f>HYPERLINK("https://www.dofusbook.net/fr/equipement/3555256-cra-m-200/objets", "link")</f>
        <v/>
      </c>
      <c r="C7685" t="n">
        <v>0</v>
      </c>
      <c r="D7685" t="inlineStr">
        <is>
          <t>Dagues d'Ilyzaelle; Amulette Luminescente; Pikano; Anneau Volkorne; Quatre-feuilles; Ceinture Volkorne; Casquipik; Cape Luminescente; Pikottes; Dolmanax; Dofus des Glaces; Dofus Turquoise; Dofus Ocre; Dofus Pourpre; Entraveur majeur; Muldo Prune et Emeraude</t>
        </is>
      </c>
    </row>
    <row r="7686">
      <c r="A7686" t="inlineStr">
        <is>
          <t>Crâ M 200</t>
        </is>
      </c>
      <c r="B7686">
        <f>HYPERLINK("https://www.dofusbook.net/fr/equipement/3555241-cra-m-200/objets", "link")</f>
        <v/>
      </c>
      <c r="C7686" t="n">
        <v>0</v>
      </c>
      <c r="D7686" t="inlineStr">
        <is>
          <t>Arc Volkorne; Amulette du Strigide; Anneau Volkorne; Anneau de Padgref; Quatre-feuilles; Ceinture du Strigide; Casque Volkorne; Voile d'encre; Bottes du Strigide; Dofus Pourpre; Dofus des Glaces; Dofus Abyssal; Dofus Ocre; Dofus Turquoise; Dolmanax; Muldo Prune et Emeraude</t>
        </is>
      </c>
    </row>
    <row r="7687">
      <c r="A7687" t="inlineStr">
        <is>
          <t>Iop M 200</t>
        </is>
      </c>
      <c r="B7687">
        <f>HYPERLINK("https://www.dofusbook.net/fr/equipement/3550529-iop-m-200/objets", "link")</f>
        <v/>
      </c>
      <c r="C7687" t="n">
        <v>1</v>
      </c>
      <c r="D7687" t="inlineStr">
        <is>
          <t>Arc Volkorne; Amulette Volkorne; Anneau Volkorne; Anneau de Padgref; Quatre-feuilles; Ceinture Volkorne; Coiffe de Padgref; Cape de la Dame du Hasard; Getas de Padgref; Dofus des Glaces; Dofus Abyssal; Dofus Pourpre; Dofus Ivoire; Dofus Turquoise; Dofus Ocre; Kramkram</t>
        </is>
      </c>
    </row>
    <row r="7688">
      <c r="A7688" t="inlineStr">
        <is>
          <t>Iop M 200</t>
        </is>
      </c>
      <c r="B7688">
        <f>HYPERLINK("https://www.dofusbook.net/fr/equipement/3550522-iop-m-200/objets", "link")</f>
        <v/>
      </c>
      <c r="C7688" t="n">
        <v>1</v>
      </c>
      <c r="D7688" t="inlineStr">
        <is>
          <t>Arc Volkorne; Amulette Volkorne; Anneau Volkorne; Alliance Brûlâme; Cadran d'Air; Ceinture Volkorne; Casque du Chalœil; Cape du Chalœil; Bottes du Chalœil; Dofus des Glaces; Dofus Ivoire; Dolmanax; Dofus Ocre; Dofus Pourpre; Dofus Abyssal; Kramkram</t>
        </is>
      </c>
    </row>
    <row r="7689">
      <c r="A7689" t="inlineStr">
        <is>
          <t>Ecaflip M 200</t>
        </is>
      </c>
      <c r="B7689">
        <f>HYPERLINK("https://www.dofusbook.net/fr/equipement/3550506-ecaflip-m-200/objets", "link")</f>
        <v/>
      </c>
      <c r="C7689" t="n">
        <v>3</v>
      </c>
      <c r="D7689" t="inlineStr">
        <is>
          <t>Arc Volkorne; Amulette du Strigide; Alliance Brûlâme; Anneau Volkorne; Quatre-feuilles; Ceinture du Strigide; Casque Volkorne; Voile d'encre; Bottes du Strigide; Dofus Pourpre; Dofus Abyssal; Dofus des Glaces; Dofus Ivoire; Dolmanax; Dofus Ocre; Muldo Pourpre</t>
        </is>
      </c>
    </row>
    <row r="7690">
      <c r="A7690" t="inlineStr">
        <is>
          <t>Sadida F 200</t>
        </is>
      </c>
      <c r="B7690">
        <f>HYPERLINK("https://www.dofusbook.net/fr/equipement/3550488-sadida-f-200/objets", "link")</f>
        <v/>
      </c>
      <c r="C7690" t="n">
        <v>0</v>
      </c>
      <c r="D7690" t="inlineStr">
        <is>
          <t>Dagues Érhy; Amulette Volkorne; Alliance Brûlâme; Bague Gloursonne; Bouclier du Stalak; Ceinture Volkorne; Chapeau de Gein; Voile d'encre; Sabots Minables; Dolmanax; Dofus Ivoire; Dofus Pourpre; Dofus Ocre; Nomade; Déserteur majeur; Kramkram</t>
        </is>
      </c>
    </row>
    <row r="7691">
      <c r="A7691" t="inlineStr">
        <is>
          <t>Sadida M 200</t>
        </is>
      </c>
      <c r="B7691">
        <f>HYPERLINK("https://www.dofusbook.net/fr/equipement/3550472-sadida-m-200/objets", "link")</f>
        <v/>
      </c>
      <c r="C7691" t="n">
        <v>2</v>
      </c>
      <c r="D7691" t="inlineStr">
        <is>
          <t>Arc Volkorne; Amulette Volkorne; Alliance Gloursonne; Anneau Volkorne; Bouclier du Stalak; Ceinture Volkorne; Masque de l'Esprit Salvateur; Cape des Justiciers; Bottes de l'Esprit Salvateur; Dofus des Glaces; Dofus Abyssal; Dofus Pourpre; Dofus Ivoire; Dofus Vulbis; Dofus Ocre; Kramkram</t>
        </is>
      </c>
    </row>
    <row r="7692">
      <c r="A7692" t="inlineStr">
        <is>
          <t>Xélor M 200</t>
        </is>
      </c>
      <c r="B7692">
        <f>HYPERLINK("https://www.dofusbook.net/fr/equipement/3550450-xelor-m-200/objets", "link")</f>
        <v/>
      </c>
      <c r="C7692" t="n">
        <v>2</v>
      </c>
      <c r="D7692" t="inlineStr">
        <is>
          <t>Arc Volkorne; Amulette du Cœur Vaillant; Anneau Crustique; Alliance Gloursonne; Cadran de Terre; Ceinture Volkorne; Casque Volkorne; Chevelure de Tal Kasha; Pataugastrique; Dofus Pourpre; Dofus Ivoire; Dofus Ocre; Dofus Abyssal; Nomade; Étourdisseur majeur; Kramkram</t>
        </is>
      </c>
    </row>
    <row r="7693">
      <c r="A7693" t="inlineStr">
        <is>
          <t>Xélor M 200</t>
        </is>
      </c>
      <c r="B7693">
        <f>HYPERLINK("https://www.dofusbook.net/fr/equipement/3550435-xelor-m-200/objets", "link")</f>
        <v/>
      </c>
      <c r="C7693" t="n">
        <v>0</v>
      </c>
      <c r="D7693" t="inlineStr">
        <is>
          <t>Dagoulinantes; Amulette de Shokkoth; Alliance Gloursonne; Anneau Volkorne; Sept ans de malheur; Culotte de Bethel; Némès de Tal Kasha; Cape Solution; Chaussons de Macrab; Dofus Émeraude; Dofus Abyssal; Dofus des Glaces; Dofus Ivoire; Dofus Ocre; Étourdisseur majeur; Muldo Ebène et Indigo</t>
        </is>
      </c>
    </row>
    <row r="7694">
      <c r="A7694" t="inlineStr">
        <is>
          <t>Crâ F 200</t>
        </is>
      </c>
      <c r="B7694">
        <f>HYPERLINK("https://www.dofusbook.net/fr/equipement/3550419-cra-f-200/objets", "link")</f>
        <v/>
      </c>
      <c r="C7694" t="n">
        <v>0</v>
      </c>
      <c r="D7694" t="inlineStr">
        <is>
          <t>Baguette Range; Amulette Martegel; Anneau Rifique; Alliance Brûlâme; Bouclier du Stalak; Menoture; Casque Cyclopéen; Cape Martegel; Pompes Funèbres; Dofus des Glaces; Dofus Ivoire; Dolmanax; Dofus Abyssal; Dofus Pourpre; Dofus Ocre; Muldo Indigo et Orchidée</t>
        </is>
      </c>
    </row>
    <row r="7695">
      <c r="A7695" t="inlineStr">
        <is>
          <t>Steamer M 200</t>
        </is>
      </c>
      <c r="B7695">
        <f>HYPERLINK("https://www.dofusbook.net/fr/equipement/3547655-steamer-m-200/objets", "link")</f>
        <v/>
      </c>
      <c r="C7695" t="n">
        <v>1</v>
      </c>
      <c r="D7695" t="inlineStr">
        <is>
          <t>Baguette des égarés; Amulette du Piloztère; Bracelet du Piloztère; Anneau en Grithril; Bouclier du Stalak; Ceinture en Grithril; Casque en Grithril; Cape Solution; Pantoufles du Piloztère; Dofus Pourpre; Dofus Abyssal; Dofus des Glaces; Dofus Ivoire; Dolmanax; Robuste majeur; Muldo Ebène et Orchidée</t>
        </is>
      </c>
    </row>
    <row r="7696">
      <c r="A7696" t="inlineStr">
        <is>
          <t>Crâ M 200</t>
        </is>
      </c>
      <c r="B7696">
        <f>HYPERLINK("https://www.dofusbook.net/fr/equipement/3547642-cra-m-200/objets", "link")</f>
        <v/>
      </c>
      <c r="C7696" t="n">
        <v>0</v>
      </c>
      <c r="D7696" t="inlineStr">
        <is>
          <t>Arc du Chalœil; Amulette du Cœur Saignant; Anneau Crustique; Anneau Chevelu; Quatre-feuilles; Ceinture Volkorne; Masque de Koutoulou; Cape au Logis; Bottes du Cœur Saignant; Dofus Pourpre; Dofus Ivoire; Dofus Ocre; Dofus Turquoise; Dofus Abyssal; Enragé majeur; Kramkram</t>
        </is>
      </c>
    </row>
    <row r="7697">
      <c r="A7697" t="inlineStr">
        <is>
          <t>Eniripsa F 200</t>
        </is>
      </c>
      <c r="B7697">
        <f>HYPERLINK("https://www.dofusbook.net/fr/equipement/3547635-eniripsa-f-200/objets", "link")</f>
        <v/>
      </c>
      <c r="C7697" t="n">
        <v>0</v>
      </c>
      <c r="D7697" t="inlineStr">
        <is>
          <t>Lance Horselé; Amulette de l'Œil Putride; Alliance Gloursonne; Anneau Volkorne; Bouclier du Stalak; Menoture; Casque Volkorne; Chevelure de Tal Kasha; Sandales de Tal Kasha; Dofus Turquoise; Dofus Abyssal; Dofus Pourpre; Dofus Ivoire; Dofus Vulbis; Dofus Ocre; Kramkram</t>
        </is>
      </c>
    </row>
    <row r="7698">
      <c r="A7698" t="inlineStr">
        <is>
          <t>Crâ M 200</t>
        </is>
      </c>
      <c r="B7698">
        <f>HYPERLINK("https://www.dofusbook.net/fr/equipement/3547624-cra-m-200/objets", "link")</f>
        <v/>
      </c>
      <c r="C7698" t="n">
        <v>0</v>
      </c>
      <c r="D7698" t="inlineStr">
        <is>
          <t>Arc Ontanporin; Amulette de Shokkoth; Anneau Volkorne; Alliance Gloursonne; Cadran de Terre; Poulpagne; Masque de Funespadon; Cape Solution; Chaussons de Macrab; Dofus Pourpre; Dofus Abyssal; Dofus des Glaces; Dofus Ivoire; Chanceux majeur; Étourdisseur majeur; Muldo Ebène et Indigo</t>
        </is>
      </c>
    </row>
    <row r="7699">
      <c r="A7699" t="inlineStr">
        <is>
          <t>Iop M 200</t>
        </is>
      </c>
      <c r="B7699">
        <f>HYPERLINK("https://www.dofusbook.net/fr/equipement/3544332-iop-m-200/objets", "link")</f>
        <v/>
      </c>
      <c r="C7699" t="n">
        <v>2</v>
      </c>
      <c r="D7699" t="inlineStr">
        <is>
          <t>Hache Euvale; Amulette du Piloztère; Bracelet du Piloztère; Anneau en Grithril; Cadran d'Eau; Ceinture en Grithril; Casque en Grithril; Cape au Logis; Pantoufles du Piloztère; Dofus Pourpre; Dofus Abyssal; Dofus des Glaces; Dofus Ocre; Dofus Émeraude; Dofus Ivoire; Kramkram</t>
        </is>
      </c>
    </row>
    <row r="7700">
      <c r="A7700" t="inlineStr">
        <is>
          <t>Enutrof M 200</t>
        </is>
      </c>
      <c r="B7700">
        <f>HYPERLINK("https://www.dofusbook.net/fr/equipement/3544320-enutrof-m-200/objets", "link")</f>
        <v/>
      </c>
      <c r="C7700" t="n">
        <v>0</v>
      </c>
      <c r="D7700" t="inlineStr">
        <is>
          <t>Arc Honte; Pendentif mignon de Koutoulou; Anneau Rifique; Alliance Brûlâme; Cadran d'Air; Menoture; Masquegel; Cape Martegel; Pompes Funèbres; Dofus Pourpre; Dofus Ivoire; Dofus Ocre; Dolmanax; Dofus Abyssal; Vagabond majeur; Muldo Orchidée et Amande</t>
        </is>
      </c>
    </row>
    <row r="7701">
      <c r="A7701" t="inlineStr">
        <is>
          <t>Ecaflip M 200</t>
        </is>
      </c>
      <c r="B7701">
        <f>HYPERLINK("https://www.dofusbook.net/fr/equipement/3544306-ecaflip-m-200/objets", "link")</f>
        <v/>
      </c>
      <c r="C7701" t="n">
        <v>0</v>
      </c>
      <c r="D7701" t="inlineStr">
        <is>
          <t>Hache du Chalœil; Amulette Volkorne; Anneau Volkorne; Bague Trithon; Quatre-feuilles; Ceinture Volkorne; Masque Trithon; Voile d'encre; Bottes Trithon; Dofus Turquoise; Dofus Abyssal; Dofus Pourpre; Dofus Ivoire; Dofus des Glaces; Dofus Ocre; Volkorne Jade et Améthyste</t>
        </is>
      </c>
    </row>
    <row r="7702">
      <c r="A7702" t="inlineStr">
        <is>
          <t>Crâ F 200</t>
        </is>
      </c>
      <c r="B7702">
        <f>HYPERLINK("https://www.dofusbook.net/fr/equipement/3544291-cra-f-200/objets", "link")</f>
        <v/>
      </c>
      <c r="C7702" t="n">
        <v>0</v>
      </c>
      <c r="D7702" t="inlineStr">
        <is>
          <t>Sabres d'Atcham; Amulette Volkorne; Anneau Volkorne; Alliance Gloursonne; Cadran de Terre; Ceinture de Kongoku; Casque Volkorne; Cape d'Atcham; Sandales  d'Atcham; Dofus des Glaces; Dofus Ivoire; Dofus Turquoise; Dofus Ocre; Dofus Pourpre; Dofus Abyssal; Kramkram</t>
        </is>
      </c>
    </row>
    <row r="7703">
      <c r="A7703" t="inlineStr">
        <is>
          <t>Steamer M 200</t>
        </is>
      </c>
      <c r="B7703">
        <f>HYPERLINK("https://www.dofusbook.net/fr/equipement/3534945-steamer-m-200/objets", "link")</f>
        <v/>
      </c>
      <c r="C7703" t="n">
        <v>0</v>
      </c>
      <c r="D7703" t="inlineStr">
        <is>
          <t>Arc Volkorne; Amulette Volkorne; Pikano; Anneau Volkorne; Bouclier du Stalak; Ceinture de la Reine des Voleurs; Coiffe de la Reine des Voleurs; Voile d'encre; Bottes de la Reine des Voleurs; Dofus Vulbis; Dofus Ocre; Dofus des Glaces; Dofus Abyssal; Dofus Pourpre; Dofus Ivoire; Kramkram</t>
        </is>
      </c>
    </row>
    <row r="7704">
      <c r="A7704" t="inlineStr">
        <is>
          <t>Crâ F 200</t>
        </is>
      </c>
      <c r="B7704">
        <f>HYPERLINK("https://www.dofusbook.net/fr/equipement/3534926-cra-f-200/objets", "link")</f>
        <v/>
      </c>
      <c r="C7704" t="n">
        <v>0</v>
      </c>
      <c r="D7704" t="inlineStr">
        <is>
          <t>Arc Volkorne; Amulette Volkorne; Anneau Volkorne; Alliance Brûlâme; Cadran de Terre; Ceinture Volkorne; Casque Volkorne; Voile d'encre; Pataugastrique; Dofus Pourpre; Dofus Ivoire; Dofus Turquoise; Dofus Ocre; Dofus des Glaces; Dofus Abyssal; Kramkram</t>
        </is>
      </c>
    </row>
    <row r="7705">
      <c r="A7705" t="inlineStr">
        <is>
          <t>Sadida M 200</t>
        </is>
      </c>
      <c r="B7705">
        <f>HYPERLINK("https://www.dofusbook.net/fr/equipement/3534908-sadida-m-200/objets", "link")</f>
        <v/>
      </c>
      <c r="C7705" t="n">
        <v>2</v>
      </c>
      <c r="D7705" t="inlineStr">
        <is>
          <t>Arc Volkorne; Amulette de l'Indicible; Alliance Gloursonne; Alliance du Lévitrof; Bouclier du Stalak; Ceinture de l'Indicible; Capuche de l'Œil Putride; Cape de l'Œil Putride; Bottes de l'Indicible; Dofus Vulbis; Dofus Ocre; Dofus Pourpre; Dofus Abyssal; Dofus des Glaces; Dofus Ivoire; Kramkram</t>
        </is>
      </c>
    </row>
    <row r="7706">
      <c r="A7706" t="inlineStr">
        <is>
          <t>Crâ F 200</t>
        </is>
      </c>
      <c r="B7706">
        <f>HYPERLINK("https://www.dofusbook.net/fr/equipement/3534897-cra-f-200/objets", "link")</f>
        <v/>
      </c>
      <c r="C7706" t="n">
        <v>2</v>
      </c>
      <c r="D7706" t="inlineStr">
        <is>
          <t>Baguette des égarés; Amulette Luminescente; Anneau en Grithril; Pikano; Bouclier du Stalak; Ceinture Luminescente; Casque en Grithril; Cape Luminescente; Chaussons de Macrab; Dofus Pourpre; Dofus Ivoire; Dofus des Glaces; Dofus Ocre; Dofus Vulbis; Dofus Abyssal; Volkorne Améthyste et Turquoise</t>
        </is>
      </c>
    </row>
    <row r="7707">
      <c r="A7707" t="inlineStr">
        <is>
          <t>eau 1.5 feu</t>
        </is>
      </c>
      <c r="B7707">
        <f>HYPERLINK("https://www.dofusbook.net/fr/equipement/3240670-eau-1-5-feu/objets", "link")</f>
        <v/>
      </c>
      <c r="C7707" t="n">
        <v>0</v>
      </c>
      <c r="D7707" t="inlineStr">
        <is>
          <t>Sceptre du Roi Joueur; Amulette de Shokkoth; Pikano; Alliance Gloursonne; Bouclier du Stalak; Ceinture de l'Esprit Salvateur; Masque de l'Esprit Salvateur; Cape de l'Œil Putride; Pataugastrique; Dofus des Glaces; Dofus Pourpre; Dofus Abyssal; Dofus Ocre; Dofus Ivoire; Chanceux majeur; Muldo Indigo et Amande</t>
        </is>
      </c>
    </row>
    <row r="7708">
      <c r="A7708" t="inlineStr">
        <is>
          <t>feu eau ret</t>
        </is>
      </c>
      <c r="B7708">
        <f>HYPERLINK("https://www.dofusbook.net/fr/equipement/3237041-feu-eau-ret/objets", "link")</f>
        <v/>
      </c>
      <c r="C7708" t="n">
        <v>0</v>
      </c>
      <c r="D7708" t="inlineStr">
        <is>
          <t>Arc Nécrotique; Amulette Cryochrone; Pikano; Alliance Gloursonne; Cadran de Terre; Ceinture de Vortex; Kidibonnet; Cape de la Dame du Hasard; Bottes de la Dame du Hasard; Dofus Turquoise; Dofus Ivoire; Dofus Ocre; Dofus Abyssal; Temporiseur majeur; Étourdisseur majeur; Muldo Indigo</t>
        </is>
      </c>
    </row>
    <row r="7709">
      <c r="A7709" t="inlineStr">
        <is>
          <t>air taper</t>
        </is>
      </c>
      <c r="B7709">
        <f>HYPERLINK("https://www.dofusbook.net/fr/equipement/3222524-air-taper/objets", "link")</f>
        <v/>
      </c>
      <c r="C7709" t="n">
        <v>0</v>
      </c>
      <c r="D7709" t="inlineStr">
        <is>
          <t>Lance Horselé; Amulette d'Ilyzaelle; Alliance Gloursonne; Gant du Valet Veinard; Bouclier d'Ilyzaelle; Menoture; Coiffe de la Reine des Voleurs; Cape du Valet Veinard; Bottes de la Reine des Voleurs; Dofus Émeraude; Dofus des Glaces; Dofus Pourpre; Dofus Abyssal; Dofus Ocre; Dofus Ivoire; Muldo Ebène</t>
        </is>
      </c>
    </row>
    <row r="7710">
      <c r="A7710" t="inlineStr">
        <is>
          <t>feu eau</t>
        </is>
      </c>
      <c r="B7710">
        <f>HYPERLINK("https://www.dofusbook.net/fr/equipement/3222505-feu-eau/objets", "link")</f>
        <v/>
      </c>
      <c r="C7710" t="n">
        <v>0</v>
      </c>
      <c r="D7710" t="inlineStr">
        <is>
          <t>Arc Nécrotique; Collier de la Dame du Hasard; Anneau de Nidas; Alliance Gloursonne; Bouclier du Stalak; Ceinture de l'Esprit Salvateur; Masque de l'Esprit Salvateur; Cape de la Dame du Hasard; Bottes de la Dame du Hasard; Dofus Pourpre; Dofus Ivoire; Dofus Ocre; Dofus Abyssal; Vagabond majeur; Entraveur majeur; Muldo Indigo et Orchidée</t>
        </is>
      </c>
    </row>
    <row r="7711">
      <c r="A7711" t="inlineStr">
        <is>
          <t>feu ret</t>
        </is>
      </c>
      <c r="B7711">
        <f>HYPERLINK("https://www.dofusbook.net/fr/equipement/3218909-feu-ret/objets", "link")</f>
        <v/>
      </c>
      <c r="C7711" t="n">
        <v>0</v>
      </c>
      <c r="D7711" t="inlineStr">
        <is>
          <t>Arc corrompu; Pendentif mignon de Koutoulou; Anneauræus; Anneau Rifique; Bouclier du Stalak; Ceinture de Vortex; Masque Ardent; Cape Ardente; Chaussures Ardentes; Dofus Ocre; Dolmanax; Dofus Abyssal; Dofus Pourpre; Dofus Ivoire; Vagabond majeur; Muldo Orchidée</t>
        </is>
      </c>
    </row>
    <row r="7712">
      <c r="A7712" t="inlineStr">
        <is>
          <t>feu air</t>
        </is>
      </c>
      <c r="B7712">
        <f>HYPERLINK("https://www.dofusbook.net/fr/equipement/3217253-feu-air/objets", "link")</f>
        <v/>
      </c>
      <c r="C7712" t="n">
        <v>0</v>
      </c>
      <c r="D7712" t="inlineStr">
        <is>
          <t>Dagues Ricol; Pendentif mignon de Koutoulou; Anneau Rifique; Alliance Gloursonne; Bouclier du Stalak; Ceinture de Vortex; Casque Cyclopéen; Voile d'encre; Sabots de Vortex; Dofus Pourpre; Dofus Ivoire; Dofus Émeraude; Dofus Ocre; Dolmanax; Dofus Abyssal; Muldo Ebène et Pourpre</t>
        </is>
      </c>
    </row>
    <row r="7713">
      <c r="A7713" t="inlineStr">
        <is>
          <t>air docrit</t>
        </is>
      </c>
      <c r="B7713">
        <f>HYPERLINK("https://www.dofusbook.net/fr/equipement/3217237-air-docrit/objets", "link")</f>
        <v/>
      </c>
      <c r="C7713" t="n">
        <v>0</v>
      </c>
      <c r="D7713" t="inlineStr">
        <is>
          <t>Hachoirs de Viandargh; Collier du Valet Veinard; Anneau de Padgref; Gant du Valet Veinard; Cadran d'Air; Menoture; Chapibou; Capibou; Palmes Trithons; Dofus des Glaces; Dofus Ocre; Dofus Émeraude; Dofus Abyssal; Dofus Pourpre; Dofus Ivoire; Muldo Ebène</t>
        </is>
      </c>
    </row>
    <row r="7714">
      <c r="A7714" t="inlineStr">
        <is>
          <t>feu taper</t>
        </is>
      </c>
      <c r="B7714">
        <f>HYPERLINK("https://www.dofusbook.net/fr/equipement/3217223-feu-taper/objets", "link")</f>
        <v/>
      </c>
      <c r="C7714" t="n">
        <v>0</v>
      </c>
      <c r="D7714" t="inlineStr">
        <is>
          <t>Arc corrompu; Amulette Séculaire; Anneauræus; Anneauræus; Bouclier du Stalak; Ceinture Séculaire; Masque Ardent; Cape Ardente; Chaussures Ardentes; Dofus des Glaces; Dofus Ivoire; Dolmanax; Dofus Ocre; Dofus Pourpre; Dofus Abyssal; Muldo Orchidée</t>
        </is>
      </c>
    </row>
    <row r="7715">
      <c r="A7715" t="inlineStr">
        <is>
          <t>eau dps</t>
        </is>
      </c>
      <c r="B7715">
        <f>HYPERLINK("https://www.dofusbook.net/fr/equipement/3217201-eau-dps/objets", "link")</f>
        <v/>
      </c>
      <c r="C7715" t="n">
        <v>0</v>
      </c>
      <c r="D7715" t="inlineStr">
        <is>
          <t>Sceptre du Roi Joueur; Amulette de l'Œil Attentif; Bracelet des Fonds marins; Alliance Gloursonne; Quatre-feuilles; Pagne du Rykaon; Kidibonnet; Cape de la Dame du Hasard; Bottes de la Dame du Hasard; Dofus Ocre; Dofus Pourpre; Dofus Abyssal; Dofus Turquoise; Dofus Ivoire; Chanceux majeur; Muldo Ebène et Indigo</t>
        </is>
      </c>
    </row>
    <row r="7716">
      <c r="A7716" t="inlineStr">
        <is>
          <t>full feu</t>
        </is>
      </c>
      <c r="B7716">
        <f>HYPERLINK("https://www.dofusbook.net/fr/equipement/3217181-full-feu/objets", "link")</f>
        <v/>
      </c>
      <c r="C7716" t="n">
        <v>1</v>
      </c>
      <c r="D7716" t="inlineStr">
        <is>
          <t>Arc corrompu; Pendentif affamé; Anneauræus; Anneauræus; Bouclier du Stalak; Ceinture Séculaire; Coiffe Séculaire; Cape de Diondin; Bottes Innommables; Dofus Pourpre; Dofus Ivoire; Dofus Ocre; Dolmanax; Dofus Abyssal; Érudit majeur; Muldo Orchidée</t>
        </is>
      </c>
    </row>
    <row r="7717">
      <c r="A7717" t="inlineStr">
        <is>
          <t>thanos</t>
        </is>
      </c>
      <c r="B7717">
        <f>HYPERLINK("https://www.dofusbook.net/fr/equipement/3217156-thanos/objets", "link")</f>
        <v/>
      </c>
      <c r="C7717" t="n">
        <v>0</v>
      </c>
      <c r="D7717" t="inlineStr">
        <is>
          <t>Le Thanos; Amulette d'Ilyzaelle; Anneauræus; Baguistik; Bouclier d'Ilyzaelle; Ceinture de Vortex; Masque Ardent; Cape Ardente; Chaussures Ardentes; Dofus Ocre; Dofus Émeraude; Dofus Abyssal; Dolmanax; Dofus Ivoire; Paralyseur majeur; Muldo Ebène et Orchidée</t>
        </is>
      </c>
    </row>
    <row r="7718">
      <c r="A7718" t="inlineStr">
        <is>
          <t>soin ret</t>
        </is>
      </c>
      <c r="B7718">
        <f>HYPERLINK("https://www.dofusbook.net/fr/equipement/3206072-soin-ret/objets", "link")</f>
        <v/>
      </c>
      <c r="C7718" t="n">
        <v>0</v>
      </c>
      <c r="D7718" t="inlineStr">
        <is>
          <t>Baguette de Malléfisk; Amulette d'Ilyzaelle; Anneauræus; Bague Gloursonne; Bouclier d'Ilyzaelle; Menoture; Masque Ardent; Cape Ardente; Chaussures Ardentes; Dofus Émeraude; Dofus Ivoire; Dolmanax; Dofus Abyssal; Docteur majeur; Paralyseur majeur; Muldo Orchidée</t>
        </is>
      </c>
    </row>
    <row r="7719">
      <c r="A7719" t="inlineStr">
        <is>
          <t>air thanos</t>
        </is>
      </c>
      <c r="B7719">
        <f>HYPERLINK("https://www.dofusbook.net/fr/equipement/3205969-air-thanos/objets", "link")</f>
        <v/>
      </c>
      <c r="C7719" t="n">
        <v>1</v>
      </c>
      <c r="D7719" t="inlineStr">
        <is>
          <t>Le Thanos; Pendentif mignon de Koutoulou; Alliance Gloursonne; Anneau Rifique; Bouclier d'Ilyzaelle; Menoture; Casque d'Ilyzaelle; Voile d'encre; Sabots de Vortex; Dofus Ocre; Dofus Émeraude; Dofus Abyssal; Dolmanax; Dofus Ivoire; Docteur majeur; Muldo Ebène</t>
        </is>
      </c>
    </row>
    <row r="7720">
      <c r="A7720" t="inlineStr">
        <is>
          <t>cancer fuite</t>
        </is>
      </c>
      <c r="B7720">
        <f>HYPERLINK("https://www.dofusbook.net/fr/equipement/3181034-cancer-fuite/objets", "link")</f>
        <v/>
      </c>
      <c r="C7720" t="n">
        <v>0</v>
      </c>
      <c r="D7720" t="inlineStr">
        <is>
          <t>Dagoulinantes; Amulette de l'Indicible; Alliance Gloursonne; Alliance de Guten Tak; Sept ans de malheur; Menoture; Masque de l'Esprit Salvateur; Chevelure de Tal Kasha; Bottes de l'Esprit Salvateur; Dofus Ivoire; Dofus Ocre; Dofus Abyssal; Étourdisseur majeur; Déserteur majeur; Temporiseur majeur; Muldo Indigo et Orchidée</t>
        </is>
      </c>
    </row>
    <row r="7721">
      <c r="A7721" t="inlineStr">
        <is>
          <t>feu air</t>
        </is>
      </c>
      <c r="B7721">
        <f>HYPERLINK("https://www.dofusbook.net/fr/equipement/2991112-feu-air/objets", "link")</f>
        <v/>
      </c>
      <c r="C7721" t="n">
        <v>0</v>
      </c>
      <c r="D7721" t="inlineStr">
        <is>
          <t>Arc corrompu; Pendentif mignon de Koutoulou; Anneau Rifique; Alliance Gloursonne; Cadran de Terre; Ceinture de Vortex; Casque Cyclopéen; Voile d'encre; Sabots de Vortex; Dofus des Glaces; Dofus Ivoire; Dolmanax; Dofus Ocre; Dofus Pourpre; Dofus Abyssal; Muldo Ebène et Pourpre</t>
        </is>
      </c>
    </row>
    <row r="7722">
      <c r="A7722" t="inlineStr">
        <is>
          <t>feu dopou</t>
        </is>
      </c>
      <c r="B7722">
        <f>HYPERLINK("https://www.dofusbook.net/fr/equipement/3180961-feu-dopou/objets", "link")</f>
        <v/>
      </c>
      <c r="C7722" t="n">
        <v>0</v>
      </c>
      <c r="D7722" t="inlineStr">
        <is>
          <t>Massier; Torquistik; Anneau Rifique; Baguistik; Cadran de Terre; Ceintrigue; Casque Cyclopéen; Voile d'encre; Bottistik; Dofus Ocre; Dofus des Glaces; Dofus Abyssal; Dofus Pourpre; Dofus Ivoire; Bousculeur majeur; Muldo Indigo et Pourpre</t>
        </is>
      </c>
    </row>
    <row r="7723">
      <c r="A7723" t="inlineStr">
        <is>
          <t>eau cc</t>
        </is>
      </c>
      <c r="B7723">
        <f>HYPERLINK("https://www.dofusbook.net/fr/equipement/3173414-eau-cc/objets", "link")</f>
        <v/>
      </c>
      <c r="C7723" t="n">
        <v>1</v>
      </c>
      <c r="D7723" t="inlineStr">
        <is>
          <t>Rapière aux Glyphes; Amulette de l'Œil Attentif; Alliance Gloursonne; Bracelet des Fonds marins; Cadran d'Eau; Pagne du Rykaon; Kidibonnet; Cape de la Dame du Hasard; Bottes de la Dame du Hasard; Dofus Abyssal; Dofus Turquoise; Dofus Ivoire; Dofus Ocre; Dofus Pourpre; Chanceux majeur; Muldo Ebène et Indigo</t>
        </is>
      </c>
    </row>
    <row r="7724">
      <c r="A7724" t="inlineStr">
        <is>
          <t>multi</t>
        </is>
      </c>
      <c r="B7724">
        <f>HYPERLINK("https://www.dofusbook.net/fr/equipement/3173370-multi/objets", "link")</f>
        <v/>
      </c>
      <c r="C7724" t="n">
        <v>1</v>
      </c>
      <c r="D7724" t="inlineStr">
        <is>
          <t>Hache du Chalœil; Amulette Ementaire Deluxe; Bague Gloursonne; Alliance Gloursonne; Cadran de Feu; Ceinture de l'Esprit Salvateur; Le Dorado; Dofusteuse; Bottes de l'Esprit Salvateur; Dofus Émeraude; Dofus des Glaces; Dofus Pourpre; Dofus Abyssal; Dofus Ocre; Dofus Ivoire; Muldo Indigo et Pourpre</t>
        </is>
      </c>
    </row>
    <row r="7725">
      <c r="A7725" t="inlineStr">
        <is>
          <t>air180</t>
        </is>
      </c>
      <c r="B7725">
        <f>HYPERLINK("https://www.dofusbook.net/fr/equipement/3173332-air180/objets", "link")</f>
        <v/>
      </c>
      <c r="C7725" t="n">
        <v>0</v>
      </c>
      <c r="D7725" t="inlineStr">
        <is>
          <t>Karnak; Crolier; Bracelet Ventré; Alliance de Guten Tak; Cadran de Terre; Ceinture du Bretteur Céleste; Capuche Souveraine du Roissingue; Cape du Bretteur Céleste; Sandales Binosse; Dofus Abyssal; Dofus Pourpre; Dofus Ivoire; Dofus Ocre; Remueur; Cascadeur majeur; Kramkram</t>
        </is>
      </c>
    </row>
    <row r="7726">
      <c r="A7726" t="inlineStr">
        <is>
          <t>full ret 199</t>
        </is>
      </c>
      <c r="B7726">
        <f>HYPERLINK("https://www.dofusbook.net/fr/equipement/3173311-full-ret-199/objets", "link")</f>
        <v/>
      </c>
      <c r="C7726" t="n">
        <v>0</v>
      </c>
      <c r="D7726" t="inlineStr">
        <is>
          <t>Masse Ossiale; Frimamulette; Alliance de Guten Tak; Alliance Gloursonne; Sept ans de malheur; Ceinture du Comte Razof; Casque Dragoeuf; Cape Matelassée; Chaussons du Comte Razof; Dofus Ocre; Dofus Abyssal; Dofus Émeraude; Dofus Ivoire; Paralyseur majeur; Étourdisseur majeur; Muldo Indigo et Orchidée</t>
        </is>
      </c>
    </row>
    <row r="7727">
      <c r="A7727" t="inlineStr">
        <is>
          <t>air 199</t>
        </is>
      </c>
      <c r="B7727">
        <f>HYPERLINK("https://www.dofusbook.net/fr/equipement/3171567-air-199/objets", "link")</f>
        <v/>
      </c>
      <c r="C7727" t="n">
        <v>0</v>
      </c>
      <c r="D7727" t="inlineStr">
        <is>
          <t>Karnak; Amulette Nécrotique; Alliance Gloursonne; Anneau d'Allister; Sept ans de malheur; Ceinture Rasboulaire du Rasboul; Couronne d'Allister; Cape Matelassée; Pantoufles Émar; Dofus Abyssal; Dofus Émeraude; Dofus Ivoire; Dofus des Glaces; Étourdisseur majeur; Cascadeur majeur; Kramkram</t>
        </is>
      </c>
    </row>
    <row r="7728">
      <c r="A7728" t="inlineStr">
        <is>
          <t>eauret 199</t>
        </is>
      </c>
      <c r="B7728">
        <f>HYPERLINK("https://www.dofusbook.net/fr/equipement/2023629-eauret-199/objets", "link")</f>
        <v/>
      </c>
      <c r="C7728" t="n">
        <v>0</v>
      </c>
      <c r="D7728" t="inlineStr">
        <is>
          <t>Rapière aux Glyphes; Amulette de Danathor; Pikano; Alliance Gloursonne; Sept ans de malheur; Ceinture de Danathor; Casque Dragoeuf; Cape Matelassée; Bottes d'Oshimo; Dofus Ocre; Dofus Abyssal; Dofus Émeraude; Dofus Ivoire; Paralyseur majeur; Étourdisseur majeur; Muldo Ebène et Indigo</t>
        </is>
      </c>
    </row>
    <row r="7729">
      <c r="A7729" t="inlineStr">
        <is>
          <t>multi nocc</t>
        </is>
      </c>
      <c r="B7729">
        <f>HYPERLINK("https://www.dofusbook.net/fr/equipement/3168107-multi-nocc/objets", "link")</f>
        <v/>
      </c>
      <c r="C7729" t="n">
        <v>0</v>
      </c>
      <c r="D7729" t="inlineStr">
        <is>
          <t>Epée Gloursonne; Amulette Ementaire Deluxe; Bague Gloursonne; Alliance Gloursonne; Bouclier du Stalak; Ceinture de l'Esprit Salvateur; Masque de l'Esprit Salvateur; Voile d'encre; Bottes de l'Esprit Salvateur; Dofus Vulbis; Dofus des Glaces; Dofus Pourpre; Dofus Abyssal; Dofus Ocre; Dofus Ivoire; Kramkram</t>
        </is>
      </c>
    </row>
    <row r="7730">
      <c r="A7730" t="inlineStr">
        <is>
          <t>multi fuite ret</t>
        </is>
      </c>
      <c r="B7730">
        <f>HYPERLINK("https://www.dofusbook.net/fr/equipement/3168049-multi-fuite-ret/objets", "link")</f>
        <v/>
      </c>
      <c r="C7730" t="n">
        <v>0</v>
      </c>
      <c r="D7730" t="inlineStr">
        <is>
          <t>Lance Horselé; Amulette de l'Indicible; Alliance Gloursonne; Anneau Crustique; Sept ans de malheur; Ceinture de l'Esprit Salvateur; Masque de l'Esprit Salvateur; Cape Matelassée; Pataugastrique; Dofus Abyssal; Dofus Émeraude; Dofus Ivoire; Dofus des Glaces; Paralyseur majeur; Étourdisseur majeur; Muldo Ebène et Indigo</t>
        </is>
      </c>
    </row>
    <row r="7731">
      <c r="A7731" t="inlineStr">
        <is>
          <t>air tank</t>
        </is>
      </c>
      <c r="B7731">
        <f>HYPERLINK("https://www.dofusbook.net/fr/equipement/3159654-air-tank/objets", "link")</f>
        <v/>
      </c>
      <c r="C7731" t="n">
        <v>0</v>
      </c>
      <c r="D7731" t="inlineStr">
        <is>
          <t>Lance Horselé; Collier du Valet Veinard; Alliance Gloursonne; Gant du Valet Veinard; Bouclier d'Anerice; Menoture; Masque d'Anerice; Cape du Valet Veinard; Palmes Trithons; Dolmanax; Dofus des Glaces; Dofus Émeraude; Dofus Abyssal; Dofus Pourpre; Dofus Ivoire; Muldo Ebène</t>
        </is>
      </c>
    </row>
    <row r="7732">
      <c r="A7732" t="inlineStr">
        <is>
          <t>terre tank</t>
        </is>
      </c>
      <c r="B7732">
        <f>HYPERLINK("https://www.dofusbook.net/fr/equipement/3159641-terre-tank/objets", "link")</f>
        <v/>
      </c>
      <c r="C7732" t="n">
        <v>2</v>
      </c>
      <c r="D7732" t="inlineStr">
        <is>
          <t>Lav'Hache; Collier de Tourthon; Bague Trithon; Anneau Chevelu; Bouclier d'Ilyzaelle; Ceintouse; Masque de Koutoulou; Cape au Logis; Tentassons; Dofus Abyssal; Dofus Pourpre; Dofus Ivoire; Dofus Ocre; Dofus Émeraude; Enragé majeur; Kramkram</t>
        </is>
      </c>
    </row>
    <row r="7733">
      <c r="A7733" t="inlineStr">
        <is>
          <t>air ret</t>
        </is>
      </c>
      <c r="B7733">
        <f>HYPERLINK("https://www.dofusbook.net/fr/equipement/1563294-air-ret/objets", "link")</f>
        <v/>
      </c>
      <c r="C7733" t="n">
        <v>0</v>
      </c>
      <c r="D7733" t="inlineStr">
        <is>
          <t>Lance Horselé; Collier du Valet Veinard; Alliance Gloursonne; Gant du Valet Veinard; Sept ans de malheur; Ceintouse; Chapoulpe; Cape du Valet Veinard; Tentassons; Dofus Abyssal; Dofus des Glaces; Dofus Ivoire; Dofus Ocre; Dofus Émeraude; Paralyseur majeur; Muldo Ebène</t>
        </is>
      </c>
    </row>
    <row r="7734">
      <c r="A7734" t="inlineStr">
        <is>
          <t>air fuite</t>
        </is>
      </c>
      <c r="B7734">
        <f>HYPERLINK("https://www.dofusbook.net/fr/equipement/3159601-air-fuite/objets", "link")</f>
        <v/>
      </c>
      <c r="C7734" t="n">
        <v>0</v>
      </c>
      <c r="D7734" t="inlineStr">
        <is>
          <t>Lance Horselé; Collier du Valet Veinard; Alliance Gloursonne; Gant du Valet Veinard; Bouclier du Stalak; Ceinture de l'Esprit Salvateur; Masque de l'Esprit Salvateur; Cape du Valet Veinard; Bottes de l'Esprit Salvateur; Dofus Ocre; Dofus Abyssal; Dofus Pourpre; Dofus Ivoire; Vagabond majeur; Paralyseur majeur; Muldo Ebène</t>
        </is>
      </c>
    </row>
    <row r="7735">
      <c r="A7735" t="inlineStr">
        <is>
          <t>eau fuite</t>
        </is>
      </c>
      <c r="B7735">
        <f>HYPERLINK("https://www.dofusbook.net/fr/equipement/3159498-eau-fuite/objets", "link")</f>
        <v/>
      </c>
      <c r="C7735" t="n">
        <v>0</v>
      </c>
      <c r="D7735" t="inlineStr">
        <is>
          <t>Sceptre du Roi Joueur; Amulette de l'Œil Attentif; Alliance de Guten Tak; Alliance Gloursonne; Bouclier du Stalak; Ceinture de l'Esprit Salvateur; Capuche de l'Œil Attentif; Cape de l'Œil Attentif; Bottes de l'Esprit Salvateur; Dofus Abyssal; Dofus Pourpre; Dofus Ivoire; Dofus Ocre; Vagabond majeur; Paralyseur majeur; Muldo Ebène et Indigo</t>
        </is>
      </c>
    </row>
    <row r="7736">
      <c r="A7736" t="inlineStr">
        <is>
          <t>multi</t>
        </is>
      </c>
      <c r="B7736">
        <f>HYPERLINK("https://www.dofusbook.net/fr/equipement/3159479-multi/objets", "link")</f>
        <v/>
      </c>
      <c r="C7736" t="n">
        <v>1</v>
      </c>
      <c r="D7736" t="inlineStr">
        <is>
          <t>Dagues Érhy; Amulette de l'Indicible; Alliance Brûlâme; Alliance Gloursonne; Bouclier du Stalak; Ceinture de l'Esprit Salvateur; Masque de l'Esprit Salvateur; Cape des Justiciers; Bottes de l'Indicible; Dolmanax; Dofus des Glaces; Dofus Pourpre; Dofus Abyssal; Dofus Ocre; Dofus Ivoire; Muldo Orchidée et Pourpre</t>
        </is>
      </c>
    </row>
    <row r="7737">
      <c r="A7737" t="inlineStr">
        <is>
          <t>terre eau feu</t>
        </is>
      </c>
      <c r="B7737">
        <f>HYPERLINK("https://www.dofusbook.net/fr/equipement/3159425-terre-eau-feu/objets", "link")</f>
        <v/>
      </c>
      <c r="C7737" t="n">
        <v>0</v>
      </c>
      <c r="D7737" t="inlineStr">
        <is>
          <t>Hache du Chalœil; Amulette Ementaire Deluxe; Alliance Brûlâme; Alliance du Lévitrof; Bouclier du Stalak; Ceinture de l'Esprit Salvateur; Masque de l'Esprit Salvateur; Cape des Justiciers; Bottes du Lévitrof; Dofus Abyssal; Dofus Ocre; Dofus Ivoire; Dolmanax; Dofus des Glaces; Dofus Pourpre; Muldo Indigo et Orchidée</t>
        </is>
      </c>
    </row>
    <row r="7738">
      <c r="A7738" t="inlineStr">
        <is>
          <t>feu 12 6</t>
        </is>
      </c>
      <c r="B7738">
        <f>HYPERLINK("https://www.dofusbook.net/fr/equipement/3147257-feu-12-6/objets", "link")</f>
        <v/>
      </c>
      <c r="C7738" t="n">
        <v>0</v>
      </c>
      <c r="D7738" t="inlineStr">
        <is>
          <t>Arc corrompu; Amulette Séculaire; Anneauræus; Goulano; Goulclier; Ceinture Séculaire; Coiffe Séculaire; Voile d'encre; Goulbottes; Dofus Émeraude; Dofus Ocre; Dolmanax; Dofus Abyssal; Dofus Pourpre; Dofus Ivoire; Muldo Orchidée et Pourpre</t>
        </is>
      </c>
    </row>
    <row r="7739">
      <c r="A7739" t="inlineStr">
        <is>
          <t>feu dopou 173</t>
        </is>
      </c>
      <c r="B7739">
        <f>HYPERLINK("https://www.dofusbook.net/fr/equipement/3123190-feu-dopou-173/objets", "link")</f>
        <v/>
      </c>
      <c r="C7739" t="n">
        <v>0</v>
      </c>
      <c r="D7739" t="inlineStr">
        <is>
          <t>Bâton du Harpirate; Col de Ush; Alliance d'Elya Wood; Alliance de Guten Tak; Bouclier Taverne; Ceinture du Royalmouth; Le Nahitse; Cape de l'Obsidiantre; Bottes de Ush; Dofus Émeraude; Dofus Ocre; Culbuteur majeur; Nomade; Remueur; Bousculeur majeur; Péki</t>
        </is>
      </c>
    </row>
    <row r="7740">
      <c r="A7740" t="inlineStr">
        <is>
          <t>feu cancer</t>
        </is>
      </c>
      <c r="B7740">
        <f>HYPERLINK("https://www.dofusbook.net/fr/equipement/3123166-feu-cancer/objets", "link")</f>
        <v/>
      </c>
      <c r="C7740" t="n">
        <v>0</v>
      </c>
      <c r="D7740" t="inlineStr">
        <is>
          <t>Arc corrompu; Pendentif mignon de Koutoulou; Anneau Rifique; Anneau de Nidas; Bouclier du Stalak; Menoture; Couronne de Nidas; Voile d'encre; Tongues de Nidas; Dofus des Glaces; Dofus Pourpre; Dofus Abyssal; Dolmanax; Dofus Ivoire; Vagabond majeur; Muldo Ebène et Orchidée</t>
        </is>
      </c>
    </row>
    <row r="7741">
      <c r="A7741" t="inlineStr">
        <is>
          <t>terre eau ret</t>
        </is>
      </c>
      <c r="B7741">
        <f>HYPERLINK("https://www.dofusbook.net/fr/equipement/3123158-terre-eau-ret/objets", "link")</f>
        <v/>
      </c>
      <c r="C7741" t="n">
        <v>0</v>
      </c>
      <c r="D7741" t="inlineStr">
        <is>
          <t>Baguette des égarés; Amulette Luminescente; Anneau Chevelu; Pikano; Cadran de Terre; Culotte de Bethel; Masque de Funespadon; Cape Luminescente; Chaussons de Macrab; Dofus Abyssal; Dofus des Glaces; Dofus Ivoire; Dofus Ocre; Dofus Pourpre; Entraveur majeur; Muldo Ebène</t>
        </is>
      </c>
    </row>
    <row r="7742">
      <c r="A7742" t="inlineStr">
        <is>
          <t>terreair</t>
        </is>
      </c>
      <c r="B7742">
        <f>HYPERLINK("https://www.dofusbook.net/fr/equipement/395751-terreair/objets", "link")</f>
        <v/>
      </c>
      <c r="C7742" t="n">
        <v>0</v>
      </c>
      <c r="D7742" t="inlineStr">
        <is>
          <t>Lance corrompue; Amulette du Cœur Vaillant; Anneau Chevelu; Anneau Crustique; Sept ans de malheur; Ceintouse; Chapoulpe; Cape du Cœur Vaillant; Tentassons; Dolmanax; Dofus Ocre; Dofus Émeraude; Dofus Abyssal; Dofus Pourpre; Dofus Ivoire; Muldo Ebène</t>
        </is>
      </c>
    </row>
    <row r="7743">
      <c r="A7743" t="inlineStr">
        <is>
          <t>multi cancer</t>
        </is>
      </c>
      <c r="B7743">
        <f>HYPERLINK("https://www.dofusbook.net/fr/equipement/3123102-multi-cancer/objets", "link")</f>
        <v/>
      </c>
      <c r="C7743" t="n">
        <v>0</v>
      </c>
      <c r="D7743" t="inlineStr"/>
    </row>
    <row r="7744">
      <c r="A7744" t="inlineStr">
        <is>
          <t>eau pvm</t>
        </is>
      </c>
      <c r="B7744">
        <f>HYPERLINK("https://www.dofusbook.net/fr/equipement/3120610-eau-pvm/objets", "link")</f>
        <v/>
      </c>
      <c r="C7744" t="n">
        <v>0</v>
      </c>
      <c r="D7744" t="inlineStr">
        <is>
          <t>Baguette Héroclite; Amulette Luminescente; Bracelet des Fonds marins; Pikano; Bouclier cubiste; Ceinture Luminescente; Masque des Fonds marins; Cape Luminescente; Sandales des Fonds marins; Dofus Pourpre; Dofus Ivoire; Dofus Ocre; Dofus Vulbis; Dofus Abyssal; Entraveur majeur; Dehluge</t>
        </is>
      </c>
    </row>
    <row r="7745">
      <c r="A7745" t="inlineStr">
        <is>
          <t>terre eau pvm</t>
        </is>
      </c>
      <c r="B7745">
        <f>HYPERLINK("https://www.dofusbook.net/fr/equipement/3120592-terre-eau-pvm/objets", "link")</f>
        <v/>
      </c>
      <c r="C7745" t="n">
        <v>0</v>
      </c>
      <c r="D7745" t="inlineStr">
        <is>
          <t>Épouvante; Amulette Luminescente; Bracelet du Piloztère; Pikano; Quatre-feuilles; Ceinture Luminescente; Casquipik; Cape Solution; Pantoufles du Piloztère; Dofus Pourpre; Dofus Abyssal; Dofus Turquoise; Dofus Ivoire; Dofus Ocre; Entraveur majeur; Muldo Prune et Emeraude</t>
        </is>
      </c>
    </row>
    <row r="7746">
      <c r="A7746" t="inlineStr">
        <is>
          <t>feu pvm</t>
        </is>
      </c>
      <c r="B7746">
        <f>HYPERLINK("https://www.dofusbook.net/fr/equipement/3120585-feu-pvm/objets", "link")</f>
        <v/>
      </c>
      <c r="C7746" t="n">
        <v>0</v>
      </c>
      <c r="D7746" t="inlineStr">
        <is>
          <t>Épée d'Otomaï; Amulette d'Otomaï; Anneauræus; Anneau de Padgref; Quatre-feuilles; Ceinture Séculaire; Coiffe Séculaire; Cape de la Dame du Hasard; Bottes d'Otomaï; Dofus Turquoise; Dofus Ivoire; Dofus Vulbis; Dofus Ocre; Dofus Pourpre; Dofus Abyssal; Brûlih</t>
        </is>
      </c>
    </row>
    <row r="7747">
      <c r="A7747" t="inlineStr">
        <is>
          <t>eau feu pvm</t>
        </is>
      </c>
      <c r="B7747">
        <f>HYPERLINK("https://www.dofusbook.net/fr/equipement/3120570-eau-feu-pvm/objets", "link")</f>
        <v/>
      </c>
      <c r="C7747" t="n">
        <v>0</v>
      </c>
      <c r="D7747" t="inlineStr">
        <is>
          <t>Epée Gloursonne; Collier de la Dame du Hasard; Bague Gloursonne; Alliance Gloursonne; Quatre-feuilles; Pagne du Rykaon; Casqnoar; Cape de la Dame du Hasard; Bottes de la Dame du Hasard; Dofus Turquoise; Dofus Abyssal; Dofus Ocre; Dofus Ivoire; Dofus Pourpre; Dofus des Glaces; Muldo Prune et Emeraude</t>
        </is>
      </c>
    </row>
    <row r="7748">
      <c r="A7748" t="inlineStr">
        <is>
          <t>eau feu</t>
        </is>
      </c>
      <c r="B7748">
        <f>HYPERLINK("https://www.dofusbook.net/fr/equipement/3113319-eau-feu/objets", "link")</f>
        <v/>
      </c>
      <c r="C7748" t="n">
        <v>1</v>
      </c>
      <c r="D7748" t="inlineStr">
        <is>
          <t>Arc Nécrotique; Amulette du Strigide; Anneau Toriété; Alliance Gloursonne; Quatre-feuilles; Ceinture du Strigide; Kidibonnet; Cape de la Dame du Hasard; Bottes de la Dame du Hasard; Dofus Ocre; Dofus Ivoire; Dolmanax; Dofus Turquoise; Dofus Pourpre; Dofus Abyssal; Kramkram</t>
        </is>
      </c>
    </row>
    <row r="7749">
      <c r="A7749" t="inlineStr">
        <is>
          <t>eau air 2</t>
        </is>
      </c>
      <c r="B7749">
        <f>HYPERLINK("https://www.dofusbook.net/fr/equipement/3113307-eau-air-2/objets", "link")</f>
        <v/>
      </c>
      <c r="C7749" t="n">
        <v>0</v>
      </c>
      <c r="D7749" t="inlineStr"/>
    </row>
    <row r="7750">
      <c r="A7750" t="inlineStr">
        <is>
          <t>eau tank</t>
        </is>
      </c>
      <c r="B7750">
        <f>HYPERLINK("https://www.dofusbook.net/fr/equipement/3111794-eau-tank/objets", "link")</f>
        <v/>
      </c>
      <c r="C7750" t="n">
        <v>1</v>
      </c>
      <c r="D7750" t="inlineStr">
        <is>
          <t>Dagoulinantes; Amulette de l'Œil Attentif; Pikano; Alliance Gloursonne; Bouclier d'Ilyzaelle; Sangle Ouare; Casque d'Ilyzaelle; Cape Solution; Pataugastrique; Dofus Abyssal; Dofus Émeraude; Dofus Ivoire; Dofus Pourpre; Chanceux majeur; Miraculé majeur; Kramkram</t>
        </is>
      </c>
    </row>
    <row r="7751">
      <c r="A7751" t="inlineStr">
        <is>
          <t>eau air</t>
        </is>
      </c>
      <c r="B7751">
        <f>HYPERLINK("https://www.dofusbook.net/fr/equipement/3111771-eau-air/objets", "link")</f>
        <v/>
      </c>
      <c r="C7751" t="n">
        <v>0</v>
      </c>
      <c r="D7751" t="inlineStr">
        <is>
          <t>Arc de Koutoulou; Amulette de l'Œil Attentif; Alliance Gloursonne; Bracelet des Fonds marins; Quatre-feuilles; Menoture; Capuche de l'Œil Putride; Chevelure de Tal Kasha; Sandales de Tal Kasha; Dofus Turquoise; Dofus Ivoire; Dofus Ocre; Dofus Abyssal; Temporiseur majeur; Déserteur majeur; Muldo Ebène</t>
        </is>
      </c>
    </row>
    <row r="7752">
      <c r="A7752" t="inlineStr">
        <is>
          <t>eau air docrit</t>
        </is>
      </c>
      <c r="B7752">
        <f>HYPERLINK("https://www.dofusbook.net/fr/equipement/3111743-eau-air-docrit/objets", "link")</f>
        <v/>
      </c>
      <c r="C7752" t="n">
        <v>0</v>
      </c>
      <c r="D7752" t="inlineStr">
        <is>
          <t>Arc de Koutoulou; Amulette Voldelor; Anneau de Padgref; Alliance Gloursonne; Cadran d'Air; Ceinture Voldelor; Némès de Tal Kasha; Chevelure de Tal Kasha; Sandales de Tal Kasha; Dofus Pourpre; Dofus Abyssal; Dofus Turquoise; Dofus Ivoire; Dofus des Glaces; Dofus Ocre; Muldo Ebène</t>
        </is>
      </c>
    </row>
    <row r="7753">
      <c r="A7753" t="inlineStr">
        <is>
          <t>full terre</t>
        </is>
      </c>
      <c r="B7753">
        <f>HYPERLINK("https://www.dofusbook.net/fr/equipement/3111705-full-terre/objets", "link")</f>
        <v/>
      </c>
      <c r="C7753" t="n">
        <v>0</v>
      </c>
      <c r="D7753" t="inlineStr">
        <is>
          <t>Arc du Chalœil; Amulette du Cœur Saignant; Anneau de Brouce; Anneau Chevelu; Quatre-feuilles; Ceinture de Brouce; Masque de Koutoulou; Cape du Cœur Saignant; Bottes de Brouce; Dofus Turquoise; Dofus Ivoire; Dofus Émeraude; Dolmanax; Dofus Pourpre; Dofus Abyssal; Muldo Indigo</t>
        </is>
      </c>
    </row>
    <row r="7754">
      <c r="A7754" t="inlineStr">
        <is>
          <t>hétype</t>
        </is>
      </c>
      <c r="B7754">
        <f>HYPERLINK("https://www.dofusbook.net/fr/equipement/3099826-hetype/objets", "link")</f>
        <v/>
      </c>
      <c r="C7754" t="n">
        <v>0</v>
      </c>
      <c r="D7754" t="inlineStr">
        <is>
          <t>Arc Hétype; Pendentif mignon de Koutoulou; Anneau Rifique; Anneau de Nidas; Cadran de Feu; Ceinture Séculaire; Casque Cyclopéen; Voile d'encre; Tongues de Nidas; Dofus Abyssal; Dolmanax; Dofus Ivoire; Dofus Ocre; Vagabond majeur; Savant majeur; Muldo Ebène et Amande</t>
        </is>
      </c>
    </row>
    <row r="7755">
      <c r="A7755" t="inlineStr">
        <is>
          <t>feu tank fuite</t>
        </is>
      </c>
      <c r="B7755">
        <f>HYPERLINK("https://www.dofusbook.net/fr/equipement/3078453-feu-tank-fuite/objets", "link")</f>
        <v/>
      </c>
      <c r="C7755" t="n">
        <v>0</v>
      </c>
      <c r="D7755" t="inlineStr">
        <is>
          <t>Arc corrompu; Pendentif affamé; Anneau de Nidas; Anneauræus; Bouclier du Stalak; Ceinture de l'Esprit Salvateur; Casque Dragoeuf; Cape de Diondin; Bottes de l'Esprit Salvateur; Dofus Ocre; Dofus Ivoire; Dofus Pourpre; Dofus Abyssal; Déserteur majeur; Érudit majeur; Muldo Orchidée</t>
        </is>
      </c>
    </row>
    <row r="7756">
      <c r="A7756" t="inlineStr">
        <is>
          <t>air</t>
        </is>
      </c>
      <c r="B7756">
        <f>HYPERLINK("https://www.dofusbook.net/fr/equipement/3099794-air/objets", "link")</f>
        <v/>
      </c>
      <c r="C7756" t="n">
        <v>2</v>
      </c>
      <c r="D7756" t="inlineStr">
        <is>
          <t>Manthache; Collier du Valet Veinard; Gant du Valet Veinard; Alliance Gloursonne; Bouclier d'Ilyzaelle; Menoture; Couronne d'Allister; Cape Indescriptible; Palmes Trithons; Dofus Pourpre; Dofus Ivoire; Dofus Ocre; Dofus Émeraude; Dofus Abyssal; Cascadeur majeur; Muldo Ebène</t>
        </is>
      </c>
    </row>
    <row r="7757">
      <c r="A7757" t="inlineStr">
        <is>
          <t>full terre</t>
        </is>
      </c>
      <c r="B7757">
        <f>HYPERLINK("https://www.dofusbook.net/fr/equipement/2164514-full-terre/objets", "link")</f>
        <v/>
      </c>
      <c r="C7757" t="n">
        <v>0</v>
      </c>
      <c r="D7757" t="inlineStr">
        <is>
          <t>Héqache; Amulette du Cœur Saignant; Anneau Crustique; Anneau Chevelu; Bouclier d'Ilyzaelle; Ceinture de la Reine des Voleurs; Coiffe de la Reine des Voleurs; Cape du Cœur Saignant; Bottes du Cœur Saignant; Dofus Pourpre; Dofus Abyssal; Dofus Turquoise; Dofus Ivoire; Dofus Émeraude; Dofus Ocre; Muldo Ebène et Orchidée</t>
        </is>
      </c>
    </row>
    <row r="7758">
      <c r="A7758" t="inlineStr">
        <is>
          <t>terre taper</t>
        </is>
      </c>
      <c r="B7758">
        <f>HYPERLINK("https://www.dofusbook.net/fr/equipement/3099775-terre-taper/objets", "link")</f>
        <v/>
      </c>
      <c r="C7758" t="n">
        <v>0</v>
      </c>
      <c r="D7758" t="inlineStr">
        <is>
          <t>Marteau R'ture; Amulette du Cœur Saignant; Anneau Chevelu; Anneau de Brouce; Bouclier du Captain Amakna; Ceinture de Brouce; Masque de Koutoulou; Cape du Cœur Saignant; Bottes de Brouce; Dofus Émeraude; Dofus Abyssal; Dofus Pourpre; Dofus Ivoire; Dofus Turquoise; Dofus des Glaces; Muldo Indigo</t>
        </is>
      </c>
    </row>
    <row r="7759">
      <c r="A7759" t="inlineStr">
        <is>
          <t>cancer 182</t>
        </is>
      </c>
      <c r="B7759">
        <f>HYPERLINK("https://www.dofusbook.net/fr/equipement/3097023-cancer-182/objets", "link")</f>
        <v/>
      </c>
      <c r="C7759" t="n">
        <v>0</v>
      </c>
      <c r="D7759" t="inlineStr">
        <is>
          <t>L'Épée Nice; Amulette du Korriandre; Anneau de XLII; Alliance de Guten Tak; Cadran de Feu; Ceintrémorse; Barbe de Zatoïshwan; Cape Peupret; Bottes de XLII; Dofus Ivoire; Dofus Ocre; Dofus Abyssal; Remueur; Temporiseur majeur; Étourdisseur majeur; Péki</t>
        </is>
      </c>
    </row>
    <row r="7760">
      <c r="A7760" t="inlineStr">
        <is>
          <t>feu eau 175</t>
        </is>
      </c>
      <c r="B7760">
        <f>HYPERLINK("https://www.dofusbook.net/fr/equipement/3096996-feu-eau-175/objets", "link")</f>
        <v/>
      </c>
      <c r="C7760" t="n">
        <v>1</v>
      </c>
      <c r="D7760" t="inlineStr">
        <is>
          <t>La Bêche à Mel; Crolier; Anneau des Prophètes; Alliance de Guten Tak; Cadran d'Air; Ceinture du Père Phorreur; Chapeau Stapokaliptik; Cape du Père Phorreur; Bottes de Grozilla; Dofus Ocre; Dolmanax; Dofus Pourpre; Déserteur majeur; Remueur; Vigoureux majeur; Muldo Pourpre et Amande</t>
        </is>
      </c>
    </row>
    <row r="7761">
      <c r="A7761" t="inlineStr">
        <is>
          <t>feu 185</t>
        </is>
      </c>
      <c r="B7761">
        <f>HYPERLINK("https://www.dofusbook.net/fr/equipement/3096982-feu-185/objets", "link")</f>
        <v/>
      </c>
      <c r="C7761" t="n">
        <v>0</v>
      </c>
      <c r="D7761" t="inlineStr">
        <is>
          <t>Rod Gerse; Talisman d'Elya Wood; Alliance d'Elya Wood; Alliance de Guten Tak; Cadran de Terre; Ceinture du Tengu Givrefoux; Chapeau de Dremoan; Cape de Dremoan; Bottes de Dremoan; Dofus Ocre; Dofus Ivoire; Dofus des Glaces; Dofus Pourpre; Dofus Abyssal; Vagabond majeur; Muldo Orchidée et Amande</t>
        </is>
      </c>
    </row>
    <row r="7762">
      <c r="A7762" t="inlineStr">
        <is>
          <t>terre</t>
        </is>
      </c>
      <c r="B7762">
        <f>HYPERLINK("https://www.dofusbook.net/fr/equipement/3096962-terre/objets", "link")</f>
        <v/>
      </c>
      <c r="C7762" t="n">
        <v>0</v>
      </c>
      <c r="D7762" t="inlineStr">
        <is>
          <t>L'Épée Nice; Amulette du Cœur Saignant; Anneau Chevelu; Anneau de Brouce; Quatre-feuilles; Ceinture de Brouce; Masque de Koutoulou; Cape du Cœur Saignant; Bottes de Brouce; Dofus Turquoise; Dofus Abyssal; Dokoko; Dofus Ivoire; Dofus Pourpre; Dofus Émeraude; Kramkram</t>
        </is>
      </c>
    </row>
    <row r="7763">
      <c r="A7763" t="inlineStr">
        <is>
          <t>feu esquives pa</t>
        </is>
      </c>
      <c r="B7763">
        <f>HYPERLINK("https://www.dofusbook.net/fr/equipement/3096946-feu-esquives-pa/objets", "link")</f>
        <v/>
      </c>
      <c r="C7763" t="n">
        <v>0</v>
      </c>
      <c r="D7763" t="inlineStr">
        <is>
          <t>Arc corrompu; Amulette Séculaire; Goulano; Anneau Rifique; Goulclier; Ceinture Séculaire; Casque Cyclopéen; Voile d'encre; Goulbottes; Muldo Indigo et Pourpre</t>
        </is>
      </c>
    </row>
    <row r="7764">
      <c r="A7764" t="inlineStr">
        <is>
          <t>air esquive pa</t>
        </is>
      </c>
      <c r="B7764">
        <f>HYPERLINK("https://www.dofusbook.net/fr/equipement/3096923-air-esquive-pa/objets", "link")</f>
        <v/>
      </c>
      <c r="C7764" t="n">
        <v>0</v>
      </c>
      <c r="D7764" t="inlineStr">
        <is>
          <t>Manthache; Amulette d'Ilyzaelle; Anneau des égarés; Alliance Gloursonne; Cadran de Terre; Menoture; Chapeau de Tournoyé; Cape de Crânonier; Palmes Trithons; Dofus Ocre; Dofus Abyssal; Dofus Pourpre; Dofus Ivoire; Déserteur majeur; Cascadeur majeur; Muldo Ebène</t>
        </is>
      </c>
    </row>
    <row r="7765">
      <c r="A7765" t="inlineStr">
        <is>
          <t>terre esquive pa</t>
        </is>
      </c>
      <c r="B7765">
        <f>HYPERLINK("https://www.dofusbook.net/fr/equipement/3096881-terre-esquive-pa/objets", "link")</f>
        <v/>
      </c>
      <c r="C7765" t="n">
        <v>1</v>
      </c>
      <c r="D7765" t="inlineStr">
        <is>
          <t>Hache Téroïde; Amulette du Strigide; Goulano; Bague Trithon; Goulclier; Ceinture du Strigide; Masque Trithon; Voile d'encre; Bottes Trithon; Dofus Ocre; Dofus Ivoire; Dofus Pourpre; Dofus des Glaces; Dofus Turquoise; Dofus Abyssal; Muldo Ebène et Pourpre</t>
        </is>
      </c>
    </row>
    <row r="7766">
      <c r="A7766" t="inlineStr">
        <is>
          <t>eau fuite</t>
        </is>
      </c>
      <c r="B7766">
        <f>HYPERLINK("https://www.dofusbook.net/fr/equipement/3092711-eau-fuite/objets", "link")</f>
        <v/>
      </c>
      <c r="C7766" t="n">
        <v>0</v>
      </c>
      <c r="D7766" t="inlineStr">
        <is>
          <t>Rapière aux Glyphes; Amulette de l'Œil Attentif; Bracelet des Fonds marins; Alliance Gloursonne; Bouclier du Stalak; Ceinture de l'Esprit Salvateur; Masque de l'Esprit Salvateur; Cape Solution; Bottes de la Dame du Hasard; Dofus Ocre; Dofus Abyssal; Dofus Pourpre; Dofus Ivoire; Déserteur majeur; Chanceux majeur; Muldo Ebène et Indigo</t>
        </is>
      </c>
    </row>
    <row r="7767">
      <c r="A7767" t="inlineStr">
        <is>
          <t>feu air</t>
        </is>
      </c>
      <c r="B7767">
        <f>HYPERLINK("https://www.dofusbook.net/fr/equipement/3092709-feu-air/objets", "link")</f>
        <v/>
      </c>
      <c r="C7767" t="n">
        <v>0</v>
      </c>
      <c r="D7767" t="inlineStr">
        <is>
          <t>Arc corrompu; Pendentif mignon de Koutoulou; Anneau Rifique; Alliance Brûlâme; Cadran de Terre; Menoture; Masque de l'Esprit Salvateur; Voile d'encre; Bottes de l'Esprit Salvateur; Dofus Ocre; Dofus Ivoire; Dofus des Glaces; Dofus Pourpre; Dofus Abyssal; Vagabond majeur; Muldo Orchidée</t>
        </is>
      </c>
    </row>
    <row r="7768">
      <c r="A7768" t="inlineStr">
        <is>
          <t>feu air</t>
        </is>
      </c>
      <c r="B7768">
        <f>HYPERLINK("https://www.dofusbook.net/fr/equipement/3092696-feu-air/objets", "link")</f>
        <v/>
      </c>
      <c r="C7768" t="n">
        <v>1</v>
      </c>
      <c r="D7768" t="inlineStr">
        <is>
          <t>Baguette Range; Pendentif mignon de Koutoulou; Anneau Rifique; Alliance Brûlâme; Bouclier du Stalak; Menoture; Casque Cyclopéen; Voile d'encre; Pompes Funèbres; Dofus des Glaces; Dolmanax; Dofus Abyssal; Dofus Pourpre; Dofus Ivoire; Robuste majeur; Muldo Ebène et Orchidée</t>
        </is>
      </c>
    </row>
    <row r="7769">
      <c r="A7769" t="inlineStr">
        <is>
          <t>feu eau air</t>
        </is>
      </c>
      <c r="B7769">
        <f>HYPERLINK("https://www.dofusbook.net/fr/equipement/3091122-feu-eau-air/objets", "link")</f>
        <v/>
      </c>
      <c r="C7769" t="n">
        <v>0</v>
      </c>
      <c r="D7769" t="inlineStr">
        <is>
          <t>Dagues Érhy; Amulette de l'Œil Putride; Lavanneau; Alliance Gloursonne; Bouclier du Stalak; Ceinture de l'Esprit Salvateur; Masque de l'Esprit Salvateur; Cape de l'Œil Putride; Bottes de l'Esprit Salvateur; Dofus Pourpre; Dofus Ivoire; Dofus des Glaces; Dofus Ocre; Dolmanax; Dofus Abyssal; Muldo Ebène et Orchidée</t>
        </is>
      </c>
    </row>
    <row r="7770">
      <c r="A7770" t="inlineStr">
        <is>
          <t>terre feu air</t>
        </is>
      </c>
      <c r="B7770">
        <f>HYPERLINK("https://www.dofusbook.net/fr/equipement/3091107-terre-feu-air/objets", "link")</f>
        <v/>
      </c>
      <c r="C7770" t="n">
        <v>0</v>
      </c>
      <c r="D7770" t="inlineStr">
        <is>
          <t>Dagues Érhy; Amulette du Cycloïde; Anneau du Cycloïde; Alliance Brûlâme; Bouclier du Stalak; Ceintouse; Masque Brûlâme; Voile d'encre; Pompes Funèbres; Dofus Ocre; Dolmanax; Dofus Abyssal; Dofus Pourpre; Dofus Ivoire; Vagabond majeur; Muldo Ebène et Pourpre</t>
        </is>
      </c>
    </row>
    <row r="7771">
      <c r="A7771" t="inlineStr">
        <is>
          <t>terre feu</t>
        </is>
      </c>
      <c r="B7771">
        <f>HYPERLINK("https://www.dofusbook.net/fr/equipement/3091077-terre-feu/objets", "link")</f>
        <v/>
      </c>
      <c r="C7771" t="n">
        <v>1</v>
      </c>
      <c r="D7771" t="inlineStr">
        <is>
          <t>Dagues Ricol; Phylactère Mic; Alliance Brûlâme; Bague Gloursonne; Bouclier du Stalak; Ceinture Hyolite; Masque Brûlâme; Voile d'encre; Pompes Funèbres; Dofus Ocre; Dofus Ivoire; Dolmanax; Dofus des Glaces; Dofus Pourpre; Dofus Abyssal; Muldo Orchidée et Pourpre</t>
        </is>
      </c>
    </row>
    <row r="7772">
      <c r="A7772" t="inlineStr">
        <is>
          <t>feu soutiens</t>
        </is>
      </c>
      <c r="B7772">
        <f>HYPERLINK("https://www.dofusbook.net/fr/equipement/3091040-feu-soutiens/objets", "link")</f>
        <v/>
      </c>
      <c r="C7772" t="n">
        <v>0</v>
      </c>
      <c r="D7772" t="inlineStr">
        <is>
          <t>Baguette de Malléfisk; Pendentif mignon de Koutoulou; Anneauræus; Anneau Rifique; Cadran de Feu; Ceinture de Vortex; Masque Ardent; Cape Ardente; Chaussures Ardentes; Dofus Ocre; Dofus Abyssal; Dolmanax; Dofus Ivoire; Savant majeur; Paralyseur majeur; Muldo Orchidée</t>
        </is>
      </c>
    </row>
    <row r="7773">
      <c r="A7773" t="inlineStr">
        <is>
          <t>eau 1v1</t>
        </is>
      </c>
      <c r="B7773">
        <f>HYPERLINK("https://www.dofusbook.net/fr/equipement/3089993-eau-1v1/objets", "link")</f>
        <v/>
      </c>
      <c r="C7773" t="n">
        <v>0</v>
      </c>
      <c r="D7773" t="inlineStr">
        <is>
          <t>Pelle Fik; Amulette de Shokkoth; Alliance de Guten Tak; Alliance Gloursonne; Bouclier d'Anerice; Poulpagne; Masque des Fonds marins; Cape d'Anerice; Bottes du Sinistrofu; Dofus Émeraude; Dofus Ivoire; Dofus Ocre; Dokoko; Dofus Abyssal; Chanceux majeur; Muldo Indigo</t>
        </is>
      </c>
    </row>
    <row r="7774">
      <c r="A7774" t="inlineStr">
        <is>
          <t>docrit 1v1</t>
        </is>
      </c>
      <c r="B7774">
        <f>HYPERLINK("https://www.dofusbook.net/fr/equipement/3089970-docrit-1v1/objets", "link")</f>
        <v/>
      </c>
      <c r="C7774" t="n">
        <v>0</v>
      </c>
      <c r="D7774" t="inlineStr">
        <is>
          <t>Lance Horselé; Amulette du Strigide; Anneau de Padgref; Bague Trithon; Bouclier d'Anerice; Ceinture du Strigide; Masque Trithon; Cape d'Anerice; Bottes Trithon; Dofus Pourpre; Dofus des Glaces; Dofus Turquoise; Dofus Abyssal; Dofus Ocre; Dofus Ivoire; Muldo Ebène et Pourpre</t>
        </is>
      </c>
    </row>
    <row r="7775">
      <c r="A7775" t="inlineStr">
        <is>
          <t>multi 1v1</t>
        </is>
      </c>
      <c r="B7775">
        <f>HYPERLINK("https://www.dofusbook.net/fr/equipement/3089965-multi-1v1/objets", "link")</f>
        <v/>
      </c>
      <c r="C7775" t="n">
        <v>0</v>
      </c>
      <c r="D7775" t="inlineStr">
        <is>
          <t>Epée Gloursonne; Amulette du Strigide; Alliance Gloursonne; Bague Gloursonne; Quatre-feuilles; Ceinture du Strigide; Boucle d'oreille de Kongoku; Cape de Kongoku; Bottes du Strigide; Dofus Ocre; Dofus Ivoire; Dofus Pourpre; Dofus des Glaces; Dofus Turquoise; Dofus Abyssal; Muldo Indigo et Emeraude</t>
        </is>
      </c>
    </row>
    <row r="7776">
      <c r="A7776" t="inlineStr">
        <is>
          <t>terre 1v1</t>
        </is>
      </c>
      <c r="B7776">
        <f>HYPERLINK("https://www.dofusbook.net/fr/equipement/3089954-terre-1v1/objets", "link")</f>
        <v/>
      </c>
      <c r="C7776" t="n">
        <v>0</v>
      </c>
      <c r="D7776" t="inlineStr">
        <is>
          <t>Arc du Chalœil; Amulette du Cœur Saignant; Anneau Chevelu; Pikano; Quatre-feuilles; Ceinture de Kongoku; Masque de Koutoulou; Cape du Cœur Saignant; Sabots Minables; Dofus Turquoise; Dokoko; Dofus Abyssal; Dofus Pourpre; Dofus Ivoire; Enragé majeur; Muldo Indigo et Pourpre</t>
        </is>
      </c>
    </row>
    <row r="7777">
      <c r="A7777" t="inlineStr">
        <is>
          <t>ret 1v1</t>
        </is>
      </c>
      <c r="B7777">
        <f>HYPERLINK("https://www.dofusbook.net/fr/equipement/3089942-ret-1v1/objets", "link")</f>
        <v/>
      </c>
      <c r="C7777" t="n">
        <v>0</v>
      </c>
      <c r="D7777" t="inlineStr">
        <is>
          <t>Sabres d'Atcham; Amulette de l'Œil Putride; Alliance Gloursonne; Anneau de Padgref; Quatre-feuilles; Menoture; Capuche de l'Œil Putride; Cape de l'Œil Putride; Sandales  d'Atcham; Dofus Turquoise; Dofus Ivoire; Dokoko; Dofus Pourpre; Dofus Abyssal; Entraveur majeur; Muldo Ebène</t>
        </is>
      </c>
    </row>
    <row r="7778">
      <c r="A7778" t="inlineStr">
        <is>
          <t>eau</t>
        </is>
      </c>
      <c r="B7778">
        <f>HYPERLINK("https://www.dofusbook.net/fr/equipement/3088774-eau/objets", "link")</f>
        <v/>
      </c>
      <c r="C7778" t="n">
        <v>0</v>
      </c>
      <c r="D7778" t="inlineStr">
        <is>
          <t>Baguette Héroclite; Amulette de Shokkoth; Alliance Gloursonne; Bracelet des Fonds marins; Bouclier du Stalak; Ceinture de la Reine des Voleurs; Kidibonnet; Cape Solution; Bottes de la Reine des Voleurs; Dofus des Glaces; Dofus Abyssal; Dofus Pourpre; Dofus Ivoire; Dévastateur Eau majeur; Chanceux majeur; Muldo Ebène et Indigo</t>
        </is>
      </c>
    </row>
    <row r="7779">
      <c r="A7779" t="inlineStr">
        <is>
          <t>feu</t>
        </is>
      </c>
      <c r="B7779">
        <f>HYPERLINK("https://www.dofusbook.net/fr/equipement/3088745-feu/objets", "link")</f>
        <v/>
      </c>
      <c r="C7779" t="n">
        <v>1</v>
      </c>
      <c r="D7779" t="inlineStr">
        <is>
          <t>Arc corrompu; Pendentif mignon de Koutoulou; Anneauræus; Anneau Rifique; Bouclier du Stalak; Ceinture de Gein; Coiffe Séculaire; Cape de Diondin; Bottes Innommables; Dofus Pourpre; Dofus Ivoire; Dofus des Glaces; Dofus Abyssal; Érudit majeur; Remueur; Muldo Orchidée et Pourpre</t>
        </is>
      </c>
    </row>
    <row r="7780">
      <c r="A7780" t="inlineStr">
        <is>
          <t>terre eau 2</t>
        </is>
      </c>
      <c r="B7780">
        <f>HYPERLINK("https://www.dofusbook.net/fr/equipement/3083531-terre-eau-2/objets", "link")</f>
        <v/>
      </c>
      <c r="C7780" t="n">
        <v>0</v>
      </c>
      <c r="D7780" t="inlineStr">
        <is>
          <t>Épouvante; Amulette du Strigide; Anneau Chevelu; Pikano; Bouclier du Stalak; Ceinture du Strigide; Masque de Funespadon; Cape Solution; Chaussons de Macrab; Dofus Pourpre; Dofus Ocre; Dofus des Glaces; Dofus Abyssal; Dofus Turquoise; Dofus Ivoire; Muldo Indigo</t>
        </is>
      </c>
    </row>
    <row r="7781">
      <c r="A7781" t="inlineStr">
        <is>
          <t>terre eau</t>
        </is>
      </c>
      <c r="B7781">
        <f>HYPERLINK("https://www.dofusbook.net/fr/equipement/3083512-terre-eau/objets", "link")</f>
        <v/>
      </c>
      <c r="C7781" t="n">
        <v>0</v>
      </c>
      <c r="D7781" t="inlineStr">
        <is>
          <t>Baguette des égarés; Amulette de Pol Ouatnos; Alliance Gloursonne; Anneau Chevelu; Cadran d'Air; Ceinture de la Reine des Voleurs; Masque de Funespadon; Cape Solution; Bottes de la Reine des Voleurs; Dofus Pourpre; Dofus Ivoire; Dofus Ocre; Dolmanax; Dofus Abyssal; Vigoureux majeur; Kramkram</t>
        </is>
      </c>
    </row>
    <row r="7782">
      <c r="A7782" t="inlineStr">
        <is>
          <t>dopou tank</t>
        </is>
      </c>
      <c r="B7782">
        <f>HYPERLINK("https://www.dofusbook.net/fr/equipement/3083496-dopou-tank/objets", "link")</f>
        <v/>
      </c>
      <c r="C7782" t="n">
        <v>0</v>
      </c>
      <c r="D7782" t="inlineStr">
        <is>
          <t>Héqache; Torquistik; Bague Instable; Bague Trithon; Bouclier précieux; Ceinture Gence; Masque d'Anerice; Cape d'Anerice; Bottes du Cœur Vaillant; Dofus Ocre; Dofus Abyssal; Dofus Émeraude; Dofus Ivoire; Bousculeur majeur; Culbuteur majeur; Muldo Ebène et Pourpre</t>
        </is>
      </c>
    </row>
    <row r="7783">
      <c r="A7783" t="inlineStr">
        <is>
          <t>terre dopou</t>
        </is>
      </c>
      <c r="B7783">
        <f>HYPERLINK("https://www.dofusbook.net/fr/equipement/3083483-terre-dopou/objets", "link")</f>
        <v/>
      </c>
      <c r="C7783" t="n">
        <v>0</v>
      </c>
      <c r="D7783" t="inlineStr">
        <is>
          <t>Héqache; Amulette du Cœur Vaillant; Anneau Chevelu; Bague Trithon; Bouclier Taverne; Ceinture Gence; Masque Trithon; Cape du Cœur Vaillant; Bottes Trithon; Dofus Émeraude; Dofus Pourpre; Dofus Abyssal; Dofus Turquoise; Dofus Ivoire; Bousculeur majeur; Muldo Ebène et Pourpre</t>
        </is>
      </c>
    </row>
    <row r="7784">
      <c r="A7784" t="inlineStr">
        <is>
          <t>eau air</t>
        </is>
      </c>
      <c r="B7784">
        <f>HYPERLINK("https://www.dofusbook.net/fr/equipement/3083256-eau-air/objets", "link")</f>
        <v/>
      </c>
      <c r="C7784" t="n">
        <v>0</v>
      </c>
      <c r="D7784" t="inlineStr">
        <is>
          <t>Dagoulinantes; Amulette Voldelor; Alliance Gloursonne; Alliance Brûlâme; Cadran de Terre; Menoture; Coiffe de la Reine des Voleurs; Cape Matelassée; Bottes de la Reine des Voleurs; Dofus Ivoire; Dofus Pourpre; Dofus Abyssal; Vigoureux majeur; Déserteur majeur; Étourdisseur majeur; Muldo Ebène</t>
        </is>
      </c>
    </row>
    <row r="7785">
      <c r="A7785" t="inlineStr">
        <is>
          <t>eau air docrit</t>
        </is>
      </c>
      <c r="B7785">
        <f>HYPERLINK("https://www.dofusbook.net/fr/equipement/3083246-eau-air-docrit/objets", "link")</f>
        <v/>
      </c>
      <c r="C7785" t="n">
        <v>0</v>
      </c>
      <c r="D7785" t="inlineStr">
        <is>
          <t>Arc de Koutoulou; Amulette du Strigide; Bague Trithon; Alliance Gloursonne; Quatre-feuilles; Menoture; Kidibonnet; Chevelure de Tal Kasha; Sandales de Tal Kasha; Dofus Turquoise; Dofus Abyssal; Dofus Pourpre; Dofus Ivoire; Déserteur majeur; Étourdisseur majeur; Muldo Ebène et Indigo</t>
        </is>
      </c>
    </row>
    <row r="7786">
      <c r="A7786" t="inlineStr">
        <is>
          <t>eau</t>
        </is>
      </c>
      <c r="B7786">
        <f>HYPERLINK("https://www.dofusbook.net/fr/equipement/3083192-eau/objets", "link")</f>
        <v/>
      </c>
      <c r="C7786" t="n">
        <v>0</v>
      </c>
      <c r="D7786" t="inlineStr">
        <is>
          <t>Sceptre du Roi Joueur; Amulette de l'Œil Attentif; Alliance Gloursonne; Alliance de Guten Tak; Cadran de Terre; Culotte de Bethel; Masque de Funespadon; Cape de l'Œil Attentif; Chaussons de Macrab; Dofus Pourpre; Dofus Ivoire; Dofus Ocre; Dofus Abyssal; Vagabond majeur; Paralyseur majeur; Muldo Ebène et Amande</t>
        </is>
      </c>
    </row>
    <row r="7787">
      <c r="A7787" t="inlineStr">
        <is>
          <t>feu</t>
        </is>
      </c>
      <c r="B7787">
        <f>HYPERLINK("https://www.dofusbook.net/fr/equipement/3083183-feu/objets", "link")</f>
        <v/>
      </c>
      <c r="C7787" t="n">
        <v>0</v>
      </c>
      <c r="D7787" t="inlineStr">
        <is>
          <t>Arc corrompu; Pendentif affamé; Anneau Rifique; Anneauræus; Cadran de Terre; Ceinture de Gein; Masque Ardent; Voile d'encre; Chaussures Ardentes; Dofus Ocre; Dofus Abyssal; Dofus Ivoire; Déserteur majeur; Érudit majeur; Remueur; Muldo Indigo et Amande</t>
        </is>
      </c>
    </row>
    <row r="7788">
      <c r="A7788" t="inlineStr">
        <is>
          <t>feu</t>
        </is>
      </c>
      <c r="B7788">
        <f>HYPERLINK("https://www.dofusbook.net/fr/equipement/3078433-feu/objets", "link")</f>
        <v/>
      </c>
      <c r="C7788" t="n">
        <v>0</v>
      </c>
      <c r="D7788" t="inlineStr">
        <is>
          <t>Arc corrompu; Pendentif mignon de Koutoulou; Anneau de Nidas; Anneau Rifique; Bouclier du Stalak; Ceinture Séculaire; Casque Cyclopéen; Voile d'encre; Tongues de Nidas; Dofus Ocre; Dofus Ivoire; Dofus des Glaces; Dofus Pourpre; Dofus Abyssal; Vagabond majeur; Muldo Orchidée et Pourpre</t>
        </is>
      </c>
    </row>
    <row r="7789">
      <c r="A7789" t="inlineStr">
        <is>
          <t>terre feu</t>
        </is>
      </c>
      <c r="B7789">
        <f>HYPERLINK("https://www.dofusbook.net/fr/equipement/3078416-terre-feu/objets", "link")</f>
        <v/>
      </c>
      <c r="C7789" t="n">
        <v>0</v>
      </c>
      <c r="D7789" t="inlineStr">
        <is>
          <t>Dagues Érhy; Amulette de Gein; Anneau Chevelu; Bague Gloursonne; Bouclier du Stalak; Ceinture de l'Esprit Salvateur; Chapeau de Gein; Cape de Diondin; Bottes de l'Esprit Salvateur; Dofus des Glaces; Dofus Pourpre; Dofus Abyssal; Dofus Ocre; Dofus Ivoire; Vagabond majeur; Muldo Orchidée</t>
        </is>
      </c>
    </row>
    <row r="7790">
      <c r="A7790" t="inlineStr">
        <is>
          <t>terre air</t>
        </is>
      </c>
      <c r="B7790">
        <f>HYPERLINK("https://www.dofusbook.net/fr/equipement/3078407-terre-air/objets", "link")</f>
        <v/>
      </c>
      <c r="C7790" t="n">
        <v>0</v>
      </c>
      <c r="D7790" t="inlineStr">
        <is>
          <t>Héqache; Amulette du Cœur Vaillant; Anneau Chevelu; Anneau Crustique; Cadran de Terre; Ceinture de l'Esprit Salvateur; Masque de l'Esprit Salvateur; Cape du Cœur Vaillant; Bottes de l'Esprit Salvateur; Dofus des Glaces; Dofus Ivoire; Dofus Ocre; Dofus Pourpre; Dofus Abyssal; Vagabond majeur; Muldo Ebène et Amande</t>
        </is>
      </c>
    </row>
    <row r="7791">
      <c r="A7791" t="inlineStr">
        <is>
          <t>terre</t>
        </is>
      </c>
      <c r="B7791">
        <f>HYPERLINK("https://www.dofusbook.net/fr/equipement/3078389-terre/objets", "link")</f>
        <v/>
      </c>
      <c r="C7791" t="n">
        <v>0</v>
      </c>
      <c r="D7791" t="inlineStr">
        <is>
          <t>Dagues Érhy; Collier de Tourthon; Anneau de Brouce; Anneau Chevelu; Bouclier du Stalak; Ceinture de l'Esprit Salvateur; Masque de Koutoulou; Cape au Logis; Bottes de l'Esprit Salvateur; Dofus Ocre; Dofus Abyssal; Dofus Pourpre; Dofus Ivoire; Déserteur majeur; Enragé majeur; Kramkram</t>
        </is>
      </c>
    </row>
    <row r="7792">
      <c r="A7792" t="inlineStr">
        <is>
          <t>air tank</t>
        </is>
      </c>
      <c r="B7792">
        <f>HYPERLINK("https://www.dofusbook.net/fr/equipement/3076020-air-tank/objets", "link")</f>
        <v/>
      </c>
      <c r="C7792" t="n">
        <v>0</v>
      </c>
      <c r="D7792" t="inlineStr">
        <is>
          <t>Manthache; Collier du Valet Veinard; Gant du Valet Veinard; Alliance Gloursonne; Sept ans de malheur; Menoture; Dorabysses; Cape d'Anerice; Palmes Trithons; Dofus Émeraude; Dofus Ivoire; Dofus Ocre; Dofus Abyssal; Cascadeur majeur; Étourdisseur majeur; Muldo Ebène</t>
        </is>
      </c>
    </row>
    <row r="7793">
      <c r="A7793" t="inlineStr">
        <is>
          <t>terre eau ret</t>
        </is>
      </c>
      <c r="B7793">
        <f>HYPERLINK("https://www.dofusbook.net/fr/equipement/3075994-terre-eau-ret/objets", "link")</f>
        <v/>
      </c>
      <c r="C7793" t="n">
        <v>0</v>
      </c>
      <c r="D7793" t="inlineStr">
        <is>
          <t>Marteau R'ture; Amulette Luminescente; Anneau Chevelu; Pikano; Cadran de Terre; Ceinture Luminescente; Masque de Funespadon; Cape Luminescente; Chaussons de Macrab; Dofus Ocre; Dofus Pourpre; Dofus Abyssal; Dofus des Glaces; Dofus Ivoire; Entraveur majeur; Muldo Indigo et Pourpre</t>
        </is>
      </c>
    </row>
    <row r="7794">
      <c r="A7794" t="inlineStr">
        <is>
          <t>eau 2</t>
        </is>
      </c>
      <c r="B7794">
        <f>HYPERLINK("https://www.dofusbook.net/fr/equipement/3074973-eau-2/objets", "link")</f>
        <v/>
      </c>
      <c r="C7794" t="n">
        <v>0</v>
      </c>
      <c r="D7794" t="inlineStr">
        <is>
          <t>Rapière aux Glyphes; Amulette de Shokkoth; Alliance Gloursonne; Bracelet des Fonds marins; Bouclier du Stalak; Poulpagne; Capuche de l'Œil Attentif; Cape de Mantaze; Sandales des Fonds marins; Dofus Pourpre; Dofus Ivoire; Dofus Ocre; Dofus Abyssal; Déserteur majeur; Chanceux majeur; Muldo Indigo</t>
        </is>
      </c>
    </row>
    <row r="7795">
      <c r="A7795" t="inlineStr">
        <is>
          <t>eau</t>
        </is>
      </c>
      <c r="B7795">
        <f>HYPERLINK("https://www.dofusbook.net/fr/equipement/2988338-eau/objets", "link")</f>
        <v/>
      </c>
      <c r="C7795" t="n">
        <v>0</v>
      </c>
      <c r="D7795" t="inlineStr">
        <is>
          <t>Arc Ontanporin; Amulette du Strigide; Alliance Gloursonne; Bracelet des Fonds marins; Quatre-feuilles; Poulpagne; Masque des Fonds marins; Chevelure de Tal Kasha; Sandales de Tal Kasha; Dofus Ocre; Dofus Pourpre; Dofus Abyssal; Dofus Turquoise; Dofus Ivoire; Vagabond majeur; Muldo Indigo</t>
        </is>
      </c>
    </row>
    <row r="7796">
      <c r="A7796" t="inlineStr">
        <is>
          <t>eau feu esquives pa</t>
        </is>
      </c>
      <c r="B7796">
        <f>HYPERLINK("https://www.dofusbook.net/fr/equipement/3074657-eau-feu-esquives-pa/objets", "link")</f>
        <v/>
      </c>
      <c r="C7796" t="n">
        <v>0</v>
      </c>
      <c r="D7796" t="inlineStr">
        <is>
          <t>Arc Nécrotique; Amulette Cryochrone; Anneau Cryochrone; Goulano; Goulclier; Pagne du Rykaon; Coiffe Cryochrone; Voile d'encre; Goulbottes; Dofus Pourpre; Dofus des Glaces; Dofus Turquoise; Dofus Abyssal; Dofus Ocre; Dofus Ivoire; Muldo Indigo et Orchidée</t>
        </is>
      </c>
    </row>
    <row r="7797">
      <c r="A7797" t="inlineStr">
        <is>
          <t>feu air dopou</t>
        </is>
      </c>
      <c r="B7797">
        <f>HYPERLINK("https://www.dofusbook.net/fr/equipement/3067482-feu-air-dopou/objets", "link")</f>
        <v/>
      </c>
      <c r="C7797" t="n">
        <v>0</v>
      </c>
      <c r="D7797" t="inlineStr">
        <is>
          <t>Baguette Range; Torquistik; Baguistik; Alliance Brûlâme; Cadran de Feu; Menoture; Chapeau des Malveilleurs; Voile d'encre; Bottes des Malveilleurs; Dolmanax; Dofus Ivoire; Dofus Ocre; Dofus Pourpre; Dofus Abyssal; Bousculeur majeur; Muldo Ebène</t>
        </is>
      </c>
    </row>
    <row r="7798">
      <c r="A7798" t="inlineStr">
        <is>
          <t>dopou vita</t>
        </is>
      </c>
      <c r="B7798">
        <f>HYPERLINK("https://www.dofusbook.net/fr/equipement/3067133-dopou-vita/objets", "link")</f>
        <v/>
      </c>
      <c r="C7798" t="n">
        <v>2</v>
      </c>
      <c r="D7798" t="inlineStr">
        <is>
          <t>Héqache; Amulette Luminescente; Alliance de Guten Tak; Bague Trithon; Bouclier précieux; Ceinture Gence; Masque de Koutoulou; Cape du Cœur Vaillant; Bottes Trithon; Dofus Émeraude; Dofus Abyssal; Dofus Ivoire; Bousculeur majeur; Miraculé majeur; Culbuteur majeur; Muldo Ebène et Pourpre</t>
        </is>
      </c>
    </row>
    <row r="7799">
      <c r="A7799" t="inlineStr">
        <is>
          <t>feu</t>
        </is>
      </c>
      <c r="B7799">
        <f>HYPERLINK("https://www.dofusbook.net/fr/equipement/2455555-feu/objets", "link")</f>
        <v/>
      </c>
      <c r="C7799" t="n">
        <v>0</v>
      </c>
      <c r="D7799" t="inlineStr">
        <is>
          <t>Massier; Amulette Séculaire; Anneauræus; Bague Trithon; Cadran d'Eau; Ceinture Séculaire; Heaume Oplate; Voile d'encre; Bottes Innommables; Dofus Turquoise; Dofus Ivoire; Dofus Émeraude; Dofus Abyssal; Miraculé majeur; Remueur; Muldo Orchidée et Pourpre</t>
        </is>
      </c>
    </row>
    <row r="7800">
      <c r="A7800" t="inlineStr">
        <is>
          <t>multi 191</t>
        </is>
      </c>
      <c r="B7800">
        <f>HYPERLINK("https://www.dofusbook.net/fr/equipement/3067051-multi-191/objets", "link")</f>
        <v/>
      </c>
      <c r="C7800" t="n">
        <v>0</v>
      </c>
      <c r="D7800" t="inlineStr">
        <is>
          <t>Hache du Guerrier Zoth; Racine Hueuse; Bague de Boréale; Alliance de Guten Tak; Cadran d'Air; Ceinture de Boréale; Coiffe de Boréale; Voile d'encre; Bottes de Boréale; Dofus des Glaces; Dofus Ivoire; Dofus Vulbis; Dofus Ocre; Dofus Pourpre; Dofus Abyssal; Kramkram</t>
        </is>
      </c>
    </row>
    <row r="7801">
      <c r="A7801" t="inlineStr">
        <is>
          <t>terre 180</t>
        </is>
      </c>
      <c r="B7801">
        <f>HYPERLINK("https://www.dofusbook.net/fr/equipement/3063650-terre-180/objets", "link")</f>
        <v/>
      </c>
      <c r="C7801" t="n">
        <v>1</v>
      </c>
      <c r="D7801" t="inlineStr">
        <is>
          <t>L'Épée Nice; La Meulette; Anneau de XLII; Veranneau; Bouclier Taverne; Ceinture de XLII; Bonnet Ko; Capikténia; Chaussquales; Dofus Émeraude; Dofus Ocre; Dofus Pourpre; Dofus Abyssal; Dofus des Glaces; Dofus Ivoire; Muldo Pourpre</t>
        </is>
      </c>
    </row>
    <row r="7802">
      <c r="A7802" t="inlineStr">
        <is>
          <t>feu 180</t>
        </is>
      </c>
      <c r="B7802">
        <f>HYPERLINK("https://www.dofusbook.net/fr/equipement/3063632-feu-180/objets", "link")</f>
        <v/>
      </c>
      <c r="C7802" t="n">
        <v>0</v>
      </c>
      <c r="D7802" t="inlineStr">
        <is>
          <t>Épée du Bretteur Céleste; Col de Ush; Anneau Bliteré; Alliance d'Elya Wood; Cadran d'Air; Ceinture du Bretteur Céleste; Chapeau de Dremoan; Cape du Bretteur Céleste; Bottes de Dremoan; Dofus Pourpre; Dofus Ivoire; Dolmanax; Dofus Ocre; Dofus Vulbis; Dofus Abyssal; Kramkram</t>
        </is>
      </c>
    </row>
    <row r="7803">
      <c r="A7803" t="inlineStr">
        <is>
          <t>air 180</t>
        </is>
      </c>
      <c r="B7803">
        <f>HYPERLINK("https://www.dofusbook.net/fr/equipement/3063593-air-180/objets", "link")</f>
        <v/>
      </c>
      <c r="C7803" t="n">
        <v>0</v>
      </c>
      <c r="D7803" t="inlineStr">
        <is>
          <t>Karnak; Porte-Malheur du Nowel Cauchemardesque; Crochet de Ben le Ripate; Alliance de Guten Tak; Cadran de Feu; Ceintrémorse; Casquoporth; Cape de Tengu Givrefoux; Sandales Binosse; Dofus Abyssal; Dofus Émeraude; Dofus Ivoire; Dofus Ocre; Cascadeur majeur; Carapace Eau majeur; Kramkram</t>
        </is>
      </c>
    </row>
    <row r="7804">
      <c r="A7804" t="inlineStr">
        <is>
          <t>terre 180</t>
        </is>
      </c>
      <c r="B7804">
        <f>HYPERLINK("https://www.dofusbook.net/fr/equipement/3063544-terre-180/objets", "link")</f>
        <v/>
      </c>
      <c r="C7804" t="n">
        <v>0</v>
      </c>
      <c r="D7804" t="inlineStr">
        <is>
          <t>Marteau de la Vigie Pirate; La Meulette; Anneau des Matougarous; Veranneau; Cadran d'Air; Ceinture des Matougarous; Casque de l'Obsidiantre; Capikténia; Chaussquales; Dofus Turquoise; Dofus Ivoire; Dofus Pourpre; Dofus Ocre; Dofus des Glaces; Dofus Abyssal; Muldo Orchidée et Pourpre</t>
        </is>
      </c>
    </row>
    <row r="7805">
      <c r="A7805" t="inlineStr">
        <is>
          <t>feu 180</t>
        </is>
      </c>
      <c r="B7805">
        <f>HYPERLINK("https://www.dofusbook.net/fr/equipement/3063522-feu-180/objets", "link")</f>
        <v/>
      </c>
      <c r="C7805" t="n">
        <v>0</v>
      </c>
      <c r="D7805" t="inlineStr">
        <is>
          <t>La Baguette des Limbes; Col de Ush; Alliance d'Elya Wood; Alliance de Guten Tak; Cadran de Feu; Ceinture de Soissanth; Chapeau de Dremoan; Cape de Tengu Givrefoux; Bottes de Dremoan; Dolmanax; Dofus Abyssal; Dofus Pourpre; Dofus Ivoire; Dofus Ocre; Érudit majeur; Kramkram</t>
        </is>
      </c>
    </row>
    <row r="7806">
      <c r="A7806" t="inlineStr">
        <is>
          <t>feu air 180</t>
        </is>
      </c>
      <c r="B7806">
        <f>HYPERLINK("https://www.dofusbook.net/fr/equipement/3063489-feu-air-180/objets", "link")</f>
        <v/>
      </c>
      <c r="C7806" t="n">
        <v>0</v>
      </c>
      <c r="D7806" t="inlineStr">
        <is>
          <t>Épée de Ush; Col de Ush; Alliance de Guten Tak; Alliance d'Elya Wood; Cadran d'Air; Ceinture du Bretteur Céleste; Le Nahitse; Cape du Bretteur Céleste; Bottes de Ush; Dofus Ocre; Dofus Ivoire; Dolmanax; Dofus des Glaces; Dofus Pourpre; Dofus Abyssal; Muldo Ebène et Indigo</t>
        </is>
      </c>
    </row>
    <row r="7807">
      <c r="A7807" t="inlineStr">
        <is>
          <t>feu dopou 176</t>
        </is>
      </c>
      <c r="B7807">
        <f>HYPERLINK("https://www.dofusbook.net/fr/equipement/3063466-feu-dopou-176/objets", "link")</f>
        <v/>
      </c>
      <c r="C7807" t="n">
        <v>0</v>
      </c>
      <c r="D7807" t="inlineStr">
        <is>
          <t>Rod Gerse; Col de Ush; Alliance d'Elya Wood; Alliance de Guten Tak; Bouclier Taverne; Ceinture du Royalmouth; Coiffe du Minotot; Cape du Bretteur Céleste; Bottes de Ush; Dofus Pourpre; Dofus Ocre; Dofus Émeraude; Culbuteur majeur; Érudit majeur; Bousculeur majeur; Muldo Ebène</t>
        </is>
      </c>
    </row>
    <row r="7808">
      <c r="A7808" t="inlineStr">
        <is>
          <t>terre feu ret</t>
        </is>
      </c>
      <c r="B7808">
        <f>HYPERLINK("https://www.dofusbook.net/fr/equipement/3053306-terre-feu-ret/objets", "link")</f>
        <v/>
      </c>
      <c r="C7808" t="n">
        <v>0</v>
      </c>
      <c r="D7808" t="inlineStr">
        <is>
          <t>Arc à Lamelles; Amulette du Strigide; Chevalière du Roi Joueur; Anneau Crustique; Cadran de Terre; Ceinture du Strigide; Couronne du Roi Joueur; Voile d'encre; Bottes du Roi Joueur; Dofus Ocre; Dofus Ivoire; Dofus Pourpre; Dofus des Glaces; Dofus Turquoise; Dofus Abyssal; Muldo Orchidée et Pourpre</t>
        </is>
      </c>
    </row>
    <row r="7809">
      <c r="A7809" t="inlineStr">
        <is>
          <t>terre feu air</t>
        </is>
      </c>
      <c r="B7809">
        <f>HYPERLINK("https://www.dofusbook.net/fr/equipement/3053273-terre-feu-air/objets", "link")</f>
        <v/>
      </c>
      <c r="C7809" t="n">
        <v>0</v>
      </c>
      <c r="D7809" t="inlineStr">
        <is>
          <t>Marteau de Katrepat; Amulette du Strigide; Anneau Chevelu; Alliance Brûlâme; Quatre-feuilles; Ceinture du Strigide; Masque Brûlâme; Voile d'encre; Pompes Funèbres; Dofus Turquoise; Dofus Abyssal; Dofus Ocre; Dofus Ivoire; Dofus Pourpre; Dofus des Glaces; Muldo Orchidée</t>
        </is>
      </c>
    </row>
    <row r="7810">
      <c r="A7810" t="inlineStr">
        <is>
          <t>terre dopou</t>
        </is>
      </c>
      <c r="B7810">
        <f>HYPERLINK("https://www.dofusbook.net/fr/equipement/3053220-terre-dopou/objets", "link")</f>
        <v/>
      </c>
      <c r="C7810" t="n">
        <v>1</v>
      </c>
      <c r="D7810" t="inlineStr">
        <is>
          <t>Héqache; Torquistik; Baguistik; Bague Trithon; Bouclier précieux; Ceinture Gence; Masque Trithon; Cape du Cœur Vaillant; Bottistik; Dofus Émeraude; Dofus Ivoire; Dofus Turquoise; Dofus Cawotte; Dofus Abyssal; Bousculeur majeur; Muldo Pourpre</t>
        </is>
      </c>
    </row>
    <row r="7811">
      <c r="A7811" t="inlineStr">
        <is>
          <t>terre distance 2</t>
        </is>
      </c>
      <c r="B7811">
        <f>HYPERLINK("https://www.dofusbook.net/fr/equipement/3052346-terre-distance-2/objets", "link")</f>
        <v/>
      </c>
      <c r="C7811" t="n">
        <v>2</v>
      </c>
      <c r="D7811" t="inlineStr">
        <is>
          <t>Arc du Chalœil; Collier de Tourthon; Anneau Crustique; Anneau Chevelu; Bouclier du Stalak; Ceinture de la Reine des Voleurs; Coiffe de la Reine des Voleurs; Cape au Logis; Sabots Minables; Dofus Abyssal; Dofus Pourpre; Dofus Ivoire; Dofus Ocre; Enragé majeur; Carapace Feu majeur; Kramkram</t>
        </is>
      </c>
    </row>
    <row r="7812">
      <c r="A7812" t="inlineStr">
        <is>
          <t>full ret</t>
        </is>
      </c>
      <c r="B7812">
        <f>HYPERLINK("https://www.dofusbook.net/fr/equipement/3052293-full-ret/objets", "link")</f>
        <v/>
      </c>
      <c r="C7812" t="n">
        <v>0</v>
      </c>
      <c r="D7812" t="inlineStr">
        <is>
          <t>Pelle de Nidas; Amibou; Anneau Crustique; Pikano; Bouclier d'Anerice; Menoture; Capuche de l'Œil Putride; Cape d'Anerice; Pataugastrique; Dofus Ivoire; Dofus Cawotte; Dofus Abyssal; Temporiseur majeur; Étourdisseur majeur; Miraculé majeur; Muldo Pourpre et Ivoire</t>
        </is>
      </c>
    </row>
    <row r="7813">
      <c r="A7813" t="inlineStr">
        <is>
          <t>feu dopou</t>
        </is>
      </c>
      <c r="B7813">
        <f>HYPERLINK("https://www.dofusbook.net/fr/equipement/3052234-feu-dopou/objets", "link")</f>
        <v/>
      </c>
      <c r="C7813" t="n">
        <v>0</v>
      </c>
      <c r="D7813" t="inlineStr">
        <is>
          <t>Dagues Ricol; Torquistik; Anneauræus; Baguistik; Bouclier Taverne; Ceintrigue; Heaume Oplate; Voile d'encre; Bottes Owesli; Dofus Émeraude; Dofus Abyssal; Dofus Pourpre; Dofus Ivoire; Dofus Ocre; Bousculeur majeur; Muldo Orchidée et Pourpre</t>
        </is>
      </c>
    </row>
    <row r="7814">
      <c r="A7814" t="inlineStr">
        <is>
          <t>eau air 2</t>
        </is>
      </c>
      <c r="B7814">
        <f>HYPERLINK("https://www.dofusbook.net/fr/equipement/3044722-eau-air-2/objets", "link")</f>
        <v/>
      </c>
      <c r="C7814" t="n">
        <v>0</v>
      </c>
      <c r="D7814" t="inlineStr">
        <is>
          <t>Arc de Koutoulou; Amulette d'Ilyzaelle; Alliance Gloursonne; Alliance Brûlâme; Cadran d'Air; Ceinture de la Reine des Voleurs; Casque d'Ilyzaelle; Cape Matelassée; Bottes de la Reine des Voleurs; Dofus Ocre; Dofus Ivoire; Dolmanax; Dofus des Glaces; Dofus Pourpre; Dofus Abyssal; Muldo Ebène et Indigo</t>
        </is>
      </c>
    </row>
    <row r="7815">
      <c r="A7815" t="inlineStr">
        <is>
          <t>eau</t>
        </is>
      </c>
      <c r="B7815">
        <f>HYPERLINK("https://www.dofusbook.net/fr/equipement/3044708-eau/objets", "link")</f>
        <v/>
      </c>
      <c r="C7815" t="n">
        <v>1</v>
      </c>
      <c r="D7815" t="inlineStr">
        <is>
          <t>Rapière aux Glyphes; Amulette d'Ilyzaelle; Bracelet des Fonds marins; Alliance Gloursonne; Bouclier d'Ilyzaelle; Ceinture de la Reine des Voleurs; Casque d'Ilyzaelle; Cape Solution; Bottes de la Reine des Voleurs; Dofus Émeraude; Dofus Abyssal; Dofus Pourpre; Dofus Ivoire; Dokoko; Dofus des Glaces; Muldo Ebène</t>
        </is>
      </c>
    </row>
    <row r="7816">
      <c r="A7816" t="inlineStr">
        <is>
          <t>fullfeu</t>
        </is>
      </c>
      <c r="B7816">
        <f>HYPERLINK("https://www.dofusbook.net/fr/equipement/1402583-fullfeu/objets", "link")</f>
        <v/>
      </c>
      <c r="C7816" t="n">
        <v>1</v>
      </c>
      <c r="D7816" t="inlineStr">
        <is>
          <t>Arc corrompu; Amulette Séculaire; Anneau de Padgref; Anneauræus; Quatre-feuilles; Ceinture Séculaire; Coiffe Séculaire; Cape de la Dame du Hasard; Bottes de la Dame du Hasard; Dofus Pourpre; Dofus Abyssal; Dofus Turquoise; Dofus Ivoire; Dolmanax; Dofus Ocre; Muldo Orchidée</t>
        </is>
      </c>
    </row>
    <row r="7817">
      <c r="A7817" t="inlineStr">
        <is>
          <t>terre cac 2</t>
        </is>
      </c>
      <c r="B7817">
        <f>HYPERLINK("https://www.dofusbook.net/fr/equipement/3029864-terre-cac-2/objets", "link")</f>
        <v/>
      </c>
      <c r="C7817" t="n">
        <v>2</v>
      </c>
      <c r="D7817" t="inlineStr">
        <is>
          <t>Dagues d'Ilyzaelle; Amulette du Cœur Saignant; Anneau de Brouce; Anneau Chevelu; Cadran d'Eau; Ceinture de Brouce; Boucle d'oreille de Kongoku; Cape du Cœur Saignant; Bottes de Brouce; Dofus Turquoise; Dofus Ivoire; Dofus Émeraude; Dofus Ocre; Dofus Pourpre; Dofus Abyssal; Muldo Ebène et Indigo</t>
        </is>
      </c>
    </row>
    <row r="7818">
      <c r="A7818" t="inlineStr">
        <is>
          <t>air cc</t>
        </is>
      </c>
      <c r="B7818">
        <f>HYPERLINK("https://www.dofusbook.net/fr/equipement/3029843-air-cc/objets", "link")</f>
        <v/>
      </c>
      <c r="C7818" t="n">
        <v>1</v>
      </c>
      <c r="D7818" t="inlineStr">
        <is>
          <t>Lance Horselé; Amibou; Anneau de Padgref; Alliance Gloursonne; Quatre-feuilles; Menoture; Chapibou; Chevelure de Tal Kasha; Sandales de Tal Kasha; Dofus Pourpre; Dofus Abyssal; Dofus Turquoise; Dofus Ivoire; Dofus Émeraude; Dofus Ocre; Muldo Ebène</t>
        </is>
      </c>
    </row>
    <row r="7819">
      <c r="A7819" t="inlineStr">
        <is>
          <t>terre distance</t>
        </is>
      </c>
      <c r="B7819">
        <f>HYPERLINK("https://www.dofusbook.net/fr/equipement/3029812-terre-distance/objets", "link")</f>
        <v/>
      </c>
      <c r="C7819" t="n">
        <v>1</v>
      </c>
      <c r="D7819" t="inlineStr">
        <is>
          <t>Arc du Chalœil; Amulette du Cœur Saignant; Anneau de Brouce; Anneau Chevelu; Cadran d'Air; Ceinture de Brouce; Masque de Koutoulou; Cape du Cœur Saignant; Bottes de Brouce; Dofus Turquoise; Dofus Ivoire; Dofus des Glaces; Dofus Émeraude; Dofus Pourpre; Dofus Abyssal; Muldo Indigo et Pourpre</t>
        </is>
      </c>
    </row>
    <row r="7820">
      <c r="A7820" t="inlineStr">
        <is>
          <t>air 180</t>
        </is>
      </c>
      <c r="B7820">
        <f>HYPERLINK("https://www.dofusbook.net/fr/equipement/3029705-air-180/objets", "link")</f>
        <v/>
      </c>
      <c r="C7820" t="n">
        <v>0</v>
      </c>
      <c r="D7820" t="inlineStr"/>
    </row>
    <row r="7821">
      <c r="A7821" t="inlineStr">
        <is>
          <t>feu 182</t>
        </is>
      </c>
      <c r="B7821">
        <f>HYPERLINK("https://www.dofusbook.net/fr/equipement/3029677-feu-182/objets", "link")</f>
        <v/>
      </c>
      <c r="C7821" t="n">
        <v>0</v>
      </c>
      <c r="D7821" t="inlineStr">
        <is>
          <t>Rod Gerse; Amulette du K.O.; Alliance d'Elya Wood; Alliance de Guten Tak; Cadran d'Air; Ceinture de Soissanth; Chapeau de Dremoan; Cape de Tengu Givrefoux; Bottes de Dremoan; Dofus Abyssal; Dofus Pourpre; Dofus Ivoire; Dofus Ocre; Nomade; Remueur; Kramkram</t>
        </is>
      </c>
    </row>
    <row r="7822">
      <c r="A7822" t="inlineStr">
        <is>
          <t>feu embuscade</t>
        </is>
      </c>
      <c r="B7822">
        <f>HYPERLINK("https://www.dofusbook.net/fr/equipement/3029650-feu-embuscade/objets", "link")</f>
        <v/>
      </c>
      <c r="C7822" t="n">
        <v>0</v>
      </c>
      <c r="D7822" t="inlineStr">
        <is>
          <t>Arc Honte; Pendentif mignon de Koutoulou; Goulano; Anneau Rifique; Goulclier; Ceinture de Gein; Casque Cyclopéen; Voile d'encre; Goulbottes; Dofus Ocre; Dofus Ivoire; Dolmanax; Dofus des Glaces; Dofus Pourpre; Dofus Abyssal; Muldo Indigo et Pourpre</t>
        </is>
      </c>
    </row>
    <row r="7823">
      <c r="A7823" t="inlineStr">
        <is>
          <t>terre</t>
        </is>
      </c>
      <c r="B7823">
        <f>HYPERLINK("https://www.dofusbook.net/fr/equipement/3029622-terre/objets", "link")</f>
        <v/>
      </c>
      <c r="C7823" t="n">
        <v>0</v>
      </c>
      <c r="D7823" t="inlineStr">
        <is>
          <t>Dagues Érhy; Collier de Tourthon; Pikano; Anneau Chevelu; Cadran de Feu; Ceinture de la Reine des Voleurs; Coiffe de la Reine des Voleurs; Cape du Cœur Saignant; Baleinabottes; Dofus Émeraude; Dofus Ivoire; Dofus Ocre; Dofus Abyssal; Carapace Neutre majeur; Enragé majeur; Muldo Indigo et Orchidée</t>
        </is>
      </c>
    </row>
    <row r="7824">
      <c r="A7824" t="inlineStr">
        <is>
          <t>terre distance</t>
        </is>
      </c>
      <c r="B7824">
        <f>HYPERLINK("https://www.dofusbook.net/fr/equipement/3029601-terre-distance/objets", "link")</f>
        <v/>
      </c>
      <c r="C7824" t="n">
        <v>0</v>
      </c>
      <c r="D7824" t="inlineStr">
        <is>
          <t>Arc du Chalœil; Amulette du Strigide; Bague Trithon; Anneau Chevelu; Quatre-feuilles; Ceinture du Strigide; Masque de Koutoulou; Cape au Logis; Sabots Minables; Dofus Émeraude; Dofus Abyssal; Dofus Pourpre; Dofus Ivoire; Dofus Turquoise; Miraculé majeur; Péki</t>
        </is>
      </c>
    </row>
    <row r="7825">
      <c r="A7825" t="inlineStr">
        <is>
          <t>feu tank</t>
        </is>
      </c>
      <c r="B7825">
        <f>HYPERLINK("https://www.dofusbook.net/fr/equipement/3018372-feu-tank/objets", "link")</f>
        <v/>
      </c>
      <c r="C7825" t="n">
        <v>4</v>
      </c>
      <c r="D7825" t="inlineStr">
        <is>
          <t>Arc corrompu; Pendentif mignon de Koutoulou; Anneauræus; Anneau Rifique; Bouclier du Stalak; Ceinture Séculaire; Casque Dragoeuf; Voile d'encre; Pataugastrique; Dofus Pourpre; Dofus Ivoire; Dolmanax; Dofus Abyssal; Remueur; Érudit majeur; Muldo Orchidée et Pourpre</t>
        </is>
      </c>
    </row>
    <row r="7826">
      <c r="A7826" t="inlineStr">
        <is>
          <t>feu air</t>
        </is>
      </c>
      <c r="B7826">
        <f>HYPERLINK("https://www.dofusbook.net/fr/equipement/3018363-feu-air/objets", "link")</f>
        <v/>
      </c>
      <c r="C7826" t="n">
        <v>0</v>
      </c>
      <c r="D7826" t="inlineStr">
        <is>
          <t>Baguette Range; Pendentif mignon de Koutoulou; Alliance Brûlâme; Anneau Rifique; Bouclier du Stalak; Menoture; Casque Cyclopéen; Voile d'encre; Pompes Funèbres; Dofus Pourpre; Dofus Abyssal; Dofus Ivoire; Dolmanax; Dofus des Glaces; Vagabond majeur; Muldo Ebène et Orchidée</t>
        </is>
      </c>
    </row>
    <row r="7827">
      <c r="A7827" t="inlineStr">
        <is>
          <t>air dps</t>
        </is>
      </c>
      <c r="B7827">
        <f>HYPERLINK("https://www.dofusbook.net/fr/equipement/3018355-air-dps/objets", "link")</f>
        <v/>
      </c>
      <c r="C7827" t="n">
        <v>0</v>
      </c>
      <c r="D7827" t="inlineStr">
        <is>
          <t>Lance Horselé; Amulette du Strigide; Alliance Gloursonne; Anneau de Padgref; Quatre-feuilles; Menoture; Coiffe de la Reine des Voleurs; Capibou; Bottes de la Reine des Voleurs; Dofus Turquoise; Dofus Ivoire; Dofus Ocre; Dofus Pourpre; Dofus Abyssal; Cascadeur majeur; Muldo Ebène</t>
        </is>
      </c>
    </row>
    <row r="7828">
      <c r="A7828" t="inlineStr">
        <is>
          <t>air</t>
        </is>
      </c>
      <c r="B7828">
        <f>HYPERLINK("https://www.dofusbook.net/fr/equipement/3011283-air/objets", "link")</f>
        <v/>
      </c>
      <c r="C7828" t="n">
        <v>0</v>
      </c>
      <c r="D7828" t="inlineStr">
        <is>
          <t>Lance Horselé; Collier du Valet Veinard; Gant du Valet Veinard; Alliance Gloursonne; Cadran de Terre; Ceinture de l'Esprit Salvateur; Masque de l'Esprit Salvateur; Cape du Valet Veinard; Bottes de l'Esprit Salvateur; Dofus Pourpre; Dofus Ivoire; Dofus Ocre; Dofus Émeraude; Dofus Abyssal; Paralyseur majeur; Muldo Ebène</t>
        </is>
      </c>
    </row>
    <row r="7829">
      <c r="A7829" t="inlineStr">
        <is>
          <t>terre feu</t>
        </is>
      </c>
      <c r="B7829">
        <f>HYPERLINK("https://www.dofusbook.net/fr/equipement/3018311-terre-feu/objets", "link")</f>
        <v/>
      </c>
      <c r="C7829" t="n">
        <v>0</v>
      </c>
      <c r="D7829" t="inlineStr">
        <is>
          <t>Bâthon; Torquistik; Anneau Chevelu; Baguistik; Bouclier du Stalak; Ceinture de Gein; Chapeau de Gein; Voile d'encre; Baleinabottes; Dofus Pourpre; Dofus Abyssal; Dofus des Glaces; Dofus Ivoire; Dolmanax; Dofus Ocre; Muldo Ebène et Pourpre</t>
        </is>
      </c>
    </row>
    <row r="7830">
      <c r="A7830" t="inlineStr">
        <is>
          <t>terre feu</t>
        </is>
      </c>
      <c r="B7830">
        <f>HYPERLINK("https://www.dofusbook.net/fr/equipement/3018302-terre-feu/objets", "link")</f>
        <v/>
      </c>
      <c r="C7830" t="n">
        <v>0</v>
      </c>
      <c r="D7830" t="inlineStr">
        <is>
          <t>Dagues Érhy; Amulette Volcanique; Anneau de Nidas; Anneau Chevelu; Cadran d'Air; Ceinture de l'Esprit Salvateur; Masque de l'Esprit Salvateur; Voile d'encre; Baleinabottes; Dofus Pourpre; Dofus Ivoire; Dofus Ocre; Dofus Abyssal; Déserteur majeur; Temporiseur majeur; Muldo Ebène et Orchidée</t>
        </is>
      </c>
    </row>
    <row r="7831">
      <c r="A7831" t="inlineStr">
        <is>
          <t>terre air</t>
        </is>
      </c>
      <c r="B7831">
        <f>HYPERLINK("https://www.dofusbook.net/fr/equipement/3018291-terre-air/objets", "link")</f>
        <v/>
      </c>
      <c r="C7831" t="n">
        <v>0</v>
      </c>
      <c r="D7831" t="inlineStr">
        <is>
          <t>Dagues Érhy; Collier de Tourthon; Anneau Chevelu; Anneau des égarés; Bouclier du Stalak; Ceinture de l'Esprit Salvateur; Masque de l'Esprit Salvateur; Voile d'encre; Baleinabottes; Dofus Abyssal; Dofus Pourpre; Dofus Ivoire; Dofus Ocre; Vigoureux majeur; Déserteur majeur; Muldo Ebène et Pourpre</t>
        </is>
      </c>
    </row>
    <row r="7832">
      <c r="A7832" t="inlineStr">
        <is>
          <t>feu air</t>
        </is>
      </c>
      <c r="B7832">
        <f>HYPERLINK("https://www.dofusbook.net/fr/equipement/3016372-feu-air/objets", "link")</f>
        <v/>
      </c>
      <c r="C7832" t="n">
        <v>0</v>
      </c>
      <c r="D7832" t="inlineStr">
        <is>
          <t>Canne Harr; Pendentif mignon de Koutoulou; Anneau Rifique; Anneau Tique; Bouclier du Stalak; Ceinture de l'Esprit Salvateur; Dorabysses; Cape de Diondin; Bottes de l'Esprit Salvateur; Dofus Ocre; Dofus Ivoire; Dolmanax; Dofus des Glaces; Dofus Pourpre; Dofus Abyssal; Muldo Orchidée et Pourpre</t>
        </is>
      </c>
    </row>
    <row r="7833">
      <c r="A7833" t="inlineStr">
        <is>
          <t>koutoulou</t>
        </is>
      </c>
      <c r="B7833">
        <f>HYPERLINK("https://www.dofusbook.net/fr/equipement/3016302-koutoulou/objets", "link")</f>
        <v/>
      </c>
      <c r="C7833" t="n">
        <v>0</v>
      </c>
      <c r="D7833" t="inlineStr">
        <is>
          <t>Arc de Koutoulou; Talisman Glouti; Alliance Gloursonne; Bracelet du Piloztère; Bouclier du Stalak; Ceinture de la Reine des Voleurs; Dorabysses; Cape Solution; Bottes de la Reine des Voleurs; Dolmanax; Dofus Abyssal; Dofus Pourpre; Dofus Ivoire; Dofus des Glaces; Dofus Ocre; Muldo Ebène</t>
        </is>
      </c>
    </row>
    <row r="7834">
      <c r="A7834" t="inlineStr">
        <is>
          <t>nécrotique</t>
        </is>
      </c>
      <c r="B7834">
        <f>HYPERLINK("https://www.dofusbook.net/fr/equipement/3016282-necrotique/objets", "link")</f>
        <v/>
      </c>
      <c r="C7834" t="n">
        <v>1</v>
      </c>
      <c r="D7834" t="inlineStr">
        <is>
          <t>Arc Nécrotique; Amulette du Strigide; Alliance Gloursonne; Bague Trithon; Quatre-feuilles; Ceintacé; Masque Trithon; Cape de la Dame du Hasard; Bottes de la Dame du Hasard; Dofus Ocre; Dofus Ivoire; Dofus Pourpre; Dofus des Glaces; Dofus Turquoise; Dofus Abyssal; Muldo Orchidée</t>
        </is>
      </c>
    </row>
    <row r="7835">
      <c r="A7835" t="inlineStr">
        <is>
          <t>neutre</t>
        </is>
      </c>
      <c r="B7835">
        <f>HYPERLINK("https://www.dofusbook.net/fr/equipement/3016234-neutre/objets", "link")</f>
        <v/>
      </c>
      <c r="C7835" t="n">
        <v>0</v>
      </c>
      <c r="D7835" t="inlineStr">
        <is>
          <t>Marteau R'ture; Amulette du Strigide; Anneau Chevelu; Anneau Crustique; Bouclier alvéolé; Ceinture Gence; Chapoulpe; Cape au Logis; Tentassons; Dofus Pourpre; Dofus Abyssal; Dofus Turquoise; Dofus Ivoire; Dofus Émeraude; Dofus Ocre; Kramkram</t>
        </is>
      </c>
    </row>
    <row r="7836">
      <c r="A7836" t="inlineStr">
        <is>
          <t>eau feu fuite</t>
        </is>
      </c>
      <c r="B7836">
        <f>HYPERLINK("https://www.dofusbook.net/fr/equipement/2965620-eau-feu-fuite/objets", "link")</f>
        <v/>
      </c>
      <c r="C7836" t="n">
        <v>0</v>
      </c>
      <c r="D7836" t="inlineStr">
        <is>
          <t>Arc Nécrotique; Collier de la Dame du Hasard; Alliance Gloursonne; Anneau de Nidas; Bouclier du Stalak; Ceinture de l'Esprit Salvateur; Masque de l'Esprit Salvateur; Cape de l'Œil Putride; Pataugastrique; Dofus Pourpre; Dofus Abyssal; Dofus des Glaces; Dofus Ivoire; Dofus Ocre; Déserteur majeur; Muldo Indigo et Amande</t>
        </is>
      </c>
    </row>
    <row r="7837">
      <c r="A7837" t="inlineStr">
        <is>
          <t>feu eau air</t>
        </is>
      </c>
      <c r="B7837">
        <f>HYPERLINK("https://www.dofusbook.net/fr/equipement/3016161-feu-eau-air/objets", "link")</f>
        <v/>
      </c>
      <c r="C7837" t="n">
        <v>0</v>
      </c>
      <c r="D7837" t="inlineStr">
        <is>
          <t>Sabres d'Atcham; Amulette de l'Œil Putride; Alliance Gloursonne; Anneau de Padgref; Quatre-feuilles; Menoture; Capuche de l'Œil Putride; Cape de l'Œil Putride; Sandales  d'Atcham; Dofus des Glaces; Dofus Ivoire; Dolmanax; Dofus Turquoise; Dofus Pourpre; Dofus Abyssal; Muldo Ebène</t>
        </is>
      </c>
    </row>
    <row r="7838">
      <c r="A7838" t="inlineStr">
        <is>
          <t>docrit</t>
        </is>
      </c>
      <c r="B7838">
        <f>HYPERLINK("https://www.dofusbook.net/fr/equipement/3011996-docrit/objets", "link")</f>
        <v/>
      </c>
      <c r="C7838" t="n">
        <v>0</v>
      </c>
      <c r="D7838" t="inlineStr">
        <is>
          <t>Lance Horselé; Amulette du Strigide; Anneau de Padgref; Bague Trithon; Bouclier du Stalak; Ceinture du Strigide; Masque Trithon; Chevelure de Tal Kasha; Bottes Trithon; Dofus Pourpre; Dofus Abyssal; Dofus Ocre; Dofus Ivoire; Dolmanax; Dofus des Glaces; Muldo Ebène et Pourpre</t>
        </is>
      </c>
    </row>
    <row r="7839">
      <c r="A7839" t="inlineStr">
        <is>
          <t>terre</t>
        </is>
      </c>
      <c r="B7839">
        <f>HYPERLINK("https://www.dofusbook.net/fr/equipement/3011974-terre/objets", "link")</f>
        <v/>
      </c>
      <c r="C7839" t="n">
        <v>0</v>
      </c>
      <c r="D7839" t="inlineStr">
        <is>
          <t>Arc du Chalœil; Amulette du Cœur Saignant; Pikano; Anneau Chevelu; Quatre-feuilles; Ceinture de la Reine des Voleurs; Masque de Koutoulou; Cape du Cœur Saignant; Baleinabottes; Dofus Pourpre; Dofus Ivoire; Dofus Turquoise; Dofus Nébuleux; Enragé majeur; Temporiseur majeur; Muldo Indigo et Pourpre</t>
        </is>
      </c>
    </row>
    <row r="7840">
      <c r="A7840" t="inlineStr">
        <is>
          <t>terre cac</t>
        </is>
      </c>
      <c r="B7840">
        <f>HYPERLINK("https://www.dofusbook.net/fr/equipement/3011932-terre-cac/objets", "link")</f>
        <v/>
      </c>
      <c r="C7840" t="n">
        <v>1</v>
      </c>
      <c r="D7840" t="inlineStr">
        <is>
          <t>Héqache; Amulette du Strigide; Anneau Chevelu; Anneau Crustique; Bouclier d'Ilyzaelle; Ceinture du Strigide; Masque de Koutoulou; Cape du Cœur Saignant; Bottes du Cœur Saignant; Dofus Pourpre; Dofus Abyssal; Dofus Turquoise; Dofus Ivoire; Dofus Émeraude; Dofus Ocre; Muldo Orchidée et Pourpre</t>
        </is>
      </c>
    </row>
    <row r="7841">
      <c r="A7841" t="inlineStr">
        <is>
          <t>air</t>
        </is>
      </c>
      <c r="B7841">
        <f>HYPERLINK("https://www.dofusbook.net/fr/equipement/3011315-air/objets", "link")</f>
        <v/>
      </c>
      <c r="C7841" t="n">
        <v>1</v>
      </c>
      <c r="D7841" t="inlineStr">
        <is>
          <t>Manthache; Collier du Valet Veinard; Gant du Valet Veinard; Alliance Gloursonne; Bouclier du Stalak; Ceintouse; Chapoulpe; Cape du Valet Veinard; Tentassons; Dofus Pourpre; Dofus Ivoire; Dofus Émeraude; Dofus Ocre; Dolmanax; Dofus Abyssal; Muldo Ebène</t>
        </is>
      </c>
    </row>
    <row r="7842">
      <c r="A7842" t="inlineStr">
        <is>
          <t>feu</t>
        </is>
      </c>
      <c r="B7842">
        <f>HYPERLINK("https://www.dofusbook.net/fr/equipement/3011308-feu/objets", "link")</f>
        <v/>
      </c>
      <c r="C7842" t="n">
        <v>1</v>
      </c>
      <c r="D7842" t="inlineStr">
        <is>
          <t>Rod Gerse; Amulette Séculaire; Anneau de Padgref; Anneauræus; Bouclier d'Ilyzaelle; Ceinture Séculaire; Coiffe Séculaire; Cape de Nileza; Bottes de Nileza; Dofus Pourpre; Dofus Abyssal; Dofus Turquoise; Dofus Ivoire; Dofus Émeraude; Dofus Ocre; Muldo Orchidée</t>
        </is>
      </c>
    </row>
    <row r="7843">
      <c r="A7843" t="inlineStr">
        <is>
          <t>mallef</t>
        </is>
      </c>
      <c r="B7843">
        <f>HYPERLINK("https://www.dofusbook.net/fr/equipement/3003583-mallef/objets", "link")</f>
        <v/>
      </c>
      <c r="C7843" t="n">
        <v>0</v>
      </c>
      <c r="D7843" t="inlineStr">
        <is>
          <t>Baguette de Malléfisk; Pendentif affamé; Anneau Rifique; Anneauræus; Cadran de Feu; Menoture; Masque Ardent; Voile d'encre; Chaussures Ardentes; Dofus Ivoire; Dofus Ocre; Dofus Abyssal; Étourdisseur majeur; Guérisseur majeur; Érudit majeur; Muldo Indigo et Orchidée</t>
        </is>
      </c>
    </row>
    <row r="7844">
      <c r="A7844" t="inlineStr">
        <is>
          <t>full ret</t>
        </is>
      </c>
      <c r="B7844">
        <f>HYPERLINK("https://www.dofusbook.net/fr/equipement/2994958-full-ret/objets", "link")</f>
        <v/>
      </c>
      <c r="C7844" t="n">
        <v>0</v>
      </c>
      <c r="D7844" t="inlineStr">
        <is>
          <t>Rouleau à Pâtisserie d'Aermyne; Amibou; Pikano; Anneau Crustique; Sept ans de malheur; Ceinture Instable; Coiffe d'Aermyne; Cape Matelassée; Sandales  d'Atcham; Dofus Abyssal; Dofus Ocre; Dofus Ivoire; Dofus Forgelave; Étourdisseur majeur; Temporiseur majeur; Muldo Ebène et Pourpre</t>
        </is>
      </c>
    </row>
    <row r="7845">
      <c r="A7845" t="inlineStr">
        <is>
          <t>ret</t>
        </is>
      </c>
      <c r="B7845">
        <f>HYPERLINK("https://www.dofusbook.net/fr/equipement/1529165-ret/objets", "link")</f>
        <v/>
      </c>
      <c r="C7845" t="n">
        <v>0</v>
      </c>
      <c r="D7845" t="inlineStr">
        <is>
          <t>Lance Horselé; Amulette du Cœur Vaillant; Anneau Crustique; Anneau Crustique; Sept ans de malheur; Menoture; Masque d'Anerice; Cape d'Anerice; Pataugastrique; Dofus Abyssal; Dofus Ivoire; Dofus Émeraude; Déserteur majeur; Étourdisseur majeur; Paralyseur majeur; Muldo Ebène et Amande</t>
        </is>
      </c>
    </row>
    <row r="7846">
      <c r="A7846" t="inlineStr">
        <is>
          <t>eau feu ret</t>
        </is>
      </c>
      <c r="B7846">
        <f>HYPERLINK("https://www.dofusbook.net/fr/equipement/1517475-eau-feu-ret/objets", "link")</f>
        <v/>
      </c>
      <c r="C7846" t="n">
        <v>0</v>
      </c>
      <c r="D7846" t="inlineStr">
        <is>
          <t>Arc Nécrotique; Talisman Igans; Anneau Toriété; Alliance Gloursonne; Cadran de Terre; Ceintrigue; Némès de Tal Kasha; Voile d'encre; Pataugastrique; Dofus Ocre; Dofus Ivoire; Dofus des Glaces; Dofus Abyssal; Paralyseur majeur; Étourdisseur majeur; Péki</t>
        </is>
      </c>
    </row>
    <row r="7847">
      <c r="A7847" t="inlineStr">
        <is>
          <t>feu ret</t>
        </is>
      </c>
      <c r="B7847">
        <f>HYPERLINK("https://www.dofusbook.net/fr/equipement/2991159-feu-ret/objets", "link")</f>
        <v/>
      </c>
      <c r="C7847" t="n">
        <v>0</v>
      </c>
      <c r="D7847" t="inlineStr">
        <is>
          <t>Arc corrompu; Amulette de Nileza; Anneauræus; Anneau de Nidas; Cadran de Terre; Ceinture de Vortex; Cagoule de Vortex; Voile d'encre; Chaussures Ardentes; Dofus Pourpre; Dofus Ivoire; Dofus Ocre; Dofus Abyssal; Érudit majeur; Étourdisseur majeur; Muldo Ebène et Orchidée</t>
        </is>
      </c>
    </row>
    <row r="7848">
      <c r="A7848" t="inlineStr">
        <is>
          <t>feu air dopou</t>
        </is>
      </c>
      <c r="B7848">
        <f>HYPERLINK("https://www.dofusbook.net/fr/equipement/2991136-feu-air-dopou/objets", "link")</f>
        <v/>
      </c>
      <c r="C7848" t="n">
        <v>0</v>
      </c>
      <c r="D7848" t="inlineStr">
        <is>
          <t>Hachoirs de Viandargh; Torquistik; Bague Trithon; Baguistik; Cadran d'Air; Menoture; Chapeau des Malveilleurs; Voile d'encre; Bottes des Malveilleurs; Dofus Pourpre; Dofus Abyssal; Dofus Ocre; Dofus Ivoire; Dofus des Glaces; Bousculeur majeur; Muldo Ebène et Orchidée</t>
        </is>
      </c>
    </row>
    <row r="7849">
      <c r="A7849" t="inlineStr">
        <is>
          <t>terre eau</t>
        </is>
      </c>
      <c r="B7849">
        <f>HYPERLINK("https://www.dofusbook.net/fr/equipement/2990508-terre-eau/objets", "link")</f>
        <v/>
      </c>
      <c r="C7849" t="n">
        <v>0</v>
      </c>
      <c r="D7849" t="inlineStr">
        <is>
          <t>Hache Euvale; Amulette Luminescente; Goulano; Alliance de Guten Tak; Bouclier d'Anerice; Ceinture Luminescente; Masque de Koutoulou; Cape d'Anerice; Goulbottes; Dofus Pourpre; Dofus Ivoire; Dofus des Glaces; Dofus Ocre; Dofus Émeraude; Dofus Abyssal; Muldo Indigo</t>
        </is>
      </c>
    </row>
    <row r="7850">
      <c r="A7850" t="inlineStr">
        <is>
          <t>terre feu air</t>
        </is>
      </c>
      <c r="B7850">
        <f>HYPERLINK("https://www.dofusbook.net/fr/equipement/2990439-terre-feu-air/objets", "link")</f>
        <v/>
      </c>
      <c r="C7850" t="n">
        <v>0</v>
      </c>
      <c r="D7850" t="inlineStr">
        <is>
          <t>Marteau de Katrepat; Amulette du Cycloïde; Anneau du Cycloïde; Anneau du Katcheur; Bouclier alvéolé; Menoture; Masque d'Anerice; Cape d'Anerice; Bottes du Katcheur; Dofus Ocre; Dofus Abyssal; Dofus Émeraude; Dofus Ivoire; Dofus Forgelave; Dofus Pourpre; Muldo Ebène et Orchidée</t>
        </is>
      </c>
    </row>
    <row r="7851">
      <c r="A7851" t="inlineStr">
        <is>
          <t>terre feu</t>
        </is>
      </c>
      <c r="B7851">
        <f>HYPERLINK("https://www.dofusbook.net/fr/equipement/2990423-terre-feu/objets", "link")</f>
        <v/>
      </c>
      <c r="C7851" t="n">
        <v>0</v>
      </c>
      <c r="D7851" t="inlineStr">
        <is>
          <t>Poolache; Amulette du Strigide; Chevalière du Roi Joueur; Anneau Chevelu; Quatre-feuilles; Ceinture du Strigide; Couronne du Roi Joueur; Voile d'encre; Bottes du Roi Joueur; Dofus Ocre; Dofus Ivoire; Dofus Pourpre; Dofus des Glaces; Dofus Turquoise; Dofus Abyssal; Muldo Prune et Indigo</t>
        </is>
      </c>
    </row>
    <row r="7852">
      <c r="A7852" t="inlineStr">
        <is>
          <t>puissance</t>
        </is>
      </c>
      <c r="B7852">
        <f>HYPERLINK("https://www.dofusbook.net/fr/equipement/2988421-puissance/objets", "link")</f>
        <v/>
      </c>
      <c r="C7852" t="n">
        <v>0</v>
      </c>
      <c r="D7852" t="inlineStr">
        <is>
          <t>Pelle de Nidas; Amulette du Strigide; Bague Gloursonne; Alliance Gloursonne; Quatre-feuilles; Ceinture du Strigide; Boucle d'oreille de Kongoku; Cape de Kongoku; Bottes du Strigide; Dofus Pourpre; Dofus Abyssal; Dofus Turquoise; Dofus Ivoire; Dofus Vulbis; Dofus Ocre; Kramkram</t>
        </is>
      </c>
    </row>
    <row r="7853">
      <c r="A7853" t="inlineStr">
        <is>
          <t>terre feu cc</t>
        </is>
      </c>
      <c r="B7853">
        <f>HYPERLINK("https://www.dofusbook.net/fr/equipement/2988407-terre-feu-cc/objets", "link")</f>
        <v/>
      </c>
      <c r="C7853" t="n">
        <v>0</v>
      </c>
      <c r="D7853" t="inlineStr">
        <is>
          <t>Arc à Lamelles; Amulette du Strigide; Anneau de Padgref; Chevalière du Roi Joueur; Quatre-feuilles; Ceinture du Strigide; Boucle d'oreille de Kongoku; Cape de Kongoku; Bottes du Strigide; Dofus Turquoise; Dofus Ivoire; Dofus Vulbis; Dofus Ocre; Dofus Pourpre; Dofus Abyssal; Kramkram</t>
        </is>
      </c>
    </row>
    <row r="7854">
      <c r="A7854" t="inlineStr">
        <is>
          <t>eau</t>
        </is>
      </c>
      <c r="B7854">
        <f>HYPERLINK("https://www.dofusbook.net/fr/equipement/1362903-eau/objets", "link")</f>
        <v/>
      </c>
      <c r="C7854" t="n">
        <v>1</v>
      </c>
      <c r="D7854" t="inlineStr">
        <is>
          <t>Hache Euvale; Amulette de l'Œil Attentif; Alliance Gloursonne; Lavanneau; Cadran d'Eau; Ceinture de la Reine des Voleurs; Capuche de l'Œil Attentif; Cape de l'Œil Attentif; Bottes de la Reine des Voleurs; Dofus Pourpre; Dofus Abyssal; Dofus Ocre; Dofus Ivoire; Dofus Vulbis; Dofus Émeraude; Kramkram</t>
        </is>
      </c>
    </row>
    <row r="7855">
      <c r="A7855" t="inlineStr">
        <is>
          <t>dopou tank</t>
        </is>
      </c>
      <c r="B7855">
        <f>HYPERLINK("https://www.dofusbook.net/fr/equipement/2621136-dopou-tank/objets", "link")</f>
        <v/>
      </c>
      <c r="C7855" t="n">
        <v>0</v>
      </c>
      <c r="D7855" t="inlineStr">
        <is>
          <t>Hache Euvale; Torquistik; Bague Trithon; Alliance Gloursonne; Bouclier Taverne; Ceinture Luminescente; Masque de l'Esprit Malsain; Cape Solution; Bottes Trithon; Dofus Émeraude; Dofus Ivoire; Dofus Ocre; Dofus Abyssal; Bousculeur majeur; Culbuteur majeur; Muldo Ebène et Indigo</t>
        </is>
      </c>
    </row>
    <row r="7856">
      <c r="A7856" t="inlineStr">
        <is>
          <t>multi ret</t>
        </is>
      </c>
      <c r="B7856">
        <f>HYPERLINK("https://www.dofusbook.net/fr/equipement/2975829-multi-ret/objets", "link")</f>
        <v/>
      </c>
      <c r="C7856" t="n">
        <v>0</v>
      </c>
      <c r="D7856" t="inlineStr">
        <is>
          <t>Hache du Chalœil; Amulette Luminescente; Chevalière du Roi Joueur; Pikano; Cadran de Terre; Culotte de Bethel; Masque de Funespadon; Cape de la Dame du Hasard; Pataugastrique; Dofus Pourpre; Dofus Abyssal; Dofus Turquoise; Dofus Ivoire; Dofus Ocre; Nomade; Kramkram</t>
        </is>
      </c>
    </row>
    <row r="7857">
      <c r="A7857" t="inlineStr">
        <is>
          <t>terre eau</t>
        </is>
      </c>
      <c r="B7857">
        <f>HYPERLINK("https://www.dofusbook.net/fr/equipement/2972843-terre-eau/objets", "link")</f>
        <v/>
      </c>
      <c r="C7857" t="n">
        <v>0</v>
      </c>
      <c r="D7857" t="inlineStr">
        <is>
          <t>Arc Ontanporin; Amulette du Strigide; Alliance Gloursonne; Pikano; Quatre-feuilles; Ceinture du Strigide; Masque de Funespadon; Cape Solution; Chaussons de Macrab; Dofus Ocre; Dofus Ivoire; Dofus Pourpre; Dofus des Glaces; Dofus Turquoise; Dofus Abyssal; Muldo Indigo</t>
        </is>
      </c>
    </row>
    <row r="7858">
      <c r="A7858" t="inlineStr">
        <is>
          <t>full eau</t>
        </is>
      </c>
      <c r="B7858">
        <f>HYPERLINK("https://www.dofusbook.net/fr/equipement/2972826-full-eau/objets", "link")</f>
        <v/>
      </c>
      <c r="C7858" t="n">
        <v>0</v>
      </c>
      <c r="D7858" t="inlineStr">
        <is>
          <t>Arc Ontanporin; Collier de la Dame du Hasard; Pikano; Alliance Gloursonne; Quatre-feuilles; Culotte de Bethel; Masque de Funespadon; Cape de la Dame du Hasard; Bottes de la Dame du Hasard; Dofus Turquoise; Dofus Abyssal; Dofus Ocre; Dofus Ivoire; Dofus Pourpre; Dofus Vulbis; Kramkram</t>
        </is>
      </c>
    </row>
    <row r="7859">
      <c r="A7859" t="inlineStr">
        <is>
          <t>eau air</t>
        </is>
      </c>
      <c r="B7859">
        <f>HYPERLINK("https://www.dofusbook.net/fr/equipement/2966172-eau-air/objets", "link")</f>
        <v/>
      </c>
      <c r="C7859" t="n">
        <v>1</v>
      </c>
      <c r="D7859" t="inlineStr">
        <is>
          <t>Arc de Koutoulou; Amulette du Strigide; Alliance Gloursonne; Pikano; Quatre-feuilles; Menoture; Kidibonnet; Chevelure de Tal Kasha; Sandales de Tal Kasha; Dolmanax; Dofus Ivoire; Dofus Pourpre; Dofus des Glaces; Dofus Turquoise; Dofus Abyssal; Muldo Indigo</t>
        </is>
      </c>
    </row>
    <row r="7860">
      <c r="A7860" t="inlineStr">
        <is>
          <t>terre ret pm</t>
        </is>
      </c>
      <c r="B7860">
        <f>HYPERLINK("https://www.dofusbook.net/fr/equipement/2966123-terre-ret-pm/objets", "link")</f>
        <v/>
      </c>
      <c r="C7860" t="n">
        <v>0</v>
      </c>
      <c r="D7860" t="inlineStr">
        <is>
          <t>Dagues d'Ilyzaelle; Amulette du Cœur Saignant; Anneau Chevelu; Pikano; Quatre-feuilles; Ceinture Gence; Casquipik; Cape du Cœur Saignant; Bottes du Cœur Saignant; Dofus Nébuleux; Dofus Abyssal; Dofus Turquoise; Dofus Ivoire; Dofus Pourpre; Dofus des Glaces; Muldo Indigo</t>
        </is>
      </c>
    </row>
    <row r="7861">
      <c r="A7861" t="inlineStr">
        <is>
          <t>full terre taper</t>
        </is>
      </c>
      <c r="B7861">
        <f>HYPERLINK("https://www.dofusbook.net/fr/equipement/2966081-full-terre-taper/objets", "link")</f>
        <v/>
      </c>
      <c r="C7861" t="n">
        <v>1</v>
      </c>
      <c r="D7861" t="inlineStr">
        <is>
          <t>Arc du Chalœil; Amulette du Strigide; Anneau de Brouce; Anneau Chevelu; Quatre-feuilles; Ceinture de Brouce; Masque de Koutoulou; Cape au Logis; Bottes de Brouce; Dofus des Glaces; Dofus Ivoire; Dofus Pourpre; Dofus Nébuleux; Dofus Turquoise; Dofus Abyssal; Kramkram</t>
        </is>
      </c>
    </row>
    <row r="7862">
      <c r="A7862" t="inlineStr">
        <is>
          <t>feu eau ret</t>
        </is>
      </c>
      <c r="B7862">
        <f>HYPERLINK("https://www.dofusbook.net/fr/equipement/2965912-feu-eau-ret/objets", "link")</f>
        <v/>
      </c>
      <c r="C7862" t="n">
        <v>0</v>
      </c>
      <c r="D7862" t="inlineStr">
        <is>
          <t>Arc Nécrotique; Collier de la Dame du Hasard; Anneau Toriété; Alliance Gloursonne; Cadran de Terre; Ceinture de l'Esprit Salvateur; Casqnoar; Cape de la Dame du Hasard; Pataugastrique; Dofus des Glaces; Dofus Abyssal; Dofus Pourpre; Dofus Ivoire; Dofus Ocre; Étourdisseur majeur; Kramkram</t>
        </is>
      </c>
    </row>
    <row r="7863">
      <c r="A7863" t="inlineStr">
        <is>
          <t>terre eau taper</t>
        </is>
      </c>
      <c r="B7863">
        <f>HYPERLINK("https://www.dofusbook.net/fr/equipement/2965860-terre-eau-taper/objets", "link")</f>
        <v/>
      </c>
      <c r="C7863" t="n">
        <v>0</v>
      </c>
      <c r="D7863" t="inlineStr">
        <is>
          <t>Arc Ontanporin; Amulette du Strigide; Pikano; Bracelet du Piloztère; Quatre-feuilles; Ceinture du Strigide; Kidibonnet; Cape au Logis; Pantoufles du Piloztère; Dofus Pourpre; Dofus Abyssal; Dofus Turquoise; Dofus Ivoire; Dofus des Glaces; Dofus Ocre; Kramkram</t>
        </is>
      </c>
    </row>
    <row r="7864">
      <c r="A7864" t="inlineStr">
        <is>
          <t>multi nocc</t>
        </is>
      </c>
      <c r="B7864">
        <f>HYPERLINK("https://www.dofusbook.net/fr/equipement/2965837-multi-nocc/objets", "link")</f>
        <v/>
      </c>
      <c r="C7864" t="n">
        <v>1</v>
      </c>
      <c r="D7864" t="inlineStr">
        <is>
          <t>Epée Gloursonne; Amulette Ementaire Deluxe; Alliance Gloursonne; Bague Gloursonne; Bouclier du Stalak; Ceinture de l'Esprit Salvateur; Masque de l'Esprit Salvateur; Voile d'encre; Bottes de l'Esprit Salvateur; Dofus Ocre; Dofus Ivoire; Dofus Vulbis; Dofus des Glaces; Dofus Pourpre; Dofus Abyssal; Kramkram</t>
        </is>
      </c>
    </row>
    <row r="7865">
      <c r="A7865" t="inlineStr">
        <is>
          <t>air chelou</t>
        </is>
      </c>
      <c r="B7865">
        <f>HYPERLINK("https://www.dofusbook.net/fr/equipement/2965789-air-chelou/objets", "link")</f>
        <v/>
      </c>
      <c r="C7865" t="n">
        <v>2</v>
      </c>
      <c r="D7865" t="inlineStr">
        <is>
          <t>Héqache; Collier du Valet Veinard; Alliance Gloursonne; Gant du Valet Veinard; Bouclier du Stalak; Ceinture de l'Esprit Salvateur; Masque de l'Esprit Salvateur; Cape du Valet Veinard; Bottes de l'Esprit Salvateur; Dofus Pourpre; Dofus Abyssal; Dofus Ocre; Dofus Ivoire; Dolmanax; Dofus des Glaces; Muldo Ebène</t>
        </is>
      </c>
    </row>
    <row r="7866">
      <c r="A7866" t="inlineStr">
        <is>
          <t>eau feu 2</t>
        </is>
      </c>
      <c r="B7866">
        <f>HYPERLINK("https://www.dofusbook.net/fr/equipement/2516864-eau-feu-2/objets", "link")</f>
        <v/>
      </c>
      <c r="C7866" t="n">
        <v>0</v>
      </c>
      <c r="D7866" t="inlineStr">
        <is>
          <t>Arc Nécrotique; Collier de la Dame du Hasard; Lavanneau; Alliance Gloursonne; Bouclier du Stalak; Ceinture de l'Esprit Salvateur; Masque de l'Esprit Salvateur; Cape de la Dame du Hasard; Bottes de l'Esprit Salvateur; Dofus Ocre; Dofus Ivoire; Dofus des Glaces; Dofus Pourpre; Dofus Abyssal; Vagabond majeur; Muldo Indigo et Orchidée</t>
        </is>
      </c>
    </row>
    <row r="7867">
      <c r="A7867" t="inlineStr">
        <is>
          <t>ret</t>
        </is>
      </c>
      <c r="B7867">
        <f>HYPERLINK("https://www.dofusbook.net/fr/equipement/2965536-ret/objets", "link")</f>
        <v/>
      </c>
      <c r="C7867" t="n">
        <v>1</v>
      </c>
      <c r="D7867" t="inlineStr">
        <is>
          <t>Pelle de Nidas; Amulette de l'Indicible; Pikano; Alliance Gloursonne; Cadran de Terre; Ceinture de l'Esprit Salvateur; Masque de l'Esprit Salvateur; Voile d'encre; Pataugastrique; Dofus Ocre; Dofus Ivoire; Dofus des Glaces; Dofus Abyssal; Temporiseur majeur; Étourdisseur majeur; Muldo Indigo et Pourpre</t>
        </is>
      </c>
    </row>
    <row r="7868">
      <c r="A7868" t="inlineStr">
        <is>
          <t>feu eau 2</t>
        </is>
      </c>
      <c r="B7868">
        <f>HYPERLINK("https://www.dofusbook.net/fr/equipement/2317715-feu-eau-2/objets", "link")</f>
        <v/>
      </c>
      <c r="C7868" t="n">
        <v>0</v>
      </c>
      <c r="D7868" t="inlineStr">
        <is>
          <t>Arc Nécrotique; Talisman Igans; Bague Gloursonne; Alliance Gloursonne; Bouclier du Stalak; Ceintrigue; Kidibonnet; Voile d'encre; Bottes Owesli; Dofus Pourpre; Dofus Abyssal; Dofus Ocre; Dofus Ivoire; Dolmanax; Dofus des Glaces; Kramkram</t>
        </is>
      </c>
    </row>
    <row r="7869">
      <c r="A7869" t="inlineStr">
        <is>
          <t>docrit ret</t>
        </is>
      </c>
      <c r="B7869">
        <f>HYPERLINK("https://www.dofusbook.net/fr/equipement/2958232-docrit-ret/objets", "link")</f>
        <v/>
      </c>
      <c r="C7869" t="n">
        <v>0</v>
      </c>
      <c r="D7869" t="inlineStr">
        <is>
          <t>Sabres d'Atcham; Amulette de l'Œil Putride; Anneau de Padgref; Alliance Gloursonne; Cadran de Terre; Menoture; Capuche de l'Œil Putride; Chevelure de Tal Kasha; Sandales  d'Atcham; Dofus Turquoise; Dofus Abyssal; Dofus Ocre; Dofus Ivoire; Dofus Pourpre; Dofus des Glaces; Muldo Ebène</t>
        </is>
      </c>
    </row>
    <row r="7870">
      <c r="A7870" t="inlineStr">
        <is>
          <t>air 188</t>
        </is>
      </c>
      <c r="B7870">
        <f>HYPERLINK("https://www.dofusbook.net/fr/equipement/2958171-air-188/objets", "link")</f>
        <v/>
      </c>
      <c r="C7870" t="n">
        <v>1</v>
      </c>
      <c r="D7870" t="inlineStr">
        <is>
          <t>Couteaux à Champignons; Col de Ush; Anneau de XLII; Anneau Colerette; Cadran d'Air; Ceinture de XLII; Chapignon; Caprin; Bottes de XLII; Dofus Pourpre; Dofus Ivoire; Dofus Vulbis; Dofus Ocre; Dofus Émeraude; Dofus Abyssal; Kramkram</t>
        </is>
      </c>
    </row>
    <row r="7871">
      <c r="A7871" t="inlineStr">
        <is>
          <t>dopou 180</t>
        </is>
      </c>
      <c r="B7871">
        <f>HYPERLINK("https://www.dofusbook.net/fr/equipement/2923965-dopou-180/objets", "link")</f>
        <v/>
      </c>
      <c r="C7871" t="n">
        <v>0</v>
      </c>
      <c r="D7871" t="inlineStr">
        <is>
          <t>Hache du Guerrier Zoth; Collier Yé; Anneau du Kaniblou; Alliance de Guten Tak; Bouclier Taverne; Slip Iholo; Bonnet Ko; Cape du Kaniblou; Bottes du K.O.; Dofus Ivoire; Dofus Émeraude; Miraculé majeur; Remueur; Culbuteur majeur; Bousculeur majeur; Muldo Orchidée et Pourpre</t>
        </is>
      </c>
    </row>
    <row r="7872">
      <c r="A7872" t="inlineStr">
        <is>
          <t>feu 180</t>
        </is>
      </c>
      <c r="B7872">
        <f>HYPERLINK("https://www.dofusbook.net/fr/equipement/2923939-feu-180/objets", "link")</f>
        <v/>
      </c>
      <c r="C7872" t="n">
        <v>1</v>
      </c>
      <c r="D7872" t="inlineStr">
        <is>
          <t>Rod Gerse; Amulette de l'Obsidiantre; Alliance de Guten Tak; Alliance d'Elya Wood; Bouclier Taverne; Ceinture de Soissanth; Chapeau de Dremoan; Cape de Tengu Givrefoux; Bottes de Dremoan; Dofus Pourpre; Dofus Ivoire; Dofus Ocre; Nomade; Remueur; Érudit majeur; Kramkram</t>
        </is>
      </c>
    </row>
    <row r="7873">
      <c r="A7873" t="inlineStr">
        <is>
          <t>eau 180</t>
        </is>
      </c>
      <c r="B7873">
        <f>HYPERLINK("https://www.dofusbook.net/fr/equipement/2923923-eau-180/objets", "link")</f>
        <v/>
      </c>
      <c r="C7873" t="n">
        <v>0</v>
      </c>
      <c r="D7873" t="inlineStr">
        <is>
          <t>Marteau du Juge Lou; Crolier; Alliance de Guten Tak; Anneau du Kaniblou; Cadran de Terre; Ceintrémorse; Casquoporth; Cape du Kaniblou; Bottines des sous-bois; Dofus Émeraude; Dofus Abyssal; Dofus Pourpre; Dofus Ivoire; Dofus Turquoise; Dofus Ocre; Muldo Indigo</t>
        </is>
      </c>
    </row>
    <row r="7874">
      <c r="A7874" t="inlineStr">
        <is>
          <t>az tech</t>
        </is>
      </c>
      <c r="B7874">
        <f>HYPERLINK("https://www.dofusbook.net/fr/equipement/2920067-az-tech/objets", "link")</f>
        <v/>
      </c>
      <c r="C7874" t="n">
        <v>0</v>
      </c>
      <c r="D7874" t="inlineStr">
        <is>
          <t>Az'tech; Amulette du Strigide; Bague Trithon; Anneau Chevelu; Bouclier Taverne; Ceintouse; Masque de Koutoulou; Chevelure de Tal Kasha; Bottes Trithon; Dofus Turquoise; Dofus Ivoire; Dofus Ocre; Dofus Pourpre; Dofus Abyssal; Étourdisseur majeur; Muldo Orchidée et Pourpre</t>
        </is>
      </c>
    </row>
    <row r="7875">
      <c r="A7875" t="inlineStr">
        <is>
          <t>pano de classe</t>
        </is>
      </c>
      <c r="B7875">
        <f>HYPERLINK("https://www.dofusbook.net/fr/equipement/2915656-pano-de-classe/objets", "link")</f>
        <v/>
      </c>
      <c r="C7875" t="n">
        <v>0</v>
      </c>
      <c r="D7875" t="inlineStr">
        <is>
          <t>Hache du Guerrier Zoth; Amulette Ementaire Deluxe; Anneau du Kaniblou; Anneau Tilus; Cadran de Terre; Ceinture Lupine; Bonnet Nufar; Cape Huchon; Bottes Hairo; Dofus Émeraude; Dofus Ocre; Dofus Cawotte; Vagabond majeur; Paralyseur majeur; Engourdisseur majeur; Muldo Orchidée et Amande</t>
        </is>
      </c>
    </row>
    <row r="7876">
      <c r="A7876" t="inlineStr">
        <is>
          <t>eau</t>
        </is>
      </c>
      <c r="B7876">
        <f>HYPERLINK("https://www.dofusbook.net/fr/equipement/2912836-eau/objets", "link")</f>
        <v/>
      </c>
      <c r="C7876" t="n">
        <v>0</v>
      </c>
      <c r="D7876" t="inlineStr">
        <is>
          <t>Rapière aux Glyphes; Amulette de l'Œil Attentif; Bracelet des Fonds marins; Alliance Gloursonne; Cadran d'Air; Ceinture de la Reine des Voleurs; Capuche de l'Œil Attentif; Cape de l'Œil Attentif; Bottes de la Reine des Voleurs; Dofus Pourpre; Dofus Ivoire; Dofus des Glaces; Dofus Ocre; Dofus Émeraude; Dofus Abyssal; Muldo Ebène et Indigo</t>
        </is>
      </c>
    </row>
    <row r="7877">
      <c r="A7877" t="inlineStr">
        <is>
          <t>air tank</t>
        </is>
      </c>
      <c r="B7877">
        <f>HYPERLINK("https://www.dofusbook.net/fr/equipement/2906936-air-tank/objets", "link")</f>
        <v/>
      </c>
      <c r="C7877" t="n">
        <v>0</v>
      </c>
      <c r="D7877" t="inlineStr">
        <is>
          <t>Lance Horselé; Collier du Valet Veinard; Alliance Gloursonne; Gant du Valet Veinard; Cadran de Feu; Menoture; Dorabysses; Cape de Crânonier; Palmes Trithons; Dofus Forgelave; Dofus Abyssal; Dokoko; Dofus Ivoire; Dofus Émeraude; Remueur; Muldo Ebène</t>
        </is>
      </c>
    </row>
    <row r="7878">
      <c r="A7878" t="inlineStr">
        <is>
          <t>esquives pa</t>
        </is>
      </c>
      <c r="B7878">
        <f>HYPERLINK("https://www.dofusbook.net/fr/equipement/2899208-esquives-pa/objets", "link")</f>
        <v/>
      </c>
      <c r="C7878" t="n">
        <v>0</v>
      </c>
      <c r="D7878" t="inlineStr">
        <is>
          <t>Héqache; Amulette du Strigide; Anneau Crustique; Anneau Crustique; Écorce de Brouce; Ceinture de la Cour Sombre; Masque de Koutoulou; Cape du Kamasterisk; Bottes de la Cour Sombre; Dofus Pourpre; Dofus Ivoire; Dofus Ocre; Dofus Abyssal; Étourdisseur majeur; Évasif majeur; Muldo Indigo et Pourpre</t>
        </is>
      </c>
    </row>
    <row r="7879">
      <c r="A7879" t="inlineStr">
        <is>
          <t>eau esquives pa</t>
        </is>
      </c>
      <c r="B7879">
        <f>HYPERLINK("https://www.dofusbook.net/fr/equipement/2899155-eau-esquives-pa/objets", "link")</f>
        <v/>
      </c>
      <c r="C7879" t="n">
        <v>0</v>
      </c>
      <c r="D7879" t="inlineStr">
        <is>
          <t>Pelle Fik; Amulette de Shokkoth; Pikano; Alliance Gloursonne; Écorce de Brouce; Poulpagne; Capuche de l'Œil Attentif; Cape de l'Œil Attentif; Bottes du Sinistrofu; Dolmanax; Dofus Abyssal; Dofus Émeraude; Dofus Ivoire; Dofus Ocre; Chanceux majeur; Muldo Indigo</t>
        </is>
      </c>
    </row>
    <row r="7880">
      <c r="A7880" t="inlineStr">
        <is>
          <t>esquive pa</t>
        </is>
      </c>
      <c r="B7880">
        <f>HYPERLINK("https://www.dofusbook.net/fr/equipement/2895257-esquive-pa/objets", "link")</f>
        <v/>
      </c>
      <c r="C7880" t="n">
        <v>0</v>
      </c>
      <c r="D7880" t="inlineStr">
        <is>
          <t>Lance Horselé; Amulette du Strigide; Anneau de Padgref; Alliance Gloursonne; Cadran de Feu; Sangle Oriole; Chapeau de Tournoyé; Cape de Crânonier; Bottes du Strigide; Dofus Turquoise; Dofus Ivoire; Dofus Émeraude; Dofus Ocre; Dofus Pourpre; Dofus Abyssal; Muldo Ebène et Ivoire</t>
        </is>
      </c>
    </row>
    <row r="7881">
      <c r="A7881" t="inlineStr">
        <is>
          <t>arc honte</t>
        </is>
      </c>
      <c r="B7881">
        <f>HYPERLINK("https://www.dofusbook.net/fr/equipement/2889699-arc-honte/objets", "link")</f>
        <v/>
      </c>
      <c r="C7881" t="n">
        <v>0</v>
      </c>
      <c r="D7881" t="inlineStr">
        <is>
          <t>Arc Honte; Pendentif mignon de Koutoulou; Alliance Gloursonne; Anneau Rifique; Bouclier du Stalak; Menoture; Coiffe de la Reine des Voleurs; Voile d'encre; Bottes de la Reine des Voleurs; Dofus Pourpre; Dofus Abyssal; Dofus Ocre; Dofus Ivoire; Dolmanax; Dofus des Glaces; Muldo Ebène et Orchidée</t>
        </is>
      </c>
    </row>
    <row r="7882">
      <c r="A7882" t="inlineStr">
        <is>
          <t>dofusteuse</t>
        </is>
      </c>
      <c r="B7882">
        <f>HYPERLINK("https://www.dofusbook.net/fr/equipement/2885458-dofusteuse/objets", "link")</f>
        <v/>
      </c>
      <c r="C7882" t="n">
        <v>0</v>
      </c>
      <c r="D7882" t="inlineStr"/>
    </row>
    <row r="7883">
      <c r="A7883" t="inlineStr">
        <is>
          <t>full vita pvm</t>
        </is>
      </c>
      <c r="B7883">
        <f>HYPERLINK("https://www.dofusbook.net/fr/equipement/2881572-full-vita-pvm/objets", "link")</f>
        <v/>
      </c>
      <c r="C7883" t="n">
        <v>1</v>
      </c>
      <c r="D7883" t="inlineStr">
        <is>
          <t>Dagues Érhy; Collier de Tourthon; Alliance de Guten Tak; Anneau du Katcheur; Bouclier Bontarien; Ceinture Gence; Masque du Katcheur; Cape au Logis; Bottes Trithon; Dofus Pourpre; Dofus Turquoise; Dofus Émeraude; Miraculé majeur; Remueur; Carapace Neutre majeur; Péki</t>
        </is>
      </c>
    </row>
    <row r="7884">
      <c r="A7884" t="inlineStr">
        <is>
          <t>pvm</t>
        </is>
      </c>
      <c r="B7884">
        <f>HYPERLINK("https://www.dofusbook.net/fr/equipement/2881506-pvm/objets", "link")</f>
        <v/>
      </c>
      <c r="C7884" t="n">
        <v>0</v>
      </c>
      <c r="D7884" t="inlineStr">
        <is>
          <t>Baguette Range; Amulette du Strigide; Anneau de Padgref; Bracelet du Piloztère; Quatre-feuilles; Ceinture du Strigide; Coiffe de Padgref; Cape Reski; Getas de Padgref; Dofus Pourpre; Dofus des Glaces; Dofus Nébuleux; Dofus Turquoise; Dolmanax; Dofus Ocre; Muldo Prune et Emeraude</t>
        </is>
      </c>
    </row>
    <row r="7885">
      <c r="A7885" t="inlineStr">
        <is>
          <t>eau air</t>
        </is>
      </c>
      <c r="B7885">
        <f>HYPERLINK("https://www.dofusbook.net/fr/equipement/2878016-eau-air/objets", "link")</f>
        <v/>
      </c>
      <c r="C7885" t="n">
        <v>2</v>
      </c>
      <c r="D7885" t="inlineStr">
        <is>
          <t>Marteau des Anciens Steamers; Amulette du Strigide; Anneau de Padgref; Alliance Gloursonne; Bouclier d'Ilyzaelle; Menoture; Némès de Tal Kasha; Chevelure de Tal Kasha; Pataugastrique; Dofus Pourpre; Dofus Abyssal; Dofus Turquoise; Dofus Ivoire; Dofus Émeraude; Étourdisseur majeur; Muldo Ebène et Indigo</t>
        </is>
      </c>
    </row>
    <row r="7886">
      <c r="A7886" t="inlineStr">
        <is>
          <t>multi crit</t>
        </is>
      </c>
      <c r="B7886">
        <f>HYPERLINK("https://www.dofusbook.net/fr/equipement/2874807-multi-crit/objets", "link")</f>
        <v/>
      </c>
      <c r="C7886" t="n">
        <v>1</v>
      </c>
      <c r="D7886" t="inlineStr">
        <is>
          <t>Hache Ériphe; Amulette du Strigide; Bague Trithon; Alliance Gloursonne; Carapar; Ceintacé; Masque Brûlâme; Cape du Chalœil; Bottes Trithon; Dofus Émeraude; Dofus Ivoire; Dofus Turquoise; Dofus Abyssal; Remueur; Miraculé majeur; Muldo Orchidée</t>
        </is>
      </c>
    </row>
    <row r="7887">
      <c r="A7887" t="inlineStr">
        <is>
          <t>air2</t>
        </is>
      </c>
      <c r="B7887">
        <f>HYPERLINK("https://www.dofusbook.net/fr/equipement/2874766-air2/objets", "link")</f>
        <v/>
      </c>
      <c r="C7887" t="n">
        <v>1</v>
      </c>
      <c r="D7887" t="inlineStr">
        <is>
          <t>Hachoirs de Viandargh; Amibou; Anneau de Padgref; Alliance Gloursonne; Quatre-feuilles; Menoture; Dorabysses; Capibou; Baleinabottes; Dofus Pourpre; Dofus Abyssal; Dofus Turquoise; Dofus Ivoire; Temporiseur majeur; Cascadeur majeur; Muldo Ebène</t>
        </is>
      </c>
    </row>
    <row r="7888">
      <c r="A7888" t="inlineStr">
        <is>
          <t>multi feu</t>
        </is>
      </c>
      <c r="B7888">
        <f>HYPERLINK("https://www.dofusbook.net/fr/equipement/2872208-multi-feu/objets", "link")</f>
        <v/>
      </c>
      <c r="C7888" t="n">
        <v>0</v>
      </c>
      <c r="D7888" t="inlineStr">
        <is>
          <t>Arc Honte; Amulette Séculaire; Goulano; Anneauræus; Goulclier; Ceinture Séculaire; Coiffe Séculaire; Voile d'encre; Goulbottes; Dofus Ocre; Dofus Ivoire; Dolmanax; Dofus des Glaces; Dofus Pourpre; Dofus Abyssal; Muldo Orchidée et Pourpre</t>
        </is>
      </c>
    </row>
    <row r="7889">
      <c r="A7889" t="inlineStr">
        <is>
          <t>soutien 3v3</t>
        </is>
      </c>
      <c r="B7889">
        <f>HYPERLINK("https://www.dofusbook.net/fr/equipement/2872137-soutien-3v3/objets", "link")</f>
        <v/>
      </c>
      <c r="C7889" t="n">
        <v>0</v>
      </c>
      <c r="D7889" t="inlineStr">
        <is>
          <t>Hache Téroïde; Pendentif mignon de Koutoulou; Anneau Rifique; Alliance Brûlâme; Bouclier du Stalak; Ceinture de l'Indicible; Masque Brûlâme; Voile d'encre; Pompes Funèbres; Dofus Pourpre; Dofus Abyssal; Dofus Ocre; Dofus Ivoire; Dolmanax; Dofus des Glaces; Muldo Ebène et Orchidée</t>
        </is>
      </c>
    </row>
    <row r="7890">
      <c r="A7890" t="inlineStr">
        <is>
          <t>feu eau</t>
        </is>
      </c>
      <c r="B7890">
        <f>HYPERLINK("https://www.dofusbook.net/fr/equipement/2282706-feu-eau/objets", "link")</f>
        <v/>
      </c>
      <c r="C7890" t="n">
        <v>1</v>
      </c>
      <c r="D7890" t="inlineStr">
        <is>
          <t>Arc Nécrotique; Amulette du Strigide; Anneau de Padgref; Alliance Gloursonne; Quatre-feuilles; Ceinture du Strigide; Kidibonnet; Cape de la Dame du Hasard; Bottes de la Dame du Hasard; Dofus Turquoise; Dofus Abyssal; Dofus Ocre; Dofus Ivoire; Dofus Pourpre; Dofus des Glaces; Muldo Indigo et Orchidée</t>
        </is>
      </c>
    </row>
    <row r="7891">
      <c r="A7891" t="inlineStr">
        <is>
          <t>malef tank</t>
        </is>
      </c>
      <c r="B7891">
        <f>HYPERLINK("https://www.dofusbook.net/fr/equipement/2859817-malef-tank/objets", "link")</f>
        <v/>
      </c>
      <c r="C7891" t="n">
        <v>0</v>
      </c>
      <c r="D7891" t="inlineStr">
        <is>
          <t>Baguette de Malléfisk; Pendentif mignon de Koutoulou; Anneauræus; Anneau Rifique; Carapar; Ceinture de Gein; Casque Dragoeuf; Voile d'encre; Bottes Innommables; Dofus Émeraude; Dofus Ivoire; Dofus Ocre; Dofus Abyssal; Érudit majeur; Remueur; Muldo Pourpre</t>
        </is>
      </c>
    </row>
    <row r="7892">
      <c r="A7892" t="inlineStr">
        <is>
          <t>feu pvp</t>
        </is>
      </c>
      <c r="B7892">
        <f>HYPERLINK("https://www.dofusbook.net/fr/equipement/2859733-feu-pvp/objets", "link")</f>
        <v/>
      </c>
      <c r="C7892" t="n">
        <v>1</v>
      </c>
      <c r="D7892" t="inlineStr">
        <is>
          <t>Dagues Ricol; Amulette Séculaire; Chevalière du Roi Joueur; Anneauræus; Bouclier Taverne; Ceinture Séculaire; Heaume Oplate; Voile d'encre; Bottes Innommables; Dofus Pourpre; Dofus Abyssal; Dofus Turquoise; Dofus Ivoire; Dofus Ocre; Érudit majeur; Muldo Indigo et Pourpre</t>
        </is>
      </c>
    </row>
    <row r="7893">
      <c r="A7893" t="inlineStr">
        <is>
          <t>pvp 180</t>
        </is>
      </c>
      <c r="B7893">
        <f>HYPERLINK("https://www.dofusbook.net/fr/equipement/2854454-pvp-180/objets", "link")</f>
        <v/>
      </c>
      <c r="C7893" t="n">
        <v>0</v>
      </c>
      <c r="D7893" t="inlineStr">
        <is>
          <t>Arc Ontanporin; Crolier; Anneau du Kaniblou; Alliance de Guten Tak; Cadran de Terre; Ceinture du Kaniblou; Coiffe de Soissanth; Cape du Korriandre; Bottes de Grozilla; Dofus Ocre; Dofus Ivoire; Dofus des Glaces; Dofus Abyssal; Remueur; Dévastateur Eau majeur; Muldo Indigo et Pourpre</t>
        </is>
      </c>
    </row>
    <row r="7894">
      <c r="A7894" t="inlineStr">
        <is>
          <t>pvp 180</t>
        </is>
      </c>
      <c r="B7894">
        <f>HYPERLINK("https://www.dofusbook.net/fr/equipement/2854410-pvp-180/objets", "link")</f>
        <v/>
      </c>
      <c r="C7894" t="n">
        <v>0</v>
      </c>
      <c r="D7894" t="inlineStr">
        <is>
          <t>L'Épée Nice; La Meulette; Alliance de Guten Tak; Anneau Chevelu; Cadran de Feu; Ceinture de XLII; Ougalurette; Cape de l'Obsidiantre; Bottes de XLII; Dofus Abyssal; Dofus Émeraude; Dofus Ivoire; Dofus Ocre; Remueur; Miraculé majeur; Péki</t>
        </is>
      </c>
    </row>
    <row r="7895">
      <c r="A7895" t="inlineStr">
        <is>
          <t>pvp 180</t>
        </is>
      </c>
      <c r="B7895">
        <f>HYPERLINK("https://www.dofusbook.net/fr/equipement/2854366-pvp-180/objets", "link")</f>
        <v/>
      </c>
      <c r="C7895" t="n">
        <v>0</v>
      </c>
      <c r="D7895" t="inlineStr">
        <is>
          <t>Marteau du Juge Lou; Crolier; Anneau du Kaniblou; Alliance de Guten Tak; Cadran de Terre; Ceinture du Kaniblou; Ougalurette; Cape du Korriandre; Bottes de Grozilla; Dofus des Glaces; Dofus Ivoire; Dofus Ocre; Dofus Abyssal; Remueur; Étourdisseur majeur; Muldo Indigo et Orchidée</t>
        </is>
      </c>
    </row>
    <row r="7896">
      <c r="A7896" t="inlineStr">
        <is>
          <t>terre 180</t>
        </is>
      </c>
      <c r="B7896">
        <f>HYPERLINK("https://www.dofusbook.net/fr/equipement/2854317-terre-180/objets", "link")</f>
        <v/>
      </c>
      <c r="C7896" t="n">
        <v>0</v>
      </c>
      <c r="D7896" t="inlineStr">
        <is>
          <t>L'Épée Nice; La Meulette; Anneau de XLII; Veranneau; Cadran d'Air; Ceinture de XLII; Bonnet Ko; Capikténia; Bottes de XLII; Dofus Émeraude; Dofus Abyssal; Dofus Pourpre; Dofus Ivoire; Dolmanax; Dofus Ocre; Muldo Pourpre</t>
        </is>
      </c>
    </row>
    <row r="7897">
      <c r="A7897" t="inlineStr">
        <is>
          <t>delete</t>
        </is>
      </c>
      <c r="B7897">
        <f>HYPERLINK("https://www.dofusbook.net/fr/equipement/2846434-delete/objets", "link")</f>
        <v/>
      </c>
      <c r="C7897" t="n">
        <v>0</v>
      </c>
      <c r="D7897" t="inlineStr">
        <is>
          <t>Hache du Guerrier Zoth; Gruchette; Anneau Moutheur; Anneau Cérémonial du Seigneur des Rats; Le Karde Cœur; Ceinture Meulante; Masque de l'Abrakleur clair; Cape Ricieuse; Gruchaussures; Dofus Cawotte; Dofus Pourpre; Dofus Kaliptus; Cascadeur; Remueur; Nomade; Dragodinde Emeraude et Turquoise</t>
        </is>
      </c>
    </row>
    <row r="7898">
      <c r="A7898" t="inlineStr">
        <is>
          <t>eau air 199</t>
        </is>
      </c>
      <c r="B7898">
        <f>HYPERLINK("https://www.dofusbook.net/fr/equipement/2834142-eau-air-199/objets", "link")</f>
        <v/>
      </c>
      <c r="C7898" t="n">
        <v>0</v>
      </c>
      <c r="D7898" t="inlineStr">
        <is>
          <t>Bâtonnet Ronien; Amulette Hale; Anneau de Padgref; Alliance Gloursonne; Quatre-feuilles; Ceinture Glaciale; Binocle Airvoyant; Cape Tif; Chaussures Face; Dofus Pourpre; Dofus Abyssal; Dofus Turquoise; Dofus Ivoire; Dofus Ocre; Vagabond majeur; Muldo Indigo et Amande</t>
        </is>
      </c>
    </row>
    <row r="7899">
      <c r="A7899" t="inlineStr">
        <is>
          <t>air</t>
        </is>
      </c>
      <c r="B7899">
        <f>HYPERLINK("https://www.dofusbook.net/fr/equipement/2826547-air/objets", "link")</f>
        <v/>
      </c>
      <c r="C7899" t="n">
        <v>0</v>
      </c>
      <c r="D7899" t="inlineStr">
        <is>
          <t>Manthache; Collier du Valet Veinard; Alliance Gloursonne; Anneau Rifique; Cadran d'Air; Menoture; Casque Cyclopéen; Cape du Valet Veinard; Palmes Trithons; Dofus Pourpre; Dofus Ivoire; Dofus Forgelave; Dofus Ocre; Dofus Émeraude; Dofus Abyssal; Muldo Ebène et Pourpre</t>
        </is>
      </c>
    </row>
    <row r="7900">
      <c r="A7900" t="inlineStr">
        <is>
          <t>terra air tank</t>
        </is>
      </c>
      <c r="B7900">
        <f>HYPERLINK("https://www.dofusbook.net/fr/equipement/2826179-terra-air-tank/objets", "link")</f>
        <v/>
      </c>
      <c r="C7900" t="n">
        <v>0</v>
      </c>
      <c r="D7900" t="inlineStr">
        <is>
          <t>Héqache; Collier de Tourthon; Anneau Chevelu; Bague Trithon; Bouclier Bontarien; Menoture; Dorabysses; Cape au Logis; Bottes Trithon; Dofus Abyssal; Dofus Émeraude; Dofus Ivoire; Dofus Turquoise; Miraculé majeur; Remueur; Péki</t>
        </is>
      </c>
    </row>
    <row r="7901">
      <c r="A7901" t="inlineStr">
        <is>
          <t>atcham tank</t>
        </is>
      </c>
      <c r="B7901">
        <f>HYPERLINK("https://www.dofusbook.net/fr/equipement/2826157-atcham-tank/objets", "link")</f>
        <v/>
      </c>
      <c r="C7901" t="n">
        <v>0</v>
      </c>
      <c r="D7901" t="inlineStr">
        <is>
          <t>Sabres d'Atcham; Amulette de l'Œil Putride; Bague Trithon; Alliance Gloursonne; Bouclier Bontarien; Ceintacé; Masque Trithon; Cape de l'Œil Putride; Sandales  d'Atcham; Dofus Turquoise; Dofus Ivoire; Dofus Émeraude; Dofus Ocre; Dofus Pourpre; Dofus Abyssal; Muldo Ebène</t>
        </is>
      </c>
    </row>
    <row r="7902">
      <c r="A7902" t="inlineStr">
        <is>
          <t>pvp 170</t>
        </is>
      </c>
      <c r="B7902">
        <f>HYPERLINK("https://www.dofusbook.net/fr/equipement/2794840-pvp-170/objets", "link")</f>
        <v/>
      </c>
      <c r="C7902" t="n">
        <v>0</v>
      </c>
      <c r="D7902" t="inlineStr"/>
    </row>
    <row r="7903">
      <c r="A7903" t="inlineStr">
        <is>
          <t>pvp 165</t>
        </is>
      </c>
      <c r="B7903">
        <f>HYPERLINK("https://www.dofusbook.net/fr/equipement/2794668-pvp-165/objets", "link")</f>
        <v/>
      </c>
      <c r="C7903" t="n">
        <v>0</v>
      </c>
      <c r="D7903" t="inlineStr">
        <is>
          <t>Marteau du Juge Lou; La Meulette; Anneau du Kaniblou; Anneau du Chêne Mou; Cadran de Terre; Ceinture de Zatoïshwan; Barbe de Zatoïshwan; Cape Phossile; Sandales Gorithme; Dofus Émeraude; Dofus Pourpre; Dofus Ocre; Remueur; Nomade; Vigoureux majeur; Kramkram</t>
        </is>
      </c>
    </row>
    <row r="7904">
      <c r="A7904" t="inlineStr">
        <is>
          <t>pvp160</t>
        </is>
      </c>
      <c r="B7904">
        <f>HYPERLINK("https://www.dofusbook.net/fr/equipement/2794619-pvp160/objets", "link")</f>
        <v/>
      </c>
      <c r="C7904" t="n">
        <v>0</v>
      </c>
      <c r="D7904" t="inlineStr">
        <is>
          <t>Dagues du Dragoeuf; La Meulette; Anneau Cérémonial du Seigneur des Rats; Anneau de Frigostine; Bouclier Taverne; Ceinture Phossile; Bonnet Ko; Cape Phossile; Bottes Phossiles; Dofus Émeraude; Dofus Ocre; Dofus Pourpre; Dofus Vulbis; Dolmanax; Dofus Turquoise; Kramkram</t>
        </is>
      </c>
    </row>
    <row r="7905">
      <c r="A7905" t="inlineStr">
        <is>
          <t>pvp150</t>
        </is>
      </c>
      <c r="B7905">
        <f>HYPERLINK("https://www.dofusbook.net/fr/equipement/2794499-pvp150/objets", "link")</f>
        <v/>
      </c>
      <c r="C7905" t="n">
        <v>0</v>
      </c>
      <c r="D7905" t="inlineStr">
        <is>
          <t>Hache du Guerrier Zoth; Amulette Ementaire; Gant du Capitaine Ekarlatte; Nageanneau; Le Karde Cœur; Ceinture du Capitaine Ekarlatte; Coiffe du Chêne Mou; Cape Phossile; Bottes du Capitaine Ekarlatte; Dofus Vulbis; Dolmanax; Dofus Émeraude; Dofus Pourpre; Puissant majeur; Robuste majeur; Kramkram</t>
        </is>
      </c>
    </row>
    <row r="7906">
      <c r="A7906" t="inlineStr">
        <is>
          <t>terre air 182</t>
        </is>
      </c>
      <c r="B7906">
        <f>HYPERLINK("https://www.dofusbook.net/fr/equipement/2780920-terre-air-182/objets", "link")</f>
        <v/>
      </c>
      <c r="C7906" t="n">
        <v>0</v>
      </c>
      <c r="D7906" t="inlineStr">
        <is>
          <t>L'Épée Nice; Amulette Nécrotique; Anneau Chevelu; Anneau de XLII; Cadran d'Air; Ceinture de XLII; Chapeau Tiche; Cape Nécrotique; Bottes de XLII; Dofus Pourpre; Dofus Abyssal; Dofus Ocre; Dofus Ivoire; Dofus Émeraude; Dofus des Glaces; Kramkram</t>
        </is>
      </c>
    </row>
    <row r="7907">
      <c r="A7907" t="inlineStr">
        <is>
          <t>feu 160</t>
        </is>
      </c>
      <c r="B7907">
        <f>HYPERLINK("https://www.dofusbook.net/fr/equipement/2773746-feu-160/objets", "link")</f>
        <v/>
      </c>
      <c r="C7907" t="n">
        <v>0</v>
      </c>
      <c r="D7907" t="inlineStr">
        <is>
          <t>La Baguette des Limbes; Talisman d'Elya Wood; Alliance d'Elya Wood; Crochet de Ben le Ripate; Bouclier du Mont Kipou; Ceinture du Père Phorreur; Le Nahitse; Cape Usée du Chêne Mou; Bottes Cérémoniales du Seigneur des Rats; Dofus Ocre; Dofus Pourpre; Carapace Terre majeur; Carapace Eau majeur; Remueur; Érudit majeur; Kramkram</t>
        </is>
      </c>
    </row>
    <row r="7908">
      <c r="A7908" t="inlineStr">
        <is>
          <t>feu 3v3</t>
        </is>
      </c>
      <c r="B7908">
        <f>HYPERLINK("https://www.dofusbook.net/fr/equipement/2769004-feu-3v3/objets", "link")</f>
        <v/>
      </c>
      <c r="C7908" t="n">
        <v>0</v>
      </c>
      <c r="D7908" t="inlineStr">
        <is>
          <t>Arc corrompu; Pendentif affamé; Anneau Rifique; Anneauræus; Bouclier d'Anerice; Ceinture de Gein; Masque d'Anerice; Cape de Diondin; Bottes Innommables; Dolmanax; Dofus Abyssal; Dofus Pourpre; Dofus Ivoire; Dofus Ocre; Érudit majeur; Muldo Orchidée et Pourpre</t>
        </is>
      </c>
    </row>
    <row r="7909">
      <c r="A7909" t="inlineStr">
        <is>
          <t>pvp 199</t>
        </is>
      </c>
      <c r="B7909">
        <f>HYPERLINK("https://www.dofusbook.net/fr/equipement/2768972-pvp-199/objets", "link")</f>
        <v/>
      </c>
      <c r="C7909" t="n">
        <v>0</v>
      </c>
      <c r="D7909" t="inlineStr">
        <is>
          <t>L'Épée Nice; Amulette Hale; Anneau de XLII; Alliance Gloursonne; Écorce de Brouce; Ceinture de XLII; Couronne d'Allister; Cape Matelassée; Pantoufles Émar; Dofus Pourpre; Dofus Abyssal; Dofus Émeraude; Dofus Ivoire; Cavaleur majeur; Cascadeur majeur; Croum</t>
        </is>
      </c>
    </row>
    <row r="7910">
      <c r="A7910" t="inlineStr">
        <is>
          <t>pvp180</t>
        </is>
      </c>
      <c r="B7910">
        <f>HYPERLINK("https://www.dofusbook.net/fr/equipement/2764098-pvp180/objets", "link")</f>
        <v/>
      </c>
      <c r="C7910" t="n">
        <v>0</v>
      </c>
      <c r="D7910" t="inlineStr">
        <is>
          <t>Karnak; Crolier; Alliance de Guten Tak; Anneau de XLII; Bouclier Taverne; Ceintrémorse; Casquoporth; Cape du Korriandre; Bottes de XLII; Dofus Pourpre; Dofus Abyssal; Dofus Turquoise; Dofus Ivoire; Dofus Émeraude; Dofus Ocre; Kramkram</t>
        </is>
      </c>
    </row>
    <row r="7911">
      <c r="A7911" t="inlineStr">
        <is>
          <t>pvp191</t>
        </is>
      </c>
      <c r="B7911">
        <f>HYPERLINK("https://www.dofusbook.net/fr/equipement/2763873-pvp191/objets", "link")</f>
        <v/>
      </c>
      <c r="C7911" t="n">
        <v>0</v>
      </c>
      <c r="D7911" t="inlineStr">
        <is>
          <t>Arc Hisedaisange; Racine Hueuse; Anneau Chevelu; Alliance de Guten Tak; Cadran d'Air; Ceinture de Soissanth; Coiffe de Soissanth; Voile d'encre; Pantoufles de Soissanth; Dofus Vulbis; Dofus des Glaces; Dofus Pourpre; Dofus Abyssal; Dofus Ocre; Dofus Ivoire; Kramkram</t>
        </is>
      </c>
    </row>
    <row r="7912">
      <c r="A7912" t="inlineStr">
        <is>
          <t>terre air</t>
        </is>
      </c>
      <c r="B7912">
        <f>HYPERLINK("https://www.dofusbook.net/fr/equipement/2756565-terre-air/objets", "link")</f>
        <v/>
      </c>
      <c r="C7912" t="n">
        <v>0</v>
      </c>
      <c r="D7912" t="inlineStr">
        <is>
          <t>Arc Ahique; Amulette du Kamasterisk; Anneau des égarés; Alliance Gloursonne; Bouclier du Stalak; Ceinture de la Reine des Voleurs; Coiffe de la Reine des Voleurs; Cape du Kamasterisk; Bottes du Kamasterisk; Dofus Pourpre; Dofus Abyssal; Dofus Ocre; Dofus Ivoire; Dofus Forgelave; Dofus des Glaces; Muldo Ebène et Indigo</t>
        </is>
      </c>
    </row>
    <row r="7913">
      <c r="A7913" t="inlineStr">
        <is>
          <t>terre air</t>
        </is>
      </c>
      <c r="B7913">
        <f>HYPERLINK("https://www.dofusbook.net/fr/equipement/2744853-terre-air/objets", "link")</f>
        <v/>
      </c>
      <c r="C7913" t="n">
        <v>0</v>
      </c>
      <c r="D7913" t="inlineStr">
        <is>
          <t>Dagues Érhy; Amulette du Cycloïde; Anneau du Cycloïde; Anneau Chevelu; Bouclier du Stalak; Ceinture de l'Esprit Salvateur; Masque de Koutoulou; Cape du Kamasterisk; Baleinabottes; Dofus Pourpre; Dofus Abyssal; Dolmanax; Dofus Ivoire; Déserteur majeur; Vigoureux majeur; Muldo Ebène et Pourpre</t>
        </is>
      </c>
    </row>
    <row r="7914">
      <c r="A7914" t="inlineStr">
        <is>
          <t>eau feu</t>
        </is>
      </c>
      <c r="B7914">
        <f>HYPERLINK("https://www.dofusbook.net/fr/equipement/2318969-eau-feu/objets", "link")</f>
        <v/>
      </c>
      <c r="C7914" t="n">
        <v>0</v>
      </c>
      <c r="D7914" t="inlineStr">
        <is>
          <t>Pyraguette; Talisman Igans; Alliance Gloursonne; Lavanneau; Cadran d'Air; Ceinture de l'Esprit Malsain; Kidibonnet; Voile d'encre; Bottes Owesli; Dofus Pourpre; Dofus Abyssal; Dofus Ivoire; Dofus des Glaces; Dofus Ocre; Vigoureux majeur; Muldo Indigo</t>
        </is>
      </c>
    </row>
    <row r="7915">
      <c r="A7915" t="inlineStr">
        <is>
          <t>esquives pa</t>
        </is>
      </c>
      <c r="B7915">
        <f>HYPERLINK("https://www.dofusbook.net/fr/equipement/2738150-esquives-pa/objets", "link")</f>
        <v/>
      </c>
      <c r="C7915" t="n">
        <v>0</v>
      </c>
      <c r="D7915" t="inlineStr">
        <is>
          <t>Lance Horselé; Amulette du Strigide; Anneau de Padgref; Alliance Gloursonne; Quatre-feuilles; Menoture; Chapeau de Tournoyé; Chevelure de Tal Kasha; Sandales de Tal Kasha; Dofus Pourpre; Dofus Abyssal; Dofus Turquoise; Dofus Ivoire; Dofus Ocre; Étourdisseur majeur; Muldo Ebène et Ivoire</t>
        </is>
      </c>
    </row>
    <row r="7916">
      <c r="A7916" t="inlineStr">
        <is>
          <t>malef</t>
        </is>
      </c>
      <c r="B7916">
        <f>HYPERLINK("https://www.dofusbook.net/fr/equipement/1764103-malef/objets", "link")</f>
        <v/>
      </c>
      <c r="C7916" t="n">
        <v>0</v>
      </c>
      <c r="D7916" t="inlineStr">
        <is>
          <t>Baguette de Malléfisk; Pendentif mignon de Koutoulou; Anneauræus; Anneau Rifique; Carapar; Ceinture de Vortex; Couronne de Nidas; Cape de Diondin; Bottes Innommables; Dofus Émeraude; Dofus Abyssal; Dofus Ivoire; Remueur; Miraculé majeur; Érudit majeur; Muldo Orchidée et Pourpre</t>
        </is>
      </c>
    </row>
    <row r="7917">
      <c r="A7917" t="inlineStr">
        <is>
          <t>hache téroide</t>
        </is>
      </c>
      <c r="B7917">
        <f>HYPERLINK("https://www.dofusbook.net/fr/equipement/2737497-hache-teroide/objets", "link")</f>
        <v/>
      </c>
      <c r="C7917" t="n">
        <v>0</v>
      </c>
      <c r="D7917" t="inlineStr">
        <is>
          <t>Hache Téroïde; Amulette du Strigide; Bague Trithon; Anneau Chevelu; Cadran d'Eau; Ceinture Hyolite; Masque de Koutoulou; Voile d'encre; Bottes Trithon; Dofus Turquoise; Dofus Abyssal; Dofus Émeraude; Dofus Ivoire; Miraculé majeur; Remueur; Muldo Orchidée et Pourpre</t>
        </is>
      </c>
    </row>
    <row r="7918">
      <c r="A7918" t="inlineStr">
        <is>
          <t>terre eau</t>
        </is>
      </c>
      <c r="B7918">
        <f>HYPERLINK("https://www.dofusbook.net/fr/equipement/1620199-terre-eau/objets", "link")</f>
        <v/>
      </c>
      <c r="C7918" t="n">
        <v>0</v>
      </c>
      <c r="D7918" t="inlineStr">
        <is>
          <t>Lav'Hache; Amulette Luminescente; Anneau Chevelu; Anneau Crustique; Sept ans de malheur; Culotte de Bethel; Masque de Koutoulou; Cape Matelassée; Chaussons de Macrab; Dofus des Glaces; Dofus Abyssal; Dofus Pourpre; Dofus Ivoire; Dofus Émeraude; Vigoureux majeur; Muldo Roux et Ebène</t>
        </is>
      </c>
    </row>
    <row r="7919">
      <c r="A7919" t="inlineStr">
        <is>
          <t>multi</t>
        </is>
      </c>
      <c r="B7919">
        <f>HYPERLINK("https://www.dofusbook.net/fr/equipement/2681121-multi/objets", "link")</f>
        <v/>
      </c>
      <c r="C7919" t="n">
        <v>0</v>
      </c>
      <c r="D7919" t="inlineStr">
        <is>
          <t>Epée Gloursonne; Amulette de l'Indicible; Bague Gloursonne; Alliance Gloursonne; Bouclier du Stalak; Ceinture de l'Esprit Salvateur; Masque de l'Esprit Salvateur; Cape des Justiciers; Bottes de l'Indicible; Dofus des Glaces; Dofus Abyssal; Dofus Pourpre; Dofus Ivoire; Dolmanax; Robuste majeur; Muldo Indigo et Pourpre</t>
        </is>
      </c>
    </row>
    <row r="7920">
      <c r="A7920" t="inlineStr">
        <is>
          <t>tank ret</t>
        </is>
      </c>
      <c r="B7920">
        <f>HYPERLINK("https://www.dofusbook.net/fr/equipement/2681030-tank-ret/objets", "link")</f>
        <v/>
      </c>
      <c r="C7920" t="n">
        <v>0</v>
      </c>
      <c r="D7920" t="inlineStr">
        <is>
          <t>Dagoulinantes; Amulette d'Ilyzaelle; Alliance Gloursonne; Anneau Crustique; Sept ans de malheur; Menoture; Masque d'Anerice; Cape d'Anerice; Pataugastrique; Dofus Émeraude; Dofus Abyssal; Dofus Ivoire; Paralyseur majeur; Déserteur majeur; Étourdisseur majeur; Muldo Ebène et Indigo</t>
        </is>
      </c>
    </row>
    <row r="7921">
      <c r="A7921" t="inlineStr">
        <is>
          <t>feu soutien</t>
        </is>
      </c>
      <c r="B7921">
        <f>HYPERLINK("https://www.dofusbook.net/fr/equipement/2680985-feu-soutien/objets", "link")</f>
        <v/>
      </c>
      <c r="C7921" t="n">
        <v>0</v>
      </c>
      <c r="D7921" t="inlineStr">
        <is>
          <t>Arc corrompu; Amulette Séculaire; Anneau Rifique; Anneauræus; Bouclier d'Anerice; Ceinture Séculaire; Coiffe Séculaire; Cape d'Anerice; Bottes Innommables; Dofus Pourpre; Dofus Abyssal; Dofus Turquoise; Dofus Ivoire; Dolmanax; Dofus Ocre; Muldo Orchidée et Pourpre</t>
        </is>
      </c>
    </row>
    <row r="7922">
      <c r="A7922" t="inlineStr">
        <is>
          <t>terre tank</t>
        </is>
      </c>
      <c r="B7922">
        <f>HYPERLINK("https://www.dofusbook.net/fr/equipement/2680923-terre-tank/objets", "link")</f>
        <v/>
      </c>
      <c r="C7922" t="n">
        <v>1</v>
      </c>
      <c r="D7922" t="inlineStr">
        <is>
          <t>Arc du Chalœil; Amulette du Strigide; Anneau de Brouce; Anneau Chevelu; Bouclier d'Anerice; Ceinture de Brouce; Masque de Koutoulou; Cape d'Anerice; Bottes de Brouce; Dofus Émeraude; Dolmanax; Dofus Pourpre; Dofus Abyssal; Dofus Turquoise; Dofus Ivoire; Muldo Indigo et Pourpre</t>
        </is>
      </c>
    </row>
    <row r="7923">
      <c r="A7923" t="inlineStr">
        <is>
          <t>multi terre</t>
        </is>
      </c>
      <c r="B7923">
        <f>HYPERLINK("https://www.dofusbook.net/fr/equipement/2265541-multi-terre/objets", "link")</f>
        <v/>
      </c>
      <c r="C7923" t="n">
        <v>0</v>
      </c>
      <c r="D7923" t="inlineStr">
        <is>
          <t>Arc Ahique; Amulette de l'Indicible; Anneau Crustique; Anneau Crustique; Cadran de Terre; Ceinture de la Reine des Voleurs; Coiffe de la Reine des Voleurs; Cape Matelassée; Chaussons de Macrab; Dofus des Glaces; Dofus Pourpre; Dofus Abyssal; Dofus Ocre; Dofus Ivoire; Étourdisseur majeur; Muldo Indigo et Orchidée</t>
        </is>
      </c>
    </row>
    <row r="7924">
      <c r="A7924" t="inlineStr">
        <is>
          <t>feu dps</t>
        </is>
      </c>
      <c r="B7924">
        <f>HYPERLINK("https://www.dofusbook.net/fr/equipement/1434624-feu-dps/objets", "link")</f>
        <v/>
      </c>
      <c r="C7924" t="n">
        <v>0</v>
      </c>
      <c r="D7924" t="inlineStr">
        <is>
          <t>Dagues Ricol; Amulette Séculaire; Anneau de Padgref; Anneauræus; Bouclier d'Ilyzaelle; Ceinture Séculaire; Heaume Oplate; Voile d'encre; Bottes de la Dame du Hasard; Dofus Ocre; Dofus Pourpre; Dofus Abyssal; Dofus Turquoise; Dofus Ivoire; Érudit majeur; Muldo Pourpre</t>
        </is>
      </c>
    </row>
    <row r="7925">
      <c r="A7925" t="inlineStr">
        <is>
          <t>eau air distance</t>
        </is>
      </c>
      <c r="B7925">
        <f>HYPERLINK("https://www.dofusbook.net/fr/equipement/2668824-eau-air-distance/objets", "link")</f>
        <v/>
      </c>
      <c r="C7925" t="n">
        <v>0</v>
      </c>
      <c r="D7925" t="inlineStr">
        <is>
          <t>Arc Ahique; Amulette d'Ilyzaelle; Grésilanneau; Alliance Gloursonne; Cadran d'Air; Ceinture de la Reine des Voleurs; Casque d'Ilyzaelle; Cape Solution; Bottes de la Reine des Voleurs; Dofus Émeraude; Dofus des Glaces; Dofus Pourpre; Dofus Abyssal; Dofus Ocre; Dofus Ivoire; Muldo Ebène</t>
        </is>
      </c>
    </row>
    <row r="7926">
      <c r="A7926" t="inlineStr">
        <is>
          <t>eau 180</t>
        </is>
      </c>
      <c r="B7926">
        <f>HYPERLINK("https://www.dofusbook.net/fr/equipement/2666346-eau-180/objets", "link")</f>
        <v/>
      </c>
      <c r="C7926" t="n">
        <v>0</v>
      </c>
      <c r="D7926" t="inlineStr">
        <is>
          <t>Arc Ontanporin; Crolier; Alliance de Guten Tak; Anneau du Kaniblou; Cadran d'Air; Ceintrémorse; Casquoporth; Cape du Kaniblou; Bottines des sous-bois; Dofus Pourpre; Dofus Abyssal; Dofus Turquoise; Dofus Ivoire; Dolmanax; Dofus Ocre; Muldo Indigo et Orchidée</t>
        </is>
      </c>
    </row>
    <row r="7927">
      <c r="A7927" t="inlineStr">
        <is>
          <t>pvp180</t>
        </is>
      </c>
      <c r="B7927">
        <f>HYPERLINK("https://www.dofusbook.net/fr/equipement/2666291-pvp180/objets", "link")</f>
        <v/>
      </c>
      <c r="C7927" t="n">
        <v>0</v>
      </c>
      <c r="D7927" t="inlineStr">
        <is>
          <t>Karnak; Crolier; Alliance de Guten Tak; Anneau de XLII; Bouclier Taverne; Ceintrémorse; Casquoporth; Cape de Tengu Givrefoux; Bottes de XLII; Dofus Émeraude; Dofus Ocre; Dofus Pourpre; Dofus Abyssal; Dofus Turquoise; Dofus Ivoire; Kramkram</t>
        </is>
      </c>
    </row>
    <row r="7928">
      <c r="A7928" t="inlineStr">
        <is>
          <t>pvp180</t>
        </is>
      </c>
      <c r="B7928">
        <f>HYPERLINK("https://www.dofusbook.net/fr/equipement/2666290-pvp180/objets", "link")</f>
        <v/>
      </c>
      <c r="C7928" t="n">
        <v>0</v>
      </c>
      <c r="D7928" t="inlineStr"/>
    </row>
    <row r="7929">
      <c r="A7929" t="inlineStr">
        <is>
          <t>pvp163</t>
        </is>
      </c>
      <c r="B7929">
        <f>HYPERLINK("https://www.dofusbook.net/fr/equipement/2663978-pvp163/objets", "link")</f>
        <v/>
      </c>
      <c r="C7929" t="n">
        <v>0</v>
      </c>
      <c r="D7929" t="inlineStr">
        <is>
          <t>Bâton K'Tueuh; Amulette Ementaire Deluxe; Sceau Souverain du Roissingue; Anneau du Kaniblou; Le Karde Cœur; Ceinture du Kaniblou; Katar Strophe; Cape du Père Phorreur; Bottes de Grozilla; Dofus Pourpre; Dofus Ocre; Dolmanax; Déserteur majeur; Chanceux majeur; Remueur; Kramkram</t>
        </is>
      </c>
    </row>
    <row r="7930">
      <c r="A7930" t="inlineStr">
        <is>
          <t>pvp170</t>
        </is>
      </c>
      <c r="B7930">
        <f>HYPERLINK("https://www.dofusbook.net/fr/equipement/2329600-pvp170/objets", "link")</f>
        <v/>
      </c>
      <c r="C7930" t="n">
        <v>0</v>
      </c>
      <c r="D7930" t="inlineStr">
        <is>
          <t>Karnak; Col de Ush; Gant du Capitaine Ekarlatte; Sceau Souverain du Roissingue; Cadran d'Air; Ceinture de l'Orfélin; Coiffe de l'Orfélin; Cape Itaineflam; Sandales Binosse; Dofus Ocre; Dofus Pourpre; Cascadeur majeur; Remueur; Culbuteur majeur; Bousculeur majeur; Kramkram</t>
        </is>
      </c>
    </row>
    <row r="7931">
      <c r="A7931" t="inlineStr">
        <is>
          <t>pvp170</t>
        </is>
      </c>
      <c r="B7931">
        <f>HYPERLINK("https://www.dofusbook.net/fr/equipement/2663711-pvp170/objets", "link")</f>
        <v/>
      </c>
      <c r="C7931" t="n">
        <v>0</v>
      </c>
      <c r="D7931" t="inlineStr">
        <is>
          <t>Marteau du Juge Lou; Crolier; Styxano; Sceau Souverain du Roissingue; Cadran d'Eau; Ceinture du Kaniblou; Coiffe du Minotot; Cape du Kaniblou; Bottes de Grozilla; Dofus Émeraude; Dofus Pourpre; Dofus Ocre; Remueur; Miraculé majeur; Chanceux majeur; Muldo Orchidée et Pourpre</t>
        </is>
      </c>
    </row>
    <row r="7932">
      <c r="A7932" t="inlineStr">
        <is>
          <t>pvp 1v1</t>
        </is>
      </c>
      <c r="B7932">
        <f>HYPERLINK("https://www.dofusbook.net/fr/equipement/2662156-pvp-1v1/objets", "link")</f>
        <v/>
      </c>
      <c r="C7932" t="n">
        <v>0</v>
      </c>
      <c r="D7932" t="inlineStr">
        <is>
          <t>L'Épée Nice; Amulette du Strigide; Anneau Chevelu; Anneau Crustique; Cadran de Feu; Ceinture du Strigide; Masque de Koutoulou; Voile d'encre; Sabots Minables; Dofus Émeraude; Dofus Abyssal; Dofus Pourpre; Dofus Ivoire; Dokoko; Dofus Turquoise; Kramkram</t>
        </is>
      </c>
    </row>
    <row r="7933">
      <c r="A7933" t="inlineStr">
        <is>
          <t>eau ret</t>
        </is>
      </c>
      <c r="B7933">
        <f>HYPERLINK("https://www.dofusbook.net/fr/equipement/1458365-eau-ret/objets", "link")</f>
        <v/>
      </c>
      <c r="C7933" t="n">
        <v>0</v>
      </c>
      <c r="D7933" t="inlineStr">
        <is>
          <t>Dagoulinantes; Talisman Glouti; Alliance Gloursonne; Alliance de Guten Tak; Sept ans de malheur; Culotte de Bethel; Masque de Funespadon; Cape Matelassée; Pataugastrique; Dofus des Glaces; Dofus Abyssal; Dofus Émeraude; Dofus Ivoire; Déserteur majeur; Étourdisseur majeur; Muldo Ebène</t>
        </is>
      </c>
    </row>
    <row r="7934">
      <c r="A7934" t="inlineStr">
        <is>
          <t>air2</t>
        </is>
      </c>
      <c r="B7934">
        <f>HYPERLINK("https://www.dofusbook.net/fr/equipement/2632634-air2/objets", "link")</f>
        <v/>
      </c>
      <c r="C7934" t="n">
        <v>0</v>
      </c>
      <c r="D7934" t="inlineStr">
        <is>
          <t>Hachoirs de Viandargh; Amibou; Alliance Gloursonne; Bague Trithon; Bouclier Taverne; Menoture; Chapibou; Cape du Cœur Vaillant; Bottes du Cœur Vaillant; Dofus Ocre; Dofus Pourpre; Dofus Abyssal; Dofus Turquoise; Dofus Ivoire; Bousculeur majeur; Muldo Ebène</t>
        </is>
      </c>
    </row>
    <row r="7935">
      <c r="A7935" t="inlineStr">
        <is>
          <t>feu eau</t>
        </is>
      </c>
      <c r="B7935">
        <f>HYPERLINK("https://www.dofusbook.net/fr/equipement/2628344-feu-eau/objets", "link")</f>
        <v/>
      </c>
      <c r="C7935" t="n">
        <v>0</v>
      </c>
      <c r="D7935" t="inlineStr">
        <is>
          <t>Épée Brûlâme; Amulette du Strigide; Anneau de Padgref; Alliance Gloursonne; Cadran d'Eau; Ceinture du Strigide; Heaume Oplate; Cape de la Dame du Hasard; Bottes de la Dame du Hasard; Dofus Pourpre; Dofus Abyssal; Dofus Turquoise; Dofus Ivoire; Dofus Émeraude; Dofus Ocre; Muldo Orchidée</t>
        </is>
      </c>
    </row>
    <row r="7936">
      <c r="A7936" t="inlineStr">
        <is>
          <t>air esquives</t>
        </is>
      </c>
      <c r="B7936">
        <f>HYPERLINK("https://www.dofusbook.net/fr/equipement/2628153-air-esquives/objets", "link")</f>
        <v/>
      </c>
      <c r="C7936" t="n">
        <v>1</v>
      </c>
      <c r="D7936" t="inlineStr">
        <is>
          <t>Manthache; Collier du Valet Veinard; Alliance Gloursonne; Gant du Valet Veinard; Bouclier du Stalak; Menoture; Chapeau de Tournoyé; Cape de Crânonier; Palmes Trithons; Dofus Cawotte; Dofus Ocre; Dofus Émeraude; Dofus Abyssal; Dofus Pourpre; Dofus Ivoire; Muldo Ebène</t>
        </is>
      </c>
    </row>
    <row r="7937">
      <c r="A7937" t="inlineStr">
        <is>
          <t>terre dps</t>
        </is>
      </c>
      <c r="B7937">
        <f>HYPERLINK("https://www.dofusbook.net/fr/equipement/2621342-terre-dps/objets", "link")</f>
        <v/>
      </c>
      <c r="C7937" t="n">
        <v>1</v>
      </c>
      <c r="D7937" t="inlineStr">
        <is>
          <t>L'Épée Nice; Amulette du Cœur Saignant; Anneau Crustique; Anneau Chevelu; Bouclier d'Ilyzaelle; Ceinture Gence; Masque de Koutoulou; Voile d'encre; Bottes du Cœur Saignant; Dofus Abyssal; Dofus Pourpre; Dofus Ivoire; Dofus Turquoise; Enragé majeur; Carapace Terre majeur; Kramkram</t>
        </is>
      </c>
    </row>
    <row r="7938">
      <c r="A7938" t="inlineStr">
        <is>
          <t>feu air</t>
        </is>
      </c>
      <c r="B7938">
        <f>HYPERLINK("https://www.dofusbook.net/fr/equipement/2621247-feu-air/objets", "link")</f>
        <v/>
      </c>
      <c r="C7938" t="n">
        <v>0</v>
      </c>
      <c r="D7938" t="inlineStr">
        <is>
          <t>Dagues Érhy; Amulette du Cycloïde; Alliance Brûlâme; Anneau Rifique; Cadran d'Air; Menoture; Casque Cyclopéen; Cape de l'Œil Putride; Bottes de l'Indicible; Dofus Ocre; Dofus Abyssal; Dofus Pourpre; Dofus Ivoire; Déserteur majeur; Temporiseur majeur; Muldo Pourpre et Amande</t>
        </is>
      </c>
    </row>
    <row r="7939">
      <c r="A7939" t="inlineStr">
        <is>
          <t>eau 1v1</t>
        </is>
      </c>
      <c r="B7939">
        <f>HYPERLINK("https://www.dofusbook.net/fr/equipement/2620954-eau-1v1/objets", "link")</f>
        <v/>
      </c>
      <c r="C7939" t="n">
        <v>0</v>
      </c>
      <c r="D7939" t="inlineStr">
        <is>
          <t>Baguette Héroclite; Amulette de Shokkoth; Alliance Gloursonne; Bracelet des Fonds marins; Bouclier du Stalak; Ceinture de la Reine des Voleurs; Kidibonnet; Cape Solution; Bottes de la Reine des Voleurs; Dofus Abyssal; Dofus Pourpre; Dofus Ivoire; Dofus des Glaces; Chanceux majeur; Nomade; Kramkram</t>
        </is>
      </c>
    </row>
    <row r="7940">
      <c r="A7940" t="inlineStr">
        <is>
          <t>air</t>
        </is>
      </c>
      <c r="B7940">
        <f>HYPERLINK("https://www.dofusbook.net/fr/equipement/1435640-air/objets", "link")</f>
        <v/>
      </c>
      <c r="C7940" t="n">
        <v>0</v>
      </c>
      <c r="D7940" t="inlineStr">
        <is>
          <t>Karnak; Collier du Valet Veinard; Alliance Brûlâme; Gant du Valet Veinard; Bouclier d'Ilyzaelle; Menoture; Casque d'Ilyzaelle; Cape du Valet Veinard; Pompes Funèbres; Dofus Émeraude; Dofus Ivoire; Dofus Pourpre; Dolmanax; Dofus Abyssal; Acrobate majeur; Kramkram</t>
        </is>
      </c>
    </row>
    <row r="7941">
      <c r="A7941" t="inlineStr">
        <is>
          <t>multi nocrit</t>
        </is>
      </c>
      <c r="B7941">
        <f>HYPERLINK("https://www.dofusbook.net/fr/equipement/1974041-multi-nocrit/objets", "link")</f>
        <v/>
      </c>
      <c r="C7941" t="n">
        <v>0</v>
      </c>
      <c r="D7941" t="inlineStr">
        <is>
          <t>Epée Gloursonne; Amulette de l'Œil Putride; Bague Gloursonne; Alliance Gloursonne; Bouclier du Stalak; Ceinture de l'Esprit Salvateur; Masque de l'Esprit Salvateur; Cape de l'Œil Putride; Bottes de l'Esprit Salvateur; Dofus Ocre; Dofus Ivoire; Dofus Vulbis; Dofus des Glaces; Dofus Pourpre; Dofus Abyssal; Kramkram</t>
        </is>
      </c>
    </row>
    <row r="7942">
      <c r="A7942" t="inlineStr">
        <is>
          <t>terre air tank</t>
        </is>
      </c>
      <c r="B7942">
        <f>HYPERLINK("https://www.dofusbook.net/fr/equipement/2612744-terre-air-tank/objets", "link")</f>
        <v/>
      </c>
      <c r="C7942" t="n">
        <v>0</v>
      </c>
      <c r="D7942" t="inlineStr">
        <is>
          <t>L'Épée Nice; Anneau Chevelu; Anneau des égarés; Ceintouse; Casque des égarés; Cape du Cœur Vaillant; Baleinabottes</t>
        </is>
      </c>
    </row>
    <row r="7943">
      <c r="A7943" t="inlineStr">
        <is>
          <t>feu air malef</t>
        </is>
      </c>
      <c r="B7943">
        <f>HYPERLINK("https://www.dofusbook.net/fr/equipement/2538863-feu-air-malef/objets", "link")</f>
        <v/>
      </c>
      <c r="C7943" t="n">
        <v>0</v>
      </c>
      <c r="D7943" t="inlineStr"/>
    </row>
    <row r="7944">
      <c r="A7944" t="inlineStr">
        <is>
          <t>air 150</t>
        </is>
      </c>
      <c r="B7944">
        <f>HYPERLINK("https://www.dofusbook.net/fr/equipement/2538517-air-150/objets", "link")</f>
        <v/>
      </c>
      <c r="C7944" t="n">
        <v>0</v>
      </c>
      <c r="D7944" t="inlineStr">
        <is>
          <t>Epée du Dragoeuf; Gruchette; Gant du Capitaine Ekarlatte; Anneau Cérémonial du Seigneur des Rats; Bouclier du Sadida; Cacture; Bonnet Ko; Capterre; Sandales Gorithme; Dofus Émeraude; Dofus Pourpre; Remueur; Cascadeur majeur; Nomade; Vigoureux majeur; Muldo Prune et Emeraude</t>
        </is>
      </c>
    </row>
    <row r="7945">
      <c r="A7945" t="inlineStr">
        <is>
          <t>dopou 170</t>
        </is>
      </c>
      <c r="B7945">
        <f>HYPERLINK("https://www.dofusbook.net/fr/equipement/2520339-dopou-170/objets", "link")</f>
        <v/>
      </c>
      <c r="C7945" t="n">
        <v>0</v>
      </c>
      <c r="D7945" t="inlineStr">
        <is>
          <t>Marteau Racle; Porte-Malheur du Nowel Cauchemardesque; Anneau de XLII; Alliance de Guten Tak; Cadran d'Air; Ceinture de XLII; Coiffe de l'Orfélin; Cape Ricieuse; Bottes de Ush; Dofus Pourpre; Dofus Ocre; Remueur; Vigoureux majeur; Bousculeur majeur; Culbuteur majeur; Muldo Indigo et Amande</t>
        </is>
      </c>
    </row>
    <row r="7946">
      <c r="A7946" t="inlineStr">
        <is>
          <t>air docrit</t>
        </is>
      </c>
      <c r="B7946">
        <f>HYPERLINK("https://www.dofusbook.net/fr/equipement/2518586-air-docrit/objets", "link")</f>
        <v/>
      </c>
      <c r="C7946" t="n">
        <v>0</v>
      </c>
      <c r="D7946" t="inlineStr">
        <is>
          <t>Lance Horselé; Amibou; Anneau de Padgref; Alliance Gloursonne; Cadran de Terre; Menoture; Chapeau de Tournoyé; Chevelure de Tal Kasha; Sandales de Tal Kasha; Dofus Pourpre; Dofus Abyssal; Dofus Ocre; Dofus Ivoire; Dofus Turquoise; Cascadeur majeur; Muldo Ebène</t>
        </is>
      </c>
    </row>
    <row r="7947">
      <c r="A7947" t="inlineStr">
        <is>
          <t>terre air dopou</t>
        </is>
      </c>
      <c r="B7947">
        <f>HYPERLINK("https://www.dofusbook.net/fr/equipement/2517116-terre-air-dopou/objets", "link")</f>
        <v/>
      </c>
      <c r="C7947" t="n">
        <v>0</v>
      </c>
      <c r="D7947" t="inlineStr">
        <is>
          <t>Héqache; Amulette du Cœur Vaillant; Bague Trithon; Anneau Chevelu; Quatre-feuilles; Ceinture Gence; Masque Trithon; Cape du Cœur Vaillant; Bottes Trithon; Dofus des Glaces; Dofus Pourpre; Dofus Abyssal; Dofus Turquoise; Dofus Ivoire; Bousculeur majeur; Muldo Ebène</t>
        </is>
      </c>
    </row>
    <row r="7948">
      <c r="A7948" t="inlineStr">
        <is>
          <t>terre cancer</t>
        </is>
      </c>
      <c r="B7948">
        <f>HYPERLINK("https://www.dofusbook.net/fr/equipement/2516775-terre-cancer/objets", "link")</f>
        <v/>
      </c>
      <c r="C7948" t="n">
        <v>0</v>
      </c>
      <c r="D7948" t="inlineStr">
        <is>
          <t>Marteau R'ture; Amulette du Cœur Saignant; Anneau Chevelu; Anneau Crustique; Cadran de Terre; Ceintouse; Masque de Koutoulou; Cape de Kongoku; Tentassons; Dofus Émeraude; Dofus Abyssal; Dofus Pourpre; Dofus Ivoire; Dofus Turquoise; Remueur; Muldo Indigo</t>
        </is>
      </c>
    </row>
    <row r="7949">
      <c r="A7949" t="inlineStr">
        <is>
          <t>terre air</t>
        </is>
      </c>
      <c r="B7949">
        <f>HYPERLINK("https://www.dofusbook.net/fr/equipement/2511577-terre-air/objets", "link")</f>
        <v/>
      </c>
      <c r="C7949" t="n">
        <v>0</v>
      </c>
      <c r="D7949" t="inlineStr">
        <is>
          <t>Hache Ériphe; Amulette du Kamasterisk; Anneau des égarés; Alliance Gloursonne; Bouclier du Stalak; Menoture; Coiffe de la Reine des Voleurs; Voile d'encre; Bottes de la Reine des Voleurs; Dofus des Glaces; Dofus Pourpre; Dofus Abyssal; Dofus Ocre; Dofus Ivoire; Nomade; Kramkram</t>
        </is>
      </c>
    </row>
    <row r="7950">
      <c r="A7950" t="inlineStr">
        <is>
          <t>feu</t>
        </is>
      </c>
      <c r="B7950">
        <f>HYPERLINK("https://www.dofusbook.net/fr/equipement/2510051-feu/objets", "link")</f>
        <v/>
      </c>
      <c r="C7950" t="n">
        <v>0</v>
      </c>
      <c r="D7950" t="inlineStr">
        <is>
          <t>Arc corrompu; Pendentif affamé; Anneau Toriété; Anneauræus; Cadran de Terre; Menoture; Masque Ardent; Voile d'encre; Chaussures Ardentes; Dofus Abyssal; Dofus des Glaces; Dofus Ivoire; Dofus Ocre; Carapace Neutre majeur; Étourdisseur majeur; Kramkram</t>
        </is>
      </c>
    </row>
    <row r="7951">
      <c r="A7951" t="inlineStr">
        <is>
          <t>multi dps</t>
        </is>
      </c>
      <c r="B7951">
        <f>HYPERLINK("https://www.dofusbook.net/fr/equipement/1362991-multi-dps/objets", "link")</f>
        <v/>
      </c>
      <c r="C7951" t="n">
        <v>0</v>
      </c>
      <c r="D7951" t="inlineStr">
        <is>
          <t>Pelle de Nidas; Amulette du Strigide; Bague Trithon; Anneau de Padgref; Quatre-feuilles; Ceinture du Strigide; Masque Trithon; Cape de la Dame du Hasard; Bottes Trithon; Dofus Turquoise; Dofus Abyssal; Dofus Ocre; Dofus Ivoire; Dofus Pourpre; Dofus des Glaces; Muldo Prune et Emeraude</t>
        </is>
      </c>
    </row>
    <row r="7952">
      <c r="A7952" t="inlineStr">
        <is>
          <t>soin repou</t>
        </is>
      </c>
      <c r="B7952">
        <f>HYPERLINK("https://www.dofusbook.net/fr/equipement/2498371-soin-repou/objets", "link")</f>
        <v/>
      </c>
      <c r="C7952" t="n">
        <v>0</v>
      </c>
      <c r="D7952" t="inlineStr">
        <is>
          <t>Baguette de Malléfisk; Pendentif affamé; Anneau Tique; Anneauræus; Bouclier de Solar; Ceinture de Gein; Heaume Oplate; Cape Ardente; Chaussures Ardentes; Dofus Ocre; Dofus Ivoire; Dofus Abyssal; Guérisseur majeur; Érudit majeur; Solide majeur; Muldo Indigo et Orchidée</t>
        </is>
      </c>
    </row>
    <row r="7953">
      <c r="A7953" t="inlineStr">
        <is>
          <t>répou</t>
        </is>
      </c>
      <c r="B7953">
        <f>HYPERLINK("https://www.dofusbook.net/fr/equipement/2498343-repou/objets", "link")</f>
        <v/>
      </c>
      <c r="C7953" t="n">
        <v>0</v>
      </c>
      <c r="D7953" t="inlineStr">
        <is>
          <t>Pelle de la Cour Sombre; Collier du Valet Veinard; Alliance Gloursonne; Gant du Valet Veinard; Bouclier de Solar; Menoture; Capuche de Moum-Ra; Cape de Crânonier; Palmes Trithons; Dofus Abyssal; Dofus Ivoire; Dofus Ocre; Étourdisseur majeur; Solide majeur; Cascadeur majeur; Muldo Ebène</t>
        </is>
      </c>
    </row>
    <row r="7954">
      <c r="A7954" t="inlineStr">
        <is>
          <t>terre eau</t>
        </is>
      </c>
      <c r="B7954">
        <f>HYPERLINK("https://www.dofusbook.net/fr/equipement/2498099-terre-eau/objets", "link")</f>
        <v/>
      </c>
      <c r="C7954" t="n">
        <v>0</v>
      </c>
      <c r="D7954" t="inlineStr">
        <is>
          <t>Lav'Hache; Collier de Tourthon; Anneau Crustique; Anneau Chevelu; Cadran de Terre; Ceinture Gence; Masque de Funespadon; Cape au Logis; Chaussons de Macrab; Dofus des Glaces; Dofus Pourpre; Dofus Abyssal; Dofus Ocre; Dofus Ivoire; Étourdisseur majeur; Muldo Pourpre et Amande</t>
        </is>
      </c>
    </row>
    <row r="7955">
      <c r="A7955" t="inlineStr">
        <is>
          <t>full docrit</t>
        </is>
      </c>
      <c r="B7955">
        <f>HYPERLINK("https://www.dofusbook.net/fr/equipement/2495939-full-docrit/objets", "link")</f>
        <v/>
      </c>
      <c r="C7955" t="n">
        <v>0</v>
      </c>
      <c r="D7955" t="inlineStr">
        <is>
          <t>Arc de Koutoulou; Amulette du Strigide; Anneau de Padgref; Bague Trithon; Quatre-feuilles; Ceinture du Strigide; Némès de Tal Kasha; Chevelure de Tal Kasha; Sandales de Tal Kasha; Dofus Turquoise; Dofus Abyssal; Dofus Ocre; Dofus Ivoire; Dofus Pourpre; Dofus des Glaces; Muldo Prune et Ebène</t>
        </is>
      </c>
    </row>
    <row r="7956">
      <c r="A7956" t="inlineStr">
        <is>
          <t>srambad</t>
        </is>
      </c>
      <c r="B7956">
        <f>HYPERLINK("https://www.dofusbook.net/fr/equipement/2495882-srambad/objets", "link")</f>
        <v/>
      </c>
      <c r="C7956" t="n">
        <v>0</v>
      </c>
      <c r="D7956" t="inlineStr">
        <is>
          <t>Dagues de Srambad; Amulette Luminescente; Anneau Crustique; Anneau Crustique; Cadran d'Eau; Culotte de Bethel; Masque de Koutoulou; Cape Luminescente; Chaussons de Macrab; Dofus Vulbis; Dofus Ocre; Dofus Pourpre; Dofus Abyssal; Dofus des Glaces; Dofus Ivoire; Muldo Ebène et Pourpre</t>
        </is>
      </c>
    </row>
    <row r="7957">
      <c r="A7957" t="inlineStr">
        <is>
          <t>air</t>
        </is>
      </c>
      <c r="B7957">
        <f>HYPERLINK("https://www.dofusbook.net/fr/equipement/2455944-air/objets", "link")</f>
        <v/>
      </c>
      <c r="C7957" t="n">
        <v>0</v>
      </c>
      <c r="D7957" t="inlineStr">
        <is>
          <t>Hachoirs de Viandargh; Amibou; Alliance Gloursonne; Bague Trithon; Quatre-feuilles; Menoture; Masque Trithon; Capibou; Bottes Trithon; Dofus des Glaces; Dofus Pourpre; Dofus Abyssal; Dofus Turquoise; Dofus Ivoire; Bousculeur majeur; Muldo Ebène</t>
        </is>
      </c>
    </row>
    <row r="7958">
      <c r="A7958" t="inlineStr">
        <is>
          <t>eau 199</t>
        </is>
      </c>
      <c r="B7958">
        <f>HYPERLINK("https://www.dofusbook.net/fr/equipement/2464813-eau-199/objets", "link")</f>
        <v/>
      </c>
      <c r="C7958" t="n">
        <v>0</v>
      </c>
      <c r="D7958" t="inlineStr">
        <is>
          <t>Pelle Fik; Amulette de Danathor; Pikano; Alliance Gloursonne; Cadran d'Air; Ceinture de Danathor; Casque Dragoeuf; Cape Matelassée; Sandales Circulaires du Kimbo; Dofus Abyssal; Dofus Pourpre; Dofus Ivoire; Dofus Ocre; Déserteur majeur; Chanceux majeur; Muldo Indigo et Amande</t>
        </is>
      </c>
    </row>
    <row r="7959">
      <c r="A7959" t="inlineStr">
        <is>
          <t>terre retrait</t>
        </is>
      </c>
      <c r="B7959">
        <f>HYPERLINK("https://www.dofusbook.net/fr/equipement/2463787-terre-retrait/objets", "link")</f>
        <v/>
      </c>
      <c r="C7959" t="n">
        <v>0</v>
      </c>
      <c r="D7959" t="inlineStr">
        <is>
          <t>Marteau R'ture; Amulette Luminescente; Anneau Crustique; Anneau Chevelu; Cadran de Terre; Ceintouse; Masque de Koutoulou; Cape au Logis; Tentassons; Dofus Émeraude; Dofus Abyssal; Dofus Pourpre; Dofus Ivoire; Remueur; Miraculé majeur; Péki</t>
        </is>
      </c>
    </row>
    <row r="7960">
      <c r="A7960" t="inlineStr">
        <is>
          <t>terre</t>
        </is>
      </c>
      <c r="B7960">
        <f>HYPERLINK("https://www.dofusbook.net/fr/equipement/2458853-terre/objets", "link")</f>
        <v/>
      </c>
      <c r="C7960" t="n">
        <v>0</v>
      </c>
      <c r="D7960" t="inlineStr">
        <is>
          <t>Lav'Hache; Collier de Tourthon; Anneau Crustique; Anneau Chevelu; Bouclier du Stalak; Ceinture de la Reine des Voleurs; Coiffe de la Reine des Voleurs; Cape au Logis; Sabots Minables; Dofus Pourpre; Dofus Abyssal; Dofus Ocre; Dofus Ivoire; Dofus des Glaces; Dévastateur Terre majeur; Kramkram</t>
        </is>
      </c>
    </row>
    <row r="7961">
      <c r="A7961" t="inlineStr">
        <is>
          <t>eau</t>
        </is>
      </c>
      <c r="B7961">
        <f>HYPERLINK("https://www.dofusbook.net/fr/equipement/2456054-eau/objets", "link")</f>
        <v/>
      </c>
      <c r="C7961" t="n">
        <v>0</v>
      </c>
      <c r="D7961" t="inlineStr">
        <is>
          <t>Sceptre du Roi Joueur; Amulette de l'Œil Attentif; Alliance Gloursonne; Pikano; Bouclier du Stalak; Sangle Ouare; Capuche de l'Œil Putride; Cape de l'Œil Putride; Pataugastrique; Dofus Ocre; Dofus Abyssal; Dofus Émeraude; Dofus Ivoire; Déserteur majeur; Chanceux majeur; Cube</t>
        </is>
      </c>
    </row>
    <row r="7962">
      <c r="A7962" t="inlineStr">
        <is>
          <t>air</t>
        </is>
      </c>
      <c r="B7962">
        <f>HYPERLINK("https://www.dofusbook.net/fr/equipement/2455967-air/objets", "link")</f>
        <v/>
      </c>
      <c r="C7962" t="n">
        <v>0</v>
      </c>
      <c r="D7962" t="inlineStr">
        <is>
          <t>Hachoirs de Viandargh; Collier du Valet Veinard; Anneau Rifique; Alliance Gloursonne; Bouclier du Stalak; Ceinture du Barbétoal; Couronne d'Allister; Cape du Valet Veinard; Baleinabottes; Dofus Abyssal; Dofus Pourpre; Dofus Ivoire; Dofus Ocre; Cascadeur majeur; Temporiseur majeur; Muldo Ebène</t>
        </is>
      </c>
    </row>
    <row r="7963">
      <c r="A7963" t="inlineStr">
        <is>
          <t>terre koli3v3</t>
        </is>
      </c>
      <c r="B7963">
        <f>HYPERLINK("https://www.dofusbook.net/fr/equipement/2455472-terre-koli3v3/objets", "link")</f>
        <v/>
      </c>
      <c r="C7963" t="n">
        <v>0</v>
      </c>
      <c r="D7963" t="inlineStr">
        <is>
          <t>Héqache; Amulette du Strigide; Anneau Crustique; Anneau Chevelu; Cadran de Terre; Ceinture de la Cour Sombre; Masque de Koutoulou; Cape de la Cour Sombre; Sabots Minables; Dofus Pourpre; Dofus Ivoire; Dofus Turquoise; Dofus Abyssal; Enragé majeur; Étourdisseur majeur; Muldo Indigo et Pourpre</t>
        </is>
      </c>
    </row>
    <row r="7964">
      <c r="A7964" t="inlineStr">
        <is>
          <t>feu dps</t>
        </is>
      </c>
      <c r="B7964">
        <f>HYPERLINK("https://www.dofusbook.net/fr/equipement/2453314-feu-dps/objets", "link")</f>
        <v/>
      </c>
      <c r="C7964" t="n">
        <v>0</v>
      </c>
      <c r="D7964" t="inlineStr">
        <is>
          <t>Arc corrompu; Amulette Séculaire; Anneau de Padgref; Anneauræus; Quatre-feuilles; Ceinture Séculaire; Coiffe Séculaire; Cape de la Dame du Hasard; Bottes de la Dame du Hasard; Dofus Pourpre; Dofus Abyssal; Dofus Turquoise; Dofus Ivoire; Dofus Émeraude; Dofus Ocre; Muldo Orchidée</t>
        </is>
      </c>
    </row>
    <row r="7965">
      <c r="A7965" t="inlineStr">
        <is>
          <t>arc haique</t>
        </is>
      </c>
      <c r="B7965">
        <f>HYPERLINK("https://www.dofusbook.net/fr/equipement/2282591-arc-haique/objets", "link")</f>
        <v/>
      </c>
      <c r="C7965" t="n">
        <v>0</v>
      </c>
      <c r="D7965" t="inlineStr">
        <is>
          <t>Arc Ahique; Amulette de l'Œil Attentif; Pikano; Alliance Gloursonne; Cadran d'Air; Ceinture de la Reine des Voleurs; Kidibonnet; Cape Matelassée; Bottes de la Reine des Voleurs; Dofus Pourpre; Dofus Abyssal; Dofus Ivoire; Dofus des Glaces; Vigoureux majeur; Chanceux majeur; Muldo Ebène et Indigo</t>
        </is>
      </c>
    </row>
    <row r="7966">
      <c r="A7966" t="inlineStr">
        <is>
          <t>air</t>
        </is>
      </c>
      <c r="B7966">
        <f>HYPERLINK("https://www.dofusbook.net/fr/equipement/2409229-air/objets", "link")</f>
        <v/>
      </c>
      <c r="C7966" t="n">
        <v>0</v>
      </c>
      <c r="D7966" t="inlineStr">
        <is>
          <t>Karnak; Collier du Valet Veinard; Alliance Gloursonne; Gant du Valet Veinard; Bouclier d'Ilyzaelle; Menoture; Couronne d'Allister; Cape Indescriptible; Palmes Trithons; Dofus Ivoire; Dofus Émeraude; Dofus Abyssal; Remueur; Miraculé majeur; Cascadeur majeur; Péki</t>
        </is>
      </c>
    </row>
    <row r="7967">
      <c r="A7967" t="inlineStr">
        <is>
          <t>taper 1v1</t>
        </is>
      </c>
      <c r="B7967">
        <f>HYPERLINK("https://www.dofusbook.net/fr/equipement/2385026-taper-1v1/objets", "link")</f>
        <v/>
      </c>
      <c r="C7967" t="n">
        <v>0</v>
      </c>
      <c r="D7967" t="inlineStr">
        <is>
          <t>Héqache; Amulette du Strigide; Anneau Chevelu; Anneau Crustique; Bouclier du Captain Amakna; Ceinture du Strigide; Chapoulpe; Voile d'encre; Sabots Minables; Dofus Pourpre; Dofus Abyssal; Dofus Turquoise; Dofus Ivoire; Dofus Émeraude; Dofus Ocre; Muldo Prune et Pourpre</t>
        </is>
      </c>
    </row>
    <row r="7968">
      <c r="A7968" t="inlineStr">
        <is>
          <t>air tank esquives</t>
        </is>
      </c>
      <c r="B7968">
        <f>HYPERLINK("https://www.dofusbook.net/fr/equipement/1529260-air-tank-esquives/objets", "link")</f>
        <v/>
      </c>
      <c r="C7968" t="n">
        <v>1</v>
      </c>
      <c r="D7968" t="inlineStr">
        <is>
          <t>Manthache; Amulette du Strigide; Alliance Gloursonne; Gant du Valet Veinard; Bouclier d'Anerice; Menoture; Capuche de Moum-Ra; Cape d'Anerice; Palmes Trithons; Dofus Pourpre; Dofus Abyssal; Dofus Turquoise; Dofus Ivoire; Dofus Ocre; Cascadeur majeur; Muldo Ebène et Orchidée</t>
        </is>
      </c>
    </row>
    <row r="7969">
      <c r="A7969" t="inlineStr">
        <is>
          <t>feu</t>
        </is>
      </c>
      <c r="B7969">
        <f>HYPERLINK("https://www.dofusbook.net/fr/equipement/1958352-feu-/objets", "link")</f>
        <v/>
      </c>
      <c r="C7969" t="n">
        <v>0</v>
      </c>
      <c r="D7969" t="inlineStr">
        <is>
          <t>Arc corrompu; Pendentif affamé; Anneau de Nidas; Alliance Boletée; Bouclier du Stalak; Ceinture de Vortex; Couronne de Nidas; Voile d'encre; Pataugastrique; Dofus Ivoire; Dofus Ocre; Dofus Pourpre; Dofus Abyssal; Érudit majeur; Temporiseur majeur; Muldo Orchidée et Amande</t>
        </is>
      </c>
    </row>
    <row r="7970">
      <c r="A7970" t="inlineStr">
        <is>
          <t>feu eau</t>
        </is>
      </c>
      <c r="B7970">
        <f>HYPERLINK("https://www.dofusbook.net/fr/equipement/1402453-feu-eau/objets", "link")</f>
        <v/>
      </c>
      <c r="C7970" t="n">
        <v>0</v>
      </c>
      <c r="D7970" t="inlineStr">
        <is>
          <t>Arc Nécrotique; Collier de la Dame du Hasard; Anneau de Padgref; Alliance Gloursonne; Quatre-feuilles; Poulpagne; Capuche de l'Œil Putride; Cape de l'Œil Putride; Bottes de la Dame du Hasard; Dofus Turquoise; Dofus Ivoire; Dofus Ocre; Dofus Pourpre; Dofus Abyssal; Vagabond majeur; Muldo Indigo et Pourpre</t>
        </is>
      </c>
    </row>
    <row r="7971">
      <c r="A7971" t="inlineStr">
        <is>
          <t>hétype</t>
        </is>
      </c>
      <c r="B7971">
        <f>HYPERLINK("https://www.dofusbook.net/fr/equipement/2381928-hetype/objets", "link")</f>
        <v/>
      </c>
      <c r="C7971" t="n">
        <v>1</v>
      </c>
      <c r="D7971" t="inlineStr">
        <is>
          <t>Arc Hétype; Pendentif mignon de Koutoulou; Anneauræus; Anneau Rifique; Cadran de Feu; Ceinture de Vortex; Casque Cyclopéen; Voile d'encre; Sabots de Vortex; Dolmanax; Dofus Ivoire; Dofus Pourpre; Dofus Ocre; Dofus Émeraude; Dofus Abyssal; Muldo Ebène et Pourpre</t>
        </is>
      </c>
    </row>
    <row r="7972">
      <c r="A7972" t="inlineStr">
        <is>
          <t>esquive pa</t>
        </is>
      </c>
      <c r="B7972">
        <f>HYPERLINK("https://www.dofusbook.net/fr/equipement/2349815-esquive-pa/objets", "link")</f>
        <v/>
      </c>
      <c r="C7972" t="n">
        <v>0</v>
      </c>
      <c r="D7972" t="inlineStr">
        <is>
          <t>Baguette de Malléfisk; Pendentif affamé; Anneau de Nidas; Anneauræus; Écorce de Brouce; Ceinture de Gein; Couronne de Nidas; Voile d'encre; Pataugastrique; Dofus Abyssal; Dofus Ivoire; Dofus Ocre; Guérisseur majeur; Érudit majeur; Déserteur majeur; Muldo Amande et Ivoire</t>
        </is>
      </c>
    </row>
    <row r="7973">
      <c r="A7973" t="inlineStr">
        <is>
          <t>dopoutank2</t>
        </is>
      </c>
      <c r="B7973">
        <f>HYPERLINK("https://www.dofusbook.net/fr/equipement/2349735-dopoutank2/objets", "link")</f>
        <v/>
      </c>
      <c r="C7973" t="n">
        <v>0</v>
      </c>
      <c r="D7973" t="inlineStr">
        <is>
          <t>Héqache; Amulette Luminescente; Alliance Gloursonne; Bague Trithon; Bouclier précieux; Poulpagne; Casque Dragoeuf; Cape des Malveilleurs; Bottes Trithon; Dofus Ivoire; Dofus Émeraude; Bousculeur majeur; Remueur; Culbuteur majeur; Miraculé majeur; Muldo Ebène et Ivoire</t>
        </is>
      </c>
    </row>
    <row r="7974">
      <c r="A7974" t="inlineStr">
        <is>
          <t>multi ret</t>
        </is>
      </c>
      <c r="B7974">
        <f>HYPERLINK("https://www.dofusbook.net/fr/equipement/2346939-multi-ret/objets", "link")</f>
        <v/>
      </c>
      <c r="C7974" t="n">
        <v>0</v>
      </c>
      <c r="D7974" t="inlineStr">
        <is>
          <t>Dagoulinantes; Collier du Valet Veinard; Alliance Gloursonne; Anneau Crustique; Sept ans de malheur; Menoture; Casque du Chalœil; Cape du Chalœil; Pataugastrique; Dofus Émeraude; Dofus Abyssal; Dofus Pourpre; Dofus Ivoire; Dofus des Glaces; Étourdisseur majeur; Muldo Ebène et Indigo</t>
        </is>
      </c>
    </row>
    <row r="7975">
      <c r="A7975" t="inlineStr">
        <is>
          <t>eau feu</t>
        </is>
      </c>
      <c r="B7975">
        <f>HYPERLINK("https://www.dofusbook.net/fr/equipement/1240992-eau-feu/objets", "link")</f>
        <v/>
      </c>
      <c r="C7975" t="n">
        <v>0</v>
      </c>
      <c r="D7975" t="inlineStr">
        <is>
          <t>Pyraguette; Talisman Glouti; Alliance Gloursonne; Anneau Tique; Bouclier du Stalak; Ceinture de l'Esprit Salvateur; Masque de l'Esprit Salvateur; Voile d'encre; Bottes de l'Esprit Salvateur; Dofus Pourpre; Dofus Abyssal; Dofus Ocre; Dofus Ivoire; Dofus des Glaces; Robuste majeur; Muldo Indigo et Pourpre</t>
        </is>
      </c>
    </row>
    <row r="7976">
      <c r="A7976" t="inlineStr">
        <is>
          <t>pvp160</t>
        </is>
      </c>
      <c r="B7976">
        <f>HYPERLINK("https://www.dofusbook.net/fr/equipement/2329539-pvp160/objets", "link")</f>
        <v/>
      </c>
      <c r="C7976" t="n">
        <v>1</v>
      </c>
      <c r="D7976" t="inlineStr">
        <is>
          <t>Karnak; Amulette de l'Orfélin; Sceau Souverain du Roissingue; Anneau Cérémonial du Seigneur des Rats; Bouclier Taverne; Cacture; Le Nahitse; Capterre; Bottes de Grozilla; Dofus Émeraude; Dofus Ocre; Dofus Pourpre; Dofus Turquoise; Remueur; Cascadeur majeur; Kramkram</t>
        </is>
      </c>
    </row>
    <row r="7977">
      <c r="A7977" t="inlineStr">
        <is>
          <t>pvp150</t>
        </is>
      </c>
      <c r="B7977">
        <f>HYPERLINK("https://www.dofusbook.net/fr/equipement/2329494-pvp150/objets", "link")</f>
        <v/>
      </c>
      <c r="C7977" t="n">
        <v>0</v>
      </c>
      <c r="D7977" t="inlineStr">
        <is>
          <t>Hache du Guerrier Zoth; Amulette d'El Piko; Bracelet du Minotot; Anneau Moutheur; Bouclier du Mont Kipou; Pagniglou; Sombrero d'El Piko; Corbacape Mastralis; Bottes du Nowel Cauchemardesque; Dofus Émeraude; Dofus Pourpre; Remueur; Déserteur majeur; Paralyseur majeur; Étourdisseur majeur; Muldo Ebène et Orchidée</t>
        </is>
      </c>
    </row>
    <row r="7978">
      <c r="A7978" t="inlineStr">
        <is>
          <t>air199</t>
        </is>
      </c>
      <c r="B7978">
        <f>HYPERLINK("https://www.dofusbook.net/fr/equipement/2023404-air199/objets", "link")</f>
        <v/>
      </c>
      <c r="C7978" t="n">
        <v>0</v>
      </c>
      <c r="D7978" t="inlineStr">
        <is>
          <t>Marteau des Anciens Steamers; Amulette Hale; Alliance Gloursonne; Alliance de Guten Tak; Bouclier Taverne; Ceinture Rasboulaire du Rasboul; Couronne d'Allister; Cape Matelassée; Chaussures Face; Dofus Pourpre; Dofus Émeraude; Cascadeur majeur; Remueur; Vigoureux majeur; Miraculé majeur; Muldo Ebène et Indigo</t>
        </is>
      </c>
    </row>
    <row r="7979">
      <c r="A7979" t="inlineStr">
        <is>
          <t>pvp180</t>
        </is>
      </c>
      <c r="B7979">
        <f>HYPERLINK("https://www.dofusbook.net/fr/equipement/2031413-pvp180/objets", "link")</f>
        <v/>
      </c>
      <c r="C7979" t="n">
        <v>0</v>
      </c>
      <c r="D7979" t="inlineStr">
        <is>
          <t>Arc de Guten Tak; Amulette de Guten Tak; Alliance de Guten Tak; Anneau de Guten Tak; Cadran d'Air; Ceinture de Soissanth; Coiffe de Soissanth; Cape de l'Obsidiantre; Pantoufles de Soissanth; Dofus Pourpre; Dofus Abyssal; Dofus Ocre; Dofus Ivoire; Dofus Vulbis; Dofus des Glaces; Kramkram</t>
        </is>
      </c>
    </row>
    <row r="7980">
      <c r="A7980" t="inlineStr">
        <is>
          <t>feu air</t>
        </is>
      </c>
      <c r="B7980">
        <f>HYPERLINK("https://www.dofusbook.net/fr/equipement/2319001-feu-air/objets", "link")</f>
        <v/>
      </c>
      <c r="C7980" t="n">
        <v>0</v>
      </c>
      <c r="D7980" t="inlineStr">
        <is>
          <t>Marteau Phossile; Pendentif mignon de Koutoulou; Anneau Rifique; Alliance Gloursonne; Bouclier du Stalak; Ceinture de l'Esprit Salvateur; Casque Cyclopéen; Voile d'encre; Bottes de l'Esprit Salvateur; Dofus Ocre; Dofus Ivoire; Dolmanax; Dofus des Glaces; Dofus Pourpre; Dofus Abyssal; Muldo Indigo et Pourpre</t>
        </is>
      </c>
    </row>
    <row r="7981">
      <c r="A7981" t="inlineStr">
        <is>
          <t>whatdafuck</t>
        </is>
      </c>
      <c r="B7981">
        <f>HYPERLINK("https://www.dofusbook.net/fr/equipement/2007048-whatdafuck/objets", "link")</f>
        <v/>
      </c>
      <c r="C7981" t="n">
        <v>0</v>
      </c>
      <c r="D7981" t="inlineStr">
        <is>
          <t>Arc corrompu; Talisman Igans; Anneau de Padgref; Anneauræus; Quatre-feuilles; Ceinture de Vortex; Cagoule de Vortex; Voile d'encre; Pataugastrique; Dofus Pourpre; Dofus Abyssal; Dofus Turquoise; Dofus Ivoire; Dofus Ocre; Étourdisseur majeur; Muldo Orchidée et Pourpre</t>
        </is>
      </c>
    </row>
    <row r="7982">
      <c r="A7982" t="inlineStr">
        <is>
          <t>dopou tank</t>
        </is>
      </c>
      <c r="B7982">
        <f>HYPERLINK("https://www.dofusbook.net/fr/equipement/2059855-dopou-tank/objets", "link")</f>
        <v/>
      </c>
      <c r="C7982" t="n">
        <v>0</v>
      </c>
      <c r="D7982" t="inlineStr">
        <is>
          <t>Dagoulinantes; Amulette du Sinistrofu; Bague Trithon; Alliance Gloursonne; Bouclier précieux; Sangle Ouare; Casque Dragoeuf; Cape Solution; Bottes Trithon; Dofus Turquoise; Dofus Ivoire; Dofus Émeraude; Dofus Abyssal; Remueur; Culbuteur majeur; Péki</t>
        </is>
      </c>
    </row>
    <row r="7983">
      <c r="A7983" t="inlineStr">
        <is>
          <t>full terre</t>
        </is>
      </c>
      <c r="B7983">
        <f>HYPERLINK("https://www.dofusbook.net/fr/equipement/2317595-full-terre/objets", "link")</f>
        <v/>
      </c>
      <c r="C7983" t="n">
        <v>0</v>
      </c>
      <c r="D7983" t="inlineStr">
        <is>
          <t>Dagues Érhy; Amulette Héroclite; Anneau Chevelu; Anneau de Brouce; Bouclier du Stalak; Ceinture de la Reine des Voleurs; Coiffe de la Reine des Voleurs; Voile d'encre; Sabots Minables; Dofus Ocre; Dofus Abyssal; Dofus Pourpre; Dofus Ivoire; Enragé majeur; Déserteur majeur; Muldo Ebène et Orchidée</t>
        </is>
      </c>
    </row>
    <row r="7984">
      <c r="A7984" t="inlineStr">
        <is>
          <t>terre feu</t>
        </is>
      </c>
      <c r="B7984">
        <f>HYPERLINK("https://www.dofusbook.net/fr/equipement/2317545-terre-feu/objets", "link")</f>
        <v/>
      </c>
      <c r="C7984" t="n">
        <v>0</v>
      </c>
      <c r="D7984" t="inlineStr">
        <is>
          <t>Dagues Érhy; Amulette Volcanique; Anneau Chevelu; Anneau de Nidas; Bouclier du Stalak; Ceinture Gence; Chapeau de Gein; Voile d'encre; Sabots Volcaniques; Dofus Abyssal; Dofus Pourpre; Dofus Ivoire; Dofus Ocre; Déserteur majeur; Temporiseur majeur; Muldo Orchidée et Amande</t>
        </is>
      </c>
    </row>
    <row r="7985">
      <c r="A7985" t="inlineStr">
        <is>
          <t>full terre</t>
        </is>
      </c>
      <c r="B7985">
        <f>HYPERLINK("https://www.dofusbook.net/fr/equipement/1458173-full-terre/objets", "link")</f>
        <v/>
      </c>
      <c r="C7985" t="n">
        <v>0</v>
      </c>
      <c r="D7985" t="inlineStr">
        <is>
          <t>Marteau R'ture; Amulette du Strigide; Anneau Chevelu; Anneau Crustique; Cadran d'Eau; Ceinture de la Cour Sombre; Masque de Koutoulou; Voile d'encre; Bottes de la Cour Sombre; Dofus Abyssal; Dofus Pourpre; Dofus Ivoire; Dofus Ocre; Enragé majeur; Étourdisseur majeur; Muldo Indigo et Pourpre</t>
        </is>
      </c>
    </row>
    <row r="7986">
      <c r="A7986" t="inlineStr">
        <is>
          <t>feu air</t>
        </is>
      </c>
      <c r="B7986">
        <f>HYPERLINK("https://www.dofusbook.net/fr/equipement/2303214-feu-air/objets", "link")</f>
        <v/>
      </c>
      <c r="C7986" t="n">
        <v>1</v>
      </c>
      <c r="D7986" t="inlineStr">
        <is>
          <t>Marteau Phossile; Amulette du Strigide; Anneau de Padgref; Anneau Rifique; Quatre-feuilles; Menoture; Casque Cyclopéen; Voile d'encre; Bottes du Strigide; Dofus Émeraude; Dofus Ocre; Dofus Pourpre; Dofus Abyssal; Dofus Turquoise; Dofus Ivoire; Muldo Prune et Emeraude</t>
        </is>
      </c>
    </row>
    <row r="7987">
      <c r="A7987" t="inlineStr">
        <is>
          <t>pvp130</t>
        </is>
      </c>
      <c r="B7987">
        <f>HYPERLINK("https://www.dofusbook.net/fr/equipement/2290211-pvp130/objets", "link")</f>
        <v/>
      </c>
      <c r="C7987" t="n">
        <v>1</v>
      </c>
      <c r="D7987" t="inlineStr">
        <is>
          <t>Arc de Flèche Mauve; Médaille Kido; Gelano; Alliance d'Elya Wood; Bouclier du Chouque; Ceinture du Royalmouth; Casque d'Ali Grothor; Cape de Flèche Mauve; Bottes du Dragoeuf; Dofus Émeraude; Dolmanax; Étourdisseur; Guérisseur; Érudit; Remueur; Muldo Ebène et Amande</t>
        </is>
      </c>
    </row>
    <row r="7988">
      <c r="A7988" t="inlineStr">
        <is>
          <t>hetype199</t>
        </is>
      </c>
      <c r="B7988">
        <f>HYPERLINK("https://www.dofusbook.net/fr/equipement/2287486-hetype199/objets", "link")</f>
        <v/>
      </c>
      <c r="C7988" t="n">
        <v>0</v>
      </c>
      <c r="D7988" t="inlineStr">
        <is>
          <t>Arc Hétype; Amulette de Nileza; Alliance de Guten Tak; Bague Gloursonne; Cadran de Feu; Ceinture du K.O.; Casqnoar; Cape de Nileza; Pantoufles Émar; Dofus Émeraude; Dofus Abyssal; Dofus Ivoire; Remueur; Érudit majeur; Cavaleur majeur; Muldo Orchidée et Ivoire</t>
        </is>
      </c>
    </row>
    <row r="7989">
      <c r="A7989" t="inlineStr">
        <is>
          <t>multi 199</t>
        </is>
      </c>
      <c r="B7989">
        <f>HYPERLINK("https://www.dofusbook.net/fr/equipement/2066541-multi-199/objets", "link")</f>
        <v/>
      </c>
      <c r="C7989" t="n">
        <v>0</v>
      </c>
      <c r="D7989" t="inlineStr">
        <is>
          <t>Epée Gloursonne; Amulule; Bague Gloursonne; Alliance Gloursonne; Quatre-feuilles; Obscture; Casqnoar; Voile d'encre; Chaussures Hau; Dofus Vulbis; Dofus des Glaces; Dofus Pourpre; Dofus Abyssal; Dofus Ocre; Dofus Ivoire; Kramkram</t>
        </is>
      </c>
    </row>
    <row r="7990">
      <c r="A7990" t="inlineStr">
        <is>
          <t>feu</t>
        </is>
      </c>
      <c r="B7990">
        <f>HYPERLINK("https://www.dofusbook.net/fr/equipement/2282668-feu/objets", "link")</f>
        <v/>
      </c>
      <c r="C7990" t="n">
        <v>0</v>
      </c>
      <c r="D7990" t="inlineStr">
        <is>
          <t>Arc corrompu; Amulette Séculaire; Anneau de Padgref; Anneauræus; Quatre-feuilles; Ceinture Séculaire; Masque Brûlâme; Voile d'encre; Pataugastrique; Dofus Abyssal; Dofus Turquoise; Dofus Ivoire; Dofus Ocre; Dofus Pourpre; Érudit majeur; Muldo Orchidée et Pourpre</t>
        </is>
      </c>
    </row>
    <row r="7991">
      <c r="A7991" t="inlineStr">
        <is>
          <t>feu</t>
        </is>
      </c>
      <c r="B7991">
        <f>HYPERLINK("https://www.dofusbook.net/fr/equipement/2265704-feu/objets", "link")</f>
        <v/>
      </c>
      <c r="C7991" t="n">
        <v>1</v>
      </c>
      <c r="D7991" t="inlineStr">
        <is>
          <t>Arc corrompu; Pendentif affamé; Anneau de Nidas; Anneau de Padgref; Cadran de Terre; Ceinture de Vortex; Couronne de Nidas; Voile d'encre; Pataugastrique; Dofus Ocre; Dofus Abyssal; Dofus Pourpre; Dofus Ivoire; Érudit majeur; Temporiseur majeur; Muldo Ebène et Orchidée</t>
        </is>
      </c>
    </row>
    <row r="7992">
      <c r="A7992" t="inlineStr">
        <is>
          <t>air tank</t>
        </is>
      </c>
      <c r="B7992">
        <f>HYPERLINK("https://www.dofusbook.net/fr/equipement/2264281-air-tank/objets", "link")</f>
        <v/>
      </c>
      <c r="C7992" t="n">
        <v>0</v>
      </c>
      <c r="D7992" t="inlineStr">
        <is>
          <t>L'Épée Nice; Collier du Valet Veinard; Alliance Gloursonne; Gant du Valet Veinard; Bouclier d'Ilyzaelle; Menoture; Dorabysses; Cape du Kamasterisk; Palmes Trithons; Dofus Abyssal; Dofus Pourpre; Dofus Ivoire; Dofus Ocre; Dofus Émeraude; Cascadeur majeur; Kramkram</t>
        </is>
      </c>
    </row>
    <row r="7993">
      <c r="A7993" t="inlineStr">
        <is>
          <t>fulleau</t>
        </is>
      </c>
      <c r="B7993">
        <f>HYPERLINK("https://www.dofusbook.net/fr/equipement/2264244-fulleau/objets", "link")</f>
        <v/>
      </c>
      <c r="C7993" t="n">
        <v>0</v>
      </c>
      <c r="D7993" t="inlineStr">
        <is>
          <t>Rapière aux Glyphes; Amulette de Shokkoth; Pikano; Alliance Gloursonne; Quatre-feuilles; Ceinture du Barbétoal; Kidibonnet; Cape du Sinistrofu; Bottes du Sinistrofu; Dofus Ocre; Dofus Pourpre; Dofus Abyssal; Dofus Turquoise; Dofus Ivoire; Chanceux majeur; Muldo Indigo et Amande</t>
        </is>
      </c>
    </row>
    <row r="7994">
      <c r="A7994" t="inlineStr">
        <is>
          <t>cancer</t>
        </is>
      </c>
      <c r="B7994">
        <f>HYPERLINK("https://www.dofusbook.net/fr/equipement/395997-cancer/objets", "link")</f>
        <v/>
      </c>
      <c r="C7994" t="n">
        <v>0</v>
      </c>
      <c r="D7994" t="inlineStr">
        <is>
          <t>Héqache; Amulette du Strigide; Anneau Crustique; Anneau Crustique; Sept ans de malheur; Menoture; Chapoulpe; Voile d'encre; Tentassons; Dofus Abyssal; Dofus Pourpre; Dofus Ivoire; Dofus Ocre; Dofus Émeraude; Étourdisseur majeur; Muldo Ebène et Orchidée</t>
        </is>
      </c>
    </row>
    <row r="7995">
      <c r="A7995" t="inlineStr">
        <is>
          <t>terre199</t>
        </is>
      </c>
      <c r="B7995">
        <f>HYPERLINK("https://www.dofusbook.net/fr/equipement/2264163-terre199/objets", "link")</f>
        <v/>
      </c>
      <c r="C7995" t="n">
        <v>0</v>
      </c>
      <c r="D7995" t="inlineStr">
        <is>
          <t>Bêche Asse; Amulette Héroclite; Anneau Chevelu; Anneau de Brouce; Quatre-feuilles; Ceinture de Brouce; Chapeau du Comte Razof; Voile d'encre; Sabots Minables; Dofus Pourpre; Dofus des Glaces; Remueur; Nomade; Vigoureux majeur; Enragé majeur; Kramkram</t>
        </is>
      </c>
    </row>
    <row r="7996">
      <c r="A7996" t="inlineStr">
        <is>
          <t>eau dopou 199</t>
        </is>
      </c>
      <c r="B7996">
        <f>HYPERLINK("https://www.dofusbook.net/fr/equipement/2264085-eau-dopou-199/objets", "link")</f>
        <v/>
      </c>
      <c r="C7996" t="n">
        <v>0</v>
      </c>
      <c r="D7996" t="inlineStr">
        <is>
          <t>Rapière aux Glyphes; Pendentif Oton; Alliance Gloursonne; Bague Instable; Bouclier Taverne; Ceinture Glaciale; Binocle Airvoyant; Cape Matelassée; Bottes de Théodoran Ax; Dofus Émeraude; Dofus Pourpre; Bousculeur majeur; Chanceux majeur; Remueur; Culbuteur majeur; Muldo Indigo et Pourpre</t>
        </is>
      </c>
    </row>
    <row r="7997">
      <c r="A7997" t="inlineStr">
        <is>
          <t>eau feu 155</t>
        </is>
      </c>
      <c r="B7997">
        <f>HYPERLINK("https://www.dofusbook.net/fr/equipement/2262331-eau-feu-155/objets", "link")</f>
        <v/>
      </c>
      <c r="C7997" t="n">
        <v>0</v>
      </c>
      <c r="D7997" t="inlineStr">
        <is>
          <t>Dagues Cacterre; Amulette d'El Piko; Nageanneau; Anneau du Chêne Mou; Bouclier Taverne; Ceinture du Père Phorreur; Coiffe du Minotot; Cape Phossile; Bottes Phossiles; Dofus Turquoise; Dofus Ocre; Dofus Pourpre; Dofus Émeraude; Remueur; Vigoureux majeur; Muldo Prune et Emeraude</t>
        </is>
      </c>
    </row>
    <row r="7998">
      <c r="A7998" t="inlineStr">
        <is>
          <t>feu180</t>
        </is>
      </c>
      <c r="B7998">
        <f>HYPERLINK("https://www.dofusbook.net/fr/equipement/2262089-feu180/objets", "link")</f>
        <v/>
      </c>
      <c r="C7998" t="n">
        <v>0</v>
      </c>
      <c r="D7998" t="inlineStr">
        <is>
          <t>Le Thanos; Col de Ush; Alliance d'Elya Wood; Alliance de Guten Tak; Bouclier du Mont Kipou; Ceinture du Tengu Givrefoux; Chapeau de Dremoan; Cape de l'Obsidiantre; Bottes de Dremoan; Dofus Ocre; Dofus Abyssal; Dofus Ivoire; Guérisseur majeur; Érudit majeur; Remueur; Muldo Amande et Ivoire</t>
        </is>
      </c>
    </row>
    <row r="7999">
      <c r="A7999" t="inlineStr">
        <is>
          <t>eau 199</t>
        </is>
      </c>
      <c r="B7999">
        <f>HYPERLINK("https://www.dofusbook.net/fr/equipement/2227985-eau-199/objets", "link")</f>
        <v/>
      </c>
      <c r="C7999" t="n">
        <v>0</v>
      </c>
      <c r="D7999" t="inlineStr">
        <is>
          <t>Rapière aux Glyphes; Amulette Hale; Anneau Kturne; Alliance Gloursonne; Cadran d'Air; Ceinture Glaciale; Casqnoar; Cape Matelassée; Sandales Circulaires du Kimbo; Dofus Abyssal; Dofus Ocre; Dofus Ivoire; Dofus des Glaces; Dofus Pourpre; Chanceux majeur; Dragodinde Prune et Emeraude</t>
        </is>
      </c>
    </row>
    <row r="8000">
      <c r="A8000" t="inlineStr">
        <is>
          <t>terre feu 199</t>
        </is>
      </c>
      <c r="B8000">
        <f>HYPERLINK("https://www.dofusbook.net/fr/equipement/2227922-terre-feu-199/objets", "link")</f>
        <v/>
      </c>
      <c r="C8000" t="n">
        <v>0</v>
      </c>
      <c r="D8000" t="inlineStr">
        <is>
          <t>Epée Toche; Amulette du K.O.; Anneau Chevelu; Bague Gloursonne; Cadran de Terre; Ceinture du Comte Razof; Chapeau du Comte Razof; Voile d'encre; Sabots Minables; Dofus Ocre; Dofus Abyssal; Dofus Pourpre; Dofus Ivoire; Étourdisseur majeur; Enragé majeur; Dragodinde Prune et Emeraude</t>
        </is>
      </c>
    </row>
    <row r="8001">
      <c r="A8001" t="inlineStr">
        <is>
          <t>fuite</t>
        </is>
      </c>
      <c r="B8001">
        <f>HYPERLINK("https://www.dofusbook.net/fr/equipement/2226048-fuite/objets", "link")</f>
        <v/>
      </c>
      <c r="C8001" t="n">
        <v>0</v>
      </c>
      <c r="D8001" t="inlineStr">
        <is>
          <t>Hache du Chalœil; Amulette de l'Indicible; Alliance Brûlâme; Alliance du Lévitrof; Bouclier du Stalak; Ceinture de l'Esprit Salvateur; Masque de l'Esprit Salvateur; Cape Matelassée; Bottes du Lévitrof; Dofus Abyssal; Dofus Ocre; Dofus Ivoire; Dofus Vulbis; Dofus des Glaces; Dofus Pourpre; Kramkram</t>
        </is>
      </c>
    </row>
    <row r="8002">
      <c r="A8002" t="inlineStr">
        <is>
          <t>esquive pa</t>
        </is>
      </c>
      <c r="B8002">
        <f>HYPERLINK("https://www.dofusbook.net/fr/equipement/1229905-esquive-pa/objets", "link")</f>
        <v/>
      </c>
      <c r="C8002" t="n">
        <v>1</v>
      </c>
      <c r="D8002" t="inlineStr">
        <is>
          <t>Rapière aux Glyphes; Amulette de l'Œil Attentif; Alliance Gloursonne; Goulano; Goulclier; Pagne du Rykaon; Capuche de l'Œil Attentif; Cape de l'Œil Attentif; Goulbottes; Dofus Émeraude; Dofus Ocre; Dofus Pourpre; Dofus Abyssal; Dofus Turquoise; Dofus Ivoire; Muldo Indigo</t>
        </is>
      </c>
    </row>
    <row r="8003">
      <c r="A8003" t="inlineStr">
        <is>
          <t>multi</t>
        </is>
      </c>
      <c r="B8003">
        <f>HYPERLINK("https://www.dofusbook.net/fr/equipement/2225801-multi/objets", "link")</f>
        <v/>
      </c>
      <c r="C8003" t="n">
        <v>0</v>
      </c>
      <c r="D8003" t="inlineStr">
        <is>
          <t>Marteau de Katrepat; Amulette du Cycloïde; Bracelet du Piloztère; Alliance Brûlâme; Bouclier Taverne; Menoture; Masque Brûlâme; Voile d'encre; Bottes du Cycloïde; Dofus Émeraude; Dofus Abyssal; Dofus Pourpre; Dofus Ivoire; Dofus des Glaces; Dofus Ocre; Muldo Orchidée et Pourpre</t>
        </is>
      </c>
    </row>
    <row r="8004">
      <c r="A8004" t="inlineStr">
        <is>
          <t>feu</t>
        </is>
      </c>
      <c r="B8004">
        <f>HYPERLINK("https://www.dofusbook.net/fr/equipement/2223278-feu/objets", "link")</f>
        <v/>
      </c>
      <c r="C8004" t="n">
        <v>0</v>
      </c>
      <c r="D8004" t="inlineStr">
        <is>
          <t>Arc corrompu; Pendentif mignon de Koutoulou; Anneauræus; Anneau Rifique; Bouclier du Stalak; Ceinture de Gein; Couronne de Nidas; Voile d'encre; Pataugastrique; Dofus Ivoire; Dofus Ocre; Dofus Émeraude; Dofus Abyssal; Érudit majeur; Nomade; Kramkram</t>
        </is>
      </c>
    </row>
    <row r="8005">
      <c r="A8005" t="inlineStr">
        <is>
          <t>terre air</t>
        </is>
      </c>
      <c r="B8005">
        <f>HYPERLINK("https://www.dofusbook.net/fr/equipement/2223249-terre-air/objets", "link")</f>
        <v/>
      </c>
      <c r="C8005" t="n">
        <v>0</v>
      </c>
      <c r="D8005" t="inlineStr">
        <is>
          <t>Epée Gloursonne; Amulette du Kamasterisk; Bague Gloursonne; Alliance Gloursonne; Bouclier Taverne; Ceinture de la Reine des Voleurs; Coiffe de la Reine des Voleurs; Cape du Kamasterisk; Bottes du Kamasterisk; Dofus Pourpre; Dofus Abyssal; Dofus Ocre; Dofus Ivoire; Dofus Émeraude; Dofus des Glaces; Muldo Ebène et Indigo</t>
        </is>
      </c>
    </row>
    <row r="8006">
      <c r="A8006" t="inlineStr">
        <is>
          <t>eau pascher</t>
        </is>
      </c>
      <c r="B8006">
        <f>HYPERLINK("https://www.dofusbook.net/fr/equipement/2205300-eau-pascher/objets", "link")</f>
        <v/>
      </c>
      <c r="C8006" t="n">
        <v>0</v>
      </c>
      <c r="D8006" t="inlineStr">
        <is>
          <t>Dagoulinantes; Amulette Luminescente; Bague Trithon; Alliance Gloursonne; Bouclier Taverne; Sangle Ouare; Kidibonnet; Cape des Malveilleurs; Bottes Trithon; Dofus Turquoise; Dofus Ivoire; Dofus Ocre; Dofus Pourpre; Dofus Abyssal; Culbuteur majeur; Kramkram</t>
        </is>
      </c>
    </row>
    <row r="8007">
      <c r="A8007" t="inlineStr">
        <is>
          <t>esquivepm</t>
        </is>
      </c>
      <c r="B8007">
        <f>HYPERLINK("https://www.dofusbook.net/fr/equipement/2179209-esquivepm/objets", "link")</f>
        <v/>
      </c>
      <c r="C8007" t="n">
        <v>1</v>
      </c>
      <c r="D8007" t="inlineStr">
        <is>
          <t>Marteau des Anciens Steamers; Collier du Valet Veinard; Alliance Gloursonne; Gant du Valet Veinard; Bouclier d'Ilyzaelle; Ceinture de la Reine des Voleurs; Casque d'Ilyzaelle; Cape du Valet Veinard; Bottes de la Reine des Voleurs; Dofus Émeraude; Dofus Abyssal; Dofus Pourpre; Dofus Ivoire; Dofus des Glaces; Dofus Ocre; Muldo Ebène</t>
        </is>
      </c>
    </row>
    <row r="8008">
      <c r="A8008" t="inlineStr">
        <is>
          <t>hache chaloeil</t>
        </is>
      </c>
      <c r="B8008">
        <f>HYPERLINK("https://www.dofusbook.net/fr/equipement/2164540-hache-chaloeil/objets", "link")</f>
        <v/>
      </c>
      <c r="C8008" t="n">
        <v>0</v>
      </c>
      <c r="D8008" t="inlineStr">
        <is>
          <t>Hache du Chalœil; Amulette du Strigide; Goulano; Anneau Chevelu; Goulclier; Ceinture de Kongoku; Casqnoar; Voile d'encre; Pataugastrique; Dofus Pourpre; Dofus Abyssal; Dofus Turquoise; Dofus Émeraude; Dofus Ocre; Étourdisseur majeur; Muldo Indigo et Orchidée</t>
        </is>
      </c>
    </row>
    <row r="8009">
      <c r="A8009" t="inlineStr">
        <is>
          <t>feupvp</t>
        </is>
      </c>
      <c r="B8009">
        <f>HYPERLINK("https://www.dofusbook.net/fr/equipement/1240838-feupvp/objets", "link")</f>
        <v/>
      </c>
      <c r="C8009" t="n">
        <v>1</v>
      </c>
      <c r="D8009" t="inlineStr">
        <is>
          <t>Dagues Érhy; Pendentif affamé; Alliance Boletée; Anneau Rifique; Cadran de Feu; Ceinture de Vortex; Casque Cyclopéen; Voile d'encre; Bottes Innommables; Dofus Abyssal; Dofus Ivoire; Dofus Ocre; Déserteur majeur; Érudit majeur; Remueur; Muldo Pourpre</t>
        </is>
      </c>
    </row>
    <row r="8010">
      <c r="A8010" t="inlineStr">
        <is>
          <t>eau air</t>
        </is>
      </c>
      <c r="B8010">
        <f>HYPERLINK("https://www.dofusbook.net/fr/equipement/2164077-eau-air/objets", "link")</f>
        <v/>
      </c>
      <c r="C8010" t="n">
        <v>1</v>
      </c>
      <c r="D8010" t="inlineStr">
        <is>
          <t>Epée Gloursonne; Amulette d'Ilyzaelle; Bague Gloursonne; Alliance Gloursonne; Bouclier d'Ilyzaelle; Ceinture de la Reine des Voleurs; Casque d'Ilyzaelle; Cape de l'Œil Putride; Bottes de la Reine des Voleurs; Dofus des Glaces; Dofus Pourpre; Dofus Ocre; Dofus Abyssal; Dofus Ivoire; Dofus Émeraude; Muldo Ebène et Pourpre</t>
        </is>
      </c>
    </row>
    <row r="8011">
      <c r="A8011" t="inlineStr">
        <is>
          <t>esquives pa</t>
        </is>
      </c>
      <c r="B8011">
        <f>HYPERLINK("https://www.dofusbook.net/fr/equipement/2164008-esquives-pa/objets", "link")</f>
        <v/>
      </c>
      <c r="C8011" t="n">
        <v>0</v>
      </c>
      <c r="D8011" t="inlineStr">
        <is>
          <t>Hache Téroïde; Amulette du Strigide; Goulano; Alliance du Lévitrof; Goulclier; Ceinture du Strigide; Coiffe du Lévitrof; Voile d'encre; Bottes du Lévitrof; Dofus Ocre; Dofus Ivoire; Dofus Pourpre; Dofus des Glaces; Dofus Turquoise; Dofus Abyssal; Muldo Indigo et Orchidée</t>
        </is>
      </c>
    </row>
    <row r="8012">
      <c r="A8012" t="inlineStr">
        <is>
          <t>terre tank</t>
        </is>
      </c>
      <c r="B8012">
        <f>HYPERLINK("https://www.dofusbook.net/fr/equipement/2163981-terre-tank/objets", "link")</f>
        <v/>
      </c>
      <c r="C8012" t="n">
        <v>0</v>
      </c>
      <c r="D8012" t="inlineStr">
        <is>
          <t>Dagues d'Ilyzaelle; Amulette du Strigide; Anneau Chevelu; Anneau de Brouce; Quatre-feuilles; Ceinture de Brouce; Casque Dragoeuf; Cape au Logis; Sabots Minables; Dofus Pourpre; Dofus des Glaces; Dofus Turquoise; Dofus Abyssal; Dofus Ocre; Enragé majeur; Muldo Pourpre et Amande</t>
        </is>
      </c>
    </row>
    <row r="8013">
      <c r="A8013" t="inlineStr">
        <is>
          <t>eau air 199</t>
        </is>
      </c>
      <c r="B8013">
        <f>HYPERLINK("https://www.dofusbook.net/fr/equipement/2134877-eau-air-199/objets", "link")</f>
        <v/>
      </c>
      <c r="C8013" t="n">
        <v>1</v>
      </c>
      <c r="D8013" t="inlineStr">
        <is>
          <t>Marteau des Anciens Steamers; Amulette Hale; Alliance Gloursonne; Anneau de Padgref; Bouclier Taverne; Ceintrémorse; Coiffe d'Ogivol; Cape Matelassée; Chaussures Face; Dofus Abyssal; Dofus Émeraude; Dofus Turquoise; Dofus Pourpre; Dofus Ocre; Vigoureux majeur; Muldo Ebène</t>
        </is>
      </c>
    </row>
    <row r="8014">
      <c r="A8014" t="inlineStr">
        <is>
          <t>feu air 1v1</t>
        </is>
      </c>
      <c r="B8014">
        <f>HYPERLINK("https://www.dofusbook.net/fr/equipement/2134830-feu-air-1v1/objets", "link")</f>
        <v/>
      </c>
      <c r="C8014" t="n">
        <v>0</v>
      </c>
      <c r="D8014" t="inlineStr">
        <is>
          <t>Marteau Phossile; Frimamulette; Alliance Gloursonne; Anneau Rifique; Bouclier d'Ilyzaelle; Menoture; Casque Cyclopéen; Voile d'encre; Pompes Funèbres; Dofus Émeraude; Dofus Ocre; Dofus Ivoire; Dofus Abyssal; Dofus Pourpre; Nomade; Kramkram</t>
        </is>
      </c>
    </row>
    <row r="8015">
      <c r="A8015" t="inlineStr">
        <is>
          <t>terre air</t>
        </is>
      </c>
      <c r="B8015">
        <f>HYPERLINK("https://www.dofusbook.net/fr/equipement/305878-terre-air/objets", "link")</f>
        <v/>
      </c>
      <c r="C8015" t="n">
        <v>0</v>
      </c>
      <c r="D8015" t="inlineStr">
        <is>
          <t>L'Épée Nice; Amulette du Strigide; Anneau des égarés; Anneau Chevelu; Bouclier d'Ilyzaelle; Menoture; Coiffe de la Reine des Voleurs; Voile d'encre; Bottes de la Reine des Voleurs; Dofus Ocre; Dofus Pourpre; Dofus Abyssal; Dofus Émeraude; Dofus Turquoise; Vigoureux majeur; Kramkram</t>
        </is>
      </c>
    </row>
    <row r="8016">
      <c r="A8016" t="inlineStr">
        <is>
          <t>terre air no cc</t>
        </is>
      </c>
      <c r="B8016">
        <f>HYPERLINK("https://www.dofusbook.net/fr/equipement/1458455-terre-air-no-cc/objets", "link")</f>
        <v/>
      </c>
      <c r="C8016" t="n">
        <v>0</v>
      </c>
      <c r="D8016" t="inlineStr">
        <is>
          <t>Lance corrompue; Amulette du Kamasterisk; Alliance Gloursonne; Anneau Chevelu; Bouclier d'Ilyzaelle; Ceinture Gence; Coiffe de la Reine des Voleurs; Cape du Kamasterisk; Bottes de la Reine des Voleurs; Dofus Ocre; Dofus Ivoire; Dofus Émeraude; Dofus des Glaces; Dofus Pourpre; Dofus Abyssal; Muldo Orchidée</t>
        </is>
      </c>
    </row>
    <row r="8017">
      <c r="A8017" t="inlineStr">
        <is>
          <t>malef</t>
        </is>
      </c>
      <c r="B8017">
        <f>HYPERLINK("https://www.dofusbook.net/fr/equipement/1095585-malef/objets", "link")</f>
        <v/>
      </c>
      <c r="C8017" t="n">
        <v>0</v>
      </c>
      <c r="D8017" t="inlineStr">
        <is>
          <t>Baguette de Malléfisk; Amulette Volcanique; Anneauræus; Anneau de Nidas; Cadran de Feu; Ceinture du Comte Razof; Chapeau du Comte Razof; Sac Volcanique; Sabots Volcaniques; Dolmanax; Dofus Ivoire; Dofus Ocre; Dofus Émeraude; Dofus Abyssal; Paralyseur majeur; Muldo Indigo et Orchidée</t>
        </is>
      </c>
    </row>
    <row r="8018">
      <c r="A8018" t="inlineStr">
        <is>
          <t>feu1v1</t>
        </is>
      </c>
      <c r="B8018">
        <f>HYPERLINK("https://www.dofusbook.net/fr/equipement/2098189-feu1v1/objets", "link")</f>
        <v/>
      </c>
      <c r="C8018" t="n">
        <v>0</v>
      </c>
      <c r="D8018" t="inlineStr">
        <is>
          <t>Arc corrompu; Amulette Séculaire; Anneauræus; Anneau de Padgref; Quatre-feuilles; Ceinture Séculaire; Couronne de Nidas; Voile d'encre; Pataugastrique; Dofus Ivoire; Dofus Abyssal; Dokoko; Dofus Turquoise; Dofus Pourpre; Dofus Ocre; Muldo Orchidée et Pourpre</t>
        </is>
      </c>
    </row>
    <row r="8019">
      <c r="A8019" t="inlineStr">
        <is>
          <t>feu1v1</t>
        </is>
      </c>
      <c r="B8019">
        <f>HYPERLINK("https://www.dofusbook.net/fr/equipement/2098190-feu1v1/objets", "link")</f>
        <v/>
      </c>
      <c r="C8019" t="n">
        <v>0</v>
      </c>
      <c r="D8019" t="inlineStr"/>
    </row>
    <row r="8020">
      <c r="A8020" t="inlineStr">
        <is>
          <t>lance corrompue</t>
        </is>
      </c>
      <c r="B8020">
        <f>HYPERLINK("https://www.dofusbook.net/fr/equipement/2098161-lance-corrompue/objets", "link")</f>
        <v/>
      </c>
      <c r="C8020" t="n">
        <v>0</v>
      </c>
      <c r="D8020" t="inlineStr">
        <is>
          <t>Lance corrompue; Collier de Tourthon; Alliance Gloursonne; Anneau des égarés; Cadran d'Eau; Ceinture de la Reine des Voleurs; Coiffe de la Reine des Voleurs; Cape du Cœur Vaillant; Sabots Minables; Dofus Abyssal; Dofus Émeraude; Dofus Ivoire; Dofus des Glaces; Miraculé majeur; Remueur; Muldo Ebène et Pourpre</t>
        </is>
      </c>
    </row>
    <row r="8021">
      <c r="A8021" t="inlineStr">
        <is>
          <t>air taper</t>
        </is>
      </c>
      <c r="B8021">
        <f>HYPERLINK("https://www.dofusbook.net/fr/equipement/2098148-air-taper/objets", "link")</f>
        <v/>
      </c>
      <c r="C8021" t="n">
        <v>0</v>
      </c>
      <c r="D8021" t="inlineStr">
        <is>
          <t>Hachoirs de Viandargh; Amibou; Alliance Gloursonne; Anneau de Padgref; Quatre-feuilles; Menoture; Capuche de Moum-Ra; Capibou; Palmes Trithons; Dofus Pourpre; Dofus Abyssal; Dofus Turquoise; Dofus Ocre; Cascadeur majeur; Étourdisseur majeur; Muldo Ebène</t>
        </is>
      </c>
    </row>
    <row r="8022">
      <c r="A8022" t="inlineStr">
        <is>
          <t>eau dopou</t>
        </is>
      </c>
      <c r="B8022">
        <f>HYPERLINK("https://www.dofusbook.net/fr/equipement/2098092-eau-dopou/objets", "link")</f>
        <v/>
      </c>
      <c r="C8022" t="n">
        <v>0</v>
      </c>
      <c r="D8022" t="inlineStr">
        <is>
          <t>Dagoulinantes; Amulette de Shokkoth; Alliance Gloursonne; Bague Trithon; Bouclier Taverne; Sangle Ouare; Kidibonnet; Cape Solution; Bottes Trithon; Dofus Abyssal; Dofus Pourpre; Dofus Ivoire; Dofus Turquoise; Culbuteur majeur; Chanceux majeur; Kramkram</t>
        </is>
      </c>
    </row>
    <row r="8023">
      <c r="A8023" t="inlineStr">
        <is>
          <t>terrefeu199</t>
        </is>
      </c>
      <c r="B8023">
        <f>HYPERLINK("https://www.dofusbook.net/fr/equipement/1052922-terrefeu199/objets", "link")</f>
        <v/>
      </c>
      <c r="C8023" t="n">
        <v>0</v>
      </c>
      <c r="D8023" t="inlineStr">
        <is>
          <t>Hache Téroïde; Racine Hueuse; Anneau Chevelu; Alliance de Guten Tak; Cadran de Terre; Ceinture du Comte Razof; Chapeau du Comte Razof; Voile d'encre; Sabots Minables; Dofus Pourpre; Dofus Émeraude; Étourdisseur majeur; Remueur; Nomade; Temporiseur majeur; Kramkram</t>
        </is>
      </c>
    </row>
    <row r="8024">
      <c r="A8024" t="inlineStr">
        <is>
          <t>air199</t>
        </is>
      </c>
      <c r="B8024">
        <f>HYPERLINK("https://www.dofusbook.net/fr/equipement/2098056-air199/objets", "link")</f>
        <v/>
      </c>
      <c r="C8024" t="n">
        <v>0</v>
      </c>
      <c r="D8024" t="inlineStr">
        <is>
          <t>Hachoirs de Viandargh; Amulette Hale; Alliance Gloursonne; Anneau de Padgref; Cadran d'Eau; Ceinture Rasboulaire du Rasboul; Couronne d'Allister; Cape Matelassée; Chaussures Face; Dofus Pourpre; Dofus Abyssal; Dofus Turquoise; Dofus Émeraude; Dofus Ocre; Cascadeur majeur; Muldo Prune et Ebène</t>
        </is>
      </c>
    </row>
    <row r="8025">
      <c r="A8025" t="inlineStr">
        <is>
          <t>repou</t>
        </is>
      </c>
      <c r="B8025">
        <f>HYPERLINK("https://www.dofusbook.net/fr/equipement/2096842-repou/objets", "link")</f>
        <v/>
      </c>
      <c r="C8025" t="n">
        <v>0</v>
      </c>
      <c r="D8025" t="inlineStr">
        <is>
          <t>Manthache; Collier du Valet Veinard; Alliance Gloursonne; Gant du Valet Veinard; Goulclier; Menoture; Masque d'Anerice; Cape d'Anerice; Palmes Trithons; Dofus Pourpre; Dofus Ocre; Dofus Abyssal; Dofus Émeraude; Dofus Ivoire; Inflexible majeur; Muldo Ebène</t>
        </is>
      </c>
    </row>
    <row r="8026">
      <c r="A8026" t="inlineStr">
        <is>
          <t>feu air 199</t>
        </is>
      </c>
      <c r="B8026">
        <f>HYPERLINK("https://www.dofusbook.net/fr/equipement/2094889-feu-air-199/objets", "link")</f>
        <v/>
      </c>
      <c r="C8026" t="n">
        <v>0</v>
      </c>
      <c r="D8026" t="inlineStr"/>
    </row>
    <row r="8027">
      <c r="A8027" t="inlineStr">
        <is>
          <t>eau199</t>
        </is>
      </c>
      <c r="B8027">
        <f>HYPERLINK("https://www.dofusbook.net/fr/equipement/2094729-eau199/objets", "link")</f>
        <v/>
      </c>
      <c r="C8027" t="n">
        <v>0</v>
      </c>
      <c r="D8027" t="inlineStr">
        <is>
          <t>Rapière aux Glyphes; Amulette de Danathor; Alliance Gloursonne; Pikano; Cadran d'Air; Ceinture de Danathor; Casque Dragoeuf; Cape Matelassée; Sandales Circulaires du Kimbo; Dofus Abyssal; Dofus Pourpre; Remueur; Chanceux majeur; Évasif majeur; Cavaleur majeur; Muldo Turquoise et Indigo</t>
        </is>
      </c>
    </row>
    <row r="8028">
      <c r="A8028" t="inlineStr">
        <is>
          <t>tank199</t>
        </is>
      </c>
      <c r="B8028">
        <f>HYPERLINK("https://www.dofusbook.net/fr/equipement/2094674-tank199/objets", "link")</f>
        <v/>
      </c>
      <c r="C8028" t="n">
        <v>0</v>
      </c>
      <c r="D8028" t="inlineStr">
        <is>
          <t>L'Épée Nice; Frimamulette; Alliance Gloursonne; Anneau de XLII; Carapar; Ceinture Rasboulaire du Rasboul; Couronne d'Allister; Cape Matelassée; Bottes de XLII; Dofus Pourpre; Dofus Émeraude; Dofus Abyssal; Cascadeur majeur; Miraculé majeur; Remueur; Kramkram</t>
        </is>
      </c>
    </row>
    <row r="8029">
      <c r="A8029" t="inlineStr">
        <is>
          <t>cancer199</t>
        </is>
      </c>
      <c r="B8029">
        <f>HYPERLINK("https://www.dofusbook.net/fr/equipement/2066617-cancer199/objets", "link")</f>
        <v/>
      </c>
      <c r="C8029" t="n">
        <v>0</v>
      </c>
      <c r="D8029" t="inlineStr">
        <is>
          <t>Epée Toche; Racine Hueuse; Anneau Chevelu; Alliance de Guten Tak; Sept ans de malheur; Ceinture du Comte Razof; Chapeau du Comte Razof; Voile d'encre; Sabots Minables; Dofus Émeraude; Dofus Ivoire; Dofus Pourpre; Dofus Ocre; Temporiseur majeur; Étourdisseur majeur; Muldo Indigo et Orchidée</t>
        </is>
      </c>
    </row>
    <row r="8030">
      <c r="A8030" t="inlineStr">
        <is>
          <t>feu199</t>
        </is>
      </c>
      <c r="B8030">
        <f>HYPERLINK("https://www.dofusbook.net/fr/equipement/2066590-feu199/objets", "link")</f>
        <v/>
      </c>
      <c r="C8030" t="n">
        <v>0</v>
      </c>
      <c r="D8030" t="inlineStr">
        <is>
          <t>Arc Hétype; Amulette de Nileza; Kralano; Bague Gloursonne; Cadran de Feu; String Tue-Mouche; Casque Dragoeuf; Cape de Nileza; Pantoufles Émar; Dofus Émeraude; Dofus Abyssal; Dolmanax; Érudit majeur; Remueur; Miraculé majeur; Muldo Indigo</t>
        </is>
      </c>
    </row>
    <row r="8031">
      <c r="A8031" t="inlineStr">
        <is>
          <t>malef tank</t>
        </is>
      </c>
      <c r="B8031">
        <f>HYPERLINK("https://www.dofusbook.net/fr/equipement/2059999-malef-tank/objets", "link")</f>
        <v/>
      </c>
      <c r="C8031" t="n">
        <v>0</v>
      </c>
      <c r="D8031" t="inlineStr"/>
    </row>
    <row r="8032">
      <c r="A8032" t="inlineStr">
        <is>
          <t>cancer2</t>
        </is>
      </c>
      <c r="B8032">
        <f>HYPERLINK("https://www.dofusbook.net/fr/equipement/1457488-cancer2/objets", "link")</f>
        <v/>
      </c>
      <c r="C8032" t="n">
        <v>0</v>
      </c>
      <c r="D8032" t="inlineStr">
        <is>
          <t>Bâthon; Amulette du Cycloïde; Anneau Crustique; Anneau du Cycloïde; Bouclier d'Anerice; Ceintouse; Chapoulpe; Cape d'Anerice; Tentassons; Dofus Émeraude; Dofus Ocre; Dolmanax; Dofus Abyssal; Dofus Pourpre; Paralyseur majeur; Muldo Pourpre</t>
        </is>
      </c>
    </row>
    <row r="8033">
      <c r="A8033" t="inlineStr">
        <is>
          <t>eau tank</t>
        </is>
      </c>
      <c r="B8033">
        <f>HYPERLINK("https://www.dofusbook.net/fr/equipement/2047145-eau-tank/objets", "link")</f>
        <v/>
      </c>
      <c r="C8033" t="n">
        <v>0</v>
      </c>
      <c r="D8033" t="inlineStr">
        <is>
          <t>Rapière aux Glyphes; Amulette du Strigide; Bracelet des Fonds marins; Alliance Gloursonne; Bouclier d'Anerice; Pagne du Rykaon; Kidibonnet; Cape d'Anerice; Pataugastrique; Dofus Turquoise; Dofus Ivoire; Dofus Émeraude; Dofus Pourpre; Dofus Abyssal; Chanceux majeur; Muldo Indigo</t>
        </is>
      </c>
    </row>
    <row r="8034">
      <c r="A8034" t="inlineStr">
        <is>
          <t>malef tank</t>
        </is>
      </c>
      <c r="B8034">
        <f>HYPERLINK("https://www.dofusbook.net/fr/equipement/2047122-malef-tank/objets", "link")</f>
        <v/>
      </c>
      <c r="C8034" t="n">
        <v>0</v>
      </c>
      <c r="D8034" t="inlineStr">
        <is>
          <t>Baguette de Malléfisk; Pendentif affamé; Anneau Rifique; Anneauræus; Bouclier d'Anerice; Ceinture de Vortex; Masque d'Anerice; Voile d'encre; Pataugastrique; Dofus Ivoire; Dofus Abyssal; Dofus Émeraude; Remueur; Érudit majeur; Guérisseur majeur; Muldo Orchidée et Pourpre</t>
        </is>
      </c>
    </row>
    <row r="8035">
      <c r="A8035" t="inlineStr">
        <is>
          <t>double ressac</t>
        </is>
      </c>
      <c r="B8035">
        <f>HYPERLINK("https://www.dofusbook.net/fr/equipement/2035550-double-ressac/objets", "link")</f>
        <v/>
      </c>
      <c r="C8035" t="n">
        <v>0</v>
      </c>
      <c r="D8035" t="inlineStr">
        <is>
          <t>Arc du Chalœil; Amulette Luminescente; Anneau Crustique; Anneau Chevelu; Bouclier du Stalak; Ceinture Luminescente; Scaphandre Ojine; Cape du Cœur Vaillant; Sabots Minables; Dofus Pourpre; Dofus Abyssal; Dofus des Glaces; Culbuteur majeur; Remueur; Nomade; Kramkram</t>
        </is>
      </c>
    </row>
    <row r="8036">
      <c r="A8036" t="inlineStr">
        <is>
          <t>res crit</t>
        </is>
      </c>
      <c r="B8036">
        <f>HYPERLINK("https://www.dofusbook.net/fr/equipement/2035505-res-crit/objets", "link")</f>
        <v/>
      </c>
      <c r="C8036" t="n">
        <v>0</v>
      </c>
      <c r="D8036" t="inlineStr">
        <is>
          <t>Hache du Chalœil; Torquistik; Baguistik; Goulano; Goulclier; Ceinture de la Reine des Voleurs; Coiffe de la Reine des Voleurs; Voile d'encre; Goulbottes; Dofus Vulbis; Dofus des Glaces; Dofus Pourpre; Dofus Abyssal; Dofus Ivoire; Dofus Ocre; Kramkram</t>
        </is>
      </c>
    </row>
    <row r="8037">
      <c r="A8037" t="inlineStr">
        <is>
          <t>lvl180</t>
        </is>
      </c>
      <c r="B8037">
        <f>HYPERLINK("https://www.dofusbook.net/fr/equipement/1231178-lvl180/objets", "link")</f>
        <v/>
      </c>
      <c r="C8037" t="n">
        <v>0</v>
      </c>
      <c r="D8037" t="inlineStr">
        <is>
          <t>Arc de Guten Tak; Amulette de Guten Tak; Anneau de Guten Tak; Alliance de Guten Tak; Cadran de Terre; Ceinture de XLII; Katar Strophe; Cape Surde; Bottes de XLII; Dofus Vulbis; Dofus Ivoire; Dofus Pourpre; Dofus Ocre; Dofus Émeraude; Dofus Abyssal; Kramkram</t>
        </is>
      </c>
    </row>
    <row r="8038">
      <c r="A8038" t="inlineStr">
        <is>
          <t>terre feu 180</t>
        </is>
      </c>
      <c r="B8038">
        <f>HYPERLINK("https://www.dofusbook.net/fr/equipement/2031601-terre-feu-180/objets", "link")</f>
        <v/>
      </c>
      <c r="C8038" t="n">
        <v>0</v>
      </c>
      <c r="D8038" t="inlineStr">
        <is>
          <t>Pelle Aigante; Amulette du K.O.; Alliance de Guten Tak; Anneau Chevelu; Cadran d'Air; Ceinture de Fraktale; Coiffe de Soissanth; Cape de l'Obsidiantre; Pantoufles de Soissanth; Dofus Ivoire; Dofus Abyssal; Dofus Pourpre; Dofus Ocre; Déserteur majeur; Remueur; Muldo Pourpre et Amande</t>
        </is>
      </c>
    </row>
    <row r="8039">
      <c r="A8039" t="inlineStr">
        <is>
          <t>feu 163</t>
        </is>
      </c>
      <c r="B8039">
        <f>HYPERLINK("https://www.dofusbook.net/fr/equipement/2029683-feu-163/objets", "link")</f>
        <v/>
      </c>
      <c r="C8039" t="n">
        <v>0</v>
      </c>
      <c r="D8039" t="inlineStr">
        <is>
          <t>Arc de Flèche Mauve; Talisman d'Elya Wood; Anneau du Chêne Mou; Alliance d'Elya Wood; Bouclier du Mont Kipou; Xénature; Piruk; Cape de l'Obsidiantre; Bottes de Ush; Dofus Ocre; Dofus Émeraude; Guérisseur majeur; Remueur; Érudit majeur; Observateur; Dragodinde Prune et Emeraude</t>
        </is>
      </c>
    </row>
    <row r="8040">
      <c r="A8040" t="inlineStr">
        <is>
          <t>eau160</t>
        </is>
      </c>
      <c r="B8040">
        <f>HYPERLINK("https://www.dofusbook.net/fr/equipement/2029605-eau160/objets", "link")</f>
        <v/>
      </c>
      <c r="C8040" t="n">
        <v>0</v>
      </c>
      <c r="D8040" t="inlineStr">
        <is>
          <t>Marteau du Juge Lou; Amulette d'Ali Grothor; Anneau du Kaniblou; Sceau Souverain du Roissingue; Bouclier du Mont Kipou; Ceinture du Kaniblou; Coiffe Médusoïde; Corbacape Mastralis; Bottes de Grozilla; Dofus Ocre; Dofus Pourpre; Étourdisseur majeur; Miraculé majeur; Remueur; Chanceux majeur; Muldo Orchidée et Amande</t>
        </is>
      </c>
    </row>
    <row r="8041">
      <c r="A8041" t="inlineStr">
        <is>
          <t>pvp160</t>
        </is>
      </c>
      <c r="B8041">
        <f>HYPERLINK("https://www.dofusbook.net/fr/equipement/2029559-pvp160/objets", "link")</f>
        <v/>
      </c>
      <c r="C8041" t="n">
        <v>0</v>
      </c>
      <c r="D8041" t="inlineStr">
        <is>
          <t>Hache du Guerrier Zoth; La Meulette; Anneau du Chêne Mou; Sceau Souverain du Roissingue; Cadran d'Eau; Ceinture Phossile; Fantômasque; Cape Phossile; Sandales Gorithme; Dofus Émeraude; Dofus Turquoise; Dofus Ocre; Dofus Pourpre; Remueur; Miraculé majeur; Dragodinde Emeraude et Rousse</t>
        </is>
      </c>
    </row>
    <row r="8042">
      <c r="A8042" t="inlineStr">
        <is>
          <t>multi 160</t>
        </is>
      </c>
      <c r="B8042">
        <f>HYPERLINK("https://www.dofusbook.net/fr/equipement/2029519-multi-160/objets", "link")</f>
        <v/>
      </c>
      <c r="C8042" t="n">
        <v>0</v>
      </c>
      <c r="D8042" t="inlineStr">
        <is>
          <t>Dagues du Dragoeuf; La Meulette; Anneau du Chêne Mou; Anneau Cérémonial du Seigneur des Rats; Cadran d'Eau; Ceinture Phossile; Fantômasque; Cape Phossile; Sandales Gorithme; Dofus Pourpre; Dofus Ocre; Dofus Turquoise; Remueur; Vigoureux majeur; Nomade; Kramkram</t>
        </is>
      </c>
    </row>
    <row r="8043">
      <c r="A8043" t="inlineStr">
        <is>
          <t>feu160</t>
        </is>
      </c>
      <c r="B8043">
        <f>HYPERLINK("https://www.dofusbook.net/fr/equipement/2029463-feu160/objets", "link")</f>
        <v/>
      </c>
      <c r="C8043" t="n">
        <v>0</v>
      </c>
      <c r="D8043" t="inlineStr">
        <is>
          <t>Pelle Aigante; Talisman d'Elya Wood; Anneau du Chêne Mou; Alliance d'Elya Wood; Bouclier du Mont Kipou; Ceinture du Bretteur Céleste; Blopronne Royale; Cape de l'Obsidiantre; Bottes Cérémoniales du Seigneur des Rats; Dofus Ocre; Dofus Émeraude; Miraculé majeur; Remueur; Érudit majeur; Déserteur majeur; Dragodinde Prune et Emeraude</t>
        </is>
      </c>
    </row>
    <row r="8044">
      <c r="A8044" t="inlineStr">
        <is>
          <t>eau160</t>
        </is>
      </c>
      <c r="B8044">
        <f>HYPERLINK("https://www.dofusbook.net/fr/equipement/2029319-eau160/objets", "link")</f>
        <v/>
      </c>
      <c r="C8044" t="n">
        <v>1</v>
      </c>
      <c r="D8044" t="inlineStr">
        <is>
          <t>Bâton Fracass; Amulette du Père Phorreur; Styxano; Bracelet du Minotot; Bouclier Taverne; Ceinture du Kaniblou; Bonnet Ko; Cape du Kaniblou; Bottes de Grozilla; Dofus Ocre; Dofus Émeraude; Dofus Pourpre; Dofus Turquoise; Nomade; Remueur; Muldo Pourpre</t>
        </is>
      </c>
    </row>
    <row r="8045">
      <c r="A8045" t="inlineStr">
        <is>
          <t>air160</t>
        </is>
      </c>
      <c r="B8045">
        <f>HYPERLINK("https://www.dofusbook.net/fr/equipement/2029278-air160/objets", "link")</f>
        <v/>
      </c>
      <c r="C8045" t="n">
        <v>0</v>
      </c>
      <c r="D8045" t="inlineStr">
        <is>
          <t>Karnak; Collier du Tanukouï San; Nageanneau; Sceau Souverain du Roissingue; Cadran d'Eau; Ceinture de l'Orfélin; Coiffe de l'Orfélin; Cape Itaineflam; Sandales Gorithme; Dofus Pourpre; Dofus Émeraude; Dofus Ocre; Vigoureux majeur; Cascadeur majeur; Remueur; Kramkram</t>
        </is>
      </c>
    </row>
    <row r="8046">
      <c r="A8046" t="inlineStr">
        <is>
          <t>feu160</t>
        </is>
      </c>
      <c r="B8046">
        <f>HYPERLINK("https://www.dofusbook.net/fr/equipement/2029227-feu160/objets", "link")</f>
        <v/>
      </c>
      <c r="C8046" t="n">
        <v>0</v>
      </c>
      <c r="D8046" t="inlineStr">
        <is>
          <t>Arc de Flèche Mauve; Talisman d'Elya Wood; Alliance d'Elya Wood; Anneau du Chêne Mou; Bouclier du Mont Kipou; Ceinture du Père Phorreur; Piruk; Ortiz; Bottes Cérémoniales du Seigneur des Rats; Dofus Émeraude; Dofus Ocre; Dolmanax; Guérisseur majeur; Érudit majeur; Remueur; Dragodinde Prune et Emeraude</t>
        </is>
      </c>
    </row>
    <row r="8047">
      <c r="A8047" t="inlineStr">
        <is>
          <t>terre air 199</t>
        </is>
      </c>
      <c r="B8047">
        <f>HYPERLINK("https://www.dofusbook.net/fr/equipement/2023523-terre-air-199/objets", "link")</f>
        <v/>
      </c>
      <c r="C8047" t="n">
        <v>0</v>
      </c>
      <c r="D8047" t="inlineStr">
        <is>
          <t>L'Épée Nice; Frimamulette; Anneau Chevelu; Alliance Gloursonne; Écorce de Brouce; Ceinture de Nevark; Coiffe de la Fuji Givrefoux; Cape de Nevark; Sabots Minables; Dofus Émeraude; Dofus des Glaces; Dofus Pourpre; Dofus Abyssal; Dofus Ivoire; Dofus Ocre; Kramkram</t>
        </is>
      </c>
    </row>
    <row r="8048">
      <c r="A8048" t="inlineStr">
        <is>
          <t>feu199</t>
        </is>
      </c>
      <c r="B8048">
        <f>HYPERLINK("https://www.dofusbook.net/fr/equipement/2023457-feu199/objets", "link")</f>
        <v/>
      </c>
      <c r="C8048" t="n">
        <v>0</v>
      </c>
      <c r="D8048" t="inlineStr">
        <is>
          <t>Arc Hétype; Amulette de Nileza; Alliance Boletée; Bague Gloursonne; Bouclier à hélice; Frimature; Casqnoar; Cape de Nileza; Pantoufles Émar; Dolmanax; Dofus Abyssal; Dofus Émeraude; Dofus Ocre; Déserteur majeur; Érudit majeur; Muldo Indigo et Orchidée</t>
        </is>
      </c>
    </row>
    <row r="8049">
      <c r="A8049" t="inlineStr">
        <is>
          <t>air199</t>
        </is>
      </c>
      <c r="B8049">
        <f>HYPERLINK("https://www.dofusbook.net/fr/equipement/2023324-air199/objets", "link")</f>
        <v/>
      </c>
      <c r="C8049" t="n">
        <v>0</v>
      </c>
      <c r="D8049" t="inlineStr">
        <is>
          <t>Karnak; Amulette Hale; Anneau de Padgref; Alliance Gloursonne; Quatre-feuilles; Ceinture Rasboulaire du Rasboul; Couronne d'Allister; Cape Matelassée; Bottes d'Allister; Dofus Ocre; Dofus Pourpre; Dofus Abyssal; Dofus Turquoise; Cascadeur majeur; Miraculé majeur; Kramkram</t>
        </is>
      </c>
    </row>
    <row r="8050">
      <c r="A8050" t="inlineStr">
        <is>
          <t>air mechant</t>
        </is>
      </c>
      <c r="B8050">
        <f>HYPERLINK("https://www.dofusbook.net/fr/equipement/2021795-air-mechant/objets", "link")</f>
        <v/>
      </c>
      <c r="C8050" t="n">
        <v>0</v>
      </c>
      <c r="D8050" t="inlineStr">
        <is>
          <t>Hachoirs de Viandargh; Amulette du Strigide; Alliance Gloursonne; Anneau de Padgref; Bouclier du Captain Amakna; Sangle Oriole; Chapeau de Tournoyé; Chevelure de Tal Kasha; Palmes Trithons; Dofus des Glaces; Dofus Ocre; Dofus Pourpre; Dofus Turquoise; Remueur; Cascadeur majeur; Muldo Prune et Emeraude</t>
        </is>
      </c>
    </row>
    <row r="8051">
      <c r="A8051" t="inlineStr">
        <is>
          <t>full eau</t>
        </is>
      </c>
      <c r="B8051">
        <f>HYPERLINK("https://www.dofusbook.net/fr/equipement/2021722-full-eau/objets", "link")</f>
        <v/>
      </c>
      <c r="C8051" t="n">
        <v>0</v>
      </c>
      <c r="D8051" t="inlineStr">
        <is>
          <t>Rapière aux Glyphes; Amulette de l'Œil Attentif; Bracelet des Fonds marins; Alliance Gloursonne; Quatre-feuilles; Pagne du Rykaon; Kidibonnet; Cape de la Dame du Hasard; Bottes de la Dame du Hasard; Dofus Ivoire; Dofus Turquoise; Dofus Pourpre; Dofus Abyssal; Chanceux majeur; Remueur; Muldo Ebène et Indigo</t>
        </is>
      </c>
    </row>
    <row r="8052">
      <c r="A8052" t="inlineStr">
        <is>
          <t>full terre</t>
        </is>
      </c>
      <c r="B8052">
        <f>HYPERLINK("https://www.dofusbook.net/fr/equipement/2007274-full-terre/objets", "link")</f>
        <v/>
      </c>
      <c r="C8052" t="n">
        <v>0</v>
      </c>
      <c r="D8052" t="inlineStr">
        <is>
          <t>Lav'Hache; Collier de Tourthon; Anneau Crustique; Anneau Chevelu; Bouclier du Stalak; Ceinture de la Reine des Voleurs; Coiffe de la Reine des Voleurs; Cape au Logis; Sabots Minables; Dofus Ocre; Dofus Ivoire; Dofus des Glaces; Dofus Pourpre; Dofus Abyssal; Enragé majeur; Kramkram</t>
        </is>
      </c>
    </row>
    <row r="8053">
      <c r="A8053" t="inlineStr">
        <is>
          <t>multi</t>
        </is>
      </c>
      <c r="B8053">
        <f>HYPERLINK("https://www.dofusbook.net/fr/equipement/2007054-multi/objets", "link")</f>
        <v/>
      </c>
      <c r="C8053" t="n">
        <v>0</v>
      </c>
      <c r="D8053" t="inlineStr">
        <is>
          <t>Marteau d'Henual; Amulette du Kamasterisk; Goulano; Alliance Brûlâme; Goulclier; Ceinture d'Henual; Masque Brûlâme; Cape du Kamasterisk; Pompes Funèbres; Dofus Ivoire; Dofus Ocre; Dokoko; Dofus Abyssal; Dofus Vulbis; Dofus Pourpre; Kramkram</t>
        </is>
      </c>
    </row>
    <row r="8054">
      <c r="A8054" t="inlineStr">
        <is>
          <t>arcaique</t>
        </is>
      </c>
      <c r="B8054">
        <f>HYPERLINK("https://www.dofusbook.net/fr/equipement/1993026-arcaique/objets", "link")</f>
        <v/>
      </c>
      <c r="C8054" t="n">
        <v>0</v>
      </c>
      <c r="D8054" t="inlineStr">
        <is>
          <t>Arc Ahique; Amulette de l'Indicible; Alliance Gloursonne; Anneau Chevelu; Bouclier du Stalak; Ceinture de la Reine des Voleurs; Coiffe de la Reine des Voleurs; Voile d'encre; Sabots Minables; Dofus Pourpre; Dofus Abyssal; Dofus des Glaces; Nomade; Vigoureux majeur; Remueur; Kramkram</t>
        </is>
      </c>
    </row>
    <row r="8055">
      <c r="A8055" t="inlineStr">
        <is>
          <t>terre ret</t>
        </is>
      </c>
      <c r="B8055">
        <f>HYPERLINK("https://www.dofusbook.net/fr/equipement/1289397-terre-ret/objets", "link")</f>
        <v/>
      </c>
      <c r="C8055" t="n">
        <v>0</v>
      </c>
      <c r="D8055" t="inlineStr">
        <is>
          <t>Lav'Hache; Collier de Tourthon; Anneau Crustique; Anneau Chevelu; Cadran de Terre; Culotte de Bethel; Masque de Koutoulou; Cape du Cœur Vaillant; Chaussons de Macrab; Dofus Pourpre; Dofus Ivoire; Dofus Ocre; Dofus Abyssal; Enragé majeur; Étourdisseur majeur; Muldo Pourpre et Amande</t>
        </is>
      </c>
    </row>
    <row r="8056">
      <c r="A8056" t="inlineStr">
        <is>
          <t>eau air</t>
        </is>
      </c>
      <c r="B8056">
        <f>HYPERLINK("https://www.dofusbook.net/fr/equipement/1973897-eau-air/objets", "link")</f>
        <v/>
      </c>
      <c r="C8056" t="n">
        <v>0</v>
      </c>
      <c r="D8056" t="inlineStr"/>
    </row>
    <row r="8057">
      <c r="A8057" t="inlineStr">
        <is>
          <t>air 12/6</t>
        </is>
      </c>
      <c r="B8057">
        <f>HYPERLINK("https://www.dofusbook.net/fr/equipement/1972976-air-12-6/objets", "link")</f>
        <v/>
      </c>
      <c r="C8057" t="n">
        <v>0</v>
      </c>
      <c r="D8057" t="inlineStr">
        <is>
          <t>Héqache; Collier du Valet Veinard; Alliance Brûlâme; Gant du Valet Veinard; Bouclier du Stalak; Ceintouse; Chapoulpe; Cape du Valet Veinard; Tentassons; Dofus Pourpre; Dolmanax; Dofus Ocre; Dofus des Glaces; Dofus Ivoire; Dofus Abyssal; Muldo Ebène et Pourpre</t>
        </is>
      </c>
    </row>
    <row r="8058">
      <c r="A8058" t="inlineStr">
        <is>
          <t>air</t>
        </is>
      </c>
      <c r="B8058">
        <f>HYPERLINK("https://www.dofusbook.net/fr/equipement/1229954-air/objets", "link")</f>
        <v/>
      </c>
      <c r="C8058" t="n">
        <v>0</v>
      </c>
      <c r="D8058" t="inlineStr">
        <is>
          <t>Manthache; Collier du Valet Veinard; Alliance Gloursonne; Gant du Valet Veinard; Bouclier d'Ilyzaelle; Menoture; Casque d'Ilyzaelle; Cape du Kamasterisk; Bottes du Kamasterisk; Dofus Pourpre; Dofus Ivoire; Dofus Ocre; Dofus des Glaces; Dofus Émeraude; Dofus Abyssal; Muldo Ebène et Indigo</t>
        </is>
      </c>
    </row>
    <row r="8059">
      <c r="A8059" t="inlineStr">
        <is>
          <t>cancer3</t>
        </is>
      </c>
      <c r="B8059">
        <f>HYPERLINK("https://www.dofusbook.net/fr/equipement/1457546-cancer3/objets", "link")</f>
        <v/>
      </c>
      <c r="C8059" t="n">
        <v>0</v>
      </c>
      <c r="D8059" t="inlineStr">
        <is>
          <t>Marteau de Katrepat; Amulette du Cœur Vaillant; Anneau Crustique; Alliance Brûlâme; Sept ans de malheur; Menoture; Chapeau du Comte Razof; Voile d'encre; Pompes Funèbres; Dofus Pourpre; Dofus Émeraude; Étourdisseur majeur; Remueur; Temporiseur majeur; Vigoureux majeur; Muldo Ebène</t>
        </is>
      </c>
    </row>
    <row r="8060">
      <c r="A8060" t="inlineStr">
        <is>
          <t>terre air</t>
        </is>
      </c>
      <c r="B8060">
        <f>HYPERLINK("https://www.dofusbook.net/fr/equipement/1722223-terre-air/objets", "link")</f>
        <v/>
      </c>
      <c r="C8060" t="n">
        <v>0</v>
      </c>
      <c r="D8060" t="inlineStr">
        <is>
          <t>Héqache; Collier de Tourthon; Bague Trithon; Anneau Chevelu; Bouclier d'Ilyzaelle; Ceintouse; Masque de Koutoulou; Cape au Logis; Bottes Trithon; Dofus Émeraude; Dofus Ivoire; Dofus Turquoise; Dofus Abyssal; Remueur; Carapace Terre majeur; Péki</t>
        </is>
      </c>
    </row>
    <row r="8061">
      <c r="A8061" t="inlineStr">
        <is>
          <t>multi</t>
        </is>
      </c>
      <c r="B8061">
        <f>HYPERLINK("https://www.dofusbook.net/fr/equipement/1958477-multi/objets", "link")</f>
        <v/>
      </c>
      <c r="C8061" t="n">
        <v>0</v>
      </c>
      <c r="D8061" t="inlineStr">
        <is>
          <t>Sabres d'Atcham; Amulette du Strigide; Bague Trithon; Alliance Gloursonne; Bouclier du Captain Amakna; Ceinture du Strigide; Masque Trithon; Cape d'Atcham; Sandales  d'Atcham; Dofus Turquoise; Dofus Ivoire; Dolmanax; Dofus Ocre; Dofus Pourpre; Dofus Abyssal; Muldo Ebène</t>
        </is>
      </c>
    </row>
    <row r="8062">
      <c r="A8062" t="inlineStr">
        <is>
          <t>fullterre</t>
        </is>
      </c>
      <c r="B8062">
        <f>HYPERLINK("https://www.dofusbook.net/fr/equipement/1958412-fullterre/objets", "link")</f>
        <v/>
      </c>
      <c r="C8062" t="n">
        <v>0</v>
      </c>
      <c r="D8062" t="inlineStr">
        <is>
          <t>Lav'Hache; Collier de Tourthon; Anneau Chevelu; Anneau Crustique; Bouclier d'Ilyzaelle; Ceintouse; Masque de Koutoulou; Cape au Logis; Tentassons; Dofus Abyssal; Dofus Pourpre; Dofus Ivoire; Dofus Émeraude; Remueur; Miraculé majeur; Croum</t>
        </is>
      </c>
    </row>
    <row r="8063">
      <c r="A8063" t="inlineStr">
        <is>
          <t>pvm</t>
        </is>
      </c>
      <c r="B8063">
        <f>HYPERLINK("https://www.dofusbook.net/fr/equipement/1893250-pvm/objets", "link")</f>
        <v/>
      </c>
      <c r="C8063" t="n">
        <v>0</v>
      </c>
      <c r="D8063" t="inlineStr">
        <is>
          <t>Marteau R'ture; Collier de Tourthon; Alliance de Guten Tak; Anneau du Katcheur; Cadran d'Eau; Ceintacé; Masque du Katcheur; Ankhape; Tentassons; Dofus Émeraude; Nomade; Miraculé; Miraculé majeur; Survivant majeur; Remueur; Péki</t>
        </is>
      </c>
    </row>
    <row r="8064">
      <c r="A8064" t="inlineStr">
        <is>
          <t>eaufeu</t>
        </is>
      </c>
      <c r="B8064">
        <f>HYPERLINK("https://www.dofusbook.net/fr/equipement/1722265-eaufeu/objets", "link")</f>
        <v/>
      </c>
      <c r="C8064" t="n">
        <v>0</v>
      </c>
      <c r="D8064" t="inlineStr">
        <is>
          <t>Épée Brûlâme; Amulette du Strigide; Anneau de Padgref; Alliance Gloursonne; Bouclier du Captain Amakna; Ceinture du Strigide; Kidibonnet; Cape de la Dame du Hasard; Bottes de la Dame du Hasard; Dofus Émeraude; Dofus Ocre; Dofus Pourpre; Dofus Abyssal; Dofus Turquoise; Dofus Ivoire; Muldo Ebène et Orchidée</t>
        </is>
      </c>
    </row>
    <row r="8065">
      <c r="A8065" t="inlineStr">
        <is>
          <t>feu air</t>
        </is>
      </c>
      <c r="B8065">
        <f>HYPERLINK("https://www.dofusbook.net/fr/equipement/1402537-feu-air/objets", "link")</f>
        <v/>
      </c>
      <c r="C8065" t="n">
        <v>0</v>
      </c>
      <c r="D8065" t="inlineStr">
        <is>
          <t>Dagues Ricol; Pendentif mignon de Koutoulou; Anneau Rifique; Alliance Brûlâme; Bouclier d'Ilyzaelle; Ceinture de l'Esprit Salvateur; Masque de l'Esprit Salvateur; Cape de Diondin; Pompes Funèbres; Dofus Pourpre; Dofus Ivoire; Dofus des Glaces; Dofus Ocre; Dofus Émeraude; Dofus Abyssal; Muldo Ebène et Orchidée</t>
        </is>
      </c>
    </row>
    <row r="8066">
      <c r="A8066" t="inlineStr">
        <is>
          <t>air 1v1</t>
        </is>
      </c>
      <c r="B8066">
        <f>HYPERLINK("https://www.dofusbook.net/fr/equipement/1749437-air-1v1/objets", "link")</f>
        <v/>
      </c>
      <c r="C8066" t="n">
        <v>0</v>
      </c>
      <c r="D8066" t="inlineStr">
        <is>
          <t>L'Épée Nice; Collier du Valet Veinard; Alliance Gloursonne; Gant du Valet Veinard; Bouclier d'Ilyzaelle; Ceintouse; Casque d'Ilyzaelle; Cape du Valet Veinard; Tentassons; Dokoko; Dofus Ocre; Dofus Émeraude; Dofus Abyssal; Dofus Pourpre; Dofus Ivoire; Kramkram</t>
        </is>
      </c>
    </row>
    <row r="8067">
      <c r="A8067" t="inlineStr">
        <is>
          <t>pvp 1v1</t>
        </is>
      </c>
      <c r="B8067">
        <f>HYPERLINK("https://www.dofusbook.net/fr/equipement/1749369-pvp-1v1/objets", "link")</f>
        <v/>
      </c>
      <c r="C8067" t="n">
        <v>0</v>
      </c>
      <c r="D8067" t="inlineStr">
        <is>
          <t>Rapière aux Glyphes; Amulette du Strigide; Bague Trithon; Alliance Gloursonne; Bouclier du Captain Amakna; Ceinture du Strigide; Kidibonnet; Chevelure de Tal Kasha; Bottes de la Reine des Voleurs; Dofus Pourpre; Dokoko; Dofus Turquoise; Dofus Émeraude; Dofus Abyssal; Remueur; Muldo Prune et Orchidée</t>
        </is>
      </c>
    </row>
    <row r="8068">
      <c r="A8068" t="inlineStr">
        <is>
          <t>feu 1v1</t>
        </is>
      </c>
      <c r="B8068">
        <f>HYPERLINK("https://www.dofusbook.net/fr/equipement/1749271-feu-1v1/objets", "link")</f>
        <v/>
      </c>
      <c r="C8068" t="n">
        <v>3</v>
      </c>
      <c r="D8068" t="inlineStr">
        <is>
          <t>Plumeau Bil; Pendentif affamé; Anneau Rifique; Anneauræus; Bouclier du Stalak; Ceinture de Vortex; Casque Cyclopéen; Voile d'encre; Pataugastrique; Dofus des Glaces; Dokoko; Dofus Abyssal; Dofus Pourpre; Miraculé majeur; Remueur; Kramkram</t>
        </is>
      </c>
    </row>
    <row r="8069">
      <c r="A8069" t="inlineStr">
        <is>
          <t>eau tank</t>
        </is>
      </c>
      <c r="B8069">
        <f>HYPERLINK("https://www.dofusbook.net/fr/equipement/1722295-eau-tank/objets", "link")</f>
        <v/>
      </c>
      <c r="C8069" t="n">
        <v>0</v>
      </c>
      <c r="D8069" t="inlineStr">
        <is>
          <t>Rapière aux Glyphes; Amulette de Shokkoth; Bracelet des Fonds marins; Alliance Gloursonne; Bouclier d'Anerice; Poulpagne; Casqnoar; Cape d'Anerice; Bottes du Sinistrofu; Dofus Pourpre; Dofus des Glaces; Dofus Abyssal; Remueur; Chanceux majeur; Dévastateur Eau majeur; Muldo Indigo et Amande</t>
        </is>
      </c>
    </row>
    <row r="8070">
      <c r="A8070" t="inlineStr">
        <is>
          <t>eau feu 186</t>
        </is>
      </c>
      <c r="B8070">
        <f>HYPERLINK("https://www.dofusbook.net/fr/equipement/1680663-eau-feu-186/objets", "link")</f>
        <v/>
      </c>
      <c r="C8070" t="n">
        <v>0</v>
      </c>
      <c r="D8070" t="inlineStr">
        <is>
          <t>Dagues Cacterre; Ougamulette; Alliance de Guten Tak; Anneau Bliteré; Bouclier Taverne; Ceintrémorse; Capuche Souveraine du Roissingue; Cape Phossile; Bottes Phossiles; Dofus Turquoise; Dofus Pourpre; Dofus Ocre; Dofus Émeraude; Dofus Abyssal; Remueur; Muldo Prune et Ebène</t>
        </is>
      </c>
    </row>
    <row r="8071">
      <c r="A8071" t="inlineStr">
        <is>
          <t>eau air 186</t>
        </is>
      </c>
      <c r="B8071">
        <f>HYPERLINK("https://www.dofusbook.net/fr/equipement/1680564-eau-air-186/objets", "link")</f>
        <v/>
      </c>
      <c r="C8071" t="n">
        <v>0</v>
      </c>
      <c r="D8071" t="inlineStr">
        <is>
          <t>Karnak; Racine Hueuse; Anneau Tabéné; Alliance de Guten Tak; Bouclier Taverne; Ceintrémorse; Casquoporth; Cape du Korriandre; Sandales Binosse; Dofus des Glaces; Dofus Ocre; Dofus Turquoise; Dofus Pourpre; Vigoureux majeur; Remueur; Kramkram</t>
        </is>
      </c>
    </row>
    <row r="8072">
      <c r="A8072" t="inlineStr">
        <is>
          <t>air 180</t>
        </is>
      </c>
      <c r="B8072">
        <f>HYPERLINK("https://www.dofusbook.net/fr/equipement/1680525-air-180/objets", "link")</f>
        <v/>
      </c>
      <c r="C8072" t="n">
        <v>0</v>
      </c>
      <c r="D8072" t="inlineStr">
        <is>
          <t>L'Épée Nice; Crolier; Anneau de XLII; Alliance de Guten Tak; Cadran d'Air; Ceinture de XLII; Bonnet Ko; Cape de Tengu Givrefoux; Sandales Binosse; Dofus Pourpre; Dofus Abyssal; Dofus Ocre; Dofus Ivoire; Cascadeur majeur; Remueur; Muldo Indigo et Pourpre</t>
        </is>
      </c>
    </row>
    <row r="8073">
      <c r="A8073" t="inlineStr">
        <is>
          <t>hetype 199</t>
        </is>
      </c>
      <c r="B8073">
        <f>HYPERLINK("https://www.dofusbook.net/fr/equipement/1580601-hetype-199/objets", "link")</f>
        <v/>
      </c>
      <c r="C8073" t="n">
        <v>0</v>
      </c>
      <c r="D8073" t="inlineStr">
        <is>
          <t>Arc Hétype; Amulette d'Otomaï; Bague Gloursonne; Alliance de Guten Tak; Sept ans de malheur; Ceinture du Comte Razof; Chapeau du Comte Razof; Voile d'encre; Pantoufles Émar; Dofus Pourpre; Dofus Abyssal; Érudit majeur; Temporiseur majeur; Étourdisseur majeur; Remueur; Muldo Orchidée et Pourpre</t>
        </is>
      </c>
    </row>
    <row r="8074">
      <c r="A8074" t="inlineStr">
        <is>
          <t>m200</t>
        </is>
      </c>
      <c r="B8074">
        <f>HYPERLINK("https://www.dofusbook.net/fr/equipement/1187612-m200/objets", "link")</f>
        <v/>
      </c>
      <c r="C8074" t="n">
        <v>0</v>
      </c>
      <c r="D8074" t="inlineStr"/>
    </row>
    <row r="8075">
      <c r="A8075" t="inlineStr">
        <is>
          <t>feu distance</t>
        </is>
      </c>
      <c r="B8075">
        <f>HYPERLINK("https://www.dofusbook.net/fr/equipement/1563553-feu-distance/objets", "link")</f>
        <v/>
      </c>
      <c r="C8075" t="n">
        <v>0</v>
      </c>
      <c r="D8075" t="inlineStr">
        <is>
          <t>Harpelle; Amulette Séculaire; Anneau de Padgref; Anneauræus; Quatre-feuilles; Ceinture Séculaire; Chapeau de Gein; Voile d'encre; Pataugastrique; Dofus Pourpre; Dofus Émeraude; Dofus Turquoise; Dokoko; Dofus Abyssal; Remueur; Muldo Orchidée et Pourpre</t>
        </is>
      </c>
    </row>
    <row r="8076">
      <c r="A8076" t="inlineStr">
        <is>
          <t>multi tank</t>
        </is>
      </c>
      <c r="B8076">
        <f>HYPERLINK("https://www.dofusbook.net/fr/equipement/1563484-multi-tank/objets", "link")</f>
        <v/>
      </c>
      <c r="C8076" t="n">
        <v>0</v>
      </c>
      <c r="D8076" t="inlineStr">
        <is>
          <t>Hache du Chalœil; Amulette du Strigide; Bague Trithon; Alliance du Lévitrof; Bouclier d'Anerice; Ceinture du Strigide; Masque de Koutoulou; Cape d'Anerice; Bottes du Lévitrof; Dofus Pourpre; Dofus des Glaces; Dofus Vulbis; Dokoko; Dofus Ocre; Dofus Abyssal; Kramkram</t>
        </is>
      </c>
    </row>
    <row r="8077">
      <c r="A8077" t="inlineStr">
        <is>
          <t>air</t>
        </is>
      </c>
      <c r="B8077">
        <f>HYPERLINK("https://www.dofusbook.net/fr/equipement/1519651-air/objets", "link")</f>
        <v/>
      </c>
      <c r="C8077" t="n">
        <v>0</v>
      </c>
      <c r="D8077" t="inlineStr">
        <is>
          <t>Lance Horselé; Collier du Valet Veinard; Gant du Valet Veinard; Alliance Gloursonne; Cadran d'Air; Menoture; Coiffe de la Reine des Voleurs; Cape du Valet Veinard; Bottes de la Reine des Voleurs; Dofus Pourpre; Dofus Ivoire; Dofus des Glaces; Dofus Émeraude; Dofus Abyssal; Acrobate majeur; Muldo Ebène</t>
        </is>
      </c>
    </row>
    <row r="8078">
      <c r="A8078" t="inlineStr">
        <is>
          <t>feu air</t>
        </is>
      </c>
      <c r="B8078">
        <f>HYPERLINK("https://www.dofusbook.net/fr/equipement/1518099-feu-air/objets", "link")</f>
        <v/>
      </c>
      <c r="C8078" t="n">
        <v>0</v>
      </c>
      <c r="D8078" t="inlineStr">
        <is>
          <t>Hachoirs de Viandargh; Amulette du Strigide; Anneau de Padgref; Alliance Gloursonne; Bouclier du Captain Amakna; Menoture; Chapibou; Capibou; Palmes Trithons; Dofus Turquoise; Dofus Abyssal; Dofus Pourpre; Cascadeur majeur; Carapace Eau majeur; Remueur; Muldo Ebène</t>
        </is>
      </c>
    </row>
    <row r="8079">
      <c r="A8079" t="inlineStr">
        <is>
          <t>dopoudopou</t>
        </is>
      </c>
      <c r="B8079">
        <f>HYPERLINK("https://www.dofusbook.net/fr/equipement/1517526-dopoudopou/objets", "link")</f>
        <v/>
      </c>
      <c r="C8079" t="n">
        <v>0</v>
      </c>
      <c r="D8079" t="inlineStr">
        <is>
          <t>Dagoulinantes; Amulette Luminescente; Bague Trithon; Alliance Gloursonne; Bouclier précieux; Sangle Ouare; Kidibonnet; Cape des Malveilleurs; Bottes Trithon; Dofus Émeraude; Dofus Ivoire; Dofus Abyssal; Miraculé majeur; Remueur; Culbuteur majeur; Kramkram</t>
        </is>
      </c>
    </row>
    <row r="8080">
      <c r="A8080" t="inlineStr">
        <is>
          <t>air 12 6</t>
        </is>
      </c>
      <c r="B8080">
        <f>HYPERLINK("https://www.dofusbook.net/fr/equipement/1517444-air-12-6/objets", "link")</f>
        <v/>
      </c>
      <c r="C8080" t="n">
        <v>0</v>
      </c>
      <c r="D8080" t="inlineStr">
        <is>
          <t>Pelle de la Cour Sombre; Collier du Valet Veinard; Alliance Gloursonne; Gant du Valet Veinard; Bouclier d'Ilyzaelle; Ceintouse; Chapoulpe; Cape du Valet Veinard; Tentassons; Dofus des Glaces; Dofus Ocre; Dofus Émeraude; Dofus Abyssal; Dofus Pourpre; Dofus Ivoire; Muldo Ebène</t>
        </is>
      </c>
    </row>
    <row r="8081">
      <c r="A8081" t="inlineStr">
        <is>
          <t>hetype</t>
        </is>
      </c>
      <c r="B8081">
        <f>HYPERLINK("https://www.dofusbook.net/fr/equipement/1517410-hetype/objets", "link")</f>
        <v/>
      </c>
      <c r="C8081" t="n">
        <v>0</v>
      </c>
      <c r="D8081" t="inlineStr">
        <is>
          <t>Baguette de Malléfisk; Pendentif mignon de Koutoulou; Anneau Rifique; Anneau de Nidas; Bouclier d'Anerice; Ceinture Séculaire; Casque Cyclopéen; Cape d'Anerice; Tongues de Nidas; Dolmanax; Dofus Ivoire; Dokoko; Dofus Ocre; Dofus Émeraude; Dofus Abyssal; Muldo Orchidée et Pourpre</t>
        </is>
      </c>
    </row>
    <row r="8082">
      <c r="A8082" t="inlineStr">
        <is>
          <t>esquives</t>
        </is>
      </c>
      <c r="B8082">
        <f>HYPERLINK("https://www.dofusbook.net/fr/equipement/1510168-esquives/objets", "link")</f>
        <v/>
      </c>
      <c r="C8082" t="n">
        <v>0</v>
      </c>
      <c r="D8082" t="inlineStr">
        <is>
          <t>Baguette de Malléfisk; Collier de la Dame du Hasard; Anneau de Nidas; Anneauræus; Écorce de Brouce; Ceinture de Gein; Casque Dragoeuf; Cape de Diondin; Tongues de Nidas; Dofus Abyssal; Dofus Ocre; Dolmanax; Guérisseur majeur; Déserteur majeur; Érudit majeur; Muldo Turquoise et Amande</t>
        </is>
      </c>
    </row>
    <row r="8083">
      <c r="A8083" t="inlineStr">
        <is>
          <t>air esquives</t>
        </is>
      </c>
      <c r="B8083">
        <f>HYPERLINK("https://www.dofusbook.net/fr/equipement/1510119-air-esquives/objets", "link")</f>
        <v/>
      </c>
      <c r="C8083" t="n">
        <v>0</v>
      </c>
      <c r="D8083" t="inlineStr">
        <is>
          <t>Manthache; Collier du Valet Veinard; Gant du Valet Veinard; Alliance Gloursonne; Goulclier; Menoture; Capuche de Moum-Ra; Cape du Kamasterisk; Palmes Trithons; Dofus Cawotte; Dofus Pourpre; Dofus Abyssal; Remueur; Cascadeur majeur; Cavaleur majeur; Muldo Ebène et Ivoire</t>
        </is>
      </c>
    </row>
    <row r="8084">
      <c r="A8084" t="inlineStr">
        <is>
          <t>terre 12 6</t>
        </is>
      </c>
      <c r="B8084">
        <f>HYPERLINK("https://www.dofusbook.net/fr/equipement/1471304-terre-12-6/objets", "link")</f>
        <v/>
      </c>
      <c r="C8084" t="n">
        <v>0</v>
      </c>
      <c r="D8084" t="inlineStr">
        <is>
          <t>Epée Gloursonne; Amulette Ementaire Deluxe; Bague Gloursonne; Alliance Gloursonne; Ceinture de la Cour Sombre; Chapeau du Comte Razof; Cape de la Cour Sombre; Bottes de la Cour Sombre; Dofus Turquoise; Dolmanax; Dofus Ocre; Dofus Pourpre; Dofus Abyssal; Paralyseur majeur; Muldo Indigo et Pourpre</t>
        </is>
      </c>
    </row>
    <row r="8085">
      <c r="A8085" t="inlineStr">
        <is>
          <t>eau</t>
        </is>
      </c>
      <c r="B8085">
        <f>HYPERLINK("https://www.dofusbook.net/fr/equipement/1458318-eau/objets", "link")</f>
        <v/>
      </c>
      <c r="C8085" t="n">
        <v>0</v>
      </c>
      <c r="D8085" t="inlineStr">
        <is>
          <t>Rapière aux Glyphes; Amulette du Strigide; Alliance Gloursonne; Bracelet des Fonds marins; Quatre-feuilles; Pagne du Rykaon; Kidibonnet; Cape de la Dame du Hasard; Bottes de la Dame du Hasard; Dofus Turquoise; Dofus Abyssal; Dofus Pourpre; Dofus Ocre; Vigoureux majeur; Chanceux majeur; Muldo Prune et Indigo</t>
        </is>
      </c>
    </row>
    <row r="8086">
      <c r="A8086" t="inlineStr">
        <is>
          <t>full feu</t>
        </is>
      </c>
      <c r="B8086">
        <f>HYPERLINK("https://www.dofusbook.net/fr/equipement/1458217-full-feu/objets", "link")</f>
        <v/>
      </c>
      <c r="C8086" t="n">
        <v>0</v>
      </c>
      <c r="D8086" t="inlineStr">
        <is>
          <t>Dagues Ricol; Amulette Séculaire; Anneau de Padgref; Anneauræus; Cadran d'Eau; Ceinture Séculaire; Chapeau de Gein; Voile d'encre; Pataugastrique; Dofus Abyssal; Dofus Pourpre; Dofus Ivoire; Dofus Ocre; Dofus Turquoise; Érudit majeur; Muldo Orchidée et Pourpre</t>
        </is>
      </c>
    </row>
    <row r="8087">
      <c r="A8087" t="inlineStr">
        <is>
          <t>multi eau</t>
        </is>
      </c>
      <c r="B8087">
        <f>HYPERLINK("https://www.dofusbook.net/fr/equipement/1434730-multi-eau/objets", "link")</f>
        <v/>
      </c>
      <c r="C8087" t="n">
        <v>1</v>
      </c>
      <c r="D8087" t="inlineStr">
        <is>
          <t>Arc Nécrotique; Amulette du Strigide; Anneau de Padgref; Alliance Gloursonne; Bouclier Taverne; Ceinture du Strigide; Kidibonnet; Cape de la Dame du Hasard; Sandales  d'Atcham; Dofus Pourpre; Dolmanax; Dofus Turquoise; Dofus Abyssal; Dofus Ocre; Vigoureux majeur; Muldo Ebène et Orchidée</t>
        </is>
      </c>
    </row>
    <row r="8088">
      <c r="A8088" t="inlineStr">
        <is>
          <t>terre</t>
        </is>
      </c>
      <c r="B8088">
        <f>HYPERLINK("https://www.dofusbook.net/fr/equipement/1425721-terre/objets", "link")</f>
        <v/>
      </c>
      <c r="C8088" t="n">
        <v>0</v>
      </c>
      <c r="D8088" t="inlineStr">
        <is>
          <t>Marteau R'ture; Amulette du Strigide; Anneau Chevelu; Anneau de Brouce; Quatre-feuilles; Ceinture du Strigide; Masque de Koutoulou; Cape au Logis; Bottes de Brouce; Dofus Turquoise; Dolmanax; Dofus Ocre; Dofus des Glaces; Dofus Pourpre; Dofus Abyssal; Muldo Indigo et Pourpre</t>
        </is>
      </c>
    </row>
    <row r="8089">
      <c r="A8089" t="inlineStr">
        <is>
          <t>tank</t>
        </is>
      </c>
      <c r="B8089">
        <f>HYPERLINK("https://www.dofusbook.net/fr/equipement/1402624-tank/objets", "link")</f>
        <v/>
      </c>
      <c r="C8089" t="n">
        <v>0</v>
      </c>
      <c r="D8089" t="inlineStr">
        <is>
          <t>Epée Gloursonne; Amulette du Kamasterisk; Bague Gloursonne; Alliance Gloursonne; Cadran de Feu; Ceinture de la Reine des Voleurs; Coiffe de la Reine des Voleurs; Cape du Kamasterisk; Bottes du Kamasterisk; Dofus Vulbis; Dolmanax; Dofus Pourpre; Dofus des Glaces; Dofus Ocre; Dofus Abyssal; Kramkram</t>
        </is>
      </c>
    </row>
    <row r="8090">
      <c r="A8090" t="inlineStr">
        <is>
          <t>multi air</t>
        </is>
      </c>
      <c r="B8090">
        <f>HYPERLINK("https://www.dofusbook.net/fr/equipement/1402470-multi-air/objets", "link")</f>
        <v/>
      </c>
      <c r="C8090" t="n">
        <v>0</v>
      </c>
      <c r="D8090" t="inlineStr">
        <is>
          <t>Hachoirs de Viandargh; Amulette du Strigide; Anneau de Padgref; Alliance Gloursonne; Bouclier alvéolé; Menoture; Chapoulpe; Cape de Kongoku; Tentassons; Dofus Abyssal; Dofus Pourpre; Dofus Turquoise; Remueur; Étourdisseur majeur; Vigoureux majeur; Muldo Ebène</t>
        </is>
      </c>
    </row>
    <row r="8091">
      <c r="A8091" t="inlineStr">
        <is>
          <t>full tank</t>
        </is>
      </c>
      <c r="B8091">
        <f>HYPERLINK("https://www.dofusbook.net/fr/equipement/1402438-full-tank/objets", "link")</f>
        <v/>
      </c>
      <c r="C8091" t="n">
        <v>0</v>
      </c>
      <c r="D8091" t="inlineStr">
        <is>
          <t>Rouleau à Pâtisserie d'Aermyne; Amulette de l'Indicible; Anneau Crustique; Alliance Gloursonne; Bouclier d'Anerice; Menoture; Masque du Granduk; Cape d'Anerice; Sandales  d'Atcham; Dofus Ocre; Dofus des Glaces; Dofus Émeraude; Dofus Abyssal; Paralyseur majeur; Étourdisseur majeur; Muldo Ebène et Orchidée</t>
        </is>
      </c>
    </row>
    <row r="8092">
      <c r="A8092" t="inlineStr">
        <is>
          <t>terre eau</t>
        </is>
      </c>
      <c r="B8092">
        <f>HYPERLINK("https://www.dofusbook.net/fr/equipement/1378945-terre-eau/objets", "link")</f>
        <v/>
      </c>
      <c r="C8092" t="n">
        <v>0</v>
      </c>
      <c r="D8092" t="inlineStr">
        <is>
          <t>Héqache; Amulette Luminescente; Bracelet du Piloztère; Bague Trithon; Bouclier Taverne; Ceinture Luminescente; Masque Trithon; Cape Luminescente; Pantoufles du Piloztère; Dofus Ivoire; Dofus Ocre; Dofus Émeraude; Dofus Abyssal; Dofus Turquoise; Bousculeur majeur; Muldo Ebène et Pourpre</t>
        </is>
      </c>
    </row>
    <row r="8093">
      <c r="A8093" t="inlineStr">
        <is>
          <t>pvp 180</t>
        </is>
      </c>
      <c r="B8093">
        <f>HYPERLINK("https://www.dofusbook.net/fr/equipement/1290591-pvp-180/objets", "link")</f>
        <v/>
      </c>
      <c r="C8093" t="n">
        <v>1</v>
      </c>
      <c r="D8093" t="inlineStr">
        <is>
          <t>Hache Harnée; Crolier; Alliance de Guten Tak; Anneau Bliteré; Bouclier Taverne; Ceintrémorse; Casquoporth; Cape Phossile; Bottes Phossiles; Dofus Pourpre; Dofus Ocre; Dofus Émeraude; Dofus des Glaces; Dofus Turquoise; Dofus Abyssal; Muldo Ebène et Indigo</t>
        </is>
      </c>
    </row>
    <row r="8094">
      <c r="A8094" t="inlineStr">
        <is>
          <t>do crit</t>
        </is>
      </c>
      <c r="B8094">
        <f>HYPERLINK("https://www.dofusbook.net/fr/equipement/1289367-do-crit/objets", "link")</f>
        <v/>
      </c>
      <c r="C8094" t="n">
        <v>0</v>
      </c>
      <c r="D8094" t="inlineStr">
        <is>
          <t>Héqache; Amulette du Strigide; Anneau Chevelu; Anneau de Padgref; Bouclier du Captain Amakna; Ceinture du Strigide; Chapibou; Voile d'encre; Bottes du Cycloïde; Dofus Ocre; Dofus Pourpre; Dofus des Glaces; Dofus Abyssal; Dofus Turquoise; Remueur; Muldo Prune et Pourpre</t>
        </is>
      </c>
    </row>
    <row r="8095">
      <c r="A8095" t="inlineStr">
        <is>
          <t>feu</t>
        </is>
      </c>
      <c r="B8095">
        <f>HYPERLINK("https://www.dofusbook.net/fr/equipement/1289331-feu/objets", "link")</f>
        <v/>
      </c>
      <c r="C8095" t="n">
        <v>0</v>
      </c>
      <c r="D8095" t="inlineStr">
        <is>
          <t>Arc corrompu; Amulette Séculaire; Anneauræus; Anneauræus; Bouclier du Stalak; Ceinture Séculaire; Coiffe Séculaire; Cape de Nileza; Bottes de Nileza; Dolmanax; Dofus Ocre; Dofus Pourpre; Dofus Abyssal; Dofus Turquoise; Dofus Ivoire; Muldo Orchidée</t>
        </is>
      </c>
    </row>
    <row r="8096">
      <c r="A8096" t="inlineStr">
        <is>
          <t>fullterre</t>
        </is>
      </c>
      <c r="B8096">
        <f>HYPERLINK("https://www.dofusbook.net/fr/equipement/1280529-fullterre/objets", "link")</f>
        <v/>
      </c>
      <c r="C8096" t="n">
        <v>1</v>
      </c>
      <c r="D8096" t="inlineStr">
        <is>
          <t>Arc du Chalœil; Amulette du Strigide; Anneau Chevelu; Anneau de Brouce; Cadran d'Air; Ceinture de Brouce; Masque de Koutoulou; Voile d'encre; Bottes de Brouce; Dofus Abyssal; Dofus Pourpre; Dofus Ivoire; Dofus Émeraude; Dofus Turquoise; Dolmanax; Muldo Indigo et Pourpre</t>
        </is>
      </c>
    </row>
    <row r="8097">
      <c r="A8097" t="inlineStr">
        <is>
          <t>malef</t>
        </is>
      </c>
      <c r="B8097">
        <f>HYPERLINK("https://www.dofusbook.net/fr/equipement/1258431-malef/objets", "link")</f>
        <v/>
      </c>
      <c r="C8097" t="n">
        <v>0</v>
      </c>
      <c r="D8097" t="inlineStr">
        <is>
          <t>Baguette de Malléfisk; Pendentif affamé; Anneauræus; Anneau Rifique; Bouclier d'Ilyzaelle; Ceinture de Vortex; Casque d'Ilyzaelle; Voile d'encre; Pataugastrique; Dofus Abyssal; Dofus Ivoire; Dofus Émeraude; Érudit majeur; Guérisseur majeur; Remueur; Muldo Ebène et Pourpre</t>
        </is>
      </c>
    </row>
    <row r="8098">
      <c r="A8098" t="inlineStr">
        <is>
          <t>terre multi 200</t>
        </is>
      </c>
      <c r="B8098">
        <f>HYPERLINK("https://www.dofusbook.net/fr/equipement/1249522-terre-multi-200/objets", "link")</f>
        <v/>
      </c>
      <c r="C8098" t="n">
        <v>0</v>
      </c>
      <c r="D8098" t="inlineStr">
        <is>
          <t>Héqache; Amulette du Cœur Vaillant; Anneau Chevelu; Anneau Crustique; Cadran de Terre; Ceinture de la Reine des Voleurs; Coiffe de la Reine des Voleurs; Cape du Cœur Vaillant; Bottes du Cœur Vaillant; Dofus Abyssal; Dofus Pourpre; Dofus Ivoire; Dofus des Glaces; Dofus Ocre; Dofus Émeraude; Muldo Ebène</t>
        </is>
      </c>
    </row>
    <row r="8099">
      <c r="A8099" t="inlineStr">
        <is>
          <t>mode12/6</t>
        </is>
      </c>
      <c r="B8099">
        <f>HYPERLINK("https://www.dofusbook.net/fr/equipement/1241052-mode12-6/objets", "link")</f>
        <v/>
      </c>
      <c r="C8099" t="n">
        <v>0</v>
      </c>
      <c r="D8099" t="inlineStr">
        <is>
          <t>Héqache; Amulette du Strigide; Anneau de Padgref; Anneau Chevelu; Bouclier du Captain Amakna; Ceinture du Strigide; Bonnet Ko; Voile d'encre; Bottes du Cycloïde; Dofus Émeraude; Dofus Abyssal; Dofus Turquoise; Dofus Ocre; Remueur; Nomade; Muldo Prune et Pourpre</t>
        </is>
      </c>
    </row>
    <row r="8100">
      <c r="A8100" t="inlineStr">
        <is>
          <t>talk</t>
        </is>
      </c>
      <c r="B8100">
        <f>HYPERLINK("https://www.dofusbook.net/fr/equipement/1229852-talk/objets", "link")</f>
        <v/>
      </c>
      <c r="C8100" t="n">
        <v>0</v>
      </c>
      <c r="D8100" t="inlineStr">
        <is>
          <t>Dagoulinantes; Amulette du Strigide; Anneau de Padgref; Alliance Gloursonne; Sept ans de malheur; Menoture; Némès de Tal Kasha; Chevelure de Tal Kasha; Sandales  d'Atcham; Dofus Abyssal; Dofus Émeraude; Dofus Turquoise; Dofus Pourpre; Remueur; Étourdisseur majeur; Muldo Prune et Ebène</t>
        </is>
      </c>
    </row>
    <row r="8101">
      <c r="A8101" t="inlineStr">
        <is>
          <t>multi200</t>
        </is>
      </c>
      <c r="B8101">
        <f>HYPERLINK("https://www.dofusbook.net/fr/equipement/1229824-multi200/objets", "link")</f>
        <v/>
      </c>
      <c r="C8101" t="n">
        <v>0</v>
      </c>
      <c r="D8101" t="inlineStr"/>
    </row>
    <row r="8102">
      <c r="A8102" t="inlineStr">
        <is>
          <t>multi air</t>
        </is>
      </c>
      <c r="B8102">
        <f>HYPERLINK("https://www.dofusbook.net/fr/equipement/1197447-multi-air/objets", "link")</f>
        <v/>
      </c>
      <c r="C8102" t="n">
        <v>0</v>
      </c>
      <c r="D8102" t="inlineStr">
        <is>
          <t>Hachoirs de Viandargh; Amulette du Strigide; Anneau de Padgref; Alliance Gloursonne; Bouclier du Captain Amakna; Ceinture du Strigide; Casque Cyclopéen; Chevelure de Tal Kasha; Baleinabottes; Dofus Pourpre; Dofus Abyssal; Dofus Émeraude; Dofus Turquoise; Nomade; Remueur; Kramkram</t>
        </is>
      </c>
    </row>
    <row r="8103">
      <c r="A8103" t="inlineStr">
        <is>
          <t>eau 199</t>
        </is>
      </c>
      <c r="B8103">
        <f>HYPERLINK("https://www.dofusbook.net/fr/equipement/1177659-eau-199/objets", "link")</f>
        <v/>
      </c>
      <c r="C8103" t="n">
        <v>1</v>
      </c>
      <c r="D8103" t="inlineStr">
        <is>
          <t>Rapière aux Glyphes; Racine Hueuse; Alliance Gloursonne; Anneau Glacial; Ceinture Glaciale; Casqnoar; Cape Matelassée; Sandales Circulaires du Kimbo; Dofus Turquoise; Dofus Pourpre; Dofus Abyssal; Dofus Émeraude; Chanceux majeur; Remueur; Muldo Ebène et Orchidée</t>
        </is>
      </c>
    </row>
    <row r="8104">
      <c r="A8104" t="inlineStr">
        <is>
          <t>eau air</t>
        </is>
      </c>
      <c r="B8104">
        <f>HYPERLINK("https://www.dofusbook.net/fr/equipement/396457-eau-air/objets", "link")</f>
        <v/>
      </c>
      <c r="C8104" t="n">
        <v>0</v>
      </c>
      <c r="D8104" t="inlineStr">
        <is>
          <t>Arc de Koutoulou; Amulette d'Ilyzaelle; Anneau Tique; Alliance Gloursonne; Bouclier du Stalak; Ceinture de la Reine des Voleurs; Casque d'Ilyzaelle; Cape Matelassée; Bottes de la Reine des Voleurs; Dofus Abyssal; Dofus Pourpre; Dolmanax; Dofus Ocre; Dofus des Glaces; Robuste majeur; Muldo Ebène</t>
        </is>
      </c>
    </row>
    <row r="8105">
      <c r="A8105" t="inlineStr">
        <is>
          <t>air</t>
        </is>
      </c>
      <c r="B8105">
        <f>HYPERLINK("https://www.dofusbook.net/fr/equipement/306028-air/objets", "link")</f>
        <v/>
      </c>
      <c r="C8105" t="n">
        <v>2</v>
      </c>
      <c r="D8105" t="inlineStr">
        <is>
          <t>Lance Horselé; Collier du Valet Veinard; Alliance Gloursonne; Gant du Valet Veinard; Bouclier du Stalak; Menoture; Dorabysses; Cape de Crânonier; Palmes Trithons; Dolmanax; Dofus Abyssal; Dofus Pourpre; Dofus Ivoire; Dofus Ocre; Cascadeur majeur; Muldo Ebène</t>
        </is>
      </c>
    </row>
    <row r="8106">
      <c r="A8106" t="inlineStr">
        <is>
          <t>Stuff 3</t>
        </is>
      </c>
      <c r="B8106">
        <f>HYPERLINK("https://www.dofusbook.net/fr/equipement/186698-stuff-3/objets", "link")</f>
        <v/>
      </c>
      <c r="C8106" t="n">
        <v>0</v>
      </c>
      <c r="D8106" t="inlineStr">
        <is>
          <t>Dagues Érhy; Amulette du Cycloïde; Anneau Tique; Anneau Rifique; Menoture; Casque Cyclopéen; Voile d'encre; Bottes de l'Indicible; Dolmanax; Dofus des Glaces; Carapace Terre majeur; Déserteur majeur; Carapace Neutre majeur; Remueur; Muldo Pourpre</t>
        </is>
      </c>
    </row>
    <row r="8107">
      <c r="A8107" t="inlineStr">
        <is>
          <t>Stuff 2</t>
        </is>
      </c>
      <c r="B8107">
        <f>HYPERLINK("https://www.dofusbook.net/fr/equipement/186697-stuff-2/objets", "link")</f>
        <v/>
      </c>
      <c r="C8107" t="n">
        <v>0</v>
      </c>
      <c r="D8107" t="inlineStr">
        <is>
          <t>Dagues Érhy; Amulette du Strigide; Bague Gloursonne; Anneau de Padgref; Ceinture de l'Indicible; Boucle d'oreille de Kongoku; Capille; Bottes de l'Indicible; Dofus Turquoise; Dofus Ocre; Dolmanax; Dofus Pourpre; Remueur; Érudit majeur; Muldo Orchidée et Pourpre</t>
        </is>
      </c>
    </row>
    <row r="8108">
      <c r="A8108" t="inlineStr">
        <is>
          <t>Stuff 1</t>
        </is>
      </c>
      <c r="B8108">
        <f>HYPERLINK("https://www.dofusbook.net/fr/equipement/186696-stuff-1/objets", "link")</f>
        <v/>
      </c>
      <c r="C8108" t="n">
        <v>0</v>
      </c>
      <c r="D8108" t="inlineStr">
        <is>
          <t>Dagues Érhy; Pendentif affamé; Anneau de Nidas; Anneau Rifique; Ougature; Casque Cyclopéen; Voile d'encre; Pantoufles Émar; Carapace Air majeur; Remueur; Carapace Eau majeur; Déserteur majeur; Carapace Neutre majeur; Érudit majeur; Muldo Orchidée et Pourpre</t>
        </is>
      </c>
    </row>
    <row r="8109">
      <c r="A8109" t="inlineStr">
        <is>
          <t>test</t>
        </is>
      </c>
      <c r="B8109">
        <f>HYPERLINK("https://www.dofusbook.net/fr/equipement/5719420-test/objets", "link")</f>
        <v/>
      </c>
      <c r="C8109" t="n">
        <v>0</v>
      </c>
      <c r="D8109" t="inlineStr">
        <is>
          <t>Sabres d'Atcham; Amulette Volkorne; Anneau Tique; Anneau Volkorne; Quatre-feuilles; Ceintacé; Casque Volkorne; Cape d'Atcham; Sandales  d'Atcham; Dofus Turquoise; Dofus des Glaces; Dofus Ocre; Dofus Ivoire; Dofus Pourpre; Dofus Ébène; Kokulte</t>
        </is>
      </c>
    </row>
    <row r="8110">
      <c r="A8110" t="inlineStr">
        <is>
          <t>Full feu</t>
        </is>
      </c>
      <c r="B8110">
        <f>HYPERLINK("https://www.dofusbook.net/fr/equipement/5394081-full-feu/objets", "link")</f>
        <v/>
      </c>
      <c r="C8110" t="n">
        <v>1</v>
      </c>
      <c r="D8110" t="inlineStr">
        <is>
          <t>Arc corrompu; Amulette Volkorne; Anneauræus; Anneauræus; Bouclier du Stalak; Ceinture Volkorne; Heaume Oplate; Voile d'encre; Bottes Innommables; Dévastateur Feu majeur; Miraculé majeur; Érudit majeur; Nomade; Vigoureux majeur; Remueur; Bisouglours</t>
        </is>
      </c>
    </row>
    <row r="8111">
      <c r="A8111" t="inlineStr">
        <is>
          <t>Levi Volkorn</t>
        </is>
      </c>
      <c r="B8111">
        <f>HYPERLINK("https://www.dofusbook.net/fr/equipement/5434952-levi-volkorn/objets", "link")</f>
        <v/>
      </c>
      <c r="C8111" t="n">
        <v>2</v>
      </c>
      <c r="D8111" t="inlineStr">
        <is>
          <t>Hache du Chalœil; Amulette Volkorne; Anneau Volkorne; Alliance du Lévitrof; Bouclier du Stalak; Ceinture Volkorne; Coiffe du Lévitrof; Voile d'encre; Bottes du Lévitrof; Dofus Ébène; Dofus Pourpre; Dofus Ivoire; Dofus Abyssal; Dofus des Glaces; Dofus Ocre; El Scarador</t>
        </is>
      </c>
    </row>
    <row r="8112">
      <c r="A8112" t="inlineStr">
        <is>
          <t>terre air tanky</t>
        </is>
      </c>
      <c r="B8112">
        <f>HYPERLINK("https://www.dofusbook.net/fr/equipement/5449367-terre-air-tanky/objets", "link")</f>
        <v/>
      </c>
      <c r="C8112" t="n">
        <v>0</v>
      </c>
      <c r="D8112" t="inlineStr">
        <is>
          <t>L'Épée Nice; Amulette du Kamasterisk; Bague Gloursonne; Alliance Gloursonne; Trompe-la-Mort; Ceinture Volkorne; Casque Volkorne; Cape du Kamasterisk; Bottes du Kamasterisk; Dofus des Glaces; Dofus Ivoire; Dofus Ocre; Dofus Abyssal; Dofus Pourpre; Dofus Ébène; El Scarador</t>
        </is>
      </c>
    </row>
    <row r="8113">
      <c r="A8113" t="inlineStr">
        <is>
          <t>choix 1</t>
        </is>
      </c>
      <c r="B8113">
        <f>HYPERLINK("https://www.dofusbook.net/fr/equipement/5336517-choix-1/objets", "link")</f>
        <v/>
      </c>
      <c r="C8113" t="n">
        <v>4</v>
      </c>
      <c r="D8113" t="inlineStr">
        <is>
          <t>Arc Nécrotique; Amulette Volkorne; Bague Trithon; Anneau Volkorne; Quatre-feuilles; Ceintacé; Masque Trithon; Cape de la Dame du Hasard; Bottes de la Dame du Hasard; Dofus Ivoire; Dofus des Glaces; Dofus Ocre; Dofus Pourpre; Dofus Turquoise; Voyageur; Kokulte</t>
        </is>
      </c>
    </row>
    <row r="8114">
      <c r="A8114" t="inlineStr">
        <is>
          <t>Full Terre</t>
        </is>
      </c>
      <c r="B8114">
        <f>HYPERLINK("https://www.dofusbook.net/fr/equipement/5394089-full-terre/objets", "link")</f>
        <v/>
      </c>
      <c r="C8114" t="n">
        <v>3</v>
      </c>
      <c r="D8114" t="inlineStr">
        <is>
          <t>Marteau R'ture; Amulette du Cœur Saignant; Anneau Crustique; Anneau Chevelu; Bouclier d'Ilyzaelle; Ceinture Volkorne; Masque de Koutoulou; Cape au Logis; Bottes du Cœur Saignant; Nomade; Vigoureux majeur; Remueur; Dévastateur Terre majeur; Miraculé majeur; Enragé majeur; Bulbisou</t>
        </is>
      </c>
    </row>
    <row r="8115">
      <c r="A8115" t="inlineStr">
        <is>
          <t>Full Eau</t>
        </is>
      </c>
      <c r="B8115">
        <f>HYPERLINK("https://www.dofusbook.net/fr/equipement/5394024-full-eau/objets", "link")</f>
        <v/>
      </c>
      <c r="C8115" t="n">
        <v>2</v>
      </c>
      <c r="D8115" t="inlineStr">
        <is>
          <t>Dagoulinantes; Amulette de Shokkoth; Anneau Volkorne; Alliance Gloursonne; Cadran d'Air; Ceinture de la Reine des Voleurs; Masque des Fonds marins; Cape Solution; Bottes de la Reine des Voleurs; Nomade; Vigoureux majeur; Remueur; Dévastateur Eau majeur; Miraculé majeur; Chanceux majeur; Kanigloups</t>
        </is>
      </c>
    </row>
    <row r="8116">
      <c r="A8116" t="inlineStr">
        <is>
          <t>feu air do crit</t>
        </is>
      </c>
      <c r="B8116">
        <f>HYPERLINK("https://www.dofusbook.net/fr/equipement/4831976-feu-air-do-crit/objets", "link")</f>
        <v/>
      </c>
      <c r="C8116" t="n">
        <v>13</v>
      </c>
      <c r="D8116" t="inlineStr">
        <is>
          <t>Baguette Range; Amulette du Strigide; Alliance Gloursonne; Anneau de Padgref; Quatre-feuilles; Ceinture du Strigide; Coiffe de Padgref; Voile d'encre; Getas de Padgref; Dofus Pourpre; Dofus Ivoire; Dofus Turquoise; Dofus des Glaces; Dofus Ocre; Voyageur; Kokulte</t>
        </is>
      </c>
    </row>
    <row r="8117">
      <c r="A8117" t="inlineStr">
        <is>
          <t>Feu trophée</t>
        </is>
      </c>
      <c r="B8117">
        <f>HYPERLINK("https://www.dofusbook.net/fr/equipement/5452320-feu-trophee/objets", "link")</f>
        <v/>
      </c>
      <c r="C8117" t="n">
        <v>0</v>
      </c>
      <c r="D8117" t="inlineStr">
        <is>
          <t>Arc corrompu; Amulette Volkorne; Bague Gloursonne; Chevalière du Roi Joueur; Bouclier du Stalak; Croture; Heaume Oplate; Cape Ardente; Chaussures Ardentes; Dofus des Glaces; Dofus Ivoire; Dofus Ocre; Dofus Pourpre; Dofus Ébène; Nomade; Bisouglours</t>
        </is>
      </c>
    </row>
    <row r="8118">
      <c r="A8118" t="inlineStr">
        <is>
          <t>Terre feu eau docrit</t>
        </is>
      </c>
      <c r="B8118">
        <f>HYPERLINK("https://www.dofusbook.net/fr/equipement/5469494-terre-feu-eau-docrit/objets", "link")</f>
        <v/>
      </c>
      <c r="C8118" t="n">
        <v>2</v>
      </c>
      <c r="D8118" t="inlineStr">
        <is>
          <t>Hache du Chalœil; Amulette Volkorne; Bague Trithon; Anneau Volkorne; Quatre-feuilles; Ceinture Volkorne; Masque Trithon; Voile d'encre; Bottes Trithon; Dofus Turquoise; Dofus des Glaces; Dofus Ocre; Dofus Ébène; Dofus Pourpre; Dofus Ivoire; Kokulte</t>
        </is>
      </c>
    </row>
    <row r="8119">
      <c r="A8119" t="inlineStr">
        <is>
          <t>Terre Feu DoCrit</t>
        </is>
      </c>
      <c r="B8119">
        <f>HYPERLINK("https://www.dofusbook.net/fr/equipement/5469528-terre-feu-docrit/objets", "link")</f>
        <v/>
      </c>
      <c r="C8119" t="n">
        <v>4</v>
      </c>
      <c r="D8119" t="inlineStr">
        <is>
          <t>Epée Toche; Amulette de Gein; Bague Gloursonne; Chevalière du Roi Joueur; Quatre-feuilles; Ceinture de Gein; Couronne du Roi Joueur; Voile d'encre; Bottes du Roi Joueur; Dofus Pourpre; Dofus Ivoire; Dofus Turquoise; Dofus des Glaces; Dofus Ocre; Voyageur; Kokulte</t>
        </is>
      </c>
    </row>
    <row r="8120">
      <c r="A8120" t="inlineStr">
        <is>
          <t>Terre Feu classique</t>
        </is>
      </c>
      <c r="B8120">
        <f>HYPERLINK("https://www.dofusbook.net/fr/equipement/5469466-terre-feu-classique/objets", "link")</f>
        <v/>
      </c>
      <c r="C8120" t="n">
        <v>0</v>
      </c>
      <c r="D8120" t="inlineStr">
        <is>
          <t>Epée Toche; Amulette Volkorne; Bague Gloursonne; Chevalière du Roi Joueur; Bouclier du Stalak; Ceinture Volkorne; Couronne du Roi Joueur; Voile d'encre; Bottes du Roi Joueur; Dofus Ébène; Dofus Pourpre; Dofus Ivoire; Dofus des Glaces; Dofus Ocre; Voyageur; Fëanor</t>
        </is>
      </c>
    </row>
    <row r="8121">
      <c r="A8121" t="inlineStr">
        <is>
          <t>test feu full pano</t>
        </is>
      </c>
      <c r="B8121">
        <f>HYPERLINK("https://www.dofusbook.net/fr/equipement/5450426-test-feu-full-pano/objets", "link")</f>
        <v/>
      </c>
      <c r="C8121" t="n">
        <v>0</v>
      </c>
      <c r="D8121" t="inlineStr">
        <is>
          <t>Arc corrompu; Amulette Volkorne; Chevalière du Roi Joueur; Anneau Volkorne; Bouclier du Stalak; Croture; Masque Ardent; Cape Ardente; Chaussures Ardentes; Dofus Pourpre; Dofus des Glaces; Dofus Ivoire; Dofus Ocre; Voyageur; Féroce majeur; Bisouglours</t>
        </is>
      </c>
    </row>
    <row r="8122">
      <c r="A8122" t="inlineStr">
        <is>
          <t>Terre ResCrit 2</t>
        </is>
      </c>
      <c r="B8122">
        <f>HYPERLINK("https://www.dofusbook.net/fr/equipement/5449330-terre-rescrit-2/objets", "link")</f>
        <v/>
      </c>
      <c r="C8122" t="n">
        <v>0</v>
      </c>
      <c r="D8122" t="inlineStr">
        <is>
          <t>Dagues Érhy; Torquistik; Baguistik; Goulano; Goulclier; Ceinture de la Reine des Voleurs; Coiffe de la Reine des Voleurs; Cape au Logis; Bottistik; Dofus des Glaces; Dofus Ébène; Dofus Pourpre; Dofus Ivoire; Féroce majeur; Robuste majeur; Volkorne Rubis et Améthyste</t>
        </is>
      </c>
    </row>
    <row r="8123">
      <c r="A8123" t="inlineStr">
        <is>
          <t>Terre ResCrit 1</t>
        </is>
      </c>
      <c r="B8123">
        <f>HYPERLINK("https://www.dofusbook.net/fr/equipement/5443504-terre-rescrit-1/objets", "link")</f>
        <v/>
      </c>
      <c r="C8123" t="n">
        <v>4</v>
      </c>
      <c r="D8123" t="inlineStr">
        <is>
          <t>Dagues Érhy; Torquistik; Goulano; Baguistik; Bouclier du Stalak; Ceinture de la Reine des Voleurs; Coiffe de la Reine des Voleurs; Cape au Logis; Goulbottes; Dofus Ébène; Dofus Pourpre; Dofus Ivoire; Dofus Ocre; Dofus Nébuleux; Dofus des Glaces; Volkorne Rubis et Améthyste</t>
        </is>
      </c>
    </row>
    <row r="8124">
      <c r="A8124" t="inlineStr">
        <is>
          <t>Full air</t>
        </is>
      </c>
      <c r="B8124">
        <f>HYPERLINK("https://www.dofusbook.net/fr/equipement/5394020-full-air/objets", "link")</f>
        <v/>
      </c>
      <c r="C8124" t="n">
        <v>8</v>
      </c>
      <c r="D8124" t="inlineStr">
        <is>
          <t>Manthache; Collier du Valet Veinard; Alliance Gloursonne; Gant du Valet Veinard; Cadran d'Air; Menoture; Casque Volkorne; Cape Indescriptible; Palmes Trithons; Cascadeur majeur; Miraculé majeur; Dévastateur Air majeur; Nomade; Vigoureux majeur; Remueur; Blérodoudou</t>
        </is>
      </c>
    </row>
    <row r="8125">
      <c r="A8125" t="inlineStr">
        <is>
          <t>Terre Eau Res Crit</t>
        </is>
      </c>
      <c r="B8125">
        <f>HYPERLINK("https://www.dofusbook.net/fr/equipement/5434866-terre-eau-res-crit/objets", "link")</f>
        <v/>
      </c>
      <c r="C8125" t="n">
        <v>4</v>
      </c>
      <c r="D8125" t="inlineStr">
        <is>
          <t>Dagues de Srambad; Amulette du Piloztère; Bracelet du Piloztère; Anneau en Grithril; Bouclier Bontarien; Ceinture en Grithril; Casque en Grithril; Cape au Logis; Pantoufles du Piloztère; Dofus des Glaces; Dofus Ivoire; Dofus Ocre; Dofus Pourpre; Féroce majeur; Robuste majeur; Wabbit</t>
        </is>
      </c>
    </row>
    <row r="8126">
      <c r="A8126" t="inlineStr">
        <is>
          <t>terre air docrit</t>
        </is>
      </c>
      <c r="B8126">
        <f>HYPERLINK("https://www.dofusbook.net/fr/equipement/5338834-terre-air-docrit/objets", "link")</f>
        <v/>
      </c>
      <c r="C8126" t="n">
        <v>11</v>
      </c>
      <c r="D8126" t="inlineStr">
        <is>
          <t>Baguette de Torkélonia; Amulette du Strigide; Bague Gloursonne; Alliance Gloursonne; Bouclier Taverne; Ceintacé; Corne de Torkélonia; Carapace de Torkélonia; Bottes du Strigide; Dofus Turquoise; Dofus des Glaces; Dofus Ocre; Dofus Ébène; Dofus Pourpre; Dofus Ivoire; Kokulte</t>
        </is>
      </c>
    </row>
    <row r="8127">
      <c r="A8127" t="inlineStr">
        <is>
          <t>Steamer do crit Class</t>
        </is>
      </c>
      <c r="B8127">
        <f>HYPERLINK("https://www.dofusbook.net/fr/equipement/5394305-steamer-do-crit-class/objets", "link")</f>
        <v/>
      </c>
      <c r="C8127" t="n">
        <v>3</v>
      </c>
      <c r="D8127" t="inlineStr">
        <is>
          <t>Hache du Chalœil; Amulette du Strigide; Alliance Gloursonne; Bague Trithon; Quatre-feuilles; Ceinture du Strigide; Masque Trithon; Voile d'encre; Bottes Trithon; Dofus Pourpre; Dofus Ivoire; Dofus Turquoise; Dofus des Glaces; Dofus Ocre; Voyageur; Kokulte</t>
        </is>
      </c>
    </row>
    <row r="8128">
      <c r="A8128" t="inlineStr">
        <is>
          <t>Terre Air 200</t>
        </is>
      </c>
      <c r="B8128">
        <f>HYPERLINK("https://www.dofusbook.net/fr/equipement/5314173-terre-air-200/objets", "link")</f>
        <v/>
      </c>
      <c r="C8128" t="n">
        <v>8</v>
      </c>
      <c r="D8128" t="inlineStr">
        <is>
          <t>Épée de la Reine des Voleurs; Amulette du Kamasterisk; Bague Gloursonne; Alliance Gloursonne; Bouclier d'Ilyzaelle; Ceinture Volkorne; Casque Volkorne; Cape du Kamasterisk; Bottes du Kamasterisk; Dofus Abyssal; Dofus des Glaces; Dofus Ocre; Dofus Ébène; Dofus Pourpre; Dofus Ivoire; El Scarador</t>
        </is>
      </c>
    </row>
    <row r="8129">
      <c r="A8129" t="inlineStr">
        <is>
          <t>Xelor terre</t>
        </is>
      </c>
      <c r="B8129">
        <f>HYPERLINK("https://www.dofusbook.net/fr/equipement/4813390-xelor-terre/objets", "link")</f>
        <v/>
      </c>
      <c r="C8129" t="n">
        <v>8</v>
      </c>
      <c r="D8129" t="inlineStr">
        <is>
          <t>Marteau R'ture; Amulette du Cœur Saignant; Anneau Chevelu; Anneau Crustique; Bouclier Taverne; Ceinture Volkorne; Masque de Koutoulou; Cape au Logis; Bottes du Cœur Saignant; Dofus Turquoise; Dofus Ocre; Dofus Pourpre; Dofus des Glaces; Enragé majeur; Dévastateur Terre majeur; Pioute vert</t>
        </is>
      </c>
    </row>
    <row r="8130">
      <c r="A8130" t="inlineStr">
        <is>
          <t>Cancer</t>
        </is>
      </c>
      <c r="B8130">
        <f>HYPERLINK("https://www.dofusbook.net/fr/equipement/3735688-cancer/objets", "link")</f>
        <v/>
      </c>
      <c r="C8130" t="n">
        <v>30</v>
      </c>
      <c r="D8130" t="inlineStr">
        <is>
          <t>Lav'Hache; Amulette du Strigide; Anneau Crustique; Anneau Crustique; Sept ans de malheur; Ceintouse; Masque de Koutoulou; Cape du Kamasterisk; Tentassons; Dofus Pourpre; Dofus Émeraude; Dofus des Glaces; Nomade; Remueur; Vigoureux majeur; Drakopin</t>
        </is>
      </c>
    </row>
    <row r="8131">
      <c r="A8131" t="inlineStr">
        <is>
          <t>Build Feu</t>
        </is>
      </c>
      <c r="B8131">
        <f>HYPERLINK("https://www.dofusbook.net/fr/equipement/5337217-build-feu/objets", "link")</f>
        <v/>
      </c>
      <c r="C8131" t="n">
        <v>6</v>
      </c>
      <c r="D8131" t="inlineStr">
        <is>
          <t>Arc corrompu; Amulette Volkorne; Anneauræus; Anneauræus; Bouclier du Stalak; Ceinture Volkorne; Heaume Oplate; Voile d'encre; Bottes Innommables; Dofus des Glaces; Dofus Ébène; Dofus Pourpre; Dofus Ivoire; Dofus Ocre; Nomade; Bisouglours</t>
        </is>
      </c>
    </row>
    <row r="8132">
      <c r="A8132" t="inlineStr">
        <is>
          <t>Xel God</t>
        </is>
      </c>
      <c r="B8132">
        <f>HYPERLINK("https://www.dofusbook.net/fr/equipement/3875609-xel-god/objets", "link")</f>
        <v/>
      </c>
      <c r="C8132" t="n">
        <v>55</v>
      </c>
      <c r="D8132" t="inlineStr">
        <is>
          <t>Dagoulinantes; Amulette de Shokkoth; Alliance Gloursonne; Anneau Volkorne; Cadran de Terre; Ceinture Glaciale; Capuche de l'Œil Attentif; Cape de l'Œil Attentif; Pataugastrique; Dofus des Glaces; Dofus Ivoire; Dofus Ocre; Dofus Pourpre; Nomade; Étourdisseur majeur; Kanigloups</t>
        </is>
      </c>
    </row>
    <row r="8133">
      <c r="A8133" t="inlineStr">
        <is>
          <t>Best stuff terre</t>
        </is>
      </c>
      <c r="B8133">
        <f>HYPERLINK("https://www.dofusbook.net/fr/equipement/4188355-best-stuff-terre/objets", "link")</f>
        <v/>
      </c>
      <c r="C8133" t="n">
        <v>12</v>
      </c>
      <c r="D8133" t="inlineStr">
        <is>
          <t>Marteau R'ture; Amulette du Cœur Saignant; Anneau Chevelu; Anneau Crustique; Bouclier Taverne; Ceinture Volkorne; Masque de Koutoulou; Cape au Logis; Bottes du Cœur Saignant; Dofus des Glaces; Dofus Ocre; Dofus Pourpre; Dofus Ivoire; Dofus Turquoise; Enragé majeur; Pioute vert</t>
        </is>
      </c>
    </row>
    <row r="8134">
      <c r="A8134" t="inlineStr">
        <is>
          <t>Eau / Air New</t>
        </is>
      </c>
      <c r="B8134">
        <f>HYPERLINK("https://www.dofusbook.net/fr/equipement/4813546-eau---air-new/objets", "link")</f>
        <v/>
      </c>
      <c r="C8134" t="n">
        <v>17</v>
      </c>
      <c r="D8134" t="inlineStr">
        <is>
          <t>Arc de Koutoulou; Amulette Voldelor; Anneau Volkorne; Alliance Gloursonne; Cadran d'Air; Ceinture Voldelor; Casque Volkorne; Cape de Jahash Jurgen; Bottes Voldelor; Dofus Ivoire; Dofus des Glaces; Dofus Abyssal; Dofus Ocre; Dofus Ébène; Dofus Pourpre; Mini Wa</t>
        </is>
      </c>
    </row>
    <row r="8135">
      <c r="A8135" t="inlineStr">
        <is>
          <t>Eca terre ultime</t>
        </is>
      </c>
      <c r="B8135">
        <f>HYPERLINK("https://www.dofusbook.net/fr/equipement/4552630-eca-terre-ultime/objets", "link")</f>
        <v/>
      </c>
      <c r="C8135" t="n">
        <v>9</v>
      </c>
      <c r="D8135" t="inlineStr">
        <is>
          <t>Bêche Asse; Amulette du Strigide; Anneau de Brouce; Bague Trithon; Bouclier Taverne; Ceinture Volkorne; Masque de Koutoulou; Cape au Logis; Bottes Trithon; Dofus Abyssal; Dofus Ivoire; Dofus Pourpre; Dofus Ocre; Dofus des Glaces; Enragé majeur; Pioute vert</t>
        </is>
      </c>
    </row>
    <row r="8136">
      <c r="A8136" t="inlineStr">
        <is>
          <t>Eca terre do crit</t>
        </is>
      </c>
      <c r="B8136">
        <f>HYPERLINK("https://www.dofusbook.net/fr/equipement/4354880-eca-terre-do-crit/objets", "link")</f>
        <v/>
      </c>
      <c r="C8136" t="n">
        <v>457</v>
      </c>
      <c r="D8136" t="inlineStr">
        <is>
          <t>Bêche Asse; Amulette du Strigide; Bague Trithon; Anneau de Brouce; Bouclier du Stalak; Ceinture Volkorne; Masque de Koutoulou; Cape au Logis; Bottes Trithon; Dofus Pourpre; Dofus Ocre; Dofus des Glaces; Dofus Abyssal; Dofus Ivoire; Enragé majeur; Pioute vert</t>
        </is>
      </c>
    </row>
    <row r="8137">
      <c r="A8137" t="inlineStr">
        <is>
          <t>Terre Feu</t>
        </is>
      </c>
      <c r="B8137">
        <f>HYPERLINK("https://www.dofusbook.net/fr/equipement/4305211-terre-feu/objets", "link")</f>
        <v/>
      </c>
      <c r="C8137" t="n">
        <v>10</v>
      </c>
      <c r="D8137" t="inlineStr">
        <is>
          <t>Epée Toche; Amulette Volkorne; Bague Gloursonne; Chevalière du Roi Joueur; Bouclier Taverne; Ceinture Volkorne; Couronne du Roi Joueur; Voile d'encre; Bottes du Roi Joueur; Dofus Abyssal; Dofus Ivoire; Dofus Pourpre; Dofus Turquoise; Dofus Ocre; Dofus des Glaces; El Scarador</t>
        </is>
      </c>
    </row>
    <row r="8138">
      <c r="A8138" t="inlineStr">
        <is>
          <t>Osa Terre</t>
        </is>
      </c>
      <c r="B8138">
        <f>HYPERLINK("https://www.dofusbook.net/fr/equipement/4240560-osa-terre/objets", "link")</f>
        <v/>
      </c>
      <c r="C8138" t="n">
        <v>12</v>
      </c>
      <c r="D8138" t="inlineStr">
        <is>
          <t>Bêche Asse; Amulette Héroclite; Anneau Chevelu; Bague Gloursonne; Sept ans de malheur; Ceinture de la Cour Sombre; Masque de Koutoulou; Voile d'encre; Bottes de la Cour Sombre; Dofus Ivoire; Dofus Émeraude; Dokoko; Remueur; Enragé majeur; Nomade; Dauge</t>
        </is>
      </c>
    </row>
    <row r="8139">
      <c r="A8139" t="inlineStr">
        <is>
          <t>Terre Air Full</t>
        </is>
      </c>
      <c r="B8139">
        <f>HYPERLINK("https://www.dofusbook.net/fr/equipement/4284529-terre-air-full/objets", "link")</f>
        <v/>
      </c>
      <c r="C8139" t="n">
        <v>2</v>
      </c>
      <c r="D8139" t="inlineStr">
        <is>
          <t>Épée de la Reine des Voleurs; Amulette du Kamasterisk; Alliance Gloursonne; Bague Gloursonne; Bouclier d'Ilyzaelle; Ceinture Volkorne; Casque Volkorne; Cape du Kamasterisk; Bottes du Kamasterisk; Dofus Pourpre; Dofus Ocre; Dofus Émeraude; Dofus des Glaces; Dofus Abyssal; Dofus Ivoire; El Scarador</t>
        </is>
      </c>
    </row>
    <row r="8140">
      <c r="A8140" t="inlineStr">
        <is>
          <t>Ougi Terre Tank</t>
        </is>
      </c>
      <c r="B8140">
        <f>HYPERLINK("https://www.dofusbook.net/fr/equipement/4241393-ougi-terre-tank/objets", "link")</f>
        <v/>
      </c>
      <c r="C8140" t="n">
        <v>13</v>
      </c>
      <c r="D8140" t="inlineStr">
        <is>
          <t>Bêche Asse; Amulette Héroclite; Bague Gloursonne; Anneau Chevelu; Bouclier d'Ilyzaelle; Ceinture de la Cour Sombre; Masque de Koutoulou; Cape au Logis; Bottes de la Cour Sombre; Dofus Pourpre; Dofus Abyssal; Dofus Ocre; Dofus des Glaces; Dofus Ivoire; Voyageur; Titard</t>
        </is>
      </c>
    </row>
    <row r="8141">
      <c r="A8141" t="inlineStr">
        <is>
          <t>Feu Eau DoCrit</t>
        </is>
      </c>
      <c r="B8141">
        <f>HYPERLINK("https://www.dofusbook.net/fr/equipement/4284382-feu-eau-docrit/objets", "link")</f>
        <v/>
      </c>
      <c r="C8141" t="n">
        <v>9</v>
      </c>
      <c r="D8141" t="inlineStr">
        <is>
          <t>Arc Nécrotique; Amulette Volkorne; Bague Trithon; Anneau Volkorne; Quatre-feuilles; Ceintacé; Masque Trithon; Cape de la Dame du Hasard; Bottes de la Dame du Hasard; Dofus Turquoise; Dofus des Glaces; Dofus Ivoire; Dofus Ocre; Dofus Pourpre; Voyageur; Kokulte</t>
        </is>
      </c>
    </row>
    <row r="8142">
      <c r="A8142" t="inlineStr">
        <is>
          <t>Terre Feu</t>
        </is>
      </c>
      <c r="B8142">
        <f>HYPERLINK("https://www.dofusbook.net/fr/equipement/4252844-terre-feu-/objets", "link")</f>
        <v/>
      </c>
      <c r="C8142" t="n">
        <v>10</v>
      </c>
      <c r="D8142" t="inlineStr">
        <is>
          <t>Epée Toche; Amulette Volkorne; Chevalière du Roi Joueur; Bague Gloursonne; Bouclier du Stalak; Ceinture Volkorne; Couronne du Roi Joueur; Voile d'encre; Bottes du Roi Joueur; Dofus Pourpre; Dofus Abyssal; Dofus des Glaces; Dofus Ivoire; Dofus Ocre; Voyageur; Cromeugnon</t>
        </is>
      </c>
    </row>
    <row r="8143">
      <c r="A8143" t="inlineStr">
        <is>
          <t>Xelor Air</t>
        </is>
      </c>
      <c r="B8143">
        <f>HYPERLINK("https://www.dofusbook.net/fr/equipement/4021775-xelor-air/objets", "link")</f>
        <v/>
      </c>
      <c r="C8143" t="n">
        <v>9</v>
      </c>
      <c r="D8143" t="inlineStr">
        <is>
          <t>Manthache; Collier du Valet Veinard; Gant du Valet Veinard; Alliance Gloursonne; Cadran d'Air; Menoture; Casque Volkorne; Cape Indescriptible; Baleinabottes; Dévastateur Air majeur; Remueur; Robuste majeur; Cascadeur majeur; Vigoureux majeur; Nomade; Blérodoudou</t>
        </is>
      </c>
    </row>
    <row r="8144">
      <c r="A8144" t="inlineStr">
        <is>
          <t>Sacri Air tank</t>
        </is>
      </c>
      <c r="B8144">
        <f>HYPERLINK("https://www.dofusbook.net/fr/equipement/4234871-sacri-air-tank/objets", "link")</f>
        <v/>
      </c>
      <c r="C8144" t="n">
        <v>3</v>
      </c>
      <c r="D8144" t="inlineStr">
        <is>
          <t>Pelle de la Cour Sombre; Collier du Valet Veinard; Alliance Gloursonne; Gant du Valet Veinard; Bouclier d'Ilyzaelle; Menoture; Dorabysses; Cape Indescriptible; Palmes Trithons; Dofus Ivoire; Dofus Abyssal; Nomade; Cascadeur majeur; Remueur; Dévastateur Air majeur; Bwak d'Air</t>
        </is>
      </c>
    </row>
    <row r="8145">
      <c r="A8145" t="inlineStr">
        <is>
          <t>Eca Eau Do Crit</t>
        </is>
      </c>
      <c r="B8145">
        <f>HYPERLINK("https://www.dofusbook.net/fr/equipement/4129441-eca-eau-do-crit/objets", "link")</f>
        <v/>
      </c>
      <c r="C8145" t="n">
        <v>17</v>
      </c>
      <c r="D8145" t="inlineStr">
        <is>
          <t>Sceptre du Roi Joueur; Amulette Voldelor; Anneau Volkorne; Alliance Gloursonne; Cadran d'Air; Ceinture Glaciale; Némès de Tal Kasha; Chevelure de Tal Kasha; Pataugastrique; Dofus Pourpre; Dofus Abyssal; Dofus des Glaces; Dofus Ivoire; Nomade; Remueur; Pioute bleu</t>
        </is>
      </c>
    </row>
    <row r="8146">
      <c r="A8146" t="inlineStr">
        <is>
          <t>Terre Air Xelor</t>
        </is>
      </c>
      <c r="B8146">
        <f>HYPERLINK("https://www.dofusbook.net/fr/equipement/4108994-terre-air-xelor/objets", "link")</f>
        <v/>
      </c>
      <c r="C8146" t="n">
        <v>4</v>
      </c>
      <c r="D8146" t="inlineStr">
        <is>
          <t>Héqache; Amulette du Strigide; Bague Gloursonne; Alliance Gloursonne; Bouclier Taverne; Ceinture du Strigide; Coiffe de la Fuji Givrefoux; Cape de la Fuji Givrefoux; Bottes du Strigide; Dofus Ivoire; Dofus des Glaces; Dofus Turquoise; Dofus Ocre; Dofus Abyssal; Dofus Pourpre; Kokulte</t>
        </is>
      </c>
    </row>
    <row r="8147">
      <c r="A8147" t="inlineStr">
        <is>
          <t>Terre Air Volk</t>
        </is>
      </c>
      <c r="B8147">
        <f>HYPERLINK("https://www.dofusbook.net/fr/equipement/4117101-terre-air-volk/objets", "link")</f>
        <v/>
      </c>
      <c r="C8147" t="n">
        <v>7</v>
      </c>
      <c r="D8147" t="inlineStr">
        <is>
          <t>Héqache; Amulette du Cœur Vaillant; Alliance Brûlâme; Anneau des égarés; Bouclier Taverne; Ceinture Volkorne; Casque Volkorne; Cape du Kamasterisk; Baleinabottes; Dofus Ivoire; Dofus des Glaces; Dofus Pourpre; Remueur; Vigoureux majeur; Nomade; Mékrabe</t>
        </is>
      </c>
    </row>
    <row r="8148">
      <c r="A8148" t="inlineStr">
        <is>
          <t>Feu Soins Retrait PA</t>
        </is>
      </c>
      <c r="B8148">
        <f>HYPERLINK("https://www.dofusbook.net/fr/equipement/3761613-feu-soins-retrait-pa/objets", "link")</f>
        <v/>
      </c>
      <c r="C8148" t="n">
        <v>10</v>
      </c>
      <c r="D8148" t="inlineStr">
        <is>
          <t>Baguette de Malléfisk; Amulette de Nileza; Bague Gloursonne; Anneauræus; Bouclier du Stalak; Ceinture de Vortex; Heaume Oplate; Cape Ardente; Chaussures Ardentes; Dévastateur Feu majeur; Remueur; Étourdisseur majeur; Miraculé majeur; Érudit majeur; Nomade; Ross</t>
        </is>
      </c>
    </row>
    <row r="8149">
      <c r="A8149" t="inlineStr">
        <is>
          <t>Eni Soins Fuite</t>
        </is>
      </c>
      <c r="B8149">
        <f>HYPERLINK("https://www.dofusbook.net/fr/equipement/3770002-eni-soins-fuite/objets", "link")</f>
        <v/>
      </c>
      <c r="C8149" t="n">
        <v>36</v>
      </c>
      <c r="D8149" t="inlineStr">
        <is>
          <t>Arc corrompu; Pendentif affamé; Bague Gloursonne; Anneau de Nidas; Bivalve; Ceinture de Vortex; Couronne de Nidas; Voile d'encre; Pataugastrique; Guérisseur majeur; Nomade; Érudit majeur; Remueur; Déserteur majeur; Miraculé majeur; Meuch</t>
        </is>
      </c>
    </row>
    <row r="8150">
      <c r="A8150" t="inlineStr">
        <is>
          <t>Cra Terre aie aie aie</t>
        </is>
      </c>
      <c r="B8150">
        <f>HYPERLINK("https://www.dofusbook.net/fr/equipement/3586892-cra-terre-aie-aie-aie/objets", "link")</f>
        <v/>
      </c>
      <c r="C8150" t="n">
        <v>47</v>
      </c>
      <c r="D8150" t="inlineStr">
        <is>
          <t>Bêche Asse; Collier de Tourthon; Chevalière du Roi Joueur; Anneau de Brouce; Bouclier du Stalak; Ceinture de la Reine des Voleurs; Coiffe de la Reine des Voleurs; Voile d'encre; Baleinabottes; Dofus des Glaces; Dofus Pourpre; Dofus Nébuleux; Nomade; Remueur; Enragé majeur; Bulbisou</t>
        </is>
      </c>
    </row>
    <row r="8151">
      <c r="A8151" t="inlineStr">
        <is>
          <t>alternative</t>
        </is>
      </c>
      <c r="B8151">
        <f>HYPERLINK("https://www.dofusbook.net/fr/equipement/3904885-alternative/objets", "link")</f>
        <v/>
      </c>
      <c r="C8151" t="n">
        <v>6</v>
      </c>
      <c r="D8151" t="inlineStr">
        <is>
          <t>Dagoulinantes; Amulette de Shokkoth; Anneau Volkorne; Alliance Gloursonne; Cadran de Terre; Ceinture Glaciale; Capuche de l'Œil Attentif; Cape Glaciale; Pataugastrique; Dévastateur Eau majeur; Nomade; Étourdisseur majeur; Remueur; Chanceux majeur; Miraculé majeur; Kanigloups</t>
        </is>
      </c>
    </row>
    <row r="8152">
      <c r="A8152" t="inlineStr">
        <is>
          <t>Xel eau test</t>
        </is>
      </c>
      <c r="B8152">
        <f>HYPERLINK("https://www.dofusbook.net/fr/equipement/3822586-xel-eau-test/objets", "link")</f>
        <v/>
      </c>
      <c r="C8152" t="n">
        <v>3</v>
      </c>
      <c r="D8152" t="inlineStr">
        <is>
          <t>Dagoulinantes; Amulette du Strigide; Alliance Gloursonne; Bracelet du Piloztère; Bouclier Taverne; Menoture; Némès de Tal Kasha; Chevelure de Tal Kasha; Bottes de la Reine des Voleurs; Dofus Turquoise; Dofus Pourpre; Étourdisseur majeur; Nomade; Vigoureux majeur; Remueur; Minimino</t>
        </is>
      </c>
    </row>
    <row r="8153">
      <c r="A8153" t="inlineStr">
        <is>
          <t>Eau Cheat</t>
        </is>
      </c>
      <c r="B8153">
        <f>HYPERLINK("https://www.dofusbook.net/fr/equipement/3780134-eau-cheat/objets", "link")</f>
        <v/>
      </c>
      <c r="C8153" t="n">
        <v>26</v>
      </c>
      <c r="D8153" t="inlineStr">
        <is>
          <t>Dagoulinantes; Amulette de Shokkoth; Anneau Volkorne; Alliance Gloursonne; Bouclier Taverne; Ceinture de la Reine des Voleurs; Masque des Fonds marins; Cape Solution; Bottes de la Reine des Voleurs; Chanceux majeur; Miraculé majeur; Dévastateur Eau majeur; Nomade; Vigoureux majeur; Remueur; Kanigloups</t>
        </is>
      </c>
    </row>
    <row r="8154">
      <c r="A8154" t="inlineStr">
        <is>
          <t>Zobal Eau Do Pou</t>
        </is>
      </c>
      <c r="B8154">
        <f>HYPERLINK("https://www.dofusbook.net/fr/equipement/3751315-zobal-eau-do-pou/objets", "link")</f>
        <v/>
      </c>
      <c r="C8154" t="n">
        <v>23</v>
      </c>
      <c r="D8154" t="inlineStr">
        <is>
          <t>Rapière aux Glyphes; Amulette du Sinistrofu; Alliance Gloursonne; Bague Trithon; Bouclier Taverne; Sangle Ouare; Masque des Fonds marins; Cape Solution; Bottes Trithon; Dofus Émeraude; Chanceux majeur; Nomade; Dévastateur Eau majeur; Remueur; Culbuteur majeur; Écumouth</t>
        </is>
      </c>
    </row>
    <row r="8155">
      <c r="A8155" t="inlineStr">
        <is>
          <t>Zobal terre</t>
        </is>
      </c>
      <c r="B8155">
        <f>HYPERLINK("https://www.dofusbook.net/fr/equipement/3790468-zobal-terre/objets", "link")</f>
        <v/>
      </c>
      <c r="C8155" t="n">
        <v>12</v>
      </c>
      <c r="D8155" t="inlineStr">
        <is>
          <t>Bêche Asse; Collier de Tourthon; Chevalière du Roi Joueur; Anneau de Brouce; Bouclier d'Ilyzaelle; Ceinture de la Reine des Voleurs; Coiffe de la Reine des Voleurs; Voile d'encre; Baleinabottes; Dévastateur Terre majeur; Nomade; Vigoureux majeur; Remueur; Enragé majeur; Miraculé majeur; Bouftor</t>
        </is>
      </c>
    </row>
    <row r="8156">
      <c r="A8156" t="inlineStr">
        <is>
          <t>Terre Do Pou Eca</t>
        </is>
      </c>
      <c r="B8156">
        <f>HYPERLINK("https://www.dofusbook.net/fr/equipement/3754341-terre-do-pou-eca/objets", "link")</f>
        <v/>
      </c>
      <c r="C8156" t="n">
        <v>22</v>
      </c>
      <c r="D8156" t="inlineStr">
        <is>
          <t>Lav'Hache; Amulette Luminescente; Anneau Chevelu; Bague Trithon; Bouclier Taverne; Ceinture Gence; Masque de Koutoulou; Cape au Logis; Bottes Trithon; Dofus des Glaces; Dofus Pourpre; Enragé majeur; Bousculeur majeur; Vigoureux majeur; Culbuteur majeur; Black Tiwabbit</t>
        </is>
      </c>
    </row>
    <row r="8157">
      <c r="A8157" t="inlineStr">
        <is>
          <t>Air 2.48</t>
        </is>
      </c>
      <c r="B8157">
        <f>HYPERLINK("https://www.dofusbook.net/fr/equipement/3757355-air-2-48/objets", "link")</f>
        <v/>
      </c>
      <c r="C8157" t="n">
        <v>19</v>
      </c>
      <c r="D8157" t="inlineStr">
        <is>
          <t>Manthache; Collier du Valet Veinard; Alliance Gloursonne; Gant du Valet Veinard; Cadran d'Air; Menoture; Dorabysses; Cape Indescriptible; Palmes Trithons; Cascadeur majeur; Nomade; Dévastateur Air majeur; Remueur; Miraculé majeur; Étourdisseur majeur; Blérodoudou</t>
        </is>
      </c>
    </row>
    <row r="8158">
      <c r="A8158" t="inlineStr">
        <is>
          <t>Cours Sombre LavH</t>
        </is>
      </c>
      <c r="B8158">
        <f>HYPERLINK("https://www.dofusbook.net/fr/equipement/3716943-cours-sombre-lavh/objets", "link")</f>
        <v/>
      </c>
      <c r="C8158" t="n">
        <v>17</v>
      </c>
      <c r="D8158" t="inlineStr">
        <is>
          <t>Lav'Hache; Collier de Tourthon; Anneau Crustique; Anneau Crustique; Bouclier Taverne; Ceinture de la Cour Sombre; Masque de Koutoulou; Voile d'encre; Bottes de la Cour Sombre; Dofus Émeraude; Dévastateur Terre majeur; Remueur; Obstructeur majeur; Enragé majeur; Nomade; El Scarador</t>
        </is>
      </c>
    </row>
    <row r="8159">
      <c r="A8159" t="inlineStr">
        <is>
          <t>Terre NoPo</t>
        </is>
      </c>
      <c r="B8159">
        <f>HYPERLINK("https://www.dofusbook.net/fr/equipement/3709582-terre-nopo/objets", "link")</f>
        <v/>
      </c>
      <c r="C8159" t="n">
        <v>40</v>
      </c>
      <c r="D8159" t="inlineStr">
        <is>
          <t>Lav'Hache; Collier de Tourthon; Bague Gloursonne; Anneau de Brouce; Bouclier Taverne; Ceinture de la Reine des Voleurs; Coiffe de la Reine des Voleurs; Cape au Logis; Sabots Minables; Dofus Pourpre; Dofus des Glaces; Enragé majeur; Vigoureux majeur; Remueur; Dévastateur Terre majeur; Bwak de Terre</t>
        </is>
      </c>
    </row>
    <row r="8160">
      <c r="A8160" t="inlineStr">
        <is>
          <t>DoPou 2.48</t>
        </is>
      </c>
      <c r="B8160">
        <f>HYPERLINK("https://www.dofusbook.net/fr/equipement/3757377-dopou-2-48/objets", "link")</f>
        <v/>
      </c>
      <c r="C8160" t="n">
        <v>14</v>
      </c>
      <c r="D8160" t="inlineStr">
        <is>
          <t>Lav'Hache; Torquistik; Bague Instable; Bague Trithon; Bouclier précieux; Ceinture Gence; Casque Dragoeuf; Cape Solution; Bottistik; Dofus Ivoire; Culbuteur; Bousculeur; Culbuteur majeur; Bousculeur majeur; Pousseur majeur; Balafreux</t>
        </is>
      </c>
    </row>
    <row r="8161">
      <c r="A8161" t="inlineStr">
        <is>
          <t>Air Res</t>
        </is>
      </c>
      <c r="B8161">
        <f>HYPERLINK("https://www.dofusbook.net/fr/equipement/3751866-air-res-/objets", "link")</f>
        <v/>
      </c>
      <c r="C8161" t="n">
        <v>9</v>
      </c>
      <c r="D8161" t="inlineStr">
        <is>
          <t>Lance Horselé; Collier du Valet Veinard; Gant du Valet Veinard; Alliance Gloursonne; Bouclier d'Ilyzaelle; Menoture; Dorabysses; Cape du Kamasterisk; Baleinabottes; Dévastateur Air majeur; Remueur; Miraculé majeur; Étourdisseur majeur; Cascadeur majeur; Nomade</t>
        </is>
      </c>
    </row>
    <row r="8162">
      <c r="A8162" t="inlineStr">
        <is>
          <t>Soins</t>
        </is>
      </c>
      <c r="B8162">
        <f>HYPERLINK("https://www.dofusbook.net/fr/equipement/3725661-soins/objets", "link")</f>
        <v/>
      </c>
      <c r="C8162" t="n">
        <v>17</v>
      </c>
      <c r="D8162" t="inlineStr">
        <is>
          <t>Arc corrompu; Pendentif affamé; Anneau de Nidas; Bague Gloursonne; Bivalve; Ceinture de Vortex; Couronne de Nidas; Voile d'encre; Pataugastrique; Guérisseur majeur; Miraculé majeur; Érudit majeur; Remueur; Déserteur majeur; Dévastateur Feu majeur; Muldo Orchidée et Amande</t>
        </is>
      </c>
    </row>
    <row r="8163">
      <c r="A8163" t="inlineStr">
        <is>
          <t>Zobal try Hard 3v3</t>
        </is>
      </c>
      <c r="B8163">
        <f>HYPERLINK("https://www.dofusbook.net/fr/equipement/3747811-zobal-try-hard-3v3/objets", "link")</f>
        <v/>
      </c>
      <c r="C8163" t="n">
        <v>10</v>
      </c>
      <c r="D8163" t="inlineStr">
        <is>
          <t>Lav'Hache; Collier de Tourthon; Anneau Crustique; Anneau Crustique; Bouclier Taverne; Ceinture de la Cour Sombre; Masque de Koutoulou; Voile d'encre; Bottes de la Cour Sombre; Dofus Émeraude; Dofus des Glaces; Dofus Pourpre; Remueur; Vigoureux majeur; Nomade; El Scarador</t>
        </is>
      </c>
    </row>
    <row r="8164">
      <c r="A8164" t="inlineStr">
        <is>
          <t>Do Pou 2.0</t>
        </is>
      </c>
      <c r="B8164">
        <f>HYPERLINK("https://www.dofusbook.net/fr/equipement/3680980-do-pou-2-0/objets", "link")</f>
        <v/>
      </c>
      <c r="C8164" t="n">
        <v>28</v>
      </c>
      <c r="D8164" t="inlineStr">
        <is>
          <t>Lav'Hache; Torquistik; Bague Trithon; Bague Instable; Bouclier précieux; Ceinture Gence; Casque Dragoeuf; Cape Solution; Bottistik; Culbuteur; Nomade; Pousseur majeur; Bousculeur majeur; Bousculeur; Culbuteur majeur; Volkorne Roux</t>
        </is>
      </c>
    </row>
    <row r="8165">
      <c r="A8165" t="inlineStr">
        <is>
          <t>Pandawa Feu</t>
        </is>
      </c>
      <c r="B8165">
        <f>HYPERLINK("https://www.dofusbook.net/fr/equipement/3707996-pandawa-feu/objets", "link")</f>
        <v/>
      </c>
      <c r="C8165" t="n">
        <v>15</v>
      </c>
      <c r="D8165" t="inlineStr">
        <is>
          <t>Arc Hétype; Amulette d'Otomaï; Anneau Tique; Anneau de Nidas; Bouclier du Stalak; Ceinture de Vortex; Heaume Oplate; Voile d'encre; Bottes d'Otomaï; Dofus Émeraude; Érudit majeur; Remueur; Dévastateur Feu majeur; Miraculé majeur; Nomade; Dragodinde Prune et Orchidée</t>
        </is>
      </c>
    </row>
    <row r="8166">
      <c r="A8166" t="inlineStr">
        <is>
          <t>Air Low Coast</t>
        </is>
      </c>
      <c r="B8166">
        <f>HYPERLINK("https://www.dofusbook.net/fr/equipement/3708308-air-low-coast/objets", "link")</f>
        <v/>
      </c>
      <c r="C8166" t="n">
        <v>4</v>
      </c>
      <c r="D8166" t="inlineStr">
        <is>
          <t>Manthache; Collier du Valet Veinard; Alliance Gloursonne; Gant du Valet Veinard; Cadran d'Air; Menoture; Couronne d'Allister; Cape Indescriptible; Baleinabottes; Dofus Émeraude; Cascadeur majeur; Nomade; Dévastateur Air majeur; Remueur; Étourdisseur majeur; Dragodinde Amande et Ebène</t>
        </is>
      </c>
    </row>
    <row r="8167">
      <c r="A8167" t="inlineStr">
        <is>
          <t>Heqache</t>
        </is>
      </c>
      <c r="B8167">
        <f>HYPERLINK("https://www.dofusbook.net/fr/equipement/3709464-heqache/objets", "link")</f>
        <v/>
      </c>
      <c r="C8167" t="n">
        <v>3</v>
      </c>
      <c r="D8167" t="inlineStr">
        <is>
          <t>Héqache; Amulette du Strigide; Alliance Brûlâme; Alliance Gloursonne; Bouclier Taverne; Ceinture du Strigide; Chapoulpe; Voile d'encre; Baleinabottes; Dofus Nébuleux; Dofus des Glaces; Dofus Pourpre; Remueur; Vigoureux majeur; Nomade; Kramkram</t>
        </is>
      </c>
    </row>
    <row r="8168">
      <c r="A8168" t="inlineStr">
        <is>
          <t>Cheat Full Terre</t>
        </is>
      </c>
      <c r="B8168">
        <f>HYPERLINK("https://www.dofusbook.net/fr/equipement/3707290-cheat-full-terre/objets", "link")</f>
        <v/>
      </c>
      <c r="C8168" t="n">
        <v>27</v>
      </c>
      <c r="D8168" t="inlineStr">
        <is>
          <t>Lav'Hache; Collier de Tourthon; Anneau de Brouce; Bague Gloursonne; Bouclier du Stalak; Ceinture de la Reine des Voleurs; Coiffe de la Reine des Voleurs; Ankhape; Baleinabottes; Dofus Pourpre; Dofus des Glaces; Nomade; Vigoureux majeur; Robuste majeur; Enragé majeur; Volkorne Pourpre</t>
        </is>
      </c>
    </row>
    <row r="8169">
      <c r="A8169" t="inlineStr">
        <is>
          <t>eni terre</t>
        </is>
      </c>
      <c r="B8169">
        <f>HYPERLINK("https://www.dofusbook.net/fr/equipement/3703923-eni-terre/objets", "link")</f>
        <v/>
      </c>
      <c r="C8169" t="n">
        <v>21</v>
      </c>
      <c r="D8169" t="inlineStr">
        <is>
          <t>Bêche Asse; Collier de Tourthon; Anneau de Brouce; Chevalière du Roi Joueur; Bouclier du Stalak; Ceinture de la Reine des Voleurs; Coiffe de la Reine des Voleurs; Voile d'encre; Baleinabottes; Dofus des Glaces; Dofus Pourpre; Robuste majeur; Nomade; Remueur; Enragé majeur; Dragodinde Prune et Pourpre</t>
        </is>
      </c>
    </row>
    <row r="8170">
      <c r="A8170" t="inlineStr">
        <is>
          <t>Eni Feu Soin</t>
        </is>
      </c>
      <c r="B8170">
        <f>HYPERLINK("https://www.dofusbook.net/fr/equipement/3564621-eni-feu-soin/objets", "link")</f>
        <v/>
      </c>
      <c r="C8170" t="n">
        <v>25</v>
      </c>
      <c r="D8170" t="inlineStr">
        <is>
          <t>Arc corrompu; Pendentif affamé; Anneau de Nidas; Bague Gloursonne; Bivalve; Ceinture de Vortex; Couronne de Nidas; Cape de Diondin; Bottes Innommables; Guérisseur majeur; Miraculé majeur; Docteur majeur; Nomade; Érudit majeur; Remueur</t>
        </is>
      </c>
    </row>
    <row r="8171">
      <c r="A8171" t="inlineStr">
        <is>
          <t>Air Feu MalFisk</t>
        </is>
      </c>
      <c r="B8171">
        <f>HYPERLINK("https://www.dofusbook.net/fr/equipement/3698897-air-feu-malfisk/objets", "link")</f>
        <v/>
      </c>
      <c r="C8171" t="n">
        <v>13</v>
      </c>
      <c r="D8171" t="inlineStr">
        <is>
          <t>Baguette de Malléfisk; Pendentif mignon de Koutoulou; Anneau Rifique; Alliance Gloursonne; Bouclier du Stalak; Ceinture de Vortex; Cagoule de Vortex; Voile d'encre; Sabots de Vortex; Dofus Turquoise; Dofus Ocre; Dokoko; Dofus Pourpre; Dofus Émeraude; Dofus des Glaces; Muldo Ebène et Pourpre</t>
        </is>
      </c>
    </row>
    <row r="8172">
      <c r="A8172" t="inlineStr">
        <is>
          <t>Tri Retrait</t>
        </is>
      </c>
      <c r="B8172">
        <f>HYPERLINK("https://www.dofusbook.net/fr/equipement/3698843-tri-retrait/objets", "link")</f>
        <v/>
      </c>
      <c r="C8172" t="n">
        <v>5</v>
      </c>
      <c r="D8172" t="inlineStr">
        <is>
          <t>Sabres d'Atcham; Amulette de l'Œil Putride; Alliance Gloursonne; Bracelet du Piloztère; Quatre-feuilles; Ceintacé; Chapeau des Malveilleurs; Voile d'encre; Sandales  d'Atcham; Dofus Pourpre; Dofus des Glaces; Dofus Turquoise; Vigoureux majeur; Remueur; Étourdisseur majeur; Muldo Ebène</t>
        </is>
      </c>
    </row>
    <row r="8173">
      <c r="A8173" t="inlineStr">
        <is>
          <t>Osa terre</t>
        </is>
      </c>
      <c r="B8173">
        <f>HYPERLINK("https://www.dofusbook.net/fr/equipement/3700069-osa-terre/objets", "link")</f>
        <v/>
      </c>
      <c r="C8173" t="n">
        <v>15</v>
      </c>
      <c r="D8173" t="inlineStr">
        <is>
          <t>Bêche Asse; Amulette Héroclite; Bague Gloursonne; Alliance Brûlâme; Bouclier Bontarien; Ceinture de la Cour Sombre; Masque de Koutoulou; Voile d'encre; Bottes de la Cour Sombre; Dokoko; Dofus Émeraude; Miraculé majeur; Nomade; Remueur; Enragé majeur; Muldo Pourpre</t>
        </is>
      </c>
    </row>
    <row r="8174">
      <c r="A8174" t="inlineStr">
        <is>
          <t>Sapeuh</t>
        </is>
      </c>
      <c r="B8174">
        <f>HYPERLINK("https://www.dofusbook.net/fr/equipement/3694460-sapeuh/objets", "link")</f>
        <v/>
      </c>
      <c r="C8174" t="n">
        <v>28</v>
      </c>
      <c r="D8174" t="inlineStr">
        <is>
          <t>Arc de Koutoulou; Amulette d'Ilyzaelle; Alliance Gloursonne; Bracelet du Piloztère; Cadran d'Air; Ceinture de la Reine des Voleurs; Casque d'Ilyzaelle; Cape Matelassée; Bottes de la Reine des Voleurs; Dofus Abyssal; Dofus Ocre; Dofus Ivoire; Dofus Pourpre; Dofus des Glaces; Robuste majeur; Muldo Ebène et Indigo</t>
        </is>
      </c>
    </row>
    <row r="8175">
      <c r="A8175" t="inlineStr">
        <is>
          <t>Reseau</t>
        </is>
      </c>
      <c r="B8175">
        <f>HYPERLINK("https://www.dofusbook.net/fr/equipement/3665730-reseau/objets", "link")</f>
        <v/>
      </c>
      <c r="C8175" t="n">
        <v>28</v>
      </c>
      <c r="D8175" t="inlineStr">
        <is>
          <t>Epée Toche; Amulette de Gein; Bague Gloursonne; Chevalière du Roi Joueur; Bouclier du Stalak; Ceinture de Gein; Masque Brûlâme; Voile d'encre; Bottes Honyme; Dofus Pourpre; Dokoko; Dofus des Glaces; Remueur; Vigoureux majeur; Robuste majeur; Muldo Ebène et Pourpre</t>
        </is>
      </c>
    </row>
    <row r="8176">
      <c r="A8176" t="inlineStr">
        <is>
          <t>Zobal terre</t>
        </is>
      </c>
      <c r="B8176">
        <f>HYPERLINK("https://www.dofusbook.net/fr/equipement/3669013-zobal-terre/objets", "link")</f>
        <v/>
      </c>
      <c r="C8176" t="n">
        <v>8</v>
      </c>
      <c r="D8176" t="inlineStr">
        <is>
          <t>Marteau R'ture; Collier de Tourthon; Anneau Chevelu; Bague Gloursonne; Bouclier Taverne; Ceinture de la Cour Sombre; Masque de Koutoulou; Cape au Logis; Bottes de la Cour Sombre; Dofus Abyssal; Dofus Ivoire; Dofus Pourpre; Vigoureux majeur; Enragé majeur; Remueur; El Scarador</t>
        </is>
      </c>
    </row>
    <row r="8177">
      <c r="A8177" t="inlineStr">
        <is>
          <t>Toche</t>
        </is>
      </c>
      <c r="B8177">
        <f>HYPERLINK("https://www.dofusbook.net/fr/equipement/3272411-toche/objets", "link")</f>
        <v/>
      </c>
      <c r="C8177" t="n">
        <v>19</v>
      </c>
      <c r="D8177" t="inlineStr">
        <is>
          <t>Epée Toche; Amulette du Strigide; Bague Gloursonne; Chevalière du Roi Joueur; Bouclier Taverne; Ceintacé; Chapeau de Gein; Voile d'encre; Bottes du Strigide; Dofus Pourpre; Dofus Émeraude; Dofus Turquoise; Dofus des Glaces; Nomade; Remueur; Kramkram</t>
        </is>
      </c>
    </row>
    <row r="8178">
      <c r="A8178" t="inlineStr">
        <is>
          <t>Terre Feu Ini</t>
        </is>
      </c>
      <c r="B8178">
        <f>HYPERLINK("https://www.dofusbook.net/fr/equipement/3664991-terre-feu-ini/objets", "link")</f>
        <v/>
      </c>
      <c r="C8178" t="n">
        <v>20</v>
      </c>
      <c r="D8178" t="inlineStr">
        <is>
          <t>Epée Toche; Amulette du Strigide; Chevalière du Roi Joueur; Bracelet du Piloztère; Quatre-feuilles; Ceintacé; Masque du Katcheur; Voile d'encre; Bottes du Katcheur; Dofus Pourpre; Dofus Turquoise; Dofus des Glaces; Nomade; Remueur; Vigoureux majeur; Kramkram</t>
        </is>
      </c>
    </row>
    <row r="8179">
      <c r="A8179" t="inlineStr">
        <is>
          <t>Air Cheat</t>
        </is>
      </c>
      <c r="B8179">
        <f>HYPERLINK("https://www.dofusbook.net/fr/equipement/3552327-air-cheat/objets", "link")</f>
        <v/>
      </c>
      <c r="C8179" t="n">
        <v>23</v>
      </c>
      <c r="D8179" t="inlineStr">
        <is>
          <t>Manthache; Collier du Valet Veinard; Gant du Valet Veinard; Alliance Gloursonne; Bouclier du Stalak; Menoture; Couronne d'Allister; Cape Indescriptible; Palmes Trithons; Dokoko; Dofus Émeraude; Dévastateur Air majeur; Nomade; Cascadeur majeur; Remueur; Dragodinde Amande et Ebène</t>
        </is>
      </c>
    </row>
    <row r="8180">
      <c r="A8180" t="inlineStr">
        <is>
          <t>Eau Full abusey</t>
        </is>
      </c>
      <c r="B8180">
        <f>HYPERLINK("https://www.dofusbook.net/fr/equipement/3628766-eau-full-abusey/objets", "link")</f>
        <v/>
      </c>
      <c r="C8180" t="n">
        <v>24</v>
      </c>
      <c r="D8180" t="inlineStr">
        <is>
          <t>Sceptre du Roi Joueur; Amulette de Shokkoth; Anneau Volkorne; Alliance Gloursonne; Bouclier du Captain Amakna; Ceinture de la Reine des Voleurs; Kidibonnet; Cape de l'Œil Attentif; Bottes de la Reine des Voleurs; Dofus Ocre; Dofus Pourpre; Dofus des Glaces; Chanceux majeur; Dévastateur Eau majeur; Nomade; Dragodinde Amande et Indigo</t>
        </is>
      </c>
    </row>
    <row r="8181">
      <c r="A8181" t="inlineStr">
        <is>
          <t>Eau 2.0</t>
        </is>
      </c>
      <c r="B8181">
        <f>HYPERLINK("https://www.dofusbook.net/fr/equipement/3593145-eau-2-0/objets", "link")</f>
        <v/>
      </c>
      <c r="C8181" t="n">
        <v>238</v>
      </c>
      <c r="D8181" t="inlineStr">
        <is>
          <t>Sceptre du Roi Joueur; Amulette de Shokkoth; Bracelet des Fonds marins; Alliance Gloursonne; Bouclier Taverne; Culotte de Bethel; Masque de Funespadon; Cape Solution; Bottes du Sinistrofu; Dokoko; Dofus Émeraude; Dofus Pourpre; Dévastateur Eau majeur; Nomade; Remueur; El Scarador</t>
        </is>
      </c>
    </row>
    <row r="8182">
      <c r="A8182" t="inlineStr">
        <is>
          <t>Sram Terre Eau</t>
        </is>
      </c>
      <c r="B8182">
        <f>HYPERLINK("https://www.dofusbook.net/fr/equipement/3651105-sram-terre-eau/objets", "link")</f>
        <v/>
      </c>
      <c r="C8182" t="n">
        <v>11</v>
      </c>
      <c r="D8182" t="inlineStr">
        <is>
          <t>Dagues de Srambad; Amulette Luminescente; Alliance Gloursonne; Pikano; Le Karde Cœur; Ceinture de la Reine des Voleurs; Coiffe de la Reine des Voleurs; Voile d'encre; Bottes Honyme; Dofus Pourpre; Dofus des Glaces; Nomade; Robuste majeur; Vigoureux majeur; Remueur; El Scarador</t>
        </is>
      </c>
    </row>
    <row r="8183">
      <c r="A8183" t="inlineStr">
        <is>
          <t>Multi Cheat</t>
        </is>
      </c>
      <c r="B8183">
        <f>HYPERLINK("https://www.dofusbook.net/fr/equipement/3557748-multi-cheat/objets", "link")</f>
        <v/>
      </c>
      <c r="C8183" t="n">
        <v>44</v>
      </c>
      <c r="D8183" t="inlineStr">
        <is>
          <t>Epée Gloursonne; Amulette Ementaire Deluxe; Bague Gloursonne; Alliance Gloursonne; Bouclier cubiste; Ceinture de l'Esprit Salvateur; Masque de l'Esprit Salvateur; Voilamibe; Bottes de l'Esprit Salvateur; Dofus des Glaces; Dofus Émeraude; Dofus Pourpre; Dolmanax; Robuste majeur; Féroce majeur; Kramkram</t>
        </is>
      </c>
    </row>
    <row r="8184">
      <c r="A8184" t="inlineStr">
        <is>
          <t>Terre Eau Sympa</t>
        </is>
      </c>
      <c r="B8184">
        <f>HYPERLINK("https://www.dofusbook.net/fr/equipement/3646867-terre-eau-sympa/objets", "link")</f>
        <v/>
      </c>
      <c r="C8184" t="n">
        <v>24</v>
      </c>
      <c r="D8184" t="inlineStr">
        <is>
          <t>Dagues de Srambad; Amulette Luminescente; Pikano; Bracelet du Piloztère; Quatre-feuilles; Ceinture de la Reine des Voleurs; Coiffe de la Reine des Voleurs; Voile d'encre; Bottes Honyme; Dofus des Glaces; Dofus Nébuleux; Dofus Pourpre; Nomade; Remueur; Vigoureux majeur</t>
        </is>
      </c>
    </row>
    <row r="8185">
      <c r="A8185" t="inlineStr">
        <is>
          <t>Feu Air Crit LowCoast</t>
        </is>
      </c>
      <c r="B8185">
        <f>HYPERLINK("https://www.dofusbook.net/fr/equipement/3643551-feu-air-crit-lowcoast/objets", "link")</f>
        <v/>
      </c>
      <c r="C8185" t="n">
        <v>9</v>
      </c>
      <c r="D8185" t="inlineStr">
        <is>
          <t>Baguette Range; Amulette du Strigide; Alliance Gloursonne; Bracelet du Piloztère; Quatre-feuilles; Ceintacé; Coiffe de Padgref; Voile d'encre; Bottes du Strigide; Dofus Turquoise; Dofus Pourpre; Dofus des Glaces; Vigoureux majeur; Nomade; Remueur; Kramkram</t>
        </is>
      </c>
    </row>
    <row r="8186">
      <c r="A8186" t="inlineStr">
        <is>
          <t>Do Crit</t>
        </is>
      </c>
      <c r="B8186">
        <f>HYPERLINK("https://www.dofusbook.net/fr/equipement/3272333-do-crit/objets", "link")</f>
        <v/>
      </c>
      <c r="C8186" t="n">
        <v>24</v>
      </c>
      <c r="D8186" t="inlineStr">
        <is>
          <t>Baguette Range; Amulette du Strigide; Anneau de Padgref; Alliance Gloursonne; Bouclier Taverne; Ceinture du Strigide; Coiffe de Padgref; Voile d'encre; Getas de Padgref; Dofus Abyssal; Dofus Pourpre; Dofus Émeraude; Dofus des Glaces; Dofus Turquoise; Dofus Ocre; Muldo Prune et Emeraude</t>
        </is>
      </c>
    </row>
    <row r="8187">
      <c r="A8187" t="inlineStr">
        <is>
          <t>Air Low Cost Opti</t>
        </is>
      </c>
      <c r="B8187">
        <f>HYPERLINK("https://www.dofusbook.net/fr/equipement/3601645-air-low-cost-opti/objets", "link")</f>
        <v/>
      </c>
      <c r="C8187" t="n">
        <v>8</v>
      </c>
      <c r="D8187" t="inlineStr">
        <is>
          <t>Manthache; Collier du Valet Veinard; Alliance Gloursonne; Gant du Valet Veinard; Bouclier Taverne; Menoture; Dorabysses; Cape du Kamasterisk; Baleinabottes; Dokoko; Dofus Émeraude; Remueur; Dévastateur Air majeur; Cascadeur majeur; Nomade; Dragodinde Amande et Ebène</t>
        </is>
      </c>
    </row>
    <row r="8188">
      <c r="A8188" t="inlineStr">
        <is>
          <t>Steamer air Do Pou</t>
        </is>
      </c>
      <c r="B8188">
        <f>HYPERLINK("https://www.dofusbook.net/fr/equipement/3618813-steamer-air-do-pou/objets", "link")</f>
        <v/>
      </c>
      <c r="C8188" t="n">
        <v>6</v>
      </c>
      <c r="D8188" t="inlineStr">
        <is>
          <t>Hachoirs de Viandargh; Amibou; Alliance Gloursonne; Bague Trithon; Bouclier Taverne; Sangle Ouare; Chapibou; Capibou; Bottes Trithon; Dofus Pourpre; Dofus Émeraude; Dofus des Glaces; Dofus Turquoise; Dofus Ocre; Bousculeur majeur; Muldo Ebène</t>
        </is>
      </c>
    </row>
    <row r="8189">
      <c r="A8189" t="inlineStr">
        <is>
          <t>Air Abyssal Res</t>
        </is>
      </c>
      <c r="B8189">
        <f>HYPERLINK("https://www.dofusbook.net/fr/equipement/3272308-air-abyssal-res/objets", "link")</f>
        <v/>
      </c>
      <c r="C8189" t="n">
        <v>22</v>
      </c>
      <c r="D8189" t="inlineStr">
        <is>
          <t>Pelle de la Cour Sombre; Collier du Valet Veinard; Gant du Valet Veinard; Alliance Gloursonne; Bouclier d'Ilyzaelle; Menoture; Dorabysses; Cape du Kamasterisk; Palmes Trithons; Dokoko; Dofus Émeraude; Remueur; Dévastateur Air majeur; Cascadeur majeur; Nomade; Croum</t>
        </is>
      </c>
    </row>
    <row r="8190">
      <c r="A8190" t="inlineStr">
        <is>
          <t>Tal Kasha</t>
        </is>
      </c>
      <c r="B8190">
        <f>HYPERLINK("https://www.dofusbook.net/fr/equipement/3536018-tal-kasha/objets", "link")</f>
        <v/>
      </c>
      <c r="C8190" t="n">
        <v>7</v>
      </c>
      <c r="D8190" t="inlineStr">
        <is>
          <t>Epée Loponèze; Amulette du Strigide; Anneau Toriété; Alliance Gloursonne; Quatre-feuilles; Ceinture du Strigide; Némès de Tal Kasha; Chevelure de Tal Kasha; Sandales de Tal Kasha; Dofus Émeraude; Dofus des Glaces; Dofus Turquoise; Dofus Ocre; Dofus Pourpre; Paralyseur majeur; Kramkram</t>
        </is>
      </c>
    </row>
    <row r="8191">
      <c r="A8191" t="inlineStr">
        <is>
          <t>LavHache Cours Sombr</t>
        </is>
      </c>
      <c r="B8191">
        <f>HYPERLINK("https://www.dofusbook.net/fr/equipement/3589001-lavhache-cours-sombr/objets", "link")</f>
        <v/>
      </c>
      <c r="C8191" t="n">
        <v>10</v>
      </c>
      <c r="D8191" t="inlineStr">
        <is>
          <t>Lav'Hache; Amulette du Strigide; Anneau Chevelu; Anneau Crustique; Bouclier du Stalak; Ceinture de la Cour Sombre; Masque de Koutoulou; Cape au Logis; Bottes de la Cour Sombre; Vigoureux majeur; Remueur; Étourdisseur majeur; Miraculé majeur; Enragé majeur; Nomade; El Scarador</t>
        </is>
      </c>
    </row>
    <row r="8192">
      <c r="A8192" t="inlineStr">
        <is>
          <t>Arc Chal Cours Sombre</t>
        </is>
      </c>
      <c r="B8192">
        <f>HYPERLINK("https://www.dofusbook.net/fr/equipement/3586363-arc-chal-cours-sombre/objets", "link")</f>
        <v/>
      </c>
      <c r="C8192" t="n">
        <v>10</v>
      </c>
      <c r="D8192" t="inlineStr">
        <is>
          <t>Arc du Chalœil; Amulette du Strigide; Anneau Crustique; Anneau Chevelu; Bouclier du Stalak; Ceinture de la Cour Sombre; Masque de Koutoulou; Voile d'encre; Bottes de la Cour Sombre; Enragé majeur; Nomade; Vigoureux majeur; Remueur; Étourdisseur majeur; Miraculé majeur; El Scarador</t>
        </is>
      </c>
    </row>
    <row r="8193">
      <c r="A8193" t="inlineStr">
        <is>
          <t>Cours sombre RTure</t>
        </is>
      </c>
      <c r="B8193">
        <f>HYPERLINK("https://www.dofusbook.net/fr/equipement/3582409-cours-sombre-rture/objets", "link")</f>
        <v/>
      </c>
      <c r="C8193" t="n">
        <v>10</v>
      </c>
      <c r="D8193" t="inlineStr">
        <is>
          <t>Marteau R'ture; Amulette du Strigide; Anneau Chevelu; Anneau Crustique; Bouclier Taverne; Ceinture de la Cour Sombre; Masque de Koutoulou; Voile d'encre; Bottes de la Cour Sombre; Vigoureux majeur; Remueur; Étourdisseur majeur; Miraculé majeur; Enragé majeur; Nomade; El Scarador</t>
        </is>
      </c>
    </row>
    <row r="8194">
      <c r="A8194" t="inlineStr">
        <is>
          <t>Eau Cheat</t>
        </is>
      </c>
      <c r="B8194">
        <f>HYPERLINK("https://www.dofusbook.net/fr/equipement/3564560-eau-cheat/objets", "link")</f>
        <v/>
      </c>
      <c r="C8194" t="n">
        <v>21</v>
      </c>
      <c r="D8194" t="inlineStr">
        <is>
          <t>Sceptre du Roi Joueur; Amulette de Shokkoth; Alliance Gloursonne; Bracelet des Fonds marins; Bouclier du Stalak; Ceinture de la Reine des Voleurs; Kidibonnet; Cape de Mantaze; Bottes de la Reine des Voleurs; Dokoko; Chanceux majeur; Remueur; Miraculé majeur; Dévastateur Eau majeur; Nomade; Dragodinde Amande et Indigo</t>
        </is>
      </c>
    </row>
    <row r="8195">
      <c r="A8195" t="inlineStr">
        <is>
          <t>Feu Cheat</t>
        </is>
      </c>
      <c r="B8195">
        <f>HYPERLINK("https://www.dofusbook.net/fr/equipement/3548506-feu-cheat/objets", "link")</f>
        <v/>
      </c>
      <c r="C8195" t="n">
        <v>16</v>
      </c>
      <c r="D8195" t="inlineStr">
        <is>
          <t>Arc corrompu; Pendentif affamé; Anneau Tamie; Anneau Tique; Bouclier du Stalak; Ceinture Séculaire; Coiffe Séculaire; Cape de Diondin; Bottes Innommables; Dokoko; Dévastateur Feu majeur; Nomade; Érudit majeur; Remueur; Miraculé majeur; Dragodinde Amande et Orchidée</t>
        </is>
      </c>
    </row>
    <row r="8196">
      <c r="A8196" t="inlineStr">
        <is>
          <t>Terre Do Pou</t>
        </is>
      </c>
      <c r="B8196">
        <f>HYPERLINK("https://www.dofusbook.net/fr/equipement/3572989-terre-do-pou/objets", "link")</f>
        <v/>
      </c>
      <c r="C8196" t="n">
        <v>24</v>
      </c>
      <c r="D8196" t="inlineStr">
        <is>
          <t>Lav'Hache; Amulette du Strigide; Anneau Chevelu; Bague Trithon; Bouclier Taverne; Ceinture Gence; Masque de Koutoulou; Cape au Logis; Bottes Trithon; Dofus Pourpre; Enragé majeur; Culbuteur majeur; Vigoureux majeur; Remueur; Bousculeur majeur; Kramkram</t>
        </is>
      </c>
    </row>
    <row r="8197">
      <c r="A8197" t="inlineStr">
        <is>
          <t>Multi Mode trophée</t>
        </is>
      </c>
      <c r="B8197">
        <f>HYPERLINK("https://www.dofusbook.net/fr/equipement/3568695-multi-mode-trophee/objets", "link")</f>
        <v/>
      </c>
      <c r="C8197" t="n">
        <v>7</v>
      </c>
      <c r="D8197" t="inlineStr">
        <is>
          <t>Marteau des égarés; Amulette Ementaire Deluxe; Alliance Gloursonne; Bracelet du Piloztère; Bouclier du Stalak; Ceinture de l'Esprit Salvateur; Le Dorado; Voile d'encre; Bottes de l'Esprit Salvateur; Dofus Pourpre; Nomade; Féroce majeur; Remueur; Robuste majeur; Vigoureux majeur; Kramkram</t>
        </is>
      </c>
    </row>
    <row r="8198">
      <c r="A8198" t="inlineStr">
        <is>
          <t>Twinck Classique</t>
        </is>
      </c>
      <c r="B8198">
        <f>HYPERLINK("https://www.dofusbook.net/fr/equipement/3571480-twinck-classique/objets", "link")</f>
        <v/>
      </c>
      <c r="C8198" t="n">
        <v>10</v>
      </c>
      <c r="D8198" t="inlineStr">
        <is>
          <t>Lance corrompue; Amulette Luminescente; Alliance Gloursonne; Pikano; Bouclier Taverne; Ceinture de la Reine des Voleurs; Coiffe de la Reine des Voleurs; Voile d'encre; Baleinabottes; Dofus Émeraude; Dofus des Glaces; Dofus Pourpre; Remueur; Culbuteur majeur; Nomade; El Scarador</t>
        </is>
      </c>
    </row>
    <row r="8199">
      <c r="A8199" t="inlineStr">
        <is>
          <t>Mult Dofusteuse</t>
        </is>
      </c>
      <c r="B8199">
        <f>HYPERLINK("https://www.dofusbook.net/fr/equipement/3272527-mult-dofusteuse/objets", "link")</f>
        <v/>
      </c>
      <c r="C8199" t="n">
        <v>14</v>
      </c>
      <c r="D8199" t="inlineStr">
        <is>
          <t>Epée Gloursonne; Amulette Ementaire Deluxe; Bague Gloursonne; Alliance Gloursonne; Bouclier Taverne; Ceinture de l'Esprit Salvateur; Masque de l'Esprit Salvateur; Dofusteuse; Bottes de l'Esprit Salvateur; Dofus des Glaces; Dofus Émeraude; Dofus Ocre; Dofus Pourpre; Robuste majeur; Féroce majeur; Muldo Indigo et Orchidée</t>
        </is>
      </c>
    </row>
    <row r="8200">
      <c r="A8200" t="inlineStr">
        <is>
          <t>Sadi Cheat</t>
        </is>
      </c>
      <c r="B8200">
        <f>HYPERLINK("https://www.dofusbook.net/fr/equipement/3541318-sadi-cheat/objets", "link")</f>
        <v/>
      </c>
      <c r="C8200" t="n">
        <v>27</v>
      </c>
      <c r="D8200" t="inlineStr">
        <is>
          <t>Arc Honte; Amulette de l'Œil Putride; Alliance Gloursonne; Bague Gloursonne; Bouclier cubiste; Ceinture de l'Esprit Salvateur; Masque de l'Esprit Salvateur; Cape de l'Œil Putride; Bottes de l'Esprit Salvateur; Dofus Émeraude; Dofus Ocre; Dofus Pourpre; Dofus des Glaces; Féroce majeur; Robuste majeur; Muldo Ebène et Pourpre</t>
        </is>
      </c>
    </row>
    <row r="8201">
      <c r="A8201" t="inlineStr">
        <is>
          <t>Terre / Air</t>
        </is>
      </c>
      <c r="B8201">
        <f>HYPERLINK("https://www.dofusbook.net/fr/equipement/3526823-terre---air/objets", "link")</f>
        <v/>
      </c>
      <c r="C8201" t="n">
        <v>8</v>
      </c>
      <c r="D8201" t="inlineStr">
        <is>
          <t>Épée de la Reine des Voleurs; Amulette du Kamasterisk; Bague Gloursonne; Alliance Gloursonne; Bouclier cubiste; Ceinture de la Reine des Voleurs; Coiffe de la Reine des Voleurs; Cape du Kamasterisk; Bottes du Kamasterisk; Dofus des Glaces; Dofus Émeraude; Dofus Ocre; Dofus Pourpre; Robuste majeur; Féroce majeur; El Scarador</t>
        </is>
      </c>
    </row>
    <row r="8202">
      <c r="A8202" t="inlineStr">
        <is>
          <t>Full Res Crit</t>
        </is>
      </c>
      <c r="B8202">
        <f>HYPERLINK("https://www.dofusbook.net/fr/equipement/3534846-full-res-crit/objets", "link")</f>
        <v/>
      </c>
      <c r="C8202" t="n">
        <v>12</v>
      </c>
      <c r="D8202" t="inlineStr">
        <is>
          <t>Dagues de Srambad; Torquistik; Goulano; Baguistik; Goulclier; Ceinture de la Reine des Voleurs; Coiffe de la Reine des Voleurs; Cape au Logis; Goulbottes; Dofus Émeraude; Dofus Ocre; Dofus Pourpre; Dofus des Glaces; Féroce majeur; Robuste majeur; Kramkram</t>
        </is>
      </c>
    </row>
    <row r="8203">
      <c r="A8203" t="inlineStr">
        <is>
          <t>Piloz Res Crit</t>
        </is>
      </c>
      <c r="B8203">
        <f>HYPERLINK("https://www.dofusbook.net/fr/equipement/3272240-piloz-res-crit/objets", "link")</f>
        <v/>
      </c>
      <c r="C8203" t="n">
        <v>14</v>
      </c>
      <c r="D8203" t="inlineStr">
        <is>
          <t>Dagues de Srambad; Amulette du Piloztère; Goulano; Bracelet du Piloztère; Goulclier; Ceinture de la Reine des Voleurs; Coiffe de la Reine des Voleurs; Voile d'encre; Goulbottes; Dofus des Glaces; Dofus Ocre; Dofus Pourpre; Féroce majeur; Robuste majeur; Voyageur; Kwaltess</t>
        </is>
      </c>
    </row>
    <row r="8204">
      <c r="A8204" t="inlineStr">
        <is>
          <t>Cancer</t>
        </is>
      </c>
      <c r="B8204">
        <f>HYPERLINK("https://www.dofusbook.net/fr/equipement/3295149-cancer/objets", "link")</f>
        <v/>
      </c>
      <c r="C8204" t="n">
        <v>34</v>
      </c>
      <c r="D8204" t="inlineStr">
        <is>
          <t>Lav'Hache; Amulette du Strigide; Anneau Crustique; Anneau Crustique; Sept ans de malheur; Ceintouse; Chapoulpe; Voile d'encre; Baleinabottes; Dofus Pourpre; Dofus Émeraude; Remueur; Étourdisseur majeur; Enragé majeur; Nomade; Croum</t>
        </is>
      </c>
    </row>
    <row r="8205">
      <c r="A8205" t="inlineStr">
        <is>
          <t>Full Eau</t>
        </is>
      </c>
      <c r="B8205">
        <f>HYPERLINK("https://www.dofusbook.net/fr/equipement/3329660-full-eau/objets", "link")</f>
        <v/>
      </c>
      <c r="C8205" t="n">
        <v>10</v>
      </c>
      <c r="D8205" t="inlineStr">
        <is>
          <t>Sceptre du Roi Joueur; Amulette de Shokkoth; Anneau Volkorne; Alliance Gloursonne; Bouclier cubiste; Culotte de Bethel; Masque des Fonds marins; Cape Solution; Chaussons de Macrab; Dofus Pourpre; Dofus des Glaces; Chanceux majeur; Remueur; Dévastateur Eau majeur; Nomade; El Scarador</t>
        </is>
      </c>
    </row>
    <row r="8206">
      <c r="A8206" t="inlineStr">
        <is>
          <t>Eau / Do Pou</t>
        </is>
      </c>
      <c r="B8206">
        <f>HYPERLINK("https://www.dofusbook.net/fr/equipement/3288907-eau---do-pou/objets", "link")</f>
        <v/>
      </c>
      <c r="C8206" t="n">
        <v>12</v>
      </c>
      <c r="D8206" t="inlineStr">
        <is>
          <t>Rapière aux Glyphes; Amulette de l'Œil Attentif; Alliance Gloursonne; Anneau Volkorne; Bouclier Taverne; Ceinture de la Reine des Voleurs; Capuche de l'Œil Attentif; Cape de l'Œil Attentif; Bottes de la Reine des Voleurs; Dofus des Glaces; Dofus Abyssal; Dofus Émeraude; Dofus Ocre; Dokoko; Dofus Pourpre; Muldo Ebène et Orchidée</t>
        </is>
      </c>
    </row>
    <row r="8207">
      <c r="A8207" t="inlineStr">
        <is>
          <t>Terre retrait PM</t>
        </is>
      </c>
      <c r="B8207">
        <f>HYPERLINK("https://www.dofusbook.net/fr/equipement/3282291-terre-retrait-pm/objets", "link")</f>
        <v/>
      </c>
      <c r="C8207" t="n">
        <v>21</v>
      </c>
      <c r="D8207" t="inlineStr">
        <is>
          <t>Marteau R'ture; Amulette Luminescente; Chevalière du Roi Joueur; Pikano; Bouclier cubiste; Ceinture Luminescente; Couronne du Roi Joueur; Cape Luminescente; Bottes du Roi Joueur; Dofus Turquoise; Dofus Ocre; Dofus Pourpre; Dofus Émeraude; Dofus des Glaces; Entraveur majeur; Muldo Indigo et Pourpre</t>
        </is>
      </c>
    </row>
    <row r="8208">
      <c r="A8208" t="inlineStr">
        <is>
          <t>Cours Sombre</t>
        </is>
      </c>
      <c r="B8208">
        <f>HYPERLINK("https://www.dofusbook.net/fr/equipement/3301898-cours-sombre/objets", "link")</f>
        <v/>
      </c>
      <c r="C8208" t="n">
        <v>12</v>
      </c>
      <c r="D8208" t="inlineStr">
        <is>
          <t>Bêche Asse; Collier de Tourthon; Anneau Crustique; Anneau Crustique; Sept ans de malheur; Ceinture de la Cour Sombre; Masque de Koutoulou; Voile d'encre; Bottes de la Cour Sombre; Miraculé majeur; Nomade; Paralyseur majeur; Remueur; Enragé majeur; Étourdisseur majeur; Croum</t>
        </is>
      </c>
    </row>
    <row r="8209">
      <c r="A8209" t="inlineStr">
        <is>
          <t>Do Pou</t>
        </is>
      </c>
      <c r="B8209">
        <f>HYPERLINK("https://www.dofusbook.net/fr/equipement/3272390-do-pou/objets", "link")</f>
        <v/>
      </c>
      <c r="C8209" t="n">
        <v>20</v>
      </c>
      <c r="D8209" t="inlineStr">
        <is>
          <t>Lav'Hache; Torquistik; Anneau Chevelu; Bague Trithon; Bouclier précieux; Ceinture Gence; Casque Dragoeuf; Voile d'encre; Bottistik; Bousculeur majeur; Remueur; Enragé majeur; Culbuteur majeur; Miraculé majeur; Nomade; Croum</t>
        </is>
      </c>
    </row>
    <row r="8210">
      <c r="A8210" t="inlineStr">
        <is>
          <t>Viandargh</t>
        </is>
      </c>
      <c r="B8210">
        <f>HYPERLINK("https://www.dofusbook.net/fr/equipement/3294711-viandargh/objets", "link")</f>
        <v/>
      </c>
      <c r="C8210" t="n">
        <v>8</v>
      </c>
      <c r="D8210" t="inlineStr">
        <is>
          <t>Hachoirs de Viandargh; Amibou; Bague Trithon; Alliance Gloursonne; Bouclier Taverne; Ceinture du Nocturlabe; Chapibou; Capibou; Bottes Trithon; Dofus Turquoise; Dofus Ocre; Dofus Pourpre; Dofus Émeraude; Dofus des Glaces; Bousculeur majeur; Muldo Ebène</t>
        </is>
      </c>
    </row>
    <row r="8211">
      <c r="A8211" t="inlineStr">
        <is>
          <t>Menthache</t>
        </is>
      </c>
      <c r="B8211">
        <f>HYPERLINK("https://www.dofusbook.net/fr/equipement/3294889-menthache/objets", "link")</f>
        <v/>
      </c>
      <c r="C8211" t="n">
        <v>7</v>
      </c>
      <c r="D8211" t="inlineStr">
        <is>
          <t>Manthache; Collier du Valet Veinard; Alliance Gloursonne; Gant du Valet Veinard; Bouclier du Stalak; Menoture; Couronne d'Allister; Cape Indescriptible; Palmes Trithons; Dévastateur Air majeur; Nomade; Cascadeur majeur; Remueur; Miraculé majeur</t>
        </is>
      </c>
    </row>
    <row r="8212">
      <c r="A8212" t="inlineStr">
        <is>
          <t>Heqach</t>
        </is>
      </c>
      <c r="B8212">
        <f>HYPERLINK("https://www.dofusbook.net/fr/equipement/3294683-heqach/objets", "link")</f>
        <v/>
      </c>
      <c r="C8212" t="n">
        <v>3</v>
      </c>
      <c r="D8212" t="inlineStr">
        <is>
          <t>Héqache; Amulette du Strigide; Alliance Gloursonne; Bracelet du Piloztère; Bouclier Taverne; Ceintacé; Casque des égarés; Voile d'encre; Bottes du Strigide; Dofus Pourpre; Dofus Émeraude; Dofus Turquoise; Nomade; Remueur; Vigoureux majeur; Kramkram</t>
        </is>
      </c>
    </row>
    <row r="8213">
      <c r="A8213" t="inlineStr">
        <is>
          <t>Do Pou / Crit</t>
        </is>
      </c>
      <c r="B8213">
        <f>HYPERLINK("https://www.dofusbook.net/fr/equipement/3294449-do-pou---crit/objets", "link")</f>
        <v/>
      </c>
      <c r="C8213" t="n">
        <v>13</v>
      </c>
      <c r="D8213" t="inlineStr">
        <is>
          <t>Héqache; Amulette du Strigide; Bague Trithon; Alliance Gloursonne; Bouclier Taverne; Ceinture du Strigide; Masque Trithon; Voile d'encre; Bottes Trithon; Dofus Turquoise; Dofus Ocre; Dofus Émeraude; Dofus Pourpre; Dofus des Glaces; Bousculeur majeur; Muldo Ebène et Pourpre</t>
        </is>
      </c>
    </row>
    <row r="8214">
      <c r="A8214" t="inlineStr">
        <is>
          <t>Phossile</t>
        </is>
      </c>
      <c r="B8214">
        <f>HYPERLINK("https://www.dofusbook.net/fr/equipement/3272220-phossile/objets", "link")</f>
        <v/>
      </c>
      <c r="C8214" t="n">
        <v>3</v>
      </c>
      <c r="D8214" t="inlineStr">
        <is>
          <t>Marteau Phossile; Pendentif mignon de Koutoulou; Alliance Gloursonne; Anneau Rifique; Bouclier Taverne; Ceinture de Vortex; Cagoule de Vortex; Voile d'encre; Sabots de Vortex; Dofus Émeraude; Dofus des Glaces; Dofus Turquoise; Dofus Ocre; Dofus Abyssal; Dofus Pourpre; Muldo Ebène</t>
        </is>
      </c>
    </row>
    <row r="8215">
      <c r="A8215" t="inlineStr">
        <is>
          <t>Spécial Twinck</t>
        </is>
      </c>
      <c r="B8215">
        <f>HYPERLINK("https://www.dofusbook.net/fr/equipement/3275084-special-twinck/objets", "link")</f>
        <v/>
      </c>
      <c r="C8215" t="n">
        <v>14</v>
      </c>
      <c r="D8215" t="inlineStr">
        <is>
          <t>Lance corrompue; Amulette du Cœur Vaillant; Alliance Gloursonne; Pikano; Bouclier Taverne; Ceinture de la Reine des Voleurs; Coiffe de la Reine des Voleurs; Voile d'encre; Baleinabottes; Dofus des Glaces; Dofus Abyssal; Dofus Émeraude; Remueur; Culbuteur majeur; Nomade; Croum</t>
        </is>
      </c>
    </row>
    <row r="8216">
      <c r="A8216" t="inlineStr">
        <is>
          <t>Eau Retrait Pa</t>
        </is>
      </c>
      <c r="B8216">
        <f>HYPERLINK("https://www.dofusbook.net/fr/equipement/3272372-eau-retrait-pa/objets", "link")</f>
        <v/>
      </c>
      <c r="C8216" t="n">
        <v>22</v>
      </c>
      <c r="D8216" t="inlineStr">
        <is>
          <t>Sceptre du Roi Joueur; Amulette de l'Œil Attentif; Pikano; Alliance Gloursonne; Bouclier d'Ilyzaelle; Culotte de Bethel; Capuche de l'Œil Attentif; Cape de l'Œil Attentif; Chaussons de Macrab; Dofus Émeraude; Dofus des Glaces; Dofus Turquoise; Dofus Ocre; Dofus Pourpre; Paralyseur majeur; Muldo Ebène et Indigo</t>
        </is>
      </c>
    </row>
    <row r="8217">
      <c r="A8217" t="inlineStr">
        <is>
          <t>Brulame</t>
        </is>
      </c>
      <c r="B8217">
        <f>HYPERLINK("https://www.dofusbook.net/fr/equipement/3272475-brulame/objets", "link")</f>
        <v/>
      </c>
      <c r="C8217" t="n">
        <v>35</v>
      </c>
      <c r="D8217" t="inlineStr">
        <is>
          <t>Épée Brûlâme; Talisman Igans; Bague Gloursonne; Alliance Gloursonne; Bouclier cubiste; Ceintrigue; Casquette de Meno; Cape de Meno; Bottes de Meno; Dofus Émeraude; Dofus des Glaces; Dofus Turquoise; Dofus Ocre; Dofus Pourpre; Docteur majeur; Muldo Ebène et Orchidée</t>
        </is>
      </c>
    </row>
    <row r="8218">
      <c r="A8218" t="inlineStr">
        <is>
          <t>Cours Sombre</t>
        </is>
      </c>
      <c r="B8218">
        <f>HYPERLINK("https://www.dofusbook.net/fr/equipement/3272273-cours-sombre/objets", "link")</f>
        <v/>
      </c>
      <c r="C8218" t="n">
        <v>5</v>
      </c>
      <c r="D8218" t="inlineStr">
        <is>
          <t>Bêche Asse; Amulette Héroclite; Bague Gloursonne; Pikano; Sept ans de malheur; Ceinture de la Cour Sombre; Masque de Koutoulou; Voile d'encre; Bottes de la Cour Sombre; Enragé majeur; Remueur; Obstructeur majeur; Miraculé majeur; Étourdisseur majeur; Nomade; Croum</t>
        </is>
      </c>
    </row>
    <row r="8219">
      <c r="A8219" t="inlineStr">
        <is>
          <t>PvM OAir NoCC</t>
        </is>
      </c>
      <c r="B8219">
        <f>HYPERLINK("https://www.dofusbook.net/fr/equipement/2586768-pvm-oair-nocc/objets", "link")</f>
        <v/>
      </c>
      <c r="C8219" t="n">
        <v>2</v>
      </c>
      <c r="D8219" t="inlineStr">
        <is>
          <t>Arc Ahique; Amulette d'Ilyzaelle; Alliance Gloursonne; Bracelet du Piloztère; Bouclier du Stalak; Ceinture de la Reine des Voleurs; Casque d'Ilyzaelle; Cape Matelassée; Bottes de la Reine des Voleurs; Dofus Pourpre; Dofus Abyssal; Dofus Ocre; Dolmanax; Dofus des Glaces; Robuste majeur; Muldo Ebène et Indigo</t>
        </is>
      </c>
    </row>
    <row r="8220">
      <c r="A8220" t="inlineStr">
        <is>
          <t>Koli Solo Air RéPou</t>
        </is>
      </c>
      <c r="B8220">
        <f>HYPERLINK("https://www.dofusbook.net/fr/equipement/2233139-koli-solo-air-repou/objets", "link")</f>
        <v/>
      </c>
      <c r="C8220" t="n">
        <v>0</v>
      </c>
      <c r="D8220" t="inlineStr">
        <is>
          <t>Pelle de la Cour Sombre; Collier du Valet Veinard; Gant du Valet Veinard; Alliance Gloursonne; Dorabysses; Cape du Valet Veinard</t>
        </is>
      </c>
    </row>
    <row r="8221">
      <c r="A8221" t="inlineStr">
        <is>
          <t>Koli Solo FullFo</t>
        </is>
      </c>
      <c r="B8221">
        <f>HYPERLINK("https://www.dofusbook.net/fr/equipement/2233115-koli-solo-fullfo/objets", "link")</f>
        <v/>
      </c>
      <c r="C8221" t="n">
        <v>0</v>
      </c>
      <c r="D8221" t="inlineStr">
        <is>
          <t>Héqache; Amulette du Strigide; Anneau Crustique; Anneau Chevelu; Bouclier du Stalak; Ceintouse; Masque de Koutoulou; Voile d'encre; Tentassons; Dofus Abyssal; Dolmanax; Dofus Pourpre; Enragé majeur; Vigoureux majeur; Remueur; Muldo Indigo et Pourpre</t>
        </is>
      </c>
    </row>
    <row r="8222">
      <c r="A8222" t="inlineStr">
        <is>
          <t>PvM Multi</t>
        </is>
      </c>
      <c r="B8222">
        <f>HYPERLINK("https://www.dofusbook.net/fr/equipement/2198638-pvm-multi/objets", "link")</f>
        <v/>
      </c>
      <c r="C8222" t="n">
        <v>2</v>
      </c>
      <c r="D8222" t="inlineStr">
        <is>
          <t>Bâton Beau; Amulette du Strigide; Bracelet du Piloztère; Anneau de Padgref; Quatre-feuilles; Ceinture du Strigide; Masque Vaudou Tam; Cape Reski; Pataugastrique; Dofus des Glaces; Dofus Turquoise; Dofus Pourpre; Nomade; Remueur; Vigoureux majeur; Muldo Prune et Emeraude</t>
        </is>
      </c>
    </row>
    <row r="8223">
      <c r="A8223" t="inlineStr">
        <is>
          <t>PvM FullO 11/6</t>
        </is>
      </c>
      <c r="B8223">
        <f>HYPERLINK("https://www.dofusbook.net/fr/equipement/2032376-pvm-fullo-11-6/objets", "link")</f>
        <v/>
      </c>
      <c r="C8223" t="n">
        <v>3</v>
      </c>
      <c r="D8223" t="inlineStr">
        <is>
          <t>Rapière aux Glyphes; Amulette de Shokkoth; Alliance Gloursonne; Bracelet des Fonds marins; Quatre-feuilles; Poulpagne; Capuche de l'Œil Attentif; Cape de l'Œil Attentif; Bottes du Nocturlabe; Dofus Abyssal; Dofus Pourpre; Chanceux majeur; Nomade; Vigoureux majeur; Remueur; Muldo Indigo</t>
        </is>
      </c>
    </row>
    <row r="8224">
      <c r="A8224" t="inlineStr">
        <is>
          <t>PvM FullO 11/6 v2</t>
        </is>
      </c>
      <c r="B8224">
        <f>HYPERLINK("https://www.dofusbook.net/fr/equipement/1800756-pvm-fullo-11-6-v2/objets", "link")</f>
        <v/>
      </c>
      <c r="C8224" t="n">
        <v>1</v>
      </c>
      <c r="D8224" t="inlineStr">
        <is>
          <t>Sceptre du Roi Joueur; Amulette de Shokkoth; Bracelet des Fonds marins; Alliance Gloursonne; Quatre-feuilles; Ceinture Glaciale; Kidibonnet; Cape de l'Œil Attentif; Sandales des Fonds marins; Dofus Pourpre; Dofus Abyssal; Nomade; Vigoureux majeur; Remueur; Chanceux majeur; Muldo Indigo</t>
        </is>
      </c>
    </row>
    <row r="8225">
      <c r="A8225" t="inlineStr">
        <is>
          <t>Duo Ilyzaelle</t>
        </is>
      </c>
      <c r="B8225">
        <f>HYPERLINK("https://www.dofusbook.net/fr/equipement/2139061-duo-ilyzaelle/objets", "link")</f>
        <v/>
      </c>
      <c r="C8225" t="n">
        <v>0</v>
      </c>
      <c r="D8225" t="inlineStr">
        <is>
          <t>Arc Ahique; Amulette d'Ilyzaelle; Gant du Valet Veinard; Alliance Gloursonne; Bouclier du Stalak; Ceinture de la Reine des Voleurs; Casque d'Ilyzaelle; Cape Matelassée; Bottes de la Reine des Voleurs; Dofus Ocre; Dofus des Glaces; Dofus Pourpre; Dofus Abyssal; Robuste majeur; Saccageur Eau majeur; Muldo Ebène et Indigo</t>
        </is>
      </c>
    </row>
    <row r="8226">
      <c r="A8226" t="inlineStr">
        <is>
          <t>PvP FeuEau</t>
        </is>
      </c>
      <c r="B8226">
        <f>HYPERLINK("https://www.dofusbook.net/fr/equipement/2122335-pvp-feueau/objets", "link")</f>
        <v/>
      </c>
      <c r="C8226" t="n">
        <v>3</v>
      </c>
      <c r="D8226" t="inlineStr">
        <is>
          <t>Épée Brûlâme; Amulette de l'Œil Putride; Anneau de Nidas; Alliance Gloursonne; Bouclier cubiste; Ceintrigue; Kidibonnet; Cape de l'Œil Putride; Bottes de la Dame du Hasard; Dolmanax; Dofus des Glaces; Dofus Pourpre; Temporiseur majeur; Remueur; Vigoureux majeur; Muldo Ebène et Indigo</t>
        </is>
      </c>
    </row>
    <row r="8227">
      <c r="A8227" t="inlineStr">
        <is>
          <t>PvM OAir NoCC</t>
        </is>
      </c>
      <c r="B8227">
        <f>HYPERLINK("https://www.dofusbook.net/fr/equipement/2074777-pvm-oair-nocc/objets", "link")</f>
        <v/>
      </c>
      <c r="C8227" t="n">
        <v>1</v>
      </c>
      <c r="D8227" t="inlineStr">
        <is>
          <t>Arc de Koutoulou; Amulette d'Ilyzaelle; Gant du Valet Veinard; Alliance Gloursonne; Bouclier d'Ilyzaelle; Ceinture de la Reine des Voleurs; Casque d'Ilyzaelle; Cape du Valet Veinard; Bottes de la Reine des Voleurs; Dofus Cawotte; Dofus Ocre; Dolmanax; Dofus des Glaces; Dofus Pourpre; Robuste majeur; Muldo Ebène</t>
        </is>
      </c>
    </row>
    <row r="8228">
      <c r="A8228" t="inlineStr">
        <is>
          <t>PvM OAir NoCC</t>
        </is>
      </c>
      <c r="B8228">
        <f>HYPERLINK("https://www.dofusbook.net/fr/equipement/2032996-pvm-oair-nocc/objets", "link")</f>
        <v/>
      </c>
      <c r="C8228" t="n">
        <v>0</v>
      </c>
      <c r="D8228" t="inlineStr">
        <is>
          <t>Arc de Koutoulou; Amulette d'Ilyzaelle; Gant du Valet Veinard; Alliance Gloursonne; Bouclier d'Ilyzaelle; Ceinture de la Reine des Voleurs; Casque d'Ilyzaelle; Cape du Valet Veinard; Bottes de la Reine des Voleurs; Dolmanax; Dofus des Glaces; Dofus Pourpre; Dofus Cawotte; Dofus Ocre; Robuste majeur; Muldo Ebène</t>
        </is>
      </c>
    </row>
    <row r="8229">
      <c r="A8229" t="inlineStr">
        <is>
          <t>PvM FeuOAir</t>
        </is>
      </c>
      <c r="B8229">
        <f>HYPERLINK("https://www.dofusbook.net/fr/equipement/2043682-pvm-feuoair/objets", "link")</f>
        <v/>
      </c>
      <c r="C8229" t="n">
        <v>1</v>
      </c>
      <c r="D8229" t="inlineStr">
        <is>
          <t>Sabres d'Atcham; Amulette du Strigide; Anneau de Padgref; Bracelet du Piloztère; Quatre-feuilles; Ceinture du Strigide; Coiffe de Padgref; Cape d'Atcham; Getas de Padgref; Dofus Ocre; Dofus Pourpre; Dolmanax; Dofus Turquoise; Dofus des Glaces; Muldo Prune et Emeraude</t>
        </is>
      </c>
    </row>
    <row r="8230">
      <c r="A8230" t="inlineStr">
        <is>
          <t>PvM FullRet</t>
        </is>
      </c>
      <c r="B8230">
        <f>HYPERLINK("https://www.dofusbook.net/fr/equipement/2034181-pvm-fullret/objets", "link")</f>
        <v/>
      </c>
      <c r="C8230" t="n">
        <v>1</v>
      </c>
      <c r="D8230" t="inlineStr">
        <is>
          <t>Baguette Hique; Amulette Luminescente; Alliance Gloursonne; Pikano; Bouclier cubiste; Ceinture Glaciale; Casquipik; Cape de la Dame du Hasard; Pantoufles Émar; Dofus Cawotte; Temporiseur majeur; Entraveur majeur; Remueur; Temporiseur; Ralentisseur majeur; Muldo Indigo et Orchidée</t>
        </is>
      </c>
    </row>
    <row r="8231">
      <c r="A8231" t="inlineStr">
        <is>
          <t>PvM Feu So</t>
        </is>
      </c>
      <c r="B8231">
        <f>HYPERLINK("https://www.dofusbook.net/fr/equipement/2033645-pvm-feu-so/objets", "link")</f>
        <v/>
      </c>
      <c r="C8231" t="n">
        <v>0</v>
      </c>
      <c r="D8231" t="inlineStr">
        <is>
          <t>Plumeau Bil; Pendentif affamé; Anneauræus; Anneau Rifique; Bouclier du Cycloïde; Ceinture Séculaire; Coiffe Séculaire; Cape de Diondin; Bottes Innommables; Dofus Abyssal; Astucieux majeur; Savant majeur; Érudit majeur; Guérisseur majeur; Remueur; Muldo Indigo et Orchidée</t>
        </is>
      </c>
    </row>
    <row r="8232">
      <c r="A8232" t="inlineStr">
        <is>
          <t>PvM FeuOAir CC</t>
        </is>
      </c>
      <c r="B8232">
        <f>HYPERLINK("https://www.dofusbook.net/fr/equipement/1760505-pvm-feuoair-cc/objets", "link")</f>
        <v/>
      </c>
      <c r="C8232" t="n">
        <v>2</v>
      </c>
      <c r="D8232" t="inlineStr">
        <is>
          <t>Sabres d'Atcham; Amulette du Strigide; Anneau de Padgref; Alliance Gloursonne; Bouclier du Captain Amakna; Ceinture du Strigide; Coiffe de Padgref; Cape d'Atcham; Getas de Padgref; Dofus Ocre; Dofus Nébuleux; Dofus Pourpre; Dolmanax; Dofus Turquoise; Dofus des Glaces; Muldo Ebène et Indigo</t>
        </is>
      </c>
    </row>
    <row r="8233">
      <c r="A8233" t="inlineStr">
        <is>
          <t>PvM TerFeuAir old</t>
        </is>
      </c>
      <c r="B8233">
        <f>HYPERLINK("https://www.dofusbook.net/fr/equipement/2031985-pvm-terfeuair-old/objets", "link")</f>
        <v/>
      </c>
      <c r="C8233" t="n">
        <v>3</v>
      </c>
      <c r="D8233" t="inlineStr">
        <is>
          <t>Epée Toche; Amulette du Strigide; Bague Gloursonne; Alliance de Missiz Frizz; Bouclier du Captain Amakna; Ceinture du Strigide; Casque de Missiz Frizz; Cape du Professeur Xa; Bottes du Strigide; Dofus Turquoise; Dofus Nébuleux; Dofus Ocre; Dofus Abyssal; Dofus Pourpre; Dofus des Glaces; Muldo Doré et Indigo</t>
        </is>
      </c>
    </row>
    <row r="8234">
      <c r="A8234" t="inlineStr">
        <is>
          <t>PvM TerFeuAir</t>
        </is>
      </c>
      <c r="B8234">
        <f>HYPERLINK("https://www.dofusbook.net/fr/equipement/2031716-pvm-terfeuair/objets", "link")</f>
        <v/>
      </c>
      <c r="C8234" t="n">
        <v>2</v>
      </c>
      <c r="D8234" t="inlineStr"/>
    </row>
    <row r="8235">
      <c r="A8235" t="inlineStr">
        <is>
          <t>PP Godmod</t>
        </is>
      </c>
      <c r="B8235">
        <f>HYPERLINK("https://www.dofusbook.net/fr/equipement/2028483-pp-godmod/objets", "link")</f>
        <v/>
      </c>
      <c r="C8235" t="n">
        <v>1</v>
      </c>
      <c r="D8235" t="inlineStr">
        <is>
          <t>Pelle Emélaka; Amulette Cætera; Anneau Bliteré; Anneau Tique; Ceinture de Danathor; Casque Harnage; Cape du Minotot; Bottines des sous-bois; Dolmanax; Dofus Kaliptus; Dokille; Taquin majeur; Chanceux majeur; Joueur majeur; Pykur</t>
        </is>
      </c>
    </row>
    <row r="8236">
      <c r="A8236" t="inlineStr">
        <is>
          <t>PvM FullAir</t>
        </is>
      </c>
      <c r="B8236">
        <f>HYPERLINK("https://www.dofusbook.net/fr/equipement/2015117-pvm-fullair/objets", "link")</f>
        <v/>
      </c>
      <c r="C8236" t="n">
        <v>57</v>
      </c>
      <c r="D8236" t="inlineStr">
        <is>
          <t>Manthache; Collier du Valet Veinard; Gant du Valet Veinard; Alliance Gloursonne; Bouclier du Stalak; Menoture; Casque d'Ilyzaelle; Cape de Klime; Palmes Trithons; Dofus Pourpre; Robuste majeur; Remueur; Dévastateur Air majeur; Vigoureux majeur; Cascadeur majeur; Muldo Ebène</t>
        </is>
      </c>
    </row>
    <row r="8237">
      <c r="A8237" t="inlineStr">
        <is>
          <t>Sadi 200</t>
        </is>
      </c>
      <c r="B8237">
        <f>HYPERLINK("https://www.dofusbook.net/fr/equipement/5647377-sadi-200/objets", "link")</f>
        <v/>
      </c>
      <c r="C8237" t="n">
        <v>1</v>
      </c>
      <c r="D8237" t="inlineStr">
        <is>
          <t>Bêche Asse; Collier de Tourthon; Anneau de Brouce; Anneau Crustique; Bouclier Taverne; Ceinture Luminescente; Masque de Koutoulou; Cape du Cœur Saignant; Bottes Dogues; Dolmanax; Dévastateur Terre majeur; Miraculé majeur; Remueur; Vigoureux majeur; Enragé majeur; Muldo Doré et Pourpre</t>
        </is>
      </c>
    </row>
    <row r="8238">
      <c r="A8238" t="inlineStr">
        <is>
          <t>Stuff 1</t>
        </is>
      </c>
      <c r="B8238">
        <f>HYPERLINK("https://www.dofusbook.net/fr/equipement/386323-stuff-1/objets", "link")</f>
        <v/>
      </c>
      <c r="C8238" t="n">
        <v>1</v>
      </c>
      <c r="D8238" t="inlineStr">
        <is>
          <t>Bêche Asse; Collier de Tourthon; Anneau de Brouce; Anneau Crustique; Bouclier Taverne; Ceinture de Brouce; Masque de Koutoulou; Cape de la Cour Sombre; Bottes Dogues; Dolmanax; Miraculé majeur; Remueur; Vigoureux majeur; Enragé majeur; Dévastateur Terre majeur; Muldo Doré et Pourpre</t>
        </is>
      </c>
    </row>
    <row r="8239">
      <c r="A8239" t="inlineStr">
        <is>
          <t>Stuff 2</t>
        </is>
      </c>
      <c r="B8239">
        <f>HYPERLINK("https://www.dofusbook.net/fr/equipement/386329-stuff-2/objets", "link")</f>
        <v/>
      </c>
      <c r="C8239" t="n">
        <v>1</v>
      </c>
      <c r="D8239" t="inlineStr">
        <is>
          <t>Épée Brûlâme; Talisman Igans; Anneau Tamie; Anneau Cryochrone; Quatre-feuilles; Ceintrigue; Chapeau des Malveilleurs; Cape de Diondin; Bottes de la Dame du Hasard; Dofus Pourpre; Vigoureux majeur; Nomade; Érudit majeur; Miraculé majeur; Remueur; Dragodinde Indigo et Orchidée</t>
        </is>
      </c>
    </row>
    <row r="8240">
      <c r="A8240" t="inlineStr">
        <is>
          <t>Dokoko</t>
        </is>
      </c>
      <c r="B8240">
        <f>HYPERLINK("https://www.dofusbook.net/fr/equipement/4909345-dokoko/objets", "link")</f>
        <v/>
      </c>
      <c r="C8240" t="n">
        <v>1</v>
      </c>
      <c r="D8240" t="inlineStr">
        <is>
          <t>Dagues Açantes; Amulette de Shokkoth; Alliance Gloursonne; Lavanneau; Détourné; Pagne du Rykaon; Kidibonnet; Cape du Sinistrofu; Pataugastrique; Dofus Turquoise; Dokoko; Dofus Émeraude; Miraculé majeur; Nomade; Remueur; Dragodinde Indigo et Ivoire</t>
        </is>
      </c>
    </row>
    <row r="8241">
      <c r="A8241" t="inlineStr">
        <is>
          <t>Ancien amu danathor</t>
        </is>
      </c>
      <c r="B8241">
        <f>HYPERLINK("https://www.dofusbook.net/fr/equipement/2673606-ancien-amu-danathor/objets", "link")</f>
        <v/>
      </c>
      <c r="C8241" t="n">
        <v>1</v>
      </c>
      <c r="D8241" t="inlineStr">
        <is>
          <t>Dagues Açantes; Amulette de Danathor; Alliance Gloursonne; Anneau Kturne; Détourné; Ceinture de Danathor; Kidibonnet; Cape du Sinistrofu; Pataugastrique; Dofus Émeraude; Vigoureux majeur; Miraculé majeur; Nomade; Chanceux majeur; Remueur; Dragodinde Indigo et Ivoire</t>
        </is>
      </c>
    </row>
    <row r="8242">
      <c r="A8242" t="inlineStr">
        <is>
          <t>Dofus Ocre</t>
        </is>
      </c>
      <c r="B8242">
        <f>HYPERLINK("https://www.dofusbook.net/fr/equipement/386322-dofus-ocre/objets", "link")</f>
        <v/>
      </c>
      <c r="C8242" t="n">
        <v>2</v>
      </c>
      <c r="D8242" t="inlineStr">
        <is>
          <t>Dagoulinantes; Amulette de Shokkoth; Alliance Gloursonne; Lavanneau; Détourné; Pagne du Rykaon; Kidibonnet; Cape du Sinistrofu; Goulbottes; Dofus Émeraude; Dofus Turquoise; Dofus Ocre; Remueur; Miraculé majeur; Nomade; Dragodinde Indigo et Ivoire</t>
        </is>
      </c>
    </row>
    <row r="8243">
      <c r="A8243" t="inlineStr">
        <is>
          <t>Nouveau 2</t>
        </is>
      </c>
      <c r="B8243">
        <f>HYPERLINK("https://www.dofusbook.net/fr/equipement/3725739-nouveau-2/objets", "link")</f>
        <v/>
      </c>
      <c r="C8243" t="n">
        <v>2</v>
      </c>
      <c r="D8243" t="inlineStr">
        <is>
          <t>Épée Brûlâme; Collier de la Dame du Hasard; Alliance de Missiz Frizz; Anneau Tamie; Bouclier Taverne; Sangle Aise; Capuche de l'Œil Putride; Cape de Nileza; Bottes de Meno; Dofus Ocre; Érudit majeur; Miraculé majeur; Nomade; Vigoureux majeur; Remueur; Muldo Doré et Orchidée</t>
        </is>
      </c>
    </row>
    <row r="8244">
      <c r="A8244" t="inlineStr">
        <is>
          <t>nouveau</t>
        </is>
      </c>
      <c r="B8244">
        <f>HYPERLINK("https://www.dofusbook.net/fr/equipement/2673905-nouveau/objets", "link")</f>
        <v/>
      </c>
      <c r="C8244" t="n">
        <v>0</v>
      </c>
      <c r="D8244" t="inlineStr">
        <is>
          <t>Plumeau Bil; Pendentif affamé; Anneauræus; Anneau Rifique; Bivalve; Sangle Aise; Coiffe Ranshi; Cape de Nileza; Bottes Innommables; Docteur majeur; Nomade; Miraculé majeur; Guérisseur majeur; Érudit majeur; Remueur; Dragodinde Prune et Rousse</t>
        </is>
      </c>
    </row>
    <row r="8245">
      <c r="A8245" t="inlineStr">
        <is>
          <t>Stuff 1</t>
        </is>
      </c>
      <c r="B8245">
        <f>HYPERLINK("https://www.dofusbook.net/fr/equipement/386318-stuff-1/objets", "link")</f>
        <v/>
      </c>
      <c r="C8245" t="n">
        <v>3</v>
      </c>
      <c r="D8245" t="inlineStr">
        <is>
          <t>Hache Rot; Amulette du Sinistrofu; Anneau Glacial; Alliance Gloursonne; Bouclier Taverne; Sangle Aise; Kidibonnet; Cape du Sinistrofu; Getas Bernacle; Nomade; Chanceux majeur; Joueur majeur; Miraculé majeur; Survivant majeur; Remueur; Dragodinde Emeraude et Rousse</t>
        </is>
      </c>
    </row>
    <row r="8246">
      <c r="A8246" t="inlineStr">
        <is>
          <t>nouveau</t>
        </is>
      </c>
      <c r="B8246">
        <f>HYPERLINK("https://www.dofusbook.net/fr/equipement/2673988-nouveau/objets", "link")</f>
        <v/>
      </c>
      <c r="C8246" t="n">
        <v>5</v>
      </c>
      <c r="D8246" t="inlineStr">
        <is>
          <t>Épée Brûlâme; Amulette de l'Œil Putride; Anneauræus; Alliance de Missiz Frizz; Bouclier Taverne; Sangle Aise; Capuche de l'Œil Putride; Cape de Nileza; Bottes de Meno; Dofus Ocre; Vigoureux majeur; Remueur; Érudit majeur; Miraculé majeur; Nomade; Muldo Doré et Orchidée</t>
        </is>
      </c>
    </row>
    <row r="8247">
      <c r="A8247" t="inlineStr">
        <is>
          <t>actuel</t>
        </is>
      </c>
      <c r="B8247">
        <f>HYPERLINK("https://www.dofusbook.net/fr/equipement/386328-actuel/objets", "link")</f>
        <v/>
      </c>
      <c r="C8247" t="n">
        <v>1</v>
      </c>
      <c r="D8247" t="inlineStr">
        <is>
          <t>Épée d'Otomaï; Amulette Séculaire; Anneau Tamie; Alliance de Missiz Frizz; Ceintrigue; Chapeau des Malveilleurs; Cape de Nileza; Bottes d'Otomaï; Dolmanax; Dofus Pourpre; Remueur; Nomade; Miraculé majeur; Savant majeur; Dragodinde Prune et Emeraude</t>
        </is>
      </c>
    </row>
    <row r="8248">
      <c r="A8248" t="inlineStr">
        <is>
          <t>actuel</t>
        </is>
      </c>
      <c r="B8248">
        <f>HYPERLINK("https://www.dofusbook.net/fr/equipement/386317-actuel/objets", "link")</f>
        <v/>
      </c>
      <c r="C8248" t="n">
        <v>0</v>
      </c>
      <c r="D8248" t="inlineStr">
        <is>
          <t>Plumeau Bil; Amulette d'Otomaï; Alliance de Missiz Frizz; Anneau Cryochrone; Bivalve; Sangle Aise; Coiffe Ranshi; Cape de Nileza; Bottes Innommables; Miraculé majeur; Guérisseur majeur; Érudit majeur; Remueur; Docteur majeur; Nomade; Muldo Doré et Indigo</t>
        </is>
      </c>
    </row>
    <row r="8249">
      <c r="A8249" t="inlineStr">
        <is>
          <t>nouveau</t>
        </is>
      </c>
      <c r="B8249">
        <f>HYPERLINK("https://www.dofusbook.net/fr/equipement/386315-nouveau/objets", "link")</f>
        <v/>
      </c>
      <c r="C8249" t="n">
        <v>0</v>
      </c>
      <c r="D8249" t="inlineStr">
        <is>
          <t>Marteau Phossile; Pendentif mignon de Koutoulou; Alliance Brûlâme; Anneau Rifique; Bouclier Taverne; Sangle Aise; Masque du Katcheur; Cape de Diondin; Sabots de Vortex; Dolmanax; Dofus Émeraude; Dofus Turquoise; Vigoureux majeur; Nomade; Remueur; Dragodinde Prune et Emeraude</t>
        </is>
      </c>
    </row>
    <row r="8250">
      <c r="A8250" t="inlineStr">
        <is>
          <t>retrait pm</t>
        </is>
      </c>
      <c r="B8250">
        <f>HYPERLINK("https://www.dofusbook.net/fr/equipement/1925258-retrait-pm/objets", "link")</f>
        <v/>
      </c>
      <c r="C8250" t="n">
        <v>0</v>
      </c>
      <c r="D8250" t="inlineStr">
        <is>
          <t>Baguette Hique; Collier de la Dame du Hasard; Pikano; Alliance Gloursonne; Bouclier cubiste; Poulpagne; Kidibonnet; Cape de Meno; Bottes de Meno; Ralentisseur majeur; Nomade; Miraculé majeur; Temporiseur majeur; Chanceux majeur; Remueur; Muldo Doré et Indigo</t>
        </is>
      </c>
    </row>
    <row r="8251">
      <c r="A8251" t="inlineStr">
        <is>
          <t>sadi terre bis</t>
        </is>
      </c>
      <c r="B8251">
        <f>HYPERLINK("https://www.dofusbook.net/fr/equipement/5821635-sadi-terre-bis/objets", "link")</f>
        <v/>
      </c>
      <c r="C8251" t="n">
        <v>0</v>
      </c>
      <c r="D8251" t="inlineStr">
        <is>
          <t>Marteau R'ture; Amulette du Strigide; Bracelet du Piloztère; Droiture de Fallanster; Ceintacé; Masque de Funespadon; Cape au Logis; Chaussons de Macrab; Dofus Vulbis; Dofus Ivoire; Dofus Ocre; Dofus Ébène; Dofus Turquoise; Dofus Abyssal; Bulbisou</t>
        </is>
      </c>
    </row>
    <row r="8252">
      <c r="A8252" t="inlineStr">
        <is>
          <t>Sadida F 200</t>
        </is>
      </c>
      <c r="B8252">
        <f>HYPERLINK("https://www.dofusbook.net/fr/equipement/5814002-sadida-f-200/objets", "link")</f>
        <v/>
      </c>
      <c r="C8252" t="n">
        <v>4</v>
      </c>
      <c r="D8252" t="inlineStr">
        <is>
          <t>Marteau R'ture; Amulette du Cœur Saignant; Anneau Volkorne; Bracelet du Piloztère; Droiture de Fallanster; Ceinture Volkorne; Masque de Funespadon; Cape du Cœur Saignant; Bottes du Cœur Saignant; Dofus Turquoise; Dofus Abyssal; Dofus Vulbis; Dofus Ivoire; Dofus Ocre; Dofus Ébène; Bulbisou</t>
        </is>
      </c>
    </row>
    <row r="8253">
      <c r="A8253" t="inlineStr">
        <is>
          <t>will killson II</t>
        </is>
      </c>
      <c r="B8253">
        <f>HYPERLINK("https://www.dofusbook.net/fr/equipement/5472211-will-killson-ii/objets", "link")</f>
        <v/>
      </c>
      <c r="C8253" t="n">
        <v>2</v>
      </c>
      <c r="D8253" t="inlineStr">
        <is>
          <t>Will Killson; Amulette du Strigide; Anneau d'Allister; Alliance Gloursonne; Bouclier Taverne; Menoture; Corne de Torkélonia; Carapace de Torkélonia; Palmes Trithons; Dofus Turquoise; Dofus Abyssal; Dofus des Glaces; Dofus Ocre; Dofus Vulbis; Dofus Ivoire; Kokulte</t>
        </is>
      </c>
    </row>
    <row r="8254">
      <c r="A8254" t="inlineStr">
        <is>
          <t>will killson</t>
        </is>
      </c>
      <c r="B8254">
        <f>HYPERLINK("https://www.dofusbook.net/fr/equipement/5472070-will-killson/objets", "link")</f>
        <v/>
      </c>
      <c r="C8254" t="n">
        <v>1</v>
      </c>
      <c r="D8254" t="inlineStr">
        <is>
          <t>Will Killson; Amulette du Strigide; Alliance Gloursonne; Anneau d'Allister; Bouclier Taverne; Menoture; Chapeau de Tournoyé; Cape de Klime; Bottes Voldelor; Dofus Vulbis; Dofus Ivoire; Dofus Turquoise; Dofus Abyssal; Dofus des Glaces; Dofus Ocre; Kokulte</t>
        </is>
      </c>
    </row>
    <row r="8255">
      <c r="A8255" t="inlineStr">
        <is>
          <t>Ecaflip M 200</t>
        </is>
      </c>
      <c r="B8255">
        <f>HYPERLINK("https://www.dofusbook.net/fr/equipement/5417651-ecaflip-m-200/objets", "link")</f>
        <v/>
      </c>
      <c r="C8255" t="n">
        <v>2</v>
      </c>
      <c r="D8255" t="inlineStr">
        <is>
          <t>Dagues du Dragoeuf; Amulette du Strigide; Anneau de Padgref; Bracelet du Piloztère; Bouclier du Captain Amakna; Ceinture du Strigide; Corne de Torkélonia; Carapace de Torkélonia; Getas de Padgref; Dofus Vulbis; Dofus Abyssal; Dofus des Glaces; Dofus Turquoise; Dofus Ébène; Dofus Ocre; Sakochère</t>
        </is>
      </c>
    </row>
    <row r="8256">
      <c r="A8256" t="inlineStr">
        <is>
          <t>New Multi</t>
        </is>
      </c>
      <c r="B8256">
        <f>HYPERLINK("https://www.dofusbook.net/fr/equipement/5271253-new-multi/objets", "link")</f>
        <v/>
      </c>
      <c r="C8256" t="n">
        <v>7</v>
      </c>
      <c r="D8256" t="inlineStr">
        <is>
          <t>Sabres d'Atcham; Amulette du Strigide; Bracelet du Piloztère; Anneau Volkorne; Quatre-feuilles; Ceinture du Strigide; Casque Volkorne; Cape d'Atcham; Sandales  d'Atcham; Dofus Ivoire; Dofus Turquoise; Dofus Vulbis; Dofus Ocre; Dofus Abyssal; Dofus Ébène; Fëanor</t>
        </is>
      </c>
    </row>
    <row r="8257">
      <c r="A8257" t="inlineStr">
        <is>
          <t>retpm</t>
        </is>
      </c>
      <c r="B8257">
        <f>HYPERLINK("https://www.dofusbook.net/fr/equipement/4854527-retpm/objets", "link")</f>
        <v/>
      </c>
      <c r="C8257" t="n">
        <v>9</v>
      </c>
      <c r="D8257" t="inlineStr">
        <is>
          <t>Marteau R'ture; Amulette des Chocomanciens; Anneau Tamie; Anneau Tamie; Bouclier cubiste; Ceinture des Chocomanciens; Casquipik; Cape de Léthaline; Pantoufles Émar; Dofus Ocre; Temporiseur majeur; Entraveur; Ralentisseur majeur; Temporiseur; Entraveur majeur; Léopardo</t>
        </is>
      </c>
    </row>
    <row r="8258">
      <c r="A8258" t="inlineStr">
        <is>
          <t>nécro</t>
        </is>
      </c>
      <c r="B8258">
        <f>HYPERLINK("https://www.dofusbook.net/fr/equipement/4818475-necro/objets", "link")</f>
        <v/>
      </c>
      <c r="C8258" t="n">
        <v>5</v>
      </c>
      <c r="D8258" t="inlineStr">
        <is>
          <t>Arc Nécrotique; Amulette Volkorne; Bague Trithon; Anneau Volkorne; Quatre-feuilles; Ceintacé; Masque Trithon; Cape de la Dame du Hasard; Bottes de la Dame du Hasard; Dofus Ocre; Dofus Nébuleux; Dofus Turquoise; Dofus Abyssal; Dofus des Glaces; Dofus Ébène; Muldo Prune et Emeraude</t>
        </is>
      </c>
    </row>
    <row r="8259">
      <c r="A8259" t="inlineStr">
        <is>
          <t>multi 12/6 cc</t>
        </is>
      </c>
      <c r="B8259">
        <f>HYPERLINK("https://www.dofusbook.net/fr/equipement/4813773-multi-12-6-cc/objets", "link")</f>
        <v/>
      </c>
      <c r="C8259" t="n">
        <v>2</v>
      </c>
      <c r="D8259" t="inlineStr">
        <is>
          <t>Hache du Chalœil; Amulette du Strigide; Bracelet du Piloztère; Alliance Gloursonne; Quatre-feuilles; Ceinture du Strigide; Bonnet Ko; Voile d'encre; Bottes du Chalœil; Dofus Turquoise; Dofus Ébène; Dofus Ocre; Dofus Abyssal; Nomade; Remueur; Muldo Prune et Doré</t>
        </is>
      </c>
    </row>
    <row r="8260">
      <c r="A8260" t="inlineStr">
        <is>
          <t>Pandawa M 200</t>
        </is>
      </c>
      <c r="B8260">
        <f>HYPERLINK("https://www.dofusbook.net/fr/equipement/4813520-pandawa-m-200/objets", "link")</f>
        <v/>
      </c>
      <c r="C8260" t="n">
        <v>2</v>
      </c>
      <c r="D8260" t="inlineStr">
        <is>
          <t>Dagues de Srambad; Amulette du Strigide; Bracelet du Piloztère; Anneau Volkorne; Quatre-feuilles; Ceinture Volkorne; Coiffe du Lévitrof; Cape Luminescente; Bottes Honyme; Dofus Pourpre; Dofus Turquoise; Dofus Émeraude; Vigoureux majeur; Nomade; Remueur; Muldo Prune et Doré</t>
        </is>
      </c>
    </row>
    <row r="8261">
      <c r="A8261" t="inlineStr">
        <is>
          <t>Eniripsa F 200</t>
        </is>
      </c>
      <c r="B8261">
        <f>HYPERLINK("https://www.dofusbook.net/fr/equipement/4813347-eniripsa-f-200/objets", "link")</f>
        <v/>
      </c>
      <c r="C8261" t="n">
        <v>1</v>
      </c>
      <c r="D8261" t="inlineStr">
        <is>
          <t>Pendentif mignon de Koutoulou; Kralano; Anneau Rifique; Bouclier du Stalak; Casque Cyclopéen; Cape Martegel</t>
        </is>
      </c>
    </row>
    <row r="8262">
      <c r="A8262" t="inlineStr">
        <is>
          <t>Eni F 200</t>
        </is>
      </c>
      <c r="B8262">
        <f>HYPERLINK("https://www.dofusbook.net/fr/equipement/4806133-eni-f-200/objets", "link")</f>
        <v/>
      </c>
      <c r="C8262" t="n">
        <v>3</v>
      </c>
      <c r="D8262" t="inlineStr">
        <is>
          <t>Arc corrompu; Amulette Volkorne; Anneauræus; Anneauræus; Bouclier du Stalak; Ceinture Volkorne; Heaume Oplate; Voile d'encre; Bottes Innommables; Dofus Pourpre; Dofus Turquoise; Érudit majeur; Nomade; Remueur; Bisouglours</t>
        </is>
      </c>
    </row>
    <row r="8263">
      <c r="A8263" t="inlineStr">
        <is>
          <t>12/6/retpm/fo</t>
        </is>
      </c>
      <c r="B8263">
        <f>HYPERLINK("https://www.dofusbook.net/fr/equipement/4724774-12-6-retpm-fo/objets", "link")</f>
        <v/>
      </c>
      <c r="C8263" t="n">
        <v>3</v>
      </c>
      <c r="D8263" t="inlineStr">
        <is>
          <t>Marteau R'ture; Amulette Volkorne; Chevalière du Roi Joueur; Anneau Volkorne; Bouclier cubiste; Ceinture Volkorne; Couronne du Roi Joueur; Cape du Cœur Saignant; Bottes du Roi Joueur; Dofus Ébène; Dofus Ocre; Dofus Abyssal; Dofus des Glaces; Dofus Turquoise; Entraveur majeur; Volkorne Turquoise et Pourpre</t>
        </is>
      </c>
    </row>
    <row r="8264">
      <c r="A8264" t="inlineStr">
        <is>
          <t>12/6/retpm/int</t>
        </is>
      </c>
      <c r="B8264">
        <f>HYPERLINK("https://www.dofusbook.net/fr/equipement/4724757-12-6-retpm-int/objets", "link")</f>
        <v/>
      </c>
      <c r="C8264" t="n">
        <v>1</v>
      </c>
      <c r="D8264" t="inlineStr">
        <is>
          <t>Arc Hétype; Amulette Volkorne; Anneau Volkorne; Chevalière du Roi Joueur; Bouclier cubiste; Ceinture Volkorne; Couronne du Roi Joueur; Cape de l'Œil Putride; Bottes du Roi Joueur; Dofus des Glaces; Dofus Turquoise; Dofus Ébène; Dofus Ocre; Dofus Abyssal; Entraveur majeur; Volkorne Turquoise</t>
        </is>
      </c>
    </row>
    <row r="8265">
      <c r="A8265" t="inlineStr">
        <is>
          <t>Roublard F 200</t>
        </is>
      </c>
      <c r="B8265">
        <f>HYPERLINK("https://www.dofusbook.net/fr/equipement/4366323-roublard-f-200/objets", "link")</f>
        <v/>
      </c>
      <c r="C8265" t="n">
        <v>2</v>
      </c>
      <c r="D8265" t="inlineStr">
        <is>
          <t>Pyraguette; Amulette Volkorne; Anneau Cryochrone; Anneau Volkorne; Coiffe Cryochrone; Cape Paztek; Sandales Paztek</t>
        </is>
      </c>
    </row>
    <row r="8266">
      <c r="A8266" t="inlineStr">
        <is>
          <t>Sram M 200</t>
        </is>
      </c>
      <c r="B8266">
        <f>HYPERLINK("https://www.dofusbook.net/fr/equipement/4100041-sram-m-200/objets", "link")</f>
        <v/>
      </c>
      <c r="C8266" t="n">
        <v>0</v>
      </c>
      <c r="D8266" t="inlineStr"/>
    </row>
    <row r="8267">
      <c r="A8267" t="inlineStr">
        <is>
          <t>hdvfhdj</t>
        </is>
      </c>
      <c r="B8267">
        <f>HYPERLINK("https://www.dofusbook.net/fr/equipement/1887056-hdvfhdj/objets", "link")</f>
        <v/>
      </c>
      <c r="C8267" t="n">
        <v>0</v>
      </c>
      <c r="D8267" t="inlineStr"/>
    </row>
    <row r="8268">
      <c r="A8268" t="inlineStr">
        <is>
          <t>Stuff 1</t>
        </is>
      </c>
      <c r="B8268">
        <f>HYPERLINK("https://www.dofusbook.net/fr/equipement/117526-stuff-1/objets", "link")</f>
        <v/>
      </c>
      <c r="C8268" t="n">
        <v>3</v>
      </c>
      <c r="D8268" t="inlineStr">
        <is>
          <t>Bâton Beau; Amulette du Strigide; Bracelet du Piloztère; Bague Gloursonne; Quatre-feuilles; Ceinture du Strigide; Bonnet Ko; Voile d'encre; Bottes du Cycloïde; Dofus Ocre; Dofus Pourpre; Dofus Turquoise; Nomade; Remueur; Muldo Prune et Doré</t>
        </is>
      </c>
    </row>
    <row r="8269">
      <c r="A8269" t="inlineStr">
        <is>
          <t>Stuff 2</t>
        </is>
      </c>
      <c r="B8269">
        <f>HYPERLINK("https://www.dofusbook.net/fr/equipement/117509-stuff-2/objets", "link")</f>
        <v/>
      </c>
      <c r="C8269" t="n">
        <v>0</v>
      </c>
      <c r="D8269" t="inlineStr">
        <is>
          <t>Marteau des égarés; Amulette du Strigide; Bague Gloursonne; Alliance Gloursonne; Ceinture du Strigide; Masque du Barbétoal; Voile d'encre; Bottes du Strigide; Dofus des Glaces; Dofus Pourpre; Dolmanax; Dofus Turquoise; Dofus Ocre; Voyageur; Kramkram</t>
        </is>
      </c>
    </row>
    <row r="8270">
      <c r="A8270" t="inlineStr">
        <is>
          <t>Stuff 2</t>
        </is>
      </c>
      <c r="B8270">
        <f>HYPERLINK("https://www.dofusbook.net/fr/equipement/117536-stuff-2/objets", "link")</f>
        <v/>
      </c>
      <c r="C8270" t="n">
        <v>0</v>
      </c>
      <c r="D8270" t="inlineStr">
        <is>
          <t>Epée Gloursonne; Amulette du Glourséleste; Bague Gloursonne; Alliance Gloursonne; Ceinture de Léthaline; Chapeau Potin; Cape de Léthaline; Bottes de Léthaline; Dofus Kaliptus; Dofus Pourpre; Dofus Cawotte; Robuste majeur; Tifoux</t>
        </is>
      </c>
    </row>
    <row r="8271">
      <c r="A8271" t="inlineStr">
        <is>
          <t>Stuff 3</t>
        </is>
      </c>
      <c r="B8271">
        <f>HYPERLINK("https://www.dofusbook.net/fr/equipement/117531-stuff-3/objets", "link")</f>
        <v/>
      </c>
      <c r="C8271" t="n">
        <v>1</v>
      </c>
      <c r="D8271" t="inlineStr">
        <is>
          <t>Arc Hétype; Amulette de Nileza; Anneau de Nidas; Kralano; Ceinture Séculaire; Couronne de Nidas; Voile d'encre; Pantoufles Émar; Miraculé majeur; Carapace Feu majeur; Érudit majeur; Remueur; Guérisseur majeur; Nomade</t>
        </is>
      </c>
    </row>
    <row r="8272">
      <c r="A8272" t="inlineStr">
        <is>
          <t>Stuff 2</t>
        </is>
      </c>
      <c r="B8272">
        <f>HYPERLINK("https://www.dofusbook.net/fr/equipement/117521-stuff-2/objets", "link")</f>
        <v/>
      </c>
      <c r="C8272" t="n">
        <v>0</v>
      </c>
      <c r="D8272" t="inlineStr">
        <is>
          <t>Dagues de Srambad; Amulette du Strigide; Pikano; Annolamour; Ceinture de la Reine des Voleurs; Kidibonnet; Cape Ovri; Bottes de la Reine des Voleurs; Dofus Pourpre; Dofus Turquoise; Dofus Émeraude; Miraculé majeur; Remueur; Nomade; Homlett</t>
        </is>
      </c>
    </row>
    <row r="8273">
      <c r="A8273" t="inlineStr">
        <is>
          <t>Stuff 3</t>
        </is>
      </c>
      <c r="B8273">
        <f>HYPERLINK("https://www.dofusbook.net/fr/equipement/117516-stuff-3/objets", "link")</f>
        <v/>
      </c>
      <c r="C8273" t="n">
        <v>0</v>
      </c>
      <c r="D8273" t="inlineStr">
        <is>
          <t>Sabres d'Atcham; Amulette du Strigide; Alliance Gloursonne; Bracelet du Piloztère; Slip Iholo; Bonnet Ko; Voile d'encre; Sandales  d'Atcham; Dofus Turquoise; Dofus Pourpre; Dofus Ocre; Dofus des Glaces; Nomade; Remueur; Kramkram</t>
        </is>
      </c>
    </row>
    <row r="8274">
      <c r="A8274" t="inlineStr">
        <is>
          <t>Stuff 1</t>
        </is>
      </c>
      <c r="B8274">
        <f>HYPERLINK("https://www.dofusbook.net/fr/equipement/117511-stuff-1/objets", "link")</f>
        <v/>
      </c>
      <c r="C8274" t="n">
        <v>1</v>
      </c>
      <c r="D8274" t="inlineStr">
        <is>
          <t>Marteau des égarés; Amulette de Pol Ouatnos; Bague Gloursonne; Bracelet du Piloztère; Ceintacé; Chapeau des Malveilleurs; Cape des Malveilleurs; Bottes du Strigide; Dofus Pourpre; Miraculé majeur; Remueur; Robuste majeur; Vigoureux majeur; Nomade; Kramkram</t>
        </is>
      </c>
    </row>
    <row r="8275">
      <c r="A8275" t="inlineStr">
        <is>
          <t>Stuff 2</t>
        </is>
      </c>
      <c r="B8275">
        <f>HYPERLINK("https://www.dofusbook.net/fr/equipement/117506-stuff-2/objets", "link")</f>
        <v/>
      </c>
      <c r="C8275" t="n">
        <v>0</v>
      </c>
      <c r="D8275" t="inlineStr">
        <is>
          <t>Amulette du Strigide; Bague Gloursonne; Bracelet du Piloztère; Ceinture de la Reine des Voleurs; Coiffe de la Reine des Voleurs; Voile d'encre; Baleinabottes; Dofus Pourpre; Dofus des Glaces; Dolmanax; Nomade; Vigoureux majeur; Remueur</t>
        </is>
      </c>
    </row>
    <row r="8276">
      <c r="A8276" t="inlineStr">
        <is>
          <t>Stuff 1</t>
        </is>
      </c>
      <c r="B8276">
        <f>HYPERLINK("https://www.dofusbook.net/fr/equipement/117538-stuff-1/objets", "link")</f>
        <v/>
      </c>
      <c r="C8276" t="n">
        <v>1</v>
      </c>
      <c r="D8276" t="inlineStr">
        <is>
          <t>Marteau R'ture; Collier de Tourthon; Bague Gloursonne; Anneau Crustique; Ceinture de la Cour Sombre; Masque de Koutoulou; Cape au Logis; Bottes de la Cour Sombre; Dofus Pourpre; Dofus Turquoise; Vigoureux majeur; Enragé majeur; Remueur; Nomade; Kramkram</t>
        </is>
      </c>
    </row>
    <row r="8277">
      <c r="A8277" t="inlineStr">
        <is>
          <t>Stuff 2</t>
        </is>
      </c>
      <c r="B8277">
        <f>HYPERLINK("https://www.dofusbook.net/fr/equipement/117533-stuff-2/objets", "link")</f>
        <v/>
      </c>
      <c r="C8277" t="n">
        <v>2</v>
      </c>
      <c r="D8277" t="inlineStr">
        <is>
          <t>Arc Hétype; Amulette d'Otomaï; Anneau Tamie; Anneau de Nidas; Ceinture Séculaire; Couronne de Nidas; Voilamibe; Pantoufles Émar; Ralentisseur majeur; Remueur; Entraveur majeur; Nomade; Érudit majeur; Temporiseur majeur; Kramkram</t>
        </is>
      </c>
    </row>
    <row r="8278">
      <c r="A8278" t="inlineStr">
        <is>
          <t>Stuff 3</t>
        </is>
      </c>
      <c r="B8278">
        <f>HYPERLINK("https://www.dofusbook.net/fr/equipement/117528-stuff-3/objets", "link")</f>
        <v/>
      </c>
      <c r="C8278" t="n">
        <v>1</v>
      </c>
      <c r="D8278" t="inlineStr">
        <is>
          <t>Amulette du Strigide; Bracelet du Piloztère; Bague Gloursonne; Ceinture du Strigide; Bonnet Ko; Voile d'encre; Bottes du Cycloïde; Dofus Ocre; Dofus Pourpre; Dofus Turquoise; Remueur; Nomade</t>
        </is>
      </c>
    </row>
    <row r="8279">
      <c r="A8279" t="inlineStr">
        <is>
          <t>Stuff 1</t>
        </is>
      </c>
      <c r="B8279">
        <f>HYPERLINK("https://www.dofusbook.net/fr/equipement/117523-stuff-1/objets", "link")</f>
        <v/>
      </c>
      <c r="C8279" t="n">
        <v>0</v>
      </c>
      <c r="D8279" t="inlineStr">
        <is>
          <t>Dagues Érhy; Amulette du Strigide; Bracelet du Piloztère; Anneau du Cycloïde; Ceintacé; Coiffe Ranshi; Voilamibe; Bottes du Cycloïde; Dolmanax; Dofus Turquoise; Dofus Pourpre; Vigoureux majeur; Nomade; Remueur; Kramkram</t>
        </is>
      </c>
    </row>
    <row r="8280">
      <c r="A8280" t="inlineStr">
        <is>
          <t>Stuff 2</t>
        </is>
      </c>
      <c r="B8280">
        <f>HYPERLINK("https://www.dofusbook.net/fr/equipement/117518-stuff-2/objets", "link")</f>
        <v/>
      </c>
      <c r="C8280" t="n">
        <v>0</v>
      </c>
      <c r="D8280" t="inlineStr">
        <is>
          <t>Hache à Lamelles; Amulette du Sinistrofu; Bracelet du Minotot; Anneau Bliteré; Tranche des Sous-bois; Casque Harnage; Cape du Sinistrofu; Bottines des sous-bois; Dofus Kaliptus; Dokille; Taquin majeur; Joueur; Taquin; Joueur majeur; Hurledent</t>
        </is>
      </c>
    </row>
    <row r="8281">
      <c r="A8281" t="inlineStr">
        <is>
          <t>Stuff 3</t>
        </is>
      </c>
      <c r="B8281">
        <f>HYPERLINK("https://www.dofusbook.net/fr/equipement/117513-stuff-3/objets", "link")</f>
        <v/>
      </c>
      <c r="C8281" t="n">
        <v>2</v>
      </c>
      <c r="D8281" t="inlineStr">
        <is>
          <t>Marteau des Anciens Steamers; Amulette de Pol Ouatnos; Alliance Gloursonne; Bracelet du Piloztère; Ceintacé; Chapeau des Malveilleurs; Cape des Malveilleurs; Bottes du Strigide; Dofus Pourpre; Robuste majeur; Vigoureux majeur; Nomade; Miraculé majeur; Remueur; Kramkram</t>
        </is>
      </c>
    </row>
    <row r="8282">
      <c r="A8282" t="inlineStr">
        <is>
          <t>Stuff 1</t>
        </is>
      </c>
      <c r="B8282">
        <f>HYPERLINK("https://www.dofusbook.net/fr/equipement/117508-stuff-1/objets", "link")</f>
        <v/>
      </c>
      <c r="C8282" t="n">
        <v>0</v>
      </c>
      <c r="D8282" t="inlineStr">
        <is>
          <t>Marteau des égarés; Amulette du Strigide; Bracelet du Piloztère; Alliance Gloursonne; Stasili; Ceinture du Strigide; Coiffe d'Ogivol; Voile d'encre; Pataugastrique; Dofus Turquoise; Dofus Pourpre; Dofus des Glaces; Dolmanax; Remueur; Nomade; Kramkram</t>
        </is>
      </c>
    </row>
    <row r="8283">
      <c r="A8283" t="inlineStr">
        <is>
          <t>Stuff 1</t>
        </is>
      </c>
      <c r="B8283">
        <f>HYPERLINK("https://www.dofusbook.net/fr/equipement/117535-stuff-1/objets", "link")</f>
        <v/>
      </c>
      <c r="C8283" t="n">
        <v>1</v>
      </c>
      <c r="D8283" t="inlineStr">
        <is>
          <t>Epée Kari; Amulette du Strigide; Bracelet du Piloztère; Grésilanneau; Ceintacé; Chapeau Lisson; Voilamibe; Bottes du Strigide; Dofus Pourpre; Dofus des Glaces; Robuste majeur; Remueur; Vigoureux majeur; Nomade; Kramkram</t>
        </is>
      </c>
    </row>
    <row r="8284">
      <c r="A8284" t="inlineStr">
        <is>
          <t>Stuff 2</t>
        </is>
      </c>
      <c r="B8284">
        <f>HYPERLINK("https://www.dofusbook.net/fr/equipement/117530-stuff-2/objets", "link")</f>
        <v/>
      </c>
      <c r="C8284" t="n">
        <v>1</v>
      </c>
      <c r="D8284" t="inlineStr">
        <is>
          <t>Arc Hétype; Amulette d'Otomaï; Bague Gloursonne; Anneau de Nidas; Ceinture Séculaire; Couronne de Nidas; Cape des Malveilleurs; Pantoufles Émar; Docteur majeur; Remueur; Carapace Feu majeur; Guérisseur majeur; Érudit majeur; Nomade</t>
        </is>
      </c>
    </row>
    <row r="8285">
      <c r="A8285" t="inlineStr">
        <is>
          <t>Stuff 3</t>
        </is>
      </c>
      <c r="B8285">
        <f>HYPERLINK("https://www.dofusbook.net/fr/equipement/117525-stuff-3/objets", "link")</f>
        <v/>
      </c>
      <c r="C8285" t="n">
        <v>2</v>
      </c>
      <c r="D8285" t="inlineStr">
        <is>
          <t>Dagues Érhy; Amulette du Strigide; Anneau du Katcheur; Bracelet du Piloztère; Ceinture du Strigide; Coiffe Ranshi; Voile d'encre; Bottes du Cycloïde; Dofus Turquoise; Dolmanax; Dofus Pourpre; Nomade; Vigoureux majeur; Remueur; Kramkram</t>
        </is>
      </c>
    </row>
    <row r="8286">
      <c r="A8286" t="inlineStr">
        <is>
          <t>Stuff 1</t>
        </is>
      </c>
      <c r="B8286">
        <f>HYPERLINK("https://www.dofusbook.net/fr/equipement/117520-stuff-1/objets", "link")</f>
        <v/>
      </c>
      <c r="C8286" t="n">
        <v>0</v>
      </c>
      <c r="D8286" t="inlineStr">
        <is>
          <t>Pelle de la Cour Sombre; Amulette du Strigide; Anneau de Pol Ouatnos; Bracelet Ming; Ceinture du Strigide; Dorabysses; Voile d'encre; Bottes du Katcheur; Dofus Turquoise; Dofus Ocre; Dofus Émeraude; Miraculé majeur; Fonceur majeur; Remueur; Eliôme</t>
        </is>
      </c>
    </row>
    <row r="8287">
      <c r="A8287" t="inlineStr">
        <is>
          <t>Stuff 3</t>
        </is>
      </c>
      <c r="B8287">
        <f>HYPERLINK("https://www.dofusbook.net/fr/equipement/117537-stuff-3/objets", "link")</f>
        <v/>
      </c>
      <c r="C8287" t="n">
        <v>0</v>
      </c>
      <c r="D8287" t="inlineStr">
        <is>
          <t>Sabres d'Atcham; Amulette du Strigide; Anneau Cryochrone; Anneau de Padgref; Ceinture du Strigide; Coiffe de Padgref; Cape d'Atcham; Sandales  d'Atcham; Dofus Turquoise; Dofus des Glaces; Dofus Pourpre; Dolmanax; Kokulte</t>
        </is>
      </c>
    </row>
    <row r="8288">
      <c r="A8288" t="inlineStr">
        <is>
          <t>Stuff 1</t>
        </is>
      </c>
      <c r="B8288">
        <f>HYPERLINK("https://www.dofusbook.net/fr/equipement/117532-stuff-1/objets", "link")</f>
        <v/>
      </c>
      <c r="C8288" t="n">
        <v>0</v>
      </c>
      <c r="D8288" t="inlineStr">
        <is>
          <t>Baguette des égarés; Amulette de Pol Ouatnos; Pikano; Bracelet du Piloztère; Ceinture de la Reine des Voleurs; Coiffe d'Ogivol; Cape des Justiciers; Pikottes; Dofus Pourpre; Vigoureux majeur; Remueur; Entraveur majeur; Nomade; Temporiseur majeur; Kramkram</t>
        </is>
      </c>
    </row>
    <row r="8289">
      <c r="A8289" t="inlineStr">
        <is>
          <t>Stuff 2</t>
        </is>
      </c>
      <c r="B8289">
        <f>HYPERLINK("https://www.dofusbook.net/fr/equipement/117527-stuff-2/objets", "link")</f>
        <v/>
      </c>
      <c r="C8289" t="n">
        <v>3</v>
      </c>
      <c r="D8289" t="inlineStr">
        <is>
          <t>Epée Kari; Amulette du Strigide; Bracelet du Piloztère; Grésilanneau; Ceintacé; Coiffe Ranshi; Voilamibe; Bottes du Strigide; Dofus Pourpre; Vigoureux majeur; Robuste majeur; Remueur; Sanguinaire majeur; Nomade; Kramkram</t>
        </is>
      </c>
    </row>
    <row r="8290">
      <c r="A8290" t="inlineStr">
        <is>
          <t>Stuff 3</t>
        </is>
      </c>
      <c r="B8290">
        <f>HYPERLINK("https://www.dofusbook.net/fr/equipement/117522-stuff-3/objets", "link")</f>
        <v/>
      </c>
      <c r="C8290" t="n">
        <v>0</v>
      </c>
      <c r="D8290" t="inlineStr">
        <is>
          <t>Epée Gloursonne; Amulette du Strigide; Bracelet du Piloztère; Bracelet Ming; Ceintacé; Masque du Katcheur; Voile d'encre; Bottes de la Cour Sombre; Dofus Turquoise; Dofus Pourpre; Miraculé majeur; Nomade; Remueur; Eliôme</t>
        </is>
      </c>
    </row>
    <row r="8291">
      <c r="A8291" t="inlineStr">
        <is>
          <t>Stuff 1</t>
        </is>
      </c>
      <c r="B8291">
        <f>HYPERLINK("https://www.dofusbook.net/fr/equipement/117517-stuff-1/objets", "link")</f>
        <v/>
      </c>
      <c r="C8291" t="n">
        <v>0</v>
      </c>
      <c r="D8291" t="inlineStr">
        <is>
          <t>Dagues Érhy; Amulette de Pol Ouatnos; Bracelet du Piloztère; Alliance du Lévitrof; Ceinture de la Reine des Voleurs; Coiffe du Lévitrof; Voile d'encre; Pataugastrique; Dofus Pourpre; Entraveur majeur; Temporiseur majeur; Nomade; Vigoureux majeur; Remueur; Kramkram</t>
        </is>
      </c>
    </row>
    <row r="8292">
      <c r="A8292" t="inlineStr">
        <is>
          <t>Stuff 2</t>
        </is>
      </c>
      <c r="B8292">
        <f>HYPERLINK("https://www.dofusbook.net/fr/equipement/117512-stuff-2/objets", "link")</f>
        <v/>
      </c>
      <c r="C8292" t="n">
        <v>2</v>
      </c>
      <c r="D8292" t="inlineStr">
        <is>
          <t>Dagues Lassay; Amulette Rangleur; Alliance Gloursonne; Anneau d'Allister; Ceinture Billonnante; Couronne d'Allister; Cape Matelassée; Pantoufles Émar; Dofus Pourpre; Vigoureux majeur; Nomade; Equilibriste majeur; Cascadeur majeur; Remueur; Siroko</t>
        </is>
      </c>
    </row>
    <row r="8293">
      <c r="A8293" t="inlineStr">
        <is>
          <t>Stuff 3</t>
        </is>
      </c>
      <c r="B8293">
        <f>HYPERLINK("https://www.dofusbook.net/fr/equipement/117507-stuff-3/objets", "link")</f>
        <v/>
      </c>
      <c r="C8293" t="n">
        <v>0</v>
      </c>
      <c r="D8293" t="inlineStr">
        <is>
          <t>Dagues de Srambad; Amulette du Strigide; Annolamour; Bracelet du Piloztère; Ceinture de la Reine des Voleurs; Coiffe Ranshi; Grésilocape; Pantoufles du Piloztère; Dofus Pourpre; Sanguinaire majeur; Remueur; Nomade; Vigoureux majeur; Robuste majeur; Kramkram; Rondache qui pète</t>
        </is>
      </c>
    </row>
    <row r="8294">
      <c r="A8294" t="inlineStr">
        <is>
          <t>Stuff 1</t>
        </is>
      </c>
      <c r="B8294">
        <f>HYPERLINK("https://www.dofusbook.net/fr/equipement/117539-stuff-1/objets", "link")</f>
        <v/>
      </c>
      <c r="C8294" t="n">
        <v>1</v>
      </c>
      <c r="D8294" t="inlineStr">
        <is>
          <t>Plumeau Bil; Pendentif affamé; Anneau Tique; Anneau de Padgref; Ceinture de Vortex; Dorabysses; Cape de Diondin; Bottes Innommables; Nomade; Érudit majeur; Remueur</t>
        </is>
      </c>
    </row>
    <row r="8295">
      <c r="A8295" t="inlineStr">
        <is>
          <t>Stuff 3</t>
        </is>
      </c>
      <c r="B8295">
        <f>HYPERLINK("https://www.dofusbook.net/fr/equipement/117534-stuff-3/objets", "link")</f>
        <v/>
      </c>
      <c r="C8295" t="n">
        <v>0</v>
      </c>
      <c r="D8295" t="inlineStr">
        <is>
          <t>Epée Toche; Amulette de Gein; Bracelet du Piloztère; Bague Gloursonne; Ceinture Hanium; Chapeau de Gein; Voile d'encre; Baleinabottes; Dofus Pourpre; Entraveur majeur; Nomade; Temporiseur majeur; Ralentisseur majeur; Remueur; Kramkram</t>
        </is>
      </c>
    </row>
    <row r="8296">
      <c r="A8296" t="inlineStr">
        <is>
          <t>Stuff 1</t>
        </is>
      </c>
      <c r="B8296">
        <f>HYPERLINK("https://www.dofusbook.net/fr/equipement/117529-stuff-1/objets", "link")</f>
        <v/>
      </c>
      <c r="C8296" t="n">
        <v>3</v>
      </c>
      <c r="D8296" t="inlineStr">
        <is>
          <t>Dagues Érhy; Amulette de Pol Ouatnos; Bracelet du Piloztère; Alliance du Lévitrof; Ougature; Coiffe du Lévitrof; Voile d'encre; Pataugastrique; Dofus Pourpre; Dolmanax; Remueur; Vigoureux majeur; Nomade; Robuste majeur; Kramkram</t>
        </is>
      </c>
    </row>
    <row r="8297">
      <c r="A8297" t="inlineStr">
        <is>
          <t>Stuff 2</t>
        </is>
      </c>
      <c r="B8297">
        <f>HYPERLINK("https://www.dofusbook.net/fr/equipement/117524-stuff-2/objets", "link")</f>
        <v/>
      </c>
      <c r="C8297" t="n">
        <v>3</v>
      </c>
      <c r="D8297" t="inlineStr">
        <is>
          <t>Will Killson; Amulette du Strigide; Anneau de Padgref; Anneau d'Allister; Ceinture du Nocturlabe; Coiffe de Padgref; Cape de Klime; Bottes Voldelor; Dofus Ocre; Dofus Turquoise; Dévastateur Air majeur; Nomade; Saccageur Air majeur; Remueur; Kokulte</t>
        </is>
      </c>
    </row>
    <row r="8298">
      <c r="A8298" t="inlineStr">
        <is>
          <t>Stuff 3</t>
        </is>
      </c>
      <c r="B8298">
        <f>HYPERLINK("https://www.dofusbook.net/fr/equipement/117519-stuff-3/objets", "link")</f>
        <v/>
      </c>
      <c r="C8298" t="n">
        <v>0</v>
      </c>
      <c r="D8298" t="inlineStr">
        <is>
          <t>Arc Hétype; Amulette du Glourséleste; Anneau Tamie; Anneau Tamie; Ceinture Instable; Couronne de Nidas; Cape de Léthaline; Pantoufles Émar; Temporiseur; Remueur; Ralentisseur majeur; Entraveur majeur; Temporiseur majeur; Entraveur; Dragoune Rose</t>
        </is>
      </c>
    </row>
    <row r="8299">
      <c r="A8299" t="inlineStr">
        <is>
          <t>Stuff 1</t>
        </is>
      </c>
      <c r="B8299">
        <f>HYPERLINK("https://www.dofusbook.net/fr/equipement/117514-stuff-1/objets", "link")</f>
        <v/>
      </c>
      <c r="C8299" t="n">
        <v>0</v>
      </c>
      <c r="D8299" t="inlineStr">
        <is>
          <t>Arc Honte; Amulette de Pol Ouatnos; Kralano; Bracelet du Piloztère; Ceintacé; Chapeau des Malveilleurs; Cape des Malveilleurs; Bottes du Strigide; Dofus des Glaces; Dofus Pourpre; Dofus Turquoise; Nomade; Vigoureux majeur; Remueur; Kramkram</t>
        </is>
      </c>
    </row>
    <row r="8300">
      <c r="A8300" t="inlineStr">
        <is>
          <t>Stuff 2</t>
        </is>
      </c>
      <c r="B8300">
        <f>HYPERLINK("https://www.dofusbook.net/fr/equipement/117509-stuff-2/objets", "link")</f>
        <v/>
      </c>
      <c r="C8300" t="n">
        <v>0</v>
      </c>
      <c r="D8300" t="inlineStr">
        <is>
          <t>Marteau des égarés; Amulette du Strigide; Alliance Gloursonne; Bague Gloursonne; Ceinture du Strigide; Masque du Barbétoal; Voile d'encre; Bottes du Strigide; Dofus Turquoise; Dofus Ocre; Dofus des Glaces; Dofus Pourpre; Dolmanax; Voyageur; Kramkram</t>
        </is>
      </c>
    </row>
    <row r="8301">
      <c r="A8301" t="inlineStr">
        <is>
          <t>Stuff 2</t>
        </is>
      </c>
      <c r="B8301">
        <f>HYPERLINK("https://www.dofusbook.net/fr/equipement/117536-stuff-2/objets", "link")</f>
        <v/>
      </c>
      <c r="C8301" t="n">
        <v>0</v>
      </c>
      <c r="D8301" t="inlineStr">
        <is>
          <t>Epée Gloursonne; Amulette du Glourséleste; Alliance Gloursonne; Bague Gloursonne; Ceinture de Léthaline; Chapeau Potin; Cape de Léthaline; Bottes de Léthaline; Dofus Kaliptus; Dofus Pourpre; Dofus Cawotte; Robuste majeur; Tifoux</t>
        </is>
      </c>
    </row>
    <row r="8302">
      <c r="A8302" t="inlineStr">
        <is>
          <t>Stuff 3</t>
        </is>
      </c>
      <c r="B8302">
        <f>HYPERLINK("https://www.dofusbook.net/fr/equipement/117531-stuff-3/objets", "link")</f>
        <v/>
      </c>
      <c r="C8302" t="n">
        <v>1</v>
      </c>
      <c r="D8302" t="inlineStr">
        <is>
          <t>Arc Hétype; Amulette de Nileza; Kralano; Anneau de Nidas; Ceinture Séculaire; Couronne de Nidas; Voile d'encre; Pantoufles Émar; Érudit majeur; Remueur; Guérisseur majeur; Nomade; Miraculé majeur; Carapace Feu majeur</t>
        </is>
      </c>
    </row>
    <row r="8303">
      <c r="A8303" t="inlineStr">
        <is>
          <t>Féca M 200</t>
        </is>
      </c>
      <c r="B8303">
        <f>HYPERLINK("https://www.dofusbook.net/fr/equipement/4369874-feca-m-200/objets", "link")</f>
        <v/>
      </c>
      <c r="C8303" t="n">
        <v>0</v>
      </c>
      <c r="D8303" t="inlineStr">
        <is>
          <t>Lav'Hache; Collier Rophante; Anneau Tique; Alliance Gloursonne; Sept ans de malheur; Ceinture de Dame Jhessica; Dorabysses; Cape du Valet Veinard; Baleinabottes; Bloqueur; Bloqueur majeur; Obstructeur; Obstructeur majeur; Tacleur majeur; Blokus</t>
        </is>
      </c>
    </row>
    <row r="8304">
      <c r="A8304" t="inlineStr">
        <is>
          <t>Féca M 200</t>
        </is>
      </c>
      <c r="B8304">
        <f>HYPERLINK("https://www.dofusbook.net/fr/equipement/4150046-feca-m-200/objets", "link")</f>
        <v/>
      </c>
      <c r="C8304" t="n">
        <v>0</v>
      </c>
      <c r="D8304" t="inlineStr">
        <is>
          <t>Amulette Volkorne; Chevalière du Roi Joueur; Ceinture Volkorne; Couronne du Roi Joueur; Voile d'encre; Bottes du Roi Joueur</t>
        </is>
      </c>
    </row>
    <row r="8305">
      <c r="A8305" t="inlineStr">
        <is>
          <t>Iop M 200</t>
        </is>
      </c>
      <c r="B8305">
        <f>HYPERLINK("https://www.dofusbook.net/fr/equipement/4111212-iop-m-200/objets", "link")</f>
        <v/>
      </c>
      <c r="C8305" t="n">
        <v>4</v>
      </c>
      <c r="D8305" t="inlineStr">
        <is>
          <t>Arc corrompu; Pendentif affamé; Anneauræus; Anneau Rifique; Bouclier du Stalak; Ceinture Séculaire; Casque Cyclopéen; Cape de Diondin; Bottes Innommables; Dofus Pourpre; Dofus Ocre; Dofus des Glaces; Dofus Abyssal; Nomade; Érudit majeur; Bisouglours</t>
        </is>
      </c>
    </row>
    <row r="8306">
      <c r="A8306" t="inlineStr">
        <is>
          <t>Eliotrope M 200</t>
        </is>
      </c>
      <c r="B8306">
        <f>HYPERLINK("https://www.dofusbook.net/fr/equipement/4110982-eliotrope-m-200/objets", "link")</f>
        <v/>
      </c>
      <c r="C8306" t="n">
        <v>0</v>
      </c>
      <c r="D8306" t="inlineStr"/>
    </row>
    <row r="8307">
      <c r="A8307" t="inlineStr">
        <is>
          <t>Féca M 200</t>
        </is>
      </c>
      <c r="B8307">
        <f>HYPERLINK("https://www.dofusbook.net/fr/equipement/4109118-feca-m-200/objets", "link")</f>
        <v/>
      </c>
      <c r="C8307" t="n">
        <v>2</v>
      </c>
      <c r="D8307" t="inlineStr">
        <is>
          <t>Dagues de Srambad; Torquistik; Baguistik; Goulano; Goulclier; Ceinture de la Reine des Voleurs; Coiffe de la Reine des Voleurs; Cape au Logis; Bottes de la Reine des Voleurs; Dofus des Glaces; Dofus Ivoire; Dofus Ocre; Dofus Pourpre; Dofus Abyssal; Bastion majeur; Wabbit</t>
        </is>
      </c>
    </row>
    <row r="8308">
      <c r="A8308" t="inlineStr">
        <is>
          <t>Eniripsa M 200</t>
        </is>
      </c>
      <c r="B8308">
        <f>HYPERLINK("https://www.dofusbook.net/fr/equipement/4108503-eniripsa-m-200/objets", "link")</f>
        <v/>
      </c>
      <c r="C8308" t="n">
        <v>0</v>
      </c>
      <c r="D8308" t="inlineStr">
        <is>
          <t>Plumeau Bil; Pendentif affamé; Anneauræus; Anneau Rifique; Carapar; Ceintrigue; Casque Cyclopéen; Cape de Diondin; Bottes Innommables; Dofus Ocre; Guérisseur majeur; Astucieux majeur; Nomade; Érudit majeur; Docteur majeur; Dragodinde Orchidée et Rousse</t>
        </is>
      </c>
    </row>
    <row r="8309">
      <c r="A8309" t="inlineStr">
        <is>
          <t>Féca M 200</t>
        </is>
      </c>
      <c r="B8309">
        <f>HYPERLINK("https://www.dofusbook.net/fr/equipement/4078670-feca-m-200/objets", "link")</f>
        <v/>
      </c>
      <c r="C8309" t="n">
        <v>0</v>
      </c>
      <c r="D8309" t="inlineStr">
        <is>
          <t>Pyraguette; Amulette de l'Œil Putride; Alliance Gloursonne; Bague Gloursonne; Bouclier du Stalak; Ceinture de l'Esprit Salvateur; Masque de l'Esprit Salvateur; Cape de l'Œil Putride; Bottes de l'Esprit Salvateur; Dofus Ivoire; Dofus des Glaces; Dofus Abyssal; Dofus Nébuleux; Dofus Ocre; Voyageur; Gwo Tofu Ventripotent</t>
        </is>
      </c>
    </row>
    <row r="8310">
      <c r="A8310" t="inlineStr">
        <is>
          <t>Xélor M 200</t>
        </is>
      </c>
      <c r="B8310">
        <f>HYPERLINK("https://www.dofusbook.net/fr/equipement/4039080-xelor-m-200/objets", "link")</f>
        <v/>
      </c>
      <c r="C8310" t="n">
        <v>0</v>
      </c>
      <c r="D8310" t="inlineStr">
        <is>
          <t>Manthache; Collier du Valet Veinard; Gant du Valet Veinard; Alliance Gloursonne; Cadran d'Air; Menoture; Dorabysses; Cape Martegel; Palmes Trithons; Dofus Abyssal; Dofus Ivoire; Dofus Ocre; Nomade; Déserteur majeur; Cascadeur majeur; Tofu Givré</t>
        </is>
      </c>
    </row>
    <row r="8311">
      <c r="A8311" t="inlineStr">
        <is>
          <t>TerreEau</t>
        </is>
      </c>
      <c r="B8311">
        <f>HYPERLINK("https://www.dofusbook.net/fr/equipement/4008063-terreeau/objets", "link")</f>
        <v/>
      </c>
      <c r="C8311" t="n">
        <v>0</v>
      </c>
      <c r="D8311" t="inlineStr">
        <is>
          <t>Baguette des égarés; Amulette du Piloztère; Bracelet du Piloztère; Anneau Volkorne; Bouclier du Stalak; Ceinture Volkorne; Kidibonnet; Cape au Logis; Pantoufles du Piloztère; Dofus Nébuleux; Dofus Ocre; Dofus Pourpre; Dofus Abyssal; Dofus des Glaces; Robuste majeur; Bébé Pandawa</t>
        </is>
      </c>
    </row>
    <row r="8312">
      <c r="A8312" t="inlineStr">
        <is>
          <t>TerreEau_Rox</t>
        </is>
      </c>
      <c r="B8312">
        <f>HYPERLINK("https://www.dofusbook.net/fr/equipement/4008017-terreeau-rox/objets", "link")</f>
        <v/>
      </c>
      <c r="C8312" t="n">
        <v>2</v>
      </c>
      <c r="D8312" t="inlineStr">
        <is>
          <t>Baguette des égarés; Amulette du Piloztère; Anneau Toriété; Bracelet du Piloztère; Bouclier du Stalak; Culotte de Bethel; Masque de Funespadon; Cape Solution; Chaussons de Macrab; Dofus Nébuleux; Dofus Abyssal; Dofus Ocre; Dofus Pourpre; Dofus des Glaces; Robuste majeur; Bébé Pandawa</t>
        </is>
      </c>
    </row>
    <row r="8313">
      <c r="A8313" t="inlineStr">
        <is>
          <t>Terre RetPA</t>
        </is>
      </c>
      <c r="B8313">
        <f>HYPERLINK("https://www.dofusbook.net/fr/equipement/3977923-terre-retpa/objets", "link")</f>
        <v/>
      </c>
      <c r="C8313" t="n">
        <v>1</v>
      </c>
      <c r="D8313" t="inlineStr">
        <is>
          <t>Lav'Hache; Collier de Tourthon; Anneau Crustique; Anneau Crustique; Bouclier d'Ilyzaelle; Ceintouse; Masque de Koutoulou; Cape au Logis; Tentassons; Dofus Ocre; Dofus Ivoire; Dofus Abyssal; Carapace Terre majeur; Enragé majeur; Étourdisseur majeur; Drakopin</t>
        </is>
      </c>
    </row>
    <row r="8314">
      <c r="A8314" t="inlineStr">
        <is>
          <t>Iop M 200</t>
        </is>
      </c>
      <c r="B8314">
        <f>HYPERLINK("https://www.dofusbook.net/fr/equipement/4006860-iop-m-200/objets", "link")</f>
        <v/>
      </c>
      <c r="C8314" t="n">
        <v>3</v>
      </c>
      <c r="D8314" t="inlineStr">
        <is>
          <t>Lav'Hache; Collier de Tourthon; Anneau Crustique; Anneau du Comte Harebourg; Bouclier du Stalak; Ceinture Gence; Coiffe du Comte Harebourg; Cape au Logis; Bottes du Comte Harebourg; Dofus des Glaces; Dofus Abyssal; Dofus Pourpre; Saccageur Terre majeur; Forcené majeur; Féroce majeur; Bulbisou</t>
        </is>
      </c>
    </row>
    <row r="8315">
      <c r="A8315" t="inlineStr">
        <is>
          <t>Eniripsa M 200</t>
        </is>
      </c>
      <c r="B8315">
        <f>HYPERLINK("https://www.dofusbook.net/fr/equipement/4006711-eniripsa-m-200/objets", "link")</f>
        <v/>
      </c>
      <c r="C8315" t="n">
        <v>0</v>
      </c>
      <c r="D8315" t="inlineStr">
        <is>
          <t>Arc Ahique; Collier du Valet Veinard; Alliance Gloursonne; Gant du Valet Veinard; Bouclier du Stalak; Menoture; Coiffe de la Reine des Voleurs; Cape du Valet Veinard; Bottes de la Reine des Voleurs; Dofus Abyssal; Dolmanax; Dofus Pourpre; Dofus des Glaces; Saccageur Air majeur; Féroce majeur; Blérodoudou</t>
        </is>
      </c>
    </row>
    <row r="8316">
      <c r="A8316" t="inlineStr">
        <is>
          <t>Iop M 200</t>
        </is>
      </c>
      <c r="B8316">
        <f>HYPERLINK("https://www.dofusbook.net/fr/equipement/3997244-iop-m-200/objets", "link")</f>
        <v/>
      </c>
      <c r="C8316" t="n">
        <v>2</v>
      </c>
      <c r="D8316" t="inlineStr">
        <is>
          <t>Marteau R'ture; Collier de Tourthon; Anneau Crustique; Bague Gloursonne; Bouclier du Captain Amakna; Ceinture de Brouce; Masque de Koutoulou; Cape au Logis; Bottes de Brouce; Dofus Turquoise; Dofus Abyssal; Dofus Nébuleux; Dofus Pourpre; Dofus Ocre; Enragé majeur; Bulbisou</t>
        </is>
      </c>
    </row>
    <row r="8317">
      <c r="A8317" t="inlineStr">
        <is>
          <t>Eniripsa M 200</t>
        </is>
      </c>
      <c r="B8317">
        <f>HYPERLINK("https://www.dofusbook.net/fr/equipement/3974939-eniripsa-m-200/objets", "link")</f>
        <v/>
      </c>
      <c r="C8317" t="n">
        <v>0</v>
      </c>
      <c r="D8317" t="inlineStr">
        <is>
          <t>Arc corrompu; Amulette d'Otomaï; Anneau Tamie; Bague Gloursonne; Bouclier du Stalak; Ceinture Séculaire; Coiffe Séculaire; Voile d'encre; Pataugastrique; Dofus Turquoise; Dofus Ocre; Dofus Abyssal; Dolmanax; Nomade; Érudit majeur; Bisouglours</t>
        </is>
      </c>
    </row>
    <row r="8318">
      <c r="A8318" t="inlineStr">
        <is>
          <t>HardCrit_Qach</t>
        </is>
      </c>
      <c r="B8318">
        <f>HYPERLINK("https://www.dofusbook.net/fr/equipement/3257584-hardcrit-qach/objets", "link")</f>
        <v/>
      </c>
      <c r="C8318" t="n">
        <v>6</v>
      </c>
      <c r="D8318" t="inlineStr">
        <is>
          <t>Héqache; Amulette du Strigide; Bague Gloursonne; Bague Trithon; Bouclier du Captain Amakna; Ceinture du Strigide; Masque Trithon; Cape au Logis; Bottes Trithon; Dofus Pourpre; Dofus des Glaces; Dofus Turquoise; Dofus Abyssal; Dofus Ocre; Forcené majeur</t>
        </is>
      </c>
    </row>
    <row r="8319">
      <c r="A8319" t="inlineStr">
        <is>
          <t>Enutrof M 200</t>
        </is>
      </c>
      <c r="B8319">
        <f>HYPERLINK("https://www.dofusbook.net/fr/equipement/3784127-enutrof-m-200/objets", "link")</f>
        <v/>
      </c>
      <c r="C8319" t="n">
        <v>3</v>
      </c>
      <c r="D8319" t="inlineStr">
        <is>
          <t>Marteau R'ture; Amulette du Glourséleste; Anneau Tamie; Pikano; Bouclier du serrurier; Ceinture Instable; Casquipik; Cape de Léthaline; Pantoufles Émar; Dofus Ocre; Temporiseur; Temporiseur majeur; Ralentisseur majeur; Remueur; Entraveur majeur; Blokus</t>
        </is>
      </c>
    </row>
    <row r="8320">
      <c r="A8320" t="inlineStr">
        <is>
          <t>Iop M 200</t>
        </is>
      </c>
      <c r="B8320">
        <f>HYPERLINK("https://www.dofusbook.net/fr/equipement/3950994-iop-m-200/objets", "link")</f>
        <v/>
      </c>
      <c r="C8320" t="n">
        <v>2</v>
      </c>
      <c r="D8320" t="inlineStr">
        <is>
          <t>Epée Gloursonne; Amulette Volkorne; Bague Gloursonne; Alliance Gloursonne; Bouclier du Stalak; Ceinture de Vortex; Casque Volkorne; Cape Martegel; Sabots de Vortex; Dofus Ocre; Dolmanax; Dofus des Glaces; Dofus Pourpre; Dofus Abyssal; Willy le Relou</t>
        </is>
      </c>
    </row>
    <row r="8321">
      <c r="A8321" t="inlineStr">
        <is>
          <t>Féca M 200</t>
        </is>
      </c>
      <c r="B8321">
        <f>HYPERLINK("https://www.dofusbook.net/fr/equipement/3932488-feca-m-200/objets", "link")</f>
        <v/>
      </c>
      <c r="C8321" t="n">
        <v>0</v>
      </c>
      <c r="D8321" t="inlineStr">
        <is>
          <t>Marteau des égarés; Amulette de l'Indicible; Bague Gloursonne; Alliance Gloursonne; Bouclier du Stalak; Ceinture de l'Esprit Salvateur; Le Dorado; Voilamibe; Bottes du Strigide; Dofus des Glaces; Dofus Nébuleux; Dolmanax; Dofus Pourpre; Vigoureux majeur; Robuste majeur; Fëanor</t>
        </is>
      </c>
    </row>
    <row r="8322">
      <c r="A8322" t="inlineStr">
        <is>
          <t>Féca M 200</t>
        </is>
      </c>
      <c r="B8322">
        <f>HYPERLINK("https://www.dofusbook.net/fr/equipement/3779970-feca-m-200/objets", "link")</f>
        <v/>
      </c>
      <c r="C8322" t="n">
        <v>1</v>
      </c>
      <c r="D8322" t="inlineStr">
        <is>
          <t>Pyraguette; Talisman Igans; Bague Gloursonne; Alliance Gloursonne; Bouclier du Stalak; Ceintrigue; Kidibonnet; Voilamibe; Bottes Owesli; Dofus Ocre; Dofus des Glaces; Dolmanax; Dofus Nébuleux; Dofus Pourpre; Dofus Abyssal; Walk</t>
        </is>
      </c>
    </row>
    <row r="8323">
      <c r="A8323" t="inlineStr">
        <is>
          <t>Féca M 200</t>
        </is>
      </c>
      <c r="B8323">
        <f>HYPERLINK("https://www.dofusbook.net/fr/equipement/3419271-feca-m-200/objets", "link")</f>
        <v/>
      </c>
      <c r="C8323" t="n">
        <v>1</v>
      </c>
      <c r="D8323" t="inlineStr">
        <is>
          <t>Héqache; Amulette du Strigide; Anneau de Padgref; Bague Trithon; Bouclier du Captain Amakna; Ceinture du Strigide; Masque Trithon; Cape au Logis; Bottes Trithon; Dofus Pourpre; Dofus Abyssal; Dofus Turquoise; Dofus des Glaces; Dofus Ocre; Dofus Nébuleux; Kokulte</t>
        </is>
      </c>
    </row>
    <row r="8324">
      <c r="A8324" t="inlineStr">
        <is>
          <t>Crâ M 200</t>
        </is>
      </c>
      <c r="B8324">
        <f>HYPERLINK("https://www.dofusbook.net/fr/equipement/3420437-cra-m-200/objets", "link")</f>
        <v/>
      </c>
      <c r="C8324" t="n">
        <v>1</v>
      </c>
      <c r="D8324" t="inlineStr">
        <is>
          <t>Pelle de la Cour Sombre; Collier du Valet Veinard; Gant du Valet Veinard; Alliance Gloursonne; Bouclier de Solar; Menoture; Capuche de Moum-Ra; Cape de Crânonier; Palmes Trithons; Dofus Forgelave; Nomade; Cascadeur majeur; Solide majeur; Remueur; El Scarador</t>
        </is>
      </c>
    </row>
    <row r="8325">
      <c r="A8325" t="inlineStr">
        <is>
          <t>Iop M 200</t>
        </is>
      </c>
      <c r="B8325">
        <f>HYPERLINK("https://www.dofusbook.net/fr/equipement/3364286-iop-m-200/objets", "link")</f>
        <v/>
      </c>
      <c r="C8325" t="n">
        <v>5</v>
      </c>
      <c r="D8325" t="inlineStr">
        <is>
          <t>Héqache; Amulette Luminescente; Anneau Chevelu; Bague Gloursonne; Bouclier d'Ilyzaelle; Ceinture Luminescente; Masque de Koutoulou; Cape au Logis; Bottes de la Cour Sombre; Dofus Pourpre; Bousculeur majeur; Culbuteur majeur; Enragé majeur; Remueur; Kramkram</t>
        </is>
      </c>
    </row>
    <row r="8326">
      <c r="A8326" t="inlineStr">
        <is>
          <t>Eau_RetPA</t>
        </is>
      </c>
      <c r="B8326">
        <f>HYPERLINK("https://www.dofusbook.net/fr/equipement/3361375-eau-retpa/objets", "link")</f>
        <v/>
      </c>
      <c r="C8326" t="n">
        <v>4</v>
      </c>
      <c r="D8326" t="inlineStr">
        <is>
          <t>Sceptre du Roi Joueur; Amulette de Shokkoth; Pikano; Alliance Gloursonne; Cadran de Terre; Culotte de Bethel; Masque de Funespadon; Cape Matelassée; Pataugastrique; Dofus Ivoire; Dofus des Glaces; Chanceux majeur; Nomade; Dévastateur Eau majeur; Étourdisseur majeur; Kramkram</t>
        </is>
      </c>
    </row>
    <row r="8327">
      <c r="A8327" t="inlineStr">
        <is>
          <t>Féca M 200</t>
        </is>
      </c>
      <c r="B8327">
        <f>HYPERLINK("https://www.dofusbook.net/fr/equipement/3325482-feca-m-200/objets", "link")</f>
        <v/>
      </c>
      <c r="C8327" t="n">
        <v>2</v>
      </c>
      <c r="D8327" t="inlineStr">
        <is>
          <t>Marteau R'ture; Amulette du Strigide; Anneau Crustique; Anneau Crustique; Bouclier alvéolé; Ceintouse; Chapoulpe; Voile d'encre; Bottes de la Cour Sombre; Muldo Roux et Pourpre</t>
        </is>
      </c>
    </row>
    <row r="8328">
      <c r="A8328" t="inlineStr">
        <is>
          <t>AirFix</t>
        </is>
      </c>
      <c r="B8328">
        <f>HYPERLINK("https://www.dofusbook.net/fr/equipement/3324159-airfix/objets", "link")</f>
        <v/>
      </c>
      <c r="C8328" t="n">
        <v>1</v>
      </c>
      <c r="D8328" t="inlineStr">
        <is>
          <t>Pyraguette; Talisman Igans; Alliance Gloursonne; Lavanneau; Cadran d'Air; Ceintrigue; Masque de l'Esprit Salvateur; Cape Solution; Bottes Owesli; Dokoko; Dofus Ivoire; Dofus Ocre; Dofus Pourpre; Dofus des Glaces; Muraille Air majeure; Toukancre</t>
        </is>
      </c>
    </row>
    <row r="8329">
      <c r="A8329" t="inlineStr">
        <is>
          <t>Osamodas M 200</t>
        </is>
      </c>
      <c r="B8329">
        <f>HYPERLINK("https://www.dofusbook.net/fr/equipement/3318727-osamodas-m-200/objets", "link")</f>
        <v/>
      </c>
      <c r="C8329" t="n">
        <v>0</v>
      </c>
      <c r="D8329" t="inlineStr">
        <is>
          <t>Le Thanos; Amulette d'Ilyzaelle; Alliance Brûlâme; Anneau de la Fuji Givrefoux; Carapar; Protopagne; Casque d'Ilyzaelle; Cape du Valet Veinard; Pantoufles Émar; Docteur majeur; Guérisseur majeur; Cascadeur majeur; Remueur; El Scarador</t>
        </is>
      </c>
    </row>
    <row r="8330">
      <c r="A8330" t="inlineStr">
        <is>
          <t>Zobal M 200</t>
        </is>
      </c>
      <c r="B8330">
        <f>HYPERLINK("https://www.dofusbook.net/fr/equipement/3312926-zobal-m-200/objets", "link")</f>
        <v/>
      </c>
      <c r="C8330" t="n">
        <v>1</v>
      </c>
      <c r="D8330" t="inlineStr">
        <is>
          <t>Bâton K'Tueuh; Crolier; Anneau du Kaniblou; Gelano; Bouclier Taverne; Ceinture de XLII; Coiffe du Tynril; Cape Tivante; Bottes de XLII; Dofus Ocre; Bousculeur majeur; Culbuteur; Culbuteur majeur; Remueur; Pousseur majeur; Kafarce</t>
        </is>
      </c>
    </row>
    <row r="8331">
      <c r="A8331" t="inlineStr">
        <is>
          <t>FullTerre</t>
        </is>
      </c>
      <c r="B8331">
        <f>HYPERLINK("https://www.dofusbook.net/fr/equipement/3306166-fullterre/objets", "link")</f>
        <v/>
      </c>
      <c r="C8331" t="n">
        <v>4</v>
      </c>
      <c r="D8331" t="inlineStr">
        <is>
          <t>Arc du Chalœil; Collier de Tourthon; Anneau de Brouce; Bracelet du Piloztère; Quatre-feuilles; Ceinture Gence; Masque de Koutoulou; Cape au Logis; Pantoufles du Piloztère; Dofus Turquoise; Dofus Nébuleux; Dofus Pourpre; Dofus des Glaces; Vigoureux majeur; Enragé majeur; Kompost</t>
        </is>
      </c>
    </row>
    <row r="8332">
      <c r="A8332" t="inlineStr">
        <is>
          <t>FullFeu</t>
        </is>
      </c>
      <c r="B8332">
        <f>HYPERLINK("https://www.dofusbook.net/fr/equipement/3264013-fullfeu/objets", "link")</f>
        <v/>
      </c>
      <c r="C8332" t="n">
        <v>3</v>
      </c>
      <c r="D8332" t="inlineStr">
        <is>
          <t>Marteau Ronto; Amulette d'Otomaï; Bague Gloursonne; Anneau Tamie; Bouclier du Stalak; Ceinture Séculaire; Coiffe Séculaire; Cape de Diondin; Bottes Innommables; Dofus des Glaces; Remueur; Dévastateur Feu majeur; Nomade; Érudit majeur; Saccageur Feu majeur; Bisouglours</t>
        </is>
      </c>
    </row>
    <row r="8333">
      <c r="A8333" t="inlineStr">
        <is>
          <t>FeuEau_HardCrit</t>
        </is>
      </c>
      <c r="B8333">
        <f>HYPERLINK("https://www.dofusbook.net/fr/equipement/3229991-feueau-hardcrit/objets", "link")</f>
        <v/>
      </c>
      <c r="C8333" t="n">
        <v>0</v>
      </c>
      <c r="D8333" t="inlineStr">
        <is>
          <t>Arc Nécrotique; Amulette du Strigide; Alliance Gloursonne; Bracelet du Piloztère; Quatre-feuilles; Ceinture du Strigide; Kidibonnet; Cape de la Dame du Hasard; Bottes de la Dame du Hasard; Dofus Ocre; Dofus Abyssal; Dolmanax; Dofus des Glaces; Dofus Turquoise; Dofus Nébuleux; Muldo Indigo et Orchidée</t>
        </is>
      </c>
    </row>
    <row r="8334">
      <c r="A8334" t="inlineStr">
        <is>
          <t>FeuEau_HardPO</t>
        </is>
      </c>
      <c r="B8334">
        <f>HYPERLINK("https://www.dofusbook.net/fr/equipement/3229852-feueau-hardpo/objets", "link")</f>
        <v/>
      </c>
      <c r="C8334" t="n">
        <v>0</v>
      </c>
      <c r="D8334" t="inlineStr">
        <is>
          <t>Arc Nécrotique; Talisman Igans; Bracelet du Piloztère; Alliance Gloursonne; Quatre-feuilles; Ceintrigue; Kidibonnet; Cape de la Dame du Hasard; Bottes de la Dame du Hasard; Dofus Turquoise; Dofus Nébuleux; Dofus Ocre; Dofus Abyssal; Dofus Pourpre; Dofus des Glaces; Muldo Indigo et Orchidée</t>
        </is>
      </c>
    </row>
    <row r="8335">
      <c r="A8335" t="inlineStr">
        <is>
          <t>FullTerre_Rox</t>
        </is>
      </c>
      <c r="B8335">
        <f>HYPERLINK("https://www.dofusbook.net/fr/equipement/3229007-fullterre-rox/objets", "link")</f>
        <v/>
      </c>
      <c r="C8335" t="n">
        <v>1</v>
      </c>
      <c r="D8335" t="inlineStr">
        <is>
          <t>Marteau R'ture; Amulette du Strigide; Anneau Crustique; Anneau Crustique; Bouclier du Captain Amakna; Ceintacé; Chapoulpe; Voile d'encre; Tentassons; Dofus Turquoise; Dofus Ivoire; Obstructeur majeur; Remueur; Étourdisseur majeur; Enragé majeur; Muldo Roux et Pourpre</t>
        </is>
      </c>
    </row>
    <row r="8336">
      <c r="A8336" t="inlineStr">
        <is>
          <t>FullTerre_Support</t>
        </is>
      </c>
      <c r="B8336">
        <f>HYPERLINK("https://www.dofusbook.net/fr/equipement/3228935-fullterre-support/objets", "link")</f>
        <v/>
      </c>
      <c r="C8336" t="n">
        <v>5</v>
      </c>
      <c r="D8336" t="inlineStr">
        <is>
          <t>Marteau R'ture; Amulette du Strigide; Anneau Crustique; Anneau Crustique; Sept ans de malheur; Ceintouse; Chapoulpe; Voile d'encre; Baleinabottes; Dofus Émeraude; Dofus Ivoire; Enragé majeur; Obstructeur majeur; Remueur; Étourdisseur majeur; Muldo Roux et Pourpre</t>
        </is>
      </c>
    </row>
    <row r="8337">
      <c r="A8337" t="inlineStr">
        <is>
          <t>Ouginak F 200</t>
        </is>
      </c>
      <c r="B8337">
        <f>HYPERLINK("https://www.dofusbook.net/fr/equipement/5163432-ouginak-f-200/objets", "link")</f>
        <v/>
      </c>
      <c r="C8337" t="n">
        <v>0</v>
      </c>
      <c r="D8337" t="inlineStr">
        <is>
          <t>Hachoirs de Viandargh; Pendentif Oton; Gelano; Anneau d'Allister; Bouclier Taverne; Ceinture Rasboulaire du Rasboul; Couronne d'Allister; Cape de Klime; Pantoufles Émar; Dofus Turquoise; Dofus Émeraude; Dofus Pourpre; Remueur; Cascadeur majeur; Nomade; Pioute jaune</t>
        </is>
      </c>
    </row>
    <row r="8338">
      <c r="A8338" t="inlineStr">
        <is>
          <t>Eniripsa F 200</t>
        </is>
      </c>
      <c r="B8338">
        <f>HYPERLINK("https://www.dofusbook.net/fr/equipement/5098720-eniripsa-f-200/objets", "link")</f>
        <v/>
      </c>
      <c r="C8338" t="n">
        <v>1</v>
      </c>
      <c r="D8338" t="inlineStr">
        <is>
          <t>Rapière aux Glyphes; Pendentif Oton; Anneau Glacial; Gelano; Bouclier Taverne; Ceinture Glaciale; Casqnoar; Cape Matelassée; Sandales Circulaires du Kimbo; Dofus Turquoise; Dofus Émeraude; Dofus Pourpre; Remueur; Chanceux majeur; Nomade; Pioute bleu</t>
        </is>
      </c>
    </row>
    <row r="8339">
      <c r="A8339" t="inlineStr">
        <is>
          <t>Zobal F 200</t>
        </is>
      </c>
      <c r="B8339">
        <f>HYPERLINK("https://www.dofusbook.net/fr/equipement/5107114-zobal-f-200/objets", "link")</f>
        <v/>
      </c>
      <c r="C8339" t="n">
        <v>1</v>
      </c>
      <c r="D8339" t="inlineStr">
        <is>
          <t>Hache Téroïde; Amulette Héroclite; Alliance de Missiz Frizz; Gelano; Bouclier Taverne; Ceinture Hanium; Casque de Missiz Frizz; Cape au Logis; Sabots Minables; Dofus Pourpre; Dofus Turquoise; Dofus Émeraude; Remueur; Enragé majeur; Kokulte</t>
        </is>
      </c>
    </row>
    <row r="8340">
      <c r="A8340" t="inlineStr">
        <is>
          <t>Iop F 200</t>
        </is>
      </c>
      <c r="B8340">
        <f>HYPERLINK("https://www.dofusbook.net/fr/equipement/5098723-iop-f-200/objets", "link")</f>
        <v/>
      </c>
      <c r="C8340" t="n">
        <v>2</v>
      </c>
      <c r="D8340" t="inlineStr">
        <is>
          <t>Hachoirs de Viandargh; Pendentif Oton; Anneau d'Allister; Gelano; Bouclier Taverne; Ceinture Rasboulaire du Rasboul; Couronne d'Allister; Cape de Klime; Pantoufles Émar; Dofus Émeraude; Dofus Pourpre; Dofus Turquoise; Cascadeur majeur; Nomade; Remueur; Pioute jaune</t>
        </is>
      </c>
    </row>
    <row r="8341">
      <c r="A8341" t="inlineStr">
        <is>
          <t>Huppermage F 200</t>
        </is>
      </c>
      <c r="B8341">
        <f>HYPERLINK("https://www.dofusbook.net/fr/equipement/5163463-huppermage-f-200/objets", "link")</f>
        <v/>
      </c>
      <c r="C8341" t="n">
        <v>0</v>
      </c>
      <c r="D8341" t="inlineStr">
        <is>
          <t>Dagues Ricol; Amulette d'Otomaï; Gelano; Anneau de Padgref; Bouclier Taverne; Ceinture Hanium; Coiffe de Padgref; Voile d'encre; Pantoufles Émar; Dofus Pourpre; Dofus Turquoise; Dofus Émeraude; Nomade; Remueur; Érudit majeur; Pioute rouge</t>
        </is>
      </c>
    </row>
    <row r="8342">
      <c r="A8342" t="inlineStr">
        <is>
          <t>Pandawa F 200</t>
        </is>
      </c>
      <c r="B8342">
        <f>HYPERLINK("https://www.dofusbook.net/fr/equipement/5098718-pandawa-f-200/objets", "link")</f>
        <v/>
      </c>
      <c r="C8342" t="n">
        <v>2</v>
      </c>
      <c r="D8342" t="inlineStr">
        <is>
          <t>L'Épée Nice; Amulette Héroclite; Gelano; Alliance de Missiz Frizz; Bouclier Taverne; Ceinture de Brouce; Casque de Missiz Frizz; Cape au Logis; Sabots Minables; Dofus Émeraude; Dofus Pourpre; Dofus Turquoise; Fonceur majeur; Enragé majeur; Remueur; Pioute vert</t>
        </is>
      </c>
    </row>
    <row r="8343">
      <c r="A8343" t="inlineStr">
        <is>
          <t>EAU</t>
        </is>
      </c>
      <c r="B8343">
        <f>HYPERLINK("https://www.dofusbook.net/fr/equipement/5970190-eau/objets", "link")</f>
        <v/>
      </c>
      <c r="C8343" t="n">
        <v>1</v>
      </c>
      <c r="D8343" t="inlineStr">
        <is>
          <t>Dagoulinantes; Amulette de Shokkoth; Bracelet des Fonds marins; Anneau Volkorne; Quatre-feuilles; Poulpagne; Capuche de l'Œil Attentif; Cape Solution; Sandales des Fonds marins; Dofus Nébuleux; Dofus Ébène; Dofus Pourpre; Dofus Turquoise; Dofus Vulbis; Chanceux majeur; Kanigloups</t>
        </is>
      </c>
    </row>
    <row r="8344">
      <c r="A8344" t="inlineStr">
        <is>
          <t>SRAM MULTI</t>
        </is>
      </c>
      <c r="B8344">
        <f>HYPERLINK("https://www.dofusbook.net/fr/equipement/5233135-sram-multi/objets", "link")</f>
        <v/>
      </c>
      <c r="C8344" t="n">
        <v>8</v>
      </c>
      <c r="D8344" t="inlineStr">
        <is>
          <t>Arc du Chalœil; Amulette Volkorne; Chevalière du Roi Joueur; Anneau Volkorne; Quatre-feuilles; Ceinture Volkorne; Couronne du Roi Joueur; Cape de Jahash Jurgen; Bottes du Roi Joueur; Dofus Ocre; Dofus Ébène; Dofus des Glaces; Dofus Pourpre; Dofus Nébuleux; Dofus Turquoise; Kokulte</t>
        </is>
      </c>
    </row>
    <row r="8345">
      <c r="A8345" t="inlineStr">
        <is>
          <t>CRA AIR 2</t>
        </is>
      </c>
      <c r="B8345">
        <f>HYPERLINK("https://www.dofusbook.net/fr/equipement/5970275-cra-air-2/objets", "link")</f>
        <v/>
      </c>
      <c r="C8345" t="n">
        <v>1</v>
      </c>
      <c r="D8345" t="inlineStr">
        <is>
          <t>Plume de Buhorado; Collier du Valet Veinard; Gant du Valet Veinard; Alliance Gloursonne; Quatre-feuilles; Menoture; Casque Volkorne; Cape Indescriptible; Palmes Trithons; Dofus Ébène; Dofus Ocre; Dofus Nébuleux; Dofus Pourpre; Vigoureux majeur; Cascadeur majeur; Blérodoudou</t>
        </is>
      </c>
    </row>
    <row r="8346">
      <c r="A8346" t="inlineStr">
        <is>
          <t>AIR PVP</t>
        </is>
      </c>
      <c r="B8346">
        <f>HYPERLINK("https://www.dofusbook.net/fr/equipement/5263353-air-pvp/objets", "link")</f>
        <v/>
      </c>
      <c r="C8346" t="n">
        <v>5</v>
      </c>
      <c r="D8346" t="inlineStr">
        <is>
          <t>Plume de Buhorado; Collier du Valet Veinard; Gant du Valet Veinard; Alliance Gloursonne; Droiture de Fallanster; Menoture; Dorabysses; Cape Indescriptible; Palmes Trithons; Dofus Ocre; Dofus Ivoire; Dofus Abyssal; Dofus Pourpre; Dofus Ébène; Cascadeur majeur; Blérodoudou</t>
        </is>
      </c>
    </row>
    <row r="8347">
      <c r="A8347" t="inlineStr">
        <is>
          <t>FECA</t>
        </is>
      </c>
      <c r="B8347">
        <f>HYPERLINK("https://www.dofusbook.net/fr/equipement/5915198-feca/objets", "link")</f>
        <v/>
      </c>
      <c r="C8347" t="n">
        <v>0</v>
      </c>
      <c r="D8347" t="inlineStr">
        <is>
          <t>Droiture de Fallanster; Dofus Pourpre; Dofus Ivoire; Dofus Ocre; Dofus Ébène; Dofus Émeraude; Dofus Abyssal</t>
        </is>
      </c>
    </row>
    <row r="8348">
      <c r="A8348" t="inlineStr">
        <is>
          <t>TANK</t>
        </is>
      </c>
      <c r="B8348">
        <f>HYPERLINK("https://www.dofusbook.net/fr/equipement/5279952-tank/objets", "link")</f>
        <v/>
      </c>
      <c r="C8348" t="n">
        <v>9</v>
      </c>
      <c r="D8348" t="inlineStr">
        <is>
          <t>Rouleau à Pâtisserie d'Aermyne; Collier Rophante; Anneau de Pol Ouatnos; Alliance Gloursonne; Sept ans de malheur; Poulpagne; Masque d'Anerice; Cape d'Anerice; Pataugastrique; Dofus Émeraude; Carapace Eau majeur; Miraculé majeur; Obstructeur majeur; Remueur; Bloqueur majeur; Givrefoux</t>
        </is>
      </c>
    </row>
    <row r="8349">
      <c r="A8349" t="inlineStr">
        <is>
          <t>Zobal M 200</t>
        </is>
      </c>
      <c r="B8349">
        <f>HYPERLINK("https://www.dofusbook.net/fr/equipement/5985888-zobal-m-200/objets", "link")</f>
        <v/>
      </c>
      <c r="C8349" t="n">
        <v>0</v>
      </c>
      <c r="D8349" t="inlineStr">
        <is>
          <t>Baguette Hique; Amulette Volkorne; Alliance Gloursonne; Anneau Volkorne; Quatre-feuilles; Poulpagne; Casquette de Meno; Cape de la Dame du Hasard; Bottes de la Dame du Hasard; Dofus Turquoise; Dofus Vulbis; Dofus Ocre; Dofus Ébène; Dofus Ivoire; Dofus des Glaces; Kokulte</t>
        </is>
      </c>
    </row>
    <row r="8350">
      <c r="A8350" t="inlineStr">
        <is>
          <t>Zobal M 200</t>
        </is>
      </c>
      <c r="B8350">
        <f>HYPERLINK("https://www.dofusbook.net/fr/equipement/3839324-zobal-m-200/objets", "link")</f>
        <v/>
      </c>
      <c r="C8350" t="n">
        <v>15</v>
      </c>
      <c r="D8350" t="inlineStr">
        <is>
          <t>Crocobur; Amulette du Strigide; Alliance Gloursonne; Bague Gloursonne; Bouclier du Captain Amakna; Ceinture du Strigide; Coiffe d'Ogivol; Cape du Professeur Xa; Bottes du Strigide; Dofus des Glaces; Dofus Turquoise; Dofus Pourpre; Dofus Ocre; Dofus Ébène; Dofus Abyssal; Kokulte</t>
        </is>
      </c>
    </row>
    <row r="8351">
      <c r="A8351" t="inlineStr">
        <is>
          <t>Zobal M 200</t>
        </is>
      </c>
      <c r="B8351">
        <f>HYPERLINK("https://www.dofusbook.net/fr/equipement/5985169-zobal-m-200/objets", "link")</f>
        <v/>
      </c>
      <c r="C8351" t="n">
        <v>1</v>
      </c>
      <c r="D8351" t="inlineStr"/>
    </row>
    <row r="8352">
      <c r="A8352" t="inlineStr">
        <is>
          <t>Zobal M 200</t>
        </is>
      </c>
      <c r="B8352">
        <f>HYPERLINK("https://www.dofusbook.net/fr/equipement/5896686-zobal-m-200/objets", "link")</f>
        <v/>
      </c>
      <c r="C8352" t="n">
        <v>2</v>
      </c>
      <c r="D8352" t="inlineStr">
        <is>
          <t>Épée Brûlâme; Amulette Volkorne; Bague Trithon; Anneau Volkorne; Bouclier du Captain Amakna; Ceinture Volkorne; Masque Trithon; Voile d'encre; Pataugastrique; Dofus Turquoise; Dofus des Glaces; Dofus Ocre; Dofus Abyssal; Dofus Pourpre; Dofus Ivoire; Kokulte</t>
        </is>
      </c>
    </row>
    <row r="8353">
      <c r="A8353" t="inlineStr">
        <is>
          <t>Zobal M 200</t>
        </is>
      </c>
      <c r="B8353">
        <f>HYPERLINK("https://www.dofusbook.net/fr/equipement/5936606-zobal-m-200/objets", "link")</f>
        <v/>
      </c>
      <c r="C8353" t="n">
        <v>0</v>
      </c>
      <c r="D8353" t="inlineStr"/>
    </row>
    <row r="8354">
      <c r="A8354" t="inlineStr">
        <is>
          <t>Zobal M 200</t>
        </is>
      </c>
      <c r="B8354">
        <f>HYPERLINK("https://www.dofusbook.net/fr/equipement/5934325-zobal-m-200/objets", "link")</f>
        <v/>
      </c>
      <c r="C8354" t="n">
        <v>0</v>
      </c>
      <c r="D8354" t="inlineStr">
        <is>
          <t>Marteau des égarés; Amulette du Strigide; Alliance Gloursonne; Bague Gloursonne; Bouclier du Captain Amakna; Ceinture du Strigide; Masque d'Anerice; Cape d'Anerice; Bottes du Strigide; Dofus Ivoire; Dofus Abyssal; Dofus Turquoise; Dolmanax; Dofus Ocre; Dofus des Glaces; Chacha Angora</t>
        </is>
      </c>
    </row>
    <row r="8355">
      <c r="A8355" t="inlineStr">
        <is>
          <t>Zobal M 200</t>
        </is>
      </c>
      <c r="B8355">
        <f>HYPERLINK("https://www.dofusbook.net/fr/equipement/5933581-zobal-m-200/objets", "link")</f>
        <v/>
      </c>
      <c r="C8355" t="n">
        <v>1</v>
      </c>
      <c r="D8355" t="inlineStr">
        <is>
          <t>Hache Téroïde; Amulette du Strigide; Anneau Chevelu; Chevalière du Roi Joueur; Bouclier du Captain Amakna; Ceinture du Strigide; Couronne du Roi Joueur; Cape au Logis; Bottes du Roi Joueur; Dofus Ocre; Dofus des Glaces; Dofus Ivoire; Dofus Abyssal; Dofus Turquoise; Dofus Ébène; Chacha Angora</t>
        </is>
      </c>
    </row>
    <row r="8356">
      <c r="A8356" t="inlineStr">
        <is>
          <t>Zobal M 200</t>
        </is>
      </c>
      <c r="B8356">
        <f>HYPERLINK("https://www.dofusbook.net/fr/equipement/5933584-zobal-m-200/objets", "link")</f>
        <v/>
      </c>
      <c r="C8356" t="n">
        <v>0</v>
      </c>
      <c r="D8356" t="inlineStr"/>
    </row>
    <row r="8357">
      <c r="A8357" t="inlineStr">
        <is>
          <t>Zobal M 200</t>
        </is>
      </c>
      <c r="B8357">
        <f>HYPERLINK("https://www.dofusbook.net/fr/equipement/5933575-zobal-m-200/objets", "link")</f>
        <v/>
      </c>
      <c r="C8357" t="n">
        <v>0</v>
      </c>
      <c r="D8357" t="inlineStr">
        <is>
          <t>Bravoure de Rykke Errel</t>
        </is>
      </c>
    </row>
    <row r="8358">
      <c r="A8358" t="inlineStr">
        <is>
          <t>Zobal F 200</t>
        </is>
      </c>
      <c r="B8358">
        <f>HYPERLINK("https://www.dofusbook.net/fr/equipement/5928466-zobal-f-200/objets", "link")</f>
        <v/>
      </c>
      <c r="C8358" t="n">
        <v>0</v>
      </c>
      <c r="D8358" t="inlineStr">
        <is>
          <t>Hachoirs de Viandargh; Amulette du Strigide; Alliance Gloursonne; Anneau de Padgref; Bouclier d'Ilyzaelle; Ceinture du Strigide; Coiffe de Padgref; Carapace de Torkélonia; Getas de Padgref; Dofus Ocre; Dofus des Glaces; Dofus Ivoire; Dofus Abyssal; Dofus Turquoise; Dofus Ébène; Pioute jaune</t>
        </is>
      </c>
    </row>
    <row r="8359">
      <c r="A8359" t="inlineStr">
        <is>
          <t>Zobal F 200</t>
        </is>
      </c>
      <c r="B8359">
        <f>HYPERLINK("https://www.dofusbook.net/fr/equipement/5924067-zobal-f-200/objets", "link")</f>
        <v/>
      </c>
      <c r="C8359" t="n">
        <v>0</v>
      </c>
      <c r="D8359" t="inlineStr">
        <is>
          <t>Héqache; Amulette du Strigide; Alliance Gloursonne; Bague Gloursonne; Bouclier d'Ilyzaelle; Ceinture du Strigide; Corne de Torkélonia; Carapace de Torkélonia; Bottes du Strigide; Dofus Turquoise; Dofus Ébène; Dofus Ocre; Dofus des Glaces; Dofus Ivoire; Dofus Abyssal; Muldo Prune et Emeraude</t>
        </is>
      </c>
    </row>
    <row r="8360">
      <c r="A8360" t="inlineStr">
        <is>
          <t>Zobal M 200</t>
        </is>
      </c>
      <c r="B8360">
        <f>HYPERLINK("https://www.dofusbook.net/fr/equipement/5923617-zobal-m-200/objets", "link")</f>
        <v/>
      </c>
      <c r="C8360" t="n">
        <v>0</v>
      </c>
      <c r="D8360" t="inlineStr">
        <is>
          <t>Marteau R'ture; Amulette du Cœur Saignant; Anneau Chevelu; Anneau de Brouce; Bouclier d'Ilyzaelle; Ceinture Gence; Casque Dragoeuf; Cape au Logis; Bottes de la Cour Sombre; Dofus Ocre; Dofus des Glaces; Dofus Ivoire; Dofus Abyssal; Dofus Pourpre; Dofus Ébène; Bulbisou</t>
        </is>
      </c>
    </row>
    <row r="8361">
      <c r="A8361" t="inlineStr">
        <is>
          <t>Zobal M 200</t>
        </is>
      </c>
      <c r="B8361">
        <f>HYPERLINK("https://www.dofusbook.net/fr/equipement/5898478-zobal-m-200/objets", "link")</f>
        <v/>
      </c>
      <c r="C8361" t="n">
        <v>1</v>
      </c>
      <c r="D8361" t="inlineStr">
        <is>
          <t>Lav'Hache; Collier de Tourthon; Anneau Chevelu; Goulano; Bivalve; Ceinture Gence; Casque Dragoeuf; Cape au Logis; Bottes de la Cour Sombre; Dofus Pourpre; Dofus Ébène; Dofus Ocre; Dofus des Glaces; Dofus Ivoire; Dofus Abyssal; Bulbisou</t>
        </is>
      </c>
    </row>
    <row r="8362">
      <c r="A8362" t="inlineStr">
        <is>
          <t>Zobal M 200</t>
        </is>
      </c>
      <c r="B8362">
        <f>HYPERLINK("https://www.dofusbook.net/fr/equipement/5896684-zobal-m-200/objets", "link")</f>
        <v/>
      </c>
      <c r="C8362" t="n">
        <v>0</v>
      </c>
      <c r="D8362" t="inlineStr"/>
    </row>
    <row r="8363">
      <c r="A8363" t="inlineStr">
        <is>
          <t>Zobal M 200</t>
        </is>
      </c>
      <c r="B8363">
        <f>HYPERLINK("https://www.dofusbook.net/fr/equipement/5896685-zobal-m-200/objets", "link")</f>
        <v/>
      </c>
      <c r="C8363" t="n">
        <v>0</v>
      </c>
      <c r="D8363" t="inlineStr"/>
    </row>
    <row r="8364">
      <c r="A8364" t="inlineStr">
        <is>
          <t>Zobal M 200</t>
        </is>
      </c>
      <c r="B8364">
        <f>HYPERLINK("https://www.dofusbook.net/fr/equipement/5896285-zobal-m-200/objets", "link")</f>
        <v/>
      </c>
      <c r="C8364" t="n">
        <v>0</v>
      </c>
      <c r="D8364" t="inlineStr">
        <is>
          <t>Couteaux Sacrificiels; Amulette Volkorne; Anneau Volkorne; Anneau Tique; Croclier; Ceintrigue; Masque Paztek; Cape Paztek; Sandales Paztek; Dofus Émeraude; Dofus Ébène; Dofus Ocre; Dofus des Glaces; Dofus Ivoire; Dofus Abyssal; Volkorne Prune et Roux</t>
        </is>
      </c>
    </row>
    <row r="8365">
      <c r="A8365" t="inlineStr">
        <is>
          <t>Zobal M 200</t>
        </is>
      </c>
      <c r="B8365">
        <f>HYPERLINK("https://www.dofusbook.net/fr/equipement/5886057-zobal-m-200/objets", "link")</f>
        <v/>
      </c>
      <c r="C8365" t="n">
        <v>0</v>
      </c>
      <c r="D8365" t="inlineStr">
        <is>
          <t>Dagues Ricol; Amulette Volkorne; Bague Gloursonne; Bague Trithon; Bouclier du Captain Amakna; Ceinture Volkorne; Masque Trithon; Bravoure de Rykke Errel; Bottes Trithon; Dofus Turquoise; Dofus des Glaces; Dofus Ocre; Dofus Abyssal; Dofus Pourpre; Dofus Ivoire; Kokulte</t>
        </is>
      </c>
    </row>
    <row r="8366">
      <c r="A8366" t="inlineStr">
        <is>
          <t>Crâ F 200</t>
        </is>
      </c>
      <c r="B8366">
        <f>HYPERLINK("https://www.dofusbook.net/fr/equipement/5872026-cra-f-200/objets", "link")</f>
        <v/>
      </c>
      <c r="C8366" t="n">
        <v>0</v>
      </c>
      <c r="D8366" t="inlineStr">
        <is>
          <t>Arc du Chalœil; Collier de Tourthon; Anneau de Brouce; Alliance de Missiz Frizz; Quatre-feuilles; Ceinture de Brouce; Casque de Missiz Frizz; Cape au Logis; Bottes de Brouce; Dofus Pourpre; Dofus Nébuleux; Dofus Turquoise; Dofus Ébène; Dofus Ocre; Dofus des Glaces; Pioute vert</t>
        </is>
      </c>
    </row>
    <row r="8367">
      <c r="A8367" t="inlineStr">
        <is>
          <t>Crâ M 200</t>
        </is>
      </c>
      <c r="B8367">
        <f>HYPERLINK("https://www.dofusbook.net/fr/equipement/5856021-cra-m-200/objets", "link")</f>
        <v/>
      </c>
      <c r="C8367" t="n">
        <v>1</v>
      </c>
      <c r="D8367" t="inlineStr">
        <is>
          <t>Marteau R'ture; Collier de Tourthon; Anneau du Comte Harebourg; Anneau de Brouce; Quatre-feuilles; Ceinture de Brouce; Coiffe du Comte Harebourg; Cape au Logis; Bottes de Brouce; Dofus Pourpre; Dofus des Glaces; Dofus Nébuleux; Dofus Ocre; Dofus Ébène; Forcené majeur; Bulbisou</t>
        </is>
      </c>
    </row>
    <row r="8368">
      <c r="A8368" t="inlineStr">
        <is>
          <t>Crâ F 200</t>
        </is>
      </c>
      <c r="B8368">
        <f>HYPERLINK("https://www.dofusbook.net/fr/equipement/5847068-cra-f-200/objets", "link")</f>
        <v/>
      </c>
      <c r="C8368" t="n">
        <v>1</v>
      </c>
      <c r="D8368" t="inlineStr">
        <is>
          <t>Épée Brûlâme; Amulette du Strigide; Bracelet du Piloztère; Lavanneau; Quatre-feuilles; Ceinture du Strigide; Corne de Torkélonia; Carapace de Torkélonia; Bottes du Strigide; Dolmanax; Dofus Ivoire; Dofus Turquoise; Dofus des Glaces; Dofus Ocre; Dofus Abyssal</t>
        </is>
      </c>
    </row>
    <row r="8369">
      <c r="A8369" t="inlineStr">
        <is>
          <t>Crâ M 200</t>
        </is>
      </c>
      <c r="B8369">
        <f>HYPERLINK("https://www.dofusbook.net/fr/equipement/5841235-cra-m-200/objets", "link")</f>
        <v/>
      </c>
      <c r="C8369" t="n">
        <v>1</v>
      </c>
      <c r="D8369" t="inlineStr">
        <is>
          <t>Marteau R'ture; Amulette Luminescente; Anneau Chevelu; Chevalière du Roi Joueur; Bouclier du Stalak; Ceinture Luminescente; Couronne du Roi Joueur; Cape Luminescente; Bottes du Roi Joueur; Dofus Nébuleux; Dofus des Glaces; Dofus Ivoire; Dofus Abyssal; Dofus Vulbis; Dofus Ébène; Volkorne Turquoise et Pourpre</t>
        </is>
      </c>
    </row>
    <row r="8370">
      <c r="A8370" t="inlineStr">
        <is>
          <t>Crâ M 200</t>
        </is>
      </c>
      <c r="B8370">
        <f>HYPERLINK("https://www.dofusbook.net/fr/equipement/5835157-cra-m-200/objets", "link")</f>
        <v/>
      </c>
      <c r="C8370" t="n">
        <v>1</v>
      </c>
      <c r="D8370" t="inlineStr">
        <is>
          <t>Hache du Chalœil; Amulette Volkorne; Alliance du Lévitrof; Anneau Volkorne; Quatre-feuilles; Ceinture Volkorne; Coiffe du Lévitrof; Voile d'encre; Bottes du Lévitrof; Dofus Turquoise; Dofus Ébène; Dofus Pourpre; Dofus des Glaces; Dofus Ocre; Dofus Abyssal; Dragodinde Indigo et Ivoire</t>
        </is>
      </c>
    </row>
    <row r="8371">
      <c r="A8371" t="inlineStr">
        <is>
          <t>Zobal M 200</t>
        </is>
      </c>
      <c r="B8371">
        <f>HYPERLINK("https://www.dofusbook.net/fr/equipement/5834863-zobal-m-200/objets", "link")</f>
        <v/>
      </c>
      <c r="C8371" t="n">
        <v>1</v>
      </c>
      <c r="D8371" t="inlineStr">
        <is>
          <t>Sabres d'Atcham; Amulette du Strigide; Bague Trithon; Anneau de Padgref; Quatre-feuilles; Ceinture du Strigide; Coiffe de Padgref; Cape d'Atcham; Getas de Padgref; Dofus Turquoise; Dofus des Glaces; Dofus Ocre; Dofus Abyssal; Dofus Pourpre; Dofus Ébène; Chacha Angora</t>
        </is>
      </c>
    </row>
    <row r="8372">
      <c r="A8372" t="inlineStr">
        <is>
          <t>Crâ M 200</t>
        </is>
      </c>
      <c r="B8372">
        <f>HYPERLINK("https://www.dofusbook.net/fr/equipement/5828376-cra-m-200/objets", "link")</f>
        <v/>
      </c>
      <c r="C8372" t="n">
        <v>1</v>
      </c>
      <c r="D8372" t="inlineStr">
        <is>
          <t>Arc Volkorne; Amulette du Strigide; Anneau de Padgref; Bague Trithon; Quatre-feuilles; Ceinture du Strigide; Masque Trithon; Voile d'encre; Bottes Trithon; Dolmanax; Dofus Ocre; Dofus Pourpre; Dofus des Glaces; Dofus Turquoise; Dofus Abyssal; Kokulte</t>
        </is>
      </c>
    </row>
    <row r="8373">
      <c r="A8373" t="inlineStr">
        <is>
          <t>Enutrof M 200</t>
        </is>
      </c>
      <c r="B8373">
        <f>HYPERLINK("https://www.dofusbook.net/fr/equipement/5831908-enutrof-m-200/objets", "link")</f>
        <v/>
      </c>
      <c r="C8373" t="n">
        <v>0</v>
      </c>
      <c r="D8373" t="inlineStr"/>
    </row>
    <row r="8374">
      <c r="A8374" t="inlineStr">
        <is>
          <t>Enutrof M 200</t>
        </is>
      </c>
      <c r="B8374">
        <f>HYPERLINK("https://www.dofusbook.net/fr/equipement/5824716-enutrof-m-200/objets", "link")</f>
        <v/>
      </c>
      <c r="C8374" t="n">
        <v>0</v>
      </c>
      <c r="D8374" t="inlineStr">
        <is>
          <t>Dagues Açantes; Collier de la Dame du Hasard; Anneau de la Fuji Givrefoux; Pikano; Bouclier cubiste; Ceinture Instable; Casquipik; Cape de Léthaline; Pataugastrique; Chanceux majeur; Temporiseur majeur; Nomade; Entraveur majeur; Fonceur majeur; Remueur; Volkorne Turquoise et Indigo</t>
        </is>
      </c>
    </row>
    <row r="8375">
      <c r="A8375" t="inlineStr">
        <is>
          <t>Féca M 200</t>
        </is>
      </c>
      <c r="B8375">
        <f>HYPERLINK("https://www.dofusbook.net/fr/equipement/5819055-feca-m-200/objets", "link")</f>
        <v/>
      </c>
      <c r="C8375" t="n">
        <v>2</v>
      </c>
      <c r="D8375" t="inlineStr">
        <is>
          <t>Arc corrompu; Amulette Volkorne; Anneauræus; Anneauræus; Bouclier du Stalak; Ceinture Volkorne; Heaume Oplate; Cape de Diondin; Bottes Innommables; Dofus Ivoire; Dofus Ébène; Dofus des Glaces; Nomade; Érudit majeur; Carapace Feu majeur; Bisouglours</t>
        </is>
      </c>
    </row>
    <row r="8376">
      <c r="A8376" t="inlineStr">
        <is>
          <t>Crâ M 200</t>
        </is>
      </c>
      <c r="B8376">
        <f>HYPERLINK("https://www.dofusbook.net/fr/equipement/5814518-cra-m-200/objets", "link")</f>
        <v/>
      </c>
      <c r="C8376" t="n">
        <v>0</v>
      </c>
      <c r="D8376" t="inlineStr">
        <is>
          <t>Baguette du Dragoeuf; Amulette du Strigide; Anneau de Padgref; Bague Trithon; Quatre-feuilles; Ceinture du Strigide; Coiffe de Padgref; Carapace de Torkélonia; Bottes Trithon; Dofus Pourpre; Dofus des Glaces; Dofus Ocre; Dofus Abyssal; Dofus Turquoise; Dofus Ébène; Sakochère</t>
        </is>
      </c>
    </row>
    <row r="8377">
      <c r="A8377" t="inlineStr">
        <is>
          <t>Iop M 200</t>
        </is>
      </c>
      <c r="B8377">
        <f>HYPERLINK("https://www.dofusbook.net/fr/equipement/5818435-iop-m-200/objets", "link")</f>
        <v/>
      </c>
      <c r="C8377" t="n">
        <v>0</v>
      </c>
      <c r="D8377" t="inlineStr"/>
    </row>
    <row r="8378">
      <c r="A8378" t="inlineStr">
        <is>
          <t>Crâ F 200</t>
        </is>
      </c>
      <c r="B8378">
        <f>HYPERLINK("https://www.dofusbook.net/fr/equipement/5814337-cra-f-200/objets", "link")</f>
        <v/>
      </c>
      <c r="C8378" t="n">
        <v>0</v>
      </c>
      <c r="D8378" t="inlineStr">
        <is>
          <t>Arc Tangente; Amulette du Strigide; Bague Trithon; Alliance Gloursonne; Quatre-feuilles; Ceinture du Strigide; Masque Trithon; Voile d'encre; Bottes Trithon; Dofus Ébène; Dofus Turquoise; Dofus des Glaces; Dofus Ocre; Dofus Abyssal; Voyageur; Kokulte</t>
        </is>
      </c>
    </row>
    <row r="8379">
      <c r="A8379" t="inlineStr">
        <is>
          <t>Crâ M 200</t>
        </is>
      </c>
      <c r="B8379">
        <f>HYPERLINK("https://www.dofusbook.net/fr/equipement/5813608-cra-m-200/objets", "link")</f>
        <v/>
      </c>
      <c r="C8379" t="n">
        <v>0</v>
      </c>
      <c r="D8379" t="inlineStr">
        <is>
          <t>Arc de Koutoulou; Amulette du Strigide; Bracelet du Piloztère; Anneau Volkorne; Quatre-feuilles; Ceinture du Strigide; Casque Volkorne; Cape d'Atcham; Sandales  d'Atcham; Dofus Turquoise; Dofus des Glaces; Dofus Ocre; Dofus Abyssal; Dofus Ébène; Voyageur; Sakochère</t>
        </is>
      </c>
    </row>
    <row r="8380">
      <c r="A8380" t="inlineStr">
        <is>
          <t>Crâ M 200</t>
        </is>
      </c>
      <c r="B8380">
        <f>HYPERLINK("https://www.dofusbook.net/fr/equipement/5813580-cra-m-200/objets", "link")</f>
        <v/>
      </c>
      <c r="C8380" t="n">
        <v>0</v>
      </c>
      <c r="D8380" t="inlineStr">
        <is>
          <t>Amulette Volkorne; Alliance Brûlâme; Anneau Volkorne; Ceinture Volkorne; Masque Brûlâme; Voile d'encre; Pompes Funèbres</t>
        </is>
      </c>
    </row>
    <row r="8381">
      <c r="A8381" t="inlineStr">
        <is>
          <t>Crâ M 200</t>
        </is>
      </c>
      <c r="B8381">
        <f>HYPERLINK("https://www.dofusbook.net/fr/equipement/5808475-cra-m-200/objets", "link")</f>
        <v/>
      </c>
      <c r="C8381" t="n">
        <v>0</v>
      </c>
      <c r="D8381" t="inlineStr">
        <is>
          <t>Baguette de Torkélonia; Amulette du Strigide; Bague Gloursonne; Alliance Gloursonne; Quatre-feuilles; Ceinture du Strigide; Corne de Torkélonia; Carapace de Torkélonia; Bottes du Strigide; Dofus des Glaces; Dofus Ocre; Dofus Abyssal; Dofus Pourpre; Dofus Ébène; Dofus Turquoise; Chacha Angora</t>
        </is>
      </c>
    </row>
    <row r="8382">
      <c r="A8382" t="inlineStr">
        <is>
          <t>Crâ F 200</t>
        </is>
      </c>
      <c r="B8382">
        <f>HYPERLINK("https://www.dofusbook.net/fr/equipement/5807744-cra-f-200/objets", "link")</f>
        <v/>
      </c>
      <c r="C8382" t="n">
        <v>0</v>
      </c>
      <c r="D8382" t="inlineStr">
        <is>
          <t>Manthache; Collier du Valet Veinard; Alliance Gloursonne; Gant du Valet Veinard; Bouclier du Stalak; Menoture; Couronne d'Allister; Cape Indescriptible; Palmes Trithons; Dofus Abyssal; Dofus Ébène; Dofus Pourpre; Dofus des Glaces; Dofus Ocre; Nomade; Blérodoudou</t>
        </is>
      </c>
    </row>
    <row r="8383">
      <c r="A8383" t="inlineStr">
        <is>
          <t>Crâ M 200</t>
        </is>
      </c>
      <c r="B8383">
        <f>HYPERLINK("https://www.dofusbook.net/fr/equipement/5807448-cra-m-200/objets", "link")</f>
        <v/>
      </c>
      <c r="C8383" t="n">
        <v>0</v>
      </c>
      <c r="D8383" t="inlineStr">
        <is>
          <t>Baguette Hique; Amulette Volkorne; Alliance Gloursonne; Anneau Volkorne; Quatre-feuilles; Pagne du Rykaon; Kidibonnet; Cape de la Dame du Hasard; Bottes de la Dame du Hasard; Dofus des Glaces; Dofus Ocre; Dofus Abyssal; Dofus Pourpre; Dofus Ébène; Dofus Turquoise; Muldo Ebène et Indigo</t>
        </is>
      </c>
    </row>
    <row r="8384">
      <c r="A8384" t="inlineStr">
        <is>
          <t>Crâ F 200</t>
        </is>
      </c>
      <c r="B8384">
        <f>HYPERLINK("https://www.dofusbook.net/fr/equipement/5807432-cra-f-200/objets", "link")</f>
        <v/>
      </c>
      <c r="C8384" t="n">
        <v>0</v>
      </c>
      <c r="D8384" t="inlineStr"/>
    </row>
    <row r="8385">
      <c r="A8385" t="inlineStr">
        <is>
          <t>Crâ M 200</t>
        </is>
      </c>
      <c r="B8385">
        <f>HYPERLINK("https://www.dofusbook.net/fr/equipement/5805777-cra-m-200/objets", "link")</f>
        <v/>
      </c>
      <c r="C8385" t="n">
        <v>0</v>
      </c>
      <c r="D8385" t="inlineStr">
        <is>
          <t>Hache du Chalœil; Amulette Volkorne; Bague Trithon; Anneau Volkorne; Quatre-feuilles; Ceinture Volkorne; Masque Trithon; Cape de Jahash Jurgen; Bottes Trithon; Dofus Nébuleux; Dofus Ébène; Dofus Turquoise; Dofus des Glaces; Dofus Ocre; Dofus Pourpre; Kokulte</t>
        </is>
      </c>
    </row>
    <row r="8386">
      <c r="A8386" t="inlineStr">
        <is>
          <t>Crâ F 200</t>
        </is>
      </c>
      <c r="B8386">
        <f>HYPERLINK("https://www.dofusbook.net/fr/equipement/5802220-cra-f-200/objets", "link")</f>
        <v/>
      </c>
      <c r="C8386" t="n">
        <v>0</v>
      </c>
      <c r="D8386" t="inlineStr">
        <is>
          <t>Arc du Chalœil; Amulette du Strigide; Bague Gloursonne; Chevalière du Roi Joueur; Quatre-feuilles; Ceinture du Strigide; Couronne du Roi Joueur; Cape au Logis; Bottes du Roi Joueur; Dofus des Glaces; Dofus Ocre; Dofus Abyssal; Dofus Nébuleux; Dofus Ébène; Dofus Turquoise; Pioute vert</t>
        </is>
      </c>
    </row>
    <row r="8387">
      <c r="A8387" t="inlineStr">
        <is>
          <t>Crâ M 200</t>
        </is>
      </c>
      <c r="B8387">
        <f>HYPERLINK("https://www.dofusbook.net/fr/equipement/5800175-cra-m-200/objets", "link")</f>
        <v/>
      </c>
      <c r="C8387" t="n">
        <v>0</v>
      </c>
      <c r="D8387" t="inlineStr">
        <is>
          <t>Arc du Chalœil; Amulette du Cœur Saignant; Chevalière du Roi Joueur; Anneau Volkorne; Quatre-feuilles; Ceinture Volkorne; Corne de Torkélonia; Cape du Cœur Saignant; Bottes du Cœur Saignant; Dofus Turquoise; Dofus Ébène; Dofus Ocre; Dofus des Glaces; Dofus Nébuleux; Dofus Abyssal; Volkorne Turquoise et Pourpre</t>
        </is>
      </c>
    </row>
    <row r="8388">
      <c r="A8388" t="inlineStr">
        <is>
          <t>Crâ F 200</t>
        </is>
      </c>
      <c r="B8388">
        <f>HYPERLINK("https://www.dofusbook.net/fr/equipement/5799442-cra-f-200/objets", "link")</f>
        <v/>
      </c>
      <c r="C8388" t="n">
        <v>0</v>
      </c>
      <c r="D8388" t="inlineStr">
        <is>
          <t>Arc corrompu; Amulette du Strigide; Alliance Gloursonne; Anneau de Padgref; Quatre-feuilles; Ceinture du Strigide; Coiffe de Padgref; Cape Lati; Getas de Padgref; Dofus Nébuleux; Dofus des Glaces; Dofus Ocre; Dofus Abyssal; Dofus Turquoise; Dofus Ébène; Kokulte</t>
        </is>
      </c>
    </row>
    <row r="8389">
      <c r="A8389" t="inlineStr">
        <is>
          <t>Crâ F 200</t>
        </is>
      </c>
      <c r="B8389">
        <f>HYPERLINK("https://www.dofusbook.net/fr/equipement/5799380-cra-f-200/objets", "link")</f>
        <v/>
      </c>
      <c r="C8389" t="n">
        <v>2</v>
      </c>
      <c r="D8389" t="inlineStr">
        <is>
          <t>Arc du Chalœil; Amulette du Strigide; Bague Trithon; Bague Gloursonne; Quatre-feuilles; Ceinture du Strigide; Masque Trithon; Cape au Logis; Bottes Trithon; Dofus Ocre; Dofus Abyssal; Dofus Nébuleux; Dofus Ébène; Dofus Turquoise; Dofus des Glaces; Kokulte</t>
        </is>
      </c>
    </row>
    <row r="8390">
      <c r="A8390" t="inlineStr">
        <is>
          <t>Crâ M 200</t>
        </is>
      </c>
      <c r="B8390">
        <f>HYPERLINK("https://www.dofusbook.net/fr/equipement/5795606-cra-m-200/objets", "link")</f>
        <v/>
      </c>
      <c r="C8390" t="n">
        <v>0</v>
      </c>
      <c r="D8390" t="inlineStr">
        <is>
          <t>Pelle de Nidas; Amulette du Strigide; Bracelet du Piloztère; Anneau de Padgref; Cadran de Terre; Ceinture du Strigide; Le Dorado; Voile d'encre; Sandales  d'Atcham; Dofus Turquoise; Dofus des Glaces; Dofus Ivoire; Dofus Abyssal; Dofus Ocre; Dofus Ébène; Chacha Angora</t>
        </is>
      </c>
    </row>
    <row r="8391">
      <c r="A8391" t="inlineStr">
        <is>
          <t>Crâ M 200</t>
        </is>
      </c>
      <c r="B8391">
        <f>HYPERLINK("https://www.dofusbook.net/fr/equipement/5789686-cra-m-200/objets", "link")</f>
        <v/>
      </c>
      <c r="C8391" t="n">
        <v>0</v>
      </c>
      <c r="D8391" t="inlineStr"/>
    </row>
    <row r="8392">
      <c r="A8392" t="inlineStr">
        <is>
          <t>Ouginak M 200</t>
        </is>
      </c>
      <c r="B8392">
        <f>HYPERLINK("https://www.dofusbook.net/fr/equipement/5783475-ouginak-m-200/objets", "link")</f>
        <v/>
      </c>
      <c r="C8392" t="n">
        <v>0</v>
      </c>
      <c r="D8392" t="inlineStr">
        <is>
          <t>Arc de Koutoulou; Amulette du Strigide; Anneau Volkorne; Alliance Gloursonne; Quatre-feuilles; Ceinture du Strigide; Casque Volkorne; Chevelure de Tal Kasha; Bottes du Strigide; Dofus Ocre; Dofus Abyssal; Dofus Pourpre; Dofus Ébène; Dofus Turquoise; Dofus des Glaces; Kokulte</t>
        </is>
      </c>
    </row>
    <row r="8393">
      <c r="A8393" t="inlineStr">
        <is>
          <t>Sram M 200</t>
        </is>
      </c>
      <c r="B8393">
        <f>HYPERLINK("https://www.dofusbook.net/fr/equipement/5788669-sram-m-200/objets", "link")</f>
        <v/>
      </c>
      <c r="C8393" t="n">
        <v>0</v>
      </c>
      <c r="D8393" t="inlineStr"/>
    </row>
    <row r="8394">
      <c r="A8394" t="inlineStr">
        <is>
          <t>Ouginak F 200</t>
        </is>
      </c>
      <c r="B8394">
        <f>HYPERLINK("https://www.dofusbook.net/fr/equipement/5783414-ouginak-f-200/objets", "link")</f>
        <v/>
      </c>
      <c r="C8394" t="n">
        <v>0</v>
      </c>
      <c r="D8394" t="inlineStr">
        <is>
          <t>Arc Nécrotique; Amulette Volkorne; Anneau Volkorne; Bague Trithon; Quatre-feuilles; Ceinture Volkorne; Masque Trithon; Voile d'encre; Bottes Trithon; Dofus Turquoise; Dofus des Glaces; Dofus Ocre; Dofus Abyssal; Dofus Pourpre; Dofus Ébène; Kokulte</t>
        </is>
      </c>
    </row>
    <row r="8395">
      <c r="A8395" t="inlineStr">
        <is>
          <t>Ouginak M 200</t>
        </is>
      </c>
      <c r="B8395">
        <f>HYPERLINK("https://www.dofusbook.net/fr/equipement/5774857-ouginak-m-200/objets", "link")</f>
        <v/>
      </c>
      <c r="C8395" t="n">
        <v>1</v>
      </c>
      <c r="D8395" t="inlineStr">
        <is>
          <t>Hache du Chalœil; Amulette du Strigide; Bague Trithon; Anneau de Padgref; Bouclier du Captain Amakna; Ceinture du Strigide; Masque Trithon; Cape au Logis; Bottes Trithon; Dofus Ivoire; Dofus Abyssal; Dofus Turquoise; Dofus Ébène; Dofus Ocre; Dofus des Glaces; Kokulte</t>
        </is>
      </c>
    </row>
    <row r="8396">
      <c r="A8396" t="inlineStr">
        <is>
          <t>Ouginak M 200</t>
        </is>
      </c>
      <c r="B8396">
        <f>HYPERLINK("https://www.dofusbook.net/fr/equipement/5752858-ouginak-m-200/objets", "link")</f>
        <v/>
      </c>
      <c r="C8396" t="n">
        <v>3</v>
      </c>
      <c r="D8396" t="inlineStr">
        <is>
          <t>Crocobur; Collier de Tourthon; Bague Gloursonne; Anneau de Brouce; Bouclier d'Ilyzaelle; Ceinture de la Reine des Voleurs; Coiffe de la Reine des Voleurs; Cape au Logis; Bottes de la Cour Sombre; Dofus Émeraude; Dofus des Glaces; Dofus Ocre; Dofus Abyssal; Dofus Ébène; Évasif majeur; Chienchien Tigré</t>
        </is>
      </c>
    </row>
    <row r="8397">
      <c r="A8397" t="inlineStr">
        <is>
          <t>Ouginak F 200</t>
        </is>
      </c>
      <c r="B8397">
        <f>HYPERLINK("https://www.dofusbook.net/fr/equipement/5738975-ouginak-f-200/objets", "link")</f>
        <v/>
      </c>
      <c r="C8397" t="n">
        <v>0</v>
      </c>
      <c r="D8397" t="inlineStr">
        <is>
          <t>Crocobur; Collier de Tourthon; Alliance Gloursonne; Bague Gloursonne; Bouclier des Chocomanciens; Ceinture de la Reine des Voleurs; Coiffe de la Reine des Voleurs; Cape au Logis; Baleinabottes; Dofus Ivoire; Dofus Abyssal; Dofus Pourpre; Dofus Ébène; Dofus Ocre; Dofus des Glaces; Bulbisou</t>
        </is>
      </c>
    </row>
    <row r="8398">
      <c r="A8398" t="inlineStr">
        <is>
          <t>Ouginak M 200</t>
        </is>
      </c>
      <c r="B8398">
        <f>HYPERLINK("https://www.dofusbook.net/fr/equipement/5738673-ouginak-m-200/objets", "link")</f>
        <v/>
      </c>
      <c r="C8398" t="n">
        <v>0</v>
      </c>
      <c r="D8398" t="inlineStr">
        <is>
          <t>Crocobur; Collier de Tourthon; Anneau Chevelu; Bague Gloursonne; Bouclier d'Ilyzaelle; Ceinture Gence; Casque Dragoeuf; Cape au Logis; Bottes de la Cour Sombre; Dofus Émeraude; Dofus des Glaces; Dofus Ivoire; Dofus Abyssal; Dofus Ébène; Remueur; Bulbisou</t>
        </is>
      </c>
    </row>
    <row r="8399">
      <c r="A8399" t="inlineStr">
        <is>
          <t>Ouginak M 200</t>
        </is>
      </c>
      <c r="B8399">
        <f>HYPERLINK("https://www.dofusbook.net/fr/equipement/5719912-ouginak-m-200/objets", "link")</f>
        <v/>
      </c>
      <c r="C8399" t="n">
        <v>0</v>
      </c>
      <c r="D8399" t="inlineStr">
        <is>
          <t>Manthache; Collier du Valet Veinard; Alliance Gloursonne; Gant du Valet Veinard; Droiture de Fallanster; Menoture; Casque Dragoeuf; Carapace de Torkélonia; Palmes Trithons; Dofus Ivoire; Dofus Ébène; Dofus des Glaces; Carapace Air majeur; Nomade; Remueur; Blérodoudou</t>
        </is>
      </c>
    </row>
    <row r="8400">
      <c r="A8400" t="inlineStr">
        <is>
          <t>Steamer M 200</t>
        </is>
      </c>
      <c r="B8400">
        <f>HYPERLINK("https://www.dofusbook.net/fr/equipement/5718776-steamer-m-200/objets", "link")</f>
        <v/>
      </c>
      <c r="C8400" t="n">
        <v>0</v>
      </c>
      <c r="D8400" t="inlineStr">
        <is>
          <t>Arc Nécrotique; Amulette du Strigide; Alliance Gloursonne; Bracelet du Piloztère; Quatre-feuilles; Ceinture du Strigide; Casquette de Meno; Voile d'encre; Bottes Honyme; Dofus Turquoise; Dofus des Glaces; Dofus Ivoire; Dofus Abyssal; Dofus Ocre; Dofus Ébène; Kokulte</t>
        </is>
      </c>
    </row>
    <row r="8401">
      <c r="A8401" t="inlineStr">
        <is>
          <t>Steamer M 200</t>
        </is>
      </c>
      <c r="B8401">
        <f>HYPERLINK("https://www.dofusbook.net/fr/equipement/5718608-steamer-m-200/objets", "link")</f>
        <v/>
      </c>
      <c r="C8401" t="n">
        <v>1</v>
      </c>
      <c r="D8401" t="inlineStr">
        <is>
          <t>Hache du Chalœil; Amulette Volkorne; Bague Trithon; Anneau Volkorne; Quatre-feuilles; Ceinture Volkorne; Masque Trithon; Cape d'Anerice; Bottes Trithon; Dofus Ivoire; Dofus Abyssal; Dofus Turquoise; Dofus Ébène; Dofus Ocre; Dofus des Glaces; Kokulte</t>
        </is>
      </c>
    </row>
    <row r="8402">
      <c r="A8402" t="inlineStr">
        <is>
          <t>Crâ F 200</t>
        </is>
      </c>
      <c r="B8402">
        <f>HYPERLINK("https://www.dofusbook.net/fr/equipement/5712876-cra-f-200/objets", "link")</f>
        <v/>
      </c>
      <c r="C8402" t="n">
        <v>0</v>
      </c>
      <c r="D8402" t="inlineStr">
        <is>
          <t>Arc du Chalœil; Amulette Luminescente; Alliance Gloursonne; Alliance du Lévitrof; Quatre-feuilles; Ceinture Luminescente; Coiffe du Lévitrof; Cape Luminescente; Bottes du Lévitrof; Dofus Ocre; Dofus Ébène; Dofus Nébuleux; Dofus des Glaces; Dofus Pourpre; Bousculeur majeur; Muldo Doré et Indigo</t>
        </is>
      </c>
    </row>
    <row r="8403">
      <c r="A8403" t="inlineStr">
        <is>
          <t>Crâ M 200</t>
        </is>
      </c>
      <c r="B8403">
        <f>HYPERLINK("https://www.dofusbook.net/fr/equipement/5712834-cra-m-200/objets", "link")</f>
        <v/>
      </c>
      <c r="C8403" t="n">
        <v>1</v>
      </c>
      <c r="D8403" t="inlineStr">
        <is>
          <t>Arc du Chalœil; Amulette du Cœur Saignant; Anneau Chevelu; Anneau Volkorne; Quatre-feuilles; Ceinture Volkorne; Masque de Koutoulou; Cape au Logis; Bottes du Cœur Saignant; Dofus Nébuleux; Dofus des Glaces; Dofus Turquoise; Dofus Ivoire; Dofus Ocre; Dofus Ébène; Pioute vert</t>
        </is>
      </c>
    </row>
    <row r="8404">
      <c r="A8404" t="inlineStr">
        <is>
          <t>Crâ M 200</t>
        </is>
      </c>
      <c r="B8404">
        <f>HYPERLINK("https://www.dofusbook.net/fr/equipement/5712530-cra-m-200/objets", "link")</f>
        <v/>
      </c>
      <c r="C8404" t="n">
        <v>1</v>
      </c>
      <c r="D8404" t="inlineStr">
        <is>
          <t>Baguette des égarés; Amulette de Pol Ouatnos; Pikano; Bracelet du Piloztère; Bouclier du Stalak; Ceinture de la Reine des Voleurs; Casque en Grithril; Voile d'encre; Bottes de la Reine des Voleurs; Dofus Ocre; Dofus des Glaces; Dofus Nébuleux; Dofus Pourpre; Dofus Ivoire; Dofus Ébène; Volkorne Pourpre et Indigo</t>
        </is>
      </c>
    </row>
    <row r="8405">
      <c r="A8405" t="inlineStr">
        <is>
          <t>Crâ M 200</t>
        </is>
      </c>
      <c r="B8405">
        <f>HYPERLINK("https://www.dofusbook.net/fr/equipement/5712516-cra-m-200/objets", "link")</f>
        <v/>
      </c>
      <c r="C8405" t="n">
        <v>0</v>
      </c>
      <c r="D8405" t="inlineStr"/>
    </row>
    <row r="8406">
      <c r="A8406" t="inlineStr">
        <is>
          <t>Sacrieur F 200</t>
        </is>
      </c>
      <c r="B8406">
        <f>HYPERLINK("https://www.dofusbook.net/fr/equipement/5712029-sacrieur-f-200/objets", "link")</f>
        <v/>
      </c>
      <c r="C8406" t="n">
        <v>0</v>
      </c>
      <c r="D8406" t="inlineStr"/>
    </row>
    <row r="8407">
      <c r="A8407" t="inlineStr">
        <is>
          <t>Roublard F 200</t>
        </is>
      </c>
      <c r="B8407">
        <f>HYPERLINK("https://www.dofusbook.net/fr/equipement/5711979-roublard-f-200/objets", "link")</f>
        <v/>
      </c>
      <c r="C8407" t="n">
        <v>0</v>
      </c>
      <c r="D8407" t="inlineStr"/>
    </row>
    <row r="8408">
      <c r="A8408" t="inlineStr">
        <is>
          <t>Sacrieur M 200</t>
        </is>
      </c>
      <c r="B8408">
        <f>HYPERLINK("https://www.dofusbook.net/fr/equipement/5709899-sacrieur-m-200/objets", "link")</f>
        <v/>
      </c>
      <c r="C8408" t="n">
        <v>0</v>
      </c>
      <c r="D8408" t="inlineStr">
        <is>
          <t>Manthache; Collier du Valet Veinard; Alliance Gloursonne; Gant du Valet Veinard; Droiture de Fallanster; Menoture; Dorabysses; Cape du Kamasterisk; Palmes Trithons; Dofus Ébène; Dofus Émeraude; Dofus Abyssal; Dofus des Glaces; Remueur; Cascadeur majeur; Muldo Turquoise et Ebène</t>
        </is>
      </c>
    </row>
    <row r="8409">
      <c r="A8409" t="inlineStr">
        <is>
          <t>Steamer F 200</t>
        </is>
      </c>
      <c r="B8409">
        <f>HYPERLINK("https://www.dofusbook.net/fr/equipement/5703383-steamer-f-200/objets", "link")</f>
        <v/>
      </c>
      <c r="C8409" t="n">
        <v>2</v>
      </c>
      <c r="D8409" t="inlineStr">
        <is>
          <t>Arc du Chalœil; Amulette Luminescente; Anneau de Brouce; Bague Gloursonne; Quatre-feuilles; Ceinture de la Reine des Voleurs; Coiffe de la Reine des Voleurs; Cape au Logis; Sabots Minables; Dofus Turquoise; Dofus Pourpre; Dofus des Glaces; Dofus Abyssal; Enragé majeur; Remueur; Bulbisou</t>
        </is>
      </c>
    </row>
    <row r="8410">
      <c r="A8410" t="inlineStr">
        <is>
          <t>Steamer F 200</t>
        </is>
      </c>
      <c r="B8410">
        <f>HYPERLINK("https://www.dofusbook.net/fr/equipement/5701176-steamer-f-200/objets", "link")</f>
        <v/>
      </c>
      <c r="C8410" t="n">
        <v>0</v>
      </c>
      <c r="D8410" t="inlineStr"/>
    </row>
    <row r="8411">
      <c r="A8411" t="inlineStr">
        <is>
          <t>Steamer M 200</t>
        </is>
      </c>
      <c r="B8411">
        <f>HYPERLINK("https://www.dofusbook.net/fr/equipement/5698162-steamer-m-200/objets", "link")</f>
        <v/>
      </c>
      <c r="C8411" t="n">
        <v>0</v>
      </c>
      <c r="D8411" t="inlineStr">
        <is>
          <t>Arc du Chalœil; Amulette Luminescente; Anneau du Professeur Xa; Bague Instable; Bivalve; Ceinture Gence; Casque Dragoeuf; Cape Luminescente; Bottes de la Cour Sombre; Dofus des Glaces; Dofus Abyssal; Culbuteur majeur; Enragé majeur; Bousculeur majeur; Remueur; Black Tiwabbit</t>
        </is>
      </c>
    </row>
    <row r="8412">
      <c r="A8412" t="inlineStr">
        <is>
          <t>Steamer F 200</t>
        </is>
      </c>
      <c r="B8412">
        <f>HYPERLINK("https://www.dofusbook.net/fr/equipement/5697823-steamer-f-200/objets", "link")</f>
        <v/>
      </c>
      <c r="C8412" t="n">
        <v>0</v>
      </c>
      <c r="D8412" t="inlineStr">
        <is>
          <t>Hache du Chalœil; Amulette du Strigide; Bague Gloursonne; Alliance Gloursonne; Quatre-feuilles; Ceinture du Strigide; Casque du Chalœil; Voile d'encre; Bottes du Strigide; Dofus Ébène; Dofus Turquoise; Dofus Ocre; Dofus des Glaces; Dofus Pourpre; Dofus Abyssal; Kokulte</t>
        </is>
      </c>
    </row>
    <row r="8413">
      <c r="A8413" t="inlineStr">
        <is>
          <t>Steamer F 200</t>
        </is>
      </c>
      <c r="B8413">
        <f>HYPERLINK("https://www.dofusbook.net/fr/equipement/5689590-steamer-f-200/objets", "link")</f>
        <v/>
      </c>
      <c r="C8413" t="n">
        <v>3</v>
      </c>
      <c r="D8413" t="inlineStr">
        <is>
          <t>Arc de Koutoulou; Amulette du Strigide; Bague Gloursonne; Anneau de Padgref; Bouclier d'Anerice; Ceinture du Strigide; Coiffe de Padgref; Cape d'Anerice; Getas de Padgref; Dofus des Glaces; Dofus Ébène; Dofus Abyssal; Dofus Turquoise; Dofus Pourpre; Dofus Ocre; Kokulte</t>
        </is>
      </c>
    </row>
    <row r="8414">
      <c r="A8414" t="inlineStr">
        <is>
          <t>Steamer F 200</t>
        </is>
      </c>
      <c r="B8414">
        <f>HYPERLINK("https://www.dofusbook.net/fr/equipement/5697029-steamer-f-200/objets", "link")</f>
        <v/>
      </c>
      <c r="C8414" t="n">
        <v>0</v>
      </c>
      <c r="D8414" t="inlineStr">
        <is>
          <t>Arc de Koutoulou; Amulette du Strigide; Bague Trithon; Anneau de Padgref; Quatre-feuilles; Ceinture du Strigide; Coiffe de Padgref; Cape d'Anerice; Getas de Padgref; Dofus Ivoire; Dofus Turquoise; Dofus des Glaces; Dofus Ébène; Dofus Ocre; Dolmanax; Kokulte</t>
        </is>
      </c>
    </row>
    <row r="8415">
      <c r="A8415" t="inlineStr">
        <is>
          <t>Steamer F 200</t>
        </is>
      </c>
      <c r="B8415">
        <f>HYPERLINK("https://www.dofusbook.net/fr/equipement/5693112-steamer-f-200/objets", "link")</f>
        <v/>
      </c>
      <c r="C8415" t="n">
        <v>2</v>
      </c>
      <c r="D8415" t="inlineStr">
        <is>
          <t>Arc de Koutoulou; Amulette du Strigide; Anneau de Padgref; Anneau Volkorne; Quatre-feuilles; Ceinture du Strigide; Némès de Tal Kasha; Chevelure de Tal Kasha; Sandales de Tal Kasha; Dofus Turquoise; Dofus Ébène; Dofus Ocre; Dofus des Glaces; Dofus Ivoire; Dofus Abyssal; Kokulte</t>
        </is>
      </c>
    </row>
    <row r="8416">
      <c r="A8416" t="inlineStr">
        <is>
          <t>Steamer F 200</t>
        </is>
      </c>
      <c r="B8416">
        <f>HYPERLINK("https://www.dofusbook.net/fr/equipement/5678309-steamer-f-200/objets", "link")</f>
        <v/>
      </c>
      <c r="C8416" t="n">
        <v>1</v>
      </c>
      <c r="D8416" t="inlineStr">
        <is>
          <t>Arc du Chalœil; Amulette du Cœur Saignant; Anneau Chevelu; Anneau Crustique; Quatre-feuilles; Ceinture Gence; Casque Dragoeuf; Cape au Logis; Bottes du Cœur Saignant; Dofus Turquoise; Dofus Ébène; Dofus Ocre; Dofus des Glaces; Dofus Abyssal; Enragé majeur; Pioute vert</t>
        </is>
      </c>
    </row>
    <row r="8417">
      <c r="A8417" t="inlineStr">
        <is>
          <t>Enutrof M 200</t>
        </is>
      </c>
      <c r="B8417">
        <f>HYPERLINK("https://www.dofusbook.net/fr/equipement/5674599-enutrof-m-200/objets", "link")</f>
        <v/>
      </c>
      <c r="C8417" t="n">
        <v>3</v>
      </c>
      <c r="D8417" t="inlineStr">
        <is>
          <t>Baguette Hique; Amulette Volkorne; Bracelet du Piloztère; Anneau Volkorne; Bouclier cubiste; Ceintacé; Casque Dragoeuf; Cape de la Dame du Hasard; Bottes de la Dame du Hasard; Dofus Turquoise; Dofus Ocre; Dofus des Glaces; Dofus Pourpre; Dofus Abyssal; Voyageur; Gwo Tofu Ventripotent</t>
        </is>
      </c>
    </row>
    <row r="8418">
      <c r="A8418" t="inlineStr">
        <is>
          <t>Steamer F 200</t>
        </is>
      </c>
      <c r="B8418">
        <f>HYPERLINK("https://www.dofusbook.net/fr/equipement/5669176-steamer-f-200/objets", "link")</f>
        <v/>
      </c>
      <c r="C8418" t="n">
        <v>0</v>
      </c>
      <c r="D8418" t="inlineStr">
        <is>
          <t>Arc Nécrotique; Amulette Volkorne; Bague Trithon; Anneau Volkorne; Quatre-feuilles; Ceintacé; Masque Trithon; Cape de la Dame du Hasard; Bottes de la Dame du Hasard; Dofus Turquoise; Dofus Ébène; Dofus Ocre; Dofus des Glaces; Dofus Ivoire; Dofus Abyssal; Kokulte</t>
        </is>
      </c>
    </row>
    <row r="8419">
      <c r="A8419" t="inlineStr">
        <is>
          <t>Pandawa M 200</t>
        </is>
      </c>
      <c r="B8419">
        <f>HYPERLINK("https://www.dofusbook.net/fr/equipement/5666381-pandawa-m-200/objets", "link")</f>
        <v/>
      </c>
      <c r="C8419" t="n">
        <v>1</v>
      </c>
      <c r="D8419" t="inlineStr">
        <is>
          <t>Crocobur; Collier de Tourthon; Bague Gloursonne; Anneau Crustique; Bouclier des Chocomanciens; Ceinture de la Cour Sombre; Casque Dragoeuf; Cape au Logis; Bottes de la Cour Sombre; Dofus Émeraude; Dofus Ivoire; Dofus Abyssal; Enragé majeur; Remueur; Évasif majeur; Volkorne Jade et Pourpre</t>
        </is>
      </c>
    </row>
    <row r="8420">
      <c r="A8420" t="inlineStr">
        <is>
          <t>Steamer M 200</t>
        </is>
      </c>
      <c r="B8420">
        <f>HYPERLINK("https://www.dofusbook.net/fr/equipement/5656662-steamer-m-200/objets", "link")</f>
        <v/>
      </c>
      <c r="C8420" t="n">
        <v>0</v>
      </c>
      <c r="D8420" t="inlineStr">
        <is>
          <t>Arc du Chalœil; Collier de Tourthon; Anneau de Brouce; Bracelet du Piloztère; Quatre-feuilles; Ceinture de la Reine des Voleurs; Coiffe de la Reine des Voleurs; Cape au Logis; Baleinabottes; Dofus Turquoise; Dofus Ébène; Dofus Ocre; Dofus des Glaces; Dofus Ivoire; Dofus Abyssal; Bulbisou</t>
        </is>
      </c>
    </row>
    <row r="8421">
      <c r="A8421" t="inlineStr">
        <is>
          <t>Steamer M 200</t>
        </is>
      </c>
      <c r="B8421">
        <f>HYPERLINK("https://www.dofusbook.net/fr/equipement/5656659-steamer-m-200/objets", "link")</f>
        <v/>
      </c>
      <c r="C8421" t="n">
        <v>0</v>
      </c>
      <c r="D8421" t="inlineStr"/>
    </row>
    <row r="8422">
      <c r="A8422" t="inlineStr">
        <is>
          <t>Enutrof M 200</t>
        </is>
      </c>
      <c r="B8422">
        <f>HYPERLINK("https://www.dofusbook.net/fr/equipement/5650618-enutrof-m-200/objets", "link")</f>
        <v/>
      </c>
      <c r="C8422" t="n">
        <v>0</v>
      </c>
      <c r="D8422" t="inlineStr">
        <is>
          <t>Arc corrompu; Amulette Séculaire; Chevalière du Roi Joueur; Anneau de Nidas; Bouclier du Cycloïde; Ceinture Séculaire; Casque Dragoeuf; Cape de Diondin; Bottes de Meno; Dofus Pourpre; Dofus des Glaces; Déserteur majeur; Remueur; Érudit majeur; Nomade; Dragodinde Dorée et Orchidée</t>
        </is>
      </c>
    </row>
    <row r="8423">
      <c r="A8423" t="inlineStr">
        <is>
          <t>Steamer M 200</t>
        </is>
      </c>
      <c r="B8423">
        <f>HYPERLINK("https://www.dofusbook.net/fr/equipement/5644927-steamer-m-200/objets", "link")</f>
        <v/>
      </c>
      <c r="C8423" t="n">
        <v>0</v>
      </c>
      <c r="D8423" t="inlineStr">
        <is>
          <t>Arc du Chalœil; Amulette Volkorne; Bague Gloursonne; Anneau Crustique; Quatre-feuilles; Ceinture Volkorne; Masque de Koutoulou; Cape du Cœur Saignant; Bottes du Cœur Saignant; Dofus Turquoise; Dofus Ébène; Dofus Ocre; Dofus des Glaces; Dofus Ivoire; Dofus Abyssal; Pioute vert</t>
        </is>
      </c>
    </row>
    <row r="8424">
      <c r="A8424" t="inlineStr">
        <is>
          <t>Steamer F 200</t>
        </is>
      </c>
      <c r="B8424">
        <f>HYPERLINK("https://www.dofusbook.net/fr/equipement/5642715-steamer-f-200/objets", "link")</f>
        <v/>
      </c>
      <c r="C8424" t="n">
        <v>0</v>
      </c>
      <c r="D8424" t="inlineStr">
        <is>
          <t>Arc du Chalœil; Amulette Volkorne; Anneau Crustique; Anneau Crustique; Quatre-feuilles; Ceinture Volkorne; Masque de Koutoulou; Cape au Logis; Bottes de la Cour Sombre; Dofus des Glaces; Dofus Turquoise; Dofus Abyssal; Dofus Ébène; Dofus Pourpre; Remueur; Pioute vert</t>
        </is>
      </c>
    </row>
    <row r="8425">
      <c r="A8425" t="inlineStr">
        <is>
          <t>Steamer F 200</t>
        </is>
      </c>
      <c r="B8425">
        <f>HYPERLINK("https://www.dofusbook.net/fr/equipement/5641475-steamer-f-200/objets", "link")</f>
        <v/>
      </c>
      <c r="C8425" t="n">
        <v>2</v>
      </c>
      <c r="D8425" t="inlineStr">
        <is>
          <t>Plume de Buhorado; Amulette Volkorne; Alliance Gloursonne; Anneau de Padgref; Quatre-feuilles; Menoture; Casque Volkorne; Cape de Crânonier; Palmes Trithons; Dofus Turquoise; Dofus Ocre; Dofus des Glaces; Dofus Ébène; Cascadeur majeur; Carapace Feu majeur; Blérodoudou</t>
        </is>
      </c>
    </row>
    <row r="8426">
      <c r="A8426" t="inlineStr">
        <is>
          <t>Steamer M 200</t>
        </is>
      </c>
      <c r="B8426">
        <f>HYPERLINK("https://www.dofusbook.net/fr/equipement/5641344-steamer-m-200/objets", "link")</f>
        <v/>
      </c>
      <c r="C8426" t="n">
        <v>0</v>
      </c>
      <c r="D8426" t="inlineStr">
        <is>
          <t>Plume de Buhorado; Collier du Valet Veinard; Bague Instable; Gant du Valet Veinard; Bouclier du Stalak; Menoture; Casque Dragoeuf; Capibou; Palmes Trithons; Dofus des Glaces; Dofus Ivoire; Dofus Abyssal; Dofus Ébène; Remueur; Carapace Air majeur; Tofoudre</t>
        </is>
      </c>
    </row>
    <row r="8427">
      <c r="A8427" t="inlineStr">
        <is>
          <t>Xélor F 200</t>
        </is>
      </c>
      <c r="B8427">
        <f>HYPERLINK("https://www.dofusbook.net/fr/equipement/5627544-xelor-f-200/objets", "link")</f>
        <v/>
      </c>
      <c r="C8427" t="n">
        <v>0</v>
      </c>
      <c r="D8427" t="inlineStr">
        <is>
          <t>Arc corrompu; Amulette Volkorne; Bague Gloursonne; Anneauræus; Quatre-feuilles; Ceinture Volkorne; Chapeau de Gein; Cape de Diondin; Bottes Innommables; Dofus Pourpre; Dofus Turquoise; Dofus des Glaces; Nomade; Dévastateur Feu majeur; Remueur; Bisouglours</t>
        </is>
      </c>
    </row>
    <row r="8428">
      <c r="A8428" t="inlineStr">
        <is>
          <t>Pandawa M 200</t>
        </is>
      </c>
      <c r="B8428">
        <f>HYPERLINK("https://www.dofusbook.net/fr/equipement/5618646-pandawa-m-200/objets", "link")</f>
        <v/>
      </c>
      <c r="C8428" t="n">
        <v>1</v>
      </c>
      <c r="D8428" t="inlineStr">
        <is>
          <t>Baguette de Torkélonia; Amulette du Strigide; Bague Gloursonne; Alliance Gloursonne; Quatre-feuilles; Ceinture du Strigide; Corne de Torkélonia; Carapace de Torkélonia; Bottes du Strigide; Dofus Turquoise; Dofus Ébène; Dofus Ocre; Dofus des Glaces; Dofus Pourpre; Dofus Ivoire; Bwak d'Eau</t>
        </is>
      </c>
    </row>
    <row r="8429">
      <c r="A8429" t="inlineStr">
        <is>
          <t>Pandawa M 200</t>
        </is>
      </c>
      <c r="B8429">
        <f>HYPERLINK("https://www.dofusbook.net/fr/equipement/5617777-pandawa-m-200/objets", "link")</f>
        <v/>
      </c>
      <c r="C8429" t="n">
        <v>0</v>
      </c>
      <c r="D8429" t="inlineStr">
        <is>
          <t>Crocobur; Collier de Tourthon; Anneau Chevelu; Bague Gloursonne; Bouclier Taverne; Ceinture Gence; Casque Dragoeuf; Cape au Logis; Bottes de la Cour Sombre; Dofus Ébène; Dokoko; Dofus Ocre; Dofus Émeraude; Dofus Ivoire; Évasif majeur; Givrefoux</t>
        </is>
      </c>
    </row>
    <row r="8430">
      <c r="A8430" t="inlineStr">
        <is>
          <t>Pandawa M 200</t>
        </is>
      </c>
      <c r="B8430">
        <f>HYPERLINK("https://www.dofusbook.net/fr/equipement/5617745-pandawa-m-200/objets", "link")</f>
        <v/>
      </c>
      <c r="C8430" t="n">
        <v>0</v>
      </c>
      <c r="D8430" t="inlineStr">
        <is>
          <t>Bague Gloursonne; Anneau Crustique; Masque de Koutoulou; Cape au Logis</t>
        </is>
      </c>
    </row>
    <row r="8431">
      <c r="A8431" t="inlineStr">
        <is>
          <t>Sram M 200</t>
        </is>
      </c>
      <c r="B8431">
        <f>HYPERLINK("https://www.dofusbook.net/fr/equipement/5509922-sram-m-200/objets", "link")</f>
        <v/>
      </c>
      <c r="C8431" t="n">
        <v>1</v>
      </c>
      <c r="D8431" t="inlineStr">
        <is>
          <t>Crocobur; Amulette du Strigide; Alliance Gloursonne; Bague Gloursonne; Bouclier d'Ilyzaelle; Ceinture du Strigide; Corne de Torkélonia; Carapace de Torkélonia; Bottes du Strigide; Dofus Abyssal; Dofus Ocre; Dofus Pourpre; Dofus Ébène; Dofus Émeraude; Dofus des Glaces; Muldo Prune et Indigo</t>
        </is>
      </c>
    </row>
    <row r="8432">
      <c r="A8432" t="inlineStr">
        <is>
          <t>Xélor F 200</t>
        </is>
      </c>
      <c r="B8432">
        <f>HYPERLINK("https://www.dofusbook.net/fr/equipement/5552593-xelor-f-200/objets", "link")</f>
        <v/>
      </c>
      <c r="C8432" t="n">
        <v>1</v>
      </c>
      <c r="D8432" t="inlineStr"/>
    </row>
    <row r="8433">
      <c r="A8433" t="inlineStr">
        <is>
          <t>Féca F 200</t>
        </is>
      </c>
      <c r="B8433">
        <f>HYPERLINK("https://www.dofusbook.net/fr/equipement/5059279-feca-f-200/objets", "link")</f>
        <v/>
      </c>
      <c r="C8433" t="n">
        <v>2</v>
      </c>
      <c r="D8433" t="inlineStr">
        <is>
          <t>Baguette de Torkélonia; Amulette du Strigide; Alliance Gloursonne; Bague Gloursonne; Quatre-feuilles; Ceinture du Strigide; Corne de Torkélonia; Carapace de Torkélonia; Bottes du Strigide; Dofus Ocre; Dofus des Glaces; Dofus Ivoire; Dofus Abyssal; Dofus Turquoise; Dofus Ébène; Chacha Angora</t>
        </is>
      </c>
    </row>
    <row r="8434">
      <c r="A8434" t="inlineStr">
        <is>
          <t>Xélor F 200</t>
        </is>
      </c>
      <c r="B8434">
        <f>HYPERLINK("https://www.dofusbook.net/fr/equipement/5476435-xelor-f-200/objets", "link")</f>
        <v/>
      </c>
      <c r="C8434" t="n">
        <v>0</v>
      </c>
      <c r="D8434" t="inlineStr">
        <is>
          <t>Baguette de Torkélonia; Amulette du Strigide; Alliance Gloursonne; Bague Gloursonne; Quatre-feuilles; Ceinture du Strigide; Corne de Torkélonia; Carapace de Torkélonia; Bottes du Strigide; Dofus Ocre; Dofus des Glaces; Dofus Ivoire; Dofus Abyssal; Dofus Turquoise; Dofus Ébène; Chacha Angora</t>
        </is>
      </c>
    </row>
    <row r="8435">
      <c r="A8435" t="inlineStr">
        <is>
          <t>Crâ F 200</t>
        </is>
      </c>
      <c r="B8435">
        <f>HYPERLINK("https://www.dofusbook.net/fr/equipement/5499535-cra-f-200/objets", "link")</f>
        <v/>
      </c>
      <c r="C8435" t="n">
        <v>2</v>
      </c>
      <c r="D8435" t="inlineStr">
        <is>
          <t>Baguette de Torkélonia; Amulette du Strigide; Alliance Gloursonne; Bague Gloursonne; Quatre-feuilles; Ceinture du Strigide; Corne de Torkélonia; Carapace de Torkélonia; Bottes du Strigide; Dofus Ocre; Dofus des Glaces; Dofus Ivoire; Dofus Abyssal; Dofus Turquoise; Dofus Ébène; Chacha Angora</t>
        </is>
      </c>
    </row>
    <row r="8436">
      <c r="A8436" t="inlineStr">
        <is>
          <t>Xélor F 200</t>
        </is>
      </c>
      <c r="B8436">
        <f>HYPERLINK("https://www.dofusbook.net/fr/equipement/5496760-xelor-f-200/objets", "link")</f>
        <v/>
      </c>
      <c r="C8436" t="n">
        <v>1</v>
      </c>
      <c r="D8436" t="inlineStr">
        <is>
          <t>Baguette de Torkélonia; Amulette du Strigide; Alliance Gloursonne; Bague Gloursonne; Quatre-feuilles; Ceinture du Strigide; Coiffe de la Fuji Givrefoux; Cape de la Fuji Givrefoux; Bottes du Strigide; Dofus Pourpre; Dofus Ébène; Dofus Turquoise; Dofus des Glaces; Dofus Ocre; Dofus Ivoire; Volkorne Saphir et Emeraude</t>
        </is>
      </c>
    </row>
    <row r="8437">
      <c r="A8437" t="inlineStr">
        <is>
          <t>Crâ F 200</t>
        </is>
      </c>
      <c r="B8437">
        <f>HYPERLINK("https://www.dofusbook.net/fr/equipement/5496738-cra-f-200/objets", "link")</f>
        <v/>
      </c>
      <c r="C8437" t="n">
        <v>0</v>
      </c>
      <c r="D8437" t="inlineStr">
        <is>
          <t>Baguette de Torkélonia</t>
        </is>
      </c>
    </row>
    <row r="8438">
      <c r="A8438" t="inlineStr">
        <is>
          <t>Crâ M 200</t>
        </is>
      </c>
      <c r="B8438">
        <f>HYPERLINK("https://www.dofusbook.net/fr/equipement/5496067-cra-m-200/objets", "link")</f>
        <v/>
      </c>
      <c r="C8438" t="n">
        <v>0</v>
      </c>
      <c r="D8438" t="inlineStr">
        <is>
          <t>Épouvante; Amulette de Pol Ouatnos; Alliance Gloursonne; Anneau Volkorne; Ceinture Volkorne; Coiffe de la Reine des Voleurs; Voile d'encre; Bottes de la Reine des Voleurs; Dofus Pourpre; Dofus Ébène; Dofus Ocre; Dofus des Glaces</t>
        </is>
      </c>
    </row>
    <row r="8439">
      <c r="A8439" t="inlineStr">
        <is>
          <t>Crâ F 200</t>
        </is>
      </c>
      <c r="B8439">
        <f>HYPERLINK("https://www.dofusbook.net/fr/equipement/5484282-cra-f-200/objets", "link")</f>
        <v/>
      </c>
      <c r="C8439" t="n">
        <v>0</v>
      </c>
      <c r="D8439" t="inlineStr">
        <is>
          <t>Arc du Chalœil; Amulette du Cœur Saignant; Anneau Crustique; Anneau Crustique; Quatre-feuilles; Ceinture Volkorne; Masque de Koutoulou; Cape au Logis; Bottes du Cœur Saignant; Dofus Turquoise; Dofus Ocre; Dofus Ébène; Dofus Nébuleux; Dofus des Glaces; Fonceur majeur; Pioute vert</t>
        </is>
      </c>
    </row>
    <row r="8440">
      <c r="A8440" t="inlineStr">
        <is>
          <t>Xélor F 200</t>
        </is>
      </c>
      <c r="B8440">
        <f>HYPERLINK("https://www.dofusbook.net/fr/equipement/5476418-xelor-f-200/objets", "link")</f>
        <v/>
      </c>
      <c r="C8440" t="n">
        <v>1</v>
      </c>
      <c r="D8440" t="inlineStr"/>
    </row>
    <row r="8441">
      <c r="A8441" t="inlineStr">
        <is>
          <t>Xélor F 200</t>
        </is>
      </c>
      <c r="B8441">
        <f>HYPERLINK("https://www.dofusbook.net/fr/equipement/5464758-xelor-f-200/objets", "link")</f>
        <v/>
      </c>
      <c r="C8441" t="n">
        <v>0</v>
      </c>
      <c r="D8441" t="inlineStr">
        <is>
          <t>Sceptre du Roi Joueur; Amulette de Shokkoth; Anneau Volkorne; Alliance Gloursonne; Bouclier du Stalak; Culotte de Bethel; Kidibonnet; Cape de Mantaze; Chaussons de Macrab; Dofus Ébène; Dokoko; Dofus des Glaces; Dofus Pourpre; Étourdisseur majeur; Nomade</t>
        </is>
      </c>
    </row>
    <row r="8442">
      <c r="A8442" t="inlineStr">
        <is>
          <t>Xélor F 200</t>
        </is>
      </c>
      <c r="B8442">
        <f>HYPERLINK("https://www.dofusbook.net/fr/equipement/5453332-xelor-f-200/objets", "link")</f>
        <v/>
      </c>
      <c r="C8442" t="n">
        <v>0</v>
      </c>
      <c r="D8442" t="inlineStr">
        <is>
          <t>Dagues Érhy; Amulette du Strigide; Alliance Gloursonne; Bracelet du Piloztère; Quatre-feuilles; Ceinture du Strigide; Casque du Chalœil; Voile d'encre; Bottes Honyme; Dofus Pourpre; Dofus des Glaces; Dofus Turquoise; Dofus Ébène; Remueur; Nomade; Chacha Angora</t>
        </is>
      </c>
    </row>
    <row r="8443">
      <c r="A8443" t="inlineStr">
        <is>
          <t>Crâ M 200</t>
        </is>
      </c>
      <c r="B8443">
        <f>HYPERLINK("https://www.dofusbook.net/fr/equipement/5398868-cra-m-200/objets", "link")</f>
        <v/>
      </c>
      <c r="C8443" t="n">
        <v>1</v>
      </c>
      <c r="D8443" t="inlineStr"/>
    </row>
    <row r="8444">
      <c r="A8444" t="inlineStr">
        <is>
          <t>Crâ F 200</t>
        </is>
      </c>
      <c r="B8444">
        <f>HYPERLINK("https://www.dofusbook.net/fr/equipement/5392169-cra-f-200/objets", "link")</f>
        <v/>
      </c>
      <c r="C8444" t="n">
        <v>1</v>
      </c>
      <c r="D8444" t="inlineStr">
        <is>
          <t>Dagues Érhy; Amulette du Strigide; Bracelet du Piloztère; Alliance Gloursonne; Quatre-feuilles; Ceinture du Strigide; Casque du Chalœil; Voile d'encre; Bottes Honyme; Dofus Ébène; Dofus Turquoise; Dofus des Glaces; Dofus Nébuleux; Remueur; Nomade; Chacha Angora</t>
        </is>
      </c>
    </row>
    <row r="8445">
      <c r="A8445" t="inlineStr">
        <is>
          <t>Crâ M 200</t>
        </is>
      </c>
      <c r="B8445">
        <f>HYPERLINK("https://www.dofusbook.net/fr/equipement/5391085-cra-m-200/objets", "link")</f>
        <v/>
      </c>
      <c r="C8445" t="n">
        <v>1</v>
      </c>
      <c r="D8445" t="inlineStr">
        <is>
          <t>Epée Gloursonne; Amulette du Strigide; Alliance Gloursonne; Bague Gloursonne; Quatre-feuilles; Ceinture du Strigide; Le Dorado; Voile d'encre; Bottes du Strigide; Dofus Abyssal; Dofus des Glaces; Dofus Turquoise; Dofus Nébuleux; Dofus Ébène; Voyageur; Kokulte</t>
        </is>
      </c>
    </row>
    <row r="8446">
      <c r="A8446" t="inlineStr">
        <is>
          <t>Enutrof M 200</t>
        </is>
      </c>
      <c r="B8446">
        <f>HYPERLINK("https://www.dofusbook.net/fr/equipement/5387378-enutrof-m-200/objets", "link")</f>
        <v/>
      </c>
      <c r="C8446" t="n">
        <v>3</v>
      </c>
      <c r="D8446" t="inlineStr">
        <is>
          <t>Dagues Açantes; Amulette des Chocomanciens; Pikano; Alliance Gloursonne; Bouclier cubiste; Ceinture Instable; Casquipik; Cape Solution; Chaussons de Macrab; Joueur majeur; Remueur; Temporiseur majeur; Nomade; Ralentisseur majeur; Chanceux majeur; Volkorne Turquoise et Indigo</t>
        </is>
      </c>
    </row>
    <row r="8447">
      <c r="A8447" t="inlineStr">
        <is>
          <t>Crâ M 200</t>
        </is>
      </c>
      <c r="B8447">
        <f>HYPERLINK("https://www.dofusbook.net/fr/equipement/5311604-cra-m-200/objets", "link")</f>
        <v/>
      </c>
      <c r="C8447" t="n">
        <v>1</v>
      </c>
      <c r="D8447" t="inlineStr">
        <is>
          <t>Dagues de Srambad; Amulette de Pol Ouatnos; Anneau Volkorne; Alliance Gloursonne; Bouclier du Stalak; Ceinture Volkorne; Kidibonnet; Voile d'encre; Bottes du Cœur Saignant; Dofus Ivoire; Dofus Abyssal; Dofus Ocre; Dofus Ébène; Dofus Nébuleux; Dofus des Glaces; Bébé Pandawa</t>
        </is>
      </c>
    </row>
    <row r="8448">
      <c r="A8448" t="inlineStr">
        <is>
          <t>Ouginak M 200</t>
        </is>
      </c>
      <c r="B8448">
        <f>HYPERLINK("https://www.dofusbook.net/fr/equipement/5240206-ouginak-m-200/objets", "link")</f>
        <v/>
      </c>
      <c r="C8448" t="n">
        <v>2</v>
      </c>
      <c r="D8448" t="inlineStr">
        <is>
          <t>Pelle de la Cour Sombre; Collier du Valet Veinard; Gant du Valet Veinard; Alliance Gloursonne; Bouclier d'Ilyzaelle; Menoture; Casque Dragoeuf; Cape Indescriptible; Palmes Trithons; Dofus Émeraude; Dofus Abyssal; Dofus Ivoire; Dokoko; Remueur; Nomade; Bwak d'Air</t>
        </is>
      </c>
    </row>
    <row r="8449">
      <c r="A8449" t="inlineStr">
        <is>
          <t>Ecaflip F 200</t>
        </is>
      </c>
      <c r="B8449">
        <f>HYPERLINK("https://www.dofusbook.net/fr/equipement/5213691-ecaflip-f-200/objets", "link")</f>
        <v/>
      </c>
      <c r="C8449" t="n">
        <v>1</v>
      </c>
      <c r="D8449" t="inlineStr">
        <is>
          <t>Bêche Asse; Amulette du Cœur Vaillant; Bague Instable; Bague Trithon; Bouclier précieux; Ceinture Gence; Masque Trithon; Cape au Logis; Bottes Trithon; Dofus Émeraude; Dofus Abyssal; Dokoko; Dofus Ivoire; Bousculeur majeur; Pousseur majeur; Black Tiwabbit</t>
        </is>
      </c>
    </row>
    <row r="8450">
      <c r="A8450" t="inlineStr">
        <is>
          <t>Steamer M 200</t>
        </is>
      </c>
      <c r="B8450">
        <f>HYPERLINK("https://www.dofusbook.net/fr/equipement/5239749-steamer-m-200/objets", "link")</f>
        <v/>
      </c>
      <c r="C8450" t="n">
        <v>4</v>
      </c>
      <c r="D8450" t="inlineStr">
        <is>
          <t>Hachoirs de Viandargh; Amulette des Chocomanciens; Alliance Gloursonne; Bague Instable; Bouclier d'Ilyzaelle; Ceinture des Chocomanciens; Chapeau des Malveilleurs; Cape des Malveilleurs; Bottes des Malveilleurs; Dofus Ocre; Dokoko; Dofus Ivoire; Dofus Émeraude; Dofus Abyssal; Bousculeur majeur; Balafreux</t>
        </is>
      </c>
    </row>
    <row r="8451">
      <c r="A8451" t="inlineStr">
        <is>
          <t>Ecaflip M 200</t>
        </is>
      </c>
      <c r="B8451">
        <f>HYPERLINK("https://www.dofusbook.net/fr/equipement/5209805-ecaflip-m-200/objets", "link")</f>
        <v/>
      </c>
      <c r="C8451" t="n">
        <v>0</v>
      </c>
      <c r="D8451" t="inlineStr">
        <is>
          <t>Crocobur; Amulette de l'Œil Attentif; Anneau Volkorne; Alliance Gloursonne; Bouclier d'Ilyzaelle; Ceinture de la Reine des Voleurs; Capuche de l'Œil Attentif; Cape de l'Œil Attentif; Bottes de la Reine des Voleurs; Dokoko; Dofus Ébène; Dofus Ocre; Dofus des Glaces; Dofus Nébuleux; Dofus Abyssal; Muldo Ebène et Orchidée</t>
        </is>
      </c>
    </row>
    <row r="8452">
      <c r="A8452" t="inlineStr">
        <is>
          <t>Sacrieur M 200</t>
        </is>
      </c>
      <c r="B8452">
        <f>HYPERLINK("https://www.dofusbook.net/fr/equipement/5097604-sacrieur-m-200/objets", "link")</f>
        <v/>
      </c>
      <c r="C8452" t="n">
        <v>1</v>
      </c>
      <c r="D8452" t="inlineStr">
        <is>
          <t>Lance Horselé; Collier du Valet Veinard; Gant du Valet Veinard; Alliance Gloursonne; Bouclier d'Ilyzaelle; Menoture; Masque d'Anerice; Cape d'Anerice; Palmes Trithons; Dofus Émeraude; Dofus Abyssal; Dofus Ocre; Dofus Ivoire; Dokoko; Dofus des Glaces; Muldo Ebène</t>
        </is>
      </c>
    </row>
    <row r="8453">
      <c r="A8453" t="inlineStr">
        <is>
          <t>Eniripsa M 200</t>
        </is>
      </c>
      <c r="B8453">
        <f>HYPERLINK("https://www.dofusbook.net/fr/equipement/5094080-eniripsa-m-200/objets", "link")</f>
        <v/>
      </c>
      <c r="C8453" t="n">
        <v>0</v>
      </c>
      <c r="D8453" t="inlineStr">
        <is>
          <t>Sabres d'Atcham; Amulette Volkorne; Bague Trithon; Anneau Volkorne; Bouclier Taverne; Ceintacé; Casque Volkorne; Cape d'Atcham; Bottes Trithon; Dofus Pourpre; Dofus Ébène; Dofus Turquoise; Dofus des Glaces; Dofus Ocre; Dofus Nébuleux; Boskito</t>
        </is>
      </c>
    </row>
    <row r="8454">
      <c r="A8454" t="inlineStr">
        <is>
          <t>Sacrieur F 200</t>
        </is>
      </c>
      <c r="B8454">
        <f>HYPERLINK("https://www.dofusbook.net/fr/equipement/5093902-sacrieur-f-200/objets", "link")</f>
        <v/>
      </c>
      <c r="C8454" t="n">
        <v>0</v>
      </c>
      <c r="D8454" t="inlineStr">
        <is>
          <t>Bêche Asse; Amulette de Pol Ouatnos; Anneau de Brouce; Anneau Crustique; Carapar; Ceinture Gence; Casque Dragoeuf; Cape au Logis; Bottes de Brouce; Dokoko; Dofus Abyssal; Dofus Ébène; Dofus Ocre; Dofus Émeraude; Dofus des Glaces; Bulbisou</t>
        </is>
      </c>
    </row>
    <row r="8455">
      <c r="A8455" t="inlineStr">
        <is>
          <t>Féca F 200</t>
        </is>
      </c>
      <c r="B8455">
        <f>HYPERLINK("https://www.dofusbook.net/fr/equipement/5037314-feca-f-200/objets", "link")</f>
        <v/>
      </c>
      <c r="C8455" t="n">
        <v>3</v>
      </c>
      <c r="D8455" t="inlineStr">
        <is>
          <t>Hachoirs de Viandargh; Amulette du Strigide; Alliance Gloursonne; Anneau de Padgref; Bouclier du Captain Amakna; Ceinture du Strigide; Coiffe de Padgref; Cape Indescriptible; Getas de Padgref; Dofus Pourpre; Dofus Émeraude; Dofus Turquoise; Dofus des Glaces; Dofus Ocre; Dofus Abyssal; Kokulte</t>
        </is>
      </c>
    </row>
    <row r="8456">
      <c r="A8456" t="inlineStr">
        <is>
          <t>Crâ M 200</t>
        </is>
      </c>
      <c r="B8456">
        <f>HYPERLINK("https://www.dofusbook.net/fr/equipement/5017078-cra-m-200/objets", "link")</f>
        <v/>
      </c>
      <c r="C8456" t="n">
        <v>0</v>
      </c>
      <c r="D8456" t="inlineStr">
        <is>
          <t>Arc du Chalœil; Collier de Tourthon; Anneau du Comte Harebourg; Anneau de Brouce; Bouclier du Stalak; Ceinture de Brouce; Coiffe du Comte Harebourg; Cape au Logis; Bottes de Brouce; Dofus Pourpre; Dofus des Glaces; Dofus Ébène; Dofus Ocre; Dolmanax; Dofus Nébuleux; Bulbisou</t>
        </is>
      </c>
    </row>
    <row r="8457">
      <c r="A8457" t="inlineStr">
        <is>
          <t>Sram F 200</t>
        </is>
      </c>
      <c r="B8457">
        <f>HYPERLINK("https://www.dofusbook.net/fr/equipement/4999413-sram-f-200/objets", "link")</f>
        <v/>
      </c>
      <c r="C8457" t="n">
        <v>1</v>
      </c>
      <c r="D8457" t="inlineStr">
        <is>
          <t>Lav'Hache; Collier de Tourthon; Anneau de Brouce; Anneau du Comte Harebourg; Bouclier du Captain Amakna; Ceinture de Brouce; Coiffe du Comte Harebourg; Cape au Logis; Bottes de Brouce; Dolmanax; Dofus Ébène; Dofus Pourpre; Dofus Abyssal; Dofus Ocre; Dofus des Glaces; Bulbisou</t>
        </is>
      </c>
    </row>
    <row r="8458">
      <c r="A8458" t="inlineStr">
        <is>
          <t>Sram F 200</t>
        </is>
      </c>
      <c r="B8458">
        <f>HYPERLINK("https://www.dofusbook.net/fr/equipement/4999401-sram-f-200/objets", "link")</f>
        <v/>
      </c>
      <c r="C8458" t="n">
        <v>1</v>
      </c>
      <c r="D8458" t="inlineStr"/>
    </row>
    <row r="8459">
      <c r="A8459" t="inlineStr">
        <is>
          <t>Sram F 200</t>
        </is>
      </c>
      <c r="B8459">
        <f>HYPERLINK("https://www.dofusbook.net/fr/equipement/4810547-sram-f-200/objets", "link")</f>
        <v/>
      </c>
      <c r="C8459" t="n">
        <v>2</v>
      </c>
      <c r="D8459" t="inlineStr">
        <is>
          <t>Marteau R'ture; Amulette Volkorne; Chevalière du Roi Joueur; Bague Gloursonne; Bouclier du Captain Amakna; Ceinture Volkorne; Couronne du Roi Joueur; Voile d'encre; Bottes du Roi Joueur; Dofus Ocre; Dofus Abyssal; Dolmanax; Dofus des Glaces; Dofus Pourpre; Dofus Ébène; Volkorne Pourpre</t>
        </is>
      </c>
    </row>
    <row r="8460">
      <c r="A8460" t="inlineStr">
        <is>
          <t>Sram F 200</t>
        </is>
      </c>
      <c r="B8460">
        <f>HYPERLINK("https://www.dofusbook.net/fr/equipement/4758663-sram-f-200/objets", "link")</f>
        <v/>
      </c>
      <c r="C8460" t="n">
        <v>2</v>
      </c>
      <c r="D8460" t="inlineStr">
        <is>
          <t>Arc du Chalœil; Collier de Tourthon; Anneau de Brouce; Anneau du Comte Harebourg; Bouclier du Stalak; Ceinture Volkorne; Coiffe du Comte Harebourg; Cape au Logis; Baleinabottes; Dofus Pourpre; Dofus Ocre; Dofus Ébène; Dofus des Glaces; Dévastateur Terre majeur; Enragé majeur; Bulbisou</t>
        </is>
      </c>
    </row>
    <row r="8461">
      <c r="A8461" t="inlineStr">
        <is>
          <t>Sram F 200</t>
        </is>
      </c>
      <c r="B8461">
        <f>HYPERLINK("https://www.dofusbook.net/fr/equipement/4758583-sram-f-200/objets", "link")</f>
        <v/>
      </c>
      <c r="C8461" t="n">
        <v>0</v>
      </c>
      <c r="D8461" t="inlineStr">
        <is>
          <t>Marteau des égarés; Amulette de l'Indicible; Anneau Volkorne; Bracelet du Piloztère; Bivalve; Ceinture Volkorne; Casque Volkorne; Cape du Chalœil; Bottes de l'Indicible; Dofus Pourpre; Dofus Abyssal; Dokoko; Dofus Ocre; Dolmanax; Dofus des Glaces; Volkorne Doré et Orchidée</t>
        </is>
      </c>
    </row>
    <row r="8462">
      <c r="A8462" t="inlineStr">
        <is>
          <t>Stuff 1</t>
        </is>
      </c>
      <c r="B8462">
        <f>HYPERLINK("https://www.dofusbook.net/fr/equipement/119978-stuff-1/objets", "link")</f>
        <v/>
      </c>
      <c r="C8462" t="n">
        <v>2</v>
      </c>
      <c r="D8462" t="inlineStr">
        <is>
          <t>Hache Ériphe; Amulette du Strigide; Bague Gloursonne; Alliance Gloursonne; Quatre-feuilles; Ceinture du Strigide; Coiffe de la Fuji Givrefoux; Cape de la Fuji Givrefoux; Bottes du Strigide; Dofus des Glaces; Dokoko; Dofus Turquoise; Dofus Pourpre; Dofus Ocre; Dolmanax; Pioute rose</t>
        </is>
      </c>
    </row>
    <row r="8463">
      <c r="A8463" t="inlineStr">
        <is>
          <t>Sram F 200</t>
        </is>
      </c>
      <c r="B8463">
        <f>HYPERLINK("https://www.dofusbook.net/fr/equipement/4727582-sram-f-200/objets", "link")</f>
        <v/>
      </c>
      <c r="C8463" t="n">
        <v>2</v>
      </c>
      <c r="D8463" t="inlineStr">
        <is>
          <t>Marteau des égarés; Amulette Volkorne; Bague Trithon; Anneau Volkorne; Quatre-feuilles; Ceinture Volkorne; Masque Trithon; Cape des Malveilleurs; Bottes Trithon; Dofus Pourpre; Dofus des Glaces; Dofus Ocre; Dofus Ivoire; Dolmanax; Dofus Ébène; Kokulte</t>
        </is>
      </c>
    </row>
    <row r="8464">
      <c r="A8464" t="inlineStr">
        <is>
          <t>Roublard F 200</t>
        </is>
      </c>
      <c r="B8464">
        <f>HYPERLINK("https://www.dofusbook.net/fr/equipement/4706577-roublard-f-200/objets", "link")</f>
        <v/>
      </c>
      <c r="C8464" t="n">
        <v>2</v>
      </c>
      <c r="D8464" t="inlineStr">
        <is>
          <t>Arc de Koutoulou; Amulette Volkorne; Anneau Volkorne; Alliance Gloursonne; Cadran d'Air; Ceinture Voldelor; Casque Volkorne; Chevelure de Tal Kasha; Bottes Voldelor; Dofus Turquoise; Dofus des Glaces; Dofus Pourpre; Dolmanax; Dofus Ocre; Paralyseur majeur; Fëanor</t>
        </is>
      </c>
    </row>
    <row r="8465">
      <c r="A8465" t="inlineStr">
        <is>
          <t>Roublard F 200</t>
        </is>
      </c>
      <c r="B8465">
        <f>HYPERLINK("https://www.dofusbook.net/fr/equipement/4704650-roublard-f-200/objets", "link")</f>
        <v/>
      </c>
      <c r="C8465" t="n">
        <v>1</v>
      </c>
      <c r="D8465" t="inlineStr">
        <is>
          <t>Massier; Amulette Volkorne; Anneauræus; Lavanneau; Bouclier du Stalak; Ceinture de Gein; Chapeau de Gein; Cape de Diondin; Bottes Innommables; Dofus des Glaces; Dokoko; Observateur; Carapace Eau majeur; Remueur; Nomade; Bisouglours</t>
        </is>
      </c>
    </row>
    <row r="8466">
      <c r="A8466" t="inlineStr">
        <is>
          <t>Roublard F 200</t>
        </is>
      </c>
      <c r="B8466">
        <f>HYPERLINK("https://www.dofusbook.net/fr/equipement/4704560-roublard-f-200/objets", "link")</f>
        <v/>
      </c>
      <c r="C8466" t="n">
        <v>0</v>
      </c>
      <c r="D8466" t="inlineStr">
        <is>
          <t>Épée Brûlâme; Amulette Volkorne; Anneau Volkorne; Bracelet du Piloztère; Bouclier du Cycloïde; Ceintrigue; Casque Dragoeuf; Voile d'encre; Bottes de Meno; Dofus Pourpre; Dofus des Glaces; Dokoko; Remueur; Vigoureux majeur; Nomade; Fëanor</t>
        </is>
      </c>
    </row>
    <row r="8467">
      <c r="A8467" t="inlineStr">
        <is>
          <t>Roublard F 200</t>
        </is>
      </c>
      <c r="B8467">
        <f>HYPERLINK("https://www.dofusbook.net/fr/equipement/4695350-roublard-f-200/objets", "link")</f>
        <v/>
      </c>
      <c r="C8467" t="n">
        <v>0</v>
      </c>
      <c r="D8467" t="inlineStr">
        <is>
          <t>Arc de Koutoulou; Amulette de l'Œil Attentif; Bracelet des Fonds marins; Anneau Volkorne; Cadran d'Air; Culotte de Bethel; Masque du Barbétoal; Chevelure de Tal Kasha; Sandales de Tal Kasha; Dofus des Glaces; Dokoko; Dofus Pourpre; Étourdisseur majeur; Nomade; Remueur; Volkorne Ivoire et Indigo</t>
        </is>
      </c>
    </row>
    <row r="8468">
      <c r="A8468" t="inlineStr">
        <is>
          <t>Roublard F 200</t>
        </is>
      </c>
      <c r="B8468">
        <f>HYPERLINK("https://www.dofusbook.net/fr/equipement/4662923-roublard-f-200/objets", "link")</f>
        <v/>
      </c>
      <c r="C8468" t="n">
        <v>3</v>
      </c>
      <c r="D8468" t="inlineStr">
        <is>
          <t>Dagoulinantes; Amulette de Shokkoth; Bracelet des Fonds marins; Anneau Volkorne; Sept ans de malheur; Culotte de Bethel; Capuche de l'Œil Attentif; Cape de l'Œil Attentif; Pataugastrique; Dofus Pourpre; Dokoko; Dofus des Glaces; Étourdisseur majeur; Nomade; Chanceux majeur; Volkorne Ivoire et Indigo</t>
        </is>
      </c>
    </row>
    <row r="8469">
      <c r="A8469" t="inlineStr">
        <is>
          <t>Roublard F 200</t>
        </is>
      </c>
      <c r="B8469">
        <f>HYPERLINK("https://www.dofusbook.net/fr/equipement/4658791-roublard-f-200/objets", "link")</f>
        <v/>
      </c>
      <c r="C8469" t="n">
        <v>1</v>
      </c>
      <c r="D8469" t="inlineStr">
        <is>
          <t>Couteaux Sacrificiels; Amulette Volkorne; Anneau Volkorne; Alliance Gloursonne; Bouclier d'Ilyzaelle; Ceintrigue; Capuche de l'Œil Putride; Voile d'encre; Pataugastrique; Dokoko; Dofus Ivoire; Dofus Pourpre; Dofus Émeraude; Dofus des Glaces; Remueur; Drakopin</t>
        </is>
      </c>
    </row>
    <row r="8470">
      <c r="A8470" t="inlineStr">
        <is>
          <t>Roublard F 200</t>
        </is>
      </c>
      <c r="B8470">
        <f>HYPERLINK("https://www.dofusbook.net/fr/equipement/4658693-roublard-f-200/objets", "link")</f>
        <v/>
      </c>
      <c r="C8470" t="n">
        <v>0</v>
      </c>
      <c r="D8470" t="inlineStr">
        <is>
          <t>Dagoulinantes; Amulette de l'Œil Attentif; Bracelet des Fonds marins; Anneau Volkorne; Sept ans de malheur; Poulpagne; Némès de Tal Kasha; Chevelure de Tal Kasha; Chaussons de Macrab; Dofus Pourpre; Dofus Abyssal; Dofus Ivoire; Dofus des Glaces; Étourdisseur majeur; Chanceux majeur; Volkorne Ivoire et Indigo</t>
        </is>
      </c>
    </row>
    <row r="8471">
      <c r="A8471" t="inlineStr">
        <is>
          <t>Ecaflip M 200</t>
        </is>
      </c>
      <c r="B8471">
        <f>HYPERLINK("https://www.dofusbook.net/fr/equipement/4656784-ecaflip-m-200/objets", "link")</f>
        <v/>
      </c>
      <c r="C8471" t="n">
        <v>0</v>
      </c>
      <c r="D8471" t="inlineStr">
        <is>
          <t>Lav'Hache; Collier de Tourthon; Anneau Volkorne; Anneau de Brouce; Bouclier d'Ilyzaelle; Ceinture Volkorne; Coiffe de la Reine des Voleurs; Ankhape; Bottes du Cœur Saignant; Dofus des Glaces; Dofus Ivoire; Dofus Nébuleux; Dofus Ocre; Remueur; Enragé majeur; Volkorne Pourpre</t>
        </is>
      </c>
    </row>
    <row r="8472">
      <c r="A8472" t="inlineStr">
        <is>
          <t>Ecaflip M 200</t>
        </is>
      </c>
      <c r="B8472">
        <f>HYPERLINK("https://www.dofusbook.net/fr/equipement/4630648-ecaflip-m-200/objets", "link")</f>
        <v/>
      </c>
      <c r="C8472" t="n">
        <v>0</v>
      </c>
      <c r="D8472" t="inlineStr">
        <is>
          <t>Dagues d'Ilyzaelle; Amulette du Strigide; Anneau Volkorne; Bracelet du Piloztère; Bouclier du Captain Amakna; Ceinture Volkorne; Masque de Koutoulou; Cape au Logis; Bottes du Cœur Saignant; Dofus Nébuleux; Dofus des Glaces; Dofus Ivoire; Dofus Abyssal; Enragé majeur; Remueur; Pioute vert</t>
        </is>
      </c>
    </row>
    <row r="8473">
      <c r="A8473" t="inlineStr">
        <is>
          <t>Ecaflip F 200</t>
        </is>
      </c>
      <c r="B8473">
        <f>HYPERLINK("https://www.dofusbook.net/fr/equipement/4579510-ecaflip-f-200/objets", "link")</f>
        <v/>
      </c>
      <c r="C8473" t="n">
        <v>0</v>
      </c>
      <c r="D8473" t="inlineStr">
        <is>
          <t>Arc du Chalœil; Amulette du Strigide; Bracelet du Piloztère; Anneau de Brouce; Bouclier du Stalak; Ceinture de la Reine des Voleurs; Coiffe de la Reine des Voleurs; Cape au Logis; Bottes du Cœur Saignant; Dofus Pourpre; Dofus Nébuleux; Dofus Ocre; Dokoko; Dofus des Glaces; Remueur; Pioute vert</t>
        </is>
      </c>
    </row>
    <row r="8474">
      <c r="A8474" t="inlineStr">
        <is>
          <t>Ecaflip M 200</t>
        </is>
      </c>
      <c r="B8474">
        <f>HYPERLINK("https://www.dofusbook.net/fr/equipement/4579490-ecaflip-m-200/objets", "link")</f>
        <v/>
      </c>
      <c r="C8474" t="n">
        <v>0</v>
      </c>
      <c r="D8474" t="inlineStr"/>
    </row>
    <row r="8475">
      <c r="A8475" t="inlineStr">
        <is>
          <t>Xélor F 200</t>
        </is>
      </c>
      <c r="B8475">
        <f>HYPERLINK("https://www.dofusbook.net/fr/equipement/4511658-xelor-f-200/objets", "link")</f>
        <v/>
      </c>
      <c r="C8475" t="n">
        <v>0</v>
      </c>
      <c r="D8475" t="inlineStr">
        <is>
          <t>Héqache; Amulette du Strigide; Bracelet du Piloztère; Anneau de la Fuji Givrefoux; Bouclier du Captain Amakna; Ceinture du Strigide; Coiffe de la Fuji Givrefoux; Cape de la Fuji Givrefoux; Bottes du Strigide; Dofus Turquoise; Dofus Nébuleux; Dofus Ocre; Dokoko; Dofus Pourpre; Dofus des Glaces; Kokulte</t>
        </is>
      </c>
    </row>
    <row r="8476">
      <c r="A8476" t="inlineStr">
        <is>
          <t>Ecaflip M 200</t>
        </is>
      </c>
      <c r="B8476">
        <f>HYPERLINK("https://www.dofusbook.net/fr/equipement/4451560-ecaflip-m-200/objets", "link")</f>
        <v/>
      </c>
      <c r="C8476" t="n">
        <v>0</v>
      </c>
      <c r="D8476" t="inlineStr">
        <is>
          <t>Crocobur; Amulette de l'Indicible; Bague Gloursonne; Alliance Gloursonne; Bouclier du Stalak; Ceinture de la Reine des Voleurs; Coiffe de la Reine des Voleurs; Voile d'encre; Bottes de la Reine des Voleurs; Dofus Pourpre; Dofus Nébuleux; Dofus Ocre; Dofus Abyssal; Dokoko; Dofus des Glaces; Sakochère</t>
        </is>
      </c>
    </row>
    <row r="8477">
      <c r="A8477" t="inlineStr">
        <is>
          <t>Iop M 200</t>
        </is>
      </c>
      <c r="B8477">
        <f>HYPERLINK("https://www.dofusbook.net/fr/equipement/4502279-iop-m-200/objets", "link")</f>
        <v/>
      </c>
      <c r="C8477" t="n">
        <v>2</v>
      </c>
      <c r="D8477" t="inlineStr">
        <is>
          <t>Crocobur; Amulette de l'Indicible; Alliance Gloursonne; Bague Gloursonne; Bouclier Taverne; Ceinture de la Reine des Voleurs; Coiffe de la Reine des Voleurs; Voile d'encre; Bottes de la Reine des Voleurs; Dofus Ocre; Dofus Émeraude; Dokoko; Dofus des Glaces; Dofus Pourpre; Dofus Nébuleux; Fëanor</t>
        </is>
      </c>
    </row>
    <row r="8478">
      <c r="A8478" t="inlineStr">
        <is>
          <t>Féca M 200</t>
        </is>
      </c>
      <c r="B8478">
        <f>HYPERLINK("https://www.dofusbook.net/fr/equipement/4502280-feca-m-200/objets", "link")</f>
        <v/>
      </c>
      <c r="C8478" t="n">
        <v>0</v>
      </c>
      <c r="D8478" t="inlineStr"/>
    </row>
    <row r="8479">
      <c r="A8479" t="inlineStr">
        <is>
          <t>Iop M 200</t>
        </is>
      </c>
      <c r="B8479">
        <f>HYPERLINK("https://www.dofusbook.net/fr/equipement/4484029-iop-m-200/objets", "link")</f>
        <v/>
      </c>
      <c r="C8479" t="n">
        <v>3</v>
      </c>
      <c r="D8479" t="inlineStr">
        <is>
          <t>Bêche Asse; Collier de Tourthon; Bague Gloursonne; Bracelet du Piloztère; Bouclier d'Ilyzaelle; Ceinture de la Cour Sombre; Casque Dragoeuf; Cape au Logis; Bottes de la Cour Sombre; Dofus des Glaces; Dofus Pourpre; Dokoko; Dofus Nébuleux; Carapace Terre majeur; Remueur; Volkorne Pourpre</t>
        </is>
      </c>
    </row>
    <row r="8480">
      <c r="A8480" t="inlineStr">
        <is>
          <t>Iop M 200</t>
        </is>
      </c>
      <c r="B8480">
        <f>HYPERLINK("https://www.dofusbook.net/fr/equipement/4475040-iop-m-200/objets", "link")</f>
        <v/>
      </c>
      <c r="C8480" t="n">
        <v>6</v>
      </c>
      <c r="D8480" t="inlineStr">
        <is>
          <t>Héqache; Amulette du Strigide; Anneau de la Fuji Givrefoux; Bague Trithon; Bouclier du Captain Amakna; Ceinture du Strigide; Masque Trithon; Cape de la Fuji Givrefoux; Bottes Trithon; Dofus Turquoise; Dofus Nébuleux; Dofus Abyssal; Dofus Ocre; Dokoko; Dofus des Glaces; Kokulte</t>
        </is>
      </c>
    </row>
    <row r="8481">
      <c r="A8481" t="inlineStr">
        <is>
          <t>Iop M 200</t>
        </is>
      </c>
      <c r="B8481">
        <f>HYPERLINK("https://www.dofusbook.net/fr/equipement/4243073-iop-m-200/objets", "link")</f>
        <v/>
      </c>
      <c r="C8481" t="n">
        <v>4</v>
      </c>
      <c r="D8481" t="inlineStr">
        <is>
          <t>Arc du Chalœil; Collier de Tourthon; Anneau de Brouce; Anneau Crustique; Bouclier du Stalak; Ceinture de la Reine des Voleurs; Coiffe de la Reine des Voleurs; Cape au Logis; Baleinabottes; Dofus Nébuleux; Dofus Pourpre; Dokoko; Dofus des Glaces; Remueur; Nomade; Volkorne Prune et Pourpre</t>
        </is>
      </c>
    </row>
    <row r="8482">
      <c r="A8482" t="inlineStr">
        <is>
          <t>Iop M 200</t>
        </is>
      </c>
      <c r="B8482">
        <f>HYPERLINK("https://www.dofusbook.net/fr/equipement/4207264-iop-m-200/objets", "link")</f>
        <v/>
      </c>
      <c r="C8482" t="n">
        <v>3</v>
      </c>
      <c r="D8482" t="inlineStr">
        <is>
          <t>Arc corrompu; Amulette Volkorne; Bague Gloursonne; Anneauræus; Bouclier du Stalak; Ceinture de Vortex; Heaume Oplate; Voile d'encre; Bottes Innommables; Dofus Pourpre; Dofus Nébuleux; Dofus des Glaces; Remueur; Érudit majeur; Nomade; Bwak de Terre</t>
        </is>
      </c>
    </row>
    <row r="8483">
      <c r="A8483" t="inlineStr">
        <is>
          <t>Iop M 200</t>
        </is>
      </c>
      <c r="B8483">
        <f>HYPERLINK("https://www.dofusbook.net/fr/equipement/4195016-iop-m-200/objets", "link")</f>
        <v/>
      </c>
      <c r="C8483" t="n">
        <v>6</v>
      </c>
      <c r="D8483" t="inlineStr">
        <is>
          <t>Hache Téroïde; Amulette du Strigide; Bague Trithon; Bague Gloursonne; Bouclier du Captain Amakna; Ceinture du Strigide; Masque Trithon; Cape au Logis; Bottes Trithon; Dofus Pourpre; Dofus Nébuleux; Dofus Émeraude; Dofus Turquoise; Dofus Ocre; Dofus des Glaces; Kokulte</t>
        </is>
      </c>
    </row>
    <row r="8484">
      <c r="A8484" t="inlineStr">
        <is>
          <t>Zobal F 200</t>
        </is>
      </c>
      <c r="B8484">
        <f>HYPERLINK("https://www.dofusbook.net/fr/equipement/4193007-zobal-f-200/objets", "link")</f>
        <v/>
      </c>
      <c r="C8484" t="n">
        <v>0</v>
      </c>
      <c r="D8484" t="inlineStr"/>
    </row>
    <row r="8485">
      <c r="A8485" t="inlineStr">
        <is>
          <t>Zozo</t>
        </is>
      </c>
      <c r="B8485">
        <f>HYPERLINK("https://www.dofusbook.net/fr/equipement/4193005-zozo/objets", "link")</f>
        <v/>
      </c>
      <c r="C8485" t="n">
        <v>0</v>
      </c>
      <c r="D8485" t="inlineStr">
        <is>
          <t>Arc Nécrotique; Amulette Volkorne; Alliance Gloursonne; Anneau Volkorne; Bouclier du Stalak; Ceintacé; Casque Volkorne; Cape de la Dame du Hasard; Bottes de la Dame du Hasard; Dokoko; Dolmanax; Dofus Nébuleux; Dofus des Glaces; Dofus Abyssal; Dofus Pourpre; Sakochère</t>
        </is>
      </c>
    </row>
    <row r="8486">
      <c r="A8486" t="inlineStr">
        <is>
          <t>Ecaflip F 200</t>
        </is>
      </c>
      <c r="B8486">
        <f>HYPERLINK("https://www.dofusbook.net/fr/equipement/3992659-ecaflip-f-200/objets", "link")</f>
        <v/>
      </c>
      <c r="C8486" t="n">
        <v>2</v>
      </c>
      <c r="D8486" t="inlineStr">
        <is>
          <t>Arc Nécrotique; Amulette Volkorne; Alliance Gloursonne; Anneau Volkorne; Bouclier du Stalak; Ceintacé; Casque Volkorne; Cape de la Dame du Hasard; Bottes de la Dame du Hasard; Dokoko; Dolmanax; Dofus Nébuleux; Dofus des Glaces; Dofus Abyssal; Dofus Pourpre; Sakochère</t>
        </is>
      </c>
    </row>
    <row r="8487">
      <c r="A8487" t="inlineStr">
        <is>
          <t>Sacrieur M 200</t>
        </is>
      </c>
      <c r="B8487">
        <f>HYPERLINK("https://www.dofusbook.net/fr/equipement/4192018-sacrieur-m-200/objets", "link")</f>
        <v/>
      </c>
      <c r="C8487" t="n">
        <v>1</v>
      </c>
      <c r="D8487" t="inlineStr">
        <is>
          <t>Baguette Hique; Amulette Volkorne; Anneau Volkorne; Alliance Gloursonne; Quatre-feuilles; Ceintacé; Casque Volkorne; Cape de la Dame du Hasard; Bottes de la Dame du Hasard; Dokoko; Dofus des Glaces; Dofus Abyssal; Dofus Turquoise; Dofus Émeraude; Dofus Ocre; Kokulte</t>
        </is>
      </c>
    </row>
    <row r="8488">
      <c r="A8488" t="inlineStr">
        <is>
          <t>Sacrieur F 200</t>
        </is>
      </c>
      <c r="B8488">
        <f>HYPERLINK("https://www.dofusbook.net/fr/equipement/4187322-sacrieur-f-200/objets", "link")</f>
        <v/>
      </c>
      <c r="C8488" t="n">
        <v>0</v>
      </c>
      <c r="D8488" t="inlineStr">
        <is>
          <t>Hache du Korriandre; Amulette du Strigide; Anneau de Padgref; Alliance Gloursonne; Bouclier du Captain Amakna; Ceintacé; Némès de Tal Kasha; Cape d'Atcham; Bottes du Strigide; Dofus Ocre; Dofus Abyssal; Dokoko; Dofus Turquoise; Dofus Émeraude; Dofus des Glaces; Muldo Prune et Ebène</t>
        </is>
      </c>
    </row>
    <row r="8489">
      <c r="A8489" t="inlineStr">
        <is>
          <t>Pandawa F 200</t>
        </is>
      </c>
      <c r="B8489">
        <f>HYPERLINK("https://www.dofusbook.net/fr/equipement/4186839-pandawa-f-200/objets", "link")</f>
        <v/>
      </c>
      <c r="C8489" t="n">
        <v>4</v>
      </c>
      <c r="D8489" t="inlineStr">
        <is>
          <t>Épée Brûlâme; Talisman Igans; Alliance du Lévitrof; Alliance Gloursonne; Bouclier cubiste; Ceintrigue; Casqnoar; Voile d'encre; Pataugastrique; Dofus Émeraude; Dofus Pourpre; Dokoko; Dofus des Glaces; Remueur; Nomade; Kramkram</t>
        </is>
      </c>
    </row>
    <row r="8490">
      <c r="A8490" t="inlineStr">
        <is>
          <t>Sacrieur F 200</t>
        </is>
      </c>
      <c r="B8490">
        <f>HYPERLINK("https://www.dofusbook.net/fr/equipement/4165687-sacrieur-f-200/objets", "link")</f>
        <v/>
      </c>
      <c r="C8490" t="n">
        <v>0</v>
      </c>
      <c r="D8490" t="inlineStr">
        <is>
          <t>Arc Nécrotique; Talisman Igans; Alliance du Lévitrof; Alliance Gloursonne; Quatre-feuilles; Ceintrigue; Capuche de l'Œil Putride; Voile d'encre; Pataugastrique; Dofus Turquoise; Dofus Abyssal; Dofus Émeraude; Dofus des Glaces; Nomade; Remueur; Kokulte</t>
        </is>
      </c>
    </row>
    <row r="8491">
      <c r="A8491" t="inlineStr">
        <is>
          <t>Sacrieur F 200</t>
        </is>
      </c>
      <c r="B8491">
        <f>HYPERLINK("https://www.dofusbook.net/fr/equipement/4165379-sacrieur-f-200/objets", "link")</f>
        <v/>
      </c>
      <c r="C8491" t="n">
        <v>0</v>
      </c>
      <c r="D8491" t="inlineStr">
        <is>
          <t>Épée Brûlâme; Amulette du Strigide; Bague Gloursonne; Alliance Gloursonne; Bouclier d'Ilyzaelle; Ceinture du Strigide; Kidibonnet; Cape d'Atcham; Sandales  d'Atcham; Dofus Émeraude; Dofus des Glaces; Dofus Turquoise; Dofus Nébuleux; Dofus Ocre; Dofus Abyssal; Muldo Prune et Ebène</t>
        </is>
      </c>
    </row>
    <row r="8492">
      <c r="A8492" t="inlineStr">
        <is>
          <t>Sacrieur F 200</t>
        </is>
      </c>
      <c r="B8492">
        <f>HYPERLINK("https://www.dofusbook.net/fr/equipement/4165258-sacrieur-f-200/objets", "link")</f>
        <v/>
      </c>
      <c r="C8492" t="n">
        <v>1</v>
      </c>
      <c r="D8492" t="inlineStr">
        <is>
          <t>Rapière aux Glyphes; Talisman Igans; Alliance Gloursonne; Alliance du Lévitrof; Bouclier d'Ilyzaelle; Ceintrigue; Capuche de l'Œil Attentif; Cape Solution; Bottes de la Reine des Voleurs; Dofus Abyssal; Dofus Émeraude; Dofus des Glaces; Carapace Feu majeur; Remueur; Nomade; Kramkram</t>
        </is>
      </c>
    </row>
    <row r="8493">
      <c r="A8493" t="inlineStr">
        <is>
          <t>Sacrieur M 200</t>
        </is>
      </c>
      <c r="B8493">
        <f>HYPERLINK("https://www.dofusbook.net/fr/equipement/4156819-sacrieur-m-200/objets", "link")</f>
        <v/>
      </c>
      <c r="C8493" t="n">
        <v>0</v>
      </c>
      <c r="D8493" t="inlineStr"/>
    </row>
    <row r="8494">
      <c r="A8494" t="inlineStr">
        <is>
          <t>Sadida F 200</t>
        </is>
      </c>
      <c r="B8494">
        <f>HYPERLINK("https://www.dofusbook.net/fr/equipement/4134893-sadida-f-200/objets", "link")</f>
        <v/>
      </c>
      <c r="C8494" t="n">
        <v>1</v>
      </c>
      <c r="D8494" t="inlineStr">
        <is>
          <t>Dagoulinantes; Amulette de Shokkoth; Alliance Gloursonne; Alliance du Lévitrof; Bouclier d'Ilyzaelle; Sangle Ouare; Capuche de l'Œil Attentif; Cape de l'Œil Attentif; Sandales des Fonds marins; Dofus Pourpre; Dofus des Glaces; Dokoko; Dofus Abyssal; Remueur; Chanceux majeur; Kanigloups</t>
        </is>
      </c>
    </row>
    <row r="8495">
      <c r="A8495" t="inlineStr">
        <is>
          <t>Sadida F 200</t>
        </is>
      </c>
      <c r="B8495">
        <f>HYPERLINK("https://www.dofusbook.net/fr/equipement/4131968-sadida-f-200/objets", "link")</f>
        <v/>
      </c>
      <c r="C8495" t="n">
        <v>1</v>
      </c>
      <c r="D8495" t="inlineStr">
        <is>
          <t>Rapière aux Glyphes; Amulette du Sinistrofu; Alliance Gloursonne; Alliance du Lévitrof; Bouclier d'Ilyzaelle; Sangle Ouare; Kidibonnet; Cape du Sinistrofu; Sandales des Fonds marins; Dofus Pourpre; Dofus Abyssal; Dofus des Glaces; Vigoureux majeur; Chanceux majeur; Remueur; Kanigloups</t>
        </is>
      </c>
    </row>
    <row r="8496">
      <c r="A8496" t="inlineStr">
        <is>
          <t>Sadida F 200</t>
        </is>
      </c>
      <c r="B8496">
        <f>HYPERLINK("https://www.dofusbook.net/fr/equipement/4131520-sadida-f-200/objets", "link")</f>
        <v/>
      </c>
      <c r="C8496" t="n">
        <v>2</v>
      </c>
      <c r="D8496" t="inlineStr">
        <is>
          <t>Sceptre du Roi Joueur; Amulette de l'Œil Attentif; Alliance Gloursonne; Alliance du Lévitrof; Bouclier d'Ilyzaelle; Poulpagne; Capuche de l'Œil Attentif; Cape de Mantaze; Chaussons de Macrab; Dofus Émeraude; Dofus des Glaces; Dofus Abyssal; Nomade; Remueur; Chanceux majeur; Kanigloups</t>
        </is>
      </c>
    </row>
    <row r="8497">
      <c r="A8497" t="inlineStr">
        <is>
          <t>Sadida F 200</t>
        </is>
      </c>
      <c r="B8497">
        <f>HYPERLINK("https://www.dofusbook.net/fr/equipement/4113967-sadida-f-200/objets", "link")</f>
        <v/>
      </c>
      <c r="C8497" t="n">
        <v>1</v>
      </c>
      <c r="D8497" t="inlineStr"/>
    </row>
    <row r="8498">
      <c r="A8498" t="inlineStr">
        <is>
          <t>Sadida F 200</t>
        </is>
      </c>
      <c r="B8498">
        <f>HYPERLINK("https://www.dofusbook.net/fr/equipement/4111652-sadida-f-200/objets", "link")</f>
        <v/>
      </c>
      <c r="C8498" t="n">
        <v>1</v>
      </c>
      <c r="D8498" t="inlineStr">
        <is>
          <t>Arc Nécrotique; Amulette de l'Indicible; Alliance du Lévitrof; Lavanneau; Bouclier cubiste; Ceintacé; Capuche de l'Œil Putride; Cape de Meno; Bottes de Meno; Dokoko; Dofus Abyssal; Dofus Pourpre; Dofus des Glaces; Temporiseur majeur; Remueur; Muldo Pourpre et Amande</t>
        </is>
      </c>
    </row>
    <row r="8499">
      <c r="A8499" t="inlineStr">
        <is>
          <t>Sadida F 200</t>
        </is>
      </c>
      <c r="B8499">
        <f>HYPERLINK("https://www.dofusbook.net/fr/equipement/4111101-sadida-f-200/objets", "link")</f>
        <v/>
      </c>
      <c r="C8499" t="n">
        <v>1</v>
      </c>
      <c r="D8499" t="inlineStr">
        <is>
          <t>Arc de Koutoulou; Amulette Ementaire Deluxe; Alliance Gloursonne; Anneau Volkorne; Cadran d'Air; Ceintacé; Casque Volkorne; Cape de l'Œil Putride; Sandales de Tal Kasha; Dofus Pourpre; Dofus Émeraude; Dofus des Glaces; Nomade; Carapace Air majeur; Remueur; Volkorne Indigo et Ebène</t>
        </is>
      </c>
    </row>
    <row r="8500">
      <c r="A8500" t="inlineStr">
        <is>
          <t>Sadida F 200</t>
        </is>
      </c>
      <c r="B8500">
        <f>HYPERLINK("https://www.dofusbook.net/fr/equipement/4110517-sadida-f-200/objets", "link")</f>
        <v/>
      </c>
      <c r="C8500" t="n">
        <v>0</v>
      </c>
      <c r="D8500" t="inlineStr">
        <is>
          <t>Héqache; Amulette du Strigide; Pikano; Anneau Crustique; Bouclier Taverne; Ceinture Volkorne; Masque de Koutoulou; Cape du Cœur Saignant; Bottes du Cœur Saignant; Dokoko; Dofus Turquoise; Dofus des Glaces; Dofus Abyssal; Enragé majeur; Nomade; Volkorne Turquoise et Pourpre</t>
        </is>
      </c>
    </row>
    <row r="8501">
      <c r="A8501" t="inlineStr">
        <is>
          <t>Sadida F 200</t>
        </is>
      </c>
      <c r="B8501">
        <f>HYPERLINK("https://www.dofusbook.net/fr/equipement/4090803-sadida-f-200/objets", "link")</f>
        <v/>
      </c>
      <c r="C8501" t="n">
        <v>1</v>
      </c>
      <c r="D8501" t="inlineStr">
        <is>
          <t>Amrothiline; Amulette de Pol Ouatnos; Anneau Crustique; Anneau Crustique; Bouclier du Stalak; Ceinture Gence; Masque de Koutoulou; Cape du Cœur Saignant; Bottes du Cœur Saignant; Dofus des Glaces; Temporiseur majeur; Déserteur majeur; Enragé majeur</t>
        </is>
      </c>
    </row>
    <row r="8502">
      <c r="A8502" t="inlineStr">
        <is>
          <t>Sadida F 200</t>
        </is>
      </c>
      <c r="B8502">
        <f>HYPERLINK("https://www.dofusbook.net/fr/equipement/4093576-sadida-f-200/objets", "link")</f>
        <v/>
      </c>
      <c r="C8502" t="n">
        <v>3</v>
      </c>
      <c r="D8502" t="inlineStr">
        <is>
          <t>Hache du Chalœil; Amulette Ementaire Deluxe; Anneau Volkorne; Alliance du Lévitrof; Bouclier cubiste; Ceinture Volkorne; Chapeau de Gein; Voile d'encre; Bottes Honyme; Dofus Émeraude; Dolmanax; Dofus des Glaces; Dofus Pourpre; Dofus Abyssal; Nomade; Volkorne Turquoise et Pourpre</t>
        </is>
      </c>
    </row>
    <row r="8503">
      <c r="A8503" t="inlineStr">
        <is>
          <t>Xélor F 200</t>
        </is>
      </c>
      <c r="B8503">
        <f>HYPERLINK("https://www.dofusbook.net/fr/equipement/4086395-xelor-f-200/objets", "link")</f>
        <v/>
      </c>
      <c r="C8503" t="n">
        <v>0</v>
      </c>
      <c r="D8503" t="inlineStr">
        <is>
          <t>Dagoulinantes; Amulette de l'Œil Attentif; Bracelet des Fonds marins; Alliance Gloursonne; Poulpagne; Capuche de l'Œil Attentif; Chevelure de Tal Kasha; Pataugastrique</t>
        </is>
      </c>
    </row>
    <row r="8504">
      <c r="A8504" t="inlineStr">
        <is>
          <t>Iop M 200</t>
        </is>
      </c>
      <c r="B8504">
        <f>HYPERLINK("https://www.dofusbook.net/fr/equipement/4085723-iop-m-200/objets", "link")</f>
        <v/>
      </c>
      <c r="C8504" t="n">
        <v>3</v>
      </c>
      <c r="D8504" t="inlineStr">
        <is>
          <t>Arc du Chalœil; Collier de Tourthon; Anneau Crustique; Anneau de Brouce; Bouclier du Stalak; Ceinture Volkorne; Coiffe de la Reine des Voleurs; Ankhape; Bottes de Brouce; Dofus Ocre; Dofus Nébuleux; Carapace Terre majeur; Nomade; Enragé majeur; Remueur; Volkorne Saphir et Pourpre</t>
        </is>
      </c>
    </row>
    <row r="8505">
      <c r="A8505" t="inlineStr">
        <is>
          <t>Ecaflip M 200</t>
        </is>
      </c>
      <c r="B8505">
        <f>HYPERLINK("https://www.dofusbook.net/fr/equipement/4085463-ecaflip-m-200/objets", "link")</f>
        <v/>
      </c>
      <c r="C8505" t="n">
        <v>0</v>
      </c>
      <c r="D8505" t="inlineStr">
        <is>
          <t>Arc de Koutoulou; Amulette du Strigide; Alliance Gloursonne; Bracelet du Piloztère; Bouclier du Stalak; Ceintacé; Casque Dragoeuf; Chevelure de Tal Kasha; Bottes du Strigide; Dofus Pourpre; Dofus des Glaces; Dofus Nébuleux; Nomade; Vigoureux majeur; Remueur; Chacha Angora</t>
        </is>
      </c>
    </row>
    <row r="8506">
      <c r="A8506" t="inlineStr">
        <is>
          <t>Pandawa F 200</t>
        </is>
      </c>
      <c r="B8506">
        <f>HYPERLINK("https://www.dofusbook.net/fr/equipement/4082424-pandawa-f-200/objets", "link")</f>
        <v/>
      </c>
      <c r="C8506" t="n">
        <v>0</v>
      </c>
      <c r="D8506" t="inlineStr">
        <is>
          <t>Baguette de Malléfisk; Amulette Ementaire Deluxe; Chevalière du Roi Joueur; Anneauræus; Bouclier cubiste; Ceinture Séculaire; Coiffe Séculaire; Cape Ardente; Pataugastrique; Dofus Émeraude; Nomade; Obstructeur majeur; Docteur majeur; Remueur; Guérisseur majeur; Dragodinde Orchidée et Rousse</t>
        </is>
      </c>
    </row>
    <row r="8507">
      <c r="A8507" t="inlineStr">
        <is>
          <t>Roublard F 200</t>
        </is>
      </c>
      <c r="B8507">
        <f>HYPERLINK("https://www.dofusbook.net/fr/equipement/4081961-roublard-f-200/objets", "link")</f>
        <v/>
      </c>
      <c r="C8507" t="n">
        <v>1</v>
      </c>
      <c r="D8507" t="inlineStr">
        <is>
          <t>Pelle de la Cour Sombre; Collier du Valet Veinard; Gant du Valet Veinard; Alliance Gloursonne; Cadran d'Air; Menoture; Casque Volkorne; Cape Indescriptible; Palmes Trithons; Dokoko; Dofus des Glaces; Remueur; Dévastateur Air majeur; Nomade; Cascadeur majeur; Blérodoudou</t>
        </is>
      </c>
    </row>
    <row r="8508">
      <c r="A8508" t="inlineStr">
        <is>
          <t>Ecaflip M 200</t>
        </is>
      </c>
      <c r="B8508">
        <f>HYPERLINK("https://www.dofusbook.net/fr/equipement/4081748-ecaflip-m-200/objets", "link")</f>
        <v/>
      </c>
      <c r="C8508" t="n">
        <v>0</v>
      </c>
      <c r="D8508" t="inlineStr">
        <is>
          <t>Hache du Chalœil; Amulette du Strigide; Bague Trithon; Bracelet du Piloztère; Bouclier du Stalak; Ceintacé; Le Dorado; Cape au Logis; Bottes du Strigide; Dolmanax; Dofus des Glaces; Dofus Pourpre; Dofus Nébuleux; Vigoureux majeur; Nomade; El Scarador</t>
        </is>
      </c>
    </row>
    <row r="8509">
      <c r="A8509" t="inlineStr">
        <is>
          <t>Roublard M 200</t>
        </is>
      </c>
      <c r="B8509">
        <f>HYPERLINK("https://www.dofusbook.net/fr/equipement/4081470-roublard-m-200/objets", "link")</f>
        <v/>
      </c>
      <c r="C8509" t="n">
        <v>0</v>
      </c>
      <c r="D8509" t="inlineStr">
        <is>
          <t>Arc corrompu; Amulette Séculaire; Anneauræus; Chevalière du Roi Joueur; Cadran de Terre; Ceinture Séculaire; Casque Dragoeuf; Cape de Diondin; Bottes Innommables; Dofus des Glaces; Dofus Ivoire; Dokoko; Remueur; Nomade; Dévastateur Feu majeur; Bisouglours</t>
        </is>
      </c>
    </row>
    <row r="8510">
      <c r="A8510" t="inlineStr">
        <is>
          <t>Roublard F 200</t>
        </is>
      </c>
      <c r="B8510">
        <f>HYPERLINK("https://www.dofusbook.net/fr/equipement/4056925-roublard-f-200/objets", "link")</f>
        <v/>
      </c>
      <c r="C8510" t="n">
        <v>0</v>
      </c>
      <c r="D8510" t="inlineStr">
        <is>
          <t>Épée d'Otomaï; Amulette de Gein; Anneauræus; Anneau Tamie; Bouclier du Stalak; Ceinture de Gein; Heaume Oplate; Voile d'encre; Bottes Innommables; Dofus des Glaces; Dokoko; Érudit majeur; Nomade; Dévastateur Feu majeur; Remueur; Bisouglours</t>
        </is>
      </c>
    </row>
    <row r="8511">
      <c r="A8511" t="inlineStr">
        <is>
          <t>Roublard M 200</t>
        </is>
      </c>
      <c r="B8511">
        <f>HYPERLINK("https://www.dofusbook.net/fr/equipement/4024359-roublard-m-200/objets", "link")</f>
        <v/>
      </c>
      <c r="C8511" t="n">
        <v>0</v>
      </c>
      <c r="D8511" t="inlineStr">
        <is>
          <t>Arc corrompu; Pendentif mignon de Koutoulou; Anneauræus; Anneauræus; Ceinture de Gein; Casque Cyclopéen; Cape de Diondin; Bottes Innommables</t>
        </is>
      </c>
    </row>
    <row r="8512">
      <c r="A8512" t="inlineStr">
        <is>
          <t>Roublard F 200</t>
        </is>
      </c>
      <c r="B8512">
        <f>HYPERLINK("https://www.dofusbook.net/fr/equipement/4000261-roublard-f-200/objets", "link")</f>
        <v/>
      </c>
      <c r="C8512" t="n">
        <v>0</v>
      </c>
      <c r="D8512" t="inlineStr">
        <is>
          <t>Arc corrompu; Amulette Volkorne; Anneauræus; Anneauræus; Bouclier du Stalak; Ceinture de Gein; Chapeau de Gein; Cape de Diondin; Bottes Innommables; Dokoko; Dofus des Glaces; Dévastateur Feu majeur; Nomade; Érudit majeur; Remueur; Bisouglours</t>
        </is>
      </c>
    </row>
    <row r="8513">
      <c r="A8513" t="inlineStr">
        <is>
          <t>Roublard F 200</t>
        </is>
      </c>
      <c r="B8513">
        <f>HYPERLINK("https://www.dofusbook.net/fr/equipement/3996966-roublard-f-200/objets", "link")</f>
        <v/>
      </c>
      <c r="C8513" t="n">
        <v>1</v>
      </c>
      <c r="D8513" t="inlineStr">
        <is>
          <t>Arc corrompu; Pendentif affamé; Anneau Tamie; Anneau Tamie; Bouclier du Stalak; Ceinture Séculaire; Coiffe Séculaire; Cape de Diondin; Bottes Innommables; Dokoko; Dofus des Glaces; Érudit majeur; Remueur; Dévastateur Feu majeur; Nomade; Bisouglours</t>
        </is>
      </c>
    </row>
    <row r="8514">
      <c r="A8514" t="inlineStr">
        <is>
          <t>hjgkl</t>
        </is>
      </c>
      <c r="B8514">
        <f>HYPERLINK("https://www.dofusbook.net/fr/equipement/2249806-hjgkl/objets", "link")</f>
        <v/>
      </c>
      <c r="C8514" t="n">
        <v>3</v>
      </c>
      <c r="D8514" t="inlineStr">
        <is>
          <t>Arc corrompu; Amulette Séculaire; Anneauræus; Anneauræus; Bivalve; Ceinture Séculaire; Heaume Oplate; Voile d'encre; Pompes Funèbres; Dokoko; Dofus des Glaces; Nomade; Érudit majeur; Remueur; Dévastateur Feu majeur; Bisouglours</t>
        </is>
      </c>
    </row>
    <row r="8515">
      <c r="A8515" t="inlineStr">
        <is>
          <t>Roublard F 200</t>
        </is>
      </c>
      <c r="B8515">
        <f>HYPERLINK("https://www.dofusbook.net/fr/equipement/3996539-roublard-f-200/objets", "link")</f>
        <v/>
      </c>
      <c r="C8515" t="n">
        <v>0</v>
      </c>
      <c r="D8515" t="inlineStr">
        <is>
          <t>Arc corrompu; Amulette Séculaire; Anneauræus; Anneauræus; Quatre-feuilles; Ceinture Séculaire; Heaume Oplate; Voile d'encre; Pompes Funèbres; Dokoko; Dofus des Glaces; Dévastateur Feu majeur; Nomade; Érudit majeur; Remueur; Bisouglours</t>
        </is>
      </c>
    </row>
    <row r="8516">
      <c r="A8516" t="inlineStr">
        <is>
          <t>Crâ M 200</t>
        </is>
      </c>
      <c r="B8516">
        <f>HYPERLINK("https://www.dofusbook.net/fr/equipement/3993225-cra-m-200/objets", "link")</f>
        <v/>
      </c>
      <c r="C8516" t="n">
        <v>3</v>
      </c>
      <c r="D8516" t="inlineStr">
        <is>
          <t>Hache du Chalœil; Amulette du Strigide; Bracelet du Piloztère; Alliance Gloursonne; Quatre-feuilles; Ceintacé; Coiffe du Glourséleste; Voile d'encre; Bottes du Strigide; Dofus Turquoise; Dofus des Glaces; Dofus Pourpre; Dofus Nébuleux; Nomade; Remueur; Kokulte</t>
        </is>
      </c>
    </row>
    <row r="8517">
      <c r="A8517" t="inlineStr">
        <is>
          <t>Crâ F 200</t>
        </is>
      </c>
      <c r="B8517">
        <f>HYPERLINK("https://www.dofusbook.net/fr/equipement/3992885-cra-f-200/objets", "link")</f>
        <v/>
      </c>
      <c r="C8517" t="n">
        <v>0</v>
      </c>
      <c r="D8517" t="inlineStr">
        <is>
          <t>Dagues de Srambad; Amulette Luminescente; Pikano; Bracelet du Piloztère; Bouclier cubiste; Culotte de Bethel; Masque de Funespadon; Cape du Chalœil; Chaussons de Macrab; Dofus Nébuleux; Dofus Pourpre; Dofus Vulbis; Dofus des Glaces; Dolmanax; Ralentisseur majeur; Volkorne Ivoire et Turquoise</t>
        </is>
      </c>
    </row>
    <row r="8518">
      <c r="A8518" t="inlineStr">
        <is>
          <t>Crâ M 200</t>
        </is>
      </c>
      <c r="B8518">
        <f>HYPERLINK("https://www.dofusbook.net/fr/equipement/3985393-cra-m-200/objets", "link")</f>
        <v/>
      </c>
      <c r="C8518" t="n">
        <v>7</v>
      </c>
      <c r="D8518" t="inlineStr">
        <is>
          <t>Dagues de Srambad; Amulette de Pol Ouatnos; Pikano; Bracelet du Piloztère; Bouclier cubiste; Ceintacé; Coiffe de la Reine des Voleurs; Cape Ovri; Bottes de la Reine des Voleurs; Dofus Pourpre; Dofus des Glaces; Dofus Nébuleux; Remueur; Temporiseur majeur; Vigoureux majeur; Gwo Tofu Ventripotent</t>
        </is>
      </c>
    </row>
    <row r="8519">
      <c r="A8519" t="inlineStr">
        <is>
          <t>Crâ M 200</t>
        </is>
      </c>
      <c r="B8519">
        <f>HYPERLINK("https://www.dofusbook.net/fr/equipement/3957852-cra-m-200/objets", "link")</f>
        <v/>
      </c>
      <c r="C8519" t="n">
        <v>1</v>
      </c>
      <c r="D8519" t="inlineStr">
        <is>
          <t>Épouvante; Amulette Luminescente; Bracelet du Piloztère; Alliance Gloursonne; Bouclier cubiste; Ceinture de la Reine des Voleurs; Coiffe de la Reine des Voleurs; Voile d'encre; Bottes de la Reine des Voleurs; Dofus des Glaces; Dofus Pourpre; Dofus Nébuleux; Dofus Abyssal; Dofus Ocre; Dolmanax; Léopardo</t>
        </is>
      </c>
    </row>
    <row r="8520">
      <c r="A8520" t="inlineStr">
        <is>
          <t>Crâ F 200</t>
        </is>
      </c>
      <c r="B8520">
        <f>HYPERLINK("https://www.dofusbook.net/fr/equipement/3952412-cra-f-200/objets", "link")</f>
        <v/>
      </c>
      <c r="C8520" t="n">
        <v>1</v>
      </c>
      <c r="D8520" t="inlineStr">
        <is>
          <t>Hache du Chalœil; Amulette Volkorne; Bague Trithon; Anneau Volkorne; Quatre-feuilles; Ceinture Volkorne; Masque Trithon; Voile d'encre; Bottes Trithon; Dolmanax; Dofus Ocre; Dofus Pourpre; Dofus des Glaces; Dofus Turquoise; Dofus Nébuleux; Sakochère</t>
        </is>
      </c>
    </row>
    <row r="8521">
      <c r="A8521" t="inlineStr">
        <is>
          <t>Crâ F 200</t>
        </is>
      </c>
      <c r="B8521">
        <f>HYPERLINK("https://www.dofusbook.net/fr/equipement/3936964-cra-f-200/objets", "link")</f>
        <v/>
      </c>
      <c r="C8521" t="n">
        <v>2</v>
      </c>
      <c r="D8521" t="inlineStr">
        <is>
          <t>Arc Volkorne; Amulette du Strigide; Alliance Gloursonne; Bague Trithon; Quatre-feuilles; Ceinture du Strigide; Masque Trithon; Voile d'encre; Bottes Trithon; Dofus Nébuleux; Dofus Ocre; Dolmanax; Dofus des Glaces; Dofus Turquoise; Voyageur; Sakochère</t>
        </is>
      </c>
    </row>
    <row r="8522">
      <c r="A8522" t="inlineStr">
        <is>
          <t>Roublard M 200</t>
        </is>
      </c>
      <c r="B8522">
        <f>HYPERLINK("https://www.dofusbook.net/fr/equipement/3934903-roublard-m-200/objets", "link")</f>
        <v/>
      </c>
      <c r="C8522" t="n">
        <v>2</v>
      </c>
      <c r="D8522" t="inlineStr">
        <is>
          <t>Dagoulinantes; Amulette de l'Œil Attentif; Alliance Gloursonne; Lavanneau; Cadran de Terre; Culotte de Bethel; Capuche de l'Œil Attentif; Cape de l'Œil Attentif; Chaussons de Macrab; Dokoko; Dofus Ocre; Dofus Émeraude; Dofus des Glaces; Dofus Pourpre; Dofus Abyssal; Boskito</t>
        </is>
      </c>
    </row>
    <row r="8523">
      <c r="A8523" t="inlineStr">
        <is>
          <t>Crâ F 200</t>
        </is>
      </c>
      <c r="B8523">
        <f>HYPERLINK("https://www.dofusbook.net/fr/equipement/3932579-cra-f-200/objets", "link")</f>
        <v/>
      </c>
      <c r="C8523" t="n">
        <v>2</v>
      </c>
      <c r="D8523" t="inlineStr">
        <is>
          <t>Marteau Phossile; Amulette du Strigide; Anneau de Padgref; Bague Trithon; Quatre-feuilles; Ceinture du Strigide; Casque Cyclopéen; Cape Lati; Sandales  d'Atcham; Dofus Nébuleux; Dofus Turquoise; Dofus des Glaces; Dofus Pourpre; Remueur; Nomade; Sakochère</t>
        </is>
      </c>
    </row>
    <row r="8524">
      <c r="A8524" t="inlineStr">
        <is>
          <t>Crâ M 200</t>
        </is>
      </c>
      <c r="B8524">
        <f>HYPERLINK("https://www.dofusbook.net/fr/equipement/3932428-cra-m-200/objets", "link")</f>
        <v/>
      </c>
      <c r="C8524" t="n">
        <v>1</v>
      </c>
      <c r="D8524" t="inlineStr">
        <is>
          <t>Arc Volkorne; Amulette du Strigide; Alliance Gloursonne; Bague Trithon; Quatre-feuilles; Ceinture du Strigide; Masque Trithon; Voile d'encre; Bottes Trithon; Dolmanax; Dofus des Glaces; Dofus Turquoise; Dofus Nébuleux; Dofus Ocre; Dofus Abyssal; Sakochère</t>
        </is>
      </c>
    </row>
    <row r="8525">
      <c r="A8525" t="inlineStr">
        <is>
          <t>Iop F 200</t>
        </is>
      </c>
      <c r="B8525">
        <f>HYPERLINK("https://www.dofusbook.net/fr/equipement/3930937-iop-f-200/objets", "link")</f>
        <v/>
      </c>
      <c r="C8525" t="n">
        <v>1</v>
      </c>
      <c r="D8525" t="inlineStr">
        <is>
          <t>Epée Toche; Amulette du Strigide; Bague Gloursonne; Bague Trithon; Bouclier du Captain Amakna; Ceinture du Strigide; Masque Trithon; Voile d'encre; Bottes Trithon; Dofus Nébuleux; Dofus Ocre; Dofus Abyssal; Dofus Ivoire; Dofus des Glaces; Dofus Turquoise; Sakochère</t>
        </is>
      </c>
    </row>
    <row r="8526">
      <c r="A8526" t="inlineStr">
        <is>
          <t>Iop M 200</t>
        </is>
      </c>
      <c r="B8526">
        <f>HYPERLINK("https://www.dofusbook.net/fr/equipement/3889235-iop-m-200/objets", "link")</f>
        <v/>
      </c>
      <c r="C8526" t="n">
        <v>4</v>
      </c>
      <c r="D8526" t="inlineStr">
        <is>
          <t>Hache Téroïde; Amulette du Strigide; Bague Gloursonne; Bague Trithon; Bouclier du Captain Amakna; Ceinture du Strigide; Masque Trithon; Cape au Logis; Bottes Trithon; Dofus Pourpre; Dofus des Glaces; Dofus Turquoise; Dofus Nébuleux; Dofus Ocre; Dofus Abyssal; Kokulte</t>
        </is>
      </c>
    </row>
    <row r="8527">
      <c r="A8527" t="inlineStr">
        <is>
          <t>Iop M 200</t>
        </is>
      </c>
      <c r="B8527">
        <f>HYPERLINK("https://www.dofusbook.net/fr/equipement/3880850-iop-m-200/objets", "link")</f>
        <v/>
      </c>
      <c r="C8527" t="n">
        <v>3</v>
      </c>
      <c r="D8527" t="inlineStr">
        <is>
          <t>Arc du Chalœil; Amulette du Cœur Saignant; Bague Gloursonne; Anneau Crustique; Bouclier du Captain Amakna; Ceinture Gence; Chapeau de Gein; Cape au Logis; Bottes du Cœur Saignant; Dofus des Glaces; Dofus Nébuleux; Dofus Turquoise; Carapace Terre majeur; Remueur; Enragé majeur; Bulbisou</t>
        </is>
      </c>
    </row>
    <row r="8528">
      <c r="A8528" t="inlineStr">
        <is>
          <t>Zobal M 200</t>
        </is>
      </c>
      <c r="B8528">
        <f>HYPERLINK("https://www.dofusbook.net/fr/equipement/3875704-zobal-m-200/objets", "link")</f>
        <v/>
      </c>
      <c r="C8528" t="n">
        <v>0</v>
      </c>
      <c r="D8528" t="inlineStr">
        <is>
          <t>Arc Volkorne; Amulette du Strigide; Alliance Gloursonne; Anneau de Padgref; Quatre-feuilles; Ceinture du Strigide; Coiffe de Padgref; Cape au Logis; Getas de Padgref; Dofus Ivoire; Dofus Abyssal; Dofus Nébuleux; Dofus Ocre; Dolmanax; Dofus des Glaces; Kokulte</t>
        </is>
      </c>
    </row>
    <row r="8529">
      <c r="A8529" t="inlineStr">
        <is>
          <t>Zobal M 200</t>
        </is>
      </c>
      <c r="B8529">
        <f>HYPERLINK("https://www.dofusbook.net/fr/equipement/3875700-zobal-m-200/objets", "link")</f>
        <v/>
      </c>
      <c r="C8529" t="n">
        <v>0</v>
      </c>
      <c r="D8529" t="inlineStr"/>
    </row>
    <row r="8530">
      <c r="A8530" t="inlineStr">
        <is>
          <t>Iop M 200</t>
        </is>
      </c>
      <c r="B8530">
        <f>HYPERLINK("https://www.dofusbook.net/fr/equipement/3868621-iop-m-200/objets", "link")</f>
        <v/>
      </c>
      <c r="C8530" t="n">
        <v>1</v>
      </c>
      <c r="D8530" t="inlineStr">
        <is>
          <t>Dagues d'Ilyzaelle; Amulette du Cœur Saignant; Bague Gloursonne; Anneau Crustique; Bouclier du Captain Amakna; Ceinture de la Reine des Voleurs; Coiffe de la Reine des Voleurs; Cape du Cœur Saignant; Bottes du Cœur Saignant; Dofus Pourpre; Dofus des Glaces; Dofus Turquoise; Dofus Nébuleux; Dofus Ocre; Dofus Abyssal; Muldo Prune et Doré</t>
        </is>
      </c>
    </row>
    <row r="8531">
      <c r="A8531" t="inlineStr">
        <is>
          <t>Ecaflip M 200</t>
        </is>
      </c>
      <c r="B8531">
        <f>HYPERLINK("https://www.dofusbook.net/fr/equipement/3868174-ecaflip-m-200/objets", "link")</f>
        <v/>
      </c>
      <c r="C8531" t="n">
        <v>3</v>
      </c>
      <c r="D8531" t="inlineStr">
        <is>
          <t>Arc Volkorne; Amulette du Strigide; Alliance Gloursonne; Anneau Volkorne; Bouclier du Stalak; Ceinture Volkorne; Casque Volkorne; Voile d'encre; Bottes du Strigide; Dofus Abyssal; Dofus des Glaces; Dofus Nébuleux; Dofus Pourpre; Dokoko; Dofus Ocre; Fëanor</t>
        </is>
      </c>
    </row>
    <row r="8532">
      <c r="A8532" t="inlineStr">
        <is>
          <t>Ecaflip M 200</t>
        </is>
      </c>
      <c r="B8532">
        <f>HYPERLINK("https://www.dofusbook.net/fr/equipement/3867949-ecaflip-m-200/objets", "link")</f>
        <v/>
      </c>
      <c r="C8532" t="n">
        <v>1</v>
      </c>
      <c r="D8532" t="inlineStr">
        <is>
          <t>Dagues de Srambad; Amulette du Strigide; Bracelet du Piloztère; Anneau Volkorne; Bouclier du Stalak; Ceinture Volkorne; Casque Dragoeuf; Voile d'encre; Bottes Honyme; Dofus Ocre; Dofus Nébuleux; Dofus des Glaces; Dofus Pourpre; Dofus Abyssal; Nomade; Bébé Pandawa</t>
        </is>
      </c>
    </row>
    <row r="8533">
      <c r="A8533" t="inlineStr">
        <is>
          <t>Roublard F 200</t>
        </is>
      </c>
      <c r="B8533">
        <f>HYPERLINK("https://www.dofusbook.net/fr/equipement/3839559-roublard-f-200/objets", "link")</f>
        <v/>
      </c>
      <c r="C8533" t="n">
        <v>1</v>
      </c>
      <c r="D8533" t="inlineStr">
        <is>
          <t>Dagoulinantes; Amulette de Shokkoth; Anneau Volkorne; Goulano; Sept ans de malheur; Culotte de Bethel; Kidibonnet; Chevelure de Tal Kasha; Chaussons de Macrab; Dévastateur Eau majeur; Nomade; Chanceux majeur; Dragoune Rose</t>
        </is>
      </c>
    </row>
    <row r="8534">
      <c r="A8534" t="inlineStr">
        <is>
          <t>Enutrof M 200</t>
        </is>
      </c>
      <c r="B8534">
        <f>HYPERLINK("https://www.dofusbook.net/fr/equipement/3818577-enutrof-m-200/objets", "link")</f>
        <v/>
      </c>
      <c r="C8534" t="n">
        <v>0</v>
      </c>
      <c r="D8534" t="inlineStr"/>
    </row>
    <row r="8535">
      <c r="A8535" t="inlineStr">
        <is>
          <t>Enutrof M 200</t>
        </is>
      </c>
      <c r="B8535">
        <f>HYPERLINK("https://www.dofusbook.net/fr/equipement/3816951-enutrof-m-200/objets", "link")</f>
        <v/>
      </c>
      <c r="C8535" t="n">
        <v>6</v>
      </c>
      <c r="D8535" t="inlineStr">
        <is>
          <t>Hache du Chalœil; Amulette du Strigide; Bague Trithon; Alliance Gloursonne; Quatre-feuilles; Ceinture du Strigide; Le Dorado; Voile d'encre; Bottes Trithon; Dofus Ivoire; Dofus des Glaces; Dofus Nébuleux; Dofus Pourpre; Dofus Ocre; Dofus Turquoise; Muldo Prune et Emeraude</t>
        </is>
      </c>
    </row>
    <row r="8536">
      <c r="A8536" t="inlineStr">
        <is>
          <t>Enutrof M 200</t>
        </is>
      </c>
      <c r="B8536">
        <f>HYPERLINK("https://www.dofusbook.net/fr/equipement/3817089-enutrof-m-200/objets", "link")</f>
        <v/>
      </c>
      <c r="C8536" t="n">
        <v>4</v>
      </c>
      <c r="D8536" t="inlineStr">
        <is>
          <t>Lance Horselé; Amulette du Strigide; Alliance Gloursonne; Anneau de Padgref; Cadran d'Air; Menoture; Casque Volkorne; Cape Indescriptible; Palmes Trithons; Dokoko; Dofus Turquoise; Dofus Nébuleux; Dofus des Glaces; Remueur; Cascadeur majeur; Muldo Prune et Emeraude</t>
        </is>
      </c>
    </row>
    <row r="8537">
      <c r="A8537" t="inlineStr">
        <is>
          <t>Ouginak M 200</t>
        </is>
      </c>
      <c r="B8537">
        <f>HYPERLINK("https://www.dofusbook.net/fr/equipement/3815394-ouginak-m-200/objets", "link")</f>
        <v/>
      </c>
      <c r="C8537" t="n">
        <v>1</v>
      </c>
      <c r="D8537" t="inlineStr">
        <is>
          <t>Bêche Asse; Collier de Tourthon; Anneau Crustique; Anneau de Brouce; Bouclier d'Ilyzaelle; Ceinture Gence; Casque Dragoeuf; Cape au Logis; Bottes de Brouce; Dofus Émeraude; Dofus Ocre; Dofus des Glaces; Dokoko; Dofus Abyssal; Enragé majeur; Bwak de Terre</t>
        </is>
      </c>
    </row>
    <row r="8538">
      <c r="A8538" t="inlineStr">
        <is>
          <t>Enutrof M 200</t>
        </is>
      </c>
      <c r="B8538">
        <f>HYPERLINK("https://www.dofusbook.net/fr/equipement/3800148-enutrof-m-200/objets", "link")</f>
        <v/>
      </c>
      <c r="C8538" t="n">
        <v>7</v>
      </c>
      <c r="D8538" t="inlineStr">
        <is>
          <t>Arc Tangente; Amulette du Strigide; Bague Trithon; Pikano; Quatre-feuilles; Ceinture du Strigide; Masque Trithon; Voile d'encre; Bottes Trithon; Dofus Ocre; Dofus Ivoire; Dofus Nébuleux; Dofus Turquoise; Dofus Pourpre; Dofus des Glaces; Muldo Pourpre et Emeraude</t>
        </is>
      </c>
    </row>
    <row r="8539">
      <c r="A8539" t="inlineStr">
        <is>
          <t>Enutrof M 200</t>
        </is>
      </c>
      <c r="B8539">
        <f>HYPERLINK("https://www.dofusbook.net/fr/equipement/3807702-enutrof-m-200/objets", "link")</f>
        <v/>
      </c>
      <c r="C8539" t="n">
        <v>0</v>
      </c>
      <c r="D8539" t="inlineStr">
        <is>
          <t>Lance Horselé; Collier du Valet Veinard; Gant du Valet Veinard; Alliance Gloursonne; Cadran de Terre; Menoture; Dorabysses; Chevelure de Tal Kasha; Palmes Trithons; Dokoko; Dofus Ivoire; Dofus des Glaces; Remueur; Cascadeur majeur; Étourdisseur majeur; Muldo Doré et Ebène</t>
        </is>
      </c>
    </row>
    <row r="8540">
      <c r="A8540" t="inlineStr">
        <is>
          <t>Enutrof M 200</t>
        </is>
      </c>
      <c r="B8540">
        <f>HYPERLINK("https://www.dofusbook.net/fr/equipement/3807534-enutrof-m-200/objets", "link")</f>
        <v/>
      </c>
      <c r="C8540" t="n">
        <v>3</v>
      </c>
      <c r="D8540" t="inlineStr">
        <is>
          <t>Arc Ahique; Amulette de Shokkoth; Pikano; Alliance Gloursonne; Bouclier du Stalak; Ceinture de la Reine des Voleurs; Kidibonnet; Cape de l'Œil Attentif; Bottes de la Reine des Voleurs; Dokoko; Dofus des Glaces; Dofus Ivoire; Chanceux majeur; Carapace Eau majeur; Remueur; Muldo Indigo et Pourpre</t>
        </is>
      </c>
    </row>
    <row r="8541">
      <c r="A8541" t="inlineStr">
        <is>
          <t>Ouginak M 200</t>
        </is>
      </c>
      <c r="B8541">
        <f>HYPERLINK("https://www.dofusbook.net/fr/equipement/3805910-ouginak-m-200/objets", "link")</f>
        <v/>
      </c>
      <c r="C8541" t="n">
        <v>0</v>
      </c>
      <c r="D8541" t="inlineStr">
        <is>
          <t>Pelle de la Cour Sombre; Collier du Valet Veinard; Gant du Valet Veinard; Anneau de Pol Ouatnos; Bouclier d'Ilyzaelle; Ceintouse; Casque d'Ilyzaelle; Cape du Valet Veinard; Bottes de l'Esprit Salvateur; Dofus des Glaces; Dofus Ivoire; Dofus Émeraude; Dofus Nébuleux; Dofus Ocre; Dokoko; Blérodoudou</t>
        </is>
      </c>
    </row>
    <row r="8542">
      <c r="A8542" t="inlineStr">
        <is>
          <t>Enutrof M 200</t>
        </is>
      </c>
      <c r="B8542">
        <f>HYPERLINK("https://www.dofusbook.net/fr/equipement/3802417-enutrof-m-200/objets", "link")</f>
        <v/>
      </c>
      <c r="C8542" t="n">
        <v>0</v>
      </c>
      <c r="D8542" t="inlineStr">
        <is>
          <t>Pelle de la Cour Sombre; Collier du Valet Veinard; Alliance Gloursonne; Gant du Valet Veinard; Bouclier du Stalak; Ceintouse; Casque d'Ilyzaelle; Cape du Valet Veinard; Palmes Trithons; Dofus Vulbis; Dofus Ocre; Dofus Nébuleux; Dofus des Glaces; Dokoko; Dofus Ivoire; Bwak d'Air</t>
        </is>
      </c>
    </row>
    <row r="8543">
      <c r="A8543" t="inlineStr">
        <is>
          <t>Ouginak M 200</t>
        </is>
      </c>
      <c r="B8543">
        <f>HYPERLINK("https://www.dofusbook.net/fr/equipement/3797868-ouginak-m-200/objets", "link")</f>
        <v/>
      </c>
      <c r="C8543" t="n">
        <v>9</v>
      </c>
      <c r="D8543" t="inlineStr">
        <is>
          <t>Hache du Korriandre; Amulette du Strigide; Alliance Gloursonne; Bague Trithon; Bouclier d'Ilyzaelle; Ceinture du Strigide; Némès de Tal Kasha; Chevelure de Tal Kasha; Sandales de Tal Kasha; Dokoko; Dofus des Glaces; Dofus Turquoise; Dofus Abyssal; Dofus Ocre; Dofus Ivoire; Muldo Prune et Indigo</t>
        </is>
      </c>
    </row>
    <row r="8544">
      <c r="A8544" t="inlineStr">
        <is>
          <t>Ouginak M 200</t>
        </is>
      </c>
      <c r="B8544">
        <f>HYPERLINK("https://www.dofusbook.net/fr/equipement/3796719-ouginak-m-200/objets", "link")</f>
        <v/>
      </c>
      <c r="C8544" t="n">
        <v>1</v>
      </c>
      <c r="D8544" t="inlineStr">
        <is>
          <t>Baguette Hique; Amulette de l'Œil Attentif; Anneau Volkorne; Alliance Gloursonne; Ambrouclier; Poulpagne; Casque Dragoeuf; Cape de l'Œil Attentif; Bottes du Nocturlabe; Dokoko; Dofus Ivoire; Dofus Émeraude; Remueur; Nomade; Chanceux majeur; Kramkram</t>
        </is>
      </c>
    </row>
    <row r="8545">
      <c r="A8545" t="inlineStr">
        <is>
          <t>Ouginak M 200</t>
        </is>
      </c>
      <c r="B8545">
        <f>HYPERLINK("https://www.dofusbook.net/fr/equipement/3796692-ouginak-m-200/objets", "link")</f>
        <v/>
      </c>
      <c r="C8545" t="n">
        <v>0</v>
      </c>
      <c r="D8545" t="inlineStr"/>
    </row>
    <row r="8546">
      <c r="A8546" t="inlineStr">
        <is>
          <t>Enutrof M 200</t>
        </is>
      </c>
      <c r="B8546">
        <f>HYPERLINK("https://www.dofusbook.net/fr/equipement/3776065-enutrof-m-200/objets", "link")</f>
        <v/>
      </c>
      <c r="C8546" t="n">
        <v>1</v>
      </c>
      <c r="D8546" t="inlineStr">
        <is>
          <t>Arc de Koutoulou; Amulette d'Ilyzaelle; Alliance Gloursonne; Anneau de Padgref; Bouclier du Stalak; Ceinture de l'Esprit Salvateur; Masque de l'Esprit Salvateur; Chevelure de Tal Kasha; Bottes de l'Esprit Salvateur; Dofus Pourpre; Dofus Nébuleux; Dofus Ocre; Dofus Abyssal; Dofus des Glaces; Dofus Ivoire; Muldo Ebène et Pourpre</t>
        </is>
      </c>
    </row>
    <row r="8547">
      <c r="A8547" t="inlineStr">
        <is>
          <t>Crâ M 200</t>
        </is>
      </c>
      <c r="B8547">
        <f>HYPERLINK("https://www.dofusbook.net/fr/equipement/3761827-cra-m-200/objets", "link")</f>
        <v/>
      </c>
      <c r="C8547" t="n">
        <v>1</v>
      </c>
      <c r="D8547" t="inlineStr">
        <is>
          <t>Bâton Beau; Amulette du Strigide; Bague Trithon; Anneau de Padgref; Quatre-feuilles; Ceinture du Strigide; Masque Trithon; Chevelure de Tal Kasha; Bottes Trithon; Dolmanax; Dofus des Glaces; Dofus Ocre; Dofus Pourpre; Dofus Nébuleux; Dofus Turquoise; Muldo Prune et Emeraude</t>
        </is>
      </c>
    </row>
    <row r="8548">
      <c r="A8548" t="inlineStr">
        <is>
          <t>Féca M 200</t>
        </is>
      </c>
      <c r="B8548">
        <f>HYPERLINK("https://www.dofusbook.net/fr/equipement/3772517-feca-m-200/objets", "link")</f>
        <v/>
      </c>
      <c r="C8548" t="n">
        <v>0</v>
      </c>
      <c r="D8548" t="inlineStr"/>
    </row>
    <row r="8549">
      <c r="A8549" t="inlineStr">
        <is>
          <t>Crâ M 200</t>
        </is>
      </c>
      <c r="B8549">
        <f>HYPERLINK("https://www.dofusbook.net/fr/equipement/3761825-cra-m-200/objets", "link")</f>
        <v/>
      </c>
      <c r="C8549" t="n">
        <v>0</v>
      </c>
      <c r="D8549" t="inlineStr"/>
    </row>
    <row r="8550">
      <c r="A8550" t="inlineStr">
        <is>
          <t>Crâ F 200</t>
        </is>
      </c>
      <c r="B8550">
        <f>HYPERLINK("https://www.dofusbook.net/fr/equipement/3753685-cra-f-200/objets", "link")</f>
        <v/>
      </c>
      <c r="C8550" t="n">
        <v>2</v>
      </c>
      <c r="D8550" t="inlineStr">
        <is>
          <t>Phylactère Mic; Anneau de Brouce; Alliance de Missiz Frizz; Bivalve; Ceinture de Brouce; Capuche de Sylargh; Cape au Logis; Sabots Minables; Dofus Pourpre; Dofus Nébuleux; Remueur; Enragé majeur; Vigoureux majeur; Forcené majeur; Kompost</t>
        </is>
      </c>
    </row>
    <row r="8551">
      <c r="A8551" t="inlineStr">
        <is>
          <t>Crâ M 200</t>
        </is>
      </c>
      <c r="B8551">
        <f>HYPERLINK("https://www.dofusbook.net/fr/equipement/3455698-cra-m-200/objets", "link")</f>
        <v/>
      </c>
      <c r="C8551" t="n">
        <v>4</v>
      </c>
      <c r="D8551" t="inlineStr">
        <is>
          <t>Hache du Chalœil; Amulette du Strigide; Alliance de Missiz Frizz; Bracelet du Piloztère; Quatre-feuilles; Ceintacé; Cape des Justiciers; Bottes du Strigide; Dofus Pourpre; Dofus Turquoise; Observateur; Vigoureux majeur; Nomade; Remueur; Muldo Prune et Emeraude</t>
        </is>
      </c>
    </row>
    <row r="8552">
      <c r="A8552" t="inlineStr">
        <is>
          <t>Enutrof M 200</t>
        </is>
      </c>
      <c r="B8552">
        <f>HYPERLINK("https://www.dofusbook.net/fr/equipement/3751784-enutrof-m-200/objets", "link")</f>
        <v/>
      </c>
      <c r="C8552" t="n">
        <v>1</v>
      </c>
      <c r="D8552" t="inlineStr">
        <is>
          <t>Arc Tangente; Amulette du Strigide; Anneau de Padgref; Bague Trithon; Quatre-feuilles; Ceinture du Strigide; Masque Trithon; Voile d'encre; Bottes Trithon; Dofus Turquoise; Dofus Abyssal; Dofus Ocre; Dofus Ivoire; Dofus Pourpre; Dofus des Glaces; Muldo Prune et Emeraude</t>
        </is>
      </c>
    </row>
    <row r="8553">
      <c r="A8553" t="inlineStr">
        <is>
          <t>Enutrof M 200</t>
        </is>
      </c>
      <c r="B8553">
        <f>HYPERLINK("https://www.dofusbook.net/fr/equipement/3742482-enutrof-m-200/objets", "link")</f>
        <v/>
      </c>
      <c r="C8553" t="n">
        <v>12</v>
      </c>
      <c r="D8553" t="inlineStr">
        <is>
          <t>Le Thanos; Amulette de Shokkoth; Bracelet des Fonds marins; Alliance Gloursonne; Bouclier d'Ilyzaelle; Ceinture de la Reine des Voleurs; Kidibonnet; Cape du Sinistrofu; Bottes de la Reine des Voleurs; Dofus des Glaces; Chanceux majeur; Remueur; Taquin majeur; Dévastateur Eau majeur; Nomade; Kanigloups</t>
        </is>
      </c>
    </row>
    <row r="8554">
      <c r="A8554" t="inlineStr">
        <is>
          <t>Enutrof M 200</t>
        </is>
      </c>
      <c r="B8554">
        <f>HYPERLINK("https://www.dofusbook.net/fr/equipement/3739777-enutrof-m-200/objets", "link")</f>
        <v/>
      </c>
      <c r="C8554" t="n">
        <v>7</v>
      </c>
      <c r="D8554" t="inlineStr">
        <is>
          <t>Arc Hétype; Amulette Volcanique; Anneau de Nidas; Chevalière du Roi Joueur; Bouclier du Stalak; Ceinture de Gein; Heaume Oplate; Voile d'encre; Bottes du Roi Joueur; Enragé majeur; Nomade; Érudit majeur; Temporiseur majeur; Remueur; Astucieux majeur; Muldo Indigo et Pourpre</t>
        </is>
      </c>
    </row>
    <row r="8555">
      <c r="A8555" t="inlineStr">
        <is>
          <t>Enutrof M 200</t>
        </is>
      </c>
      <c r="B8555">
        <f>HYPERLINK("https://www.dofusbook.net/fr/equipement/3739337-enutrof-m-200/objets", "link")</f>
        <v/>
      </c>
      <c r="C8555" t="n">
        <v>0</v>
      </c>
      <c r="D8555" t="inlineStr"/>
    </row>
    <row r="8556">
      <c r="A8556" t="inlineStr">
        <is>
          <t>Enutrof M 200</t>
        </is>
      </c>
      <c r="B8556">
        <f>HYPERLINK("https://www.dofusbook.net/fr/equipement/3714209-enutrof-m-200/objets", "link")</f>
        <v/>
      </c>
      <c r="C8556" t="n">
        <v>8</v>
      </c>
      <c r="D8556" t="inlineStr">
        <is>
          <t>Arc corrompu; Pendentif affamé; Anneau de Nidas; Chevalière du Roi Joueur; Bouclier cubiste; Ceinture Séculaire; Couronne de Nidas; Cape de Diondin; Sabots Volcaniques; Dofus des Glaces; Érudit majeur; Savant majeur; Dévastateur Feu majeur; Remueur; Temporiseur majeur; Muldo Indigo</t>
        </is>
      </c>
    </row>
    <row r="8557">
      <c r="A8557" t="inlineStr">
        <is>
          <t>Enutrof M 200</t>
        </is>
      </c>
      <c r="B8557">
        <f>HYPERLINK("https://www.dofusbook.net/fr/equipement/3714090-enutrof-m-200/objets", "link")</f>
        <v/>
      </c>
      <c r="C8557" t="n">
        <v>8</v>
      </c>
      <c r="D8557" t="inlineStr">
        <is>
          <t>Arc Nécrotique; Talisman Igans; Alliance Gloursonne; Anneau Cryochrone; Quatre-feuilles; Ceintacé; Casquette de Meno; Voile d'encre; Bottes de Meno; Dofus des Glaces; Dofus Turquoise; Dofus Pourpre; Temporiseur majeur; Remueur; Entraveur majeur; Muldo Ebène et Orchidée</t>
        </is>
      </c>
    </row>
    <row r="8558">
      <c r="A8558" t="inlineStr">
        <is>
          <t>Steamer F 200</t>
        </is>
      </c>
      <c r="B8558">
        <f>HYPERLINK("https://www.dofusbook.net/fr/equipement/3704503-steamer-f-200/objets", "link")</f>
        <v/>
      </c>
      <c r="C8558" t="n">
        <v>3</v>
      </c>
      <c r="D8558" t="inlineStr">
        <is>
          <t>Arc du Chalœil; Amulette du Strigide; Alliance Gloursonne; Bracelet du Piloztère; Quatre-feuilles; Ceinture du Strigide; Casque du Chalœil; Capchalot; Pataugastrique; Dofus Turquoise; Dofus Pourpre; Remueur; Carapace Eau majeur; Vigoureux majeur; Nomade; Muldo Prune et Emeraude</t>
        </is>
      </c>
    </row>
    <row r="8559">
      <c r="A8559" t="inlineStr">
        <is>
          <t>Steamer M 200</t>
        </is>
      </c>
      <c r="B8559">
        <f>HYPERLINK("https://www.dofusbook.net/fr/equipement/3704494-steamer-m-200/objets", "link")</f>
        <v/>
      </c>
      <c r="C8559" t="n">
        <v>0</v>
      </c>
      <c r="D8559" t="inlineStr"/>
    </row>
    <row r="8560">
      <c r="A8560" t="inlineStr">
        <is>
          <t>Sram F 200</t>
        </is>
      </c>
      <c r="B8560">
        <f>HYPERLINK("https://www.dofusbook.net/fr/equipement/3695149-sram-f-200/objets", "link")</f>
        <v/>
      </c>
      <c r="C8560" t="n">
        <v>0</v>
      </c>
      <c r="D8560" t="inlineStr"/>
    </row>
    <row r="8561">
      <c r="A8561" t="inlineStr">
        <is>
          <t>Féca M 200</t>
        </is>
      </c>
      <c r="B8561">
        <f>HYPERLINK("https://www.dofusbook.net/fr/equipement/3439623-feca-m-200/objets", "link")</f>
        <v/>
      </c>
      <c r="C8561" t="n">
        <v>8</v>
      </c>
      <c r="D8561" t="inlineStr">
        <is>
          <t>Lav'Hache; Amulette du Cœur Vaillant; Anneau Crustique; Anneau Crustique; Sept ans de malheur; Menoture; Casque Dragoeuf; Cape du Cœur Vaillant; Tentassons; Dofus des Glaces; Dokoko; Dofus Émeraude; Carapace Air majeur; Remueur; Étourdisseur majeur; Muldo Ebène et Pourpre</t>
        </is>
      </c>
    </row>
    <row r="8562">
      <c r="A8562" t="inlineStr">
        <is>
          <t>Eliotrope F 200</t>
        </is>
      </c>
      <c r="B8562">
        <f>HYPERLINK("https://www.dofusbook.net/fr/equipement/3560083-eliotrope-f-200/objets", "link")</f>
        <v/>
      </c>
      <c r="C8562" t="n">
        <v>5</v>
      </c>
      <c r="D8562" t="inlineStr">
        <is>
          <t>Dagoulinantes; Amulette de Shokkoth; Alliance Gloursonne; Bracelet des Fonds marins; Bouclier du Stalak; Ceinture de la Reine des Voleurs; Kidibonnet; Cape de l'Œil Attentif; Bottes de la Reine des Voleurs; Dofus Nébuleux; Dofus des Glaces; Dofus Abyssal; Nomade; Carapace Eau majeur; Remueur; Dragodinde Indigo et Ivoire</t>
        </is>
      </c>
    </row>
    <row r="8563">
      <c r="A8563" t="inlineStr">
        <is>
          <t>Sram F 200</t>
        </is>
      </c>
      <c r="B8563">
        <f>HYPERLINK("https://www.dofusbook.net/fr/equipement/3648914-sram-f-200/objets", "link")</f>
        <v/>
      </c>
      <c r="C8563" t="n">
        <v>9</v>
      </c>
      <c r="D8563" t="inlineStr">
        <is>
          <t>Hache du Chalœil; Amulette du Strigide; Bracelet du Piloztère; Alliance Gloursonne; Quatre-feuilles; Ceinture du Strigide; Masque Brûlâme; Voile d'encre; Bottes du Strigide; Dofus Vulbis; Dofus Nébuleux; Dofus Ocre; Dofus Abyssal; Dofus des Glaces; Examinateur; Volkorne Saphir et Emeraude</t>
        </is>
      </c>
    </row>
    <row r="8564">
      <c r="A8564" t="inlineStr">
        <is>
          <t>Sacrieur F 200</t>
        </is>
      </c>
      <c r="B8564">
        <f>HYPERLINK("https://www.dofusbook.net/fr/equipement/3641383-sacrieur-f-200/objets", "link")</f>
        <v/>
      </c>
      <c r="C8564" t="n">
        <v>3</v>
      </c>
      <c r="D8564" t="inlineStr">
        <is>
          <t>Manthache; Collier du Valet Veinard; Gant du Valet Veinard; Alliance Gloursonne; Bouclier d'Anerice; Menoture; Dorabysses; Cape d'Anerice; Bottes du Cycloïde; Dokoko; Dofus Ivoire; Dofus Émeraude; Dofus Ocre; Voyageur; Survivant majeur; Croum</t>
        </is>
      </c>
    </row>
    <row r="8565">
      <c r="A8565" t="inlineStr">
        <is>
          <t>Sram M 200</t>
        </is>
      </c>
      <c r="B8565">
        <f>HYPERLINK("https://www.dofusbook.net/fr/equipement/3629976-sram-m-200/objets", "link")</f>
        <v/>
      </c>
      <c r="C8565" t="n">
        <v>8</v>
      </c>
      <c r="D8565" t="inlineStr">
        <is>
          <t>Marteau des égarés; Amulette Ementaire Deluxe; Alliance Gloursonne; Bague Gloursonne; Bouclier du Cycloïde; Ceintacé; Casque du Chalœil; Cape du Chalœil; Bottes du Chalœil; Dofus Pourpre; Dofus Nébuleux; Dofus Émeraude; Dofus Abyssal; Dokoko; Dofus des Glaces; Muldo Roux et Doré</t>
        </is>
      </c>
    </row>
    <row r="8566">
      <c r="A8566" t="inlineStr">
        <is>
          <t>terre</t>
        </is>
      </c>
      <c r="B8566">
        <f>HYPERLINK("https://www.dofusbook.net/fr/equipement/1291942-terre/objets", "link")</f>
        <v/>
      </c>
      <c r="C8566" t="n">
        <v>1</v>
      </c>
      <c r="D8566" t="inlineStr">
        <is>
          <t>Lav'Hache; Collier de Tourthon; Anneau de Brouce; Bracelet du Piloztère; Bouclier du Captain Amakna; Ceinture de la Reine des Voleurs; Coiffe de la Reine des Voleurs; Cape au Logis; Baleinabottes; Dofus des Glaces; Dofus Pourpre; Dofus Nébuleux; Dofus Abyssal; Enragé majeur; Remueur; Kompost</t>
        </is>
      </c>
    </row>
    <row r="8567">
      <c r="A8567" t="inlineStr">
        <is>
          <t>Iop F 200</t>
        </is>
      </c>
      <c r="B8567">
        <f>HYPERLINK("https://www.dofusbook.net/fr/equipement/3628691-iop-f-200/objets", "link")</f>
        <v/>
      </c>
      <c r="C8567" t="n">
        <v>4</v>
      </c>
      <c r="D8567" t="inlineStr">
        <is>
          <t>Bêche Asse; Collier de Tourthon; Bague Gloursonne; Anneau de Brouce; Bouclier d'Ilyzaelle; Ceinture de la Reine des Voleurs; Coiffe de la Reine des Voleurs; Cape au Logis; Bottes de la Cour Sombre; Dofus Abyssal; Dofus des Glaces; Dofus Pourpre; Dofus Nébuleux; Remueur; Enragé majeur; Volkorne Pourpre</t>
        </is>
      </c>
    </row>
    <row r="8568">
      <c r="A8568" t="inlineStr">
        <is>
          <t>Ecaflip M 200</t>
        </is>
      </c>
      <c r="B8568">
        <f>HYPERLINK("https://www.dofusbook.net/fr/equipement/3558258-ecaflip-m-200/objets", "link")</f>
        <v/>
      </c>
      <c r="C8568" t="n">
        <v>3</v>
      </c>
      <c r="D8568" t="inlineStr">
        <is>
          <t>Marteau des égarés; Amulette du Strigide; Bague Trithon; Alliance Gloursonne; Quatre-feuilles; Ceinture du Strigide; Masque Trithon; Voile d'encre; Bottes Trithon; Dofus Turquoise; Dofus Nébuleux; Dofus Ocre; Dofus Abyssal; Dolmanax; Dofus des Glaces; Muldo Prune et Emeraude</t>
        </is>
      </c>
    </row>
    <row r="8569">
      <c r="A8569" t="inlineStr">
        <is>
          <t>Iop M 200</t>
        </is>
      </c>
      <c r="B8569">
        <f>HYPERLINK("https://www.dofusbook.net/fr/equipement/3621603-iop-m-200/objets", "link")</f>
        <v/>
      </c>
      <c r="C8569" t="n">
        <v>8</v>
      </c>
      <c r="D8569" t="inlineStr">
        <is>
          <t>Manthache; Collier du Valet Veinard; Alliance Gloursonne; Gant du Valet Veinard; Cadran d'Air; Menoture; Couronne d'Allister; Cape Indescriptible; Palmes Trithons; Dofus Ivoire; Dofus Nébuleux; Dofus Pourpre; Dofus Abyssal; Dofus des Glaces; Cascadeur majeur; Volkorne Ebène</t>
        </is>
      </c>
    </row>
    <row r="8570">
      <c r="A8570" t="inlineStr">
        <is>
          <t>Pandawa M 200</t>
        </is>
      </c>
      <c r="B8570">
        <f>HYPERLINK("https://www.dofusbook.net/fr/equipement/3625175-pandawa-m-200/objets", "link")</f>
        <v/>
      </c>
      <c r="C8570" t="n">
        <v>1</v>
      </c>
      <c r="D8570" t="inlineStr">
        <is>
          <t>Manthache; Collier du Valet Veinard; Alliance Gloursonne; Gant du Valet Veinard; Cadran d'Air; Menoture; Couronne d'Allister; Cape Indescriptible; Palmes Trithons; Dofus des Glaces; Dofus Ivoire; Dofus Nébuleux; Dofus Pourpre; Dofus Abyssal; Cascadeur majeur; Volkorne Ebène</t>
        </is>
      </c>
    </row>
    <row r="8571">
      <c r="A8571" t="inlineStr">
        <is>
          <t>Osamodas M 200</t>
        </is>
      </c>
      <c r="B8571">
        <f>HYPERLINK("https://www.dofusbook.net/fr/equipement/3623375-osamodas-m-200/objets", "link")</f>
        <v/>
      </c>
      <c r="C8571" t="n">
        <v>0</v>
      </c>
      <c r="D8571" t="inlineStr">
        <is>
          <t>Héqache; Amulette du Strigide; Anneau de la Fuji Givrefoux; Bague Trithon; Sept ans de malheur; Ceinture du Strigide; Masque Trithon; Cape de la Fuji Givrefoux; Bottes Trithon; Dofus des Glaces; Dofus Turquoise; Dofus Ocre; Dofus Émeraude; Paralyseur majeur; Muldo Doré et Emeraude</t>
        </is>
      </c>
    </row>
    <row r="8572">
      <c r="A8572" t="inlineStr">
        <is>
          <t>Iop M 200</t>
        </is>
      </c>
      <c r="B8572">
        <f>HYPERLINK("https://www.dofusbook.net/fr/equipement/3619145-iop-m-200/objets", "link")</f>
        <v/>
      </c>
      <c r="C8572" t="n">
        <v>0</v>
      </c>
      <c r="D8572" t="inlineStr"/>
    </row>
    <row r="8573">
      <c r="A8573" t="inlineStr">
        <is>
          <t>Steamer F 200</t>
        </is>
      </c>
      <c r="B8573">
        <f>HYPERLINK("https://www.dofusbook.net/fr/equipement/3615017-steamer-f-200/objets", "link")</f>
        <v/>
      </c>
      <c r="C8573" t="n">
        <v>3</v>
      </c>
      <c r="D8573" t="inlineStr">
        <is>
          <t>Bâton Beau; Kralamansion; Anneau du Père Fwetar; Alliance Gloursonne; Cadran d'Air; Ceinture du Père Fwetar; Casque Dragoeuf; Cape Matelassée; Sabots Minables; Dokoko; Dofus Pourpre; Miraculé majeur; Nomade; Remueur; Vigoureux majeur; Muldo Doré et Indigo</t>
        </is>
      </c>
    </row>
    <row r="8574">
      <c r="A8574" t="inlineStr">
        <is>
          <t>Iop M 200</t>
        </is>
      </c>
      <c r="B8574">
        <f>HYPERLINK("https://www.dofusbook.net/fr/equipement/3608403-iop-m-200/objets", "link")</f>
        <v/>
      </c>
      <c r="C8574" t="n">
        <v>2</v>
      </c>
      <c r="D8574" t="inlineStr">
        <is>
          <t>Epée Toche; Amulette de Gein; Bague Gloursonne; Alliance Brûlâme; Bouclier du Captain Amakna; Ceinture de Gein; Chapeau de Gein; Voile d'encre; Pompes Funèbres; Dofus Pourpre; Dofus des Glaces; Dofus Turquoise; Dofus Nébuleux; Dofus Émeraude; Dofus Ocre; Muldo Prune et Doré</t>
        </is>
      </c>
    </row>
    <row r="8575">
      <c r="A8575" t="inlineStr">
        <is>
          <t>Sram F 200</t>
        </is>
      </c>
      <c r="B8575">
        <f>HYPERLINK("https://www.dofusbook.net/fr/equipement/3607216-sram-f-200/objets", "link")</f>
        <v/>
      </c>
      <c r="C8575" t="n">
        <v>3</v>
      </c>
      <c r="D8575" t="inlineStr">
        <is>
          <t>Arc Volkorne; Amulette Volkorne; Anneau Volkorne; Anneau du Père Fwetar; Bouclier cubiste; Ceinture Volkorne; Casque Volkorne; Voile d'encre; Bottes du Père Fwetar; Dolmanax; Dofus Ocre; Dokoko; Dofus des Glaces; Dofus Pourpre; Dofus Nébuleux; Volkorne Indigo et Ebène</t>
        </is>
      </c>
    </row>
    <row r="8576">
      <c r="A8576" t="inlineStr">
        <is>
          <t>Sram M 200</t>
        </is>
      </c>
      <c r="B8576">
        <f>HYPERLINK("https://www.dofusbook.net/fr/equipement/3607203-sram-m-200/objets", "link")</f>
        <v/>
      </c>
      <c r="C8576" t="n">
        <v>0</v>
      </c>
      <c r="D8576" t="inlineStr"/>
    </row>
    <row r="8577">
      <c r="A8577" t="inlineStr">
        <is>
          <t>Iop M 200</t>
        </is>
      </c>
      <c r="B8577">
        <f>HYPERLINK("https://www.dofusbook.net/fr/equipement/3604554-iop-m-200/objets", "link")</f>
        <v/>
      </c>
      <c r="C8577" t="n">
        <v>6</v>
      </c>
      <c r="D8577" t="inlineStr">
        <is>
          <t>Dagues Érhy; Amulette du Strigide; Bague Gloursonne; Chevalière du Roi Joueur; Bouclier du Captain Amakna; Ceinture du Strigide; Chapeau de Gein; Voile d'encre; Pompes Funèbres; Dofus Turquoise; Dofus Nébuleux; Dofus Ocre; Dofus Pourpre; Nomade; Remueur; Kwaltess</t>
        </is>
      </c>
    </row>
    <row r="8578">
      <c r="A8578" t="inlineStr">
        <is>
          <t>mode pvm</t>
        </is>
      </c>
      <c r="B8578">
        <f>HYPERLINK("https://www.dofusbook.net/fr/equipement/2082269-mode-pvm/objets", "link")</f>
        <v/>
      </c>
      <c r="C8578" t="n">
        <v>5</v>
      </c>
      <c r="D8578" t="inlineStr">
        <is>
          <t>Marteau R'ture; Collier de Tourthon; Anneau du Comte Harebourg; Anneau de Brouce; Bouclier du Captain Amakna; Ceinture de Brouce; Coiffe du Comte Harebourg; Ankhape; Bottes de Brouce; Dofus Abyssal; Dofus Nébuleux; Dofus Ocre; Dofus Pourpre; Dofus des Glaces; Forcené majeur; Volkorne Pourpre</t>
        </is>
      </c>
    </row>
    <row r="8579">
      <c r="A8579" t="inlineStr">
        <is>
          <t>Crâ M 200</t>
        </is>
      </c>
      <c r="B8579">
        <f>HYPERLINK("https://www.dofusbook.net/fr/equipement/3537461-cra-m-200/objets", "link")</f>
        <v/>
      </c>
      <c r="C8579" t="n">
        <v>1</v>
      </c>
      <c r="D8579" t="inlineStr">
        <is>
          <t>Arc du Chalœil; Amulette Luminescente; Chevalière du Roi Joueur; Anneau de Brouce; Bouclier du Stalak; Ceinture Luminescente; Couronne du Roi Joueur; Cape Luminescente; Bottes du Roi Joueur; Dofus Pourpre; Dofus Nébuleux; Dofus des Glaces; Entraveur majeur; Forcené majeur; Ralentisseur majeur; Muldo Indigo et Pourpre</t>
        </is>
      </c>
    </row>
    <row r="8580">
      <c r="A8580" t="inlineStr">
        <is>
          <t>Crâ F 200</t>
        </is>
      </c>
      <c r="B8580">
        <f>HYPERLINK("https://www.dofusbook.net/fr/equipement/3585662-cra-f-200/objets", "link")</f>
        <v/>
      </c>
      <c r="C8580" t="n">
        <v>0</v>
      </c>
      <c r="D8580" t="inlineStr"/>
    </row>
    <row r="8581">
      <c r="A8581" t="inlineStr">
        <is>
          <t>Sram F 200</t>
        </is>
      </c>
      <c r="B8581">
        <f>HYPERLINK("https://www.dofusbook.net/fr/equipement/3585415-sram-f-200/objets", "link")</f>
        <v/>
      </c>
      <c r="C8581" t="n">
        <v>0</v>
      </c>
      <c r="D8581" t="inlineStr">
        <is>
          <t>Pelle de la Cour Sombre; Collier du Valet Veinard; Gant du Valet Veinard; Alliance Gloursonne; Cadran d'Air; Menoture; Couronne d'Allister; Cape Routh; Palmes Trithons; Dokoko; Dofus des Glaces; Dofus Ocre; Nomade; Cascadeur majeur; Dévastateur Air majeur; Dragodinde Prune et Ebène</t>
        </is>
      </c>
    </row>
    <row r="8582">
      <c r="A8582" t="inlineStr">
        <is>
          <t>Féca M 200</t>
        </is>
      </c>
      <c r="B8582">
        <f>HYPERLINK("https://www.dofusbook.net/fr/equipement/3439423-feca-m-200/objets", "link")</f>
        <v/>
      </c>
      <c r="C8582" t="n">
        <v>2</v>
      </c>
      <c r="D8582" t="inlineStr">
        <is>
          <t>Marteau des égarés; Amulette Volkorne; Anneau Volkorne; Alliance Gloursonne; Sept ans de malheur; Ceinture Volkorne; Casque Volkorne; Voile d'encre; Dolmanax; Dofus des Glaces; Dofus Turquoise; Dofus Ivoire; Dofus Émeraude; Dofus Ocre; Volkorne Prune et Ivoire</t>
        </is>
      </c>
    </row>
    <row r="8583">
      <c r="A8583" t="inlineStr">
        <is>
          <t>Pandawa F 200</t>
        </is>
      </c>
      <c r="B8583">
        <f>HYPERLINK("https://www.dofusbook.net/fr/equipement/3585277-pandawa-f-200/objets", "link")</f>
        <v/>
      </c>
      <c r="C8583" t="n">
        <v>3</v>
      </c>
      <c r="D8583" t="inlineStr">
        <is>
          <t>Arc Nécrotique; Talisman Igans; Alliance Gloursonne; Anneau Tique; Quatre-feuilles; Ceinture de Kongoku; Capuche de l'Œil Putride; Voile d'encre; Bottes Owesli; Dofus Ivoire; Dofus Pourpre; Dofus Ocre; Dofus des Glaces; Vigoureux majeur; Remueur; Muldo Prune et Orchidée</t>
        </is>
      </c>
    </row>
    <row r="8584">
      <c r="A8584" t="inlineStr">
        <is>
          <t>Iop M 200</t>
        </is>
      </c>
      <c r="B8584">
        <f>HYPERLINK("https://www.dofusbook.net/fr/equipement/3582401-iop-m-200/objets", "link")</f>
        <v/>
      </c>
      <c r="C8584" t="n">
        <v>3</v>
      </c>
      <c r="D8584" t="inlineStr">
        <is>
          <t>Epée Gloursonne; Amulette du Strigide; Bague Gloursonne; Alliance Gloursonne; Bouclier du Captain Amakna; Ceinture du Strigide; Casque Dragoeuf; Cape du Professeur Xa; Bottes du Strigide; Dofus Émeraude; Dofus Nébuleux; Dofus Turquoise; Dofus Ivoire; Dofus des Glaces; Muldo Doré et Emeraude</t>
        </is>
      </c>
    </row>
    <row r="8585">
      <c r="A8585" t="inlineStr">
        <is>
          <t>Roublard F 200</t>
        </is>
      </c>
      <c r="B8585">
        <f>HYPERLINK("https://www.dofusbook.net/fr/equipement/3573060-roublard-f-200/objets", "link")</f>
        <v/>
      </c>
      <c r="C8585" t="n">
        <v>1</v>
      </c>
      <c r="D8585" t="inlineStr">
        <is>
          <t>Arc corrompu; Amulette Séculaire; Anneauræus; Anneauræus; Cadran de Terre; Ceinture Séculaire; Heaume Oplate; Voile d'encre; Bottes Innommables; Dokoko; Dofus des Glaces; Nomade; Érudit majeur; Dévastateur Feu majeur; Remueur; Croum</t>
        </is>
      </c>
    </row>
    <row r="8586">
      <c r="A8586" t="inlineStr">
        <is>
          <t>Roublard M 200</t>
        </is>
      </c>
      <c r="B8586">
        <f>HYPERLINK("https://www.dofusbook.net/fr/equipement/3571579-roublard-m-200/objets", "link")</f>
        <v/>
      </c>
      <c r="C8586" t="n">
        <v>0</v>
      </c>
      <c r="D8586" t="inlineStr">
        <is>
          <t>Arc corrompu; Pendentif affamé; Baguistik; Anneau de Nidas; Bouclier du Cycloïde; Ceinture de Gein; Couronne de Nidas; Voile d'encre; Bottes Innommables; Dofus des Glaces; Dokoko; Remueur; Dévastateur Feu majeur; Érudit majeur; Nomade; Volkorne Saphir et Améthyste</t>
        </is>
      </c>
    </row>
    <row r="8587">
      <c r="A8587" t="inlineStr">
        <is>
          <t>Roublard F 200</t>
        </is>
      </c>
      <c r="B8587">
        <f>HYPERLINK("https://www.dofusbook.net/fr/equipement/3570146-roublard-f-200/objets", "link")</f>
        <v/>
      </c>
      <c r="C8587" t="n">
        <v>0</v>
      </c>
      <c r="D8587" t="inlineStr">
        <is>
          <t>Arc corrompu; Pendentif affamé; Anneau du Katcheur; Chevalière du Roi Joueur; Bouclier cubiste; Ceinture de l'Indicible; Masque du Katcheur; Voile d'encre; Bottes Innommables; Dofus des Glaces; Dokoko; Dofus Ocre; Érudit majeur; Dévastateur Feu majeur; Remueur; Muldo Indigo et Pourpre</t>
        </is>
      </c>
    </row>
    <row r="8588">
      <c r="A8588" t="inlineStr">
        <is>
          <t>Roublard F 200</t>
        </is>
      </c>
      <c r="B8588">
        <f>HYPERLINK("https://www.dofusbook.net/fr/equipement/3569076-roublard-f-200/objets", "link")</f>
        <v/>
      </c>
      <c r="C8588" t="n">
        <v>0</v>
      </c>
      <c r="D8588" t="inlineStr">
        <is>
          <t>Arc corrompu; Pendentif affamé; Anneau Tamie; Anneau Tamie; Bouclier du Cycloïde; Ceinture Séculaire; Coiffe Séculaire; Cape de Diondin; Bottes Innommables; Dofus des Glaces; Dokoko; Remueur; Érudit majeur; Nomade; Dévastateur Feu majeur; Dragodinde Ivoire et Orchidée</t>
        </is>
      </c>
    </row>
    <row r="8589">
      <c r="A8589" t="inlineStr">
        <is>
          <t>Roublard F 200</t>
        </is>
      </c>
      <c r="B8589">
        <f>HYPERLINK("https://www.dofusbook.net/fr/equipement/3568910-roublard-f-200/objets", "link")</f>
        <v/>
      </c>
      <c r="C8589" t="n">
        <v>0</v>
      </c>
      <c r="D8589" t="inlineStr">
        <is>
          <t>Arc corrompu; Amulette Séculaire; Anneau Tamie; Anneau Tamie; Ceinture de l'Esprit Malsain; Coiffe Séculaire; Voile d'encre; Pataugastrique</t>
        </is>
      </c>
    </row>
    <row r="8590">
      <c r="A8590" t="inlineStr">
        <is>
          <t>Roublard F 200</t>
        </is>
      </c>
      <c r="B8590">
        <f>HYPERLINK("https://www.dofusbook.net/fr/equipement/3566643-roublard-f-200/objets", "link")</f>
        <v/>
      </c>
      <c r="C8590" t="n">
        <v>0</v>
      </c>
      <c r="D8590" t="inlineStr">
        <is>
          <t>Arc corrompu; Pendentif affamé; Chevalière du Roi Joueur; Anneauræus; Bouclier du Stalak; Ceinture de Vortex; Masquegel; Cape Martegel; Pataugastrique; Dofus des Glaces; Dokoko; Remueur; Dévastateur Feu majeur; Miraculé majeur; Érudit majeur; Muldo Orchidée et Pourpre</t>
        </is>
      </c>
    </row>
    <row r="8591">
      <c r="A8591" t="inlineStr">
        <is>
          <t>Roublard F 200</t>
        </is>
      </c>
      <c r="B8591">
        <f>HYPERLINK("https://www.dofusbook.net/fr/equipement/3401884-roublard-f-200/objets", "link")</f>
        <v/>
      </c>
      <c r="C8591" t="n">
        <v>2</v>
      </c>
      <c r="D8591" t="inlineStr">
        <is>
          <t>Dagoulinantes; Amulette de Shokkoth; Pikano; Alliance Gloursonne; Bouclier du Stalak; Poulpagne; Capuche de l'Œil Attentif; Cape de l'Œil Attentif; Sandales de Tal Kasha; Dofus Émeraude; Dofus Abyssal; Dokoko; Étourdisseur majeur; Carapace Air majeur; Remueur; Croum</t>
        </is>
      </c>
    </row>
    <row r="8592">
      <c r="A8592" t="inlineStr">
        <is>
          <t>anti cra feu/air</t>
        </is>
      </c>
      <c r="B8592">
        <f>HYPERLINK("https://www.dofusbook.net/fr/equipement/1640227-anti-cra-feu-air/objets", "link")</f>
        <v/>
      </c>
      <c r="C8592" t="n">
        <v>2</v>
      </c>
      <c r="D8592" t="inlineStr">
        <is>
          <t>Arc corrompu; Pendentif affamé; Anneau Tamie; Anneau Tique; Cadran d'Air; Ceinture de Gein; Casqnoar; Cape de Diondin; Bottes Refois; Dofus des Glaces; Dokoko; Remueur; Érudit majeur; Nomade; Dévastateur Feu majeur; Croum</t>
        </is>
      </c>
    </row>
    <row r="8593">
      <c r="A8593" t="inlineStr">
        <is>
          <t>jjjkjjj</t>
        </is>
      </c>
      <c r="B8593">
        <f>HYPERLINK("https://www.dofusbook.net/fr/equipement/2229230-jjjkjjj/objets", "link")</f>
        <v/>
      </c>
      <c r="C8593" t="n">
        <v>1</v>
      </c>
      <c r="D8593" t="inlineStr">
        <is>
          <t>Arc corrompu; Amulette Séculaire; Anneauræus; Anneau Tamie; Bouclier du Stalak; Ceinture de Vortex; Coiffe Séculaire; Cape de Diondin; Bottes Innommables; Dofus des Glaces; Dofus Ivoire; Dokoko; Érudit majeur; Remueur; Dévastateur Feu majeur</t>
        </is>
      </c>
    </row>
    <row r="8594">
      <c r="A8594" t="inlineStr">
        <is>
          <t>Crâ F 200</t>
        </is>
      </c>
      <c r="B8594">
        <f>HYPERLINK("https://www.dofusbook.net/fr/equipement/3566366-cra-f-200/objets", "link")</f>
        <v/>
      </c>
      <c r="C8594" t="n">
        <v>0</v>
      </c>
      <c r="D8594" t="inlineStr">
        <is>
          <t>Arc corrompu; Amulette Ementaire Deluxe; Anneauræus; Anneau Rifique; Bouclier du Stalak; Ceinture de l'Esprit Malsain; Casque Cyclopéen; Voile d'encre; Bottes Innommables; Dofus Émeraude; Dofus des Glaces; Dokoko; Dofus Abyssal; Dofus Ocre</t>
        </is>
      </c>
    </row>
    <row r="8595">
      <c r="A8595" t="inlineStr">
        <is>
          <t>Stuff 3</t>
        </is>
      </c>
      <c r="B8595">
        <f>HYPERLINK("https://www.dofusbook.net/fr/equipement/119983-stuff-3/objets", "link")</f>
        <v/>
      </c>
      <c r="C8595" t="n">
        <v>0</v>
      </c>
      <c r="D8595" t="inlineStr">
        <is>
          <t>L'Épée Nice; Amulette du Strigide; Bracelet du Piloztère; Alliance Gloursonne; Bouclier cubiste; Ceintacé; Masque Brûlâme; Voile d'encre; Bottes du Strigide; Dofus des Glaces; Dofus Turquoise; Dofus Pourpre; Dokoko; Vigoureux majeur; Remueur; Croum</t>
        </is>
      </c>
    </row>
    <row r="8596">
      <c r="A8596" t="inlineStr">
        <is>
          <t>Osamodas M 200</t>
        </is>
      </c>
      <c r="B8596">
        <f>HYPERLINK("https://www.dofusbook.net/fr/equipement/3565988-osamodas-m-200/objets", "link")</f>
        <v/>
      </c>
      <c r="C8596" t="n">
        <v>0</v>
      </c>
      <c r="D8596" t="inlineStr">
        <is>
          <t>Epée Gloursonne; Amulette Ementaire Deluxe; Bague Gloursonne; Alliance Gloursonne; Bouclier cubiste; Ceinture de la Reine des Voleurs; Coiffe de la Reine des Voleurs; Voile d'encre; Bottes de la Reine des Voleurs; Dokoko; Dofus des Glaces; Dofus Émeraude; Dofus Abyssal; Dofus Ocre; Dofus Nébuleux; Croum</t>
        </is>
      </c>
    </row>
    <row r="8597">
      <c r="A8597" t="inlineStr">
        <is>
          <t>Sadida F 200</t>
        </is>
      </c>
      <c r="B8597">
        <f>HYPERLINK("https://www.dofusbook.net/fr/equipement/3563679-sadida-f-200/objets", "link")</f>
        <v/>
      </c>
      <c r="C8597" t="n">
        <v>4</v>
      </c>
      <c r="D8597" t="inlineStr">
        <is>
          <t>Héqache; Amulette du Strigide; Anneau de la Fuji Givrefoux; Bague Trithon; Bouclier cubiste; Ceinture du Strigide; Masque Trithon; Cape de la Fuji Givrefoux; Bottes Trithon; Dofus des Glaces; Dofus Turquoise; Dokoko; Dofus Ocre; Entraveur majeur; Examinateur; Dragodinde Prune et Ivoire</t>
        </is>
      </c>
    </row>
    <row r="8598">
      <c r="A8598" t="inlineStr">
        <is>
          <t>Féca M 200</t>
        </is>
      </c>
      <c r="B8598">
        <f>HYPERLINK("https://www.dofusbook.net/fr/equipement/3506709-feca-m-200/objets", "link")</f>
        <v/>
      </c>
      <c r="C8598" t="n">
        <v>3</v>
      </c>
      <c r="D8598" t="inlineStr">
        <is>
          <t>Héqache; Amulette du Strigide; Anneau de la Fuji Givrefoux; Bague Trithon; Bouclier du Captain Amakna; Ceinture du Strigide; Masque Trithon; Cape de la Fuji Givrefoux; Bottes Trithon; Dofus Turquoise; Dofus Nébuleux; Dofus Ocre; Dofus Abyssal; Dokoko; Dofus des Glaces; Croum</t>
        </is>
      </c>
    </row>
    <row r="8599">
      <c r="A8599" t="inlineStr">
        <is>
          <t>Iop M 200</t>
        </is>
      </c>
      <c r="B8599">
        <f>HYPERLINK("https://www.dofusbook.net/fr/equipement/3563123-iop-m-200/objets", "link")</f>
        <v/>
      </c>
      <c r="C8599" t="n">
        <v>2</v>
      </c>
      <c r="D8599" t="inlineStr">
        <is>
          <t>Héqache; Amulette du Strigide; Anneau de la Fuji Givrefoux; Bague Trithon; Bouclier du Captain Amakna; Ceinture du Strigide; Masque Trithon; Cape de la Fuji Givrefoux; Bottes Trithon; Dokoko; Dofus des Glaces; Dofus Turquoise; Dofus Nébuleux; Dofus Ocre; Dofus Abyssal; Croum</t>
        </is>
      </c>
    </row>
    <row r="8600">
      <c r="A8600" t="inlineStr">
        <is>
          <t>Crâ M 200</t>
        </is>
      </c>
      <c r="B8600">
        <f>HYPERLINK("https://www.dofusbook.net/fr/equipement/3550682-cra-m-200/objets", "link")</f>
        <v/>
      </c>
      <c r="C8600" t="n">
        <v>0</v>
      </c>
      <c r="D8600" t="inlineStr">
        <is>
          <t>Marteau R'ture; Amulette du Cœur Saignant; Anneau Chevelu; Chevalière du Roi Joueur; Bouclier cubiste; Ceinture Volkorne; Couronne du Roi Joueur; Cape du Cœur Saignant; Bottes du Cœur Saignant; Dofus Turquoise; Dofus Nébuleux; Dofus Ocre; Dofus Abyssal; Dofus Pourpre; Dofus des Glaces; Volkorne Saphir et Turquoise</t>
        </is>
      </c>
    </row>
    <row r="8601">
      <c r="A8601" t="inlineStr">
        <is>
          <t>Crâ M 200</t>
        </is>
      </c>
      <c r="B8601">
        <f>HYPERLINK("https://www.dofusbook.net/fr/equipement/3550683-cra-m-200/objets", "link")</f>
        <v/>
      </c>
      <c r="C8601" t="n">
        <v>0</v>
      </c>
      <c r="D8601" t="inlineStr"/>
    </row>
    <row r="8602">
      <c r="A8602" t="inlineStr">
        <is>
          <t>Iop M 200</t>
        </is>
      </c>
      <c r="B8602">
        <f>HYPERLINK("https://www.dofusbook.net/fr/equipement/3515732-iop-m-200/objets", "link")</f>
        <v/>
      </c>
      <c r="C8602" t="n">
        <v>5</v>
      </c>
      <c r="D8602" t="inlineStr">
        <is>
          <t>Hache du Chalœil; Amulette du Strigide; Bague Gloursonne; Bracelet du Piloztère; Bouclier du Captain Amakna; Ceintacé; Casque du Chalœil; Voile d'encre; Bottes du Strigide; Dolmanax; Dofus Émeraude; Dofus des Glaces; Dofus Turquoise; Dofus Nébuleux; Remueur; Muldo Orchidée</t>
        </is>
      </c>
    </row>
    <row r="8603">
      <c r="A8603" t="inlineStr">
        <is>
          <t>Iop M 200</t>
        </is>
      </c>
      <c r="B8603">
        <f>HYPERLINK("https://www.dofusbook.net/fr/equipement/3512980-iop-m-200/objets", "link")</f>
        <v/>
      </c>
      <c r="C8603" t="n">
        <v>1</v>
      </c>
      <c r="D8603" t="inlineStr">
        <is>
          <t>Marteau de Katrepat; Amulette du Strigide; Alliance Brûlâme; Bracelet du Piloztère; Bouclier du Captain Amakna; Ceinture du Strigide; Masque Brûlâme; Cape du Professeur Xa; Bottes du Strigide; Dofus Turquoise; Dofus Nébuleux; Dofus Ocre; Dofus Abyssal; Dofus Pourpre; Dofus des Glaces; Kramkram</t>
        </is>
      </c>
    </row>
    <row r="8604">
      <c r="A8604" t="inlineStr">
        <is>
          <t>Roublard F 200</t>
        </is>
      </c>
      <c r="B8604">
        <f>HYPERLINK("https://www.dofusbook.net/fr/equipement/3511623-roublard-f-200/objets", "link")</f>
        <v/>
      </c>
      <c r="C8604" t="n">
        <v>0</v>
      </c>
      <c r="D8604" t="inlineStr"/>
    </row>
    <row r="8605">
      <c r="A8605" t="inlineStr">
        <is>
          <t>Sacrieur M 200</t>
        </is>
      </c>
      <c r="B8605">
        <f>HYPERLINK("https://www.dofusbook.net/fr/equipement/3509149-sacrieur-m-200/objets", "link")</f>
        <v/>
      </c>
      <c r="C8605" t="n">
        <v>0</v>
      </c>
      <c r="D8605" t="inlineStr">
        <is>
          <t>Arc Volkorne; Amulette du Strigide; Bague Gloursonne; Alliance Gloursonne; Quatre-feuilles; Ceinture du Strigide; Casque du Chalœil; Cape du Chalœil; Bottes du Strigide; Dofus Abyssal; Dofus Ocre; Dofus Émeraude; Dofus des Glaces; Dofus Turquoise; Dofus Ivoire; El Scarador</t>
        </is>
      </c>
    </row>
    <row r="8606">
      <c r="A8606" t="inlineStr">
        <is>
          <t>Féca M 200</t>
        </is>
      </c>
      <c r="B8606">
        <f>HYPERLINK("https://www.dofusbook.net/fr/equipement/3506704-feca-m-200/objets", "link")</f>
        <v/>
      </c>
      <c r="C8606" t="n">
        <v>0</v>
      </c>
      <c r="D8606" t="inlineStr"/>
    </row>
    <row r="8607">
      <c r="A8607" t="inlineStr">
        <is>
          <t>Sram F 200</t>
        </is>
      </c>
      <c r="B8607">
        <f>HYPERLINK("https://www.dofusbook.net/fr/equipement/3506603-sram-f-200/objets", "link")</f>
        <v/>
      </c>
      <c r="C8607" t="n">
        <v>0</v>
      </c>
      <c r="D8607" t="inlineStr">
        <is>
          <t>Manthache; Collier du Valet Veinard; Alliance Gloursonne; Gant du Valet Veinard; Cadran d'Air; Sangle Oriole; Couronne d'Allister; Cape du Valet Veinard; Bottes d'Allister; Dokoko; Dofus Ocre; Dofus Pourpre; Dofus des Glaces; Dofus Turquoise; Dofus Ivoire; Muldo Doré et Orchidée</t>
        </is>
      </c>
    </row>
    <row r="8608">
      <c r="A8608" t="inlineStr">
        <is>
          <t>Féca M 200</t>
        </is>
      </c>
      <c r="B8608">
        <f>HYPERLINK("https://www.dofusbook.net/fr/equipement/3492916-feca-m-200/objets", "link")</f>
        <v/>
      </c>
      <c r="C8608" t="n">
        <v>0</v>
      </c>
      <c r="D8608" t="inlineStr"/>
    </row>
    <row r="8609">
      <c r="A8609" t="inlineStr">
        <is>
          <t>Crâ M 200</t>
        </is>
      </c>
      <c r="B8609">
        <f>HYPERLINK("https://www.dofusbook.net/fr/equipement/3460027-cra-m-200/objets", "link")</f>
        <v/>
      </c>
      <c r="C8609" t="n">
        <v>2</v>
      </c>
      <c r="D8609" t="inlineStr">
        <is>
          <t>Manthache; Collier du Valet Veinard; Alliance Gloursonne; Gant du Valet Veinard; Quatre-feuilles; Menoture; Dorabysses; Cape de Klime; Palmes Trithons; Dofus Pourpre; Dofus des Glaces; Dofus Nébuleux; Remueur; Cascadeur majeur; Nomade; Muldo Prune et Ebène</t>
        </is>
      </c>
    </row>
    <row r="8610">
      <c r="A8610" t="inlineStr">
        <is>
          <t>jhgjhg</t>
        </is>
      </c>
      <c r="B8610">
        <f>HYPERLINK("https://www.dofusbook.net/fr/equipement/541862-jhgjhg/objets", "link")</f>
        <v/>
      </c>
      <c r="C8610" t="n">
        <v>2</v>
      </c>
      <c r="D8610" t="inlineStr">
        <is>
          <t>Epée Gloursonne; Amulette du Strigide; Bague Gloursonne; Alliance Gloursonne; Quatre-feuilles; Ceinture du Strigide; Masque Trithon; Chevelure de Tal Kasha; Bottes Trithon; Dofus Pourpre; Dofus des Glaces; Dofus Turquoise; Dofus Nébuleux; Dofus Ocre; Entraveur majeur; Volkorne Ivoire et Turquoise</t>
        </is>
      </c>
    </row>
    <row r="8611">
      <c r="A8611" t="inlineStr">
        <is>
          <t>Féca M 200</t>
        </is>
      </c>
      <c r="B8611">
        <f>HYPERLINK("https://www.dofusbook.net/fr/equipement/3436431-feca-m-200/objets", "link")</f>
        <v/>
      </c>
      <c r="C8611" t="n">
        <v>3</v>
      </c>
      <c r="D8611" t="inlineStr">
        <is>
          <t>Dagues de Srambad; Amulette Ementaire Deluxe; Alliance Gloursonne; Anneau Crustique; Sept ans de malheur; Ceinture de la Reine des Voleurs; Coiffe de la Reine des Voleurs; Voile d'encre; Baleinabottes; Dofus Émeraude; Dofus des Glaces; Dokoko; Vigoureux majeur; Étourdisseur majeur; Remueur; Muldo Roux et Ebène</t>
        </is>
      </c>
    </row>
    <row r="8612">
      <c r="A8612" t="inlineStr">
        <is>
          <t>Ecaflip M 200</t>
        </is>
      </c>
      <c r="B8612">
        <f>HYPERLINK("https://www.dofusbook.net/fr/equipement/3421839-ecaflip-m-200/objets", "link")</f>
        <v/>
      </c>
      <c r="C8612" t="n">
        <v>4</v>
      </c>
      <c r="D8612" t="inlineStr">
        <is>
          <t>Lance corrompue; Amulette du Cycloïde; Alliance Gloursonne; Anneau des égarés; Bouclier du Stalak; Ceinture de la Reine des Voleurs; Coiffe de la Reine des Voleurs; Cape du Kamasterisk; Baleinabottes; Dofus Abyssal; Dofus Pourpre; Dofus Ivoire; Dokoko; Dofus des Glaces; Remueur; Muldo Ebène et Indigo</t>
        </is>
      </c>
    </row>
    <row r="8613">
      <c r="A8613" t="inlineStr">
        <is>
          <t>Roublard F 200</t>
        </is>
      </c>
      <c r="B8613">
        <f>HYPERLINK("https://www.dofusbook.net/fr/equipement/3422338-roublard-f-200/objets", "link")</f>
        <v/>
      </c>
      <c r="C8613" t="n">
        <v>2</v>
      </c>
      <c r="D8613" t="inlineStr">
        <is>
          <t>Lance corrompue; Amulette du Cycloïde; Alliance Gloursonne; Anneau des égarés; Bouclier du Stalak; Ceinture de la Reine des Voleurs; Coiffe de la Reine des Voleurs; Cape du Kamasterisk; Baleinabottes; Dofus Ivoire; Dokoko; Dofus des Glaces; Dofus Abyssal; Dofus Pourpre; Remueur; Muldo Ebène et Indigo</t>
        </is>
      </c>
    </row>
    <row r="8614">
      <c r="A8614" t="inlineStr">
        <is>
          <t>Full terre</t>
        </is>
      </c>
      <c r="B8614">
        <f>HYPERLINK("https://www.dofusbook.net/fr/equipement/2695177-full-terre/objets", "link")</f>
        <v/>
      </c>
      <c r="C8614" t="n">
        <v>2</v>
      </c>
      <c r="D8614" t="inlineStr">
        <is>
          <t>Lav'Hache; Collier de Tourthon; Pikano; Anneau Crustique; Bouclier cubiste; Ceinture Gence; Chapeau de Gein; Cape du Cœur Saignant; Bottes du Cœur Saignant; Dofus Pourpre; Dofus des Glaces; Dofus Ivoire; Nomade; Remueur; Enragé majeur; Muldo Pourpre et Amande</t>
        </is>
      </c>
    </row>
    <row r="8615">
      <c r="A8615" t="inlineStr">
        <is>
          <t>feu/air/terre</t>
        </is>
      </c>
      <c r="B8615">
        <f>HYPERLINK("https://www.dofusbook.net/fr/equipement/1766213-feu-air-terre/objets", "link")</f>
        <v/>
      </c>
      <c r="C8615" t="n">
        <v>0</v>
      </c>
      <c r="D8615" t="inlineStr">
        <is>
          <t>Arc du Chalœil; Amulette Ementaire Deluxe; Alliance Brûlâme; Alliance Gloursonne; Quatre-feuilles; Ceintacé; Masque Brûlâme; Voile d'encre; Bottes du Strigide; Dofus Pourpre; Dofus Turquoise; Dolmanax; Nomade; Remueur; Vigoureux majeur; Muldo Prune et Pourpre</t>
        </is>
      </c>
    </row>
    <row r="8616">
      <c r="A8616" t="inlineStr">
        <is>
          <t>multi</t>
        </is>
      </c>
      <c r="B8616">
        <f>HYPERLINK("https://www.dofusbook.net/fr/equipement/1867768-multi/objets", "link")</f>
        <v/>
      </c>
      <c r="C8616" t="n">
        <v>0</v>
      </c>
      <c r="D8616" t="inlineStr">
        <is>
          <t>Hache du Chalœil; Amulette du Strigide; Alliance Gloursonne; Bague Trithon; Quatre-feuilles; Ceinture du Strigide; Le Dorado; Voile d'encre; Pataugastrique; Dofus Turquoise; Dofus des Glaces; Dofus Pourpre; Dofus Nébuleux; Remueur; Nomade; Muldo Prune et Emeraude</t>
        </is>
      </c>
    </row>
    <row r="8617">
      <c r="A8617" t="inlineStr">
        <is>
          <t>newfeueau</t>
        </is>
      </c>
      <c r="B8617">
        <f>HYPERLINK("https://www.dofusbook.net/fr/equipement/2251632-newfeueau/objets", "link")</f>
        <v/>
      </c>
      <c r="C8617" t="n">
        <v>1</v>
      </c>
      <c r="D8617" t="inlineStr">
        <is>
          <t>Épée Brûlâme; Collier de la Dame du Hasard; Anneau de Padgref; Alliance Gloursonne; Bouclier du Captain Amakna; Ceintacé; Capuche de l'Œil Putride; Cape de la Dame du Hasard; Bottes de la Dame du Hasard; Dofus Pourpre; Dofus des Glaces; Dokoko; Dofus Turquoise; Dofus Émeraude; Examinateur; Muldo Prune et Orchidée</t>
        </is>
      </c>
    </row>
    <row r="8618">
      <c r="A8618" t="inlineStr">
        <is>
          <t>eauair</t>
        </is>
      </c>
      <c r="B8618">
        <f>HYPERLINK("https://www.dofusbook.net/fr/equipement/2171005-eauair/objets", "link")</f>
        <v/>
      </c>
      <c r="C8618" t="n">
        <v>1</v>
      </c>
      <c r="D8618" t="inlineStr">
        <is>
          <t>Arc de Koutoulou; Amulette du Strigide; Anneau de Padgref; Alliance Gloursonne; Quatre-feuilles; Ceinture du Strigide; Némès de Tal Kasha; Chevelure de Tal Kasha; Sandales de Tal Kasha; Dofus Abyssal; Dofus Turquoise; Dofus Nébuleux; Dofus Ocre; Dofus Pourpre; Dofus des Glaces; Muldo Prune et Emeraude</t>
        </is>
      </c>
    </row>
    <row r="8619">
      <c r="A8619" t="inlineStr">
        <is>
          <t>Douzesix</t>
        </is>
      </c>
      <c r="B8619">
        <f>HYPERLINK("https://www.dofusbook.net/fr/equipement/2162006-douzesix/objets", "link")</f>
        <v/>
      </c>
      <c r="C8619" t="n">
        <v>1</v>
      </c>
      <c r="D8619" t="inlineStr">
        <is>
          <t>Epée Gloursonne; Amulette du Strigide; Bague Gloursonne; Chevalière du Roi Joueur; Bouclier du Captain Amakna; Ceinture du Strigide; Couronne du Roi Joueur; Cape du Professeur Xa; Bottes du Roi Joueur; Dofus Turquoise; Dofus Nébuleux; Dofus Émeraude; Dofus Ocre; Dofus Pourpre; Dofus des Glaces; Kramkram</t>
        </is>
      </c>
    </row>
    <row r="8620">
      <c r="A8620" t="inlineStr">
        <is>
          <t>multi/res</t>
        </is>
      </c>
      <c r="B8620">
        <f>HYPERLINK("https://www.dofusbook.net/fr/equipement/2159255-multi-res/objets", "link")</f>
        <v/>
      </c>
      <c r="C8620" t="n">
        <v>3</v>
      </c>
      <c r="D8620" t="inlineStr">
        <is>
          <t>Marteau des égarés; Amulette Ementaire Deluxe; Alliance Brûlâme; Bague Gloursonne; Bouclier alvéolé; Ceinture de l'Indicible; Masque de l'Esprit Salvateur; Dofusteuse; Bottes de l'Indicible; Dofus Pourpre; Dofus Ocre; Dofus des Glaces; Remueur; Nomade; Vigoureux majeur; Muldo Doré et Orchidée</t>
        </is>
      </c>
    </row>
    <row r="8621">
      <c r="A8621" t="inlineStr">
        <is>
          <t>arc chaloeil</t>
        </is>
      </c>
      <c r="B8621">
        <f>HYPERLINK("https://www.dofusbook.net/fr/equipement/2075288-arc-chaloeil/objets", "link")</f>
        <v/>
      </c>
      <c r="C8621" t="n">
        <v>1</v>
      </c>
      <c r="D8621" t="inlineStr">
        <is>
          <t>Arc du Chalœil; Amulette du Strigide; Goulano; Bague Gloursonne; Bouclier du Captain Amakna; Ceinture du Strigide; Masque Brûlâme; Voile d'encre; Bottes de la Cour Sombre; Dofus Pourpre; Dofus Ocre; Dofus Turquoise; Remueur; Vigoureux majeur; Nomade; Muldo Indigo et Emeraude</t>
        </is>
      </c>
    </row>
    <row r="8622">
      <c r="A8622" t="inlineStr">
        <is>
          <t>eau/air</t>
        </is>
      </c>
      <c r="B8622">
        <f>HYPERLINK("https://www.dofusbook.net/fr/equipement/1878063-eau-air/objets", "link")</f>
        <v/>
      </c>
      <c r="C8622" t="n">
        <v>1</v>
      </c>
      <c r="D8622" t="inlineStr">
        <is>
          <t>Arc de Koutoulou; Amulette du Strigide; Bracelet du Piloztère; Alliance Gloursonne; Quatre-feuilles; Ceintacé; Némès de Tal Kasha; Cape des Justiciers; Bottes du Strigide; Dofus Pourpre; Dofus Turquoise; Vigoureux majeur; Remueur; Miraculé majeur; Nomade; Muldo Doré et Indigo</t>
        </is>
      </c>
    </row>
    <row r="8623">
      <c r="A8623" t="inlineStr">
        <is>
          <t>terre/feu do pou</t>
        </is>
      </c>
      <c r="B8623">
        <f>HYPERLINK("https://www.dofusbook.net/fr/equipement/1666806-terre-feu-do-pou/objets", "link")</f>
        <v/>
      </c>
      <c r="C8623" t="n">
        <v>0</v>
      </c>
      <c r="D8623" t="inlineStr">
        <is>
          <t>Arc du Chalœil; Amulette de Gein; Bracelet du Piloztère; Chevalière du Roi Joueur; Cadran d'Air; Ceintacé; Chapeau de Gein; Voile d'encre; Bottes du Lévitrof; Dofus Turquoise; Dofus des Glaces; Dofus Pourpre; Vigoureux majeur; Remueur; Nomade; Muldo Prune et Pourpre</t>
        </is>
      </c>
    </row>
    <row r="8624">
      <c r="A8624" t="inlineStr">
        <is>
          <t>lkjh</t>
        </is>
      </c>
      <c r="B8624">
        <f>HYPERLINK("https://www.dofusbook.net/fr/equipement/1662007-lkjh/objets", "link")</f>
        <v/>
      </c>
      <c r="C8624" t="n">
        <v>2</v>
      </c>
      <c r="D8624" t="inlineStr">
        <is>
          <t>Arc du Chalœil; Pendentif affamé; Anneau Chevelu; Chevalière du Roi Joueur; Ftalmo; Ceintacé; Le Dorado; Voile d'encre; Bottes du Roi Joueur; Dofus Pourpre; Dofus Turquoise; Dofus des Glaces; Dokoko; Temporiseur majeur; Remueur; Muldo Prune et Amande</t>
        </is>
      </c>
    </row>
    <row r="8625">
      <c r="A8625" t="inlineStr">
        <is>
          <t>anti sacri feu/air</t>
        </is>
      </c>
      <c r="B8625">
        <f>HYPERLINK("https://www.dofusbook.net/fr/equipement/1647573-anti-sacri-feu-air/objets", "link")</f>
        <v/>
      </c>
      <c r="C8625" t="n">
        <v>1</v>
      </c>
      <c r="D8625" t="inlineStr">
        <is>
          <t>Épée d'Otomaï; Amulette de Nileza; Anneau Tamie; Anneau Rifique; Quatre-feuilles; Ceinture de Vortex; Casque Cyclopéen; Cape de Diondin; Pataugastrique; Dofus des Glaces; Dokoko; Remueur; Dévastateur Feu majeur; Nomade; Érudit majeur; El Scarador</t>
        </is>
      </c>
    </row>
    <row r="8626">
      <c r="A8626" t="inlineStr">
        <is>
          <t>feu/air</t>
        </is>
      </c>
      <c r="B8626">
        <f>HYPERLINK("https://www.dofusbook.net/fr/equipement/1631966-feu-air/objets", "link")</f>
        <v/>
      </c>
      <c r="C8626" t="n">
        <v>0</v>
      </c>
      <c r="D8626" t="inlineStr">
        <is>
          <t>Sabres d'Atcham; Amulette du Strigide; Anneau Tique; Anneau de Padgref; Quatre-feuilles; Ceinture du Strigide; Coiffe de Padgref; Cape d'Atcham; Getas de Padgref; Dofus Pourpre; Dofus Émeraude; Dofus Turquoise; Dofus Nébuleux; Dofus des Glaces; Dofus Ocre; Muldo Prune et Emeraude</t>
        </is>
      </c>
    </row>
    <row r="8627">
      <c r="A8627" t="inlineStr">
        <is>
          <t>jhhgg</t>
        </is>
      </c>
      <c r="B8627">
        <f>HYPERLINK("https://www.dofusbook.net/fr/equipement/977446-jhhgg/objets", "link")</f>
        <v/>
      </c>
      <c r="C8627" t="n">
        <v>0</v>
      </c>
      <c r="D8627" t="inlineStr">
        <is>
          <t>Dagues de Srambad; Amulette de Pol Ouatnos; Bracelet du Piloztère; Alliance Gloursonne; Bouclier cubiste; Ceinture de la Reine des Voleurs; Coiffe de la Reine des Voleurs; Dofusteuse; Pataugastrique; Dofus des Glaces; Dofus Ocre; Remueur; Nomade; Vigoureux majeur; Kramkram</t>
        </is>
      </c>
    </row>
    <row r="8628">
      <c r="A8628" t="inlineStr">
        <is>
          <t>feuuuuuu</t>
        </is>
      </c>
      <c r="B8628">
        <f>HYPERLINK("https://www.dofusbook.net/fr/equipement/1493192-feuuuuuu/objets", "link")</f>
        <v/>
      </c>
      <c r="C8628" t="n">
        <v>0</v>
      </c>
      <c r="D8628" t="inlineStr">
        <is>
          <t>Épée d'Otomaï; Amulette Séculaire; Anneau Tamie; Anneau Tamie; Sept ans de malheur; Ceinture de Gein; Coiffe Séculaire; Cape de Diondin; Pataugastrique; Dofus Pourpre; Remueur; Érudit majeur; Nomade; Dévastateur Feu majeur; Vigoureux majeur; Brûlih</t>
        </is>
      </c>
    </row>
    <row r="8629">
      <c r="A8629" t="inlineStr">
        <is>
          <t>fullintell</t>
        </is>
      </c>
      <c r="B8629">
        <f>HYPERLINK("https://www.dofusbook.net/fr/equipement/991042-fullintell/objets", "link")</f>
        <v/>
      </c>
      <c r="C8629" t="n">
        <v>0</v>
      </c>
      <c r="D8629" t="inlineStr">
        <is>
          <t>Plumeau Bil; Amulette de Nileza; Anneau de Padgref; Anneau Tique; Ceinture de Gein; Chapeau de Gein; Cape de Diondin; Pataugastrique; Dokoko; Nomade; Dévastateur Feu majeur; Vigoureux majeur; Remueur; Érudit majeur; Brûlih</t>
        </is>
      </c>
    </row>
    <row r="8630">
      <c r="A8630" t="inlineStr">
        <is>
          <t>fffff</t>
        </is>
      </c>
      <c r="B8630">
        <f>HYPERLINK("https://www.dofusbook.net/fr/equipement/1459378-fffff/objets", "link")</f>
        <v/>
      </c>
      <c r="C8630" t="n">
        <v>0</v>
      </c>
      <c r="D8630" t="inlineStr">
        <is>
          <t>Bêche Asse; Amulette Ementaire Deluxe; Anneau de Brouce; Bague Gloursonne; Bouclier de Guilde; Ceinture de Brouce; Chapeau du Comte Razof; Cape au Logis; Sabots Minables; Nomade; Carapace Neutre majeur; Miraculé majeur; Forcené majeur; Remueur; Enragé majeur; Kompost</t>
        </is>
      </c>
    </row>
    <row r="8631">
      <c r="A8631" t="inlineStr">
        <is>
          <t>gggg</t>
        </is>
      </c>
      <c r="B8631">
        <f>HYPERLINK("https://www.dofusbook.net/fr/equipement/1419252-gggg/objets", "link")</f>
        <v/>
      </c>
      <c r="C8631" t="n">
        <v>0</v>
      </c>
      <c r="D8631" t="inlineStr">
        <is>
          <t>La Baguette des Limbes; Amulette Ementaire Deluxe; Anneau Nobstant; Anneau Nobstant; Bouclier Akwadala; Ceinture Phossile; Bonnet Ko; Cape Phossile; Tongues du dimanche du Chêne Mou; Dolmanax; Dofus Pourpre; Nomade; Vigoureux majeur; Observateur; Remueur</t>
        </is>
      </c>
    </row>
    <row r="8632">
      <c r="A8632" t="inlineStr">
        <is>
          <t>koli</t>
        </is>
      </c>
      <c r="B8632">
        <f>HYPERLINK("https://www.dofusbook.net/fr/equipement/1231512-koli/objets", "link")</f>
        <v/>
      </c>
      <c r="C8632" t="n">
        <v>0</v>
      </c>
      <c r="D8632" t="inlineStr">
        <is>
          <t>Sabres d'Atcham; Amulette du Strigide; Anneau Tique; Sept ans de malheur; Ceintacé; Chapeau des Malveilleurs; Cape des Malveilleurs; Bottes de la Dame du Hasard; Dofus Pourpre; Dokoko; Nomade; Vigoureux majeur; Remueur; Muldo Prune et Orchidée</t>
        </is>
      </c>
    </row>
    <row r="8633">
      <c r="A8633" t="inlineStr">
        <is>
          <t>puissance</t>
        </is>
      </c>
      <c r="B8633">
        <f>HYPERLINK("https://www.dofusbook.net/fr/equipement/977561-puissance/objets", "link")</f>
        <v/>
      </c>
      <c r="C8633" t="n">
        <v>0</v>
      </c>
      <c r="D8633" t="inlineStr">
        <is>
          <t>Epée Kari; Amulette du Strigide; Anneau de Padgref; Bracelet du Piloztère; Ceintacé; Coiffe Ranshi; Cape des Justiciers; Bottes du Strigide; Dofus Turquoise; Dofus Pourpre; Carapace Terre majeur; Carapace Feu majeur; Nomade; Vigoureux majeur; Muldo Prune et Emeraude</t>
        </is>
      </c>
    </row>
    <row r="8634">
      <c r="A8634" t="inlineStr">
        <is>
          <t>jjkkk</t>
        </is>
      </c>
      <c r="B8634">
        <f>HYPERLINK("https://www.dofusbook.net/fr/equipement/977149-jjkkk/objets", "link")</f>
        <v/>
      </c>
      <c r="C8634" t="n">
        <v>1</v>
      </c>
      <c r="D8634" t="inlineStr">
        <is>
          <t>Pyraguette; Talisman Igans; Alliance Gloursonne; Anneau de Nidas; Poulpagne; Casquette de Meno; Cape de Meno; Pataugastrique; Dofus des Glaces; Remueur; Carapace Feu majeur; Érudit majeur; Nomade; Dévastateur Feu majeur; Dragodinde Prune et Emeraude</t>
        </is>
      </c>
    </row>
    <row r="8635">
      <c r="A8635" t="inlineStr">
        <is>
          <t>douzecinq</t>
        </is>
      </c>
      <c r="B8635">
        <f>HYPERLINK("https://www.dofusbook.net/fr/equipement/949723-douzecinq/objets", "link")</f>
        <v/>
      </c>
      <c r="C8635" t="n">
        <v>0</v>
      </c>
      <c r="D8635" t="inlineStr">
        <is>
          <t>Dagues Érhy; Amulette du Strigide; Bague Gloursonne; Anneau Chevelu; Bouclier d'Asse; Ceinture du Strigide; Casque de Missiz Frizz; Cape du Professeur Xa; Baleinabottes; Dokoko; Dofus Turquoise; Dofus Pourpre; Vigoureux majeur; Remueur; Nomade; Kramkram</t>
        </is>
      </c>
    </row>
    <row r="8636">
      <c r="A8636" t="inlineStr">
        <is>
          <t>nnbnb</t>
        </is>
      </c>
      <c r="B8636">
        <f>HYPERLINK("https://www.dofusbook.net/fr/equipement/484352-nnbnb/objets", "link")</f>
        <v/>
      </c>
      <c r="C8636" t="n">
        <v>0</v>
      </c>
      <c r="D8636" t="inlineStr">
        <is>
          <t>Héqache; Amulette du Strigide; Anneau Chevelu; Bague Gloursonne; Bouclier du Captain Amakna; Ceinture du Strigide; Coiffe de la Reine des Voleurs; Cape au Logis; Baleinabottes; Dofus Pourpre; Dofus Turquoise; Vigoureux majeur; Remueur; Érudit majeur; Nomade; Kramkram</t>
        </is>
      </c>
    </row>
    <row r="8637">
      <c r="A8637" t="inlineStr">
        <is>
          <t>multi 126</t>
        </is>
      </c>
      <c r="B8637">
        <f>HYPERLINK("https://www.dofusbook.net/fr/equipement/590691-multi-126/objets", "link")</f>
        <v/>
      </c>
      <c r="C8637" t="n">
        <v>1</v>
      </c>
      <c r="D8637" t="inlineStr">
        <is>
          <t>Epée Toche; Amulette du Strigide; Chevalière du Roi Joueur; Bague Gloursonne; Bouclier Pandawa; Ceinture du Strigide; Couronne du Roi Joueur; Voile d'encre; Bottes du Roi Joueur; Dofus Émeraude; Dofus Pourpre; Dofus Nébuleux; Dofus Ocre; Dofus des Glaces; Dokoko; Muldo Prune et Pourpre</t>
        </is>
      </c>
    </row>
    <row r="8638">
      <c r="A8638" t="inlineStr">
        <is>
          <t>full terre</t>
        </is>
      </c>
      <c r="B8638">
        <f>HYPERLINK("https://www.dofusbook.net/fr/equipement/541400-full-terre/objets", "link")</f>
        <v/>
      </c>
      <c r="C8638" t="n">
        <v>0</v>
      </c>
      <c r="D8638" t="inlineStr">
        <is>
          <t>Arc du Chalœil; Amulette du Nocturlabe; Bague Gloursonne; Anneau de Brouce; Ceinture de la Reine des Voleurs; Coiffe de la Reine des Voleurs; Cape au Logis; Sabots Minables; Dofus Émeraude; Dofus Pourpre; Forcené majeur; Remueur; Enragé majeur; Vigoureux majeur; El Scarador</t>
        </is>
      </c>
    </row>
    <row r="8639">
      <c r="A8639" t="inlineStr">
        <is>
          <t>stuf piege</t>
        </is>
      </c>
      <c r="B8639">
        <f>HYPERLINK("https://www.dofusbook.net/fr/equipement/401740-stuf-piege/objets", "link")</f>
        <v/>
      </c>
      <c r="C8639" t="n">
        <v>0</v>
      </c>
      <c r="D8639" t="inlineStr">
        <is>
          <t>Amulette du Strigide; Masque du Katcheur; Cape Routh</t>
        </is>
      </c>
    </row>
    <row r="8640">
      <c r="A8640" t="inlineStr">
        <is>
          <t>Stuff 2</t>
        </is>
      </c>
      <c r="B8640">
        <f>HYPERLINK("https://www.dofusbook.net/fr/equipement/119981-stuff-2/objets", "link")</f>
        <v/>
      </c>
      <c r="C8640" t="n">
        <v>0</v>
      </c>
      <c r="D8640" t="inlineStr">
        <is>
          <t>Arc du Chalœil; Amulette du Strigide; Bracelet du Piloztère; Bague Gloursonne; Ceintacé; Chapeau de Gein; Cape Routh; Bottes du Strigide; Dofus Pourpre; Dokoko; Nomade; Observateur; Vigoureux majeur; Remueur</t>
        </is>
      </c>
    </row>
    <row r="8641">
      <c r="A8641" t="inlineStr">
        <is>
          <t>testaireau</t>
        </is>
      </c>
      <c r="B8641">
        <f>HYPERLINK("https://www.dofusbook.net/fr/equipement/5999791-testaireau/objets", "link")</f>
        <v/>
      </c>
      <c r="C8641" t="n">
        <v>0</v>
      </c>
      <c r="D8641" t="inlineStr"/>
    </row>
    <row r="8642">
      <c r="A8642" t="inlineStr">
        <is>
          <t>Full air</t>
        </is>
      </c>
      <c r="B8642">
        <f>HYPERLINK("https://www.dofusbook.net/fr/equipement/5602054-full-air/objets", "link")</f>
        <v/>
      </c>
      <c r="C8642" t="n">
        <v>0</v>
      </c>
      <c r="D8642" t="inlineStr">
        <is>
          <t>Plume de Buhorado; Collier du Valet Veinard; Alliance Gloursonne; Gant du Valet Veinard; Droiture de Fallanster; Menoture; Casque Dragoeuf; Cape Indescriptible; Palmes Trithons; Dofus Ocre; Dofus Ébène; Dofus Ivoire; Dofus Pourpre; Cascadeur majeur; Nomade; Bwak d'Air</t>
        </is>
      </c>
    </row>
    <row r="8643">
      <c r="A8643" t="inlineStr">
        <is>
          <t>feu</t>
        </is>
      </c>
      <c r="B8643">
        <f>HYPERLINK("https://www.dofusbook.net/fr/equipement/5540580-feu/objets", "link")</f>
        <v/>
      </c>
      <c r="C8643" t="n">
        <v>1</v>
      </c>
      <c r="D8643" t="inlineStr">
        <is>
          <t>Arc Hétype; Amulette de Nileza; Anneau de Nidas; Anneau Tique; Droiture de Fallanster; Ceinture de Vortex; Cagoule de Vortex; Voile d'encre; Pataugastrique; Dofus Pourpre; Dofus Ivoire; Remueur; Savant majeur; Nomade; Érudit majeur; Brûlih</t>
        </is>
      </c>
    </row>
    <row r="8644">
      <c r="A8644" t="inlineStr">
        <is>
          <t>terrecac</t>
        </is>
      </c>
      <c r="B8644">
        <f>HYPERLINK("https://www.dofusbook.net/fr/equipement/5587591-terrecac/objets", "link")</f>
        <v/>
      </c>
      <c r="C8644" t="n">
        <v>0</v>
      </c>
      <c r="D8644" t="inlineStr">
        <is>
          <t>Lav'Hache; Collier de Tourthon; Anneau des égarés; Anneau de Brouce; Droiture de Fallanster; Ceinture Volkorne; Casque des égarés; Cape au Logis; Sabots Minables; Dofus Émeraude; Dofus Pourpre; Dofus Ivoire; Remueur; Vigoureux majeur; Enragé majeur; Bwak de Terre</t>
        </is>
      </c>
    </row>
    <row r="8645">
      <c r="A8645" t="inlineStr">
        <is>
          <t>Pandawa M 200</t>
        </is>
      </c>
      <c r="B8645">
        <f>HYPERLINK("https://www.dofusbook.net/fr/equipement/5001226-pandawa-m-200/objets", "link")</f>
        <v/>
      </c>
      <c r="C8645" t="n">
        <v>2</v>
      </c>
      <c r="D8645" t="inlineStr">
        <is>
          <t>Epée Toche; Amulette du Strigide; Anneau Volkorne; Bague Gloursonne; Bouclier du Captain Amakna; Ceinture Volkorne; Masque de Koutoulou; Cape au Logis; Bottes de la Cour Sombre; Dofus Turquoise; Dofus Ocre; Dofus Pourpre; Enragé majeur; Vigoureux majeur; Kompost</t>
        </is>
      </c>
    </row>
    <row r="8646">
      <c r="A8646" t="inlineStr">
        <is>
          <t>126chaloeil</t>
        </is>
      </c>
      <c r="B8646">
        <f>HYPERLINK("https://www.dofusbook.net/fr/equipement/4681387-126chaloeil/objets", "link")</f>
        <v/>
      </c>
      <c r="C8646" t="n">
        <v>4</v>
      </c>
      <c r="D8646" t="inlineStr">
        <is>
          <t>Hache du Chalœil; Amulette du Strigide; Alliance Gloursonne; Bracelet du Piloztère; Quatre-feuilles; Ceinture de Kongoku; Casque du Chalœil; Voile d'encre; Bottes du Strigide; Dofus Ocre; Dofus Turquoise; Dofus Ivoire; Dofus Pourpre; Remueur; Nomade; Sakochère</t>
        </is>
      </c>
    </row>
    <row r="8647">
      <c r="A8647" t="inlineStr">
        <is>
          <t>chaloeil</t>
        </is>
      </c>
      <c r="B8647">
        <f>HYPERLINK("https://www.dofusbook.net/fr/equipement/3531483-chaloeil/objets", "link")</f>
        <v/>
      </c>
      <c r="C8647" t="n">
        <v>2</v>
      </c>
      <c r="D8647" t="inlineStr">
        <is>
          <t>Hache du Chalœil; Amulette du Strigide; Alliance Gloursonne; Bracelet du Piloztère; Quatre-feuilles; Voile d'encre; Bottes du Strigide; Dofus Turquoise; Dolmanax; Dofus Ivoire; Dofus Pourpre; Remueur; Nomade</t>
        </is>
      </c>
    </row>
    <row r="8648">
      <c r="A8648" t="inlineStr">
        <is>
          <t>1266terreeau</t>
        </is>
      </c>
      <c r="B8648">
        <f>HYPERLINK("https://www.dofusbook.net/fr/equipement/4643924-1266terreeau/objets", "link")</f>
        <v/>
      </c>
      <c r="C8648" t="n">
        <v>4</v>
      </c>
      <c r="D8648" t="inlineStr">
        <is>
          <t>Dagues de Srambad; Amulette du Strigide; Anneau Volkorne; Bracelet du Piloztère; Bouclier du Stalak; Ceinture Volkorne; Casque en Grithril; Voile d'encre; Chaussons de Macrab; Dolmanax; Dofus Pourpre; Dofus Ocre; Dofus Ivoire; Nomade; Remueur; Fëanor</t>
        </is>
      </c>
    </row>
    <row r="8649">
      <c r="A8649" t="inlineStr">
        <is>
          <t>monterreau</t>
        </is>
      </c>
      <c r="B8649">
        <f>HYPERLINK("https://www.dofusbook.net/fr/equipement/4991393-monterreau/objets", "link")</f>
        <v/>
      </c>
      <c r="C8649" t="n">
        <v>0</v>
      </c>
      <c r="D8649" t="inlineStr">
        <is>
          <t>Dagues de Srambad; Amulette de Shokkoth; Alliance Gloursonne; Baguistik; Bouclier du Stalak; Ceinture de la Reine des Voleurs; Coiffe de la Reine des Voleurs; Cape au Logis; Baleinabottes; Dofus Pourpre; Dofus Ivoire; Dolmanax; Vigoureux majeur; Remueur; Enragé majeur; Bébé Pandawa</t>
        </is>
      </c>
    </row>
    <row r="8650">
      <c r="A8650" t="inlineStr">
        <is>
          <t>126terre</t>
        </is>
      </c>
      <c r="B8650">
        <f>HYPERLINK("https://www.dofusbook.net/fr/equipement/4643962-126terre/objets", "link")</f>
        <v/>
      </c>
      <c r="C8650" t="n">
        <v>1</v>
      </c>
      <c r="D8650" t="inlineStr">
        <is>
          <t>Dagues d'Ilyzaelle; Amulette du Cœur Saignant; Alliance de Missiz Frizz; Anneau Volkorne; Bouclier alvéolé; Ceinture Volkorne; Casque de Missiz Frizz; Cape du Cœur Saignant; Bottes du Cœur Saignant; Dofus Turquoise; Dofus Ocre; Dofus Nébuleux; Dofus Pourpre; Dofus Vulbis; Dofus des Glaces; Kokulte</t>
        </is>
      </c>
    </row>
    <row r="8651">
      <c r="A8651" t="inlineStr">
        <is>
          <t>Pandawa M 200</t>
        </is>
      </c>
      <c r="B8651">
        <f>HYPERLINK("https://www.dofusbook.net/fr/equipement/4602852-pandawa-m-200/objets", "link")</f>
        <v/>
      </c>
      <c r="C8651" t="n">
        <v>0</v>
      </c>
      <c r="D8651" t="inlineStr">
        <is>
          <t>Hache Téroïde; Amulette du Strigide; Bague Gloursonne; Bague Trithon; Quatre-feuilles; Ceinture du Strigide; Masque Trithon; Cape au Logis; Bottes Trithon; Dofus Pourpre; Dofus des Glaces; Dofus Turquoise; Dofus Ivoire; Dolmanax; Dofus Ocre; Chacha Angora</t>
        </is>
      </c>
    </row>
    <row r="8652">
      <c r="A8652" t="inlineStr">
        <is>
          <t>Pandawa M 200</t>
        </is>
      </c>
      <c r="B8652">
        <f>HYPERLINK("https://www.dofusbook.net/fr/equipement/3627836-pandawa-m-200/objets", "link")</f>
        <v/>
      </c>
      <c r="C8652" t="n">
        <v>5</v>
      </c>
      <c r="D8652" t="inlineStr">
        <is>
          <t>Dagues de Srambad; Amulette de Shokkoth; Baguistik; Alliance Gloursonne; Bouclier du Stalak; Ceinture de la Reine des Voleurs; Coiffe de la Reine des Voleurs; Cape au Logis; Baleinabottes; Dofus Ivoire; Dolmanax; Dofus Pourpre; Robuste majeur; Vigoureux majeur; Remueur; Bébé Pandawa</t>
        </is>
      </c>
    </row>
    <row r="8653">
      <c r="A8653" t="inlineStr">
        <is>
          <t>Crâ F 200</t>
        </is>
      </c>
      <c r="B8653">
        <f>HYPERLINK("https://www.dofusbook.net/fr/equipement/3378748-cra-f-200/objets", "link")</f>
        <v/>
      </c>
      <c r="C8653" t="n">
        <v>8</v>
      </c>
      <c r="D8653" t="inlineStr">
        <is>
          <t>Dagues du Dragoeuf; Amulette du Strigide; Chevalière du Roi Joueur; Anneau de Padgref; Quatre-feuilles; Ceinture du Strigide; Coiffe de Padgref; Chevelure de Tal Kasha; Getas de Padgref; Dofus Émeraude; Dofus Pourpre; Dofus Turquoise; Dofus des Glaces; Voyageur; Puissant majeur; Kokulte</t>
        </is>
      </c>
    </row>
    <row r="8654">
      <c r="A8654" t="inlineStr">
        <is>
          <t>Crâ F 200</t>
        </is>
      </c>
      <c r="B8654">
        <f>HYPERLINK("https://www.dofusbook.net/fr/equipement/3708749-cra-f-200/objets", "link")</f>
        <v/>
      </c>
      <c r="C8654" t="n">
        <v>5</v>
      </c>
      <c r="D8654" t="inlineStr">
        <is>
          <t>Bâton Beau; Amulette du Strigide; Anneau de Padgref; Chevalière du Roi Joueur; Quatre-feuilles; Ceinture du Strigide; Masque du Glourséleste; Chevelure de Tal Kasha; Pataugastrique; Dofus Turquoise; Dofus Pourpre; Nomade; Remueur; Vigoureux majeur; Kokulte</t>
        </is>
      </c>
    </row>
    <row r="8655">
      <c r="A8655" t="inlineStr">
        <is>
          <t>Pandawa F 200</t>
        </is>
      </c>
      <c r="B8655">
        <f>HYPERLINK("https://www.dofusbook.net/fr/equipement/5409244-pandawa-f-200/objets", "link")</f>
        <v/>
      </c>
      <c r="C8655" t="n">
        <v>1</v>
      </c>
      <c r="D8655" t="inlineStr">
        <is>
          <t>Amulette Volkorne; Bague Trithon; Anneau Volkorne; Quatre-feuilles; Masque Trithon; Bottes Trithon; Dofus Pourpre; Dofus des Glaces; Dofus Turquoise; Dofus Abyssal; Dofus Ébène; Dofus Ivoire</t>
        </is>
      </c>
    </row>
    <row r="8656">
      <c r="A8656" t="inlineStr">
        <is>
          <t>Pandawa F 200</t>
        </is>
      </c>
      <c r="B8656">
        <f>HYPERLINK("https://www.dofusbook.net/fr/equipement/3406428-pandawa-f-200/objets", "link")</f>
        <v/>
      </c>
      <c r="C8656" t="n">
        <v>6</v>
      </c>
      <c r="D8656" t="inlineStr">
        <is>
          <t>Amulette du Strigide; Anneau de Padgref; Bracelet du Piloztère; Quatre-feuilles; Ceinture du Strigide; Coiffe de Padgref; Chevelure de Tal Kasha; Getas de Padgref; Dofus Pourpre; Dofus des Glaces; Dofus Émeraude; Dofus Turquoise; Dofus Abyssal; Dofus Ivoire; Kokulte</t>
        </is>
      </c>
    </row>
    <row r="8657">
      <c r="A8657" t="inlineStr">
        <is>
          <t>Eniripsa F 200</t>
        </is>
      </c>
      <c r="B8657">
        <f>HYPERLINK("https://www.dofusbook.net/fr/equipement/3783191-eniripsa-f-200/objets", "link")</f>
        <v/>
      </c>
      <c r="C8657" t="n">
        <v>2</v>
      </c>
      <c r="D8657" t="inlineStr">
        <is>
          <t>La Racine Hagogue; Amulette de Nevark; Anneau d'Allister; Gelano; Bouclier d'Asse; Ceinture de Nevark; Couronne d'Allister; Cape de Nevark; Bottes d'Allister; Dofus des Glaces; Ravageur Air majeur; Equilibriste majeur; Saccageur Air majeur; Blérodoudou</t>
        </is>
      </c>
    </row>
    <row r="8658">
      <c r="A8658" t="inlineStr">
        <is>
          <t>Zobal M 200</t>
        </is>
      </c>
      <c r="B8658">
        <f>HYPERLINK("https://www.dofusbook.net/fr/equipement/3727427-zobal-m-200/objets", "link")</f>
        <v/>
      </c>
      <c r="C8658" t="n">
        <v>1</v>
      </c>
      <c r="D8658" t="inlineStr">
        <is>
          <t>Karnak; Amulette Hendart; Anneau d'Allister; Quatre-feuilles; Ceinture de Klime; Remueur; Nomade; Pioute vert</t>
        </is>
      </c>
    </row>
    <row r="8659">
      <c r="A8659" t="inlineStr">
        <is>
          <t>Osamodas M 200</t>
        </is>
      </c>
      <c r="B8659">
        <f>HYPERLINK("https://www.dofusbook.net/fr/equipement/3514060-osamodas-m-200/objets", "link")</f>
        <v/>
      </c>
      <c r="C8659" t="n">
        <v>2</v>
      </c>
      <c r="D8659" t="inlineStr">
        <is>
          <t>Karnak; Amulette de Nevark; Anneau d'Allister; Anneau de la Fuji Givrefoux; Bouclier du Stalak; Frimature; Couronne d'Allister; Cape Matelassée; Pantoufles Émar; Dévastateur Air majeur; Remueur; Saccageur Air majeur; Cascadeur majeur; Ravageur Air majeur; Nomade; Dragodinde Ebène</t>
        </is>
      </c>
    </row>
    <row r="8660">
      <c r="A8660" t="inlineStr">
        <is>
          <t>Zobal M 200</t>
        </is>
      </c>
      <c r="B8660">
        <f>HYPERLINK("https://www.dofusbook.net/fr/equipement/3406453-zobal-m-200/objets", "link")</f>
        <v/>
      </c>
      <c r="C8660" t="n">
        <v>2</v>
      </c>
      <c r="D8660" t="inlineStr">
        <is>
          <t>Karnak; Amulette Hendart; Alliance Gloursonne; Anneau d'Allister; Bouclier d'Asse; Ceinture Rasboulaire du Rasboul; Couronne d'Allister; Cape Matelassée; Pantoufles Émar; Miraculé; Remueur; Miraculé majeur; Cascadeur majeur; Vigoureux majeur; Nomade; Dragodinde Ebène</t>
        </is>
      </c>
    </row>
    <row r="8661">
      <c r="A8661" t="inlineStr">
        <is>
          <t>Iop M 200</t>
        </is>
      </c>
      <c r="B8661">
        <f>HYPERLINK("https://www.dofusbook.net/fr/equipement/3406390-iop-m-200/objets", "link")</f>
        <v/>
      </c>
      <c r="C8661" t="n">
        <v>2</v>
      </c>
      <c r="D8661" t="inlineStr">
        <is>
          <t>Héqache; Amulette du Strigide; Bague Gloursonne; Anneau du Comte Harebourg; Bouclier Taverne; Ceinture du Strigide; Masque de Koutoulou; Cape au Logis; Baleinabottes; Dofus Pourpre; Dofus Turquoise; Dofus Kaliptus; Vigoureux majeur; Nomade; Remueur; Pykur</t>
        </is>
      </c>
    </row>
    <row r="8662">
      <c r="A8662" t="inlineStr">
        <is>
          <t>Crâ F 200</t>
        </is>
      </c>
      <c r="B8662">
        <f>HYPERLINK("https://www.dofusbook.net/fr/equipement/3402633-cra-f-200/objets", "link")</f>
        <v/>
      </c>
      <c r="C8662" t="n">
        <v>4</v>
      </c>
      <c r="D8662" t="inlineStr">
        <is>
          <t>Bâton Beau; Amulette du Strigide; Bracelet du Piloztère; Anneau Nobstant; Quatre-feuilles; Ceinture du Strigide; Coiffe de Padgref; Cape Reski; Pataugastrique; Dolmanax; Dofus Turquoise; Enragé majeur; Remueur; Vigoureux majeur; Nomade</t>
        </is>
      </c>
    </row>
    <row r="8663">
      <c r="A8663" t="inlineStr">
        <is>
          <t>Enutrof M 200</t>
        </is>
      </c>
      <c r="B8663">
        <f>HYPERLINK("https://www.dofusbook.net/fr/equipement/3384260-enutrof-m-200/objets", "link")</f>
        <v/>
      </c>
      <c r="C8663" t="n">
        <v>0</v>
      </c>
      <c r="D8663" t="inlineStr">
        <is>
          <t>Hache du Guerrier Zoth; Amulette du Glourséleste; Pikano; Anneau Tamie; Bouclier du serrurier; Ceinture Instable; Casquipik; Cape de Léthaline; Pantoufles Émar; Temporiseur; Remueur; Entraveur majeur; Entraveur; Temporiseur majeur; Nomoon</t>
        </is>
      </c>
    </row>
    <row r="8664">
      <c r="A8664" t="inlineStr">
        <is>
          <t>Zobal M 200</t>
        </is>
      </c>
      <c r="B8664">
        <f>HYPERLINK("https://www.dofusbook.net/fr/equipement/3378821-zobal-m-200/objets", "link")</f>
        <v/>
      </c>
      <c r="C8664" t="n">
        <v>1</v>
      </c>
      <c r="D8664" t="inlineStr">
        <is>
          <t>L'Épée Nice; Amulette Hendart; Alliance Gloursonne; Anneau d'Allister; Carapar; Ceinture Rasboulaire du Rasboul; Couronne d'Allister; Cape de Klime; Pantoufles Émar; Nomade; Miraculé majeur; Remueur; Vigoureux majeur; Cascadeur majeur; Miraculé</t>
        </is>
      </c>
    </row>
    <row r="8665">
      <c r="A8665" t="inlineStr">
        <is>
          <t>Pandawa F 200</t>
        </is>
      </c>
      <c r="B8665">
        <f>HYPERLINK("https://www.dofusbook.net/fr/equipement/3378690-pandawa-f-200/objets", "link")</f>
        <v/>
      </c>
      <c r="C8665" t="n">
        <v>4</v>
      </c>
      <c r="D8665" t="inlineStr">
        <is>
          <t>Rapière aux Glyphes; Amulette de Danathor; Anneau du Professeur Xa; Bracelet du Piloztère; Quatre-feuilles; Ceinture du Barbétoal; Coiffe de Danathor; Cape Matelassée; Sandales Circulaires du Kimbo; Fonceur majeur; Chanceux majeur; Vigoureux majeur; Nomade; Miraculé majeur; Remueur; Dragodinde Prune et Indigo</t>
        </is>
      </c>
    </row>
    <row r="8666">
      <c r="A8666" t="inlineStr">
        <is>
          <t>Crâ F 200</t>
        </is>
      </c>
      <c r="B8666">
        <f>HYPERLINK("https://www.dofusbook.net/fr/equipement/3327679-cra-f-200/objets", "link")</f>
        <v/>
      </c>
      <c r="C8666" t="n">
        <v>1</v>
      </c>
      <c r="D8666" t="inlineStr">
        <is>
          <t>Bâton Beau; Amulette du Strigide; Anneau de Padgref; Bracelet du Piloztère; Quatre-feuilles; Ceinture du Strigide; Masque Vaudou Tam; Voile d'encre; Pantoufles Émar; Chanceux majeur; Nomade; Enragé majeur; Remueur; Vigoureux; Vigoureux majeur</t>
        </is>
      </c>
    </row>
    <row r="8667">
      <c r="A8667" t="inlineStr">
        <is>
          <t>Sadida F 200</t>
        </is>
      </c>
      <c r="B8667">
        <f>HYPERLINK("https://www.dofusbook.net/fr/equipement/3327707-sadida-f-200/objets", "link")</f>
        <v/>
      </c>
      <c r="C8667" t="n">
        <v>0</v>
      </c>
      <c r="D8667" t="inlineStr">
        <is>
          <t>Hache du Guerrier Zoth; Amulette de Cantile; Anneau Pwal; Anneau Nobstant; Ceinture du Meulou; Masque Vaudou Eth; Cape de l'Obsidiantre; Bottes du Meulou</t>
        </is>
      </c>
    </row>
    <row r="8668">
      <c r="A8668" t="inlineStr">
        <is>
          <t>Iop M 200</t>
        </is>
      </c>
      <c r="B8668">
        <f>HYPERLINK("https://www.dofusbook.net/fr/equipement/3327695-iop-m-200/objets", "link")</f>
        <v/>
      </c>
      <c r="C8668" t="n">
        <v>0</v>
      </c>
      <c r="D8668" t="inlineStr">
        <is>
          <t>Griffe Rose; Amulette de Cantile; Blopanneau Reinette Royal; Anneau Nobstant; Puissante Ceinture Fulgurante; Chapblopignon; Cape du Mansot Royal; Tongues du dimanche du Chêne Mou</t>
        </is>
      </c>
    </row>
    <row r="8669">
      <c r="A8669" t="inlineStr">
        <is>
          <t>Zobal M 200</t>
        </is>
      </c>
      <c r="B8669">
        <f>HYPERLINK("https://www.dofusbook.net/fr/equipement/3327665-zobal-m-200/objets", "link")</f>
        <v/>
      </c>
      <c r="C8669" t="n">
        <v>0</v>
      </c>
      <c r="D8669" t="inlineStr">
        <is>
          <t>Hache du Guerrier Zoth; Amulette de Frigostine; Anneau du Wabbit Céphale; Anneau Nobstant; Bouclier Taverne; Ceinture de Frigostine; Casque de l'Écumouth; Cape Souveraine du Roissingue; Sandales Titude</t>
        </is>
      </c>
    </row>
    <row r="8670">
      <c r="A8670" t="inlineStr">
        <is>
          <t>Féca F 200</t>
        </is>
      </c>
      <c r="B8670">
        <f>HYPERLINK("https://www.dofusbook.net/fr/equipement/5830158-feca-f-200/objets", "link")</f>
        <v/>
      </c>
      <c r="C8670" t="n">
        <v>6</v>
      </c>
      <c r="D8670" t="inlineStr">
        <is>
          <t>Epée Gloursonne; Amulette de l'Indicible; Alliance Gloursonne; Bague Gloursonne; Bouclier du Stalak; Ceinture de l'Esprit Salvateur; Masque de l'Esprit Salvateur; Cape de Jahash Jurgen; Bottes de l'Esprit Salvateur; Dofus Vulbis; Dofus Ocre; Dofus Ivoire; Dofus Ébène; Dofus Pourpre; Dofus des Glaces; Kanigloups</t>
        </is>
      </c>
    </row>
    <row r="8671">
      <c r="A8671" t="inlineStr">
        <is>
          <t>Eniripsa M 200</t>
        </is>
      </c>
      <c r="B8671">
        <f>HYPERLINK("https://www.dofusbook.net/fr/equipement/6003759-eniripsa-m-200/objets", "link")</f>
        <v/>
      </c>
      <c r="C8671" t="n">
        <v>0</v>
      </c>
      <c r="D8671" t="inlineStr"/>
    </row>
    <row r="8672">
      <c r="A8672" t="inlineStr">
        <is>
          <t>Eliotrope M 200</t>
        </is>
      </c>
      <c r="B8672">
        <f>HYPERLINK("https://www.dofusbook.net/fr/equipement/5991053-eliotrope-m-200/objets", "link")</f>
        <v/>
      </c>
      <c r="C8672" t="n">
        <v>0</v>
      </c>
      <c r="D8672" t="inlineStr">
        <is>
          <t>Arc du Chalœil; Amulette du Cœur Saignant; Anneau Volkorne; Alliance de Missiz Frizz; Quatre-feuilles; Ceinture Volkorne; Casque de Missiz Frizz; Cape du Cœur Saignant; Bottes du Cœur Saignant; Dofus Ébène; Dofus Ivoire; Dofus Ocre; Dofus Vulbis; Dofus Pourpre; Dofus Turquoise; Sakochère</t>
        </is>
      </c>
    </row>
    <row r="8673">
      <c r="A8673" t="inlineStr">
        <is>
          <t>Xélor F 200</t>
        </is>
      </c>
      <c r="B8673">
        <f>HYPERLINK("https://www.dofusbook.net/fr/equipement/5877464-xelor-f-200/objets", "link")</f>
        <v/>
      </c>
      <c r="C8673" t="n">
        <v>2</v>
      </c>
      <c r="D8673" t="inlineStr">
        <is>
          <t>Anneau Volkorne; Bouclier d'Ilyzaelle; Casque Volkorne</t>
        </is>
      </c>
    </row>
    <row r="8674">
      <c r="A8674" t="inlineStr">
        <is>
          <t>Enutrof F 200</t>
        </is>
      </c>
      <c r="B8674">
        <f>HYPERLINK("https://www.dofusbook.net/fr/equipement/5910263-enutrof-f-200/objets", "link")</f>
        <v/>
      </c>
      <c r="C8674" t="n">
        <v>0</v>
      </c>
      <c r="D8674" t="inlineStr">
        <is>
          <t>Sceptre du Roi Joueur; Coiffe de Danathor</t>
        </is>
      </c>
    </row>
    <row r="8675">
      <c r="A8675" t="inlineStr">
        <is>
          <t>Féca F 200</t>
        </is>
      </c>
      <c r="B8675">
        <f>HYPERLINK("https://www.dofusbook.net/fr/equipement/5897597-feca-f-200/objets", "link")</f>
        <v/>
      </c>
      <c r="C8675" t="n">
        <v>2</v>
      </c>
      <c r="D8675" t="inlineStr">
        <is>
          <t>Lav'Hache; Collier de Tourthon; Anneau Crustique; Anneau Crustique; Bouclier alvéolé; Ceinture de la Reine des Voleurs; Coiffe de la Reine des Voleurs; Cape au Logis; Baleinabottes; Dofus Émeraude; Dofus des Glaces; Dofus Ocre; Dofus Abyssal; Dofus Pourpre; Dofus Ivoire; Bulbisou</t>
        </is>
      </c>
    </row>
    <row r="8676">
      <c r="A8676" t="inlineStr">
        <is>
          <t>Ouginak F 200</t>
        </is>
      </c>
      <c r="B8676">
        <f>HYPERLINK("https://www.dofusbook.net/fr/equipement/5897589-ouginak-f-200/objets", "link")</f>
        <v/>
      </c>
      <c r="C8676" t="n">
        <v>0</v>
      </c>
      <c r="D8676" t="inlineStr">
        <is>
          <t>Pantoufles Émar</t>
        </is>
      </c>
    </row>
    <row r="8677">
      <c r="A8677" t="inlineStr">
        <is>
          <t>Xélor F 200</t>
        </is>
      </c>
      <c r="B8677">
        <f>HYPERLINK("https://www.dofusbook.net/fr/equipement/5897038-xelor-f-200/objets", "link")</f>
        <v/>
      </c>
      <c r="C8677" t="n">
        <v>0</v>
      </c>
      <c r="D8677" t="inlineStr"/>
    </row>
    <row r="8678">
      <c r="A8678" t="inlineStr">
        <is>
          <t>CTLN</t>
        </is>
      </c>
      <c r="B8678">
        <f>HYPERLINK("https://www.dofusbook.net/fr/equipement/2617959-ctln/objets", "link")</f>
        <v/>
      </c>
      <c r="C8678" t="n">
        <v>12</v>
      </c>
      <c r="D8678" t="inlineStr"/>
    </row>
    <row r="8679">
      <c r="A8679" t="inlineStr">
        <is>
          <t>Stuff 3</t>
        </is>
      </c>
      <c r="B8679">
        <f>HYPERLINK("https://www.dofusbook.net/fr/equipement/189100-stuff-3/objets", "link")</f>
        <v/>
      </c>
      <c r="C8679" t="n">
        <v>1</v>
      </c>
      <c r="D8679" t="inlineStr">
        <is>
          <t>Capuche de l'Œil Attentif; Pioute bleu</t>
        </is>
      </c>
    </row>
    <row r="8680">
      <c r="A8680" t="inlineStr">
        <is>
          <t>Xélor M 200</t>
        </is>
      </c>
      <c r="B8680">
        <f>HYPERLINK("https://www.dofusbook.net/fr/equipement/5422067-xelor-m-200/objets", "link")</f>
        <v/>
      </c>
      <c r="C8680" t="n">
        <v>7</v>
      </c>
      <c r="D8680" t="inlineStr">
        <is>
          <t>Marteau R'ture; Collier de Tourthon; Anneau Chevelu; Cadran d'Eau; Ceinture Gence; Masque de Koutoulou; Cape au Logis; Bottes du Cœur Saignant; Dofus Pourpre; Dofus Ébène; Dofus Turquoise; Dofus Ivoire; Dofus Ocre; Enragé majeur; Dragodinde Emeraude et Pourpre</t>
        </is>
      </c>
    </row>
    <row r="8681">
      <c r="A8681" t="inlineStr">
        <is>
          <t>Xélor M 200</t>
        </is>
      </c>
      <c r="B8681">
        <f>HYPERLINK("https://www.dofusbook.net/fr/equipement/5858019-xelor-m-200/objets", "link")</f>
        <v/>
      </c>
      <c r="C8681" t="n">
        <v>2</v>
      </c>
      <c r="D8681" t="inlineStr">
        <is>
          <t>Arc du Chalœil; Amulette Volkorne; Anneau Volkorne; Anneau de Brouce; Quatre-feuilles; Ceinture de Brouce; Corne de Torkélonia; Carapace de Torkélonia; Bottes de Brouce; Dofus Turquoise; Dofus Ébène; Dofus Vulbis; Dofus Abyssal; Dofus Ocre; Dofus Ivoire; Dragodinde Emeraude et Pourpre</t>
        </is>
      </c>
    </row>
    <row r="8682">
      <c r="A8682" t="inlineStr">
        <is>
          <t>Crâ F 200</t>
        </is>
      </c>
      <c r="B8682">
        <f>HYPERLINK("https://www.dofusbook.net/fr/equipement/5835677-cra-f-200/objets", "link")</f>
        <v/>
      </c>
      <c r="C8682" t="n">
        <v>0</v>
      </c>
      <c r="D8682" t="inlineStr"/>
    </row>
    <row r="8683">
      <c r="A8683" t="inlineStr">
        <is>
          <t>Xélor F 200</t>
        </is>
      </c>
      <c r="B8683">
        <f>HYPERLINK("https://www.dofusbook.net/fr/equipement/5791891-xelor-f-200/objets", "link")</f>
        <v/>
      </c>
      <c r="C8683" t="n">
        <v>0</v>
      </c>
      <c r="D8683" t="inlineStr">
        <is>
          <t>L'Épée Nice; Amulette Nécrotique; Anneau de XLII; Ceinture de XLII; Chapignon; Caprin; Bottes de XLII</t>
        </is>
      </c>
    </row>
    <row r="8684">
      <c r="A8684" t="inlineStr">
        <is>
          <t>Xélor M 200</t>
        </is>
      </c>
      <c r="B8684">
        <f>HYPERLINK("https://www.dofusbook.net/fr/equipement/5787977-xelor-m-200/objets", "link")</f>
        <v/>
      </c>
      <c r="C8684" t="n">
        <v>2</v>
      </c>
      <c r="D8684" t="inlineStr">
        <is>
          <t>Épée d'Otomaï; Amulette d'Otomaï; Anneau Tamie; Anneau Tamie; Bivalve; Ceinture Hyolite; Calotte Spot; Voile d'encre; Bottes d'Otomaï; Dofus Pourpre; Dofus des Glaces; Dofus Ivoire; Dofus Abyssal; Dofus Ocre; Voyageur; Dragodinde Amande et Orchidée</t>
        </is>
      </c>
    </row>
    <row r="8685">
      <c r="A8685" t="inlineStr">
        <is>
          <t>Eliotrope M 200</t>
        </is>
      </c>
      <c r="B8685">
        <f>HYPERLINK("https://www.dofusbook.net/fr/equipement/5675098-eliotrope-m-200/objets", "link")</f>
        <v/>
      </c>
      <c r="C8685" t="n">
        <v>0</v>
      </c>
      <c r="D8685" t="inlineStr"/>
    </row>
    <row r="8686">
      <c r="A8686" t="inlineStr">
        <is>
          <t>Féca M 200</t>
        </is>
      </c>
      <c r="B8686">
        <f>HYPERLINK("https://www.dofusbook.net/fr/equipement/5606829-feca-m-200/objets", "link")</f>
        <v/>
      </c>
      <c r="C8686" t="n">
        <v>0</v>
      </c>
      <c r="D8686" t="inlineStr"/>
    </row>
    <row r="8687">
      <c r="A8687" t="inlineStr">
        <is>
          <t>Sacrieur F 200</t>
        </is>
      </c>
      <c r="B8687">
        <f>HYPERLINK("https://www.dofusbook.net/fr/equipement/5489527-sacrieur-f-200/objets", "link")</f>
        <v/>
      </c>
      <c r="C8687" t="n">
        <v>0</v>
      </c>
      <c r="D8687" t="inlineStr"/>
    </row>
    <row r="8688">
      <c r="A8688" t="inlineStr">
        <is>
          <t>Iop M 200</t>
        </is>
      </c>
      <c r="B8688">
        <f>HYPERLINK("https://www.dofusbook.net/fr/equipement/5467875-iop-m-200/objets", "link")</f>
        <v/>
      </c>
      <c r="C8688" t="n">
        <v>4</v>
      </c>
      <c r="D8688" t="inlineStr">
        <is>
          <t>Marteau R'ture; Amulette du Strigide; Anneau Chevelu; Anneau Volkorne; Cadran d'Eau; Ceinture Volkorne; Masque de Koutoulou; Cape au Logis; Bottes du Strigide; Dofus Ocre; Dofus Abyssal; Dofus Pourpre; Dofus Ivoire; Dofus Turquoise; Dofus Ébène; Dragodinde Emeraude et Pourpre</t>
        </is>
      </c>
    </row>
    <row r="8689">
      <c r="A8689" t="inlineStr">
        <is>
          <t>Iop M 200</t>
        </is>
      </c>
      <c r="B8689">
        <f>HYPERLINK("https://www.dofusbook.net/fr/equipement/5437589-iop-m-200/objets", "link")</f>
        <v/>
      </c>
      <c r="C8689" t="n">
        <v>3</v>
      </c>
      <c r="D8689" t="inlineStr">
        <is>
          <t>Dagues du Dragoeuf; Amulette du Strigide; Bague Trithon; Bague Gloursonne; Bouclier du Captain Amakna; Ceinture du Strigide; Masque Trithon; Cape de Jahash Jurgen; Bottes du Strigide; Dofus Ocre; Dofus Vulbis; Dofus Turquoise; Dofus Ébène; Dofus Pourpre; Dofus Abyssal; Kokulte</t>
        </is>
      </c>
    </row>
    <row r="8690">
      <c r="A8690" t="inlineStr">
        <is>
          <t>Iop M 200</t>
        </is>
      </c>
      <c r="B8690">
        <f>HYPERLINK("https://www.dofusbook.net/fr/equipement/5434231-iop-m-200/objets", "link")</f>
        <v/>
      </c>
      <c r="C8690" t="n">
        <v>2</v>
      </c>
      <c r="D8690" t="inlineStr">
        <is>
          <t>Dagues du Dragoeuf; Amulette du Strigide; Chevalière du Roi Joueur; Bague Gloursonne; Ceinture du Strigide; Couronne du Roi Joueur; Cape de Jahash Jurgen; Bottes du Roi Joueur; Kokulte</t>
        </is>
      </c>
    </row>
    <row r="8691">
      <c r="A8691" t="inlineStr">
        <is>
          <t>Eliotrope F 200</t>
        </is>
      </c>
      <c r="B8691">
        <f>HYPERLINK("https://www.dofusbook.net/fr/equipement/5422369-eliotrope-f-200/objets", "link")</f>
        <v/>
      </c>
      <c r="C8691" t="n">
        <v>0</v>
      </c>
      <c r="D8691" t="inlineStr">
        <is>
          <t>Arc du Chalœil; Amulette du Strigide; Anneau Crustique; Anneau Chevelu; Quatre-feuilles; Ceinture de la Reine des Voleurs; Coiffe de la Reine des Voleurs; Cape du Cœur Saignant; Baleinabottes; Dofus Pourpre; Dofus Turquoise; Dofus Vulbis; Dofus Abyssal; Dofus Ocre; Enragé majeur; Dragodinde Emeraude et Pourpre</t>
        </is>
      </c>
    </row>
    <row r="8692">
      <c r="A8692" t="inlineStr">
        <is>
          <t>Enutrof M 200</t>
        </is>
      </c>
      <c r="B8692">
        <f>HYPERLINK("https://www.dofusbook.net/fr/equipement/4755283-enutrof-m-200/objets", "link")</f>
        <v/>
      </c>
      <c r="C8692" t="n">
        <v>2</v>
      </c>
      <c r="D8692" t="inlineStr">
        <is>
          <t>Cape du Cœur Saignant</t>
        </is>
      </c>
    </row>
    <row r="8693">
      <c r="A8693" t="inlineStr">
        <is>
          <t>Enutrof M 200</t>
        </is>
      </c>
      <c r="B8693">
        <f>HYPERLINK("https://www.dofusbook.net/fr/equipement/5422253-enutrof-m-200/objets", "link")</f>
        <v/>
      </c>
      <c r="C8693" t="n">
        <v>0</v>
      </c>
      <c r="D8693" t="inlineStr">
        <is>
          <t>Amulette Volkorne; Bague Trithon; Anneau Volkorne; Quatre-feuilles; Ceintacé; Kidibonnet; Cape de la Dame du Hasard; Bottes de la Dame du Hasard; Dofus Ocre; Dofus Ébène; Dofus Vulbis; Dofus des Glaces; Dofus Ivoire; Dofus Turquoise; Kokulte</t>
        </is>
      </c>
    </row>
    <row r="8694">
      <c r="A8694" t="inlineStr">
        <is>
          <t>Sram M 200</t>
        </is>
      </c>
      <c r="B8694">
        <f>HYPERLINK("https://www.dofusbook.net/fr/equipement/5422157-sram-m-200/objets", "link")</f>
        <v/>
      </c>
      <c r="C8694" t="n">
        <v>0</v>
      </c>
      <c r="D8694" t="inlineStr"/>
    </row>
    <row r="8695">
      <c r="A8695" t="inlineStr">
        <is>
          <t>Xélor M 200</t>
        </is>
      </c>
      <c r="B8695">
        <f>HYPERLINK("https://www.dofusbook.net/fr/equipement/5422138-xelor-m-200/objets", "link")</f>
        <v/>
      </c>
      <c r="C8695" t="n">
        <v>0</v>
      </c>
      <c r="D8695" t="inlineStr"/>
    </row>
    <row r="8696">
      <c r="A8696" t="inlineStr">
        <is>
          <t>Steamer M 200</t>
        </is>
      </c>
      <c r="B8696">
        <f>HYPERLINK("https://www.dofusbook.net/fr/equipement/5421974-steamer-m-200/objets", "link")</f>
        <v/>
      </c>
      <c r="C8696" t="n">
        <v>0</v>
      </c>
      <c r="D8696" t="inlineStr">
        <is>
          <t>Amulette Volkorne; Ceinture Volkorne; Pioute vert</t>
        </is>
      </c>
    </row>
    <row r="8697">
      <c r="A8697" t="inlineStr">
        <is>
          <t>Eniripsa F 200</t>
        </is>
      </c>
      <c r="B8697">
        <f>HYPERLINK("https://www.dofusbook.net/fr/equipement/5421955-eniripsa-f-200/objets", "link")</f>
        <v/>
      </c>
      <c r="C8697" t="n">
        <v>0</v>
      </c>
      <c r="D8697" t="inlineStr"/>
    </row>
    <row r="8698">
      <c r="A8698" t="inlineStr">
        <is>
          <t>Steamer M 200</t>
        </is>
      </c>
      <c r="B8698">
        <f>HYPERLINK("https://www.dofusbook.net/fr/equipement/5421921-steamer-m-200/objets", "link")</f>
        <v/>
      </c>
      <c r="C8698" t="n">
        <v>2</v>
      </c>
      <c r="D8698" t="inlineStr">
        <is>
          <t>Hache du Chalœil; Amulette Volkorne; Anneau Volkorne; Bague Trithon; Quatre-feuilles; Ceinture Volkorne; Masque Trithon; Dofusteuse; Bottes Trithon; Dofus Ocre; Dofus Abyssal; Dofus Pourpre; Dofus Turquoise; Dofus Ivoire; Dofus Ébène; Kokulte</t>
        </is>
      </c>
    </row>
    <row r="8699">
      <c r="A8699" t="inlineStr">
        <is>
          <t>Pandawa M 200</t>
        </is>
      </c>
      <c r="B8699">
        <f>HYPERLINK("https://www.dofusbook.net/fr/equipement/5408774-pandawa-m-200/objets", "link")</f>
        <v/>
      </c>
      <c r="C8699" t="n">
        <v>1</v>
      </c>
      <c r="D8699" t="inlineStr">
        <is>
          <t>Rapière aux Glyphes; Amulette du Sinistrofu; Bracelet du Piloztère; Alliance Gloursonne; Quatre-feuilles; Pagne du Rykaon; Kidibonnet; Cape du Sinistrofu; Bottes Voldelor; Dofus Pourpre; Dofus Abyssal; Dofus Vulbis; Dofus Ocre; Dofus Turquoise; Chanceux majeur; Dragodinde Emeraude et Indigo</t>
        </is>
      </c>
    </row>
    <row r="8700">
      <c r="A8700" t="inlineStr">
        <is>
          <t>Stuff 2</t>
        </is>
      </c>
      <c r="B8700">
        <f>HYPERLINK("https://www.dofusbook.net/fr/equipement/189123-stuff-2/objets", "link")</f>
        <v/>
      </c>
      <c r="C8700" t="n">
        <v>1</v>
      </c>
      <c r="D8700" t="inlineStr">
        <is>
          <t>Rapière aux Glyphes; Amulette de Shokkoth; Bracelet des Fonds marins; Alliance Gloursonne; Cadran de Terre; Pagne du Rykaon; Masque des Fonds marins; Cape Solution; Pataugastrique</t>
        </is>
      </c>
    </row>
    <row r="8701">
      <c r="A8701" t="inlineStr">
        <is>
          <t>Enutrof M 200</t>
        </is>
      </c>
      <c r="B8701">
        <f>HYPERLINK("https://www.dofusbook.net/fr/equipement/5169689-enutrof-m-200/objets", "link")</f>
        <v/>
      </c>
      <c r="C8701" t="n">
        <v>2</v>
      </c>
      <c r="D8701" t="inlineStr">
        <is>
          <t>Lance Horselé; Amulette Martegel; Anneau de Pol Ouatnos; Alliance Gloursonne; Droiture de Fallanster; Menoture; Dorabysses; Cape Martegel; Pantoufles Émar; Dofus Abyssal; Dofus Ébène; Dofus Ivoire; Cascadeur majeur; Étourdisseur majeur; Paralyseur majeur; Dragodinde Amande et Ebène</t>
        </is>
      </c>
    </row>
    <row r="8702">
      <c r="A8702" t="inlineStr">
        <is>
          <t>Sadida M 200</t>
        </is>
      </c>
      <c r="B8702">
        <f>HYPERLINK("https://www.dofusbook.net/fr/equipement/5232071-sadida-m-200/objets", "link")</f>
        <v/>
      </c>
      <c r="C8702" t="n">
        <v>2</v>
      </c>
      <c r="D8702" t="inlineStr">
        <is>
          <t>Arc du Chalœil; Amulette du Cœur Saignant; Anneau Chevelu; Pikano; Bouclier du Stalak; Ceinture Volkorne; Masque de Koutoulou; Cape du Cœur Saignant; Bottes Honyme; Dofus Abyssal; Dofus Vulbis; Dofus Pourpre; Dofus Ivoire; Dofus Ébène; Enragé majeur; Dragodinde Amande et Pourpre</t>
        </is>
      </c>
    </row>
    <row r="8703">
      <c r="A8703" t="inlineStr">
        <is>
          <t>Enutrof M 200</t>
        </is>
      </c>
      <c r="B8703">
        <f>HYPERLINK("https://www.dofusbook.net/fr/equipement/5232058-enutrof-m-200/objets", "link")</f>
        <v/>
      </c>
      <c r="C8703" t="n">
        <v>1</v>
      </c>
      <c r="D8703" t="inlineStr"/>
    </row>
    <row r="8704">
      <c r="A8704" t="inlineStr">
        <is>
          <t>Ouginak M 200</t>
        </is>
      </c>
      <c r="B8704">
        <f>HYPERLINK("https://www.dofusbook.net/fr/equipement/5120716-ouginak-m-200/objets", "link")</f>
        <v/>
      </c>
      <c r="C8704" t="n">
        <v>3</v>
      </c>
      <c r="D8704" t="inlineStr">
        <is>
          <t>Pelle de la Cour Sombre; Amulette d'Ilyzaelle; Alliance Gloursonne; Gant du Valet Veinard; Bouclier d'Ilyzaelle; Menoture; Capuche de Moum-Ra; Cape du Valet Veinard; Palmes Trithons; Dofus Vulbis; Dofus Ébène; Dofus Pourpre; Dofus Ivoire; Dofus Ocre; Dofus Abyssal; Dragodinde Ebène et Ivoire</t>
        </is>
      </c>
    </row>
    <row r="8705">
      <c r="A8705" t="inlineStr">
        <is>
          <t>Enutrof M 200</t>
        </is>
      </c>
      <c r="B8705">
        <f>HYPERLINK("https://www.dofusbook.net/fr/equipement/3844915-enutrof-m-200/objets", "link")</f>
        <v/>
      </c>
      <c r="C8705" t="n">
        <v>5</v>
      </c>
      <c r="D8705" t="inlineStr">
        <is>
          <t>Dagues Açantes; Amulette de Shokkoth; Pikano; Alliance Gloursonne; Bouclier cubiste; Poulpagne; Maskrobe; Cape Solution; Pikottes; Dofus des Glaces; Dofus Pourpre; Chanceux majeur; Vigoureux majeur; Temporiseur majeur; Entraveur majeur; Gwo Tofu Ventripotent</t>
        </is>
      </c>
    </row>
    <row r="8706">
      <c r="A8706" t="inlineStr">
        <is>
          <t>Stuff 2</t>
        </is>
      </c>
      <c r="B8706">
        <f>HYPERLINK("https://www.dofusbook.net/fr/equipement/189142-stuff-2/objets", "link")</f>
        <v/>
      </c>
      <c r="C8706" t="n">
        <v>5</v>
      </c>
      <c r="D8706" t="inlineStr">
        <is>
          <t>Lav'Hache; Collier Rophante; Alliance Gloursonne; Bracelet du Minotoboule; Bouclier d'Anerice; Pagne du Rykaon; Casque Dragoeuf; Cape d'Anerice; Pataugastrique; Dofus Ivoire; Dofus Ocre; Dofus Émeraude; Dofus Abyssal; Miraculé majeur; Obstructeur majeur; Givrefoux</t>
        </is>
      </c>
    </row>
    <row r="8707">
      <c r="A8707" t="inlineStr">
        <is>
          <t>Osamodas F 200</t>
        </is>
      </c>
      <c r="B8707">
        <f>HYPERLINK("https://www.dofusbook.net/fr/equipement/4744356-osamodas-f-200/objets", "link")</f>
        <v/>
      </c>
      <c r="C8707" t="n">
        <v>1</v>
      </c>
      <c r="D8707" t="inlineStr">
        <is>
          <t>Amulette Volkorne; Ceinture Volkorne; Heaume Oplate; Bravoure de Rykke Errel; Pataugastrique; Dofus Ivoire; Dofus des Glaces; Dofus Abyssal; Dofus Ocre; Enragé majeur; Miraculé majeur</t>
        </is>
      </c>
    </row>
    <row r="8708">
      <c r="A8708" t="inlineStr">
        <is>
          <t>Ecaflip M 200</t>
        </is>
      </c>
      <c r="B8708">
        <f>HYPERLINK("https://www.dofusbook.net/fr/equipement/4773178-ecaflip-m-200/objets", "link")</f>
        <v/>
      </c>
      <c r="C8708" t="n">
        <v>0</v>
      </c>
      <c r="D8708" t="inlineStr">
        <is>
          <t>Hachoirs de Viandargh; Amulette du Strigide; Alliance Brûlâme; Alliance Gloursonne; Bouclier du Stalak; Sangle Ouare; Casque Dragoeuf; Cape Indescriptible; Bottes du Strigide; Dofus Pourpre; Dofus Ocre; Dofus Ivoire; Dofus Abyssal; Remueur; Cascadeur majeur; Pioute jaune</t>
        </is>
      </c>
    </row>
    <row r="8709">
      <c r="A8709" t="inlineStr">
        <is>
          <t>Ecaflip M 200</t>
        </is>
      </c>
      <c r="B8709">
        <f>HYPERLINK("https://www.dofusbook.net/fr/equipement/4335867-ecaflip-m-200/objets", "link")</f>
        <v/>
      </c>
      <c r="C8709" t="n">
        <v>3</v>
      </c>
      <c r="D8709" t="inlineStr">
        <is>
          <t>Bêche Asse; Amulette du Cœur Vaillant; Bague Gloursonne; Bague Trithon; Bivalve; Ceinture Gence; Masque Trithon; Cape du Cœur Vaillant; Bottes Trithon; Dofus Émeraude; Bousculeur majeur; Bouflux</t>
        </is>
      </c>
    </row>
    <row r="8710">
      <c r="A8710" t="inlineStr">
        <is>
          <t>Roublard M 200</t>
        </is>
      </c>
      <c r="B8710">
        <f>HYPERLINK("https://www.dofusbook.net/fr/equipement/4304681-roublard-m-200/objets", "link")</f>
        <v/>
      </c>
      <c r="C8710" t="n">
        <v>0</v>
      </c>
      <c r="D8710" t="inlineStr"/>
    </row>
    <row r="8711">
      <c r="A8711" t="inlineStr">
        <is>
          <t>Roublard F 200</t>
        </is>
      </c>
      <c r="B8711">
        <f>HYPERLINK("https://www.dofusbook.net/fr/equipement/4240915-roublard-f-200/objets", "link")</f>
        <v/>
      </c>
      <c r="C8711" t="n">
        <v>3</v>
      </c>
      <c r="D8711" t="inlineStr">
        <is>
          <t>Sceptre du Roi Joueur; Amulette de Shokkoth; Anneau de Pol Ouatnos; Alliance Gloursonne; Cadran de Terre; Culotte de Bethel; Némès de Tal Kasha; Chevelure de Tal Kasha; Pataugastrique; Dofus Pourpre; Dofus Ocre; Dofus Abyssal; Dofus Ivoire; Miraculé majeur; Chanceux majeur; Boskito</t>
        </is>
      </c>
    </row>
    <row r="8712">
      <c r="A8712" t="inlineStr">
        <is>
          <t>Steamer M 200</t>
        </is>
      </c>
      <c r="B8712">
        <f>HYPERLINK("https://www.dofusbook.net/fr/equipement/4218250-steamer-m-200/objets", "link")</f>
        <v/>
      </c>
      <c r="C8712" t="n">
        <v>5</v>
      </c>
      <c r="D8712" t="inlineStr">
        <is>
          <t>Plume de Buhorado; Amibou; Bague Trithon; Alliance Gloursonne; Bivalve; Menoture; Casque Dragoeuf; Capibou; Bottes du Cœur Vaillant; Dofus Ivoire; Dofus Ocre; Cascadeur majeur; Culbuteur majeur; Pousseur majeur; Bousculeur majeur; Kafarce</t>
        </is>
      </c>
    </row>
    <row r="8713">
      <c r="A8713" t="inlineStr">
        <is>
          <t>Pandawa F 200</t>
        </is>
      </c>
      <c r="B8713">
        <f>HYPERLINK("https://www.dofusbook.net/fr/equipement/4148650-pandawa-f-200/objets", "link")</f>
        <v/>
      </c>
      <c r="C8713" t="n">
        <v>2</v>
      </c>
      <c r="D8713" t="inlineStr">
        <is>
          <t>Faux Maudite du Saigneur Guerrier; Amulette Ikête; Anneau Instable; Anneau Tique; Bouclier de Solar; Ceintacé; Heaume Oplate; Cape Parition; Bottes du Comte Harebourg; Dofus Forgelave; Solide; Inflexible majeur; Solide majeur; Inflexible; Bouftor</t>
        </is>
      </c>
    </row>
    <row r="8714">
      <c r="A8714" t="inlineStr">
        <is>
          <t>Eliotrope M 200</t>
        </is>
      </c>
      <c r="B8714">
        <f>HYPERLINK("https://www.dofusbook.net/fr/equipement/3989632-eliotrope-m-200/objets", "link")</f>
        <v/>
      </c>
      <c r="C8714" t="n">
        <v>6</v>
      </c>
      <c r="D8714" t="inlineStr">
        <is>
          <t>Manthache; Amulette d'Ilyzaelle; Alliance Gloursonne; Gant du Valet Veinard; Cadran d'Air; Menoture; Dorabysses; Cape du Valet Veinard; Palmes Trithons; Dofus Abyssal; Dofus Vulbis; Dofus Ivoire; Carapace Air majeur; Cascadeur majeur; Évasif majeur; Chienchien Tigré</t>
        </is>
      </c>
    </row>
    <row r="8715">
      <c r="A8715" t="inlineStr">
        <is>
          <t>Crâ M 200</t>
        </is>
      </c>
      <c r="B8715">
        <f>HYPERLINK("https://www.dofusbook.net/fr/equipement/3869658-cra-m-200/objets", "link")</f>
        <v/>
      </c>
      <c r="C8715" t="n">
        <v>3</v>
      </c>
      <c r="D8715" t="inlineStr">
        <is>
          <t>Manthache; Collier du Valet Veinard; Gant du Valet Veinard; Alliance Gloursonne; Bouclier du Stalak; Menoture; Couronne d'Allister; Dofusteuse; Palmes Trithons; Dofus Ivoire; Dofus Ocre; Dofus Vulbis; Dofus Pourpre; Fonceur majeur; Cascadeur majeur; Dragodinde Amande et Ebène</t>
        </is>
      </c>
    </row>
    <row r="8716">
      <c r="A8716" t="inlineStr">
        <is>
          <t>Xélor F 200</t>
        </is>
      </c>
      <c r="B8716">
        <f>HYPERLINK("https://www.dofusbook.net/fr/equipement/3756098-xelor-f-200/objets", "link")</f>
        <v/>
      </c>
      <c r="C8716" t="n">
        <v>1</v>
      </c>
      <c r="D8716" t="inlineStr">
        <is>
          <t>Héqache; Amulette du Strigide; Bague Gloursonne; Alliance Gloursonne; Ceinture Volkorne; Casque Volkorne; Cape du Kamasterisk; Bottes du Strigide</t>
        </is>
      </c>
    </row>
    <row r="8717">
      <c r="A8717" t="inlineStr">
        <is>
          <t>voile</t>
        </is>
      </c>
      <c r="B8717">
        <f>HYPERLINK("https://www.dofusbook.net/fr/equipement/1733726-voile/objets", "link")</f>
        <v/>
      </c>
      <c r="C8717" t="n">
        <v>0</v>
      </c>
      <c r="D8717" t="inlineStr">
        <is>
          <t>Voile d'encre</t>
        </is>
      </c>
    </row>
    <row r="8718">
      <c r="A8718" t="inlineStr">
        <is>
          <t>Ctln</t>
        </is>
      </c>
      <c r="B8718">
        <f>HYPERLINK("https://www.dofusbook.net/fr/equipement/1507032-ctln/objets", "link")</f>
        <v/>
      </c>
      <c r="C8718" t="n">
        <v>3</v>
      </c>
      <c r="D8718" t="inlineStr">
        <is>
          <t>Harpelle; Pendentif mignon de Koutoulou; Anneauræus; Anneauræus; Bivalve; Ceinture de Gein; Casque Cyclopéen; Voile d'encre; Bottes Innommables; Dofus Ocre; Dolmanax; Miraculé majeur; Guérisseur majeur; Remueur; Érudit majeur; Muldo Pourpre et Amande</t>
        </is>
      </c>
    </row>
    <row r="8719">
      <c r="A8719" t="inlineStr">
        <is>
          <t>Stuff 2</t>
        </is>
      </c>
      <c r="B8719">
        <f>HYPERLINK("https://www.dofusbook.net/fr/equipement/189114-stuff-2/objets", "link")</f>
        <v/>
      </c>
      <c r="C8719" t="n">
        <v>5</v>
      </c>
      <c r="D8719" t="inlineStr">
        <is>
          <t>Sceptre du Roi Joueur; Collier de la Dame du Hasard; Bracelet des Fonds marins; Alliance Gloursonne; Sangle Ouare; Casque Dragoeuf; Cape de la Dame du Hasard; Pataugastrique; Dofus Émeraude; Dofus Turquoise; Dofus des Glaces; Dofus Pourpre; Remueur; Temporiseur majeur; Dragodinde en armure</t>
        </is>
      </c>
    </row>
    <row r="8720">
      <c r="A8720" t="inlineStr">
        <is>
          <t>Stuff 1</t>
        </is>
      </c>
      <c r="B8720">
        <f>HYPERLINK("https://www.dofusbook.net/fr/equipement/189128-stuff-1/objets", "link")</f>
        <v/>
      </c>
      <c r="C8720" t="n">
        <v>2</v>
      </c>
      <c r="D8720" t="inlineStr">
        <is>
          <t>Pelle de Nidas; Amulette du Strigide; Alliance Gloursonne; Anneau de Pol Ouatnos; Ceintacé; Coiffe d'Ogivol; Voile d'encre; Bottes du Strigide; Dofus des Glaces; Dolmanax; Dofus Émeraude; Carapace Terre majeur; Miraculé majeur; Remueur; Bontique</t>
        </is>
      </c>
    </row>
    <row r="8721">
      <c r="A8721" t="inlineStr">
        <is>
          <t>Stuff 2</t>
        </is>
      </c>
      <c r="B8721">
        <f>HYPERLINK("https://www.dofusbook.net/fr/equipement/189111-stuff-2/objets", "link")</f>
        <v/>
      </c>
      <c r="C8721" t="n">
        <v>2</v>
      </c>
      <c r="D8721" t="inlineStr">
        <is>
          <t>Baguette de Malléfisk; Pendentif mignon de Koutoulou; Anneau Rifique; Alliance Boletée; Protopagne; Casque Dragoeuf; Voile d'encre; Bottes Innommables; Dofus Émeraude; Dofus Ocre; Remueur; Érudit majeur; Carapace Neutre majeur; Guérisseur majeur; Muldo Orchidée et Pourpre</t>
        </is>
      </c>
    </row>
    <row r="8722">
      <c r="A8722" t="inlineStr">
        <is>
          <t>Stuff 2</t>
        </is>
      </c>
      <c r="B8722">
        <f>HYPERLINK("https://www.dofusbook.net/fr/equipement/189153-stuff-2/objets", "link")</f>
        <v/>
      </c>
      <c r="C8722" t="n">
        <v>1</v>
      </c>
      <c r="D8722" t="inlineStr">
        <is>
          <t>Dagues Érhy; Amulette du Strigide; Anneau Chevelu; Bague Gloursonne; Ceinture de Gein; Chapeau de Gein; Voile d'encre; Sabots Minables; Dofus des Glaces; Dofus Pourpre; Dofus Émeraude; Remueur; Évasif majeur; Carapace Neutre majeur; Muldo Orchidée et Pourpre</t>
        </is>
      </c>
    </row>
    <row r="8723">
      <c r="A8723" t="inlineStr">
        <is>
          <t>Stuff 2</t>
        </is>
      </c>
      <c r="B8723">
        <f>HYPERLINK("https://www.dofusbook.net/fr/equipement/189160-stuff-2/objets", "link")</f>
        <v/>
      </c>
      <c r="C8723" t="n">
        <v>2</v>
      </c>
      <c r="D8723" t="inlineStr">
        <is>
          <t>Manthache; Collier du Valet Veinard; Alliance Gloursonne; Gant du Valet Veinard; Menoture; Casque Dragoeuf; Cape Indescriptible; Palmes Trithons; Dofus Émeraude; Dofus des Glaces; Dofus Pourpre; Cascadeur majeur; Nomade; Remueur; Dragodinde en armure</t>
        </is>
      </c>
    </row>
    <row r="8724">
      <c r="A8724" t="inlineStr">
        <is>
          <t>Stuff 2</t>
        </is>
      </c>
      <c r="B8724">
        <f>HYPERLINK("https://www.dofusbook.net/fr/equipement/189151-stuff-2/objets", "link")</f>
        <v/>
      </c>
      <c r="C8724" t="n">
        <v>4</v>
      </c>
      <c r="D8724" t="inlineStr">
        <is>
          <t>Rapière aux Glyphes; Amulette de Shokkoth; Alliance Gloursonne; Bracelet des Fonds marins; Poulpagne; Casque Dragoeuf; Cape du Sinistrofu; Sandales des Fonds marins; Miraculé majeur; Nomade; Carapace Eau majeur; Remueur; Vigoureux majeur; Chanceux majeur; Dragodinde en armure</t>
        </is>
      </c>
    </row>
    <row r="8725">
      <c r="A8725" t="inlineStr">
        <is>
          <t>Stuff 2</t>
        </is>
      </c>
      <c r="B8725">
        <f>HYPERLINK("https://www.dofusbook.net/fr/equipement/189163-stuff-2/objets", "link")</f>
        <v/>
      </c>
      <c r="C8725" t="n">
        <v>2</v>
      </c>
      <c r="D8725" t="inlineStr">
        <is>
          <t>Hache du Chalœil; Amulette du Strigide; Anneau Chevelu; Alliance Gloursonne; Ceintacé; Casque du Chalœil; Voile d'encre; Bottes du Strigide; Dofus Turquoise; Dofus Pourpre; Dofus des Glaces; Évasif majeur; Nomade; Remueur; Kramkram</t>
        </is>
      </c>
    </row>
    <row r="8726">
      <c r="A8726" t="inlineStr">
        <is>
          <t>Stuff 1</t>
        </is>
      </c>
      <c r="B8726">
        <f>HYPERLINK("https://www.dofusbook.net/fr/equipement/189158-stuff-1/objets", "link")</f>
        <v/>
      </c>
      <c r="C8726" t="n">
        <v>1</v>
      </c>
      <c r="D8726" t="inlineStr">
        <is>
          <t>Arc Hétype; Amulette de Gein; Bague Gloursonne; Chevalière du Roi Joueur; Ceintacé; Chapeau de Gein; Voile d'encre; Bottes du Lévitrof; Dofus Turquoise; Dolmanax; Enragé majeur; Remueur; Nomade; Érudit majeur; Dragodinde en armure</t>
        </is>
      </c>
    </row>
    <row r="8727">
      <c r="A8727" t="inlineStr">
        <is>
          <t>Stuff 2</t>
        </is>
      </c>
      <c r="B8727">
        <f>HYPERLINK("https://www.dofusbook.net/fr/equipement/189148-stuff-2/objets", "link")</f>
        <v/>
      </c>
      <c r="C8727" t="n">
        <v>0</v>
      </c>
      <c r="D8727" t="inlineStr">
        <is>
          <t>Manthache; Collier du Valet Veinard; Alliance Gloursonne; Gant du Valet Veinard; Menoture; Masque du Granduk; Cape du Kamasterisk; Palmes Trithons; Dofus des Glaces; Nomade; Évasif majeur; Remueur; Carapace Air majeur; Cascadeur majeur; Croum</t>
        </is>
      </c>
    </row>
    <row r="8728">
      <c r="A8728" t="inlineStr">
        <is>
          <t>Stuff 1</t>
        </is>
      </c>
      <c r="B8728">
        <f>HYPERLINK("https://www.dofusbook.net/fr/equipement/189165-stuff-1/objets", "link")</f>
        <v/>
      </c>
      <c r="C8728" t="n">
        <v>0</v>
      </c>
      <c r="D8728" t="inlineStr">
        <is>
          <t>Pyraguette; Talisman Igans; Anneau Tique; Alliance Gloursonne; Poulpagne; Casquette de Meno; Cape de la Dame du Hasard; Bottes Owesli; Dofus des Glaces; Remueur; Dévastateur Feu majeur; Carapace Feu majeur; Dévastateur Eau majeur; Nomade; Dragodinde en armure</t>
        </is>
      </c>
    </row>
    <row r="8729">
      <c r="A8729" t="inlineStr">
        <is>
          <t>Stuff 1</t>
        </is>
      </c>
      <c r="B8729">
        <f>HYPERLINK("https://www.dofusbook.net/fr/equipement/189155-stuff-1/objets", "link")</f>
        <v/>
      </c>
      <c r="C8729" t="n">
        <v>5</v>
      </c>
      <c r="D8729" t="inlineStr">
        <is>
          <t>Hache Ériphe; Amulette du Strigide; Alliance Gloursonne; Gant du Valet Veinard; Ceintacé; Casque des égarés; Voile d'encre; Bottes du Strigide; Dofus Émeraude; Dofus des Glaces; Dofus Turquoise; Dofus Pourpre; Remueur; Carapace Eau majeur; Muldo Orchidée et Pourpre</t>
        </is>
      </c>
    </row>
    <row r="8730">
      <c r="A8730" t="inlineStr">
        <is>
          <t>Stuff 1</t>
        </is>
      </c>
      <c r="B8730">
        <f>HYPERLINK("https://www.dofusbook.net/fr/equipement/189150-stuff-1/objets", "link")</f>
        <v/>
      </c>
      <c r="C8730" t="n">
        <v>2</v>
      </c>
      <c r="D8730" t="inlineStr">
        <is>
          <t>Baguette de Malléfisk; Pendentif mignon de Koutoulou; Anneau Tique; Anneau Rifique; Protopagne; Casque Dragoeuf; Cape de Diondin; Bottes Innommables; Dofus Émeraude; Érudit majeur; Remueur; Guérisseur majeur; Miraculé majeur</t>
        </is>
      </c>
    </row>
    <row r="8731">
      <c r="A8731" t="inlineStr">
        <is>
          <t>Stuff 1</t>
        </is>
      </c>
      <c r="B8731">
        <f>HYPERLINK("https://www.dofusbook.net/fr/equipement/189162-stuff-1/objets", "link")</f>
        <v/>
      </c>
      <c r="C8731" t="n">
        <v>0</v>
      </c>
      <c r="D8731" t="inlineStr">
        <is>
          <t>Hache du Chalœil; Amulette du Strigide; Anneau Chevelu; Alliance Gloursonne; Ceintacé; Chapeau Lisson; Voile d'encre; Bottes du Strigide; Dofus Pourpre; Dolmanax; Dofus Turquoise; Dofus des Glaces; Remueur; Évasif majeur; Muldo Indigo et Pourpre</t>
        </is>
      </c>
    </row>
    <row r="8732">
      <c r="A8732" t="inlineStr">
        <is>
          <t>Stuff 3</t>
        </is>
      </c>
      <c r="B8732">
        <f>HYPERLINK("https://www.dofusbook.net/fr/equipement/189157-stuff-3/objets", "link")</f>
        <v/>
      </c>
      <c r="C8732" t="n">
        <v>0</v>
      </c>
      <c r="D8732" t="inlineStr">
        <is>
          <t>Héqache; Amulette du Strigide; Alliance Gloursonne; Anneau Chevelu; Ceintacé; Chapoulpe; Voile d'encre; Bottes du Strigide; Dofus Émeraude; Dofus Pourpre; Dofus Turquoise; Dofus des Glaces; Dofus Ocre; Observateur; Muldo Ebène et Pourpre</t>
        </is>
      </c>
    </row>
    <row r="8733">
      <c r="A8733" t="inlineStr">
        <is>
          <t>Stuff 1</t>
        </is>
      </c>
      <c r="B8733">
        <f>HYPERLINK("https://www.dofusbook.net/fr/equipement/189152-stuff-1/objets", "link")</f>
        <v/>
      </c>
      <c r="C8733" t="n">
        <v>1</v>
      </c>
      <c r="D8733" t="inlineStr">
        <is>
          <t>Hache du Chalœil; Amulette Ementaire Deluxe; Alliance du Lévitrof; Alliance Gloursonne; Ceinture de Gein; Coiffe du Lévitrof; Voile d'encre; Pataugastrique; Dofus Émeraude; Dolmanax; Dofus Turquoise; Dofus des Glaces; Carapace Neutre majeur; Remueur; Muldo Indigo et Pourpre</t>
        </is>
      </c>
    </row>
    <row r="8734">
      <c r="A8734" t="inlineStr">
        <is>
          <t>Stuff 1</t>
        </is>
      </c>
      <c r="B8734">
        <f>HYPERLINK("https://www.dofusbook.net/fr/equipement/189147-stuff-1/objets", "link")</f>
        <v/>
      </c>
      <c r="C8734" t="n">
        <v>0</v>
      </c>
      <c r="D8734" t="inlineStr">
        <is>
          <t>Marteau des Anciens Steamers; Amulette du Strigide; Alliance Gloursonne; Pikano; Ceinture du Barbétoal; Casque Dragoeuf; Cape Matelassée; Bottes du Strigide; Dofus Pourpre; Dofus des Glaces; Dofus Turquoise; Vigoureux majeur; Nomade; Remueur; Croum</t>
        </is>
      </c>
    </row>
    <row r="8735">
      <c r="A8735" t="inlineStr">
        <is>
          <t>Stuff 3</t>
        </is>
      </c>
      <c r="B8735">
        <f>HYPERLINK("https://www.dofusbook.net/fr/equipement/189164-stuff-3/objets", "link")</f>
        <v/>
      </c>
      <c r="C8735" t="n">
        <v>0</v>
      </c>
      <c r="D8735" t="inlineStr">
        <is>
          <t>Arc du Chalœil; Amulette Luminescente; Bague Trithon; Anneau Chevelu; Ceinture Luminescente; Masque Trithon; Cape Luminescente; Bottes Trithon; Kramkram</t>
        </is>
      </c>
    </row>
    <row r="8736">
      <c r="A8736" t="inlineStr">
        <is>
          <t>Stuff 1</t>
        </is>
      </c>
      <c r="B8736">
        <f>HYPERLINK("https://www.dofusbook.net/fr/equipement/189159-stuff-1/objets", "link")</f>
        <v/>
      </c>
      <c r="C8736" t="n">
        <v>2</v>
      </c>
      <c r="D8736" t="inlineStr">
        <is>
          <t>Dague Adou; Amulette du Strigide; Alliance Gloursonne; Pikano; Ceintacé; Chapeau Lisson; Chevelure de Tal Kasha; Sandales de Tal Kasha; Dofus des Glaces; Dofus Pourpre; Dofus Émeraude; Dofus Turquoise; Nomade; Remueur; Dragodinde en armure</t>
        </is>
      </c>
    </row>
    <row r="8737">
      <c r="A8737" t="inlineStr">
        <is>
          <t>Stuff 3</t>
        </is>
      </c>
      <c r="B8737">
        <f>HYPERLINK("https://www.dofusbook.net/fr/equipement/189154-stuff-3/objets", "link")</f>
        <v/>
      </c>
      <c r="C8737" t="n">
        <v>0</v>
      </c>
      <c r="D8737" t="inlineStr">
        <is>
          <t>Dagues Érhy; Amulette du Strigide; Anneau Chevelu; Bague Gloursonne; Ceinture de Gein; Chapeau de Gein; Voile d'encre; Pataugastrique; Dofus des Glaces; Dofus Émeraude; Dofus Turquoise; Remueur; Temporiseur majeur; Nomade; Dragodinde en armure</t>
        </is>
      </c>
    </row>
    <row r="8738">
      <c r="A8738" t="inlineStr">
        <is>
          <t>Stuff 3</t>
        </is>
      </c>
      <c r="B8738">
        <f>HYPERLINK("https://www.dofusbook.net/fr/equipement/189149-stuff-3/objets", "link")</f>
        <v/>
      </c>
      <c r="C8738" t="n">
        <v>0</v>
      </c>
      <c r="D8738" t="inlineStr">
        <is>
          <t>Marteau des Anciens Steamers; Amulette du Strigide; Pikano; Alliance Gloursonne; Ceintacé; Némès de Tal Kasha; Chevelure de Tal Kasha; Bottes de la Reine des Voleurs; Dofus des Glaces; Dofus Turquoise; Dofus Pourpre; Remueur; Vigoureux majeur; Nomade; Dragodinde en armure</t>
        </is>
      </c>
    </row>
    <row r="8739">
      <c r="A8739" t="inlineStr">
        <is>
          <t>Stuff 3</t>
        </is>
      </c>
      <c r="B8739">
        <f>HYPERLINK("https://www.dofusbook.net/fr/equipement/189161-stuff-3/objets", "link")</f>
        <v/>
      </c>
      <c r="C8739" t="n">
        <v>4</v>
      </c>
      <c r="D8739" t="inlineStr">
        <is>
          <t>Marteau des Anciens Steamers; Amulette du Strigide; Pikano; Alliance Gloursonne; Ceintacé; Chapeau Lisson; Chevelure de Tal Kasha; Sandales de Tal Kasha; Dofus des Glaces; Dofus Turquoise; Dofus Émeraude; Dofus Pourpre; Nomade; Remueur; Dragodinde en armure</t>
        </is>
      </c>
    </row>
    <row r="8740">
      <c r="A8740" t="inlineStr">
        <is>
          <t>Stuff 2</t>
        </is>
      </c>
      <c r="B8740">
        <f>HYPERLINK("https://www.dofusbook.net/fr/equipement/189156-stuff-2/objets", "link")</f>
        <v/>
      </c>
      <c r="C8740" t="n">
        <v>1</v>
      </c>
      <c r="D8740" t="inlineStr">
        <is>
          <t>Hache Ériphe; Amulette du Strigide; Anneau des égarés; Anneau Chevelu; Ceinture de la Reine des Voleurs; Coiffe de la Reine des Voleurs; Voile d'encre; Baleinabottes; Dofus Émeraude; Dofus Turquoise; Dofus Pourpre; Dofus des Glaces; Nomade; Remueur; Dragodinde en armure</t>
        </is>
      </c>
    </row>
    <row r="8741">
      <c r="A8741" t="inlineStr">
        <is>
          <t>Stuff 1</t>
        </is>
      </c>
      <c r="B8741">
        <f>HYPERLINK("https://www.dofusbook.net/fr/equipement/189119-stuff-1/objets", "link")</f>
        <v/>
      </c>
      <c r="C8741" t="n">
        <v>0</v>
      </c>
      <c r="D8741" t="inlineStr">
        <is>
          <t>Baguette de Malléfisk; Pendentif affamé; Anneau de Nidas; Anneau Tique; Ceinture de Gein; Couronne de Nidas; Voile d'encre; Bottes Innommables; Dofus Ocre; Temporiseur majeur; Déserteur majeur; Observateur; Vagabond majeur; Remueur; Muldo Orchidée et Pourpre</t>
        </is>
      </c>
    </row>
    <row r="8742">
      <c r="A8742" t="inlineStr">
        <is>
          <t>Stuff 3</t>
        </is>
      </c>
      <c r="B8742">
        <f>HYPERLINK("https://www.dofusbook.net/fr/equipement/189146-stuff-3/objets", "link")</f>
        <v/>
      </c>
      <c r="C8742" t="n">
        <v>1</v>
      </c>
      <c r="D8742" t="inlineStr">
        <is>
          <t>Marteau des Anciens Steamers; Amulette du Strigide; Pikano; Alliance Gloursonne; Ceintacé; Némès de Tal Kasha; Chevelure de Tal Kasha; Bottes de la Reine des Voleurs; Dofus Pourpre; Dofus Abyssal; Dofus des Glaces; Dofus Émeraude; Dofus Turquoise; Remueur; Muldo Ebène et Indigo</t>
        </is>
      </c>
    </row>
    <row r="8743">
      <c r="A8743" t="inlineStr">
        <is>
          <t>Stuff 2</t>
        </is>
      </c>
      <c r="B8743">
        <f>HYPERLINK("https://www.dofusbook.net/fr/equipement/189105-stuff-2/objets", "link")</f>
        <v/>
      </c>
      <c r="C8743" t="n">
        <v>0</v>
      </c>
      <c r="D8743" t="inlineStr">
        <is>
          <t>Marteau des Anciens Steamers; Amulette de l'Indicible; Bracelet du Piloztère; Alliance Gloursonne; Ceinture du Barbétoal; Masque du Barbétoal; Chevelure de Tal Kasha; Pataugastrique; Dragodinde en armure</t>
        </is>
      </c>
    </row>
    <row r="8744">
      <c r="A8744" t="inlineStr">
        <is>
          <t>Stuff 3</t>
        </is>
      </c>
      <c r="B8744">
        <f>HYPERLINK("https://www.dofusbook.net/fr/equipement/189137-stuff-3/objets", "link")</f>
        <v/>
      </c>
      <c r="C8744" t="n">
        <v>0</v>
      </c>
      <c r="D8744" t="inlineStr">
        <is>
          <t>Marteau des Anciens Steamers; Amulette du Strigide; Alliance Gloursonne; Pikano; Ceinture du Barbétoal; Némès de Tal Kasha; Chevelure de Tal Kasha; Pataugastrique; Dofus des Glaces; Dofus Turquoise; Dofus Pourpre; Remueur; Étourdisseur majeur; Obstructeur majeur; Muldo Indigo</t>
        </is>
      </c>
    </row>
    <row r="8745">
      <c r="A8745" t="inlineStr">
        <is>
          <t>Stuff 1</t>
        </is>
      </c>
      <c r="B8745">
        <f>HYPERLINK("https://www.dofusbook.net/fr/equipement/189095-stuff-1/objets", "link")</f>
        <v/>
      </c>
      <c r="C8745" t="n">
        <v>0</v>
      </c>
      <c r="D8745" t="inlineStr">
        <is>
          <t>Baguette de Malléfisk; Pendentif affamé; Anneau de Nidas; Anneau Rifique; Ceinture de Gein; Casque Dragoeuf; Cape de Diondin; Sabots de Vortex; Dofus Abyssal; Guérisseur majeur; Carapace Neutre majeur; Érudit majeur; Remueur; Muldo Orchidée et Pourpre</t>
        </is>
      </c>
    </row>
    <row r="8746">
      <c r="A8746" t="inlineStr">
        <is>
          <t>Stuff 3</t>
        </is>
      </c>
      <c r="B8746">
        <f>HYPERLINK("https://www.dofusbook.net/fr/equipement/189127-stuff-3/objets", "link")</f>
        <v/>
      </c>
      <c r="C8746" t="n">
        <v>1</v>
      </c>
      <c r="D8746" t="inlineStr">
        <is>
          <t>Arc Hétype; Amulette de Nileza; Anneau de Nidas; Anneau Tique; Casque Dragoeuf; Cape de Diondin; Tongues de Nidas; Paralyseur majeur; Temporiseur majeur; Miraculé majeur; Nomade; Érudit majeur; Remueur; Dragodinde en armure</t>
        </is>
      </c>
    </row>
    <row r="8747">
      <c r="A8747" t="inlineStr">
        <is>
          <t>Stuff 1</t>
        </is>
      </c>
      <c r="B8747">
        <f>HYPERLINK("https://www.dofusbook.net/fr/equipement/189122-stuff-1/objets", "link")</f>
        <v/>
      </c>
      <c r="C8747" t="n">
        <v>1</v>
      </c>
      <c r="D8747" t="inlineStr">
        <is>
          <t>Harpelle; Pendentif affamé; Anneau Tamie; Anneau Tamie; Sangle Aise; Coiffe Séculaire; Cape de Diondin; Bottes Innommables; Dofus Pourpre; Dofus Turquoise; Savant majeur; Astucieux majeur; Nomade; Érudit majeur; Brûlih</t>
        </is>
      </c>
    </row>
    <row r="8748">
      <c r="A8748" t="inlineStr">
        <is>
          <t>Stuff 2</t>
        </is>
      </c>
      <c r="B8748">
        <f>HYPERLINK("https://www.dofusbook.net/fr/equipement/189117-stuff-2/objets", "link")</f>
        <v/>
      </c>
      <c r="C8748" t="n">
        <v>0</v>
      </c>
      <c r="D8748" t="inlineStr">
        <is>
          <t>Pelle de la Cour Sombre; Collier du Valet Veinard; Alliance Gloursonne; Gant du Valet Veinard; Ceintouse; Chapoulpe; Cape du Valet Veinard; Tentassons; Dolmanax; Dofus Ocre; Tacleur majeur; Paralyseur majeur; Acrobate majeur; Muldo Ebène</t>
        </is>
      </c>
    </row>
    <row r="8749">
      <c r="A8749" t="inlineStr">
        <is>
          <t>Stuff 1</t>
        </is>
      </c>
      <c r="B8749">
        <f>HYPERLINK("https://www.dofusbook.net/fr/equipement/189144-stuff-1/objets", "link")</f>
        <v/>
      </c>
      <c r="C8749" t="n">
        <v>0</v>
      </c>
      <c r="D8749" t="inlineStr">
        <is>
          <t>Dagues Érhy; Amulette du Strigide; Bague Gloursonne; Anneau Chevelu; Ceintacé; Masque de Koutoulou; Voile d'encre; Bottes du Strigide; Dofus des Glaces; Dofus Turquoise; Dolmanax; Dofus Émeraude; Évasif majeur; Carapace Terre majeur; Muldo Orchidée et Pourpre</t>
        </is>
      </c>
    </row>
    <row r="8750">
      <c r="A8750" t="inlineStr">
        <is>
          <t>Stuff 3</t>
        </is>
      </c>
      <c r="B8750">
        <f>HYPERLINK("https://www.dofusbook.net/fr/equipement/189112-stuff-3/objets", "link")</f>
        <v/>
      </c>
      <c r="C8750" t="n">
        <v>1</v>
      </c>
      <c r="D8750" t="inlineStr">
        <is>
          <t>Baguette de Malléfisk; Pendentif mignon de Koutoulou; Anneau de Nidas; Alliance Boletée; Ceinture de Vortex; Casque Cyclopéen; Voile d'encre; Bottes Innommables; Dofus Ocre; Dofus Émeraude; Érudit majeur; Carapace Neutre majeur; Guérisseur majeur; Remueur; Muldo Orchidée et Pourpre</t>
        </is>
      </c>
    </row>
    <row r="8751">
      <c r="A8751" t="inlineStr">
        <is>
          <t>Stuff 1</t>
        </is>
      </c>
      <c r="B8751">
        <f>HYPERLINK("https://www.dofusbook.net/fr/equipement/189107-stuff-1/objets", "link")</f>
        <v/>
      </c>
      <c r="C8751" t="n">
        <v>0</v>
      </c>
      <c r="D8751" t="inlineStr">
        <is>
          <t>Hache Ériphe; Amulette du Strigide; Alliance Gloursonne; Anneau Chevelu; Ceintacé; Coiffe de la Fuji Givrefoux; Cape de la Fuji Givrefoux; Bottes du Kamasterisk; Dofus Turquoise; Dofus Émeraude; Dofus Pourpre; Dofus des Glaces; Remueur; Vigoureux majeur; Kramkram</t>
        </is>
      </c>
    </row>
    <row r="8752">
      <c r="A8752" t="inlineStr">
        <is>
          <t>Stuff 2</t>
        </is>
      </c>
      <c r="B8752">
        <f>HYPERLINK("https://www.dofusbook.net/fr/equipement/189139-stuff-2/objets", "link")</f>
        <v/>
      </c>
      <c r="C8752" t="n">
        <v>6</v>
      </c>
      <c r="D8752" t="inlineStr">
        <is>
          <t>Arc du Chalœil; Torquistik; Anneau Chevelu; Bague Trithon; Ceinture Luminescente; Masque de Koutoulou; Cape au Logis; Bottistik; Dofus des Glaces; Dofus Pourpre; Pousseur majeur; Remueur; Bousculeur majeur; Culbuteur majeur; Muldo Indigo et Pourpre</t>
        </is>
      </c>
    </row>
    <row r="8753">
      <c r="A8753" t="inlineStr">
        <is>
          <t>Stuff 2</t>
        </is>
      </c>
      <c r="B8753">
        <f>HYPERLINK("https://www.dofusbook.net/fr/equipement/189102-stuff-2/objets", "link")</f>
        <v/>
      </c>
      <c r="C8753" t="n">
        <v>0</v>
      </c>
      <c r="D8753" t="inlineStr">
        <is>
          <t>Dagoulinantes; Amulette de Shokkoth; Bracelet des Fonds marins; Alliance Gloursonne; Ftalmo cassé; Ceinture du Barbétoal; Kidibonnet; Cape du Sinistrofu; Bottes du Sinistrofu; Dokoko; Dofus Abyssal; Chanceux majeur; Carapace Terre majeur; Nomade; Remueur; Pioute bleu</t>
        </is>
      </c>
    </row>
    <row r="8754">
      <c r="A8754" t="inlineStr">
        <is>
          <t>Stuff 2</t>
        </is>
      </c>
      <c r="B8754">
        <f>HYPERLINK("https://www.dofusbook.net/fr/equipement/189134-stuff-2/objets", "link")</f>
        <v/>
      </c>
      <c r="C8754" t="n">
        <v>1</v>
      </c>
      <c r="D8754" t="inlineStr">
        <is>
          <t>Rapière aux Glyphes; Amulette de Shokkoth; Alliance Gloursonne; Pikano; Poulpagne; Kidibonnet; Cape du Sinistrofu; Bottes du Sinistrofu; Dofus des Glaces; Cavaleur majeur; Miraculé majeur; Remueur; Carapace Eau majeur; Chanceux majeur; Muldo Orchidée et Pourpre</t>
        </is>
      </c>
    </row>
    <row r="8755">
      <c r="A8755" t="inlineStr">
        <is>
          <t>Stuff 3</t>
        </is>
      </c>
      <c r="B8755">
        <f>HYPERLINK("https://www.dofusbook.net/fr/equipement/189097-stuff-3/objets", "link")</f>
        <v/>
      </c>
      <c r="C8755" t="n">
        <v>0</v>
      </c>
      <c r="D8755" t="inlineStr">
        <is>
          <t>Baguette de Malléfisk; Amulette de Nileza; Anneau Rifique; Anneau Tique; Ceinture de Vortex; Casque Cyclopéen; Voile d'encre; Pataugastrique; Dofus Émeraude; Observateur; Érudit majeur; Miraculé majeur; Remueur; Carapace Terre majeur; Muldo Pourpre</t>
        </is>
      </c>
    </row>
    <row r="8756">
      <c r="A8756" t="inlineStr">
        <is>
          <t>Stuff 2</t>
        </is>
      </c>
      <c r="B8756">
        <f>HYPERLINK("https://www.dofusbook.net/fr/equipement/189129-stuff-2/objets", "link")</f>
        <v/>
      </c>
      <c r="C8756" t="n">
        <v>0</v>
      </c>
      <c r="D8756" t="inlineStr">
        <is>
          <t>Le Thanos; Amulette du Sinistrofu; Anneau Rifique; Alliance Gloursonne; Ceintrigue; Casque Dragoeuf; Cape de Diondin; Bottes Owesli; Dofus Émeraude; Bousculeur majeur; Guérisseur majeur; Remueur; Culbuteur majeur; Miraculé majeur; Muldo Indigo et Orchidée</t>
        </is>
      </c>
    </row>
    <row r="8757">
      <c r="A8757" t="inlineStr">
        <is>
          <t>Stuff 3</t>
        </is>
      </c>
      <c r="B8757">
        <f>HYPERLINK("https://www.dofusbook.net/fr/equipement/189124-stuff-3/objets", "link")</f>
        <v/>
      </c>
      <c r="C8757" t="n">
        <v>0</v>
      </c>
      <c r="D8757" t="inlineStr">
        <is>
          <t>Dagoulinantes; Amulette de Shokkoth; Alliance Gloursonne; Bracelet des Fonds marins; Ceinture du Barbétoal; Némès de Tal Kasha; Chevelure de Tal Kasha; Pataugastrique; Dragodinde en armure</t>
        </is>
      </c>
    </row>
    <row r="8758">
      <c r="A8758" t="inlineStr">
        <is>
          <t>Stuff 1</t>
        </is>
      </c>
      <c r="B8758">
        <f>HYPERLINK("https://www.dofusbook.net/fr/equipement/189119-stuff-1/objets", "link")</f>
        <v/>
      </c>
      <c r="C8758" t="n">
        <v>0</v>
      </c>
      <c r="D8758" t="inlineStr">
        <is>
          <t>Baguette de Malléfisk; Pendentif affamé; Anneau de Nidas; Anneau Tique; Ceinture de Gein; Couronne de Nidas; Voile d'encre; Bottes Innommables; Dofus Ocre; Temporiseur majeur; Déserteur majeur; Observateur; Vagabond majeur; Remueur; Muldo Orchidée et Pourpre</t>
        </is>
      </c>
    </row>
    <row r="8759">
      <c r="A8759" t="inlineStr">
        <is>
          <t>Stuff 3</t>
        </is>
      </c>
      <c r="B8759">
        <f>HYPERLINK("https://www.dofusbook.net/fr/equipement/189146-stuff-3/objets", "link")</f>
        <v/>
      </c>
      <c r="C8759" t="n">
        <v>1</v>
      </c>
      <c r="D8759" t="inlineStr">
        <is>
          <t>Marteau des Anciens Steamers; Amulette du Strigide; Pikano; Alliance Gloursonne; Ceintacé; Némès de Tal Kasha; Chevelure de Tal Kasha; Bottes de la Reine des Voleurs; Dofus Turquoise; Dofus Pourpre; Dofus Abyssal; Dofus des Glaces; Dofus Émeraude; Remueur; Muldo Ebène et Indigo</t>
        </is>
      </c>
    </row>
    <row r="8760">
      <c r="A8760" t="inlineStr">
        <is>
          <t>Stuff 1</t>
        </is>
      </c>
      <c r="B8760">
        <f>HYPERLINK("https://www.dofusbook.net/fr/equipement/189109-stuff-1/objets", "link")</f>
        <v/>
      </c>
      <c r="C8760" t="n">
        <v>3</v>
      </c>
      <c r="D8760" t="inlineStr">
        <is>
          <t>Manthache; Collier du Valet Veinard; Gant du Valet Veinard; Alliance Gloursonne; Menoture; Casque Dragoeuf; Cape du Kamasterisk; Palmes Trithons; Dolmanax; Précurseur majeur; Miraculé majeur; Cascadeur majeur; Fonceur majeur; Remueur; Muldo Ebène</t>
        </is>
      </c>
    </row>
    <row r="8761">
      <c r="A8761" t="inlineStr">
        <is>
          <t>Stuff 1</t>
        </is>
      </c>
      <c r="B8761">
        <f>HYPERLINK("https://www.dofusbook.net/fr/equipement/189141-stuff-1/objets", "link")</f>
        <v/>
      </c>
      <c r="C8761" t="n">
        <v>1</v>
      </c>
      <c r="D8761" t="inlineStr">
        <is>
          <t>Arc du Chalœil; Amulette du Strigide; Anneau de Brouce; Anneau Chevelu; Ceintacé; Chapeau de Gein; Cape de la Cour Sombre; Bottes de la Cour Sombre; Dofus Turquoise; Dofus Pourpre; Dolmanax; Remueur; Vigoureux majeur; Nomade; Croum</t>
        </is>
      </c>
    </row>
    <row r="8762">
      <c r="A8762" t="inlineStr">
        <is>
          <t>Stuff 1</t>
        </is>
      </c>
      <c r="B8762">
        <f>HYPERLINK("https://www.dofusbook.net/fr/equipement/189104-stuff-1/objets", "link")</f>
        <v/>
      </c>
      <c r="C8762" t="n">
        <v>1</v>
      </c>
      <c r="D8762" t="inlineStr">
        <is>
          <t>Épée d'Otomaï; Pendentif affamé; Anneau Tamie; Anneau Tique; Bouclier Aerdala cassé; Ceinture Séculaire; Coiffe Séculaire; Cape de Diondin; Pataugastrique; Dofus Abyssal; Dofus Pourpre; Dokoko; Nomade; Miraculé majeur; Érudit majeur; Pioute rouge</t>
        </is>
      </c>
    </row>
    <row r="8763">
      <c r="A8763" t="inlineStr">
        <is>
          <t>Stuff 1</t>
        </is>
      </c>
      <c r="B8763">
        <f>HYPERLINK("https://www.dofusbook.net/fr/equipement/189104-stuff-1/objets", "link")</f>
        <v/>
      </c>
      <c r="C8763" t="n">
        <v>1</v>
      </c>
      <c r="D8763" t="inlineStr">
        <is>
          <t>Épée d'Otomaï; Pendentif affamé; Anneau Tamie; Anneau Tique; Bouclier Aerdala cassé; Ceinture Séculaire; Coiffe Séculaire; Cape de Diondin; Pataugastrique; Dofus Abyssal; Dofus Pourpre; Dokoko; Nomade; Miraculé majeur; Érudit majeur; Pioute rouge</t>
        </is>
      </c>
    </row>
    <row r="8764">
      <c r="A8764" t="inlineStr">
        <is>
          <t>Stuff 1</t>
        </is>
      </c>
      <c r="B8764">
        <f>HYPERLINK("https://www.dofusbook.net/fr/equipement/189131-stuff-1/objets", "link")</f>
        <v/>
      </c>
      <c r="C8764" t="n">
        <v>1</v>
      </c>
      <c r="D8764" t="inlineStr">
        <is>
          <t>Sceptre du Roi Joueur; Collier du Valet Veinard; Alliance Gloursonne; Protopagne; Casque Dragoeuf; Voile d'encre; Pataugastrique; Remueur; Fonceur majeur; Miraculé majeur; Étourdisseur majeur; Paralyseur majeur; Étourdisseur; Croum</t>
        </is>
      </c>
    </row>
    <row r="8765">
      <c r="A8765" t="inlineStr">
        <is>
          <t>Stuff 2</t>
        </is>
      </c>
      <c r="B8765">
        <f>HYPERLINK("https://www.dofusbook.net/fr/equipement/189099-stuff-2/objets", "link")</f>
        <v/>
      </c>
      <c r="C8765" t="n">
        <v>0</v>
      </c>
      <c r="D8765" t="inlineStr">
        <is>
          <t>Arc Honte; Collier de la Dame du Hasard; Alliance Gloursonne; Bracelet des Fonds marins; Sangle Ouare; Casqnoar; Cape de la Dame du Hasard; Pataugastrique; Dofus Turquoise; Dofus des Glaces; Dofus Pourpre; Vigoureux majeur; Carapace Feu majeur; Remueur; Croum</t>
        </is>
      </c>
    </row>
    <row r="8766">
      <c r="A8766" t="inlineStr">
        <is>
          <t>Stuff 2</t>
        </is>
      </c>
      <c r="B8766">
        <f>HYPERLINK("https://www.dofusbook.net/fr/equipement/189126-stuff-2/objets", "link")</f>
        <v/>
      </c>
      <c r="C8766" t="n">
        <v>0</v>
      </c>
      <c r="D8766" t="inlineStr">
        <is>
          <t>Baguette Range; Amulette du Strigide; Alliance Gloursonne; Anneau de Padgref; Ceinture du Strigide; Coiffe de Padgref; Voile d'encre; Getas de Padgref; Dofus Pourpre; Dofus Turquoise; Dofus des Glaces; Dofus Vulbis; Dofus Ocre; Dragodinde en armure</t>
        </is>
      </c>
    </row>
    <row r="8767">
      <c r="A8767" t="inlineStr">
        <is>
          <t>Stuff 3</t>
        </is>
      </c>
      <c r="B8767">
        <f>HYPERLINK("https://www.dofusbook.net/fr/equipement/189094-stuff-3/objets", "link")</f>
        <v/>
      </c>
      <c r="C8767" t="n">
        <v>1</v>
      </c>
      <c r="D8767" t="inlineStr">
        <is>
          <t>Dagues Érhy; Amulette du Strigide; Bague Gloursonne; Anneau Chevelu; Ceinture de Gein; Chapeau de Gein; Voile d'encre; Sabots Minables; Dofus des Glaces; Dofus Turquoise; Remueur; Carapace Feu majeur; Enragé majeur; Nomade; Dragodinde en armure</t>
        </is>
      </c>
    </row>
    <row r="8768">
      <c r="A8768" t="inlineStr">
        <is>
          <t>Stuff 3</t>
        </is>
      </c>
      <c r="B8768">
        <f>HYPERLINK("https://www.dofusbook.net/fr/equipement/189121-stuff-3/objets", "link")</f>
        <v/>
      </c>
      <c r="C8768" t="n">
        <v>0</v>
      </c>
      <c r="D8768" t="inlineStr">
        <is>
          <t>Baguette de Malléfisk; Amulette de Nileza; Anneau de Nidas; Anneau Tique; Ceinture de Vortex; Couronne de Nidas; Voile d'encre; Pataugastrique; Déserteur majeur; Nomade; Érudit majeur; Remueur; Vagabond majeur; Temporiseur majeur; Croum</t>
        </is>
      </c>
    </row>
    <row r="8769">
      <c r="A8769" t="inlineStr">
        <is>
          <t>Stuff 1</t>
        </is>
      </c>
      <c r="B8769">
        <f>HYPERLINK("https://www.dofusbook.net/fr/equipement/189116-stuff-1/objets", "link")</f>
        <v/>
      </c>
      <c r="C8769" t="n">
        <v>0</v>
      </c>
      <c r="D8769" t="inlineStr">
        <is>
          <t>Dagues Érhy; Amulette du Strigide; Bague Gloursonne; Anneau de Brouce; Ceinture du Strigide; Masque de Koutoulou; Voile d'encre; Pataugastrique; Dofus des Glaces; Dolmanax; Dofus Turquoise; Dofus Pourpre; Étourdisseur majeur; Obstructeur majeur; Muldo Indigo et Orchidée</t>
        </is>
      </c>
    </row>
    <row r="8770">
      <c r="A8770" t="inlineStr">
        <is>
          <t>Stuff 3</t>
        </is>
      </c>
      <c r="B8770">
        <f>HYPERLINK("https://www.dofusbook.net/fr/equipement/189143-stuff-3/objets", "link")</f>
        <v/>
      </c>
      <c r="C8770" t="n">
        <v>2</v>
      </c>
      <c r="D8770" t="inlineStr">
        <is>
          <t>Marteau R'ture; Amulette du Strigide; Bracelet du Piloztère; Anneau Chevelu; Ceinture de la Cour Sombre; Masque de Koutoulou; Voile d'encre; Bottes de la Cour Sombre; Dofus Pourpre; Dofus Turquoise; Nomade; Carapace Neutre majeur; Remueur; Enragé majeur; Dragodinde en armure</t>
        </is>
      </c>
    </row>
    <row r="8771">
      <c r="A8771" t="inlineStr">
        <is>
          <t>Stuff 1</t>
        </is>
      </c>
      <c r="B8771">
        <f>HYPERLINK("https://www.dofusbook.net/fr/equipement/189138-stuff-1/objets", "link")</f>
        <v/>
      </c>
      <c r="C8771" t="n">
        <v>5</v>
      </c>
      <c r="D8771" t="inlineStr">
        <is>
          <t>Marteau d'Henual; Amulette du Strigide; Anneau Chevelu; Bague Gloursonne; Ceinture du Strigide; Masque de Koutoulou; Voile d'encre; Bottes de la Cour Sombre; Dofus des Glaces; Dofus Pourpre; Dofus Turquoise; Enragé majeur; Remueur; Vigoureux majeur; Muldo Indigo et Pourpre</t>
        </is>
      </c>
    </row>
    <row r="8772">
      <c r="A8772" t="inlineStr">
        <is>
          <t>Stuff 3</t>
        </is>
      </c>
      <c r="B8772">
        <f>HYPERLINK("https://www.dofusbook.net/fr/equipement/189106-stuff-3/objets", "link")</f>
        <v/>
      </c>
      <c r="C8772" t="n">
        <v>1</v>
      </c>
      <c r="D8772" t="inlineStr">
        <is>
          <t>Arc du Chalœil; Collier de Tourthon; Anneau Chevelu; Bague Gloursonne; Ceinture de Gein; Chapeau de Gein; Cape au Logis; Baleinabottes; Dofus Turquoise; Dofus Pourpre; Remueur; Enragé majeur; Nomade; Dragodinde en armure</t>
        </is>
      </c>
    </row>
    <row r="8773">
      <c r="A8773" t="inlineStr">
        <is>
          <t>Stuff 1</t>
        </is>
      </c>
      <c r="B8773">
        <f>HYPERLINK("https://www.dofusbook.net/fr/equipement/189133-stuff-1/objets", "link")</f>
        <v/>
      </c>
      <c r="C8773" t="n">
        <v>0</v>
      </c>
      <c r="D8773" t="inlineStr">
        <is>
          <t>Épée d'Otomaï; Amulette de Nileza; Anneau Tamie; Anneau Tique; Ceinture Séculaire; Coiffe Séculaire; Voile d'encre; Pataugastrique; Pioute rouge</t>
        </is>
      </c>
    </row>
    <row r="8774">
      <c r="A8774" t="inlineStr">
        <is>
          <t>Stuff 1</t>
        </is>
      </c>
      <c r="B8774">
        <f>HYPERLINK("https://www.dofusbook.net/fr/equipement/189101-stuff-1/objets", "link")</f>
        <v/>
      </c>
      <c r="C8774" t="n">
        <v>1</v>
      </c>
      <c r="D8774" t="inlineStr">
        <is>
          <t>Epée Gloursonne; Collier de la Dame du Hasard; Bague Gloursonne; Alliance Gloursonne; Bouclier en Slip cassé; Pagne du Rykaon; Coiffe Cryochrone; Cape de la Dame du Hasard; Bottes de la Dame du Hasard; Dofus Émeraude; Dofus Turquoise; Dofus Pourpre; Dofus Vulbis; Dolmanax; Dofus Ocre; Chacha Angora</t>
        </is>
      </c>
    </row>
    <row r="8775">
      <c r="A8775" t="inlineStr">
        <is>
          <t>Stuff 2</t>
        </is>
      </c>
      <c r="B8775">
        <f>HYPERLINK("https://www.dofusbook.net/fr/equipement/189096-stuff-2/objets", "link")</f>
        <v/>
      </c>
      <c r="C8775" t="n">
        <v>0</v>
      </c>
      <c r="D8775" t="inlineStr">
        <is>
          <t>Arc Hétype; Amulette de Nileza; Anneau Tique; Anneau Rifique; Ceinture de Vortex; Casque Cyclopéen; Voile d'encre; Pataugastrique; Dolmanax; Miraculé majeur; Remueur; Carapace Terre majeur; Savant majeur; Érudit majeur; Muldo Indigo et Pourpre</t>
        </is>
      </c>
    </row>
    <row r="8776">
      <c r="A8776" t="inlineStr">
        <is>
          <t>Stuff 3</t>
        </is>
      </c>
      <c r="B8776">
        <f>HYPERLINK("https://www.dofusbook.net/fr/equipement/189118-stuff-3/objets", "link")</f>
        <v/>
      </c>
      <c r="C8776" t="n">
        <v>0</v>
      </c>
      <c r="D8776" t="inlineStr">
        <is>
          <t>Dagues Érhy; Amulette du Strigide; Anneau Chevelu; Bague Gloursonne; Ceinture de Gein; Chapeau de Gein; Voile d'encre; Pataugastrique; Dofus des Glaces; Dofus Turquoise; Remueur; Étourdisseur majeur; Obstructeur majeur; Muldo Orchidée et Pourpre</t>
        </is>
      </c>
    </row>
    <row r="8777">
      <c r="A8777" t="inlineStr">
        <is>
          <t>Stuff 1</t>
        </is>
      </c>
      <c r="B8777">
        <f>HYPERLINK("https://www.dofusbook.net/fr/equipement/189113-stuff-1/objets", "link")</f>
        <v/>
      </c>
      <c r="C8777" t="n">
        <v>0</v>
      </c>
      <c r="D8777" t="inlineStr">
        <is>
          <t>Dagues Érhy; Amulette du Strigide; Bague Gloursonne; Anneau Chevelu; Ceinture de Gein; Chapeau de Gein; Voile d'encre; Sabots Minables; Dofus Émeraude; Dofus des Glaces; Dofus Pourpre; Carapace Neutre majeur; Remueur; Carapace Feu majeur; Muldo Ebène et Pourpre</t>
        </is>
      </c>
    </row>
    <row r="8778">
      <c r="A8778" t="inlineStr">
        <is>
          <t>Stuff 2</t>
        </is>
      </c>
      <c r="B8778">
        <f>HYPERLINK("https://www.dofusbook.net/fr/equipement/189145-stuff-2/objets", "link")</f>
        <v/>
      </c>
      <c r="C8778" t="n">
        <v>1</v>
      </c>
      <c r="D8778" t="inlineStr">
        <is>
          <t>Dague Adou; Amulette du Strigide; Alliance Gloursonne; Bague Gloursonne; Ceinture du Strigide; Némès de Tal Kasha; Chevelure de Tal Kasha; Sandales de Tal Kasha; Dofus Émeraude; Dofus des Glaces; Dofus Turquoise; Dofus Ocre; Dolmanax; Dofus Pourpre; Muldo Ebène et Orchidée</t>
        </is>
      </c>
    </row>
    <row r="8779">
      <c r="A8779" t="inlineStr">
        <is>
          <t>Stuff 3</t>
        </is>
      </c>
      <c r="B8779">
        <f>HYPERLINK("https://www.dofusbook.net/fr/equipement/189140-stuff-3/objets", "link")</f>
        <v/>
      </c>
      <c r="C8779" t="n">
        <v>0</v>
      </c>
      <c r="D8779" t="inlineStr">
        <is>
          <t>Bâton Carnivore; Amulette Aerdala; Gelano; Palmano; Ceinture Aerdala; Toady; Cape du Tofu Fou; Bottes du Garde Royal</t>
        </is>
      </c>
    </row>
    <row r="8780">
      <c r="A8780" t="inlineStr">
        <is>
          <t>Stuff 3</t>
        </is>
      </c>
      <c r="B8780">
        <f>HYPERLINK("https://www.dofusbook.net/fr/equipement/189108-stuff-3/objets", "link")</f>
        <v/>
      </c>
      <c r="C8780" t="n">
        <v>1</v>
      </c>
      <c r="D8780" t="inlineStr">
        <is>
          <t>Manthache; Collier du Valet Veinard; Gant du Valet Veinard; Alliance Gloursonne; Ceinture du Barbétoal; Casque Dragoeuf; Cape Matelassée; Palmes Trithons; Dofus Ocre; Dofus Émeraude; Dofus des Glaces; Carapace Air majeur; Cascadeur majeur; Muldo Ebène</t>
        </is>
      </c>
    </row>
    <row r="8781">
      <c r="A8781" t="inlineStr">
        <is>
          <t>Stuff 3</t>
        </is>
      </c>
      <c r="B8781">
        <f>HYPERLINK("https://www.dofusbook.net/fr/equipement/189135-stuff-3/objets", "link")</f>
        <v/>
      </c>
      <c r="C8781" t="n">
        <v>1</v>
      </c>
      <c r="D8781" t="inlineStr">
        <is>
          <t>Manthache; Collier du Valet Veinard; Alliance Gloursonne; Gant du Valet Veinard; Menoture; Couronne d'Allister; Cape Indescriptible; Palmes Trithons; Dofus des Glaces; Dokoko; Carapace Air majeur; Nomade; Remueur; Cascadeur majeur; Pioute jaune</t>
        </is>
      </c>
    </row>
    <row r="8782">
      <c r="A8782" t="inlineStr">
        <is>
          <t>Stuff 3</t>
        </is>
      </c>
      <c r="B8782">
        <f>HYPERLINK("https://www.dofusbook.net/fr/equipement/189103-stuff-3/objets", "link")</f>
        <v/>
      </c>
      <c r="C8782" t="n">
        <v>1</v>
      </c>
      <c r="D8782" t="inlineStr">
        <is>
          <t>Marteau des Anciens Steamers; Amulette du Strigide; Bracelet du Piloztère; Alliance Gloursonne; Bouclier Aerdala cassé; Ceinture du Barbétoal; Némès de Tal Kasha; Chevelure de Tal Kasha; Pataugastrique; Dokoko; Dofus Turquoise; Dofus des Glaces; Observateur; Nomade; Remueur; Chacha Angora</t>
        </is>
      </c>
    </row>
    <row r="8783">
      <c r="A8783" t="inlineStr">
        <is>
          <t>Stuff 3</t>
        </is>
      </c>
      <c r="B8783">
        <f>HYPERLINK("https://www.dofusbook.net/fr/equipement/189118-stuff-3/objets", "link")</f>
        <v/>
      </c>
      <c r="C8783" t="n">
        <v>0</v>
      </c>
      <c r="D8783" t="inlineStr">
        <is>
          <t>Dagues Érhy; Amulette du Strigide; Bague Gloursonne; Anneau Chevelu; Ceinture de Gein; Chapeau de Gein; Voile d'encre; Pataugastrique; Dofus Turquoise; Dofus des Glaces; Étourdisseur majeur; Obstructeur majeur; Remueur; Muldo Orchidée et Pourpre</t>
        </is>
      </c>
    </row>
    <row r="8784">
      <c r="A8784" t="inlineStr">
        <is>
          <t>Stuff 1</t>
        </is>
      </c>
      <c r="B8784">
        <f>HYPERLINK("https://www.dofusbook.net/fr/equipement/189113-stuff-1/objets", "link")</f>
        <v/>
      </c>
      <c r="C8784" t="n">
        <v>0</v>
      </c>
      <c r="D8784" t="inlineStr">
        <is>
          <t>Dagues Érhy; Amulette du Strigide; Bague Gloursonne; Anneau Chevelu; Ceinture de Gein; Chapeau de Gein; Voile d'encre; Sabots Minables; Dofus Pourpre; Dofus Émeraude; Dofus des Glaces; Carapace Feu majeur; Carapace Neutre majeur; Remueur; Muldo Ebène et Pourpre</t>
        </is>
      </c>
    </row>
    <row r="8785">
      <c r="A8785" t="inlineStr">
        <is>
          <t>Stuff 2</t>
        </is>
      </c>
      <c r="B8785">
        <f>HYPERLINK("https://www.dofusbook.net/fr/equipement/189145-stuff-2/objets", "link")</f>
        <v/>
      </c>
      <c r="C8785" t="n">
        <v>1</v>
      </c>
      <c r="D8785" t="inlineStr">
        <is>
          <t>Dague Adou; Amulette du Strigide; Bague Gloursonne; Alliance Gloursonne; Ceinture du Strigide; Némès de Tal Kasha; Chevelure de Tal Kasha; Sandales de Tal Kasha; Dofus Turquoise; Dofus Ocre; Dolmanax; Dofus Pourpre; Dofus Émeraude; Dofus des Glaces; Muldo Ebène et Orchidée</t>
        </is>
      </c>
    </row>
    <row r="8786">
      <c r="A8786" t="inlineStr">
        <is>
          <t>Stuff 3</t>
        </is>
      </c>
      <c r="B8786">
        <f>HYPERLINK("https://www.dofusbook.net/fr/equipement/189140-stuff-3/objets", "link")</f>
        <v/>
      </c>
      <c r="C8786" t="n">
        <v>0</v>
      </c>
      <c r="D8786" t="inlineStr">
        <is>
          <t>Bâton Carnivore; Amulette Aerdala; Palmano; Gelano; Ceinture Aerdala; Toady; Cape du Tofu Fou; Bottes du Garde Royal</t>
        </is>
      </c>
    </row>
    <row r="8787">
      <c r="A8787" t="inlineStr">
        <is>
          <t>Stuff 3</t>
        </is>
      </c>
      <c r="B8787">
        <f>HYPERLINK("https://www.dofusbook.net/fr/equipement/189108-stuff-3/objets", "link")</f>
        <v/>
      </c>
      <c r="C8787" t="n">
        <v>1</v>
      </c>
      <c r="D8787" t="inlineStr">
        <is>
          <t>Manthache; Collier du Valet Veinard; Alliance Gloursonne; Gant du Valet Veinard; Ceinture du Barbétoal; Casque Dragoeuf; Cape Matelassée; Palmes Trithons; Dofus des Glaces; Dofus Ocre; Dofus Émeraude; Carapace Air majeur; Cascadeur majeur; Muldo Ebène</t>
        </is>
      </c>
    </row>
    <row r="8788">
      <c r="A8788" t="inlineStr">
        <is>
          <t>Stuff 2</t>
        </is>
      </c>
      <c r="B8788">
        <f>HYPERLINK("https://www.dofusbook.net/fr/equipement/299466-stuff-2/objets", "link")</f>
        <v/>
      </c>
      <c r="C8788" t="n">
        <v>25</v>
      </c>
      <c r="D8788" t="inlineStr">
        <is>
          <t>Hache du Chalœil; Amulette Volkorne; Alliance Gloursonne; Anneau Volkorne; Quatre-feuilles; Ceinture Volkorne; Némès de Tal Kasha; Chevelure de Tal Kasha; Sandales de Tal Kasha; Dofus Ocre; Dofus Ébène; Dofus Abyssal; Dolmanax; Dofus Turquoise; Dofus Ivoire; Kokulte</t>
        </is>
      </c>
    </row>
    <row r="8789">
      <c r="A8789" t="inlineStr">
        <is>
          <t>Stuff 3</t>
        </is>
      </c>
      <c r="B8789">
        <f>HYPERLINK("https://www.dofusbook.net/fr/equipement/299435-stuff-3/objets", "link")</f>
        <v/>
      </c>
      <c r="C8789" t="n">
        <v>4</v>
      </c>
      <c r="D8789" t="inlineStr">
        <is>
          <t>Epée Toche; Amulette Volkorne; Bracelet du Piloztère; Bague Gloursonne; Bouclier du Captain Amakna; Ceinture Volkorne; Masque de Koutoulou; Voile d'encre; Bottes du Roi Joueur; Dofus Pourpre; Dofus des Glaces; Dofus Turquoise; Dofus Abyssal; Remueur; Nomade; Kokulte</t>
        </is>
      </c>
    </row>
    <row r="8790">
      <c r="A8790" t="inlineStr">
        <is>
          <t>MOSTRE</t>
        </is>
      </c>
      <c r="B8790">
        <f>HYPERLINK("https://www.dofusbook.net/fr/equipement/3410042-mostre/objets", "link")</f>
        <v/>
      </c>
      <c r="C8790" t="n">
        <v>14</v>
      </c>
      <c r="D8790" t="inlineStr"/>
    </row>
    <row r="8791">
      <c r="A8791" t="inlineStr">
        <is>
          <t>hamza</t>
        </is>
      </c>
      <c r="B8791">
        <f>HYPERLINK("https://www.dofusbook.net/fr/equipement/2271594-hamza/objets", "link")</f>
        <v/>
      </c>
      <c r="C8791" t="n">
        <v>11</v>
      </c>
      <c r="D8791" t="inlineStr">
        <is>
          <t>Manthache; Collier du Valet Veinard; Alliance Gloursonne; Gant du Valet Veinard; Quatre-feuilles; Menoture; Dorabysses; Cape Indescriptible; Palmes Trithons; Equilibriste majeur; Acrobate majeur; Remueur; Nomade; Dévastateur Air majeur; Cascadeur majeur; Muldo Ebène</t>
        </is>
      </c>
    </row>
    <row r="8792">
      <c r="A8792" t="inlineStr">
        <is>
          <t>Stuff 1</t>
        </is>
      </c>
      <c r="B8792">
        <f>HYPERLINK("https://www.dofusbook.net/fr/equipement/299469-stuff-1/objets", "link")</f>
        <v/>
      </c>
      <c r="C8792" t="n">
        <v>3</v>
      </c>
      <c r="D8792" t="inlineStr">
        <is>
          <t>Sabres d'Atcham; Talisman Glouti; Anneau Tique; Alliance Gloursonne; Ceinture de Kongoku; Dorabysses; Cape d'Atcham; Sandales  d'Atcham; Dofus Pourpre; Dofus Turquoise; Dofus des Glaces; Dofus Ocre; Dofus Émeraude; Muldo Ebène et Pourpre</t>
        </is>
      </c>
    </row>
    <row r="8793">
      <c r="A8793" t="inlineStr">
        <is>
          <t>Pandawa F 200</t>
        </is>
      </c>
      <c r="B8793">
        <f>HYPERLINK("https://www.dofusbook.net/fr/equipement/5546553-pandawa-f-200/objets", "link")</f>
        <v/>
      </c>
      <c r="C8793" t="n">
        <v>1</v>
      </c>
      <c r="D8793" t="inlineStr">
        <is>
          <t>Hache du Chalœil; Amulette du Strigide; Alliance Gloursonne; Bracelet du Piloztère; Quatre-feuilles; Ceintacé; Chapeau Lisson; Cape des Justiciers; Bottes du Strigide; Remueur; Enragé majeur; Vigoureux majeur; Chanceux majeur; Nomade; Érudit majeur; Muldo Prune et Emeraude</t>
        </is>
      </c>
    </row>
    <row r="8794">
      <c r="A8794" t="inlineStr">
        <is>
          <t>Sram M 200</t>
        </is>
      </c>
      <c r="B8794">
        <f>HYPERLINK("https://www.dofusbook.net/fr/equipement/3861816-sram-m-200/objets", "link")</f>
        <v/>
      </c>
      <c r="C8794" t="n">
        <v>10</v>
      </c>
      <c r="D8794" t="inlineStr">
        <is>
          <t>Pelle de la Cour Sombre; Collier du Valet Veinard; Gant du Valet Veinard; Alliance Gloursonne; Bouclier d'Ilyzaelle; Menoture; Dorabysses; Cape du Kamasterisk; Palmes Trithons; Dofus Ébène; Dofus Abyssal; Dofus Ivoire; Dofus Émeraude; Nomade; Remueur; Blérodoudou</t>
        </is>
      </c>
    </row>
    <row r="8795">
      <c r="A8795" t="inlineStr">
        <is>
          <t>pvm</t>
        </is>
      </c>
      <c r="B8795">
        <f>HYPERLINK("https://www.dofusbook.net/fr/equipement/2688299-pvm/objets", "link")</f>
        <v/>
      </c>
      <c r="C8795" t="n">
        <v>5</v>
      </c>
      <c r="D8795" t="inlineStr">
        <is>
          <t>Arc corrompu; Amulette de Nileza; Anneau Tique; Anneauræus; Bouclier Feudala; Croture; Heaume Oplate; Cape de Nileza; Bottes Innommables; Dofus Abyssal; Dofus des Glaces; Dofus Pourpre; Dofus Turquoise; Remueur; Nomade; Bisouglours</t>
        </is>
      </c>
    </row>
    <row r="8796">
      <c r="A8796" t="inlineStr">
        <is>
          <t>vs class porte cc</t>
        </is>
      </c>
      <c r="B8796">
        <f>HYPERLINK("https://www.dofusbook.net/fr/equipement/3724703-vs-class-porte-cc/objets", "link")</f>
        <v/>
      </c>
      <c r="C8796" t="n">
        <v>10</v>
      </c>
      <c r="D8796" t="inlineStr">
        <is>
          <t>Bouclier d'Ilyzaelle; Dofus Ivoire; Dofus Émeraude; Miraculé majeur; Enragé majeur; Remueur; Survivant majeur; Titard</t>
        </is>
      </c>
    </row>
    <row r="8797">
      <c r="A8797" t="inlineStr">
        <is>
          <t>Pandawa M 200</t>
        </is>
      </c>
      <c r="B8797">
        <f>HYPERLINK("https://www.dofusbook.net/fr/equipement/5683019-pandawa-m-200/objets", "link")</f>
        <v/>
      </c>
      <c r="C8797" t="n">
        <v>35</v>
      </c>
      <c r="D8797" t="inlineStr">
        <is>
          <t>Rouleau à Pâtisserie d'Aermyne; Collier Rophante; Anneau Tique; Alliance Gloursonne; Bouclier d'Anerice; Ceinture de Dame Jhessica; Casque Dragoeuf; Cape d'Anerice; Pataugastrique; Dofus Abyssal; Dofus Ivoire; Dofus Émeraude; Obstructeur majeur; Bloqueur majeur; Remueur; Givrefoux</t>
        </is>
      </c>
    </row>
    <row r="8798">
      <c r="A8798" t="inlineStr">
        <is>
          <t>economie8/8</t>
        </is>
      </c>
      <c r="B8798">
        <f>HYPERLINK("https://www.dofusbook.net/fr/equipement/5535253-economie8-8/objets", "link")</f>
        <v/>
      </c>
      <c r="C8798" t="n">
        <v>6</v>
      </c>
      <c r="D8798" t="inlineStr">
        <is>
          <t>Arc du Chalœil; Torquistik; Bague Instable; Bague Trithon; Bouclier précieux; Ceinture Gence; Casque Dragoeuf; Cape au Logis; Bottistik; Dofus Ocre; Observateur; Bousculeur majeur; Culbuteur; Culbuteur majeur; Pousseur majeur; Tatouf</t>
        </is>
      </c>
    </row>
    <row r="8799">
      <c r="A8799" t="inlineStr">
        <is>
          <t>Stuff 1</t>
        </is>
      </c>
      <c r="B8799">
        <f>HYPERLINK("https://www.dofusbook.net/fr/equipement/299448-stuff-1/objets", "link")</f>
        <v/>
      </c>
      <c r="C8799" t="n">
        <v>21</v>
      </c>
      <c r="D8799" t="inlineStr"/>
    </row>
    <row r="8800">
      <c r="A8800" t="inlineStr">
        <is>
          <t>jadid</t>
        </is>
      </c>
      <c r="B8800">
        <f>HYPERLINK("https://www.dofusbook.net/fr/equipement/2570457-jadid/objets", "link")</f>
        <v/>
      </c>
      <c r="C8800" t="n">
        <v>3</v>
      </c>
      <c r="D8800" t="inlineStr">
        <is>
          <t>Manthache; Collier du Valet Veinard; Alliance Gloursonne; Gant du Valet Veinard; Quatre-feuilles; Menoture; Dorabysses; Cape Indescriptible; Baleinabottes; Equilibriste majeur; Dévastateur Air majeur; Remueur; Cascadeur majeur; Nomade; Acrobate majeur; Muldo Ebène</t>
        </is>
      </c>
    </row>
    <row r="8801">
      <c r="A8801" t="inlineStr">
        <is>
          <t>Féca M 200</t>
        </is>
      </c>
      <c r="B8801">
        <f>HYPERLINK("https://www.dofusbook.net/fr/equipement/4038203-feca-m-200/objets", "link")</f>
        <v/>
      </c>
      <c r="C8801" t="n">
        <v>25</v>
      </c>
      <c r="D8801" t="inlineStr">
        <is>
          <t>Hache Téroïde; Amulette du Strigide; Alliance Gloursonne; Anneau de Padgref; Bouclier du Captain Amakna; Ceinture du Strigide; Masque de Koutoulou; Cape au Logis; Sandales de Tal Kasha; Dofus Turquoise; Érudit majeur; Vigoureux majeur; Remueur; Enragé majeur; Nomade; Kokulte</t>
        </is>
      </c>
    </row>
    <row r="8802">
      <c r="A8802" t="inlineStr">
        <is>
          <t>Ecaflip M 200</t>
        </is>
      </c>
      <c r="B8802">
        <f>HYPERLINK("https://www.dofusbook.net/fr/equipement/3681216-ecaflip-m-200/objets", "link")</f>
        <v/>
      </c>
      <c r="C8802" t="n">
        <v>24</v>
      </c>
      <c r="D8802" t="inlineStr">
        <is>
          <t>Epée Kari; Amulette de Pol Ouatnos; Bracelet du Piloztère; Anneau Bhli; Quatre-feuilles; Sangle Cible; Coiffe de Robbie Capuche; Cape Hulco; Bottes Deuradi; Dofus Ocre; Dofus Turquoise; Dofus Abyssal; Dofus Pourpre; Dofus des Glaces; Chacha Angora</t>
        </is>
      </c>
    </row>
    <row r="8803">
      <c r="A8803" t="inlineStr">
        <is>
          <t>vs cra</t>
        </is>
      </c>
      <c r="B8803">
        <f>HYPERLINK("https://www.dofusbook.net/fr/equipement/3692382-vs-cra/objets", "link")</f>
        <v/>
      </c>
      <c r="C8803" t="n">
        <v>14</v>
      </c>
      <c r="D8803" t="inlineStr">
        <is>
          <t>Manthache; Collier du Valet Veinard; Alliance Gloursonne; Gant du Valet Veinard; Bouclier d'Ilyzaelle; Menoture; Dorabysses; Cape Indescriptible; Palmes Trithons; Dofus Abyssal; Dofus Émeraude; Dofus Ivoire; Miraculé majeur; Remueur; Nomade; La Chose</t>
        </is>
      </c>
    </row>
    <row r="8804">
      <c r="A8804" t="inlineStr">
        <is>
          <t>ret pa pm</t>
        </is>
      </c>
      <c r="B8804">
        <f>HYPERLINK("https://www.dofusbook.net/fr/equipement/3086713-ret-pa-pm/objets", "link")</f>
        <v/>
      </c>
      <c r="C8804" t="n">
        <v>1</v>
      </c>
      <c r="D8804" t="inlineStr">
        <is>
          <t>Lav'Hache; Torquistik; Alliance Gloursonne; Baguistik; Bouclier précieux; Ceinture du Barbétoal; Masque du Barbétoal; Cape du Barbétoal; Bottistik; Dofus Vulbis; Dofus Ivoire; Dofus Ocre; Pousseur majeur; Bousculeur majeur; Bousculeur; Tatouf</t>
        </is>
      </c>
    </row>
    <row r="8805">
      <c r="A8805" t="inlineStr">
        <is>
          <t>Enutrof M 200</t>
        </is>
      </c>
      <c r="B8805">
        <f>HYPERLINK("https://www.dofusbook.net/fr/equipement/4740273-enutrof-m-200/objets", "link")</f>
        <v/>
      </c>
      <c r="C8805" t="n">
        <v>18</v>
      </c>
      <c r="D8805" t="inlineStr">
        <is>
          <t>Epée Toche; Amulette Volkorne; Anneau de Brouce; Bague Gloursonne; Bouclier du Captain Amakna; Ceinture Volkorne; Masque de Koutoulou; Cape au Logis; Bottes du Roi Joueur; Dofus des Glaces; Dofus Turquoise; Dofus Pourpre; Remueur; Érudit majeur; Enragé majeur; Kokulte</t>
        </is>
      </c>
    </row>
    <row r="8806">
      <c r="A8806" t="inlineStr">
        <is>
          <t>Stuff 3</t>
        </is>
      </c>
      <c r="B8806">
        <f>HYPERLINK("https://www.dofusbook.net/fr/equipement/299432-stuff-3/objets", "link")</f>
        <v/>
      </c>
      <c r="C8806" t="n">
        <v>3</v>
      </c>
      <c r="D8806" t="inlineStr">
        <is>
          <t>Plumeau Bil; Amulette de Nileza; Bague Gloursonne; Anneau Tique; Bouclier cubiste; Ceinture de Vortex; Cagoule de Vortex; Cape de Diondin; Pataugastrique; Remueur; Érudit majeur; Nomade; Dévastateur Feu majeur; Astucieux majeur; Savant majeur; Muldo Pourpre</t>
        </is>
      </c>
    </row>
    <row r="8807">
      <c r="A8807" t="inlineStr">
        <is>
          <t>gneu gneu gneuuuuh</t>
        </is>
      </c>
      <c r="B8807">
        <f>HYPERLINK("https://www.dofusbook.net/fr/equipement/3199338-gneu-gneu-gneuuuuh/objets", "link")</f>
        <v/>
      </c>
      <c r="C8807" t="n">
        <v>23</v>
      </c>
      <c r="D8807" t="inlineStr">
        <is>
          <t>Epée Toche; Collier de Tourthon; Chevalière du Roi Joueur; Bague Gloursonne; Bouclier du Captain Amakna; Ceintacé; Masque de Koutoulou; Cape au Logis; Bottes du Roi Joueur; Dévastateur Terre majeur; Remueur; Vigoureux majeur; Enragé majeur; Forcené majeur; Furibond majeur; Muldo Pourpre</t>
        </is>
      </c>
    </row>
    <row r="8808">
      <c r="A8808" t="inlineStr">
        <is>
          <t>Stuff 2</t>
        </is>
      </c>
      <c r="B8808">
        <f>HYPERLINK("https://www.dofusbook.net/fr/equipement/299428-stuff-2/objets", "link")</f>
        <v/>
      </c>
      <c r="C8808" t="n">
        <v>9</v>
      </c>
      <c r="D8808" t="inlineStr">
        <is>
          <t>Baguette Hique; Amulette de Shokkoth; Alliance Gloursonne; Anneau Volkorne; Bouclier cubiste; Poulpagne; Casquette de Meno; Cape de la Dame du Hasard; Pataugastrique; Remueur; Dévastateur Eau majeur; Nomade; Chanceux majeur; Entraveur majeur; Temporiseur majeur; Muldo Pourpre</t>
        </is>
      </c>
    </row>
    <row r="8809">
      <c r="A8809" t="inlineStr">
        <is>
          <t>hepastos</t>
        </is>
      </c>
      <c r="B8809">
        <f>HYPERLINK("https://www.dofusbook.net/fr/equipement/3011421-hepastos/objets", "link")</f>
        <v/>
      </c>
      <c r="C8809" t="n">
        <v>21</v>
      </c>
      <c r="D8809" t="inlineStr">
        <is>
          <t>Dagoulinantes; Amulette de Shokkoth; Alliance Gloursonne; Anneau Volkorne; Bouclier d'Ilyzaelle; Ceinture de la Reine des Voleurs; Kidibonnet; Cape Solution; Bottes de la Reine des Voleurs; Dofus Pourpre; Dofus Turquoise; Nomade; Remueur; Dévastateur Eau majeur; Chanceux majeur; Muldo Ebène</t>
        </is>
      </c>
    </row>
    <row r="8810">
      <c r="A8810" t="inlineStr">
        <is>
          <t>hamza</t>
        </is>
      </c>
      <c r="B8810">
        <f>HYPERLINK("https://www.dofusbook.net/fr/equipement/3077718-hamza/objets", "link")</f>
        <v/>
      </c>
      <c r="C8810" t="n">
        <v>0</v>
      </c>
      <c r="D8810" t="inlineStr">
        <is>
          <t>Pelle de la Cour Sombre; Collier du Valet Veinard; Gant du Valet Veinard; Alliance Gloursonne; Cadran d'Air; Ceintouse; Dorabysses; Cape du Valet Veinard; Bottes du Cycloïde; Dofus Ivoire; Dofus des Glaces; Dofus Vulbis; Dofus Ocre; Dofus Ébène; Dofus Abyssal; El Scarador</t>
        </is>
      </c>
    </row>
    <row r="8811">
      <c r="A8811" t="inlineStr">
        <is>
          <t>eau raire</t>
        </is>
      </c>
      <c r="B8811">
        <f>HYPERLINK("https://www.dofusbook.net/fr/equipement/2150703-eau-raire-/objets", "link")</f>
        <v/>
      </c>
      <c r="C8811" t="n">
        <v>32</v>
      </c>
      <c r="D8811" t="inlineStr">
        <is>
          <t>Baguette de Malléfisk; Amulette de Nileza; Anneau Tique; Baguistik; Sept ans de malheur; Croture; Masquegel; Cape Martegel; Pataugastrique; Dofus Vulbis; Dofus Ivoire; Dofus Ocre; Dofus Ébène; Carapace Feu majeur; Guérisseur majeur; Chaperlipopette</t>
        </is>
      </c>
    </row>
    <row r="8812">
      <c r="A8812" t="inlineStr">
        <is>
          <t>Eniripsa F 200</t>
        </is>
      </c>
      <c r="B8812">
        <f>HYPERLINK("https://www.dofusbook.net/fr/equipement/4714013-eniripsa-f-200/objets", "link")</f>
        <v/>
      </c>
      <c r="C8812" t="n">
        <v>2</v>
      </c>
      <c r="D8812" t="inlineStr">
        <is>
          <t>Arc corrompu; Amulette de Nileza; Anneau Tique; Bague Gloursonne; Sept ans de malheur; Ceinture de Vortex; Masquegel; Cape Martegel; Pataugastrique; Dofus Abyssal; Dofus Ocre; Dofus Ébène; Dofus Vulbis; Dofus Ivoire; Étourdisseur majeur; Dragoune Rose</t>
        </is>
      </c>
    </row>
    <row r="8813">
      <c r="A8813" t="inlineStr">
        <is>
          <t>Féca M 200</t>
        </is>
      </c>
      <c r="B8813">
        <f>HYPERLINK("https://www.dofusbook.net/fr/equipement/5366223-feca-m-200/objets", "link")</f>
        <v/>
      </c>
      <c r="C8813" t="n">
        <v>3</v>
      </c>
      <c r="D8813" t="inlineStr">
        <is>
          <t>Arc du Chalœil; Amulette Luminescente; Bague Trithon; Bague Instable; Bouclier précieux; Ceinture Luminescente; Masque Trithon; Cape Luminescente; Bottes Trithon; Pousseur majeur; Bousculeur majeur</t>
        </is>
      </c>
    </row>
    <row r="8814">
      <c r="A8814" t="inlineStr">
        <is>
          <t>Crâ F 200</t>
        </is>
      </c>
      <c r="B8814">
        <f>HYPERLINK("https://www.dofusbook.net/fr/equipement/5080405-cra-f-200/objets", "link")</f>
        <v/>
      </c>
      <c r="C8814" t="n">
        <v>8</v>
      </c>
      <c r="D8814" t="inlineStr">
        <is>
          <t>Hache du Chalœil; Amulette du Strigide; Alliance Gloursonne; Bracelet du Piloztère; Quatre-feuilles; Ceintacé; Casque du Chalœil; Voile d'encre; Bottes du Chalœil; Dofus des Glaces; Dofus Pourpre; Dofus Turquoise; Remueur; Vigoureux majeur; Nomade; Muldo Doré et Emeraude</t>
        </is>
      </c>
    </row>
    <row r="8815">
      <c r="A8815" t="inlineStr">
        <is>
          <t>Stuff 1</t>
        </is>
      </c>
      <c r="B8815">
        <f>HYPERLINK("https://www.dofusbook.net/fr/equipement/299442-stuff-1/objets", "link")</f>
        <v/>
      </c>
      <c r="C8815" t="n">
        <v>12</v>
      </c>
      <c r="D8815" t="inlineStr">
        <is>
          <t>Dagoulinantes; Amulette de Shokkoth; Alliance Gloursonne; Anneau Volkorne; Bouclier d'Ilyzaelle; Poulpagne; Kidibonnet; Cape du Sinistrofu; Bottes du Sinistrofu; Remueur; Dévastateur Eau majeur; Nomade; Chanceux majeur; Joueur majeur; Taquin majeur; Muldo Pourpre</t>
        </is>
      </c>
    </row>
    <row r="8816">
      <c r="A8816" t="inlineStr">
        <is>
          <t>mgs test</t>
        </is>
      </c>
      <c r="B8816">
        <f>HYPERLINK("https://www.dofusbook.net/fr/equipement/1574960-mgs-test/objets", "link")</f>
        <v/>
      </c>
      <c r="C8816" t="n">
        <v>17</v>
      </c>
      <c r="D8816" t="inlineStr">
        <is>
          <t>Hache Téroïde; Amulette du Strigide; Anneau Toriété; Pikano; Bouclier du Captain Amakna; Ceintacé; Corne de Torkélonia; Carapace de Torkélonia; Pataugastrique; Dofus Pourpre; Dofus Turquoise; Dofus Émeraude; Remueur; Vigoureux majeur; Nomade; Kokulte</t>
        </is>
      </c>
    </row>
    <row r="8817">
      <c r="A8817" t="inlineStr">
        <is>
          <t>Sram F 200</t>
        </is>
      </c>
      <c r="B8817">
        <f>HYPERLINK("https://www.dofusbook.net/fr/equipement/4783521-sram-f-200/objets", "link")</f>
        <v/>
      </c>
      <c r="C8817" t="n">
        <v>10</v>
      </c>
      <c r="D8817" t="inlineStr">
        <is>
          <t>Dagoulinantes; Amulette de Shokkoth; Alliance Gloursonne; Anneau Volkorne; Bouclier d'Ilyzaelle; Poulpagne; Casque Volkorne; Cape Solution; Bottes Owesli; Remueur; Dévastateur Eau majeur; Nomade; Chanceux majeur; Ravageur Eau majeur; Joueur majeur; Kanigloups</t>
        </is>
      </c>
    </row>
    <row r="8818">
      <c r="A8818" t="inlineStr">
        <is>
          <t>Stuff 3</t>
        </is>
      </c>
      <c r="B8818">
        <f>HYPERLINK("https://www.dofusbook.net/fr/equipement/299467-stuff-3/objets", "link")</f>
        <v/>
      </c>
      <c r="C8818" t="n">
        <v>8</v>
      </c>
      <c r="D8818" t="inlineStr">
        <is>
          <t>Dagoulinantes; Amulette de l'Œil Attentif; Bracelet des Fonds marins; Alliance Gloursonne; Bouclier d'Ilyzaelle; Ceinture Glaciale; Capuche de l'Œil Attentif; Cape Solution; Bottes du Sinistrofu; Dofus Turquoise; Carapace Air majeur; Remueur; Nomade; Carapace Feu majeur; Chanceux majeur; El Scarador</t>
        </is>
      </c>
    </row>
    <row r="8819">
      <c r="A8819" t="inlineStr">
        <is>
          <t>Sacrieur F 200</t>
        </is>
      </c>
      <c r="B8819">
        <f>HYPERLINK("https://www.dofusbook.net/fr/equipement/3732374-sacrieur-f-200/objets", "link")</f>
        <v/>
      </c>
      <c r="C8819" t="n">
        <v>34</v>
      </c>
      <c r="D8819" t="inlineStr">
        <is>
          <t>Pelle de la Cour Sombre; Anneau Toriété; Gant du Valet Veinard; Bouclier Aerdala; Menoture; Casque Dragoeuf; Baleinabottes; Dofus Émeraude; Nomade; Carapace Neutre majeur; Acrobate majeur; Cascadeur majeur; Remueur; Dragodinde en armure</t>
        </is>
      </c>
    </row>
    <row r="8820">
      <c r="A8820" t="inlineStr">
        <is>
          <t>Stuff 1</t>
        </is>
      </c>
      <c r="B8820">
        <f>HYPERLINK("https://www.dofusbook.net/fr/equipement/959126-stuff-1/objets", "link")</f>
        <v/>
      </c>
      <c r="C8820" t="n">
        <v>4</v>
      </c>
      <c r="D8820" t="inlineStr">
        <is>
          <t>Poulpagne; Cape Solution</t>
        </is>
      </c>
    </row>
    <row r="8821">
      <c r="A8821" t="inlineStr">
        <is>
          <t>Stuff 2</t>
        </is>
      </c>
      <c r="B8821">
        <f>HYPERLINK("https://www.dofusbook.net/fr/equipement/299449-stuff-2/objets", "link")</f>
        <v/>
      </c>
      <c r="C8821" t="n">
        <v>5</v>
      </c>
      <c r="D8821" t="inlineStr">
        <is>
          <t>Arc Nécrotique; Amulette de Pol Ouatnos; Alliance Gloursonne; Anneau Tique; Bouclier cubiste; Ceinture de Kongoku; Dorabysses; Cape d'Atcham; Bottes Honyme; Dofus Émeraude; Remueur; Érudit majeur; Nomade; Chanceux majeur; Cascadeur majeur; Dragodinde en armure</t>
        </is>
      </c>
    </row>
    <row r="8822">
      <c r="A8822" t="inlineStr">
        <is>
          <t>Sram M 200</t>
        </is>
      </c>
      <c r="B8822">
        <f>HYPERLINK("https://www.dofusbook.net/fr/equipement/5367536-sram-m-200/objets", "link")</f>
        <v/>
      </c>
      <c r="C8822" t="n">
        <v>4</v>
      </c>
      <c r="D8822" t="inlineStr">
        <is>
          <t>Epée Toche; Amulette du Strigide; Bague Gloursonne; Bracelet du Piloztère; Bouclier du Captain Amakna; Ceintacé; Masque de Koutoulou; Voile d'encre; Bottes du Strigide; Enragé majeur; Dévastateur Terre majeur; Remueur; Vigoureux majeur; Nomade; Érudit majeur; Muldo Pourpre</t>
        </is>
      </c>
    </row>
    <row r="8823">
      <c r="A8823" t="inlineStr">
        <is>
          <t>Féca F 200</t>
        </is>
      </c>
      <c r="B8823">
        <f>HYPERLINK("https://www.dofusbook.net/fr/equipement/3519304-feca-f-200/objets", "link")</f>
        <v/>
      </c>
      <c r="C8823" t="n">
        <v>22</v>
      </c>
      <c r="D8823" t="inlineStr">
        <is>
          <t>Le Thanos; Amulette de Nileza; Anneau Tique; Bague Gloursonne; Sept ans de malheur; Ceinture de Vortex; Masquegel; Cape Martegel; Pataugastrique; Dofus Ivoire; Dofus Émeraude; Guérisseur majeur; Érudit majeur; Étourdisseur majeur; Nomade; Bilby</t>
        </is>
      </c>
    </row>
    <row r="8824">
      <c r="A8824" t="inlineStr">
        <is>
          <t>Sadida F 200</t>
        </is>
      </c>
      <c r="B8824">
        <f>HYPERLINK("https://www.dofusbook.net/fr/equipement/5199105-sadida-f-200/objets", "link")</f>
        <v/>
      </c>
      <c r="C8824" t="n">
        <v>1</v>
      </c>
      <c r="D8824" t="inlineStr">
        <is>
          <t>Marteau R'ture; Amulette Volkorne; Anneau Volkorne; Anneau du Comte Harebourg; Bivalve; Ceinture Volkorne; Coiffe du Comte Harebourg; Cape de Jahash Jurgen; Bottes du Comte Harebourg; Dofus Abyssal; Dofus Ocre; Dofus Turquoise; Dofus des Glaces; Dofus Pourpre; Forcené majeur; Volkorne Pourpre</t>
        </is>
      </c>
    </row>
    <row r="8825">
      <c r="A8825" t="inlineStr">
        <is>
          <t>Stuff 2</t>
        </is>
      </c>
      <c r="B8825">
        <f>HYPERLINK("https://www.dofusbook.net/fr/equipement/299443-stuff-2/objets", "link")</f>
        <v/>
      </c>
      <c r="C8825" t="n">
        <v>36</v>
      </c>
      <c r="D8825" t="inlineStr">
        <is>
          <t>Amulette Voldelor; Alliance Gloursonne; Bouclier d'Ilyzaelle; Ceinture Voldelor; Casque Dragoeuf; Cape Solution; Sandales des Fonds marins; Dofus des Glaces; Dofus Ivoire; Remueur; Chanceux majeur; Nomade; El Scarador</t>
        </is>
      </c>
    </row>
    <row r="8826">
      <c r="A8826" t="inlineStr">
        <is>
          <t>Economie/7mai mgs</t>
        </is>
      </c>
      <c r="B8826">
        <f>HYPERLINK("https://www.dofusbook.net/fr/equipement/3287724-economie-7mai-mgs/objets", "link")</f>
        <v/>
      </c>
      <c r="C8826" t="n">
        <v>6</v>
      </c>
      <c r="D8826" t="inlineStr">
        <is>
          <t>Dagoulinantes; Amulette de Pol Ouatnos; Anneau Volkorne; Alliance Gloursonne; Quatre-feuilles; Ceinture Volkorne; Kidibonnet; Cape de Mantaze; Pataugastrique; Nomade; Taquin majeur; Remueur; Dévastateur Eau majeur; Vigoureux majeur; Chanceux majeur; Kanigloups</t>
        </is>
      </c>
    </row>
    <row r="8827">
      <c r="A8827" t="inlineStr">
        <is>
          <t>Stuff 2</t>
        </is>
      </c>
      <c r="B8827">
        <f>HYPERLINK("https://www.dofusbook.net/fr/equipement/299437-stuff-2/objets", "link")</f>
        <v/>
      </c>
      <c r="C8827" t="n">
        <v>15</v>
      </c>
      <c r="D8827" t="inlineStr">
        <is>
          <t>Sceptre du Roi Joueur; Amulette d'Ilyzaelle; Anneau Volkorne; Alliance Gloursonne; Cadran de Terre; Ceinture Voldelor; Capuche de l'Œil Attentif; Cape de l'Œil Attentif; Pataugastrique; Dofus Ébène; Dofus Ocre; Dofus Ivoire; Dofus Pourpre; Nomade; Étourdisseur majeur; El Scarador</t>
        </is>
      </c>
    </row>
    <row r="8828">
      <c r="A8828" t="inlineStr">
        <is>
          <t>ljkhn</t>
        </is>
      </c>
      <c r="B8828">
        <f>HYPERLINK("https://www.dofusbook.net/fr/equipement/1149451-ljkhn/objets", "link")</f>
        <v/>
      </c>
      <c r="C8828" t="n">
        <v>17</v>
      </c>
      <c r="D8828" t="inlineStr">
        <is>
          <t>Hache du Chalœil; Amulette de Pol Ouatnos; Bracelet du Piloztère; Alliance Gloursonne; Bouclier du Stalak; Ceintacé; Masque de Koutoulou; Cape du Chalœil; Bottes du Chalœil; Dofus Pourpre; Dofus des Glaces; Nomade; Puissant majeur; Remueur; Vigoureux majeur; Dragodinde en armure</t>
        </is>
      </c>
    </row>
    <row r="8829">
      <c r="A8829" t="inlineStr">
        <is>
          <t>Stuff 1</t>
        </is>
      </c>
      <c r="B8829">
        <f>HYPERLINK("https://www.dofusbook.net/fr/equipement/299433-stuff-1/objets", "link")</f>
        <v/>
      </c>
      <c r="C8829" t="n">
        <v>20</v>
      </c>
      <c r="D8829" t="inlineStr">
        <is>
          <t>Lav'Hache; Collier de Tourthon; Anneau Chevelu; Anneau Volkorne; Sept ans de malheur; Ceinture Volkorne; Ruskauffe; Voile d'encre; Baleinabottes; Dofus Ocre; Dofus Ivoire; Dofus Pourpre; Carapace Feu majeur; Carapace Air majeur; Nomade; El Scarador</t>
        </is>
      </c>
    </row>
    <row r="8830">
      <c r="A8830" t="inlineStr">
        <is>
          <t>Mgs l Irhabi biii9</t>
        </is>
      </c>
      <c r="B8830">
        <f>HYPERLINK("https://www.dofusbook.net/fr/equipement/4801398-mgs-l-irhabi-biii9/objets", "link")</f>
        <v/>
      </c>
      <c r="C8830" t="n">
        <v>32</v>
      </c>
      <c r="D8830" t="inlineStr">
        <is>
          <t>Manthache; Collier du Valet Veinard; Alliance Gloursonne; Gant du Valet Veinard; Bouclier du Stalak; Ceinture du Barbétoal; Couronne d'Allister; Cape Indescriptible; Palmes Trithons; Dofus Ocre; Dofus Ivoire; Dofus des Glaces; Dofus Nébuleux; Remueur; Cascadeur majeur; Volkorne Doré et Ebène</t>
        </is>
      </c>
    </row>
    <row r="8831">
      <c r="A8831" t="inlineStr">
        <is>
          <t>puissance</t>
        </is>
      </c>
      <c r="B8831">
        <f>HYPERLINK("https://www.dofusbook.net/fr/equipement/1842106-puissance/objets", "link")</f>
        <v/>
      </c>
      <c r="C8831" t="n">
        <v>2</v>
      </c>
      <c r="D8831" t="inlineStr">
        <is>
          <t>Hache du Chalœil; Amulette Volkorne; Alliance du Lévitrof; Anneau Volkorne; Bouclier cubiste; Ceinture Volkorne; Coiffe du Lévitrof; Voile d'encre; Bottes du Lévitrof; Dofus Ocre; Dofus Turquoise; Dofus Pourpre; Dofus Ivoire; Ralentisseur majeur; Entraveur majeur; Shushu de Rushu</t>
        </is>
      </c>
    </row>
    <row r="8832">
      <c r="A8832" t="inlineStr">
        <is>
          <t>Stuff 2</t>
        </is>
      </c>
      <c r="B8832">
        <f>HYPERLINK("https://www.dofusbook.net/fr/equipement/299476-stuff-2/objets", "link")</f>
        <v/>
      </c>
      <c r="C8832" t="n">
        <v>29</v>
      </c>
      <c r="D8832" t="inlineStr">
        <is>
          <t>Sabres d'Atcham; Amulette Volkorne; Anneau Volkorne; Alliance Gloursonne; Bouclier du Stalak; Ceinture de Kongoku; Casque Volkorne; Cape d'Atcham; Sandales  d'Atcham; Dofus Ocre; Dofus Ivoire; Dofus des Glaces; Dofus Turquoise; Dofus Pourpre; Paralyseur majeur; Sourisette</t>
        </is>
      </c>
    </row>
    <row r="8833">
      <c r="A8833" t="inlineStr">
        <is>
          <t>Sacrieur M 200</t>
        </is>
      </c>
      <c r="B8833">
        <f>HYPERLINK("https://www.dofusbook.net/fr/equipement/3413852-sacrieur-m-200/objets", "link")</f>
        <v/>
      </c>
      <c r="C8833" t="n">
        <v>23</v>
      </c>
      <c r="D8833" t="inlineStr">
        <is>
          <t>Collier du Valet Veinard; Anneau Toriété; Gant du Valet Veinard; Sangle Oriole; Chapeau de Tournoyé; Cape de Crânonier; Palmes Trithons</t>
        </is>
      </c>
    </row>
    <row r="8834">
      <c r="A8834" t="inlineStr">
        <is>
          <t>Pandawa M 200</t>
        </is>
      </c>
      <c r="B8834">
        <f>HYPERLINK("https://www.dofusbook.net/fr/equipement/3953601-pandawa-m-200/objets", "link")</f>
        <v/>
      </c>
      <c r="C8834" t="n">
        <v>5</v>
      </c>
      <c r="D8834" t="inlineStr">
        <is>
          <t>Lance Horselé; Amibou; Gant du Valet Veinard; Alliance Gloursonne; Cadran d'Air; Menoture; Dorabysses; Cape du Valet Veinard; Palmes Trithons; Dofus Ocre; Dofus Ivoire; Dofus Pourpre; Nomade</t>
        </is>
      </c>
    </row>
    <row r="8835">
      <c r="A8835" t="inlineStr">
        <is>
          <t>the mgs</t>
        </is>
      </c>
      <c r="B8835">
        <f>HYPERLINK("https://www.dofusbook.net/fr/equipement/4707628-the-mgs/objets", "link")</f>
        <v/>
      </c>
      <c r="C8835" t="n">
        <v>14</v>
      </c>
      <c r="D8835" t="inlineStr">
        <is>
          <t>Le Thanos; Amulette Martegel; Anneau Tique; Anneau de Nidas; Carapar; Protopagne; Masquegel; Voile d'encre; Pataugastrique; Dofus Ocre; Dofus Émeraude; Dofus Ivoire; Érudit majeur; Carapace Neutre majeur; Carapace Feu majeur; El Scarador</t>
        </is>
      </c>
    </row>
    <row r="8836">
      <c r="A8836" t="inlineStr">
        <is>
          <t>eco03</t>
        </is>
      </c>
      <c r="B8836">
        <f>HYPERLINK("https://www.dofusbook.net/fr/equipement/4048014-eco03/objets", "link")</f>
        <v/>
      </c>
      <c r="C8836" t="n">
        <v>6</v>
      </c>
      <c r="D8836" t="inlineStr">
        <is>
          <t>Lance Horselé; Amulette du Cycloïde; Alliance Gloursonne; Gant du Valet Veinard; Bouclier du Stalak; Menoture; Dorabysses; Cape du Valet Veinard; Palmes Trithons; Dofus Ocre; Dofus Ivoire; Dofus des Glaces; Dofus Turquoise; Dofus Nébuleux; Nomade; Blérodoudou</t>
        </is>
      </c>
    </row>
    <row r="8837">
      <c r="A8837" t="inlineStr">
        <is>
          <t>Féca M 200</t>
        </is>
      </c>
      <c r="B8837">
        <f>HYPERLINK("https://www.dofusbook.net/fr/equipement/4164575-feca-m-200/objets", "link")</f>
        <v/>
      </c>
      <c r="C8837" t="n">
        <v>5</v>
      </c>
      <c r="D8837" t="inlineStr">
        <is>
          <t>Lav'Hache; Amulette du Strigide; Alliance Gloursonne; Anneau Crustique; Sept ans de malheur; Ceintouse; Masque de Koutoulou; Cape au Logis; Tentassons; Dofus Émeraude; Dofus Ivoire; Obstructeur majeur; Nomade; Remueur; Étourdisseur majeur; Givrefoux</t>
        </is>
      </c>
    </row>
    <row r="8838">
      <c r="A8838" t="inlineStr">
        <is>
          <t>Stuff 1</t>
        </is>
      </c>
      <c r="B8838">
        <f>HYPERLINK("https://www.dofusbook.net/fr/equipement/299427-stuff-1/objets", "link")</f>
        <v/>
      </c>
      <c r="C8838" t="n">
        <v>31</v>
      </c>
      <c r="D8838" t="inlineStr">
        <is>
          <t>Dagoulinantes; Amulette de Shokkoth; Alliance Gloursonne; Anneau Volkorne; Bouclier Taverne; Poulpagne; Némès de Tal Kasha; Chevelure de Tal Kasha; Bottes du Sinistrofu; Dofus Pourpre; Dofus des Glaces; Dofus Turquoise; Chanceux majeur; Nomade; Remueur; El Scarador</t>
        </is>
      </c>
    </row>
    <row r="8839">
      <c r="A8839" t="inlineStr">
        <is>
          <t>new stuf zobal</t>
        </is>
      </c>
      <c r="B8839">
        <f>HYPERLINK("https://www.dofusbook.net/fr/equipement/299474-new-stuf-zobal/objets", "link")</f>
        <v/>
      </c>
      <c r="C8839" t="n">
        <v>11</v>
      </c>
      <c r="D8839" t="inlineStr">
        <is>
          <t>Dagues d'Ilyzaelle; Collier de Tourthon; Bague Gloursonne; Bracelet du Piloztère; Bouclier d'Ilyzaelle; Ceinture Volkorne; Masque de Koutoulou; Cape au Logis; Baleinabottes; Furibond majeur; Nomade; Vigoureux majeur; Dévastateur Terre majeur; Remueur; Enragé majeur; Bulbisou</t>
        </is>
      </c>
    </row>
    <row r="8840">
      <c r="A8840" t="inlineStr">
        <is>
          <t>new stuf enu</t>
        </is>
      </c>
      <c r="B8840">
        <f>HYPERLINK("https://www.dofusbook.net/fr/equipement/299429-new-stuf-enu/objets", "link")</f>
        <v/>
      </c>
      <c r="C8840" t="n">
        <v>7</v>
      </c>
      <c r="D8840" t="inlineStr">
        <is>
          <t>Arc corrompu; Pendentif affamé; Bague Gloursonne; Anneau Tique; Ceinture de Vortex; Heaume Oplate; Voile d'encre; Bottes Innommables; Remueur; Nomade</t>
        </is>
      </c>
    </row>
    <row r="8841">
      <c r="A8841" t="inlineStr">
        <is>
          <t>economie</t>
        </is>
      </c>
      <c r="B8841">
        <f>HYPERLINK("https://www.dofusbook.net/fr/equipement/2337103-economie/objets", "link")</f>
        <v/>
      </c>
      <c r="C8841" t="n">
        <v>27</v>
      </c>
      <c r="D8841" t="inlineStr">
        <is>
          <t>Epée Maudite du Saigneur Guerrier; Amulette du Strigide; Bague Trithon; Anneau Toriété; Bouclier du Captain Amakna; Ceinture du Strigide; Némès de Tal Kasha; Chevelure de Tal Kasha; Sandales de Tal Kasha; Dofus Ocre; Dofus Pourpre; Dofus Turquoise; Dofus des Glaces; Dofus Abyssal; Dofus Émeraude</t>
        </is>
      </c>
    </row>
    <row r="8842">
      <c r="A8842" t="inlineStr">
        <is>
          <t>Pandawa F 200</t>
        </is>
      </c>
      <c r="B8842">
        <f>HYPERLINK("https://www.dofusbook.net/fr/equipement/3786379-pandawa-f-200/objets", "link")</f>
        <v/>
      </c>
      <c r="C8842" t="n">
        <v>12</v>
      </c>
      <c r="D8842" t="inlineStr">
        <is>
          <t>Rouleau à Pâtisserie d'Aermyne; Amulette du Strigide; Alliance Gloursonne; Anneau Tique; Bouclier d'Anerice; Sangle Ouare; Coiffe d'Aermyne; Cape d'Aermyne; Bottes du Strigide; Dofus Ocre; El Scarador</t>
        </is>
      </c>
    </row>
    <row r="8843">
      <c r="A8843" t="inlineStr">
        <is>
          <t>najoutt</t>
        </is>
      </c>
      <c r="B8843">
        <f>HYPERLINK("https://www.dofusbook.net/fr/equipement/3099934-najoutt/objets", "link")</f>
        <v/>
      </c>
      <c r="C8843" t="n">
        <v>5</v>
      </c>
      <c r="D8843" t="inlineStr">
        <is>
          <t>Arc Nécrotique; Amulette du Strigide; Lavanneau; Lavanneau; Bouclier cubiste; Ceintacé; Kidibonnet; Cape de la Dame du Hasard; Bottes du Strigide; Remueur; Chanceux majeur; Vigoureux majeur; Nomade; Observateur; Érudit majeur; Muldo Indigo</t>
        </is>
      </c>
    </row>
    <row r="8844">
      <c r="A8844" t="inlineStr">
        <is>
          <t>hamza</t>
        </is>
      </c>
      <c r="B8844">
        <f>HYPERLINK("https://www.dofusbook.net/fr/equipement/2216843-hamza/objets", "link")</f>
        <v/>
      </c>
      <c r="C8844" t="n">
        <v>25</v>
      </c>
      <c r="D8844" t="inlineStr">
        <is>
          <t>Manthache; Collier Rophante; Alliance Gloursonne; Gant du Valet Veinard; Bouclier d'Ilyzaelle; Menoture; Chapeau de Tournoyé; Cape de Crânonier; Palmes Trithons; Dofus Émeraude; Dofus Ivoire; Dofus Abyssal; Carapace Air majeur; Remueur; Carapace Feu majeur; Muldo Ebène et Orchidée</t>
        </is>
      </c>
    </row>
    <row r="8845">
      <c r="A8845" t="inlineStr">
        <is>
          <t>Enutrof M 200</t>
        </is>
      </c>
      <c r="B8845">
        <f>HYPERLINK("https://www.dofusbook.net/fr/equipement/3717751-enutrof-m-200/objets", "link")</f>
        <v/>
      </c>
      <c r="C8845" t="n">
        <v>3</v>
      </c>
      <c r="D8845" t="inlineStr">
        <is>
          <t>Amulette de l'Indicible; Pikano; Anneau en Grithril; Bouclier cubiste; Casque en Grithril; Cape Solution; Chaussons de Macrab; Dofus Turquoise; Dofus Pourpre; Remueur; Nomade; Temporiseur majeur; Entraveur majeur</t>
        </is>
      </c>
    </row>
    <row r="8846">
      <c r="A8846" t="inlineStr">
        <is>
          <t>Sadida M 200</t>
        </is>
      </c>
      <c r="B8846">
        <f>HYPERLINK("https://www.dofusbook.net/fr/equipement/3631552-sadida-m-200/objets", "link")</f>
        <v/>
      </c>
      <c r="C8846" t="n">
        <v>0</v>
      </c>
      <c r="D8846" t="inlineStr">
        <is>
          <t>Masque de Koutoulou; Cape au Logis; Baleinabottes</t>
        </is>
      </c>
    </row>
    <row r="8847">
      <c r="A8847" t="inlineStr">
        <is>
          <t>Steamer M 200</t>
        </is>
      </c>
      <c r="B8847">
        <f>HYPERLINK("https://www.dofusbook.net/fr/equipement/3425862-steamer-m-200/objets", "link")</f>
        <v/>
      </c>
      <c r="C8847" t="n">
        <v>3</v>
      </c>
      <c r="D8847" t="inlineStr">
        <is>
          <t>Amibou; Alliance Gloursonne; Anneau du Cycloïde; Sangle Oriole; Masque du Barbétoal; Capibou; Baleinabottes; Dofus Pourpre; Dofus Ivoire; Bousculeur majeur; Pousseur majeur; Remueur; Culbuteur majeur; Tatouf</t>
        </is>
      </c>
    </row>
    <row r="8848">
      <c r="A8848" t="inlineStr">
        <is>
          <t>pvm</t>
        </is>
      </c>
      <c r="B8848">
        <f>HYPERLINK("https://www.dofusbook.net/fr/equipement/3100136-pvm/objets", "link")</f>
        <v/>
      </c>
      <c r="C8848" t="n">
        <v>40</v>
      </c>
      <c r="D8848" t="inlineStr">
        <is>
          <t>Collier du Valet Veinard; Gant du Valet Veinard; Alliance Gloursonne; Ceinture de l'Esprit Salvateur; Masque de l'Esprit Salvateur; Cape du Valet Veinard; Bottes de l'Esprit Salvateur</t>
        </is>
      </c>
    </row>
    <row r="8849">
      <c r="A8849" t="inlineStr">
        <is>
          <t>sungha</t>
        </is>
      </c>
      <c r="B8849">
        <f>HYPERLINK("https://www.dofusbook.net/fr/equipement/2943931-sungha/objets", "link")</f>
        <v/>
      </c>
      <c r="C8849" t="n">
        <v>5</v>
      </c>
      <c r="D8849" t="inlineStr">
        <is>
          <t>Sceptre du Roi Joueur; Amulette de Shokkoth; Alliance Gloursonne; Bracelet des Fonds marins; Bouclier d'Anerice; Poulpagne; Casque Dragoeuf; Cape d'Anerice; Bottes du Sinistrofu; Dofus Abyssal; Dofus Émeraude; Nomade; Chanceux majeur; Miraculé majeur; Remueur; Croum</t>
        </is>
      </c>
    </row>
    <row r="8850">
      <c r="A8850" t="inlineStr">
        <is>
          <t>stiktik</t>
        </is>
      </c>
      <c r="B8850">
        <f>HYPERLINK("https://www.dofusbook.net/fr/equipement/2923589-stiktik/objets", "link")</f>
        <v/>
      </c>
      <c r="C8850" t="n">
        <v>4</v>
      </c>
      <c r="D8850" t="inlineStr">
        <is>
          <t>Harpelle; Pendentif mignon de Koutoulou; Anneau Rifique; Bouclier cubiste; Ceinture de Vortex; Voile d'encre; Bottes Innommables; Dofus Ivoire; Nomade; Vigoureux majeur; Érudit majeur; Remueur; Dévastateur Feu majeur; Muldo Pourpre</t>
        </is>
      </c>
    </row>
    <row r="8851">
      <c r="A8851" t="inlineStr">
        <is>
          <t>Sadida M 200</t>
        </is>
      </c>
      <c r="B8851">
        <f>HYPERLINK("https://www.dofusbook.net/fr/equipement/3623013-sadida-m-200/objets", "link")</f>
        <v/>
      </c>
      <c r="C8851" t="n">
        <v>8</v>
      </c>
      <c r="D8851" t="inlineStr">
        <is>
          <t>Lance Horselé; Collier du Valet Veinard; Alliance Gloursonne; Gant du Valet Veinard; Bouclier cubiste; Sangle Oriole; Coiffe de la Reine des Voleurs; Cape du Valet Veinard; Bottes de la Reine des Voleurs; Dofus Ivoire; Dofus Ocre; Dofus des Glaces; Dofus Turquoise; Ravageur Air majeur; Acrobate majeur; Muldo Ebène</t>
        </is>
      </c>
    </row>
    <row r="8852">
      <c r="A8852" t="inlineStr">
        <is>
          <t>Xélor F 200</t>
        </is>
      </c>
      <c r="B8852">
        <f>HYPERLINK("https://www.dofusbook.net/fr/equipement/3592722-xelor-f-200/objets", "link")</f>
        <v/>
      </c>
      <c r="C8852" t="n">
        <v>4</v>
      </c>
      <c r="D8852" t="inlineStr">
        <is>
          <t>Lav'Hache; Amulette du Cycloïde; Anneau Crustique; Alliance Brûlâme; Sept ans de malheur; Ceinture de la Cour Sombre; Masque de Koutoulou; Voile d'encre; Bottes de la Cour Sombre; Dofus Abyssal; Dofus Ivoire; Remueur; Nomade; Carapace Terre majeur; Étourdisseur majeur; El Scarador</t>
        </is>
      </c>
    </row>
    <row r="8853">
      <c r="A8853" t="inlineStr">
        <is>
          <t>Sacrieur M 200</t>
        </is>
      </c>
      <c r="B8853">
        <f>HYPERLINK("https://www.dofusbook.net/fr/equipement/3482849-sacrieur-m-200/objets", "link")</f>
        <v/>
      </c>
      <c r="C8853" t="n">
        <v>0</v>
      </c>
      <c r="D8853" t="inlineStr">
        <is>
          <t>Pendentif mignon de Koutoulou; Anneau Toriété; Anneau Rifique; Ceinture de Vortex; Masquegel; Cape Martegel; Pantoufles Émar</t>
        </is>
      </c>
    </row>
    <row r="8854">
      <c r="A8854" t="inlineStr">
        <is>
          <t>Sadida M 200</t>
        </is>
      </c>
      <c r="B8854">
        <f>HYPERLINK("https://www.dofusbook.net/fr/equipement/3442315-sadida-m-200/objets", "link")</f>
        <v/>
      </c>
      <c r="C8854" t="n">
        <v>1</v>
      </c>
      <c r="D8854" t="inlineStr">
        <is>
          <t>Amulette Volkorne; Alliance Gloursonne; Anneau Volkorne; Dorabysses; Voile d'encre; Bottes Honyme</t>
        </is>
      </c>
    </row>
    <row r="8855">
      <c r="A8855" t="inlineStr">
        <is>
          <t>Stuff 1</t>
        </is>
      </c>
      <c r="B8855">
        <f>HYPERLINK("https://www.dofusbook.net/fr/equipement/299456-stuff-1/objets", "link")</f>
        <v/>
      </c>
      <c r="C8855" t="n">
        <v>9</v>
      </c>
      <c r="D8855" t="inlineStr">
        <is>
          <t>Epée Loponèze; Amulette Volkorne; Alliance Gloursonne; Anneau Volkorne; Bouclier cubiste; Ceinture Volkorne; Casque du Chalœil; Cape du Chalœil; Bottes du Chalœil; Dolmanax; Dofus Ocre; Dofus Pourpre; Dofus Ivoire; Dofus des Glaces; Dofus Turquoise; Muldo Ebène et Indigo</t>
        </is>
      </c>
    </row>
    <row r="8856">
      <c r="A8856" t="inlineStr">
        <is>
          <t>Stuff 3</t>
        </is>
      </c>
      <c r="B8856">
        <f>HYPERLINK("https://www.dofusbook.net/fr/equipement/299458-stuff-3/objets", "link")</f>
        <v/>
      </c>
      <c r="C8856" t="n">
        <v>5</v>
      </c>
      <c r="D8856" t="inlineStr">
        <is>
          <t>Hache Téroïde; Amulette du Strigide; Alliance Gloursonne; Bracelet du Piloztère; Bouclier cubiste; Ceintacé; Casque du Chalœil; Voile d'encre; Bottes du Strigide; Dofus Pourpre; Dofus Turquoise; Dofus Ivoire; Dofus des Glaces; Carapace Air majeur; Remueur; Muldo Indigo et Pourpre</t>
        </is>
      </c>
    </row>
    <row r="8857">
      <c r="A8857" t="inlineStr">
        <is>
          <t>Sadida F 200</t>
        </is>
      </c>
      <c r="B8857">
        <f>HYPERLINK("https://www.dofusbook.net/fr/equipement/3410045-sadida-f-200/objets", "link")</f>
        <v/>
      </c>
      <c r="C8857" t="n">
        <v>2</v>
      </c>
      <c r="D8857" t="inlineStr">
        <is>
          <t>Dagues Érhy; Amulette de l'Œil Putride; Alliance Gloursonne; Bague Gloursonne; Bouclier cubiste; Ceinture de l'Esprit Salvateur; Masque de l'Esprit Salvateur; Cape de l'Œil Putride; Bottes de l'Esprit Salvateur; Dofus Émeraude; Dofus Ivoire; Dofus Abyssal; Dofus des Glaces; Dofus Pourpre; Dofus Ocre; Muldo Ebène et Pourpre</t>
        </is>
      </c>
    </row>
    <row r="8858">
      <c r="A8858" t="inlineStr">
        <is>
          <t>Stuff 1</t>
        </is>
      </c>
      <c r="B8858">
        <f>HYPERLINK("https://www.dofusbook.net/fr/equipement/299465-stuff-1/objets", "link")</f>
        <v/>
      </c>
      <c r="C8858" t="n">
        <v>5</v>
      </c>
      <c r="D8858" t="inlineStr">
        <is>
          <t>Manthache; Amibou; Alliance Gloursonne; Anneau Tique; Bouclier cubiste; Menoture; Dorabysses; Cape Indescriptible; Palmes Trithons; Dofus Ivoire; Remueur; Nomade; Muldo Ebène et Pourpre</t>
        </is>
      </c>
    </row>
    <row r="8859">
      <c r="A8859" t="inlineStr">
        <is>
          <t>Stuff 2</t>
        </is>
      </c>
      <c r="B8859">
        <f>HYPERLINK("https://www.dofusbook.net/fr/equipement/299457-stuff-2/objets", "link")</f>
        <v/>
      </c>
      <c r="C8859" t="n">
        <v>2</v>
      </c>
      <c r="D8859" t="inlineStr">
        <is>
          <t>Anneau Tique; Alliance Gloursonne; Bouclier cubiste; Ceintacé; Dorabysses; Cape de l'Œil Putride; Pataugastrique; Dofus des Glaces; Dofus Ivoire; Dolmanax; Dofus Pourpre; Nomade; El Scarador</t>
        </is>
      </c>
    </row>
    <row r="8860">
      <c r="A8860" t="inlineStr">
        <is>
          <t>Stuff 1</t>
        </is>
      </c>
      <c r="B8860">
        <f>HYPERLINK("https://www.dofusbook.net/fr/equipement/299459-stuff-1/objets", "link")</f>
        <v/>
      </c>
      <c r="C8860" t="n">
        <v>3</v>
      </c>
      <c r="D8860" t="inlineStr">
        <is>
          <t>Arc corrompu; Talisman Igans; Anneau de Nidas; Anneau Tique; Bouclier cubiste; Ceintacé; Casque Dragoeuf; Voile d'encre; Bottes Owesli; Carapace Neutre majeur; Érudit majeur; Remueur; Carapace Air majeur; Nomade; Miraculé majeur; Muldo Orchidée et Pourpre</t>
        </is>
      </c>
    </row>
    <row r="8861">
      <c r="A8861" t="inlineStr">
        <is>
          <t>feu</t>
        </is>
      </c>
      <c r="B8861">
        <f>HYPERLINK("https://www.dofusbook.net/fr/equipement/1550914-feu/objets", "link")</f>
        <v/>
      </c>
      <c r="C8861" t="n">
        <v>8</v>
      </c>
      <c r="D8861" t="inlineStr">
        <is>
          <t>Sabres d'Atcham; Talisman Glouti; Anneau Tique; Alliance Gloursonne; Bouclier Terrdala; Ceinture de Kongoku; Dorabysses; Cape d'Atcham; Sandales  d'Atcham; Dolmanax; Dofus Abyssal; Dofus Turquoise; Dofus Ocre; Dofus Pourpre; Dofus des Glaces; Muldo Ebène et Indigo</t>
        </is>
      </c>
    </row>
    <row r="8862">
      <c r="A8862" t="inlineStr">
        <is>
          <t>Stuff 2</t>
        </is>
      </c>
      <c r="B8862">
        <f>HYPERLINK("https://www.dofusbook.net/fr/equipement/299460-stuff-2/objets", "link")</f>
        <v/>
      </c>
      <c r="C8862" t="n">
        <v>0</v>
      </c>
      <c r="D8862" t="inlineStr">
        <is>
          <t>Manthache; Amibou; Alliance Gloursonne; Anneau Tique; Bouclier cubiste; Menoture; Dorabysses; Cape Indescriptible; Palmes Trithons; Dofus Abyssal; Remueur; Cascadeur majeur; Muldo Ebène et Pourpre</t>
        </is>
      </c>
    </row>
    <row r="8863">
      <c r="A8863" t="inlineStr">
        <is>
          <t>Stuff 1</t>
        </is>
      </c>
      <c r="B8863">
        <f>HYPERLINK("https://www.dofusbook.net/fr/equipement/299430-stuff-1/objets", "link")</f>
        <v/>
      </c>
      <c r="C8863" t="n">
        <v>6</v>
      </c>
      <c r="D8863" t="inlineStr">
        <is>
          <t>Sabres d'Atcham; Amulette de l'Œil Putride; Alliance Gloursonne; Bracelet du Piloztère; Bouclier cubiste; Ceintacé; Chapeau des Malveilleurs; Voile d'encre; Sandales  d'Atcham; Dofus Turquoise; Dofus Pourpre; Dofus des Glaces; Remueur</t>
        </is>
      </c>
    </row>
    <row r="8864">
      <c r="A8864" t="inlineStr">
        <is>
          <t>Stuff 2</t>
        </is>
      </c>
      <c r="B8864">
        <f>HYPERLINK("https://www.dofusbook.net/fr/equipement/299462-stuff-2/objets", "link")</f>
        <v/>
      </c>
      <c r="C8864" t="n">
        <v>8</v>
      </c>
      <c r="D8864" t="inlineStr">
        <is>
          <t>Bâton Beau; Amulette du Strigide; Alliance Gloursonne; Bracelet du Piloztère; Quatre-feuilles; Ceintacé; Chapeau Lisson; Voile d'encre; Bottes du Strigide; Dofus Pourpre; Vigoureux majeur; Remueur; Fonceur majeur; Nomade; Puissant majeur; Muldo Ebène et Pourpre</t>
        </is>
      </c>
    </row>
    <row r="8865">
      <c r="A8865" t="inlineStr">
        <is>
          <t>Stuff 1</t>
        </is>
      </c>
      <c r="B8865">
        <f>HYPERLINK("https://www.dofusbook.net/fr/equipement/299439-stuff-1/objets", "link")</f>
        <v/>
      </c>
      <c r="C8865" t="n">
        <v>2</v>
      </c>
      <c r="D8865" t="inlineStr">
        <is>
          <t>Amulette d'Ilyzaelle; Anneau Toriété; Alliance Gloursonne; Casque d'Ilyzaelle; Chevelure de Tal Kasha; Dofus Ivoire; Dofus Pourpre; Vigoureux majeur; Étourdisseur majeur; Remueur</t>
        </is>
      </c>
    </row>
    <row r="8866">
      <c r="A8866" t="inlineStr">
        <is>
          <t>PvP Vita/Do pou</t>
        </is>
      </c>
      <c r="B8866">
        <f>HYPERLINK("https://www.dofusbook.net/fr/equipement/3010983-pvp-vita-do-pou/objets", "link")</f>
        <v/>
      </c>
      <c r="C8866" t="n">
        <v>4</v>
      </c>
      <c r="D8866" t="inlineStr">
        <is>
          <t>Alliance Gloursonne; Bague Trithon; Bouclier précieux; Pagne du Rykaon; Masque d'Anerice; Cape d'Anerice; Bottistik; Dofus Émeraude; Dofus Abyssal; Bousculeur majeur; Remueur; Miraculé majeur; Culbuteur majeur</t>
        </is>
      </c>
    </row>
    <row r="8867">
      <c r="A8867" t="inlineStr">
        <is>
          <t>Yaaa roxini</t>
        </is>
      </c>
      <c r="B8867">
        <f>HYPERLINK("https://www.dofusbook.net/fr/equipement/2981681-yaaa-roxini/objets", "link")</f>
        <v/>
      </c>
      <c r="C8867" t="n">
        <v>3</v>
      </c>
      <c r="D8867" t="inlineStr">
        <is>
          <t>Hache du Chalœil; Amulette du Strigide; Bracelet du Piloztère; Alliance Gloursonne; Quatre-feuilles; Ceintacé; Masque Trithon; Voile d'encre; Bottes Trithon; Dofus Abyssal; Dofus Pourpre; Dofus Turquoise; Dolmanax; Nomade; Remueur; Muldo Pourpre et Emeraude</t>
        </is>
      </c>
    </row>
    <row r="8868">
      <c r="A8868" t="inlineStr">
        <is>
          <t>Yaaa roxini</t>
        </is>
      </c>
      <c r="B8868">
        <f>HYPERLINK("https://www.dofusbook.net/fr/equipement/2981213-yaaa-roxini/objets", "link")</f>
        <v/>
      </c>
      <c r="C8868" t="n">
        <v>2</v>
      </c>
      <c r="D8868" t="inlineStr">
        <is>
          <t>Hache du Chalœil; Amulette de Pol Ouatnos; Bague Gloursonne; Bracelet du Piloztère; Quatre-feuilles; Ceintacé; Casque du Chalœil; Voile d'encre; Bottes du Chalœil; Dofus Turquoise; Dolmanax; Dofus Abyssal; Dofus Pourpre; Remueur; Nomade; Kramkram</t>
        </is>
      </c>
    </row>
    <row r="8869">
      <c r="A8869" t="inlineStr">
        <is>
          <t>oiseau du temps</t>
        </is>
      </c>
      <c r="B8869">
        <f>HYPERLINK("https://www.dofusbook.net/fr/equipement/2898004-oiseau-du-temps/objets", "link")</f>
        <v/>
      </c>
      <c r="C8869" t="n">
        <v>11</v>
      </c>
      <c r="D8869" t="inlineStr">
        <is>
          <t>Héqache; Amulette du Strigide; Bague Gloursonne; Goulano; Bouclier du Captain Amakna; Ceinture du Strigide; Masque Brûlâme; Voile d'encre; Bottes Honyme; Dofus des Glaces; Dofus Pourpre; Dofus Turquoise; Vigoureux majeur; Remueur; Nomade</t>
        </is>
      </c>
    </row>
    <row r="8870">
      <c r="A8870" t="inlineStr">
        <is>
          <t>sungha</t>
        </is>
      </c>
      <c r="B8870">
        <f>HYPERLINK("https://www.dofusbook.net/fr/equipement/2942760-sungha/objets", "link")</f>
        <v/>
      </c>
      <c r="C8870" t="n">
        <v>4</v>
      </c>
      <c r="D8870" t="inlineStr">
        <is>
          <t>Sceptre du Roi Joueur; Amulette de Shokkoth; Alliance Gloursonne; Bracelet des Fonds marins; Bouclier du Stalak; Poulpagne; Masque d'Anerice; Cape d'Anerice; Bottes du Sinistrofu; Dofus Émeraude; Dofus Abyssal; Nomade; Chanceux majeur; Miraculé majeur; Remueur; Croum</t>
        </is>
      </c>
    </row>
    <row r="8871">
      <c r="A8871" t="inlineStr">
        <is>
          <t>Suguha-Kirigaya</t>
        </is>
      </c>
      <c r="B8871">
        <f>HYPERLINK("https://www.dofusbook.net/fr/equipement/2896945-suguha-kirigaya/objets", "link")</f>
        <v/>
      </c>
      <c r="C8871" t="n">
        <v>0</v>
      </c>
      <c r="D8871" t="inlineStr"/>
    </row>
    <row r="8872">
      <c r="A8872" t="inlineStr">
        <is>
          <t>Stuff 1</t>
        </is>
      </c>
      <c r="B8872">
        <f>HYPERLINK("https://www.dofusbook.net/fr/equipement/299436-stuff-1/objets", "link")</f>
        <v/>
      </c>
      <c r="C8872" t="n">
        <v>1</v>
      </c>
      <c r="D8872" t="inlineStr">
        <is>
          <t>Bâton Beau; Amulette du Strigide; Grésilanneau; Bracelet du Piloztère; Quatre-feuilles; Ceinture du Strigide; Le Dorado; Cape Reski; Bottes du Chalœil; Dofus Turquoise; Dolmanax; Dofus Ocre; Dofus Pourpre; Dofus des Glaces; Vigoureux majeur; Muldo Prune et Emeraude</t>
        </is>
      </c>
    </row>
    <row r="8873">
      <c r="A8873" t="inlineStr">
        <is>
          <t>Kirit</t>
        </is>
      </c>
      <c r="B8873">
        <f>HYPERLINK("https://www.dofusbook.net/fr/equipement/2336898-kirit/objets", "link")</f>
        <v/>
      </c>
      <c r="C8873" t="n">
        <v>1</v>
      </c>
      <c r="D8873" t="inlineStr">
        <is>
          <t>Hache du Chalœil; Amulette du Strigide; Alliance Gloursonne; Bracelet du Piloztère; Quatre-feuilles; Ceintacé; Casque du Chalœil; Voile d'encre; Bottes du Chalœil; Dofus Ocre; Dofus Pourpre; Dofus des Glaces; Dofus Turquoise; Nomade; Vigoureux majeur; Muldo Prune et Emeraude</t>
        </is>
      </c>
    </row>
    <row r="8874">
      <c r="A8874" t="inlineStr">
        <is>
          <t>Stuff 3</t>
        </is>
      </c>
      <c r="B8874">
        <f>HYPERLINK("https://www.dofusbook.net/fr/equipement/299438-stuff-3/objets", "link")</f>
        <v/>
      </c>
      <c r="C8874" t="n">
        <v>0</v>
      </c>
      <c r="D8874" t="inlineStr">
        <is>
          <t>Hache du Chalœil; Amulette du Strigide; Bracelet du Piloztère; Alliance Gloursonne; Quatre-feuilles; Ceintacé; Chapeau Lisson; Voile d'encre; Bottes du Strigide; Dofus Nébuleux; Dofus des Glaces; Dolmanax; Dofus Turquoise; Dofus Pourpre; Dofus Ocre; Muldo Prune et Emeraude</t>
        </is>
      </c>
    </row>
    <row r="8875">
      <c r="A8875" t="inlineStr">
        <is>
          <t>ljkhn</t>
        </is>
      </c>
      <c r="B8875">
        <f>HYPERLINK("https://www.dofusbook.net/fr/equipement/2150675-ljkhn/objets", "link")</f>
        <v/>
      </c>
      <c r="C8875" t="n">
        <v>2</v>
      </c>
      <c r="D8875" t="inlineStr">
        <is>
          <t>Epée Kari; Amulette du Strigide; Grésilanneau; Bracelet du Piloztère; Quatre-feuilles; Ceintacé; Coiffe Ranshi; Cape Reski; Bottes du Strigide; Dofus des Glaces; Dofus Pourpre; Vigoureux; Nomade; Robuste majeur; Vigoureux majeur; Dragodinde en armure</t>
        </is>
      </c>
    </row>
    <row r="8876">
      <c r="A8876" t="inlineStr">
        <is>
          <t>rox</t>
        </is>
      </c>
      <c r="B8876">
        <f>HYPERLINK("https://www.dofusbook.net/fr/equipement/1855483-rox/objets", "link")</f>
        <v/>
      </c>
      <c r="C8876" t="n">
        <v>5</v>
      </c>
      <c r="D8876" t="inlineStr">
        <is>
          <t>Hache du Chalœil; Amulette du Strigide; Chevalière du Roi Joueur; Bracelet du Piloztère; Quatre-feuilles; Ceinture du Strigide; Bonnet Ko; Cape de la Dame du Hasard; Bottes du Chalœil; Dofus Turquoise; Dofus Pourpre; Dofus Ocre; Nomade; Remueur; Vigoureux majeur; Muldo Indigo et Emeraude</t>
        </is>
      </c>
    </row>
    <row r="8877">
      <c r="A8877" t="inlineStr">
        <is>
          <t>Stuff 1</t>
        </is>
      </c>
      <c r="B8877">
        <f>HYPERLINK("https://www.dofusbook.net/fr/equipement/299475-stuff-1/objets", "link")</f>
        <v/>
      </c>
      <c r="C8877" t="n">
        <v>2</v>
      </c>
      <c r="D8877" t="inlineStr">
        <is>
          <t>Hache du Chalœil; Amulette du Strigide; Alliance Gloursonne; Bracelet du Piloztère; Quatre-feuilles; Ceintacé; Casque du Chalœil; Voile d'encre; Bottes du Chalœil; Dofus Ocre; Dofus Émeraude; Dofus Pourpre; Dofus Turquoise; Vigoureux majeur; Nomade; Muldo Prune et Emeraude</t>
        </is>
      </c>
    </row>
    <row r="8878">
      <c r="A8878" t="inlineStr">
        <is>
          <t>Stuff 3</t>
        </is>
      </c>
      <c r="B8878">
        <f>HYPERLINK("https://www.dofusbook.net/fr/equipement/299463-stuff-3/objets", "link")</f>
        <v/>
      </c>
      <c r="C8878" t="n">
        <v>1</v>
      </c>
      <c r="D8878" t="inlineStr">
        <is>
          <t>Epée Kari; Ougamulette; Anneau du Père Fwetar; Grésilanneau; Quatre-feuilles; Ougature; Chapeau Lisson; Cape Matelassée; Pantoufles Émar; Nomade; Vigoureux majeur; Vigoureux; Remueur; Puissant majeur; Sanguinaire majeur; Muldo Doré et Emeraude</t>
        </is>
      </c>
    </row>
    <row r="8879">
      <c r="A8879" t="inlineStr">
        <is>
          <t>Stuff 3</t>
        </is>
      </c>
      <c r="B8879">
        <f>HYPERLINK("https://www.dofusbook.net/fr/equipement/299447-stuff-3/objets", "link")</f>
        <v/>
      </c>
      <c r="C8879" t="n">
        <v>0</v>
      </c>
      <c r="D8879" t="inlineStr">
        <is>
          <t>Arc de Koutoulou; Amulette d'Ilyzaelle; Alliance Gloursonne; Anneau du Cycloïde; Bouclier du Stalak; Menoture; Casque d'Ilyzaelle; Cape de l'Œil Putride; Dofus des Glaces; Dofus Pourpre; Cascadeur majeur; Chanceux majeur; Equilibriste majeur; Remueur; Muldo Doré et Ebène</t>
        </is>
      </c>
    </row>
    <row r="8880">
      <c r="A8880" t="inlineStr">
        <is>
          <t>Pano de class</t>
        </is>
      </c>
      <c r="B8880">
        <f>HYPERLINK("https://www.dofusbook.net/fr/equipement/1858281-pano-de-class/objets", "link")</f>
        <v/>
      </c>
      <c r="C8880" t="n">
        <v>0</v>
      </c>
      <c r="D8880" t="inlineStr">
        <is>
          <t>Anneau Bhli; Sangle Cible; Coiffe de Robbie Capuche; Cape Hulco; Bottes Deuradi</t>
        </is>
      </c>
    </row>
    <row r="8881">
      <c r="A8881" t="inlineStr">
        <is>
          <t>ocre</t>
        </is>
      </c>
      <c r="B8881">
        <f>HYPERLINK("https://www.dofusbook.net/fr/equipement/1855914-ocre/objets", "link")</f>
        <v/>
      </c>
      <c r="C8881" t="n">
        <v>1</v>
      </c>
      <c r="D8881" t="inlineStr">
        <is>
          <t>Epée Gloursonne; Talisman Igans; Bague Gloursonne; Alliance Gloursonne; Ceintrigue; Coiffe du Lévitrof; Cape de la Dame du Hasard; Bottes Owesli; Dofus Pourpre; Dofus Ocre; Dofus Émeraude; Dofus des Glaces; Dofus Turquoise; Dofus Abyssal</t>
        </is>
      </c>
    </row>
    <row r="8882">
      <c r="A8882" t="inlineStr">
        <is>
          <t>mgs test</t>
        </is>
      </c>
      <c r="B8882">
        <f>HYPERLINK("https://www.dofusbook.net/fr/equipement/1855742-mgs-test/objets", "link")</f>
        <v/>
      </c>
      <c r="C8882" t="n">
        <v>5</v>
      </c>
      <c r="D8882" t="inlineStr">
        <is>
          <t>Arc Nécrotique; Talisman Igans; Bracelet des Fonds marins; Alliance Gloursonne; Bouclier cubiste; Ceintrigue; Casquette de Meno; Cape de la Dame du Hasard; Pataugastrique; Dofus Pourpre; Dofus Turquoise; Dofus Abyssal; Nomade; Remueur; Chanceux majeur; Muldo Prune et Indigo</t>
        </is>
      </c>
    </row>
    <row r="8883">
      <c r="A8883" t="inlineStr">
        <is>
          <t>pano air</t>
        </is>
      </c>
      <c r="B8883">
        <f>HYPERLINK("https://www.dofusbook.net/fr/equipement/1769764-pano-air/objets", "link")</f>
        <v/>
      </c>
      <c r="C8883" t="n">
        <v>1</v>
      </c>
      <c r="D8883" t="inlineStr">
        <is>
          <t>Alliance Gloursonne; Cape Indescriptible; Remueur; Nomade</t>
        </is>
      </c>
    </row>
    <row r="8884">
      <c r="A8884" t="inlineStr">
        <is>
          <t>INI</t>
        </is>
      </c>
      <c r="B8884">
        <f>HYPERLINK("https://www.dofusbook.net/fr/equipement/770926-ini/objets", "link")</f>
        <v/>
      </c>
      <c r="C8884" t="n">
        <v>2</v>
      </c>
      <c r="D8884" t="inlineStr">
        <is>
          <t>Baguette Héroclite; Amulette de Shokkoth; Bracelet des Fonds marins; Alliance Gloursonne; Poulpagne; Kidibonnet; Cape Solution; Sandales des Fonds marins; Dofus Pourpre; Dofus Abyssal; Dofus des Glaces; Dofus Ivoire; Nomade; Chanceux majeur; Muldo Indigo et Pourpre</t>
        </is>
      </c>
    </row>
    <row r="8885">
      <c r="A8885" t="inlineStr">
        <is>
          <t>stuff 200</t>
        </is>
      </c>
      <c r="B8885">
        <f>HYPERLINK("https://www.dofusbook.net/fr/equipement/1065505-stuff-200/objets", "link")</f>
        <v/>
      </c>
      <c r="C8885" t="n">
        <v>2</v>
      </c>
      <c r="D8885" t="inlineStr">
        <is>
          <t>Arc de Koutoulou; Amulette du Strigide; Bracelet du Piloztère; Alliance Gloursonne; Ceinture du Strigide; Némès de Tal Kasha; Chevelure de Tal Kasha; Sandales de Tal Kasha; Dofus Ocre; Dofus Turquoise; Dokoko; Dofus Nébuleux; Dofus Émeraude; Dofus Pourpre; Muldo Ebène et Indigo</t>
        </is>
      </c>
    </row>
    <row r="8886">
      <c r="A8886" t="inlineStr">
        <is>
          <t>Stuff 3</t>
        </is>
      </c>
      <c r="B8886">
        <f>HYPERLINK("https://www.dofusbook.net/fr/equipement/299450-stuff-3/objets", "link")</f>
        <v/>
      </c>
      <c r="C8886" t="n">
        <v>2</v>
      </c>
      <c r="D8886" t="inlineStr">
        <is>
          <t>Epée Gloursonne; Amulette de l'Œil Putride; Bague Gloursonne; Alliance Gloursonne; Ceintrigue; Capuche de l'Œil Putride; Cape de l'Œil Putride; Bottes Owesli; Dofus des Glaces; Dofus Pourpre; Dofus Turquoise; Dofus Ocre; Voyageur; Dragodinde en armure</t>
        </is>
      </c>
    </row>
    <row r="8887">
      <c r="A8887" t="inlineStr">
        <is>
          <t>vitaa</t>
        </is>
      </c>
      <c r="B8887">
        <f>HYPERLINK("https://www.dofusbook.net/fr/equipement/1034659-vitaa/objets", "link")</f>
        <v/>
      </c>
      <c r="C8887" t="n">
        <v>1</v>
      </c>
      <c r="D8887" t="inlineStr">
        <is>
          <t>Pelle de la Cour Sombre; Collier du Valet Veinard; Bague Trithon; Gant du Valet Veinard; Ceinture Séculaire; Masque Trithon; Cape du Valet Veinard; Bottes Trithon; Dofus Ocre; Dofus Abyssal; Dolmanax; Dofus des Glaces; Dofus Pourpre; Dofus Turquoise; Muldo Ebène et Pourpre</t>
        </is>
      </c>
    </row>
    <row r="8888">
      <c r="A8888" t="inlineStr">
        <is>
          <t>Stuff 1</t>
        </is>
      </c>
      <c r="B8888">
        <f>HYPERLINK("https://www.dofusbook.net/fr/equipement/299479-stuff-1/objets", "link")</f>
        <v/>
      </c>
      <c r="C8888" t="n">
        <v>3</v>
      </c>
      <c r="D8888" t="inlineStr">
        <is>
          <t>Harpelle; Amulette Ementaire Deluxe; Anneau Tique; Alliance du Lévitrof; Roncier; Ceinture de Vortex; Cagoule de Vortex; Voile d'encre; Pataugastrique; Dofus Émeraude; Carapace Terre majeur; Remueur; Carapace Feu majeur; Érudit majeur; Nomade; Kramkram</t>
        </is>
      </c>
    </row>
    <row r="8889">
      <c r="A8889" t="inlineStr">
        <is>
          <t>lahbbbib</t>
        </is>
      </c>
      <c r="B8889">
        <f>HYPERLINK("https://www.dofusbook.net/fr/equipement/709188-lahbbbib/objets", "link")</f>
        <v/>
      </c>
      <c r="C8889" t="n">
        <v>1</v>
      </c>
      <c r="D8889" t="inlineStr">
        <is>
          <t>Rapière aux Glyphes; Amulette de Danathor; Annolamour; Anneau Aimgéroks; Ceinture de Danathor; Coiffe de Danathor; Cape d'Ogivol; Les Maidartes; Dofus Cawotte; Dokoko; Survivant majeur; Joueur majeur; Puissant majeur; Ravageur Eau majeur; Muldo Indigo et Emeraude</t>
        </is>
      </c>
    </row>
    <row r="8890">
      <c r="A8890" t="inlineStr">
        <is>
          <t>Stuff 2</t>
        </is>
      </c>
      <c r="B8890">
        <f>HYPERLINK("https://www.dofusbook.net/fr/equipement/299452-stuff-2/objets", "link")</f>
        <v/>
      </c>
      <c r="C8890" t="n">
        <v>2</v>
      </c>
      <c r="D8890" t="inlineStr">
        <is>
          <t>Marteau Phossile; Amulette Ementaire Deluxe; Anneau de Nidas; Bague Gloursonne; Carapar; Ceinture de Vortex; Cagoule de Vortex; Voile d'encre; Pataugastrique; Dolmanax; Dofus Pourpre; Dofus Émeraude; Nomade; Érudit majeur; Remueur; Dragodinde en armure</t>
        </is>
      </c>
    </row>
    <row r="8891">
      <c r="A8891" t="inlineStr">
        <is>
          <t>Stuff 2</t>
        </is>
      </c>
      <c r="B8891">
        <f>HYPERLINK("https://www.dofusbook.net/fr/equipement/299482-stuff-2/objets", "link")</f>
        <v/>
      </c>
      <c r="C8891" t="n">
        <v>2</v>
      </c>
      <c r="D8891" t="inlineStr">
        <is>
          <t>Lav'Hache; Collier Rophante; Anneau de Pol Ouatnos; Alliance Gloursonne; Bouclier d'Anerice; Ceintacé; Casque Dragoeuf; Cape d'Anerice; Bottes Trithon; Dofus Émeraude; Remueur; Miraculé majeur</t>
        </is>
      </c>
    </row>
    <row r="8892">
      <c r="A8892" t="inlineStr">
        <is>
          <t>Stuff 2</t>
        </is>
      </c>
      <c r="B8892">
        <f>HYPERLINK("https://www.dofusbook.net/fr/equipement/299470-stuff-2/objets", "link")</f>
        <v/>
      </c>
      <c r="C8892" t="n">
        <v>2</v>
      </c>
      <c r="D8892" t="inlineStr">
        <is>
          <t>Epée Gloursonne; Amulette de l'Indicible; Alliance Gloursonne; Bague Gloursonne; Ceinture de l'Indicible; Casque du Chalœil; Cape du Chalœil; Bottes de l'Indicible; Dofus des Glaces; Dofus Ocre; Dofus Pourpre; Dolmanax; Dofus Vulbis; Dofus Turquoise; Dragodinde en armure</t>
        </is>
      </c>
    </row>
    <row r="8893">
      <c r="A8893" t="inlineStr">
        <is>
          <t>Stuff 2</t>
        </is>
      </c>
      <c r="B8893">
        <f>HYPERLINK("https://www.dofusbook.net/fr/equipement/299455-stuff-2/objets", "link")</f>
        <v/>
      </c>
      <c r="C8893" t="n">
        <v>2</v>
      </c>
      <c r="D8893" t="inlineStr">
        <is>
          <t>Dagues Érhy; Amulette du Strigide; Bague Gloursonne; Anneau de Brouce; Ceinture de Brouce; Casque de Missiz Frizz; Cape au Logis; Sabots Minables; Dévastateur Terre majeur; Nomade; Vigoureux majeur; Remueur; Puissant majeur; Enragé majeur; Kwaltess</t>
        </is>
      </c>
    </row>
    <row r="8894">
      <c r="A8894" t="inlineStr">
        <is>
          <t>Stuff 3</t>
        </is>
      </c>
      <c r="B8894">
        <f>HYPERLINK("https://www.dofusbook.net/fr/equipement/299444-stuff-3/objets", "link")</f>
        <v/>
      </c>
      <c r="C8894" t="n">
        <v>7</v>
      </c>
      <c r="D8894" t="inlineStr">
        <is>
          <t>Dagues d'Ilyzaelle; Amulette de Gein; Bracelet du Piloztère; Bague Gloursonne; Bouclier du Captain Amakna; Ceintacé; Chapeau de Gein; Voile d'encre; Bottes Honyme; Dofus Turquoise; Dofus Abyssal; Dofus Pourpre; Dofus des Glaces; Enragé majeur; Érudit majeur</t>
        </is>
      </c>
    </row>
    <row r="8895">
      <c r="A8895" t="inlineStr">
        <is>
          <t>Stuff 1</t>
        </is>
      </c>
      <c r="B8895">
        <f>HYPERLINK("https://www.dofusbook.net/fr/equipement/299478-stuff-1/objets", "link")</f>
        <v/>
      </c>
      <c r="C8895" t="n">
        <v>1</v>
      </c>
      <c r="D8895" t="inlineStr">
        <is>
          <t>Rapière aux Glyphes; Amulette du Sinistrofu; Bracelet du Piloztère; Alliance Gloursonne; Sangle Ouare; Kidibonnet; Cape Matelassée; Bottes du Sinistrofu; Dofus Pourpre; Dévastateur Eau majeur; Nomade; Vigoureux majeur; Remueur; Chanceux majeur; Dragodinde en armure</t>
        </is>
      </c>
    </row>
    <row r="8896">
      <c r="A8896" t="inlineStr">
        <is>
          <t>Stuff 1</t>
        </is>
      </c>
      <c r="B8896">
        <f>HYPERLINK("https://www.dofusbook.net/fr/equipement/299472-stuff-1/objets", "link")</f>
        <v/>
      </c>
      <c r="C8896" t="n">
        <v>2</v>
      </c>
      <c r="D8896" t="inlineStr">
        <is>
          <t>Epée Gloursonne; Kralamansion; Annolamour; Kralano; Ceinture de Léthaline; Chapeau Potin; Cape de Léthaline; Bottes de Léthaline; Dofus Cawotte; Dofus Pourpre; Furibond majeur; Puissant majeur; Survivant majeur; Robuste majeur; Dragoune Rose</t>
        </is>
      </c>
    </row>
    <row r="8897">
      <c r="A8897" t="inlineStr">
        <is>
          <t>Stuff 2</t>
        </is>
      </c>
      <c r="B8897">
        <f>HYPERLINK("https://www.dofusbook.net/fr/equipement/299434-stuff-2/objets", "link")</f>
        <v/>
      </c>
      <c r="C8897" t="n">
        <v>10</v>
      </c>
      <c r="D8897" t="inlineStr">
        <is>
          <t>Marteau R'ture; Amulette du Cœur Saignant; Bague Gloursonne; Anneau Crustique; Bouclier du Captain Amakna; Ceintouse; Masque de Koutoulou; Cape au Logis; Bottes du Cœur Saignant; Dofus Turquoise; Dofus des Glaces; Dofus Pourpre; Remueur; Enragé majeur; Vigoureux majeur; Muldo Indigo et Pourpre</t>
        </is>
      </c>
    </row>
    <row r="8898">
      <c r="A8898" t="inlineStr">
        <is>
          <t>Stuff 1</t>
        </is>
      </c>
      <c r="B8898">
        <f>HYPERLINK("https://www.dofusbook.net/fr/equipement/299451-stuff-1/objets", "link")</f>
        <v/>
      </c>
      <c r="C8898" t="n">
        <v>1</v>
      </c>
      <c r="D8898" t="inlineStr">
        <is>
          <t>Manthache; Amulette du Cycloïde; Anneau d'Allister; Alliance Gloursonne; Culotte de Bethel; Couronne d'Allister; Cape du Kamasterisk; Palmes Trithons; Dofus Pourpre; Dolmanax; Dofus des Glaces; Cascadeur majeur; Nomade; Remueur</t>
        </is>
      </c>
    </row>
    <row r="8899">
      <c r="A8899" t="inlineStr">
        <is>
          <t>Stuff 2</t>
        </is>
      </c>
      <c r="B8899">
        <f>HYPERLINK("https://www.dofusbook.net/fr/equipement/299446-stuff-2/objets", "link")</f>
        <v/>
      </c>
      <c r="C8899" t="n">
        <v>0</v>
      </c>
      <c r="D8899" t="inlineStr">
        <is>
          <t>Épée d'Otomaï; Pendentif affamé; Anneau Tamie; Bague Gloursonne; Bouclier du Stalak; Ceinture Séculaire; Coiffe Séculaire; Cape de Diondin; Bottes Innommables; Savant majeur; Remueur; Dévastateur Feu majeur; Astucieux majeur; Nomade; Érudit majeur; Brûlih</t>
        </is>
      </c>
    </row>
    <row r="8900">
      <c r="A8900" t="inlineStr">
        <is>
          <t>Stuff 1</t>
        </is>
      </c>
      <c r="B8900">
        <f>HYPERLINK("https://www.dofusbook.net/fr/equipement/299481-stuff-1/objets", "link")</f>
        <v/>
      </c>
      <c r="C8900" t="n">
        <v>4</v>
      </c>
      <c r="D8900" t="inlineStr">
        <is>
          <t>Héqache; Amulette du Strigide; Alliance Gloursonne; Anneau Toriété; Bouclier précieux; Ceinture du Strigide; Masque d'Anerice; Voile d'encre; Baleinabottes; Dofus Émeraude; Dofus Abyssal; Bousculeur majeur; Remueur; Culbuteur majeur; Miraculé majeur; Muldo Ebène et Pourpre</t>
        </is>
      </c>
    </row>
    <row r="8901">
      <c r="A8901" t="inlineStr">
        <is>
          <t>Stuff 3</t>
        </is>
      </c>
      <c r="B8901">
        <f>HYPERLINK("https://www.dofusbook.net/fr/equipement/299441-stuff-3/objets", "link")</f>
        <v/>
      </c>
      <c r="C8901" t="n">
        <v>2</v>
      </c>
      <c r="D8901" t="inlineStr">
        <is>
          <t>Dagues de Srambad; Amulette du Strigide; Bracelet du Piloztère; Alliance Gloursonne; Ceintacé; Voile d'encre; Bottes du Strigide; Dofus Émeraude; Enragé majeur; Remueur; Vigoureux majeur; Nomade; Chanceux majeur; Dragodinde en armure</t>
        </is>
      </c>
    </row>
    <row r="8902">
      <c r="A8902" t="inlineStr">
        <is>
          <t>Stuff 1</t>
        </is>
      </c>
      <c r="B8902">
        <f>HYPERLINK("https://www.dofusbook.net/fr/equipement/299454-stuff-1/objets", "link")</f>
        <v/>
      </c>
      <c r="C8902" t="n">
        <v>1</v>
      </c>
      <c r="D8902" t="inlineStr">
        <is>
          <t>Poolache; Amulette du Strigide; Alliance Gloursonne; Bracelet du Piloztère; Bouclier cubiste; Ceintacé; Chapeau Lisson; Voile d'encre; Bottes du Strigide; Dofus Turquoise; Dofus Ocre; Dofus Nébuleux; Dofus des Glaces; Dofus Pourpre; Dofus Abyssal; Muldo Ebène et Indigo</t>
        </is>
      </c>
    </row>
    <row r="8903">
      <c r="A8903" t="inlineStr">
        <is>
          <t>Stuff 3</t>
        </is>
      </c>
      <c r="B8903">
        <f>HYPERLINK("https://www.dofusbook.net/fr/equipement/299483-stuff-3/objets", "link")</f>
        <v/>
      </c>
      <c r="C8903" t="n">
        <v>1</v>
      </c>
      <c r="D8903" t="inlineStr">
        <is>
          <t>Manthache; Alliance Gloursonne; Menoture; Chapeau de Tournoyé; Cape de Crânonier; Palmes Trithons; Dofus Abyssal; Dofus Émeraude; Nomade; Miraculé majeur; Survivant majeur; Remueur</t>
        </is>
      </c>
    </row>
    <row r="8904">
      <c r="A8904" t="inlineStr">
        <is>
          <t>Stuff 2</t>
        </is>
      </c>
      <c r="B8904">
        <f>HYPERLINK("https://www.dofusbook.net/fr/equipement/299434-stuff-2/objets", "link")</f>
        <v/>
      </c>
      <c r="C8904" t="n">
        <v>10</v>
      </c>
      <c r="D8904" t="inlineStr">
        <is>
          <t>Marteau R'ture; Amulette du Cœur Saignant; Bague Gloursonne; Anneau Crustique; Bouclier du Captain Amakna; Ceintouse; Masque de Koutoulou; Cape au Logis; Bottes du Cœur Saignant; Dofus des Glaces; Dofus Pourpre; Dofus Turquoise; Enragé majeur; Vigoureux majeur; Remueur; Muldo Indigo et Pourpre</t>
        </is>
      </c>
    </row>
    <row r="8905">
      <c r="A8905" t="inlineStr">
        <is>
          <t>Stuff 1</t>
        </is>
      </c>
      <c r="B8905">
        <f>HYPERLINK("https://www.dofusbook.net/fr/equipement/299451-stuff-1/objets", "link")</f>
        <v/>
      </c>
      <c r="C8905" t="n">
        <v>1</v>
      </c>
      <c r="D8905" t="inlineStr">
        <is>
          <t>Manthache; Amulette du Cycloïde; Alliance Gloursonne; Anneau d'Allister; Culotte de Bethel; Couronne d'Allister; Cape du Kamasterisk; Palmes Trithons; Dolmanax; Dofus des Glaces; Dofus Pourpre; Nomade; Remueur; Cascadeur majeur</t>
        </is>
      </c>
    </row>
    <row r="8906">
      <c r="A8906" t="inlineStr">
        <is>
          <t>Stuff 2</t>
        </is>
      </c>
      <c r="B8906">
        <f>HYPERLINK("https://www.dofusbook.net/fr/equipement/299446-stuff-2/objets", "link")</f>
        <v/>
      </c>
      <c r="C8906" t="n">
        <v>0</v>
      </c>
      <c r="D8906" t="inlineStr">
        <is>
          <t>Épée d'Otomaï; Pendentif affamé; Bague Gloursonne; Anneau Tamie; Bouclier du Stalak; Ceinture Séculaire; Coiffe Séculaire; Cape de Diondin; Bottes Innommables; Savant majeur; Remueur; Dévastateur Feu majeur; Astucieux majeur; Nomade; Érudit majeur; Brûlih</t>
        </is>
      </c>
    </row>
    <row r="8907">
      <c r="A8907" t="inlineStr">
        <is>
          <t>Stuff 1</t>
        </is>
      </c>
      <c r="B8907">
        <f>HYPERLINK("https://www.dofusbook.net/fr/equipement/299481-stuff-1/objets", "link")</f>
        <v/>
      </c>
      <c r="C8907" t="n">
        <v>4</v>
      </c>
      <c r="D8907" t="inlineStr">
        <is>
          <t>Héqache; Amulette du Strigide; Anneau Toriété; Alliance Gloursonne; Bouclier précieux; Ceinture du Strigide; Masque d'Anerice; Voile d'encre; Baleinabottes; Dofus Abyssal; Dofus Émeraude; Bousculeur majeur; Remueur; Culbuteur majeur; Miraculé majeur; Muldo Ebène et Pourpre</t>
        </is>
      </c>
    </row>
    <row r="8908">
      <c r="A8908" t="inlineStr">
        <is>
          <t>Stuff 3</t>
        </is>
      </c>
      <c r="B8908">
        <f>HYPERLINK("https://www.dofusbook.net/fr/equipement/299441-stuff-3/objets", "link")</f>
        <v/>
      </c>
      <c r="C8908" t="n">
        <v>2</v>
      </c>
      <c r="D8908" t="inlineStr">
        <is>
          <t>Dagues de Srambad; Amulette du Strigide; Bracelet du Piloztère; Alliance Gloursonne; Ceintacé; Voile d'encre; Bottes du Strigide; Dofus Émeraude; Remueur; Vigoureux majeur; Nomade; Chanceux majeur; Enragé majeur; Dragodinde en armure</t>
        </is>
      </c>
    </row>
    <row r="8909">
      <c r="A8909" t="inlineStr">
        <is>
          <t>Air</t>
        </is>
      </c>
      <c r="B8909">
        <f>HYPERLINK("https://www.dofusbook.net/fr/equipement/5726891-air/objets", "link")</f>
        <v/>
      </c>
      <c r="C8909" t="n">
        <v>1</v>
      </c>
      <c r="D8909" t="inlineStr">
        <is>
          <t>Karnak; Collier du Valet Veinard; Gant du Valet Veinard; Alliance Gloursonne; Droiture de Fallanster; Menoture; Dorabysses; Cape du Kamasterisk; Palmes Trithons; Dofus Ocre; Dolmanax; Dofus Émeraude; Cascadeur majeur; Acrobate majeur; Miraculé majeur; Blérodoudou</t>
        </is>
      </c>
    </row>
    <row r="8910">
      <c r="A8910" t="inlineStr">
        <is>
          <t>Multi/pui/4invo</t>
        </is>
      </c>
      <c r="B8910">
        <f>HYPERLINK("https://www.dofusbook.net/fr/equipement/4231401-multi-pui-4invo/objets", "link")</f>
        <v/>
      </c>
      <c r="C8910" t="n">
        <v>1</v>
      </c>
      <c r="D8910" t="inlineStr">
        <is>
          <t>Crocobur; Amulette du Strigide; Anneau de Pol Ouatnos; Bracelet du Piloztère; Bouclier du Captain Amakna; Ceintacé; Casque Dragoeuf; Capille; Bottes du Strigide; Dofus Pourpre; Dofus Ivoire; Nomade; Vigoureux majeur; Remueur; Puissant majeur; Pioute violet</t>
        </is>
      </c>
    </row>
    <row r="8911">
      <c r="A8911" t="inlineStr">
        <is>
          <t>Terre-GrosseRes</t>
        </is>
      </c>
      <c r="B8911">
        <f>HYPERLINK("https://www.dofusbook.net/fr/equipement/4677368-terre-grosseres/objets", "link")</f>
        <v/>
      </c>
      <c r="C8911" t="n">
        <v>0</v>
      </c>
      <c r="D8911" t="inlineStr">
        <is>
          <t>Dagues Érhy; Collier de Tourthon; Alliance du Lévitrof; Anneau Chevelu; Bouclier Bontarien; Ceinture Gence; Casque Dragoeuf; Cape au Logis; Bottes de la Cour Sombre; Dofus Ocre; Dofus Ivoire; Dofus Émeraude; Carapace Eau majeur; Enragé majeur; Carapace Terre majeur; Dragodinde Dorée et Pourpre</t>
        </is>
      </c>
    </row>
    <row r="8912">
      <c r="A8912" t="inlineStr">
        <is>
          <t>Terre-MaxiTank</t>
        </is>
      </c>
      <c r="B8912">
        <f>HYPERLINK("https://www.dofusbook.net/fr/equipement/4604138-terre-maxitank/objets", "link")</f>
        <v/>
      </c>
      <c r="C8912" t="n">
        <v>0</v>
      </c>
      <c r="D8912" t="inlineStr">
        <is>
          <t>Dagues Érhy; Collier de Tourthon; Pikano; Anneau Chevelu; Carapar; Ceinture de la Reine des Voleurs; Coiffe de la Reine des Voleurs; Cape au Logis; Sabots Minables; Dofus Ivoire; Dofus Ocre; Dofus Émeraude; Enragé majeur; Carapace Feu majeur; Miraculé majeur; Dragodinde Dorée et Pourpre</t>
        </is>
      </c>
    </row>
    <row r="8913">
      <c r="A8913" t="inlineStr">
        <is>
          <t>OS T3 DEPLUMAGE</t>
        </is>
      </c>
      <c r="B8913">
        <f>HYPERLINK("https://www.dofusbook.net/fr/equipement/4604123-os-t3-deplumage/objets", "link")</f>
        <v/>
      </c>
      <c r="C8913" t="n">
        <v>0</v>
      </c>
      <c r="D8913" t="inlineStr">
        <is>
          <t>Lance Horselé; Collier du Valet Veinard; Alliance Gloursonne; Gant du Valet Veinard; Bouclier du Stalak; Menoture; Couronne d'Allister; Dofusteuse; Palmes Trithons; Dofus Vulbis; Dofus Ivoire; Dofus Ocre; Dofus Nébuleux; Dofus des Glaces; Cascadeur majeur; Dragodinde Dorée et Ebène</t>
        </is>
      </c>
    </row>
    <row r="8914">
      <c r="A8914" t="inlineStr">
        <is>
          <t>Heal MAX Grosse res</t>
        </is>
      </c>
      <c r="B8914">
        <f>HYPERLINK("https://www.dofusbook.net/fr/equipement/4604107-heal-max-grosse-res-/objets", "link")</f>
        <v/>
      </c>
      <c r="C8914" t="n">
        <v>0</v>
      </c>
      <c r="D8914" t="inlineStr">
        <is>
          <t>Baguette de Malléfisk; Amulette Volkorne; Anneau Volkorne; Anneauræus; Cadran de Feu; Protopagne; Casque Dragoeuf; Cape de Diondin; Chaussures Ardentes; Dofus Ocre; Dofus Abyssal; Dofus des Glaces; Dofus Ivoire; Miraculé majeur; Érudit majeur; Bisouglours</t>
        </is>
      </c>
    </row>
    <row r="8915">
      <c r="A8915" t="inlineStr">
        <is>
          <t>Terre-Feu Grosse INI</t>
        </is>
      </c>
      <c r="B8915">
        <f>HYPERLINK("https://www.dofusbook.net/fr/equipement/4604076-terre-feu-grosse-ini/objets", "link")</f>
        <v/>
      </c>
      <c r="C8915" t="n">
        <v>2</v>
      </c>
      <c r="D8915" t="inlineStr">
        <is>
          <t>Pelle Aigante; Amulette Volkorne; Anneauræus; Bague Gloursonne; Carapar; Ceinture Volkorne; Casque Dragoeuf; Voile d'encre; Bottes Dogues; Dofus Ocre; Dofus Ébène; Dofus Abyssal; Dofus Ivoire; Enragé majeur; Fonceur majeur; Kougnard</t>
        </is>
      </c>
    </row>
    <row r="8916">
      <c r="A8916" t="inlineStr">
        <is>
          <t>Terre-Pelle-Degats</t>
        </is>
      </c>
      <c r="B8916">
        <f>HYPERLINK("https://www.dofusbook.net/fr/equipement/4521058-terre-pelle-degats/objets", "link")</f>
        <v/>
      </c>
      <c r="C8916" t="n">
        <v>0</v>
      </c>
      <c r="D8916" t="inlineStr">
        <is>
          <t>Bêche Asse; Amulette du Strigide; Anneau Crustique; Bracelet du Piloztère; Bouclier du Captain Amakna; Ceinture Volkorne; Masque de Koutoulou; Cape au Logis; Bottes du Strigide; Dolmanax; Dofus Ivoire; Dofus Turquoise; Dofus Pourpre; Dofus Ocre; Carapace Eau majeur; Kramkram</t>
        </is>
      </c>
    </row>
    <row r="8917">
      <c r="A8917" t="inlineStr">
        <is>
          <t>Fire Tanky AF</t>
        </is>
      </c>
      <c r="B8917">
        <f>HYPERLINK("https://www.dofusbook.net/fr/equipement/4382881-fire-tanky-af/objets", "link")</f>
        <v/>
      </c>
      <c r="C8917" t="n">
        <v>1</v>
      </c>
      <c r="D8917" t="inlineStr">
        <is>
          <t>Harpelle; Pendentif mignon de Koutoulou; Anneauræus; Anneauræus; Bouclier d'Ilyzaelle; Ceinture de Gein; Casque Cyclopéen; Cape de Diondin; Bottes Innommables; Dofus Ivoire; Dofus Émeraude; Nomade; Miraculé majeur; Remueur; Érudit majeur; Bontique</t>
        </is>
      </c>
    </row>
    <row r="8918">
      <c r="A8918" t="inlineStr">
        <is>
          <t>Opti Air-tank</t>
        </is>
      </c>
      <c r="B8918">
        <f>HYPERLINK("https://www.dofusbook.net/fr/equipement/4210515-opti-air-tank/objets", "link")</f>
        <v/>
      </c>
      <c r="C8918" t="n">
        <v>8</v>
      </c>
      <c r="D8918" t="inlineStr">
        <is>
          <t>Manthache; Collier du Valet Veinard; Alliance Gloursonne; Anneau des égarés; Bouclier du Stalak; Menoture; Masque d'Anerice; Cape d'Anerice; Baleinabottes; Dofus Pourpre; Dofus Ivoire; Dofus Émeraude; Cascadeur majeur; Carapace Terre majeur; Miraculé majeur; Muldo Ebène</t>
        </is>
      </c>
    </row>
    <row r="8919">
      <c r="A8919" t="inlineStr">
        <is>
          <t>Full CC</t>
        </is>
      </c>
      <c r="B8919">
        <f>HYPERLINK("https://www.dofusbook.net/fr/equipement/3928579-full-cc/objets", "link")</f>
        <v/>
      </c>
      <c r="C8919" t="n">
        <v>2</v>
      </c>
      <c r="D8919" t="inlineStr">
        <is>
          <t>Epée Maudite du Saigneur Guerrier; Amulette du Strigide; Anneau de Padgref; Bracelet du Piloztère; Bouclier du Captain Amakna; Ceinture du Strigide; Coiffe de Padgref; Cape d'Atcham; Getas de Padgref; Dofus Ivoire; Dofus Nébuleux; Dofus Ocre; Dolmanax; Dofus des Glaces; Dofus Vulbis; Dragodinde Emeraude</t>
        </is>
      </c>
    </row>
    <row r="8920">
      <c r="A8920" t="inlineStr">
        <is>
          <t>Arc Volkorne</t>
        </is>
      </c>
      <c r="B8920">
        <f>HYPERLINK("https://www.dofusbook.net/fr/equipement/3800711-arc-volkorne/objets", "link")</f>
        <v/>
      </c>
      <c r="C8920" t="n">
        <v>1</v>
      </c>
      <c r="D8920" t="inlineStr">
        <is>
          <t>Arc Volkorne; Amulette du Strigide; Anneau de Padgref; Bague Trithon; Quatre-feuilles; Ceinture du Strigide; Masque Trithon; Chevelure de Tal Kasha; Bottes Trithon; Dofus des Glaces; Dofus Turquoise; Dofus Vulbis; Dofus Ocre; Dofus Pourpre; Dolmanax; Kramkram</t>
        </is>
      </c>
    </row>
    <row r="8921">
      <c r="A8921" t="inlineStr">
        <is>
          <t>Air-retrait OPA</t>
        </is>
      </c>
      <c r="B8921">
        <f>HYPERLINK("https://www.dofusbook.net/fr/equipement/3772175-air-retrait-opa/objets", "link")</f>
        <v/>
      </c>
      <c r="C8921" t="n">
        <v>2</v>
      </c>
      <c r="D8921" t="inlineStr">
        <is>
          <t>Karnak; Collier du Valet Veinard; Gant du Valet Veinard; Alliance Gloursonne; Bouclier du Stalak; Menoture; Dorabysses; Cape Indescriptible; Palmes Trithons; Dolmanax; Dofus Ocre; Dofus Pourpre; Étourdisseur majeur; Carapace Air majeur; Cascadeur majeur; Minimino</t>
        </is>
      </c>
    </row>
    <row r="8922">
      <c r="A8922" t="inlineStr">
        <is>
          <t>Retrait de ouf eau</t>
        </is>
      </c>
      <c r="B8922">
        <f>HYPERLINK("https://www.dofusbook.net/fr/equipement/448313-retrait-de-ouf-eau/objets", "link")</f>
        <v/>
      </c>
      <c r="C8922" t="n">
        <v>6</v>
      </c>
      <c r="D8922" t="inlineStr">
        <is>
          <t>Dagoulinantes; Amulette de Shokkoth; Bracelet des Fonds marins; Alliance Gloursonne; Sept ans de malheur; Culotte de Bethel; Capuche de l'Œil Attentif; Cape Solution; Chaussons de Macrab; Dolmanax; Étourdisseur majeur; Remueur; Nomade; Carapace Eau majeur; Kramkram</t>
        </is>
      </c>
    </row>
    <row r="8923">
      <c r="A8923" t="inlineStr">
        <is>
          <t>EauTank</t>
        </is>
      </c>
      <c r="B8923">
        <f>HYPERLINK("https://www.dofusbook.net/fr/equipement/3676006-eautank/objets", "link")</f>
        <v/>
      </c>
      <c r="C8923" t="n">
        <v>0</v>
      </c>
      <c r="D8923" t="inlineStr">
        <is>
          <t>Sceptre du Roi Joueur; Amulette de Shokkoth; Alliance Gloursonne; Bracelet des Fonds marins; Bouclier du Stalak; Poulpagne; Masque d'Anerice; Cape d'Anerice; Bottes du Sinistrofu; Dofus Ocre; Dolmanax; Dofus Abyssal; Dofus Émeraude; Dévastateur Eau majeur; Chanceux majeur; Muldo Indigo</t>
        </is>
      </c>
    </row>
    <row r="8924">
      <c r="A8924" t="inlineStr">
        <is>
          <t>ResiPuissance</t>
        </is>
      </c>
      <c r="B8924">
        <f>HYPERLINK("https://www.dofusbook.net/fr/equipement/3675977-resipuissance/objets", "link")</f>
        <v/>
      </c>
      <c r="C8924" t="n">
        <v>0</v>
      </c>
      <c r="D8924" t="inlineStr">
        <is>
          <t>Epée Maudite du Saigneur Guerrier; Amulette de Pol Ouatnos; Bracelet du Piloztère; Anneau du Cycloïde; Bouclier du Captain Amakna; Ceinture du Barbétoal; Casque Dragoeuf; Voile d'encre; Baleinabottes; Carapace Terre majeur; Nomade; Miraculé majeur; Carapace Neutre majeur; Carapace Air majeur; Remueur; Croum</t>
        </is>
      </c>
    </row>
    <row r="8925">
      <c r="A8925" t="inlineStr">
        <is>
          <t>Terre PVP 1v1</t>
        </is>
      </c>
      <c r="B8925">
        <f>HYPERLINK("https://www.dofusbook.net/fr/equipement/3401681-terre-pvp-1v1/objets", "link")</f>
        <v/>
      </c>
      <c r="C8925" t="n">
        <v>2</v>
      </c>
      <c r="D8925" t="inlineStr">
        <is>
          <t>La Racine Hagogue; Collier de Tourthon; Anneau de Brouce; Bracelet du Piloztère; Bouclier du Stalak; Ceinture Gence; Masque d'Anerice; Cape d'Anerice; Bottes de la Cour Sombre; Dofus Ivoire; Nomade; Enragé majeur; Miraculé majeur; Carapace Terre majeur; Remueur; Muldo Indigo</t>
        </is>
      </c>
    </row>
    <row r="8926">
      <c r="A8926" t="inlineStr">
        <is>
          <t>Air 12/6 Pvp-PVM</t>
        </is>
      </c>
      <c r="B8926">
        <f>HYPERLINK("https://www.dofusbook.net/fr/equipement/3322206-air-12-6-pvp-pvm/objets", "link")</f>
        <v/>
      </c>
      <c r="C8926" t="n">
        <v>8</v>
      </c>
      <c r="D8926" t="inlineStr">
        <is>
          <t>Lance Horselé; Collier du Valet Veinard; Anneau d'Allister; Gant du Valet Veinard; Bouclier du Stalak; Sangle Oriole; Couronne d'Allister; Cape du Valet Veinard; Bottes d'Allister; Dofus Émeraude; Dofus Ivoire; Dofus Pourpre; Dokoko; Dolmanax; Dofus Ocre; Muldo Ebène et Emeraude</t>
        </is>
      </c>
    </row>
    <row r="8927">
      <c r="A8927" t="inlineStr">
        <is>
          <t>Full Eau 1v1</t>
        </is>
      </c>
      <c r="B8927">
        <f>HYPERLINK("https://www.dofusbook.net/fr/equipement/3117938-full-eau-1v1/objets", "link")</f>
        <v/>
      </c>
      <c r="C8927" t="n">
        <v>0</v>
      </c>
      <c r="D8927" t="inlineStr">
        <is>
          <t>Dagoulinantes; Amulette de Shokkoth; Alliance Gloursonne; Alliance du Lévitrof; Ceinture Luminescente; Capuche de l'Œil Attentif; Cape de l'Œil Attentif; Chaussons de Macrab; Dolmanax; Dokoko; Dofus Ocre; Dofus Émeraude; Remueur; Carapace Terre majeur; Muldo Indigo</t>
        </is>
      </c>
    </row>
    <row r="8928">
      <c r="A8928" t="inlineStr">
        <is>
          <t>Ancien Steamer</t>
        </is>
      </c>
      <c r="B8928">
        <f>HYPERLINK("https://www.dofusbook.net/fr/equipement/448287-ancien-steamer/objets", "link")</f>
        <v/>
      </c>
      <c r="C8928" t="n">
        <v>0</v>
      </c>
      <c r="D8928" t="inlineStr">
        <is>
          <t>Marteau des Anciens Steamers; Talisman Glouti; Alliance Gloursonne; Anneau Tique; Bouclier du Captain Amakna cassé; Ceinture du Nocturlabe; Dorabysses; Cape de Léthaline; Bottes du Nocturlabe; Dofus Ocre; Fuyard majeur; Joueur majeur; Vagabond majeur; Acrobate majeur; Cuirassé Feu majeur; Croum</t>
        </is>
      </c>
    </row>
    <row r="8929">
      <c r="A8929" t="inlineStr">
        <is>
          <t>arc ahique</t>
        </is>
      </c>
      <c r="B8929">
        <f>HYPERLINK("https://www.dofusbook.net/fr/equipement/3116259-arc-ahique/objets", "link")</f>
        <v/>
      </c>
      <c r="C8929" t="n">
        <v>0</v>
      </c>
      <c r="D8929" t="inlineStr">
        <is>
          <t>Arc Ahique; Collier du Valet Veinard; Alliance Gloursonne; Gant du Valet Veinard; Bouclier du Stalak; Ceinture de la Reine des Voleurs; Coiffe de la Reine des Voleurs; Cape du Valet Veinard; Bottes de la Reine des Voleurs; Dokoko; Dofus Ocre; Dofus Émeraude; Dofus Pourpre; Dolmanax; Puissant majeur; Muldo Ebène</t>
        </is>
      </c>
    </row>
    <row r="8930">
      <c r="A8930" t="inlineStr">
        <is>
          <t>Corrompue</t>
        </is>
      </c>
      <c r="B8930">
        <f>HYPERLINK("https://www.dofusbook.net/fr/equipement/3116108-corrompue/objets", "link")</f>
        <v/>
      </c>
      <c r="C8930" t="n">
        <v>0</v>
      </c>
      <c r="D8930" t="inlineStr">
        <is>
          <t>Lance corrompue; Torquistik; Alliance Gloursonne; Alliance Brûlâme; Bouclier du Captain Amakna; Ceinture de la Reine des Voleurs; Coiffe de la Reine des Voleurs; Cape du Cœur Vaillant; Baleinabottes; Dokoko; Dofus Émeraude; Dolmanax; Nomade; Carapace Air majeur; Remueur; Kramkram</t>
        </is>
      </c>
    </row>
    <row r="8931">
      <c r="A8931" t="inlineStr">
        <is>
          <t>Rdv 12/6</t>
        </is>
      </c>
      <c r="B8931">
        <f>HYPERLINK("https://www.dofusbook.net/fr/equipement/3106402-rdv-12-6/objets", "link")</f>
        <v/>
      </c>
      <c r="C8931" t="n">
        <v>1</v>
      </c>
      <c r="D8931" t="inlineStr">
        <is>
          <t>Epée Gloursonne; Amulette Ementaire Deluxe; Alliance Gloursonne; Bague Gloursonne; Bouclier de Solar; Ceinture de la Reine des Voleurs; Coiffe de la Reine des Voleurs; Voile d'encre; Bottes de la Reine des Voleurs; Dofus Émeraude; Dofus Ivoire; Dolmanax; Dokoko; Dofus Ocre; Voyageur; Kramkram</t>
        </is>
      </c>
    </row>
    <row r="8932">
      <c r="A8932" t="inlineStr">
        <is>
          <t>Egarés</t>
        </is>
      </c>
      <c r="B8932">
        <f>HYPERLINK("https://www.dofusbook.net/fr/equipement/3073470-egares/objets", "link")</f>
        <v/>
      </c>
      <c r="C8932" t="n">
        <v>0</v>
      </c>
      <c r="D8932" t="inlineStr">
        <is>
          <t>Faux Maudite du Saigneur Guerrier; Amulette du Strigide; Bague Trithon; Anneau de Padgref; Bouclier du Captain Amakna; Ceinture du Strigide; Masque Trithon; Chevelure de Tal Kasha; Bottes Trithon; Dofus Pourpre; Dolmanax; Dofus Ocre; Dofus Nébuleux; Miraculé majeur; Vigoureux majeur; Muldo Prune et Emeraude</t>
        </is>
      </c>
    </row>
    <row r="8933">
      <c r="A8933" t="inlineStr">
        <is>
          <t>FEU VITA MAX</t>
        </is>
      </c>
      <c r="B8933">
        <f>HYPERLINK("https://www.dofusbook.net/fr/equipement/3056908-feu-vita-max/objets", "link")</f>
        <v/>
      </c>
      <c r="C8933" t="n">
        <v>0</v>
      </c>
      <c r="D8933" t="inlineStr">
        <is>
          <t>Harpelle; Pendentif mignon de Koutoulou; Anneauræus; Anneauræus; Carapar; Ceinture de Gein; Casque Cyclopéen; Cape de Diondin; Bottes Innommables; Dofus Émeraude; Érudit majeur; Remueur; Survivant majeur; Nomade; Miraculé majeur; Péki</t>
        </is>
      </c>
    </row>
    <row r="8934">
      <c r="A8934" t="inlineStr">
        <is>
          <t>Multi-eleme-xel-ouf</t>
        </is>
      </c>
      <c r="B8934">
        <f>HYPERLINK("https://www.dofusbook.net/fr/equipement/2925586-multi-eleme-xel-ouf/objets", "link")</f>
        <v/>
      </c>
      <c r="C8934" t="n">
        <v>1</v>
      </c>
      <c r="D8934" t="inlineStr">
        <is>
          <t>Faux Maudite du Saigneur Guerrier; Amulette du Strigide; Alliance Gloursonne; Bague Gloursonne; Bouclier du Captain Amakna; Ceinture du Strigide; Némès de Tal Kasha; Chevelure de Tal Kasha; Bottes du Strigide; Dolmanax; Dofus Pourpre; Dofus Turquoise; Dofus Ocre; Dokoko; Dofus des Glaces; Muldo Orchidée et Emeraude</t>
        </is>
      </c>
    </row>
    <row r="8935">
      <c r="A8935" t="inlineStr">
        <is>
          <t>Pvp Guedin</t>
        </is>
      </c>
      <c r="B8935">
        <f>HYPERLINK("https://www.dofusbook.net/fr/equipement/2817720-pvp-guedin/objets", "link")</f>
        <v/>
      </c>
      <c r="C8935" t="n">
        <v>2</v>
      </c>
      <c r="D8935" t="inlineStr">
        <is>
          <t>Massier; Amulette Ementaire Deluxe; Anneau Tique; Anneau de Nidas; Ceinture de Gein; Casque Dragoeuf; Cape Ardente; Chaussures Ardentes; Dokoko; Dofus Ivoire; Dolmanax; Dofus Ocre; Carapace Eau majeur; Carapace Feu majeur; Kramkram</t>
        </is>
      </c>
    </row>
    <row r="8936">
      <c r="A8936" t="inlineStr">
        <is>
          <t>Multi</t>
        </is>
      </c>
      <c r="B8936">
        <f>HYPERLINK("https://www.dofusbook.net/fr/equipement/2640928-multi/objets", "link")</f>
        <v/>
      </c>
      <c r="C8936" t="n">
        <v>1</v>
      </c>
      <c r="D8936" t="inlineStr">
        <is>
          <t>Faux Maudite du Saigneur Guerrier; Amulette du Strigide; Anneau Toriété; Alliance du Lévitrof; Ceinture du Strigide; Masque de l'Esprit Salvateur; Cape Solution; Baleinabottes; Dofus Pourpre; Dofus des Glaces; Dolmanax; Érudit majeur; Vigoureux majeur; Nomade; Kramkram</t>
        </is>
      </c>
    </row>
    <row r="8937">
      <c r="A8937" t="inlineStr">
        <is>
          <t>Eau/air</t>
        </is>
      </c>
      <c r="B8937">
        <f>HYPERLINK("https://www.dofusbook.net/fr/equipement/2587255-eau-air/objets", "link")</f>
        <v/>
      </c>
      <c r="C8937" t="n">
        <v>0</v>
      </c>
      <c r="D8937" t="inlineStr">
        <is>
          <t>Sceptre du Roi Joueur; Amulette Ementaire Deluxe; Alliance du Lévitrof; Alliance Gloursonne; Ceinture Voldelor; Némès de Tal Kasha; Cape de l'Œil Putride; Bottes de la Reine des Voleurs; Dofus Ocre; Dolmanax; Nomade; Remueur; Carapace Air majeur; Kramkram</t>
        </is>
      </c>
    </row>
    <row r="8938">
      <c r="A8938" t="inlineStr">
        <is>
          <t>Eau/terre</t>
        </is>
      </c>
      <c r="B8938">
        <f>HYPERLINK("https://www.dofusbook.net/fr/equipement/2586901-eau-terre/objets", "link")</f>
        <v/>
      </c>
      <c r="C8938" t="n">
        <v>1</v>
      </c>
      <c r="D8938" t="inlineStr">
        <is>
          <t>Dagues de Srambad; Amulette Ementaire Deluxe; Alliance du Lévitrof; Alliance Gloursonne; Ceinture Luminescente; Casque Dragoeuf; Cape Luminescente; Chaussons de Macrab; Dolmanax; Dofus Ocre; Remueur; Nomade; Enragé majeur; Carapace Eau majeur; Kramkram</t>
        </is>
      </c>
    </row>
    <row r="8939">
      <c r="A8939" t="inlineStr">
        <is>
          <t>Terre/Air</t>
        </is>
      </c>
      <c r="B8939">
        <f>HYPERLINK("https://www.dofusbook.net/fr/equipement/2099812-terre-air/objets", "link")</f>
        <v/>
      </c>
      <c r="C8939" t="n">
        <v>1</v>
      </c>
      <c r="D8939" t="inlineStr">
        <is>
          <t>Lance corrompue; Amulette de l'Indicible; Alliance Brûlâme; Alliance Gloursonne; Bouclier Taverne; Ceintouse; Chapoulpe; Cape du Cœur Vaillant; Baleinabottes; Dofus Ocre; Dofus Pourpre; Dofus Émeraude; Dofus des Glaces; Dolmanax; Carapace Terre majeur; Muldo Ebène et Pourpre</t>
        </is>
      </c>
    </row>
    <row r="8940">
      <c r="A8940" t="inlineStr">
        <is>
          <t>Multi</t>
        </is>
      </c>
      <c r="B8940">
        <f>HYPERLINK("https://www.dofusbook.net/fr/equipement/2096200-multi/objets", "link")</f>
        <v/>
      </c>
      <c r="C8940" t="n">
        <v>1</v>
      </c>
      <c r="D8940" t="inlineStr">
        <is>
          <t>Faux Maudite du Saigneur Guerrier; Amulette du Strigide; Alliance Gloursonne; Alliance du Lévitrof; Bouclier du Captain Amakna; Ceinture du Strigide; Casque Dragoeuf; Voile d'encre; Baleinabottes; Dolmanax; Dofus Ocre; Dofus Pourpre; Dofus des Glaces; Vigoureux majeur; Nomade; Kramkram</t>
        </is>
      </c>
    </row>
    <row r="8941">
      <c r="A8941" t="inlineStr">
        <is>
          <t>Stuff 2</t>
        </is>
      </c>
      <c r="B8941">
        <f>HYPERLINK("https://www.dofusbook.net/fr/equipement/448299-stuff-2/objets", "link")</f>
        <v/>
      </c>
      <c r="C8941" t="n">
        <v>0</v>
      </c>
      <c r="D8941" t="inlineStr">
        <is>
          <t>Dagues Érhy; Amulette Séculaire; Bague Gloursonne; Alliance de Missiz Frizz; Bouclier du Captain Amakna; Ceinture Séculaire; Casque de Missiz Frizz; Cape du Professeur Xa; Bottes de Missiz Frizz; Dofus Émeraude; Dofus Ocre; Dofus Turquoise; Savant majeur; Vagabond majeur; Savant; Dragodinde en armure</t>
        </is>
      </c>
    </row>
    <row r="8942">
      <c r="A8942" t="inlineStr">
        <is>
          <t>Stuff 1</t>
        </is>
      </c>
      <c r="B8942">
        <f>HYPERLINK("https://www.dofusbook.net/fr/equipement/448340-stuff-1/objets", "link")</f>
        <v/>
      </c>
      <c r="C8942" t="n">
        <v>0</v>
      </c>
      <c r="D8942" t="inlineStr">
        <is>
          <t>Pelle Vice; Collier de la Dame du Hasard; Alliance Gloursonne; Chevalière du Roi Joueur; Bivalve; Protopagne; Couronne du Roi Joueur; Cape d'Atcham; Bottes du Roi Joueur; Dofus Pourpre; Dolmanax; Dofus Ocre; Vagabond majeur; Savant majeur; Joueur majeur; Kramkram</t>
        </is>
      </c>
    </row>
    <row r="8943">
      <c r="A8943" t="inlineStr">
        <is>
          <t>Opa 1v1 opti</t>
        </is>
      </c>
      <c r="B8943">
        <f>HYPERLINK("https://www.dofusbook.net/fr/equipement/448306-opa-1v1-opti/objets", "link")</f>
        <v/>
      </c>
      <c r="C8943" t="n">
        <v>0</v>
      </c>
      <c r="D8943" t="inlineStr">
        <is>
          <t>Dagues de Srambad; Amulette de Pol Ouatnos; Alliance du Lévitrof; Alliance Gloursonne; Bouclier du Captain Amakna; Ceinture de la Reine des Voleurs; Coiffe de la Reine des Voleurs; Voile d'encre; Bottes de la Reine des Voleurs; Dofus des Glaces; Dofus Pourpre; Dolmanax; Dofus Ocre; Furibond majeur; Joueur majeur; Kramkram</t>
        </is>
      </c>
    </row>
    <row r="8944">
      <c r="A8944" t="inlineStr">
        <is>
          <t>Heal Tank</t>
        </is>
      </c>
      <c r="B8944">
        <f>HYPERLINK("https://www.dofusbook.net/fr/equipement/1398652-heal-tank/objets", "link")</f>
        <v/>
      </c>
      <c r="C8944" t="n">
        <v>1</v>
      </c>
      <c r="D8944" t="inlineStr">
        <is>
          <t>Le Thanos; Amulette Séculaire; Anneau Tique; Bague Gloursonne; Cadran de Feu; Ceinture de Vortex; Chapeau de Gein; Voile d'encre; Pataugastrique; Dofus Émeraude; Érudit majeur; Remueur; Carapace Terre majeur; Miraculé majeur; Nomade; Kramkram</t>
        </is>
      </c>
    </row>
    <row r="8945">
      <c r="A8945" t="inlineStr">
        <is>
          <t>Terre de Ouf</t>
        </is>
      </c>
      <c r="B8945">
        <f>HYPERLINK("https://www.dofusbook.net/fr/equipement/1406228-terre-de-ouf/objets", "link")</f>
        <v/>
      </c>
      <c r="C8945" t="n">
        <v>0</v>
      </c>
      <c r="D8945" t="inlineStr">
        <is>
          <t>Dagues Érhy; Amulette Ementaire Deluxe; Bague Gloursonne; Alliance du Lévitrof; Bouclier du Captain Amakna; Ceinture Luminescente; Casque Dragoeuf; Voile d'encre; Bottes du Katcheur; Dofus Ocre; Dofus Émeraude; Nomade; Remueur; Enragé majeur; Carapace Terre majeur; Kramkram</t>
        </is>
      </c>
    </row>
    <row r="8946">
      <c r="A8946" t="inlineStr">
        <is>
          <t>Stuff 3</t>
        </is>
      </c>
      <c r="B8946">
        <f>HYPERLINK("https://www.dofusbook.net/fr/equipement/448378-stuff-3/objets", "link")</f>
        <v/>
      </c>
      <c r="C8946" t="n">
        <v>0</v>
      </c>
      <c r="D8946" t="inlineStr">
        <is>
          <t>Marteau de Katrepat; Amulette Ementaire Deluxe; Alliance du Lévitrof; Alliance Gloursonne; Ceinture de l'Indicible; Le Dorado; Cape du Chalœil; Bottes de l'Indicible; Dolmanax; Dofus Ocre; Nomade; Carapace Neutre majeur; Remueur; Carapace Eau majeur; Kramkram</t>
        </is>
      </c>
    </row>
    <row r="8947">
      <c r="A8947" t="inlineStr">
        <is>
          <t>Air de Ouf</t>
        </is>
      </c>
      <c r="B8947">
        <f>HYPERLINK("https://www.dofusbook.net/fr/equipement/1296211-air-de-ouf/objets", "link")</f>
        <v/>
      </c>
      <c r="C8947" t="n">
        <v>0</v>
      </c>
      <c r="D8947" t="inlineStr">
        <is>
          <t>Manthache; Amulette Ementaire Deluxe; Alliance Gloursonne; Alliance du Lévitrof; Ceinture du Barbétoal; Casque Dragoeuf; Cape du Valet Veinard; Baleinabottes; Dolmanax; Observateur; Remueur; Carapace Air majeur; Nomade; Cascadeur majeur; Kramkram</t>
        </is>
      </c>
    </row>
    <row r="8948">
      <c r="A8948" t="inlineStr">
        <is>
          <t>Meloro</t>
        </is>
      </c>
      <c r="B8948">
        <f>HYPERLINK("https://www.dofusbook.net/fr/equipement/1295596-meloro/objets", "link")</f>
        <v/>
      </c>
      <c r="C8948" t="n">
        <v>0</v>
      </c>
      <c r="D8948" t="inlineStr">
        <is>
          <t>Dague de Meloro; Amulette Ementaire Deluxe; Alliance Gloursonne; Bague Gloursonne; Bouclier du Captain Amakna; Ceinture de Gein; Maskrobe; Voile d'encre; Pataugastrique; Dofus Pourpre; Dofus Ocre; Dofus des Glaces; Dolmanax; Érudit majeur; Miraculé majeur; Kramkram</t>
        </is>
      </c>
    </row>
    <row r="8949">
      <c r="A8949" t="inlineStr">
        <is>
          <t>Eau/tank</t>
        </is>
      </c>
      <c r="B8949">
        <f>HYPERLINK("https://www.dofusbook.net/fr/equipement/1295198-eau-tank/objets", "link")</f>
        <v/>
      </c>
      <c r="C8949" t="n">
        <v>1</v>
      </c>
      <c r="D8949" t="inlineStr">
        <is>
          <t>Sceptre du Roi Joueur; Amulette du Strigide; Annolamour; Alliance Gloursonne; Ceinture du Strigide; Bonnet Ko; Cape Luminescente; Sandales  d'Atcham; Dofus Émeraude; Dofus Ocre; Dolmanax; Remueur; Nomade; Chanceux majeur; Muldo Ebène et Emeraude</t>
        </is>
      </c>
    </row>
    <row r="8950">
      <c r="A8950" t="inlineStr">
        <is>
          <t>VITA MAX</t>
        </is>
      </c>
      <c r="B8950">
        <f>HYPERLINK("https://www.dofusbook.net/fr/equipement/448288-vita-max/objets", "link")</f>
        <v/>
      </c>
      <c r="C8950" t="n">
        <v>0</v>
      </c>
      <c r="D8950" t="inlineStr">
        <is>
          <t>Rouleau à Pâtisserie d'Aermyne; Amulette Séculaire; Alliance Gloursonne; Anneau Tique; Bouclier Pandawa; Sangle Ouare; Casque Dragoeuf; Cape d'Aermyne; Bottes du Sinistrofu; Dofus Émeraude; Dofus Ocre; Survivant majeur; Carapace Feu majeur; Miraculé majeur; Remueur; Péki</t>
        </is>
      </c>
    </row>
    <row r="8951">
      <c r="A8951" t="inlineStr">
        <is>
          <t>Terre/tank</t>
        </is>
      </c>
      <c r="B8951">
        <f>HYPERLINK("https://www.dofusbook.net/fr/equipement/1272770-terre-tank/objets", "link")</f>
        <v/>
      </c>
      <c r="C8951" t="n">
        <v>3</v>
      </c>
      <c r="D8951" t="inlineStr">
        <is>
          <t>Dagues Érhy; Amulette du Strigide; Bague Gloursonne; Anneau Chevelu; Bouclier du Captain Amakna; Ceinture du Strigide; Bonnet Ko; Voile d'encre; Bottes de la Cour Sombre; Dofus Émeraude; Dofus Turquoise; Dofus Ocre; Nomade; Carapace Neutre majeur; Remueur; Muldo Doré et Pourpre</t>
        </is>
      </c>
    </row>
    <row r="8952">
      <c r="A8952" t="inlineStr">
        <is>
          <t>Stuff 3</t>
        </is>
      </c>
      <c r="B8952">
        <f>HYPERLINK("https://www.dofusbook.net/fr/equipement/448375-stuff-3/objets", "link")</f>
        <v/>
      </c>
      <c r="C8952" t="n">
        <v>0</v>
      </c>
      <c r="D8952" t="inlineStr">
        <is>
          <t>Arc Hétype; Amulette Ementaire Deluxe; Anneau de Nidas; Bague Gloursonne; Ceinture du Barbétoal; Couronne de Nidas; Voile d'encre; Bottes Dogues; Dofus Ocre; Dolmanax; Déserteur majeur; Érudit majeur; Remueur; Survivant majeur; Kramkram</t>
        </is>
      </c>
    </row>
    <row r="8953">
      <c r="A8953" t="inlineStr">
        <is>
          <t>Stuff 2</t>
        </is>
      </c>
      <c r="B8953">
        <f>HYPERLINK("https://www.dofusbook.net/fr/equipement/448377-stuff-2/objets", "link")</f>
        <v/>
      </c>
      <c r="C8953" t="n">
        <v>0</v>
      </c>
      <c r="D8953" t="inlineStr">
        <is>
          <t>Pelle de la Cour Sombre; Collier du Valet Veinard; Anneau d'Allister; Alliance Gloursonne; Ceinture du Barbétoal; Casque Dragoeuf; Cape du Valet Veinard; Bottes de l'Indicible; Dofus Ocre; Dolmanax; Observateur; Remueur; Carapace Air majeur; Nomade; Kramkram</t>
        </is>
      </c>
    </row>
    <row r="8954">
      <c r="A8954" t="inlineStr">
        <is>
          <t>Stuff 1</t>
        </is>
      </c>
      <c r="B8954">
        <f>HYPERLINK("https://www.dofusbook.net/fr/equipement/448379-stuff-1/objets", "link")</f>
        <v/>
      </c>
      <c r="C8954" t="n">
        <v>0</v>
      </c>
      <c r="D8954" t="inlineStr">
        <is>
          <t>Héqache; Amulette Ementaire Deluxe; Anneau Chevelu; Bague Gloursonne; Ceinture Luminescente; Masque de Koutoulou; Voile d'encre; Baleinabottes; Dolmanax; Dofus Émeraude; Dofus Pourpre; Miraculé majeur; Carapace Neutre majeur; Carapace Terre majeur; Muldo Pourpre et Emeraude</t>
        </is>
      </c>
    </row>
    <row r="8955">
      <c r="A8955" t="inlineStr">
        <is>
          <t>Stuff 2</t>
        </is>
      </c>
      <c r="B8955">
        <f>HYPERLINK("https://www.dofusbook.net/fr/equipement/448374-stuff-2/objets", "link")</f>
        <v/>
      </c>
      <c r="C8955" t="n">
        <v>0</v>
      </c>
      <c r="D8955" t="inlineStr">
        <is>
          <t>Arc Hétype; Amulette du Cycloïde; Anneau de Nidas; Bague Gloursonne; Ceinture Séculaire; Couronne de Nidas; Voile d'encre; Bottes Dogues; Dofus Ocre; Carapace Feu majeur; Remueur; Érudit majeur; Déserteur majeur; Carapace Eau majeur; Kramkram</t>
        </is>
      </c>
    </row>
    <row r="8956">
      <c r="A8956" t="inlineStr">
        <is>
          <t>Stuff 1</t>
        </is>
      </c>
      <c r="B8956">
        <f>HYPERLINK("https://www.dofusbook.net/fr/equipement/448376-stuff-1/objets", "link")</f>
        <v/>
      </c>
      <c r="C8956" t="n">
        <v>0</v>
      </c>
      <c r="D8956" t="inlineStr">
        <is>
          <t>Pelle Aigante; Amulette Ementaire Deluxe; Alliance du Lévitrof; Alliance Boletée; Bouclier Ventaille cassé; Ceinture de Vortex; Coiffe du Lévitrof; Voile d'encre; Pataugastrique; Dofus Émeraude; Miraculé majeur; Carapace Terre majeur; Nomade; Carapace Neutre majeur; Remueur; Kramkram</t>
        </is>
      </c>
    </row>
    <row r="8957">
      <c r="A8957" t="inlineStr">
        <is>
          <t>Stuff 2</t>
        </is>
      </c>
      <c r="B8957">
        <f>HYPERLINK("https://www.dofusbook.net/fr/equipement/448368-stuff-2/objets", "link")</f>
        <v/>
      </c>
      <c r="C8957" t="n">
        <v>0</v>
      </c>
      <c r="D8957" t="inlineStr">
        <is>
          <t>Dagues Érhy; Amulette Ementaire Deluxe; Bague Gloursonne; Alliance Gloursonne; Puissante Ceinture Fulgurante; Chapeau de Gein; Voile d'encre; Bottes Répané; Dolmanax; Dofus Ocre; Nomade; Érudit majeur; Déserteur majeur; Remueur; Kramkram</t>
        </is>
      </c>
    </row>
    <row r="8958">
      <c r="A8958" t="inlineStr">
        <is>
          <t>50%</t>
        </is>
      </c>
      <c r="B8958">
        <f>HYPERLINK("https://www.dofusbook.net/fr/equipement/448304-50%/objets", "link")</f>
        <v/>
      </c>
      <c r="C8958" t="n">
        <v>0</v>
      </c>
      <c r="D8958" t="inlineStr">
        <is>
          <t>Rouleau à Pâtisserie d'Aermyne; Talisman Glouti; Alliance Gloursonne; Anneau Tique; Sangle Ouare; Coiffe d'Aermyne; Cape d'Aermyne; Bottes du Sinistrofu; Dofus Ocre; Dofus Émeraude; Cuirassé Feu majeur; Bastion majeur; Cuirassé Terre majeur; Vagabond majeur; Croum</t>
        </is>
      </c>
    </row>
    <row r="8959">
      <c r="A8959" t="inlineStr">
        <is>
          <t>Stuff 3</t>
        </is>
      </c>
      <c r="B8959">
        <f>HYPERLINK("https://www.dofusbook.net/fr/equipement/448336-stuff-3/objets", "link")</f>
        <v/>
      </c>
      <c r="C8959" t="n">
        <v>0</v>
      </c>
      <c r="D8959" t="inlineStr">
        <is>
          <t>Pelle Fik; Amulette du Sinistrofu; Alliance Gloursonne; Annolamour; Kloume cassé; Ceinture du Glourséleste; Casque Dragoeuf; Cape de Léthaline; Bottes du Sinistrofu; Dokoko; Dofus Ocre; Déserteur majeur; Remueur; Vagabond majeur; Chanceux majeur; Croum</t>
        </is>
      </c>
    </row>
    <row r="8960">
      <c r="A8960" t="inlineStr">
        <is>
          <t>Stuff 3</t>
        </is>
      </c>
      <c r="B8960">
        <f>HYPERLINK("https://www.dofusbook.net/fr/equipement/448363-stuff-3/objets", "link")</f>
        <v/>
      </c>
      <c r="C8960" t="n">
        <v>0</v>
      </c>
      <c r="D8960" t="inlineStr">
        <is>
          <t>Harpelle; Amulette de Gein; Bague Gloursonne; Anneau Rifique; Bouclier Ventaille cassé; Ceinture de Vortex; Chapeau de Gein; Voile d'encre; Tongues de Nidas; Dofus Ocre; Carapace Terre majeur; Nomade; Déserteur majeur; Remueur; Observateur; Kramkram</t>
        </is>
      </c>
    </row>
    <row r="8961">
      <c r="A8961" t="inlineStr">
        <is>
          <t>Stuff 1</t>
        </is>
      </c>
      <c r="B8961">
        <f>HYPERLINK("https://www.dofusbook.net/fr/equipement/448331-stuff-1/objets", "link")</f>
        <v/>
      </c>
      <c r="C8961" t="n">
        <v>0</v>
      </c>
      <c r="D8961" t="inlineStr">
        <is>
          <t>Sabres d'Atcham; Collier de la Dame du Hasard; Alliance Gloursonne; Chevalière du Roi Joueur; Protopagne; Couronne du Roi Joueur; Cape d'Atcham; Sandales  d'Atcham; Dofus Ocre; Vagabond majeur; Acrobate majeur; Cuirassé Eau majeur; Savant majeur; Robuste majeur; Kramkram</t>
        </is>
      </c>
    </row>
    <row r="8962">
      <c r="A8962" t="inlineStr">
        <is>
          <t>Stuff 2</t>
        </is>
      </c>
      <c r="B8962">
        <f>HYPERLINK("https://www.dofusbook.net/fr/equipement/448326-stuff-2/objets", "link")</f>
        <v/>
      </c>
      <c r="C8962" t="n">
        <v>0</v>
      </c>
      <c r="D8962" t="inlineStr">
        <is>
          <t>Epée Gloursonne; Amulette Voldelor; Bague Gloursonne; Alliance Gloursonne; Cadran de Feu; Protopagne; Coiffe du Glourséleste; Cape de Léthaline; Bottes du Sinistrofu; Dofus Ocre; Cuirassé Feu majeur; Vagabond majeur; Cuirassé Terre majeur; Cuirassé Air majeur; Cuirassé Eau majeur; Kramkram</t>
        </is>
      </c>
    </row>
    <row r="8963">
      <c r="A8963" t="inlineStr">
        <is>
          <t>Stuff 1</t>
        </is>
      </c>
      <c r="B8963">
        <f>HYPERLINK("https://www.dofusbook.net/fr/equipement/448358-stuff-1/objets", "link")</f>
        <v/>
      </c>
      <c r="C8963" t="n">
        <v>1</v>
      </c>
      <c r="D8963" t="inlineStr">
        <is>
          <t>Harpelle; Pendentif mignon de Koutoulou; Anneau Rifique; Anneau de Nidas; Protopagne; Casque Cyclopéen; Voile d'encre; Bottes Innommables; Dolmanax; Dofus Ocre; Vagabond majeur; Examinateur; Astucieux majeur; Savant majeur; Kramkram</t>
        </is>
      </c>
    </row>
    <row r="8964">
      <c r="A8964" t="inlineStr">
        <is>
          <t>Stuff 3</t>
        </is>
      </c>
      <c r="B8964">
        <f>HYPERLINK("https://www.dofusbook.net/fr/equipement/448321-stuff-3/objets", "link")</f>
        <v/>
      </c>
      <c r="C8964" t="n">
        <v>0</v>
      </c>
      <c r="D8964" t="inlineStr">
        <is>
          <t>Arc Hétype; Amulette de Nileza; Anneau de Nidas; Anneau Tique; Ceinture de Kongoku; Couronne de Nidas; Voile d'encre; Pataugastrique; Déserteur majeur; Remueur; Savant majeur; Érudit majeur; Vagabond majeur; Nomade; Kramkram</t>
        </is>
      </c>
    </row>
    <row r="8965">
      <c r="A8965" t="inlineStr">
        <is>
          <t>Stuff 2</t>
        </is>
      </c>
      <c r="B8965">
        <f>HYPERLINK("https://www.dofusbook.net/fr/equipement/448353-stuff-2/objets", "link")</f>
        <v/>
      </c>
      <c r="C8965" t="n">
        <v>0</v>
      </c>
      <c r="D8965" t="inlineStr">
        <is>
          <t>Dagues Érhy; Amulette du Strigide; Bague Gloursonne; Bracelet du Piloztère; Bouclier du Captain Amakna; Ceinture du Strigide; Bonnet Ko; Voile d'encre; Bottes du Cycloïde; Dofus Pourpre; Dofus Ocre; Nomade; Remueur; Voyageur; Vigoureux majeur; Kramkram</t>
        </is>
      </c>
    </row>
    <row r="8966">
      <c r="A8966" t="inlineStr">
        <is>
          <t>Stuff 1</t>
        </is>
      </c>
      <c r="B8966">
        <f>HYPERLINK("https://www.dofusbook.net/fr/equipement/448316-stuff-1/objets", "link")</f>
        <v/>
      </c>
      <c r="C8966" t="n">
        <v>0</v>
      </c>
      <c r="D8966" t="inlineStr">
        <is>
          <t>Marteau des égarés; Amulette du Cycloïde; Alliance Gloursonne; Alliance du Lévitrof; Ceinture de l'Indicible; Casque du Chalœil; Cape de Kongoku; Bottes de l'Indicible; Dofus Ocre; Dolmanax; Dofus des Glaces; Nomade; Remueur; Carapace Eau majeur; Kramkram</t>
        </is>
      </c>
    </row>
    <row r="8967">
      <c r="A8967" t="inlineStr">
        <is>
          <t>Stuff 3</t>
        </is>
      </c>
      <c r="B8967">
        <f>HYPERLINK("https://www.dofusbook.net/fr/equipement/448348-stuff-3/objets", "link")</f>
        <v/>
      </c>
      <c r="C8967" t="n">
        <v>1</v>
      </c>
      <c r="D8967" t="inlineStr">
        <is>
          <t>Sabres d'Atcham; Amulette Ementaire Deluxe; Bague Gloursonne; Alliance du Lévitrof; Ceinture du Barbétoal; Chapeau des Malveilleurs; Cape d'Atcham; Bottes du Chalœil; Dofus Ocre; Dolmanax; Carapace Eau majeur; Carapace Air majeur; Nomade; Remueur; Kramkram</t>
        </is>
      </c>
    </row>
    <row r="8968">
      <c r="A8968" t="inlineStr">
        <is>
          <t>Stuff 2</t>
        </is>
      </c>
      <c r="B8968">
        <f>HYPERLINK("https://www.dofusbook.net/fr/equipement/448311-stuff-2/objets", "link")</f>
        <v/>
      </c>
      <c r="C8968" t="n">
        <v>0</v>
      </c>
      <c r="D8968" t="inlineStr">
        <is>
          <t>Baguette de Malléfisk; Amulette Séculaire; Anneau de Nidas; Anneau Tique; Cadran de Feu; Protopagne; Casque Dragoeuf; Voile d'encre; Pataugastrique; Vagabond majeur; Carapace Terre majeur; Déserteur majeur; Remueur; Observateur; Carapace Neutre majeur; Kramkram</t>
        </is>
      </c>
    </row>
    <row r="8969">
      <c r="A8969" t="inlineStr">
        <is>
          <t>Stuff 1</t>
        </is>
      </c>
      <c r="B8969">
        <f>HYPERLINK("https://www.dofusbook.net/fr/equipement/448319-stuff-1/objets", "link")</f>
        <v/>
      </c>
      <c r="C8969" t="n">
        <v>0</v>
      </c>
      <c r="D8969" t="inlineStr">
        <is>
          <t>Plumeau Bil; Talisman Igans; Anneau Tique; Bague Gloursonne; Ceinture du Barbétoal; Chapeau des Malveilleurs; Cape des Malveilleurs; Bottes du Lévitrof; Dofus Ocre; Déserteur majeur; Remueur; Érudit majeur; Nomade; Carapace Feu majeur; Kramkram</t>
        </is>
      </c>
    </row>
    <row r="8970">
      <c r="A8970" t="inlineStr">
        <is>
          <t>Stuff 3</t>
        </is>
      </c>
      <c r="B8970">
        <f>HYPERLINK("https://www.dofusbook.net/fr/equipement/448351-stuff-3/objets", "link")</f>
        <v/>
      </c>
      <c r="C8970" t="n">
        <v>0</v>
      </c>
      <c r="D8970" t="inlineStr">
        <is>
          <t>Harpelle; Pendentif mignon de Koutoulou; Alliance Gloursonne; Kralano; Puissante Ceinture Fulgurante; Casque Cyclopéen; Voile d'encre; Bottes de Meno; Dolmanax; Dofus Ocre; Déserteur majeur; Nomade; Remueur; Érudit majeur; Kramkram</t>
        </is>
      </c>
    </row>
    <row r="8971">
      <c r="A8971" t="inlineStr">
        <is>
          <t>Stuff 2</t>
        </is>
      </c>
      <c r="B8971">
        <f>HYPERLINK("https://www.dofusbook.net/fr/equipement/448314-stuff-2/objets", "link")</f>
        <v/>
      </c>
      <c r="C8971" t="n">
        <v>0</v>
      </c>
      <c r="D8971" t="inlineStr">
        <is>
          <t>Dagues de Srambad; Amulette de Pol Ouatnos; Alliance Gloursonne; Alliance du Lévitrof; Bouclier du Captain Amakna; Ceinture de la Reine des Voleurs; Coiffe de la Reine des Voleurs; Cape au Logis; Baleinabottes; Vagabond majeur; Remueur; Engourdisseur majeur; Étourdisseur majeur; Paralyseur majeur; Déserteur majeur; Kramkram</t>
        </is>
      </c>
    </row>
    <row r="8972">
      <c r="A8972" t="inlineStr">
        <is>
          <t>Stuff 1</t>
        </is>
      </c>
      <c r="B8972">
        <f>HYPERLINK("https://www.dofusbook.net/fr/equipement/448346-stuff-1/objets", "link")</f>
        <v/>
      </c>
      <c r="C8972" t="n">
        <v>0</v>
      </c>
      <c r="D8972" t="inlineStr">
        <is>
          <t>Marteau des égarés; Kralamansion; Annolamour; Kralano; Ceinture de la Reine des Voleurs; Coiffe de la Reine des Voleurs; Voile d'encre; Bottes de la Reine des Voleurs; Dolmanax; Dofus Émeraude; Dofus des Glaces; Dofus Ocre; Voyageur; Savant majeur; Kramkram</t>
        </is>
      </c>
    </row>
    <row r="8973">
      <c r="A8973" t="inlineStr">
        <is>
          <t>Stuff 1</t>
        </is>
      </c>
      <c r="B8973">
        <f>HYPERLINK("https://www.dofusbook.net/fr/equipement/448373-stuff-1/objets", "link")</f>
        <v/>
      </c>
      <c r="C8973" t="n">
        <v>0</v>
      </c>
      <c r="D8973" t="inlineStr">
        <is>
          <t>Le Thanos; Amulette Ementaire Deluxe; Bague Gloursonne; Anneau de Nidas; Cadran de Feu; Ceinture Séculaire; Casque Dragoeuf; Voile d'encre; Bottes Dogues; Dofus Ocre; Cascadeur majeur; Remueur; Carapace Feu majeur; Érudit majeur; Chanceux majeur; Croum</t>
        </is>
      </c>
    </row>
    <row r="8974">
      <c r="A8974" t="inlineStr">
        <is>
          <t>Stuff 3</t>
        </is>
      </c>
      <c r="B8974">
        <f>HYPERLINK("https://www.dofusbook.net/fr/equipement/448309-stuff-3/objets", "link")</f>
        <v/>
      </c>
      <c r="C8974" t="n">
        <v>0</v>
      </c>
      <c r="D8974" t="inlineStr">
        <is>
          <t>Rapière aux Glyphes; Amulette Voldelor; Bracelet des Fonds marins; Alliance Gloursonne; Ceinture Voldelor; Masque des Fonds marins; Cape des Malveilleurs; Sandales des Fonds marins; Dofus Ocre; Voyageur; Ravageur Eau majeur; Vagabond majeur; Fuyard majeur; Joueur majeur; Kramkram</t>
        </is>
      </c>
    </row>
    <row r="8975">
      <c r="A8975" t="inlineStr">
        <is>
          <t>Stuff 2</t>
        </is>
      </c>
      <c r="B8975">
        <f>HYPERLINK("https://www.dofusbook.net/fr/equipement/448341-stuff-2/objets", "link")</f>
        <v/>
      </c>
      <c r="C8975" t="n">
        <v>0</v>
      </c>
      <c r="D8975" t="inlineStr">
        <is>
          <t>Epée Gloursonne; Collier de la Dame du Hasard; Alliance Gloursonne; Bague Gloursonne; Bouclier du Sadida cassé; Ceinture du Glourséleste; Coiffe du Glourséleste; Cape de Léthaline; Bottes de Léthaline; Dofus Ocre; Cuirassé Neutre majeur; Cuirassé Eau majeur; Vagabond majeur; Cuirassé Feu majeur; Fuyard majeur; Kramkram</t>
        </is>
      </c>
    </row>
    <row r="8976">
      <c r="A8976" t="inlineStr">
        <is>
          <t>50%</t>
        </is>
      </c>
      <c r="B8976">
        <f>HYPERLINK("https://www.dofusbook.net/fr/equipement/448304-50%/objets", "link")</f>
        <v/>
      </c>
      <c r="C8976" t="n">
        <v>0</v>
      </c>
      <c r="D8976" t="inlineStr">
        <is>
          <t>Rouleau à Pâtisserie d'Aermyne; Talisman Glouti; Anneau Tique; Alliance Gloursonne; Sangle Ouare; Coiffe d'Aermyne; Cape d'Aermyne; Bottes du Sinistrofu; Dofus Émeraude; Dofus Ocre; Vagabond majeur; Cuirassé Feu majeur; Bastion majeur; Cuirassé Terre majeur; Croum</t>
        </is>
      </c>
    </row>
    <row r="8977">
      <c r="A8977" t="inlineStr">
        <is>
          <t>Stuff 3</t>
        </is>
      </c>
      <c r="B8977">
        <f>HYPERLINK("https://www.dofusbook.net/fr/equipement/448336-stuff-3/objets", "link")</f>
        <v/>
      </c>
      <c r="C8977" t="n">
        <v>0</v>
      </c>
      <c r="D8977" t="inlineStr">
        <is>
          <t>Pelle Fik; Amulette du Sinistrofu; Annolamour; Alliance Gloursonne; Kloume cassé; Ceinture du Glourséleste; Casque Dragoeuf; Cape de Léthaline; Bottes du Sinistrofu; Dofus Ocre; Dokoko; Chanceux majeur; Déserteur majeur; Remueur; Vagabond majeur; Croum</t>
        </is>
      </c>
    </row>
    <row r="8978">
      <c r="A8978" t="inlineStr">
        <is>
          <t>Stuff 2</t>
        </is>
      </c>
      <c r="B8978">
        <f>HYPERLINK("https://www.dofusbook.net/fr/equipement/448368-stuff-2/objets", "link")</f>
        <v/>
      </c>
      <c r="C8978" t="n">
        <v>0</v>
      </c>
      <c r="D8978" t="inlineStr">
        <is>
          <t>Dagues Érhy; Amulette Ementaire Deluxe; Bague Gloursonne; Alliance Gloursonne; Puissante Ceinture Fulgurante; Chapeau de Gein; Voile d'encre; Bottes Répané; Dofus Ocre; Dolmanax; Érudit majeur; Déserteur majeur; Remueur; Nomade; Kramkram</t>
        </is>
      </c>
    </row>
    <row r="8979">
      <c r="A8979" t="inlineStr">
        <is>
          <t>Stuff 1</t>
        </is>
      </c>
      <c r="B8979">
        <f>HYPERLINK("https://www.dofusbook.net/fr/equipement/448331-stuff-1/objets", "link")</f>
        <v/>
      </c>
      <c r="C8979" t="n">
        <v>0</v>
      </c>
      <c r="D8979" t="inlineStr">
        <is>
          <t>Sabres d'Atcham; Collier de la Dame du Hasard; Alliance Gloursonne; Chevalière du Roi Joueur; Protopagne; Couronne du Roi Joueur; Cape d'Atcham; Sandales  d'Atcham; Dofus Ocre; Cuirassé Eau majeur; Savant majeur; Robuste majeur; Vagabond majeur; Acrobate majeur; Kramkram</t>
        </is>
      </c>
    </row>
    <row r="8980">
      <c r="A8980" t="inlineStr">
        <is>
          <t>Stuff 3</t>
        </is>
      </c>
      <c r="B8980">
        <f>HYPERLINK("https://www.dofusbook.net/fr/equipement/448363-stuff-3/objets", "link")</f>
        <v/>
      </c>
      <c r="C8980" t="n">
        <v>0</v>
      </c>
      <c r="D8980" t="inlineStr">
        <is>
          <t>Harpelle; Amulette de Gein; Bague Gloursonne; Anneau Rifique; Bouclier Ventaille cassé; Ceinture de Vortex; Chapeau de Gein; Voile d'encre; Tongues de Nidas; Dofus Ocre; Déserteur majeur; Remueur; Observateur; Carapace Terre majeur; Nomade; Kramkram</t>
        </is>
      </c>
    </row>
    <row r="8981">
      <c r="A8981" t="inlineStr">
        <is>
          <t>Stuff 2</t>
        </is>
      </c>
      <c r="B8981">
        <f>HYPERLINK("https://www.dofusbook.net/fr/equipement/448326-stuff-2/objets", "link")</f>
        <v/>
      </c>
      <c r="C8981" t="n">
        <v>0</v>
      </c>
      <c r="D8981" t="inlineStr">
        <is>
          <t>Epée Gloursonne; Amulette Voldelor; Bague Gloursonne; Alliance Gloursonne; Cadran de Feu; Protopagne; Coiffe du Glourséleste; Cape de Léthaline; Bottes du Sinistrofu; Dofus Ocre; Cuirassé Eau majeur; Cuirassé Feu majeur; Vagabond majeur; Cuirassé Terre majeur; Cuirassé Air majeur; Kramkram</t>
        </is>
      </c>
    </row>
    <row r="8982">
      <c r="A8982" t="inlineStr">
        <is>
          <t>Stuff 1</t>
        </is>
      </c>
      <c r="B8982">
        <f>HYPERLINK("https://www.dofusbook.net/fr/equipement/448358-stuff-1/objets", "link")</f>
        <v/>
      </c>
      <c r="C8982" t="n">
        <v>1</v>
      </c>
      <c r="D8982" t="inlineStr">
        <is>
          <t>Harpelle; Pendentif mignon de Koutoulou; Anneau de Nidas; Anneau Rifique; Protopagne; Casque Cyclopéen; Voile d'encre; Bottes Innommables; Dofus Ocre; Dolmanax; Examinateur; Astucieux majeur; Savant majeur; Vagabond majeur; Kramkram</t>
        </is>
      </c>
    </row>
    <row r="8983">
      <c r="A8983" t="inlineStr">
        <is>
          <t>Stuff 3</t>
        </is>
      </c>
      <c r="B8983">
        <f>HYPERLINK("https://www.dofusbook.net/fr/equipement/448321-stuff-3/objets", "link")</f>
        <v/>
      </c>
      <c r="C8983" t="n">
        <v>0</v>
      </c>
      <c r="D8983" t="inlineStr">
        <is>
          <t>Arc Hétype; Amulette de Nileza; Anneau Tique; Anneau de Nidas; Ceinture de Kongoku; Couronne de Nidas; Voile d'encre; Pataugastrique; Savant majeur; Érudit majeur; Vagabond majeur; Nomade; Déserteur majeur; Remueur; Kramkram</t>
        </is>
      </c>
    </row>
    <row r="8984">
      <c r="A8984" t="inlineStr">
        <is>
          <t>Stuff 2</t>
        </is>
      </c>
      <c r="B8984">
        <f>HYPERLINK("https://www.dofusbook.net/fr/equipement/448353-stuff-2/objets", "link")</f>
        <v/>
      </c>
      <c r="C8984" t="n">
        <v>0</v>
      </c>
      <c r="D8984" t="inlineStr">
        <is>
          <t>Dagues Érhy; Amulette du Strigide; Bracelet du Piloztère; Bague Gloursonne; Bouclier du Captain Amakna; Ceinture du Strigide; Bonnet Ko; Voile d'encre; Bottes du Cycloïde; Dofus Ocre; Dofus Pourpre; Remueur; Voyageur; Vigoureux majeur; Nomade; Kramkram</t>
        </is>
      </c>
    </row>
    <row r="8985">
      <c r="A8985" t="inlineStr">
        <is>
          <t>Stuff 1</t>
        </is>
      </c>
      <c r="B8985">
        <f>HYPERLINK("https://www.dofusbook.net/fr/equipement/448316-stuff-1/objets", "link")</f>
        <v/>
      </c>
      <c r="C8985" t="n">
        <v>0</v>
      </c>
      <c r="D8985" t="inlineStr">
        <is>
          <t>Marteau des égarés; Amulette du Cycloïde; Alliance du Lévitrof; Alliance Gloursonne; Ceinture de l'Indicible; Casque du Chalœil; Cape de Kongoku; Bottes de l'Indicible; Dolmanax; Dofus des Glaces; Dofus Ocre; Remueur; Carapace Eau majeur; Nomade; Kramkram</t>
        </is>
      </c>
    </row>
    <row r="8986">
      <c r="A8986" t="inlineStr">
        <is>
          <t>Stuff 3</t>
        </is>
      </c>
      <c r="B8986">
        <f>HYPERLINK("https://www.dofusbook.net/fr/equipement/448348-stuff-3/objets", "link")</f>
        <v/>
      </c>
      <c r="C8986" t="n">
        <v>1</v>
      </c>
      <c r="D8986" t="inlineStr">
        <is>
          <t>Sabres d'Atcham; Amulette Ementaire Deluxe; Bague Gloursonne; Alliance du Lévitrof; Ceinture du Barbétoal; Chapeau des Malveilleurs; Cape d'Atcham; Bottes du Chalœil; Dofus Ocre; Dolmanax; Carapace Air majeur; Nomade; Remueur; Carapace Eau majeur; Kramkram</t>
        </is>
      </c>
    </row>
    <row r="8987">
      <c r="A8987" t="inlineStr">
        <is>
          <t>Stuff 2</t>
        </is>
      </c>
      <c r="B8987">
        <f>HYPERLINK("https://www.dofusbook.net/fr/equipement/448311-stuff-2/objets", "link")</f>
        <v/>
      </c>
      <c r="C8987" t="n">
        <v>0</v>
      </c>
      <c r="D8987" t="inlineStr">
        <is>
          <t>Baguette de Malléfisk; Amulette Séculaire; Anneau de Nidas; Anneau Tique; Cadran de Feu; Protopagne; Casque Dragoeuf; Voile d'encre; Pataugastrique; Observateur; Carapace Neutre majeur; Vagabond majeur; Carapace Terre majeur; Déserteur majeur; Remueur; Kramkram</t>
        </is>
      </c>
    </row>
    <row r="8988">
      <c r="A8988" t="inlineStr">
        <is>
          <t>Stuff 1</t>
        </is>
      </c>
      <c r="B8988">
        <f>HYPERLINK("https://www.dofusbook.net/fr/equipement/448343-stuff-1/objets", "link")</f>
        <v/>
      </c>
      <c r="C8988" t="n">
        <v>0</v>
      </c>
      <c r="D8988" t="inlineStr">
        <is>
          <t>Baguette Hique; Talisman Igans; Bague Gloursonne; Alliance Gloursonne; Ceintacé; Chapeau des Malveilleurs; Cape de la Dame du Hasard; Bottes Refois; Dolmanax; Carapace Air majeur; Nomade; Érudit majeur; Remueur; Chanceux majeur; Kramkram</t>
        </is>
      </c>
    </row>
    <row r="8989">
      <c r="A8989" t="inlineStr">
        <is>
          <t>Stuff 3</t>
        </is>
      </c>
      <c r="B8989">
        <f>HYPERLINK("https://www.dofusbook.net/fr/equipement/448363-stuff-3/objets", "link")</f>
        <v/>
      </c>
      <c r="C8989" t="n">
        <v>0</v>
      </c>
      <c r="D8989" t="inlineStr">
        <is>
          <t>Harpelle; Amulette de Gein; Anneau Rifique; Bague Gloursonne; Bouclier Ventaille cassé; Ceinture de Vortex; Chapeau de Gein; Voile d'encre; Tongues de Nidas; Dofus Ocre; Observateur; Carapace Terre majeur; Nomade; Déserteur majeur; Remueur; Kramkram</t>
        </is>
      </c>
    </row>
    <row r="8990">
      <c r="A8990" t="inlineStr">
        <is>
          <t>Stuff 2</t>
        </is>
      </c>
      <c r="B8990">
        <f>HYPERLINK("https://www.dofusbook.net/fr/equipement/448326-stuff-2/objets", "link")</f>
        <v/>
      </c>
      <c r="C8990" t="n">
        <v>0</v>
      </c>
      <c r="D8990" t="inlineStr">
        <is>
          <t>Epée Gloursonne; Amulette Voldelor; Alliance Gloursonne; Bague Gloursonne; Cadran de Feu; Protopagne; Coiffe du Glourséleste; Cape de Léthaline; Bottes du Sinistrofu; Dofus Ocre; Cuirassé Feu majeur; Vagabond majeur; Cuirassé Terre majeur; Cuirassé Air majeur; Cuirassé Eau majeur; Kramkram</t>
        </is>
      </c>
    </row>
    <row r="8991">
      <c r="A8991" t="inlineStr">
        <is>
          <t>Stuff 1</t>
        </is>
      </c>
      <c r="B8991">
        <f>HYPERLINK("https://www.dofusbook.net/fr/equipement/448358-stuff-1/objets", "link")</f>
        <v/>
      </c>
      <c r="C8991" t="n">
        <v>1</v>
      </c>
      <c r="D8991" t="inlineStr">
        <is>
          <t>Harpelle; Pendentif mignon de Koutoulou; Anneau de Nidas; Anneau Rifique; Protopagne; Casque Cyclopéen; Voile d'encre; Bottes Innommables; Dolmanax; Dofus Ocre; Vagabond majeur; Examinateur; Astucieux majeur; Savant majeur; Kramkram</t>
        </is>
      </c>
    </row>
    <row r="8992">
      <c r="A8992" t="inlineStr">
        <is>
          <t>Stuff 3</t>
        </is>
      </c>
      <c r="B8992">
        <f>HYPERLINK("https://www.dofusbook.net/fr/equipement/448321-stuff-3/objets", "link")</f>
        <v/>
      </c>
      <c r="C8992" t="n">
        <v>0</v>
      </c>
      <c r="D8992" t="inlineStr">
        <is>
          <t>Arc Hétype; Amulette de Nileza; Anneau Tique; Anneau de Nidas; Ceinture de Kongoku; Couronne de Nidas; Voile d'encre; Pataugastrique; Savant majeur; Érudit majeur; Vagabond majeur; Nomade; Déserteur majeur; Remueur; Kramkram</t>
        </is>
      </c>
    </row>
    <row r="8993">
      <c r="A8993" t="inlineStr">
        <is>
          <t>Stuff 2</t>
        </is>
      </c>
      <c r="B8993">
        <f>HYPERLINK("https://www.dofusbook.net/fr/equipement/448353-stuff-2/objets", "link")</f>
        <v/>
      </c>
      <c r="C8993" t="n">
        <v>0</v>
      </c>
      <c r="D8993" t="inlineStr">
        <is>
          <t>Dagues Érhy; Amulette du Strigide; Bague Gloursonne; Bracelet du Piloztère; Bouclier du Captain Amakna; Ceinture du Strigide; Bonnet Ko; Voile d'encre; Bottes du Cycloïde; Dofus Pourpre; Dofus Ocre; Voyageur; Vigoureux majeur; Nomade; Remueur; Kramkram</t>
        </is>
      </c>
    </row>
    <row r="8994">
      <c r="A8994" t="inlineStr">
        <is>
          <t>Stuff 1</t>
        </is>
      </c>
      <c r="B8994">
        <f>HYPERLINK("https://www.dofusbook.net/fr/equipement/448316-stuff-1/objets", "link")</f>
        <v/>
      </c>
      <c r="C8994" t="n">
        <v>0</v>
      </c>
      <c r="D8994" t="inlineStr">
        <is>
          <t>Marteau des égarés; Amulette du Cycloïde; Alliance Gloursonne; Alliance du Lévitrof; Ceinture de l'Indicible; Casque du Chalœil; Cape de Kongoku; Bottes de l'Indicible; Dolmanax; Dofus des Glaces; Dofus Ocre; Remueur; Carapace Eau majeur; Nomade; Kramkram</t>
        </is>
      </c>
    </row>
    <row r="8995">
      <c r="A8995" t="inlineStr">
        <is>
          <t>Stuff 3</t>
        </is>
      </c>
      <c r="B8995">
        <f>HYPERLINK("https://www.dofusbook.net/fr/equipement/448348-stuff-3/objets", "link")</f>
        <v/>
      </c>
      <c r="C8995" t="n">
        <v>1</v>
      </c>
      <c r="D8995" t="inlineStr">
        <is>
          <t>Sabres d'Atcham; Amulette Ementaire Deluxe; Alliance du Lévitrof; Bague Gloursonne; Ceinture du Barbétoal; Chapeau des Malveilleurs; Cape d'Atcham; Bottes du Chalœil; Dofus Ocre; Dolmanax; Nomade; Remueur; Carapace Eau majeur; Carapace Air majeur; Kramkram</t>
        </is>
      </c>
    </row>
    <row r="8996">
      <c r="A8996" t="inlineStr">
        <is>
          <t>Stuff 2</t>
        </is>
      </c>
      <c r="B8996">
        <f>HYPERLINK("https://www.dofusbook.net/fr/equipement/448311-stuff-2/objets", "link")</f>
        <v/>
      </c>
      <c r="C8996" t="n">
        <v>0</v>
      </c>
      <c r="D8996" t="inlineStr">
        <is>
          <t>Baguette de Malléfisk; Amulette Séculaire; Anneau de Nidas; Anneau Tique; Cadran de Feu; Protopagne; Casque Dragoeuf; Voile d'encre; Pataugastrique; Vagabond majeur; Carapace Terre majeur; Déserteur majeur; Remueur; Observateur; Carapace Neutre majeur; Kramkram</t>
        </is>
      </c>
    </row>
    <row r="8997">
      <c r="A8997" t="inlineStr">
        <is>
          <t>Stuff 1</t>
        </is>
      </c>
      <c r="B8997">
        <f>HYPERLINK("https://www.dofusbook.net/fr/equipement/448343-stuff-1/objets", "link")</f>
        <v/>
      </c>
      <c r="C8997" t="n">
        <v>0</v>
      </c>
      <c r="D8997" t="inlineStr">
        <is>
          <t>Baguette Hique; Talisman Igans; Bague Gloursonne; Alliance Gloursonne; Ceintacé; Chapeau des Malveilleurs; Cape de la Dame du Hasard; Bottes Refois; Dolmanax; Érudit majeur; Remueur; Chanceux majeur; Carapace Air majeur; Nomade; Kramkram</t>
        </is>
      </c>
    </row>
    <row r="8998">
      <c r="A8998" t="inlineStr">
        <is>
          <t>Stuff 2</t>
        </is>
      </c>
      <c r="B8998">
        <f>HYPERLINK("https://www.dofusbook.net/fr/equipement/448338-stuff-2/objets", "link")</f>
        <v/>
      </c>
      <c r="C8998" t="n">
        <v>0</v>
      </c>
      <c r="D8998" t="inlineStr">
        <is>
          <t>Sabres d'Atcham; Amulette du Strigide; Alliance Gloursonne; Anneau Tique; Ceintacé; Boucle d'oreille de Kongoku; Voile d'encre; Bottes du Strigide; Dofus Pourpre; Dolmanax; Vigoureux majeur; Remueur; Carapace Terre majeur; Nomade; Kramkram</t>
        </is>
      </c>
    </row>
    <row r="8999">
      <c r="A8999" t="inlineStr">
        <is>
          <t>Stuff 1</t>
        </is>
      </c>
      <c r="B8999">
        <f>HYPERLINK("https://www.dofusbook.net/fr/equipement/448370-stuff-1/objets", "link")</f>
        <v/>
      </c>
      <c r="C8999" t="n">
        <v>0</v>
      </c>
      <c r="D8999" t="inlineStr">
        <is>
          <t>Grésilosceptre; Pendentif mignon de Koutoulou; Anneau de la Fuji Givrefoux; Anneau Rifique; Ftalmo cassé; Ceinture de Vortex; Casque Cyclopéen; Cape de Léthaline; Sabots de Vortex; Dofus Émeraude; Dokoko; Dolmanax; Dofus Ocre; Survivant majeur; Vagabond majeur; Kramkram</t>
        </is>
      </c>
    </row>
    <row r="9000">
      <c r="A9000" t="inlineStr">
        <is>
          <t>12/6/5</t>
        </is>
      </c>
      <c r="B9000">
        <f>HYPERLINK("https://www.dofusbook.net/fr/equipement/448301-12-6-5/objets", "link")</f>
        <v/>
      </c>
      <c r="C9000" t="n">
        <v>1</v>
      </c>
      <c r="D9000" t="inlineStr">
        <is>
          <t>Dagues Érhy; Amulette du Cycloïde; Alliance Gloursonne; Bague Gloursonne; Puissante Ceinture Fulgurante; Chapeau de Gein; Voile d'encre; Tongues de Nidas; Dolmanax; Dofus Ocre; Érudit majeur; Nomade; Déserteur majeur; Remueur; Kramkram</t>
        </is>
      </c>
    </row>
    <row r="9001">
      <c r="A9001" t="inlineStr">
        <is>
          <t>Stuff 3</t>
        </is>
      </c>
      <c r="B9001">
        <f>HYPERLINK("https://www.dofusbook.net/fr/equipement/448333-stuff-3/objets", "link")</f>
        <v/>
      </c>
      <c r="C9001" t="n">
        <v>0</v>
      </c>
      <c r="D9001" t="inlineStr">
        <is>
          <t>Faux Maudite du Saigneur Guerrier; Amulette du Strigide; Alliance Gloursonne; Bague Gloursonne; Bouclier du Captain Amakna; Ceinture du Strigide; Maskrobe; Cape des Justiciers; Bottes du Strigide; Dolmanax; Dofus des Glaces; Dofus Pourpre; Puissant majeur; Vagabond majeur; Féroce majeur; Kramkram</t>
        </is>
      </c>
    </row>
    <row r="9002">
      <c r="A9002" t="inlineStr">
        <is>
          <t>Stuff 2</t>
        </is>
      </c>
      <c r="B9002">
        <f>HYPERLINK("https://www.dofusbook.net/fr/equipement/448365-stuff-2/objets", "link")</f>
        <v/>
      </c>
      <c r="C9002" t="n">
        <v>0</v>
      </c>
      <c r="D9002" t="inlineStr">
        <is>
          <t>Sabres d'Atcham; Amulette du Cycloïde; Bague Gloursonne; Alliance Gloursonne; Ceinture de l'Indicible; Casque du Chalœil; Cape d'Atcham; Sandales  d'Atcham; Dofus Ocre; Dolmanax; Voyageur; Savant majeur; Vagabond majeur; Cuirassé Air majeur; Kramkram</t>
        </is>
      </c>
    </row>
    <row r="9003">
      <c r="A9003" t="inlineStr">
        <is>
          <t>Stuff 1</t>
        </is>
      </c>
      <c r="B9003">
        <f>HYPERLINK("https://www.dofusbook.net/fr/equipement/448328-stuff-1/objets", "link")</f>
        <v/>
      </c>
      <c r="C9003" t="n">
        <v>0</v>
      </c>
      <c r="D9003" t="inlineStr">
        <is>
          <t>Marteau des Anciens Steamers; Talisman Glouti; Alliance Gloursonne; Bracelet du Piloztère; Bouclier d'Asse cassé; Ceinture du Barbétoal; Masque des Fonds marins; Cape du Barbétoal; Pataugastrique; Déserteur majeur; Remueur; Étourdisseur majeur; Nomade; Paralyseur majeur; Chanceux majeur; Kramkram</t>
        </is>
      </c>
    </row>
    <row r="9004">
      <c r="A9004" t="inlineStr">
        <is>
          <t>Stuff 3</t>
        </is>
      </c>
      <c r="B9004">
        <f>HYPERLINK("https://www.dofusbook.net/fr/equipement/448360-stuff-3/objets", "link")</f>
        <v/>
      </c>
      <c r="C9004" t="n">
        <v>0</v>
      </c>
      <c r="D9004" t="inlineStr">
        <is>
          <t>Épée d'Otomaï; Amulette du Cycloïde; Alliance du Lévitrof; Anneau de Nidas; Bouclier en Slip cassé; Protopagne; Chapeau de Gein; Voile d'encre; Bottes Dogues; Dofus Ocre; Remueur; Déserteur majeur; Érudit majeur; Observateur; Carapace Eau majeur; Kramkram</t>
        </is>
      </c>
    </row>
    <row r="9005">
      <c r="A9005" t="inlineStr">
        <is>
          <t>Stuff 2</t>
        </is>
      </c>
      <c r="B9005">
        <f>HYPERLINK("https://www.dofusbook.net/fr/equipement/448323-stuff-2/objets", "link")</f>
        <v/>
      </c>
      <c r="C9005" t="n">
        <v>1</v>
      </c>
      <c r="D9005" t="inlineStr">
        <is>
          <t>Marteau des Anciens Steamers; Amulette Ementaire Deluxe; Annolamour; Alliance Gloursonne; Bouclier d'Asse cassé; Ceinture de la Reine des Voleurs; Coiffe de la Reine des Voleurs; Voile d'encre; Pataugastrique; Dofus Pourpre; Dokoko; Dolmanax; Dofus des Glaces; Nomade; Remueur; Kramkram</t>
        </is>
      </c>
    </row>
    <row r="9006">
      <c r="A9006" t="inlineStr">
        <is>
          <t>Stuff 1</t>
        </is>
      </c>
      <c r="B9006">
        <f>HYPERLINK("https://www.dofusbook.net/fr/equipement/448355-stuff-1/objets", "link")</f>
        <v/>
      </c>
      <c r="C9006" t="n">
        <v>0</v>
      </c>
      <c r="D9006" t="inlineStr">
        <is>
          <t>Manthache; Collier du Valet Veinard; Alliance Gloursonne; Anneau Rifique; Bouclier Ventaille cassé; Ceinture Voldelor; Casque Cyclopéen; Cape Indescriptible; Palmes Trithons; Dolmanax; Dofus Ocre; Nomade; Déserteur majeur; Cascadeur majeur; Remueur; Kramkram</t>
        </is>
      </c>
    </row>
    <row r="9007">
      <c r="A9007" t="inlineStr">
        <is>
          <t>Stuff 3</t>
        </is>
      </c>
      <c r="B9007">
        <f>HYPERLINK("https://www.dofusbook.net/fr/equipement/448318-stuff-3/objets", "link")</f>
        <v/>
      </c>
      <c r="C9007" t="n">
        <v>0</v>
      </c>
      <c r="D9007" t="inlineStr">
        <is>
          <t>Faux Maudite du Saigneur Guerrier; Amulette du Cycloïde; Gelano; Alliance Gloursonne; Ceinture du Strigide; Chapeau Lisson; Cape des Malveilleurs; Bottes du Strigide; Dofus Pourpre; Dofus Ocre; Nomade; Obstructeur majeur; Miraculé majeur; Remueur; Kramkram</t>
        </is>
      </c>
    </row>
    <row r="9008">
      <c r="A9008" t="inlineStr">
        <is>
          <t>Stuff 2</t>
        </is>
      </c>
      <c r="B9008">
        <f>HYPERLINK("https://www.dofusbook.net/fr/equipement/448350-stuff-2/objets", "link")</f>
        <v/>
      </c>
      <c r="C9008" t="n">
        <v>0</v>
      </c>
      <c r="D9008" t="inlineStr">
        <is>
          <t>Epée Gloursonne; Pendentif affamé; Alliance Gloursonne; Bague Gloursonne; Protopagne; Chapeau des Malveilleurs; Cape des Malveilleurs; Bottes des Malveilleurs; Dolmanax; Joueur majeur; Vagabond majeur; Savant majeur; Cuirassé Eau majeur; Puissant majeur; Kramkram</t>
        </is>
      </c>
    </row>
    <row r="9009">
      <c r="A9009" t="inlineStr">
        <is>
          <t>Stuff 1</t>
        </is>
      </c>
      <c r="B9009">
        <f>HYPERLINK("https://www.dofusbook.net/fr/equipement/448358-stuff-1/objets", "link")</f>
        <v/>
      </c>
      <c r="C9009" t="n">
        <v>1</v>
      </c>
      <c r="D9009" t="inlineStr">
        <is>
          <t>Harpelle; Pendentif mignon de Koutoulou; Anneau Rifique; Anneau de Nidas; Protopagne; Casque Cyclopéen; Voile d'encre; Bottes Innommables; Dolmanax; Dofus Ocre; Vagabond majeur; Examinateur; Astucieux majeur; Savant majeur; Kramkram</t>
        </is>
      </c>
    </row>
    <row r="9010">
      <c r="A9010" t="inlineStr">
        <is>
          <t>Stuff 3</t>
        </is>
      </c>
      <c r="B9010">
        <f>HYPERLINK("https://www.dofusbook.net/fr/equipement/448321-stuff-3/objets", "link")</f>
        <v/>
      </c>
      <c r="C9010" t="n">
        <v>0</v>
      </c>
      <c r="D9010" t="inlineStr">
        <is>
          <t>Arc Hétype; Amulette de Nileza; Anneau Tique; Anneau de Nidas; Ceinture de Kongoku; Couronne de Nidas; Voile d'encre; Pataugastrique; Déserteur majeur; Remueur; Savant majeur; Érudit majeur; Vagabond majeur; Nomade; Kramkram</t>
        </is>
      </c>
    </row>
    <row r="9011">
      <c r="A9011" t="inlineStr">
        <is>
          <t>Stuff 2</t>
        </is>
      </c>
      <c r="B9011">
        <f>HYPERLINK("https://www.dofusbook.net/fr/equipement/448353-stuff-2/objets", "link")</f>
        <v/>
      </c>
      <c r="C9011" t="n">
        <v>0</v>
      </c>
      <c r="D9011" t="inlineStr">
        <is>
          <t>Dagues Érhy; Amulette du Strigide; Bracelet du Piloztère; Bague Gloursonne; Bouclier du Captain Amakna; Ceinture du Strigide; Bonnet Ko; Voile d'encre; Bottes du Cycloïde; Dofus Pourpre; Dofus Ocre; Voyageur; Vigoureux majeur; Nomade; Remueur; Kramkram</t>
        </is>
      </c>
    </row>
    <row r="9012">
      <c r="A9012" t="inlineStr">
        <is>
          <t>Stuff 1</t>
        </is>
      </c>
      <c r="B9012">
        <f>HYPERLINK("https://www.dofusbook.net/fr/equipement/448316-stuff-1/objets", "link")</f>
        <v/>
      </c>
      <c r="C9012" t="n">
        <v>0</v>
      </c>
      <c r="D9012" t="inlineStr">
        <is>
          <t>Marteau des égarés; Amulette du Cycloïde; Alliance Gloursonne; Alliance du Lévitrof; Ceinture de l'Indicible; Casque du Chalœil; Cape de Kongoku; Bottes de l'Indicible; Dofus Ocre; Dolmanax; Dofus des Glaces; Nomade; Remueur; Carapace Eau majeur; Kramkram</t>
        </is>
      </c>
    </row>
    <row r="9013">
      <c r="A9013" t="inlineStr">
        <is>
          <t>Stuff 3</t>
        </is>
      </c>
      <c r="B9013">
        <f>HYPERLINK("https://www.dofusbook.net/fr/equipement/448348-stuff-3/objets", "link")</f>
        <v/>
      </c>
      <c r="C9013" t="n">
        <v>1</v>
      </c>
      <c r="D9013" t="inlineStr">
        <is>
          <t>Sabres d'Atcham; Amulette Ementaire Deluxe; Bague Gloursonne; Alliance du Lévitrof; Ceinture du Barbétoal; Chapeau des Malveilleurs; Cape d'Atcham; Bottes du Chalœil; Dofus Ocre; Dolmanax; Nomade; Remueur; Carapace Eau majeur; Carapace Air majeur; Kramkram</t>
        </is>
      </c>
    </row>
    <row r="9014">
      <c r="A9014" t="inlineStr">
        <is>
          <t>Stuff 2</t>
        </is>
      </c>
      <c r="B9014">
        <f>HYPERLINK("https://www.dofusbook.net/fr/equipement/448311-stuff-2/objets", "link")</f>
        <v/>
      </c>
      <c r="C9014" t="n">
        <v>0</v>
      </c>
      <c r="D9014" t="inlineStr">
        <is>
          <t>Baguette de Malléfisk; Amulette Séculaire; Anneau de Nidas; Anneau Tique; Cadran de Feu; Protopagne; Casque Dragoeuf; Voile d'encre; Pataugastrique; Vagabond majeur; Carapace Terre majeur; Déserteur majeur; Remueur; Observateur; Carapace Neutre majeur; Kramkram</t>
        </is>
      </c>
    </row>
    <row r="9015">
      <c r="A9015" t="inlineStr">
        <is>
          <t>Stuff 1</t>
        </is>
      </c>
      <c r="B9015">
        <f>HYPERLINK("https://www.dofusbook.net/fr/equipement/448343-stuff-1/objets", "link")</f>
        <v/>
      </c>
      <c r="C9015" t="n">
        <v>0</v>
      </c>
      <c r="D9015" t="inlineStr">
        <is>
          <t>Baguette Hique; Talisman Igans; Alliance Gloursonne; Bague Gloursonne; Ceintacé; Chapeau des Malveilleurs; Cape de la Dame du Hasard; Bottes Refois; Dolmanax; Chanceux majeur; Carapace Air majeur; Nomade; Érudit majeur; Remueur; Kramkram</t>
        </is>
      </c>
    </row>
    <row r="9016">
      <c r="A9016" t="inlineStr">
        <is>
          <t>Stuff 2</t>
        </is>
      </c>
      <c r="B9016">
        <f>HYPERLINK("https://www.dofusbook.net/fr/equipement/448338-stuff-2/objets", "link")</f>
        <v/>
      </c>
      <c r="C9016" t="n">
        <v>0</v>
      </c>
      <c r="D9016" t="inlineStr">
        <is>
          <t>Sabres d'Atcham; Amulette du Strigide; Anneau Tique; Alliance Gloursonne; Ceintacé; Boucle d'oreille de Kongoku; Voile d'encre; Bottes du Strigide; Dofus Pourpre; Dolmanax; Carapace Terre majeur; Nomade; Vigoureux majeur; Remueur; Kramkram</t>
        </is>
      </c>
    </row>
    <row r="9017">
      <c r="A9017" t="inlineStr">
        <is>
          <t>Stuff 1</t>
        </is>
      </c>
      <c r="B9017">
        <f>HYPERLINK("https://www.dofusbook.net/fr/equipement/448370-stuff-1/objets", "link")</f>
        <v/>
      </c>
      <c r="C9017" t="n">
        <v>0</v>
      </c>
      <c r="D9017" t="inlineStr">
        <is>
          <t>Grésilosceptre; Pendentif mignon de Koutoulou; Anneau Rifique; Anneau de la Fuji Givrefoux; Ftalmo cassé; Ceinture de Vortex; Casque Cyclopéen; Cape de Léthaline; Sabots de Vortex; Dolmanax; Dofus Ocre; Dofus Émeraude; Dokoko; Survivant majeur; Vagabond majeur; Kramkram</t>
        </is>
      </c>
    </row>
    <row r="9018">
      <c r="A9018" t="inlineStr">
        <is>
          <t>Stuff 3</t>
        </is>
      </c>
      <c r="B9018">
        <f>HYPERLINK("https://www.dofusbook.net/fr/equipement/448333-stuff-3/objets", "link")</f>
        <v/>
      </c>
      <c r="C9018" t="n">
        <v>0</v>
      </c>
      <c r="D9018" t="inlineStr">
        <is>
          <t>Faux Maudite du Saigneur Guerrier; Amulette du Strigide; Bague Gloursonne; Alliance Gloursonne; Bouclier du Captain Amakna; Ceinture du Strigide; Maskrobe; Cape des Justiciers; Bottes du Strigide; Dofus Pourpre; Dolmanax; Dofus des Glaces; Puissant majeur; Vagabond majeur; Féroce majeur; Kramkram</t>
        </is>
      </c>
    </row>
    <row r="9019">
      <c r="A9019" t="inlineStr">
        <is>
          <t>Stuff 2</t>
        </is>
      </c>
      <c r="B9019">
        <f>HYPERLINK("https://www.dofusbook.net/fr/equipement/448365-stuff-2/objets", "link")</f>
        <v/>
      </c>
      <c r="C9019" t="n">
        <v>0</v>
      </c>
      <c r="D9019" t="inlineStr">
        <is>
          <t>Sabres d'Atcham; Amulette du Cycloïde; Bague Gloursonne; Alliance Gloursonne; Ceinture de l'Indicible; Casque du Chalœil; Cape d'Atcham; Sandales  d'Atcham; Dolmanax; Dofus Ocre; Cuirassé Air majeur; Voyageur; Savant majeur; Vagabond majeur; Kramkram</t>
        </is>
      </c>
    </row>
    <row r="9020">
      <c r="A9020" t="inlineStr">
        <is>
          <t>12/6/5</t>
        </is>
      </c>
      <c r="B9020">
        <f>HYPERLINK("https://www.dofusbook.net/fr/equipement/448301-12-6-5/objets", "link")</f>
        <v/>
      </c>
      <c r="C9020" t="n">
        <v>1</v>
      </c>
      <c r="D9020" t="inlineStr">
        <is>
          <t>Dagues Érhy; Amulette du Cycloïde; Alliance Gloursonne; Bague Gloursonne; Puissante Ceinture Fulgurante; Chapeau de Gein; Voile d'encre; Tongues de Nidas; Dolmanax; Dofus Ocre; Érudit majeur; Nomade; Déserteur majeur; Remueur; Kramkram</t>
        </is>
      </c>
    </row>
    <row r="9021">
      <c r="A9021" t="inlineStr">
        <is>
          <t>Stuff 1</t>
        </is>
      </c>
      <c r="B9021">
        <f>HYPERLINK("https://www.dofusbook.net/fr/equipement/448328-stuff-1/objets", "link")</f>
        <v/>
      </c>
      <c r="C9021" t="n">
        <v>0</v>
      </c>
      <c r="D9021" t="inlineStr">
        <is>
          <t>Marteau des Anciens Steamers; Talisman Glouti; Bracelet du Piloztère; Alliance Gloursonne; Bouclier d'Asse cassé; Ceinture du Barbétoal; Masque des Fonds marins; Cape du Barbétoal; Pataugastrique; Étourdisseur majeur; Nomade; Paralyseur majeur; Chanceux majeur; Déserteur majeur; Remueur; Kramkram</t>
        </is>
      </c>
    </row>
    <row r="9022">
      <c r="A9022" t="inlineStr">
        <is>
          <t>Stuff 3</t>
        </is>
      </c>
      <c r="B9022">
        <f>HYPERLINK("https://www.dofusbook.net/fr/equipement/448360-stuff-3/objets", "link")</f>
        <v/>
      </c>
      <c r="C9022" t="n">
        <v>0</v>
      </c>
      <c r="D9022" t="inlineStr">
        <is>
          <t>Épée d'Otomaï; Amulette du Cycloïde; Alliance du Lévitrof; Anneau de Nidas; Bouclier en Slip cassé; Protopagne; Chapeau de Gein; Voile d'encre; Bottes Dogues; Dofus Ocre; Carapace Eau majeur; Remueur; Déserteur majeur; Érudit majeur; Observateur; Kramkram</t>
        </is>
      </c>
    </row>
    <row r="9023">
      <c r="A9023" t="inlineStr">
        <is>
          <t>Stuff 2</t>
        </is>
      </c>
      <c r="B9023">
        <f>HYPERLINK("https://www.dofusbook.net/fr/equipement/448323-stuff-2/objets", "link")</f>
        <v/>
      </c>
      <c r="C9023" t="n">
        <v>1</v>
      </c>
      <c r="D9023" t="inlineStr">
        <is>
          <t>Marteau des Anciens Steamers; Amulette Ementaire Deluxe; Annolamour; Alliance Gloursonne; Bouclier d'Asse cassé; Ceinture de la Reine des Voleurs; Coiffe de la Reine des Voleurs; Voile d'encre; Pataugastrique; Dofus Pourpre; Dokoko; Dolmanax; Dofus des Glaces; Nomade; Remueur; Kramkram</t>
        </is>
      </c>
    </row>
    <row r="9024">
      <c r="A9024" t="inlineStr">
        <is>
          <t>Stuff 1</t>
        </is>
      </c>
      <c r="B9024">
        <f>HYPERLINK("https://www.dofusbook.net/fr/equipement/448355-stuff-1/objets", "link")</f>
        <v/>
      </c>
      <c r="C9024" t="n">
        <v>0</v>
      </c>
      <c r="D9024" t="inlineStr">
        <is>
          <t>Manthache; Collier du Valet Veinard; Alliance Gloursonne; Anneau Rifique; Bouclier Ventaille cassé; Ceinture Voldelor; Casque Cyclopéen; Cape Indescriptible; Palmes Trithons; Dolmanax; Dofus Ocre; Remueur; Nomade; Déserteur majeur; Cascadeur majeur; Kramkram</t>
        </is>
      </c>
    </row>
    <row r="9025">
      <c r="A9025" t="inlineStr">
        <is>
          <t>Stuff 3</t>
        </is>
      </c>
      <c r="B9025">
        <f>HYPERLINK("https://www.dofusbook.net/fr/equipement/448318-stuff-3/objets", "link")</f>
        <v/>
      </c>
      <c r="C9025" t="n">
        <v>0</v>
      </c>
      <c r="D9025" t="inlineStr">
        <is>
          <t>Faux Maudite du Saigneur Guerrier; Amulette du Cycloïde; Gelano; Alliance Gloursonne; Ceinture du Strigide; Chapeau Lisson; Cape des Malveilleurs; Bottes du Strigide; Dofus Pourpre; Dofus Ocre; Nomade; Obstructeur majeur; Miraculé majeur; Remueur; Kramkram</t>
        </is>
      </c>
    </row>
    <row r="9026">
      <c r="A9026" t="inlineStr">
        <is>
          <t>Stuff 2</t>
        </is>
      </c>
      <c r="B9026">
        <f>HYPERLINK("https://www.dofusbook.net/fr/equipement/448350-stuff-2/objets", "link")</f>
        <v/>
      </c>
      <c r="C9026" t="n">
        <v>0</v>
      </c>
      <c r="D9026" t="inlineStr">
        <is>
          <t>Epée Gloursonne; Pendentif affamé; Alliance Gloursonne; Bague Gloursonne; Protopagne; Chapeau des Malveilleurs; Cape des Malveilleurs; Bottes des Malveilleurs; Dolmanax; Puissant majeur; Joueur majeur; Vagabond majeur; Savant majeur; Cuirassé Eau majeur; Kramkram</t>
        </is>
      </c>
    </row>
    <row r="9027">
      <c r="A9027" t="inlineStr">
        <is>
          <t>Stuff 3</t>
        </is>
      </c>
      <c r="B9027">
        <f>HYPERLINK("https://www.dofusbook.net/fr/equipement/448345-stuff-3/objets", "link")</f>
        <v/>
      </c>
      <c r="C9027" t="n">
        <v>0</v>
      </c>
      <c r="D9027" t="inlineStr">
        <is>
          <t>Baguette de Malléfisk; Pendentif mignon de Koutoulou; Anneau Tique; Anneau Rifique; Cadran de Feu; Protopagne; Casque Cyclopéen; Cape de Meno; Bottes de Meno; Dofus Ocre; Dolmanax; Examinateur; Savant majeur; Vagabond majeur; Ravageur Feu majeur; Kramkram</t>
        </is>
      </c>
    </row>
    <row r="9028">
      <c r="A9028" t="inlineStr">
        <is>
          <t>Ini de fou</t>
        </is>
      </c>
      <c r="B9028">
        <f>HYPERLINK("https://www.dofusbook.net/fr/equipement/448298-ini-de-fou/objets", "link")</f>
        <v/>
      </c>
      <c r="C9028" t="n">
        <v>0</v>
      </c>
      <c r="D9028" t="inlineStr">
        <is>
          <t>Dagues Érhy; Amulette Séculaire; Anneau de Nidas; Anneau du Katcheur; Ceinture Séculaire; Masque du Katcheur; Voile d'encre; Bottes du Katcheur; Dofus Ocre; Vagabond majeur; Fuyard majeur; Furibond majeur; Voyageur; Savant majeur; Dragodinde en armure</t>
        </is>
      </c>
    </row>
    <row r="9029">
      <c r="A9029" t="inlineStr">
        <is>
          <t>Snyler</t>
        </is>
      </c>
      <c r="B9029">
        <f>HYPERLINK("https://www.dofusbook.net/fr/equipement/448289-snyler-/objets", "link")</f>
        <v/>
      </c>
      <c r="C9029" t="n">
        <v>0</v>
      </c>
      <c r="D9029" t="inlineStr">
        <is>
          <t>Épée d'Otomaï; Amulette d'Otomaï; Kralano; Bague Gloursonne; Bouclier du Captain Amakna cassé; Puissante Ceinture Fulgurante; Coiffe Séculaire; Voile d'encre; Bottes d'Otomaï; Dofus des Glaces; Dofus Ocre; Dofus Turquoise; Dofus Vulbis; Dofus Pourpre; Savant majeur; Croum</t>
        </is>
      </c>
    </row>
    <row r="9030">
      <c r="A9030" t="inlineStr">
        <is>
          <t>Gein</t>
        </is>
      </c>
      <c r="B9030">
        <f>HYPERLINK("https://www.dofusbook.net/fr/equipement/448296-gein/objets", "link")</f>
        <v/>
      </c>
      <c r="C9030" t="n">
        <v>0</v>
      </c>
      <c r="D9030" t="inlineStr">
        <is>
          <t>Dagues Érhy; Amulette de Gein; Anneau Tique; Anneau de Nidas; Bouclier en Slip cassé; Ceinture de Gein; Chapeau de Gein; Cape au Logis; Tongues de Nidas; Dolmanax; Dofus Ocre; Savant majeur; Puissant majeur; Fuyard majeur; Vagabond majeur; Dragodinde en armure</t>
        </is>
      </c>
    </row>
    <row r="9031">
      <c r="A9031" t="inlineStr">
        <is>
          <t>Stuff 3</t>
        </is>
      </c>
      <c r="B9031">
        <f>HYPERLINK("https://www.dofusbook.net/fr/equipement/448291-stuff-3/objets", "link")</f>
        <v/>
      </c>
      <c r="C9031" t="n">
        <v>0</v>
      </c>
      <c r="D9031" t="inlineStr">
        <is>
          <t>Epée Gloursonne; Amulette Séculaire; Bague Gloursonne; Alliance Gloursonne; Bouclier du Captain Amakna cassé; Ceinture Séculaire; Coiffe Séculaire; Cape d'Aermyne; Bottes du Cœur Vaillant; Dofus Vulbis; Dofus Turquoise; Dofus Ocre; Vagabond majeur; Savant majeur; Fuyard majeur; Dragodinde en armure</t>
        </is>
      </c>
    </row>
    <row r="9032">
      <c r="A9032" t="inlineStr">
        <is>
          <t>210 fuite</t>
        </is>
      </c>
      <c r="B9032">
        <f>HYPERLINK("https://www.dofusbook.net/fr/equipement/448286-210-fuite/objets", "link")</f>
        <v/>
      </c>
      <c r="C9032" t="n">
        <v>0</v>
      </c>
      <c r="D9032" t="inlineStr">
        <is>
          <t>L'Épée Nice; Harpendentif; Anneau Instable; Anneau de Nidas; Bouclier d'Asse cassé; Ceinture Séculaire; Couronne de Nidas; Capchalot; Bottes des égarés; Dofus Ocre; Vagabond majeur; Remueur; Déserteur majeur; Fuyard majeur; Miraculé majeur; Chachyène</t>
        </is>
      </c>
    </row>
    <row r="9033">
      <c r="A9033" t="inlineStr">
        <is>
          <t>Ini de fou</t>
        </is>
      </c>
      <c r="B9033">
        <f>HYPERLINK("https://www.dofusbook.net/fr/equipement/448298-ini-de-fou/objets", "link")</f>
        <v/>
      </c>
      <c r="C9033" t="n">
        <v>0</v>
      </c>
      <c r="D9033" t="inlineStr">
        <is>
          <t>Dagues Érhy; Amulette Séculaire; Anneau de Nidas; Anneau du Katcheur; Ceinture Séculaire; Masque du Katcheur; Voile d'encre; Bottes du Katcheur; Dofus Ocre; Vagabond majeur; Fuyard majeur; Furibond majeur; Voyageur; Savant majeur; Dragodinde en armure</t>
        </is>
      </c>
    </row>
    <row r="9034">
      <c r="A9034" t="inlineStr">
        <is>
          <t>Stuff 2</t>
        </is>
      </c>
      <c r="B9034">
        <f>HYPERLINK("https://www.dofusbook.net/fr/equipement/448293-stuff-2/objets", "link")</f>
        <v/>
      </c>
      <c r="C9034" t="n">
        <v>0</v>
      </c>
      <c r="D9034" t="inlineStr">
        <is>
          <t>Dagues Érhy; Amulette du Cycloïde; Alliance de Missiz Frizz; Bague Gloursonne; Ceinture de Gein; Casque Dragoeuf; Voile d'encre; Bottes d'Otomaï; Dolmanax; Dofus Ocre; Carapace Terre majeur; Remueur; Déserteur majeur; Nomade; Kramkram</t>
        </is>
      </c>
    </row>
    <row r="9035">
      <c r="A9035" t="inlineStr">
        <is>
          <t>Stuff 1</t>
        </is>
      </c>
      <c r="B9035">
        <f>HYPERLINK("https://www.dofusbook.net/fr/equipement/448295-stuff-1/objets", "link")</f>
        <v/>
      </c>
      <c r="C9035" t="n">
        <v>0</v>
      </c>
      <c r="D9035" t="inlineStr">
        <is>
          <t>Marteau des égarés; Amulette Ementaire Deluxe; Bague Gloursonne; Alliance Gloursonne; Bouclier Pandawa; Ceinture de la Reine des Voleurs; Coiffe de la Reine des Voleurs; Voile d'encre; Bottes de la Reine des Voleurs; Dofus Ocre; Dofus Vulbis; Dofus des Glaces; Fuyard majeur; Vagabond majeur; Savant majeur; Kramkram</t>
        </is>
      </c>
    </row>
    <row r="9036">
      <c r="A9036" t="inlineStr">
        <is>
          <t>Eau ça va faire mal</t>
        </is>
      </c>
      <c r="B9036">
        <f>HYPERLINK("https://www.dofusbook.net/fr/equipement/448290-eau-ca-va-faire-mal/objets", "link")</f>
        <v/>
      </c>
      <c r="C9036" t="n">
        <v>1</v>
      </c>
      <c r="D9036" t="inlineStr">
        <is>
          <t>Rapière aux Glyphes; Talisman Glouti; Alliance Gloursonne; Bracelet des Fonds marins; Ceintrigue; Kidibonnet; Cape du Sinistrofu; Bottes Owesli; Dofus Ocre; Dofus Pourpre; Carapace Eau majeur; Nomade; Vagabond majeur; Chanceux majeur; Kramkram</t>
        </is>
      </c>
    </row>
    <row r="9037">
      <c r="A9037" t="inlineStr">
        <is>
          <t>Pvp 1V1</t>
        </is>
      </c>
      <c r="B9037">
        <f>HYPERLINK("https://www.dofusbook.net/fr/equipement/448297-pvp-1v1/objets", "link")</f>
        <v/>
      </c>
      <c r="C9037" t="n">
        <v>0</v>
      </c>
      <c r="D9037" t="inlineStr">
        <is>
          <t>Marteau des Anciens Steamers; Amulette du Cycloïde; Bague de Boréale; Alliance Gloursonne; Cadran d'Air; Ceinture du Nocturlabe; Chapeau Potin; Cape de Léthaline; Bottes du Nocturlabe; Dofus Ocre; Dolmanax; Déserteur majeur; Cuirassé Eau majeur; Cuirassé Feu majeur; Cuirassé Air majeur; Kramkram</t>
        </is>
      </c>
    </row>
    <row r="9038">
      <c r="A9038" t="inlineStr">
        <is>
          <t>Stuff 1</t>
        </is>
      </c>
      <c r="B9038">
        <f>HYPERLINK("https://www.dofusbook.net/fr/equipement/448292-stuff-1/objets", "link")</f>
        <v/>
      </c>
      <c r="C9038" t="n">
        <v>0</v>
      </c>
      <c r="D9038" t="inlineStr">
        <is>
          <t>Epée Gloursonne; Kralamansion; Alliance Gloursonne; Bague Gloursonne; Bouclier d'Asse cassé; Ceinture de Léthaline; Casque Dragoeuf; Cape de Léthaline; Bottes de Léthaline; Dofus Ocre; Bastion majeur; Initiateur mineur; Vagabond majeur; Fuyard majeur; Cuirassé Feu majeur; Dragodinde en armure</t>
        </is>
      </c>
    </row>
    <row r="9039">
      <c r="A9039" t="inlineStr">
        <is>
          <t>Enutrof M 200</t>
        </is>
      </c>
      <c r="B9039">
        <f>HYPERLINK("https://www.dofusbook.net/fr/equipement/6016909-enutrof-m-200/objets", "link")</f>
        <v/>
      </c>
      <c r="C9039" t="n">
        <v>0</v>
      </c>
      <c r="D9039" t="inlineStr">
        <is>
          <t>Sceptre du Roi Joueur; Amulette de Shokkoth; Bracelet des Fonds marins; Alliance Gloursonne; Quatre-feuilles; Poulpagne; Binocle Airvoyant; Cape Solution; Sandales des Fonds marins; Dolmanax; Dokille; Dofus Kaliptus; Chanceux majeur; Taquin majeur; Joueur majeur; Pykur</t>
        </is>
      </c>
    </row>
    <row r="9040">
      <c r="A9040" t="inlineStr">
        <is>
          <t>Terre</t>
        </is>
      </c>
      <c r="B9040">
        <f>HYPERLINK("https://www.dofusbook.net/fr/equipement/6007787-terre-/objets", "link")</f>
        <v/>
      </c>
      <c r="C9040" t="n">
        <v>0</v>
      </c>
      <c r="D9040" t="inlineStr">
        <is>
          <t>Crocobur; Collier de Tourthon; Anneau du Comte Harebourg; Anneau Crustique; Bouclier d'Ilyzaelle; Ceinture Volkorne; Coiffe du Comte Harebourg; Cape au Logis; Baleinabottes; Dofus Ocre; Dofus Émeraude; Dofus des Glaces; Dofus Pourpre; Forcené majeur; Enragé majeur; Bulbisou</t>
        </is>
      </c>
    </row>
    <row r="9041">
      <c r="A9041" t="inlineStr">
        <is>
          <t>Ouginak M 200</t>
        </is>
      </c>
      <c r="B9041">
        <f>HYPERLINK("https://www.dofusbook.net/fr/equipement/6007151-ouginak-m-200/objets", "link")</f>
        <v/>
      </c>
      <c r="C9041" t="n">
        <v>0</v>
      </c>
      <c r="D9041" t="inlineStr">
        <is>
          <t>Crocobur; Collier de Tourthon; Anneau Crustique; Anneau Chevelu; Bouclier d'Ilyzaelle; Ceinture de la Reine des Voleurs; Coiffe de la Reine des Voleurs; Cape au Logis; Sabots Minables; Dofus des Glaces; Dofus Pourpre; Dofus Ocre; Forcené majeur; Enragé majeur; Dévastateur Terre majeur; Bulbisou</t>
        </is>
      </c>
    </row>
    <row r="9042">
      <c r="A9042" t="inlineStr">
        <is>
          <t>Féca M 200</t>
        </is>
      </c>
      <c r="B9042">
        <f>HYPERLINK("https://www.dofusbook.net/fr/equipement/5990200-feca-m-200/objets", "link")</f>
        <v/>
      </c>
      <c r="C9042" t="n">
        <v>0</v>
      </c>
      <c r="D9042" t="inlineStr">
        <is>
          <t>Lav'Hache; Amulette du Cœur Vaillant; Anneau Crustique; Anneau Crustique; Sept ans de malheur; Ceintouse; Chapoulpe; Cape de la Cour Sombre; Pataugastrique; Dofus Ivoire; Dofus Émeraude; Dofus Vulbis; Dofus Ocre; Étourdisseur majeur; Obstructeur majeur; Drakopin</t>
        </is>
      </c>
    </row>
    <row r="9043">
      <c r="A9043" t="inlineStr">
        <is>
          <t>Enutrof M 200</t>
        </is>
      </c>
      <c r="B9043">
        <f>HYPERLINK("https://www.dofusbook.net/fr/equipement/5990087-enutrof-m-200/objets", "link")</f>
        <v/>
      </c>
      <c r="C9043" t="n">
        <v>0</v>
      </c>
      <c r="D9043" t="inlineStr">
        <is>
          <t>Arc Hétype; Amulette des Chocomanciens; Chevalière du Roi Joueur; Anneau Tamie; Bouclier cubiste; Ceinture des Chocomanciens; Couronne du Roi Joueur; Cape de Léthaline; Bottes du Roi Joueur; Dofus Ocre; Dofus Cawotte; Dofus Turquoise; Ralentisseur majeur; Entraveur majeur; Entraveur; Médugivre</t>
        </is>
      </c>
    </row>
    <row r="9044">
      <c r="A9044" t="inlineStr">
        <is>
          <t>Roublard M 200</t>
        </is>
      </c>
      <c r="B9044">
        <f>HYPERLINK("https://www.dofusbook.net/fr/equipement/5990022-roublard-m-200/objets", "link")</f>
        <v/>
      </c>
      <c r="C9044" t="n">
        <v>0</v>
      </c>
      <c r="D9044" t="inlineStr">
        <is>
          <t>Rouleau à Pâtisserie d'Aermyne; Collier Rophante; Bague Trithon; Anneauræus; Bouclier des Chocomanciens; Protopagne; Masque d'Anerice; Cape d'Anerice; Bottes Honyme; Dokoko; Dofus Ivoire; Dofus Émeraude; Dofus Abyssal; Dofus Argenté; Dofus Ocre; Dauge</t>
        </is>
      </c>
    </row>
    <row r="9045">
      <c r="A9045" t="inlineStr">
        <is>
          <t>Iop F 200</t>
        </is>
      </c>
      <c r="B9045">
        <f>HYPERLINK("https://www.dofusbook.net/fr/equipement/5982498-iop-f-200/objets", "link")</f>
        <v/>
      </c>
      <c r="C9045" t="n">
        <v>1</v>
      </c>
      <c r="D9045" t="inlineStr">
        <is>
          <t>Marteau R'ture; Amulette du Cœur Saignant; Anneau Crustique; Anneau Chevelu; Bouclier du Captain Amakna; Ceinture Volkorne; Masque de Koutoulou; Cape au Logis; Bottes du Cœur Saignant; Dofus Pourpre; Dofus des Glaces; Dofus Turquoise; Remueur; Enragé majeur; Forcené majeur; Pioute vert</t>
        </is>
      </c>
    </row>
    <row r="9046">
      <c r="A9046" t="inlineStr">
        <is>
          <t>Sadida F 200</t>
        </is>
      </c>
      <c r="B9046">
        <f>HYPERLINK("https://www.dofusbook.net/fr/equipement/5989192-sadida-f-200/objets", "link")</f>
        <v/>
      </c>
      <c r="C9046" t="n">
        <v>0</v>
      </c>
      <c r="D9046" t="inlineStr">
        <is>
          <t>Arc Honte; Amulette de l'Indicible; Crocanneau; Bracelet du Piloztère; Bouclier du Stalak; Ceinture de l'Esprit Salvateur; Masque de l'Esprit Salvateur; Voilamibe; Bottes du Strigide; Dofus des Glaces; Dolmanax; Dofus Pourpre; Cascadeur majeur; Érudit majeur; Chanceux majeur; Fëanor</t>
        </is>
      </c>
    </row>
    <row r="9047">
      <c r="A9047" t="inlineStr">
        <is>
          <t>Sadida M 200</t>
        </is>
      </c>
      <c r="B9047">
        <f>HYPERLINK("https://www.dofusbook.net/fr/equipement/5989062-sadida-m-200/objets", "link")</f>
        <v/>
      </c>
      <c r="C9047" t="n">
        <v>0</v>
      </c>
      <c r="D9047" t="inlineStr">
        <is>
          <t>Arc Nécrotique; Amulette Volkorne; Bracelet du Piloztère; Anneau Volkorne; Quatre-feuilles; Ceintacé; Casqnoar; Cape de la Dame du Hasard; Bottes de la Dame du Hasard; Dofus Pourpre; Dofus Vulbis; Dofus Turquoise; Dofus des Glaces; Dolmanax; Dofus Ocre; Sakochère</t>
        </is>
      </c>
    </row>
    <row r="9048">
      <c r="A9048" t="inlineStr">
        <is>
          <t>Sadida F 200</t>
        </is>
      </c>
      <c r="B9048">
        <f>HYPERLINK("https://www.dofusbook.net/fr/equipement/3986505-sadida-f-200/objets", "link")</f>
        <v/>
      </c>
      <c r="C9048" t="n">
        <v>6</v>
      </c>
      <c r="D9048" t="inlineStr">
        <is>
          <t>Epée Gloursonne; Amulette du Glourséleste; Bague Gloursonne; Alliance Gloursonne; Bouclier du Stalak; Ceinture du Glourséleste; Masque du Glourséleste; Cape du Glourséleste; Bottes du Glourséleste; Dofus Turquoise; Dolmanax; Dofus Ocre; Dofus Ivoire; Dofus Pourpre; Dofus des Glaces; Gwo Tofu Ventripotent</t>
        </is>
      </c>
    </row>
    <row r="9049">
      <c r="A9049" t="inlineStr">
        <is>
          <t>Crâ M 200</t>
        </is>
      </c>
      <c r="B9049">
        <f>HYPERLINK("https://www.dofusbook.net/fr/equipement/5982766-cra-m-200/objets", "link")</f>
        <v/>
      </c>
      <c r="C9049" t="n">
        <v>0</v>
      </c>
      <c r="D9049" t="inlineStr">
        <is>
          <t>Marteau Phossile; Amulette Martegel; Anneau Rifique; Anneau de Padgref; Bouclier du Stalak; Ceinture de l'Esprit Salvateur; Masquegel; Cape Martegel; Bottes de l'Esprit Salvateur; Dolmanax; Dofus des Glaces; Dofus Pourpre; Dofus Ocre; Voyageur; Robuste majeur; Willy le Relou</t>
        </is>
      </c>
    </row>
    <row r="9050">
      <c r="A9050" t="inlineStr">
        <is>
          <t>Cac</t>
        </is>
      </c>
      <c r="B9050">
        <f>HYPERLINK("https://www.dofusbook.net/fr/equipement/5982649-cac/objets", "link")</f>
        <v/>
      </c>
      <c r="C9050" t="n">
        <v>0</v>
      </c>
      <c r="D9050" t="inlineStr">
        <is>
          <t>Amrothiline; Amulette du Cœur Saignant; Anneau Crustique; Anneau Crustique; Quatre-feuilles; Ceinture Gence; Masque de Koutoulou; Cape au Logis; Bottes du Cœur Saignant; Dofus des Glaces; Dofus Turquoise; Dofus Pourpre; Enragé majeur; Forcené majeur; Vigoureux majeur; Pioute vert</t>
        </is>
      </c>
    </row>
    <row r="9051">
      <c r="A9051" t="inlineStr">
        <is>
          <t>Féca M 200</t>
        </is>
      </c>
      <c r="B9051">
        <f>HYPERLINK("https://www.dofusbook.net/fr/equipement/5882459-feca-m-200/objets", "link")</f>
        <v/>
      </c>
      <c r="C9051" t="n">
        <v>1</v>
      </c>
      <c r="D9051" t="inlineStr">
        <is>
          <t>Arc du Chalœil; Amulette Héroclite; Anneau de Brouce; Bracelet du Piloztère; Quatre-feuilles; Ceinture de Brouce; Masque de Koutoulou; Cape au Logis; Chaussons de Macrab; Dofus Pourpre; Dofus Turquoise; Forcené majeur; Nomade; Enragé majeur; Remueur; Kompost</t>
        </is>
      </c>
    </row>
    <row r="9052">
      <c r="A9052" t="inlineStr">
        <is>
          <t>Roub</t>
        </is>
      </c>
      <c r="B9052">
        <f>HYPERLINK("https://www.dofusbook.net/fr/equipement/5885875-roub/objets", "link")</f>
        <v/>
      </c>
      <c r="C9052" t="n">
        <v>0</v>
      </c>
      <c r="D9052" t="inlineStr">
        <is>
          <t>Arc du Chalœil; Collier de Tourthon; Bracelet du Piloztère; Anneau de Brouce; Bouclier du Stalak; Ceinture de Brouce; Masque de Koutoulou; Cape au Logis; Bottes de la Cour Sombre; Remueur; Miraculé majeur; Dévastateur Terre majeur; Forcené majeur; Nomade; Enragé majeur; Bulbisou</t>
        </is>
      </c>
    </row>
    <row r="9053">
      <c r="A9053" t="inlineStr">
        <is>
          <t>Iop M 200</t>
        </is>
      </c>
      <c r="B9053">
        <f>HYPERLINK("https://www.dofusbook.net/fr/equipement/4760279-iop-m-200/objets", "link")</f>
        <v/>
      </c>
      <c r="C9053" t="n">
        <v>3</v>
      </c>
      <c r="D9053" t="inlineStr">
        <is>
          <t>Arc corrompu; Amulette Volkorne; Anneauræus; Anneauræus; Bouclier du Stalak; Ceinture Volkorne; Heaume Oplate; Cape de Diondin; Bottes Innommables; Dofus Pourpre; Dofus des Glaces; Vigoureux majeur; Astucieux majeur; Nomade; Érudit majeur; Brûlih</t>
        </is>
      </c>
    </row>
    <row r="9054">
      <c r="A9054" t="inlineStr">
        <is>
          <t>Sadida M 200</t>
        </is>
      </c>
      <c r="B9054">
        <f>HYPERLINK("https://www.dofusbook.net/fr/equipement/5965355-sadida-m-200/objets", "link")</f>
        <v/>
      </c>
      <c r="C9054" t="n">
        <v>0</v>
      </c>
      <c r="D9054" t="inlineStr">
        <is>
          <t>Rod Gerse; Amunite; Alliance Boletée; Anneau Bliteré; Ceinture Toré; Casque Harnage; Voile d'encre; Bottes Répané; Pioute rouge</t>
        </is>
      </c>
    </row>
    <row r="9055">
      <c r="A9055" t="inlineStr">
        <is>
          <t>Crâ M 200</t>
        </is>
      </c>
      <c r="B9055">
        <f>HYPERLINK("https://www.dofusbook.net/fr/equipement/5952161-cra-m-200/objets", "link")</f>
        <v/>
      </c>
      <c r="C9055" t="n">
        <v>2</v>
      </c>
      <c r="D9055" t="inlineStr">
        <is>
          <t>Baguette de Torkélonia; Amulette du Strigide; Anneau Crustique; Anneau Crustique; Bouclier du Captain Amakna; Ceinture du Strigide; Corne de Torkélonia; Carapace de Torkélonia; Bottes du Strigide; Dolmanax; Dofus Turquoise; Dofus Pourpre; Dofus des Glaces; Dofus Ocre; Forcené majeur; Pioute vert</t>
        </is>
      </c>
    </row>
    <row r="9056">
      <c r="A9056" t="inlineStr">
        <is>
          <t>Steamer M 200</t>
        </is>
      </c>
      <c r="B9056">
        <f>HYPERLINK("https://www.dofusbook.net/fr/equipement/5895533-steamer-m-200/objets", "link")</f>
        <v/>
      </c>
      <c r="C9056" t="n">
        <v>0</v>
      </c>
      <c r="D9056" t="inlineStr">
        <is>
          <t>Baguette de Torkélonia; Amulette du Strigide; Anneau de Padgref; Anneau Vicieux; Quatre-feuilles; Ceinture du Strigide; Coiffe de Padgref; Carapace de Torkélonia; Getas de Padgref; Dofus Turquoise; Dofus des Glaces; Dofus Pourpre; Dolmanax; Dofus Ocre; Voyageur; Pioute jaune</t>
        </is>
      </c>
    </row>
    <row r="9057">
      <c r="A9057" t="inlineStr">
        <is>
          <t>Féca M 200</t>
        </is>
      </c>
      <c r="B9057">
        <f>HYPERLINK("https://www.dofusbook.net/fr/equipement/3264632-feca-m-200/objets", "link")</f>
        <v/>
      </c>
      <c r="C9057" t="n">
        <v>1</v>
      </c>
      <c r="D9057" t="inlineStr">
        <is>
          <t>Baguette de Torkélonia; Amulette Volkorne; Anneau Volkorne; Bague Trithon; Quatre-feuilles; Ceinture Volkorne; Masque Trithon; Carapace de Torkélonia; Bottes Trithon; Dofus Ocre; Dofus Turquoise; Dolmanax; Dofus des Glaces; Dofus Pourpre; Puissant majeur; Kokulte</t>
        </is>
      </c>
    </row>
    <row r="9058">
      <c r="A9058" t="inlineStr">
        <is>
          <t>Zobal M 200</t>
        </is>
      </c>
      <c r="B9058">
        <f>HYPERLINK("https://www.dofusbook.net/fr/equipement/5910230-zobal-m-200/objets", "link")</f>
        <v/>
      </c>
      <c r="C9058" t="n">
        <v>0</v>
      </c>
      <c r="D9058" t="inlineStr">
        <is>
          <t>Baguette de Torkélonia; Amulette du Strigide; Bracelet du Piloztère; Anneau Vicieux; Quatre-feuilles; Ceinture du Strigide; Corne de Torkélonia; Carapace de Torkélonia; Bottes du Strigide; Dofus Pourpre; Dofus des Glaces; Dofus Turquoise; Dolmanax; Dofus Ocre; Puissant majeur; Sakochère</t>
        </is>
      </c>
    </row>
    <row r="9059">
      <c r="A9059" t="inlineStr">
        <is>
          <t>Feu</t>
        </is>
      </c>
      <c r="B9059">
        <f>HYPERLINK("https://www.dofusbook.net/fr/equipement/5900549-feu/objets", "link")</f>
        <v/>
      </c>
      <c r="C9059" t="n">
        <v>0</v>
      </c>
      <c r="D9059" t="inlineStr">
        <is>
          <t>Plumeau Bil; Amulette Volkorne; Anneauræus; Anneauræus; Bouclier du Stalak; Ceinture Volkorne; Heaume Oplate; Cape de Diondin; Bottes Innommables; Dofus Pourpre; Dofus des Glaces; Érudit majeur; Dévastateur Feu majeur; Nomade; Astucieux majeur; Bisouglours</t>
        </is>
      </c>
    </row>
    <row r="9060">
      <c r="A9060" t="inlineStr">
        <is>
          <t>Xélor F 200</t>
        </is>
      </c>
      <c r="B9060">
        <f>HYPERLINK("https://www.dofusbook.net/fr/equipement/5900460-xelor-f-200/objets", "link")</f>
        <v/>
      </c>
      <c r="C9060" t="n">
        <v>0</v>
      </c>
      <c r="D9060" t="inlineStr">
        <is>
          <t>Arc corrompu; Amulette Volkorne; Anneauræus; Anneauræus; Quatre-feuilles; Ceinture Volkorne; Heaume Oplate; Cape de Diondin; Bottes Innommables; Dofus Turquoise; Dofus des Glaces; Dofus Pourpre; Nomade; Astucieux majeur; Érudit majeur; Pioute rouge</t>
        </is>
      </c>
    </row>
    <row r="9061">
      <c r="A9061" t="inlineStr">
        <is>
          <t>Sram M 200</t>
        </is>
      </c>
      <c r="B9061">
        <f>HYPERLINK("https://www.dofusbook.net/fr/equipement/5895607-sram-m-200/objets", "link")</f>
        <v/>
      </c>
      <c r="C9061" t="n">
        <v>0</v>
      </c>
      <c r="D9061" t="inlineStr">
        <is>
          <t>Baguette de Torkélonia; Collier du Valet Veinard; Anneau de Padgref; Gant du Valet Veinard; Bouclier du Captain Amakna; Menoture; Coiffe de Padgref; Carapace de Torkélonia; Getas de Padgref; Dofus Turquoise; Dolmanax; Dofus des Glaces; Dofus Pourpre; Equilibriste majeur; Voyageur; Pioute jaune</t>
        </is>
      </c>
    </row>
    <row r="9062">
      <c r="A9062" t="inlineStr">
        <is>
          <t>Zob</t>
        </is>
      </c>
      <c r="B9062">
        <f>HYPERLINK("https://www.dofusbook.net/fr/equipement/5897900-zob/objets", "link")</f>
        <v/>
      </c>
      <c r="C9062" t="n">
        <v>1</v>
      </c>
      <c r="D9062" t="inlineStr">
        <is>
          <t>Arc Nécrotique; Amulette du Strigide; Anneau Cryochrone; Bague Trithon; Quatre-feuilles; Ceinture du Strigide; Masque Trithon; Cape de la Dame du Hasard; Bottes de la Dame du Hasard; Dofus Turquoise; Dofus Nébuleux; Dofus Ocre; Dofus des Glaces; Dofus Pourpre; Dofus Vulbis; Sakochère</t>
        </is>
      </c>
    </row>
    <row r="9063">
      <c r="A9063" t="inlineStr">
        <is>
          <t>Zobal M 200</t>
        </is>
      </c>
      <c r="B9063">
        <f>HYPERLINK("https://www.dofusbook.net/fr/equipement/5897876-zobal-m-200/objets", "link")</f>
        <v/>
      </c>
      <c r="C9063" t="n">
        <v>0</v>
      </c>
      <c r="D9063" t="inlineStr">
        <is>
          <t>Arc Nécrotique; Amulette Volkorne; Bague Trithon; Anneau Volkorne; Quatre-feuilles; Ceintacé; Masque Trithon; Cape de la Dame du Hasard; Bottes de la Dame du Hasard; Dofus Ocre; Dofus des Glaces; Dofus Pourpre; Dofus Vulbis; Dofus Turquoise; Dofus Nébuleux; Kokulte</t>
        </is>
      </c>
    </row>
    <row r="9064">
      <c r="A9064" t="inlineStr">
        <is>
          <t>Enutrof M 200</t>
        </is>
      </c>
      <c r="B9064">
        <f>HYPERLINK("https://www.dofusbook.net/fr/equipement/5886811-enutrof-m-200/objets", "link")</f>
        <v/>
      </c>
      <c r="C9064" t="n">
        <v>0</v>
      </c>
      <c r="D9064" t="inlineStr">
        <is>
          <t>Arc de Koutoulou; Amulette du Strigide; Alliance Gloursonne; Bracelet du Piloztère; Quatre-feuilles; Ceinture du Strigide; Némès de Tal Kasha; Chevelure de Tal Kasha; Sandales de Tal Kasha; Dofus Vulbis; Dofus Turquoise; Dofus Ivoire; Dofus des Glaces; Dofus Ocre; Dofus Pourpre; Sakochère</t>
        </is>
      </c>
    </row>
    <row r="9065">
      <c r="A9065" t="inlineStr">
        <is>
          <t>Crâ M 200</t>
        </is>
      </c>
      <c r="B9065">
        <f>HYPERLINK("https://www.dofusbook.net/fr/equipement/5886627-cra-m-200/objets", "link")</f>
        <v/>
      </c>
      <c r="C9065" t="n">
        <v>1</v>
      </c>
      <c r="D9065" t="inlineStr">
        <is>
          <t>Dagoulinantes; Amulette de Shokkoth; Bracelet des Fonds marins; Anneau Volkorne; Cadran de Terre; Culotte de Bethel; Capuche de l'Œil Attentif; Cape de Mantaze; Chaussons de Macrab; Dofus Pourpre; Dofus des Glaces; Dofus Ocre; Remueur; Chanceux majeur; Nomade; Kougnard</t>
        </is>
      </c>
    </row>
    <row r="9066">
      <c r="A9066" t="inlineStr">
        <is>
          <t>Féca M 200</t>
        </is>
      </c>
      <c r="B9066">
        <f>HYPERLINK("https://www.dofusbook.net/fr/equipement/5881323-feca-m-200/objets", "link")</f>
        <v/>
      </c>
      <c r="C9066" t="n">
        <v>0</v>
      </c>
      <c r="D9066" t="inlineStr">
        <is>
          <t>Marteau Phossile; Amulette du Strigide; Anneau de Padgref; Kralano; Bouclier du Captain Amakna; Ceintacé; Maskrobe; Cape Lati; Bottes du Strigide; Dofus Turquoise; Dofus Pourpre; Nomade; Cascadeur majeur; Érudit majeur; Remueur; Sakochère</t>
        </is>
      </c>
    </row>
    <row r="9067">
      <c r="A9067" t="inlineStr">
        <is>
          <t>Eniripsa M 200</t>
        </is>
      </c>
      <c r="B9067">
        <f>HYPERLINK("https://www.dofusbook.net/fr/equipement/4617798-eniripsa-m-200/objets", "link")</f>
        <v/>
      </c>
      <c r="C9067" t="n">
        <v>3</v>
      </c>
      <c r="D9067" t="inlineStr">
        <is>
          <t>Epée Toche; Amulette du Strigide; Bague Gloursonne; Chevalière du Roi Joueur; Bouclier du Captain Amakna; Ceinture du Strigide; Chapeau de Gein; Cape au Logis; Bottes Honyme; Dofus Turquoise; Dofus Pourpre; Nomade; Remueur; Enragé majeur; Érudit majeur; Sakochère</t>
        </is>
      </c>
    </row>
    <row r="9068">
      <c r="A9068" t="inlineStr">
        <is>
          <t>Pandawa M 200</t>
        </is>
      </c>
      <c r="B9068">
        <f>HYPERLINK("https://www.dofusbook.net/fr/equipement/4896256-pandawa-m-200/objets", "link")</f>
        <v/>
      </c>
      <c r="C9068" t="n">
        <v>3</v>
      </c>
      <c r="D9068" t="inlineStr">
        <is>
          <t>Arc du Chalœil; Collier de Tourthon; Anneau Chevelu; Bracelet du Piloztère; Bouclier du Stalak; Ceinture de la Reine des Voleurs; Coiffe de la Reine des Voleurs; Voile d'encre; Baleinabottes; Dofus des Glaces; Dofus Pourpre; Forcené majeur; Nomade; Remueur; Enragé majeur; Bulbisou</t>
        </is>
      </c>
    </row>
    <row r="9069">
      <c r="A9069" t="inlineStr">
        <is>
          <t>Osamodas M 200</t>
        </is>
      </c>
      <c r="B9069">
        <f>HYPERLINK("https://www.dofusbook.net/fr/equipement/5878801-osamodas-m-200/objets", "link")</f>
        <v/>
      </c>
      <c r="C9069" t="n">
        <v>0</v>
      </c>
      <c r="D9069" t="inlineStr">
        <is>
          <t>Arc corrompu; Amulette Volkorne; Anneauræus; Anneauræus; Bouclier du Stalak; Ceinture Volkorne; Heaume Oplate; Cape de Diondin; Bottes Dogues; Dofus Pourpre; Dofus des Glaces; Savant majeur; Astucieux majeur; Érudit majeur; Dévastateur Feu majeur; Bisouglours</t>
        </is>
      </c>
    </row>
    <row r="9070">
      <c r="A9070" t="inlineStr">
        <is>
          <t>Féca M 200</t>
        </is>
      </c>
      <c r="B9070">
        <f>HYPERLINK("https://www.dofusbook.net/fr/equipement/5876821-feca-m-200/objets", "link")</f>
        <v/>
      </c>
      <c r="C9070" t="n">
        <v>0</v>
      </c>
      <c r="D9070" t="inlineStr">
        <is>
          <t>Manthache; Collier du Valet Veinard; Alliance Gloursonne; Gant du Valet Veinard; Bouclier alvéolé; Menoture; Couronne d'Allister; Cape Indescriptible; Palmes Trithons; Dofus Pourpre; Dofus des Glaces; Equilibriste majeur; Remueur; Cascadeur majeur; Nomade; Siroko</t>
        </is>
      </c>
    </row>
    <row r="9071">
      <c r="A9071" t="inlineStr">
        <is>
          <t>Chance row</t>
        </is>
      </c>
      <c r="B9071">
        <f>HYPERLINK("https://www.dofusbook.net/fr/equipement/3091658-chance-row-/objets", "link")</f>
        <v/>
      </c>
      <c r="C9071" t="n">
        <v>3</v>
      </c>
      <c r="D9071" t="inlineStr">
        <is>
          <t>Dagoulinantes; Amulette de Shokkoth; Anneau Volkorne; Anneau Glacial; Bouclier du Stalak; Ceinture de la Reine des Voleurs; Coiffe de Danathor; Cape Solution; Bottes de la Reine des Voleurs; Dofus des Glaces; Taquin majeur; Chanceux majeur; Remueur; Dévastateur Eau majeur; Nomade; Kanigloups</t>
        </is>
      </c>
    </row>
    <row r="9072">
      <c r="A9072" t="inlineStr">
        <is>
          <t>Iop</t>
        </is>
      </c>
      <c r="B9072">
        <f>HYPERLINK("https://www.dofusbook.net/fr/equipement/5871104-iop/objets", "link")</f>
        <v/>
      </c>
      <c r="C9072" t="n">
        <v>0</v>
      </c>
      <c r="D9072" t="inlineStr">
        <is>
          <t>Arc du Chalœil; Amulette du Strigide; Anneau Crustique; Anneau du Comte Harebourg; Quatre-feuilles; Ceinture Gence; Masque de Koutoulou; Cape au Logis; Bottes du Strigide; Dofus Turquoise; Dofus des Glaces; Dofus Pourpre; Vigoureux majeur; Forcené majeur; Enragé majeur; Pioute vert</t>
        </is>
      </c>
    </row>
    <row r="9073">
      <c r="A9073" t="inlineStr">
        <is>
          <t>Agil</t>
        </is>
      </c>
      <c r="B9073">
        <f>HYPERLINK("https://www.dofusbook.net/fr/equipement/3011205-agil/objets", "link")</f>
        <v/>
      </c>
      <c r="C9073" t="n">
        <v>2</v>
      </c>
      <c r="D9073" t="inlineStr">
        <is>
          <t>Manthache; Collier du Valet Veinard; Alliance Gloursonne; Gant du Valet Veinard; Bouclier du Stalak; Menoture; Couronne d'Allister; Cape Indescriptible; Palmes Trithons; Dofus des Glaces; Dévastateur Air majeur; Cascadeur majeur; Remueur; Nomade; Equilibriste majeur; Blérodoudou</t>
        </is>
      </c>
    </row>
    <row r="9074">
      <c r="A9074" t="inlineStr">
        <is>
          <t>Eniripsa M 200</t>
        </is>
      </c>
      <c r="B9074">
        <f>HYPERLINK("https://www.dofusbook.net/fr/equipement/5871121-eniripsa-m-200/objets", "link")</f>
        <v/>
      </c>
      <c r="C9074" t="n">
        <v>1</v>
      </c>
      <c r="D9074" t="inlineStr">
        <is>
          <t>Arc corrompu; Pendentif affamé; Anneauræus; Anneauræus; Bouclier du Cycloïde; Ceinture Séculaire; Coiffe Séculaire; Cape de Diondin; Bottes Innommables; Nomade; Guérisseur majeur; Savant majeur; Érudit majeur; Remueur; Docteur majeur; Ross</t>
        </is>
      </c>
    </row>
    <row r="9075">
      <c r="A9075" t="inlineStr">
        <is>
          <t>Eliotrope M 200</t>
        </is>
      </c>
      <c r="B9075">
        <f>HYPERLINK("https://www.dofusbook.net/fr/equipement/4638383-eliotrope-m-200/objets", "link")</f>
        <v/>
      </c>
      <c r="C9075" t="n">
        <v>1</v>
      </c>
      <c r="D9075" t="inlineStr">
        <is>
          <t>Dagoulinantes; Amulette de Shokkoth; Anneau Volkorne; Anneau Glacial; Bouclier du Stalak; Ceinture Glaciale; Capuche de l'Œil Attentif; Cape Solution; Bottes du Sinistrofu; Dofus Pourpre; Remueur; Chanceux majeur; Nomade; Vigoureux majeur; Taquin majeur; Kanigloups</t>
        </is>
      </c>
    </row>
    <row r="9076">
      <c r="A9076" t="inlineStr">
        <is>
          <t>Féca M 200</t>
        </is>
      </c>
      <c r="B9076">
        <f>HYPERLINK("https://www.dofusbook.net/fr/equipement/5844035-feca-m-200/objets", "link")</f>
        <v/>
      </c>
      <c r="C9076" t="n">
        <v>0</v>
      </c>
      <c r="D9076" t="inlineStr">
        <is>
          <t>Epée Toche; Amulette de Gein; Bague Gloursonne; Chevalière du Roi Joueur; Bouclier du Captain Amakna; Ceintacé; Chapeau de Gein; Cape au Logis; Bottes du Cycloïde; Dofus Émeraude; Dofus Turquoise; Dofus Pourpre; Remueur; Nomade; Vigoureux majeur; Sakochère</t>
        </is>
      </c>
    </row>
    <row r="9077">
      <c r="A9077" t="inlineStr">
        <is>
          <t>Fec</t>
        </is>
      </c>
      <c r="B9077">
        <f>HYPERLINK("https://www.dofusbook.net/fr/equipement/4964410-fec/objets", "link")</f>
        <v/>
      </c>
      <c r="C9077" t="n">
        <v>4</v>
      </c>
      <c r="D9077" t="inlineStr">
        <is>
          <t>Arc du Chalœil; Amulette du Strigide; Bracelet du Piloztère; Anneau du Comte Harebourg; Quatre-feuilles; Ceinture Gence; Masque de Koutoulou; Cape au Logis; Bottes du Strigide; Dofus Turquoise; Vigoureux majeur; Nomade; Forcené majeur; Remueur; Enragé majeur; Pioute vert</t>
        </is>
      </c>
    </row>
    <row r="9078">
      <c r="A9078" t="inlineStr">
        <is>
          <t>Zobal M 200</t>
        </is>
      </c>
      <c r="B9078">
        <f>HYPERLINK("https://www.dofusbook.net/fr/equipement/4168253-zobal-m-200/objets", "link")</f>
        <v/>
      </c>
      <c r="C9078" t="n">
        <v>2</v>
      </c>
      <c r="D9078" t="inlineStr">
        <is>
          <t>Plume de Buhorado; Collier du Valet Veinard; Alliance Gloursonne; Gant du Valet Veinard; Bouclier du Stalak; Menoture; Couronne d'Allister; Cape Indescriptible; Palmes Trithons; Dofus Pourpre; Dofus des Glaces; Dévastateur Air majeur; Equilibriste majeur; Remueur; Cascadeur majeur; Blérodoudou</t>
        </is>
      </c>
    </row>
    <row r="9079">
      <c r="A9079" t="inlineStr">
        <is>
          <t>Sram M 200</t>
        </is>
      </c>
      <c r="B9079">
        <f>HYPERLINK("https://www.dofusbook.net/fr/equipement/4916386-sram-m-200/objets", "link")</f>
        <v/>
      </c>
      <c r="C9079" t="n">
        <v>2</v>
      </c>
      <c r="D9079" t="inlineStr">
        <is>
          <t>Arc du Chalœil; Collier de Tourthon; Anneau de Brouce; Chevalière du Roi Joueur; Bouclier du Stalak; Ceinture Gence; Coiffe du Comte Harebourg; Cape au Logis; Bottes du Comte Harebourg; Dofus Pourpre; Dofus des Glaces; Vigoureux majeur; Forcené majeur; Remueur; Enragé majeur; Kompost</t>
        </is>
      </c>
    </row>
    <row r="9080">
      <c r="A9080" t="inlineStr">
        <is>
          <t>Sacrieur M 200</t>
        </is>
      </c>
      <c r="B9080">
        <f>HYPERLINK("https://www.dofusbook.net/fr/equipement/5835997-sacrieur-m-200/objets", "link")</f>
        <v/>
      </c>
      <c r="C9080" t="n">
        <v>0</v>
      </c>
      <c r="D9080" t="inlineStr">
        <is>
          <t>L'Épée Nice; Collier du Valet Veinard; Alliance Gloursonne; Gant du Valet Veinard; Bouclier d'Ilyzaelle; Ceintouse; Chapoulpe; Cape du Valet Veinard; Tentassons; Dofus Émeraude; Dofus Ivoire; Dofus Pourpre; Dofus Ébène; Dofus Ocre; Dofus des Glaces; Blérodoudou</t>
        </is>
      </c>
    </row>
    <row r="9081">
      <c r="A9081" t="inlineStr">
        <is>
          <t>Chance row</t>
        </is>
      </c>
      <c r="B9081">
        <f>HYPERLINK("https://www.dofusbook.net/fr/equipement/3091924-chance-row-/objets", "link")</f>
        <v/>
      </c>
      <c r="C9081" t="n">
        <v>1</v>
      </c>
      <c r="D9081" t="inlineStr">
        <is>
          <t>Dagoulinantes; Amulette de Shokkoth; Alliance Gloursonne; Anneau Volkorne; Cadran de Terre; Ceinture de la Reine des Voleurs; Kidibonnet; Cape de l'Œil Attentif; Bottes de la Reine des Voleurs; Dofus des Glaces; Nomade; Étourdisseur majeur; Chanceux majeur; Remueur; Dévastateur Eau majeur; Kanigloups</t>
        </is>
      </c>
    </row>
    <row r="9082">
      <c r="A9082" t="inlineStr">
        <is>
          <t>Feu</t>
        </is>
      </c>
      <c r="B9082">
        <f>HYPERLINK("https://www.dofusbook.net/fr/equipement/5804769-feu/objets", "link")</f>
        <v/>
      </c>
      <c r="C9082" t="n">
        <v>0</v>
      </c>
      <c r="D9082" t="inlineStr">
        <is>
          <t>Arc corrompu; Amulette Volkorne; Anneauræus; Anneauræus; Bouclier du Stalak; Ceinture Volkorne; Heaume Oplate; Voile d'encre; Bottes Innommables; Dofus Ivoire; Dofus Pourpre; Dofus des Glaces; Dofus Ocre; Érudit majeur; Nomade; Bisouglours</t>
        </is>
      </c>
    </row>
    <row r="9083">
      <c r="A9083" t="inlineStr">
        <is>
          <t>Féca M 200</t>
        </is>
      </c>
      <c r="B9083">
        <f>HYPERLINK("https://www.dofusbook.net/fr/equipement/5804740-feca-m-200/objets", "link")</f>
        <v/>
      </c>
      <c r="C9083" t="n">
        <v>0</v>
      </c>
      <c r="D9083" t="inlineStr">
        <is>
          <t>Arc corrompu; Amulette Volkorne; Anneauræus; Anneauræus; Bouclier du Stalak; Ceinture Volkorne; Heaume Oplate; Voile d'encre; Bottes Innommables; Dofus Pourpre; Dofus des Glaces; Dofus Ocre; Dofus Ivoire; Nomade; Érudit majeur; Bisouglours</t>
        </is>
      </c>
    </row>
    <row r="9084">
      <c r="A9084" t="inlineStr">
        <is>
          <t>Sram M 200</t>
        </is>
      </c>
      <c r="B9084">
        <f>HYPERLINK("https://www.dofusbook.net/fr/equipement/4866850-sram-m-200/objets", "link")</f>
        <v/>
      </c>
      <c r="C9084" t="n">
        <v>1</v>
      </c>
      <c r="D9084" t="inlineStr">
        <is>
          <t>Plume de Buhorado; Collier du Valet Veinard; Gant du Valet Veinard; Anneau d'Allister; Bouclier du Stalak; Menoture; Casque Volkorne; Cape Indescriptible; Palmes Trithons; Dofus Pourpre; Dofus des Glaces; Dofus Ocre; Dofus Nébuleux; Cascadeur majeur; Equilibriste majeur; Blérodoudou</t>
        </is>
      </c>
    </row>
    <row r="9085">
      <c r="A9085" t="inlineStr">
        <is>
          <t>Sadida M 200</t>
        </is>
      </c>
      <c r="B9085">
        <f>HYPERLINK("https://www.dofusbook.net/fr/equipement/5804656-sadida-m-200/objets", "link")</f>
        <v/>
      </c>
      <c r="C9085" t="n">
        <v>0</v>
      </c>
      <c r="D9085" t="inlineStr">
        <is>
          <t>Arc corrompu; Amulette Volkorne; Anneauræus; Anneauræus; Bouclier du Stalak; Ceinture Volkorne; Heaume Oplate; Voile d'encre; Chaussures Ardentes; Dofus Ébène; Dofus Ivoire; Dofus Ocre; Dofus des Glaces; Dofus Vulbis; Érudit majeur; Bisouglours</t>
        </is>
      </c>
    </row>
    <row r="9086">
      <c r="A9086" t="inlineStr">
        <is>
          <t>Eniripsa M 200</t>
        </is>
      </c>
      <c r="B9086">
        <f>HYPERLINK("https://www.dofusbook.net/fr/equipement/5804618-eniripsa-m-200/objets", "link")</f>
        <v/>
      </c>
      <c r="C9086" t="n">
        <v>1</v>
      </c>
      <c r="D9086" t="inlineStr">
        <is>
          <t>Arc corrompu; Amulette Volkorne; Anneauræus; Anneauræus; Bouclier du Cycloïde; Ceinture Volkorne; Casque Dragoeuf; Voile d'encre; Bottes Innommables; Dofus Ébène; Dofus Ocre; Dofus Ivoire; Érudit majeur; Remueur; Nomade; Dragodinde Orchidée et Rousse</t>
        </is>
      </c>
    </row>
    <row r="9087">
      <c r="A9087" t="inlineStr">
        <is>
          <t>Sacrieur M 200</t>
        </is>
      </c>
      <c r="B9087">
        <f>HYPERLINK("https://www.dofusbook.net/fr/equipement/5798390-sacrieur-m-200/objets", "link")</f>
        <v/>
      </c>
      <c r="C9087" t="n">
        <v>0</v>
      </c>
      <c r="D9087" t="inlineStr">
        <is>
          <t>Sceptre du Roi Joueur; Amulette de Shokkoth; Alliance Gloursonne; Bracelet des Fonds marins; Bouclier d'Ilyzaelle; Ceinture de la Reine des Voleurs; Casque Dragoeuf; Cape de l'Œil Attentif; Bottes de la Reine des Voleurs; Dofus Émeraude; Dofus Ivoire; Dofus Ocre; Dofus Ébène; Nomade; Remueur; Kanigloups</t>
        </is>
      </c>
    </row>
    <row r="9088">
      <c r="A9088" t="inlineStr">
        <is>
          <t>Agil</t>
        </is>
      </c>
      <c r="B9088">
        <f>HYPERLINK("https://www.dofusbook.net/fr/equipement/3154866-agil/objets", "link")</f>
        <v/>
      </c>
      <c r="C9088" t="n">
        <v>2</v>
      </c>
      <c r="D9088" t="inlineStr">
        <is>
          <t>Dagoulinantes; Amulette de Shokkoth; Anneau Volkorne; Alliance Gloursonne; Bouclier du Stalak; Ceinture de la Reine des Voleurs; Coiffe de Danathor; Cape Solution; Bottes de la Reine des Voleurs; Dofus Pourpre; Dofus des Glaces; Chanceux majeur; Remueur; Dévastateur Eau majeur; Nomade; Kanigloups</t>
        </is>
      </c>
    </row>
    <row r="9089">
      <c r="A9089" t="inlineStr">
        <is>
          <t>Pandawa M 200</t>
        </is>
      </c>
      <c r="B9089">
        <f>HYPERLINK("https://www.dofusbook.net/fr/equipement/5771853-pandawa-m-200/objets", "link")</f>
        <v/>
      </c>
      <c r="C9089" t="n">
        <v>1</v>
      </c>
      <c r="D9089" t="inlineStr">
        <is>
          <t>Hache Ériphe; Collier du Valet Veinard; Gant du Valet Veinard; Anneau de XLII; Bouclier d'Anerice; Ceinture de XLII; Masque d'Anerice; Cape d'Anerice; Bottes de XLII; Dofus Ocre; Dofus Vulbis; Dofus Émeraude; Dofus Ivoire; Tacleur majeur; Bloqueur majeur; Givrefoux</t>
        </is>
      </c>
    </row>
    <row r="9090">
      <c r="A9090" t="inlineStr">
        <is>
          <t>Eniripsa M 200</t>
        </is>
      </c>
      <c r="B9090">
        <f>HYPERLINK("https://www.dofusbook.net/fr/equipement/5771753-eniripsa-m-200/objets", "link")</f>
        <v/>
      </c>
      <c r="C9090" t="n">
        <v>2</v>
      </c>
      <c r="D9090" t="inlineStr">
        <is>
          <t>Rapière aux Glyphes; Amulette de Shokkoth; Bracelet des Fonds marins; Anneau Volkorne; Bouclier du Captain Amakna; Poulpagne; Coiffe de Danathor; Cape du Sinistrofu; Bottes du Sinistrofu; Dofus Turquoise; Dofus des Glaces; Taquin majeur; Remueur; Chanceux majeur; Nomade; Pioute bleu</t>
        </is>
      </c>
    </row>
    <row r="9091">
      <c r="A9091" t="inlineStr">
        <is>
          <t>Ouginak M 200</t>
        </is>
      </c>
      <c r="B9091">
        <f>HYPERLINK("https://www.dofusbook.net/fr/equipement/5771674-ouginak-m-200/objets", "link")</f>
        <v/>
      </c>
      <c r="C9091" t="n">
        <v>0</v>
      </c>
      <c r="D9091" t="inlineStr">
        <is>
          <t>Manthache; Collier du Valet Veinard; Anneau Rifique; Gant du Valet Veinard; Bouclier d'Ilyzaelle; Menoture; Casque Volkorne; Cape Indescriptible; Palmes Trithons; Dofus Pourpre; Remueur; Acrobate majeur; Equilibriste majeur; Nomade; Cascadeur majeur; Siroko</t>
        </is>
      </c>
    </row>
    <row r="9092">
      <c r="A9092" t="inlineStr">
        <is>
          <t>Zobal M 200</t>
        </is>
      </c>
      <c r="B9092">
        <f>HYPERLINK("https://www.dofusbook.net/fr/equipement/5771716-zobal-m-200/objets", "link")</f>
        <v/>
      </c>
      <c r="C9092" t="n">
        <v>2</v>
      </c>
      <c r="D9092" t="inlineStr">
        <is>
          <t>Dagues Cacterre; Amulette Volkorne; Anneau Volkorne; Bague Trithon; Bouclier du Captain Amakna; Ceintacé; Masque Trithon; Cape de la Dame du Hasard; Bottes de la Dame du Hasard; Dofus Émeraude; Dofus Turquoise; Dolmanax; Dofus Vulbis; Dofus Pourpre; Dofus des Glaces; Sakochère</t>
        </is>
      </c>
    </row>
    <row r="9093">
      <c r="A9093" t="inlineStr">
        <is>
          <t>Féca M 200</t>
        </is>
      </c>
      <c r="B9093">
        <f>HYPERLINK("https://www.dofusbook.net/fr/equipement/5771621-feca-m-200/objets", "link")</f>
        <v/>
      </c>
      <c r="C9093" t="n">
        <v>5</v>
      </c>
      <c r="D9093" t="inlineStr">
        <is>
          <t>Dague Hirr; Amulette du Strigide; Anneau des égarés; Anneau de la Fuji Givrefoux; Bouclier du Captain Amakna; Ceinture du Strigide; Corne de Torkélonia; Carapace de Torkélonia; Bottes du Strigide; Dofus Pourpre; Dofus Vulbis; Dofus Turquoise; Dofus Ivoire; Dofus Ocre; Dofus des Glaces; Sakochère</t>
        </is>
      </c>
    </row>
    <row r="9094">
      <c r="A9094" t="inlineStr">
        <is>
          <t>Crâ M 200</t>
        </is>
      </c>
      <c r="B9094">
        <f>HYPERLINK("https://www.dofusbook.net/fr/equipement/4417538-cra-m-200/objets", "link")</f>
        <v/>
      </c>
      <c r="C9094" t="n">
        <v>0</v>
      </c>
      <c r="D9094" t="inlineStr">
        <is>
          <t>Lance Horselé; Collier du Valet Veinard; Gant du Valet Veinard; Anneau de Padgref; Quatre-feuilles; Sangle Oriole; Coiffe de Padgref; Cape du Valet Veinard; Getas de Padgref; Dofus Ébène; Dofus Turquoise; Dofus Vulbis; Dofus Ocre; Dofus Pourpre; Dofus des Glaces; Pioute jaune</t>
        </is>
      </c>
    </row>
    <row r="9095">
      <c r="A9095" t="inlineStr">
        <is>
          <t>Sram M 200</t>
        </is>
      </c>
      <c r="B9095">
        <f>HYPERLINK("https://www.dofusbook.net/fr/equipement/5767904-sram-m-200/objets", "link")</f>
        <v/>
      </c>
      <c r="C9095" t="n">
        <v>0</v>
      </c>
      <c r="D9095" t="inlineStr">
        <is>
          <t>Arc du Chalœil; Amulette Luminescente; Bracelet du Piloztère; Anneau du Comte Harebourg; Bouclier du Captain Amakna; Ceinture Luminescente; Coiffe du Comte Harebourg; Cape Luminescente; Bottes du Comte Harebourg; Dofus Vulbis; Dofus Pourpre; Dofus des Glaces; Dofus Nébuleux; Dofus Ocre; Forcené majeur; Kompost</t>
        </is>
      </c>
    </row>
    <row r="9096">
      <c r="A9096" t="inlineStr">
        <is>
          <t>Crâ M 200</t>
        </is>
      </c>
      <c r="B9096">
        <f>HYPERLINK("https://www.dofusbook.net/fr/equipement/5720326-cra-m-200/objets", "link")</f>
        <v/>
      </c>
      <c r="C9096" t="n">
        <v>0</v>
      </c>
      <c r="D9096" t="inlineStr">
        <is>
          <t>Arc du Chalœil; Amulette du Cœur Saignant; Bracelet du Piloztère; Anneau du Comte Harebourg; Quatre-feuilles; Ceinture Volkorne; Masque de Koutoulou; Cape au Logis; Bottes du Cœur Saignant; Dofus Turquoise; Dofus Ocre; Dofus des Glaces; Dofus Pourpre; Forcené majeur; Enragé majeur; Pioute vert</t>
        </is>
      </c>
    </row>
    <row r="9097">
      <c r="A9097" t="inlineStr">
        <is>
          <t>Iop F 200</t>
        </is>
      </c>
      <c r="B9097">
        <f>HYPERLINK("https://www.dofusbook.net/fr/equipement/5351495-iop-f-200/objets", "link")</f>
        <v/>
      </c>
      <c r="C9097" t="n">
        <v>4</v>
      </c>
      <c r="D9097" t="inlineStr">
        <is>
          <t>Dagoulinantes; Amulette du Sinistrofu; Alliance Gloursonne; Anneau Volkorne; Bouclier d'Ilyzaelle; Sangle Ouare; Casque d'Ilyzaelle; Cape Solution; Bottes du Sinistrofu; Dofus Ébène; Dofus Ocre; Dofus Abyssal; Dofus Émeraude; Dofus Ivoire; Dofus Pourpre; Kanigloups</t>
        </is>
      </c>
    </row>
    <row r="9098">
      <c r="A9098" t="inlineStr">
        <is>
          <t>Terre</t>
        </is>
      </c>
      <c r="B9098">
        <f>HYPERLINK("https://www.dofusbook.net/fr/equipement/5714937-terre/objets", "link")</f>
        <v/>
      </c>
      <c r="C9098" t="n">
        <v>0</v>
      </c>
      <c r="D9098" t="inlineStr">
        <is>
          <t>Arc du Chalœil; Amulette du Cœur Saignant; Bracelet du Piloztère; Anneau du Comte Harebourg; Quatre-feuilles; Ceinture Gence; Masque de Koutoulou; Cape au Logis; Bottes du Cœur Saignant; Dofus Turquoise; Dofus des Glaces; Dofus Pourpre; Vigoureux majeur; Forcené majeur; Enragé majeur; Pioute vert</t>
        </is>
      </c>
    </row>
    <row r="9099">
      <c r="A9099" t="inlineStr">
        <is>
          <t>Xélor F 200</t>
        </is>
      </c>
      <c r="B9099">
        <f>HYPERLINK("https://www.dofusbook.net/fr/equipement/4826227-xelor-f-200/objets", "link")</f>
        <v/>
      </c>
      <c r="C9099" t="n">
        <v>0</v>
      </c>
      <c r="D9099" t="inlineStr">
        <is>
          <t>Arc Volkorne; Amulette de l'Indicible; Bague Gloursonne; Alliance Gloursonne; Bouclier d'Ilyzaelle; Ceinture de l'Esprit Salvateur; Masque de l'Esprit Salvateur; Voilamibe; Bottes de l'Esprit Salvateur; Dofus Pourpre; Dofus Ébène; Dofus Ocre; Dolmanax; Dofus des Glaces; Robuste majeur; Wabbit</t>
        </is>
      </c>
    </row>
    <row r="9100">
      <c r="A9100" t="inlineStr">
        <is>
          <t>Xélor M 200</t>
        </is>
      </c>
      <c r="B9100">
        <f>HYPERLINK("https://www.dofusbook.net/fr/equipement/4414802-xelor-m-200/objets", "link")</f>
        <v/>
      </c>
      <c r="C9100" t="n">
        <v>3</v>
      </c>
      <c r="D9100" t="inlineStr">
        <is>
          <t>Lav'Hache; Collier de Tourthon; Anneau Crustique; Anneau Crustique; Bouclier d'Ilyzaelle; Ceinture de la Reine des Voleurs; Coiffe de la Reine des Voleurs; Cape au Logis; Baleinabottes; Dofus Ocre; Dofus Pourpre; Dofus Émeraude; Dofus des Glaces; Enragé majeur; Forcené majeur; Bulbisou</t>
        </is>
      </c>
    </row>
    <row r="9101">
      <c r="A9101" t="inlineStr">
        <is>
          <t>Steamer M 200</t>
        </is>
      </c>
      <c r="B9101">
        <f>HYPERLINK("https://www.dofusbook.net/fr/equipement/5596031-steamer-m-200/objets", "link")</f>
        <v/>
      </c>
      <c r="C9101" t="n">
        <v>0</v>
      </c>
      <c r="D9101" t="inlineStr">
        <is>
          <t>Lance Horselé; Collier du Valet Veinard; Gant du Valet Veinard; Alliance Gloursonne; Bouclier d'Ilyzaelle; Menoture; Casque Dragoeuf; Cape Martegel; Palmes Trithons; Dofus Ocre; Dofus Ivoire; Dofus Émeraude; Dofus des Glaces; Nomade; Cascadeur majeur; Bwak d'Air</t>
        </is>
      </c>
    </row>
    <row r="9102">
      <c r="A9102" t="inlineStr">
        <is>
          <t>Crâ M 200</t>
        </is>
      </c>
      <c r="B9102">
        <f>HYPERLINK("https://www.dofusbook.net/fr/equipement/4205400-cra-m-200/objets", "link")</f>
        <v/>
      </c>
      <c r="C9102" t="n">
        <v>6</v>
      </c>
      <c r="D9102" t="inlineStr">
        <is>
          <t>Arc corrompu; Amulette Volkorne; Anneauræus; Anneauræus; Quatre-feuilles; Ceinture de Gein; Chapeau de Gein; Cape de Diondin; Pataugastrique; Dofus des Glaces; Dofus Pourpre; Dofus Turquoise; Érudit majeur; Nomade; Astucieux majeur; Pioute rouge</t>
        </is>
      </c>
    </row>
    <row r="9103">
      <c r="A9103" t="inlineStr">
        <is>
          <t>Xélor M 200</t>
        </is>
      </c>
      <c r="B9103">
        <f>HYPERLINK("https://www.dofusbook.net/fr/equipement/4646389-xelor-m-200/objets", "link")</f>
        <v/>
      </c>
      <c r="C9103" t="n">
        <v>1</v>
      </c>
      <c r="D9103" t="inlineStr">
        <is>
          <t>Arc corrompu; Amulette Volkorne; Anneauræus; Anneauræus; Bouclier du Stalak; Ceinture Volkorne; Heaume Oplate; Cape de Diondin; Bottes Innommables; Dofus des Glaces; Dofus Pourpre; Nomade; Astucieux majeur; Érudit majeur; Dévastateur Feu majeur; Bisouglours</t>
        </is>
      </c>
    </row>
    <row r="9104">
      <c r="A9104" t="inlineStr">
        <is>
          <t>Osa</t>
        </is>
      </c>
      <c r="B9104">
        <f>HYPERLINK("https://www.dofusbook.net/fr/equipement/4657395-osa/objets", "link")</f>
        <v/>
      </c>
      <c r="C9104" t="n">
        <v>1</v>
      </c>
      <c r="D9104" t="inlineStr">
        <is>
          <t>Baguette Héroclite; Amulette de Shokkoth; Anneau Volkorne; Bracelet des Fonds marins; Bouclier du Stalak; Ceinture de la Reine des Voleurs; Casque d'Ilyzaelle; Cape Solution; Bottes de la Reine des Voleurs; Dofus des Glaces; Chanceux majeur; Remueur; Dévastateur Eau majeur; Nomade; Taquin majeur; Kanigloups</t>
        </is>
      </c>
    </row>
    <row r="9105">
      <c r="A9105" t="inlineStr">
        <is>
          <t>Do crit</t>
        </is>
      </c>
      <c r="B9105">
        <f>HYPERLINK("https://www.dofusbook.net/fr/equipement/5586747-do-crit/objets", "link")</f>
        <v/>
      </c>
      <c r="C9105" t="n">
        <v>0</v>
      </c>
      <c r="D9105" t="inlineStr">
        <is>
          <t>Hache du Chalœil; Amulette Volkorne; Bague Trithon; Anneau Volkorne; Quatre-feuilles; Ceinture Volkorne; Masque Trithon; Cape de Jahash Jurgen; Bottes Trithon; Dolmanax; Dofus Ocre; Dofus Pourpre; Dofus des Glaces; Dofus Turquoise; Puissant majeur; Kokulte</t>
        </is>
      </c>
    </row>
    <row r="9106">
      <c r="A9106" t="inlineStr">
        <is>
          <t>Ecaflip M 200</t>
        </is>
      </c>
      <c r="B9106">
        <f>HYPERLINK("https://www.dofusbook.net/fr/equipement/4315334-ecaflip-m-200/objets", "link")</f>
        <v/>
      </c>
      <c r="C9106" t="n">
        <v>11</v>
      </c>
      <c r="D9106" t="inlineStr">
        <is>
          <t>Hache du Chalœil; Amulette Volkorne; Bague Trithon; Anneau Volkorne; Quatre-feuilles; Ceinture Volkorne; Masque Trithon; Cape de Jahash Jurgen; Bottes Trithon; Dolmanax; Dofus Ocre; Dofus Pourpre; Dofus des Glaces; Dofus Turquoise; Puissant majeur; Kokulte</t>
        </is>
      </c>
    </row>
    <row r="9107">
      <c r="A9107" t="inlineStr">
        <is>
          <t>Full force</t>
        </is>
      </c>
      <c r="B9107">
        <f>HYPERLINK("https://www.dofusbook.net/fr/equipement/3045723-full-force/objets", "link")</f>
        <v/>
      </c>
      <c r="C9107" t="n">
        <v>0</v>
      </c>
      <c r="D9107" t="inlineStr">
        <is>
          <t>Lav'Hache; Collier de Tourthon; Anneau Crustique; Anneau Crustique; Bouclier du Captain Amakna; Ceinture Gence; Coiffe du Comte Harebourg; Cape au Logis; Bottes du Comte Harebourg; Dofus des Glaces; Dofus Pourpre; Enragé majeur; Vigoureux majeur; Remueur; Forcené majeur; Kompost</t>
        </is>
      </c>
    </row>
    <row r="9108">
      <c r="A9108" t="inlineStr">
        <is>
          <t>Air</t>
        </is>
      </c>
      <c r="B9108">
        <f>HYPERLINK("https://www.dofusbook.net/fr/equipement/5496838-air/objets", "link")</f>
        <v/>
      </c>
      <c r="C9108" t="n">
        <v>0</v>
      </c>
      <c r="D9108" t="inlineStr">
        <is>
          <t>Plume de Buhorado; Collier du Valet Veinard; Anneau de Padgref; Gant du Valet Veinard; Quatre-feuilles; Menoture; Coiffe de Padgref; Cape Indescriptible; Getas de Padgref; Dofus Turquoise; Dofus des Glaces; Dofus Pourpre; Equilibriste majeur; Saccageur Air majeur; Acrobate majeur; Pioute jaune</t>
        </is>
      </c>
    </row>
    <row r="9109">
      <c r="A9109" t="inlineStr">
        <is>
          <t>Zobal M 200</t>
        </is>
      </c>
      <c r="B9109">
        <f>HYPERLINK("https://www.dofusbook.net/fr/equipement/5445252-zobal-m-200/objets", "link")</f>
        <v/>
      </c>
      <c r="C9109" t="n">
        <v>1</v>
      </c>
      <c r="D9109" t="inlineStr">
        <is>
          <t>Lav'Hache; Collier de Tourthon; Anneau Crustique; Anneau Crustique; Bouclier précieux; Ceinture de la Reine des Voleurs; Coiffe de la Reine des Voleurs; Cape au Logis; Baleinabottes; Dofus Émeraude; Dofus des Glaces; Obstructeur majeur; Forcené majeur; Remueur; Enragé majeur; Bulbisou</t>
        </is>
      </c>
    </row>
    <row r="9110">
      <c r="A9110" t="inlineStr">
        <is>
          <t>Feuu</t>
        </is>
      </c>
      <c r="B9110">
        <f>HYPERLINK("https://www.dofusbook.net/fr/equipement/5444953-feuu/objets", "link")</f>
        <v/>
      </c>
      <c r="C9110" t="n">
        <v>0</v>
      </c>
      <c r="D9110" t="inlineStr">
        <is>
          <t>Arc corrompu; Amulette Volkorne; Anneauræus; Anneauræus; Bouclier du Stalak; Ceinture Volkorne; Heaume Oplate; Cape de Diondin; Bottes Innommables; Dofus des Glaces; Dofus Pourpre; Érudit majeur; Dévastateur Feu majeur; Nomade; Astucieux majeur; Bisouglours</t>
        </is>
      </c>
    </row>
    <row r="9111">
      <c r="A9111" t="inlineStr">
        <is>
          <t>Féca M 200</t>
        </is>
      </c>
      <c r="B9111">
        <f>HYPERLINK("https://www.dofusbook.net/fr/equipement/5417833-feca-m-200/objets", "link")</f>
        <v/>
      </c>
      <c r="C9111" t="n">
        <v>1</v>
      </c>
      <c r="D9111" t="inlineStr">
        <is>
          <t>Az'tech; Amulette du Strigide; Alliance Gloursonne; Anneau Toriété; Bouclier du Captain Amakna; Ceinture du Strigide; Némès de Tal Kasha; Chevelure de Tal Kasha; Sandales de Tal Kasha; Dofus Turquoise; Dolmanax; Dofus des Glaces; Dofus Pourpre; Joueur majeur; Acrobate majeur; Sakochère</t>
        </is>
      </c>
    </row>
    <row r="9112">
      <c r="A9112" t="inlineStr">
        <is>
          <t>Féca M 200</t>
        </is>
      </c>
      <c r="B9112">
        <f>HYPERLINK("https://www.dofusbook.net/fr/equipement/5417747-feca-m-200/objets", "link")</f>
        <v/>
      </c>
      <c r="C9112" t="n">
        <v>0</v>
      </c>
      <c r="D9112" t="inlineStr">
        <is>
          <t>Amulette du Strigide; Anneau de Padgref; Anneau d'Allister; Bouclier du Captain Amakna; Menoture; Casque Volkorne; Capibou; Bottes du Strigide; Dofus des Glaces; Dofus Pourpre; Dofus Turquoise; Cascadeur majeur; Remueur; Nomade; Pioute jaune</t>
        </is>
      </c>
    </row>
    <row r="9113">
      <c r="A9113" t="inlineStr">
        <is>
          <t>XSa</t>
        </is>
      </c>
      <c r="B9113">
        <f>HYPERLINK("https://www.dofusbook.net/fr/equipement/5400193-xsa/objets", "link")</f>
        <v/>
      </c>
      <c r="C9113" t="n">
        <v>2</v>
      </c>
      <c r="D9113" t="inlineStr">
        <is>
          <t>Dagoulinantes; Amulette de Shokkoth; Anneau Volkorne; Alliance Gloursonne; Bouclier d'Ilyzaelle; Sangle Ouare; Casque d'Ilyzaelle; Cape Solution; Bottes du Sinistrofu; Dofus Ocre; Dofus Abyssal; Dofus Émeraude; Dofus Ivoire; Dofus Pourpre; Dofus Ébène; Kanigloups</t>
        </is>
      </c>
    </row>
    <row r="9114">
      <c r="A9114" t="inlineStr">
        <is>
          <t>Sadida M 200</t>
        </is>
      </c>
      <c r="B9114">
        <f>HYPERLINK("https://www.dofusbook.net/fr/equipement/4205368-sadida-m-200/objets", "link")</f>
        <v/>
      </c>
      <c r="C9114" t="n">
        <v>2</v>
      </c>
      <c r="D9114" t="inlineStr">
        <is>
          <t>Arc corrompu; Amulette Volkorne; Anneauræus; Anneauræus; Bouclier du Stalak; Ceinture Volkorne; Heaume Oplate; Cape de Diondin; Bottes Innommables; Dofus des Glaces; Dofus Pourpre; Érudit majeur; Nomade; Vigoureux majeur; Astucieux majeur; Bisouglours</t>
        </is>
      </c>
    </row>
    <row r="9115">
      <c r="A9115" t="inlineStr">
        <is>
          <t>Sacrieur F 200</t>
        </is>
      </c>
      <c r="B9115">
        <f>HYPERLINK("https://www.dofusbook.net/fr/equipement/5198027-sacrieur-f-200/objets", "link")</f>
        <v/>
      </c>
      <c r="C9115" t="n">
        <v>0</v>
      </c>
      <c r="D9115" t="inlineStr">
        <is>
          <t>Lav'Hache; Collier de Tourthon; Anneau Chevelu; Anneau Volkorne; Droiture de Fallanster; Ceinture Volkorne; Masque de Koutoulou; Bravoure de Rykke Errel; Baleinabottes; Dofus Pourpre; Dofus Ivoire; Dofus Émeraude; Dofus des Glaces; Nomade; Enragé majeur; Bulbisou</t>
        </is>
      </c>
    </row>
    <row r="9116">
      <c r="A9116" t="inlineStr">
        <is>
          <t>Osamodas F 200</t>
        </is>
      </c>
      <c r="B9116">
        <f>HYPERLINK("https://www.dofusbook.net/fr/equipement/5074250-osamodas-f-200/objets", "link")</f>
        <v/>
      </c>
      <c r="C9116" t="n">
        <v>3</v>
      </c>
      <c r="D9116" t="inlineStr">
        <is>
          <t>Plumeau Bil; Amulette Volkorne; Anneau de Nidas; Anneau Tique; Bouclier du Stalak; Sangle Aise; Couronne de Nidas; Voile d'encre; Bottes Innommables; Dofus des Glaces; Érudit majeur; Nomade; Remueur; Astucieux majeur; Dévastateur Feu majeur; Bisouglours</t>
        </is>
      </c>
    </row>
    <row r="9117">
      <c r="A9117" t="inlineStr">
        <is>
          <t>Sram</t>
        </is>
      </c>
      <c r="B9117">
        <f>HYPERLINK("https://www.dofusbook.net/fr/equipement/4925792-sram/objets", "link")</f>
        <v/>
      </c>
      <c r="C9117" t="n">
        <v>2</v>
      </c>
      <c r="D9117" t="inlineStr">
        <is>
          <t>Plume de Buhorado; Collier du Valet Veinard; Gant du Valet Veinard; Anneau d'Allister; Bouclier du Stalak; Menoture; Casque Volkorne; Cape Indescriptible; Palmes Trithons; Dofus Pourpre; Dofus des Glaces; Dofus Ocre; Cascadeur majeur; Equilibriste majeur; Dévastateur Air majeur; Blérodoudou</t>
        </is>
      </c>
    </row>
    <row r="9118">
      <c r="A9118" t="inlineStr">
        <is>
          <t>Sadida M 200</t>
        </is>
      </c>
      <c r="B9118">
        <f>HYPERLINK("https://www.dofusbook.net/fr/equipement/4414215-sadida-m-200/objets", "link")</f>
        <v/>
      </c>
      <c r="C9118" t="n">
        <v>16</v>
      </c>
      <c r="D9118" t="inlineStr">
        <is>
          <t>Dagues Érhy; Amulette Volkorne; Bague Gloursonne; Bracelet du Piloztère; Bouclier du Stalak; Ceinture Volkorne; Chapeau de Gein; Voile d'encre; Bottes Honyme; Dolmanax; Dofus Pourpre; Dofus des Glaces; Remueur; Nomade; Vigoureux majeur; Cromeugnon</t>
        </is>
      </c>
    </row>
    <row r="9119">
      <c r="A9119" t="inlineStr">
        <is>
          <t>Enutrof M 200</t>
        </is>
      </c>
      <c r="B9119">
        <f>HYPERLINK("https://www.dofusbook.net/fr/equipement/5001751-enutrof-m-200/objets", "link")</f>
        <v/>
      </c>
      <c r="C9119" t="n">
        <v>2</v>
      </c>
      <c r="D9119" t="inlineStr">
        <is>
          <t>Dagoulinantes; Amulette de Shokkoth; Anneau Volkorne; Bracelet des Fonds marins; Bouclier du Stalak; Ceinture de la Reine des Voleurs; Capuche de l'Œil Attentif; Cape Solution; Bottes de la Reine des Voleurs; Dofus Pourpre; Dofus des Glaces; Dofus Ocre; Chanceux majeur; Taquin majeur; Nomade; Pioute bleu</t>
        </is>
      </c>
    </row>
    <row r="9120">
      <c r="A9120" t="inlineStr">
        <is>
          <t>Zobal M 200</t>
        </is>
      </c>
      <c r="B9120">
        <f>HYPERLINK("https://www.dofusbook.net/fr/equipement/4825866-zobal-m-200/objets", "link")</f>
        <v/>
      </c>
      <c r="C9120" t="n">
        <v>2</v>
      </c>
      <c r="D9120" t="inlineStr">
        <is>
          <t>Arc Nécrotique; Amulette Volkorne; Bague Trithon; Anneau Volkorne; Quatre-feuilles; Ceintacé; Masque Trithon; Cape de la Dame du Hasard; Bottes de la Dame du Hasard; Dofus Turquoise; Dolmanax; Dofus Ocre; Dofus Pourpre; Dofus des Glaces; Voyageur; Kokulte</t>
        </is>
      </c>
    </row>
    <row r="9121">
      <c r="A9121" t="inlineStr">
        <is>
          <t>Sram M 200</t>
        </is>
      </c>
      <c r="B9121">
        <f>HYPERLINK("https://www.dofusbook.net/fr/equipement/5001886-sram-m-200/objets", "link")</f>
        <v/>
      </c>
      <c r="C9121" t="n">
        <v>1</v>
      </c>
      <c r="D9121" t="inlineStr">
        <is>
          <t>Arc de Koutoulou; Amulette d'Ilyzaelle; Alliance Gloursonne; Anneau Volkorne; Bouclier du Stalak; Ceinture Voldelor; Casque Volkorne; Voilamibe; Bottes de la Reine des Voleurs; Dofus Pourpre; Dofus Ocre; Dofus des Glaces; Remueur; Vigoureux majeur; Robuste majeur; Mini Wa</t>
        </is>
      </c>
    </row>
    <row r="9122">
      <c r="A9122" t="inlineStr">
        <is>
          <t>Iop M 200</t>
        </is>
      </c>
      <c r="B9122">
        <f>HYPERLINK("https://www.dofusbook.net/fr/equipement/4964274-iop-m-200/objets", "link")</f>
        <v/>
      </c>
      <c r="C9122" t="n">
        <v>5</v>
      </c>
      <c r="D9122" t="inlineStr">
        <is>
          <t>Epée Maudite du Saigneur Guerrier; Amulette du Strigide; Bracelet du Piloztère; Bague Trithon; Bouclier du Captain Amakna; Ceinture du Strigide; Masque Trithon; Cape du Chalœil; Bottes Trithon; Dofus Vulbis; Dofus Turquoise; Dolmanax; Dofus Ocre; Dofus Pourpre; Dofus des Glaces; Sakochère</t>
        </is>
      </c>
    </row>
    <row r="9123">
      <c r="A9123" t="inlineStr">
        <is>
          <t>Steamer M 200</t>
        </is>
      </c>
      <c r="B9123">
        <f>HYPERLINK("https://www.dofusbook.net/fr/equipement/4947605-steamer-m-200/objets", "link")</f>
        <v/>
      </c>
      <c r="C9123" t="n">
        <v>1</v>
      </c>
      <c r="D9123" t="inlineStr">
        <is>
          <t>Hache du Chalœil; Amulette Volkorne; Bague Trithon; Anneau Volkorne; Quatre-feuilles; Ceinture Volkorne; Masque Trithon; Dofusteuse; Bottes Trithon; Dofus Pourpre; Dofus des Glaces; Dofus Turquoise; Dolmanax; Dofus Ocre; Puissant majeur; Sakochère</t>
        </is>
      </c>
    </row>
    <row r="9124">
      <c r="A9124" t="inlineStr">
        <is>
          <t>Crâ M 200</t>
        </is>
      </c>
      <c r="B9124">
        <f>HYPERLINK("https://www.dofusbook.net/fr/equipement/4217695-cra-m-200/objets", "link")</f>
        <v/>
      </c>
      <c r="C9124" t="n">
        <v>1</v>
      </c>
      <c r="D9124" t="inlineStr">
        <is>
          <t>Plume de Buhorado; Collier du Valet Veinard; Anneau de Padgref; Gant du Valet Veinard; Quatre-feuilles; Menoture; Coiffe de Padgref; Cape Indescriptible; Getas de Padgref; Dofus Turquoise; Dofus des Glaces; Dofus Pourpre; Equilibriste majeur; Saccageur Air majeur; Acrobate majeur; Pioute jaune</t>
        </is>
      </c>
    </row>
    <row r="9125">
      <c r="A9125" t="inlineStr">
        <is>
          <t>Sram M 200</t>
        </is>
      </c>
      <c r="B9125">
        <f>HYPERLINK("https://www.dofusbook.net/fr/equipement/4923620-sram-m-200/objets", "link")</f>
        <v/>
      </c>
      <c r="C9125" t="n">
        <v>0</v>
      </c>
      <c r="D9125" t="inlineStr">
        <is>
          <t>Dagues Lassay; Amulette de l'Indicible; Anneau du Père Fwetar; Bracelet du Piloztère; Bouclier du Stalak; Ceinture de l'Esprit Salvateur; Solomonk; Cape de Jahash Jurgen; Bottes de l'Esprit Salvateur; Dofus Ocre; Dolmanax; Dofus des Glaces; Dofus Pourpre; Robuste majeur; Vigoureux majeur; Fëanor</t>
        </is>
      </c>
    </row>
    <row r="9126">
      <c r="A9126" t="inlineStr">
        <is>
          <t>Zobal M 200</t>
        </is>
      </c>
      <c r="B9126">
        <f>HYPERLINK("https://www.dofusbook.net/fr/equipement/4899057-zobal-m-200/objets", "link")</f>
        <v/>
      </c>
      <c r="C9126" t="n">
        <v>4</v>
      </c>
      <c r="D9126" t="inlineStr">
        <is>
          <t>Dagues d'Ilyzaelle; Amulette du Cœur Saignant; Anneau du Comte Harebourg; Anneau Crustique; Bouclier du Captain Amakna; Ceinture Gence; Masque de Koutoulou; Cape au Logis; Bottes du Cœur Saignant; Dofus des Glaces; Dofus Pourpre; Dofus Turquoise; Vigoureux majeur; Forcené majeur; Enragé majeur; Pioute vert</t>
        </is>
      </c>
    </row>
    <row r="9127">
      <c r="A9127" t="inlineStr">
        <is>
          <t>Osamodas F 200</t>
        </is>
      </c>
      <c r="B9127">
        <f>HYPERLINK("https://www.dofusbook.net/fr/equipement/4898800-osamodas-f-200/objets", "link")</f>
        <v/>
      </c>
      <c r="C9127" t="n">
        <v>1</v>
      </c>
      <c r="D9127" t="inlineStr">
        <is>
          <t>Arc du Chalœil; Collier de Tourthon; Anneau de Brouce; Anneau du Comte Harebourg; Bouclier du Stalak; Ceinture de Brouce; Coiffe du Comte Harebourg; Cape au Logis; Bottes de Brouce; Dofus Ocre; Dofus des Glaces; Dofus Pourpre; Furibond majeur; Forcené majeur; Saccageur Terre majeur; Bulbisou</t>
        </is>
      </c>
    </row>
    <row r="9128">
      <c r="A9128" t="inlineStr">
        <is>
          <t>Iop</t>
        </is>
      </c>
      <c r="B9128">
        <f>HYPERLINK("https://www.dofusbook.net/fr/equipement/4898643-iop/objets", "link")</f>
        <v/>
      </c>
      <c r="C9128" t="n">
        <v>4</v>
      </c>
      <c r="D9128" t="inlineStr">
        <is>
          <t>Lav'Hache; Collier de Tourthon; Anneau Crustique; Anneau Crustique; Bouclier du Stalak; Ceinture de la Reine des Voleurs; Coiffe de la Reine des Voleurs; Cape au Logis; Baleinabottes; Dofus Ocre; Dofus des Glaces; Dofus Pourpre; Dévastateur Terre majeur; Enragé majeur; Forcené majeur; Bulbisou</t>
        </is>
      </c>
    </row>
    <row r="9129">
      <c r="A9129" t="inlineStr">
        <is>
          <t>Feu</t>
        </is>
      </c>
      <c r="B9129">
        <f>HYPERLINK("https://www.dofusbook.net/fr/equipement/3250531-feu/objets", "link")</f>
        <v/>
      </c>
      <c r="C9129" t="n">
        <v>3</v>
      </c>
      <c r="D9129" t="inlineStr">
        <is>
          <t>Arc corrompu; Amulette Volkorne; Anneauræus; Anneauræus; Bouclier du Stalak; Ceinture Volkorne; Heaume Oplate; Cape de Diondin; Bottes Innommables; Dofus Pourpre; Dofus des Glaces; Nomade; Astucieux majeur; Érudit majeur; Dévastateur Feu majeur; Bisouglours</t>
        </is>
      </c>
    </row>
    <row r="9130">
      <c r="A9130" t="inlineStr">
        <is>
          <t>Sadida M 200</t>
        </is>
      </c>
      <c r="B9130">
        <f>HYPERLINK("https://www.dofusbook.net/fr/equipement/4878479-sadida-m-200/objets", "link")</f>
        <v/>
      </c>
      <c r="C9130" t="n">
        <v>1</v>
      </c>
      <c r="D9130" t="inlineStr">
        <is>
          <t>Plume de Buhorado; Collier du Valet Veinard; Gant du Valet Veinard; Anneau d'Allister; Bouclier du Stalak; Sangle Oriole; Couronne d'Allister; Cape du Valet Veinard; Bottes d'Allister; Dofus Pourpre; Dofus des Glaces; Robuste majeur; Acrobate majeur; Equilibriste majeur; Saccageur Air majeur; Blérodoudou</t>
        </is>
      </c>
    </row>
    <row r="9131">
      <c r="A9131" t="inlineStr">
        <is>
          <t>Xélor F 200</t>
        </is>
      </c>
      <c r="B9131">
        <f>HYPERLINK("https://www.dofusbook.net/fr/equipement/4872602-xelor-f-200/objets", "link")</f>
        <v/>
      </c>
      <c r="C9131" t="n">
        <v>2</v>
      </c>
      <c r="D9131" t="inlineStr">
        <is>
          <t>Bâtonnet Ronien; Amulette du Strigide; Bracelet du Piloztère; Alliance Gloursonne; Quatre-feuilles; Ceinture du Strigide; Némès de Tal Kasha; Chevelure de Tal Kasha; Sandales de Tal Kasha; Dofus Pourpre; Dofus des Glaces; Dofus Turquoise; Dolmanax; Dofus Ocre; Voyageur; Kokulte</t>
        </is>
      </c>
    </row>
    <row r="9132">
      <c r="A9132" t="inlineStr">
        <is>
          <t>Crâ M 200</t>
        </is>
      </c>
      <c r="B9132">
        <f>HYPERLINK("https://www.dofusbook.net/fr/equipement/4872391-cra-m-200/objets", "link")</f>
        <v/>
      </c>
      <c r="C9132" t="n">
        <v>2</v>
      </c>
      <c r="D9132" t="inlineStr">
        <is>
          <t>Baguette Hique; Amulette de Shokkoth; Bracelet des Fonds marins; Anneau Volkorne; Quatre-feuilles; Ceintacé; Capuche de l'Œil Attentif; Cape de la Dame du Hasard; Bottes de la Dame du Hasard; Dofus Turquoise; Dofus Pourpre; Dofus des Glaces; Dofus Ocre; Chanceux majeur; Nomade; Pioute bleu</t>
        </is>
      </c>
    </row>
    <row r="9133">
      <c r="A9133" t="inlineStr">
        <is>
          <t>Crâ M 200</t>
        </is>
      </c>
      <c r="B9133">
        <f>HYPERLINK("https://www.dofusbook.net/fr/equipement/4872208-cra-m-200/objets", "link")</f>
        <v/>
      </c>
      <c r="C9133" t="n">
        <v>2</v>
      </c>
      <c r="D9133" t="inlineStr">
        <is>
          <t>Arc Volkorne; Amulette du Strigide; Anneau de Padgref; Bracelet du Piloztère; Quatre-feuilles; Ceinture du Strigide; Coiffe de Padgref; Cape de Jahash Jurgen; Getas de Padgref; Dofus Turquoise; Dofus des Glaces; Dolmanax; Dofus Ocre; Dofus Pourpre; Dofus Vulbis; Sakochère</t>
        </is>
      </c>
    </row>
    <row r="9134">
      <c r="A9134" t="inlineStr">
        <is>
          <t>Huppermage M 200</t>
        </is>
      </c>
      <c r="B9134">
        <f>HYPERLINK("https://www.dofusbook.net/fr/equipement/4872052-huppermage-m-200/objets", "link")</f>
        <v/>
      </c>
      <c r="C9134" t="n">
        <v>0</v>
      </c>
      <c r="D9134" t="inlineStr">
        <is>
          <t>Arc du Chalœil; Torquistik; Anneau Crustique; Anneau de Brouce; Bivalve; Ceinture Gence; Masque de Koutoulou; Cape au Logis; Bottistik; Dofus Pourpre; Dofus des Glaces; Enragé majeur; Culbuteur majeur; Pousseur majeur; Bousculeur majeur; Black Tiwabbit</t>
        </is>
      </c>
    </row>
    <row r="9135">
      <c r="A9135" t="inlineStr">
        <is>
          <t>Air do pou</t>
        </is>
      </c>
      <c r="B9135">
        <f>HYPERLINK("https://www.dofusbook.net/fr/equipement/3182002-air-do-pou/objets", "link")</f>
        <v/>
      </c>
      <c r="C9135" t="n">
        <v>2</v>
      </c>
      <c r="D9135" t="inlineStr">
        <is>
          <t>Plume de Buhorado; Amibou; Alliance Gloursonne; Gant du Valet Veinard; Bouclier Taverne; Ceinture du Nocturlabe; Masque du Barbétoal; Capibou; Bottes du Cœur Vaillant; Dofus Ocre; Cascadeur majeur; Equilibriste majeur; Culbuteur majeur; Remueur; Bousculeur majeur; Tofoudre</t>
        </is>
      </c>
    </row>
    <row r="9136">
      <c r="A9136" t="inlineStr">
        <is>
          <t>Sram</t>
        </is>
      </c>
      <c r="B9136">
        <f>HYPERLINK("https://www.dofusbook.net/fr/equipement/4857316-sram/objets", "link")</f>
        <v/>
      </c>
      <c r="C9136" t="n">
        <v>3</v>
      </c>
      <c r="D9136" t="inlineStr">
        <is>
          <t>Epée Toche; Amulette Volkorne; Chevalière du Roi Joueur; Anneau Volkorne; Bouclier du Captain Amakna; Ceinture Volkorne; Couronne du Roi Joueur; Voile d'encre; Bottes du Roi Joueur; Dolmanax; Dofus des Glaces; Dofus Turquoise; Dofus Pourpre; Dofus Ocre; Puissant majeur; Cromeugnon</t>
        </is>
      </c>
    </row>
    <row r="9137">
      <c r="A9137" t="inlineStr">
        <is>
          <t>Sram M 200</t>
        </is>
      </c>
      <c r="B9137">
        <f>HYPERLINK("https://www.dofusbook.net/fr/equipement/4445157-sram-m-200/objets", "link")</f>
        <v/>
      </c>
      <c r="C9137" t="n">
        <v>38</v>
      </c>
      <c r="D9137" t="inlineStr">
        <is>
          <t>Epée Toche; Amulette Volkorne; Chevalière du Roi Joueur; Anneau Volkorne; Bouclier du Stalak; Ceinture Volkorne; Couronne du Roi Joueur; Voile d'encre; Bottes du Roi Joueur; Dolmanax; Dofus des Glaces; Dofus Pourpre; Dofus Ocre; Robuste majeur; Puissant majeur; Cromeugnon</t>
        </is>
      </c>
    </row>
    <row r="9138">
      <c r="A9138" t="inlineStr">
        <is>
          <t>Zobal M 200</t>
        </is>
      </c>
      <c r="B9138">
        <f>HYPERLINK("https://www.dofusbook.net/fr/equipement/4829739-zobal-m-200/objets", "link")</f>
        <v/>
      </c>
      <c r="C9138" t="n">
        <v>1</v>
      </c>
      <c r="D9138" t="inlineStr">
        <is>
          <t>Baguette Héroclite; Amulette de Shokkoth; Alliance Gloursonne; Anneau Volkorne; Bouclier d'Ilyzaelle; Poulpagne; Casque d'Ilyzaelle; Cape Solution; Bottes du Nocturlabe; Dofus Pourpre; Dofus Émeraude; Dofus des Glaces; Taquin majeur; Nomade; Chanceux majeur; Kanigloups</t>
        </is>
      </c>
    </row>
    <row r="9139">
      <c r="A9139" t="inlineStr">
        <is>
          <t>Terre air</t>
        </is>
      </c>
      <c r="B9139">
        <f>HYPERLINK("https://www.dofusbook.net/fr/equipement/4827368-terre-air/objets", "link")</f>
        <v/>
      </c>
      <c r="C9139" t="n">
        <v>1</v>
      </c>
      <c r="D9139" t="inlineStr">
        <is>
          <t>Héqache; Amulette du Strigide; Anneau de la Fuji Givrefoux; Anneau des égarés; Bouclier du Captain Amakna; Ceinture du Strigide; Coiffe de la Fuji Givrefoux; Cape de la Fuji Givrefoux; Bottes de la Fuji Givrefoux; Dofus Pourpre; Dofus des Glaces; Dofus Émeraude; Dofus Turquoise; Dolmanax; Dofus Ocre; Sakochère</t>
        </is>
      </c>
    </row>
    <row r="9140">
      <c r="A9140" t="inlineStr">
        <is>
          <t>Xélor F 200</t>
        </is>
      </c>
      <c r="B9140">
        <f>HYPERLINK("https://www.dofusbook.net/fr/equipement/4827160-xelor-f-200/objets", "link")</f>
        <v/>
      </c>
      <c r="C9140" t="n">
        <v>1</v>
      </c>
      <c r="D9140" t="inlineStr">
        <is>
          <t>Héqache; Amulette du Strigide; Anneau des égarés; Anneau de la Fuji Givrefoux; Bouclier du Captain Amakna; Ceinture du Strigide; Coiffe de la Fuji Givrefoux; Cape de la Fuji Givrefoux; Bottes de la Fuji Givrefoux; Dolmanax; Dofus Ocre; Dofus Pourpre; Dofus des Glaces; Dofus Émeraude; Dofus Turquoise; Sakochère</t>
        </is>
      </c>
    </row>
    <row r="9141">
      <c r="A9141" t="inlineStr">
        <is>
          <t>Xélor F 200</t>
        </is>
      </c>
      <c r="B9141">
        <f>HYPERLINK("https://www.dofusbook.net/fr/equipement/4826141-xelor-f-200/objets", "link")</f>
        <v/>
      </c>
      <c r="C9141" t="n">
        <v>0</v>
      </c>
      <c r="D9141" t="inlineStr">
        <is>
          <t>Bâton Beau; Amulette Volkorne; Bague Trithon; Anneau Volkorne; Bouclier du Captain Amakna; Ceinture Volkorne; Masque Trithon; Cape de Jahash Jurgen; Bottes Trithon; Dofus Pourpre; Dofus des Glaces; Dofus Émeraude; Dofus Turquoise; Dolmanax; Dofus Ocre; Sakochère</t>
        </is>
      </c>
    </row>
    <row r="9142">
      <c r="A9142" t="inlineStr">
        <is>
          <t>Sacrieur M 200</t>
        </is>
      </c>
      <c r="B9142">
        <f>HYPERLINK("https://www.dofusbook.net/fr/equipement/4820727-sacrieur-m-200/objets", "link")</f>
        <v/>
      </c>
      <c r="C9142" t="n">
        <v>2</v>
      </c>
      <c r="D9142" t="inlineStr">
        <is>
          <t>Pelle de la Cour Sombre; Collier du Valet Veinard; Alliance Gloursonne; Gant du Valet Veinard; Bouclier d'Ilyzaelle; Menoture; Dorabysses; Cape Indescriptible; Palmes Trithons; Dofus Émeraude; Dofus Ivoire; Cascadeur majeur; Nomade; Miraculé majeur; Remueur; La Chose</t>
        </is>
      </c>
    </row>
    <row r="9143">
      <c r="A9143" t="inlineStr">
        <is>
          <t>Enutrof M 200</t>
        </is>
      </c>
      <c r="B9143">
        <f>HYPERLINK("https://www.dofusbook.net/fr/equipement/4788389-enutrof-m-200/objets", "link")</f>
        <v/>
      </c>
      <c r="C9143" t="n">
        <v>1</v>
      </c>
      <c r="D9143" t="inlineStr">
        <is>
          <t>Massier; Amulette Volkorne; Anneau de Padgref; Anneauræus; Bouclier Pandawa; Ceinture Volkorne; Heaume Oplate; Voile d'encre; Bottes de la Dame du Hasard; Dofus Turquoise; Dofus Ocre; Dofus Pourpre; Dofus des Glaces; Érudit majeur; Nomade; Pioute rouge</t>
        </is>
      </c>
    </row>
    <row r="9144">
      <c r="A9144" t="inlineStr">
        <is>
          <t>Sadida M 200</t>
        </is>
      </c>
      <c r="B9144">
        <f>HYPERLINK("https://www.dofusbook.net/fr/equipement/4781859-sadida-m-200/objets", "link")</f>
        <v/>
      </c>
      <c r="C9144" t="n">
        <v>7</v>
      </c>
      <c r="D9144" t="inlineStr">
        <is>
          <t>Lav'Hache; Amulette Héroclite; Anneau Chevelu; Bracelet du Piloztère; Bouclier du Stalak; Ceinture Volkorne; Masque de Koutoulou; Cape au Logis; Pantoufles du Piloztère; Dofus Ocre; Dofus des Glaces; Dofus Pourpre; Enragé majeur; Vigoureux majeur; Forcené majeur; Kompost</t>
        </is>
      </c>
    </row>
    <row r="9145">
      <c r="A9145" t="inlineStr">
        <is>
          <t>Sadida M 200</t>
        </is>
      </c>
      <c r="B9145">
        <f>HYPERLINK("https://www.dofusbook.net/fr/equipement/4781793-sadida-m-200/objets", "link")</f>
        <v/>
      </c>
      <c r="C9145" t="n">
        <v>7</v>
      </c>
      <c r="D9145" t="inlineStr">
        <is>
          <t>Lav'Hache; Amulette Volcanique; Anneau Volkorne; Anneau de Brouce; Bouclier du Stalak; Ceinture Volkorne; Coiffe de la Reine des Voleurs; Voile d'encre; Bottes Dogues; Dofus des Glaces; Dofus Pourpre; Dofus Ocre; Enragé majeur; Remueur; Forcené majeur; Kompost</t>
        </is>
      </c>
    </row>
    <row r="9146">
      <c r="A9146" t="inlineStr">
        <is>
          <t>Hup</t>
        </is>
      </c>
      <c r="B9146">
        <f>HYPERLINK("https://www.dofusbook.net/fr/equipement/4775973-hup/objets", "link")</f>
        <v/>
      </c>
      <c r="C9146" t="n">
        <v>0</v>
      </c>
      <c r="D9146" t="inlineStr">
        <is>
          <t>Arc corrompu; Amulette Volkorne; Anneauræus; Anneauræus; Bouclier du Stalak; Ceinture Volkorne; Heaume Oplate; Cape de Diondin; Bottes Innommables; Dofus des Glaces; Dofus Pourpre; Érudit majeur; Vigoureux majeur; Astucieux majeur; Nomade; Bisouglours</t>
        </is>
      </c>
    </row>
    <row r="9147">
      <c r="A9147" t="inlineStr">
        <is>
          <t>Iop F 200</t>
        </is>
      </c>
      <c r="B9147">
        <f>HYPERLINK("https://www.dofusbook.net/fr/equipement/4430220-iop-f-200/objets", "link")</f>
        <v/>
      </c>
      <c r="C9147" t="n">
        <v>4</v>
      </c>
      <c r="D9147" t="inlineStr">
        <is>
          <t>Arc corrompu; Amulette Volkorne; Anneauræus; Anneauræus; Bouclier du Stalak; Ceinture Volkorne; Heaume Oplate; Voile d'encre; Bottes Innommables; Dofus Nébuleux; Dofus des Glaces; Dofus Ivoire; Dofus Pourpre; Érudit majeur; Nomade; Kougnard</t>
        </is>
      </c>
    </row>
    <row r="9148">
      <c r="A9148" t="inlineStr">
        <is>
          <t>Féca M 200</t>
        </is>
      </c>
      <c r="B9148">
        <f>HYPERLINK("https://www.dofusbook.net/fr/equipement/3865692-feca-m-200/objets", "link")</f>
        <v/>
      </c>
      <c r="C9148" t="n">
        <v>6</v>
      </c>
      <c r="D9148" t="inlineStr">
        <is>
          <t>Dagues de Srambad; Torquistik; Goulano; Baguistik; Goulclier; Ceinture de la Reine des Voleurs; Coiffe de la Reine des Voleurs; Cape au Logis; Bottistik; Dofus des Glaces; Dofus Ocre; Dofus Pourpre; Dolmanax; Forcené majeur; Robuste majeur; Wabbit</t>
        </is>
      </c>
    </row>
    <row r="9149">
      <c r="A9149" t="inlineStr">
        <is>
          <t>Pandawa F 200</t>
        </is>
      </c>
      <c r="B9149">
        <f>HYPERLINK("https://www.dofusbook.net/fr/equipement/4715762-pandawa-f-200/objets", "link")</f>
        <v/>
      </c>
      <c r="C9149" t="n">
        <v>1</v>
      </c>
      <c r="D9149" t="inlineStr">
        <is>
          <t>Arc Hétype; Amulette Volkorne; Anneauræus; Anneauræus; Cadran de Feu; Ceinture Volkorne; Heaume Oplate; Voile d'encre; Bottes Innommables; Dofus Ivoire; Dofus Ocre; Dofus Abyssal; Astucieux majeur; Érudit majeur; Nomade; Brûlih</t>
        </is>
      </c>
    </row>
    <row r="9150">
      <c r="A9150" t="inlineStr">
        <is>
          <t>Ecaflip M 200</t>
        </is>
      </c>
      <c r="B9150">
        <f>HYPERLINK("https://www.dofusbook.net/fr/equipement/4715667-ecaflip-m-200/objets", "link")</f>
        <v/>
      </c>
      <c r="C9150" t="n">
        <v>2</v>
      </c>
      <c r="D9150" t="inlineStr">
        <is>
          <t>Arc corrompu; Amulette Volkorne; Anneau Volkorne; Anneau Tique; Bouclier du Stalak; Ceinture Buhlent; Heaume Oplate; Cape de Diondin; Bottes Innommables; Dofus des Glaces; Dofus Ocre; Dofus Pourpre; Érudit majeur; Nomade; Vigoureux majeur; Pioute rouge</t>
        </is>
      </c>
    </row>
    <row r="9151">
      <c r="A9151" t="inlineStr">
        <is>
          <t>Agil</t>
        </is>
      </c>
      <c r="B9151">
        <f>HYPERLINK("https://www.dofusbook.net/fr/equipement/2642033-agil/objets", "link")</f>
        <v/>
      </c>
      <c r="C9151" t="n">
        <v>0</v>
      </c>
      <c r="D9151" t="inlineStr">
        <is>
          <t>Plume de Buhorado; Collier du Valet Veinard; Alliance Gloursonne; Gant du Valet Veinard; Bouclier du Stalak; Menoture; Couronne d'Allister; Cape Indescriptible; Palmes Trithons; Dofus des Glaces; Dofus Pourpre; Remueur; Dévastateur Air majeur; Equilibriste majeur; Cascadeur majeur; Blérodoudou</t>
        </is>
      </c>
    </row>
    <row r="9152">
      <c r="A9152" t="inlineStr">
        <is>
          <t>Eau feu</t>
        </is>
      </c>
      <c r="B9152">
        <f>HYPERLINK("https://www.dofusbook.net/fr/equipement/4705701-eau-feu/objets", "link")</f>
        <v/>
      </c>
      <c r="C9152" t="n">
        <v>1</v>
      </c>
      <c r="D9152" t="inlineStr">
        <is>
          <t>Pyraguette; Amulette Volkorne; Lavanneau; Anneau Volkorne; Bouclier du Stalak; Ceintrigue; Le Dorado; Voilamibe; Pataugastrique; Dofus Pourpre; Dofus des Glaces; Chanceux majeur; Érudit majeur; Vigoureux majeur; Robuste majeur; Walk</t>
        </is>
      </c>
    </row>
    <row r="9153">
      <c r="A9153" t="inlineStr">
        <is>
          <t>Agil</t>
        </is>
      </c>
      <c r="B9153">
        <f>HYPERLINK("https://www.dofusbook.net/fr/equipement/3091478-agil/objets", "link")</f>
        <v/>
      </c>
      <c r="C9153" t="n">
        <v>5</v>
      </c>
      <c r="D9153" t="inlineStr">
        <is>
          <t>Pyraguette; Amulette Volkorne; Lavanneau; Anneau Volkorne; Bouclier du Stalak; Ceintrigue; Le Dorado; Voilamibe; Pataugastrique; Dofus Pourpre; Dofus des Glaces; Chanceux majeur; Érudit majeur; Vigoureux majeur; Robuste majeur; Walk</t>
        </is>
      </c>
    </row>
    <row r="9154">
      <c r="A9154" t="inlineStr">
        <is>
          <t>Air 3</t>
        </is>
      </c>
      <c r="B9154">
        <f>HYPERLINK("https://www.dofusbook.net/fr/equipement/2974084-air-3/objets", "link")</f>
        <v/>
      </c>
      <c r="C9154" t="n">
        <v>0</v>
      </c>
      <c r="D9154" t="inlineStr">
        <is>
          <t>Plume de Buhorado; Collier du Valet Veinard; Alliance Gloursonne; Gant du Valet Veinard; Bouclier du Stalak; Menoture; Couronne d'Allister; Cape Indescriptible; Palmes Trithons; Dofus des Glaces; Dofus Pourpre; Remueur; Equilibriste majeur; Vigoureux majeur; Cascadeur majeur; Blérodoudou</t>
        </is>
      </c>
    </row>
    <row r="9155">
      <c r="A9155" t="inlineStr">
        <is>
          <t>Ouginak M 200</t>
        </is>
      </c>
      <c r="B9155">
        <f>HYPERLINK("https://www.dofusbook.net/fr/equipement/4646626-ouginak-m-200/objets", "link")</f>
        <v/>
      </c>
      <c r="C9155" t="n">
        <v>0</v>
      </c>
      <c r="D9155" t="inlineStr">
        <is>
          <t>Sceptre du Roi Joueur; Amulette de Shokkoth; Anneau Volkorne; Bracelet des Fonds marins; Bouclier du Stalak; Sangle Ouare; Masque des Fonds marins; Cape Solution; Bottes du Sinistrofu; Dofus des Glaces; Chanceux majeur; Remueur; Dévastateur Eau majeur; Joueur majeur; Taquin majeur; Kanigloups</t>
        </is>
      </c>
    </row>
    <row r="9156">
      <c r="A9156" t="inlineStr">
        <is>
          <t>Féca M 200</t>
        </is>
      </c>
      <c r="B9156">
        <f>HYPERLINK("https://www.dofusbook.net/fr/equipement/4655683-feca-m-200/objets", "link")</f>
        <v/>
      </c>
      <c r="C9156" t="n">
        <v>0</v>
      </c>
      <c r="D9156" t="inlineStr">
        <is>
          <t>Marteau des Anciens Steamers; Amulette du Strigide; Alliance Gloursonne; Anneau Toriété; Bouclier du Captain Amakna; Ceinture du Strigide; Némès de Tal Kasha; Chevelure de Tal Kasha; Sandales de Tal Kasha; Dolmanax; Dofus des Glaces; Dofus Pourpre; Dofus Émeraude; Dofus Turquoise; Puissant majeur; Sakochère</t>
        </is>
      </c>
    </row>
    <row r="9157">
      <c r="A9157" t="inlineStr">
        <is>
          <t>Féca M 200</t>
        </is>
      </c>
      <c r="B9157">
        <f>HYPERLINK("https://www.dofusbook.net/fr/equipement/4655641-feca-m-200/objets", "link")</f>
        <v/>
      </c>
      <c r="C9157" t="n">
        <v>0</v>
      </c>
      <c r="D9157" t="inlineStr">
        <is>
          <t>Manthache; Collier du Valet Veinard; Alliance Gloursonne; Gant du Valet Veinard; Cadran d'Eau; Menoture; Couronne d'Allister; Cape Indescriptible; Palmes Trithons; Dofus Pourpre; Dofus des Glaces; Nomade; Cascadeur majeur; Remueur; Equilibriste majeur; Blérodoudou</t>
        </is>
      </c>
    </row>
    <row r="9158">
      <c r="A9158" t="inlineStr">
        <is>
          <t>Ouginak F 200</t>
        </is>
      </c>
      <c r="B9158">
        <f>HYPERLINK("https://www.dofusbook.net/fr/equipement/4655596-ouginak-f-200/objets", "link")</f>
        <v/>
      </c>
      <c r="C9158" t="n">
        <v>0</v>
      </c>
      <c r="D9158" t="inlineStr">
        <is>
          <t>Plume de Buhorado; Collier du Valet Veinard; Gant du Valet Veinard; Alliance Gloursonne; Bouclier d'Ilyzaelle; Menoture; Dorabysses; Cape Martegel; Palmes Trithons; Dofus Pourpre; Dofus Ivoire; Dofus Ocre; Dofus Émeraude; Dofus des Glaces; Cascadeur majeur; Blérodoudou</t>
        </is>
      </c>
    </row>
    <row r="9159">
      <c r="A9159" t="inlineStr">
        <is>
          <t>Agil</t>
        </is>
      </c>
      <c r="B9159">
        <f>HYPERLINK("https://www.dofusbook.net/fr/equipement/2057121-agil/objets", "link")</f>
        <v/>
      </c>
      <c r="C9159" t="n">
        <v>0</v>
      </c>
      <c r="D9159" t="inlineStr">
        <is>
          <t>Manthache; Collier du Valet Veinard; Alliance Gloursonne; Gant du Valet Veinard; Bouclier du Stalak; Menoture; Couronne d'Allister; Cape Indescriptible; Palmes Trithons; Dofus Pourpre; Dofus Ivoire; Remueur; Nomade; Equilibriste majeur; Cascadeur majeur; Siroko</t>
        </is>
      </c>
    </row>
    <row r="9160">
      <c r="A9160" t="inlineStr">
        <is>
          <t>Feuj</t>
        </is>
      </c>
      <c r="B9160">
        <f>HYPERLINK("https://www.dofusbook.net/fr/equipement/2117619-feuj-/objets", "link")</f>
        <v/>
      </c>
      <c r="C9160" t="n">
        <v>1</v>
      </c>
      <c r="D9160" t="inlineStr">
        <is>
          <t>Arc corrompu; Amulette Volkorne; Anneauræus; Anneauræus; Quatre-feuilles; Ceinture Volkorne; Heaume Oplate; Cape de Diondin; Bottes Innommables; Dofus Turquoise; Dofus Ivoire; Astucieux majeur; Savant majeur; Érudit majeur; Nomade; Brûlih</t>
        </is>
      </c>
    </row>
    <row r="9161">
      <c r="A9161" t="inlineStr">
        <is>
          <t>Eca</t>
        </is>
      </c>
      <c r="B9161">
        <f>HYPERLINK("https://www.dofusbook.net/fr/equipement/4646461-eca/objets", "link")</f>
        <v/>
      </c>
      <c r="C9161" t="n">
        <v>2</v>
      </c>
      <c r="D9161" t="inlineStr">
        <is>
          <t>Arc corrompu; Amulette Volkorne; Anneauræus; Anneauræus; Bouclier du Stalak; Ceinture Volkorne; Heaume Oplate; Cape de Diondin; Bottes Innommables; Dofus des Glaces; Dofus Pourpre; Érudit majeur; Vigoureux majeur; Nomade; Astucieux majeur; Pioute rouge</t>
        </is>
      </c>
    </row>
    <row r="9162">
      <c r="A9162" t="inlineStr">
        <is>
          <t>Xélor M 200</t>
        </is>
      </c>
      <c r="B9162">
        <f>HYPERLINK("https://www.dofusbook.net/fr/equipement/4646337-xelor-m-200/objets", "link")</f>
        <v/>
      </c>
      <c r="C9162" t="n">
        <v>0</v>
      </c>
      <c r="D9162" t="inlineStr">
        <is>
          <t>Manthache; Collier du Valet Veinard; Alliance Gloursonne; Gant du Valet Veinard; Bouclier du Stalak; Menoture; Couronne d'Allister; Cape Indescriptible; Palmes Trithons; Dofus Ocre; Dofus des Glaces; Dofus Pourpre; Equilibriste majeur; Cascadeur majeur; Nomade; Blérodoudou</t>
        </is>
      </c>
    </row>
    <row r="9163">
      <c r="A9163" t="inlineStr">
        <is>
          <t>Agil</t>
        </is>
      </c>
      <c r="B9163">
        <f>HYPERLINK("https://www.dofusbook.net/fr/equipement/3175635-agil/objets", "link")</f>
        <v/>
      </c>
      <c r="C9163" t="n">
        <v>0</v>
      </c>
      <c r="D9163" t="inlineStr">
        <is>
          <t>Manthache; Collier du Valet Veinard; Gant du Valet Veinard; Alliance Gloursonne; Bouclier d'Ilyzaelle; Menoture; Dorabysses; Cape Martegel; Pantoufles Émar; Dofus des Glaces; Nomade; Equilibriste majeur; Dévastateur Air majeur; Cascadeur majeur; Acrobate majeur; Blérodoudou</t>
        </is>
      </c>
    </row>
    <row r="9164">
      <c r="A9164" t="inlineStr">
        <is>
          <t>Xélor M 200</t>
        </is>
      </c>
      <c r="B9164">
        <f>HYPERLINK("https://www.dofusbook.net/fr/equipement/4646109-xelor-m-200/objets", "link")</f>
        <v/>
      </c>
      <c r="C9164" t="n">
        <v>1</v>
      </c>
      <c r="D9164" t="inlineStr">
        <is>
          <t>Hachoirs de Viandargh; Collier du Valet Veinard; Anneau de Padgref; Gant du Valet Veinard; Bouclier du Captain Amakna; Sangle Oriole; Coiffe de Padgref; Cape du Valet Veinard; Getas de Padgref; Dofus Pourpre; Dofus des Glaces; Dofus Turquoise; Dofus Ocre; Voyageur; Acrobate majeur; Pioute jaune</t>
        </is>
      </c>
    </row>
    <row r="9165">
      <c r="A9165" t="inlineStr">
        <is>
          <t>Crâ M 200</t>
        </is>
      </c>
      <c r="B9165">
        <f>HYPERLINK("https://www.dofusbook.net/fr/equipement/3944509-cra-m-200/objets", "link")</f>
        <v/>
      </c>
      <c r="C9165" t="n">
        <v>3</v>
      </c>
      <c r="D9165" t="inlineStr">
        <is>
          <t>Dagoulinantes; Amulette de Shokkoth; Alliance Gloursonne; Anneau Volkorne; Bouclier du Stalak; Culotte de Bethel; Kidibonnet; Cape Solution; Chaussons de Macrab; Dofus des Glaces; Dofus Pourpre; Étourdisseur majeur; Vigoureux majeur; Nomade; Chanceux majeur; Kanigloups</t>
        </is>
      </c>
    </row>
    <row r="9166">
      <c r="A9166" t="inlineStr">
        <is>
          <t>Ouginak M 200</t>
        </is>
      </c>
      <c r="B9166">
        <f>HYPERLINK("https://www.dofusbook.net/fr/equipement/4642414-ouginak-m-200/objets", "link")</f>
        <v/>
      </c>
      <c r="C9166" t="n">
        <v>0</v>
      </c>
      <c r="D9166" t="inlineStr">
        <is>
          <t>Sceptre du Roi Joueur; Amulette de Shokkoth; Alliance Gloursonne; Anneau Volkorne; Cadran de Terre; Poulpagne; Masque des Fonds marins; Cape Solution; Sandales des Fonds marins; Dofus Pourpre; Dofus Ébène; Dofus Ivoire; Dofus des Glaces; Chanceux majeur; Nomade; Toukancre</t>
        </is>
      </c>
    </row>
    <row r="9167">
      <c r="A9167" t="inlineStr">
        <is>
          <t>Chance row</t>
        </is>
      </c>
      <c r="B9167">
        <f>HYPERLINK("https://www.dofusbook.net/fr/equipement/3091840-chance-row-/objets", "link")</f>
        <v/>
      </c>
      <c r="C9167" t="n">
        <v>0</v>
      </c>
      <c r="D9167" t="inlineStr">
        <is>
          <t>Sceptre du Roi Joueur; Amulette de Danathor; Alliance Gloursonne; Anneau Volkorne; Bouclier du Stalak; Ceinture Glaciale; Capuche de l'Œil Attentif; Cape de l'Œil Attentif; Bottes du Sinistrofu; Dofus Nébuleux; Dofus Ocre; Nomade; Taquin majeur; Chanceux majeur; Remueur; Dehluge</t>
        </is>
      </c>
    </row>
    <row r="9168">
      <c r="A9168" t="inlineStr">
        <is>
          <t>Pandawa M 200</t>
        </is>
      </c>
      <c r="B9168">
        <f>HYPERLINK("https://www.dofusbook.net/fr/equipement/4629289-pandawa-m-200/objets", "link")</f>
        <v/>
      </c>
      <c r="C9168" t="n">
        <v>1</v>
      </c>
      <c r="D9168" t="inlineStr">
        <is>
          <t>Pelle Fik; Amulette du Sinistrofu; Anneau Volkorne; Anneau du Professeur Xa; Cadran d'Air; Ceinture d'Ogivol; Coiffe du Glourséleste; Cape Solution; Bottes du Nocturlabe; Dofus Pourpre; Dofus Ivoire; Dofus des Glaces; Remueur; Chanceux majeur; Muraille Air majeure; Tiwabbit Kiafin</t>
        </is>
      </c>
    </row>
    <row r="9169">
      <c r="A9169" t="inlineStr">
        <is>
          <t>Féca M 200</t>
        </is>
      </c>
      <c r="B9169">
        <f>HYPERLINK("https://www.dofusbook.net/fr/equipement/4629264-feca-m-200/objets", "link")</f>
        <v/>
      </c>
      <c r="C9169" t="n">
        <v>0</v>
      </c>
      <c r="D9169" t="inlineStr">
        <is>
          <t>Dagoulinantes; Amulette Luminescente; Anneau Volkorne; Bracelet des Fonds marins; Cadran de Terre; Poulpagne; Capuche de l'Œil Attentif; Cape Solution; Sandales des Fonds marins; Dofus des Glaces; Dofus Pourpre; Dofus Ivoire; Muraille Terre majeure; Nomade; Chanceux majeur; Toukancre</t>
        </is>
      </c>
    </row>
    <row r="9170">
      <c r="A9170" t="inlineStr">
        <is>
          <t>Sacrieur M 200</t>
        </is>
      </c>
      <c r="B9170">
        <f>HYPERLINK("https://www.dofusbook.net/fr/equipement/4629216-sacrieur-m-200/objets", "link")</f>
        <v/>
      </c>
      <c r="C9170" t="n">
        <v>0</v>
      </c>
      <c r="D9170" t="inlineStr">
        <is>
          <t>Lav'Hache; Amulette du Nocturlabe; Anneau Volkorne; Anneau Crustique; Cadran d'Eau; Ceinture Volkorne; Masque de Koutoulou; Cape au Logis; Bottes de Brouce; Dofus Ocre; Dofus Ivoire; Dofus des Glaces; Dofus Pourpre; Enragé majeur; Muraille Eau majeure; Miniminotot</t>
        </is>
      </c>
    </row>
    <row r="9171">
      <c r="A9171" t="inlineStr">
        <is>
          <t>Crâ M 200</t>
        </is>
      </c>
      <c r="B9171">
        <f>HYPERLINK("https://www.dofusbook.net/fr/equipement/4618103-cra-m-200/objets", "link")</f>
        <v/>
      </c>
      <c r="C9171" t="n">
        <v>0</v>
      </c>
      <c r="D9171" t="inlineStr">
        <is>
          <t>Arc du Chalœil; Amulette du Cœur Saignant; Anneau de Brouce; Bracelet du Piloztère; Quatre-feuilles; Ceinture Volkorne; Masque de Koutoulou; Cape de Jahash Jurgen; Bottes du Cœur Saignant; Dofus Ocre; Dofus Pourpre; Dofus des Glaces; Dofus Turquoise; Dofus Vulbis; Enragé majeur; Pioute vert</t>
        </is>
      </c>
    </row>
    <row r="9172">
      <c r="A9172" t="inlineStr">
        <is>
          <t>Crâ M 200</t>
        </is>
      </c>
      <c r="B9172">
        <f>HYPERLINK("https://www.dofusbook.net/fr/equipement/4193927-cra-m-200/objets", "link")</f>
        <v/>
      </c>
      <c r="C9172" t="n">
        <v>0</v>
      </c>
      <c r="D9172" t="inlineStr">
        <is>
          <t>Sabres d'Atcham; Amulette du Strigide; Bracelet du Piloztère; Anneau de Padgref; Quatre-feuilles; Ceinture du Strigide; Coiffe de Padgref; Cape d'Atcham; Getas de Padgref; Dofus Pourpre; Dofus des Glaces; Dofus Turquoise; Dofus Ocre; Dolmanax; Dofus Vulbis; Sakochère</t>
        </is>
      </c>
    </row>
    <row r="9173">
      <c r="A9173" t="inlineStr">
        <is>
          <t>Iop M 200</t>
        </is>
      </c>
      <c r="B9173">
        <f>HYPERLINK("https://www.dofusbook.net/fr/equipement/4618067-iop-m-200/objets", "link")</f>
        <v/>
      </c>
      <c r="C9173" t="n">
        <v>0</v>
      </c>
      <c r="D9173" t="inlineStr">
        <is>
          <t>Baguette Hernelle; Amulette du Strigide; Anneau Toriété; Anneau de Padgref; Bouclier du Stalak; Ceinture du Strigide; Coiffe de Padgref; Cape de Jahash Jurgen; Getas de Padgref; Dofus Pourpre; Dofus Turquoise; Dolmanax; Dofus des Glaces; Acrobate majeur; Savant majeur; Sakochère</t>
        </is>
      </c>
    </row>
    <row r="9174">
      <c r="A9174" t="inlineStr">
        <is>
          <t>Féca M 200</t>
        </is>
      </c>
      <c r="B9174">
        <f>HYPERLINK("https://www.dofusbook.net/fr/equipement/4617756-feca-m-200/objets", "link")</f>
        <v/>
      </c>
      <c r="C9174" t="n">
        <v>0</v>
      </c>
      <c r="D9174" t="inlineStr">
        <is>
          <t>Epée Toche; Amulette du Strigide; Anneau Toriété; Chevalière du Roi Joueur; Bouclier du Captain Amakna; Ceinture du Strigide; Couronne du Roi Joueur; Voile d'encre; Bottes du Roi Joueur; Dofus Turquoise; Dolmanax; Dofus des Glaces; Dofus Pourpre; Dofus Émeraude; Puissant majeur; Sakochère</t>
        </is>
      </c>
    </row>
    <row r="9175">
      <c r="A9175" t="inlineStr">
        <is>
          <t>Double agi</t>
        </is>
      </c>
      <c r="B9175">
        <f>HYPERLINK("https://www.dofusbook.net/fr/equipement/2601565-double-agi/objets", "link")</f>
        <v/>
      </c>
      <c r="C9175" t="n">
        <v>2</v>
      </c>
      <c r="D9175" t="inlineStr">
        <is>
          <t>Plume de Buhorado; Collier du Valet Veinard; Alliance Gloursonne; Gant du Valet Veinard; Bouclier du Stalak; Menoture; Couronne d'Allister; Cape Indescriptible; Palmes Trithons; Dofus des Glaces; Acrobate majeur; Dévastateur Air majeur; Equilibriste majeur; Remueur; Cascadeur majeur; Blérodoudou</t>
        </is>
      </c>
    </row>
    <row r="9176">
      <c r="A9176" t="inlineStr">
        <is>
          <t>Osamodas M 200</t>
        </is>
      </c>
      <c r="B9176">
        <f>HYPERLINK("https://www.dofusbook.net/fr/equipement/4610238-osamodas-m-200/objets", "link")</f>
        <v/>
      </c>
      <c r="C9176" t="n">
        <v>0</v>
      </c>
      <c r="D9176" t="inlineStr">
        <is>
          <t>Marteau des égarés; Amulette Ementaire Deluxe; Anneau de la Fuji Givrefoux; Alliance du Lévitrof; Bouclier du Stalak; Ceinture de l'Indicible; Le Dorado; Cape des Justiciers; Bottes de l'Indicible; Dolmanax; Dofus des Glaces; Enragé majeur; Chanceux majeur; Érudit majeur; Cascadeur majeur; Chachyène</t>
        </is>
      </c>
    </row>
    <row r="9177">
      <c r="A9177" t="inlineStr">
        <is>
          <t>Huppermage M 200</t>
        </is>
      </c>
      <c r="B9177">
        <f>HYPERLINK("https://www.dofusbook.net/fr/equipement/4164216-huppermage-m-200/objets", "link")</f>
        <v/>
      </c>
      <c r="C9177" t="n">
        <v>4</v>
      </c>
      <c r="D9177" t="inlineStr">
        <is>
          <t>Arc du Chalœil; Amulette de Gein; Anneau de Brouce; Anneau Chevelu; Quatre-feuilles; Ceinture Volkorne; Masque de Koutoulou; Cape au Logis; Bottes de Brouce; Dofus Pourpre; Dofus Turquoise; Remueur; Enragé majeur; Vigoureux majeur; Forcené majeur; Pioute vert</t>
        </is>
      </c>
    </row>
    <row r="9178">
      <c r="A9178" t="inlineStr">
        <is>
          <t>Eca</t>
        </is>
      </c>
      <c r="B9178">
        <f>HYPERLINK("https://www.dofusbook.net/fr/equipement/4580957-eca/objets", "link")</f>
        <v/>
      </c>
      <c r="C9178" t="n">
        <v>2</v>
      </c>
      <c r="D9178" t="inlineStr">
        <is>
          <t>Hache du Chalœil; Amulette Volkorne; Bague Trithon; Anneau Volkorne; Bouclier du Stalak; Ceinture Volkorne; Masque Trithon; Cape de Jahash Jurgen; Bottes Trithon; Dofus Ocre; Dofus Pourpre; Dofus des Glaces; Dofus Turquoise; Dolmanax; Robuste majeur; Sakochère</t>
        </is>
      </c>
    </row>
    <row r="9179">
      <c r="A9179" t="inlineStr">
        <is>
          <t>Ouginak M 200</t>
        </is>
      </c>
      <c r="B9179">
        <f>HYPERLINK("https://www.dofusbook.net/fr/equipement/4417762-ouginak-m-200/objets", "link")</f>
        <v/>
      </c>
      <c r="C9179" t="n">
        <v>3</v>
      </c>
      <c r="D9179" t="inlineStr">
        <is>
          <t>Lav'Hache; Torquistik; Bague Instable; Bague Trithon; Bouclier précieux; Ceinture Gence; Casque Dragoeuf; Cape Solution; Bottistik; Dofus Abyssal; Dofus Émeraude; Dofus Ivoire; Pousseur majeur; Bousculeur majeur; Culbuteur majeur; Balafreux</t>
        </is>
      </c>
    </row>
    <row r="9180">
      <c r="A9180" t="inlineStr">
        <is>
          <t>Steamer F 200</t>
        </is>
      </c>
      <c r="B9180">
        <f>HYPERLINK("https://www.dofusbook.net/fr/equipement/4579283-steamer-f-200/objets", "link")</f>
        <v/>
      </c>
      <c r="C9180" t="n">
        <v>1</v>
      </c>
      <c r="D9180" t="inlineStr">
        <is>
          <t>Plume de Buhorado; Amibou; Bague Instable; Bague Trithon; Bouclier précieux; Ceinture Gence; Chapibou; Cape Solution; Bottes du Cul Botté; Dofus Émeraude; Pousseur majeur; Bousculeur; Bousculeur majeur; Culbuteur; Culbuteur majeur; Balafreux</t>
        </is>
      </c>
    </row>
    <row r="9181">
      <c r="A9181" t="inlineStr">
        <is>
          <t>Air do pou</t>
        </is>
      </c>
      <c r="B9181">
        <f>HYPERLINK("https://www.dofusbook.net/fr/equipement/3003797-air-do-pou/objets", "link")</f>
        <v/>
      </c>
      <c r="C9181" t="n">
        <v>2</v>
      </c>
      <c r="D9181" t="inlineStr">
        <is>
          <t>Hachoirs de Viandargh; Amulette Luminescente; Bague Instable; Bague Trithon; Bouclier précieux; Ceintrigue; Masque du Barbétoal; Cape Solution; Bottes Owesli; Pousseur majeur; Remueur; Culbuteur majeur; Bousculeur; Bousculeur majeur; Culbuteur; Balafreux</t>
        </is>
      </c>
    </row>
    <row r="9182">
      <c r="A9182" t="inlineStr">
        <is>
          <t>Sacrieur M 200</t>
        </is>
      </c>
      <c r="B9182">
        <f>HYPERLINK("https://www.dofusbook.net/fr/equipement/4579091-sacrieur-m-200/objets", "link")</f>
        <v/>
      </c>
      <c r="C9182" t="n">
        <v>1</v>
      </c>
      <c r="D9182" t="inlineStr">
        <is>
          <t>Crocobur; Collier Rophante; Alliance Brûlâme; Anneau du Katcheur; Trompe-la-Mort; Ceintacé; Masque du Katcheur; Cape Indescriptible; Bottes du Strigide; Dofus Émeraude; Dofus Ivoire; Dofus Ocre; Miraculé; Survivant majeur; Miraculé majeur; Platypus</t>
        </is>
      </c>
    </row>
    <row r="9183">
      <c r="A9183" t="inlineStr">
        <is>
          <t>Osamodas M 200</t>
        </is>
      </c>
      <c r="B9183">
        <f>HYPERLINK("https://www.dofusbook.net/fr/equipement/4579005-osamodas-m-200/objets", "link")</f>
        <v/>
      </c>
      <c r="C9183" t="n">
        <v>1</v>
      </c>
      <c r="D9183" t="inlineStr">
        <is>
          <t>Héqache; Amulette Ementaire Deluxe; Alliance du Lévitrof; Pikano; Trompe-la-Mort; Sangle Ouare; Casque Dragoeuf; Cape Solution; Bottes du Lévitrof; Dofus Ocre; Dofus Émeraude; Dolmanax; Dofus Ivoire; Miraculé majeur; Carapace Air majeur; El Scarador</t>
        </is>
      </c>
    </row>
    <row r="9184">
      <c r="A9184" t="inlineStr">
        <is>
          <t>Iop M 200</t>
        </is>
      </c>
      <c r="B9184">
        <f>HYPERLINK("https://www.dofusbook.net/fr/equipement/4575763-iop-m-200/objets", "link")</f>
        <v/>
      </c>
      <c r="C9184" t="n">
        <v>3</v>
      </c>
      <c r="D9184" t="inlineStr">
        <is>
          <t>Baguette Héroclite; Amulette de l'Œil Attentif; Alliance Gloursonne; Anneau Volkorne; Bouclier d'Ilyzaelle; Poulpagne; Capuche de l'Œil Attentif; Cape Solution; Pantoufles du Piloztère; Dofus Émeraude; Dofus Ivoire; Dofus Pourpre; Évasif majeur; Nomade; Chanceux majeur; Rauleur</t>
        </is>
      </c>
    </row>
    <row r="9185">
      <c r="A9185" t="inlineStr">
        <is>
          <t>Feu</t>
        </is>
      </c>
      <c r="B9185">
        <f>HYPERLINK("https://www.dofusbook.net/fr/equipement/4575642-feu/objets", "link")</f>
        <v/>
      </c>
      <c r="C9185" t="n">
        <v>2</v>
      </c>
      <c r="D9185" t="inlineStr">
        <is>
          <t>Arc corrompu; Amulette Volkorne; Anneauræus; Anneauræus; Bouclier du Stalak; Ceinture Volkorne; Heaume Oplate; Cape de Diondin; Bottes Innommables; Dofus Pourpre; Dofus des Glaces; Nomade; Dévastateur Feu majeur; Vigoureux majeur; Érudit majeur; Bisouglours</t>
        </is>
      </c>
    </row>
    <row r="9186">
      <c r="A9186" t="inlineStr">
        <is>
          <t>Roun</t>
        </is>
      </c>
      <c r="B9186">
        <f>HYPERLINK("https://www.dofusbook.net/fr/equipement/4571122-roun/objets", "link")</f>
        <v/>
      </c>
      <c r="C9186" t="n">
        <v>0</v>
      </c>
      <c r="D9186" t="inlineStr">
        <is>
          <t>Arc corrompu; Amulette Volkorne; Anneauræus; Anneauræus; Bouclier du Stalak; Ceinture Volkorne; Heaume Oplate; Cape de Diondin; Bottes Innommables; Dofus des Glaces; Dofus Pourpre; Dévastateur Feu majeur; Vigoureux majeur; Érudit majeur; Nomade; Bisouglours</t>
        </is>
      </c>
    </row>
    <row r="9187">
      <c r="A9187" t="inlineStr">
        <is>
          <t>Zobal M 200</t>
        </is>
      </c>
      <c r="B9187">
        <f>HYPERLINK("https://www.dofusbook.net/fr/equipement/4566656-zobal-m-200/objets", "link")</f>
        <v/>
      </c>
      <c r="C9187" t="n">
        <v>1</v>
      </c>
      <c r="D9187" t="inlineStr">
        <is>
          <t>Arc du Chalœil; Amulette du Sinistrofu; Bague Instable; Baguistik; Bouclier précieux; Protopagne; Masque du Barbétoal; Cape Solution; Bottistik; Dofus Ocre; Dofus Ivoire; Bousculeur majeur; Fortification majeure; Bastion majeur; Culbuteur majeur; Tatouf</t>
        </is>
      </c>
    </row>
    <row r="9188">
      <c r="A9188" t="inlineStr">
        <is>
          <t>Pandawa M 200</t>
        </is>
      </c>
      <c r="B9188">
        <f>HYPERLINK("https://www.dofusbook.net/fr/equipement/4419587-pandawa-m-200/objets", "link")</f>
        <v/>
      </c>
      <c r="C9188" t="n">
        <v>0</v>
      </c>
      <c r="D9188" t="inlineStr">
        <is>
          <t>Arc Hétype; Amulette Volkorne; Anneau Tique; Anneau de Padgref; Cadran d'Air; Ceinture Séculaire; Coiffe Séculaire; Cape de Diondin; Pataugastrique; Dofus Ivoire; Dofus des Glaces; Cuirassé Air majeur; Muraille Air majeure; Nomade; Érudit majeur; Tiwabbit Kiafin</t>
        </is>
      </c>
    </row>
    <row r="9189">
      <c r="A9189" t="inlineStr">
        <is>
          <t>Roublard M 200</t>
        </is>
      </c>
      <c r="B9189">
        <f>HYPERLINK("https://www.dofusbook.net/fr/equipement/4553618-roublard-m-200/objets", "link")</f>
        <v/>
      </c>
      <c r="C9189" t="n">
        <v>0</v>
      </c>
      <c r="D9189" t="inlineStr">
        <is>
          <t>Arc corrompu; Pendentif affamé; Anneau Tique; Anneau de Padgref; Cadran d'Air; Ceinture Séculaire; Coiffe Séculaire; Cape de Diondin; Bottes Innommables; Dofus Pourpre; Dofus Ivoire; Dofus Ocre; Dofus des Glaces; Muraille Air majeure; Érudit majeur; Tiwabbit Kiafin</t>
        </is>
      </c>
    </row>
    <row r="9190">
      <c r="A9190" t="inlineStr">
        <is>
          <t>Osamodas M 200</t>
        </is>
      </c>
      <c r="B9190">
        <f>HYPERLINK("https://www.dofusbook.net/fr/equipement/4553043-osamodas-m-200/objets", "link")</f>
        <v/>
      </c>
      <c r="C9190" t="n">
        <v>0</v>
      </c>
      <c r="D9190" t="inlineStr">
        <is>
          <t>Baguette Héroclite; Amulette de Shokkoth; Bracelet des Fonds marins; Anneau Volkorne; Bouclier du Stalak; Sangle Ouare; Casque d'Ilyzaelle; Cape Solution; Sandales des Fonds marins; Dofus des Glaces; Joueur majeur; Dévastateur Eau majeur; Taquin majeur; Remueur; Chanceux majeur; Kanigloups</t>
        </is>
      </c>
    </row>
    <row r="9191">
      <c r="A9191" t="inlineStr">
        <is>
          <t>Ecaflip M 200</t>
        </is>
      </c>
      <c r="B9191">
        <f>HYPERLINK("https://www.dofusbook.net/fr/equipement/4549005-ecaflip-m-200/objets", "link")</f>
        <v/>
      </c>
      <c r="C9191" t="n">
        <v>2</v>
      </c>
      <c r="D9191" t="inlineStr">
        <is>
          <t>Epée Loponèze; Amulette d'Ilyzaelle; Anneau Volkorne; Alliance Gloursonne; Cadran d'Air; Poulpagne; Capuche de l'Œil Attentif; Cape de l'Œil Attentif; Sandales des Fonds marins; Dofus Pourpre; Dofus Ivoire; Dofus Ocre; Dofus des Glaces; Chanceux majeur; Nomade; Pioute bleu</t>
        </is>
      </c>
    </row>
    <row r="9192">
      <c r="A9192" t="inlineStr">
        <is>
          <t>Roublard M 200</t>
        </is>
      </c>
      <c r="B9192">
        <f>HYPERLINK("https://www.dofusbook.net/fr/equipement/4515834-roublard-m-200/objets", "link")</f>
        <v/>
      </c>
      <c r="C9192" t="n">
        <v>1</v>
      </c>
      <c r="D9192" t="inlineStr">
        <is>
          <t>Lav'Hache; Collier de Tourthon; Chevalière du Roi Joueur; Anneau Chevelu; Bouclier du Stalak; Ceinture de la Reine des Voleurs; Coiffe de la Reine des Voleurs; Cape au Logis; Bottes Honyme; Dofus Pourpre; Dofus des Glaces; Forcené majeur; Enragé majeur; Remueur; Dévastateur Terre majeur; Bulbisou</t>
        </is>
      </c>
    </row>
    <row r="9193">
      <c r="A9193" t="inlineStr">
        <is>
          <t>Roublard M 200</t>
        </is>
      </c>
      <c r="B9193">
        <f>HYPERLINK("https://www.dofusbook.net/fr/equipement/3307922-roublard-m-200/objets", "link")</f>
        <v/>
      </c>
      <c r="C9193" t="n">
        <v>8</v>
      </c>
      <c r="D9193" t="inlineStr">
        <is>
          <t>Arc corrompu; Pendentif affamé; Anneau Tamie; Anneau Tamie; Bouclier du Stalak; Ceinture Séculaire; Coiffe Séculaire; Cape de Diondin; Bottes Innommables; Dofus Pourpre; Dofus des Glaces; Nomade; Astucieux majeur; Érudit majeur; Remueur; Brûlih</t>
        </is>
      </c>
    </row>
    <row r="9194">
      <c r="A9194" t="inlineStr">
        <is>
          <t>Crâ M 200</t>
        </is>
      </c>
      <c r="B9194">
        <f>HYPERLINK("https://www.dofusbook.net/fr/equipement/3782703-cra-m-200/objets", "link")</f>
        <v/>
      </c>
      <c r="C9194" t="n">
        <v>7</v>
      </c>
      <c r="D9194" t="inlineStr">
        <is>
          <t>Sceptre du Roi Joueur; Amulette de Shokkoth; Alliance Gloursonne; Anneau Volkorne; Bouclier du Stalak; Poulpagne; Némès de Tal Kasha; Chevelure de Tal Kasha; Pataugastrique; Dofus Pourpre; Dofus des Glaces; Nomade; Taquin majeur; Dévastateur Eau majeur; Chanceux majeur; Pioute bleu</t>
        </is>
      </c>
    </row>
    <row r="9195">
      <c r="A9195" t="inlineStr">
        <is>
          <t>Marte</t>
        </is>
      </c>
      <c r="B9195">
        <f>HYPERLINK("https://www.dofusbook.net/fr/equipement/4536200-marte/objets", "link")</f>
        <v/>
      </c>
      <c r="C9195" t="n">
        <v>0</v>
      </c>
      <c r="D9195" t="inlineStr">
        <is>
          <t>Marteau R'ture; Amulette du Strigide; Anneau Crustique; Anneau Chevelu; Bouclier du Captain Amakna; Ceinture Volkorne; Masque de Koutoulou; Cape au Logis; Bottes du Strigide; Dofus Pourpre; Dofus des Glaces; Dofus Turquoise; Dofus Ocre; Enragé majeur; Vigoureux majeur; Pioute vert</t>
        </is>
      </c>
    </row>
    <row r="9196">
      <c r="A9196" t="inlineStr">
        <is>
          <t>Iop M 200</t>
        </is>
      </c>
      <c r="B9196">
        <f>HYPERLINK("https://www.dofusbook.net/fr/equipement/4536174-iop-m-200/objets", "link")</f>
        <v/>
      </c>
      <c r="C9196" t="n">
        <v>0</v>
      </c>
      <c r="D9196" t="inlineStr">
        <is>
          <t>Crocobur; Amulette du Strigide; Anneau Chevelu; Alliance de Missiz Frizz; Bouclier du Captain Amakna; Ceinture Volkorne; Masque de Koutoulou; Cape au Logis; Bottes du Strigide; Dofus Ocre; Dofus Pourpre; Dofus des Glaces; Dofus Turquoise; Vigoureux majeur; Enragé majeur; Pioute vert</t>
        </is>
      </c>
    </row>
    <row r="9197">
      <c r="A9197" t="inlineStr">
        <is>
          <t>Agil</t>
        </is>
      </c>
      <c r="B9197">
        <f>HYPERLINK("https://www.dofusbook.net/fr/equipement/2656829-agil/objets", "link")</f>
        <v/>
      </c>
      <c r="C9197" t="n">
        <v>1</v>
      </c>
      <c r="D9197" t="inlineStr">
        <is>
          <t>Plume de Buhorado; Collier du Valet Veinard; Gant du Valet Veinard; Alliance Gloursonne; Bouclier du Stalak; Menoture; Couronne d'Allister; Cape Indescriptible; Palmes Trithons; Dofus des Glaces; Dofus Pourpre; Equilibriste majeur; Acrobate majeur; Cascadeur majeur; Remueur; Pioute jaune</t>
        </is>
      </c>
    </row>
    <row r="9198">
      <c r="A9198" t="inlineStr">
        <is>
          <t>Sram M 200</t>
        </is>
      </c>
      <c r="B9198">
        <f>HYPERLINK("https://www.dofusbook.net/fr/equipement/4527744-sram-m-200/objets", "link")</f>
        <v/>
      </c>
      <c r="C9198" t="n">
        <v>3</v>
      </c>
      <c r="D9198" t="inlineStr">
        <is>
          <t>Lav'Hache; Collier de Tourthon; Anneau Volkorne; Anneau Chevelu; Bouclier du Stalak; Ceinture Volkorne; Masque de Koutoulou; Cape au Logis; Bottes de Brouce; Dofus Nébuleux; Dofus des Glaces; Dofus Pourpre; Dofus Ocre; Forcené majeur; Enragé majeur; Kompost</t>
        </is>
      </c>
    </row>
    <row r="9199">
      <c r="A9199" t="inlineStr">
        <is>
          <t>Full force</t>
        </is>
      </c>
      <c r="B9199">
        <f>HYPERLINK("https://www.dofusbook.net/fr/equipement/3089155-full-force/objets", "link")</f>
        <v/>
      </c>
      <c r="C9199" t="n">
        <v>4</v>
      </c>
      <c r="D9199" t="inlineStr">
        <is>
          <t>Dagues d'Ilyzaelle; Collier de Tourthon; Anneau Crustique; Anneau Crustique; Bouclier du Captain Amakna; Ceinture Gence; Coiffe du Comte Harebourg; Cape au Logis; Bottes du Comte Harebourg; Dofus Pourpre; Dofus Ocre; Forcené majeur; Enragé majeur; Vigoureux majeur; Furibond majeur; Kompost</t>
        </is>
      </c>
    </row>
    <row r="9200">
      <c r="A9200" t="inlineStr">
        <is>
          <t>Huppermage M 200</t>
        </is>
      </c>
      <c r="B9200">
        <f>HYPERLINK("https://www.dofusbook.net/fr/equipement/3989477-huppermage-m-200/objets", "link")</f>
        <v/>
      </c>
      <c r="C9200" t="n">
        <v>4</v>
      </c>
      <c r="D9200" t="inlineStr">
        <is>
          <t>Plume de Buhorado; Collier du Valet Veinard; Alliance Gloursonne; Gant du Valet Veinard; Bouclier du Stalak; Menoture; Couronne d'Allister; Cape Indescriptible; Palmes Trithons; Dofus des Glaces; Dofus Pourpre; Remueur; Equilibriste majeur; Acrobate majeur; Cascadeur majeur; Blérodoudou</t>
        </is>
      </c>
    </row>
    <row r="9201">
      <c r="A9201" t="inlineStr">
        <is>
          <t>Agi</t>
        </is>
      </c>
      <c r="B9201">
        <f>HYPERLINK("https://www.dofusbook.net/fr/equipement/4498744-agi/objets", "link")</f>
        <v/>
      </c>
      <c r="C9201" t="n">
        <v>0</v>
      </c>
      <c r="D9201" t="inlineStr">
        <is>
          <t>Manthache; Collier du Valet Veinard; Alliance Gloursonne; Gant du Valet Veinard; Bouclier Terrdala; Menoture; Dorabysses; Cape Indescriptible; Palmes Trithons; Dofus Émeraude; Dofus Ivoire; Remueur; Miraculé majeur; Cascadeur majeur; Nomade; Bwak d'Air</t>
        </is>
      </c>
    </row>
    <row r="9202">
      <c r="A9202" t="inlineStr">
        <is>
          <t>Crâ M 200</t>
        </is>
      </c>
      <c r="B9202">
        <f>HYPERLINK("https://www.dofusbook.net/fr/equipement/4496032-cra-m-200/objets", "link")</f>
        <v/>
      </c>
      <c r="C9202" t="n">
        <v>1</v>
      </c>
      <c r="D9202" t="inlineStr">
        <is>
          <t>Arc du Chalœil; Amulette du Cœur Saignant; Anneau de Brouce; Bracelet du Piloztère; Quatre-feuilles; Ceinture Volkorne; Masque de Koutoulou; Cape au Logis; Bottes du Cœur Saignant; Dofus des Glaces; Dofus Turquoise; Dofus Abyssal; Dofus Ocre; Dofus Pourpre; Enragé majeur; Pioute vert</t>
        </is>
      </c>
    </row>
    <row r="9203">
      <c r="A9203" t="inlineStr">
        <is>
          <t>Xélor M 200</t>
        </is>
      </c>
      <c r="B9203">
        <f>HYPERLINK("https://www.dofusbook.net/fr/equipement/4458253-xelor-m-200/objets", "link")</f>
        <v/>
      </c>
      <c r="C9203" t="n">
        <v>3</v>
      </c>
      <c r="D9203" t="inlineStr">
        <is>
          <t>Pelle de la Cour Sombre; Collier du Valet Veinard; Alliance Gloursonne; Gant du Valet Veinard; Bouclier du Stalak; Menoture; Dorabysses; Cape Indescriptible; Palmes Trithons; Dofus des Glaces; Dofus Ébène; Dofus Ivoire; Remueur; Cascadeur majeur; Nomade; Bwak d'Air</t>
        </is>
      </c>
    </row>
    <row r="9204">
      <c r="A9204" t="inlineStr">
        <is>
          <t>Sram M 200</t>
        </is>
      </c>
      <c r="B9204">
        <f>HYPERLINK("https://www.dofusbook.net/fr/equipement/4467388-sram-m-200/objets", "link")</f>
        <v/>
      </c>
      <c r="C9204" t="n">
        <v>0</v>
      </c>
      <c r="D9204" t="inlineStr">
        <is>
          <t>Plume de Buhorado; Collier du Valet Veinard; Alliance Gloursonne; Gant du Valet Veinard; Bouclier du Stalak; Menoture; Coiffe de la Reine des Voleurs; Cape du Valet Veinard; Bottes de la Reine des Voleurs; Dofus Pourpre; Dofus des Glaces; Dolmanax; Ravageur Air majeur; Acrobate majeur; Equilibriste majeur; Blérodoudou</t>
        </is>
      </c>
    </row>
    <row r="9205">
      <c r="A9205" t="inlineStr">
        <is>
          <t>Eliotrope M 200</t>
        </is>
      </c>
      <c r="B9205">
        <f>HYPERLINK("https://www.dofusbook.net/fr/equipement/3740535-eliotrope-m-200/objets", "link")</f>
        <v/>
      </c>
      <c r="C9205" t="n">
        <v>0</v>
      </c>
      <c r="D9205" t="inlineStr">
        <is>
          <t>Karnak; Collier du Valet Veinard; Gant du Valet Veinard; Alliance Gloursonne; Cadran d'Air; Menoture; Dorabysses; Cape Martegel; Palmes Trithons; Dofus des Glaces; Dofus Pourpre; Dofus Ocre; Equilibriste majeur; Cascadeur majeur; Dévastateur Air majeur; Kramkram</t>
        </is>
      </c>
    </row>
    <row r="9206">
      <c r="A9206" t="inlineStr">
        <is>
          <t>Crâ M 200</t>
        </is>
      </c>
      <c r="B9206">
        <f>HYPERLINK("https://www.dofusbook.net/fr/equipement/4315478-cra-m-200/objets", "link")</f>
        <v/>
      </c>
      <c r="C9206" t="n">
        <v>2</v>
      </c>
      <c r="D9206" t="inlineStr">
        <is>
          <t>Hachoirs de Viandargh; Collier du Valet Veinard; Anneau de Padgref; Gant du Valet Veinard; Bouclier du Captain Amakna; Sangle Oriole; Coiffe de Padgref; Cape du Valet Veinard; Getas de Padgref; Dofus Pourpre; Dofus Turquoise; Dofus Ocre; Dofus des Glaces; Voyageur; Acrobate majeur; Pioute jaune</t>
        </is>
      </c>
    </row>
    <row r="9207">
      <c r="A9207" t="inlineStr">
        <is>
          <t>Ouginak M 200</t>
        </is>
      </c>
      <c r="B9207">
        <f>HYPERLINK("https://www.dofusbook.net/fr/equipement/4458010-ouginak-m-200/objets", "link")</f>
        <v/>
      </c>
      <c r="C9207" t="n">
        <v>0</v>
      </c>
      <c r="D9207" t="inlineStr">
        <is>
          <t>Massier; Amulette Volkorne; Anneau de Padgref; Anneau Volkorne; Bouclier du Captain Amakna; Ceinture Volkorne; Coiffe de Padgref; Cape de Diondin; Getas de Padgref; Dofus des Glaces; Dofus Pourpre; Dofus Turquoise; Ravageur Feu majeur; Savant majeur; Astucieux majeur; Pioute rouge</t>
        </is>
      </c>
    </row>
    <row r="9208">
      <c r="A9208" t="inlineStr">
        <is>
          <t>Sram M 200</t>
        </is>
      </c>
      <c r="B9208">
        <f>HYPERLINK("https://www.dofusbook.net/fr/equipement/4456631-sram-m-200/objets", "link")</f>
        <v/>
      </c>
      <c r="C9208" t="n">
        <v>0</v>
      </c>
      <c r="D9208" t="inlineStr">
        <is>
          <t>Massier; Amulette Volkorne; Anneauræus; Anneauræus; Bouclier du Captain Amakna; Ceinture Volkorne; Heaume Oplate; Cape de Diondin; Bottes Innommables; Dofus des Glaces; Dofus Turquoise; Nomade; Dévastateur Feu majeur; Érudit majeur; Astucieux majeur; Pioute rouge</t>
        </is>
      </c>
    </row>
    <row r="9209">
      <c r="A9209" t="inlineStr">
        <is>
          <t>Steamer M 200</t>
        </is>
      </c>
      <c r="B9209">
        <f>HYPERLINK("https://www.dofusbook.net/fr/equipement/4456389-steamer-m-200/objets", "link")</f>
        <v/>
      </c>
      <c r="C9209" t="n">
        <v>1</v>
      </c>
      <c r="D9209" t="inlineStr">
        <is>
          <t>Dagoulinantes; Amulette de Shokkoth; Anneau Glacial; Anneau Volkorne; Bouclier du Stalak; Ceinture Glaciale; Capuche de l'Œil Attentif; Cape Solution; Bottes de Meno; Dofus des Glaces; Dofus Pourpre; Remueur; Chanceux majeur; Nomade; Temporiseur majeur; Gwo Tofu Ventripotent</t>
        </is>
      </c>
    </row>
    <row r="9210">
      <c r="A9210" t="inlineStr">
        <is>
          <t>Enutrof M 200</t>
        </is>
      </c>
      <c r="B9210">
        <f>HYPERLINK("https://www.dofusbook.net/fr/equipement/4456224-enutrof-m-200/objets", "link")</f>
        <v/>
      </c>
      <c r="C9210" t="n">
        <v>0</v>
      </c>
      <c r="D9210" t="inlineStr">
        <is>
          <t>Dagoulinantes; Amulette de Shokkoth; Anneau Glacial; Anneau Volkorne; Bouclier du Stalak; Ceinture de la Reine des Voleurs; Kidibonnet; Cape Solution; Bottes de la Reine des Voleurs; Dofus Pourpre; Dofus des Glaces; Dévastateur Eau majeur; Taquin majeur; Nomade; Chanceux majeur; Kanigloups</t>
        </is>
      </c>
    </row>
    <row r="9211">
      <c r="A9211" t="inlineStr">
        <is>
          <t>Ouginak M 200</t>
        </is>
      </c>
      <c r="B9211">
        <f>HYPERLINK("https://www.dofusbook.net/fr/equipement/4446456-ouginak-m-200/objets", "link")</f>
        <v/>
      </c>
      <c r="C9211" t="n">
        <v>1</v>
      </c>
      <c r="D9211" t="inlineStr">
        <is>
          <t>Lav'Hache; Collier de Tourthon; Anneau Chevelu; Anneau Volkorne; Bouclier d'Ilyzaelle; Ceinture Volkorne; Masque de Koutoulou; Cape au Logis; Tentassons; Dofus des Glaces; Dofus Abyssal; Dofus Émeraude; Dofus Ivoire; Remueur; Enragé majeur; Marcassin</t>
        </is>
      </c>
    </row>
    <row r="9212">
      <c r="A9212" t="inlineStr">
        <is>
          <t>Ouginak M 200</t>
        </is>
      </c>
      <c r="B9212">
        <f>HYPERLINK("https://www.dofusbook.net/fr/equipement/3794113-ouginak-m-200/objets", "link")</f>
        <v/>
      </c>
      <c r="C9212" t="n">
        <v>4</v>
      </c>
      <c r="D9212" t="inlineStr">
        <is>
          <t>Dagues d'Ilyzaelle; Amulette du Strigide; Anneau Chevelu; Anneau Crustique; Bouclier du Captain Amakna; Ceinture du Strigide; Masque de Koutoulou; Cape au Logis; Bottes du Cœur Saignant; Dofus Turquoise; Dofus des Glaces; Dofus Pourpre; Dévastateur Terre majeur; Enragé majeur; Remueur; Pioute vert</t>
        </is>
      </c>
    </row>
    <row r="9213">
      <c r="A9213" t="inlineStr">
        <is>
          <t>Full force</t>
        </is>
      </c>
      <c r="B9213">
        <f>HYPERLINK("https://www.dofusbook.net/fr/equipement/3096882-full-force/objets", "link")</f>
        <v/>
      </c>
      <c r="C9213" t="n">
        <v>0</v>
      </c>
      <c r="D9213" t="inlineStr">
        <is>
          <t>Arc du Chalœil; Collier de Tourthon; Anneau Crustique; Anneau Crustique; Bouclier du Stalak; Ceinture Gence; Coiffe du Comte Harebourg; Cape au Logis; Bottes du Comte Harebourg; Dofus Pourpre; Dofus des Glaces; Forcené majeur; Enragé majeur; Dévastateur Terre majeur; Remueur; Bulbisou</t>
        </is>
      </c>
    </row>
    <row r="9214">
      <c r="A9214" t="inlineStr">
        <is>
          <t>Ecaflip M 200</t>
        </is>
      </c>
      <c r="B9214">
        <f>HYPERLINK("https://www.dofusbook.net/fr/equipement/4446327-ecaflip-m-200/objets", "link")</f>
        <v/>
      </c>
      <c r="C9214" t="n">
        <v>1</v>
      </c>
      <c r="D9214" t="inlineStr">
        <is>
          <t>Dagues d'Ilyzaelle; Amulette du Cœur Saignant; Anneau Crustique; Anneau Crustique; Bouclier du Stalak; Ceinture Gence; Masque de Koutoulou; Cape au Logis; Bottes du Cœur Saignant; Dofus Pourpre; Dofus des Glaces; Dévastateur Terre majeur; Forcené majeur; Vigoureux majeur; Enragé majeur; Pioute vert</t>
        </is>
      </c>
    </row>
    <row r="9215">
      <c r="A9215" t="inlineStr">
        <is>
          <t>Sram M 200</t>
        </is>
      </c>
      <c r="B9215">
        <f>HYPERLINK("https://www.dofusbook.net/fr/equipement/4446204-sram-m-200/objets", "link")</f>
        <v/>
      </c>
      <c r="C9215" t="n">
        <v>0</v>
      </c>
      <c r="D9215" t="inlineStr">
        <is>
          <t>Pelle de Nidas; Pendentif Oton; Alliance Gloursonne; Bracelet du Piloztère; Bouclier d'Ilyzaelle; Ceinture de l'Esprit Salvateur; Casque d'Ilyzaelle; Voilamibe; Bottes de la Reine des Voleurs; Dofus Pourpre; Dofus des Glaces; Remueur; Vigoureux majeur; Cascadeur majeur; Chanceux majeur; Fëanor</t>
        </is>
      </c>
    </row>
    <row r="9216">
      <c r="A9216" t="inlineStr">
        <is>
          <t>Sram M 200</t>
        </is>
      </c>
      <c r="B9216">
        <f>HYPERLINK("https://www.dofusbook.net/fr/equipement/4334709-sram-m-200/objets", "link")</f>
        <v/>
      </c>
      <c r="C9216" t="n">
        <v>3</v>
      </c>
      <c r="D9216" t="inlineStr">
        <is>
          <t>Arc Volkorne; Amulette Volkorne; Bracelet du Piloztère; Anneau Volkorne; Bouclier du Stalak; Ceinture Volkorne; Masque de l'Esprit Salvateur; Cape de Jahash Jurgen; Bottes de l'Esprit Salvateur; Dofus Pourpre; Dofus des Glaces; Dofus Ocre; Dolmanax; Robuste majeur; Féroce majeur; Fëanor</t>
        </is>
      </c>
    </row>
    <row r="9217">
      <c r="A9217" t="inlineStr">
        <is>
          <t>Ecaflip M 200</t>
        </is>
      </c>
      <c r="B9217">
        <f>HYPERLINK("https://www.dofusbook.net/fr/equipement/4445100-ecaflip-m-200/objets", "link")</f>
        <v/>
      </c>
      <c r="C9217" t="n">
        <v>0</v>
      </c>
      <c r="D9217" t="inlineStr">
        <is>
          <t>Hache du Chalœil; Amulette Volkorne; Anneau Volkorne; Bague Trithon; Bouclier du Stalak; Ceinture Volkorne; Masque Trithon; Cape de Jahash Jurgen; Bottes Trithon; Dofus Ocre; Dofus Turquoise; Dofus des Glaces; Dofus Pourpre; Dolmanax; Robuste majeur; Sakochère</t>
        </is>
      </c>
    </row>
    <row r="9218">
      <c r="A9218" t="inlineStr">
        <is>
          <t>Feu</t>
        </is>
      </c>
      <c r="B9218">
        <f>HYPERLINK("https://www.dofusbook.net/fr/equipement/2649392-feu/objets", "link")</f>
        <v/>
      </c>
      <c r="C9218" t="n">
        <v>3</v>
      </c>
      <c r="D9218" t="inlineStr">
        <is>
          <t>Plumeau Bil; Pendentif affamé; Anneauræus; Anneau de Nidas; Bouclier du Cycloïde; Ceintrigue; Couronne de Nidas; Cape de Diondin; Bottes Innommables; Astucieux majeur; Remueur; Érudit majeur; Docteur majeur; Nomade; Guérisseur majeur; Bisouglours</t>
        </is>
      </c>
    </row>
    <row r="9219">
      <c r="A9219" t="inlineStr">
        <is>
          <t>Chance row</t>
        </is>
      </c>
      <c r="B9219">
        <f>HYPERLINK("https://www.dofusbook.net/fr/equipement/3176390-chance-row-/objets", "link")</f>
        <v/>
      </c>
      <c r="C9219" t="n">
        <v>1</v>
      </c>
      <c r="D9219" t="inlineStr">
        <is>
          <t>Dagoulinantes; Amulette de Shokkoth; Anneau Volkorne; Alliance Gloursonne; Bouclier du Stalak; Ceinture de la Reine des Voleurs; Capuche de l'Œil Attentif; Cape Solution; Bottes de la Reine des Voleurs; Dofus Pourpre; Vigoureux majeur; Chanceux majeur; Remueur; Taquin majeur; Nomade; Kanigloups</t>
        </is>
      </c>
    </row>
    <row r="9220">
      <c r="A9220" t="inlineStr">
        <is>
          <t>Iop M 200</t>
        </is>
      </c>
      <c r="B9220">
        <f>HYPERLINK("https://www.dofusbook.net/fr/equipement/4436854-iop-m-200/objets", "link")</f>
        <v/>
      </c>
      <c r="C9220" t="n">
        <v>1</v>
      </c>
      <c r="D9220" t="inlineStr">
        <is>
          <t>Plume de Buhorado; Collier du Valet Veinard; Gant du Valet Veinard; Anneau d'Allister; Bouclier du Stalak; Menoture; Couronne d'Allister; Cape du Valet Veinard; Bottes d'Allister; Dofus Pourpre; Dofus des Glaces; Ravageur Air majeur; Robuste majeur; Acrobate majeur; Equilibriste majeur; Blérodoudou</t>
        </is>
      </c>
    </row>
    <row r="9221">
      <c r="A9221" t="inlineStr">
        <is>
          <t>Ecaflip M 200</t>
        </is>
      </c>
      <c r="B9221">
        <f>HYPERLINK("https://www.dofusbook.net/fr/equipement/4419665-ecaflip-m-200/objets", "link")</f>
        <v/>
      </c>
      <c r="C9221" t="n">
        <v>0</v>
      </c>
      <c r="D9221" t="inlineStr">
        <is>
          <t>Lav'Hache; Collier de Tourthon; Anneau Chevelu; Anneau de Brouce; Bouclier d'Ilyzaelle; Ceinture de la Reine des Voleurs; Coiffe de la Reine des Voleurs; Cape au Logis; Bottes Honyme; Dofus Ocre; Dofus Pourpre; Dofus Émeraude; Dofus des Glaces; Forcené majeur; Enragé majeur; Bulbisou</t>
        </is>
      </c>
    </row>
    <row r="9222">
      <c r="A9222" t="inlineStr">
        <is>
          <t>Ouginak M 200</t>
        </is>
      </c>
      <c r="B9222">
        <f>HYPERLINK("https://www.dofusbook.net/fr/equipement/4419694-ouginak-m-200/objets", "link")</f>
        <v/>
      </c>
      <c r="C9222" t="n">
        <v>1</v>
      </c>
      <c r="D9222" t="inlineStr">
        <is>
          <t>Baguette Héroclite; Amulette de Shokkoth; Alliance Gloursonne; Bracelet des Fonds marins; Cadran d'Air; Sangle Ouare; Masque des Fonds marins; Cape Solution; Bottes du Nocturlabe; Dofus des Glaces; Dofus Pourpre; Dofus Ivoire; Muraille Air majeure; Remueur; Chanceux majeur; Tiwabbit Kiafin</t>
        </is>
      </c>
    </row>
    <row r="9223">
      <c r="A9223" t="inlineStr">
        <is>
          <t>Osamodas M 200</t>
        </is>
      </c>
      <c r="B9223">
        <f>HYPERLINK("https://www.dofusbook.net/fr/equipement/4419685-osamodas-m-200/objets", "link")</f>
        <v/>
      </c>
      <c r="C9223" t="n">
        <v>0</v>
      </c>
      <c r="D9223" t="inlineStr">
        <is>
          <t>Plume de Buhorado; Collier du Valet Veinard; Alliance Gloursonne; Gant du Valet Veinard; Cadran d'Air; Menoture; Couronne d'Allister; Cape Martegel; Pantoufles Émar; Dofus des Glaces; Dofus Ivoire; Equilibriste majeur; Acrobate majeur; Muraille Air majeure; Cascadeur majeur; Tiwabbit Kiafin</t>
        </is>
      </c>
    </row>
    <row r="9224">
      <c r="A9224" t="inlineStr">
        <is>
          <t>Iop M 200</t>
        </is>
      </c>
      <c r="B9224">
        <f>HYPERLINK("https://www.dofusbook.net/fr/equipement/4419522-iop-m-200/objets", "link")</f>
        <v/>
      </c>
      <c r="C9224" t="n">
        <v>0</v>
      </c>
      <c r="D9224" t="inlineStr">
        <is>
          <t>Baguette Héroclite; Amulette de l'Œil Attentif; Alliance Gloursonne; Bracelet des Fonds marins; Bouclier d'Ilyzaelle; Sangle Ouare; Casque Dragoeuf; Cape Solution; Sandales des Fonds marins; Dofus Ocre; Dofus Pourpre; Dofus des Glaces; Dofus Émeraude; Dofus Ivoire; Chanceux majeur; Kanigloups</t>
        </is>
      </c>
    </row>
    <row r="9225">
      <c r="A9225" t="inlineStr">
        <is>
          <t>Pandawa M 200</t>
        </is>
      </c>
      <c r="B9225">
        <f>HYPERLINK("https://www.dofusbook.net/fr/equipement/4419109-pandawa-m-200/objets", "link")</f>
        <v/>
      </c>
      <c r="C9225" t="n">
        <v>0</v>
      </c>
      <c r="D9225" t="inlineStr">
        <is>
          <t>Lav'Hache; Collier de Tourthon; Anneau Chevelu; Anneau de Brouce; Bouclier d'Ilyzaelle; Ceinture Volkorne; Masque de Koutoulou; Cape au Logis; Bottes de Brouce; Dofus Ocre; Dofus Pourpre; Dofus Émeraude; Dofus des Glaces; Forcené majeur; Enragé majeur; Bulbisou</t>
        </is>
      </c>
    </row>
    <row r="9226">
      <c r="A9226" t="inlineStr">
        <is>
          <t>Huppermage M 200</t>
        </is>
      </c>
      <c r="B9226">
        <f>HYPERLINK("https://www.dofusbook.net/fr/equipement/3798612-huppermage-m-200/objets", "link")</f>
        <v/>
      </c>
      <c r="C9226" t="n">
        <v>5</v>
      </c>
      <c r="D9226" t="inlineStr">
        <is>
          <t>Baguette des égarés; Amulette du Strigide; Alliance de Missiz Frizz; Bracelet du Piloztère; Quatre-feuilles; Ceinture du Strigide; Masque de Funespadon; Cape Luminescente; Bottes Honyme; Dofus Pourpre; Dofus Turquoise; Dofus des Glaces; Vigoureux majeur; Remueur; Nomade; Kokulte</t>
        </is>
      </c>
    </row>
    <row r="9227">
      <c r="A9227" t="inlineStr">
        <is>
          <t>Sacrieur M 200</t>
        </is>
      </c>
      <c r="B9227">
        <f>HYPERLINK("https://www.dofusbook.net/fr/equipement/4418732-sacrieur-m-200/objets", "link")</f>
        <v/>
      </c>
      <c r="C9227" t="n">
        <v>2</v>
      </c>
      <c r="D9227" t="inlineStr">
        <is>
          <t>Arc Nécrotique; Amulette Volkorne; Anneau Volkorne; Bague Trithon; Quatre-feuilles; Ceintacé; Masque Trithon; Cape de la Dame du Hasard; Bottes de la Dame du Hasard; Dofus Turquoise; Dolmanax; Dofus Ocre; Dofus Pourpre; Dofus des Glaces; Voyageur; Kokulte</t>
        </is>
      </c>
    </row>
    <row r="9228">
      <c r="A9228" t="inlineStr">
        <is>
          <t>Multi do</t>
        </is>
      </c>
      <c r="B9228">
        <f>HYPERLINK("https://www.dofusbook.net/fr/equipement/3239178-multi-do/objets", "link")</f>
        <v/>
      </c>
      <c r="C9228" t="n">
        <v>13</v>
      </c>
      <c r="D9228" t="inlineStr">
        <is>
          <t>Arc Volkorne; Amulette Volkorne; Bracelet du Piloztère; Anneau Volkorne; Bouclier du Stalak; Ceinture de l'Esprit Salvateur; Masque de l'Esprit Salvateur; Voilamibe; Bottes de l'Esprit Salvateur; Dolmanax; Dofus Ocre; Dofus Pourpre; Dofus des Glaces; Robuste majeur; Féroce majeur; Minimino</t>
        </is>
      </c>
    </row>
    <row r="9229">
      <c r="A9229" t="inlineStr">
        <is>
          <t>Huppermage F 200</t>
        </is>
      </c>
      <c r="B9229">
        <f>HYPERLINK("https://www.dofusbook.net/fr/equipement/3963506-huppermage-f-200/objets", "link")</f>
        <v/>
      </c>
      <c r="C9229" t="n">
        <v>2</v>
      </c>
      <c r="D9229" t="inlineStr">
        <is>
          <t>Plume de Buhorado; Amibou; Bague Instable; Bague Trithon; Bouclier précieux; Audace de Dodge; Chapibou; Cape Solution; Bottes du Cul Botté; Bousculeur; Pousseur majeur; Remueur; Bousculeur majeur; Culbuteur; Culbuteur majeur; Balafreux</t>
        </is>
      </c>
    </row>
    <row r="9230">
      <c r="A9230" t="inlineStr">
        <is>
          <t>Eniripsa M 200</t>
        </is>
      </c>
      <c r="B9230">
        <f>HYPERLINK("https://www.dofusbook.net/fr/equipement/4417685-eniripsa-m-200/objets", "link")</f>
        <v/>
      </c>
      <c r="C9230" t="n">
        <v>0</v>
      </c>
      <c r="D9230" t="inlineStr">
        <is>
          <t>Arc Ontanporin; Amulette de Shokkoth; Anneau Volkorne; Alliance Gloursonne; Cadran de Terre; Culotte de Bethel; Masque de Funespadon; Cape Solution; Pataugastrique; Dofus Ivoire; Étourdisseur majeur; Taquin majeur; Nomade; Chanceux majeur; Engourdisseur majeur; Koalak Sanguin</t>
        </is>
      </c>
    </row>
    <row r="9231">
      <c r="A9231" t="inlineStr">
        <is>
          <t>Enutrof M 200</t>
        </is>
      </c>
      <c r="B9231">
        <f>HYPERLINK("https://www.dofusbook.net/fr/equipement/4417639-enutrof-m-200/objets", "link")</f>
        <v/>
      </c>
      <c r="C9231" t="n">
        <v>1</v>
      </c>
      <c r="D9231" t="inlineStr">
        <is>
          <t>Lance Horselé; Collier du Valet Veinard; Alliance Gloursonne; Gant du Valet Veinard; Bouclier du Stalak; Menoture; Couronne d'Allister; Cape Indescriptible; Tentassons; Dofus Pourpre; Dofus Ocre; Dofus des Glaces; Étourdisseur majeur; Equilibriste majeur; Cascadeur majeur; Blérodoudou</t>
        </is>
      </c>
    </row>
    <row r="9232">
      <c r="A9232" t="inlineStr">
        <is>
          <t>Panda</t>
        </is>
      </c>
      <c r="B9232">
        <f>HYPERLINK("https://www.dofusbook.net/fr/equipement/4416560-panda/objets", "link")</f>
        <v/>
      </c>
      <c r="C9232" t="n">
        <v>1</v>
      </c>
      <c r="D9232" t="inlineStr">
        <is>
          <t>Arc du Chalœil; Amulette du Cœur Saignant; Bracelet du Piloztère; Anneau Chevelu; Quatre-feuilles; Ceinture Volkorne; Masque de Koutoulou; Cape au Logis; Bottes du Cœur Saignant; Dofus Turquoise; Dofus Pourpre; Enragé majeur; Remueur; Vigoureux majeur; Forcené majeur; Pioute vert</t>
        </is>
      </c>
    </row>
    <row r="9233">
      <c r="A9233" t="inlineStr">
        <is>
          <t>Iop M 200</t>
        </is>
      </c>
      <c r="B9233">
        <f>HYPERLINK("https://www.dofusbook.net/fr/equipement/4416528-iop-m-200/objets", "link")</f>
        <v/>
      </c>
      <c r="C9233" t="n">
        <v>0</v>
      </c>
      <c r="D9233" t="inlineStr">
        <is>
          <t>Dagues Érhy; Amulette du Strigide; Chevalière du Roi Joueur; Anneau Toriété; Bouclier du Captain Amakna; Ceinture du Strigide; Couronne du Roi Joueur; Voile d'encre; Bottes du Roi Joueur; Dofus Nébuleux; Dofus Turquoise; Dolmanax; Dofus Ocre; Dofus Pourpre; Dofus des Glaces; Kokulte</t>
        </is>
      </c>
    </row>
    <row r="9234">
      <c r="A9234" t="inlineStr">
        <is>
          <t>Xélor M 200</t>
        </is>
      </c>
      <c r="B9234">
        <f>HYPERLINK("https://www.dofusbook.net/fr/equipement/3430720-xelor-m-200/objets", "link")</f>
        <v/>
      </c>
      <c r="C9234" t="n">
        <v>1</v>
      </c>
      <c r="D9234" t="inlineStr">
        <is>
          <t>Arc corrompu; Amulette Volkorne; Anneau Tique; Anneauræus; Cadran de Terre; Ceinture de Vortex; Cagoule de Vortex; Cape de Diondin; Chaussures Ardentes; Dofus des Glaces; Étourdisseur majeur; Remueur; Dévastateur Feu majeur; Nomade; Érudit majeur; Koalak Sanguin</t>
        </is>
      </c>
    </row>
    <row r="9235">
      <c r="A9235" t="inlineStr">
        <is>
          <t>Crâ M 165</t>
        </is>
      </c>
      <c r="B9235">
        <f>HYPERLINK("https://www.dofusbook.net/fr/equipement/3950650-cra-m-165/objets", "link")</f>
        <v/>
      </c>
      <c r="C9235" t="n">
        <v>2</v>
      </c>
      <c r="D9235" t="inlineStr">
        <is>
          <t>Arc du Chalœil; Amulette du Cœur Saignant; Anneau Crustique; Anneau Chevelu; Quatre-feuilles; Ceinture Volkorne; Masque de Koutoulou; Cape au Logis; Bottes du Cœur Saignant; Dofus Turquoise; Dofus Pourpre; Dofus Nébuleux; Forcené majeur; Enragé majeur; Remueur; Pioute vert</t>
        </is>
      </c>
    </row>
    <row r="9236">
      <c r="A9236" t="inlineStr">
        <is>
          <t>Crâ M 200</t>
        </is>
      </c>
      <c r="B9236">
        <f>HYPERLINK("https://www.dofusbook.net/fr/equipement/4408982-cra-m-200/objets", "link")</f>
        <v/>
      </c>
      <c r="C9236" t="n">
        <v>0</v>
      </c>
      <c r="D9236" t="inlineStr">
        <is>
          <t>Arc du Chalœil; Amulette du Strigide; Anneau Chevelu; Anneau Volkorne; Quatre-feuilles; Ceinture Volkorne; Masque de Koutoulou; Cape au Logis; Bottes du Cœur Saignant; Dofus Turquoise; Dofus Nébuleux; Dofus Ocre; Dofus Pourpre; Dofus des Glaces; Enragé majeur; El Scarador</t>
        </is>
      </c>
    </row>
    <row r="9237">
      <c r="A9237" t="inlineStr">
        <is>
          <t>Pandawa M 200</t>
        </is>
      </c>
      <c r="B9237">
        <f>HYPERLINK("https://www.dofusbook.net/fr/equipement/4407869-pandawa-m-200/objets", "link")</f>
        <v/>
      </c>
      <c r="C9237" t="n">
        <v>1</v>
      </c>
      <c r="D9237" t="inlineStr">
        <is>
          <t>Bâton Beau; Amulette du Strigide; Alliance Gloursonne; Bague Gloursonne; Quatre-feuilles; Ceinture du Strigide; Coiffe du Glourséleste; Cape de Léthaline; Bottes du Strigide; Dolmanax; Dofus Ocre; Dofus Pourpre; Dofus des Glaces; Dofus Turquoise; Dofus Ivoire; Kramkram</t>
        </is>
      </c>
    </row>
    <row r="9238">
      <c r="A9238" t="inlineStr">
        <is>
          <t>Xélor F 200</t>
        </is>
      </c>
      <c r="B9238">
        <f>HYPERLINK("https://www.dofusbook.net/fr/equipement/4404387-xelor-f-200/objets", "link")</f>
        <v/>
      </c>
      <c r="C9238" t="n">
        <v>0</v>
      </c>
      <c r="D9238" t="inlineStr">
        <is>
          <t>Pyraguette; Talisman Igans; Lavanneau; Lavanneau; Cadran de Terre; Ceintrigue; Maskrobe; Cape de la Dame du Hasard; Pataugastrique; Dofus des Glaces; Dofus Pourpre; Dofus Ivoire; Dofus Ocre; Vigoureux majeur; Étourdisseur majeur; Koalak Sanguin</t>
        </is>
      </c>
    </row>
    <row r="9239">
      <c r="A9239" t="inlineStr">
        <is>
          <t>Roublard M 200</t>
        </is>
      </c>
      <c r="B9239">
        <f>HYPERLINK("https://www.dofusbook.net/fr/equipement/4246349-roublard-m-200/objets", "link")</f>
        <v/>
      </c>
      <c r="C9239" t="n">
        <v>1</v>
      </c>
      <c r="D9239" t="inlineStr">
        <is>
          <t>Arc du Chalœil; Collier de Tourthon; Anneau de Brouce; Bracelet du Piloztère; Bouclier du Stalak; Ceinture de la Reine des Voleurs; Coiffe de la Reine des Voleurs; Cape au Logis; Baleinabottes; Dofus Pourpre; Dofus des Glaces; Remueur; Dévastateur Terre majeur; Vigoureux majeur; Enragé majeur; Bulbisou</t>
        </is>
      </c>
    </row>
    <row r="9240">
      <c r="A9240" t="inlineStr">
        <is>
          <t>Huppermage M 200</t>
        </is>
      </c>
      <c r="B9240">
        <f>HYPERLINK("https://www.dofusbook.net/fr/equipement/4351347-huppermage-m-200/objets", "link")</f>
        <v/>
      </c>
      <c r="C9240" t="n">
        <v>0</v>
      </c>
      <c r="D9240" t="inlineStr">
        <is>
          <t>Arc Volkorne; Amulette de l'Indicible; Anneau du Père Fwetar; Bracelet du Piloztère; Bouclier du Stalak; Ceinture de l'Esprit Salvateur; Masque de l'Esprit Salvateur; Voilamibe; Bottes de l'Esprit Salvateur; Dofus Pourpre; Dofus des Glaces; Dolmanax; Robuste majeur; Féroce majeur; Puissant majeur; Fëanor</t>
        </is>
      </c>
    </row>
    <row r="9241">
      <c r="A9241" t="inlineStr">
        <is>
          <t>Féca M 200</t>
        </is>
      </c>
      <c r="B9241">
        <f>HYPERLINK("https://www.dofusbook.net/fr/equipement/4350442-feca-m-200/objets", "link")</f>
        <v/>
      </c>
      <c r="C9241" t="n">
        <v>1</v>
      </c>
      <c r="D9241" t="inlineStr">
        <is>
          <t>Sabres d'Atcham; Amulette du Strigide; Bague Trithon; Anneau Toriété; Bouclier du Stalak; Ceinture du Strigide; Masque Trithon; Cape d'Atcham; Bottes Trithon; Dofus Pourpre; Dofus Turquoise; Dolmanax; Dofus des Glaces; Puissant majeur; Robuste majeur; Sakochère</t>
        </is>
      </c>
    </row>
    <row r="9242">
      <c r="A9242" t="inlineStr">
        <is>
          <t>Sadida M 200</t>
        </is>
      </c>
      <c r="B9242">
        <f>HYPERLINK("https://www.dofusbook.net/fr/equipement/4349480-sadida-m-200/objets", "link")</f>
        <v/>
      </c>
      <c r="C9242" t="n">
        <v>0</v>
      </c>
      <c r="D9242" t="inlineStr">
        <is>
          <t>Plume de Buhorado; Collier du Valet Veinard; Alliance Gloursonne; Gant du Valet Veinard; Bouclier du Stalak; Menoture; Couronne d'Allister; Cape Indescriptible; Palmes Trithons; Dofus Pourpre; Dofus des Glaces; Dévastateur Air majeur; Equilibriste majeur; Remueur; Cascadeur majeur; Blérodoudou</t>
        </is>
      </c>
    </row>
    <row r="9243">
      <c r="A9243" t="inlineStr">
        <is>
          <t>Huppermage M 200</t>
        </is>
      </c>
      <c r="B9243">
        <f>HYPERLINK("https://www.dofusbook.net/fr/equipement/4344635-huppermage-m-200/objets", "link")</f>
        <v/>
      </c>
      <c r="C9243" t="n">
        <v>0</v>
      </c>
      <c r="D9243" t="inlineStr">
        <is>
          <t>Epée Gloursonne; Amulette du Strigide; Alliance Gloursonne; Bague Gloursonne; Quatre-feuilles; Ceinture du Strigide; Maskrobe; Dofusteuse; Bottes du Strigide; Dofus Abyssal; Dolmanax; Dofus Pourpre; Dofus des Glaces; Dofus Turquoise; Puissant majeur; Kokulte</t>
        </is>
      </c>
    </row>
    <row r="9244">
      <c r="A9244" t="inlineStr">
        <is>
          <t>Pandawa M 200</t>
        </is>
      </c>
      <c r="B9244">
        <f>HYPERLINK("https://www.dofusbook.net/fr/equipement/4341083-pandawa-m-200/objets", "link")</f>
        <v/>
      </c>
      <c r="C9244" t="n">
        <v>0</v>
      </c>
      <c r="D9244" t="inlineStr">
        <is>
          <t>Dagues Érhy; Amulette Volkorne; Bracelet du Piloztère; Chevalière du Roi Joueur; Bouclier du Captain Amakna; Ceinture Volkorne; Chapeau de Gein; Voile d'encre; Bottes Honyme; Dofus Pourpre; Dofus des Glaces; Dofus Turquoise; Dolmanax; Nomade; Vigoureux majeur; Fëanor</t>
        </is>
      </c>
    </row>
    <row r="9245">
      <c r="A9245" t="inlineStr">
        <is>
          <t>Osamodas M 200</t>
        </is>
      </c>
      <c r="B9245">
        <f>HYPERLINK("https://www.dofusbook.net/fr/equipement/4303728-osamodas-m-200/objets", "link")</f>
        <v/>
      </c>
      <c r="C9245" t="n">
        <v>1</v>
      </c>
      <c r="D9245" t="inlineStr">
        <is>
          <t>Plume de Buhorado; Collier du Valet Veinard; Alliance Gloursonne; Gant du Valet Veinard; Bouclier du Stalak; Menoture; Couronne d'Allister; Cape Indescriptible; Palmes Trithons; Dofus Pourpre; Dofus des Glaces; Acrobate majeur; Equilibriste majeur; Remueur; Cascadeur majeur; Siroko</t>
        </is>
      </c>
    </row>
    <row r="9246">
      <c r="A9246" t="inlineStr">
        <is>
          <t>Féca F 200</t>
        </is>
      </c>
      <c r="B9246">
        <f>HYPERLINK("https://www.dofusbook.net/fr/equipement/3357264-feca-f-200/objets", "link")</f>
        <v/>
      </c>
      <c r="C9246" t="n">
        <v>1</v>
      </c>
      <c r="D9246" t="inlineStr">
        <is>
          <t>Arc du Chalœil; Collier de Tourthon; Anneau de Brouce; Anneau du Comte Harebourg; Quatre-feuilles; Ceinture de Brouce; Coiffe du Comte Harebourg; Cape au Logis; Bottes de Brouce; Dofus des Glaces; Dofus Pourpre; Dofus Turquoise; Dofus Ocre; Forcené majeur; Furibond majeur; Kompost</t>
        </is>
      </c>
    </row>
    <row r="9247">
      <c r="A9247" t="inlineStr">
        <is>
          <t>Iop M 200</t>
        </is>
      </c>
      <c r="B9247">
        <f>HYPERLINK("https://www.dofusbook.net/fr/equipement/4327627-iop-m-200/objets", "link")</f>
        <v/>
      </c>
      <c r="C9247" t="n">
        <v>1</v>
      </c>
      <c r="D9247" t="inlineStr">
        <is>
          <t>Marteau R'ture; Collier de Tourthon; Anneau Volkorne; Anneau Chevelu; Cadran d'Eau; Ceinture Volkorne; Masque de Koutoulou; Cape au Logis; Bottes de Brouce; Dofus Ocre; Dofus Ivoire; Dofus des Glaces; Dofus Turquoise; Dofus Abyssal; Enragé majeur; Dragodinde Amande et Pourpre</t>
        </is>
      </c>
    </row>
    <row r="9248">
      <c r="A9248" t="inlineStr">
        <is>
          <t>Sram M 200</t>
        </is>
      </c>
      <c r="B9248">
        <f>HYPERLINK("https://www.dofusbook.net/fr/equipement/4302629-sram-m-200/objets", "link")</f>
        <v/>
      </c>
      <c r="C9248" t="n">
        <v>3</v>
      </c>
      <c r="D9248" t="inlineStr">
        <is>
          <t>Plume de Buhorado; Amibou; Bague Trithon; Bague Instable; Bouclier précieux; Audace de Dodge; Chapibou; Cape Solution; Bottes du Cul Botté; Culbuteur; Culbuteur majeur; Bousculeur; Pousseur majeur; Remueur; Bousculeur majeur; Balafreux</t>
        </is>
      </c>
    </row>
    <row r="9249">
      <c r="A9249" t="inlineStr">
        <is>
          <t>Féca M 200</t>
        </is>
      </c>
      <c r="B9249">
        <f>HYPERLINK("https://www.dofusbook.net/fr/equipement/4261463-feca-m-200/objets", "link")</f>
        <v/>
      </c>
      <c r="C9249" t="n">
        <v>0</v>
      </c>
      <c r="D9249" t="inlineStr">
        <is>
          <t>Arc Volkorne; Amulette du Strigide; Bague Trithon; Anneau Toriété; Bouclier du Stalak; Ceinture du Strigide; Masque Trithon; Cape de Jahash Jurgen; Bottes Trithon; Dolmanax; Dofus des Glaces; Dofus Pourpre; Dofus Ocre; Dofus Turquoise; Robuste majeur; Chacha Angora</t>
        </is>
      </c>
    </row>
    <row r="9250">
      <c r="A9250" t="inlineStr">
        <is>
          <t>Pandawa M 200</t>
        </is>
      </c>
      <c r="B9250">
        <f>HYPERLINK("https://www.dofusbook.net/fr/equipement/4291889-pandawa-m-200/objets", "link")</f>
        <v/>
      </c>
      <c r="C9250" t="n">
        <v>0</v>
      </c>
      <c r="D9250" t="inlineStr">
        <is>
          <t>Arc Volkorne; Amulette du Strigide; Bracelet du Piloztère; Anneau Toriété; Quatre-feuilles; Ceintacé; Le Dorado; Cape de Jahash Jurgen; Bottes du Strigide; Dofus Turquoise; Dolmanax; Dofus des Glaces; Dofus Pourpre; Vigoureux majeur; Sanguinaire majeur; Kokulte</t>
        </is>
      </c>
    </row>
    <row r="9251">
      <c r="A9251" t="inlineStr">
        <is>
          <t>Ecaflip M 200</t>
        </is>
      </c>
      <c r="B9251">
        <f>HYPERLINK("https://www.dofusbook.net/fr/equipement/4291707-ecaflip-m-200/objets", "link")</f>
        <v/>
      </c>
      <c r="C9251" t="n">
        <v>1</v>
      </c>
      <c r="D9251" t="inlineStr">
        <is>
          <t>Arc corrompu; Amulette Volkorne; Anneau Tamie; Anneau Tamie; Bouclier du Stalak; Ceinture Séculaire; Heaume Oplate; Cape de la Dame du Hasard; Bottes de la Dame du Hasard; Dofus Pourpre; Remueur; Érudit majeur; Nomade; Vigoureux majeur; Astucieux majeur; Pioute rouge</t>
        </is>
      </c>
    </row>
    <row r="9252">
      <c r="A9252" t="inlineStr">
        <is>
          <t>Sacrieur M 200</t>
        </is>
      </c>
      <c r="B9252">
        <f>HYPERLINK("https://www.dofusbook.net/fr/equipement/4280984-sacrieur-m-200/objets", "link")</f>
        <v/>
      </c>
      <c r="C9252" t="n">
        <v>1</v>
      </c>
      <c r="D9252" t="inlineStr">
        <is>
          <t>Manthache; Collier du Valet Veinard; Alliance Gloursonne; Gant du Valet Veinard; Droiture de Fallanster; Menoture; Casque Dragoeuf; Cape Indescriptible; Palmes Trithons; Dofus Abyssal; Dofus Émeraude; Dofus Ivoire; Dofus Ocre; Cascadeur majeur; Nomade; Bwak d'Air</t>
        </is>
      </c>
    </row>
    <row r="9253">
      <c r="A9253" t="inlineStr">
        <is>
          <t>Féca M 200</t>
        </is>
      </c>
      <c r="B9253">
        <f>HYPERLINK("https://www.dofusbook.net/fr/equipement/4261536-feca-m-200/objets", "link")</f>
        <v/>
      </c>
      <c r="C9253" t="n">
        <v>1</v>
      </c>
      <c r="D9253" t="inlineStr">
        <is>
          <t>Baguette Hique; Amulette de Shokkoth; Anneau Volkorne; Bracelet des Fonds marins; Quatre-feuilles; Pagne du Rykaon; Kidibonnet; Cape de la Dame du Hasard; Bottes de la Dame du Hasard; Dofus des Glaces; Dofus Pourpre; Dofus Turquoise; Chanceux majeur; Remueur; Nomade; Pioute bleu</t>
        </is>
      </c>
    </row>
    <row r="9254">
      <c r="A9254" t="inlineStr">
        <is>
          <t>Féca M 200</t>
        </is>
      </c>
      <c r="B9254">
        <f>HYPERLINK("https://www.dofusbook.net/fr/equipement/4261480-feca-m-200/objets", "link")</f>
        <v/>
      </c>
      <c r="C9254" t="n">
        <v>1</v>
      </c>
      <c r="D9254" t="inlineStr">
        <is>
          <t>Marteau des Anciens Steamers; Amulette du Strigide; Alliance Gloursonne; Anneau Toriété; Bouclier du Captain Amakna; Ceinture du Strigide; Némès de Tal Kasha; Chevelure de Tal Kasha; Sandales de Tal Kasha; Dofus Émeraude; Dofus Turquoise; Dolmanax; Dofus des Glaces; Dofus Pourpre; Puissant majeur; Sakochère</t>
        </is>
      </c>
    </row>
    <row r="9255">
      <c r="A9255" t="inlineStr">
        <is>
          <t>Féca M 200</t>
        </is>
      </c>
      <c r="B9255">
        <f>HYPERLINK("https://www.dofusbook.net/fr/equipement/4261421-feca-m-200/objets", "link")</f>
        <v/>
      </c>
      <c r="C9255" t="n">
        <v>1</v>
      </c>
      <c r="D9255" t="inlineStr">
        <is>
          <t>Manthache; Collier du Valet Veinard; Alliance Gloursonne; Gant du Valet Veinard; Bouclier alvéolé; Menoture; Dorabysses; Cape Martegel; Palmes Trithons; Dofus Émeraude; Acrobate majeur; Equilibriste majeur; Remueur; Cascadeur majeur; Nomade; Siroko</t>
        </is>
      </c>
    </row>
    <row r="9256">
      <c r="A9256" t="inlineStr">
        <is>
          <t>Féca M 200</t>
        </is>
      </c>
      <c r="B9256">
        <f>HYPERLINK("https://www.dofusbook.net/fr/equipement/4261397-feca-m-200/objets", "link")</f>
        <v/>
      </c>
      <c r="C9256" t="n">
        <v>0</v>
      </c>
      <c r="D9256" t="inlineStr">
        <is>
          <t>Epée Toche; Amulette du Strigide; Chevalière du Roi Joueur; Bague Gloursonne; Bouclier du Captain Amakna; Ceinture du Strigide; Couronne de Brâm Barbe-Monde; Bravoure de Rykke Errel; Bottes Honyme; Dofus des Glaces; Dofus Pourpre; Dofus Turquoise; Vigoureux majeur; Remueur; Nomade; Kokulte</t>
        </is>
      </c>
    </row>
    <row r="9257">
      <c r="A9257" t="inlineStr">
        <is>
          <t>Ecaflip M 200</t>
        </is>
      </c>
      <c r="B9257">
        <f>HYPERLINK("https://www.dofusbook.net/fr/equipement/4246498-ecaflip-m-200/objets", "link")</f>
        <v/>
      </c>
      <c r="C9257" t="n">
        <v>4</v>
      </c>
      <c r="D9257" t="inlineStr">
        <is>
          <t>Marteau R'ture; Amulette du Strigide; Anneau Crustique; Anneau Crustique; Bouclier du Captain Amakna; Ceinture Gence; Masque de Koutoulou; Cape au Logis; Bottes du Strigide; Dofus Turquoise; Dofus Pourpre; Dofus des Glaces; Enragé majeur; Forcené majeur; Vigoureux majeur; Pioute vert</t>
        </is>
      </c>
    </row>
    <row r="9258">
      <c r="A9258" t="inlineStr">
        <is>
          <t>Steamer M 200</t>
        </is>
      </c>
      <c r="B9258">
        <f>HYPERLINK("https://www.dofusbook.net/fr/equipement/4228313-steamer-m-200/objets", "link")</f>
        <v/>
      </c>
      <c r="C9258" t="n">
        <v>1</v>
      </c>
      <c r="D9258" t="inlineStr">
        <is>
          <t>Bâtonnet Ronien; Amulette du Strigide; Bracelet du Piloztère; Alliance Gloursonne; Quatre-feuilles; Ceinture du Strigide; Némès de Tal Kasha; Chevelure de Tal Kasha; Sandales de Tal Kasha; Dofus Pourpre; Dofus des Glaces; Dofus Turquoise; Dolmanax; Dofus Ocre; Voyageur; Kokulte</t>
        </is>
      </c>
    </row>
    <row r="9259">
      <c r="A9259" t="inlineStr">
        <is>
          <t>Osamodas M 200</t>
        </is>
      </c>
      <c r="B9259">
        <f>HYPERLINK("https://www.dofusbook.net/fr/equipement/4228072-osamodas-m-200/objets", "link")</f>
        <v/>
      </c>
      <c r="C9259" t="n">
        <v>1</v>
      </c>
      <c r="D9259" t="inlineStr">
        <is>
          <t>Héqache; Collier du Valet Veinard; Alliance Gloursonne; Anneau Toriété; Bouclier à hélice; Menoture; Casque d'Ilyzaelle; Cape du Valet Veinard; Palmes Trithons; Dofus des Glaces; Dofus Ivoire; Dofus Ocre; Cascadeur majeur; Cavaleur majeur; Dévastateur Air majeur; Bwak d'Air</t>
        </is>
      </c>
    </row>
    <row r="9260">
      <c r="A9260" t="inlineStr">
        <is>
          <t>Fuji</t>
        </is>
      </c>
      <c r="B9260">
        <f>HYPERLINK("https://www.dofusbook.net/fr/equipement/1185491-fuji/objets", "link")</f>
        <v/>
      </c>
      <c r="C9260" t="n">
        <v>2</v>
      </c>
      <c r="D9260" t="inlineStr">
        <is>
          <t>Lav'Hache; Amulette du Cœur Vaillant; Anneau Tique; Bague Trithon; Bouclier précieux; Ceintrigue; Casque Dragoeuf; Cape Solution; Bottes Owesli; Dofus Ivoire; Dofus Émeraude; Pousseur majeur; Remueur; Culbuteur majeur; Bousculeur majeur; Balafreux</t>
        </is>
      </c>
    </row>
    <row r="9261">
      <c r="A9261" t="inlineStr">
        <is>
          <t>Zobal M 200</t>
        </is>
      </c>
      <c r="B9261">
        <f>HYPERLINK("https://www.dofusbook.net/fr/equipement/4217801-zobal-m-200/objets", "link")</f>
        <v/>
      </c>
      <c r="C9261" t="n">
        <v>1</v>
      </c>
      <c r="D9261" t="inlineStr">
        <is>
          <t>Dagues d'Ilyzaelle; Amulette du Strigide; Anneau du Comte Harebourg; Anneau Crustique; Bouclier du Captain Amakna; Ceinture du Strigide; Coiffe du Comte Harebourg; Cape du Cœur Saignant; Bottes du Comte Harebourg; Dofus Pourpre; Dofus des Glaces; Dofus Vulbis; Dofus Turquoise; Dofus Ocre; Forcené majeur; Sakochère</t>
        </is>
      </c>
    </row>
    <row r="9262">
      <c r="A9262" t="inlineStr">
        <is>
          <t>Agil</t>
        </is>
      </c>
      <c r="B9262">
        <f>HYPERLINK("https://www.dofusbook.net/fr/equipement/3154916-agil/objets", "link")</f>
        <v/>
      </c>
      <c r="C9262" t="n">
        <v>0</v>
      </c>
      <c r="D9262" t="inlineStr">
        <is>
          <t>Plume de Buhorado; Collier du Valet Veinard; Gant du Valet Veinard; Alliance Gloursonne; Bouclier du Stalak; Menoture; Couronne d'Allister; Cape Indescriptible; Palmes Trithons; Dofus Pourpre; Equilibriste majeur; Acrobate majeur; Cascadeur majeur; Remueur; Vigoureux majeur; Siroko</t>
        </is>
      </c>
    </row>
    <row r="9263">
      <c r="A9263" t="inlineStr">
        <is>
          <t>Pandawa M 200</t>
        </is>
      </c>
      <c r="B9263">
        <f>HYPERLINK("https://www.dofusbook.net/fr/equipement/4206077-pandawa-m-200/objets", "link")</f>
        <v/>
      </c>
      <c r="C9263" t="n">
        <v>5</v>
      </c>
      <c r="D9263" t="inlineStr">
        <is>
          <t>Arc du Chalœil; Amulette du Cœur Saignant; Bracelet du Piloztère; Anneau de Brouce; Quatre-feuilles; Ceinture Volkorne; Masque de Koutoulou; Cape au Logis; Bottes du Cœur Saignant; Dofus Turquoise; Dofus Pourpre; Forcené majeur; Vigoureux majeur; Enragé majeur; Remueur; Pioute vert</t>
        </is>
      </c>
    </row>
    <row r="9264">
      <c r="A9264" t="inlineStr">
        <is>
          <t>Zobal M 200</t>
        </is>
      </c>
      <c r="B9264">
        <f>HYPERLINK("https://www.dofusbook.net/fr/equipement/4203857-zobal-m-200/objets", "link")</f>
        <v/>
      </c>
      <c r="C9264" t="n">
        <v>3</v>
      </c>
      <c r="D9264" t="inlineStr">
        <is>
          <t>Hache Euvale; Amulette Luminescente; Bracelet du Piloztère; Anneau Volkorne; Bouclier alvéolé; Ceinture Volkorne; Casque en Grithril; Voilamibe; Bottes Honyme; Dofus Ocre; Dolmanax; Dofus des Glaces; Dofus Pourpre; Enragé majeur; Chanceux majeur; Bébé Pandawa</t>
        </is>
      </c>
    </row>
    <row r="9265">
      <c r="A9265" t="inlineStr">
        <is>
          <t>Iop M 200</t>
        </is>
      </c>
      <c r="B9265">
        <f>HYPERLINK("https://www.dofusbook.net/fr/equipement/4194037-iop-m-200/objets", "link")</f>
        <v/>
      </c>
      <c r="C9265" t="n">
        <v>0</v>
      </c>
      <c r="D9265" t="inlineStr">
        <is>
          <t>Pelle Emélaka; Amulette de Shokkoth; Bracelet des Fonds marins; Alliance Gloursonne; Bouclier d'Ilyzaelle; Sangle Ouare; Casque Dragoeuf; Cape Solution; Sandales des Fonds marins; Dofus Ivoire; Dofus Pourpre; Dofus Émeraude; Taquin majeur; Chanceux majeur; Remueur; Dehluge</t>
        </is>
      </c>
    </row>
    <row r="9266">
      <c r="A9266" t="inlineStr">
        <is>
          <t>Féca M 200</t>
        </is>
      </c>
      <c r="B9266">
        <f>HYPERLINK("https://www.dofusbook.net/fr/equipement/4194014-feca-m-200/objets", "link")</f>
        <v/>
      </c>
      <c r="C9266" t="n">
        <v>0</v>
      </c>
      <c r="D9266" t="inlineStr">
        <is>
          <t>Sceptre du Roi Joueur; Amulette du Strigide; Bracelet des Fonds marins; Anneau Volkorne; Bouclier du Captain Amakna; Ceinture du Strigide; Némès de Tal Kasha; Chevelure de Tal Kasha; Sandales de Tal Kasha; Dofus Turquoise; Dofus Ocre; Dofus des Glaces; Dofus Pourpre; Taquin majeur; Voyageur; Pioute bleu</t>
        </is>
      </c>
    </row>
    <row r="9267">
      <c r="A9267" t="inlineStr">
        <is>
          <t>Crâ M 200</t>
        </is>
      </c>
      <c r="B9267">
        <f>HYPERLINK("https://www.dofusbook.net/fr/equipement/4193973-cra-m-200/objets", "link")</f>
        <v/>
      </c>
      <c r="C9267" t="n">
        <v>1</v>
      </c>
      <c r="D9267" t="inlineStr">
        <is>
          <t>Baguette Hique; Amulette du Strigide; Anneau Volkorne; Bracelet du Piloztère; Quatre-feuilles; Ceinture du Strigide; Casquette de Meno; Cape de la Dame du Hasard; Pataugastrique; Dofus des Glaces; Dofus Pourpre; Dofus Turquoise; Chanceux majeur; Nomade; Remueur; Pioute bleu</t>
        </is>
      </c>
    </row>
    <row r="9268">
      <c r="A9268" t="inlineStr">
        <is>
          <t>Crâ M 200</t>
        </is>
      </c>
      <c r="B9268">
        <f>HYPERLINK("https://www.dofusbook.net/fr/equipement/4184386-cra-m-200/objets", "link")</f>
        <v/>
      </c>
      <c r="C9268" t="n">
        <v>1</v>
      </c>
      <c r="D9268" t="inlineStr">
        <is>
          <t>Marteau des égarés; Amulette du Strigide; Anneau du Père Fwetar; Bracelet du Piloztère; Quatre-feuilles; Ceintacé; Le Dorado; Cape Reski; Bottes du Strigide; Dofus Pourpre; Dofus Turquoise; Dolmanax; Nomade; Vigoureux majeur; Puissant majeur; Kougnard Albâtre</t>
        </is>
      </c>
    </row>
    <row r="9269">
      <c r="A9269" t="inlineStr">
        <is>
          <t>Do Crit</t>
        </is>
      </c>
      <c r="B9269">
        <f>HYPERLINK("https://www.dofusbook.net/fr/equipement/1469508-do-crit-/objets", "link")</f>
        <v/>
      </c>
      <c r="C9269" t="n">
        <v>2</v>
      </c>
      <c r="D9269" t="inlineStr">
        <is>
          <t>Sabres d'Atcham; Amulette du Strigide; Bracelet du Piloztère; Anneau de Padgref; Quatre-feuilles; Ceinture du Strigide; Coiffe de Padgref; Cape d'Atcham; Getas de Padgref; Dofus Pourpre; Dofus des Glaces; Dofus Turquoise; Dofus Nébuleux; Dofus Vulbis; Dofus Ocre; Sakochère</t>
        </is>
      </c>
    </row>
    <row r="9270">
      <c r="A9270" t="inlineStr">
        <is>
          <t>Roublard M 200</t>
        </is>
      </c>
      <c r="B9270">
        <f>HYPERLINK("https://www.dofusbook.net/fr/equipement/4164258-roublard-m-200/objets", "link")</f>
        <v/>
      </c>
      <c r="C9270" t="n">
        <v>0</v>
      </c>
      <c r="D9270" t="inlineStr">
        <is>
          <t>Baguette Range; Amulette du Strigide; Anneau de Padgref; Anneau Toriété; Quatre-feuilles; Ceinture du Strigide; Coiffe de Padgref; Cape Lati; Getas de Padgref; Dofus Turquoise; Dofus des Glaces; Dolmanax; Dofus Pourpre; Savant majeur; Puissant majeur; Sakochère</t>
        </is>
      </c>
    </row>
    <row r="9271">
      <c r="A9271" t="inlineStr">
        <is>
          <t>Féca M 200</t>
        </is>
      </c>
      <c r="B9271">
        <f>HYPERLINK("https://www.dofusbook.net/fr/equipement/4096426-feca-m-200/objets", "link")</f>
        <v/>
      </c>
      <c r="C9271" t="n">
        <v>0</v>
      </c>
      <c r="D9271" t="inlineStr">
        <is>
          <t>Hache Téroïde; Amulette du Strigide; Bague Gloursonne; Bracelet du Piloztère; Bouclier du Captain Amakna; Ceinture du Strigide; Couronne du Roi Joueur; Voile d'encre; Bottes Honyme; Dofus Pourpre; Dofus Turquoise; Dofus des Glaces; Dolmanax; Remueur; Nomade; Kokulte</t>
        </is>
      </c>
    </row>
    <row r="9272">
      <c r="A9272" t="inlineStr">
        <is>
          <t>Ecaflip M 200</t>
        </is>
      </c>
      <c r="B9272">
        <f>HYPERLINK("https://www.dofusbook.net/fr/equipement/4090324-ecaflip-m-200/objets", "link")</f>
        <v/>
      </c>
      <c r="C9272" t="n">
        <v>0</v>
      </c>
      <c r="D9272" t="inlineStr">
        <is>
          <t>Arc Volkorne; Amulette du Strigide; Bracelet du Piloztère; Anneau du Père Fwetar; Bouclier du Stalak; Ceinture du Strigide; Le Dorado; Voilamibe; Bottes de l'Esprit Salvateur; Dolmanax; Dofus des Glaces; Dofus Turquoise; Dofus Pourpre; Robuste majeur; Vigoureux majeur; Sakochère</t>
        </is>
      </c>
    </row>
    <row r="9273">
      <c r="A9273" t="inlineStr">
        <is>
          <t>Ouginak M 200</t>
        </is>
      </c>
      <c r="B9273">
        <f>HYPERLINK("https://www.dofusbook.net/fr/equipement/4053658-ouginak-m-200/objets", "link")</f>
        <v/>
      </c>
      <c r="C9273" t="n">
        <v>1</v>
      </c>
      <c r="D9273" t="inlineStr">
        <is>
          <t>Hache du Korriandre; Amulette du Strigide; Alliance Gloursonne; Bracelet du Piloztère; Quatre-feuilles; Ceinture du Strigide; Némès de Tal Kasha; Chevelure de Tal Kasha; Bottes du Strigide; Dolmanax; Dofus Ocre; Dofus Pourpre; Dofus des Glaces; Dofus Turquoise; Voyageur; Kokulte</t>
        </is>
      </c>
    </row>
    <row r="9274">
      <c r="A9274" t="inlineStr">
        <is>
          <t>Féca M 200</t>
        </is>
      </c>
      <c r="B9274">
        <f>HYPERLINK("https://www.dofusbook.net/fr/equipement/4070659-feca-m-200/objets", "link")</f>
        <v/>
      </c>
      <c r="C9274" t="n">
        <v>0</v>
      </c>
      <c r="D9274" t="inlineStr">
        <is>
          <t>Baguette Hique; Amulette de Shokkoth; Bracelet du Piloztère; Anneau Volkorne; Quatre-feuilles; Pagne du Rykaon; Kidibonnet; Cape de la Dame du Hasard; Bottes de la Dame du Hasard; Dofus Turquoise; Dofus des Glaces; Taquin majeur; Chanceux majeur; Nomade; Remueur; Pioute bleu</t>
        </is>
      </c>
    </row>
    <row r="9275">
      <c r="A9275" t="inlineStr">
        <is>
          <t>Sacrieur M 200</t>
        </is>
      </c>
      <c r="B9275">
        <f>HYPERLINK("https://www.dofusbook.net/fr/equipement/4090163-sacrieur-m-200/objets", "link")</f>
        <v/>
      </c>
      <c r="C9275" t="n">
        <v>1</v>
      </c>
      <c r="D9275" t="inlineStr">
        <is>
          <t>Baguette Hique; Amulette Volkorne; Anneau Volkorne; Alliance Gloursonne; Bouclier du Stalak; Ceinture Glaciale; Coiffe de Danathor; Cape Solution; Bottes du Sinistrofu; Dofus Pourpre; Nomade; Dévastateur Eau majeur; Taquin majeur; Remueur; Chanceux majeur; Dehluge</t>
        </is>
      </c>
    </row>
    <row r="9276">
      <c r="A9276" t="inlineStr">
        <is>
          <t>Eau rox</t>
        </is>
      </c>
      <c r="B9276">
        <f>HYPERLINK("https://www.dofusbook.net/fr/equipement/2471282-eau-rox/objets", "link")</f>
        <v/>
      </c>
      <c r="C9276" t="n">
        <v>1</v>
      </c>
      <c r="D9276" t="inlineStr">
        <is>
          <t>Sceptre du Roi Joueur; Amulette de Shokkoth; Anneau Volkorne; Alliance Gloursonne; Bouclier d'Ilyzaelle; Poulpagne; Casque d'Ilyzaelle; Cape Solution; Chaussons de Macrab; Dofus des Glaces; Taquin majeur; Joueur majeur; Nomade; Chanceux majeur; Dévastateur Eau majeur; Kanigloups</t>
        </is>
      </c>
    </row>
    <row r="9277">
      <c r="A9277" t="inlineStr">
        <is>
          <t>Agil</t>
        </is>
      </c>
      <c r="B9277">
        <f>HYPERLINK("https://www.dofusbook.net/fr/equipement/3091588-agil/objets", "link")</f>
        <v/>
      </c>
      <c r="C9277" t="n">
        <v>2</v>
      </c>
      <c r="D9277" t="inlineStr">
        <is>
          <t>Dagoulinantes; Amulette de Shokkoth; Anneau Glacial; Anneau Volkorne; Bouclier du Stalak; Ceinture Glaciale; Capuche de l'Œil Attentif; Cape Solution; Bottes du Nocturlabe; Dofus des Glaces; Dofus Pourpre; Chanceux majeur; Remueur; Taquin majeur; Nomade; Dehluge</t>
        </is>
      </c>
    </row>
    <row r="9278">
      <c r="A9278" t="inlineStr">
        <is>
          <t>Force</t>
        </is>
      </c>
      <c r="B9278">
        <f>HYPERLINK("https://www.dofusbook.net/fr/equipement/2876288-force/objets", "link")</f>
        <v/>
      </c>
      <c r="C9278" t="n">
        <v>2</v>
      </c>
      <c r="D9278" t="inlineStr">
        <is>
          <t>Arc du Chalœil; Amulette du Cœur Saignant; Anneau Chevelu; Anneau Crustique; Bouclier du Stalak; Ceinture Volkorne; Masque de Koutoulou; Cape au Logis; Bottes du Cœur Saignant; Dofus Turquoise; Dofus des Glaces; Dofus Pourpre; Remueur; Enragé majeur; Forcené majeur; Pioute vert</t>
        </is>
      </c>
    </row>
    <row r="9279">
      <c r="A9279" t="inlineStr">
        <is>
          <t>Eliotrope M 200</t>
        </is>
      </c>
      <c r="B9279">
        <f>HYPERLINK("https://www.dofusbook.net/fr/equipement/3938937-eliotrope-m-200/objets", "link")</f>
        <v/>
      </c>
      <c r="C9279" t="n">
        <v>3</v>
      </c>
      <c r="D9279" t="inlineStr">
        <is>
          <t>Lav'Hache; Collier de Tourthon; Anneau de Brouce; Anneau Chevelu; Bouclier d'Ilyzaelle; Ceinture Volkorne; Masque de Koutoulou; Cape du Cœur Saignant; Bottes de Brouce; Dolmanax; Dofus Pourpre; Enragé majeur; Remueur; Vigoureux majeur; Nomade; Kompost</t>
        </is>
      </c>
    </row>
    <row r="9280">
      <c r="A9280" t="inlineStr">
        <is>
          <t>Sadida M 200</t>
        </is>
      </c>
      <c r="B9280">
        <f>HYPERLINK("https://www.dofusbook.net/fr/equipement/4076299-sadida-m-200/objets", "link")</f>
        <v/>
      </c>
      <c r="C9280" t="n">
        <v>0</v>
      </c>
      <c r="D9280" t="inlineStr">
        <is>
          <t>Dagues Cacterre; Collier de la Dame du Hasard; Anneau Kturne; Bague Nostik; Bouclier du Captain Amakna; Ceinture de l'Esprit Malsain; Casquette de Meno; Cape de la Dame du Hasard; Pataugastrique; Dolmanax; Dofus des Glaces; Dofus Pourpre; Dofus Turquoise; Remueur; Nomade; Kokulte</t>
        </is>
      </c>
    </row>
    <row r="9281">
      <c r="A9281" t="inlineStr">
        <is>
          <t>Sacrieur F 200</t>
        </is>
      </c>
      <c r="B9281">
        <f>HYPERLINK("https://www.dofusbook.net/fr/equipement/4053924-sacrieur-f-200/objets", "link")</f>
        <v/>
      </c>
      <c r="C9281" t="n">
        <v>2</v>
      </c>
      <c r="D9281" t="inlineStr">
        <is>
          <t>Massier; Amulette Volkorne; Anneau Tamie; Anneau Tamie; Bouclier d'Ilyzaelle; Ceinture Volkorne; Heaume Oplate; Voile d'encre; Chaussures Ardentes; Dofus Émeraude; Dolmanax; Nomade; Miraculé majeur; Remueur; Érudit majeur; Brûlih</t>
        </is>
      </c>
    </row>
    <row r="9282">
      <c r="A9282" t="inlineStr">
        <is>
          <t>Feu resi tank</t>
        </is>
      </c>
      <c r="B9282">
        <f>HYPERLINK("https://www.dofusbook.net/fr/equipement/3096665-feu-resi-tank/objets", "link")</f>
        <v/>
      </c>
      <c r="C9282" t="n">
        <v>3</v>
      </c>
      <c r="D9282" t="inlineStr">
        <is>
          <t>Massier; Amulette Volkorne; Anneau Rifique; Anneau Tique; Bouclier précieux; Ceinture de Vortex; Casque Dragoeuf; Cape Ardente; Chaussures Ardentes; Dofus Émeraude; Dokoko; Érudit majeur; Miraculé majeur; Nomade; Remueur; Brûlih</t>
        </is>
      </c>
    </row>
    <row r="9283">
      <c r="A9283" t="inlineStr">
        <is>
          <t>Sadida M 200</t>
        </is>
      </c>
      <c r="B9283">
        <f>HYPERLINK("https://www.dofusbook.net/fr/equipement/4053864-sadida-m-200/objets", "link")</f>
        <v/>
      </c>
      <c r="C9283" t="n">
        <v>2</v>
      </c>
      <c r="D9283" t="inlineStr">
        <is>
          <t>Manthache; Collier du Valet Veinard; Gant du Valet Veinard; Alliance Gloursonne; Bouclier d'Ilyzaelle; Menoture; Couronne d'Allister; Cape Indescriptible; Palmes Trithons; Dofus Pourpre; Equilibriste majeur; Remueur; Cascadeur majeur; Nomade; Vigoureux majeur; Siroko</t>
        </is>
      </c>
    </row>
    <row r="9284">
      <c r="A9284" t="inlineStr">
        <is>
          <t>Osamodas M 200</t>
        </is>
      </c>
      <c r="B9284">
        <f>HYPERLINK("https://www.dofusbook.net/fr/equipement/4053845-osamodas-m-200/objets", "link")</f>
        <v/>
      </c>
      <c r="C9284" t="n">
        <v>0</v>
      </c>
      <c r="D9284" t="inlineStr">
        <is>
          <t>Lance Horselé; Collier du Valet Veinard; Alliance Gloursonne; Gant du Valet Veinard; Bouclier du Stalak; Ceinture de la Reine des Voleurs; Coiffe de la Reine des Voleurs; Cape du Valet Veinard; Bottes de la Reine des Voleurs; Dofus Ocre; Dofus des Glaces; Ravageur Air majeur; Voyageur; Acrobate majeur; Equilibriste majeur; Blérodoudou</t>
        </is>
      </c>
    </row>
    <row r="9285">
      <c r="A9285" t="inlineStr">
        <is>
          <t>Osamodas M 200</t>
        </is>
      </c>
      <c r="B9285">
        <f>HYPERLINK("https://www.dofusbook.net/fr/equipement/4053831-osamodas-m-200/objets", "link")</f>
        <v/>
      </c>
      <c r="C9285" t="n">
        <v>1</v>
      </c>
      <c r="D9285" t="inlineStr">
        <is>
          <t>Lance Horselé; Collier du Valet Veinard; Anneau d'Allister; Gant du Valet Veinard; Bouclier du Stalak; Ceinture du Barbétoal; Couronne d'Allister; Cape du Valet Veinard; Bottes d'Allister; Dofus des Glaces; Dolmanax; Dofus Ocre; Equilibriste majeur; Voyageur; Acrobate majeur; Siroko</t>
        </is>
      </c>
    </row>
    <row r="9286">
      <c r="A9286" t="inlineStr">
        <is>
          <t>Force</t>
        </is>
      </c>
      <c r="B9286">
        <f>HYPERLINK("https://www.dofusbook.net/fr/equipement/2876254-force/objets", "link")</f>
        <v/>
      </c>
      <c r="C9286" t="n">
        <v>1</v>
      </c>
      <c r="D9286" t="inlineStr">
        <is>
          <t>Arc du Chalœil; Amulette du Strigide; Anneau Crustique; Anneau Chevelu; Quatre-feuilles; Ceinture du Strigide; Masque de Koutoulou; Cape au Logis; Bottes du Cœur Saignant; Dofus Turquoise; Dofus Pourpre; Enragé majeur; Forcené majeur; Remueur; Nomade; Kompost</t>
        </is>
      </c>
    </row>
    <row r="9287">
      <c r="A9287" t="inlineStr">
        <is>
          <t>Agil</t>
        </is>
      </c>
      <c r="B9287">
        <f>HYPERLINK("https://www.dofusbook.net/fr/equipement/3154915-agil/objets", "link")</f>
        <v/>
      </c>
      <c r="C9287" t="n">
        <v>2</v>
      </c>
      <c r="D9287" t="inlineStr">
        <is>
          <t>Lance Horselé; Amulette du Granduk; Alliance Gloursonne; Gant du Valet Veinard; Bouclier du Stalak; Menoture; Couronne d'Allister; Cape du Valet Veinard; Palmes Trithons; Acrobate majeur; Cascadeur majeur; Remueur; Dévastateur Air majeur; Nomade; Equilibriste majeur; Siroko</t>
        </is>
      </c>
    </row>
    <row r="9288">
      <c r="A9288" t="inlineStr">
        <is>
          <t>Sacrieur M 200</t>
        </is>
      </c>
      <c r="B9288">
        <f>HYPERLINK("https://www.dofusbook.net/fr/equipement/4010176-sacrieur-m-200/objets", "link")</f>
        <v/>
      </c>
      <c r="C9288" t="n">
        <v>2</v>
      </c>
      <c r="D9288" t="inlineStr">
        <is>
          <t>Dagoulinantes; Amulette de Shokkoth; Alliance Gloursonne; Anneau Volkorne; Bouclier du Stalak; Ceinture de la Reine des Voleurs; Capuche de l'Œil Attentif; Cape Solution; Bottes de la Reine des Voleurs; Dofus Pourpre; Remueur; Vigoureux majeur; Nomade; Chanceux majeur; Taquin majeur; Dehluge</t>
        </is>
      </c>
    </row>
    <row r="9289">
      <c r="A9289" t="inlineStr">
        <is>
          <t>Féca M 200</t>
        </is>
      </c>
      <c r="B9289">
        <f>HYPERLINK("https://www.dofusbook.net/fr/equipement/4049024-feca-m-200/objets", "link")</f>
        <v/>
      </c>
      <c r="C9289" t="n">
        <v>2</v>
      </c>
      <c r="D9289" t="inlineStr">
        <is>
          <t>Epée Toche; Amulette du Strigide; Bague Gloursonne; Baguistik; Bouclier du Captain Amakna; Ceintacé; Couronne du Roi Joueur; Voile d'encre; Bottes du Strigide; Dolmanax; Dofus Pourpre; Dofus Turquoise; Remueur; Nomade; Vigoureux majeur; Chacha Angora</t>
        </is>
      </c>
    </row>
    <row r="9290">
      <c r="A9290" t="inlineStr">
        <is>
          <t>Crâ M 200</t>
        </is>
      </c>
      <c r="B9290">
        <f>HYPERLINK("https://www.dofusbook.net/fr/equipement/4048092-cra-m-200/objets", "link")</f>
        <v/>
      </c>
      <c r="C9290" t="n">
        <v>1</v>
      </c>
      <c r="D9290" t="inlineStr">
        <is>
          <t>Dagoulinantes; Amulette de Shokkoth; Anneau Volkorne; Alliance Gloursonne; Bouclier du Stalak; Ceinture de la Reine des Voleurs; Coiffe de Danathor; Cape de l'Œil Attentif; Bottes de la Reine des Voleurs; Dofus Pourpre; Chanceux majeur; Remueur; Vigoureux majeur; Nomade; Taquin majeur; Kougnard</t>
        </is>
      </c>
    </row>
    <row r="9291">
      <c r="A9291" t="inlineStr">
        <is>
          <t>Chance row</t>
        </is>
      </c>
      <c r="B9291">
        <f>HYPERLINK("https://www.dofusbook.net/fr/equipement/3091871-chance-row-/objets", "link")</f>
        <v/>
      </c>
      <c r="C9291" t="n">
        <v>9</v>
      </c>
      <c r="D9291" t="inlineStr">
        <is>
          <t>Sceptre du Roi Joueur; Amulette de Shokkoth; Anneau Volkorne; Alliance Gloursonne; Bouclier du Stalak; Ceinture de la Reine des Voleurs; Kidibonnet; Cape de l'Œil Attentif; Bottes de la Reine des Voleurs; Dofus Pourpre; Chanceux majeur; Remueur; Vigoureux majeur; Nomade; Taquin majeur; Dehluge</t>
        </is>
      </c>
    </row>
    <row r="9292">
      <c r="A9292" t="inlineStr">
        <is>
          <t>Sram M 200</t>
        </is>
      </c>
      <c r="B9292">
        <f>HYPERLINK("https://www.dofusbook.net/fr/equipement/4043266-sram-m-200/objets", "link")</f>
        <v/>
      </c>
      <c r="C9292" t="n">
        <v>2</v>
      </c>
      <c r="D9292" t="inlineStr">
        <is>
          <t>Hache du Chalœil; Amulette du Strigide; Bracelet du Piloztère; Anneau de Pol Ouatnos; Quatre-feuilles; Ceinture du Strigide; Le Dorado; Dofusteuse; Bottes du Chalœil; Dolmanax; Dofus des Glaces; Dofus Pourpre; Dofus Turquoise; Remueur; Vigoureux majeur; Sakochère</t>
        </is>
      </c>
    </row>
    <row r="9293">
      <c r="A9293" t="inlineStr">
        <is>
          <t>Crâ M 200</t>
        </is>
      </c>
      <c r="B9293">
        <f>HYPERLINK("https://www.dofusbook.net/fr/equipement/4043119-cra-m-200/objets", "link")</f>
        <v/>
      </c>
      <c r="C9293" t="n">
        <v>3</v>
      </c>
      <c r="D9293" t="inlineStr">
        <is>
          <t>Arc corrompu; Amulette Volkorne; Anneau Volkorne; Anneauræus; Bouclier du Stalak; Ceintrigue; Heaume Oplate; Cape de Diondin; Bottes Innommables; Dofus Pourpre; Astucieux majeur; Nomade; Érudit majeur; Savant majeur; Vigoureux majeur; Brûlih</t>
        </is>
      </c>
    </row>
    <row r="9294">
      <c r="A9294" t="inlineStr">
        <is>
          <t>Osamodas M 200</t>
        </is>
      </c>
      <c r="B9294">
        <f>HYPERLINK("https://www.dofusbook.net/fr/equipement/4038096-osamodas-m-200/objets", "link")</f>
        <v/>
      </c>
      <c r="C9294" t="n">
        <v>1</v>
      </c>
      <c r="D9294" t="inlineStr">
        <is>
          <t>Lance Horselé; Amulette du Granduk; Gant du Valet Veinard; Alliance Gloursonne; Cadran de Feu; Menoture; Couronne d'Allister; Cape du Valet Veinard; Palmes Trithons; Dolmanax; Acrobate majeur; Remueur; Equilibriste majeur; Nomade; Cascadeur majeur; Siroko</t>
        </is>
      </c>
    </row>
    <row r="9295">
      <c r="A9295" t="inlineStr">
        <is>
          <t>Sram M 200</t>
        </is>
      </c>
      <c r="B9295">
        <f>HYPERLINK("https://www.dofusbook.net/fr/equipement/4002477-sram-m-200/objets", "link")</f>
        <v/>
      </c>
      <c r="C9295" t="n">
        <v>1</v>
      </c>
      <c r="D9295" t="inlineStr">
        <is>
          <t>Arc du Chalœil; Collier de Tourthon; Anneau Chevelu; Anneau Volkorne; Bouclier du Stalak; Ceinture Volkorne; Casque en Grithril; Voile d'encre; Bottes du Cœur Saignant; Dofus des Glaces; Dofus Ocre; Dofus Pourpre; Remueur; Nomade; Enragé majeur; Kompost</t>
        </is>
      </c>
    </row>
    <row r="9296">
      <c r="A9296" t="inlineStr">
        <is>
          <t>Pvp 150</t>
        </is>
      </c>
      <c r="B9296">
        <f>HYPERLINK("https://www.dofusbook.net/fr/equipement/2892361-pvp-150/objets", "link")</f>
        <v/>
      </c>
      <c r="C9296" t="n">
        <v>2</v>
      </c>
      <c r="D9296" t="inlineStr">
        <is>
          <t>Arc du Chalœil; Torquistik; Bague Instable; Bague Trithon; Bouclier précieux; Ceinture Gence; Masque Ardent; Cape Solution; Bottistik; Pousseur majeur; Culbuteur majeur; Pousseur; Bousculeur; Culbuteur; Bousculeur majeur; Balafreux</t>
        </is>
      </c>
    </row>
    <row r="9297">
      <c r="A9297" t="inlineStr">
        <is>
          <t>Pandawa M 200</t>
        </is>
      </c>
      <c r="B9297">
        <f>HYPERLINK("https://www.dofusbook.net/fr/equipement/3986429-pandawa-m-200/objets", "link")</f>
        <v/>
      </c>
      <c r="C9297" t="n">
        <v>1</v>
      </c>
      <c r="D9297" t="inlineStr">
        <is>
          <t>Arc corrompu; Amulette Volkorne; Bague Gloursonne; Anneau Tique; Cadran de Terre; Ceinture Volkorne; Heaume Oplate; Voile d'encre; Bottes d'Otomaï; Dofus des Glaces; Dofus Pourpre; Dofus Ivoire; Dofus Ocre; Astucieux majeur; Érudit majeur; Muldo Orchidée et Pourpre</t>
        </is>
      </c>
    </row>
    <row r="9298">
      <c r="A9298" t="inlineStr">
        <is>
          <t>Crâ M 200</t>
        </is>
      </c>
      <c r="B9298">
        <f>HYPERLINK("https://www.dofusbook.net/fr/equipement/3958635-cra-m-200/objets", "link")</f>
        <v/>
      </c>
      <c r="C9298" t="n">
        <v>1</v>
      </c>
      <c r="D9298" t="inlineStr">
        <is>
          <t>Lance Horselé; Collier du Valet Veinard; Anneau de Padgref; Gant du Valet Veinard; Bouclier du Captain Amakna; Sangle Oriole; Coiffe de Padgref; Cape du Valet Veinard; Getas de Padgref; Dofus Ocre; Dofus Pourpre; Dofus des Glaces; Dofus Turquoise; Voyageur; Equilibriste majeur; Pioute jaune</t>
        </is>
      </c>
    </row>
    <row r="9299">
      <c r="A9299" t="inlineStr">
        <is>
          <t>Hiuffe</t>
        </is>
      </c>
      <c r="B9299">
        <f>HYPERLINK("https://www.dofusbook.net/fr/equipement/2435842-hiuffe/objets", "link")</f>
        <v/>
      </c>
      <c r="C9299" t="n">
        <v>5</v>
      </c>
      <c r="D9299" t="inlineStr">
        <is>
          <t>Massier; Amulette Séculaire; Anneau Toriété; Anneau de Padgref; Quatre-feuilles; Ceinture Séculaire; Coiffe de Padgref; Cape de Diondin; Getas de Padgref; Dofus Turquoise; Dofus des Glaces; Ravageur Feu majeur; Saccageur Feu majeur; Savant majeur; Astucieux majeur; Pioute rouge</t>
        </is>
      </c>
    </row>
    <row r="9300">
      <c r="A9300" t="inlineStr">
        <is>
          <t>Crâ M 200</t>
        </is>
      </c>
      <c r="B9300">
        <f>HYPERLINK("https://www.dofusbook.net/fr/equipement/3383428-cra-m-200/objets", "link")</f>
        <v/>
      </c>
      <c r="C9300" t="n">
        <v>3</v>
      </c>
      <c r="D9300" t="inlineStr">
        <is>
          <t>Baguette des égarés; Amulette du Strigide; Alliance de Missiz Frizz; Bracelet du Piloztère; Quatre-feuilles; Ceinture du Strigide; Masque de Funespadon; Cape Luminescente; Bottes Honyme; Dofus des Glaces; Dofus Pourpre; Dofus Turquoise; Remueur; Nomade; Vigoureux majeur; Bébé Pandawa</t>
        </is>
      </c>
    </row>
    <row r="9301">
      <c r="A9301" t="inlineStr">
        <is>
          <t>Ecaflip M 200</t>
        </is>
      </c>
      <c r="B9301">
        <f>HYPERLINK("https://www.dofusbook.net/fr/equipement/3912796-ecaflip-m-200/objets", "link")</f>
        <v/>
      </c>
      <c r="C9301" t="n">
        <v>3</v>
      </c>
      <c r="D9301" t="inlineStr">
        <is>
          <t>Baguette des égarés; Amulette du Strigide; Alliance de Missiz Frizz; Bracelet du Piloztère; Quatre-feuilles; Ceinture du Strigide; Masque de Funespadon; Cape Luminescente; Bottes Honyme; Dofus des Glaces; Dofus Pourpre; Dofus Turquoise; Remueur; Nomade; Vigoureux majeur; Bébé Pandawa</t>
        </is>
      </c>
    </row>
    <row r="9302">
      <c r="A9302" t="inlineStr">
        <is>
          <t>Sadida M 200</t>
        </is>
      </c>
      <c r="B9302">
        <f>HYPERLINK("https://www.dofusbook.net/fr/equipement/3950754-sadida-m-200/objets", "link")</f>
        <v/>
      </c>
      <c r="C9302" t="n">
        <v>5</v>
      </c>
      <c r="D9302" t="inlineStr">
        <is>
          <t>Pelle de la Cour Sombre; Collier du Valet Veinard; Gant du Valet Veinard; Anneau d'Allister; Bouclier cubiste; Sangle Oriole; Couronne d'Allister; Cape du Valet Veinard; Bottes d'Allister; Dofus Ocre; Dofus des Glaces; Equilibriste majeur; Voyageur; Entraveur majeur; Ralentisseur majeur; Gwo Tofu Ventripotent</t>
        </is>
      </c>
    </row>
    <row r="9303">
      <c r="A9303" t="inlineStr">
        <is>
          <t>Roublard M 200</t>
        </is>
      </c>
      <c r="B9303">
        <f>HYPERLINK("https://www.dofusbook.net/fr/equipement/3947182-roublard-m-200/objets", "link")</f>
        <v/>
      </c>
      <c r="C9303" t="n">
        <v>0</v>
      </c>
      <c r="D9303" t="inlineStr">
        <is>
          <t>Arc du Chalœil; Collier de Tourthon; Anneau Volkorne; Anneau Chevelu; Bouclier du Stalak; Ceinture Volkorne; Masque de Koutoulou; Cape au Logis; Bottes de Brouce; Dofus des Glaces; Dofus Pourpre; Enragé majeur; Remueur; Dévastateur Terre majeur; Forcené majeur; Bulbisou</t>
        </is>
      </c>
    </row>
    <row r="9304">
      <c r="A9304" t="inlineStr">
        <is>
          <t>Ouginak M 200</t>
        </is>
      </c>
      <c r="B9304">
        <f>HYPERLINK("https://www.dofusbook.net/fr/equipement/3944272-ouginak-m-200/objets", "link")</f>
        <v/>
      </c>
      <c r="C9304" t="n">
        <v>4</v>
      </c>
      <c r="D9304" t="inlineStr">
        <is>
          <t>Arc Honte; Amulette Volcanique; Anneau de Nidas; Chevalière du Roi Joueur; Bouclier cubiste; Protopagne; Heaume Oplate; Cape de l'Œil Putride; Bottes du Roi Joueur; Dofus des Glaces; Dofus Ivoire; Remueur; Temporiseur majeur; Entraveur majeur; Érudit majeur; Gwo Tofu Ventripotent</t>
        </is>
      </c>
    </row>
    <row r="9305">
      <c r="A9305" t="inlineStr">
        <is>
          <t>Enutrof M 200</t>
        </is>
      </c>
      <c r="B9305">
        <f>HYPERLINK("https://www.dofusbook.net/fr/equipement/3944185-enutrof-m-200/objets", "link")</f>
        <v/>
      </c>
      <c r="C9305" t="n">
        <v>2</v>
      </c>
      <c r="D9305" t="inlineStr">
        <is>
          <t>Lance Horselé; Collier du Valet Veinard; Anneau d'Allister; Gant du Valet Veinard; Bouclier du Stalak; Sangle Oriole; Couronne d'Allister; Cape du Valet Veinard; Bottes d'Allister; Dofus Ocre; Dofus Ivoire; Dofus des Glaces; Dofus Abyssal; Voyageur; Paralyseur majeur; Boskito</t>
        </is>
      </c>
    </row>
    <row r="9306">
      <c r="A9306" t="inlineStr">
        <is>
          <t>Huppermage M 200</t>
        </is>
      </c>
      <c r="B9306">
        <f>HYPERLINK("https://www.dofusbook.net/fr/equipement/3943737-huppermage-m-200/objets", "link")</f>
        <v/>
      </c>
      <c r="C9306" t="n">
        <v>1</v>
      </c>
      <c r="D9306" t="inlineStr">
        <is>
          <t>Manthache; Collier du Valet Veinard; Anneau d'Allister; Gant du Valet Veinard; Bouclier du Stalak; Ceinture de la Reine des Voleurs; Coiffe de la Reine des Voleurs; Cape du Valet Veinard; Bottes de la Reine des Voleurs; Dofus Vulbis; Dofus Ocre; Dofus Abyssal; Dofus Ivoire; Dokoko; Dofus des Glaces; Wabbit</t>
        </is>
      </c>
    </row>
    <row r="9307">
      <c r="A9307" t="inlineStr">
        <is>
          <t>Iop F 200</t>
        </is>
      </c>
      <c r="B9307">
        <f>HYPERLINK("https://www.dofusbook.net/fr/equipement/3926288-iop-f-200/objets", "link")</f>
        <v/>
      </c>
      <c r="C9307" t="n">
        <v>2</v>
      </c>
      <c r="D9307" t="inlineStr">
        <is>
          <t>Marteau R'ture; Amulette du Cœur Saignant; Anneau Chevelu; Anneau Volkorne; Bouclier du Captain Amakna; Ceinture Volkorne; Coiffe de la Reine des Voleurs; Voile d'encre; Bottes de Brouce; Dofus Turquoise; Dofus Ocre; Dofus des Glaces; Nomade; Enragé majeur; Remueur; Volkorne Emeraude et Pourpre</t>
        </is>
      </c>
    </row>
    <row r="9308">
      <c r="A9308" t="inlineStr">
        <is>
          <t>Full force</t>
        </is>
      </c>
      <c r="B9308">
        <f>HYPERLINK("https://www.dofusbook.net/fr/equipement/3045698-full-force/objets", "link")</f>
        <v/>
      </c>
      <c r="C9308" t="n">
        <v>2</v>
      </c>
      <c r="D9308" t="inlineStr">
        <is>
          <t>Marteau R'ture; Collier de Tourthon; Anneau Crustique; Anneau Crustique; Bouclier du Stalak; Ceinture Gence; Coiffe du Comte Harebourg; Cape au Logis; Bottes du Comte Harebourg; Dofus des Glaces; Dofus Pourpre; Enragé majeur; Furibond majeur; Remueur; Forcené majeur; Kompost</t>
        </is>
      </c>
    </row>
    <row r="9309">
      <c r="A9309" t="inlineStr">
        <is>
          <t>Osamodas M 200</t>
        </is>
      </c>
      <c r="B9309">
        <f>HYPERLINK("https://www.dofusbook.net/fr/equipement/3787416-osamodas-m-200/objets", "link")</f>
        <v/>
      </c>
      <c r="C9309" t="n">
        <v>3</v>
      </c>
      <c r="D9309" t="inlineStr">
        <is>
          <t>Dagues Érhy; Collier de Tourthon; Anneau Chevelu; Pikano; Cadran de Feu; Ceinture de la Reine des Voleurs; Coiffe de la Reine des Voleurs; Cape au Logis; Sabots Minables; Dofus des Glaces; Dokoko; Forcené majeur; Remueur; Enragé majeur; Furibond majeur; Kompost</t>
        </is>
      </c>
    </row>
    <row r="9310">
      <c r="A9310" t="inlineStr">
        <is>
          <t>Zobal M 200</t>
        </is>
      </c>
      <c r="B9310">
        <f>HYPERLINK("https://www.dofusbook.net/fr/equipement/3913982-zobal-m-200/objets", "link")</f>
        <v/>
      </c>
      <c r="C9310" t="n">
        <v>3</v>
      </c>
      <c r="D9310" t="inlineStr">
        <is>
          <t>Hache Euvale; Amulette Luminescente; Alliance Gloursonne; Anneau Volkorne; Bouclier Taverne; Ceinture Luminescente; Masque du Barbétoal; Cape Solution; Bottes des Malveilleurs; Dofus Ocre; Dofus des Glaces; Bousculeur majeur; Culbuteur majeur; Nomade; Chanceux majeur; Écumouth</t>
        </is>
      </c>
    </row>
    <row r="9311">
      <c r="A9311" t="inlineStr">
        <is>
          <t>Xélor F 200</t>
        </is>
      </c>
      <c r="B9311">
        <f>HYPERLINK("https://www.dofusbook.net/fr/equipement/3912877-xelor-f-200/objets", "link")</f>
        <v/>
      </c>
      <c r="C9311" t="n">
        <v>0</v>
      </c>
      <c r="D9311" t="inlineStr">
        <is>
          <t>Arc de Koutoulou; Amulette du Strigide; Bracelet du Piloztère; Alliance Gloursonne; Quatre-feuilles; Ceinture du Strigide; Némès de Tal Kasha; Chevelure de Tal Kasha; Sandales de Tal Kasha; Dofus Pourpre; Dofus des Glaces; Dofus Turquoise; Dolmanax; Dofus Ocre; Voyageur; Sakochère</t>
        </is>
      </c>
    </row>
    <row r="9312">
      <c r="A9312" t="inlineStr">
        <is>
          <t>Feu crit</t>
        </is>
      </c>
      <c r="B9312">
        <f>HYPERLINK("https://www.dofusbook.net/fr/equipement/3157668-feu-crit/objets", "link")</f>
        <v/>
      </c>
      <c r="C9312" t="n">
        <v>2</v>
      </c>
      <c r="D9312" t="inlineStr">
        <is>
          <t>Arc du Chalœil; Collier de Tourthon; Anneau de Brouce; Anneau du Comte Harebourg; Quatre-feuilles; Ceinture de Brouce; Coiffe du Comte Harebourg; Cape au Logis; Bottes de Brouce; Dofus des Glaces; Dofus Pourpre; Dofus Nébuleux; Dofus Turquoise; Dofus Ocre; Forcené majeur; Kompost</t>
        </is>
      </c>
    </row>
    <row r="9313">
      <c r="A9313" t="inlineStr">
        <is>
          <t>Eniripsa M 200</t>
        </is>
      </c>
      <c r="B9313">
        <f>HYPERLINK("https://www.dofusbook.net/fr/equipement/3900247-eniripsa-m-200/objets", "link")</f>
        <v/>
      </c>
      <c r="C9313" t="n">
        <v>3</v>
      </c>
      <c r="D9313" t="inlineStr">
        <is>
          <t>Arc du Chalœil; Amulette du Cœur Saignant; Anneau Chevelu; Anneau Crustique; Quatre-feuilles; Ceinture Volkorne; Masque de Koutoulou; Cape au Logis; Bottes du Cœur Saignant; Dofus des Glaces; Dofus Nébuleux; Dofus Turquoise; Enragé majeur; Remueur; Forcené majeur; Pioute vert</t>
        </is>
      </c>
    </row>
    <row r="9314">
      <c r="A9314" t="inlineStr">
        <is>
          <t>Zobal M 200</t>
        </is>
      </c>
      <c r="B9314">
        <f>HYPERLINK("https://www.dofusbook.net/fr/equipement/3705930-zobal-m-200/objets", "link")</f>
        <v/>
      </c>
      <c r="C9314" t="n">
        <v>1</v>
      </c>
      <c r="D9314" t="inlineStr">
        <is>
          <t>Hachoirs de Viandargh; Collier du Valet Veinard; Anneau de Padgref; Gant du Valet Veinard; Bouclier du Captain Amakna; Sangle Oriole; Coiffe de Padgref; Cape du Valet Veinard; Getas de Padgref; Dofus des Glaces; Dofus Ocre; Dofus Turquoise; Voyageur; Acrobate majeur; Equilibriste majeur; Pioute vert</t>
        </is>
      </c>
    </row>
    <row r="9315">
      <c r="A9315" t="inlineStr">
        <is>
          <t>Full jeak</t>
        </is>
      </c>
      <c r="B9315">
        <f>HYPERLINK("https://www.dofusbook.net/fr/equipement/2435586-full-jeak/objets", "link")</f>
        <v/>
      </c>
      <c r="C9315" t="n">
        <v>6</v>
      </c>
      <c r="D9315" t="inlineStr">
        <is>
          <t>Harpelle; Pendentif affamé; Anneauræus; Anneau de Nidas; Bouclier du Cycloïde; Ceintrigue; Couronne de Nidas; Cape de Diondin; Bottes Innommables; Soigneur majeur; Érudit majeur; Astucieux majeur; Guérisseur majeur; Guérisseur; Docteur majeur; Dragodinde Orchidée et Rousse</t>
        </is>
      </c>
    </row>
    <row r="9316">
      <c r="A9316" t="inlineStr">
        <is>
          <t>Osamodas F 200</t>
        </is>
      </c>
      <c r="B9316">
        <f>HYPERLINK("https://www.dofusbook.net/fr/equipement/3910517-osamodas-f-200/objets", "link")</f>
        <v/>
      </c>
      <c r="C9316" t="n">
        <v>2</v>
      </c>
      <c r="D9316" t="inlineStr">
        <is>
          <t>Arc corrompu; Amulette Volkorne; Anneau de Nidas; Anneau Tique; Ftalmo; Protopagne; Couronne de Nidas; Voile d'encre; Bottes Honyme; Dofus des Glaces; Dofus Ivoire; Dofus Abyssal; Astucieux majeur; Érudit majeur; Remueur; Bisouglours</t>
        </is>
      </c>
    </row>
    <row r="9317">
      <c r="A9317" t="inlineStr">
        <is>
          <t>Sacrieur M 200</t>
        </is>
      </c>
      <c r="B9317">
        <f>HYPERLINK("https://www.dofusbook.net/fr/equipement/3789445-sacrieur-m-200/objets", "link")</f>
        <v/>
      </c>
      <c r="C9317" t="n">
        <v>3</v>
      </c>
      <c r="D9317" t="inlineStr">
        <is>
          <t>Arc corrompu; Amulette Volkorne; Anneau de Padgref; Anneauræus; Quatre-feuilles; Ceinture de Gein; Heaume Oplate; Cape de Diondin; Getas de Padgref; Dofus Turquoise; Dofus des Glaces; Érudit majeur; Nomade; Astucieux majeur; Dévastateur Feu majeur; Pioute rouge</t>
        </is>
      </c>
    </row>
    <row r="9318">
      <c r="A9318" t="inlineStr">
        <is>
          <t>Agil</t>
        </is>
      </c>
      <c r="B9318">
        <f>HYPERLINK("https://www.dofusbook.net/fr/equipement/3003211-agil/objets", "link")</f>
        <v/>
      </c>
      <c r="C9318" t="n">
        <v>2</v>
      </c>
      <c r="D9318" t="inlineStr">
        <is>
          <t>Manthache; Collier du Valet Veinard; Alliance Gloursonne; Gant du Valet Veinard; Bouclier du Stalak; Menoture; Casque Volkorne; Cape Indescriptible; Palmes Trithons; Dofus des Glaces; Equilibriste majeur; Étourdisseur majeur; Nomade; Dévastateur Air majeur; Cascadeur majeur; Volkorne Ivoire et Ebène</t>
        </is>
      </c>
    </row>
    <row r="9319">
      <c r="A9319" t="inlineStr">
        <is>
          <t>Sadida F 200</t>
        </is>
      </c>
      <c r="B9319">
        <f>HYPERLINK("https://www.dofusbook.net/fr/equipement/3903988-sadida-f-200/objets", "link")</f>
        <v/>
      </c>
      <c r="C9319" t="n">
        <v>5</v>
      </c>
      <c r="D9319" t="inlineStr">
        <is>
          <t>Dagues Érhy; Amulette Ementaire Deluxe; Alliance Gloursonne; Pikano; Bouclier du Stalak; Ceinture de l'Esprit Salvateur; Masque de l'Esprit Salvateur; Voilamibe; Bottes Honyme; Dofus Pourpre; Dofus Abyssal; Dofus Ocre; Dofus Ivoire; Dolmanax; Dofus des Glaces; Kramkram</t>
        </is>
      </c>
    </row>
    <row r="9320">
      <c r="A9320" t="inlineStr">
        <is>
          <t>Eau terre</t>
        </is>
      </c>
      <c r="B9320">
        <f>HYPERLINK("https://www.dofusbook.net/fr/equipement/3182526-eau-terre/objets", "link")</f>
        <v/>
      </c>
      <c r="C9320" t="n">
        <v>1</v>
      </c>
      <c r="D9320" t="inlineStr">
        <is>
          <t>Dagoulinantes; Amulette de Shokkoth; Alliance Gloursonne; Anneau Volkorne; Bouclier du Stalak; Ceinture de la Reine des Voleurs; Coiffe de Danathor; Cape Solution; Bottes de la Reine des Voleurs; Dofus des Glaces; Nomade; Taquin majeur; Chanceux majeur; Remueur; Dévastateur Eau majeur; Kanigloups</t>
        </is>
      </c>
    </row>
    <row r="9321">
      <c r="A9321" t="inlineStr">
        <is>
          <t>Ré pou</t>
        </is>
      </c>
      <c r="B9321">
        <f>HYPERLINK("https://www.dofusbook.net/fr/equipement/3176131-re-pou/objets", "link")</f>
        <v/>
      </c>
      <c r="C9321" t="n">
        <v>0</v>
      </c>
      <c r="D9321" t="inlineStr">
        <is>
          <t>Pelle de la Cour Sombre; Collier du Valet Veinard; Gant du Valet Veinard; Alliance Gloursonne; Bouclier de Solar; Ceintacé; Dorabysses; Cape de Crânonier; Palmes Trithons; Dofus Forgelave; Solide majeur; Remueur; Inflexible majeur; Nomade; Cascadeur majeur; Chacha Tigré</t>
        </is>
      </c>
    </row>
    <row r="9322">
      <c r="A9322" t="inlineStr">
        <is>
          <t>Zobal M 200</t>
        </is>
      </c>
      <c r="B9322">
        <f>HYPERLINK("https://www.dofusbook.net/fr/equipement/3717220-zobal-m-200/objets", "link")</f>
        <v/>
      </c>
      <c r="C9322" t="n">
        <v>3</v>
      </c>
      <c r="D9322" t="inlineStr">
        <is>
          <t>Dagues Érhy; Torquistik; Baguistik; Goulano; Goulclier; Ceinture de la Reine des Voleurs; Coiffe de la Reine des Voleurs; Cape au Logis; Bottistik; Dofus Abyssal; Dofus des Glaces; Dolmanax; Dofus Ocre; Dofus Ivoire; Bastion majeur; Bouftor</t>
        </is>
      </c>
    </row>
    <row r="9323">
      <c r="A9323" t="inlineStr">
        <is>
          <t>Foorce</t>
        </is>
      </c>
      <c r="B9323">
        <f>HYPERLINK("https://www.dofusbook.net/fr/equipement/2945086-foorce/objets", "link")</f>
        <v/>
      </c>
      <c r="C9323" t="n">
        <v>9</v>
      </c>
      <c r="D9323" t="inlineStr">
        <is>
          <t>Lav'Hache; Collier de Tourthon; Anneau du Comte Harebourg; Anneau de Brouce; Bouclier du Stalak; Ceinture de Brouce; Coiffe du Comte Harebourg; Cape au Logis; Bottes de Brouce; Dofus Ocre; Dofus des Glaces; Dofus Pourpre; Dolmanax; Furibond majeur; Forcené majeur; Kompost</t>
        </is>
      </c>
    </row>
    <row r="9324">
      <c r="A9324" t="inlineStr">
        <is>
          <t>Ouginak M 200</t>
        </is>
      </c>
      <c r="B9324">
        <f>HYPERLINK("https://www.dofusbook.net/fr/equipement/3709284-ouginak-m-200/objets", "link")</f>
        <v/>
      </c>
      <c r="C9324" t="n">
        <v>3</v>
      </c>
      <c r="D9324" t="inlineStr">
        <is>
          <t>Marteau R'ture; Amulette du Cœur Saignant; Anneau Crustique; Anneau Chevelu; Bouclier d'Ilyzaelle; Ceinture Volkorne; Masque de Koutoulou; Cape au Logis; Bottes du Cœur Saignant; Dofus des Glaces; Dofus Abyssal; Dofus Émeraude; Dofus Ivoire; Remueur; Enragé majeur; Titard</t>
        </is>
      </c>
    </row>
    <row r="9325">
      <c r="A9325" t="inlineStr">
        <is>
          <t>Feu crit</t>
        </is>
      </c>
      <c r="B9325">
        <f>HYPERLINK("https://www.dofusbook.net/fr/equipement/3157610-feu-crit/objets", "link")</f>
        <v/>
      </c>
      <c r="C9325" t="n">
        <v>2</v>
      </c>
      <c r="D9325" t="inlineStr">
        <is>
          <t>Lav'Hache; Torquistik; Goulano; Baguistik; Goulclier; Ceinture de la Reine des Voleurs; Coiffe de la Reine des Voleurs; Cape au Logis; Bottistik; Dofus Ocre; Dofus Ivoire; Pousseur majeur; Bastion majeur; Bousculeur; Bousculeur majeur; Tatouf</t>
        </is>
      </c>
    </row>
    <row r="9326">
      <c r="A9326" t="inlineStr">
        <is>
          <t>Eau resi</t>
        </is>
      </c>
      <c r="B9326">
        <f>HYPERLINK("https://www.dofusbook.net/fr/equipement/2855154-eau-resi/objets", "link")</f>
        <v/>
      </c>
      <c r="C9326" t="n">
        <v>4</v>
      </c>
      <c r="D9326" t="inlineStr">
        <is>
          <t>Sceptre du Roi Joueur; Amulette de Shokkoth; Anneau Volkorne; Alliance Gloursonne; Cadran de Feu; Sangle Ouare; Masque des Fonds marins; Cape Solution; Sandales des Fonds marins; Dofus Abyssal; Dofus des Glaces; Dofus Ivoire; Chanceux majeur; Remueur; Dévastateur Eau majeur; Kanigloups</t>
        </is>
      </c>
    </row>
    <row r="9327">
      <c r="A9327" t="inlineStr">
        <is>
          <t>Iop M 200</t>
        </is>
      </c>
      <c r="B9327">
        <f>HYPERLINK("https://www.dofusbook.net/fr/equipement/3859977-iop-m-200/objets", "link")</f>
        <v/>
      </c>
      <c r="C9327" t="n">
        <v>5</v>
      </c>
      <c r="D9327" t="inlineStr">
        <is>
          <t>Épée Brûlâme; Collier de la Dame du Hasard; Bague Nostik; Anneau Kturne; Bouclier du Captain Amakna; Ceintacé; Casquette de Meno; Cape de la Dame du Hasard; Pataugastrique; Dofus Turquoise; Dofus des Glaces; Dofus Pourpre; Sanguinaire majeur; Vigoureux majeur; Nomade; Chacha Angora</t>
        </is>
      </c>
    </row>
    <row r="9328">
      <c r="A9328" t="inlineStr">
        <is>
          <t>Zobal M 200</t>
        </is>
      </c>
      <c r="B9328">
        <f>HYPERLINK("https://www.dofusbook.net/fr/equipement/3853799-zobal-m-200/objets", "link")</f>
        <v/>
      </c>
      <c r="C9328" t="n">
        <v>2</v>
      </c>
      <c r="D9328" t="inlineStr">
        <is>
          <t>Hache Téroïde; Amulette du Strigide; Bague Trithon; Bague Gloursonne; Bouclier du Captain Amakna; Ceinture du Strigide; Masque Trithon; Voile d'encre; Bottes Trithon; Dofus Vulbis; Dofus Ocre; Dofus Pourpre; Dofus des Glaces; Dofus Turquoise; Dofus Nébuleux; Sakochère</t>
        </is>
      </c>
    </row>
    <row r="9329">
      <c r="A9329" t="inlineStr">
        <is>
          <t>Ecaflip M 200</t>
        </is>
      </c>
      <c r="B9329">
        <f>HYPERLINK("https://www.dofusbook.net/fr/equipement/3821189-ecaflip-m-200/objets", "link")</f>
        <v/>
      </c>
      <c r="C9329" t="n">
        <v>2</v>
      </c>
      <c r="D9329" t="inlineStr">
        <is>
          <t>Arc Volkorne; Amulette du Strigide; Bracelet du Piloztère; Alliance Gloursonne; Bouclier du Stalak; Ceinture du Strigide; Masque de l'Esprit Salvateur; Voile d'encre; Bottes du Strigide; Dofus Vulbis; Dofus Ocre; Dolmanax; Dofus des Glaces; Dofus Pourpre; Robuste majeur; Sakochère</t>
        </is>
      </c>
    </row>
    <row r="9330">
      <c r="A9330" t="inlineStr">
        <is>
          <t>Enutrof M 200</t>
        </is>
      </c>
      <c r="B9330">
        <f>HYPERLINK("https://www.dofusbook.net/fr/equipement/3808566-enutrof-m-200/objets", "link")</f>
        <v/>
      </c>
      <c r="C9330" t="n">
        <v>1</v>
      </c>
      <c r="D9330" t="inlineStr">
        <is>
          <t>Sceptre du Minotot; Collier du Minotot; Bracelet du Minotot; Anneau Bliteré; Bouclier du Stalak; Ceinture du Minotot; Casque Harnage; Cape du Minotot; Bottes du Nocturlabe; Dolmanax; Dokille; Dofus Kaliptus; Taquin majeur; Taquin; Joueur majeur; Bloalak</t>
        </is>
      </c>
    </row>
    <row r="9331">
      <c r="A9331" t="inlineStr">
        <is>
          <t>Steamer M 200</t>
        </is>
      </c>
      <c r="B9331">
        <f>HYPERLINK("https://www.dofusbook.net/fr/equipement/3808057-steamer-m-200/objets", "link")</f>
        <v/>
      </c>
      <c r="C9331" t="n">
        <v>1</v>
      </c>
      <c r="D9331" t="inlineStr">
        <is>
          <t>Arc Volkorne; Amulette du Strigide; Bracelet du Piloztère; Anneau du Père Fwetar; Quatre-feuilles; Ceinture du Strigide; Casque du Chalœil; Cape du Chalœil; Bottes du Strigide; Dofus Pourpre; Dofus des Glaces; Dofus Vulbis; Dofus Turquoise; Dolmanax; Dofus Ocre; Chacha Angora</t>
        </is>
      </c>
    </row>
    <row r="9332">
      <c r="A9332" t="inlineStr">
        <is>
          <t>Agil</t>
        </is>
      </c>
      <c r="B9332">
        <f>HYPERLINK("https://www.dofusbook.net/fr/equipement/3089198-agil/objets", "link")</f>
        <v/>
      </c>
      <c r="C9332" t="n">
        <v>2</v>
      </c>
      <c r="D9332" t="inlineStr">
        <is>
          <t>Dagoulinantes; Amulette de Shokkoth; Anneau Glacial; Anneau Volkorne; Bouclier du Stalak; Ceinture Glaciale; Capuche de l'Œil Attentif; Cape Solution; Bottes du Nocturlabe; Dofus des Glaces; Remueur; Taquin majeur; Nomade; Dévastateur Eau majeur; Chanceux majeur; Kanigloups</t>
        </is>
      </c>
    </row>
    <row r="9333">
      <c r="A9333" t="inlineStr">
        <is>
          <t>Agil</t>
        </is>
      </c>
      <c r="B9333">
        <f>HYPERLINK("https://www.dofusbook.net/fr/equipement/3012255-agil/objets", "link")</f>
        <v/>
      </c>
      <c r="C9333" t="n">
        <v>4</v>
      </c>
      <c r="D9333" t="inlineStr">
        <is>
          <t>Karnak; Collier du Valet Veinard; Alliance Gloursonne; Gant du Valet Veinard; Bouclier d'Ilyzaelle; Menoture; Dorabysses; Cape Martegel; Palmes Trithons; Dofus Émeraude; Remueur; Acrobate majeur; Miraculé majeur; Dévastateur Air majeur; Cascadeur majeur; Kramkram</t>
        </is>
      </c>
    </row>
    <row r="9334">
      <c r="A9334" t="inlineStr">
        <is>
          <t>Do crit</t>
        </is>
      </c>
      <c r="B9334">
        <f>HYPERLINK("https://www.dofusbook.net/fr/equipement/3175273-do-crit/objets", "link")</f>
        <v/>
      </c>
      <c r="C9334" t="n">
        <v>1</v>
      </c>
      <c r="D9334" t="inlineStr">
        <is>
          <t>Dagues d'Ilyzaelle; Amulette du Cœur Saignant; Anneau Chevelu; Anneau Crustique; Bouclier du Stalak; Ceinture Volkorne; Masque de Koutoulou; Cape au Logis; Bottes du Cœur Saignant; Dofus Turquoise; Dofus des Glaces; Forcené majeur; Enragé majeur; Remueur; Furibond majeur; Pioute jaune</t>
        </is>
      </c>
    </row>
    <row r="9335">
      <c r="A9335" t="inlineStr">
        <is>
          <t>Ouginak M 200</t>
        </is>
      </c>
      <c r="B9335">
        <f>HYPERLINK("https://www.dofusbook.net/fr/equipement/3765786-ouginak-m-200/objets", "link")</f>
        <v/>
      </c>
      <c r="C9335" t="n">
        <v>2</v>
      </c>
      <c r="D9335" t="inlineStr">
        <is>
          <t>Lav'Hache; Torquistik; Bague Instable; Bague Trithon; Bouclier précieux; Ceinture Gence; Casque Dragoeuf; Cape Solution; Bottistik; Dokoko; Dofus Émeraude; Dofus Abyssal; Dofus Ivoire; Bousculeur majeur; Culbuteur majeur; Balafreux</t>
        </is>
      </c>
    </row>
    <row r="9336">
      <c r="A9336" t="inlineStr">
        <is>
          <t>Huppermage M 200</t>
        </is>
      </c>
      <c r="B9336">
        <f>HYPERLINK("https://www.dofusbook.net/fr/equipement/3798398-huppermage-m-200/objets", "link")</f>
        <v/>
      </c>
      <c r="C9336" t="n">
        <v>1</v>
      </c>
      <c r="D9336" t="inlineStr">
        <is>
          <t>Lance Horselé; Collier du Valet Veinard; Anneau Rifique; Gant du Valet Veinard; Cadran de Terre; Ceinture de Vortex; Cagoule de Vortex; Cape du Valet Veinard; Sabots de Vortex; Dofus des Glaces; Dofus Pourpre; Dofus Abyssal; Dofus Ocre; Dofus Ivoire; Voyageur; Koalak Sanguin</t>
        </is>
      </c>
    </row>
    <row r="9337">
      <c r="A9337" t="inlineStr">
        <is>
          <t>Huppermage M 200</t>
        </is>
      </c>
      <c r="B9337">
        <f>HYPERLINK("https://www.dofusbook.net/fr/equipement/3798320-huppermage-m-200/objets", "link")</f>
        <v/>
      </c>
      <c r="C9337" t="n">
        <v>1</v>
      </c>
      <c r="D9337" t="inlineStr">
        <is>
          <t>Arc Oleptik; Pendentif mignon de Koutoulou; Kralano; Alliance Brûlâme; Cadran de Terre; Ceinture de Vortex; Cagoule de Vortex; Cape Martegel; Pantoufles Émar; Dofus Pourpre; Dofus Ivoire; Dofus Ocre; Dofus des Glaces; Étourdisseur majeur; Nomade; Koalak Sanguin</t>
        </is>
      </c>
    </row>
    <row r="9338">
      <c r="A9338" t="inlineStr">
        <is>
          <t>Air eau</t>
        </is>
      </c>
      <c r="B9338">
        <f>HYPERLINK("https://www.dofusbook.net/fr/equipement/3176600-air-eau/objets", "link")</f>
        <v/>
      </c>
      <c r="C9338" t="n">
        <v>2</v>
      </c>
      <c r="D9338" t="inlineStr">
        <is>
          <t>Hache du Korriandre; Amulette du Strigide; Alliance Gloursonne; Anneau du Korriandre; Quatre-feuilles; Ceinture du Strigide; Némès de Tal Kasha; Chevelure de Tal Kasha; Sandales de Tal Kasha; Dofus Turquoise; Dofus des Glaces; Dofus Ocre; Dofus Pourpre; Dolmanax; Chacha Angora</t>
        </is>
      </c>
    </row>
    <row r="9339">
      <c r="A9339" t="inlineStr">
        <is>
          <t>Sacrieur M 200</t>
        </is>
      </c>
      <c r="B9339">
        <f>HYPERLINK("https://www.dofusbook.net/fr/equipement/3790052-sacrieur-m-200/objets", "link")</f>
        <v/>
      </c>
      <c r="C9339" t="n">
        <v>0</v>
      </c>
      <c r="D9339" t="inlineStr">
        <is>
          <t>Marteau Pospodrol; Amulette Héroclite; Bague de l'Obsidiantre; Chevalière du Roi Joueur; Obscture; Le Kim; La Guenille; Sandales du Minotot; Dofus des Glaces; Tofu Givré</t>
        </is>
      </c>
    </row>
    <row r="9340">
      <c r="A9340" t="inlineStr">
        <is>
          <t>Steamer M 200</t>
        </is>
      </c>
      <c r="B9340">
        <f>HYPERLINK("https://www.dofusbook.net/fr/equipement/3789035-steamer-m-200/objets", "link")</f>
        <v/>
      </c>
      <c r="C9340" t="n">
        <v>0</v>
      </c>
      <c r="D9340" t="inlineStr">
        <is>
          <t>Sabres d'Atcham; Amulette du Strigide; Anneau de Padgref; Bague Trithon; Bouclier du Captain Amakna; Ceinture du Strigide; Masque Trithon; Cape d'Atcham; Bottes Trithon; Dolmanax; Dofus Ocre; Dofus Pourpre; Dofus des Glaces; Dofus Turquoise; Voyageur; Chacha Angora</t>
        </is>
      </c>
    </row>
    <row r="9341">
      <c r="A9341" t="inlineStr">
        <is>
          <t>Xélor M 200</t>
        </is>
      </c>
      <c r="B9341">
        <f>HYPERLINK("https://www.dofusbook.net/fr/equipement/3792334-xelor-m-200/objets", "link")</f>
        <v/>
      </c>
      <c r="C9341" t="n">
        <v>0</v>
      </c>
      <c r="D9341" t="inlineStr">
        <is>
          <t>Rod Gerse; Amunite; Alliance Boletée; Gelano; String Tue-Mouche; Frimacoiffe; Capignon; Sandales du Minotot; Dragodinde Prune et Orchidée</t>
        </is>
      </c>
    </row>
    <row r="9342">
      <c r="A9342" t="inlineStr">
        <is>
          <t>Pandawa F 200</t>
        </is>
      </c>
      <c r="B9342">
        <f>HYPERLINK("https://www.dofusbook.net/fr/equipement/3789343-pandawa-f-200/objets", "link")</f>
        <v/>
      </c>
      <c r="C9342" t="n">
        <v>3</v>
      </c>
      <c r="D9342" t="inlineStr">
        <is>
          <t>Dagoulinantes; Amulette de Danathor; Anneau Instable; Bague Instable; Bouclier Brâkmarien; Ceinture Glaciale; Kanistère; Cape de l'Œil Attentif; Bottines des sous-bois; Dolmanax; Dofus Ocre; Chanceux majeur; Taquin majeur; Fonceur majeur; Précurseur majeur; Kougnard</t>
        </is>
      </c>
    </row>
    <row r="9343">
      <c r="A9343" t="inlineStr">
        <is>
          <t>Force</t>
        </is>
      </c>
      <c r="B9343">
        <f>HYPERLINK("https://www.dofusbook.net/fr/equipement/2003893-force/objets", "link")</f>
        <v/>
      </c>
      <c r="C9343" t="n">
        <v>1</v>
      </c>
      <c r="D9343" t="inlineStr">
        <is>
          <t>Lav'Hache; Amulette Héroclite; Anneau de Brouce; Anneau Chevelu; Cadran de Feu; Ceinture Volkorne; Masque de Koutoulou; Cape du Cœur Saignant; Bottes de Brouce; Dofus des Glaces; Dofus Ivoire; Remueur; Miraculé majeur; Nomade; Enragé majeur; Bulbisou</t>
        </is>
      </c>
    </row>
    <row r="9344">
      <c r="A9344" t="inlineStr">
        <is>
          <t>Osa</t>
        </is>
      </c>
      <c r="B9344">
        <f>HYPERLINK("https://www.dofusbook.net/fr/equipement/3787319-osa/objets", "link")</f>
        <v/>
      </c>
      <c r="C9344" t="n">
        <v>1</v>
      </c>
      <c r="D9344" t="inlineStr">
        <is>
          <t>Lav'Hache; Amulette Volcanique; Anneau Crustique; Anneau Chevelu; Bouclier Bontarien; Ceinture Volkorne; Casque Dragoeuf; Cape au Logis; Bottes Honyme; Dokoko; Dofus Ivoire; Dofus Ocre; Dofus des Glaces; Miraculé majeur; Enragé majeur; Dragodinde Amande et Pourpre</t>
        </is>
      </c>
    </row>
    <row r="9345">
      <c r="A9345" t="inlineStr">
        <is>
          <t>Osamodas M 200</t>
        </is>
      </c>
      <c r="B9345">
        <f>HYPERLINK("https://www.dofusbook.net/fr/equipement/3787311-osamodas-m-200/objets", "link")</f>
        <v/>
      </c>
      <c r="C9345" t="n">
        <v>2</v>
      </c>
      <c r="D9345" t="inlineStr">
        <is>
          <t>Lav'Hache; Collier Rophante; Anneau Chevelu; Anneau Crustique; Bouclier Bontarien; Ceinture Volkorne; Masque d'Anerice; Cape d'Anerice; Bottes Honyme; Dofus des Glaces; Dokoko; Dofus Ivoire; Dofus Ocre; Enragé majeur; Miraculé majeur; Dragodinde Amande et Pourpre</t>
        </is>
      </c>
    </row>
    <row r="9346">
      <c r="A9346" t="inlineStr">
        <is>
          <t>Osamodas M 200</t>
        </is>
      </c>
      <c r="B9346">
        <f>HYPERLINK("https://www.dofusbook.net/fr/equipement/3787261-osamodas-m-200/objets", "link")</f>
        <v/>
      </c>
      <c r="C9346" t="n">
        <v>0</v>
      </c>
      <c r="D9346" t="inlineStr">
        <is>
          <t>Lav'Hache; Amulette Héroclite; Bague Gloursonne; Anneau Chevelu; Bouclier Bontarien; Ceinture Volkorne; Masque de Koutoulou; Voile d'encre; Bottes Dogues; Dofus Ocre; Dofus Ivoire; Dofus des Glaces; Dokoko; Dofus Abyssal; Enragé majeur; Shushu de Rushu</t>
        </is>
      </c>
    </row>
    <row r="9347">
      <c r="A9347" t="inlineStr">
        <is>
          <t>Agil</t>
        </is>
      </c>
      <c r="B9347">
        <f>HYPERLINK("https://www.dofusbook.net/fr/equipement/3089202-agil/objets", "link")</f>
        <v/>
      </c>
      <c r="C9347" t="n">
        <v>0</v>
      </c>
      <c r="D9347" t="inlineStr">
        <is>
          <t>Pelle de la Cour Sombre; Collier du Valet Veinard; Alliance Gloursonne; Gant du Valet Veinard; Cadran d'Air; Menoture; Couronne d'Allister; Cape Indescriptible; Palmes Trithons; Remueur; Acrobate majeur; Nomade; Equilibriste majeur; Dévastateur Air majeur; Cascadeur majeur; Siroko</t>
        </is>
      </c>
    </row>
    <row r="9348">
      <c r="A9348" t="inlineStr">
        <is>
          <t>Ecaflip M 200</t>
        </is>
      </c>
      <c r="B9348">
        <f>HYPERLINK("https://www.dofusbook.net/fr/equipement/3784167-ecaflip-m-200/objets", "link")</f>
        <v/>
      </c>
      <c r="C9348" t="n">
        <v>1</v>
      </c>
      <c r="D9348" t="inlineStr">
        <is>
          <t>Sabres d'Atcham; Amulette du Strigide; Bague Trithon; Bracelet du Piloztère; Bouclier du Captain Amakna; Ceinture du Strigide; Masque Trithon; Cape d'Atcham; Bottes Trithon; Dolmanax; Dofus des Glaces; Dofus Turquoise; Dofus Pourpre; Dofus Vulbis; Dofus Ocre; Chacha Angora</t>
        </is>
      </c>
    </row>
    <row r="9349">
      <c r="A9349" t="inlineStr">
        <is>
          <t>Iop M 200</t>
        </is>
      </c>
      <c r="B9349">
        <f>HYPERLINK("https://www.dofusbook.net/fr/equipement/3781923-iop-m-200/objets", "link")</f>
        <v/>
      </c>
      <c r="C9349" t="n">
        <v>0</v>
      </c>
      <c r="D9349" t="inlineStr">
        <is>
          <t>Marteau R'ture; Collier de Tourthon; Anneau de Brouce; Anneau du Comte Harebourg; Bouclier du Captain Amakna; Ceinture de Brouce; Coiffe du Comte Harebourg; Cape au Logis; Bottes de Brouce; Dofus Ocre; Dolmanax; Dofus des Glaces; Dofus Pourpre; Forcené majeur; Furibond majeur; Bulbisou</t>
        </is>
      </c>
    </row>
    <row r="9350">
      <c r="A9350" t="inlineStr">
        <is>
          <t>Full force</t>
        </is>
      </c>
      <c r="B9350">
        <f>HYPERLINK("https://www.dofusbook.net/fr/equipement/3089189-full-force/objets", "link")</f>
        <v/>
      </c>
      <c r="C9350" t="n">
        <v>0</v>
      </c>
      <c r="D9350" t="inlineStr">
        <is>
          <t>Marteau R'ture; Collier de Tourthon; Anneau Crustique; Anneau Crustique; Bouclier du Captain Amakna; Ceinture Volkorne; Coiffe du Comte Harebourg; Cape du Cœur Saignant; Bottes du Comte Harebourg; Dofus Ocre; Dofus des Glaces; Enragé majeur; Nomade; Remueur; Forcené majeur; Volkorne Pourpre</t>
        </is>
      </c>
    </row>
    <row r="9351">
      <c r="A9351" t="inlineStr">
        <is>
          <t>Agil</t>
        </is>
      </c>
      <c r="B9351">
        <f>HYPERLINK("https://www.dofusbook.net/fr/equipement/3154842-agil/objets", "link")</f>
        <v/>
      </c>
      <c r="C9351" t="n">
        <v>0</v>
      </c>
      <c r="D9351" t="inlineStr">
        <is>
          <t>Arc de Koutoulou; Amulette du Strigide; Bracelet du Piloztère; Alliance Gloursonne; Bouclier du Stalak; Ceinture du Strigide; Némès de Tal Kasha; Chevelure de Tal Kasha; Sandales de Tal Kasha; Dofus Ocre; Dofus Turquoise; Dofus des Glaces; Dofus Pourpre; Voyageur; Robuste majeur; Chacha Angora</t>
        </is>
      </c>
    </row>
    <row r="9352">
      <c r="A9352" t="inlineStr">
        <is>
          <t>Phossile</t>
        </is>
      </c>
      <c r="B9352">
        <f>HYPERLINK("https://www.dofusbook.net/fr/equipement/3023339-phossile/objets", "link")</f>
        <v/>
      </c>
      <c r="C9352" t="n">
        <v>0</v>
      </c>
      <c r="D9352" t="inlineStr">
        <is>
          <t>Marteau Phossile; Amulette du Strigide; Anneau de Padgref; Anneau Rifique; Bouclier du Captain Amakna; Ceinture du Strigide; Coiffe de Padgref; Cape Lati; Getas de Padgref; Dolmanax; Dofus Turquoise; Dofus Ocre; Dofus des Glaces; Dofus Pourpre; Voyageur; Chacha Angora</t>
        </is>
      </c>
    </row>
    <row r="9353">
      <c r="A9353" t="inlineStr">
        <is>
          <t>Multi carac</t>
        </is>
      </c>
      <c r="B9353">
        <f>HYPERLINK("https://www.dofusbook.net/fr/equipement/2167200-multi-carac/objets", "link")</f>
        <v/>
      </c>
      <c r="C9353" t="n">
        <v>0</v>
      </c>
      <c r="D9353" t="inlineStr">
        <is>
          <t>Marteau des égarés; Amulette Ementaire Deluxe; Anneau du Père Fwetar; Bracelet du Piloztère; Bouclier du Captain Amakna; Ceinture du Strigide; Le Dorado; Dofusteuse; Bottes du Strigide; Dofus Pourpre; Dofus des Glaces; Dofus Turquoise; Dolmanax; Remueur; Nomade; Kokulte</t>
        </is>
      </c>
    </row>
    <row r="9354">
      <c r="A9354" t="inlineStr">
        <is>
          <t>No crit</t>
        </is>
      </c>
      <c r="B9354">
        <f>HYPERLINK("https://www.dofusbook.net/fr/equipement/2389910-no-crit/objets", "link")</f>
        <v/>
      </c>
      <c r="C9354" t="n">
        <v>3</v>
      </c>
      <c r="D9354" t="inlineStr">
        <is>
          <t>Lance corrompue; Amulette du Cœur Vaillant; Anneau Crustique; Anneau Crustique; Sept ans de malheur; Ceintouse; Chapoulpe; Cape du Kamasterisk; Baleinabottes; Dofus Émeraude; Obstructeur majeur; Étourdisseur majeur; Nomade; Miraculé majeur; Remueur; Drakopin</t>
        </is>
      </c>
    </row>
    <row r="9355">
      <c r="A9355" t="inlineStr">
        <is>
          <t>Rall</t>
        </is>
      </c>
      <c r="B9355">
        <f>HYPERLINK("https://www.dofusbook.net/fr/equipement/2982244-rall/objets", "link")</f>
        <v/>
      </c>
      <c r="C9355" t="n">
        <v>3</v>
      </c>
      <c r="D9355" t="inlineStr">
        <is>
          <t>Dagues Açantes; Amulette Hale; Pikano; Anneau des Prophètes; Bouclier cubiste; Poulpagne; Capuche de l'Œil Putride; Cape Tif; Bottes de Meno; Ralentisseur majeur; Temporiseur majeur; Remueur; Entraveur majeur; Nomade; Temporiseur; Gwo Tofu Ventripotent</t>
        </is>
      </c>
    </row>
    <row r="9356">
      <c r="A9356" t="inlineStr">
        <is>
          <t>Ouginak M 200</t>
        </is>
      </c>
      <c r="B9356">
        <f>HYPERLINK("https://www.dofusbook.net/fr/equipement/3765633-ouginak-m-200/objets", "link")</f>
        <v/>
      </c>
      <c r="C9356" t="n">
        <v>1</v>
      </c>
      <c r="D9356" t="inlineStr">
        <is>
          <t>Bêche Asse; Amulette du Cœur Saignant; Anneau Crustique; Anneau Chevelu; Bouclier d'Ilyzaelle; Ceinture Volkorne; Masque de Koutoulou; Cape au Logis; Bottes du Cœur Saignant; Dofus Turquoise; Dofus Ivoire; Dofus des Glaces; Dofus Ocre; Dofus Abyssal; Enragé majeur; Bulbisou</t>
        </is>
      </c>
    </row>
    <row r="9357">
      <c r="A9357" t="inlineStr">
        <is>
          <t>Agil</t>
        </is>
      </c>
      <c r="B9357">
        <f>HYPERLINK("https://www.dofusbook.net/fr/equipement/2656845-agil/objets", "link")</f>
        <v/>
      </c>
      <c r="C9357" t="n">
        <v>2</v>
      </c>
      <c r="D9357" t="inlineStr">
        <is>
          <t>Manthache; Collier du Valet Veinard; Alliance Gloursonne; Gant du Valet Veinard; Bouclier du Stalak; Menoture; Couronne d'Allister; Cape Indescriptible; Palmes Trithons; Dofus des Glaces; Remueur; Nomade; Equilibriste majeur; Dévastateur Air majeur; Cascadeur majeur; Blérodoudou</t>
        </is>
      </c>
    </row>
    <row r="9358">
      <c r="A9358" t="inlineStr">
        <is>
          <t>Multi</t>
        </is>
      </c>
      <c r="B9358">
        <f>HYPERLINK("https://www.dofusbook.net/fr/equipement/1430963-multi/objets", "link")</f>
        <v/>
      </c>
      <c r="C9358" t="n">
        <v>1</v>
      </c>
      <c r="D9358" t="inlineStr">
        <is>
          <t>Hache du Chalœil; Amulette du Strigide; Bracelet du Piloztère; Alliance Gloursonne; Quatre-feuilles; Ceintacé; Chapeau Lisson; Voile d'encre; Bottes du Strigide; Dofus Pourpre; Dolmanax; Dofus Turquoise; Nomade; Remueur; Sanguinaire majeur; Kramkram</t>
        </is>
      </c>
    </row>
    <row r="9359">
      <c r="A9359" t="inlineStr">
        <is>
          <t>Eau</t>
        </is>
      </c>
      <c r="B9359">
        <f>HYPERLINK("https://www.dofusbook.net/fr/equipement/3011281-eau/objets", "link")</f>
        <v/>
      </c>
      <c r="C9359" t="n">
        <v>4</v>
      </c>
      <c r="D9359" t="inlineStr">
        <is>
          <t>Sceptre du Roi Joueur; Amulette de Shokkoth; Alliance Gloursonne; Anneau Volkorne; Bouclier d'Ilyzaelle; Poulpagne; Masque des Fonds marins; Cape Solution; Sandales des Fonds marins; Dofus des Glaces; Dofus Turquoise; Dofus Émeraude; Nomade; Miraculé majeur; Chanceux majeur; Dragodinde Indigo</t>
        </is>
      </c>
    </row>
    <row r="9360">
      <c r="A9360" t="inlineStr">
        <is>
          <t>Zobal M 200</t>
        </is>
      </c>
      <c r="B9360">
        <f>HYPERLINK("https://www.dofusbook.net/fr/equipement/3726974-zobal-m-200/objets", "link")</f>
        <v/>
      </c>
      <c r="C9360" t="n">
        <v>0</v>
      </c>
      <c r="D9360" t="inlineStr">
        <is>
          <t>Karnak; Collier du Valet Veinard; Alliance Gloursonne; Gant du Valet Veinard; Cadran d'Air; Menoture; Dorabysses; Caracape Minotoris; Palmes Trithons; Dofus des Glaces; Dofus Ivoire; Dofus Pourpre; Dofus Ocre; Cascadeur majeur; Dévastateur Air majeur; Kramkram</t>
        </is>
      </c>
    </row>
    <row r="9361">
      <c r="A9361" t="inlineStr">
        <is>
          <t>Zobal M 200</t>
        </is>
      </c>
      <c r="B9361">
        <f>HYPERLINK("https://www.dofusbook.net/fr/equipement/3722809-zobal-m-200/objets", "link")</f>
        <v/>
      </c>
      <c r="C9361" t="n">
        <v>1</v>
      </c>
      <c r="D9361" t="inlineStr">
        <is>
          <t>Dagoulinantes; Amulette de Shokkoth; Anneau Volkorne; Alliance Gloursonne; Bouclier d'Ilyzaelle; Sangle Ouare; Masque des Fonds marins; Cape Solution; Sandales des Fonds marins; Dofus des Glaces; Dofus Émeraude; Dofus Turquoise; Dévastateur Eau majeur; Remueur; Chanceux majeur; Dragodinde Emeraude et Indigo</t>
        </is>
      </c>
    </row>
    <row r="9362">
      <c r="A9362" t="inlineStr">
        <is>
          <t>Zobal M 200</t>
        </is>
      </c>
      <c r="B9362">
        <f>HYPERLINK("https://www.dofusbook.net/fr/equipement/3688786-zobal-m-200/objets", "link")</f>
        <v/>
      </c>
      <c r="C9362" t="n">
        <v>1</v>
      </c>
      <c r="D9362" t="inlineStr">
        <is>
          <t>Marteau Reine; Amulette du Strigide; Bracelet du Piloztère; Anneau Chevelu; Bouclier du Captain Amakna; Ceinture du Strigide; Casque des égarés; Cape au Logis; Baleinabottes; Dofus Pourpre; Dofus Turquoise; Vigoureux majeur; Cascadeur majeur; Remueur; Enragé majeur; Dragodinde Ivoire et Pourpre</t>
        </is>
      </c>
    </row>
    <row r="9363">
      <c r="A9363" t="inlineStr">
        <is>
          <t>Eliotrope M 200</t>
        </is>
      </c>
      <c r="B9363">
        <f>HYPERLINK("https://www.dofusbook.net/fr/equipement/3627379-eliotrope-m-200/objets", "link")</f>
        <v/>
      </c>
      <c r="C9363" t="n">
        <v>1</v>
      </c>
      <c r="D9363" t="inlineStr">
        <is>
          <t>Marteau des égarés; Amulette du Strigide; Bracelet du Piloztère; Alliance Gloursonne; Bouclier du Captain Amakna; Ceinture du Strigide; Le Dorado; Voile d'encre; Bottes du Chalœil; Dofus Turquoise; Dofus des Glaces; Dofus Pourpre; Vigoureux majeur; Nomade; Remueur; Kramkram</t>
        </is>
      </c>
    </row>
    <row r="9364">
      <c r="A9364" t="inlineStr">
        <is>
          <t>Eau rox</t>
        </is>
      </c>
      <c r="B9364">
        <f>HYPERLINK("https://www.dofusbook.net/fr/equipement/2992831-eau-rox/objets", "link")</f>
        <v/>
      </c>
      <c r="C9364" t="n">
        <v>0</v>
      </c>
      <c r="D9364" t="inlineStr">
        <is>
          <t>Arc corrompu; Pendentif affamé; Anneauræus; Anneauræus; Bivalve; Ceinture Séculaire; Coiffe Séculaire; Cape de Diondin; Bottes Innommables; Dofus des Glaces; Remueur; Nomade; Astucieux majeur; Érudit majeur; Dévastateur Feu majeur; Brûlih</t>
        </is>
      </c>
    </row>
    <row r="9365">
      <c r="A9365" t="inlineStr">
        <is>
          <t>Zobal M 200</t>
        </is>
      </c>
      <c r="B9365">
        <f>HYPERLINK("https://www.dofusbook.net/fr/equipement/3698149-zobal-m-200/objets", "link")</f>
        <v/>
      </c>
      <c r="C9365" t="n">
        <v>1</v>
      </c>
      <c r="D9365" t="inlineStr">
        <is>
          <t>Epée Gloursonne; Amulette de l'Indicible; Bague Gloursonne; Alliance Gloursonne; Bouclier d'Ilyzaelle; Ceinture de la Reine des Voleurs; Coiffe de la Reine des Voleurs; Cape du Chalœil; Bottes de la Reine des Voleurs; Dolmanax; Dofus Ocre; Dofus Pourpre; Dofus des Glaces; Dofus Émeraude; Dofus Turquoise; Muldo Orchidée</t>
        </is>
      </c>
    </row>
    <row r="9366">
      <c r="A9366" t="inlineStr">
        <is>
          <t>Zobal M 200</t>
        </is>
      </c>
      <c r="B9366">
        <f>HYPERLINK("https://www.dofusbook.net/fr/equipement/3693723-zobal-m-200/objets", "link")</f>
        <v/>
      </c>
      <c r="C9366" t="n">
        <v>0</v>
      </c>
      <c r="D9366" t="inlineStr">
        <is>
          <t>Karnak; Collier du Valet Veinard; Gant du Valet Veinard; Alliance Gloursonne; Cadran d'Air; Menoture; Dorabysses; Cape Martegel; Palmes Trithons; Dofus Ivoire; Acrobate majeur; Dévastateur Air majeur; Remueur; Equilibriste majeur; Cascadeur majeur; Kramkram</t>
        </is>
      </c>
    </row>
    <row r="9367">
      <c r="A9367" t="inlineStr">
        <is>
          <t>Agil</t>
        </is>
      </c>
      <c r="B9367">
        <f>HYPERLINK("https://www.dofusbook.net/fr/equipement/3002496-agil/objets", "link")</f>
        <v/>
      </c>
      <c r="C9367" t="n">
        <v>0</v>
      </c>
      <c r="D9367" t="inlineStr">
        <is>
          <t>Manthache; Collier du Valet Veinard; Gant du Valet Veinard; Alliance Gloursonne; Bivalve; Menoture; Couronne d'Allister; Cape Indescriptible; Palmes Trithons; Nomade; Equilibriste majeur; Dévastateur Air majeur; Cascadeur majeur; Remueur; Acrobate majeur; Pioute jaune</t>
        </is>
      </c>
    </row>
    <row r="9368">
      <c r="A9368" t="inlineStr">
        <is>
          <t>Force</t>
        </is>
      </c>
      <c r="B9368">
        <f>HYPERLINK("https://www.dofusbook.net/fr/equipement/2238570-force/objets", "link")</f>
        <v/>
      </c>
      <c r="C9368" t="n">
        <v>0</v>
      </c>
      <c r="D9368" t="inlineStr">
        <is>
          <t>Bêche Asse; Amulette du Strigide; Anneau Crustique; Anneau Chevelu; Bouclier du Captain Amakna; Ceinture du Strigide; Masque de Koutoulou; Cape au Logis; Bottes du Cœur Saignant; Dofus Turquoise; Dofus Pourpre; Remueur; Furibond majeur; Enragé majeur; Forcené majeur; Pioute vert</t>
        </is>
      </c>
    </row>
    <row r="9369">
      <c r="A9369" t="inlineStr">
        <is>
          <t>Zobal M 200</t>
        </is>
      </c>
      <c r="B9369">
        <f>HYPERLINK("https://www.dofusbook.net/fr/equipement/3688803-zobal-m-200/objets", "link")</f>
        <v/>
      </c>
      <c r="C9369" t="n">
        <v>1</v>
      </c>
      <c r="D9369" t="inlineStr">
        <is>
          <t>Az'tech; Amulette du Strigide; Anneau du Père Fwetar; Bracelet du Piloztère; Bouclier du Captain Amakna; Ceintacé; Maskrobe; Cape du Cœur Saignant; Bottes du Strigide; Dofus des Glaces; Dofus Turquoise; Dofus Pourpre; Vigoureux majeur; Sanguinaire majeur; Remueur; Dragodinde Emeraude et Ivoire</t>
        </is>
      </c>
    </row>
    <row r="9370">
      <c r="A9370" t="inlineStr">
        <is>
          <t>Zobal M 200</t>
        </is>
      </c>
      <c r="B9370">
        <f>HYPERLINK("https://www.dofusbook.net/fr/equipement/3688749-zobal-m-200/objets", "link")</f>
        <v/>
      </c>
      <c r="C9370" t="n">
        <v>3</v>
      </c>
      <c r="D9370" t="inlineStr">
        <is>
          <t>Hache Ériphe; Amulette du Kamasterisk; Anneau de la Fuji Givrefoux; Bracelet du Piloztère; Bouclier du Captain Amakna; Ceintouse; Casque des égarés; Cape du Kamasterisk; Baleinabottes; Dofus Pourpre; Remueur; Vigoureux majeur; Cascadeur majeur; Nomade; Enragé majeur; Dragodinde Ebène et Pourpre</t>
        </is>
      </c>
    </row>
    <row r="9371">
      <c r="A9371" t="inlineStr">
        <is>
          <t>Osamodas F 200</t>
        </is>
      </c>
      <c r="B9371">
        <f>HYPERLINK("https://www.dofusbook.net/fr/equipement/3684058-osamodas-f-200/objets", "link")</f>
        <v/>
      </c>
      <c r="C9371" t="n">
        <v>3</v>
      </c>
      <c r="D9371" t="inlineStr">
        <is>
          <t>Plumeau Bil; Amulette Volkorne; Anneau de Nidas; Anneauræus; Bouclier du Stalak; Ceinture Séculaire; Couronne de Nidas; Cape de Diondin; Chaussures Ardentes; Savant majeur; Dévastateur Feu majeur; Remueur; Astucieux majeur; Nomade; Érudit majeur; Dragodinde Dorée et Orchidée</t>
        </is>
      </c>
    </row>
    <row r="9372">
      <c r="A9372" t="inlineStr">
        <is>
          <t>Eau resi</t>
        </is>
      </c>
      <c r="B9372">
        <f>HYPERLINK("https://www.dofusbook.net/fr/equipement/2954052-eau-resi/objets", "link")</f>
        <v/>
      </c>
      <c r="C9372" t="n">
        <v>2</v>
      </c>
      <c r="D9372" t="inlineStr">
        <is>
          <t>Sceptre du Roi Joueur; Amulette de Shokkoth; Anneau Volkorne; Bracelet des Fonds marins; Bouclier du Stalak; Sangle Ouare; Masque des Fonds marins; Cape Solution; Bottes du Nocturlabe; Dofus des Glaces; Dofus Pourpre; Dévastateur Eau majeur; Remueur; Taquin majeur; Chanceux majeur; Dragodinde Indigo</t>
        </is>
      </c>
    </row>
    <row r="9373">
      <c r="A9373" t="inlineStr">
        <is>
          <t>Pandawa M 200</t>
        </is>
      </c>
      <c r="B9373">
        <f>HYPERLINK("https://www.dofusbook.net/fr/equipement/3683924-pandawa-m-200/objets", "link")</f>
        <v/>
      </c>
      <c r="C9373" t="n">
        <v>2</v>
      </c>
      <c r="D9373" t="inlineStr">
        <is>
          <t>Marteau des égarés; Amulette de l'Indicible; Anneau du Père Fwetar; Bracelet du Piloztère; Bouclier du Stalak; Ceinture de l'Indicible; Le Dorado; Voilamibe; Bottes de l'Esprit Salvateur; Dofus Pourpre; Dofus des Glaces; Dolmanax; Robuste majeur; Vigoureux majeur; Remueur; Dragodinde Ivoire</t>
        </is>
      </c>
    </row>
    <row r="9374">
      <c r="A9374" t="inlineStr">
        <is>
          <t>Crit force</t>
        </is>
      </c>
      <c r="B9374">
        <f>HYPERLINK("https://www.dofusbook.net/fr/equipement/3092336-crit-force/objets", "link")</f>
        <v/>
      </c>
      <c r="C9374" t="n">
        <v>7</v>
      </c>
      <c r="D9374" t="inlineStr">
        <is>
          <t>Arc du Chalœil; Kralamansion; Anneau Chevelu; Anneau Crustique; Quatre-feuilles; Ceinture de Brouce; Masque de Koutoulou; Cape au Logis; Bottes de Brouce; Dofus Pourpre; Dofus Turquoise; Furibond majeur; Forcené majeur; Remueur; Enragé majeur; Kompost</t>
        </is>
      </c>
    </row>
    <row r="9375">
      <c r="A9375" t="inlineStr">
        <is>
          <t>Eliotrope M 200</t>
        </is>
      </c>
      <c r="B9375">
        <f>HYPERLINK("https://www.dofusbook.net/fr/equipement/3640686-eliotrope-m-200/objets", "link")</f>
        <v/>
      </c>
      <c r="C9375" t="n">
        <v>0</v>
      </c>
      <c r="D9375" t="inlineStr">
        <is>
          <t>Arc de Koutoulou; Amulette d'Ilyzaelle; Alliance Gloursonne; Bracelet du Piloztère; Bouclier du Stalak; Ceinture de l'Esprit Salvateur; Casque d'Ilyzaelle; Voilamibe; Bottes de la Reine des Voleurs; Dofus Pourpre; Dofus des Glaces; Chanceux majeur; Cascadeur majeur; Remueur; Vigoureux majeur; Volkorne Indigo et Ebène</t>
        </is>
      </c>
    </row>
    <row r="9376">
      <c r="A9376" t="inlineStr">
        <is>
          <t>Do crit</t>
        </is>
      </c>
      <c r="B9376">
        <f>HYPERLINK("https://www.dofusbook.net/fr/equipement/3154520-do-crit/objets", "link")</f>
        <v/>
      </c>
      <c r="C9376" t="n">
        <v>0</v>
      </c>
      <c r="D9376" t="inlineStr">
        <is>
          <t>Hachoirs de Viandargh; Amulette du Strigide; Anneau de Padgref; Bague Trithon; Bouclier du Captain Amakna; Ceinture du Strigide; Némès de Tal Kasha; Chevelure de Tal Kasha; Getas de Padgref; Dofus Turquoise; Dofus Nébuleux; Dofus Ocre; Dofus Pourpre; Dofus des Glaces; Equilibriste majeur; Bouflux</t>
        </is>
      </c>
    </row>
    <row r="9377">
      <c r="A9377" t="inlineStr">
        <is>
          <t>Eliotrope M 200</t>
        </is>
      </c>
      <c r="B9377">
        <f>HYPERLINK("https://www.dofusbook.net/fr/equipement/3618751-eliotrope-m-200/objets", "link")</f>
        <v/>
      </c>
      <c r="C9377" t="n">
        <v>1</v>
      </c>
      <c r="D9377" t="inlineStr">
        <is>
          <t>Pelle de la Cour Sombre; Collier du Valet Veinard; Alliance Gloursonne; Gant du Valet Veinard; Bouclier de Solar; Menoture; Casque Volkorne; Cape de Crânonier; Palmes Trithons; Dofus Abyssal; Dofus Forgelave; Dofus des Glaces; Solide majeur; Nomade; Cascadeur majeur; Volkorne Amande et Ebène</t>
        </is>
      </c>
    </row>
    <row r="9378">
      <c r="A9378" t="inlineStr">
        <is>
          <t>Eliotrope M 200</t>
        </is>
      </c>
      <c r="B9378">
        <f>HYPERLINK("https://www.dofusbook.net/fr/equipement/3618643-eliotrope-m-200/objets", "link")</f>
        <v/>
      </c>
      <c r="C9378" t="n">
        <v>0</v>
      </c>
      <c r="D9378" t="inlineStr">
        <is>
          <t>Pelle de la Cour Sombre; Collier du Valet Veinard; Gant du Valet Veinard; Alliance Gloursonne; Cadran d'Air; Menoture; Dorabysses; Cape Indescriptible; Palmes Trithons; Dofus Ivoire; Dofus des Glaces; Dofus Abyssal; Cascadeur majeur; Nomade; Remueur; Croum</t>
        </is>
      </c>
    </row>
    <row r="9379">
      <c r="A9379" t="inlineStr">
        <is>
          <t>Eliotrope M 200</t>
        </is>
      </c>
      <c r="B9379">
        <f>HYPERLINK("https://www.dofusbook.net/fr/equipement/3618574-eliotrope-m-200/objets", "link")</f>
        <v/>
      </c>
      <c r="C9379" t="n">
        <v>0</v>
      </c>
      <c r="D9379" t="inlineStr">
        <is>
          <t>Karnak; Collier du Valet Veinard; Alliance Gloursonne; Gant du Valet Veinard; Cadran d'Air; Menoture; Dorabysses; Cape du Cœur Vaillant; Palmes Trithons; Dofus Abyssal; Dofus Ivoire; Dofus des Glaces; Remueur; Cascadeur majeur; Nomade; Kramkram</t>
        </is>
      </c>
    </row>
    <row r="9380">
      <c r="A9380" t="inlineStr">
        <is>
          <t>MDo</t>
        </is>
      </c>
      <c r="B9380">
        <f>HYPERLINK("https://www.dofusbook.net/fr/equipement/3188123-mdo/objets", "link")</f>
        <v/>
      </c>
      <c r="C9380" t="n">
        <v>2</v>
      </c>
      <c r="D9380" t="inlineStr">
        <is>
          <t>Baguette Héroclite; Amulette de Shokkoth; Anneau Volkorne; Anneau Glacial; Bouclier du Stalak; Ceinture Glaciale; Capuche de l'Œil Attentif; Cape Solution; Bottes du Nocturlabe; Dofus des Glaces; Nomade; Dévastateur Eau majeur; Chanceux majeur; Remueur; Taquin majeur; Dehluge</t>
        </is>
      </c>
    </row>
    <row r="9381">
      <c r="A9381" t="inlineStr">
        <is>
          <t>Agil</t>
        </is>
      </c>
      <c r="B9381">
        <f>HYPERLINK("https://www.dofusbook.net/fr/equipement/3155121-agil/objets", "link")</f>
        <v/>
      </c>
      <c r="C9381" t="n">
        <v>4</v>
      </c>
      <c r="D9381" t="inlineStr">
        <is>
          <t>Manthache; Collier du Valet Veinard; Alliance Gloursonne; Gant du Valet Veinard; Bouclier d'Ilyzaelle; Menoture; Casque Dragoeuf; Caracape Minotoris; Palmes Trithons; Dofus Émeraude; Carapace Air majeur; Remueur; Cascadeur majeur; Carapace Feu majeur; Miraculé majeur; Muldo Ebène</t>
        </is>
      </c>
    </row>
    <row r="9382">
      <c r="A9382" t="inlineStr">
        <is>
          <t>Eau air</t>
        </is>
      </c>
      <c r="B9382">
        <f>HYPERLINK("https://www.dofusbook.net/fr/equipement/3216400-eau-air/objets", "link")</f>
        <v/>
      </c>
      <c r="C9382" t="n">
        <v>3</v>
      </c>
      <c r="D9382" t="inlineStr">
        <is>
          <t>Epée Loponèze; Amulette d'Ilyzaelle; Bracelet du Piloztère; Alliance Gloursonne; Bouclier du Stalak; Ceinture Voldelor; Casque d'Ilyzaelle; Cape Matelassée; Bottes de l'Esprit Salvateur; Dofus Pourpre; Dofus des Glaces; Dolmanax; Vigoureux majeur; Remueur; Nomade; Kramkram</t>
        </is>
      </c>
    </row>
    <row r="9383">
      <c r="A9383" t="inlineStr">
        <is>
          <t>Zobal M 200</t>
        </is>
      </c>
      <c r="B9383">
        <f>HYPERLINK("https://www.dofusbook.net/fr/equipement/3562259-zobal-m-200/objets", "link")</f>
        <v/>
      </c>
      <c r="C9383" t="n">
        <v>1</v>
      </c>
      <c r="D9383" t="inlineStr">
        <is>
          <t>Sabres d'Atcham; Amulette Volkorne; Anneau Volkorne; Bracelet du Piloztère; Bouclier du Captain Amakna; Ceinture Volkorne; Casque Volkorne; Cape d'Atcham; Sandales  d'Atcham; Dofus Pourpre; Dofus des Glaces; Dofus Émeraude; Dofus Turquoise; Dolmanax; Dofus Ocre; Kramkram</t>
        </is>
      </c>
    </row>
    <row r="9384">
      <c r="A9384" t="inlineStr">
        <is>
          <t>Zobal M 200</t>
        </is>
      </c>
      <c r="B9384">
        <f>HYPERLINK("https://www.dofusbook.net/fr/equipement/3539071-zobal-m-200/objets", "link")</f>
        <v/>
      </c>
      <c r="C9384" t="n">
        <v>2</v>
      </c>
      <c r="D9384" t="inlineStr">
        <is>
          <t>Epée Toche; Amulette du Strigide; Anneau du Père Fwetar; Bracelet du Piloztère; Bouclier du Captain Amakna; Ceintacé; Maskrobe; Voile d'encre; Bottes du Strigide; Dofus Turquoise; Dofus des Glaces; Dofus Pourpre; Sanguinaire majeur; Vigoureux majeur; Remueur; Kramkram</t>
        </is>
      </c>
    </row>
    <row r="9385">
      <c r="A9385" t="inlineStr">
        <is>
          <t>Zobal M 200</t>
        </is>
      </c>
      <c r="B9385">
        <f>HYPERLINK("https://www.dofusbook.net/fr/equipement/3538074-zobal-m-200/objets", "link")</f>
        <v/>
      </c>
      <c r="C9385" t="n">
        <v>0</v>
      </c>
      <c r="D9385" t="inlineStr">
        <is>
          <t>Az'tech; Amulette du Strigide; Bague Trithon; Bracelet du Piloztère; Bouclier du Captain Amakna; Ceinture du Strigide; Némès de Tal Kasha; Chevelure de Tal Kasha; Sandales de Tal Kasha; Dolmanax; Dofus des Glaces; Dofus Ocre; Dofus Pourpre; Dofus Émeraude; Dofus Turquoise; Muldo Prune et Emeraude</t>
        </is>
      </c>
    </row>
    <row r="9386">
      <c r="A9386" t="inlineStr">
        <is>
          <t>Full pou</t>
        </is>
      </c>
      <c r="B9386">
        <f>HYPERLINK("https://www.dofusbook.net/fr/equipement/3180990-full-pou/objets", "link")</f>
        <v/>
      </c>
      <c r="C9386" t="n">
        <v>2</v>
      </c>
      <c r="D9386" t="inlineStr">
        <is>
          <t>Arc du Chalœil; Torquistik; Bague Instable; Anneau du Professeur Xa; Bouclier Taverne; Ceinture Gence; Masque Trithon; Cape Luminescente; Bottistik; Remueur; Culbuteur majeur; Bousculeur; Pousseur majeur; Culbuteur; Bousculeur majeur; Kafarce</t>
        </is>
      </c>
    </row>
    <row r="9387">
      <c r="A9387" t="inlineStr">
        <is>
          <t>Zobal M 200</t>
        </is>
      </c>
      <c r="B9387">
        <f>HYPERLINK("https://www.dofusbook.net/fr/equipement/3535199-zobal-m-200/objets", "link")</f>
        <v/>
      </c>
      <c r="C9387" t="n">
        <v>0</v>
      </c>
      <c r="D9387" t="inlineStr">
        <is>
          <t>Epée Toche; Amulette du Strigide; Bague Gloursonne; Chevalière du Roi Joueur; Bouclier du Captain Amakna; Ceinture du Strigide; Masque de Koutoulou; Cape au Logis; Bottes du Cœur Saignant; Dofus Turquoise; Dofus des Glaces; Dofus Pourpre; Enragé majeur; Vigoureux majeur; Remueur; Dragodinde en armure</t>
        </is>
      </c>
    </row>
    <row r="9388">
      <c r="A9388" t="inlineStr">
        <is>
          <t>Ouginak M 200</t>
        </is>
      </c>
      <c r="B9388">
        <f>HYPERLINK("https://www.dofusbook.net/fr/equipement/3511786-ouginak-m-200/objets", "link")</f>
        <v/>
      </c>
      <c r="C9388" t="n">
        <v>1</v>
      </c>
      <c r="D9388" t="inlineStr">
        <is>
          <t>Arc du bandit archer; Amulette du Strigide; Bracelet du Piloztère; Alliance Gloursonne; Quatre-feuilles; Ceinture du Strigide; Némès de Tal Kasha; Chevelure de Tal Kasha; Sandales de Tal Kasha; Dofus Turquoise; Dofus Abyssal; Dolmanax; Dofus Ocre; Dofus Pourpre; Dofus des Glaces; Godron Bontarien</t>
        </is>
      </c>
    </row>
    <row r="9389">
      <c r="A9389" t="inlineStr">
        <is>
          <t>Steamer M 200</t>
        </is>
      </c>
      <c r="B9389">
        <f>HYPERLINK("https://www.dofusbook.net/fr/equipement/3510926-steamer-m-200/objets", "link")</f>
        <v/>
      </c>
      <c r="C9389" t="n">
        <v>1</v>
      </c>
      <c r="D9389" t="inlineStr">
        <is>
          <t>Dagues d'Ilyzaelle; Amulette du Strigide; Anneau Crustique; Anneau Crustique; Quatre-feuilles; Ceinture du Strigide; Masque de Koutoulou; Cape au Logis; Bottes du Cœur Saignant; Dolmanax; Dofus des Glaces; Enragé majeur; Dévastateur Terre majeur; Forcené majeur; Remueur; Kompost</t>
        </is>
      </c>
    </row>
    <row r="9390">
      <c r="A9390" t="inlineStr">
        <is>
          <t>Terre arc</t>
        </is>
      </c>
      <c r="B9390">
        <f>HYPERLINK("https://www.dofusbook.net/fr/equipement/1923738-terre-arc-/objets", "link")</f>
        <v/>
      </c>
      <c r="C9390" t="n">
        <v>0</v>
      </c>
      <c r="D9390" t="inlineStr">
        <is>
          <t>Arc corrompu; Pendentif affamé; Anneau Tamie; Anneau Tamie; Bouclier du Stalak; Ceinture Séculaire; Coiffe Séculaire; Cape de Diondin; Bottes Innommables; Dofus des Glaces; Nomade; Astucieux majeur; Savant majeur; Remueur; Érudit majeur; Brûlih</t>
        </is>
      </c>
    </row>
    <row r="9391">
      <c r="A9391" t="inlineStr">
        <is>
          <t>Pandawa M 200</t>
        </is>
      </c>
      <c r="B9391">
        <f>HYPERLINK("https://www.dofusbook.net/fr/equipement/3510829-pandawa-m-200/objets", "link")</f>
        <v/>
      </c>
      <c r="C9391" t="n">
        <v>0</v>
      </c>
      <c r="D9391" t="inlineStr">
        <is>
          <t>Épée Brûlâme; Talisman Glouti; Anneau Tique; Bracelet du Piloztère; Bouclier du Stalak; Ceintacé; Dorabysses; Voile d'encre; Sandales des Fonds marins; Dolmanax; Dofus des Glaces; Dofus Pourpre; Dofus Abyssal; Féroce majeur; Robuste majeur; Kramkram</t>
        </is>
      </c>
    </row>
    <row r="9392">
      <c r="A9392" t="inlineStr">
        <is>
          <t>Féca M 200</t>
        </is>
      </c>
      <c r="B9392">
        <f>HYPERLINK("https://www.dofusbook.net/fr/equipement/3510794-feca-m-200/objets", "link")</f>
        <v/>
      </c>
      <c r="C9392" t="n">
        <v>4</v>
      </c>
      <c r="D9392" t="inlineStr">
        <is>
          <t>Dagues Érhy; Talisman Glouti; Bracelet du Piloztère; Anneau Tique; Cadran de Terre; Ceintacé; Dorabysses; Voile d'encre; Bottes de Meno; Dolmanax; Dofus des Glaces; Dofus Pourpre; Dofus Ivoire; Dofus Ocre; Robuste majeur; Muldo Doré et Pourpre</t>
        </is>
      </c>
    </row>
    <row r="9393">
      <c r="A9393" t="inlineStr">
        <is>
          <t>Féca M 200</t>
        </is>
      </c>
      <c r="B9393">
        <f>HYPERLINK("https://www.dofusbook.net/fr/equipement/3510770-feca-m-200/objets", "link")</f>
        <v/>
      </c>
      <c r="C9393" t="n">
        <v>2</v>
      </c>
      <c r="D9393" t="inlineStr">
        <is>
          <t>Bâton du bandit baroudeur; Collier du Valet Veinard; Anneau d'Allister; Gant du Valet Veinard; Bouclier d'Ilyzaelle; Ceinture du Nocturlabe; Couronne d'Allister; Cape du Valet Veinard; Bottes d'Allister; Dofus Abyssal; Dofus Ocre; Dofus des Glaces; Voyageur; Ravageur Air majeur; Equilibriste majeur; Blérodoudou</t>
        </is>
      </c>
    </row>
    <row r="9394">
      <c r="A9394" t="inlineStr">
        <is>
          <t>Féca M 200</t>
        </is>
      </c>
      <c r="B9394">
        <f>HYPERLINK("https://www.dofusbook.net/fr/equipement/3510749-feca-m-200/objets", "link")</f>
        <v/>
      </c>
      <c r="C9394" t="n">
        <v>1</v>
      </c>
      <c r="D9394" t="inlineStr">
        <is>
          <t>Bâton du bandit baroudeur; Kralamansion; Annolamour; Kralano; Bouclier d'Ilyzaelle; Ceinture de l'Esprit Salvateur; Masque de l'Esprit Salvateur; Voilamibe; Bottes de l'Esprit Salvateur; Dofus des Glaces; Dofus Pourpre; Dofus Abyssal; Dofus Ocre; Féroce majeur; Robuste majeur; Platypus</t>
        </is>
      </c>
    </row>
    <row r="9395">
      <c r="A9395" t="inlineStr">
        <is>
          <t>Féca M 200</t>
        </is>
      </c>
      <c r="B9395">
        <f>HYPERLINK("https://www.dofusbook.net/fr/equipement/3510361-feca-m-200/objets", "link")</f>
        <v/>
      </c>
      <c r="C9395" t="n">
        <v>1</v>
      </c>
      <c r="D9395" t="inlineStr">
        <is>
          <t>Hachoirs de Viandargh; Amulette du Granduk; Anneau d'Allister; Anneau Vicieux; Bouclier du Captain Amakna; Sangle Oriole; Chapeau de Tournoyé; Cape Indescriptible; Sandales de Tal Kasha; Dofus des Glaces; Dofus Turquoise; Nomade; Equilibriste majeur; Remueur; Cascadeur majeur; Volkorne Emeraude et Ebène</t>
        </is>
      </c>
    </row>
    <row r="9396">
      <c r="A9396" t="inlineStr">
        <is>
          <t>Xélor M 200</t>
        </is>
      </c>
      <c r="B9396">
        <f>HYPERLINK("https://www.dofusbook.net/fr/equipement/3471750-xelor-m-200/objets", "link")</f>
        <v/>
      </c>
      <c r="C9396" t="n">
        <v>1</v>
      </c>
      <c r="D9396" t="inlineStr">
        <is>
          <t>Arc corrompu; Pendentif affamé; Anneauræus; Anneauræus; Bouclier du Stalak; Ceinture Séculaire; Coiffe Séculaire; Cape de Diondin; Bottes Innommables; Dofus des Glaces; Remueur; Nomade; Astucieux majeur; Érudit majeur; Dévastateur Feu majeur; Brûlih</t>
        </is>
      </c>
    </row>
    <row r="9397">
      <c r="A9397" t="inlineStr">
        <is>
          <t>Féca M 200</t>
        </is>
      </c>
      <c r="B9397">
        <f>HYPERLINK("https://www.dofusbook.net/fr/equipement/3262862-feca-m-200/objets", "link")</f>
        <v/>
      </c>
      <c r="C9397" t="n">
        <v>0</v>
      </c>
      <c r="D9397" t="inlineStr">
        <is>
          <t>Arc corrompu; Pendentif affamé; Anneauræus; Anneauræus; Bouclier du Stalak; Ceinture Séculaire; Coiffe Séculaire; Cape de Diondin; Bottes Innommables; Dofus des Glaces; Nomade; Astucieux majeur; Érudit majeur; Dévastateur Feu majeur; Remueur; Brûlih</t>
        </is>
      </c>
    </row>
    <row r="9398">
      <c r="A9398" t="inlineStr">
        <is>
          <t>Ouginak F 200</t>
        </is>
      </c>
      <c r="B9398">
        <f>HYPERLINK("https://www.dofusbook.net/fr/equipement/3359052-ouginak-f-200/objets", "link")</f>
        <v/>
      </c>
      <c r="C9398" t="n">
        <v>2</v>
      </c>
      <c r="D9398" t="inlineStr">
        <is>
          <t>Marteau R'ture; Collier de Tourthon; Anneau de Brouce; Anneau du Comte Harebourg; Bouclier du Captain Amakna; Ceinture de Brouce; Coiffe du Comte Harebourg; Cape au Logis; Bottes de Brouce; Dofus des Glaces; Dofus Pourpre; Dolmanax; Dofus Ocre; Forcené majeur; Furibond majeur; Kompost</t>
        </is>
      </c>
    </row>
    <row r="9399">
      <c r="A9399" t="inlineStr">
        <is>
          <t>Zobal M 200</t>
        </is>
      </c>
      <c r="B9399">
        <f>HYPERLINK("https://www.dofusbook.net/fr/equipement/3489916-zobal-m-200/objets", "link")</f>
        <v/>
      </c>
      <c r="C9399" t="n">
        <v>0</v>
      </c>
      <c r="D9399" t="inlineStr">
        <is>
          <t>Marteau R'ture; Collier de Tourthon; Anneau de Brouce; Anneau du Comte Harebourg; Bouclier du Captain Amakna; Ceinture de Brouce; Coiffe du Comte Harebourg; Cape au Logis; Bottes de Brouce; Dofus des Glaces; Dofus Pourpre; Dolmanax; Dofus Ocre; Forcené majeur; Furibond majeur; Kompost</t>
        </is>
      </c>
    </row>
    <row r="9400">
      <c r="A9400" t="inlineStr">
        <is>
          <t>Crâ M 199</t>
        </is>
      </c>
      <c r="B9400">
        <f>HYPERLINK("https://www.dofusbook.net/fr/equipement/3283454-cra-m-199/objets", "link")</f>
        <v/>
      </c>
      <c r="C9400" t="n">
        <v>2</v>
      </c>
      <c r="D9400" t="inlineStr">
        <is>
          <t>Arc du Chalœil; Collier de Tourthon; Anneau de Brouce; Anneau du Comte Harebourg; Bouclier du Stalak; Ceinture de Brouce; Coiffe du Comte Harebourg; Cape au Logis; Bottes de Brouce; Dofus des Glaces; Dofus Nébuleux; Dolmanax; Dofus Ocre; Forcené majeur; Furibond majeur; Kompost</t>
        </is>
      </c>
    </row>
    <row r="9401">
      <c r="A9401" t="inlineStr">
        <is>
          <t>Crit force</t>
        </is>
      </c>
      <c r="B9401">
        <f>HYPERLINK("https://www.dofusbook.net/fr/equipement/2968176-crit-force/objets", "link")</f>
        <v/>
      </c>
      <c r="C9401" t="n">
        <v>1</v>
      </c>
      <c r="D9401" t="inlineStr">
        <is>
          <t>Baguette Héroclite; Amulette de Shokkoth; Alliance Gloursonne; Anneau Volkorne; Bouclier du Stalak; Ceinture de la Reine des Voleurs; Coiffe de Danathor; Cape Solution; Bottes de la Reine des Voleurs; Dofus des Glaces; Nomade; Taquin majeur; Chanceux majeur; Remueur; Dévastateur Eau majeur; Dehluge</t>
        </is>
      </c>
    </row>
    <row r="9402">
      <c r="A9402" t="inlineStr">
        <is>
          <t>Iop M 200</t>
        </is>
      </c>
      <c r="B9402">
        <f>HYPERLINK("https://www.dofusbook.net/fr/equipement/3325376-iop-m-200/objets", "link")</f>
        <v/>
      </c>
      <c r="C9402" t="n">
        <v>4</v>
      </c>
      <c r="D9402" t="inlineStr">
        <is>
          <t>Baguette Héroclite; Amulette de Shokkoth; Anneau Volkorne; Alliance Gloursonne; Bouclier du Stalak; Ceinture de la Reine des Voleurs; Coiffe de Danathor; Cape Solution; Bottes de la Reine des Voleurs; Dofus des Glaces; Taquin majeur; Chanceux majeur; Remueur; Dévastateur Eau majeur; Nomade; Dehluge</t>
        </is>
      </c>
    </row>
    <row r="9403">
      <c r="A9403" t="inlineStr">
        <is>
          <t>Sacrieur M 200</t>
        </is>
      </c>
      <c r="B9403">
        <f>HYPERLINK("https://www.dofusbook.net/fr/equipement/3258242-sacrieur-m-200/objets", "link")</f>
        <v/>
      </c>
      <c r="C9403" t="n">
        <v>1</v>
      </c>
      <c r="D9403" t="inlineStr">
        <is>
          <t>Baguette Héroclite; Amulette de Shokkoth; Alliance Gloursonne; Anneau Volkorne; Bouclier du Stalak; Ceinture de la Reine des Voleurs; Coiffe de Danathor; Cape Solution; Bottes de la Reine des Voleurs; Dofus des Glaces; Nomade; Taquin majeur; Chanceux majeur; Remueur; Dévastateur Eau majeur; Dehluge</t>
        </is>
      </c>
    </row>
    <row r="9404">
      <c r="A9404" t="inlineStr">
        <is>
          <t>Eau feu</t>
        </is>
      </c>
      <c r="B9404">
        <f>HYPERLINK("https://www.dofusbook.net/fr/equipement/3191372-eau-feu/objets", "link")</f>
        <v/>
      </c>
      <c r="C9404" t="n">
        <v>0</v>
      </c>
      <c r="D9404" t="inlineStr">
        <is>
          <t>Dagoulinantes; Amulette de Shokkoth; Alliance Gloursonne; Anneau Volkorne; Bouclier du Stalak; Ceinture de la Reine des Voleurs; Coiffe de Danathor; Cape Solution; Bottes de la Reine des Voleurs; Nomade; Joueur majeur; Taquin majeur; Chanceux majeur; Remueur; Dévastateur Eau majeur; Dehluge</t>
        </is>
      </c>
    </row>
    <row r="9405">
      <c r="A9405" t="inlineStr">
        <is>
          <t>Eau air</t>
        </is>
      </c>
      <c r="B9405">
        <f>HYPERLINK("https://www.dofusbook.net/fr/equipement/1063154-eau-air/objets", "link")</f>
        <v/>
      </c>
      <c r="C9405" t="n">
        <v>2</v>
      </c>
      <c r="D9405" t="inlineStr">
        <is>
          <t>Dagoulinantes; Amulette de Shokkoth; Alliance Gloursonne; Anneau Volkorne; Bouclier du Stalak; Ceinture de la Reine des Voleurs; Coiffe de Danathor; Cape Solution; Bottes de la Reine des Voleurs; Nomade; Joueur majeur; Taquin majeur; Chanceux majeur; Remueur; Dévastateur Eau majeur; Dehluge</t>
        </is>
      </c>
    </row>
    <row r="9406">
      <c r="A9406" t="inlineStr">
        <is>
          <t>Eau resi</t>
        </is>
      </c>
      <c r="B9406">
        <f>HYPERLINK("https://www.dofusbook.net/fr/equipement/2870735-eau-resi/objets", "link")</f>
        <v/>
      </c>
      <c r="C9406" t="n">
        <v>0</v>
      </c>
      <c r="D9406" t="inlineStr">
        <is>
          <t>Sceptre du Roi Joueur; Amulette de Shokkoth; Alliance Gloursonne; Anneau Volkorne; Bouclier du Captain Amakna; Ceinture de la Reine des Voleurs; Coiffe de Danathor; Cape Solution; Bottes de la Reine des Voleurs; Nomade; Joueur majeur; Taquin majeur; Chanceux majeur; Remueur; Dévastateur Eau majeur; Dehluge</t>
        </is>
      </c>
    </row>
    <row r="9407">
      <c r="A9407" t="inlineStr">
        <is>
          <t>Eau resi</t>
        </is>
      </c>
      <c r="B9407">
        <f>HYPERLINK("https://www.dofusbook.net/fr/equipement/2870820-eau-resi/objets", "link")</f>
        <v/>
      </c>
      <c r="C9407" t="n">
        <v>2</v>
      </c>
      <c r="D9407" t="inlineStr">
        <is>
          <t>Dagoulinantes; Amulette de Shokkoth; Anneau Glacial; Anneau Volkorne; Bouclier du Stalak; Ceinture Glaciale; Capuche de l'Œil Attentif; Cape Solution; Bottes du Nocturlabe; Joueur majeur; Chanceux majeur; Remueur; Taquin majeur; Nomade; Dévastateur Eau majeur; Dehluge</t>
        </is>
      </c>
    </row>
    <row r="9408">
      <c r="A9408" t="inlineStr">
        <is>
          <t>Air</t>
        </is>
      </c>
      <c r="B9408">
        <f>HYPERLINK("https://www.dofusbook.net/fr/equipement/2596758-air/objets", "link")</f>
        <v/>
      </c>
      <c r="C9408" t="n">
        <v>0</v>
      </c>
      <c r="D9408" t="inlineStr">
        <is>
          <t>Marteau R'ture; Collier de Tourthon; Anneau du Comte Harebourg; Anneau de Brouce; Bouclier du Captain Amakna; Ceinture de Brouce; Coiffe du Comte Harebourg; Cape au Logis; Bottes de Brouce; Dofus Pourpre; Dolmanax; Dofus Ocre; Dofus des Glaces; Furibond majeur; Forcené majeur; Kompost</t>
        </is>
      </c>
    </row>
    <row r="9409">
      <c r="A9409" t="inlineStr">
        <is>
          <t>Crâ M 200</t>
        </is>
      </c>
      <c r="B9409">
        <f>HYPERLINK("https://www.dofusbook.net/fr/equipement/3442894-cra-m-200/objets", "link")</f>
        <v/>
      </c>
      <c r="C9409" t="n">
        <v>3</v>
      </c>
      <c r="D9409" t="inlineStr">
        <is>
          <t>Dagues Érhy; Amulette Martegel; Anneau Rifique; Anneau Tique; Bouclier du Stalak; Ceinture de Vortex; Masquegel; Cape Martegel; Sabots de Vortex; Dolmanax; Dofus des Glaces; Dofus Pourpre; Dofus Ocre; Féroce majeur; Robuste majeur; Dragodinde Ebène et Orchidée</t>
        </is>
      </c>
    </row>
    <row r="9410">
      <c r="A9410" t="inlineStr">
        <is>
          <t>Sadida M 200</t>
        </is>
      </c>
      <c r="B9410">
        <f>HYPERLINK("https://www.dofusbook.net/fr/equipement/3489659-sadida-m-200/objets", "link")</f>
        <v/>
      </c>
      <c r="C9410" t="n">
        <v>4</v>
      </c>
      <c r="D9410" t="inlineStr">
        <is>
          <t>Dagues Érhy; Amulette Martegel; Anneau Rifique; Anneau Tique; Bouclier du Stalak; Ceinture de Vortex; Masquegel; Cape Martegel; Sabots de Vortex; Dolmanax; Dofus des Glaces; Dofus Pourpre; Dofus Ocre; Féroce majeur; Robuste majeur; Dragodinde Ebène et Orchidée</t>
        </is>
      </c>
    </row>
    <row r="9411">
      <c r="A9411" t="inlineStr">
        <is>
          <t>Air 3</t>
        </is>
      </c>
      <c r="B9411">
        <f>HYPERLINK("https://www.dofusbook.net/fr/equipement/1970034-air-3/objets", "link")</f>
        <v/>
      </c>
      <c r="C9411" t="n">
        <v>0</v>
      </c>
      <c r="D9411" t="inlineStr">
        <is>
          <t>Dagues d'Ilyzaelle; Collier de Tourthon; Anneau du Comte Harebourg; Anneau de Brouce; Bouclier du Captain Amakna; Ceinture de Brouce; Coiffe du Comte Harebourg; Cape au Logis; Bottes de Brouce; Dofus Pourpre; Dolmanax; Dofus Ocre; Dofus des Glaces; Furibond majeur; Forcené majeur; Kompost</t>
        </is>
      </c>
    </row>
    <row r="9412">
      <c r="A9412" t="inlineStr">
        <is>
          <t>Agil</t>
        </is>
      </c>
      <c r="B9412">
        <f>HYPERLINK("https://www.dofusbook.net/fr/equipement/3002589-agil/objets", "link")</f>
        <v/>
      </c>
      <c r="C9412" t="n">
        <v>0</v>
      </c>
      <c r="D9412" t="inlineStr">
        <is>
          <t>Arc du Chalœil; Collier de Tourthon; Anneau de Brouce; Anneau du Comte Harebourg; Bouclier du Captain Amakna; Ceinture de Brouce; Coiffe du Comte Harebourg; Cape au Logis; Bottes de Brouce; Dofus Pourpre; Dolmanax; Dofus Ocre; Dofus des Glaces; Furibond majeur; Forcené majeur; Kompost</t>
        </is>
      </c>
    </row>
    <row r="9413">
      <c r="A9413" t="inlineStr">
        <is>
          <t>MDo</t>
        </is>
      </c>
      <c r="B9413">
        <f>HYPERLINK("https://www.dofusbook.net/fr/equipement/3187982-mdo/objets", "link")</f>
        <v/>
      </c>
      <c r="C9413" t="n">
        <v>0</v>
      </c>
      <c r="D9413" t="inlineStr">
        <is>
          <t>Arc du Chalœil; Collier de Tourthon; Anneau de Brouce; Anneau du Comte Harebourg; Bouclier du Stalak; Ceinture de Brouce; Coiffe du Comte Harebourg; Cape au Logis; Bottes de Brouce; Dofus Ocre; Dofus des Glaces; Dofus Pourpre; Dolmanax; Furibond majeur; Forcené majeur; Kompost</t>
        </is>
      </c>
    </row>
    <row r="9414">
      <c r="A9414" t="inlineStr">
        <is>
          <t>Steamer M 200</t>
        </is>
      </c>
      <c r="B9414">
        <f>HYPERLINK("https://www.dofusbook.net/fr/equipement/3474343-steamer-m-200/objets", "link")</f>
        <v/>
      </c>
      <c r="C9414" t="n">
        <v>0</v>
      </c>
      <c r="D9414" t="inlineStr">
        <is>
          <t>Bâtonnet Ronien; Amulette du Strigide; Bague Trithon; Bracelet du Piloztère; Quatre-feuilles; Ceinture du Strigide; Némès de Tal Kasha; Chevelure de Tal Kasha; Sandales de Tal Kasha; Dofus Ocre; Dolmanax; Dofus Pourpre; Dofus des Glaces; Dofus Turquoise; Dofus Nébuleux; Muldo Prune et Emeraude</t>
        </is>
      </c>
    </row>
    <row r="9415">
      <c r="A9415" t="inlineStr">
        <is>
          <t>Agil</t>
        </is>
      </c>
      <c r="B9415">
        <f>HYPERLINK("https://www.dofusbook.net/fr/equipement/3155134-agil/objets", "link")</f>
        <v/>
      </c>
      <c r="C9415" t="n">
        <v>0</v>
      </c>
      <c r="D9415" t="inlineStr">
        <is>
          <t>Manthache; Collier du Valet Veinard; Alliance Gloursonne; Gant du Valet Veinard; Bouclier du Stalak; Menoture; Couronne d'Allister; Cape Indescriptible; Palmes Trithons; Nomade; Equilibriste majeur; Dévastateur Air majeur; Cascadeur majeur; Remueur; Acrobate majeur; Siroko</t>
        </is>
      </c>
    </row>
    <row r="9416">
      <c r="A9416" t="inlineStr">
        <is>
          <t>Full force</t>
        </is>
      </c>
      <c r="B9416">
        <f>HYPERLINK("https://www.dofusbook.net/fr/equipement/3045740-full-force/objets", "link")</f>
        <v/>
      </c>
      <c r="C9416" t="n">
        <v>3</v>
      </c>
      <c r="D9416" t="inlineStr">
        <is>
          <t>Lav'Hache; Collier de Tourthon; Anneau Crustique; Anneau Crustique; Bouclier d'Ilyzaelle; Ceinture de la Cour Sombre; Masque de Koutoulou; Cape au Logis; Bottes de la Cour Sombre; Dofus Émeraude; Furibond majeur; Remueur; Forcené majeur; Obstructeur majeur; Enragé majeur; Dragodinde Pourpre</t>
        </is>
      </c>
    </row>
    <row r="9417">
      <c r="A9417" t="inlineStr">
        <is>
          <t>Pandawa M 200</t>
        </is>
      </c>
      <c r="B9417">
        <f>HYPERLINK("https://www.dofusbook.net/fr/equipement/3472897-pandawa-m-200/objets", "link")</f>
        <v/>
      </c>
      <c r="C9417" t="n">
        <v>0</v>
      </c>
      <c r="D9417" t="inlineStr">
        <is>
          <t>Ougarteau; Kralamansion; Annolamour; Kralano; Ougature; Ougalurette; Voile d'encre; Sandales Circulaires du Kimbo; Dofawa; Dofus Turquoise; Dofus Cawotte; Dofus Ocre; Dofus Émeraude; Dofus Pourpre; Dragodinde en armure</t>
        </is>
      </c>
    </row>
    <row r="9418">
      <c r="A9418" t="inlineStr">
        <is>
          <t>Un point 29</t>
        </is>
      </c>
      <c r="B9418">
        <f>HYPERLINK("https://www.dofusbook.net/fr/equipement/2214028-un-point-29/objets", "link")</f>
        <v/>
      </c>
      <c r="C9418" t="n">
        <v>1</v>
      </c>
      <c r="D9418" t="inlineStr">
        <is>
          <t>Hache Sueur Rance; Amulette Ripage; Bracelet Ventré; Anneau Chevelu; Ceinture Mycosine; Le Kim; Voile d'encre; Chaussons Pignons; Dofus Turquoise; Dofus Pourpre; Dofus Cawotte; Dofus Kaliptus; Dragodinde Ivoire et Pourpre</t>
        </is>
      </c>
    </row>
    <row r="9419">
      <c r="A9419" t="inlineStr">
        <is>
          <t>Enutrof M 200</t>
        </is>
      </c>
      <c r="B9419">
        <f>HYPERLINK("https://www.dofusbook.net/fr/equipement/3470815-enutrof-m-200/objets", "link")</f>
        <v/>
      </c>
      <c r="C9419" t="n">
        <v>0</v>
      </c>
      <c r="D9419" t="inlineStr">
        <is>
          <t>Hache à Lamelles; Collier du Minotot; Bracelet du Minotot; Anneau Bliteré; Tranche des Sous-bois; Casque Harnage; Cape du Minotot; Bottines des sous-bois; Dofus Cawotte; Dofus Kaliptus; Pykur</t>
        </is>
      </c>
    </row>
    <row r="9420">
      <c r="A9420" t="inlineStr">
        <is>
          <t>Xélor M 200</t>
        </is>
      </c>
      <c r="B9420">
        <f>HYPERLINK("https://www.dofusbook.net/fr/equipement/3463415-xelor-m-200/objets", "link")</f>
        <v/>
      </c>
      <c r="C9420" t="n">
        <v>1</v>
      </c>
      <c r="D9420" t="inlineStr">
        <is>
          <t>L'Epée Rilleuse; Kralamansion; Annolamour; Kralano; Ceinture Mycosine; Le Kim; Voile d'encre; Chaussons Pignons; Dofus Cawotte; Dofus Kaliptus; Dragodinde Dorée et Pourpre</t>
        </is>
      </c>
    </row>
    <row r="9421">
      <c r="A9421" t="inlineStr">
        <is>
          <t>Sram M 200</t>
        </is>
      </c>
      <c r="B9421">
        <f>HYPERLINK("https://www.dofusbook.net/fr/equipement/3456700-sram-m-200/objets", "link")</f>
        <v/>
      </c>
      <c r="C9421" t="n">
        <v>0</v>
      </c>
      <c r="D9421" t="inlineStr">
        <is>
          <t>Arc Volkorne; Amulette Volkorne; Bracelet du Piloztère; Anneau Volkorne; Bouclier du Stalak; Ceinture Volkorne; Casque Volkorne; Voilamibe; Bottes de l'Esprit Salvateur; Dolmanax; Dofus des Glaces; Dofus Ocre; Dofus Pourpre; Féroce majeur; Robuste majeur; Dragodinde Prune et Ivoire</t>
        </is>
      </c>
    </row>
    <row r="9422">
      <c r="A9422" t="inlineStr">
        <is>
          <t>Xélor M 200</t>
        </is>
      </c>
      <c r="B9422">
        <f>HYPERLINK("https://www.dofusbook.net/fr/equipement/3426913-xelor-m-200/objets", "link")</f>
        <v/>
      </c>
      <c r="C9422" t="n">
        <v>5</v>
      </c>
      <c r="D9422" t="inlineStr">
        <is>
          <t>Hache à Lamelles; Collier du Minotot; Bracelet du Minotot; Sceau Souverain du Roissingue; Tranche des Sous-bois; Capuche Souveraine du Roissingue; Cape Souveraine du Roissingue; Bottines des sous-bois; Dofus Cawotte; Dofus Kaliptus; Dragodinde Caméléone</t>
        </is>
      </c>
    </row>
    <row r="9423">
      <c r="A9423" t="inlineStr">
        <is>
          <t>Xélor M 200</t>
        </is>
      </c>
      <c r="B9423">
        <f>HYPERLINK("https://www.dofusbook.net/fr/equipement/3430114-xelor-m-200/objets", "link")</f>
        <v/>
      </c>
      <c r="C9423" t="n">
        <v>0</v>
      </c>
      <c r="D9423" t="inlineStr">
        <is>
          <t>Couteaux à Champignons; Frimamulette; Anneau Colerette; Kralano; Ceinture Rasboulaire du Rasboul; Chapignon; Caprin; Bottes Harry; Dofus Cawotte; Dragodinde Dorée et Ebène</t>
        </is>
      </c>
    </row>
    <row r="9424">
      <c r="A9424" t="inlineStr">
        <is>
          <t>Iop M 60</t>
        </is>
      </c>
      <c r="B9424">
        <f>HYPERLINK("https://www.dofusbook.net/fr/equipement/3386164-iop-m-60/objets", "link")</f>
        <v/>
      </c>
      <c r="C9424" t="n">
        <v>2</v>
      </c>
      <c r="D9424" t="inlineStr">
        <is>
          <t>Dagues d'Ilyzaelle; Amulette du Strigide; Anneau Crustique; Anneau Crustique; Bouclier du Captain Amakna; Ceinture Gence; Masque de Koutoulou; Cape au Logis; Bottes du Strigide; Dofus des Glaces; Dofus Pourpre; Dofus Turquoise; Enragé majeur; Remueur; Forcené majeur; Kompost</t>
        </is>
      </c>
    </row>
    <row r="9425">
      <c r="A9425" t="inlineStr">
        <is>
          <t>Féca M 200</t>
        </is>
      </c>
      <c r="B9425">
        <f>HYPERLINK("https://www.dofusbook.net/fr/equipement/3415983-feca-m-200/objets", "link")</f>
        <v/>
      </c>
      <c r="C9425" t="n">
        <v>1</v>
      </c>
      <c r="D9425" t="inlineStr">
        <is>
          <t>Epée Toche; Amulette du Strigide; Bague Gloursonne; Bracelet du Piloztère; Bouclier du Captain Amakna; Ceintacé; Chapeau de Gein; Voile d'encre; Bottes du Strigide; Dolmanax; Dofus des Glaces; Dofus Pourpre; Dofus Turquoise; Remueur; Nomade; Kramkram</t>
        </is>
      </c>
    </row>
    <row r="9426">
      <c r="A9426" t="inlineStr">
        <is>
          <t>Full force</t>
        </is>
      </c>
      <c r="B9426">
        <f>HYPERLINK("https://www.dofusbook.net/fr/equipement/3046170-full-force/objets", "link")</f>
        <v/>
      </c>
      <c r="C9426" t="n">
        <v>0</v>
      </c>
      <c r="D9426" t="inlineStr">
        <is>
          <t>Baguette Héroclite; Amulette de Shokkoth; Alliance Gloursonne; Anneau Glacial; Bouclier du Stalak; Ceinture Glaciale; Capuche de l'Œil Attentif; Cape Solution; Bottes du Nocturlabe; Nomade; Dévastateur Eau majeur; Joueur majeur; Chanceux majeur; Remueur; Taquin majeur; Dehluge</t>
        </is>
      </c>
    </row>
    <row r="9427">
      <c r="A9427" t="inlineStr">
        <is>
          <t>Sacrieur M 129</t>
        </is>
      </c>
      <c r="B9427">
        <f>HYPERLINK("https://www.dofusbook.net/fr/equipement/3352405-sacrieur-m-129/objets", "link")</f>
        <v/>
      </c>
      <c r="C9427" t="n">
        <v>0</v>
      </c>
      <c r="D9427" t="inlineStr">
        <is>
          <t>Baguette Héroclite; Amulette de Shokkoth; Alliance Gloursonne; Anneau Glacial; Bouclier du Stalak; Ceinture Glaciale; Capuche de l'Œil Attentif; Cape Solution; Bottes du Nocturlabe; Nomade; Dévastateur Eau majeur; Joueur majeur; Chanceux majeur; Remueur; Taquin majeur; Dehluge</t>
        </is>
      </c>
    </row>
    <row r="9428">
      <c r="A9428" t="inlineStr">
        <is>
          <t>Chance row</t>
        </is>
      </c>
      <c r="B9428">
        <f>HYPERLINK("https://www.dofusbook.net/fr/equipement/3182545-chance-row-/objets", "link")</f>
        <v/>
      </c>
      <c r="C9428" t="n">
        <v>0</v>
      </c>
      <c r="D9428" t="inlineStr">
        <is>
          <t>Dagoulinantes; Amulette de Shokkoth; Alliance Gloursonne; Anneau Glacial; Bouclier du Stalak; Ceinture Glaciale; Capuche de l'Œil Attentif; Cape Solution; Bottes du Nocturlabe; Nomade; Dévastateur Eau majeur; Joueur majeur; Chanceux majeur; Remueur; Taquin majeur; Dehluge</t>
        </is>
      </c>
    </row>
    <row r="9429">
      <c r="A9429" t="inlineStr">
        <is>
          <t>Pandawa M 200</t>
        </is>
      </c>
      <c r="B9429">
        <f>HYPERLINK("https://www.dofusbook.net/fr/equipement/3382353-pandawa-m-200/objets", "link")</f>
        <v/>
      </c>
      <c r="C9429" t="n">
        <v>0</v>
      </c>
      <c r="D9429" t="inlineStr">
        <is>
          <t>Dagoulinantes; Amulette de Shokkoth; Alliance Gloursonne; Anneau Glacial; Bouclier du Stalak; Ceinture Glaciale; Capuche de l'Œil Attentif; Cape Solution; Bottes du Nocturlabe; Nomade; Dévastateur Eau majeur; Joueur majeur; Chanceux majeur; Remueur; Taquin majeur; Dehluge</t>
        </is>
      </c>
    </row>
    <row r="9430">
      <c r="A9430" t="inlineStr">
        <is>
          <t>Chance row</t>
        </is>
      </c>
      <c r="B9430">
        <f>HYPERLINK("https://www.dofusbook.net/fr/equipement/3182557-chance-row-/objets", "link")</f>
        <v/>
      </c>
      <c r="C9430" t="n">
        <v>0</v>
      </c>
      <c r="D9430" t="inlineStr">
        <is>
          <t>Sceptre du Roi Joueur; Amulette de Shokkoth; Anneau Glacial; Alliance Gloursonne; Bouclier d'Ilyzaelle; Ceinture Glaciale; Capuche de l'Œil Attentif; Cape Solution; Bottes du Nocturlabe; Miraculé majeur; Chanceux majeur; Remueur; Taquin majeur; Nomade; Dévastateur Eau majeur; Pioute bleu</t>
        </is>
      </c>
    </row>
    <row r="9431">
      <c r="A9431" t="inlineStr">
        <is>
          <t>Full eau</t>
        </is>
      </c>
      <c r="B9431">
        <f>HYPERLINK("https://www.dofusbook.net/fr/equipement/3021788-full-eau/objets", "link")</f>
        <v/>
      </c>
      <c r="C9431" t="n">
        <v>0</v>
      </c>
      <c r="D9431" t="inlineStr">
        <is>
          <t>Harpelle; Amulette Séculaire; Anneau de Padgref; Anneauræus; Bouclier du Captain Amakna; Ceinture Séculaire; Coiffe de Padgref; Cape de Diondin; Getas de Padgref; Dofus Pourpre; Dolmanax; Dofus Turquoise; Dofus des Glaces; Savant majeur; Astucieux majeur; Muldo Prune et Emeraude</t>
        </is>
      </c>
    </row>
    <row r="9432">
      <c r="A9432" t="inlineStr">
        <is>
          <t>Agil</t>
        </is>
      </c>
      <c r="B9432">
        <f>HYPERLINK("https://www.dofusbook.net/fr/equipement/3012265-agil/objets", "link")</f>
        <v/>
      </c>
      <c r="C9432" t="n">
        <v>0</v>
      </c>
      <c r="D9432" t="inlineStr">
        <is>
          <t>Épouvante; Amulette du Strigide; Alliance de Missiz Frizz; Bracelet du Piloztère; Bouclier d'Ilyzaelle; Ceinture du Strigide; Masque de Funespadon; Cape Luminescente; Bottes Honyme; Dofus Pourpre; Dofus Turquoise; Dofus des Glaces; Nomade; Miraculé majeur; Remueur; Kramkram</t>
        </is>
      </c>
    </row>
    <row r="9433">
      <c r="A9433" t="inlineStr">
        <is>
          <t>Striglours</t>
        </is>
      </c>
      <c r="B9433">
        <f>HYPERLINK("https://www.dofusbook.net/fr/equipement/1698955-striglours/objets", "link")</f>
        <v/>
      </c>
      <c r="C9433" t="n">
        <v>1</v>
      </c>
      <c r="D9433" t="inlineStr">
        <is>
          <t>Epée Gloursonne; Amulette du Strigide; Bague Gloursonne; Alliance Gloursonne; Quatre-feuilles; Ceinture du Strigide; Casque du Chalœil; Cape du Chalœil; Bottes du Strigide; Dofus Ocre; Dofus Pourpre; Dofus des Glaces; Dofus Turquoise; Dolmanax; Dofus Nébuleux; Muldo Prune et Emeraude</t>
        </is>
      </c>
    </row>
    <row r="9434">
      <c r="A9434" t="inlineStr">
        <is>
          <t>Force</t>
        </is>
      </c>
      <c r="B9434">
        <f>HYPERLINK("https://www.dofusbook.net/fr/equipement/2775685-force/objets", "link")</f>
        <v/>
      </c>
      <c r="C9434" t="n">
        <v>2</v>
      </c>
      <c r="D9434" t="inlineStr">
        <is>
          <t>Arc du Chalœil; Collier de Tourthon; Bracelet du Piloztère; Anneau de Brouce; Quatre-feuilles; Ceinture de Brouce; Masque de Koutoulou; Cape au Logis; Bottes du Cœur Saignant; Dofus Turquoise; Dofus Nébuleux; Remueur; Nomade; Enragé majeur; Forcené majeur; Kompost</t>
        </is>
      </c>
    </row>
    <row r="9435">
      <c r="A9435" t="inlineStr">
        <is>
          <t>Force</t>
        </is>
      </c>
      <c r="B9435">
        <f>HYPERLINK("https://www.dofusbook.net/fr/equipement/2775686-force/objets", "link")</f>
        <v/>
      </c>
      <c r="C9435" t="n">
        <v>1</v>
      </c>
      <c r="D9435" t="inlineStr">
        <is>
          <t>Arc du Chalœil; Amulette du Strigide; Anneau Chevelu; Bracelet du Piloztère; Quatre-feuilles; Ceinture du Strigide; Masque de Koutoulou; Cape au Logis; Bottes de Brouce; Dofus Nébuleux; Dofus Pourpre; Dofus Turquoise; Enragé majeur; Forcené majeur; Remueur; Kompost</t>
        </is>
      </c>
    </row>
    <row r="9436">
      <c r="A9436" t="inlineStr">
        <is>
          <t>Feu crit</t>
        </is>
      </c>
      <c r="B9436">
        <f>HYPERLINK("https://www.dofusbook.net/fr/equipement/3157579-feu-crit/objets", "link")</f>
        <v/>
      </c>
      <c r="C9436" t="n">
        <v>0</v>
      </c>
      <c r="D9436" t="inlineStr">
        <is>
          <t>Harpelle; Amulette Séculaire; Anneauræus; Anneau de Padgref; Quatre-feuilles; Ceinture Séculaire; Coiffe de Padgref; Cape de Diondin; Getas de Padgref; Dofus des Glaces; Dofus Pourpre; Dofus Nébuleux; Dofus Turquoise; Astucieux majeur; Savant majeur; Muldo Prune et Emeraude</t>
        </is>
      </c>
    </row>
    <row r="9437">
      <c r="A9437" t="inlineStr">
        <is>
          <t>Zobal M 200</t>
        </is>
      </c>
      <c r="B9437">
        <f>HYPERLINK("https://www.dofusbook.net/fr/equipement/3356461-zobal-m-200/objets", "link")</f>
        <v/>
      </c>
      <c r="C9437" t="n">
        <v>1</v>
      </c>
      <c r="D9437" t="inlineStr">
        <is>
          <t>Sceptre du Roi Joueur; Collier Rophante; Bracelet du Minotoboule; Bague Trithon; Détourné; Ceintacé; Masque d'Anerice; Cape d'Anerice; Bottes Innommables; Dofus Émeraude; Dofus Ivoire; Remueur; Survivant majeur; Déserteur majeur; Miraculé majeur; Dauge</t>
        </is>
      </c>
    </row>
    <row r="9438">
      <c r="A9438" t="inlineStr">
        <is>
          <t>Force</t>
        </is>
      </c>
      <c r="B9438">
        <f>HYPERLINK("https://www.dofusbook.net/fr/equipement/3098780-force/objets", "link")</f>
        <v/>
      </c>
      <c r="C9438" t="n">
        <v>2</v>
      </c>
      <c r="D9438" t="inlineStr">
        <is>
          <t>Arc du Chalœil; Kralamansion; Anneau Crustique; Anneau Chevelu; Bouclier du Stalak; Ceinture de Brouce; Le Kim; Cape au Logis; Bottes de Brouce; Dofus des Glaces; Dofus Ocre; Furibond majeur; Enragé majeur; Forcené majeur; Remueur; Kompost</t>
        </is>
      </c>
    </row>
    <row r="9439">
      <c r="A9439" t="inlineStr">
        <is>
          <t>Feu</t>
        </is>
      </c>
      <c r="B9439">
        <f>HYPERLINK("https://www.dofusbook.net/fr/equipement/3165372-feu/objets", "link")</f>
        <v/>
      </c>
      <c r="C9439" t="n">
        <v>1</v>
      </c>
      <c r="D9439" t="inlineStr">
        <is>
          <t>Arc corrompu; Pendentif affamé; Anneau Tamie; Anneau Tamie; Bouclier du Stalak; Ceinture Séculaire; Coiffe Séculaire; Cape de Diondin; Bottes Innommables; Dofus des Glaces; Érudit majeur; Dévastateur Feu majeur; Nomade; Astucieux majeur; Remueur; Brûlih</t>
        </is>
      </c>
    </row>
    <row r="9440">
      <c r="A9440" t="inlineStr">
        <is>
          <t>Sadida M 200</t>
        </is>
      </c>
      <c r="B9440">
        <f>HYPERLINK("https://www.dofusbook.net/fr/equipement/3349071-sadida-m-200/objets", "link")</f>
        <v/>
      </c>
      <c r="C9440" t="n">
        <v>3</v>
      </c>
      <c r="D9440" t="inlineStr">
        <is>
          <t>L'Épée Nice; Amulette Luminescente; Anneau du Comte Harebourg; Bracelet du Piloztère; Quatre-feuilles; Ceinture Luminescente; Coiffe du Comte Harebourg; Cape Luminescente; Bottes du Comte Harebourg; Dofus Turquoise; Dofus Abyssal; Dofus Ocre; Dofus Pourpre; Dofus des Glaces; Forcené majeur; Kompost</t>
        </is>
      </c>
    </row>
    <row r="9441">
      <c r="A9441" t="inlineStr">
        <is>
          <t>Sadida M 200</t>
        </is>
      </c>
      <c r="B9441">
        <f>HYPERLINK("https://www.dofusbook.net/fr/equipement/3294334-sadida-m-200/objets", "link")</f>
        <v/>
      </c>
      <c r="C9441" t="n">
        <v>6</v>
      </c>
      <c r="D9441" t="inlineStr">
        <is>
          <t>Dagues Érhy; Pendentif mignon de Koutoulou; Anneau Rifique; Anneau de Padgref; Bouclier du Stalak; Ceinture de l'Esprit Salvateur; Casque Cyclopéen; Voilamibe; Bottes de l'Esprit Salvateur; Dofus Pourpre; Dofus Abyssal; Dofus Ocre; Dofus des Glaces; Robuste majeur; Féroce majeur; Kramkram</t>
        </is>
      </c>
    </row>
    <row r="9442">
      <c r="A9442" t="inlineStr">
        <is>
          <t>Stuff 1</t>
        </is>
      </c>
      <c r="B9442">
        <f>HYPERLINK("https://www.dofusbook.net/fr/equipement/100562-stuff-1/objets", "link")</f>
        <v/>
      </c>
      <c r="C9442" t="n">
        <v>1</v>
      </c>
      <c r="D9442" t="inlineStr">
        <is>
          <t>Arc du Chalœil; Torquistik; Anneau du Professeur Xa; Bague Instable; Bouclier précieux; Ceinture Gence; Masque Trithon; Cape du Cœur Vaillant; Bottistik; Culbuteur; Bousculeur majeur; Remueur; Culbuteur majeur; Bousculeur; Pousseur majeur; Kafarce</t>
        </is>
      </c>
    </row>
    <row r="9443">
      <c r="A9443" t="inlineStr">
        <is>
          <t>Feu crit</t>
        </is>
      </c>
      <c r="B9443">
        <f>HYPERLINK("https://www.dofusbook.net/fr/equipement/3157600-feu-crit/objets", "link")</f>
        <v/>
      </c>
      <c r="C9443" t="n">
        <v>0</v>
      </c>
      <c r="D9443" t="inlineStr">
        <is>
          <t>Arc du Chalœil; Torquistik; Bague Instable; Anneau du Professeur Xa; Bouclier précieux; Ceinture Gence; Masque Trithon; Cape du Cœur Vaillant; Bottistik; Remueur; Culbuteur majeur; Bousculeur; Pousseur majeur; Culbuteur; Bousculeur majeur; Kafarce</t>
        </is>
      </c>
    </row>
    <row r="9444">
      <c r="A9444" t="inlineStr">
        <is>
          <t>MDo</t>
        </is>
      </c>
      <c r="B9444">
        <f>HYPERLINK("https://www.dofusbook.net/fr/equipement/3187986-mdo/objets", "link")</f>
        <v/>
      </c>
      <c r="C9444" t="n">
        <v>0</v>
      </c>
      <c r="D9444" t="inlineStr">
        <is>
          <t>Arc du Chalœil; Torquistik; Bague Instable; Anneau du Professeur Xa; Bouclier précieux; Ceinture Gence; Masque Trithon; Cape du Cœur Vaillant; Bottistik; Remueur; Culbuteur majeur; Bousculeur; Pousseur majeur; Culbuteur; Bousculeur majeur; Kafarce</t>
        </is>
      </c>
    </row>
    <row r="9445">
      <c r="A9445" t="inlineStr">
        <is>
          <t>Crit</t>
        </is>
      </c>
      <c r="B9445">
        <f>HYPERLINK("https://www.dofusbook.net/fr/equipement/3154390-crit/objets", "link")</f>
        <v/>
      </c>
      <c r="C9445" t="n">
        <v>0</v>
      </c>
      <c r="D9445" t="inlineStr">
        <is>
          <t>Arc de Koutoulou; Amulette du Strigide; Bracelet du Piloztère; Alliance Gloursonne; Bouclier du Stalak; Ceinture du Strigide; Némès de Tal Kasha; Chevelure de Tal Kasha; Sandales de Tal Kasha; Dofus Ocre; Dofus Turquoise; Dofus Nébuleux; Dofus des Glaces; Dofus Abyssal; Dofus Pourpre; Muldo Doré et Emeraude</t>
        </is>
      </c>
    </row>
    <row r="9446">
      <c r="A9446" t="inlineStr">
        <is>
          <t>Agil</t>
        </is>
      </c>
      <c r="B9446">
        <f>HYPERLINK("https://www.dofusbook.net/fr/equipement/3091580-agil/objets", "link")</f>
        <v/>
      </c>
      <c r="C9446" t="n">
        <v>1</v>
      </c>
      <c r="D9446" t="inlineStr">
        <is>
          <t>Marteau des égarés; Amulette de l'Indicible; Alliance Gloursonne; Bague Gloursonne; Bouclier du Stalak; Ceinture de l'Esprit Salvateur; Masque de l'Esprit Salvateur; Voilamibe; Bottes de l'Esprit Salvateur; Dofus Pourpre; Dofus Abyssal; Dofus Ocre; Dolmanax; Dofus des Glaces; Robuste majeur; Kramkram</t>
        </is>
      </c>
    </row>
    <row r="9447">
      <c r="A9447" t="inlineStr">
        <is>
          <t>Enutrof M 200</t>
        </is>
      </c>
      <c r="B9447">
        <f>HYPERLINK("https://www.dofusbook.net/fr/equipement/3300944-enutrof-m-200/objets", "link")</f>
        <v/>
      </c>
      <c r="C9447" t="n">
        <v>1</v>
      </c>
      <c r="D9447" t="inlineStr">
        <is>
          <t>Lance Horselé; Amulette du Cœur Vaillant; Gant du Valet Veinard; Alliance Gloursonne; Quatre-feuilles; Menoture; Chapoulpe; Chevelure de Tal Kasha; Sandales de Tal Kasha; Nomade; Cascadeur majeur; Remueur; Étourdisseur majeur; Dévastateur Air majeur; Equilibriste majeur; Siroko</t>
        </is>
      </c>
    </row>
    <row r="9448">
      <c r="A9448" t="inlineStr">
        <is>
          <t>Eau ret</t>
        </is>
      </c>
      <c r="B9448">
        <f>HYPERLINK("https://www.dofusbook.net/fr/equipement/2923163-eau-ret/objets", "link")</f>
        <v/>
      </c>
      <c r="C9448" t="n">
        <v>1</v>
      </c>
      <c r="D9448" t="inlineStr">
        <is>
          <t>Dagoulinantes; Amulette d'Oshimo; Anneau du Korriandre; Anneau du Professeur Xa; Sept ans de malheur; Culotte de Bethel; Masque de Funespadon; Cape Solution; Sandales de Tal Kasha; Paralyseur; Paralyseur majeur; Engourdisseur majeur; Étourdisseur majeur; Étourdisseur; Remueur; Dehluge</t>
        </is>
      </c>
    </row>
    <row r="9449">
      <c r="A9449" t="inlineStr">
        <is>
          <t>Steamer M 200</t>
        </is>
      </c>
      <c r="B9449">
        <f>HYPERLINK("https://www.dofusbook.net/fr/equipement/3297869-steamer-m-200/objets", "link")</f>
        <v/>
      </c>
      <c r="C9449" t="n">
        <v>0</v>
      </c>
      <c r="D9449" t="inlineStr">
        <is>
          <t>Bâtonnet Ronien; Amulette du Strigide; Anneau de Padgref; Bracelet du Piloztère; Quatre-feuilles; Ceinture du Strigide; Némès de Tal Kasha; Chevelure de Tal Kasha; Sandales de Tal Kasha; Dofus Turquoise; Dofus Nébuleux; Dofus Ocre; Dofus Abyssal; Dofus Pourpre; Dofus des Glaces; Muldo Prune et Emeraude</t>
        </is>
      </c>
    </row>
    <row r="9450">
      <c r="A9450" t="inlineStr">
        <is>
          <t>Ecaflip M 200</t>
        </is>
      </c>
      <c r="B9450">
        <f>HYPERLINK("https://www.dofusbook.net/fr/equipement/3270349-ecaflip-m-200/objets", "link")</f>
        <v/>
      </c>
      <c r="C9450" t="n">
        <v>0</v>
      </c>
      <c r="D9450" t="inlineStr">
        <is>
          <t>Baguette Héroclite; Amulette de Shokkoth; Anneau Glacial; Alliance Gloursonne; Bouclier du Stalak; Ceinture de la Reine des Voleurs; Capuche de l'Œil Attentif; Cape Solution; Bottes de la Reine des Voleurs; Taquin majeur; Chanceux majeur; Remueur; Dévastateur Eau majeur; Nomade; Joueur majeur; Dehluge</t>
        </is>
      </c>
    </row>
    <row r="9451">
      <c r="A9451" t="inlineStr">
        <is>
          <t>Sadida M 200</t>
        </is>
      </c>
      <c r="B9451">
        <f>HYPERLINK("https://www.dofusbook.net/fr/equipement/3294163-sadida-m-200/objets", "link")</f>
        <v/>
      </c>
      <c r="C9451" t="n">
        <v>4</v>
      </c>
      <c r="D9451" t="inlineStr">
        <is>
          <t>Pyraguette; Amulette de l'Œil Putride; Lavanneau; Bracelet du Piloztère; Bouclier du Stalak; Ceinture de l'Esprit Salvateur; Masque de l'Esprit Salvateur; Cape de l'Œil Putride; Bottes de l'Esprit Salvateur; Dofus Ocre; Dofus Abyssal; Dofus Pourpre; Dofus des Glaces; Robuste majeur; Féroce majeur; Muldo Doré et Pourpre</t>
        </is>
      </c>
    </row>
    <row r="9452">
      <c r="A9452" t="inlineStr">
        <is>
          <t>Sadida M 200</t>
        </is>
      </c>
      <c r="B9452">
        <f>HYPERLINK("https://www.dofusbook.net/fr/equipement/3288714-sadida-m-200/objets", "link")</f>
        <v/>
      </c>
      <c r="C9452" t="n">
        <v>4</v>
      </c>
      <c r="D9452" t="inlineStr">
        <is>
          <t>Pyraguette; Kralamansion; Bague Gloursonne; Alliance Gloursonne; Bouclier du Stalak; Ceinture de l'Esprit Salvateur; Masque de l'Esprit Salvateur; Voilamibe; Bottes de l'Esprit Salvateur; Dolmanax; Dofus des Glaces; Dofus Pourpre; Dofus Abyssal; Dofus Ocre; Robuste majeur; Kramkram</t>
        </is>
      </c>
    </row>
    <row r="9453">
      <c r="A9453" t="inlineStr">
        <is>
          <t>Chance row</t>
        </is>
      </c>
      <c r="B9453">
        <f>HYPERLINK("https://www.dofusbook.net/fr/equipement/3091879-chance-row-/objets", "link")</f>
        <v/>
      </c>
      <c r="C9453" t="n">
        <v>0</v>
      </c>
      <c r="D9453" t="inlineStr">
        <is>
          <t>Hache du Korriandre; Amulette du Strigide; Bracelet du Piloztère; Alliance Gloursonne; Bouclier du Captain Amakna; Ceinture du Strigide; Némès de Tal Kasha; Chevelure de Tal Kasha; Sandales de Tal Kasha; Dofus Pourpre; Dofus Nébuleux; Dofus Turquoise; Dofus Abyssal; Dofus des Glaces; Dofus Ocre; Muldo Prune et Emeraude</t>
        </is>
      </c>
    </row>
    <row r="9454">
      <c r="A9454" t="inlineStr">
        <is>
          <t>Do crit</t>
        </is>
      </c>
      <c r="B9454">
        <f>HYPERLINK("https://www.dofusbook.net/fr/equipement/3154793-do-crit/objets", "link")</f>
        <v/>
      </c>
      <c r="C9454" t="n">
        <v>0</v>
      </c>
      <c r="D9454" t="inlineStr">
        <is>
          <t>Arc de Koutoulou; Amulette du Strigide; Alliance Gloursonne; Bracelet du Piloztère; Quatre-feuilles; Ceinture du Strigide; Némès de Tal Kasha; Chevelure de Tal Kasha; Sandales de Tal Kasha; Dofus Turquoise; Dofus Abyssal; Dolmanax; Dofus Ocre; Dofus Pourpre; Dofus Nébuleux; Muldo Prune et Emeraude</t>
        </is>
      </c>
    </row>
    <row r="9455">
      <c r="A9455" t="inlineStr">
        <is>
          <t>Air resi</t>
        </is>
      </c>
      <c r="B9455">
        <f>HYPERLINK("https://www.dofusbook.net/fr/equipement/2168676-air-resi/objets", "link")</f>
        <v/>
      </c>
      <c r="C9455" t="n">
        <v>0</v>
      </c>
      <c r="D9455" t="inlineStr">
        <is>
          <t>Arc de Koutoulou; Amulette du Strigide; Alliance Gloursonne; Bracelet du Piloztère; Quatre-feuilles; Ceinture du Strigide; Némès de Tal Kasha; Chevelure de Tal Kasha; Bottes du Strigide; Dofus Turquoise; Dofus Abyssal; Dolmanax; Dofus Ocre; Dofus Pourpre; Dofus Nébuleux; Muldo Prune et Emeraude</t>
        </is>
      </c>
    </row>
    <row r="9456">
      <c r="A9456" t="inlineStr">
        <is>
          <t>Eau resi</t>
        </is>
      </c>
      <c r="B9456">
        <f>HYPERLINK("https://www.dofusbook.net/fr/equipement/2855369-eau-resi/objets", "link")</f>
        <v/>
      </c>
      <c r="C9456" t="n">
        <v>0</v>
      </c>
      <c r="D9456" t="inlineStr">
        <is>
          <t>Arc de Koutoulou; Amulette du Strigide; Alliance Gloursonne; Bracelet du Piloztère; Quatre-feuilles; Ceinture du Strigide; Némès de Tal Kasha; Chevelure de Tal Kasha; Bottes du Strigide; Dofus Turquoise; Dofus Abyssal; Dolmanax; Dofus Ocre; Dofus Pourpre; Dofus Nébuleux; Muldo Prune et Emeraude</t>
        </is>
      </c>
    </row>
    <row r="9457">
      <c r="A9457" t="inlineStr">
        <is>
          <t>Feu cita</t>
        </is>
      </c>
      <c r="B9457">
        <f>HYPERLINK("https://www.dofusbook.net/fr/equipement/2608392-feu-cita/objets", "link")</f>
        <v/>
      </c>
      <c r="C9457" t="n">
        <v>0</v>
      </c>
      <c r="D9457" t="inlineStr">
        <is>
          <t>Arc corrompu; Pendentif affamé; Anneauræus; Anneauræus; Quatre-feuilles; Ceinture Séculaire; Coiffe Séculaire; Cape de Diondin; Bottes Innommables; Dofus Pourpre; Dofus Turquoise; Nomade; Astucieux majeur; Érudit majeur; Remueur; Brûlih</t>
        </is>
      </c>
    </row>
    <row r="9458">
      <c r="A9458" t="inlineStr">
        <is>
          <t>Eau resi</t>
        </is>
      </c>
      <c r="B9458">
        <f>HYPERLINK("https://www.dofusbook.net/fr/equipement/2855058-eau-resi/objets", "link")</f>
        <v/>
      </c>
      <c r="C9458" t="n">
        <v>1</v>
      </c>
      <c r="D9458" t="inlineStr">
        <is>
          <t>Baguette Héroclite; Amulette de Shokkoth; Alliance Gloursonne; Anneau Glacial; Bouclier du Stalak; Ceinture de la Reine des Voleurs; Capuche de l'Œil Attentif; Cape Solution; Bottes de la Reine des Voleurs; Nomade; Joueur majeur; Taquin majeur; Chanceux majeur; Remueur; Dévastateur Eau majeur; Dehluge</t>
        </is>
      </c>
    </row>
    <row r="9459">
      <c r="A9459" t="inlineStr">
        <is>
          <t>Multi</t>
        </is>
      </c>
      <c r="B9459">
        <f>HYPERLINK("https://www.dofusbook.net/fr/equipement/3235452-multi/objets", "link")</f>
        <v/>
      </c>
      <c r="C9459" t="n">
        <v>1</v>
      </c>
      <c r="D9459" t="inlineStr">
        <is>
          <t>Baguette Héroclite; Amulette de Shokkoth; Alliance Gloursonne; Anneau Glacial; Bouclier du Stalak; Ceinture de la Reine des Voleurs; Capuche de l'Œil Attentif; Cape Solution; Bottes de la Reine des Voleurs; Nomade; Joueur majeur; Taquin majeur; Chanceux majeur; Remueur; Dévastateur Eau majeur; Dehluge</t>
        </is>
      </c>
    </row>
    <row r="9460">
      <c r="A9460" t="inlineStr">
        <is>
          <t>Air donceit</t>
        </is>
      </c>
      <c r="B9460">
        <f>HYPERLINK("https://www.dofusbook.net/fr/equipement/2255333-air-donceit/objets", "link")</f>
        <v/>
      </c>
      <c r="C9460" t="n">
        <v>0</v>
      </c>
      <c r="D9460" t="inlineStr">
        <is>
          <t>Baguette Héroclite; Amulette de Shokkoth; Alliance Gloursonne; Anneau Glacial; Bouclier du Stalak; Ceinture de la Reine des Voleurs; Capuche de l'Œil Attentif; Cape Solution; Bottes de la Reine des Voleurs; Nomade; Joueur majeur; Taquin majeur; Chanceux majeur; Remueur; Dévastateur Eau majeur; Dehluge</t>
        </is>
      </c>
    </row>
    <row r="9461">
      <c r="A9461" t="inlineStr">
        <is>
          <t>Iop M 200</t>
        </is>
      </c>
      <c r="B9461">
        <f>HYPERLINK("https://www.dofusbook.net/fr/equipement/3290709-iop-m-200/objets", "link")</f>
        <v/>
      </c>
      <c r="C9461" t="n">
        <v>0</v>
      </c>
      <c r="D9461" t="inlineStr">
        <is>
          <t>Marteau Reine; Amulette du Strigide; Bague Trithon; Bracelet du Piloztère; Bouclier du Captain Amakna; Ceinture du Strigide; Masque Trithon; Cape au Logis; Bottes du Strigide; Dofus Turquoise; Dofus Pourpre; Dolmanax; Dofus Ocre; Dofus Nébuleux; Dofus des Glaces; Muldo Prune et Emeraude</t>
        </is>
      </c>
    </row>
    <row r="9462">
      <c r="A9462" t="inlineStr">
        <is>
          <t>Crâ M 200</t>
        </is>
      </c>
      <c r="B9462">
        <f>HYPERLINK("https://www.dofusbook.net/fr/equipement/3276775-cra-m-200/objets", "link")</f>
        <v/>
      </c>
      <c r="C9462" t="n">
        <v>0</v>
      </c>
      <c r="D9462" t="inlineStr">
        <is>
          <t>Marteau de Katrepat; Amulette du Strigide; Anneau du Père Fwetar; Bracelet du Piloztère; Quatre-feuilles; Ceintacé; Maskrobe; Cape Reski; Bottes du Strigide; Dofus Turquoise; Dofus Nébuleux; Dofus Pourpre; Nomade; Vigoureux majeur; Remueur; Kramkram</t>
        </is>
      </c>
    </row>
    <row r="9463">
      <c r="A9463" t="inlineStr">
        <is>
          <t>Crâ M 200</t>
        </is>
      </c>
      <c r="B9463">
        <f>HYPERLINK("https://www.dofusbook.net/fr/equipement/3264756-cra-m-200/objets", "link")</f>
        <v/>
      </c>
      <c r="C9463" t="n">
        <v>1</v>
      </c>
      <c r="D9463" t="inlineStr">
        <is>
          <t>Sabres d'Atcham; Amulette du Strigide; Alliance Brûlâme; Bracelet du Piloztère; Bouclier du Stalak; Ceinture du Strigide; Masque Brûlâme; Cape d'Atcham; Pompes Funèbres; Dofus Ocre; Dofus Abyssal; Dofus Pourpre; Dofus des Glaces; Dolmanax; Dofus Nébuleux; Muldo Doré et Emeraude</t>
        </is>
      </c>
    </row>
    <row r="9464">
      <c r="A9464" t="inlineStr">
        <is>
          <t>Do crit</t>
        </is>
      </c>
      <c r="B9464">
        <f>HYPERLINK("https://www.dofusbook.net/fr/equipement/3154752-do-crit/objets", "link")</f>
        <v/>
      </c>
      <c r="C9464" t="n">
        <v>0</v>
      </c>
      <c r="D9464" t="inlineStr">
        <is>
          <t>Baguette Héroclite; Amulette de Shokkoth; Anneau Glacial; Alliance Gloursonne; Bouclier du Stalak; Ceinture de la Reine des Voleurs; Capuche de l'Œil Attentif; Cape Solution; Bottes de la Reine des Voleurs; Taquin majeur; Chanceux majeur; Remueur; Dévastateur Eau majeur; Nomade; Joueur majeur; Dehluge</t>
        </is>
      </c>
    </row>
    <row r="9465">
      <c r="A9465" t="inlineStr">
        <is>
          <t>Xélor M 200</t>
        </is>
      </c>
      <c r="B9465">
        <f>HYPERLINK("https://www.dofusbook.net/fr/equipement/3264478-xelor-m-200/objets", "link")</f>
        <v/>
      </c>
      <c r="C9465" t="n">
        <v>0</v>
      </c>
      <c r="D9465" t="inlineStr">
        <is>
          <t>Epée Gloursonne; Amulette du Strigide; Bague Gloursonne; Alliance Gloursonne; Quatre-feuilles; Ceinture du Strigide; Némès de Tal Kasha; Chevelure de Tal Kasha; Bottes du Strigide; Dofus Pourpre; Dofus Nébuleux; Dofus Turquoise; Dofus Abyssal; Dolmanax; Dofus Ocre; Muldo Prune et Emeraude</t>
        </is>
      </c>
    </row>
    <row r="9466">
      <c r="A9466" t="inlineStr">
        <is>
          <t>Chance row</t>
        </is>
      </c>
      <c r="B9466">
        <f>HYPERLINK("https://www.dofusbook.net/fr/equipement/3091828-chance-row-/objets", "link")</f>
        <v/>
      </c>
      <c r="C9466" t="n">
        <v>0</v>
      </c>
      <c r="D9466" t="inlineStr">
        <is>
          <t>Sceptre du Roi Joueur; Amulette de Shokkoth; Anneau Glacial; Alliance Gloursonne; Bouclier du Stalak; Ceinture de la Reine des Voleurs; Coiffe de Danathor; Cape Solution; Bottes de la Reine des Voleurs; Taquin majeur; Chanceux majeur; Remueur; Dévastateur Eau majeur; Nomade; Joueur majeur; Dehluge</t>
        </is>
      </c>
    </row>
    <row r="9467">
      <c r="A9467" t="inlineStr">
        <is>
          <t>Feu</t>
        </is>
      </c>
      <c r="B9467">
        <f>HYPERLINK("https://www.dofusbook.net/fr/equipement/3091177-feu/objets", "link")</f>
        <v/>
      </c>
      <c r="C9467" t="n">
        <v>0</v>
      </c>
      <c r="D9467" t="inlineStr">
        <is>
          <t>Massier; Pendentif affamé; Anneau Tamie; Anneau Tamie; Bouclier d'Ilyzaelle; Ceinture Séculaire; Coiffe Séculaire; Cape de Diondin; Bottes Innommables; Dofus Nébuleux; Nomade; Érudit majeur; Savant majeur; Remueur; Astucieux majeur; Brûlih</t>
        </is>
      </c>
    </row>
    <row r="9468">
      <c r="A9468" t="inlineStr">
        <is>
          <t>Eau rowx</t>
        </is>
      </c>
      <c r="B9468">
        <f>HYPERLINK("https://www.dofusbook.net/fr/equipement/3175649-eau-rowx/objets", "link")</f>
        <v/>
      </c>
      <c r="C9468" t="n">
        <v>0</v>
      </c>
      <c r="D9468" t="inlineStr">
        <is>
          <t>Sceptre du Roi Joueur; Amulette de Shokkoth; Alliance Gloursonne; Anneau Glacial; Bouclier du Stalak; Ceinture de la Reine des Voleurs; Coiffe de Danathor; Cape Solution; Bottes de la Reine des Voleurs; Nomade; Joueur majeur; Taquin majeur; Chanceux majeur; Remueur; Dévastateur Eau majeur; Dehluge</t>
        </is>
      </c>
    </row>
    <row r="9469">
      <c r="A9469" t="inlineStr">
        <is>
          <t>Ecaflip M 200</t>
        </is>
      </c>
      <c r="B9469">
        <f>HYPERLINK("https://www.dofusbook.net/fr/equipement/3255496-ecaflip-m-200/objets", "link")</f>
        <v/>
      </c>
      <c r="C9469" t="n">
        <v>0</v>
      </c>
      <c r="D9469" t="inlineStr">
        <is>
          <t>Hache du Chalœil; Amulette du Strigide; Bague Trithon; Bracelet du Piloztère; Bouclier du Captain Amakna; Ceinture du Strigide; Masque Trithon; Cape Reski; Bottes Trithon; Dolmanax; Dofus Ocre; Dofus Pourpre; Dofus Turquoise; Robuste majeur; Puissant majeur; Muldo Doré et Emeraude</t>
        </is>
      </c>
    </row>
    <row r="9470">
      <c r="A9470" t="inlineStr">
        <is>
          <t>Crâ M 200</t>
        </is>
      </c>
      <c r="B9470">
        <f>HYPERLINK("https://www.dofusbook.net/fr/equipement/3254195-cra-m-200/objets", "link")</f>
        <v/>
      </c>
      <c r="C9470" t="n">
        <v>3</v>
      </c>
      <c r="D9470" t="inlineStr">
        <is>
          <t>Lav'Hache; Collier de Tourthon; Anneau Crustique; Anneau Crustique; Bouclier du Stalak; Ceinture de la Reine des Voleurs; Coiffe de la Reine des Voleurs; Ankhape; Bottes de la Cour Sombre; Dofus Ocre; Dofus des Glaces; Nomade; Enragé majeur; Remueur; Dévastateur Terre majeur; Bulbisou</t>
        </is>
      </c>
    </row>
    <row r="9471">
      <c r="A9471" t="inlineStr">
        <is>
          <t>Multi</t>
        </is>
      </c>
      <c r="B9471">
        <f>HYPERLINK("https://www.dofusbook.net/fr/equipement/3176818-multi/objets", "link")</f>
        <v/>
      </c>
      <c r="C9471" t="n">
        <v>1</v>
      </c>
      <c r="D9471" t="inlineStr">
        <is>
          <t>La Racine Cinati; Kralamansion; Alliance Gloursonne; Bague Gloursonne; Bouclier du Captain Amakna; Ceinture du Strigide; Masque de l'Esprit Salvateur; Cape Reski; Bottes de l'Indicible; Dofus des Glaces; Dolmanax; Sanguinaire majeur; Nomade; Féroce majeur; Remueur; Bilby</t>
        </is>
      </c>
    </row>
    <row r="9472">
      <c r="A9472" t="inlineStr">
        <is>
          <t>Sram M 200</t>
        </is>
      </c>
      <c r="B9472">
        <f>HYPERLINK("https://www.dofusbook.net/fr/equipement/3254148-sram-m-200/objets", "link")</f>
        <v/>
      </c>
      <c r="C9472" t="n">
        <v>0</v>
      </c>
      <c r="D9472" t="inlineStr">
        <is>
          <t>Az'tech; Kralamansion; Alliance Gloursonne; Bague Gloursonne; Bouclier du Captain Amakna; Ceinture du Strigide; Masque de l'Esprit Salvateur; Cape Reski; Bottes de l'Indicible; Dofus des Glaces; Dolmanax; Sanguinaire majeur; Nomade; Féroce majeur; Remueur; Bilby</t>
        </is>
      </c>
    </row>
    <row r="9473">
      <c r="A9473" t="inlineStr">
        <is>
          <t>Eau air rall</t>
        </is>
      </c>
      <c r="B9473">
        <f>HYPERLINK("https://www.dofusbook.net/fr/equipement/2926442-eau-air-rall/objets", "link")</f>
        <v/>
      </c>
      <c r="C9473" t="n">
        <v>0</v>
      </c>
      <c r="D9473" t="inlineStr">
        <is>
          <t>Hache du Korriandre; Amulette Voldelor; Alliance Gloursonne; Bracelet du Piloztère; Quatre-feuilles; Ceintacé; Masque du Barbétoal; Chevelure de Tal Kasha; Sandales de Tal Kasha; Dofus Pourpre; Dofus Turquoise; Dolmanax; Vigoureux majeur; Étourdisseur majeur; Remueur; Muldo Prune et Emeraude</t>
        </is>
      </c>
    </row>
    <row r="9474">
      <c r="A9474" t="inlineStr">
        <is>
          <t>Féca M 200</t>
        </is>
      </c>
      <c r="B9474">
        <f>HYPERLINK("https://www.dofusbook.net/fr/equipement/3252201-feca-m-200/objets", "link")</f>
        <v/>
      </c>
      <c r="C9474" t="n">
        <v>1</v>
      </c>
      <c r="D9474" t="inlineStr">
        <is>
          <t>Pyraguette; Talisman Igans; Bracelet du Piloztère; Lavanneau; Bouclier du Stalak; Ceintrigue; Masque de l'Esprit Salvateur; Voilamibe; Pataugastrique; Dolmanax; Dofus Pourpre; Remueur; Chanceux majeur; Érudit majeur; Vigoureux majeur; Kramkram</t>
        </is>
      </c>
    </row>
    <row r="9475">
      <c r="A9475" t="inlineStr">
        <is>
          <t>Agil</t>
        </is>
      </c>
      <c r="B9475">
        <f>HYPERLINK("https://www.dofusbook.net/fr/equipement/3087527-agil/objets", "link")</f>
        <v/>
      </c>
      <c r="C9475" t="n">
        <v>0</v>
      </c>
      <c r="D9475" t="inlineStr">
        <is>
          <t>Dagues Ruik; Collier du Valet Veinard; Anneau d'Allister; Gant du Valet Veinard; Bouclier du Captain Amakna; Menoture; Coiffe de la Reine des Voleurs; Cape du Valet Veinard; Bottes de la Reine des Voleurs; Dofus des Glaces; Acrobate majeur; Féroce majeur; Saccageur Air majeur; Ravageur Air majeur; Equilibriste majeur; Siroko</t>
        </is>
      </c>
    </row>
    <row r="9476">
      <c r="A9476" t="inlineStr">
        <is>
          <t>Stuff 1</t>
        </is>
      </c>
      <c r="B9476">
        <f>HYPERLINK("https://www.dofusbook.net/fr/equipement/100571-stuff-1/objets", "link")</f>
        <v/>
      </c>
      <c r="C9476" t="n">
        <v>0</v>
      </c>
      <c r="D9476" t="inlineStr">
        <is>
          <t>Manthache; Collier du Valet Veinard; Anneau d'Allister; Gant du Valet Veinard; Bouclier du Stalak; Menoture; Coiffe de la Reine des Voleurs; Cape du Valet Veinard; Bottes de la Reine des Voleurs; Dofus des Glaces; Acrobate majeur; Féroce majeur; Saccageur Air majeur; Ravageur Air majeur; Equilibriste majeur; Siroko</t>
        </is>
      </c>
    </row>
    <row r="9477">
      <c r="A9477" t="inlineStr">
        <is>
          <t>Full force</t>
        </is>
      </c>
      <c r="B9477">
        <f>HYPERLINK("https://www.dofusbook.net/fr/equipement/3089179-full-force/objets", "link")</f>
        <v/>
      </c>
      <c r="C9477" t="n">
        <v>0</v>
      </c>
      <c r="D9477" t="inlineStr">
        <is>
          <t>Baguette Héroclite; Amulette de Shokkoth; Anneau Glacial; Alliance Gloursonne; Bouclier du Stalak; Ceinture de la Reine des Voleurs; Coiffe de Danathor; Cape Solution; Bottes de la Reine des Voleurs; Taquin majeur; Chanceux majeur; Remueur; Dévastateur Eau majeur; Nomade; Joueur majeur; Dehluge</t>
        </is>
      </c>
    </row>
    <row r="9478">
      <c r="A9478" t="inlineStr">
        <is>
          <t>Chance row</t>
        </is>
      </c>
      <c r="B9478">
        <f>HYPERLINK("https://www.dofusbook.net/fr/equipement/3091848-chance-row-/objets", "link")</f>
        <v/>
      </c>
      <c r="C9478" t="n">
        <v>3</v>
      </c>
      <c r="D9478" t="inlineStr">
        <is>
          <t>Baguette Héroclite; Amulette de Shokkoth; Alliance Gloursonne; Anneau Glacial; Bouclier du Stalak; Ceinture de la Reine des Voleurs; Coiffe de Danathor; Cape Solution; Bottes de la Reine des Voleurs; Nomade; Joueur majeur; Taquin majeur; Chanceux majeur; Remueur; Dévastateur Eau majeur; Dehluge</t>
        </is>
      </c>
    </row>
    <row r="9479">
      <c r="A9479" t="inlineStr">
        <is>
          <t>Terre invo</t>
        </is>
      </c>
      <c r="B9479">
        <f>HYPERLINK("https://www.dofusbook.net/fr/equipement/2944082-terre-invo/objets", "link")</f>
        <v/>
      </c>
      <c r="C9479" t="n">
        <v>0</v>
      </c>
      <c r="D9479" t="inlineStr">
        <is>
          <t>Arc corrompu; Pendentif affamé; Anneau Tamie; Anneau Tamie; Bouclier du Stalak; Ceinture Séculaire; Coiffe Séculaire; Cape de Diondin; Bottes Innommables; Dofus Pourpre; Nomade; Astucieux majeur; Remueur; Érudit majeur; Dévastateur Feu majeur; Brûlih</t>
        </is>
      </c>
    </row>
    <row r="9480">
      <c r="A9480" t="inlineStr">
        <is>
          <t>Air do cri</t>
        </is>
      </c>
      <c r="B9480">
        <f>HYPERLINK("https://www.dofusbook.net/fr/equipement/2666043-air-do-cri/objets", "link")</f>
        <v/>
      </c>
      <c r="C9480" t="n">
        <v>0</v>
      </c>
      <c r="D9480" t="inlineStr">
        <is>
          <t>Hachoirs de Viandargh; Amulette du Strigide; Anneau de Padgref; Anneau Vicieux; Bouclier du Captain Amakna; Ceinture du Strigide; Némès de Tal Kasha; Chevelure de Tal Kasha; Sandales de Tal Kasha; Dofus Pourpre; Dofus Ocre; Dofus Turquoise; Acrobate majeur; Ravageur Air majeur; Equilibriste majeur; Muldo Doré et Emeraude</t>
        </is>
      </c>
    </row>
    <row r="9481">
      <c r="A9481" t="inlineStr">
        <is>
          <t>MDo</t>
        </is>
      </c>
      <c r="B9481">
        <f>HYPERLINK("https://www.dofusbook.net/fr/equipement/3187854-mdo/objets", "link")</f>
        <v/>
      </c>
      <c r="C9481" t="n">
        <v>0</v>
      </c>
      <c r="D9481" t="inlineStr">
        <is>
          <t>Arc de Koutoulou; Amulette du Strigide; Bracelet du Piloztère; Alliance Gloursonne; Quatre-feuilles; Ceinture du Strigide; Némès de Tal Kasha; Chevelure de Tal Kasha; Sandales de Tal Kasha; Dofus Ocre; Dofus Nébuleux; Dolmanax; Dofus Pourpre; Puissant majeur; Robuste majeur; Muldo Doré et Emeraude</t>
        </is>
      </c>
    </row>
    <row r="9482">
      <c r="A9482" t="inlineStr">
        <is>
          <t>Do pou 2</t>
        </is>
      </c>
      <c r="B9482">
        <f>HYPERLINK("https://www.dofusbook.net/fr/equipement/3181946-do-pou-2/objets", "link")</f>
        <v/>
      </c>
      <c r="C9482" t="n">
        <v>0</v>
      </c>
      <c r="D9482" t="inlineStr">
        <is>
          <t>Arc de Koutoulou; Amulette du Strigide; Alliance Gloursonne; Bracelet du Piloztère; Quatre-feuilles; Ceinture du Strigide; Némès de Tal Kasha; Chevelure de Tal Kasha; Sandales de Tal Kasha; Dofus Abyssal; Dofus Pourpre; Dofus Ocre; Dofus Turquoise; Dofus Nébuleux; Dolmanax; Muldo Prune et Emeraude</t>
        </is>
      </c>
    </row>
    <row r="9483">
      <c r="A9483" t="inlineStr">
        <is>
          <t>New</t>
        </is>
      </c>
      <c r="B9483">
        <f>HYPERLINK("https://www.dofusbook.net/fr/equipement/3240923-new/objets", "link")</f>
        <v/>
      </c>
      <c r="C9483" t="n">
        <v>0</v>
      </c>
      <c r="D9483" t="inlineStr">
        <is>
          <t>Arc de Koutoulou; Amulette du Strigide; Alliance Gloursonne; Bracelet du Piloztère; Quatre-feuilles; Ceinture du Strigide; Némès de Tal Kasha; Chevelure de Tal Kasha; Sandales de Tal Kasha; Dofus Abyssal; Dofus Pourpre; Dofus Ocre; Dofus Turquoise; Dofus Nébuleux; Dolmanax; Muldo Prune et Emeraude</t>
        </is>
      </c>
    </row>
    <row r="9484">
      <c r="A9484" t="inlineStr">
        <is>
          <t>Do pou 2</t>
        </is>
      </c>
      <c r="B9484">
        <f>HYPERLINK("https://www.dofusbook.net/fr/equipement/3181984-do-pou-2/objets", "link")</f>
        <v/>
      </c>
      <c r="C9484" t="n">
        <v>0</v>
      </c>
      <c r="D9484" t="inlineStr">
        <is>
          <t>Arc corrompu; Amulette Séculaire; Anneauræus; Anneau de Padgref; Quatre-feuilles; Ceinture Séculaire; Coiffe de Padgref; Cape de Diondin; Getas de Padgref; Dofus Pourpre; Dofus Nébuleux; Dofus Turquoise; Astucieux majeur; Ravageur Feu majeur; Savant majeur; Muldo Prune et Emeraude</t>
        </is>
      </c>
    </row>
    <row r="9485">
      <c r="A9485" t="inlineStr">
        <is>
          <t>Eau air</t>
        </is>
      </c>
      <c r="B9485">
        <f>HYPERLINK("https://www.dofusbook.net/fr/equipement/3216796-eau-air/objets", "link")</f>
        <v/>
      </c>
      <c r="C9485" t="n">
        <v>2</v>
      </c>
      <c r="D9485" t="inlineStr">
        <is>
          <t>Epée Loponèze; Amulette d'Ilyzaelle; Alliance Gloursonne; Bracelet du Piloztère; Bouclier du Stalak; Ceinture Voldelor; Casque d'Ilyzaelle; Cape Matelassée; Bottes de l'Esprit Salvateur; Dolmanax; Dofus Pourpre; Dofus Abyssal; Nomade; Vigoureux majeur; Remueur; Kramkram</t>
        </is>
      </c>
    </row>
    <row r="9486">
      <c r="A9486" t="inlineStr">
        <is>
          <t>Eau feu</t>
        </is>
      </c>
      <c r="B9486">
        <f>HYPERLINK("https://www.dofusbook.net/fr/equipement/3191573-eau-feu/objets", "link")</f>
        <v/>
      </c>
      <c r="C9486" t="n">
        <v>0</v>
      </c>
      <c r="D9486" t="inlineStr">
        <is>
          <t>Dagues Cacterre; Amulette du Strigide; Bracelet du Piloztère; Lavanneau; Bouclier du Captain Amakna; Ceinture du Strigide; Casquette de Meno; Cape de la Dame du Hasard; Pataugastrique; Dofus Turquoise; Dofus Pourpre; Chanceux majeur; Remueur; Vigoureux majeur; Érudit majeur; Muldo Prune et Emeraude</t>
        </is>
      </c>
    </row>
    <row r="9487">
      <c r="A9487" t="inlineStr">
        <is>
          <t>Eau feu</t>
        </is>
      </c>
      <c r="B9487">
        <f>HYPERLINK("https://www.dofusbook.net/fr/equipement/3191367-eau-feu/objets", "link")</f>
        <v/>
      </c>
      <c r="C9487" t="n">
        <v>2</v>
      </c>
      <c r="D9487" t="inlineStr">
        <is>
          <t>Arc Nécrotique; Amulette du Strigide; Lavanneau; Bracelet du Piloztère; Quatre-feuilles; Ceinture du Strigide; Casquette de Meno; Cape de la Dame du Hasard; Pataugastrique; Dofus Pourpre; Dofus Turquoise; Érudit majeur; Chanceux majeur; Remueur; Vigoureux majeur; Muldo Prune et Emeraude</t>
        </is>
      </c>
    </row>
    <row r="9488">
      <c r="A9488" t="inlineStr">
        <is>
          <t>Eau feu</t>
        </is>
      </c>
      <c r="B9488">
        <f>HYPERLINK("https://www.dofusbook.net/fr/equipement/3191259-eau-feu/objets", "link")</f>
        <v/>
      </c>
      <c r="C9488" t="n">
        <v>0</v>
      </c>
      <c r="D9488" t="inlineStr">
        <is>
          <t>Arc Nécrotique; Amulette du Strigide; Bracelet du Piloztère; Lavanneau; Quatre-feuilles; Ceinture du Strigide; Casquette de Meno; Cape de la Dame du Hasard; Pataugastrique; Dofus Turquoise; Dofus Pourpre; Chanceux majeur; Remueur; Vigoureux majeur; Érudit majeur; Muldo Prune et Emeraude</t>
        </is>
      </c>
    </row>
    <row r="9489">
      <c r="A9489" t="inlineStr">
        <is>
          <t>Eau feu</t>
        </is>
      </c>
      <c r="B9489">
        <f>HYPERLINK("https://www.dofusbook.net/fr/equipement/3191198-eau-feu/objets", "link")</f>
        <v/>
      </c>
      <c r="C9489" t="n">
        <v>0</v>
      </c>
      <c r="D9489" t="inlineStr">
        <is>
          <t>Arc Nécrotique; Amulette du Strigide; Lavanneau; Bracelet du Piloztère; Quatre-feuilles; Ceinture du Strigide; Casquette de Meno; Cape de la Dame du Hasard; Pataugastrique; Dofus Pourpre; Dofus Turquoise; Érudit majeur; Chanceux majeur; Remueur; Vigoureux majeur; Muldo Prune et Emeraude</t>
        </is>
      </c>
    </row>
    <row r="9490">
      <c r="A9490" t="inlineStr">
        <is>
          <t>Eau feu</t>
        </is>
      </c>
      <c r="B9490">
        <f>HYPERLINK("https://www.dofusbook.net/fr/equipement/3191192-eau-feu/objets", "link")</f>
        <v/>
      </c>
      <c r="C9490" t="n">
        <v>2</v>
      </c>
      <c r="D9490" t="inlineStr">
        <is>
          <t>Épée Brûlâme; Amulette du Strigide; Bracelet du Piloztère; Lavanneau; Bouclier du Captain Amakna; Ceinture du Strigide; Casquette de Meno; Cape de la Dame du Hasard; Pataugastrique; Dofus Turquoise; Dofus Pourpre; Chanceux majeur; Remueur; Vigoureux majeur; Érudit majeur; Muldo Prune et Emeraude</t>
        </is>
      </c>
    </row>
    <row r="9491">
      <c r="A9491" t="inlineStr">
        <is>
          <t>Eau feu</t>
        </is>
      </c>
      <c r="B9491">
        <f>HYPERLINK("https://www.dofusbook.net/fr/equipement/3188498-eau-feu/objets", "link")</f>
        <v/>
      </c>
      <c r="C9491" t="n">
        <v>0</v>
      </c>
      <c r="D9491" t="inlineStr">
        <is>
          <t>Épée Brûlâme; Amulette du Strigide; Lavanneau; Bracelet du Piloztère; Bouclier du Captain Amakna; Ceinture du Strigide; Casquette de Meno; Cape de la Dame du Hasard; Pataugastrique; Dofus Pourpre; Dofus Turquoise; Érudit majeur; Chanceux majeur; Remueur; Vigoureux majeur; Muldo Prune et Emeraude</t>
        </is>
      </c>
    </row>
    <row r="9492">
      <c r="A9492" t="inlineStr">
        <is>
          <t>Eau feu</t>
        </is>
      </c>
      <c r="B9492">
        <f>HYPERLINK("https://www.dofusbook.net/fr/equipement/3188431-eau-feu/objets", "link")</f>
        <v/>
      </c>
      <c r="C9492" t="n">
        <v>0</v>
      </c>
      <c r="D9492" t="inlineStr">
        <is>
          <t>Épée Brûlâme; Amulette du Strigide; Bracelet du Piloztère; Lavanneau; Bouclier du Captain Amakna; Ceinture du Strigide; Casquette de Meno; Cape de la Dame du Hasard; Pataugastrique; Dofus Turquoise; Dofus Pourpre; Chanceux majeur; Remueur; Vigoureux majeur; Érudit majeur; Muldo Prune et Emeraude</t>
        </is>
      </c>
    </row>
    <row r="9493">
      <c r="A9493" t="inlineStr">
        <is>
          <t>Chance row</t>
        </is>
      </c>
      <c r="B9493">
        <f>HYPERLINK("https://www.dofusbook.net/fr/equipement/3182598-chance-row-/objets", "link")</f>
        <v/>
      </c>
      <c r="C9493" t="n">
        <v>0</v>
      </c>
      <c r="D9493" t="inlineStr">
        <is>
          <t>Sceptre du Roi Joueur; Amulette de Shokkoth; Alliance Gloursonne; Anneau Glacial; Bouclier du Captain Amakna; Ceinture de la Reine des Voleurs; Coiffe de Danathor; Cape Solution; Bottes de la Reine des Voleurs; Nomade; Joueur majeur; Taquin majeur; Chanceux majeur; Remueur; Dévastateur Eau majeur; Dehluge</t>
        </is>
      </c>
    </row>
    <row r="9494">
      <c r="A9494" t="inlineStr">
        <is>
          <t>Chance row</t>
        </is>
      </c>
      <c r="B9494">
        <f>HYPERLINK("https://www.dofusbook.net/fr/equipement/3182595-chance-row-/objets", "link")</f>
        <v/>
      </c>
      <c r="C9494" t="n">
        <v>0</v>
      </c>
      <c r="D9494" t="inlineStr">
        <is>
          <t>Sceptre du Roi Joueur; Amulette de Shokkoth; Anneau Glacial; Alliance Gloursonne; Bouclier du Captain Amakna; Ceinture de la Reine des Voleurs; Coiffe de Danathor; Cape Solution; Bottes de la Reine des Voleurs; Taquin majeur; Chanceux majeur; Remueur; Dévastateur Eau majeur; Nomade; Joueur majeur; Dehluge</t>
        </is>
      </c>
    </row>
    <row r="9495">
      <c r="A9495" t="inlineStr">
        <is>
          <t>Chance row</t>
        </is>
      </c>
      <c r="B9495">
        <f>HYPERLINK("https://www.dofusbook.net/fr/equipement/3182586-chance-row-/objets", "link")</f>
        <v/>
      </c>
      <c r="C9495" t="n">
        <v>0</v>
      </c>
      <c r="D9495" t="inlineStr">
        <is>
          <t>Sceptre du Roi Joueur; Amulette de Shokkoth; Alliance Gloursonne; Anneau Glacial; Bouclier du Captain Amakna; Ceinture de la Reine des Voleurs; Coiffe de Danathor; Cape Solution; Bottes de la Reine des Voleurs; Nomade; Joueur majeur; Taquin majeur; Chanceux majeur; Remueur; Dévastateur Eau majeur; Dehluge</t>
        </is>
      </c>
    </row>
    <row r="9496">
      <c r="A9496" t="inlineStr">
        <is>
          <t>Chance row</t>
        </is>
      </c>
      <c r="B9496">
        <f>HYPERLINK("https://www.dofusbook.net/fr/equipement/3182583-chance-row-/objets", "link")</f>
        <v/>
      </c>
      <c r="C9496" t="n">
        <v>0</v>
      </c>
      <c r="D9496" t="inlineStr">
        <is>
          <t>Sceptre du Roi Joueur; Amulette de Shokkoth; Anneau Glacial; Alliance Gloursonne; Bouclier du Stalak; Ceinture de la Reine des Voleurs; Coiffe de Danathor; Cape Solution; Bottes de la Reine des Voleurs; Taquin majeur; Chanceux majeur; Remueur; Dévastateur Eau majeur; Nomade; Joueur majeur; Dehluge</t>
        </is>
      </c>
    </row>
    <row r="9497">
      <c r="A9497" t="inlineStr">
        <is>
          <t>Eau terre</t>
        </is>
      </c>
      <c r="B9497">
        <f>HYPERLINK("https://www.dofusbook.net/fr/equipement/3182309-eau-terre/objets", "link")</f>
        <v/>
      </c>
      <c r="C9497" t="n">
        <v>0</v>
      </c>
      <c r="D9497" t="inlineStr">
        <is>
          <t>Baguette des égarés; Amulette du Strigide; Alliance de Missiz Frizz; Bracelet du Piloztère; Quatre-feuilles; Ceintacé; Masque de Funespadon; Cape Ovri; Bottes du Strigide; Dofus Pourpre; Dofus Turquoise; Vigoureux majeur; Enragé majeur; Remueur; Chanceux majeur; Muldo Prune et Emeraude</t>
        </is>
      </c>
    </row>
    <row r="9498">
      <c r="A9498" t="inlineStr">
        <is>
          <t>Do pou 2</t>
        </is>
      </c>
      <c r="B9498">
        <f>HYPERLINK("https://www.dofusbook.net/fr/equipement/3181994-do-pou-2/objets", "link")</f>
        <v/>
      </c>
      <c r="C9498" t="n">
        <v>0</v>
      </c>
      <c r="D9498" t="inlineStr">
        <is>
          <t>Masse Ossiale; Amulette Luminescente; Anneau du Professeur Xa; Bague Instable; Bouclier précieux; Ceinture Luminescente; Masque de l'Esprit Malsain; Cape Solution; Bottes Trithon; Culbuteur; Bousculeur; Bousculeur majeur; Pousseur majeur; Remueur; Culbuteur majeur; Kafarce</t>
        </is>
      </c>
    </row>
    <row r="9499">
      <c r="A9499" t="inlineStr">
        <is>
          <t>Do pou 2</t>
        </is>
      </c>
      <c r="B9499">
        <f>HYPERLINK("https://www.dofusbook.net/fr/equipement/3181942-do-pou-2/objets", "link")</f>
        <v/>
      </c>
      <c r="C9499" t="n">
        <v>0</v>
      </c>
      <c r="D9499" t="inlineStr">
        <is>
          <t>Masse Ossiale; Amulette Luminescente; Anneau du Professeur Xa; Bague Instable; Bouclier précieux; Ceinture Luminescente; Masque de l'Esprit Malsain; Cape Solution; Bottes Trithon; Culbuteur; Bousculeur; Bousculeur majeur; Pousseur majeur; Remueur; Culbuteur majeur; Kafarce</t>
        </is>
      </c>
    </row>
    <row r="9500">
      <c r="A9500" t="inlineStr">
        <is>
          <t>Full pou</t>
        </is>
      </c>
      <c r="B9500">
        <f>HYPERLINK("https://www.dofusbook.net/fr/equipement/3180975-full-pou/objets", "link")</f>
        <v/>
      </c>
      <c r="C9500" t="n">
        <v>2</v>
      </c>
      <c r="D9500" t="inlineStr">
        <is>
          <t>Arc du Chalœil; Torquistik; Anneau du Professeur Xa; Bague Instable; Bouclier Taverne; Ceinture Gence; Masque Trithon; Cape Luminescente; Bottistik; Culbuteur; Bousculeur majeur; Remueur; Culbuteur majeur; Bousculeur; Pousseur majeur; Kafarce</t>
        </is>
      </c>
    </row>
    <row r="9501">
      <c r="A9501" t="inlineStr">
        <is>
          <t>Full pou</t>
        </is>
      </c>
      <c r="B9501">
        <f>HYPERLINK("https://www.dofusbook.net/fr/equipement/3180920-full-pou/objets", "link")</f>
        <v/>
      </c>
      <c r="C9501" t="n">
        <v>0</v>
      </c>
      <c r="D9501" t="inlineStr">
        <is>
          <t>Arc du Chalœil; Torquistik; Bague Instable; Anneau du Professeur Xa; Bouclier Taverne; Ceinture Gence; Masque Trithon; Cape Luminescente; Bottistik; Remueur; Culbuteur majeur; Bousculeur; Pousseur majeur; Culbuteur; Bousculeur majeur; Kafarce</t>
        </is>
      </c>
    </row>
    <row r="9502">
      <c r="A9502" t="inlineStr">
        <is>
          <t>Multi</t>
        </is>
      </c>
      <c r="B9502">
        <f>HYPERLINK("https://www.dofusbook.net/fr/equipement/3176698-multi/objets", "link")</f>
        <v/>
      </c>
      <c r="C9502" t="n">
        <v>0</v>
      </c>
      <c r="D9502" t="inlineStr">
        <is>
          <t>Marteau de Katrepat; Amulette du Strigide; Alliance du Lévitrof; Bracelet du Piloztère; Quatre-feuilles; Ceintacé; Masque Brûlâme; Voile d'encre; Bottes du Strigide; Dofus Pourpre; Dofus Turquoise; Nomade; Sanguinaire majeur; Remueur; Vigoureux majeur; Kramkram</t>
        </is>
      </c>
    </row>
    <row r="9503">
      <c r="A9503" t="inlineStr">
        <is>
          <t>Chance row</t>
        </is>
      </c>
      <c r="B9503">
        <f>HYPERLINK("https://www.dofusbook.net/fr/equipement/3176401-chance-row-/objets", "link")</f>
        <v/>
      </c>
      <c r="C9503" t="n">
        <v>0</v>
      </c>
      <c r="D9503" t="inlineStr">
        <is>
          <t>Sceptre du Roi Joueur; Amulette de Shokkoth; Anneau Glacial; Alliance Gloursonne; Bouclier du Stalak; Ceinture de la Reine des Voleurs; Coiffe de Danathor; Cape Solution; Bottes de la Reine des Voleurs; Taquin majeur; Chanceux majeur; Remueur; Dévastateur Eau majeur; Nomade; Joueur majeur; Dehluge</t>
        </is>
      </c>
    </row>
    <row r="9504">
      <c r="A9504" t="inlineStr">
        <is>
          <t>Chance row</t>
        </is>
      </c>
      <c r="B9504">
        <f>HYPERLINK("https://www.dofusbook.net/fr/equipement/3176398-chance-row-/objets", "link")</f>
        <v/>
      </c>
      <c r="C9504" t="n">
        <v>0</v>
      </c>
      <c r="D9504" t="inlineStr">
        <is>
          <t>Sceptre du Roi Joueur; Amulette de Shokkoth; Alliance Gloursonne; Anneau Glacial; Bouclier du Stalak; Ceinture de la Reine des Voleurs; Coiffe de Danathor; Cape Solution; Bottes de la Reine des Voleurs; Nomade; Joueur majeur; Taquin majeur; Chanceux majeur; Remueur; Dévastateur Eau majeur; Dehluge</t>
        </is>
      </c>
    </row>
    <row r="9505">
      <c r="A9505" t="inlineStr">
        <is>
          <t>Chance row</t>
        </is>
      </c>
      <c r="B9505">
        <f>HYPERLINK("https://www.dofusbook.net/fr/equipement/3176337-chance-row-/objets", "link")</f>
        <v/>
      </c>
      <c r="C9505" t="n">
        <v>0</v>
      </c>
      <c r="D9505" t="inlineStr">
        <is>
          <t>Sceptre du Roi Joueur; Amulette de Shokkoth; Anneau Glacial; Alliance Gloursonne; Bouclier du Stalak; Ceinture de la Reine des Voleurs; Coiffe de Danathor; Cape Solution; Bottes de la Reine des Voleurs; Taquin majeur; Chanceux majeur; Remueur; Dévastateur Eau majeur; Nomade; Joueur majeur; Dehluge</t>
        </is>
      </c>
    </row>
    <row r="9506">
      <c r="A9506" t="inlineStr">
        <is>
          <t>Chance row</t>
        </is>
      </c>
      <c r="B9506">
        <f>HYPERLINK("https://www.dofusbook.net/fr/equipement/3176287-chance-row-/objets", "link")</f>
        <v/>
      </c>
      <c r="C9506" t="n">
        <v>0</v>
      </c>
      <c r="D9506" t="inlineStr">
        <is>
          <t>Sceptre du Roi Joueur; Amulette de Shokkoth; Alliance Gloursonne; Anneau Glacial; Bouclier du Stalak; Ceinture de la Reine des Voleurs; Coiffe de Danathor; Cape Solution; Bottes de la Reine des Voleurs; Nomade; Joueur majeur; Taquin majeur; Chanceux majeur; Remueur; Dévastateur Eau majeur; Dehluge</t>
        </is>
      </c>
    </row>
    <row r="9507">
      <c r="A9507" t="inlineStr">
        <is>
          <t>Eau rowx</t>
        </is>
      </c>
      <c r="B9507">
        <f>HYPERLINK("https://www.dofusbook.net/fr/equipement/3175810-eau-rowx/objets", "link")</f>
        <v/>
      </c>
      <c r="C9507" t="n">
        <v>0</v>
      </c>
      <c r="D9507" t="inlineStr">
        <is>
          <t>Sceptre du Roi Joueur; Amulette de Shokkoth; Bracelet des Fonds marins; Alliance Gloursonne; Quatre-feuilles; Pagne du Rykaon; Némès de Tal Kasha; Cape Solution; Sandales de Tal Kasha; Dofus Turquoise; Taquin majeur; Remueur; Chanceux majeur; Nomade; Dévastateur Eau majeur; Dehluge</t>
        </is>
      </c>
    </row>
    <row r="9508">
      <c r="A9508" t="inlineStr">
        <is>
          <t>Eau rowx</t>
        </is>
      </c>
      <c r="B9508">
        <f>HYPERLINK("https://www.dofusbook.net/fr/equipement/3175779-eau-rowx/objets", "link")</f>
        <v/>
      </c>
      <c r="C9508" t="n">
        <v>0</v>
      </c>
      <c r="D9508" t="inlineStr">
        <is>
          <t>Sceptre du Roi Joueur; Amulette de Shokkoth; Alliance Gloursonne; Bracelet des Fonds marins; Quatre-feuilles; Pagne du Rykaon; Némès de Tal Kasha; Cape Solution; Sandales de Tal Kasha; Dofus Turquoise; Nomade; Dévastateur Eau majeur; Taquin majeur; Remueur; Chanceux majeur; Dehluge</t>
        </is>
      </c>
    </row>
    <row r="9509">
      <c r="A9509" t="inlineStr">
        <is>
          <t>Eau rowx</t>
        </is>
      </c>
      <c r="B9509">
        <f>HYPERLINK("https://www.dofusbook.net/fr/equipement/3175701-eau-rowx/objets", "link")</f>
        <v/>
      </c>
      <c r="C9509" t="n">
        <v>0</v>
      </c>
      <c r="D9509" t="inlineStr">
        <is>
          <t>Sceptre du Roi Joueur; Amulette de Shokkoth; Bracelet des Fonds marins; Alliance Gloursonne; Quatre-feuilles; Pagne du Rykaon; Némès de Tal Kasha; Cape Solution; Sandales de Tal Kasha; Dofus Turquoise; Taquin majeur; Remueur; Chanceux majeur; Nomade; Dévastateur Eau majeur; Dehluge</t>
        </is>
      </c>
    </row>
    <row r="9510">
      <c r="A9510" t="inlineStr">
        <is>
          <t>Agil</t>
        </is>
      </c>
      <c r="B9510">
        <f>HYPERLINK("https://www.dofusbook.net/fr/equipement/3175458-agil/objets", "link")</f>
        <v/>
      </c>
      <c r="C9510" t="n">
        <v>0</v>
      </c>
      <c r="D9510" t="inlineStr">
        <is>
          <t>Manthache; Collier du Valet Veinard; Alliance Gloursonne; Gant du Valet Veinard; Bouclier d'Ilyzaelle; Menoture; Couronne d'Allister; Cape Indescriptible; Palmes Trithons; Dofus Émeraude; Remueur; Acrobate majeur; Nomade; Miraculé majeur; Cascadeur majeur; Pioute jaune</t>
        </is>
      </c>
    </row>
    <row r="9511">
      <c r="A9511" t="inlineStr">
        <is>
          <t>Agil</t>
        </is>
      </c>
      <c r="B9511">
        <f>HYPERLINK("https://www.dofusbook.net/fr/equipement/3175457-agil/objets", "link")</f>
        <v/>
      </c>
      <c r="C9511" t="n">
        <v>0</v>
      </c>
      <c r="D9511" t="inlineStr">
        <is>
          <t>Manthache; Collier du Valet Veinard; Gant du Valet Veinard; Alliance Gloursonne; Bouclier d'Ilyzaelle; Menoture; Couronne d'Allister; Cape Indescriptible; Palmes Trithons; Dofus Émeraude; Nomade; Miraculé majeur; Cascadeur majeur; Remueur; Acrobate majeur; Pioute jaune</t>
        </is>
      </c>
    </row>
    <row r="9512">
      <c r="A9512" t="inlineStr">
        <is>
          <t>Agil</t>
        </is>
      </c>
      <c r="B9512">
        <f>HYPERLINK("https://www.dofusbook.net/fr/equipement/3175456-agil/objets", "link")</f>
        <v/>
      </c>
      <c r="C9512" t="n">
        <v>0</v>
      </c>
      <c r="D9512" t="inlineStr">
        <is>
          <t>Manthache; Collier du Valet Veinard; Alliance Gloursonne; Gant du Valet Veinard; Bouclier d'Ilyzaelle; Menoture; Couronne d'Allister; Cape Indescriptible; Palmes Trithons; Dofus Émeraude; Remueur; Acrobate majeur; Nomade; Miraculé majeur; Cascadeur majeur; Pioute jaune</t>
        </is>
      </c>
    </row>
    <row r="9513">
      <c r="A9513" t="inlineStr">
        <is>
          <t>Feu</t>
        </is>
      </c>
      <c r="B9513">
        <f>HYPERLINK("https://www.dofusbook.net/fr/equipement/3165345-feu/objets", "link")</f>
        <v/>
      </c>
      <c r="C9513" t="n">
        <v>0</v>
      </c>
      <c r="D9513" t="inlineStr">
        <is>
          <t>Arc corrompu; Pendentif affamé; Anneau Tamie; Anneau Tamie; Bouclier du Stalak; Ceinture Séculaire; Coiffe Séculaire; Cape de Diondin; Bottes Innommables; Dofus Pourpre; Nomade; Astucieux majeur; Remueur; Érudit majeur; Dévastateur Feu majeur; Brûlih</t>
        </is>
      </c>
    </row>
    <row r="9514">
      <c r="A9514" t="inlineStr">
        <is>
          <t>Feu</t>
        </is>
      </c>
      <c r="B9514">
        <f>HYPERLINK("https://www.dofusbook.net/fr/equipement/3165308-feu/objets", "link")</f>
        <v/>
      </c>
      <c r="C9514" t="n">
        <v>1</v>
      </c>
      <c r="D9514" t="inlineStr">
        <is>
          <t>Arc corrompu; Pendentif affamé; Anneau Tamie; Anneau Tamie; Bouclier du Stalak; Ceinture Séculaire; Coiffe Séculaire; Cape de Diondin; Bottes Innommables; Dofus Pourpre; Érudit majeur; Dévastateur Feu majeur; Nomade; Astucieux majeur; Remueur; Brûlih</t>
        </is>
      </c>
    </row>
    <row r="9515">
      <c r="A9515" t="inlineStr">
        <is>
          <t>Feu regen</t>
        </is>
      </c>
      <c r="B9515">
        <f>HYPERLINK("https://www.dofusbook.net/fr/equipement/3165153-feu-regen/objets", "link")</f>
        <v/>
      </c>
      <c r="C9515" t="n">
        <v>0</v>
      </c>
      <c r="D9515" t="inlineStr">
        <is>
          <t>Harpelle; Pendentif affamé; Anneau Tamie; Anneau Tique; Jadis; Ceintacé; Dorabysses; Voile d'encre; Chaussures Ardentes; Dofus Émeraude; Miraculé majeur; Remueur; Astucieux majeur; Dévastateur Feu majeur; Érudit majeur; Muldo Orchidée et Pourpre</t>
        </is>
      </c>
    </row>
    <row r="9516">
      <c r="A9516" t="inlineStr">
        <is>
          <t>Feu crit</t>
        </is>
      </c>
      <c r="B9516">
        <f>HYPERLINK("https://www.dofusbook.net/fr/equipement/3157672-feu-crit/objets", "link")</f>
        <v/>
      </c>
      <c r="C9516" t="n">
        <v>0</v>
      </c>
      <c r="D9516" t="inlineStr">
        <is>
          <t>Dagues Ricol; Amulette Séculaire; Anneauræus; Anneau de Padgref; Bouclier du Captain Amakna; Ceinture Séculaire; Coiffe de Padgref; Cape de Diondin; Getas de Padgref; Dofus Pourpre; Dofus Nébuleux; Dofus Turquoise; Astucieux majeur; Ravageur Feu majeur; Savant majeur; Muldo Prune et Emeraude</t>
        </is>
      </c>
    </row>
    <row r="9517">
      <c r="A9517" t="inlineStr">
        <is>
          <t>Feu crit</t>
        </is>
      </c>
      <c r="B9517">
        <f>HYPERLINK("https://www.dofusbook.net/fr/equipement/3157662-feu-crit/objets", "link")</f>
        <v/>
      </c>
      <c r="C9517" t="n">
        <v>0</v>
      </c>
      <c r="D9517" t="inlineStr">
        <is>
          <t>Arc corrompu; Amulette Séculaire; Anneau de Padgref; Anneauræus; Quatre-feuilles; Ceinture Séculaire; Coiffe de Padgref; Cape de Diondin; Getas de Padgref; Dofus Pourpre; Dofus Nébuleux; Dofus Turquoise; Savant majeur; Astucieux majeur; Ravageur Feu majeur; Muldo Prune et Emeraude</t>
        </is>
      </c>
    </row>
    <row r="9518">
      <c r="A9518" t="inlineStr">
        <is>
          <t>Feu crit</t>
        </is>
      </c>
      <c r="B9518">
        <f>HYPERLINK("https://www.dofusbook.net/fr/equipement/3157618-feu-crit/objets", "link")</f>
        <v/>
      </c>
      <c r="C9518" t="n">
        <v>0</v>
      </c>
      <c r="D9518" t="inlineStr">
        <is>
          <t>Massier; Amulette Séculaire; Anneau de Padgref; Anneauræus; Bouclier du Captain Amakna; Ceinture Séculaire; Coiffe de Padgref; Cape de Diondin; Getas de Padgref; Dofus Pourpre; Dofus Nébuleux; Dofus Turquoise; Savant majeur; Astucieux majeur; Ravageur Feu majeur; Muldo Prune et Emeraude</t>
        </is>
      </c>
    </row>
    <row r="9519">
      <c r="A9519" t="inlineStr">
        <is>
          <t>Feu crit</t>
        </is>
      </c>
      <c r="B9519">
        <f>HYPERLINK("https://www.dofusbook.net/fr/equipement/3157614-feu-crit/objets", "link")</f>
        <v/>
      </c>
      <c r="C9519" t="n">
        <v>0</v>
      </c>
      <c r="D9519" t="inlineStr">
        <is>
          <t>Arc corrompu; Amulette Séculaire; Anneauræus; Anneau de Padgref; Quatre-feuilles; Ceinture Séculaire; Coiffe de Padgref; Cape de Diondin; Getas de Padgref; Dofus Pourpre; Dofus Nébuleux; Dofus Turquoise; Astucieux majeur; Ravageur Feu majeur; Savant majeur; Muldo Prune et Emeraude</t>
        </is>
      </c>
    </row>
    <row r="9520">
      <c r="A9520" t="inlineStr">
        <is>
          <t>Feu crit</t>
        </is>
      </c>
      <c r="B9520">
        <f>HYPERLINK("https://www.dofusbook.net/fr/equipement/3157607-feu-crit/objets", "link")</f>
        <v/>
      </c>
      <c r="C9520" t="n">
        <v>0</v>
      </c>
      <c r="D9520" t="inlineStr">
        <is>
          <t>Harpelle; Amulette Séculaire; Anneau de Padgref; Anneauræus; Bouclier du Captain Amakna; Ceinture Séculaire; Coiffe de Padgref; Cape de Diondin; Getas de Padgref; Dofus Pourpre; Dofus Nébuleux; Dofus Turquoise; Savant majeur; Astucieux majeur; Ravageur Feu majeur; Muldo Prune et Emeraude</t>
        </is>
      </c>
    </row>
    <row r="9521">
      <c r="A9521" t="inlineStr">
        <is>
          <t>Agil</t>
        </is>
      </c>
      <c r="B9521">
        <f>HYPERLINK("https://www.dofusbook.net/fr/equipement/3155075-agil/objets", "link")</f>
        <v/>
      </c>
      <c r="C9521" t="n">
        <v>0</v>
      </c>
      <c r="D9521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22">
      <c r="A9522" t="inlineStr">
        <is>
          <t>Agil</t>
        </is>
      </c>
      <c r="B9522">
        <f>HYPERLINK("https://www.dofusbook.net/fr/equipement/3155032-agil/objets", "link")</f>
        <v/>
      </c>
      <c r="C9522" t="n">
        <v>1</v>
      </c>
      <c r="D9522" t="inlineStr">
        <is>
          <t>Manthache; Collier du Valet Veinard; Gant du Valet Veinard; Alliance Gloursonne; Bouclier du Stalak; Menoture; Couronne d'Allister; Cape Indescriptible; Palmes Trithons; Nomade; Equilibriste majeur; Dévastateur Air majeur; Cascadeur majeur; Remueur; Acrobate majeur; Siroko</t>
        </is>
      </c>
    </row>
    <row r="9523">
      <c r="A9523" t="inlineStr">
        <is>
          <t>Agil</t>
        </is>
      </c>
      <c r="B9523">
        <f>HYPERLINK("https://www.dofusbook.net/fr/equipement/3154892-agil/objets", "link")</f>
        <v/>
      </c>
      <c r="C9523" t="n">
        <v>0</v>
      </c>
      <c r="D9523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24">
      <c r="A9524" t="inlineStr">
        <is>
          <t>Agil</t>
        </is>
      </c>
      <c r="B9524">
        <f>HYPERLINK("https://www.dofusbook.net/fr/equipement/3154885-agil/objets", "link")</f>
        <v/>
      </c>
      <c r="C9524" t="n">
        <v>3</v>
      </c>
      <c r="D9524" t="inlineStr">
        <is>
          <t>Manthache; Collier du Valet Veinard; Gant du Valet Veinard; Alliance Gloursonne; Bouclier du Stalak; Menoture; Couronne d'Allister; Cape Indescriptible; Palmes Trithons; Nomade; Equilibriste majeur; Dévastateur Air majeur; Cascadeur majeur; Remueur; Acrobate majeur; Siroko</t>
        </is>
      </c>
    </row>
    <row r="9525">
      <c r="A9525" t="inlineStr">
        <is>
          <t>Agil</t>
        </is>
      </c>
      <c r="B9525">
        <f>HYPERLINK("https://www.dofusbook.net/fr/equipement/3154877-agil/objets", "link")</f>
        <v/>
      </c>
      <c r="C9525" t="n">
        <v>0</v>
      </c>
      <c r="D9525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26">
      <c r="A9526" t="inlineStr">
        <is>
          <t>Agil</t>
        </is>
      </c>
      <c r="B9526">
        <f>HYPERLINK("https://www.dofusbook.net/fr/equipement/3154873-agil/objets", "link")</f>
        <v/>
      </c>
      <c r="C9526" t="n">
        <v>0</v>
      </c>
      <c r="D9526" t="inlineStr">
        <is>
          <t>Manthache; Collier du Valet Veinard; Gant du Valet Veinard; Alliance Gloursonne; Bouclier du Stalak; Menoture; Couronne d'Allister; Cape Indescriptible; Palmes Trithons; Nomade; Equilibriste majeur; Dévastateur Air majeur; Cascadeur majeur; Remueur; Acrobate majeur; Siroko</t>
        </is>
      </c>
    </row>
    <row r="9527">
      <c r="A9527" t="inlineStr">
        <is>
          <t>Do crit</t>
        </is>
      </c>
      <c r="B9527">
        <f>HYPERLINK("https://www.dofusbook.net/fr/equipement/3154779-do-crit/objets", "link")</f>
        <v/>
      </c>
      <c r="C9527" t="n">
        <v>2</v>
      </c>
      <c r="D9527" t="inlineStr">
        <is>
          <t>Hachoirs de Viandargh; Amulette du Strigide; Bague Trithon; Anneau de Padgref; Bouclier du Captain Amakna; Ceinture du Strigide; Némès de Tal Kasha; Chevelure de Tal Kasha; Getas de Padgref; Dofus Pourpre; Dofus des Glaces; Dofus Turquoise; Dofus Nébuleux; Dofus Ocre; Equilibriste majeur; Bouflux</t>
        </is>
      </c>
    </row>
    <row r="9528">
      <c r="A9528" t="inlineStr">
        <is>
          <t>Do crit</t>
        </is>
      </c>
      <c r="B9528">
        <f>HYPERLINK("https://www.dofusbook.net/fr/equipement/3154771-do-crit/objets", "link")</f>
        <v/>
      </c>
      <c r="C9528" t="n">
        <v>0</v>
      </c>
      <c r="D9528" t="inlineStr">
        <is>
          <t>Hachoirs de Viandargh; Amulette du Strigide; Anneau de Padgref; Bague Trithon; Bouclier du Captain Amakna; Ceinture du Strigide; Némès de Tal Kasha; Chevelure de Tal Kasha; Getas de Padgref; Dofus Turquoise; Dofus Nébuleux; Dofus Ocre; Dofus Pourpre; Dofus des Glaces; Equilibriste majeur; Bouflux</t>
        </is>
      </c>
    </row>
    <row r="9529">
      <c r="A9529" t="inlineStr">
        <is>
          <t>Do crit</t>
        </is>
      </c>
      <c r="B9529">
        <f>HYPERLINK("https://www.dofusbook.net/fr/equipement/3154725-do-crit/objets", "link")</f>
        <v/>
      </c>
      <c r="C9529" t="n">
        <v>0</v>
      </c>
      <c r="D9529" t="inlineStr">
        <is>
          <t>Hachoirs de Viandargh; Amulette du Strigide; Bague Trithon; Anneau de Padgref; Bouclier du Captain Amakna; Ceinture du Strigide; Némès de Tal Kasha; Chevelure de Tal Kasha; Getas de Padgref; Dofus Pourpre; Dofus des Glaces; Dofus Turquoise; Dofus Nébuleux; Dofus Ocre; Equilibriste majeur; Bouflux</t>
        </is>
      </c>
    </row>
    <row r="9530">
      <c r="A9530" t="inlineStr">
        <is>
          <t>Glyph</t>
        </is>
      </c>
      <c r="B9530">
        <f>HYPERLINK("https://www.dofusbook.net/fr/equipement/3154485-glyph/objets", "link")</f>
        <v/>
      </c>
      <c r="C9530" t="n">
        <v>0</v>
      </c>
      <c r="D9530" t="inlineStr">
        <is>
          <t>Marteau des égarés; Amulette de l'Indicible; Bracelet du Piloztère; Anneau du Père Fwetar; Bouclier d'Ilyzaelle; Ceinture de l'Esprit Salvateur; Le Dorado; Voilamibe; Bottes de l'Esprit Salvateur; Dofus Pourpre; Dolmanax; Vigoureux majeur; Robuste majeur; Sanguinaire majeur; Remueur; Kramkram</t>
        </is>
      </c>
    </row>
    <row r="9531">
      <c r="A9531" t="inlineStr">
        <is>
          <t>Crit</t>
        </is>
      </c>
      <c r="B9531">
        <f>HYPERLINK("https://www.dofusbook.net/fr/equipement/3154474-crit/objets", "link")</f>
        <v/>
      </c>
      <c r="C9531" t="n">
        <v>0</v>
      </c>
      <c r="D9531" t="inlineStr">
        <is>
          <t>Hache du Chalœil; Amulette du Strigide; Anneau du Père Fwetar; Bracelet du Piloztère; Quatre-feuilles; Ceintacé; Le Dorado; Dofusteuse; Bottes du Strigide; Dofus Turquoise; Dolmanax; Dofus Pourpre; Remueur; Nomade; Vigoureux majeur; Kramkram</t>
        </is>
      </c>
    </row>
    <row r="9532">
      <c r="A9532" t="inlineStr">
        <is>
          <t>Agil</t>
        </is>
      </c>
      <c r="B9532">
        <f>HYPERLINK("https://www.dofusbook.net/fr/equipement/3119890-agil/objets", "link")</f>
        <v/>
      </c>
      <c r="C9532" t="n">
        <v>0</v>
      </c>
      <c r="D9532" t="inlineStr">
        <is>
          <t>Manthache; Collier du Valet Veinard; Gant du Valet Veinard; Alliance Gloursonne; Bouclier du Captain Amakna; Menoture; Couronne d'Allister; Cape Indescriptible; Palmes Trithons; Dofus Nébuleux; Nomade; Equilibriste majeur; Cascadeur majeur; Remueur; Acrobate majeur; Siroko</t>
        </is>
      </c>
    </row>
    <row r="9533">
      <c r="A9533" t="inlineStr">
        <is>
          <t>Chance row</t>
        </is>
      </c>
      <c r="B9533">
        <f>HYPERLINK("https://www.dofusbook.net/fr/equipement/3098686-chance-row-/objets", "link")</f>
        <v/>
      </c>
      <c r="C9533" t="n">
        <v>0</v>
      </c>
      <c r="D9533" t="inlineStr">
        <is>
          <t>Dagoulinantes; Amulette de Shokkoth; Alliance Gloursonne; Anneau Glacial; Bouclier du Stalak; Ceinture de la Reine des Voleurs; Coiffe de Danathor; Cape Solution; Bottes de la Reine des Voleurs; Dofus Nébuleux; Nomade; Taquin majeur; Chanceux majeur; Remueur; Dévastateur Eau majeur; Dehluge</t>
        </is>
      </c>
    </row>
    <row r="9534">
      <c r="A9534" t="inlineStr">
        <is>
          <t>Chance row</t>
        </is>
      </c>
      <c r="B9534">
        <f>HYPERLINK("https://www.dofusbook.net/fr/equipement/3098683-chance-row-/objets", "link")</f>
        <v/>
      </c>
      <c r="C9534" t="n">
        <v>0</v>
      </c>
      <c r="D9534" t="inlineStr">
        <is>
          <t>Dagoulinantes; Amulette de Shokkoth; Anneau Glacial; Alliance Gloursonne; Bouclier du Stalak; Ceinture de la Reine des Voleurs; Coiffe de Danathor; Cape Solution; Bottes de la Reine des Voleurs; Dofus Nébuleux; Taquin majeur; Chanceux majeur; Remueur; Dévastateur Eau majeur; Nomade; Dehluge</t>
        </is>
      </c>
    </row>
    <row r="9535">
      <c r="A9535" t="inlineStr">
        <is>
          <t>Chance row</t>
        </is>
      </c>
      <c r="B9535">
        <f>HYPERLINK("https://www.dofusbook.net/fr/equipement/3098670-chance-row-/objets", "link")</f>
        <v/>
      </c>
      <c r="C9535" t="n">
        <v>0</v>
      </c>
      <c r="D9535" t="inlineStr">
        <is>
          <t>Dagoulinantes; Amulette de Shokkoth; Alliance Gloursonne; Anneau Glacial; Bouclier du Stalak; Ceinture de la Reine des Voleurs; Coiffe de Danathor; Cape Solution; Bottes de la Reine des Voleurs; Dofus Nébuleux; Nomade; Taquin majeur; Chanceux majeur; Remueur; Dévastateur Eau majeur; Dehluge</t>
        </is>
      </c>
    </row>
    <row r="9536">
      <c r="A9536" t="inlineStr">
        <is>
          <t>Chance row</t>
        </is>
      </c>
      <c r="B9536">
        <f>HYPERLINK("https://www.dofusbook.net/fr/equipement/3098661-chance-row-/objets", "link")</f>
        <v/>
      </c>
      <c r="C9536" t="n">
        <v>0</v>
      </c>
      <c r="D9536" t="inlineStr">
        <is>
          <t>Dagoulinantes; Amulette de Shokkoth; Anneau Glacial; Alliance Gloursonne; Bouclier du Stalak; Ceinture de la Reine des Voleurs; Coiffe de Danathor; Cape Solution; Bottes de la Reine des Voleurs; Dofus Nébuleux; Taquin majeur; Chanceux majeur; Remueur; Dévastateur Eau majeur; Nomade; Dehluge</t>
        </is>
      </c>
    </row>
    <row r="9537">
      <c r="A9537" t="inlineStr">
        <is>
          <t>Chance row</t>
        </is>
      </c>
      <c r="B9537">
        <f>HYPERLINK("https://www.dofusbook.net/fr/equipement/3098180-chance-row-/objets", "link")</f>
        <v/>
      </c>
      <c r="C9537" t="n">
        <v>0</v>
      </c>
      <c r="D9537" t="inlineStr">
        <is>
          <t>Dagoulinantes; Amulette de Shokkoth; Alliance Gloursonne; Anneau Glacial; Bouclier du Stalak; Ceinture de la Reine des Voleurs; Coiffe de Danathor; Cape Solution; Bottes de la Reine des Voleurs; Dofus Nébuleux; Nomade; Taquin majeur; Chanceux majeur; Remueur; Dévastateur Eau majeur; Dehluge</t>
        </is>
      </c>
    </row>
    <row r="9538">
      <c r="A9538" t="inlineStr">
        <is>
          <t>Chance row</t>
        </is>
      </c>
      <c r="B9538">
        <f>HYPERLINK("https://www.dofusbook.net/fr/equipement/3091920-chance-row-/objets", "link")</f>
        <v/>
      </c>
      <c r="C9538" t="n">
        <v>0</v>
      </c>
      <c r="D9538" t="inlineStr">
        <is>
          <t>Dagoulinantes; Amulette de Shokkoth; Bracelet des Fonds marins; Alliance Gloursonne; Bouclier du Stalak; Ceinture de la Reine des Voleurs; Capuche de l'Œil Attentif; Cape Solution; Bottes de la Reine des Voleurs; Dofus Nébuleux; Remueur; Dévastateur Eau majeur; Nomade; Taquin majeur; Chanceux majeur; Dehluge</t>
        </is>
      </c>
    </row>
    <row r="9539">
      <c r="A9539" t="inlineStr">
        <is>
          <t>Chance row</t>
        </is>
      </c>
      <c r="B9539">
        <f>HYPERLINK("https://www.dofusbook.net/fr/equipement/3091896-chance-row-/objets", "link")</f>
        <v/>
      </c>
      <c r="C9539" t="n">
        <v>0</v>
      </c>
      <c r="D9539" t="inlineStr">
        <is>
          <t>Baguette Héroclite; Amulette de Shokkoth; Alliance Gloursonne; Bracelet des Fonds marins; Bouclier du Stalak; Ceinture de la Reine des Voleurs; Capuche de l'Œil Attentif; Cape Solution; Bottes de la Reine des Voleurs; Dofus Nébuleux; Nomade; Taquin majeur; Chanceux majeur; Remueur; Dévastateur Eau majeur; Dehluge</t>
        </is>
      </c>
    </row>
    <row r="9540">
      <c r="A9540" t="inlineStr">
        <is>
          <t>Chance row</t>
        </is>
      </c>
      <c r="B9540">
        <f>HYPERLINK("https://www.dofusbook.net/fr/equipement/3091859-chance-row-/objets", "link")</f>
        <v/>
      </c>
      <c r="C9540" t="n">
        <v>0</v>
      </c>
      <c r="D9540" t="inlineStr">
        <is>
          <t>Dagoulinantes; Amulette de Shokkoth; Bracelet des Fonds marins; Alliance Gloursonne; Bouclier du Stalak; Ceinture de la Reine des Voleurs; Capuche de l'Œil Attentif; Cape Solution; Bottes de la Reine des Voleurs; Dofus Nébuleux; Remueur; Dévastateur Eau majeur; Nomade; Taquin majeur; Chanceux majeur; Dehluge</t>
        </is>
      </c>
    </row>
    <row r="9541">
      <c r="A9541" t="inlineStr">
        <is>
          <t>Chance row</t>
        </is>
      </c>
      <c r="B9541">
        <f>HYPERLINK("https://www.dofusbook.net/fr/equipement/3091852-chance-row-/objets", "link")</f>
        <v/>
      </c>
      <c r="C9541" t="n">
        <v>0</v>
      </c>
      <c r="D9541" t="inlineStr">
        <is>
          <t>Dagoulinantes; Amulette de Shokkoth; Alliance Gloursonne; Bracelet des Fonds marins; Bouclier du Stalak; Ceinture de la Reine des Voleurs; Capuche de l'Œil Attentif; Cape Solution; Bottes de la Reine des Voleurs; Dofus Nébuleux; Nomade; Taquin majeur; Chanceux majeur; Remueur; Dévastateur Eau majeur; Dehluge</t>
        </is>
      </c>
    </row>
    <row r="9542">
      <c r="A9542" t="inlineStr">
        <is>
          <t>Chance row</t>
        </is>
      </c>
      <c r="B9542">
        <f>HYPERLINK("https://www.dofusbook.net/fr/equipement/3091841-chance-row-/objets", "link")</f>
        <v/>
      </c>
      <c r="C9542" t="n">
        <v>0</v>
      </c>
      <c r="D9542" t="inlineStr">
        <is>
          <t>Dagoulinantes; Amulette de Shokkoth; Bracelet des Fonds marins; Alliance Gloursonne; Bouclier du Stalak; Ceinture de la Reine des Voleurs; Capuche de l'Œil Attentif; Cape Solution; Bottes de la Reine des Voleurs; Dofus Nébuleux; Remueur; Dévastateur Eau majeur; Nomade; Taquin majeur; Chanceux majeur; Dehluge</t>
        </is>
      </c>
    </row>
    <row r="9543">
      <c r="A9543" t="inlineStr">
        <is>
          <t>Chance row</t>
        </is>
      </c>
      <c r="B9543">
        <f>HYPERLINK("https://www.dofusbook.net/fr/equipement/3091839-chance-row-/objets", "link")</f>
        <v/>
      </c>
      <c r="C9543" t="n">
        <v>0</v>
      </c>
      <c r="D9543" t="inlineStr">
        <is>
          <t>Dagoulinantes; Amulette de Shokkoth; Alliance Gloursonne; Bracelet des Fonds marins; Bouclier du Stalak; Ceinture de la Reine des Voleurs; Capuche de l'Œil Attentif; Cape Solution; Bottes de la Reine des Voleurs; Dofus Nébuleux; Nomade; Taquin majeur; Chanceux majeur; Remueur; Dévastateur Eau majeur; Dehluge</t>
        </is>
      </c>
    </row>
    <row r="9544">
      <c r="A9544" t="inlineStr">
        <is>
          <t>Chance row</t>
        </is>
      </c>
      <c r="B9544">
        <f>HYPERLINK("https://www.dofusbook.net/fr/equipement/3091768-chance-row-/objets", "link")</f>
        <v/>
      </c>
      <c r="C9544" t="n">
        <v>0</v>
      </c>
      <c r="D9544" t="inlineStr">
        <is>
          <t>Dagoulinantes; Amulette de Shokkoth; Bracelet des Fonds marins; Alliance Gloursonne; Bouclier du Stalak; Ceinture de la Reine des Voleurs; Capuche de l'Œil Attentif; Cape Solution; Bottes de la Reine des Voleurs; Dofus Nébuleux; Remueur; Dévastateur Eau majeur; Nomade; Taquin majeur; Chanceux majeur; Dehluge</t>
        </is>
      </c>
    </row>
    <row r="9545">
      <c r="A9545" t="inlineStr">
        <is>
          <t>Agil</t>
        </is>
      </c>
      <c r="B9545">
        <f>HYPERLINK("https://www.dofusbook.net/fr/equipement/3091646-agil/objets", "link")</f>
        <v/>
      </c>
      <c r="C9545" t="n">
        <v>0</v>
      </c>
      <c r="D9545" t="inlineStr">
        <is>
          <t>Manthache; Collier du Valet Veinard; Alliance Gloursonne; Gant du Valet Veinard; Bouclier du Stalak; Menoture; Couronne d'Allister; Cape Indescriptible; Palmes Trithons; Dofus Nébuleux; Remueur; Acrobate majeur; Nomade; Equilibriste majeur; Cascadeur majeur; Siroko</t>
        </is>
      </c>
    </row>
    <row r="9546">
      <c r="A9546" t="inlineStr">
        <is>
          <t>Agil</t>
        </is>
      </c>
      <c r="B9546">
        <f>HYPERLINK("https://www.dofusbook.net/fr/equipement/3091620-agil/objets", "link")</f>
        <v/>
      </c>
      <c r="C9546" t="n">
        <v>0</v>
      </c>
      <c r="D9546" t="inlineStr">
        <is>
          <t>Manthache; Collier du Valet Veinard; Gant du Valet Veinard; Alliance Gloursonne; Bouclier du Stalak; Menoture; Couronne d'Allister; Cape Indescriptible; Palmes Trithons; Dofus Nébuleux; Cascadeur majeur; Remueur; Acrobate majeur; Nomade; Equilibriste majeur; Siroko</t>
        </is>
      </c>
    </row>
    <row r="9547">
      <c r="A9547" t="inlineStr">
        <is>
          <t>Agil</t>
        </is>
      </c>
      <c r="B9547">
        <f>HYPERLINK("https://www.dofusbook.net/fr/equipement/3091550-agil/objets", "link")</f>
        <v/>
      </c>
      <c r="C9547" t="n">
        <v>3</v>
      </c>
      <c r="D9547" t="inlineStr">
        <is>
          <t>Manthache; Collier du Valet Veinard; Alliance Gloursonne; Gant du Valet Veinard; Bouclier du Captain Amakna; Menoture; Couronne d'Allister; Cape Indescriptible; Palmes Trithons; Dofus Nébuleux; Remueur; Acrobate majeur; Nomade; Equilibriste majeur; Cascadeur majeur; Siroko</t>
        </is>
      </c>
    </row>
    <row r="9548">
      <c r="A9548" t="inlineStr">
        <is>
          <t>Agil</t>
        </is>
      </c>
      <c r="B9548">
        <f>HYPERLINK("https://www.dofusbook.net/fr/equipement/3091501-agil/objets", "link")</f>
        <v/>
      </c>
      <c r="C9548" t="n">
        <v>0</v>
      </c>
      <c r="D9548" t="inlineStr">
        <is>
          <t>Manthache; Collier du Valet Veinard; Gant du Valet Veinard; Alliance Gloursonne; Bouclier d'Ilyzaelle; Menoture; Couronne d'Allister; Cape Indescriptible; Palmes Trithons; Dofus Nébuleux; Cascadeur majeur; Remueur; Acrobate majeur; Nomade; Equilibriste majeur; Siroko</t>
        </is>
      </c>
    </row>
    <row r="9549">
      <c r="A9549" t="inlineStr">
        <is>
          <t>Feu</t>
        </is>
      </c>
      <c r="B9549">
        <f>HYPERLINK("https://www.dofusbook.net/fr/equipement/3091213-feu/objets", "link")</f>
        <v/>
      </c>
      <c r="C9549" t="n">
        <v>0</v>
      </c>
      <c r="D9549" t="inlineStr">
        <is>
          <t>Arc corrompu; Pendentif affamé; Anneau Tamie; Anneau Tamie; Bouclier du Stalak; Ceinture Séculaire; Coiffe Séculaire; Cape de Diondin; Bottes Innommables; Dofus Nébuleux; Nomade; Érudit majeur; Savant majeur; Remueur; Astucieux majeur; Brûlih</t>
        </is>
      </c>
    </row>
    <row r="9550">
      <c r="A9550" t="inlineStr">
        <is>
          <t>Feu</t>
        </is>
      </c>
      <c r="B9550">
        <f>HYPERLINK("https://www.dofusbook.net/fr/equipement/3091197-feu/objets", "link")</f>
        <v/>
      </c>
      <c r="C9550" t="n">
        <v>0</v>
      </c>
      <c r="D9550" t="inlineStr">
        <is>
          <t>Arc corrompu; Pendentif affamé; Anneau Tamie; Anneau Tamie; Bouclier du Stalak; Ceinture Séculaire; Coiffe Séculaire; Cape de Diondin; Bottes Innommables; Dofus Nébuleux; Remueur; Astucieux majeur; Nomade; Érudit majeur; Savant majeur; Brûlih</t>
        </is>
      </c>
    </row>
    <row r="9551">
      <c r="A9551" t="inlineStr">
        <is>
          <t>Feu</t>
        </is>
      </c>
      <c r="B9551">
        <f>HYPERLINK("https://www.dofusbook.net/fr/equipement/3091180-feu/objets", "link")</f>
        <v/>
      </c>
      <c r="C9551" t="n">
        <v>0</v>
      </c>
      <c r="D9551" t="inlineStr">
        <is>
          <t>Arc corrompu; Pendentif affamé; Anneau Tamie; Anneau Tamie; Bouclier du Stalak; Ceinture Séculaire; Coiffe Séculaire; Cape de Diondin; Bottes Innommables; Dofus Nébuleux; Nomade; Érudit majeur; Savant majeur; Remueur; Astucieux majeur; Brûlih</t>
        </is>
      </c>
    </row>
    <row r="9552">
      <c r="A9552" t="inlineStr">
        <is>
          <t>Feu</t>
        </is>
      </c>
      <c r="B9552">
        <f>HYPERLINK("https://www.dofusbook.net/fr/equipement/3091169-feu/objets", "link")</f>
        <v/>
      </c>
      <c r="C9552" t="n">
        <v>0</v>
      </c>
      <c r="D9552" t="inlineStr">
        <is>
          <t>Arc corrompu; Pendentif affamé; Anneau Tamie; Anneau Tamie; Bouclier du Stalak; Ceinture Séculaire; Coiffe Séculaire; Cape de Diondin; Bottes Innommables; Dofus Nébuleux; Remueur; Astucieux majeur; Nomade; Érudit majeur; Savant majeur; Brûlih</t>
        </is>
      </c>
    </row>
    <row r="9553">
      <c r="A9553" t="inlineStr">
        <is>
          <t>Feu</t>
        </is>
      </c>
      <c r="B9553">
        <f>HYPERLINK("https://www.dofusbook.net/fr/equipement/3091119-feu/objets", "link")</f>
        <v/>
      </c>
      <c r="C9553" t="n">
        <v>0</v>
      </c>
      <c r="D9553" t="inlineStr">
        <is>
          <t>Arc corrompu; Pendentif affamé; Anneau Tamie; Anneau Tamie; Bouclier du Stalak; Ceinture Séculaire; Coiffe Séculaire; Cape de Diondin; Bottes Innommables; Dofus Nébuleux; Nomade; Érudit majeur; Savant majeur; Remueur; Astucieux majeur; Brûlih</t>
        </is>
      </c>
    </row>
    <row r="9554">
      <c r="A9554" t="inlineStr">
        <is>
          <t>Eau rox</t>
        </is>
      </c>
      <c r="B9554">
        <f>HYPERLINK("https://www.dofusbook.net/fr/equipement/3089223-eau-rox/objets", "link")</f>
        <v/>
      </c>
      <c r="C9554" t="n">
        <v>0</v>
      </c>
      <c r="D9554" t="inlineStr">
        <is>
          <t>Dagoulinantes; Amulette de Shokkoth; Bracelet des Fonds marins; Alliance Gloursonne; Bouclier du Stalak; Ceinture Glaciale; Kidibonnet; Cape du Sinistrofu; Bottes du Sinistrofu; Dofus Nébuleux; Taquin majeur; Chanceux majeur; Nomade; Remueur; Joueur majeur; Dehluge</t>
        </is>
      </c>
    </row>
    <row r="9555">
      <c r="A9555" t="inlineStr">
        <is>
          <t>Agil</t>
        </is>
      </c>
      <c r="B9555">
        <f>HYPERLINK("https://www.dofusbook.net/fr/equipement/3089217-agil/objets", "link")</f>
        <v/>
      </c>
      <c r="C9555" t="n">
        <v>0</v>
      </c>
      <c r="D9555" t="inlineStr">
        <is>
          <t>Manthache; Collier du Valet Veinard; Alliance Gloursonne; Gant du Valet Veinard; Bouclier du Stalak; Menoture; Couronne d'Allister; Cape Indescriptible; Palmes Trithons; Remueur; Dévastateur Air majeur; Nomade; Sanguinaire majeur; Saccageur Air majeur; Cascadeur majeur; Blérodoudou</t>
        </is>
      </c>
    </row>
    <row r="9556">
      <c r="A9556" t="inlineStr">
        <is>
          <t>Agil</t>
        </is>
      </c>
      <c r="B9556">
        <f>HYPERLINK("https://www.dofusbook.net/fr/equipement/3089203-agil/objets", "link")</f>
        <v/>
      </c>
      <c r="C9556" t="n">
        <v>1</v>
      </c>
      <c r="D9556" t="inlineStr">
        <is>
          <t>Manthache; Collier du Valet Veinard; Gant du Valet Veinard; Alliance Gloursonne; Bouclier du Stalak; Menoture; Couronne d'Allister; Cape Indescriptible; Palmes Trithons; Dofus Nébuleux; Cascadeur majeur; Remueur; Acrobate majeur; Nomade; Equilibriste majeur; Siroko</t>
        </is>
      </c>
    </row>
    <row r="9557">
      <c r="A9557" t="inlineStr">
        <is>
          <t>Agil</t>
        </is>
      </c>
      <c r="B9557">
        <f>HYPERLINK("https://www.dofusbook.net/fr/equipement/3089197-agil/objets", "link")</f>
        <v/>
      </c>
      <c r="C9557" t="n">
        <v>0</v>
      </c>
      <c r="D9557" t="inlineStr">
        <is>
          <t>Manthache; Collier du Valet Veinard; Alliance Gloursonne; Gant du Valet Veinard; Bouclier du Stalak; Menoture; Couronne d'Allister; Cape Indescriptible; Palmes Trithons; Dofus Nébuleux; Remueur; Acrobate majeur; Nomade; Equilibriste majeur; Cascadeur majeur; Siroko</t>
        </is>
      </c>
    </row>
    <row r="9558">
      <c r="A9558" t="inlineStr">
        <is>
          <t>Agil</t>
        </is>
      </c>
      <c r="B9558">
        <f>HYPERLINK("https://www.dofusbook.net/fr/equipement/3089196-agil/objets", "link")</f>
        <v/>
      </c>
      <c r="C9558" t="n">
        <v>0</v>
      </c>
      <c r="D9558" t="inlineStr">
        <is>
          <t>Manthache; Collier du Valet Veinard; Alliance Gloursonne; Gant du Valet Veinard; Bouclier du Stalak; Menoture; Couronne d'Allister; Cape Indescriptible; Palmes Trithons; Dofus Nébuleux; Cascadeur majeur; Remueur; Acrobate majeur; Nomade; Equilibriste majeur; Siroko</t>
        </is>
      </c>
    </row>
    <row r="9559">
      <c r="A9559" t="inlineStr">
        <is>
          <t>Full force</t>
        </is>
      </c>
      <c r="B9559">
        <f>HYPERLINK("https://www.dofusbook.net/fr/equipement/3089182-full-force/objets", "link")</f>
        <v/>
      </c>
      <c r="C9559" t="n">
        <v>0</v>
      </c>
      <c r="D9559" t="inlineStr">
        <is>
          <t>Marteau R'ture; Collier de Tourthon; Anneau Crustique; Anneau Crustique; Bouclier du Stalak; Ceinture Gence; Coiffe du Comte Harebourg; Cape au Logis; Bottes du Comte Harebourg; Dofus Pourpre; Dofus Nébuleux; Enragé majeur; Furibond majeur; Remueur; Forcené majeur; Kompost</t>
        </is>
      </c>
    </row>
    <row r="9560">
      <c r="A9560" t="inlineStr">
        <is>
          <t>Full force</t>
        </is>
      </c>
      <c r="B9560">
        <f>HYPERLINK("https://www.dofusbook.net/fr/equipement/3089180-full-force/objets", "link")</f>
        <v/>
      </c>
      <c r="C9560" t="n">
        <v>0</v>
      </c>
      <c r="D9560" t="inlineStr">
        <is>
          <t>Marteau R'ture; Collier de Tourthon; Anneau Crustique; Anneau Crustique; Bouclier du Stalak; Ceinture Gence; Coiffe du Comte Harebourg; Cape au Logis; Bottes du Comte Harebourg; Dofus Pourpre; Dofus Nébuleux; Furibond majeur; Remueur; Forcené majeur; Enragé majeur; Kompost</t>
        </is>
      </c>
    </row>
    <row r="9561">
      <c r="A9561" t="inlineStr">
        <is>
          <t>Full force</t>
        </is>
      </c>
      <c r="B9561">
        <f>HYPERLINK("https://www.dofusbook.net/fr/equipement/3089173-full-force/objets", "link")</f>
        <v/>
      </c>
      <c r="C9561" t="n">
        <v>0</v>
      </c>
      <c r="D9561" t="inlineStr">
        <is>
          <t>Marteau R'ture; Collier de Tourthon; Anneau Crustique; Anneau Crustique; Bouclier du Stalak; Ceinture Gence; Coiffe du Comte Harebourg; Cape au Logis; Bottes du Comte Harebourg; Dofus Pourpre; Dofus Nébuleux; Enragé majeur; Furibond majeur; Remueur; Forcené majeur; Kompost</t>
        </is>
      </c>
    </row>
    <row r="9562">
      <c r="A9562" t="inlineStr">
        <is>
          <t>Full force</t>
        </is>
      </c>
      <c r="B9562">
        <f>HYPERLINK("https://www.dofusbook.net/fr/equipement/3089172-full-force/objets", "link")</f>
        <v/>
      </c>
      <c r="C9562" t="n">
        <v>0</v>
      </c>
      <c r="D9562" t="inlineStr">
        <is>
          <t>Marteau R'ture; Collier de Tourthon; Anneau Crustique; Anneau Crustique; La Rondelle; Ceinture Gence; Coiffe du Comte Harebourg; Cape au Logis; Bottes du Comte Harebourg; Dofus Pourpre; Dofus Nébuleux; Furibond majeur; Remueur; Forcené majeur; Enragé majeur; Kompost</t>
        </is>
      </c>
    </row>
    <row r="9563">
      <c r="A9563" t="inlineStr">
        <is>
          <t>Full force</t>
        </is>
      </c>
      <c r="B9563">
        <f>HYPERLINK("https://www.dofusbook.net/fr/equipement/3089167-full-force/objets", "link")</f>
        <v/>
      </c>
      <c r="C9563" t="n">
        <v>0</v>
      </c>
      <c r="D9563" t="inlineStr">
        <is>
          <t>Marteau R'ture; Collier de Tourthon; Anneau Crustique; Anneau Crustique; La Rondelle; Ceinture Gence; Coiffe du Comte Harebourg; Cape au Logis; Bottes du Comte Harebourg; Dofus Pourpre; Dofus Nébuleux; Enragé majeur; Furibond majeur; Remueur; Forcené majeur; Kompost</t>
        </is>
      </c>
    </row>
    <row r="9564">
      <c r="A9564" t="inlineStr">
        <is>
          <t>Full force</t>
        </is>
      </c>
      <c r="B9564">
        <f>HYPERLINK("https://www.dofusbook.net/fr/equipement/3089162-full-force/objets", "link")</f>
        <v/>
      </c>
      <c r="C9564" t="n">
        <v>4</v>
      </c>
      <c r="D9564" t="inlineStr">
        <is>
          <t>La Racine Hagogue; Collier de Tourthon; Anneau Crustique; Anneau Crustique; Bouclier du Stalak; Ceinture Gence; Coiffe du Comte Harebourg; Cape au Logis; Bottes du Comte Harebourg; Dofus Pourpre; Dofus Nébuleux; Furibond majeur; Remueur; Forcené majeur; Enragé majeur; Kompost</t>
        </is>
      </c>
    </row>
    <row r="9565">
      <c r="A9565" t="inlineStr">
        <is>
          <t>Full force</t>
        </is>
      </c>
      <c r="B9565">
        <f>HYPERLINK("https://www.dofusbook.net/fr/equipement/3089154-full-force/objets", "link")</f>
        <v/>
      </c>
      <c r="C9565" t="n">
        <v>0</v>
      </c>
      <c r="D9565" t="inlineStr">
        <is>
          <t>Marteau R'ture; Collier de Tourthon; Anneau Crustique; Anneau Crustique; Bouclier du Stalak; Ceinture Gence; Coiffe du Comte Harebourg; Cape au Logis; Bottes du Comte Harebourg; Dofus Pourpre; Dofus Nébuleux; Enragé majeur; Furibond majeur; Remueur; Forcené majeur; Kompost</t>
        </is>
      </c>
    </row>
    <row r="9566">
      <c r="A9566" t="inlineStr">
        <is>
          <t>Fo criit</t>
        </is>
      </c>
      <c r="B9566">
        <f>HYPERLINK("https://www.dofusbook.net/fr/equipement/3088978-fo-criit/objets", "link")</f>
        <v/>
      </c>
      <c r="C9566" t="n">
        <v>0</v>
      </c>
      <c r="D9566" t="inlineStr">
        <is>
          <t>Hache du Korriandre; Amulette du Strigide; Alliance Gloursonne; Anneau du Korriandre; Quatre-feuilles; Ceinture du Strigide; Némès de Tal Kasha; Chevelure de Tal Kasha; Sandales de Tal Kasha; Dofus Pourpre; Dofus Turquoise; Dofus Ocre; Joueur majeur; Acrobate majeur; Engourdisseur majeur; Muldo Prune et Emeraude</t>
        </is>
      </c>
    </row>
    <row r="9567">
      <c r="A9567" t="inlineStr">
        <is>
          <t>Force do crit</t>
        </is>
      </c>
      <c r="B9567">
        <f>HYPERLINK("https://www.dofusbook.net/fr/equipement/3085860-force-do-crit/objets", "link")</f>
        <v/>
      </c>
      <c r="C9567" t="n">
        <v>0</v>
      </c>
      <c r="D9567" t="inlineStr">
        <is>
          <t>Arc du Chalœil; Amulette du Strigide; Anneau Chevelu; Anneau Crustique; Quatre-feuilles; Ceinture du Strigide; Masque de Koutoulou; Cape au Logis; Bottes de Brouce; Dofus Nébuleux; Dofus Turquoise; Forcené majeur; Remueur; Enragé majeur; Nomade; Kompost</t>
        </is>
      </c>
    </row>
    <row r="9568">
      <c r="A9568" t="inlineStr">
        <is>
          <t>Puissancr</t>
        </is>
      </c>
      <c r="B9568">
        <f>HYPERLINK("https://www.dofusbook.net/fr/equipement/3084205-puissancr/objets", "link")</f>
        <v/>
      </c>
      <c r="C9568" t="n">
        <v>1</v>
      </c>
      <c r="D9568" t="inlineStr">
        <is>
          <t>Epée Maudite du Saigneur Guerrier; Amulette du Strigide; Anneau du Père Fwetar; Bracelet du Piloztère; Bouclier du Captain Amakna; Ceintacé; Coiffe Ranshi; Voilamibe; Bottes du Strigide; Dofus Pourpre; Dofus Nébuleux; Féroce majeur; Sanguinaire majeur; Robuste majeur; Vigoureux majeur; Kramkram</t>
        </is>
      </c>
    </row>
    <row r="9569">
      <c r="A9569" t="inlineStr">
        <is>
          <t>Terre feu</t>
        </is>
      </c>
      <c r="B9569">
        <f>HYPERLINK("https://www.dofusbook.net/fr/equipement/3082786-terre-feu/objets", "link")</f>
        <v/>
      </c>
      <c r="C9569" t="n">
        <v>0</v>
      </c>
      <c r="D9569" t="inlineStr">
        <is>
          <t>Epée Toche; Amulette du Strigide; Bague Gloursonne; Chevalière du Roi Joueur; Bouclier du Captain Amakna; Ceintacé; Chapeau de Gein; Voile d'encre; Bottes du Strigide; Dofus Turquoise; Dofus Nébuleux; Dofus Pourpre; Vigoureux majeur; Remueur; Nomade; Kramkram</t>
        </is>
      </c>
    </row>
    <row r="9570">
      <c r="A9570" t="inlineStr">
        <is>
          <t>Feu</t>
        </is>
      </c>
      <c r="B9570">
        <f>HYPERLINK("https://www.dofusbook.net/fr/equipement/2666156-feu/objets", "link")</f>
        <v/>
      </c>
      <c r="C9570" t="n">
        <v>0</v>
      </c>
      <c r="D9570" t="inlineStr">
        <is>
          <t>Massier; Pendentif affamé; Anneauræus; Anneauræus; Bouclier du Captain Amakna; Ceinture Séculaire; Coiffe Séculaire; Cape de Diondin; Bottes Innommables; Dofus Nébuleux; Dofus Turquoise; Nomade; Astucieux majeur; Remueur; Érudit majeur; Brûlih</t>
        </is>
      </c>
    </row>
    <row r="9571">
      <c r="A9571" t="inlineStr">
        <is>
          <t>Do pou</t>
        </is>
      </c>
      <c r="B9571">
        <f>HYPERLINK("https://www.dofusbook.net/fr/equipement/3079008-do-pou/objets", "link")</f>
        <v/>
      </c>
      <c r="C9571" t="n">
        <v>2</v>
      </c>
      <c r="D9571" t="inlineStr">
        <is>
          <t>Arc du Chalœil; Amulette Luminescente; Anneau Chevelu; Bague Trithon; Bouclier Taverne; Ceinture Luminescente; Masque de Koutoulou; Cape au Logis; Bottes du Cœur Vaillant; Dofus Turquoise; Remueur; Culbuteur majeur; Enragé majeur; Bousculeur majeur; Pousseur majeur; Kramkram</t>
        </is>
      </c>
    </row>
    <row r="9572">
      <c r="A9572" t="inlineStr">
        <is>
          <t>NEw phossile</t>
        </is>
      </c>
      <c r="B9572">
        <f>HYPERLINK("https://www.dofusbook.net/fr/equipement/3072671-new-phossile/objets", "link")</f>
        <v/>
      </c>
      <c r="C9572" t="n">
        <v>0</v>
      </c>
      <c r="D9572" t="inlineStr">
        <is>
          <t>Marteau Phossile; Amulette du Strigide; Anneau de Padgref; Kralano; Bouclier du Captain Amakna; Ceintacé; Cagoule de Vortex; Cape Lati; Bottes du Strigide; Dofus Pourpre; Dofus Turquoise; Sanguinaire majeur; Remueur; Vigoureux majeur; Nomade; Muldo Prune et Emeraude</t>
        </is>
      </c>
    </row>
    <row r="9573">
      <c r="A9573" t="inlineStr">
        <is>
          <t>Full force</t>
        </is>
      </c>
      <c r="B9573">
        <f>HYPERLINK("https://www.dofusbook.net/fr/equipement/3046172-full-force/objets", "link")</f>
        <v/>
      </c>
      <c r="C9573" t="n">
        <v>0</v>
      </c>
      <c r="D9573" t="inlineStr">
        <is>
          <t>Lav'Hache; Collier de Tourthon; Anneau Crustique; Anneau Crustique; Bouclier du Stalak; Ceinture Gence; Coiffe du Comte Harebourg; Cape au Logis; Bottes du Comte Harebourg; Dofus Pourpre; Dofus Nébuleux; Furibond majeur; Remueur; Forcené majeur; Enragé majeur; Kompost</t>
        </is>
      </c>
    </row>
    <row r="9574">
      <c r="A9574" t="inlineStr">
        <is>
          <t>Full force</t>
        </is>
      </c>
      <c r="B9574">
        <f>HYPERLINK("https://www.dofusbook.net/fr/equipement/3046166-full-force/objets", "link")</f>
        <v/>
      </c>
      <c r="C9574" t="n">
        <v>5</v>
      </c>
      <c r="D9574" t="inlineStr">
        <is>
          <t>Lav'Hache; Collier de Tourthon; Anneau Crustique; Anneau Crustique; Bouclier du Captain Amakna; Ceinture Gence; Coiffe du Comte Harebourg; Cape au Logis; Bottes du Comte Harebourg; Dofus Pourpre; Dofus Nébuleux; Enragé majeur; Furibond majeur; Remueur; Forcené majeur; Kompost</t>
        </is>
      </c>
    </row>
    <row r="9575">
      <c r="A9575" t="inlineStr">
        <is>
          <t>Full force</t>
        </is>
      </c>
      <c r="B9575">
        <f>HYPERLINK("https://www.dofusbook.net/fr/equipement/3046165-full-force/objets", "link")</f>
        <v/>
      </c>
      <c r="C9575" t="n">
        <v>0</v>
      </c>
      <c r="D9575" t="inlineStr">
        <is>
          <t>Lav'Hache; Collier de Tourthon; Anneau Crustique; Anneau Crustique; Bouclier du Captain Amakna; Ceinture Gence; Coiffe du Comte Harebourg; Cape au Logis; Bottes du Comte Harebourg; Dofus Pourpre; Dofus Nébuleux; Furibond majeur; Remueur; Forcené majeur; Enragé majeur; Kompost</t>
        </is>
      </c>
    </row>
    <row r="9576">
      <c r="A9576" t="inlineStr">
        <is>
          <t>Full force</t>
        </is>
      </c>
      <c r="B9576">
        <f>HYPERLINK("https://www.dofusbook.net/fr/equipement/3045731-full-force/objets", "link")</f>
        <v/>
      </c>
      <c r="C9576" t="n">
        <v>0</v>
      </c>
      <c r="D9576" t="inlineStr">
        <is>
          <t>Lav'Hache; Collier de Tourthon; Anneau Crustique; Anneau Crustique; Bouclier du Stalak; Ceinture Gence; Coiffe du Comte Harebourg; Cape au Logis; Bottes du Comte Harebourg; Dofus Pourpre; Dofus Nébuleux; Enragé majeur; Furibond majeur; Remueur; Forcené majeur; Kompost</t>
        </is>
      </c>
    </row>
    <row r="9577">
      <c r="A9577" t="inlineStr">
        <is>
          <t>Full force</t>
        </is>
      </c>
      <c r="B9577">
        <f>HYPERLINK("https://www.dofusbook.net/fr/equipement/3045716-full-force/objets", "link")</f>
        <v/>
      </c>
      <c r="C9577" t="n">
        <v>0</v>
      </c>
      <c r="D9577" t="inlineStr">
        <is>
          <t>Marteau R'ture; Collier de Tourthon; Anneau Crustique; Anneau Crustique; Bouclier du Captain Amakna; Ceinture Gence; Coiffe du Comte Harebourg; Cape au Logis; Bottes du Comte Harebourg; Dofus Pourpre; Dofus Nébuleux; Furibond majeur; Remueur; Forcené majeur; Enragé majeur; Kompost</t>
        </is>
      </c>
    </row>
    <row r="9578">
      <c r="A9578" t="inlineStr">
        <is>
          <t>Full force</t>
        </is>
      </c>
      <c r="B9578">
        <f>HYPERLINK("https://www.dofusbook.net/fr/equipement/3045715-full-force/objets", "link")</f>
        <v/>
      </c>
      <c r="C9578" t="n">
        <v>0</v>
      </c>
      <c r="D9578" t="inlineStr">
        <is>
          <t>Marteau R'ture; Collier de Tourthon; Anneau Crustique; Anneau Crustique; Bouclier du Captain Amakna; Ceinture Gence; Coiffe du Comte Harebourg; Cape au Logis; Bottes du Comte Harebourg; Dofus Nébuleux; Dofus Pourpre; Enragé majeur; Furibond majeur; Remueur; Forcené majeur; Kompost</t>
        </is>
      </c>
    </row>
    <row r="9579">
      <c r="A9579" t="inlineStr">
        <is>
          <t>Full force</t>
        </is>
      </c>
      <c r="B9579">
        <f>HYPERLINK("https://www.dofusbook.net/fr/equipement/3045702-full-force/objets", "link")</f>
        <v/>
      </c>
      <c r="C9579" t="n">
        <v>0</v>
      </c>
      <c r="D9579" t="inlineStr">
        <is>
          <t>Marteau R'ture; Collier de Tourthon; Anneau Crustique; Anneau Crustique; Bouclier du Captain Amakna; Ceinture Gence; Coiffe du Comte Harebourg; Cape au Logis; Bottes du Comte Harebourg; Dofus Pourpre; Dofus Nébuleux; Forcené majeur; Enragé majeur; Furibond majeur; Remueur; Kompost</t>
        </is>
      </c>
    </row>
    <row r="9580">
      <c r="A9580" t="inlineStr">
        <is>
          <t>Full force</t>
        </is>
      </c>
      <c r="B9580">
        <f>HYPERLINK("https://www.dofusbook.net/fr/equipement/3045691-full-force/objets", "link")</f>
        <v/>
      </c>
      <c r="C9580" t="n">
        <v>2</v>
      </c>
      <c r="D9580" t="inlineStr">
        <is>
          <t>Marteau R'ture; Collier de Tourthon; Anneau Crustique; Anneau Crustique; Bouclier du Stalak; Ceinture Gence; Coiffe du Comte Harebourg; Cape au Logis; Bottes du Comte Harebourg; Dofus Pourpre; Dofus Nébuleux; Forcené majeur; Enragé majeur; Furibond majeur; Remueur; Kompost</t>
        </is>
      </c>
    </row>
    <row r="9581">
      <c r="A9581" t="inlineStr">
        <is>
          <t>Full force</t>
        </is>
      </c>
      <c r="B9581">
        <f>HYPERLINK("https://www.dofusbook.net/fr/equipement/3045253-full-force/objets", "link")</f>
        <v/>
      </c>
      <c r="C9581" t="n">
        <v>0</v>
      </c>
      <c r="D9581" t="inlineStr">
        <is>
          <t>Marteau R'ture; Collier de Tourthon; Anneau Crustique; Anneau Crustique; Bouclier du Captain Amakna; Ceinture Gence; Coiffe du Comte Harebourg; Cape au Logis; Bottes du Comte Harebourg; Dofus Nébuleux; Enragé majeur; Furibond majeur; Remueur; Forcené majeur; Nomade; Kompost</t>
        </is>
      </c>
    </row>
    <row r="9582">
      <c r="A9582" t="inlineStr">
        <is>
          <t>Crit force</t>
        </is>
      </c>
      <c r="B9582">
        <f>HYPERLINK("https://www.dofusbook.net/fr/equipement/3028662-crit-force/objets", "link")</f>
        <v/>
      </c>
      <c r="C9582" t="n">
        <v>0</v>
      </c>
      <c r="D9582" t="inlineStr">
        <is>
          <t>Arc du Chalœil; Amulette du Strigide; Anneau Crustique; Anneau Chevelu; Bouclier Taverne; Ceinture du Strigide; Masque de Koutoulou; Cape au Logis; Bottes de Brouce; Dofus Turquoise; Nomade; Miraculé majeur; Forcené majeur; Remueur; Enragé majeur; Molosk</t>
        </is>
      </c>
    </row>
    <row r="9583">
      <c r="A9583" t="inlineStr">
        <is>
          <t>Crit force</t>
        </is>
      </c>
      <c r="B9583">
        <f>HYPERLINK("https://www.dofusbook.net/fr/equipement/3025667-crit-force/objets", "link")</f>
        <v/>
      </c>
      <c r="C9583" t="n">
        <v>0</v>
      </c>
      <c r="D9583" t="inlineStr">
        <is>
          <t>Arc du Chalœil; Amulette du Strigide; Anneau Chevelu; Bracelet du Piloztère; Quatre-feuilles; Ceinture du Strigide; Masque de Koutoulou; Cape au Logis; Bottes du Cœur Saignant; Dofus Turquoise; Dofus Pourpre; Forcené majeur; Remueur; Enragé majeur; Nomade; Kompost</t>
        </is>
      </c>
    </row>
    <row r="9584">
      <c r="A9584" t="inlineStr">
        <is>
          <t>Crit force</t>
        </is>
      </c>
      <c r="B9584">
        <f>HYPERLINK("https://www.dofusbook.net/fr/equipement/3025596-crit-force/objets", "link")</f>
        <v/>
      </c>
      <c r="C9584" t="n">
        <v>2</v>
      </c>
      <c r="D9584" t="inlineStr">
        <is>
          <t>Arc du Chalœil; Amulette du Strigide; Anneau Chevelu; Anneau Crustique; Quatre-feuilles; Ceinture du Strigide; Masque de Koutoulou; Cape au Logis; Bottes de Brouce; Dofus Turquoise; Dofus Pourpre; Forcené majeur; Remueur; Enragé majeur; Nomade; Kompost</t>
        </is>
      </c>
    </row>
    <row r="9585">
      <c r="A9585" t="inlineStr">
        <is>
          <t>Mylti</t>
        </is>
      </c>
      <c r="B9585">
        <f>HYPERLINK("https://www.dofusbook.net/fr/equipement/3023258-mylti/objets", "link")</f>
        <v/>
      </c>
      <c r="C9585" t="n">
        <v>1</v>
      </c>
      <c r="D9585" t="inlineStr">
        <is>
          <t>Az'tech; Amulette du Strigide; Alliance Gloursonne; Bracelet du Piloztère; Bouclier du Captain Amakna; Ceintacé; Maskrobe; Cape du Chalœil; Bottes du Strigide; Dofus Pourpre; Dofus Turquoise; Dofus Émeraude; Nomade; Vigoureux majeur; Remueur; Kramkram</t>
        </is>
      </c>
    </row>
    <row r="9586">
      <c r="A9586" t="inlineStr">
        <is>
          <t>Doncac</t>
        </is>
      </c>
      <c r="B9586">
        <f>HYPERLINK("https://www.dofusbook.net/fr/equipement/3021567-doncac/objets", "link")</f>
        <v/>
      </c>
      <c r="C9586" t="n">
        <v>0</v>
      </c>
      <c r="D9586" t="inlineStr">
        <is>
          <t>Marteau Reine; Amulette du Strigide; Bracelet du Piloztère; Anneau du Père Fwetar; Bouclier du Captain Amakna; Ceintacé; Casque des égarés; Cape du Cœur Vaillant; Bottes du Strigide; Dofus Turquoise; Dofus Pourpre; Vigoureux majeur; Remueur; Sanguinaire majeur; Nomade; Muldo Prune et Emeraude</t>
        </is>
      </c>
    </row>
    <row r="9587">
      <c r="A9587" t="inlineStr">
        <is>
          <t>Agil</t>
        </is>
      </c>
      <c r="B9587">
        <f>HYPERLINK("https://www.dofusbook.net/fr/equipement/3011285-agil/objets", "link")</f>
        <v/>
      </c>
      <c r="C9587" t="n">
        <v>0</v>
      </c>
      <c r="D9587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88">
      <c r="A9588" t="inlineStr">
        <is>
          <t>Agil</t>
        </is>
      </c>
      <c r="B9588">
        <f>HYPERLINK("https://www.dofusbook.net/fr/equipement/3011212-agil/objets", "link")</f>
        <v/>
      </c>
      <c r="C9588" t="n">
        <v>0</v>
      </c>
      <c r="D9588" t="inlineStr">
        <is>
          <t>Manthache; Collier du Valet Veinard; Gant du Valet Veinard; Alliance Gloursonne; Bouclier du Stalak; Menoture; Couronne d'Allister; Cape Indescriptible; Palmes Trithons; Nomade; Equilibriste majeur; Dévastateur Air majeur; Cascadeur majeur; Remueur; Acrobate majeur; Siroko</t>
        </is>
      </c>
    </row>
    <row r="9589">
      <c r="A9589" t="inlineStr">
        <is>
          <t>Agil</t>
        </is>
      </c>
      <c r="B9589">
        <f>HYPERLINK("https://www.dofusbook.net/fr/equipement/3011202-agil/objets", "link")</f>
        <v/>
      </c>
      <c r="C9589" t="n">
        <v>0</v>
      </c>
      <c r="D9589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90">
      <c r="A9590" t="inlineStr">
        <is>
          <t>Arc</t>
        </is>
      </c>
      <c r="B9590">
        <f>HYPERLINK("https://www.dofusbook.net/fr/equipement/3009554-arc/objets", "link")</f>
        <v/>
      </c>
      <c r="C9590" t="n">
        <v>0</v>
      </c>
      <c r="D9590" t="inlineStr">
        <is>
          <t>Arc du Chalœil; Amulette du Cœur Saignant; Anneau Crustique; Anneau Chevelu; Quatre-feuilles; Ceinture Gence; Masque de Koutoulou; Cape au Logis; Bottes du Cœur Saignant; Dofus Turquoise; Nomade; Remueur; Forcené majeur; Furibond majeur; Enragé majeur; Kompost</t>
        </is>
      </c>
    </row>
    <row r="9591">
      <c r="A9591" t="inlineStr">
        <is>
          <t>Arc</t>
        </is>
      </c>
      <c r="B9591">
        <f>HYPERLINK("https://www.dofusbook.net/fr/equipement/3009536-arc/objets", "link")</f>
        <v/>
      </c>
      <c r="C9591" t="n">
        <v>1</v>
      </c>
      <c r="D9591" t="inlineStr">
        <is>
          <t>Arc du Chalœil; Amulette du Strigide; Anneau Chevelu; Anneau Crustique; Quatre-feuilles; Ceinture du Strigide; Masque de Koutoulou; Cape au Logis; Bottes du Cœur Saignant; Dofus Turquoise; Furibond majeur; Enragé majeur; Nomade; Remueur; Forcené majeur; Kompost</t>
        </is>
      </c>
    </row>
    <row r="9592">
      <c r="A9592" t="inlineStr">
        <is>
          <t>Arc</t>
        </is>
      </c>
      <c r="B9592">
        <f>HYPERLINK("https://www.dofusbook.net/fr/equipement/3009436-arc/objets", "link")</f>
        <v/>
      </c>
      <c r="C9592" t="n">
        <v>0</v>
      </c>
      <c r="D9592" t="inlineStr">
        <is>
          <t>Arc du Chalœil; Amulette du Strigide; Anneau Crustique; Anneau Chevelu; Quatre-feuilles; Ceinture du Strigide; Masque de Koutoulou; Cape au Logis; Bottes du Cœur Saignant; Dofus Turquoise; Nomade; Remueur; Forcené majeur; Furibond majeur; Enragé majeur; Kompost</t>
        </is>
      </c>
    </row>
    <row r="9593">
      <c r="A9593" t="inlineStr">
        <is>
          <t>Agil</t>
        </is>
      </c>
      <c r="B9593">
        <f>HYPERLINK("https://www.dofusbook.net/fr/equipement/3006935-agil/objets", "link")</f>
        <v/>
      </c>
      <c r="C9593" t="n">
        <v>0</v>
      </c>
      <c r="D9593" t="inlineStr">
        <is>
          <t>Manthache; Collier du Valet Veinard; Alliance Gloursonne; Gant du Valet Veinard; Bouclier du Captain Amakna; Menoture; Couronne d'Allister; Cape Indescriptible; Palmes Trithons; Dofus Nébuleux; Remueur; Acrobate majeur; Nomade; Equilibriste majeur; Cascadeur majeur; Siroko</t>
        </is>
      </c>
    </row>
    <row r="9594">
      <c r="A9594" t="inlineStr">
        <is>
          <t>Air do pou</t>
        </is>
      </c>
      <c r="B9594">
        <f>HYPERLINK("https://www.dofusbook.net/fr/equipement/3003632-air-do-pou/objets", "link")</f>
        <v/>
      </c>
      <c r="C9594" t="n">
        <v>0</v>
      </c>
      <c r="D9594" t="inlineStr">
        <is>
          <t>Héqache; Amibou; Bague Trithon; Alliance Gloursonne; Bouclier Taverne; Menoture; Chapibou; Cape du Cœur Vaillant; Bottes des Malveilleurs; Remueur; Culbuteur majeur; Culbuteur; Bousculeur majeur; Nomade; Cascadeur majeur; Siroko</t>
        </is>
      </c>
    </row>
    <row r="9595">
      <c r="A9595" t="inlineStr">
        <is>
          <t>Agil</t>
        </is>
      </c>
      <c r="B9595">
        <f>HYPERLINK("https://www.dofusbook.net/fr/equipement/3003624-agil/objets", "link")</f>
        <v/>
      </c>
      <c r="C9595" t="n">
        <v>0</v>
      </c>
      <c r="D9595" t="inlineStr">
        <is>
          <t>Manthache; Collier du Valet Veinard; Alliance Gloursonne; Gant du Valet Veinard; Bouclier du Stalak; Menoture; Couronne d'Allister; Cape Indescriptible; Palmes Trithons; Remueur; Acrobate majeur; Nomade; Equilibriste majeur; Dévastateur Air majeur; Cascadeur majeur; Siroko</t>
        </is>
      </c>
    </row>
    <row r="9596">
      <c r="A9596" t="inlineStr">
        <is>
          <t>Agil</t>
        </is>
      </c>
      <c r="B9596">
        <f>HYPERLINK("https://www.dofusbook.net/fr/equipement/3003619-agil/objets", "link")</f>
        <v/>
      </c>
      <c r="C9596" t="n">
        <v>0</v>
      </c>
      <c r="D9596" t="inlineStr">
        <is>
          <t>Manthache; Collier du Valet Veinard; Alliance Gloursonne; Gant du Valet Veinard; Bouclier du Stalak; Menoture; Couronne d'Allister; Cape Indescriptible; Palmes Trithons; Nomade; Equilibriste majeur; Dévastateur Air majeur; Cascadeur majeur; Remueur; Acrobate majeur; Siroko</t>
        </is>
      </c>
    </row>
    <row r="9597">
      <c r="A9597" t="inlineStr">
        <is>
          <t>Agil</t>
        </is>
      </c>
      <c r="B9597">
        <f>HYPERLINK("https://www.dofusbook.net/fr/equipement/3003590-agil/objets", "link")</f>
        <v/>
      </c>
      <c r="C9597" t="n">
        <v>0</v>
      </c>
      <c r="D9597" t="inlineStr">
        <is>
          <t>Manthache; Collier du Valet Veinard; Alliance Gloursonne; Gant du Valet Veinard; Bouclier du Stalak; Menoture; Couronne d'Allister; Cape Indescriptible; Palmes Trithons; Dévastateur Air majeur; Cascadeur majeur; Remueur; Acrobate majeur; Nomade; Equilibriste majeur; Siroko</t>
        </is>
      </c>
    </row>
    <row r="9598">
      <c r="A9598" t="inlineStr">
        <is>
          <t>Agil</t>
        </is>
      </c>
      <c r="B9598">
        <f>HYPERLINK("https://www.dofusbook.net/fr/equipement/3003581-agil/objets", "link")</f>
        <v/>
      </c>
      <c r="C9598" t="n">
        <v>0</v>
      </c>
      <c r="D9598" t="inlineStr">
        <is>
          <t>Manthache; Collier du Valet Veinard; Alliance Gloursonne; Gant du Valet Veinard; Bouclier du Stalak; Menoture; Couronne d'Allister; Cape Indescriptible; Palmes Trithons; Nomade; Equilibriste majeur; Dévastateur Air majeur; Cascadeur majeur; Remueur; Acrobate majeur; Siroko</t>
        </is>
      </c>
    </row>
    <row r="9599">
      <c r="A9599" t="inlineStr">
        <is>
          <t>Agil</t>
        </is>
      </c>
      <c r="B9599">
        <f>HYPERLINK("https://www.dofusbook.net/fr/equipement/3002502-agil/objets", "link")</f>
        <v/>
      </c>
      <c r="C9599" t="n">
        <v>2</v>
      </c>
      <c r="D9599" t="inlineStr">
        <is>
          <t>Manthache; Collier du Valet Veinard; Alliance Gloursonne; Gant du Valet Veinard; Bouclier du Stalak; Menoture; Couronne d'Allister; Cape Indescriptible; Palmes Trithons; Dévastateur Air majeur; Cascadeur majeur; Remueur; Acrobate majeur; Nomade; Equilibriste majeur; Siroko</t>
        </is>
      </c>
    </row>
    <row r="9600">
      <c r="A9600" t="inlineStr">
        <is>
          <t>Agil</t>
        </is>
      </c>
      <c r="B9600">
        <f>HYPERLINK("https://www.dofusbook.net/fr/equipement/3002350-agil/objets", "link")</f>
        <v/>
      </c>
      <c r="C9600" t="n">
        <v>0</v>
      </c>
      <c r="D9600" t="inlineStr">
        <is>
          <t>Manthache; Collier du Valet Veinard; Alliance Gloursonne; Gant du Valet Veinard; Bouclier du Stalak; Menoture; Couronne d'Allister; Cape Indescriptible; Palmes Trithons; Dofus Nébuleux; Nomade; Equilibriste majeur; Cascadeur majeur; Remueur; Acrobate majeur; Siroko</t>
        </is>
      </c>
    </row>
    <row r="9601">
      <c r="A9601" t="inlineStr">
        <is>
          <t>Eau rox</t>
        </is>
      </c>
      <c r="B9601">
        <f>HYPERLINK("https://www.dofusbook.net/fr/equipement/2992838-eau-rox/objets", "link")</f>
        <v/>
      </c>
      <c r="C9601" t="n">
        <v>0</v>
      </c>
      <c r="D9601" t="inlineStr">
        <is>
          <t>Dagoulinantes; Amulette de Shokkoth; Alliance Gloursonne; Bracelet des Fonds marins; Bouclier du Stalak; Ceinture Glaciale; Kidibonnet; Cape du Sinistrofu; Bottes du Sinistrofu; Taquin majeur; Chanceux majeur; Nomade; Chanceux; Remueur; Joueur majeur; Dehluge</t>
        </is>
      </c>
    </row>
    <row r="9602">
      <c r="A9602" t="inlineStr">
        <is>
          <t>Eau rox</t>
        </is>
      </c>
      <c r="B9602">
        <f>HYPERLINK("https://www.dofusbook.net/fr/equipement/2992824-eau-rox/objets", "link")</f>
        <v/>
      </c>
      <c r="C9602" t="n">
        <v>0</v>
      </c>
      <c r="D9602" t="inlineStr">
        <is>
          <t>Dagoulinantes; Amulette de Shokkoth; Alliance Gloursonne; Bracelet des Fonds marins; Bouclier du Stalak; Ceinture Glaciale; Kidibonnet; Cape du Sinistrofu; Bottes du Sinistrofu; Remueur; Joueur majeur; Taquin majeur; Chanceux majeur; Nomade; Chanceux; Dehluge</t>
        </is>
      </c>
    </row>
    <row r="9603">
      <c r="A9603" t="inlineStr">
        <is>
          <t>Eau rox</t>
        </is>
      </c>
      <c r="B9603">
        <f>HYPERLINK("https://www.dofusbook.net/fr/equipement/2781496-eau-rox/objets", "link")</f>
        <v/>
      </c>
      <c r="C9603" t="n">
        <v>0</v>
      </c>
      <c r="D9603" t="inlineStr">
        <is>
          <t>Dagoulinantes; Amulette de Shokkoth; Alliance Gloursonne; Bracelet des Fonds marins; Bouclier du Stalak; Ceinture Glaciale; Kidibonnet; Cape du Sinistrofu; Bottes du Sinistrofu; Dofus Nébuleux; Remueur; Joueur majeur; Taquin majeur; Chanceux majeur; Nomade; Dehluge</t>
        </is>
      </c>
    </row>
    <row r="9604">
      <c r="A9604" t="inlineStr">
        <is>
          <t>Force</t>
        </is>
      </c>
      <c r="B9604">
        <f>HYPERLINK("https://www.dofusbook.net/fr/equipement/2990056-force/objets", "link")</f>
        <v/>
      </c>
      <c r="C9604" t="n">
        <v>1</v>
      </c>
      <c r="D9604" t="inlineStr">
        <is>
          <t>Arc du Chalœil; Amulette Luminescente; Bracelet du Piloztère; Anneau Chevelu; Bivalve; Ceinture Luminescente; Masque de Koutoulou; Voile d'encre; Bottes de Brouce; Dofus Pourpre; Enragé majeur; Culbuteur majeur; Remueur; Nomade; Bousculeur majeur; Muldo Indigo et Pourpre</t>
        </is>
      </c>
    </row>
    <row r="9605">
      <c r="A9605" t="inlineStr">
        <is>
          <t>Force</t>
        </is>
      </c>
      <c r="B9605">
        <f>HYPERLINK("https://www.dofusbook.net/fr/equipement/2989083-force/objets", "link")</f>
        <v/>
      </c>
      <c r="C9605" t="n">
        <v>0</v>
      </c>
      <c r="D9605" t="inlineStr">
        <is>
          <t>Arc du Chalœil; Amulette Luminescente; Bracelet du Piloztère; Anneau Chevelu; Bivalve; Ceinture Luminescente; Masque de Koutoulou; Voile d'encre; Bottes de Brouce; Dofus Pourpre; Nomade; Bousculeur majeur; Enragé majeur; Culbuteur majeur; Remueur; Muldo Indigo et Pourpre</t>
        </is>
      </c>
    </row>
    <row r="9606">
      <c r="A9606" t="inlineStr">
        <is>
          <t>Air terre</t>
        </is>
      </c>
      <c r="B9606">
        <f>HYPERLINK("https://www.dofusbook.net/fr/equipement/2985378-air-terre/objets", "link")</f>
        <v/>
      </c>
      <c r="C9606" t="n">
        <v>1</v>
      </c>
      <c r="D9606" t="inlineStr">
        <is>
          <t>Héqache; Amulette du Strigide; Anneau Vicieux; Bracelet du Piloztère; Quatre-feuilles; Ceinture du Strigide; Casque des égarés; Cape du Cœur Vaillant; Baleinabottes; Dofus Turquoise; Dofus Pourpre; Enragé majeur; Cascadeur majeur; Remueur; Nomade; Kramkram</t>
        </is>
      </c>
    </row>
    <row r="9607">
      <c r="A9607" t="inlineStr">
        <is>
          <t>Multi</t>
        </is>
      </c>
      <c r="B9607">
        <f>HYPERLINK("https://www.dofusbook.net/fr/equipement/2984170-multi/objets", "link")</f>
        <v/>
      </c>
      <c r="C9607" t="n">
        <v>0</v>
      </c>
      <c r="D9607" t="inlineStr">
        <is>
          <t>Marteau des égarés; Amulette du Strigide; Anneau du Père Fwetar; Bracelet du Piloztère; Quatre-feuilles; Ceintacé; Maskrobe; Dofusteuse; Bottes du Strigide; Dofus Turquoise; Dolmanax; Dofus Pourpre; Vigoureux majeur; Remueur; Nomade; Kramkram</t>
        </is>
      </c>
    </row>
    <row r="9608">
      <c r="A9608" t="inlineStr">
        <is>
          <t>Feu terre</t>
        </is>
      </c>
      <c r="B9608">
        <f>HYPERLINK("https://www.dofusbook.net/fr/equipement/2979841-feu-terre/objets", "link")</f>
        <v/>
      </c>
      <c r="C9608" t="n">
        <v>1</v>
      </c>
      <c r="D9608" t="inlineStr">
        <is>
          <t>Hache Téroïde; Amulette de Gein; Bague Gloursonne; Chevalière du Roi Joueur; Quatre-feuilles; Ceinture de Gein; Chapeau de Gein; Voile d'encre; Bottes du Roi Joueur; Dolmanax; Dofus Ocre; Dofus Pourpre; Dofus des Glaces; Dokoko; Dofus Turquoise; Muldo Prune et Doré</t>
        </is>
      </c>
    </row>
    <row r="9609">
      <c r="A9609" t="inlineStr">
        <is>
          <t>Feu terre</t>
        </is>
      </c>
      <c r="B9609">
        <f>HYPERLINK("https://www.dofusbook.net/fr/equipement/2979827-feu-terre/objets", "link")</f>
        <v/>
      </c>
      <c r="C9609" t="n">
        <v>0</v>
      </c>
      <c r="D9609" t="inlineStr">
        <is>
          <t>Epée Toche; Amulette de Gein; Bague Gloursonne; Chevalière du Roi Joueur; Quatre-feuilles; Ceinture de Gein; Couronne du Roi Joueur; Voile d'encre; Bottes du Roi Joueur; Dofus Nébuleux; Dolmanax; Dofus Ocre; Dofus Pourpre; Dofus des Glaces; Féroce majeur; Kramkram</t>
        </is>
      </c>
    </row>
    <row r="9610">
      <c r="A9610" t="inlineStr">
        <is>
          <t>Feu terre</t>
        </is>
      </c>
      <c r="B9610">
        <f>HYPERLINK("https://www.dofusbook.net/fr/equipement/2979799-feu-terre/objets", "link")</f>
        <v/>
      </c>
      <c r="C9610" t="n">
        <v>0</v>
      </c>
      <c r="D9610" t="inlineStr">
        <is>
          <t>Epée Toche; Amulette de Gein; Bague Gloursonne; Chevalière du Roi Joueur; Quatre-feuilles; Ceinture de Gein; Couronne du Roi Joueur; Voile d'encre; Bottes du Roi Joueur; Dolmanax; Dofus Ocre; Dofus Pourpre; Dofus des Glaces; Dofus Nébuleux; Féroce majeur; Kramkram</t>
        </is>
      </c>
    </row>
    <row r="9611">
      <c r="A9611" t="inlineStr">
        <is>
          <t>Feu terre</t>
        </is>
      </c>
      <c r="B9611">
        <f>HYPERLINK("https://www.dofusbook.net/fr/equipement/2979767-feu-terre/objets", "link")</f>
        <v/>
      </c>
      <c r="C9611" t="n">
        <v>0</v>
      </c>
      <c r="D9611" t="inlineStr">
        <is>
          <t>Epée Toche; Amulette du Strigide; Bracelet du Piloztère; Chevalière du Roi Joueur; Bouclier du Captain Amakna; Ceinture du Strigide; Couronne du Roi Joueur; Voile d'encre; Bottes du Roi Joueur; Dofus Turquoise; Dofus Nébuleux; Dolmanax; Dofus Ocre; Dofus Pourpre; Dofus des Glaces; Muldo Doré et Emeraude</t>
        </is>
      </c>
    </row>
    <row r="9612">
      <c r="A9612" t="inlineStr">
        <is>
          <t>Crit air</t>
        </is>
      </c>
      <c r="B9612">
        <f>HYPERLINK("https://www.dofusbook.net/fr/equipement/2933488-crit-air/objets", "link")</f>
        <v/>
      </c>
      <c r="C9612" t="n">
        <v>2</v>
      </c>
      <c r="D9612" t="inlineStr">
        <is>
          <t>Racine de Floribonde; Amulette du Strigide; Anneau de Padgref; Anneau d'Allister; Bouclier du Captain Amakna; Menoture; Némès de Tal Kasha; Cape Indescriptible; Sandales de Tal Kasha; Dofus Turquoise; Dofus des Glaces; Remueur; Dévastateur Air majeur; Nomade; Cascadeur majeur; Muldo Prune et Emeraude</t>
        </is>
      </c>
    </row>
    <row r="9613">
      <c r="A9613" t="inlineStr">
        <is>
          <t>Multi do</t>
        </is>
      </c>
      <c r="B9613">
        <f>HYPERLINK("https://www.dofusbook.net/fr/equipement/2055128-multi-do/objets", "link")</f>
        <v/>
      </c>
      <c r="C9613" t="n">
        <v>0</v>
      </c>
      <c r="D9613" t="inlineStr">
        <is>
          <t>Marteau des égarés; Amulette du Strigide; Anneau du Père Fwetar; Bracelet du Piloztère; Quatre-feuilles; Ceintacé; Le Dorado; Cape du Chalœil; Bottes du Strigide; Dolmanax; Dofus Turquoise; Dofus Pourpre; Sanguinaire majeur; Nomade; Vigoureux majeur; Kramkram</t>
        </is>
      </c>
    </row>
    <row r="9614">
      <c r="A9614" t="inlineStr">
        <is>
          <t>Hier crit</t>
        </is>
      </c>
      <c r="B9614">
        <f>HYPERLINK("https://www.dofusbook.net/fr/equipement/2975625-hier-crit/objets", "link")</f>
        <v/>
      </c>
      <c r="C9614" t="n">
        <v>0</v>
      </c>
      <c r="D9614" t="inlineStr">
        <is>
          <t>Sabres d'Atcham; Amulette du Strigide; Anneau Aimgéroks; Bracelet du Piloztère; Quatre-feuilles; Ceinture du Strigide; Némès de Tal Kasha; Chevelure de Tal Kasha; Sandales  d'Atcham; Dofus Nébuleux; Dofus Pourpre; Dofus Turquoise; Dolmanax; Dofus des Glaces; Puissant majeur; Muldo Doré et Emeraude</t>
        </is>
      </c>
    </row>
    <row r="9615">
      <c r="A9615" t="inlineStr">
        <is>
          <t>Crit force</t>
        </is>
      </c>
      <c r="B9615">
        <f>HYPERLINK("https://www.dofusbook.net/fr/equipement/2968194-crit-force/objets", "link")</f>
        <v/>
      </c>
      <c r="C9615" t="n">
        <v>1</v>
      </c>
      <c r="D9615" t="inlineStr">
        <is>
          <t>Dagues d'Ilyzaelle; Amulette du Strigide; Anneau Crustique; Anneau Crustique; Bouclier du Captain Amakna; Ceinture du Strigide; Masque de Koutoulou; Cape au Logis; Bottes du Cœur Saignant; Dofus Pourpre; Dofus Turquoise; Vigoureux majeur; Forcené majeur; Remueur; Enragé majeur; Kompost</t>
        </is>
      </c>
    </row>
    <row r="9616">
      <c r="A9616" t="inlineStr">
        <is>
          <t>Eau resi</t>
        </is>
      </c>
      <c r="B9616">
        <f>HYPERLINK("https://www.dofusbook.net/fr/equipement/2967953-eau-resi/objets", "link")</f>
        <v/>
      </c>
      <c r="C9616" t="n">
        <v>0</v>
      </c>
      <c r="D9616" t="inlineStr">
        <is>
          <t>Sceptre du Roi Joueur; Amulette de Shokkoth; Bracelet des Fonds marins; Alliance Gloursonne; Bouclier du Stalak; Sangle Ouare; Masque des Fonds marins; Cape Solution; Pantoufles du Piloztère; Dofus Pourpre; Remueur; Taquin majeur; Chanceux majeur; Nomade; Vigoureux majeur; Dehluge</t>
        </is>
      </c>
    </row>
    <row r="9617">
      <c r="A9617" t="inlineStr">
        <is>
          <t>Eau resi</t>
        </is>
      </c>
      <c r="B9617">
        <f>HYPERLINK("https://www.dofusbook.net/fr/equipement/2967918-eau-resi/objets", "link")</f>
        <v/>
      </c>
      <c r="C9617" t="n">
        <v>0</v>
      </c>
      <c r="D9617" t="inlineStr">
        <is>
          <t>Sceptre du Roi Joueur; Amulette de Shokkoth; Alliance Gloursonne; Bracelet des Fonds marins; Bouclier du Stalak; Sangle Ouare; Masque des Fonds marins; Cape Solution; Pantoufles du Piloztère; Dofus Pourpre; Nomade; Vigoureux majeur; Remueur; Taquin majeur; Chanceux majeur; Dehluge</t>
        </is>
      </c>
    </row>
    <row r="9618">
      <c r="A9618" t="inlineStr">
        <is>
          <t>Eau resi</t>
        </is>
      </c>
      <c r="B9618">
        <f>HYPERLINK("https://www.dofusbook.net/fr/equipement/2967897-eau-resi/objets", "link")</f>
        <v/>
      </c>
      <c r="C9618" t="n">
        <v>0</v>
      </c>
      <c r="D9618" t="inlineStr">
        <is>
          <t>Sceptre du Roi Joueur; Amulette de Shokkoth; Bracelet des Fonds marins; Alliance Gloursonne; Bouclier du Stalak; Sangle Ouare; Masque des Fonds marins; Cape Solution; Pantoufles du Piloztère; Dofus Pourpre; Remueur; Taquin majeur; Chanceux majeur; Nomade; Vigoureux majeur; Dehluge</t>
        </is>
      </c>
    </row>
    <row r="9619">
      <c r="A9619" t="inlineStr">
        <is>
          <t>Eau resi</t>
        </is>
      </c>
      <c r="B9619">
        <f>HYPERLINK("https://www.dofusbook.net/fr/equipement/2967857-eau-resi/objets", "link")</f>
        <v/>
      </c>
      <c r="C9619" t="n">
        <v>0</v>
      </c>
      <c r="D9619" t="inlineStr">
        <is>
          <t>Sceptre du Roi Joueur; Amulette de Shokkoth; Alliance Gloursonne; Bracelet des Fonds marins; Bouclier du Stalak; Sangle Ouare; Masque des Fonds marins; Cape Solution; Pantoufles du Piloztère; Dofus Pourpre; Nomade; Vigoureux majeur; Remueur; Taquin majeur; Chanceux majeur; Dehluge</t>
        </is>
      </c>
    </row>
    <row r="9620">
      <c r="A9620" t="inlineStr">
        <is>
          <t>Eau resi</t>
        </is>
      </c>
      <c r="B9620">
        <f>HYPERLINK("https://www.dofusbook.net/fr/equipement/2967841-eau-resi/objets", "link")</f>
        <v/>
      </c>
      <c r="C9620" t="n">
        <v>0</v>
      </c>
      <c r="D9620" t="inlineStr">
        <is>
          <t>Sceptre du Roi Joueur; Amulette de Shokkoth; Bracelet des Fonds marins; Alliance Gloursonne; Bouclier du Stalak; Sangle Ouare; Masque des Fonds marins; Cape Solution; Pantoufles du Piloztère; Dofus Pourpre; Remueur; Taquin majeur; Chanceux majeur; Nomade; Vigoureux majeur; Dehluge</t>
        </is>
      </c>
    </row>
    <row r="9621">
      <c r="A9621" t="inlineStr">
        <is>
          <t>Eau resi</t>
        </is>
      </c>
      <c r="B9621">
        <f>HYPERLINK("https://www.dofusbook.net/fr/equipement/2967831-eau-resi/objets", "link")</f>
        <v/>
      </c>
      <c r="C9621" t="n">
        <v>0</v>
      </c>
      <c r="D9621" t="inlineStr">
        <is>
          <t>Sceptre du Roi Joueur; Amulette de Shokkoth; Alliance Gloursonne; Bracelet des Fonds marins; Bouclier du Stalak; Sangle Ouare; Masque des Fonds marins; Cape Solution; Pantoufles du Piloztère; Dofus Pourpre; Nomade; Vigoureux majeur; Remueur; Taquin majeur; Chanceux majeur; Dehluge</t>
        </is>
      </c>
    </row>
    <row r="9622">
      <c r="A9622" t="inlineStr">
        <is>
          <t>Eau resi</t>
        </is>
      </c>
      <c r="B9622">
        <f>HYPERLINK("https://www.dofusbook.net/fr/equipement/2954038-eau-resi/objets", "link")</f>
        <v/>
      </c>
      <c r="C9622" t="n">
        <v>0</v>
      </c>
      <c r="D9622" t="inlineStr">
        <is>
          <t>Sceptre du Roi Joueur; Amulette de Shokkoth; Alliance Gloursonne; Bracelet des Fonds marins; Bouclier du Stalak; Sangle Ouare; Masque des Fonds marins; Cape Solution; Pantoufles du Piloztère; Dofus Pourpre; Nomade; Vigoureux majeur; Remueur; Taquin majeur; Chanceux majeur; Dehluge</t>
        </is>
      </c>
    </row>
    <row r="9623">
      <c r="A9623" t="inlineStr">
        <is>
          <t>Eau resi</t>
        </is>
      </c>
      <c r="B9623">
        <f>HYPERLINK("https://www.dofusbook.net/fr/equipement/2954081-eau-resi/objets", "link")</f>
        <v/>
      </c>
      <c r="C9623" t="n">
        <v>0</v>
      </c>
      <c r="D9623" t="inlineStr">
        <is>
          <t>Sceptre du Roi Joueur; Amulette de Shokkoth; Bracelet des Fonds marins; Alliance Gloursonne; Bouclier du Stalak; Sangle Ouare; Masque des Fonds marins; Cape Solution; Pantoufles du Piloztère; Dofus Pourpre; Remueur; Taquin majeur; Chanceux majeur; Nomade; Vigoureux majeur; Kramkram</t>
        </is>
      </c>
    </row>
    <row r="9624">
      <c r="A9624" t="inlineStr">
        <is>
          <t>Eau resi</t>
        </is>
      </c>
      <c r="B9624">
        <f>HYPERLINK("https://www.dofusbook.net/fr/equipement/2954073-eau-resi/objets", "link")</f>
        <v/>
      </c>
      <c r="C9624" t="n">
        <v>0</v>
      </c>
      <c r="D9624" t="inlineStr">
        <is>
          <t>Sceptre du Roi Joueur; Amulette de Shokkoth; Alliance Gloursonne; Bracelet des Fonds marins; Bouclier du Stalak; Sangle Ouare; Masque des Fonds marins; Cape Solution; Pantoufles du Piloztère; Dofus Pourpre; Nomade; Vigoureux majeur; Remueur; Taquin majeur; Chanceux majeur; Kramkram</t>
        </is>
      </c>
    </row>
    <row r="9625">
      <c r="A9625" t="inlineStr">
        <is>
          <t>Eau resi</t>
        </is>
      </c>
      <c r="B9625">
        <f>HYPERLINK("https://www.dofusbook.net/fr/equipement/2954056-eau-resi/objets", "link")</f>
        <v/>
      </c>
      <c r="C9625" t="n">
        <v>1</v>
      </c>
      <c r="D9625" t="inlineStr">
        <is>
          <t>Sceptre du Roi Joueur; Amulette de Shokkoth; Bracelet des Fonds marins; Alliance Gloursonne; Bouclier du Stalak; Sangle Ouare; Masque des Fonds marins; Cape Solution; Pantoufles du Piloztère; Dofus Pourpre; Remueur; Taquin majeur; Chanceux majeur; Nomade; Vigoureux majeur; Kramkram</t>
        </is>
      </c>
    </row>
    <row r="9626">
      <c r="A9626" t="inlineStr">
        <is>
          <t>Eau resi</t>
        </is>
      </c>
      <c r="B9626">
        <f>HYPERLINK("https://www.dofusbook.net/fr/equipement/2952093-eau-resi/objets", "link")</f>
        <v/>
      </c>
      <c r="C9626" t="n">
        <v>0</v>
      </c>
      <c r="D9626" t="inlineStr">
        <is>
          <t>Sceptre du Roi Joueur; Amulette de Shokkoth; Bracelet des Fonds marins; Alliance Gloursonne; Bouclier d'Ilyzaelle; Sangle Ouare; Masque des Fonds marins; Cape Solution; Pantoufles du Piloztère; Dofus Pourpre; Remueur; Taquin majeur; Chanceux majeur; Nomade; Vigoureux majeur; Kramkram</t>
        </is>
      </c>
    </row>
    <row r="9627">
      <c r="A9627" t="inlineStr">
        <is>
          <t>Eau resi</t>
        </is>
      </c>
      <c r="B9627">
        <f>HYPERLINK("https://www.dofusbook.net/fr/equipement/2952089-eau-resi/objets", "link")</f>
        <v/>
      </c>
      <c r="C9627" t="n">
        <v>0</v>
      </c>
      <c r="D9627" t="inlineStr">
        <is>
          <t>Sceptre du Roi Joueur; Amulette de Shokkoth; Alliance Gloursonne; Bracelet des Fonds marins; Bouclier d'Ilyzaelle; Sangle Ouare; Masque des Fonds marins; Cape Solution; Pantoufles du Piloztère; Dofus Pourpre; Nomade; Vigoureux majeur; Remueur; Taquin majeur; Chanceux majeur; Kramkram</t>
        </is>
      </c>
    </row>
    <row r="9628">
      <c r="A9628" t="inlineStr">
        <is>
          <t>Eau resi</t>
        </is>
      </c>
      <c r="B9628">
        <f>HYPERLINK("https://www.dofusbook.net/fr/equipement/2948556-eau-resi/objets", "link")</f>
        <v/>
      </c>
      <c r="C9628" t="n">
        <v>0</v>
      </c>
      <c r="D9628" t="inlineStr">
        <is>
          <t>Sceptre du Roi Joueur; Amulette de Shokkoth; Bracelet des Fonds marins; Alliance Gloursonne; Bouclier du Stalak; Sangle Ouare; Masque des Fonds marins; Cape Solution; Pantoufles du Piloztère; Remueur; Dévastateur Eau majeur; Étourdisseur majeur; Chanceux majeur; Nomade; Taquin majeur; Kramkram</t>
        </is>
      </c>
    </row>
    <row r="9629">
      <c r="A9629" t="inlineStr">
        <is>
          <t>Eau resi</t>
        </is>
      </c>
      <c r="B9629">
        <f>HYPERLINK("https://www.dofusbook.net/fr/equipement/2948536-eau-resi/objets", "link")</f>
        <v/>
      </c>
      <c r="C9629" t="n">
        <v>0</v>
      </c>
      <c r="D9629" t="inlineStr">
        <is>
          <t>Sceptre du Roi Joueur; Amulette de Shokkoth; Alliance Gloursonne; Bracelet des Fonds marins; Bouclier du Stalak; Sangle Ouare; Masque des Fonds marins; Cape Solution; Pantoufles du Piloztère; Dofus Pourpre; Nomade; Taquin majeur; Remueur; Vigoureux majeur; Chanceux majeur; Kramkram</t>
        </is>
      </c>
    </row>
    <row r="9630">
      <c r="A9630" t="inlineStr">
        <is>
          <t>Eau resi</t>
        </is>
      </c>
      <c r="B9630">
        <f>HYPERLINK("https://www.dofusbook.net/fr/equipement/2948510-eau-resi/objets", "link")</f>
        <v/>
      </c>
      <c r="C9630" t="n">
        <v>0</v>
      </c>
      <c r="D9630" t="inlineStr">
        <is>
          <t>Sceptre du Roi Joueur; Amulette de Shokkoth; Bracelet des Fonds marins; Alliance Gloursonne; Bouclier du Stalak; Sangle Ouare; Masque des Fonds marins; Cape Solution; Pantoufles du Piloztère; Dofus Pourpre; Remueur; Vigoureux majeur; Chanceux majeur; Nomade; Taquin majeur; Kramkram</t>
        </is>
      </c>
    </row>
    <row r="9631">
      <c r="A9631" t="inlineStr">
        <is>
          <t>Eau resi</t>
        </is>
      </c>
      <c r="B9631">
        <f>HYPERLINK("https://www.dofusbook.net/fr/equipement/2948484-eau-resi/objets", "link")</f>
        <v/>
      </c>
      <c r="C9631" t="n">
        <v>0</v>
      </c>
      <c r="D9631" t="inlineStr">
        <is>
          <t>Sceptre du Roi Joueur; Amulette de Shokkoth; Alliance Gloursonne; Bracelet des Fonds marins; Bouclier d'Ilyzaelle; Sangle Ouare; Masque des Fonds marins; Cape Solution; Pantoufles du Piloztère; Dofus Émeraude; Nomade; Culbuteur majeur; Remueur; Miraculé majeur; Chanceux majeur; Kramkram</t>
        </is>
      </c>
    </row>
    <row r="9632">
      <c r="A9632" t="inlineStr">
        <is>
          <t>Eau resi</t>
        </is>
      </c>
      <c r="B9632">
        <f>HYPERLINK("https://www.dofusbook.net/fr/equipement/2948477-eau-resi/objets", "link")</f>
        <v/>
      </c>
      <c r="C9632" t="n">
        <v>0</v>
      </c>
      <c r="D9632" t="inlineStr">
        <is>
          <t>Sceptre du Roi Joueur; Amulette de Shokkoth; Bracelet des Fonds marins; Alliance Gloursonne; Bouclier d'Ilyzaelle; Sangle Ouare; Masque des Fonds marins; Cape Solution; Pantoufles du Piloztère; Remueur; Dévastateur Eau majeur; Miraculé majeur; Chanceux majeur; Nomade; Joueur majeur; Kramkram</t>
        </is>
      </c>
    </row>
    <row r="9633">
      <c r="A9633" t="inlineStr">
        <is>
          <t>Arbterre</t>
        </is>
      </c>
      <c r="B9633">
        <f>HYPERLINK("https://www.dofusbook.net/fr/equipement/2945981-arbterre/objets", "link")</f>
        <v/>
      </c>
      <c r="C9633" t="n">
        <v>0</v>
      </c>
      <c r="D9633" t="inlineStr">
        <is>
          <t>Épée de la Reine des Voleurs; Amulette du Kamasterisk; Bracelet du Piloztère; Anneau des égarés; Bouclier alvéolé; Ceintouse; Coiffe de la Reine des Voleurs; Cape du Kamasterisk; Baleinabottes; Dofus Pourpre; Robuste majeur; Vigoureux majeur; Remueur; Nomade; Sanguinaire majeur; Kramkram</t>
        </is>
      </c>
    </row>
    <row r="9634">
      <c r="A9634" t="inlineStr">
        <is>
          <t>Foorce</t>
        </is>
      </c>
      <c r="B9634">
        <f>HYPERLINK("https://www.dofusbook.net/fr/equipement/2945105-foorce/objets", "link")</f>
        <v/>
      </c>
      <c r="C9634" t="n">
        <v>0</v>
      </c>
      <c r="D9634" t="inlineStr">
        <is>
          <t>Arc du Chalœil; Collier de Tourthon; Anneau du Comte Harebourg; Anneau de Brouce; Bouclier du Stalak; Ceinture de Brouce; Coiffe du Comte Harebourg; Cape au Logis; Bottes de Brouce; Dofus Pourpre; Dofus Turquoise; Dofus Ocre; Dofus des Glaces; Furibond majeur; Forcené majeur; Kompost</t>
        </is>
      </c>
    </row>
    <row r="9635">
      <c r="A9635" t="inlineStr">
        <is>
          <t>Foorce</t>
        </is>
      </c>
      <c r="B9635">
        <f>HYPERLINK("https://www.dofusbook.net/fr/equipement/2945101-foorce/objets", "link")</f>
        <v/>
      </c>
      <c r="C9635" t="n">
        <v>4</v>
      </c>
      <c r="D9635" t="inlineStr">
        <is>
          <t>Arc du Chalœil; Collier de Tourthon; Anneau du Comte Harebourg; Anneau de Brouce; Bouclier du Stalak; Ceinture de Brouce; Coiffe du Comte Harebourg; Cape au Logis; Bottes de Brouce; Dofus Pourpre; Dofus Turquoise; Dofus Ocre; Dofus des Glaces; Furibond majeur; Forcené majeur; Kompost</t>
        </is>
      </c>
    </row>
    <row r="9636">
      <c r="A9636" t="inlineStr">
        <is>
          <t>Foorce</t>
        </is>
      </c>
      <c r="B9636">
        <f>HYPERLINK("https://www.dofusbook.net/fr/equipement/2945048-foorce/objets", "link")</f>
        <v/>
      </c>
      <c r="C9636" t="n">
        <v>1</v>
      </c>
      <c r="D9636" t="inlineStr">
        <is>
          <t>Arc du Chalœil; Collier de Tourthon; Anneau de Brouce; Anneau du Comte Harebourg; Bouclier du Stalak; Ceinture de Brouce; Coiffe du Comte Harebourg; Cape au Logis; Bottes de Brouce; Dofus des Glaces; Dofus Pourpre; Dofus Nébuleux; Dofus Ocre; Forcené majeur; Furibond majeur; Kompost</t>
        </is>
      </c>
    </row>
    <row r="9637">
      <c r="A9637" t="inlineStr">
        <is>
          <t>Terre eau ret</t>
        </is>
      </c>
      <c r="B9637">
        <f>HYPERLINK("https://www.dofusbook.net/fr/equipement/2944095-terre-eau-ret/objets", "link")</f>
        <v/>
      </c>
      <c r="C9637" t="n">
        <v>0</v>
      </c>
      <c r="D9637" t="inlineStr">
        <is>
          <t>Dagues Açantes; Amulette Luminescente; Pikano; Grésilanneau; Bouclier cubiste; Ceinture Luminescente; Casquipik; Cape Luminescente; Pikottes; Dofus Pourpre; Ralentisseur majeur; Vagabond majeur; Entraveur majeur; Féroce majeur; Robuste majeur; Muldo Indigo et Pourpre</t>
        </is>
      </c>
    </row>
    <row r="9638">
      <c r="A9638" t="inlineStr">
        <is>
          <t>Terre invo</t>
        </is>
      </c>
      <c r="B9638">
        <f>HYPERLINK("https://www.dofusbook.net/fr/equipement/2944092-terre-invo/objets", "link")</f>
        <v/>
      </c>
      <c r="C9638" t="n">
        <v>0</v>
      </c>
      <c r="D9638" t="inlineStr">
        <is>
          <t>Lav'Hache; Collier de Tourthon; Anneau Crustique; Anneau Crustique; Cadran de Terre; Ceinture de la Cour Sombre; Masque de Koutoulou; Cape du Cœur Vaillant; Bottes de la Cour Sombre; Dokoko; Remueur; Enragé majeur; Forcené majeur; Nomade; Étourdisseur majeur; Muldo Ebène et Pourpre</t>
        </is>
      </c>
    </row>
    <row r="9639">
      <c r="A9639" t="inlineStr">
        <is>
          <t>Terre invo</t>
        </is>
      </c>
      <c r="B9639">
        <f>HYPERLINK("https://www.dofusbook.net/fr/equipement/2944071-terre-invo/objets", "link")</f>
        <v/>
      </c>
      <c r="C9639" t="n">
        <v>2</v>
      </c>
      <c r="D9639" t="inlineStr">
        <is>
          <t>Lav'Hache; Amulette Héroclite; Bracelet du Piloztère; Anneau Chevelu; Cadran d'Air; Ceinture de la Cour Sombre; Masque de Koutoulou; Cape au Logis; Bottes de la Cour Sombre; Dofus Pourpre; Enragé majeur; Nomade; Dévastateur Terre majeur; Forcené majeur; Remueur; Kramkram</t>
        </is>
      </c>
    </row>
    <row r="9640">
      <c r="A9640" t="inlineStr">
        <is>
          <t>Terre feu</t>
        </is>
      </c>
      <c r="B9640">
        <f>HYPERLINK("https://www.dofusbook.net/fr/equipement/1910458-terre-feu/objets", "link")</f>
        <v/>
      </c>
      <c r="C9640" t="n">
        <v>1</v>
      </c>
      <c r="D9640" t="inlineStr">
        <is>
          <t>Dagues Érhy; Amulette du Cycloïde; Anneau de la Fuji Givrefoux; Anneau des égarés; Bouclier du Stalak; Protopagne; Casque des égarés; Cape du Kamasterisk; Baleinabottes; Dofus Pourpre; Nomade; Vigoureux majeur; Cascadeur majeur; Remueur; Enragé majeur; Kramkram</t>
        </is>
      </c>
    </row>
    <row r="9641">
      <c r="A9641" t="inlineStr">
        <is>
          <t>Do</t>
        </is>
      </c>
      <c r="B9641">
        <f>HYPERLINK("https://www.dofusbook.net/fr/equipement/2939110-do-/objets", "link")</f>
        <v/>
      </c>
      <c r="C9641" t="n">
        <v>1</v>
      </c>
      <c r="D9641" t="inlineStr">
        <is>
          <t>Arc Honte; Amulette de l'Indicible; Bague Gloursonne; Alliance Gloursonne; Bouclier du Stalak; Ceinture de l'Indicible; Casque du Chalœil; Cape du Chalœil; Bottes de l'Indicible; Dofus des Glaces; Dofus Pourpre; Dolmanax; Dofus Ocre; Féroce majeur; Robuste majeur; Muldo Indigo et Orchidée</t>
        </is>
      </c>
    </row>
    <row r="9642">
      <c r="A9642" t="inlineStr">
        <is>
          <t>Do</t>
        </is>
      </c>
      <c r="B9642">
        <f>HYPERLINK("https://www.dofusbook.net/fr/equipement/2939048-do-/objets", "link")</f>
        <v/>
      </c>
      <c r="C9642" t="n">
        <v>0</v>
      </c>
      <c r="D9642" t="inlineStr">
        <is>
          <t>Arc Honte; Amulette de l'Indicible; Alliance Gloursonne; Bague Gloursonne; Bouclier du Stalak; Ceinture de l'Indicible; Casque du Chalœil; Cape du Chalœil; Bottes de l'Indicible; Dofus Pourpre; Dolmanax; Dofus Ocre; Dofus des Glaces; Robuste majeur; Féroce majeur; Muldo Indigo et Orchidée</t>
        </is>
      </c>
    </row>
    <row r="9643">
      <c r="A9643" t="inlineStr">
        <is>
          <t>Do</t>
        </is>
      </c>
      <c r="B9643">
        <f>HYPERLINK("https://www.dofusbook.net/fr/equipement/2939047-do-/objets", "link")</f>
        <v/>
      </c>
      <c r="C9643" t="n">
        <v>0</v>
      </c>
      <c r="D9643" t="inlineStr">
        <is>
          <t>Arc Honte; Amulette de l'Indicible; Bague Gloursonne; Alliance Gloursonne; Bouclier du Stalak; Ceinture de l'Indicible; Casque du Chalœil; Cape du Chalœil; Bottes de l'Indicible; Dofus des Glaces; Dofus Pourpre; Dolmanax; Dofus Ocre; Féroce majeur; Robuste majeur; Muldo Indigo et Orchidée</t>
        </is>
      </c>
    </row>
    <row r="9644">
      <c r="A9644" t="inlineStr">
        <is>
          <t>Do</t>
        </is>
      </c>
      <c r="B9644">
        <f>HYPERLINK("https://www.dofusbook.net/fr/equipement/2939031-do-/objets", "link")</f>
        <v/>
      </c>
      <c r="C9644" t="n">
        <v>0</v>
      </c>
      <c r="D9644" t="inlineStr">
        <is>
          <t>Arc Honte; Amulette de l'Indicible; Alliance Gloursonne; Bague Gloursonne; Bouclier du Stalak; Ceinture de l'Indicible; Casque du Chalœil; Cape du Chalœil; Bottes de l'Indicible; Dofus Pourpre; Dolmanax; Dofus Ocre; Dofus des Glaces; Robuste majeur; Féroce majeur; Muldo Indigo et Orchidée</t>
        </is>
      </c>
    </row>
    <row r="9645">
      <c r="A9645" t="inlineStr">
        <is>
          <t>Do</t>
        </is>
      </c>
      <c r="B9645">
        <f>HYPERLINK("https://www.dofusbook.net/fr/equipement/2939005-do-/objets", "link")</f>
        <v/>
      </c>
      <c r="C9645" t="n">
        <v>2</v>
      </c>
      <c r="D9645" t="inlineStr">
        <is>
          <t>Arc Honte; Amulette de l'Indicible; Bague Gloursonne; Alliance Gloursonne; Bouclier du Stalak; Ceinture de l'Indicible; Casque du Chalœil; Cape du Chalœil; Bottes de l'Indicible; Dofus des Glaces; Dofus Pourpre; Dolmanax; Dofus Ocre; Féroce majeur; Robuste majeur; Muldo Indigo et Orchidée</t>
        </is>
      </c>
    </row>
    <row r="9646">
      <c r="A9646" t="inlineStr">
        <is>
          <t>Do</t>
        </is>
      </c>
      <c r="B9646">
        <f>HYPERLINK("https://www.dofusbook.net/fr/equipement/2938946-do-/objets", "link")</f>
        <v/>
      </c>
      <c r="C9646" t="n">
        <v>0</v>
      </c>
      <c r="D9646" t="inlineStr">
        <is>
          <t>Arc Honte; Amulette de l'Indicible; Alliance Gloursonne; Bague Gloursonne; Bouclier du Stalak; Ceinture de l'Indicible; Casque du Chalœil; Cape du Chalœil; Bottes de l'Indicible; Dofus Pourpre; Dolmanax; Dofus Ocre; Dofus des Glaces; Robuste majeur; Féroce majeur; Muldo Indigo et Orchidée</t>
        </is>
      </c>
    </row>
    <row r="9647">
      <c r="A9647" t="inlineStr">
        <is>
          <t>Air terre</t>
        </is>
      </c>
      <c r="B9647">
        <f>HYPERLINK("https://www.dofusbook.net/fr/equipement/2934786-air-terre/objets", "link")</f>
        <v/>
      </c>
      <c r="C9647" t="n">
        <v>0</v>
      </c>
      <c r="D9647" t="inlineStr">
        <is>
          <t>Dagues Érhy; Amulette du Kamasterisk; Bracelet du Piloztère; Anneau des égarés; Cadran d'Air; Protopagne; Coiffe de la Reine des Voleurs; Cape du Kamasterisk; Baleinabottes; Dofus Pourpre; Nomade; Vigoureux majeur; Cascadeur majeur; Remueur; Enragé majeur; Kramkram</t>
        </is>
      </c>
    </row>
    <row r="9648">
      <c r="A9648" t="inlineStr">
        <is>
          <t>Air</t>
        </is>
      </c>
      <c r="B9648">
        <f>HYPERLINK("https://www.dofusbook.net/fr/equipement/2933496-air/objets", "link")</f>
        <v/>
      </c>
      <c r="C9648" t="n">
        <v>0</v>
      </c>
      <c r="D9648" t="inlineStr">
        <is>
          <t>Manthache; Collier du Valet Veinard; Anneau d'Allister; Gant du Valet Veinard; Bouclier du Stalak; Menoture; Couronne d'Allister; Cape du Valet Veinard; Bottes d'Allister; Dofus Pourpre; Equilibriste; Equilibriste majeur; Acrobate majeur; Ravageur Air majeur; Voyageur; Siroko</t>
        </is>
      </c>
    </row>
    <row r="9649">
      <c r="A9649" t="inlineStr">
        <is>
          <t>Air</t>
        </is>
      </c>
      <c r="B9649">
        <f>HYPERLINK("https://www.dofusbook.net/fr/equipement/2933475-air/objets", "link")</f>
        <v/>
      </c>
      <c r="C9649" t="n">
        <v>0</v>
      </c>
      <c r="D9649" t="inlineStr">
        <is>
          <t>Manthache; Collier du Valet Veinard; Gant du Valet Veinard; Anneau d'Allister; Bouclier du Stalak; Menoture; Couronne d'Allister; Cape du Valet Veinard; Bottes d'Allister; Dofus Pourpre; Ravageur Air majeur; Voyageur; Equilibriste; Equilibriste majeur; Acrobate majeur; Siroko</t>
        </is>
      </c>
    </row>
    <row r="9650">
      <c r="A9650" t="inlineStr">
        <is>
          <t>Eau air</t>
        </is>
      </c>
      <c r="B9650">
        <f>HYPERLINK("https://www.dofusbook.net/fr/equipement/2932505-eau-air/objets", "link")</f>
        <v/>
      </c>
      <c r="C9650" t="n">
        <v>0</v>
      </c>
      <c r="D9650" t="inlineStr">
        <is>
          <t>Hache du Korriandre; Amulette du Strigide; Bracelet du Piloztère; Alliance Gloursonne; Quatre-feuilles; Ceintacé; Maskrobe; Cape du Barbétoal; Bottes du Strigide; Dofus Turquoise; Dofus Pourpre; Chanceux majeur; Nomade; Remueur; Cascadeur majeur; Kramkram</t>
        </is>
      </c>
    </row>
    <row r="9651">
      <c r="A9651" t="inlineStr">
        <is>
          <t>Rdv</t>
        </is>
      </c>
      <c r="B9651">
        <f>HYPERLINK("https://www.dofusbook.net/fr/equipement/2931149-rdv/objets", "link")</f>
        <v/>
      </c>
      <c r="C9651" t="n">
        <v>0</v>
      </c>
      <c r="D9651" t="inlineStr">
        <is>
          <t>Dagues Érhy; Amulette Ementaire Deluxe; Alliance Gloursonne; Bracelet du Piloztère; Cadran d'Air; Ceinture de la Reine des Voleurs; Coiffe de la Reine des Voleurs; Voile d'encre; Baleinabottes; Dofus Pourpre; Robuste majeur; Vigoureux majeur; Remueur; Nomade; Chanceux majeur; Kramkram</t>
        </is>
      </c>
    </row>
    <row r="9652">
      <c r="A9652" t="inlineStr">
        <is>
          <t>Retrait multi</t>
        </is>
      </c>
      <c r="B9652">
        <f>HYPERLINK("https://www.dofusbook.net/fr/equipement/2926349-retrait-multi/objets", "link")</f>
        <v/>
      </c>
      <c r="C9652" t="n">
        <v>0</v>
      </c>
      <c r="D9652" t="inlineStr">
        <is>
          <t>Grésilosceptre; Amulette du Strigide; Anneau du Père Fwetar; Anneau du Professeur Xa; Bouclier d'Asse; Ceintacé; Casque de Missiz Frizz; Dofusteuse; Bottes du Strigide; Dofus Turquoise; Dolmanax; Étourdisseur; Engourdisseur majeur; Étourdisseur majeur; Remueur; Kramkram</t>
        </is>
      </c>
    </row>
    <row r="9653">
      <c r="A9653" t="inlineStr">
        <is>
          <t>Ret pa</t>
        </is>
      </c>
      <c r="B9653">
        <f>HYPERLINK("https://www.dofusbook.net/fr/equipement/2923118-ret-pa/objets", "link")</f>
        <v/>
      </c>
      <c r="C9653" t="n">
        <v>0</v>
      </c>
      <c r="D9653" t="inlineStr">
        <is>
          <t>Arc corrompu; Pendentif affamé; Anneau du Professeur Xa; Anneau Tique; Sept ans de malheur; Ceinture de Vortex; Masque Ardent; Cape de Diondin; Chaussures Ardentes; Dofus Ivoire; Étourdisseur; Étourdisseur majeur; Remueur; Engourdisseur majeur; Érudit majeur; Muldo Orchidée</t>
        </is>
      </c>
    </row>
    <row r="9654">
      <c r="A9654" t="inlineStr">
        <is>
          <t>Force 160</t>
        </is>
      </c>
      <c r="B9654">
        <f>HYPERLINK("https://www.dofusbook.net/fr/equipement/2921555-force-160/objets", "link")</f>
        <v/>
      </c>
      <c r="C9654" t="n">
        <v>0</v>
      </c>
      <c r="D9654" t="inlineStr">
        <is>
          <t>Hache du Guerrier Zoth; Amulette du Renouveau; Gelano; Anneau de Frigostine; Cadran de Terre; Ceinture de Zatoïshwan; Barbe de Zatoïshwan; Cape de l'Obsidiantre; Bottes du Meulou; Dofus Pourpre; Nomade; Miraculé majeur; Forcené majeur; Remueur; Enragé majeur; Kramkram</t>
        </is>
      </c>
    </row>
    <row r="9655">
      <c r="A9655" t="inlineStr">
        <is>
          <t>Force resi</t>
        </is>
      </c>
      <c r="B9655">
        <f>HYPERLINK("https://www.dofusbook.net/fr/equipement/2919849-force-resi/objets", "link")</f>
        <v/>
      </c>
      <c r="C9655" t="n">
        <v>0</v>
      </c>
      <c r="D9655" t="inlineStr">
        <is>
          <t>Arc du Chalœil; Amulette Volcanique; Bracelet du Piloztère; Anneau Crustique; Quatre-feuilles; Ceinture de la Reine des Voleurs; Coiffe de la Reine des Voleurs; Cape au Logis; Chaussons de Macrab; Dofus Pourpre; Dofus Turquoise; Dofus Ocre; Remueur; Forcené majeur; Enragé majeur; Kramkram</t>
        </is>
      </c>
    </row>
    <row r="9656">
      <c r="A9656" t="inlineStr">
        <is>
          <t>Eau resi</t>
        </is>
      </c>
      <c r="B9656">
        <f>HYPERLINK("https://www.dofusbook.net/fr/equipement/2919696-eau-resi/objets", "link")</f>
        <v/>
      </c>
      <c r="C9656" t="n">
        <v>0</v>
      </c>
      <c r="D9656" t="inlineStr">
        <is>
          <t>Sceptre du Roi Joueur; Amulette de Shokkoth; Alliance Gloursonne; Bracelet des Fonds marins; Bouclier d'Ilyzaelle; Sangle Ouare; Masque des Fonds marins; Cape Solution; Pantoufles du Piloztère; Joueur majeur; Remueur; Dévastateur Eau majeur; Miraculé majeur; Chanceux majeur; Nomade; Kramkram</t>
        </is>
      </c>
    </row>
    <row r="9657">
      <c r="A9657" t="inlineStr">
        <is>
          <t>Air eau</t>
        </is>
      </c>
      <c r="B9657">
        <f>HYPERLINK("https://www.dofusbook.net/fr/equipement/2918092-air-eau/objets", "link")</f>
        <v/>
      </c>
      <c r="C9657" t="n">
        <v>0</v>
      </c>
      <c r="D9657" t="inlineStr">
        <is>
          <t>Bâtonnet Ronien; Amulette d'Ilyzaelle; Alliance Gloursonne; Bracelet du Piloztère; Cadran d'Air; Sangle Ouare; Casque d'Ilyzaelle; Cape Solution; Bottes de la Reine des Voleurs; Dofus Pourpre; Remueur; Vigoureux majeur; Cascadeur majeur; Chanceux majeur; Nomade; Kramkram</t>
        </is>
      </c>
    </row>
    <row r="9658">
      <c r="A9658" t="inlineStr">
        <is>
          <t>Eau air</t>
        </is>
      </c>
      <c r="B9658">
        <f>HYPERLINK("https://www.dofusbook.net/fr/equipement/2917468-eau-air/objets", "link")</f>
        <v/>
      </c>
      <c r="C9658" t="n">
        <v>1</v>
      </c>
      <c r="D9658" t="inlineStr">
        <is>
          <t>Kalypsoton; Collier Yé; Nageanneau; Gelano; Bouclier du Sadida; Pagne du Soryo Givrefoux; Casquoporth; Cape du Korriandre; Bottes de Grozilla; Dofus Pourpre; Vigoureux majeur; Nomade; Chanceux majeur; Cascadeur majeur; Remueur; Kramkram</t>
        </is>
      </c>
    </row>
    <row r="9659">
      <c r="A9659" t="inlineStr">
        <is>
          <t>Feu crit</t>
        </is>
      </c>
      <c r="B9659">
        <f>HYPERLINK("https://www.dofusbook.net/fr/equipement/2914848-feu-crit/objets", "link")</f>
        <v/>
      </c>
      <c r="C9659" t="n">
        <v>0</v>
      </c>
      <c r="D9659" t="inlineStr">
        <is>
          <t>Massier; Amulette du Strigide; Bague Gloursonne; Anneau de Padgref; Bouclier du Captain Amakna; Ceinture du Strigide; Heaume Oplate; Cape de la Dame du Hasard; Pataugastrique; Dofus Pourpre; Dofus Turquoise; Dévastateur Feu majeur; Nomade; Érudit majeur; Astucieux majeur; Brûlih</t>
        </is>
      </c>
    </row>
    <row r="9660">
      <c r="A9660" t="inlineStr">
        <is>
          <t>Brulame</t>
        </is>
      </c>
      <c r="B9660">
        <f>HYPERLINK("https://www.dofusbook.net/fr/equipement/2914833-brulame/objets", "link")</f>
        <v/>
      </c>
      <c r="C9660" t="n">
        <v>0</v>
      </c>
      <c r="D9660" t="inlineStr">
        <is>
          <t>Épée Brûlâme; Collier de la Dame du Hasard; Anneau Cryochrone; Bracelet du Piloztère; Bouclier du Captain Amakna; Ceintacé; Casquette de Meno; Cape de la Dame du Hasard; Pataugastrique; Dofus Pourpre; Dofus Turquoise; Vigoureux majeur; Érudit majeur; Sanguinaire majeur; Chanceux majeur; Muldo Prune et Emeraude</t>
        </is>
      </c>
    </row>
    <row r="9661">
      <c r="A9661" t="inlineStr">
        <is>
          <t>Air eau feu</t>
        </is>
      </c>
      <c r="B9661">
        <f>HYPERLINK("https://www.dofusbook.net/fr/equipement/2914704-air-eau-feu/objets", "link")</f>
        <v/>
      </c>
      <c r="C9661" t="n">
        <v>0</v>
      </c>
      <c r="D9661" t="inlineStr">
        <is>
          <t>Dagues Érhy; Amulette Ementaire Deluxe; Alliance Gloursonne; Bracelet du Piloztère; Bouclier du Stalak; Sangle Ouare; Capuche de l'Œil Putride; Cape de l'Œil Putride; Pataugastrique; Dolmanax; Dofus Pourpre; Dofus des Glaces; Remueur; Sanguinaire majeur; Vigoureux majeur; Kramkram</t>
        </is>
      </c>
    </row>
    <row r="9662">
      <c r="A9662" t="inlineStr">
        <is>
          <t>Multi 200</t>
        </is>
      </c>
      <c r="B9662">
        <f>HYPERLINK("https://www.dofusbook.net/fr/equipement/2914659-multi-200/objets", "link")</f>
        <v/>
      </c>
      <c r="C9662" t="n">
        <v>1</v>
      </c>
      <c r="D9662" t="inlineStr">
        <is>
          <t>Dagues Érhy; Amulette Ementaire Deluxe; Alliance Gloursonne; Bracelet du Piloztère; Bouclier du Stalak; Ceinture du Barbétoal; Masque de l'Esprit Salvateur; Cape des Justiciers; Bottes de l'Esprit Salvateur; Dofus des Glaces; Dofus Pourpre; Dolmanax; Nomade; Remueur; Vigoureux majeur; Kramkram</t>
        </is>
      </c>
    </row>
    <row r="9663">
      <c r="A9663" t="inlineStr">
        <is>
          <t>Resi fixe</t>
        </is>
      </c>
      <c r="B9663">
        <f>HYPERLINK("https://www.dofusbook.net/fr/equipement/2909129-resi-fixe/objets", "link")</f>
        <v/>
      </c>
      <c r="C9663" t="n">
        <v>2</v>
      </c>
      <c r="D9663" t="inlineStr">
        <is>
          <t>Hache Euvale; Amulette du Granduk; Alliance de Guten Tak; Anneau de Padgref; Roncier; Ceinture du Glourséleste; Coiffe du Glourséleste; Cape de Léthaline; Bottes du Nocturlabe; Dofus Ivoire; Cuirassé Air majeur; Muraille Air; Muraille Air mineure; Muraille Air majeure; Cuirassé Air; Toukancre</t>
        </is>
      </c>
    </row>
    <row r="9664">
      <c r="A9664" t="inlineStr">
        <is>
          <t>Pvp179</t>
        </is>
      </c>
      <c r="B9664">
        <f>HYPERLINK("https://www.dofusbook.net/fr/equipement/2908087-pvp179/objets", "link")</f>
        <v/>
      </c>
      <c r="C9664" t="n">
        <v>0</v>
      </c>
      <c r="D9664" t="inlineStr">
        <is>
          <t>La Baguette des Limbes; Amulette Ementaire Deluxe; Alliance de Guten Tak; Bracelet Ventré; Cadran d'Air; Ceintrémorse; Casquoporth; Cape de l'Obsidiantre; Sandales Binosse; Dolmanax; Dofus Pourpre; Temporiseur majeur; Remueur; Vigoureux majeur; Nomade; Kramkram</t>
        </is>
      </c>
    </row>
    <row r="9665">
      <c r="A9665" t="inlineStr">
        <is>
          <t>Full crit</t>
        </is>
      </c>
      <c r="B9665">
        <f>HYPERLINK("https://www.dofusbook.net/fr/equipement/2900922-full-crit/objets", "link")</f>
        <v/>
      </c>
      <c r="C9665" t="n">
        <v>0</v>
      </c>
      <c r="D9665" t="inlineStr">
        <is>
          <t>Hache du Korriandre; Amulette du Strigide; Bracelet du Piloztère; Bague Trithon; Bouclier du Captain Amakna; Ceinture du Strigide; Némès de Tal Kasha; Chevelure de Tal Kasha; Sandales de Tal Kasha; Dofus Émeraude; Dofus Turquoise; Dolmanax; Dofus Ocre; Dofus Pourpre; Dofus des Glaces; Muldo Doré et Emeraude</t>
        </is>
      </c>
    </row>
    <row r="9666">
      <c r="A9666" t="inlineStr">
        <is>
          <t>Full crit</t>
        </is>
      </c>
      <c r="B9666">
        <f>HYPERLINK("https://www.dofusbook.net/fr/equipement/2900839-full-crit/objets", "link")</f>
        <v/>
      </c>
      <c r="C9666" t="n">
        <v>2</v>
      </c>
      <c r="D9666" t="inlineStr">
        <is>
          <t>Pelle de Nidas; Amulette du Strigide; Bracelet du Piloztère; Bague Trithon; Bouclier du Captain Amakna; Ceinture du Strigide; Némès de Tal Kasha; Chevelure de Tal Kasha; Sandales de Tal Kasha; Dofus Ocre; Dofus Pourpre; Dofus des Glaces; Dofus Émeraude; Dofus Turquoise; Dolmanax; Muldo Doré et Emeraude</t>
        </is>
      </c>
    </row>
    <row r="9667">
      <c r="A9667" t="inlineStr">
        <is>
          <t>Puissance</t>
        </is>
      </c>
      <c r="B9667">
        <f>HYPERLINK("https://www.dofusbook.net/fr/equipement/2900759-puissance-/objets", "link")</f>
        <v/>
      </c>
      <c r="C9667" t="n">
        <v>0</v>
      </c>
      <c r="D9667" t="inlineStr">
        <is>
          <t>Marteau des égarés; Amulette du Strigide; Anneau du Père Fwetar; Bracelet du Piloztère; Quatre-feuilles; Ceintacé; Maskrobe; Cape Reski; Bottes du Strigide; Dolmanax; Dofus Pourpre; Dofus Turquoise; Dofus des Glaces; Remueur; Vigoureux majeur; Muldo Doré et Emeraude</t>
        </is>
      </c>
    </row>
    <row r="9668">
      <c r="A9668" t="inlineStr">
        <is>
          <t>Do pou 150</t>
        </is>
      </c>
      <c r="B9668">
        <f>HYPERLINK("https://www.dofusbook.net/fr/equipement/2897066-do-pou-150/objets", "link")</f>
        <v/>
      </c>
      <c r="C9668" t="n">
        <v>0</v>
      </c>
      <c r="D9668" t="inlineStr">
        <is>
          <t>Dagues Lassay; Porte-Malheur du Nowel Cauchemardesque; Gelano; Anneau Made; Bouclier Taverne; Ceinture de Frigostine; Coiffe de Grozilla; Caracape Minotoris; Bottes de Grozilla; Culbuteur majeur; Bousculeur majeur; Pousseur majeur; Remueur; Cascadeur majeur; Culbuteur; Kramkram</t>
        </is>
      </c>
    </row>
    <row r="9669">
      <c r="A9669" t="inlineStr">
        <is>
          <t>Air 155</t>
        </is>
      </c>
      <c r="B9669">
        <f>HYPERLINK("https://www.dofusbook.net/fr/equipement/2897027-air-155/objets", "link")</f>
        <v/>
      </c>
      <c r="C9669" t="n">
        <v>0</v>
      </c>
      <c r="D9669" t="inlineStr">
        <is>
          <t>Bâton du Harpirate; Porte-Malheur du Nowel Cauchemardesque; Gelano; Sceau Souverain du Roissingue; Le Karde Cœur; Ceinture de l'Orfélin; Coiffe de l'Orfélin; Caracape Minotoris; Bottes du Wabbit Céphale; Dokoko; Dofus Pourpre; Remueur; Temporiseur majeur; Nomade; Cascadeur majeur; Kramkram</t>
        </is>
      </c>
    </row>
    <row r="9670">
      <c r="A9670" t="inlineStr">
        <is>
          <t>Air 155</t>
        </is>
      </c>
      <c r="B9670">
        <f>HYPERLINK("https://www.dofusbook.net/fr/equipement/2896984-air-155/objets", "link")</f>
        <v/>
      </c>
      <c r="C9670" t="n">
        <v>0</v>
      </c>
      <c r="D9670" t="inlineStr">
        <is>
          <t>Bâton du Harpirate; Porte-Malheur du Nowel Cauchemardesque; Gelano; Sceau Souverain du Roissingue; Le Karde Cœur; Ceinture de l'Orfélin; Coiffe de l'Orfélin; Caracape Minotoris; Bottes du Wabbit Céphale; Dokoko; Dofus Pourpre; Cascadeur majeur; Remueur; Temporiseur majeur; Nomade; Kramkram</t>
        </is>
      </c>
    </row>
    <row r="9671">
      <c r="A9671" t="inlineStr">
        <is>
          <t>Pvp 163</t>
        </is>
      </c>
      <c r="B9671">
        <f>HYPERLINK("https://www.dofusbook.net/fr/equipement/2896950-pvp-163/objets", "link")</f>
        <v/>
      </c>
      <c r="C9671" t="n">
        <v>0</v>
      </c>
      <c r="D9671" t="inlineStr">
        <is>
          <t>Pelle Aigante; Amulette Ementaire Deluxe; Anneau Frage; Anneau Frage; Le Karde Cœur; Ceinture Phossile; Casque Dragoeuf; Corbacape Mastralis; Bottes Phossiles; Dolmanax; Dofus Pourpre; Dofus Ocre; Remueur; Nomade; Temporiseur majeur; Kramkram</t>
        </is>
      </c>
    </row>
    <row r="9672">
      <c r="A9672" t="inlineStr">
        <is>
          <t>Terre pvp 150</t>
        </is>
      </c>
      <c r="B9672">
        <f>HYPERLINK("https://www.dofusbook.net/fr/equipement/2896927-terre-pvp-150/objets", "link")</f>
        <v/>
      </c>
      <c r="C9672" t="n">
        <v>0</v>
      </c>
      <c r="D9672" t="inlineStr">
        <is>
          <t>La Racine Hagogue; Amulette Ementaire; Anneau de Frigostine; Gelano; Le Karde Cœur; Ceinture de Zatoïshwan; Barbe de Zatoïshwan; Caracape Minotoris; Tongues du dimanche du Chêne Mou; Dokoko; Dolmanax; Nomade; Temporiseur majeur; Enragé majeur; Remueur; Kramkram</t>
        </is>
      </c>
    </row>
    <row r="9673">
      <c r="A9673" t="inlineStr">
        <is>
          <t>Terre pvp 150</t>
        </is>
      </c>
      <c r="B9673">
        <f>HYPERLINK("https://www.dofusbook.net/fr/equipement/2896905-terre-pvp-150/objets", "link")</f>
        <v/>
      </c>
      <c r="C9673" t="n">
        <v>0</v>
      </c>
      <c r="D9673" t="inlineStr">
        <is>
          <t>Hache du Guerrier Zoth; La Meulette; Anneau du Chêne Mou; Anneau de Frigostine; Le Karde Cœur; Ceinture de Zatoïshwan; Barbe de Zatoïshwan; Cape du Mansot Royal; Sandales Gorithme; Dokoko; Dofus Pourpre; Temporiseur majeur; Enragé majeur; Remueur; Nomade; Kramkram</t>
        </is>
      </c>
    </row>
    <row r="9674">
      <c r="A9674" t="inlineStr">
        <is>
          <t>Pvp 150</t>
        </is>
      </c>
      <c r="B9674">
        <f>HYPERLINK("https://www.dofusbook.net/fr/equipement/2896890-pvp-150/objets", "link")</f>
        <v/>
      </c>
      <c r="C9674" t="n">
        <v>0</v>
      </c>
      <c r="D9674" t="inlineStr">
        <is>
          <t>Hache du Guerrier Zoth; Amulette Ementaire; Anneau du Meulou; Anneau du Chêne Mou; Le Karde Cœur; Ceinture Phossile; Couronne du Mansot Royal; Corbacape Mastralis; Bottes Phossiles; Dolmanax; Dokoko; Dofus Pourpre; Dofus Émeraude; Remueur; Nomade; Kramkram</t>
        </is>
      </c>
    </row>
    <row r="9675">
      <c r="A9675" t="inlineStr">
        <is>
          <t>Pvp 150</t>
        </is>
      </c>
      <c r="B9675">
        <f>HYPERLINK("https://www.dofusbook.net/fr/equipement/2894713-pvp-150/objets", "link")</f>
        <v/>
      </c>
      <c r="C9675" t="n">
        <v>0</v>
      </c>
      <c r="D9675" t="inlineStr">
        <is>
          <t>Ares; La Feuille de Printemps; Sceau Souverain du Roissingue; Anneau du Kaniblou; Le Karde Cœur; Ceinture du Kaniblou; Casque Dragoeuf; Corbacape Mastralis; Sandales Humeuses; Dokoko; Dofus Émeraude; Dofus Pourpre; Remueur; Nomade; Chanceux majeur; Kramkram</t>
        </is>
      </c>
    </row>
    <row r="9676">
      <c r="A9676" t="inlineStr">
        <is>
          <t>Pvp 150</t>
        </is>
      </c>
      <c r="B9676">
        <f>HYPERLINK("https://www.dofusbook.net/fr/equipement/2894712-pvp-150/objets", "link")</f>
        <v/>
      </c>
      <c r="C9676" t="n">
        <v>0</v>
      </c>
      <c r="D9676" t="inlineStr">
        <is>
          <t>Ares; La Feuille de Printemps; Sceau Souverain du Roissingue; Anneau du Kaniblou; Cadran d'Eau; Ceinture du Kaniblou; Casque Dragoeuf; Corbacape Mastralis; Sandales Humeuses; Dofus Pourpre; Dokoko; Dofus Émeraude; Chanceux majeur; Remueur; Nomade; Kramkram</t>
        </is>
      </c>
    </row>
    <row r="9677">
      <c r="A9677" t="inlineStr">
        <is>
          <t>Pvp 150</t>
        </is>
      </c>
      <c r="B9677">
        <f>HYPERLINK("https://www.dofusbook.net/fr/equipement/2892350-pvp-150/objets", "link")</f>
        <v/>
      </c>
      <c r="C9677" t="n">
        <v>0</v>
      </c>
      <c r="D9677" t="inlineStr">
        <is>
          <t>Ares; La Feuille de Printemps; Sceau Souverain du Roissingue; Anneau du Kaniblou; Le Karde Cœur; Ceinture du Kaniblou; Casque Dragoeuf; Corbacape Mastralis; Sandales Humeuses; Dokoko; Dofus Émeraude; Remueur; Nomade; Chanceux majeur; Dévastateur Eau majeur; Kramkram</t>
        </is>
      </c>
    </row>
    <row r="9678">
      <c r="A9678" t="inlineStr">
        <is>
          <t>Pvp 150</t>
        </is>
      </c>
      <c r="B9678">
        <f>HYPERLINK("https://www.dofusbook.net/fr/equipement/2892348-pvp-150/objets", "link")</f>
        <v/>
      </c>
      <c r="C9678" t="n">
        <v>1</v>
      </c>
      <c r="D9678" t="inlineStr">
        <is>
          <t>Ares; La Feuille de Printemps; Sceau Souverain du Roissingue; Anneau du Kaniblou; Cadran d'Eau; Ceinture du Kaniblou; Casque Dragoeuf; Corbacape Mastralis; Sandales Humeuses; Dokoko; Dofus Émeraude; Chanceux majeur; Dévastateur Eau majeur; Remueur; Nomade; Kramkram</t>
        </is>
      </c>
    </row>
    <row r="9679">
      <c r="A9679" t="inlineStr">
        <is>
          <t>Pvp 150</t>
        </is>
      </c>
      <c r="B9679">
        <f>HYPERLINK("https://www.dofusbook.net/fr/equipement/2892338-pvp-150/objets", "link")</f>
        <v/>
      </c>
      <c r="C9679" t="n">
        <v>0</v>
      </c>
      <c r="D9679" t="inlineStr">
        <is>
          <t>Ares; La Feuille de Printemps; Sceau Souverain du Roissingue; Anneau du Kaniblou; Cadran d'Eau; Ceinture du Kaniblou; Casque Dragoeuf; Corbacape Mastralis; Sandales Humeuses; Dokoko; Dofus Émeraude; Remueur; Nomade; Chanceux majeur; Dévastateur Eau majeur; Kramkram</t>
        </is>
      </c>
    </row>
    <row r="9680">
      <c r="A9680" t="inlineStr">
        <is>
          <t>Pvp 150</t>
        </is>
      </c>
      <c r="B9680">
        <f>HYPERLINK("https://www.dofusbook.net/fr/equipement/2892333-pvp-150/objets", "link")</f>
        <v/>
      </c>
      <c r="C9680" t="n">
        <v>1</v>
      </c>
      <c r="D9680" t="inlineStr">
        <is>
          <t>Ares; La Feuille de Printemps; Sceau Souverain du Roissingue; Anneau du Kaniblou; Cadran d'Eau; Ceinture du Kaniblou; Casque Dragoeuf; Corbacape Mastralis; Sandales Humeuses; Dokoko; Dofus Émeraude; Chanceux majeur; Dévastateur Eau majeur; Remueur; Nomade; Kramkram</t>
        </is>
      </c>
    </row>
    <row r="9681">
      <c r="A9681" t="inlineStr">
        <is>
          <t>Pvp 150</t>
        </is>
      </c>
      <c r="B9681">
        <f>HYPERLINK("https://www.dofusbook.net/fr/equipement/2892323-pvp-150/objets", "link")</f>
        <v/>
      </c>
      <c r="C9681" t="n">
        <v>2</v>
      </c>
      <c r="D9681" t="inlineStr">
        <is>
          <t>Ares; La Feuille de Printemps; Sceau Souverain du Roissingue; Anneau du Kaniblou; Le Karde Cœur; Ceinture du Kaniblou; Casque Dragoeuf; Corbacape Mastralis; Sandales Humeuses; Dokoko; Dofus Émeraude; Remueur; Nomade; Chanceux majeur; Dévastateur Eau majeur; Kramkram</t>
        </is>
      </c>
    </row>
    <row r="9682">
      <c r="A9682" t="inlineStr">
        <is>
          <t>Pvp 150</t>
        </is>
      </c>
      <c r="B9682">
        <f>HYPERLINK("https://www.dofusbook.net/fr/equipement/2892042-pvp-150/objets", "link")</f>
        <v/>
      </c>
      <c r="C9682" t="n">
        <v>0</v>
      </c>
      <c r="D9682" t="inlineStr">
        <is>
          <t>Ares; La Feuille de Printemps; Sceau Souverain du Roissingue; Anneau du Kaniblou; Le Karde Cœur; Ceinture du Kaniblou; Casque Dragoeuf; Corbacape Mastralis; Sandales Humeuses; Dokoko; Dofus Émeraude; Chanceux majeur; Dévastateur Eau majeur; Remueur; Nomade; Kramkram</t>
        </is>
      </c>
    </row>
    <row r="9683">
      <c r="A9683" t="inlineStr">
        <is>
          <t>Pvp 150</t>
        </is>
      </c>
      <c r="B9683">
        <f>HYPERLINK("https://www.dofusbook.net/fr/equipement/2891725-pvp-150/objets", "link")</f>
        <v/>
      </c>
      <c r="C9683" t="n">
        <v>1</v>
      </c>
      <c r="D9683" t="inlineStr">
        <is>
          <t>La Baguette des Limbes; Amulette Ementaire; Nageanneau; Bracelet du Chef Bwork; Le Karde Cœur; Ceinture Phossile; Bonnet Ko; Caracape Minotoris; Bottes Phossiles; Dofus Émeraude; Dolmanax; Dokoko; Dofus Pourpre; Remueur; Nomade; Kramkram</t>
        </is>
      </c>
    </row>
    <row r="9684">
      <c r="A9684" t="inlineStr">
        <is>
          <t>Pvp 150</t>
        </is>
      </c>
      <c r="B9684">
        <f>HYPERLINK("https://www.dofusbook.net/fr/equipement/2891163-pvp-150/objets", "link")</f>
        <v/>
      </c>
      <c r="C9684" t="n">
        <v>0</v>
      </c>
      <c r="D9684" t="inlineStr">
        <is>
          <t>Hache du Guerrier Zoth; Amulette Ementaire; Anneau Frage; Anneau Frage; Le Karde Cœur; Ceinture Phossile; Couronne du Mansot Royal; Caracape Minotoris; Bottes Phossiles; Dofus Pourpre; Miraculé majeur; Remueur; Vigoureux majeur; Nomade; Sanguinaire majeur; Kramkram</t>
        </is>
      </c>
    </row>
    <row r="9685">
      <c r="A9685" t="inlineStr">
        <is>
          <t>Pvp 150</t>
        </is>
      </c>
      <c r="B9685">
        <f>HYPERLINK("https://www.dofusbook.net/fr/equipement/2879619-pvp-150/objets", "link")</f>
        <v/>
      </c>
      <c r="C9685" t="n">
        <v>0</v>
      </c>
      <c r="D9685" t="inlineStr">
        <is>
          <t>Ares; Collier Yé; Sceau Souverain du Roissingue; Anneau du Kaniblou; Le Karde Cœur; Ceinture du Kaniblou; Casque Dragoeuf; Cape du Père Phorreur; Sandales Humeuses; Dokoko; Dofus Émeraude; Remueur; Nomade; Chanceux majeur; Dévastateur Eau majeur; Kramkram</t>
        </is>
      </c>
    </row>
    <row r="9686">
      <c r="A9686" t="inlineStr">
        <is>
          <t>Air 2</t>
        </is>
      </c>
      <c r="B9686">
        <f>HYPERLINK("https://www.dofusbook.net/fr/equipement/2877117-air-2/objets", "link")</f>
        <v/>
      </c>
      <c r="C9686" t="n">
        <v>2</v>
      </c>
      <c r="D9686" t="inlineStr">
        <is>
          <t>Héqache; Amibou; Alliance Gloursonne; Gant du Valet Veinard; Bivalve; Menoture; Masque du Barbétoal; Capibou; Bottes des Malveilleurs; Nomade; Culbuteur majeur; Pousseur majeur; Cascadeur majeur; Remueur; Bousculeur majeur; Muldo Ebène</t>
        </is>
      </c>
    </row>
    <row r="9687">
      <c r="A9687" t="inlineStr">
        <is>
          <t>Air 2</t>
        </is>
      </c>
      <c r="B9687">
        <f>HYPERLINK("https://www.dofusbook.net/fr/equipement/2876986-air-2/objets", "link")</f>
        <v/>
      </c>
      <c r="C9687" t="n">
        <v>0</v>
      </c>
      <c r="D9687" t="inlineStr">
        <is>
          <t>Héqache; Amibou; Alliance Gloursonne; Gant du Valet Veinard; Bivalve; Menoture; Masque du Barbétoal; Capibou; Bottes des Malveilleurs; Pousseur majeur; Cascadeur majeur; Remueur; Bousculeur majeur; Nomade; Culbuteur majeur; Muldo Ebène</t>
        </is>
      </c>
    </row>
    <row r="9688">
      <c r="A9688" t="inlineStr">
        <is>
          <t>Force</t>
        </is>
      </c>
      <c r="B9688">
        <f>HYPERLINK("https://www.dofusbook.net/fr/equipement/2876967-force/objets", "link")</f>
        <v/>
      </c>
      <c r="C9688" t="n">
        <v>0</v>
      </c>
      <c r="D9688" t="inlineStr">
        <is>
          <t>Arc du Chalœil; Amulette du Strigide; Anneau Chevelu; Anneau Crustique; Quatre-feuilles; Ceinture du Strigide; Masque de Koutoulou; Cape au Logis; Bottes de Brouce; Dofus Pourpre; Dofus Turquoise; Nomade; Enragé majeur; Forcené majeur; Remueur; Kramkram</t>
        </is>
      </c>
    </row>
    <row r="9689">
      <c r="A9689" t="inlineStr">
        <is>
          <t>Phosdile</t>
        </is>
      </c>
      <c r="B9689">
        <f>HYPERLINK("https://www.dofusbook.net/fr/equipement/2876557-phosdile/objets", "link")</f>
        <v/>
      </c>
      <c r="C9689" t="n">
        <v>0</v>
      </c>
      <c r="D9689" t="inlineStr">
        <is>
          <t>Héqache; Amulette du Cycloïde; Bracelet du Piloztère; Anneau des égarés; Bouclier du Stalak; Ceintacé; Coiffe de la Reine des Voleurs; Cape du Kamasterisk; Bottes du Cycloïde; Dofus Pourpre; Remueur; Vigoureux majeur; Nomade; Sanguinaire majeur; Robuste majeur; Kramkram</t>
        </is>
      </c>
    </row>
    <row r="9690">
      <c r="A9690" t="inlineStr">
        <is>
          <t>Phosdile</t>
        </is>
      </c>
      <c r="B9690">
        <f>HYPERLINK("https://www.dofusbook.net/fr/equipement/2876488-phosdile/objets", "link")</f>
        <v/>
      </c>
      <c r="C9690" t="n">
        <v>0</v>
      </c>
      <c r="D9690" t="inlineStr">
        <is>
          <t>Marteau Phossile; Amulette du Strigide; Kralano; Anneau de Padgref; Bouclier du Captain Amakna; Ceinture du Strigide; Masque Brûlâme; Cape Lati; Pantoufles Émar; Dofus Turquoise; Dofus Nébuleux; Dofus Pourpre; Sanguinaire majeur; Remueur; Vigoureux majeur; Muldo Prune et Emeraude</t>
        </is>
      </c>
    </row>
    <row r="9691">
      <c r="A9691" t="inlineStr">
        <is>
          <t>Air invoc</t>
        </is>
      </c>
      <c r="B9691">
        <f>HYPERLINK("https://www.dofusbook.net/fr/equipement/2876433-air-invoc/objets", "link")</f>
        <v/>
      </c>
      <c r="C9691" t="n">
        <v>0</v>
      </c>
      <c r="D9691" t="inlineStr">
        <is>
          <t>Manthache; Collier du Valet Veinard; Gelano; Gant du Valet Veinard; Cadran d'Air; Ceinture de l'Esprit Salvateur; Masque de l'Esprit Salvateur; Cape du Valet Veinard; Bottes de l'Esprit Salvateur; Kramkram</t>
        </is>
      </c>
    </row>
    <row r="9692">
      <c r="A9692" t="inlineStr">
        <is>
          <t>Force</t>
        </is>
      </c>
      <c r="B9692">
        <f>HYPERLINK("https://www.dofusbook.net/fr/equipement/2876330-force/objets", "link")</f>
        <v/>
      </c>
      <c r="C9692" t="n">
        <v>0</v>
      </c>
      <c r="D9692" t="inlineStr">
        <is>
          <t>Arc du Chalœil; Amulette du Strigide; Anneau Chevelu; Anneau Crustique; Quatre-feuilles; Ceinture du Strigide; Masque de Koutoulou; Cape au Logis; Bottes de Brouce; Dofus Pourpre; Dofus Turquoise; Nomade; Enragé majeur; Forcené majeur; Remueur; Kramkram</t>
        </is>
      </c>
    </row>
    <row r="9693">
      <c r="A9693" t="inlineStr">
        <is>
          <t>Force</t>
        </is>
      </c>
      <c r="B9693">
        <f>HYPERLINK("https://www.dofusbook.net/fr/equipement/2876138-force/objets", "link")</f>
        <v/>
      </c>
      <c r="C9693" t="n">
        <v>0</v>
      </c>
      <c r="D9693" t="inlineStr">
        <is>
          <t>Arc du Chalœil; Amulette du Strigide; Anneau Crustique; Anneau Chevelu; Quatre-feuilles; Ceinture du Strigide; Masque de Koutoulou; Cape au Logis; Bottes de Brouce; Dofus Turquoise; Dofus Pourpre; Enragé majeur; Forcené majeur; Remueur; Nomade; Kramkram</t>
        </is>
      </c>
    </row>
    <row r="9694">
      <c r="A9694" t="inlineStr">
        <is>
          <t>Force</t>
        </is>
      </c>
      <c r="B9694">
        <f>HYPERLINK("https://www.dofusbook.net/fr/equipement/2876096-force/objets", "link")</f>
        <v/>
      </c>
      <c r="C9694" t="n">
        <v>0</v>
      </c>
      <c r="D9694" t="inlineStr">
        <is>
          <t>Arc du Chalœil; Amulette du Strigide; Anneau Chevelu; Anneau Crustique; Quatre-feuilles; Ceinture du Strigide; Masque de Koutoulou; Cape au Logis; Bottes de Brouce; Dofus Pourpre; Dofus Turquoise; Nomade; Enragé majeur; Forcené majeur; Remueur; Kramkram</t>
        </is>
      </c>
    </row>
    <row r="9695">
      <c r="A9695" t="inlineStr">
        <is>
          <t>Multi resi</t>
        </is>
      </c>
      <c r="B9695">
        <f>HYPERLINK("https://www.dofusbook.net/fr/equipement/2875832-multi-resi/objets", "link")</f>
        <v/>
      </c>
      <c r="C9695" t="n">
        <v>0</v>
      </c>
      <c r="D9695" t="inlineStr">
        <is>
          <t>Héqache; Amulette du Strigide; Bracelet du Piloztère; Anneau de Pol Ouatnos; Quatre-feuilles; Ceintacé; Casque du Chalœil; Cape des Justiciers; Bottes du Strigide; Dofus Pourpre; Dofus Turquoise; Remueur; Sanguinaire majeur; Nomade; Vigoureux majeur; Kramkram</t>
        </is>
      </c>
    </row>
    <row r="9696">
      <c r="A9696" t="inlineStr">
        <is>
          <t>Chance resistance</t>
        </is>
      </c>
      <c r="B9696">
        <f>HYPERLINK("https://www.dofusbook.net/fr/equipement/2875819-chance-resistance/objets", "link")</f>
        <v/>
      </c>
      <c r="C9696" t="n">
        <v>0</v>
      </c>
      <c r="D9696" t="inlineStr">
        <is>
          <t>Sceptre du Roi Joueur; Amulette de Shokkoth; Bracelet du Piloztère; Bracelet des Fonds marins; Bouclier du Stalak; Sangle Ouare; Kidibonnet; Cape du Sinistrofu; Bottes du Sinistrofu; Dofus Pourpre; Dévastateur Eau majeur; Chanceux majeur; Remueur; Nomade; Taquin majeur; Kramkram</t>
        </is>
      </c>
    </row>
    <row r="9697">
      <c r="A9697" t="inlineStr">
        <is>
          <t>Chance resistance</t>
        </is>
      </c>
      <c r="B9697">
        <f>HYPERLINK("https://www.dofusbook.net/fr/equipement/2875812-chance-resistance/objets", "link")</f>
        <v/>
      </c>
      <c r="C9697" t="n">
        <v>0</v>
      </c>
      <c r="D9697" t="inlineStr">
        <is>
          <t>Sceptre du Roi Joueur; Amulette de Shokkoth; Bracelet des Fonds marins; Bracelet du Piloztère; Bouclier du Stalak; Sangle Ouare; Kidibonnet; Cape du Sinistrofu; Bottes du Sinistrofu; Dofus Pourpre; Nomade; Taquin majeur; Dévastateur Eau majeur; Chanceux majeur; Remueur; Kramkram</t>
        </is>
      </c>
    </row>
    <row r="9698">
      <c r="A9698" t="inlineStr">
        <is>
          <t>Chance resistance</t>
        </is>
      </c>
      <c r="B9698">
        <f>HYPERLINK("https://www.dofusbook.net/fr/equipement/2875805-chance-resistance/objets", "link")</f>
        <v/>
      </c>
      <c r="C9698" t="n">
        <v>3</v>
      </c>
      <c r="D9698" t="inlineStr">
        <is>
          <t>Sceptre du Roi Joueur; Amulette de Shokkoth; Bracelet du Piloztère; Bracelet des Fonds marins; Bouclier du Stalak; Sangle Ouare; Kidibonnet; Cape du Sinistrofu; Bottes du Sinistrofu; Dofus Pourpre; Dévastateur Eau majeur; Chanceux majeur; Remueur; Nomade; Taquin majeur; Kramkram</t>
        </is>
      </c>
    </row>
    <row r="9699">
      <c r="A9699" t="inlineStr">
        <is>
          <t>Multi re crit</t>
        </is>
      </c>
      <c r="B9699">
        <f>HYPERLINK("https://www.dofusbook.net/fr/equipement/2875480-multi-re-crit-/objets", "link")</f>
        <v/>
      </c>
      <c r="C9699" t="n">
        <v>0</v>
      </c>
      <c r="D9699" t="inlineStr">
        <is>
          <t>L'Épée Nice; Collier de Tourthon; Gelano; Anneau Chevelu; Bouclier du Captain Amakna; Sangle de Sylargh; Bonnet Ko; Cape de Sylargh; Bottes de Brouce; Dofus Turquoise; Nomade; Enragé majeur; Remueur; Miraculé majeur; Forcené majeur; Kompost</t>
        </is>
      </c>
    </row>
    <row r="9700">
      <c r="A9700" t="inlineStr">
        <is>
          <t>Eau resi</t>
        </is>
      </c>
      <c r="B9700">
        <f>HYPERLINK("https://www.dofusbook.net/fr/equipement/2870813-eau-resi/objets", "link")</f>
        <v/>
      </c>
      <c r="C9700" t="n">
        <v>0</v>
      </c>
      <c r="D9700" t="inlineStr">
        <is>
          <t>Dagoulinantes; Amulette de Shokkoth; Alliance Gloursonne; Bracelet des Fonds marins; Bouclier d'Ilyzaelle; Sangle Ouare; Casque Dragoeuf; Cape Solution; Bottes du Sinistrofu; Nomade; Joueur majeur; Remueur; Dévastateur Eau majeur; Taquin majeur; Chanceux majeur; Kramkram</t>
        </is>
      </c>
    </row>
    <row r="9701">
      <c r="A9701" t="inlineStr">
        <is>
          <t>Eau resi</t>
        </is>
      </c>
      <c r="B9701">
        <f>HYPERLINK("https://www.dofusbook.net/fr/equipement/2870806-eau-resi/objets", "link")</f>
        <v/>
      </c>
      <c r="C9701" t="n">
        <v>0</v>
      </c>
      <c r="D9701" t="inlineStr">
        <is>
          <t>Dagoulinantes; Amulette de Shokkoth; Bracelet des Fonds marins; Alliance Gloursonne; Bouclier d'Ilyzaelle; Sangle Ouare; Casque Dragoeuf; Cape Solution; Bottes du Sinistrofu; Taquin majeur; Chanceux majeur; Nomade; Joueur majeur; Remueur; Dévastateur Eau majeur; Kramkram</t>
        </is>
      </c>
    </row>
    <row r="9702">
      <c r="A9702" t="inlineStr">
        <is>
          <t>Eau resi</t>
        </is>
      </c>
      <c r="B9702">
        <f>HYPERLINK("https://www.dofusbook.net/fr/equipement/2870765-eau-resi/objets", "link")</f>
        <v/>
      </c>
      <c r="C9702" t="n">
        <v>0</v>
      </c>
      <c r="D9702" t="inlineStr">
        <is>
          <t>Dagoulinantes; Amulette de Shokkoth; Alliance Gloursonne; Bracelet des Fonds marins; Bouclier d'Ilyzaelle; Sangle Ouare; Casque Dragoeuf; Cape Solution; Bottes du Sinistrofu; Nomade; Joueur majeur; Remueur; Dévastateur Eau majeur; Taquin majeur; Chanceux majeur; Kramkram</t>
        </is>
      </c>
    </row>
    <row r="9703">
      <c r="A9703" t="inlineStr">
        <is>
          <t>Eau rox</t>
        </is>
      </c>
      <c r="B9703">
        <f>HYPERLINK("https://www.dofusbook.net/fr/equipement/2863067-eau-rox/objets", "link")</f>
        <v/>
      </c>
      <c r="C9703" t="n">
        <v>0</v>
      </c>
      <c r="D9703" t="inlineStr">
        <is>
          <t>Sceptre du Roi Joueur; Amulette de Shokkoth; Bracelet des Fonds marins; Alliance Gloursonne; Bouclier du Stalak; Sangle Ouare; Kidibonnet; Cape du Sinistrofu; Bottes du Sinistrofu; Dofus Nébuleux; Remueur; Chanceux majeur; Nomade; Dévastateur Eau majeur; Taquin majeur; Kramkram</t>
        </is>
      </c>
    </row>
    <row r="9704">
      <c r="A9704" t="inlineStr">
        <is>
          <t>Eau resi</t>
        </is>
      </c>
      <c r="B9704">
        <f>HYPERLINK("https://www.dofusbook.net/fr/equipement/2855399-eau-resi/objets", "link")</f>
        <v/>
      </c>
      <c r="C9704" t="n">
        <v>0</v>
      </c>
      <c r="D9704" t="inlineStr">
        <is>
          <t>Rapière aux Glyphes; Amulette de Shokkoth; Alliance Gloursonne; Bracelet des Fonds marins; Bouclier d'Ilyzaelle; Sangle Ouare; Kidibonnet; Cape du Sinistrofu; Sandales des Fonds marins; Dofus Pourpre; Nomade; Remueur; Vigoureux majeur; Taquin majeur; Chanceux majeur; Kramkram</t>
        </is>
      </c>
    </row>
    <row r="9705">
      <c r="A9705" t="inlineStr">
        <is>
          <t>Eau resi</t>
        </is>
      </c>
      <c r="B9705">
        <f>HYPERLINK("https://www.dofusbook.net/fr/equipement/2855394-eau-resi/objets", "link")</f>
        <v/>
      </c>
      <c r="C9705" t="n">
        <v>0</v>
      </c>
      <c r="D9705" t="inlineStr">
        <is>
          <t>Rapière aux Glyphes; Amulette de Shokkoth; Bracelet des Fonds marins; Alliance Gloursonne; Bouclier d'Ilyzaelle; Sangle Ouare; Kidibonnet; Cape du Sinistrofu; Sandales des Fonds marins; Dofus Pourpre; Taquin majeur; Chanceux majeur; Nomade; Remueur; Vigoureux majeur; Kramkram</t>
        </is>
      </c>
    </row>
    <row r="9706">
      <c r="A9706" t="inlineStr">
        <is>
          <t>Eau resi</t>
        </is>
      </c>
      <c r="B9706">
        <f>HYPERLINK("https://www.dofusbook.net/fr/equipement/2855382-eau-resi/objets", "link")</f>
        <v/>
      </c>
      <c r="C9706" t="n">
        <v>0</v>
      </c>
      <c r="D9706" t="inlineStr">
        <is>
          <t>Rapière aux Glyphes; Amulette de Shokkoth; Alliance Gloursonne; Bracelet des Fonds marins; Bouclier d'Ilyzaelle; Sangle Ouare; Kidibonnet; Cape du Sinistrofu; Sandales des Fonds marins; Dofus Pourpre; Nomade; Remueur; Vigoureux majeur; Taquin majeur; Chanceux majeur; Kramkram</t>
        </is>
      </c>
    </row>
    <row r="9707">
      <c r="A9707" t="inlineStr">
        <is>
          <t>Eau resi</t>
        </is>
      </c>
      <c r="B9707">
        <f>HYPERLINK("https://www.dofusbook.net/fr/equipement/2855346-eau-resi/objets", "link")</f>
        <v/>
      </c>
      <c r="C9707" t="n">
        <v>0</v>
      </c>
      <c r="D9707" t="inlineStr">
        <is>
          <t>Rapière aux Glyphes; Amulette de Shokkoth; Bracelet des Fonds marins; Alliance Gloursonne; Bouclier du Stalak; Sangle Ouare; Kidibonnet; Cape du Sinistrofu; Sandales des Fonds marins; Dofus Pourpre; Taquin majeur; Chanceux majeur; Nomade; Remueur; Vigoureux majeur; Kramkram</t>
        </is>
      </c>
    </row>
    <row r="9708">
      <c r="A9708" t="inlineStr">
        <is>
          <t>Eau resi</t>
        </is>
      </c>
      <c r="B9708">
        <f>HYPERLINK("https://www.dofusbook.net/fr/equipement/2855094-eau-resi/objets", "link")</f>
        <v/>
      </c>
      <c r="C9708" t="n">
        <v>0</v>
      </c>
      <c r="D9708" t="inlineStr">
        <is>
          <t>Baguette Héroclite; Amulette de Shokkoth; Alliance Gloursonne; Bracelet des Fonds marins; Bouclier du Stalak; Poulpagne; Kidibonnet; Cape du Sinistrofu; Bottes du Sinistrofu; Dofus Pourpre; Nomade; Remueur; Vigoureux majeur; Taquin majeur; Chanceux majeur; Dehluge</t>
        </is>
      </c>
    </row>
    <row r="9709">
      <c r="A9709" t="inlineStr">
        <is>
          <t>Eau resi</t>
        </is>
      </c>
      <c r="B9709">
        <f>HYPERLINK("https://www.dofusbook.net/fr/equipement/2855081-eau-resi/objets", "link")</f>
        <v/>
      </c>
      <c r="C9709" t="n">
        <v>1</v>
      </c>
      <c r="D9709" t="inlineStr">
        <is>
          <t>Baguette Héroclite; Amulette de Shokkoth; Bracelet des Fonds marins; Alliance Gloursonne; Bouclier du Stalak; Poulpagne; Kidibonnet; Cape du Sinistrofu; Bottes du Sinistrofu; Dofus Pourpre; Taquin majeur; Chanceux majeur; Nomade; Remueur; Vigoureux majeur; Dehluge</t>
        </is>
      </c>
    </row>
    <row r="9710">
      <c r="A9710" t="inlineStr">
        <is>
          <t>Multi entrave</t>
        </is>
      </c>
      <c r="B9710">
        <f>HYPERLINK("https://www.dofusbook.net/fr/equipement/2854898-multi-entrave/objets", "link")</f>
        <v/>
      </c>
      <c r="C9710" t="n">
        <v>2</v>
      </c>
      <c r="D9710" t="inlineStr">
        <is>
          <t>Baguette Hique; Collier de la Dame du Hasard; Bracelet du Piloztère; Alliance du Lévitrof; Quatre-feuilles; Ceintacé; Capuche de l'Œil Putride; Cape de l'Œil Putride; Pataugastrique; Dofus Pourpre; Dofus Turquoise; Nomade; Vigoureux majeur; Remueur; Temporiseur majeur; Muldo Prune et Emeraude</t>
        </is>
      </c>
    </row>
    <row r="9711">
      <c r="A9711" t="inlineStr">
        <is>
          <t>Crit force</t>
        </is>
      </c>
      <c r="B9711">
        <f>HYPERLINK("https://www.dofusbook.net/fr/equipement/2854187-crit-force/objets", "link")</f>
        <v/>
      </c>
      <c r="C9711" t="n">
        <v>0</v>
      </c>
      <c r="D9711" t="inlineStr">
        <is>
          <t>Arc du Chalœil; Amulette du Strigide; Anneau Crustique; Anneau Crustique; Bouclier du Captain Amakna; Ceinture du Strigide; Masque de Koutoulou; Cape au Logis; Bottes de Brouce; Dofus Pourpre; Dofus Turquoise; Remueur; Enragé majeur; Nomade; Forcené majeur; Kompost</t>
        </is>
      </c>
    </row>
    <row r="9712">
      <c r="A9712" t="inlineStr">
        <is>
          <t>Air 108</t>
        </is>
      </c>
      <c r="B9712">
        <f>HYPERLINK("https://www.dofusbook.net/fr/equipement/2828781-air-108/objets", "link")</f>
        <v/>
      </c>
      <c r="C9712" t="n">
        <v>0</v>
      </c>
      <c r="D9712" t="inlineStr">
        <is>
          <t>La Baguette des Limbes; Collier du Dragon Cochon; Bracelet Magique de Farle; Anneau K'Tuelle; Bouclier de Sidimote; Pagne du Muloubar; Casque du Berserkoffre; Fourbacapa; Bottes du Berserkoffre; Dokoko; Dofus Émeraude; Miraculé; Cascadeur; Remueur; Nomade; Pioute jaune</t>
        </is>
      </c>
    </row>
    <row r="9713">
      <c r="A9713" t="inlineStr">
        <is>
          <t>Air 108</t>
        </is>
      </c>
      <c r="B9713">
        <f>HYPERLINK("https://www.dofusbook.net/fr/equipement/2828773-air-108/objets", "link")</f>
        <v/>
      </c>
      <c r="C9713" t="n">
        <v>0</v>
      </c>
      <c r="D9713" t="inlineStr">
        <is>
          <t>La Baguette des Limbes; Collier du Dragon Cochon; Anneau K'Tuelle; Bracelet Magique de Farle; Bouclier de Sidimote; Pagne du Muloubar; Casque du Berserkoffre; Fourbacapa; Bottes du Berserkoffre; Dokoko; Dofus Émeraude; Remueur; Nomade; Miraculé; Cascadeur; Pioute jaune</t>
        </is>
      </c>
    </row>
    <row r="9714">
      <c r="A9714" t="inlineStr">
        <is>
          <t>Air 108</t>
        </is>
      </c>
      <c r="B9714">
        <f>HYPERLINK("https://www.dofusbook.net/fr/equipement/2828768-air-108/objets", "link")</f>
        <v/>
      </c>
      <c r="C9714" t="n">
        <v>0</v>
      </c>
      <c r="D9714" t="inlineStr">
        <is>
          <t>La Baguette des Limbes; Collier du Dragon Cochon; Bracelet Magique de Farle; Anneau K'Tuelle; Bouclier de Sidimote; Pagne du Muloubar; Casque du Berserkoffre; Fourbacapa; Bottes du Berserkoffre; Dokoko; Dofus Émeraude; Miraculé; Cascadeur; Remueur; Nomade; Pioute jaune</t>
        </is>
      </c>
    </row>
    <row r="9715">
      <c r="A9715" t="inlineStr">
        <is>
          <t>Air 108</t>
        </is>
      </c>
      <c r="B9715">
        <f>HYPERLINK("https://www.dofusbook.net/fr/equipement/2828728-air-108/objets", "link")</f>
        <v/>
      </c>
      <c r="C9715" t="n">
        <v>0</v>
      </c>
      <c r="D9715" t="inlineStr">
        <is>
          <t>La Baguette des Limbes; Collier du Dragon Cochon; Anneau K'Tuelle; Bracelet Magique de Farle; Bouclier de Sidimote; Pagne du Muloubar; Casque du Berserkoffre; Fourbacapa; Bottes du Berserkoffre; Dokoko; Dofus Émeraude; Remueur; Nomade; Miraculé; Cascadeur; Pioute jaune</t>
        </is>
      </c>
    </row>
    <row r="9716">
      <c r="A9716" t="inlineStr">
        <is>
          <t>Air feu 100</t>
        </is>
      </c>
      <c r="B9716">
        <f>HYPERLINK("https://www.dofusbook.net/fr/equipement/2822785-air-feu-100/objets", "link")</f>
        <v/>
      </c>
      <c r="C9716" t="n">
        <v>0</v>
      </c>
      <c r="D9716" t="inlineStr">
        <is>
          <t>La Baguette des Limbes; Collier du Dragon Cochon; Craquanneau Légendaire; Bracelet Magique de Farle; Le Karde Cœur; Puissante Ceinture Fulgurante; Casque du Berserkoffre; Fourbacapa; Bottes du Berserkoffre; Dokoko; Dofus Émeraude; Remueur; Nomade; Sanguinaire; Vigoureux; Kramkram</t>
        </is>
      </c>
    </row>
    <row r="9717">
      <c r="A9717" t="inlineStr">
        <is>
          <t>Air feu 100</t>
        </is>
      </c>
      <c r="B9717">
        <f>HYPERLINK("https://www.dofusbook.net/fr/equipement/2822761-air-feu-100/objets", "link")</f>
        <v/>
      </c>
      <c r="C9717" t="n">
        <v>0</v>
      </c>
      <c r="D9717" t="inlineStr">
        <is>
          <t>La Baguette des Limbes; Collier du Dragon Cochon; Bracelet Magique de Farle; Craquanneau Légendaire; Le Karde Cœur; Puissante Ceinture Fulgurante; Casque du Berserkoffre; Fourbacapa; Bottes du Berserkoffre; Dokoko; Dofus Émeraude; Sanguinaire; Vigoureux; Remueur; Nomade; Kramkram</t>
        </is>
      </c>
    </row>
    <row r="9718">
      <c r="A9718" t="inlineStr">
        <is>
          <t>Feu</t>
        </is>
      </c>
      <c r="B9718">
        <f>HYPERLINK("https://www.dofusbook.net/fr/equipement/2820824-feu/objets", "link")</f>
        <v/>
      </c>
      <c r="C9718" t="n">
        <v>0</v>
      </c>
      <c r="D9718" t="inlineStr">
        <is>
          <t>Arc corrompu; Pendentif affamé; Anneau Tamie; Anneau Tamie; Quatre-feuilles; Ceinture Séculaire; Coiffe Séculaire; Cape de Diondin; Bottes Innommables; Dofus Turquoise; Dofus Pourpre; Érudit majeur; Nomade; Astucieux majeur; Remueur; Brûlih</t>
        </is>
      </c>
    </row>
    <row r="9719">
      <c r="A9719" t="inlineStr">
        <is>
          <t>Feu</t>
        </is>
      </c>
      <c r="B9719">
        <f>HYPERLINK("https://www.dofusbook.net/fr/equipement/2820817-feu/objets", "link")</f>
        <v/>
      </c>
      <c r="C9719" t="n">
        <v>0</v>
      </c>
      <c r="D9719" t="inlineStr">
        <is>
          <t>Arc corrompu; Pendentif affamé; Anneau Tamie; Anneau Tamie; Bouclier du Stalak; Ceinture Séculaire; Coiffe Séculaire; Cape de Diondin; Bottes Innommables; Dofus Pourpre; Astucieux majeur; Remueur; Érudit majeur; Vigoureux majeur; Nomade; Brûlih</t>
        </is>
      </c>
    </row>
    <row r="9720">
      <c r="A9720" t="inlineStr">
        <is>
          <t>Eau resi</t>
        </is>
      </c>
      <c r="B9720">
        <f>HYPERLINK("https://www.dofusbook.net/fr/equipement/2813375-eau-resi/objets", "link")</f>
        <v/>
      </c>
      <c r="C9720" t="n">
        <v>1</v>
      </c>
      <c r="D9720" t="inlineStr">
        <is>
          <t>Baguette Héroclite; Amulette de Shokkoth; Alliance Gloursonne; Bracelet des Fonds marins; Quatre-feuilles; Poulpagne; Kidibonnet; Cape du Sinistrofu; Bottes du Sinistrofu; Dofus Pourpre; Dofus Turquoise; Nomade; Remueur; Taquin majeur; Chanceux majeur; Dehluge</t>
        </is>
      </c>
    </row>
    <row r="9721">
      <c r="A9721" t="inlineStr">
        <is>
          <t>Eau resi</t>
        </is>
      </c>
      <c r="B9721">
        <f>HYPERLINK("https://www.dofusbook.net/fr/equipement/2813348-eau-resi/objets", "link")</f>
        <v/>
      </c>
      <c r="C9721" t="n">
        <v>0</v>
      </c>
      <c r="D9721" t="inlineStr">
        <is>
          <t>Baguette Héroclite; Amulette de Shokkoth; Bracelet des Fonds marins; Alliance Gloursonne; Bouclier du Stalak; Poulpagne; Kidibonnet; Cape du Sinistrofu; Bottes du Sinistrofu; Dofus Pourpre; Taquin majeur; Chanceux majeur; Nomade; Remueur; Vigoureux majeur; Dehluge</t>
        </is>
      </c>
    </row>
    <row r="9722">
      <c r="A9722" t="inlineStr">
        <is>
          <t>Eau resi</t>
        </is>
      </c>
      <c r="B9722">
        <f>HYPERLINK("https://www.dofusbook.net/fr/equipement/2813334-eau-resi/objets", "link")</f>
        <v/>
      </c>
      <c r="C9722" t="n">
        <v>0</v>
      </c>
      <c r="D9722" t="inlineStr">
        <is>
          <t>Rapière aux Glyphes; Amulette de Shokkoth; Alliance Gloursonne; Bracelet des Fonds marins; Bouclier du Stalak; Poulpagne; Kidibonnet; Cape du Sinistrofu; Bottes du Sinistrofu; Dofus Pourpre; Nomade; Remueur; Vigoureux majeur; Taquin majeur; Chanceux majeur; Dehluge</t>
        </is>
      </c>
    </row>
    <row r="9723">
      <c r="A9723" t="inlineStr">
        <is>
          <t>Redis bl</t>
        </is>
      </c>
      <c r="B9723">
        <f>HYPERLINK("https://www.dofusbook.net/fr/equipement/2810841-redis-bl/objets", "link")</f>
        <v/>
      </c>
      <c r="C9723" t="n">
        <v>0</v>
      </c>
      <c r="D9723" t="inlineStr">
        <is>
          <t>Dagues du Dragoeuf; Amulette Ementaire; Bracelet du Chef Bwork; Gelano; Bouclier d'Asse; Xénature; Casque Dragoeuf; Caracape Minotoris; Bottes Harry; Dokoko; Dofus Émeraude; Dofus Pourpre; Remueur; Nomade; Miraculé; Kramkram</t>
        </is>
      </c>
    </row>
    <row r="9724">
      <c r="A9724" t="inlineStr">
        <is>
          <t>Lance</t>
        </is>
      </c>
      <c r="B9724">
        <f>HYPERLINK("https://www.dofusbook.net/fr/equipement/2797174-lance/objets", "link")</f>
        <v/>
      </c>
      <c r="C9724" t="n">
        <v>0</v>
      </c>
      <c r="D9724" t="inlineStr">
        <is>
          <t>Lance corrompue; Amulette Luminescente; Anneau des égarés; Anneau Chevelu; Bouclier alvéolé; Ceintouse; Casque des égarés; Cape du Cœur Vaillant; Baleinabottes; Dofus Pourpre; Dofus Émeraude; Dofus des Glaces; Dolmanax; Nomade; Remueur; Kramkram</t>
        </is>
      </c>
    </row>
    <row r="9725">
      <c r="A9725" t="inlineStr">
        <is>
          <t>Feu 100</t>
        </is>
      </c>
      <c r="B9725">
        <f>HYPERLINK("https://www.dofusbook.net/fr/equipement/2797068-feu-100/objets", "link")</f>
        <v/>
      </c>
      <c r="C9725" t="n">
        <v>0</v>
      </c>
      <c r="D9725" t="inlineStr">
        <is>
          <t>La Baguette des Limbes; Amulette de Moon; Alliance des Forestiers; Alliance des Forestiers; Le Karde Cœur; Ceinture des Vents; Casque du Berserkoffre; Cape de Moon; Fourbabottes; Dokoko; Dofus Émeraude; Érudit; Miraculé; Remueur; Nomade; Pioute rouge</t>
        </is>
      </c>
    </row>
    <row r="9726">
      <c r="A9726" t="inlineStr">
        <is>
          <t>Feu 100</t>
        </is>
      </c>
      <c r="B9726">
        <f>HYPERLINK("https://www.dofusbook.net/fr/equipement/2796353-feu-100/objets", "link")</f>
        <v/>
      </c>
      <c r="C9726" t="n">
        <v>0</v>
      </c>
      <c r="D9726" t="inlineStr">
        <is>
          <t>La Baguette des Limbes; Amulette de Moon; Alliance des Forestiers; Alliance des Forestiers; Le Karde Cœur; Ceinture des Vents; Casque du Berserkoffre; Cape de Moon; Fourbabottes; Dofus Émeraude; Dokoko; Miraculé; Remueur; Nomade; Érudit; Pioute rouge</t>
        </is>
      </c>
    </row>
    <row r="9727">
      <c r="A9727" t="inlineStr">
        <is>
          <t>Feu 100</t>
        </is>
      </c>
      <c r="B9727">
        <f>HYPERLINK("https://www.dofusbook.net/fr/equipement/2796346-feu-100/objets", "link")</f>
        <v/>
      </c>
      <c r="C9727" t="n">
        <v>0</v>
      </c>
      <c r="D9727" t="inlineStr">
        <is>
          <t>La Baguette des Limbes; Amulette de Moon; Alliance des Forestiers; Alliance des Forestiers; Le Karde Cœur; Ceinture des Vents; Casque du Berserkoffre; Cape de Moon; Fourbabottes; Dokoko; Dofus Émeraude; Érudit; Miraculé; Remueur; Nomade; Pioute rouge</t>
        </is>
      </c>
    </row>
    <row r="9728">
      <c r="A9728" t="inlineStr">
        <is>
          <t>Feu 100</t>
        </is>
      </c>
      <c r="B9728">
        <f>HYPERLINK("https://www.dofusbook.net/fr/equipement/2796265-feu-100/objets", "link")</f>
        <v/>
      </c>
      <c r="C9728" t="n">
        <v>0</v>
      </c>
      <c r="D9728" t="inlineStr">
        <is>
          <t>La Baguette des Limbes; Amulette de Moon; Alliance des Forestiers; Alliance des Forestiers; Le Karde Cœur; Ceinture des Vents; Casque du Berserkoffre; Cape de Moon; Fourbabottes; Dofus Émeraude; Dokoko; Miraculé; Remueur; Nomade; Érudit; Pioute rouge</t>
        </is>
      </c>
    </row>
    <row r="9729">
      <c r="A9729" t="inlineStr">
        <is>
          <t>Feu 100</t>
        </is>
      </c>
      <c r="B9729">
        <f>HYPERLINK("https://www.dofusbook.net/fr/equipement/2796246-feu-100/objets", "link")</f>
        <v/>
      </c>
      <c r="C9729" t="n">
        <v>1</v>
      </c>
      <c r="D9729" t="inlineStr">
        <is>
          <t>La Baguette des Limbes; Amulette de Moon; Alliance des Forestiers; Alliance des Forestiers; Le Karde Cœur; Ceinture Feudala; Casque du Berserkoffre; Cape de Moon; Fourbabottes; Dokoko; Dofus Émeraude; Érudit; Miraculé; Remueur; Nomade; Pioute rouge</t>
        </is>
      </c>
    </row>
    <row r="9730">
      <c r="A9730" t="inlineStr">
        <is>
          <t>Feu 100</t>
        </is>
      </c>
      <c r="B9730">
        <f>HYPERLINK("https://www.dofusbook.net/fr/equipement/2796225-feu-100/objets", "link")</f>
        <v/>
      </c>
      <c r="C9730" t="n">
        <v>0</v>
      </c>
      <c r="D9730" t="inlineStr">
        <is>
          <t>La Baguette des Limbes; Amulette de Moon; Alliance des Forestiers; Alliance des Forestiers; Bouclier de Sidimote; Ceinture Feudala; Casque du Berserkoffre; Cape de Moon; Fourbabottes; Dofus Émeraude; Dokoko; Miraculé; Remueur; Nomade; Érudit; Pioute rouge</t>
        </is>
      </c>
    </row>
    <row r="9731">
      <c r="A9731" t="inlineStr">
        <is>
          <t>Force 106</t>
        </is>
      </c>
      <c r="B9731">
        <f>HYPERLINK("https://www.dofusbook.net/fr/equipement/2792841-force-106/objets", "link")</f>
        <v/>
      </c>
      <c r="C9731" t="n">
        <v>0</v>
      </c>
      <c r="D9731" t="inlineStr">
        <is>
          <t>Griffe Rose; Amulette du Krokilleur; Bracelet Magique de Farle; Le Karde Cœur; Ceinture Précieuse; Coiffe du Muloubar; Cape du Krokilleur; Bottes du Gorgouille; Dokoko; Dofus Émeraude; Miraculé; Temporiseur; Remueur; Nomade; Pioute vert</t>
        </is>
      </c>
    </row>
    <row r="9732">
      <c r="A9732" t="inlineStr">
        <is>
          <t>Force 106</t>
        </is>
      </c>
      <c r="B9732">
        <f>HYPERLINK("https://www.dofusbook.net/fr/equipement/2792834-force-106/objets", "link")</f>
        <v/>
      </c>
      <c r="C9732" t="n">
        <v>0</v>
      </c>
      <c r="D9732" t="inlineStr">
        <is>
          <t>Griffe Rose; Amulette du Krokilleur; Bracelet Magique de Farle; Le Karde Cœur; Ceinture Précieuse; Coiffe du Muloubar; Cape du Krokilleur; Bottes du Gorgouille; Dofus Émeraude; Dokoko; Nomade; Miraculé; Temporiseur; Remueur; Pioute vert</t>
        </is>
      </c>
    </row>
    <row r="9733">
      <c r="A9733" t="inlineStr">
        <is>
          <t>Force 106</t>
        </is>
      </c>
      <c r="B9733">
        <f>HYPERLINK("https://www.dofusbook.net/fr/equipement/2792794-force-106/objets", "link")</f>
        <v/>
      </c>
      <c r="C9733" t="n">
        <v>0</v>
      </c>
      <c r="D9733" t="inlineStr">
        <is>
          <t>Griffe Rose; Amulette du Krokilleur; Bracelet Magique de Farle; Le Karde Cœur; Ceinture Précieuse; Coiffe du Muloubar; Cape du Krokilleur; Bottes du Gorgouille; Dofus Émeraude; Dokoko; Nomade; Miraculé; Temporiseur; Remueur; Pioute vert</t>
        </is>
      </c>
    </row>
    <row r="9734">
      <c r="A9734" t="inlineStr">
        <is>
          <t>Force 106</t>
        </is>
      </c>
      <c r="B9734">
        <f>HYPERLINK("https://www.dofusbook.net/fr/equipement/2792745-force-106/objets", "link")</f>
        <v/>
      </c>
      <c r="C9734" t="n">
        <v>1</v>
      </c>
      <c r="D9734" t="inlineStr">
        <is>
          <t>Griffe Rose; Amulette du Krokilleur; Bracelet du Chef Bwork; Alliance de Farle; Bouclier de Sidimote; Puissante Ceinture Fulgurante; Coiffe du Muloubar; Cape du Krokilleur; Bottes du Gorgouille; Dokoko; Dofus Émeraude; Remueur; Nomade; Miraculé; Enragé; Pioute vert</t>
        </is>
      </c>
    </row>
    <row r="9735">
      <c r="A9735" t="inlineStr">
        <is>
          <t>Force 106</t>
        </is>
      </c>
      <c r="B9735">
        <f>HYPERLINK("https://www.dofusbook.net/fr/equipement/2792737-force-106/objets", "link")</f>
        <v/>
      </c>
      <c r="C9735" t="n">
        <v>0</v>
      </c>
      <c r="D9735" t="inlineStr">
        <is>
          <t>Griffe Rose; Amulette du Krokilleur; Alliance de Farle; Bracelet du Chef Bwork; Bouclier de Sidimote; Puissante Ceinture Fulgurante; Coiffe du Muloubar; Cape du Krokilleur; Bottes du Gorgouille; Dofus Émeraude; Dokoko; Nomade; Miraculé; Enragé; Remueur; Pioute vert</t>
        </is>
      </c>
    </row>
    <row r="9736">
      <c r="A9736" t="inlineStr">
        <is>
          <t>Force 106</t>
        </is>
      </c>
      <c r="B9736">
        <f>HYPERLINK("https://www.dofusbook.net/fr/equipement/2792726-force-106/objets", "link")</f>
        <v/>
      </c>
      <c r="C9736" t="n">
        <v>0</v>
      </c>
      <c r="D9736" t="inlineStr">
        <is>
          <t>Griffe Rose; Amulette du Krokilleur; Bracelet du Chef Bwork; Alliance de Farle; Bouclier de Sidimote; Puissante Ceinture Fulgurante; Coiffe du Muloubar; Cape du Krokilleur; Bottes du Gorgouille; Dokoko; Dofus Émeraude; Remueur; Nomade; Miraculé; Enragé; Pioute vert</t>
        </is>
      </c>
    </row>
    <row r="9737">
      <c r="A9737" t="inlineStr">
        <is>
          <t>Force 106</t>
        </is>
      </c>
      <c r="B9737">
        <f>HYPERLINK("https://www.dofusbook.net/fr/equipement/2792708-force-106/objets", "link")</f>
        <v/>
      </c>
      <c r="C9737" t="n">
        <v>0</v>
      </c>
      <c r="D9737" t="inlineStr">
        <is>
          <t>Griffe Rose; Amulette du Krokilleur; Gelano; Bracelet du Chef Bwork; Bouclier de Sidimote; Puissante Ceinture Fulgurante; Coiffe du Muloubar; Cape du Krokilleur; Bottes du Gorgouille; Dofus Émeraude; Dokoko; Nomade; Miraculé; Enragé; Remueur; Pioute vert</t>
        </is>
      </c>
    </row>
    <row r="9738">
      <c r="A9738" t="inlineStr">
        <is>
          <t>Force 106</t>
        </is>
      </c>
      <c r="B9738">
        <f>HYPERLINK("https://www.dofusbook.net/fr/equipement/2792147-force-106/objets", "link")</f>
        <v/>
      </c>
      <c r="C9738" t="n">
        <v>0</v>
      </c>
      <c r="D9738" t="inlineStr">
        <is>
          <t>Griffe Rose; Amulette du Krokilleur; Bracelet du Chef Bwork; Gelano; Bouclier de Sidimote; Puissante Ceinture Fulgurante; Coiffe du Muloubar; Cape du Krokilleur; Bottes du Gorgouille; Dokoko; Dofus Émeraude; Remueur; Nomade; Miraculé; Enragé; Pioute vert</t>
        </is>
      </c>
    </row>
    <row r="9739">
      <c r="A9739" t="inlineStr">
        <is>
          <t>Pvp eau</t>
        </is>
      </c>
      <c r="B9739">
        <f>HYPERLINK("https://www.dofusbook.net/fr/equipement/2790034-pvp-eau/objets", "link")</f>
        <v/>
      </c>
      <c r="C9739" t="n">
        <v>0</v>
      </c>
      <c r="D9739" t="inlineStr">
        <is>
          <t>Ares; Amulette du Chef Bwork; Alliance du Capitaine Pirate; Blopanneau Indigo Royal; Le Karde Cœur; Ceinture du Blanc Pa Wabbit; Coiffe de la Néfileuse; Capitrouille; Bottes Soyeuses; Dokoko; Dofus Émeraude; Chanceux; Nomade; Remueur; Temporiseur; Pioute bleu</t>
        </is>
      </c>
    </row>
    <row r="9740">
      <c r="A9740" t="inlineStr">
        <is>
          <t>Pvp eau</t>
        </is>
      </c>
      <c r="B9740">
        <f>HYPERLINK("https://www.dofusbook.net/fr/equipement/2790030-pvp-eau/objets", "link")</f>
        <v/>
      </c>
      <c r="C9740" t="n">
        <v>0</v>
      </c>
      <c r="D9740" t="inlineStr">
        <is>
          <t>Ares; Amulette du Chef Bwork; Anneau K'Tuelle; Anneau K'Tuelle; Le Karde Cœur; Ceinture Précieuse; Coiffe de la Néfileuse; Capitrouille; Bottes Soyeuses; Dokoko; Dofus Émeraude; Remueur; Miraculé; Chanceux; Nomade; Pioute bleu</t>
        </is>
      </c>
    </row>
    <row r="9741">
      <c r="A9741" t="inlineStr">
        <is>
          <t>Pvp eau</t>
        </is>
      </c>
      <c r="B9741">
        <f>HYPERLINK("https://www.dofusbook.net/fr/equipement/2790027-pvp-eau/objets", "link")</f>
        <v/>
      </c>
      <c r="C9741" t="n">
        <v>0</v>
      </c>
      <c r="D9741" t="inlineStr">
        <is>
          <t>Ares; Amulette du Chef Bwork; Anneau K'Tuelle; Anneau K'Tuelle; Le Karde Cœur; Ceinture Précieuse; Coiffe de la Néfileuse; Capitrouille; Bottes Soyeuses; Dokoko; Dofus Émeraude; Chanceux; Nomade; Remueur; Miraculé; Pioute bleu</t>
        </is>
      </c>
    </row>
    <row r="9742">
      <c r="A9742" t="inlineStr">
        <is>
          <t>Pvp eau</t>
        </is>
      </c>
      <c r="B9742">
        <f>HYPERLINK("https://www.dofusbook.net/fr/equipement/2789990-pvp-eau/objets", "link")</f>
        <v/>
      </c>
      <c r="C9742" t="n">
        <v>0</v>
      </c>
      <c r="D9742" t="inlineStr">
        <is>
          <t>Ares; Amulette du Chef Bwork; Anneau K'Tuelle; Anneau K'Tuelle; Le Karde Cœur; Ceinture Précieuse; Coiffe de la Néfileuse; Capitrouille; Bottes Soyeuses; Dokoko; Dofus Émeraude; Remueur; Miraculé; Chanceux; Nomade; Pioute bleu</t>
        </is>
      </c>
    </row>
    <row r="9743">
      <c r="A9743" t="inlineStr">
        <is>
          <t>Air 3</t>
        </is>
      </c>
      <c r="B9743">
        <f>HYPERLINK("https://www.dofusbook.net/fr/equipement/2781600-air-3/objets", "link")</f>
        <v/>
      </c>
      <c r="C9743" t="n">
        <v>0</v>
      </c>
      <c r="D9743" t="inlineStr">
        <is>
          <t>Manthache; Collier du Valet Veinard; Anneau d'Allister; Gant du Valet Veinard; Cadran d'Eau; Menoture; Couronne d'Allister; Cape du Valet Veinard; Bottes d'Allister; Dofus Émeraude; Equilibriste; Equilibriste majeur; Acrobate majeur; Ravageur Air majeur; Voyageur; Siroko</t>
        </is>
      </c>
    </row>
    <row r="9744">
      <c r="A9744" t="inlineStr">
        <is>
          <t>Air 3</t>
        </is>
      </c>
      <c r="B9744">
        <f>HYPERLINK("https://www.dofusbook.net/fr/equipement/2781592-air-3/objets", "link")</f>
        <v/>
      </c>
      <c r="C9744" t="n">
        <v>0</v>
      </c>
      <c r="D9744" t="inlineStr">
        <is>
          <t>Manthache; Collier du Valet Veinard; Gant du Valet Veinard; Anneau d'Allister; Cadran d'Eau; Menoture; Couronne d'Allister; Cape du Valet Veinard; Bottes d'Allister; Dofus Émeraude; Ravageur Air majeur; Voyageur; Equilibriste; Equilibriste majeur; Acrobate majeur; Siroko</t>
        </is>
      </c>
    </row>
    <row r="9745">
      <c r="A9745" t="inlineStr">
        <is>
          <t>Air 3</t>
        </is>
      </c>
      <c r="B9745">
        <f>HYPERLINK("https://www.dofusbook.net/fr/equipement/2781588-air-3/objets", "link")</f>
        <v/>
      </c>
      <c r="C9745" t="n">
        <v>0</v>
      </c>
      <c r="D9745" t="inlineStr">
        <is>
          <t>Manthache; Collier du Valet Veinard; Anneau d'Allister; Gant du Valet Veinard; Bouclier du Stalak; Menoture; Couronne d'Allister; Cape du Valet Veinard; Bottes d'Allister; Dofus Émeraude; Equilibriste; Equilibriste majeur; Acrobate majeur; Ravageur Air majeur; Voyageur; Siroko</t>
        </is>
      </c>
    </row>
    <row r="9746">
      <c r="A9746" t="inlineStr">
        <is>
          <t>Air 3</t>
        </is>
      </c>
      <c r="B9746">
        <f>HYPERLINK("https://www.dofusbook.net/fr/equipement/2781582-air-3/objets", "link")</f>
        <v/>
      </c>
      <c r="C9746" t="n">
        <v>0</v>
      </c>
      <c r="D9746" t="inlineStr">
        <is>
          <t>Manthache; Collier du Valet Veinard; Gant du Valet Veinard; Anneau d'Allister; Bouclier du Stalak; Menoture; Couronne d'Allister; Cape du Valet Veinard; Bottes d'Allister; Dofus Émeraude; Ravageur Air majeur; Voyageur; Equilibriste; Equilibriste majeur; Acrobate majeur; Siroko</t>
        </is>
      </c>
    </row>
    <row r="9747">
      <c r="A9747" t="inlineStr">
        <is>
          <t>Air 3</t>
        </is>
      </c>
      <c r="B9747">
        <f>HYPERLINK("https://www.dofusbook.net/fr/equipement/2781573-air-3/objets", "link")</f>
        <v/>
      </c>
      <c r="C9747" t="n">
        <v>0</v>
      </c>
      <c r="D9747" t="inlineStr">
        <is>
          <t>Manthache; Collier du Valet Veinard; Anneau d'Allister; Gant du Valet Veinard; Bouclier du Stalak; Menoture; Couronne d'Allister; Cape du Valet Veinard; Bottes d'Allister; Dofus Émeraude; Equilibriste; Equilibriste majeur; Acrobate majeur; Ravageur Air majeur; Voyageur; Siroko</t>
        </is>
      </c>
    </row>
    <row r="9748">
      <c r="A9748" t="inlineStr">
        <is>
          <t>Air 3</t>
        </is>
      </c>
      <c r="B9748">
        <f>HYPERLINK("https://www.dofusbook.net/fr/equipement/2781570-air-3/objets", "link")</f>
        <v/>
      </c>
      <c r="C9748" t="n">
        <v>0</v>
      </c>
      <c r="D9748" t="inlineStr">
        <is>
          <t>Manthache; Collier du Valet Veinard; Gant du Valet Veinard; Anneau d'Allister; Bouclier du Stalak; Menoture; Couronne d'Allister; Cape du Valet Veinard; Bottes d'Allister; Dofus Émeraude; Ravageur Air majeur; Voyageur; Equilibriste; Equilibriste majeur; Acrobate majeur; Siroko</t>
        </is>
      </c>
    </row>
    <row r="9749">
      <c r="A9749" t="inlineStr">
        <is>
          <t>Eau resi</t>
        </is>
      </c>
      <c r="B9749">
        <f>HYPERLINK("https://www.dofusbook.net/fr/equipement/2781521-eau-resi/objets", "link")</f>
        <v/>
      </c>
      <c r="C9749" t="n">
        <v>0</v>
      </c>
      <c r="D9749" t="inlineStr">
        <is>
          <t>Baguette Héroclite; Amulette de Shokkoth; Bracelet des Fonds marins; Alliance Gloursonne; Bouclier du Stalak; Poulpagne; Kidibonnet; Cape du Sinistrofu; Bottes du Sinistrofu; Dofus Pourpre; Remueur; Vigoureux majeur; Taquin majeur; Chanceux majeur; Nomade; Dehluge</t>
        </is>
      </c>
    </row>
    <row r="9750">
      <c r="A9750" t="inlineStr">
        <is>
          <t>Eau resi</t>
        </is>
      </c>
      <c r="B9750">
        <f>HYPERLINK("https://www.dofusbook.net/fr/equipement/2781507-eau-resi/objets", "link")</f>
        <v/>
      </c>
      <c r="C9750" t="n">
        <v>0</v>
      </c>
      <c r="D9750" t="inlineStr">
        <is>
          <t>Baguette Héroclite; Amulette de Shokkoth; Alliance Gloursonne; Bracelet des Fonds marins; Bouclier du Stalak; Poulpagne; Kidibonnet; Cape du Sinistrofu; Bottes du Sinistrofu; Dofus Pourpre; Nomade; Remueur; Vigoureux majeur; Taquin majeur; Chanceux majeur; Dehluge</t>
        </is>
      </c>
    </row>
    <row r="9751">
      <c r="A9751" t="inlineStr">
        <is>
          <t>Multiw</t>
        </is>
      </c>
      <c r="B9751">
        <f>HYPERLINK("https://www.dofusbook.net/fr/equipement/2781474-multiw/objets", "link")</f>
        <v/>
      </c>
      <c r="C9751" t="n">
        <v>0</v>
      </c>
      <c r="D9751" t="inlineStr">
        <is>
          <t>Arc Ahique; Amulette d'Ilyzaelle; Bracelet du Piloztère; Alliance Gloursonne; Cadran d'Air; Sangle Ouare; Casque d'Ilyzaelle; Cape Solution; Bottes de la Reine des Voleurs; Dofus Pourpre; Nomade; Robuste majeur; Sanguinaire majeur; Remueur; Vigoureux majeur; Kramkram</t>
        </is>
      </c>
    </row>
    <row r="9752">
      <c r="A9752" t="inlineStr">
        <is>
          <t>Multiw</t>
        </is>
      </c>
      <c r="B9752">
        <f>HYPERLINK("https://www.dofusbook.net/fr/equipement/2781415-multiw/objets", "link")</f>
        <v/>
      </c>
      <c r="C9752" t="n">
        <v>0</v>
      </c>
      <c r="D9752" t="inlineStr">
        <is>
          <t>Arc Ahique; Amulette d'Ilyzaelle; Alliance Gloursonne; Bracelet du Piloztère; Cadran d'Air; Sangle Ouare; Casque d'Ilyzaelle; Cape Solution; Bottes de la Reine des Voleurs; Dofus Pourpre; Remueur; Vigoureux majeur; Nomade; Robuste majeur; Sanguinaire majeur; Kramkram</t>
        </is>
      </c>
    </row>
    <row r="9753">
      <c r="A9753" t="inlineStr">
        <is>
          <t>Flr</t>
        </is>
      </c>
      <c r="B9753">
        <f>HYPERLINK("https://www.dofusbook.net/fr/equipement/2776379-flr/objets", "link")</f>
        <v/>
      </c>
      <c r="C9753" t="n">
        <v>2</v>
      </c>
      <c r="D9753" t="inlineStr">
        <is>
          <t>Arc du Chalœil; Amulette Héroclite; Anneau de Brouce; Bracelet du Piloztère; Quatre-feuilles; Ceinture de Brouce; Le Kim; Cape au Logis; Baleinabottes; Dofus Turquoise; Nomade; Furibond majeur; Forcené majeur; Remueur; Enragé majeur; Kompost</t>
        </is>
      </c>
    </row>
    <row r="9754">
      <c r="A9754" t="inlineStr">
        <is>
          <t>Force</t>
        </is>
      </c>
      <c r="B9754">
        <f>HYPERLINK("https://www.dofusbook.net/fr/equipement/2775832-force/objets", "link")</f>
        <v/>
      </c>
      <c r="C9754" t="n">
        <v>0</v>
      </c>
      <c r="D9754" t="inlineStr">
        <is>
          <t>Dagues d'Ilyzaelle; Amulette du Strigide; Anneau Crustique; Anneau Crustique; Bouclier du Captain Amakna; Ceinture du Strigide; Masque de Koutoulou; Cape au Logis; Bottes de Brouce; Dofus Turquoise; Dofus Pourpre; Remueur; Nomade; Enragé majeur; Forcené majeur; Kompost</t>
        </is>
      </c>
    </row>
    <row r="9755">
      <c r="A9755" t="inlineStr">
        <is>
          <t>Force</t>
        </is>
      </c>
      <c r="B9755">
        <f>HYPERLINK("https://www.dofusbook.net/fr/equipement/2775822-force/objets", "link")</f>
        <v/>
      </c>
      <c r="C9755" t="n">
        <v>1</v>
      </c>
      <c r="D9755" t="inlineStr">
        <is>
          <t>Arc du Chalœil; Amulette du Strigide; Anneau Crustique; Anneau Chevelu; Quatre-feuilles; Ceinture du Strigide; Masque de Koutoulou; Cape au Logis; Bottes de Brouce; Dofus Nébuleux; Dofus Turquoise; Nomade; Enragé majeur; Forcené majeur; Remueur; Kompost</t>
        </is>
      </c>
    </row>
    <row r="9756">
      <c r="A9756" t="inlineStr">
        <is>
          <t>Force</t>
        </is>
      </c>
      <c r="B9756">
        <f>HYPERLINK("https://www.dofusbook.net/fr/equipement/2775815-force/objets", "link")</f>
        <v/>
      </c>
      <c r="C9756" t="n">
        <v>0</v>
      </c>
      <c r="D9756" t="inlineStr">
        <is>
          <t>Dagues d'Ilyzaelle; Amulette du Strigide; Anneau Crustique; Anneau Crustique; Bouclier du Captain Amakna; Ceinture du Strigide; Masque de Koutoulou; Cape au Logis; Bottes de Brouce; Dofus Turquoise; Dofus Pourpre; Remueur; Nomade; Enragé majeur; Forcené majeur; Kompost</t>
        </is>
      </c>
    </row>
    <row r="9757">
      <c r="A9757" t="inlineStr">
        <is>
          <t>Force</t>
        </is>
      </c>
      <c r="B9757">
        <f>HYPERLINK("https://www.dofusbook.net/fr/equipement/2775809-force/objets", "link")</f>
        <v/>
      </c>
      <c r="C9757" t="n">
        <v>0</v>
      </c>
      <c r="D9757" t="inlineStr">
        <is>
          <t>Dagues d'Ilyzaelle; Amulette du Strigide; Anneau Crustique; Anneau Crustique; Bouclier du Captain Amakna; Ceinture du Strigide; Masque de Koutoulou; Cape au Logis; Bottes de Brouce; Dofus Pourpre; Dofus Turquoise; Nomade; Enragé majeur; Forcené majeur; Remueur; Kompost</t>
        </is>
      </c>
    </row>
    <row r="9758">
      <c r="A9758" t="inlineStr">
        <is>
          <t>Force</t>
        </is>
      </c>
      <c r="B9758">
        <f>HYPERLINK("https://www.dofusbook.net/fr/equipement/2775672-force/objets", "link")</f>
        <v/>
      </c>
      <c r="C9758" t="n">
        <v>0</v>
      </c>
      <c r="D9758" t="inlineStr">
        <is>
          <t>Dagues d'Ilyzaelle; Amulette du Strigide; Bracelet du Piloztère; Anneau Chevelu; Bouclier du Captain Amakna; Ceinture du Strigide; Masque de Koutoulou; Cape au Logis; Bottes de Brouce; Dofus Turquoise; Dofus Pourpre; Remueur; Nomade; Enragé majeur; Forcené majeur; Kompost</t>
        </is>
      </c>
    </row>
    <row r="9759">
      <c r="A9759" t="inlineStr">
        <is>
          <t>Force</t>
        </is>
      </c>
      <c r="B9759">
        <f>HYPERLINK("https://www.dofusbook.net/fr/equipement/2775668-force/objets", "link")</f>
        <v/>
      </c>
      <c r="C9759" t="n">
        <v>4</v>
      </c>
      <c r="D9759" t="inlineStr">
        <is>
          <t>Arc du Chalœil; Amulette Héroclite; Anneau Chevelu; Bracelet du Piloztère; Quatre-feuilles; Ceinture de Brouce; Masque de Koutoulou; Cape au Logis; Bottes de Brouce; Dofus Pourpre; Dofus Turquoise; Nomade; Enragé majeur; Forcené majeur; Remueur; Kramkram</t>
        </is>
      </c>
    </row>
    <row r="9760">
      <c r="A9760" t="inlineStr">
        <is>
          <t>Force</t>
        </is>
      </c>
      <c r="B9760">
        <f>HYPERLINK("https://www.dofusbook.net/fr/equipement/2775661-force/objets", "link")</f>
        <v/>
      </c>
      <c r="C9760" t="n">
        <v>0</v>
      </c>
      <c r="D9760" t="inlineStr">
        <is>
          <t>Arc du Chalœil; Amulette Luminescente; Bracelet du Piloztère; Anneau Chevelu; Quatre-feuilles; Ceinture Luminescente; Masque de Koutoulou; Voile d'encre; Bottes de Brouce; Dofus Turquoise; Remueur; Nomade; Bousculeur majeur; Enragé majeur; Culbuteur majeur; Muldo Indigo et Pourpre</t>
        </is>
      </c>
    </row>
    <row r="9761">
      <c r="A9761" t="inlineStr">
        <is>
          <t>Force</t>
        </is>
      </c>
      <c r="B9761">
        <f>HYPERLINK("https://www.dofusbook.net/fr/equipement/2775654-force/objets", "link")</f>
        <v/>
      </c>
      <c r="C9761" t="n">
        <v>0</v>
      </c>
      <c r="D9761" t="inlineStr">
        <is>
          <t>Arc du Chalœil; Amulette du Strigide; Anneau Chevelu; Bracelet du Piloztère; Quatre-feuilles; Ceinture du Strigide; Masque de Koutoulou; Cape au Logis; Bottes de Brouce; Dofus Turquoise; Nomade; Temporiseur majeur; Enragé majeur; Forcené majeur; Remueur; Kompost</t>
        </is>
      </c>
    </row>
    <row r="9762">
      <c r="A9762" t="inlineStr">
        <is>
          <t>Force</t>
        </is>
      </c>
      <c r="B9762">
        <f>HYPERLINK("https://www.dofusbook.net/fr/equipement/2775645-force/objets", "link")</f>
        <v/>
      </c>
      <c r="C9762" t="n">
        <v>0</v>
      </c>
      <c r="D9762" t="inlineStr">
        <is>
          <t>Arc du Chalœil; Amulette du Strigide; Bracelet du Piloztère; Anneau Chevelu; Quatre-feuilles; Ceinture du Strigide; Masque de Koutoulou; Cape au Logis; Bottes de Brouce; Dofus Turquoise; Dofus Pourpre; Remueur; Nomade; Enragé majeur; Forcené majeur; Kompost</t>
        </is>
      </c>
    </row>
    <row r="9763">
      <c r="A9763" t="inlineStr">
        <is>
          <t>Feu 100</t>
        </is>
      </c>
      <c r="B9763">
        <f>HYPERLINK("https://www.dofusbook.net/fr/equipement/2775414-feu-100/objets", "link")</f>
        <v/>
      </c>
      <c r="C9763" t="n">
        <v>0</v>
      </c>
      <c r="D9763" t="inlineStr">
        <is>
          <t>La Baguette des Limbes; Amulette de Moon; Alliance des Forestiers; Alliance des Forestiers; Le Karde Cœur; Puissante Ceinture Fulgurante; Casque du Berserkoffre; Cape de Moon; Fourbabottes; Dokoko; Dofus Émeraude; Remueur; Nomade; Érudit; Miraculé; Brûlih</t>
        </is>
      </c>
    </row>
    <row r="9764">
      <c r="A9764" t="inlineStr">
        <is>
          <t>Feu 100</t>
        </is>
      </c>
      <c r="B9764">
        <f>HYPERLINK("https://www.dofusbook.net/fr/equipement/2775248-feu-100/objets", "link")</f>
        <v/>
      </c>
      <c r="C9764" t="n">
        <v>0</v>
      </c>
      <c r="D9764" t="inlineStr">
        <is>
          <t>La Baguette des Limbes; Amulette de Moon; Alliance des Forestiers; Alliance des Forestiers; Coupe de Dragokart; Puissante Ceinture Fulgurante; Casque du Berserkoffre; Cape de Moon; Fourbabottes; Dofus Émeraude; Dokoko; Miraculé; Remueur; Nomade; Érudit; Brûlih</t>
        </is>
      </c>
    </row>
    <row r="9765">
      <c r="A9765" t="inlineStr">
        <is>
          <t>Agi 105</t>
        </is>
      </c>
      <c r="B9765">
        <f>HYPERLINK("https://www.dofusbook.net/fr/equipement/2775172-agi-105/objets", "link")</f>
        <v/>
      </c>
      <c r="C9765" t="n">
        <v>0</v>
      </c>
      <c r="D9765" t="inlineStr">
        <is>
          <t>Sabre Yondanwa; Collier du Dragon Cochon; Anneau K'Tuelle; Bracelet du Chef Bwork; Coupe de Dragokart; Puissante Ceinture Fulgurante; Coiffe du Muloubar; Cape du Muloubar; Bottes du Berserkoffre; Dofus Émeraude; Dévastateur Air; Cascadeur; Nomade; Remueur; Miraculé; Siroko</t>
        </is>
      </c>
    </row>
    <row r="9766">
      <c r="A9766" t="inlineStr">
        <is>
          <t>Agi 105</t>
        </is>
      </c>
      <c r="B9766">
        <f>HYPERLINK("https://www.dofusbook.net/fr/equipement/2775007-agi-105/objets", "link")</f>
        <v/>
      </c>
      <c r="C9766" t="n">
        <v>0</v>
      </c>
      <c r="D9766" t="inlineStr">
        <is>
          <t>Dagues Maydhyn China; Collier du Dragon Cochon; Bracelet du Chef Bwork; Anneau K'Tuelle; Coupe de Dragokart; Puissante Ceinture Fulgurante; Coiffe du Muloubar; Cape du Muloubar; Bottes du Berserkoffre; Dofus Émeraude; Remueur; Miraculé; Dévastateur Air; Cascadeur; Nomade; Siroko</t>
        </is>
      </c>
    </row>
    <row r="9767">
      <c r="A9767" t="inlineStr">
        <is>
          <t>Feu cita</t>
        </is>
      </c>
      <c r="B9767">
        <f>HYPERLINK("https://www.dofusbook.net/fr/equipement/2755475-feu-cita/objets", "link")</f>
        <v/>
      </c>
      <c r="C9767" t="n">
        <v>0</v>
      </c>
      <c r="D9767" t="inlineStr">
        <is>
          <t>Arc corrompu; Pendentif affamé; Anneau Tamie; Anneau Tamie; Bouclier du Stalak; Ceinture Séculaire; Coiffe Séculaire; Cape de Diondin; Bottes Innommables; Dofus Émeraude; Dofus Pourpre; Nomade; Érudit majeur; Miraculé majeur; Remueur; Eliôme</t>
        </is>
      </c>
    </row>
    <row r="9768">
      <c r="A9768" t="inlineStr">
        <is>
          <t>Feu cita</t>
        </is>
      </c>
      <c r="B9768">
        <f>HYPERLINK("https://www.dofusbook.net/fr/equipement/2755458-feu-cita/objets", "link")</f>
        <v/>
      </c>
      <c r="C9768" t="n">
        <v>0</v>
      </c>
      <c r="D9768" t="inlineStr">
        <is>
          <t>Arc corrompu; Pendentif affamé; Anneau Tamie; Anneau Tamie; Bouclier du Stalak; Ceinture Séculaire; Coiffe Séculaire; Cape de Diondin; Bottes Innommables; Dofus Pourpre; Dofus Émeraude; Remueur; Nomade; Érudit majeur; Miraculé majeur; Eliôme</t>
        </is>
      </c>
    </row>
    <row r="9769">
      <c r="A9769" t="inlineStr">
        <is>
          <t>Feu 100</t>
        </is>
      </c>
      <c r="B9769">
        <f>HYPERLINK("https://www.dofusbook.net/fr/equipement/2755047-feu-100/objets", "link")</f>
        <v/>
      </c>
      <c r="C9769" t="n">
        <v>0</v>
      </c>
      <c r="D9769" t="inlineStr">
        <is>
          <t>La Baguette des Limbes; Amulette de Moon; Alliance des Forestiers; Alliance des Forestiers; Le Karde Cœur; Ceinture Feudala; Casque du Berserkoffre; Cape de Moon; Fourbabottes; Dokoko; Dofus Émeraude; Remueur; Nomade; Érudit; Miraculé; Brûlih</t>
        </is>
      </c>
    </row>
    <row r="9770">
      <c r="A9770" t="inlineStr">
        <is>
          <t>Feu 100</t>
        </is>
      </c>
      <c r="B9770">
        <f>HYPERLINK("https://www.dofusbook.net/fr/equipement/2754871-feu-100/objets", "link")</f>
        <v/>
      </c>
      <c r="C9770" t="n">
        <v>0</v>
      </c>
      <c r="D9770" t="inlineStr">
        <is>
          <t>La Baguette des Limbes; Amulette de Moon; Alliance des Forestiers; Alliance des Forestiers; Le Karde Cœur; Ceinture des Vents; Casque du Berserkoffre; Cape de Moon; Bottes Horchons; Dofus Émeraude; Dokoko; Miraculé; Remueur; Nomade; Érudit; Brûlih</t>
        </is>
      </c>
    </row>
    <row r="9771">
      <c r="A9771" t="inlineStr">
        <is>
          <t>Feu 100</t>
        </is>
      </c>
      <c r="B9771">
        <f>HYPERLINK("https://www.dofusbook.net/fr/equipement/2754837-feu-100/objets", "link")</f>
        <v/>
      </c>
      <c r="C9771" t="n">
        <v>0</v>
      </c>
      <c r="D9771" t="inlineStr">
        <is>
          <t>La Baguette des Limbes; Amulette de Moon; Alliance des Forestiers; Alliance des Forestiers; Le Karde Cœur; Ceinture des Vents; Casque du Berserkoffre; Cape de Moon; Bottes Horchons; Dokoko; Dofus Émeraude; Remueur; Nomade; Érudit; Miraculé; Brûlih</t>
        </is>
      </c>
    </row>
    <row r="9772">
      <c r="A9772" t="inlineStr">
        <is>
          <t>Feu 100</t>
        </is>
      </c>
      <c r="B9772">
        <f>HYPERLINK("https://www.dofusbook.net/fr/equipement/2754831-feu-100/objets", "link")</f>
        <v/>
      </c>
      <c r="C9772" t="n">
        <v>0</v>
      </c>
      <c r="D9772" t="inlineStr">
        <is>
          <t>La Baguette des Limbes; Amulette de Moon; Alliance des Forestiers; Alliance des Forestiers; Le Karde Cœur; Ceinture des Vents; Casque du Berserkoffre; Cape de Moon; Bottes Horchons; Dofus Émeraude; Dokoko; Miraculé; Remueur; Nomade; Érudit; Brûlih</t>
        </is>
      </c>
    </row>
    <row r="9773">
      <c r="A9773" t="inlineStr">
        <is>
          <t>Feu 100</t>
        </is>
      </c>
      <c r="B9773">
        <f>HYPERLINK("https://www.dofusbook.net/fr/equipement/2754806-feu-100/objets", "link")</f>
        <v/>
      </c>
      <c r="C9773" t="n">
        <v>0</v>
      </c>
      <c r="D9773" t="inlineStr">
        <is>
          <t>La Baguette des Limbes; Amulette de Moon; Alliance des Forestiers; Alliance des Forestiers; Le Karde Cœur; Ceinture des Vents; Casque du Berserkoffre; Cape de Moon; Bottes Horchons; Dokoko; Dofus Émeraude; Remueur; Nomade; Érudit; Miraculé; Brûlih</t>
        </is>
      </c>
    </row>
    <row r="9774">
      <c r="A9774" t="inlineStr">
        <is>
          <t>Feu 100</t>
        </is>
      </c>
      <c r="B9774">
        <f>HYPERLINK("https://www.dofusbook.net/fr/equipement/2754793-feu-100/objets", "link")</f>
        <v/>
      </c>
      <c r="C9774" t="n">
        <v>0</v>
      </c>
      <c r="D9774" t="inlineStr">
        <is>
          <t>La Baguette des Limbes; Amulette de Moon; Alliance des Forestiers; Alliance des Forestiers; Le Karde Cœur; Ceinture des Vents; Casque du Berserkoffre; Cape de Moon; Bottes Horchons; Dofus Émeraude; Dokoko; Miraculé; Remueur; Nomade; Érudit; Brûlih</t>
        </is>
      </c>
    </row>
    <row r="9775">
      <c r="A9775" t="inlineStr">
        <is>
          <t>Eau 100</t>
        </is>
      </c>
      <c r="B9775">
        <f>HYPERLINK("https://www.dofusbook.net/fr/equipement/2754274-eau-100/objets", "link")</f>
        <v/>
      </c>
      <c r="C9775" t="n">
        <v>0</v>
      </c>
      <c r="D9775" t="inlineStr">
        <is>
          <t>Arc Lequin; Amulette du Chef Bwork; Anneau du Dragon Cochon; Gelano; Coupe de Dragokart; Ceinture Précieuse; Coiffe de la Néfileuse; Capitrouille; Bottes Soyeuses; Dokoko; Saccageur Eau; Nomade; Chanceux; Remueur; Dévastateur Eau; Dehluge</t>
        </is>
      </c>
    </row>
    <row r="9776">
      <c r="A9776" t="inlineStr">
        <is>
          <t>Eau 100</t>
        </is>
      </c>
      <c r="B9776">
        <f>HYPERLINK("https://www.dofusbook.net/fr/equipement/2754250-eau-100/objets", "link")</f>
        <v/>
      </c>
      <c r="C9776" t="n">
        <v>0</v>
      </c>
      <c r="D9776" t="inlineStr">
        <is>
          <t>Arc Lequin; Amulette du Chef Bwork; Gelano; Anneau du Dragon Cochon; Coupe de Dragokart; Ceinture Précieuse; Coiffe de la Néfileuse; Capitrouille; Bottes Soyeuses; Dokoko; Nomade; Chanceux; Remueur; Dévastateur Eau; Saccageur Eau; Dehluge</t>
        </is>
      </c>
    </row>
    <row r="9777">
      <c r="A9777" t="inlineStr">
        <is>
          <t>Eau 100</t>
        </is>
      </c>
      <c r="B9777">
        <f>HYPERLINK("https://www.dofusbook.net/fr/equipement/2754225-eau-100/objets", "link")</f>
        <v/>
      </c>
      <c r="C9777" t="n">
        <v>0</v>
      </c>
      <c r="D9777" t="inlineStr">
        <is>
          <t>Arc Lequin; Amulette du Chef Bwork; Gelano; Anneau du Dragon Cochon; Coupe de Dragokart; Ceinture Précieuse; Coiffe de la Néfileuse; Capitrouille; Bottes Soyeuses; Dokoko; Nomade; Chanceux; Remueur; Dévastateur Eau; Saccageur Eau; Dehluge</t>
        </is>
      </c>
    </row>
    <row r="9778">
      <c r="A9778" t="inlineStr">
        <is>
          <t>Eau 100</t>
        </is>
      </c>
      <c r="B9778">
        <f>HYPERLINK("https://www.dofusbook.net/fr/equipement/2754226-eau-100/objets", "link")</f>
        <v/>
      </c>
      <c r="C9778" t="n">
        <v>1</v>
      </c>
      <c r="D9778" t="inlineStr">
        <is>
          <t>Arc Lequin; Amulette du Chef Bwork; Anneau du Dragon Cochon; Gelano; Le Karde Cœur; Ceinture Précieuse; Coiffe de la Néfileuse; Capitrouille; Bottes Soyeuses; Dokoko; Saccageur Eau; Nomade; Chanceux; Remueur; Dévastateur Eau; Dehluge</t>
        </is>
      </c>
    </row>
    <row r="9779">
      <c r="A9779" t="inlineStr">
        <is>
          <t>Eau 100</t>
        </is>
      </c>
      <c r="B9779">
        <f>HYPERLINK("https://www.dofusbook.net/fr/equipement/2754140-eau-100/objets", "link")</f>
        <v/>
      </c>
      <c r="C9779" t="n">
        <v>1</v>
      </c>
      <c r="D9779" t="inlineStr">
        <is>
          <t>Arc Lequin; Amulette du Chef Bwork; Anneau du Dragon Cochon; Gelano; Le Karde Cœur; Ceinture Précieuse; Coiffe de la Néfileuse; Capitrouille; Bottes Soyeuses; Dokoko; Saccageur Eau; Nomade; Chanceux; Remueur; Dévastateur Eau; Dehluge</t>
        </is>
      </c>
    </row>
    <row r="9780">
      <c r="A9780" t="inlineStr">
        <is>
          <t>Feu 100</t>
        </is>
      </c>
      <c r="B9780">
        <f>HYPERLINK("https://www.dofusbook.net/fr/equipement/2754126-feu-100/objets", "link")</f>
        <v/>
      </c>
      <c r="C9780" t="n">
        <v>0</v>
      </c>
      <c r="D9780" t="inlineStr">
        <is>
          <t>La Baguette des Limbes; Amulette de Moon; Alliance des Forestiers; Alliance des Forestiers; Le Karde Cœur; Ceinture des Vents; Casque du Berserkoffre; Cape de Moon; Bottes Horchons; Dokoko; Dofus Émeraude; Remueur; Nomade; Érudit; Miraculé; Brûlih</t>
        </is>
      </c>
    </row>
    <row r="9781">
      <c r="A9781" t="inlineStr">
        <is>
          <t>Feu 100</t>
        </is>
      </c>
      <c r="B9781">
        <f>HYPERLINK("https://www.dofusbook.net/fr/equipement/2754089-feu-100/objets", "link")</f>
        <v/>
      </c>
      <c r="C9781" t="n">
        <v>0</v>
      </c>
      <c r="D9781" t="inlineStr">
        <is>
          <t>La Baguette des Limbes; Amulette de Moon; Alliance des Forestiers; Alliance des Forestiers; Le Karde Cœur; Ceinture des Vents; Casque du Berserkoffre; Cape de Moon; Bottes Horchons; Dofus Émeraude; Dokoko; Miraculé; Remueur; Nomade; Érudit; Brûlih</t>
        </is>
      </c>
    </row>
    <row r="9782">
      <c r="A9782" t="inlineStr">
        <is>
          <t>Feu 100</t>
        </is>
      </c>
      <c r="B9782">
        <f>HYPERLINK("https://www.dofusbook.net/fr/equipement/2754065-feu-100/objets", "link")</f>
        <v/>
      </c>
      <c r="C9782" t="n">
        <v>0</v>
      </c>
      <c r="D9782" t="inlineStr">
        <is>
          <t>La Baguette des Limbes; Amulette de Moon; Alliance des Forestiers; Alliance des Forestiers; Le Karde Cœur; Ceinture des Vents; Casque du Berserkoffre; Cape de Moon; Bottes Horchons; Dokoko; Dofus Émeraude; Remueur; Nomade; Érudit; Miraculé; Brûlih</t>
        </is>
      </c>
    </row>
    <row r="9783">
      <c r="A9783" t="inlineStr">
        <is>
          <t>AIR eau</t>
        </is>
      </c>
      <c r="B9783">
        <f>HYPERLINK("https://www.dofusbook.net/fr/equipement/2733353-air-eau/objets", "link")</f>
        <v/>
      </c>
      <c r="C9783" t="n">
        <v>0</v>
      </c>
      <c r="D9783" t="inlineStr">
        <is>
          <t>Baguette Héroclite; Amulette d'Ilyzaelle; Alliance Gloursonne; Bracelet du Piloztère; Bouclier du Stalak; Sangle Ouare; Casque d'Ilyzaelle; Cape Solution; Bottes du Sinistrofu; Dofus des Glaces; Dofus Pourpre; Taquin majeur; Remueur; Dévastateur Eau majeur; Chanceux majeur; Dehluge</t>
        </is>
      </c>
    </row>
    <row r="9784">
      <c r="A9784" t="inlineStr">
        <is>
          <t>AIR eau</t>
        </is>
      </c>
      <c r="B9784">
        <f>HYPERLINK("https://www.dofusbook.net/fr/equipement/2733175-air-eau/objets", "link")</f>
        <v/>
      </c>
      <c r="C9784" t="n">
        <v>1</v>
      </c>
      <c r="D9784" t="inlineStr">
        <is>
          <t>Baguette Héroclite; Amulette d'Ilyzaelle; Bracelet du Piloztère; Alliance Gloursonne; Bouclier du Stalak; Sangle Ouare; Casque d'Ilyzaelle; Cape Solution; Bottes du Sinistrofu; Dofus Pourpre; Dofus des Glaces; Chanceux majeur; Taquin majeur; Remueur; Dévastateur Eau majeur; Dehluge</t>
        </is>
      </c>
    </row>
    <row r="9785">
      <c r="A9785" t="inlineStr">
        <is>
          <t>Agil</t>
        </is>
      </c>
      <c r="B9785">
        <f>HYPERLINK("https://www.dofusbook.net/fr/equipement/2731782-agil/objets", "link")</f>
        <v/>
      </c>
      <c r="C9785" t="n">
        <v>0</v>
      </c>
      <c r="D9785" t="inlineStr">
        <is>
          <t>Manthache; Collier du Valet Veinard; Gant du Valet Veinard; Alliance Gloursonne; Quatre-feuilles; Menoture; Capuche de Moum-Ra; Cape Indescriptible; Palmes Trithons; Dofus Pourpre; Nomade; Equilibriste majeur; Acrobate majeur; Cascadeur majeur; Remueur; Siroko</t>
        </is>
      </c>
    </row>
    <row r="9786">
      <c r="A9786" t="inlineStr">
        <is>
          <t>Air feu</t>
        </is>
      </c>
      <c r="B9786">
        <f>HYPERLINK("https://www.dofusbook.net/fr/equipement/2702898-air-feu/objets", "link")</f>
        <v/>
      </c>
      <c r="C9786" t="n">
        <v>0</v>
      </c>
      <c r="D9786" t="inlineStr">
        <is>
          <t>Marteau Phossile; Pendentif mignon de Koutoulou; Bracelet du Piloztère; Anneau Toriété; Bouclier du Stalak; Ceinture de Vortex; Cagoule de Vortex; Cape Indescriptible; Bottes du Katcheur; Dofus Pourpre; Dofus des Glaces; Dolmanax; Temporiseur majeur; Vigoureux majeur; Remueur; Kramkram</t>
        </is>
      </c>
    </row>
    <row r="9787">
      <c r="A9787" t="inlineStr">
        <is>
          <t>Feu cita</t>
        </is>
      </c>
      <c r="B9787">
        <f>HYPERLINK("https://www.dofusbook.net/fr/equipement/2702892-feu-cita/objets", "link")</f>
        <v/>
      </c>
      <c r="C9787" t="n">
        <v>0</v>
      </c>
      <c r="D9787" t="inlineStr">
        <is>
          <t>Arc corrompu; Pendentif affamé; Anneau Tamie; Anneau Tamie; Bouclier du Stalak; Ceinture Séculaire; Coiffe Séculaire; Cape de Diondin; Bottes Innommables; Dofus Pourpre; Nomade; Astucieux majeur; Érudit majeur; Vigoureux majeur; Remueur; Brûlih</t>
        </is>
      </c>
    </row>
    <row r="9788">
      <c r="A9788" t="inlineStr">
        <is>
          <t>Feu cita</t>
        </is>
      </c>
      <c r="B9788">
        <f>HYPERLINK("https://www.dofusbook.net/fr/equipement/2418452-feu-cita/objets", "link")</f>
        <v/>
      </c>
      <c r="C9788" t="n">
        <v>0</v>
      </c>
      <c r="D9788" t="inlineStr">
        <is>
          <t>Arc corrompu; Pendentif affamé; Anneau Tamie; Anneau Tamie; Bouclier du Stalak; Ceinture Séculaire; Coiffe Séculaire; Cape de Diondin; Bottes Innommables; Dofus Pourpre; Nomade; Vigoureux majeur; Érudit majeur; Miraculé majeur; Remueur; Eliôme</t>
        </is>
      </c>
    </row>
    <row r="9789">
      <c r="A9789" t="inlineStr">
        <is>
          <t>Feu 100</t>
        </is>
      </c>
      <c r="B9789">
        <f>HYPERLINK("https://www.dofusbook.net/fr/equipement/2692299-feu-100/objets", "link")</f>
        <v/>
      </c>
      <c r="C9789" t="n">
        <v>0</v>
      </c>
      <c r="D9789" t="inlineStr">
        <is>
          <t>La Baguette des Limbes; Amulette de Moon; Alliance des Forestiers; Alliance des Forestiers; Le Karde Cœur; Puissante Ceinture Fulgurante; Casque du Berserkoffre; Cape de Moon; Fourbabottes; Dofus Émeraude; Dokoko; Miraculé; Remueur; Nomade; Érudit; Pioute rouge</t>
        </is>
      </c>
    </row>
    <row r="9790">
      <c r="A9790" t="inlineStr">
        <is>
          <t>Feu tbl</t>
        </is>
      </c>
      <c r="B9790">
        <f>HYPERLINK("https://www.dofusbook.net/fr/equipement/2692080-feu-tbl/objets", "link")</f>
        <v/>
      </c>
      <c r="C9790" t="n">
        <v>0</v>
      </c>
      <c r="D9790" t="inlineStr">
        <is>
          <t>God Rod; Amublop Griotte Royale; Blopanneau Griotte; Gelano; Bouclier du Bawbawe; Puissante Ceinture Fulgurante; Caracoiffe; Capodindo; Bloptes Griotte Royales; Dokoko; Érudit mineur; Vigoureux mineur; Robuste mineur; Dévastateur Feu mineur; Miraculé mineur; Dragodinde Prune et Orchidée</t>
        </is>
      </c>
    </row>
    <row r="9791">
      <c r="A9791" t="inlineStr">
        <is>
          <t>Feu tbl</t>
        </is>
      </c>
      <c r="B9791">
        <f>HYPERLINK("https://www.dofusbook.net/fr/equipement/2687373-feu-tbl/objets", "link")</f>
        <v/>
      </c>
      <c r="C9791" t="n">
        <v>0</v>
      </c>
      <c r="D9791" t="inlineStr">
        <is>
          <t>God Rod; Amublop Griotte Royale; Gelano; Blopanneau Griotte; Bouclier Abraknyde; Puissante Ceinture Fulgurante; Caracoiffe; Capodindo; Bloptes Griotte Royales; Dokoko; Miraculé mineur; Érudit mineur; Vigoureux mineur; Robuste mineur; Dévastateur Feu mineur; Brûlih</t>
        </is>
      </c>
    </row>
    <row r="9792">
      <c r="A9792" t="inlineStr">
        <is>
          <t>Air bl</t>
        </is>
      </c>
      <c r="B9792">
        <f>HYPERLINK("https://www.dofusbook.net/fr/equipement/2689007-air-bl/objets", "link")</f>
        <v/>
      </c>
      <c r="C9792" t="n">
        <v>0</v>
      </c>
      <c r="D9792" t="inlineStr">
        <is>
          <t>Arc en Racine d'Abraknyde; Amulette d'Hichète; Gelano; Blopanneau Coco; Bouclier du Bawbawe; La Xerbo; Coiffe du Mulou; Cape du Tofu Fou; Geta Feudala; Féroce mineur; Miraculé mineur; Dévastateur Air mineur; Ravageur Air mineur; Saccageur Air mineur; Cascadeur mineur; Dragodinde Amande et Ebène</t>
        </is>
      </c>
    </row>
    <row r="9793">
      <c r="A9793" t="inlineStr">
        <is>
          <t>Feu 100</t>
        </is>
      </c>
      <c r="B9793">
        <f>HYPERLINK("https://www.dofusbook.net/fr/equipement/2687685-feu-100/objets", "link")</f>
        <v/>
      </c>
      <c r="C9793" t="n">
        <v>0</v>
      </c>
      <c r="D9793" t="inlineStr">
        <is>
          <t>La Baguette des Limbes; Amulette de Moon; Alliance des Forestiers; Alliance des Forestiers; Le Karde Cœur; Ceinture sombre en Abrakleur; Billréole; Cape de Moon; Bloptes Griotte Royales; Dokoko; Dofus Émeraude; Remueur; Nomade; Érudit; Miraculé; Dragodinde Amande et Orchidée</t>
        </is>
      </c>
    </row>
    <row r="9794">
      <c r="A9794" t="inlineStr">
        <is>
          <t>Feu 100</t>
        </is>
      </c>
      <c r="B9794">
        <f>HYPERLINK("https://www.dofusbook.net/fr/equipement/2687672-feu-100/objets", "link")</f>
        <v/>
      </c>
      <c r="C9794" t="n">
        <v>0</v>
      </c>
      <c r="D9794" t="inlineStr">
        <is>
          <t>La Baguette des Limbes; Amulette de Moon; Alliance des Forestiers; Alliance des Forestiers; Le Karde Cœur; Ceinture sombre en Abrakleur; Billréole; Cape de Moon; Bloptes Griotte Royales; Dokoko; Dofus Émeraude; Remueur; Nomade; Érudit; Miraculé; Dragodinde Amande et Orchidée</t>
        </is>
      </c>
    </row>
    <row r="9795">
      <c r="A9795" t="inlineStr">
        <is>
          <t>Feu 100</t>
        </is>
      </c>
      <c r="B9795">
        <f>HYPERLINK("https://www.dofusbook.net/fr/equipement/2687667-feu-100/objets", "link")</f>
        <v/>
      </c>
      <c r="C9795" t="n">
        <v>0</v>
      </c>
      <c r="D9795" t="inlineStr">
        <is>
          <t>La Baguette des Limbes; Amulette de Moon; Alliance des Forestiers; Alliance des Forestiers; Le Karde Cœur; Ceinture des Vents; Casque du Berserkoffre; Cape de Moon; Fourbabottes; Dofus Émeraude; Dokoko; Miraculé; Remueur; Nomade; Érudit; Dragodinde Prune et Orchidée</t>
        </is>
      </c>
    </row>
    <row r="9796">
      <c r="A9796" t="inlineStr">
        <is>
          <t>Feu 100</t>
        </is>
      </c>
      <c r="B9796">
        <f>HYPERLINK("https://www.dofusbook.net/fr/equipement/2687666-feu-100/objets", "link")</f>
        <v/>
      </c>
      <c r="C9796" t="n">
        <v>0</v>
      </c>
      <c r="D9796" t="inlineStr">
        <is>
          <t>La Baguette des Limbes; Amulette de Moon; Alliance des Forestiers; Alliance des Forestiers; Le Karde Cœur; Ceinture des Vents; Casque du Berserkoffre; Cape de Moon; Fourbabottes; Dokoko; Dofus Émeraude; Remueur; Nomade; Érudit; Miraculé; Dragodinde Prune et Orchidée</t>
        </is>
      </c>
    </row>
    <row r="9797">
      <c r="A9797" t="inlineStr">
        <is>
          <t>Feu 100</t>
        </is>
      </c>
      <c r="B9797">
        <f>HYPERLINK("https://www.dofusbook.net/fr/equipement/2687663-feu-100/objets", "link")</f>
        <v/>
      </c>
      <c r="C9797" t="n">
        <v>0</v>
      </c>
      <c r="D9797" t="inlineStr">
        <is>
          <t>La Baguette des Limbes; Amulette de Moon; Alliance des Forestiers; Alliance des Forestiers; Le Karde Cœur; Ceinture des Vents; Casque du Berserkoffre; Cape de Moon; Fourbabottes; Dofus Émeraude; Dokoko; Miraculé; Remueur; Nomade; Érudit; Dragodinde Prune et Orchidée</t>
        </is>
      </c>
    </row>
    <row r="9798">
      <c r="A9798" t="inlineStr">
        <is>
          <t>Feu 100</t>
        </is>
      </c>
      <c r="B9798">
        <f>HYPERLINK("https://www.dofusbook.net/fr/equipement/2687646-feu-100/objets", "link")</f>
        <v/>
      </c>
      <c r="C9798" t="n">
        <v>0</v>
      </c>
      <c r="D9798" t="inlineStr">
        <is>
          <t>La Baguette des Limbes; Amulette de Moon; Alliance des Forestiers; Alliance des Forestiers; Le Karde Cœur; Ceinture des Vents; Casque du Berserkoffre; Cape de Moon; Fourbabottes; Dokoko; Dofus Émeraude; Remueur; Nomade; Érudit; Miraculé; Dragodinde Prune et Orchidée</t>
        </is>
      </c>
    </row>
    <row r="9799">
      <c r="A9799" t="inlineStr">
        <is>
          <t>Feu 100</t>
        </is>
      </c>
      <c r="B9799">
        <f>HYPERLINK("https://www.dofusbook.net/fr/equipement/2687636-feu-100/objets", "link")</f>
        <v/>
      </c>
      <c r="C9799" t="n">
        <v>0</v>
      </c>
      <c r="D9799" t="inlineStr">
        <is>
          <t>La Baguette des Limbes; Amulette de Moon; Alliance des Forestiers; Alliance des Forestiers; Le Karde Cœur; Ceinture des Vents; Casque du Berserkoffre; Cape de Moon; Fourbabottes; Dofus Émeraude; Dokoko; Miraculé; Remueur; Nomade; Érudit; Dragodinde Prune et Orchidée</t>
        </is>
      </c>
    </row>
    <row r="9800">
      <c r="A9800" t="inlineStr">
        <is>
          <t>Feu tbl</t>
        </is>
      </c>
      <c r="B9800">
        <f>HYPERLINK("https://www.dofusbook.net/fr/equipement/2687422-feu-tbl/objets", "link")</f>
        <v/>
      </c>
      <c r="C9800" t="n">
        <v>0</v>
      </c>
      <c r="D9800" t="inlineStr">
        <is>
          <t>God Rod; Le Flan des Étoiles; Gelano; Blopanneau Griotte; Bouclier Abraknyde; Ceinture Tortue Rouge; Caracoiffe; Capodindo; Bottes du Vulkain; Dofus Cawotte; Miraculé mineur; Érudit mineur; Vigoureux mineur; Entraveur mineur; Temporiseur mineur; Brûlih</t>
        </is>
      </c>
    </row>
    <row r="9801">
      <c r="A9801" t="inlineStr">
        <is>
          <t>Feu tbl</t>
        </is>
      </c>
      <c r="B9801">
        <f>HYPERLINK("https://www.dofusbook.net/fr/equipement/2687358-feu-tbl/objets", "link")</f>
        <v/>
      </c>
      <c r="C9801" t="n">
        <v>0</v>
      </c>
      <c r="D9801" t="inlineStr">
        <is>
          <t>God Rod; Le Flan des Étoiles; Blopanneau Griotte; Gelano; Bouclier du Bawbawe; Ceinture Tortue Rouge; Caracoiffe; Capodindo; Bottes du Vulkain; Érudit mineur; Vigoureux mineur; Robuste mineur; Dévastateur Feu mineur; Miraculé mineur; Observateur; Dragodinde Prune et Orchidée</t>
        </is>
      </c>
    </row>
    <row r="9802">
      <c r="A9802" t="inlineStr">
        <is>
          <t>Feu tbl</t>
        </is>
      </c>
      <c r="B9802">
        <f>HYPERLINK("https://www.dofusbook.net/fr/equipement/2687335-feu-tbl/objets", "link")</f>
        <v/>
      </c>
      <c r="C9802" t="n">
        <v>0</v>
      </c>
      <c r="D9802" t="inlineStr">
        <is>
          <t>God Rod; Le Flan des Étoiles; Gelano; Blopanneau Griotte; Bouclier du Bawbawe; Ceinture Tortue Rouge; Caracoiffe; Capodindo; Bottes du Vulkain; Miraculé mineur; Observateur; Érudit mineur; Vigoureux mineur; Robuste mineur; Dévastateur Feu mineur; Dragodinde Prune et Orchidée</t>
        </is>
      </c>
    </row>
    <row r="9803">
      <c r="A9803" t="inlineStr">
        <is>
          <t>Feu tbl</t>
        </is>
      </c>
      <c r="B9803">
        <f>HYPERLINK("https://www.dofusbook.net/fr/equipement/2687320-feu-tbl/objets", "link")</f>
        <v/>
      </c>
      <c r="C9803" t="n">
        <v>0</v>
      </c>
      <c r="D9803" t="inlineStr">
        <is>
          <t>God Rod; Le Flan des Étoiles; Blopanneau Griotte; Gelano; Bouclier du Bawbawe; Ceinture Tortue Rouge; Caracoiffe; Capodindo; Bottes du Vulkain; Érudit mineur; Vigoureux mineur; Robuste mineur; Dévastateur Feu mineur; Miraculé mineur; Observateur; Dragodinde Prune et Orchidée</t>
        </is>
      </c>
    </row>
    <row r="9804">
      <c r="A9804" t="inlineStr">
        <is>
          <t>Feu tbl</t>
        </is>
      </c>
      <c r="B9804">
        <f>HYPERLINK("https://www.dofusbook.net/fr/equipement/2687310-feu-tbl/objets", "link")</f>
        <v/>
      </c>
      <c r="C9804" t="n">
        <v>0</v>
      </c>
      <c r="D9804" t="inlineStr">
        <is>
          <t>God Rod; Le Flan des Étoiles; Gelano; Blopanneau Griotte; Bouclier du Bawbawe; Ceinture Tortue Rouge; Caracoiffe; Capodindo; Bottes du Vulkain; Miraculé mineur; Observateur; Érudit mineur; Vigoureux mineur; Robuste mineur; Dévastateur Feu mineur; Dragodinde Prune et Orchidée</t>
        </is>
      </c>
    </row>
    <row r="9805">
      <c r="A9805" t="inlineStr">
        <is>
          <t>Feu tbl</t>
        </is>
      </c>
      <c r="B9805">
        <f>HYPERLINK("https://www.dofusbook.net/fr/equipement/2687289-feu-tbl/objets", "link")</f>
        <v/>
      </c>
      <c r="C9805" t="n">
        <v>0</v>
      </c>
      <c r="D9805" t="inlineStr">
        <is>
          <t>God Rod; Le Flan des Étoiles; Blopanneau Griotte; Gelano; Bouclier du Bawbawe; Ceinture Tortue Rouge; Caracoiffe; Capodindo; Bottes du Vulkain; Érudit mineur; Vigoureux mineur; Robuste mineur; Dévastateur Feu mineur; Miraculé mineur; Observateur; Dragodinde Prune et Orchidée</t>
        </is>
      </c>
    </row>
    <row r="9806">
      <c r="A9806" t="inlineStr">
        <is>
          <t>Feu tbl</t>
        </is>
      </c>
      <c r="B9806">
        <f>HYPERLINK("https://www.dofusbook.net/fr/equipement/2687207-feu-tbl/objets", "link")</f>
        <v/>
      </c>
      <c r="C9806" t="n">
        <v>0</v>
      </c>
      <c r="D9806" t="inlineStr">
        <is>
          <t>God Rod; Le Flan des Étoiles; Gelano; Blopanneau Griotte; Bouclier du Bawbawe; Ceinture Tortue Rouge; Caracoiffe; Capodindo; Bottes du Vulkain; Miraculé mineur; Observateur; Érudit mineur; Vigoureux mineur; Robuste mineur; Dévastateur Feu mineur; Dragodinde Prune et Orchidée</t>
        </is>
      </c>
    </row>
    <row r="9807">
      <c r="A9807" t="inlineStr">
        <is>
          <t>Pvp</t>
        </is>
      </c>
      <c r="B9807">
        <f>HYPERLINK("https://www.dofusbook.net/fr/equipement/2682169-pvp/objets", "link")</f>
        <v/>
      </c>
      <c r="C9807" t="n">
        <v>0</v>
      </c>
      <c r="D9807" t="inlineStr">
        <is>
          <t>Bâton du Sandanwa; Amulette Aerdala; Blopanneau Coco; Gelano; Bouclier Abraknyde; Ceinture d'Ougicle; Caracoiffe; Cape du Tofu Fou; Geta Aerdala; Cascadeur mineur; Observateur; Dévastateur Air mineur; Miraculé mineur; Robuste mineur; Vigoureux mineur; Dragodinde Prune et Ebène</t>
        </is>
      </c>
    </row>
    <row r="9808">
      <c r="A9808" t="inlineStr">
        <is>
          <t>Rdv</t>
        </is>
      </c>
      <c r="B9808">
        <f>HYPERLINK("https://www.dofusbook.net/fr/equipement/2682044-rdv/objets", "link")</f>
        <v/>
      </c>
      <c r="C9808" t="n">
        <v>0</v>
      </c>
      <c r="D9808" t="inlineStr">
        <is>
          <t>Arc Ahique; Collier du Valet Veinard; Anneau d'Allister; Gant du Valet Veinard; Cadran d'Air; Ceinture de la Reine des Voleurs; Coiffe de la Reine des Voleurs; Cape du Valet Veinard; Bottes de la Reine des Voleurs; Dofus Ocre; Dolmanax; Dofus des Glaces; Dokoko; Dofus Pourpre; Equilibriste majeur; Muldo Ebène et Orchidée</t>
        </is>
      </c>
    </row>
    <row r="9809">
      <c r="A9809" t="inlineStr">
        <is>
          <t>Lvl 100 pcp</t>
        </is>
      </c>
      <c r="B9809">
        <f>HYPERLINK("https://www.dofusbook.net/fr/equipement/2681913-lvl-100-pcp/objets", "link")</f>
        <v/>
      </c>
      <c r="C9809" t="n">
        <v>0</v>
      </c>
      <c r="D9809" t="inlineStr">
        <is>
          <t>Ares; Fourbamulette; Gantelet du Gorgouille; Gelano; Kloume; Ceintrouille; Chapeau du Capitaine Pirate; Cape du Capitaine Pirate; Krosmaussures; Dofus Émeraude; Dokoko; Culbuteur; Miraculé; Nomade; Remueur; Péki</t>
        </is>
      </c>
    </row>
    <row r="9810">
      <c r="A9810" t="inlineStr">
        <is>
          <t>Eau tbl</t>
        </is>
      </c>
      <c r="B9810">
        <f>HYPERLINK("https://www.dofusbook.net/fr/equipement/2681912-eau-tbl/objets", "link")</f>
        <v/>
      </c>
      <c r="C9810" t="n">
        <v>0</v>
      </c>
      <c r="D9810" t="inlineStr">
        <is>
          <t>Ares; Boufbamu; Anneau de Piggy Paupe; Gelano; Kloume; Blopture Indigo Royale; Caracoiffe; Cape du Coq Hû; Bloptes Indigo Royales; Dokoko; Vigoureux mineur; Robuste mineur; Miraculé mineur; Dévastateur Eau mineur; Chanceux mineur; Dehluge</t>
        </is>
      </c>
    </row>
    <row r="9811">
      <c r="A9811" t="inlineStr">
        <is>
          <t>Eau tbl</t>
        </is>
      </c>
      <c r="B9811">
        <f>HYPERLINK("https://www.dofusbook.net/fr/equipement/2681765-eau-tbl/objets", "link")</f>
        <v/>
      </c>
      <c r="C9811" t="n">
        <v>2</v>
      </c>
      <c r="D9811" t="inlineStr">
        <is>
          <t>Ares; Boufbamu; Gelano; Anneau de Piggy Paupe; Kloume; Blopture Indigo Royale; Caracoiffe; Cape du Coq Hû; Bloptes Indigo Royales; Dokoko; Miraculé mineur; Dévastateur Eau mineur; Chanceux mineur; Vigoureux mineur; Robuste mineur; Dehluge</t>
        </is>
      </c>
    </row>
    <row r="9812">
      <c r="A9812" t="inlineStr">
        <is>
          <t>Eau tbl</t>
        </is>
      </c>
      <c r="B9812">
        <f>HYPERLINK("https://www.dofusbook.net/fr/equipement/2681752-eau-tbl/objets", "link")</f>
        <v/>
      </c>
      <c r="C9812" t="n">
        <v>0</v>
      </c>
      <c r="D9812" t="inlineStr">
        <is>
          <t>Ares; Boufbamu; Anneau de Piggy Paupe; Gelano; Kloume; Ceinture Dracochoune; Caracoiffe; Cape du Coq Hû; Bottes de Lonne; Dofus Cawotte; Vigoureux mineur; Robuste mineur; Miraculé mineur; Observateur; Chanceux mineur; Dehluge</t>
        </is>
      </c>
    </row>
    <row r="9813">
      <c r="A9813" t="inlineStr">
        <is>
          <t>Eau tbl</t>
        </is>
      </c>
      <c r="B9813">
        <f>HYPERLINK("https://www.dofusbook.net/fr/equipement/2681674-eau-tbl/objets", "link")</f>
        <v/>
      </c>
      <c r="C9813" t="n">
        <v>0</v>
      </c>
      <c r="D9813" t="inlineStr">
        <is>
          <t>Ares; Boufbamu; Gelano; Anneau de Piggy Paupe; Kloume; Ceinture Dracochoune; Caracoiffe; Cape du Coq Hû; Bottes de Lonne; Dofus Cawotte; Observateur; Chanceux mineur; Vigoureux mineur; Robuste mineur; Miraculé mineur; Dehluge</t>
        </is>
      </c>
    </row>
    <row r="9814">
      <c r="A9814" t="inlineStr">
        <is>
          <t>Pvp</t>
        </is>
      </c>
      <c r="B9814">
        <f>HYPERLINK("https://www.dofusbook.net/fr/equipement/2681607-pvp/objets", "link")</f>
        <v/>
      </c>
      <c r="C9814" t="n">
        <v>0</v>
      </c>
      <c r="D9814" t="inlineStr">
        <is>
          <t>Arc en Racine d'Abraknyde; Amulette Aerdala; Gelano; Blopanneau Coco; Kloume; Ceinture d'Ougicle; Caracoiffe; Cape du Tofu Fou; Geta Aerdala; Dofus Cawotte; Robuste mineur; Vigoureux mineur; Cascadeur mineur; Observateur; Miraculé mineur; Dragodinde Prune et Ebène</t>
        </is>
      </c>
    </row>
    <row r="9815">
      <c r="A9815" t="inlineStr">
        <is>
          <t>Eau tbl</t>
        </is>
      </c>
      <c r="B9815">
        <f>HYPERLINK("https://www.dofusbook.net/fr/equipement/2675814-eau-tbl/objets", "link")</f>
        <v/>
      </c>
      <c r="C9815" t="n">
        <v>0</v>
      </c>
      <c r="D9815" t="inlineStr">
        <is>
          <t>Ares; Boufbamu; Blopanneau Indigo; Gelano; Bouclier Abraknyde; Ceinture Tortue Bleue; Caracoiffe; Cape du Coq Hû; Bottes de Karotz; Robuste mineur; Miraculé mineur; Observateur; Chanceux mineur; Vigoureux mineur; Dévastateur Eau mineur; Dehluge</t>
        </is>
      </c>
    </row>
    <row r="9816">
      <c r="A9816" t="inlineStr">
        <is>
          <t>Tbl</t>
        </is>
      </c>
      <c r="B9816">
        <f>HYPERLINK("https://www.dofusbook.net/fr/equipement/2675797-tbl/objets", "link")</f>
        <v/>
      </c>
      <c r="C9816" t="n">
        <v>0</v>
      </c>
      <c r="D9816" t="inlineStr">
        <is>
          <t>Lame du Chef Crocodaille; Amulette du Chef Crocodaille; Gelano; Bracelet du Chef Crocodaille; Bouclier Abraknyde; Ceinture du Chef Crocodaille; Coiffe du Chef Crocodaille; Petit sac d'écolier du Chef Crocodaille; Pantoufles Crochues du Chef Crocodaille; Survivant mineur; Robuste mineur; Examinateur; Puissant mineur; Ravageur Air mineur; Féroce mineur; Kramkram</t>
        </is>
      </c>
    </row>
    <row r="9817">
      <c r="A9817" t="inlineStr">
        <is>
          <t>Phobie tbl</t>
        </is>
      </c>
      <c r="B9817">
        <f>HYPERLINK("https://www.dofusbook.net/fr/equipement/2675790-phobie-tbl/objets", "link")</f>
        <v/>
      </c>
      <c r="C9817" t="n">
        <v>0</v>
      </c>
      <c r="D9817" t="inlineStr">
        <is>
          <t>Ares; Boufbamu; Blopanneau Indigo; Gelano; Bouclier du Bawbawe; Caracoiffe; Cape du Coq Hû; Dofus Cawotte; Chanceux mineur; Miraculé mineur; Vigoureux mineur; Dehluge</t>
        </is>
      </c>
    </row>
    <row r="9818">
      <c r="A9818" t="inlineStr">
        <is>
          <t>Phobie tbl</t>
        </is>
      </c>
      <c r="B9818">
        <f>HYPERLINK("https://www.dofusbook.net/fr/equipement/2675731-phobie-tbl/objets", "link")</f>
        <v/>
      </c>
      <c r="C9818" t="n">
        <v>0</v>
      </c>
      <c r="D9818" t="inlineStr">
        <is>
          <t>Ares; Boufbamu; Gelano; Blopanneau Indigo; Bouclier du Bawbawe; Ceinture Dracochoune; Caracoiffe; Cape du Coq Hû; Bottes de l'Eleveur de Bouftous; Dofus Cawotte; Chanceux mineur; Entraveur mineur; Miraculé mineur; Temporiseur mineur; Vigoureux mineur; Dragodinde Prune et Indigo</t>
        </is>
      </c>
    </row>
    <row r="9819">
      <c r="A9819" t="inlineStr">
        <is>
          <t>Multi</t>
        </is>
      </c>
      <c r="B9819">
        <f>HYPERLINK("https://www.dofusbook.net/fr/equipement/2669076-multi/objets", "link")</f>
        <v/>
      </c>
      <c r="C9819" t="n">
        <v>0</v>
      </c>
      <c r="D9819" t="inlineStr">
        <is>
          <t>Dague Adou; Amulette du Strigide; Bracelet du Piloztère; Alliance de Missiz Frizz; Bouclier du Captain Amakna; Ceinture du Strigide; Némès de Tal Kasha; Chevelure de Tal Kasha; Sandales de Tal Kasha; Dofus Ocre; Dofus Turquoise; Dolmanax; Dofus des Glaces; Dofus Pourpre; Puissant majeur; Muldo Prune et Emeraude</t>
        </is>
      </c>
    </row>
    <row r="9820">
      <c r="A9820" t="inlineStr">
        <is>
          <t>Mulic</t>
        </is>
      </c>
      <c r="B9820">
        <f>HYPERLINK("https://www.dofusbook.net/fr/equipement/2669061-mulic/objets", "link")</f>
        <v/>
      </c>
      <c r="C9820" t="n">
        <v>0</v>
      </c>
      <c r="D9820" t="inlineStr">
        <is>
          <t>Arc de Mulic Bere; Collier de Tourthon; Anneau Crustique; Anneau Crustique; Bouclier du Stalak; Ceinture de Brouce; Masque de Koutoulou; Cape au Logis; Bottes de Brouce; Dofus des Glaces; Dofus Pourpre; Enragé majeur; Furibond majeur; Vigoureux majeur; Forcené majeur; Kompost</t>
        </is>
      </c>
    </row>
    <row r="9821">
      <c r="A9821" t="inlineStr">
        <is>
          <t>Mulic</t>
        </is>
      </c>
      <c r="B9821">
        <f>HYPERLINK("https://www.dofusbook.net/fr/equipement/2669036-mulic/objets", "link")</f>
        <v/>
      </c>
      <c r="C9821" t="n">
        <v>0</v>
      </c>
      <c r="D9821" t="inlineStr">
        <is>
          <t>Arc de Mulic Bere; Collier de Tourthon; Anneau Crustique; Anneau Crustique; Bouclier du Stalak; Ceinture de Brouce; Masque de Koutoulou; Cape au Logis; Bottes de Brouce; Dofus Pourpre; Dofus des Glaces; Forcené majeur; Enragé majeur; Furibond majeur; Vigoureux majeur; Kompost</t>
        </is>
      </c>
    </row>
    <row r="9822">
      <c r="A9822" t="inlineStr">
        <is>
          <t>Feu</t>
        </is>
      </c>
      <c r="B9822">
        <f>HYPERLINK("https://www.dofusbook.net/fr/equipement/2666190-feu/objets", "link")</f>
        <v/>
      </c>
      <c r="C9822" t="n">
        <v>0</v>
      </c>
      <c r="D9822" t="inlineStr">
        <is>
          <t>Plumeau Bil; Pendentif affamé; Anneau Tamie; Anneau Tamie; Bouclier du Stalak; Ceinture Séculaire; Coiffe Séculaire; Cape de Diondin; Bottes Innommables; Dofus Pourpre; Nomade; Astucieux majeur; Remueur; Érudit majeur; Dévastateur Feu majeur; Brûlih</t>
        </is>
      </c>
    </row>
    <row r="9823">
      <c r="A9823" t="inlineStr">
        <is>
          <t>Agil</t>
        </is>
      </c>
      <c r="B9823">
        <f>HYPERLINK("https://www.dofusbook.net/fr/equipement/2656965-agil/objets", "link")</f>
        <v/>
      </c>
      <c r="C9823" t="n">
        <v>1</v>
      </c>
      <c r="D9823" t="inlineStr">
        <is>
          <t>Manthache; Collier du Valet Veinard; Alliance Gloursonne; Gant du Valet Veinard; Bouclier du Stalak; Menoture; Couronne d'Allister; Cape Indescriptible; Palmes Trithons; Dofus Pourpre; Remueur; Nomade; Equilibriste majeur; Acrobate majeur; Cascadeur majeur; Siroko</t>
        </is>
      </c>
    </row>
    <row r="9824">
      <c r="A9824" t="inlineStr">
        <is>
          <t>Agil</t>
        </is>
      </c>
      <c r="B9824">
        <f>HYPERLINK("https://www.dofusbook.net/fr/equipement/2656865-agil/objets", "link")</f>
        <v/>
      </c>
      <c r="C9824" t="n">
        <v>0</v>
      </c>
      <c r="D9824" t="inlineStr">
        <is>
          <t>Manthache; Collier du Valet Veinard; Gant du Valet Veinard; Alliance Gloursonne; Bouclier du Stalak; Menoture; Couronne d'Allister; Cape Indescriptible; Palmes Trithons; Dofus Pourpre; Nomade; Equilibriste majeur; Acrobate majeur; Cascadeur majeur; Remueur; Siroko</t>
        </is>
      </c>
    </row>
    <row r="9825">
      <c r="A9825" t="inlineStr">
        <is>
          <t>Agil</t>
        </is>
      </c>
      <c r="B9825">
        <f>HYPERLINK("https://www.dofusbook.net/fr/equipement/2656849-agil/objets", "link")</f>
        <v/>
      </c>
      <c r="C9825" t="n">
        <v>0</v>
      </c>
      <c r="D9825" t="inlineStr">
        <is>
          <t>Manthache; Collier du Valet Veinard; Alliance Gloursonne; Gant du Valet Veinard; Bouclier du Stalak; Menoture; Couronne d'Allister; Cape Indescriptible; Palmes Trithons; Dofus Pourpre; Remueur; Nomade; Equilibriste majeur; Acrobate majeur; Cascadeur majeur; Siroko</t>
        </is>
      </c>
    </row>
    <row r="9826">
      <c r="A9826" t="inlineStr">
        <is>
          <t>Feu</t>
        </is>
      </c>
      <c r="B9826">
        <f>HYPERLINK("https://www.dofusbook.net/fr/equipement/2649460-feu/objets", "link")</f>
        <v/>
      </c>
      <c r="C9826" t="n">
        <v>0</v>
      </c>
      <c r="D9826" t="inlineStr">
        <is>
          <t>Arc corrompu; Pendentif affamé; Anneau Tamie; Anneau Tamie; Bouclier du Stalak; Ceinture Séculaire; Coiffe Séculaire; Cape de Diondin; Bottes Innommables; Nomade; Temporiseur majeur; Astucieux majeur; Remueur; Érudit majeur; Entraveur majeur; Brûlih</t>
        </is>
      </c>
    </row>
    <row r="9827">
      <c r="A9827" t="inlineStr">
        <is>
          <t>Feu</t>
        </is>
      </c>
      <c r="B9827">
        <f>HYPERLINK("https://www.dofusbook.net/fr/equipement/2649405-feu/objets", "link")</f>
        <v/>
      </c>
      <c r="C9827" t="n">
        <v>0</v>
      </c>
      <c r="D9827" t="inlineStr">
        <is>
          <t>Arc corrompu; Pendentif affamé; Anneau Tamie; Anneau Tamie; Bouclier du Stalak; Ceinture Séculaire; Coiffe Séculaire; Cape de Diondin; Bottes Innommables; Dofus Pourpre; Érudit majeur; Vigoureux majeur; Nomade; Astucieux majeur; Remueur; Brûlih</t>
        </is>
      </c>
    </row>
    <row r="9828">
      <c r="A9828" t="inlineStr">
        <is>
          <t>Feu</t>
        </is>
      </c>
      <c r="B9828">
        <f>HYPERLINK("https://www.dofusbook.net/fr/equipement/2649310-feu/objets", "link")</f>
        <v/>
      </c>
      <c r="C9828" t="n">
        <v>0</v>
      </c>
      <c r="D9828" t="inlineStr">
        <is>
          <t>Arc corrompu; Pendentif affamé; Anneau Tamie; Anneau Tamie; Bouclier du Stalak; Ceinture Séculaire; Coiffe Séculaire; Cape de Diondin; Bottes Innommables; Dofus Pourpre; Nomade; Astucieux majeur; Remueur; Érudit majeur; Vigoureux majeur; Brûlih</t>
        </is>
      </c>
    </row>
    <row r="9829">
      <c r="A9829" t="inlineStr">
        <is>
          <t>Feu</t>
        </is>
      </c>
      <c r="B9829">
        <f>HYPERLINK("https://www.dofusbook.net/fr/equipement/2648852-feu/objets", "link")</f>
        <v/>
      </c>
      <c r="C9829" t="n">
        <v>1</v>
      </c>
      <c r="D9829" t="inlineStr">
        <is>
          <t>Arc corrompu; Pendentif affamé; Anneau Tamie; Anneau Tamie; Bouclier du Stalak; Ceinture Séculaire; Coiffe Séculaire; Cape de Diondin; Bottes Innommables; Dofus Pourpre; Érudit majeur; Dévastateur Feu majeur; Nomade; Astucieux majeur; Remueur; Brûlih</t>
        </is>
      </c>
    </row>
    <row r="9830">
      <c r="A9830" t="inlineStr">
        <is>
          <t>Feu</t>
        </is>
      </c>
      <c r="B9830">
        <f>HYPERLINK("https://www.dofusbook.net/fr/equipement/2648847-feu/objets", "link")</f>
        <v/>
      </c>
      <c r="C9830" t="n">
        <v>0</v>
      </c>
      <c r="D9830" t="inlineStr">
        <is>
          <t>Arc corrompu; Pendentif affamé; Anneau Tamie; Anneau Tamie; Bouclier du Stalak; Ceinture Séculaire; Coiffe Séculaire; Cape de Diondin; Bottes Innommables; Dofus Pourpre; Nomade; Astucieux majeur; Remueur; Érudit majeur; Vigoureux majeur; Brûlih</t>
        </is>
      </c>
    </row>
    <row r="9831">
      <c r="A9831" t="inlineStr">
        <is>
          <t>Agil</t>
        </is>
      </c>
      <c r="B9831">
        <f>HYPERLINK("https://www.dofusbook.net/fr/equipement/2642128-agil/objets", "link")</f>
        <v/>
      </c>
      <c r="C9831" t="n">
        <v>0</v>
      </c>
      <c r="D9831" t="inlineStr">
        <is>
          <t>Manthache; Collier du Valet Veinard; Alliance Gloursonne; Gant du Valet Veinard; Bouclier du Stalak; Menoture; Couronne d'Allister; Cape Indescriptible; Palmes Trithons; Dofus des Glaces; Remueur; Nomade; Equilibriste majeur; Dévastateur Air majeur; Cascadeur majeur; Siroko</t>
        </is>
      </c>
    </row>
    <row r="9832">
      <c r="A9832" t="inlineStr">
        <is>
          <t>Agil</t>
        </is>
      </c>
      <c r="B9832">
        <f>HYPERLINK("https://www.dofusbook.net/fr/equipement/2642002-agil/objets", "link")</f>
        <v/>
      </c>
      <c r="C9832" t="n">
        <v>0</v>
      </c>
      <c r="D9832" t="inlineStr">
        <is>
          <t>Manthache; Collier du Valet Veinard; Gant du Valet Veinard; Alliance Gloursonne; Bouclier du Stalak; Menoture; Couronne d'Allister; Cape Indescriptible; Palmes Trithons; Nomade; Equilibriste majeur; Dévastateur Air majeur; Cascadeur majeur; Remueur; Acrobate majeur; Siroko</t>
        </is>
      </c>
    </row>
    <row r="9833">
      <c r="A9833" t="inlineStr">
        <is>
          <t>Agil</t>
        </is>
      </c>
      <c r="B9833">
        <f>HYPERLINK("https://www.dofusbook.net/fr/equipement/2641994-agil/objets", "link")</f>
        <v/>
      </c>
      <c r="C9833" t="n">
        <v>0</v>
      </c>
      <c r="D9833" t="inlineStr">
        <is>
          <t>Manthache; Collier du Valet Veinard; Alliance Gloursonne; Gant du Valet Veinard; Bouclier du Stalak; Menoture; Couronne d'Allister; Cape Indescriptible; Palmes Trithons; Remueur; Temporiseur majeur; Nomade; Equilibriste majeur; Acrobate majeur; Cascadeur majeur; Siroko</t>
        </is>
      </c>
    </row>
    <row r="9834">
      <c r="A9834" t="inlineStr">
        <is>
          <t>Agil</t>
        </is>
      </c>
      <c r="B9834">
        <f>HYPERLINK("https://www.dofusbook.net/fr/equipement/2641993-agil/objets", "link")</f>
        <v/>
      </c>
      <c r="C9834" t="n">
        <v>0</v>
      </c>
      <c r="D9834" t="inlineStr">
        <is>
          <t>Manthache; Collier du Valet Veinard; Gant du Valet Veinard; Alliance Gloursonne; Bouclier du Stalak; Menoture; Couronne d'Allister; Cape Indescriptible; Palmes Trithons; Dofus Pourpre; Nomade; Equilibriste majeur; Acrobate majeur; Cascadeur majeur; Remueur; Siroko</t>
        </is>
      </c>
    </row>
    <row r="9835">
      <c r="A9835" t="inlineStr">
        <is>
          <t>Agil</t>
        </is>
      </c>
      <c r="B9835">
        <f>HYPERLINK("https://www.dofusbook.net/fr/equipement/1982665-agil/objets", "link")</f>
        <v/>
      </c>
      <c r="C9835" t="n">
        <v>0</v>
      </c>
      <c r="D9835" t="inlineStr">
        <is>
          <t>Manthache; Collier du Valet Veinard; Gant du Valet Veinard; Alliance Gloursonne; Bouclier du Stalak; Menoture; Couronne d'Allister; Cape Indescriptible; Palmes Trithons; Dofus Nébuleux; Nomade; Equilibriste majeur; Acrobate majeur; Cascadeur majeur; Remueur; Siroko</t>
        </is>
      </c>
    </row>
    <row r="9836">
      <c r="A9836" t="inlineStr">
        <is>
          <t>Atcham</t>
        </is>
      </c>
      <c r="B9836">
        <f>HYPERLINK("https://www.dofusbook.net/fr/equipement/2636959-atcham/objets", "link")</f>
        <v/>
      </c>
      <c r="C9836" t="n">
        <v>0</v>
      </c>
      <c r="D9836" t="inlineStr">
        <is>
          <t>Marteau Phossile; Amulette du Strigide; Anneau Vicieux; Anneau de Padgref; Bouclier du Captain Amakna; Ceinture du Strigide; Coiffe de Padgref; Cape de Diondin; Getas de Padgref; Dofus Pourpre; Dofus des Glaces; Dofus Turquoise; Dofus Nébuleux; Dolmanax; Puissant majeur; Muldo Doré et Emeraude</t>
        </is>
      </c>
    </row>
    <row r="9837">
      <c r="A9837" t="inlineStr">
        <is>
          <t>Atcham</t>
        </is>
      </c>
      <c r="B9837">
        <f>HYPERLINK("https://www.dofusbook.net/fr/equipement/2636939-atcham/objets", "link")</f>
        <v/>
      </c>
      <c r="C9837" t="n">
        <v>0</v>
      </c>
      <c r="D9837" t="inlineStr">
        <is>
          <t>Marteau Phossile; Amulette du Strigide; Anneau de Padgref; Anneau Vicieux; Bouclier du Captain Amakna; Ceinture du Strigide; Coiffe de Padgref; Cape de Diondin; Getas de Padgref; Dofus Turquoise; Dofus Nébuleux; Dolmanax; Dofus Pourpre; Dofus des Glaces; Puissant majeur; Muldo Doré et Emeraude</t>
        </is>
      </c>
    </row>
    <row r="9838">
      <c r="A9838" t="inlineStr">
        <is>
          <t>Atcham</t>
        </is>
      </c>
      <c r="B9838">
        <f>HYPERLINK("https://www.dofusbook.net/fr/equipement/2636893-atcham/objets", "link")</f>
        <v/>
      </c>
      <c r="C9838" t="n">
        <v>0</v>
      </c>
      <c r="D9838" t="inlineStr">
        <is>
          <t>Marteau Phossile; Amulette du Strigide; Anneau Vicieux; Anneau de Padgref; Bouclier du Captain Amakna; Ceinture du Strigide; Coiffe de Padgref; Cape de Diondin; Getas de Padgref; Dofus Pourpre; Dofus des Glaces; Dofus Turquoise; Dofus Nébuleux; Dolmanax; Puissant majeur; Muldo Doré et Emeraude</t>
        </is>
      </c>
    </row>
    <row r="9839">
      <c r="A9839" t="inlineStr">
        <is>
          <t>Atcham</t>
        </is>
      </c>
      <c r="B9839">
        <f>HYPERLINK("https://www.dofusbook.net/fr/equipement/2636873-atcham/objets", "link")</f>
        <v/>
      </c>
      <c r="C9839" t="n">
        <v>0</v>
      </c>
      <c r="D9839" t="inlineStr">
        <is>
          <t>Sabres d'Atcham; Amulette du Strigide; Anneau de Padgref; Anneau Vicieux; Bouclier du Captain Amakna; Ceinture du Strigide; Coiffe de Padgref; Cape d'Atcham; Getas de Padgref; Dofus Turquoise; Dofus Nébuleux; Dolmanax; Dofus Ocre; Dofus Pourpre; Dofus des Glaces; Muldo Emeraude</t>
        </is>
      </c>
    </row>
    <row r="9840">
      <c r="A9840" t="inlineStr">
        <is>
          <t>Koutoulou</t>
        </is>
      </c>
      <c r="B9840">
        <f>HYPERLINK("https://www.dofusbook.net/fr/equipement/2435827-koutoulou/objets", "link")</f>
        <v/>
      </c>
      <c r="C9840" t="n">
        <v>0</v>
      </c>
      <c r="D9840" t="inlineStr">
        <is>
          <t>Marteau des Anciens Steamers; Amulette du Strigide; Anneau Vicieux; Alliance de Missiz Frizz; Bouclier du Captain Amakna; Ceinture du Strigide; Némès de Tal Kasha; Chevelure de Tal Kasha; Sandales de Tal Kasha; Dolmanax; Dofus Pourpre; Dofus Nébuleux; Dofus Turquoise; Dofus des Glaces; Dofus Ocre; Muldo Doré et Emeraude</t>
        </is>
      </c>
    </row>
    <row r="9841">
      <c r="A9841" t="inlineStr">
        <is>
          <t>Corruppu</t>
        </is>
      </c>
      <c r="B9841">
        <f>HYPERLINK("https://www.dofusbook.net/fr/equipement/2636048-corruppu/objets", "link")</f>
        <v/>
      </c>
      <c r="C9841" t="n">
        <v>0</v>
      </c>
      <c r="D9841" t="inlineStr">
        <is>
          <t>Lance corrompue; Amulette de Nevark; Anneau des égarés; Anneau du Comte Harebourg; Bouclier alvéolé; Ceinture de Nevark; Coiffe du Comte Harebourg; Cape de Nevark; Bottes du Comte Harebourg; Dofus Ocre; Dolmanax; Dofus des Glaces; Dofus Pourpre; Robuste majeur; Féroce majeur; Kramkram</t>
        </is>
      </c>
    </row>
    <row r="9842">
      <c r="A9842" t="inlineStr">
        <is>
          <t>Corruppu</t>
        </is>
      </c>
      <c r="B9842">
        <f>HYPERLINK("https://www.dofusbook.net/fr/equipement/2635975-corruppu/objets", "link")</f>
        <v/>
      </c>
      <c r="C9842" t="n">
        <v>0</v>
      </c>
      <c r="D9842" t="inlineStr">
        <is>
          <t>Lance corrompue; Amulette de Nevark; Anneau du Comte Harebourg; Anneau de la Fuji Givrefoux; Bouclier alvéolé; Ceinture de Nevark; Coiffe du Comte Harebourg; Cape de Nevark; Bottes du Comte Harebourg; Dolmanax; Dofus des Glaces; Dofus Pourpre; Dofus Ocre; Féroce majeur; Robuste majeur; Kramkram</t>
        </is>
      </c>
    </row>
    <row r="9843">
      <c r="A9843" t="inlineStr">
        <is>
          <t>Rdv</t>
        </is>
      </c>
      <c r="B9843">
        <f>HYPERLINK("https://www.dofusbook.net/fr/equipement/2635875-rdv/objets", "link")</f>
        <v/>
      </c>
      <c r="C9843" t="n">
        <v>0</v>
      </c>
      <c r="D9843" t="inlineStr">
        <is>
          <t>Lav'Hache; Amulette Volcanique; Anneau Chevelu; Bague Gloursonne; Bouclier d'Ilyzaelle; Ceinture de la Reine des Voleurs; Coiffe de la Reine des Voleurs; Cape au Logis; Chaussons de Macrab; Dofus Émeraude; Dofus Ocre; Forcené majeur; Enragé majeur; Remueur; Dévastateur Terre majeur; Kramkram</t>
        </is>
      </c>
    </row>
    <row r="9844">
      <c r="A9844" t="inlineStr">
        <is>
          <t>Multi</t>
        </is>
      </c>
      <c r="B9844">
        <f>HYPERLINK("https://www.dofusbook.net/fr/equipement/2612100-multi/objets", "link")</f>
        <v/>
      </c>
      <c r="C9844" t="n">
        <v>0</v>
      </c>
      <c r="D9844" t="inlineStr">
        <is>
          <t>Bâtonnet Ronien; Amulette du Strigide; Bracelet du Piloztère; Anneau du Père Fwetar; Quatre-feuilles; Ceinture du Strigide; Némès de Tal Kasha; Chevelure de Tal Kasha; Bottes du Strigide; Dolmanax; Dofus des Glaces; Dofus Pourpre; Dofus Ocre; Dofus Turquoise; Puissant majeur; Muldo Prune et Emeraude</t>
        </is>
      </c>
    </row>
    <row r="9845">
      <c r="A9845" t="inlineStr">
        <is>
          <t>Full puisssance</t>
        </is>
      </c>
      <c r="B9845">
        <f>HYPERLINK("https://www.dofusbook.net/fr/equipement/2602856-full-puisssance/objets", "link")</f>
        <v/>
      </c>
      <c r="C9845" t="n">
        <v>0</v>
      </c>
      <c r="D9845" t="inlineStr">
        <is>
          <t>Pelle de Nidas; Amulette du Strigide; Anneau du Père Fwetar; Bracelet du Piloztère; Quatre-feuilles; Ceintacé; Maskrobe; Cape Reski; Bottes du Strigide; Dofus Turquoise; Dolmanax; Dofus des Glaces; Dofus Pourpre; Remueur; Vigoureux majeur; Kramkram</t>
        </is>
      </c>
    </row>
    <row r="9846">
      <c r="A9846" t="inlineStr">
        <is>
          <t>Full puisssance</t>
        </is>
      </c>
      <c r="B9846">
        <f>HYPERLINK("https://www.dofusbook.net/fr/equipement/2602642-full-puisssance/objets", "link")</f>
        <v/>
      </c>
      <c r="C9846" t="n">
        <v>0</v>
      </c>
      <c r="D9846" t="inlineStr">
        <is>
          <t>Pelle de Nidas; Amulette du Strigide; Bracelet du Piloztère; Anneau du Père Fwetar; Quatre-feuilles; Ceintacé; Maskrobe; Cape Reski; Bottes du Strigide; Dolmanax; Dofus des Glaces; Dofus Pourpre; Dofus Turquoise; Vigoureux majeur; Remueur; Kramkram</t>
        </is>
      </c>
    </row>
    <row r="9847">
      <c r="A9847" t="inlineStr">
        <is>
          <t>Double agi</t>
        </is>
      </c>
      <c r="B9847">
        <f>HYPERLINK("https://www.dofusbook.net/fr/equipement/2601817-double-agi/objets", "link")</f>
        <v/>
      </c>
      <c r="C9847" t="n">
        <v>0</v>
      </c>
      <c r="D9847" t="inlineStr">
        <is>
          <t>Manthache; Kralamansion; Alliance Gloursonne; Gant du Valet Veinard; Bouclier du Stalak; Menoture; Couronne d'Allister; Cape du Valet Veinard; Palmes Trithons; Equilibriste majeur; Remueur; Cascadeur majeur; Acrobate majeur; Nomade; Dévastateur Air majeur; Siroko</t>
        </is>
      </c>
    </row>
    <row r="9848">
      <c r="A9848" t="inlineStr">
        <is>
          <t>Double agi</t>
        </is>
      </c>
      <c r="B9848">
        <f>HYPERLINK("https://www.dofusbook.net/fr/equipement/2601792-double-agi/objets", "link")</f>
        <v/>
      </c>
      <c r="C9848" t="n">
        <v>0</v>
      </c>
      <c r="D9848" t="inlineStr">
        <is>
          <t>Manthache; Collier du Valet Veinard; Gant du Valet Veinard; Alliance Gloursonne; Bouclier du Stalak; Menoture; Couronne d'Allister; Cape Indescriptible; Palmes Trithons; Dofus Pourpre; Cascadeur majeur; Nomade; Dévastateur Air majeur; Equilibriste majeur; Remueur; Siroko</t>
        </is>
      </c>
    </row>
    <row r="9849">
      <c r="A9849" t="inlineStr">
        <is>
          <t>Double agi</t>
        </is>
      </c>
      <c r="B9849">
        <f>HYPERLINK("https://www.dofusbook.net/fr/equipement/2601791-double-agi/objets", "link")</f>
        <v/>
      </c>
      <c r="C9849" t="n">
        <v>0</v>
      </c>
      <c r="D9849" t="inlineStr">
        <is>
          <t>Manthache; Collier du Valet Veinard; Alliance Gloursonne; Gant du Valet Veinard; Bouclier du Stalak; Menoture; Couronne d'Allister; Cape Indescriptible; Palmes Trithons; Dofus Pourpre; Equilibriste majeur; Remueur; Cascadeur majeur; Nomade; Dévastateur Air majeur; Siroko</t>
        </is>
      </c>
    </row>
    <row r="9850">
      <c r="A9850" t="inlineStr">
        <is>
          <t>Air</t>
        </is>
      </c>
      <c r="B9850">
        <f>HYPERLINK("https://www.dofusbook.net/fr/equipement/2596808-air/objets", "link")</f>
        <v/>
      </c>
      <c r="C9850" t="n">
        <v>0</v>
      </c>
      <c r="D9850" t="inlineStr">
        <is>
          <t>Manthache; Collier du Valet Veinard; Anneau d'Allister; Gant du Valet Veinard; Bouclier du Stalak; Menoture; Couronne d'Allister; Cape du Valet Veinard; Bottes d'Allister; Dofus Pourpre; Equilibriste; Equilibriste majeur; Acrobate majeur; Ravageur Air majeur; Voyageur; Siroko</t>
        </is>
      </c>
    </row>
    <row r="9851">
      <c r="A9851" t="inlineStr">
        <is>
          <t>Air</t>
        </is>
      </c>
      <c r="B9851">
        <f>HYPERLINK("https://www.dofusbook.net/fr/equipement/2596674-air/objets", "link")</f>
        <v/>
      </c>
      <c r="C9851" t="n">
        <v>0</v>
      </c>
      <c r="D9851" t="inlineStr">
        <is>
          <t>Manthache; Collier du Valet Veinard; Gant du Valet Veinard; Anneau d'Allister; Bouclier du Stalak; Menoture; Couronne d'Allister; Cape du Valet Veinard; Bottes d'Allister; Dofus Pourpre; Ravageur Air majeur; Voyageur; Equilibriste; Equilibriste majeur; Acrobate majeur; Siroko</t>
        </is>
      </c>
    </row>
    <row r="9852">
      <c r="A9852" t="inlineStr">
        <is>
          <t>force resi</t>
        </is>
      </c>
      <c r="B9852">
        <f>HYPERLINK("https://www.dofusbook.net/fr/equipement/2567743-force-resi/objets", "link")</f>
        <v/>
      </c>
      <c r="C9852" t="n">
        <v>0</v>
      </c>
      <c r="D9852" t="inlineStr">
        <is>
          <t>Héqache; Amulette du Strigide; Bracelet du Piloztère; Anneau Chevelu; Bouclier d'Ilyzaelle; Ceinture de la Cour Sombre; Masque de Koutoulou; Voile d'encre; Bottes de la Cour Sombre; Dofus des Glaces; Dofus Pourpre; Dofus Turquoise; Enragé majeur; Remueur; Nomade; Kramkram</t>
        </is>
      </c>
    </row>
    <row r="9853">
      <c r="A9853" t="inlineStr">
        <is>
          <t>Eau</t>
        </is>
      </c>
      <c r="B9853">
        <f>HYPERLINK("https://www.dofusbook.net/fr/equipement/2531570-eau/objets", "link")</f>
        <v/>
      </c>
      <c r="C9853" t="n">
        <v>0</v>
      </c>
      <c r="D9853" t="inlineStr">
        <is>
          <t>Sceptre du Roi Joueur; Amulette du Strigide; Bracelet du Piloztère; Bracelet des Fonds marins; Bouclier du Captain Amakna; Ceintacé; Némès de Tal Kasha; Chevelure de Tal Kasha; Pataugastrique; Dofus Turquoise; Dofus des Glaces; Dofus Pourpre; Taquin majeur; Chanceux majeur; Vigoureux majeur; Muldo Prune et Emeraude</t>
        </is>
      </c>
    </row>
    <row r="9854">
      <c r="A9854" t="inlineStr">
        <is>
          <t>Eau</t>
        </is>
      </c>
      <c r="B9854">
        <f>HYPERLINK("https://www.dofusbook.net/fr/equipement/2531532-eau/objets", "link")</f>
        <v/>
      </c>
      <c r="C9854" t="n">
        <v>0</v>
      </c>
      <c r="D9854" t="inlineStr">
        <is>
          <t>Sceptre du Roi Joueur; Amulette du Strigide; Bracelet des Fonds marins; Bracelet du Piloztère; Bouclier du Captain Amakna; Ceintacé; Némès de Tal Kasha; Chevelure de Tal Kasha; Pataugastrique; Dofus Pourpre; Dofus Turquoise; Dofus des Glaces; Vigoureux majeur; Taquin majeur; Chanceux majeur; Muldo Prune et Emeraude</t>
        </is>
      </c>
    </row>
    <row r="9855">
      <c r="A9855" t="inlineStr">
        <is>
          <t>Eau</t>
        </is>
      </c>
      <c r="B9855">
        <f>HYPERLINK("https://www.dofusbook.net/fr/equipement/2531480-eau/objets", "link")</f>
        <v/>
      </c>
      <c r="C9855" t="n">
        <v>0</v>
      </c>
      <c r="D9855" t="inlineStr">
        <is>
          <t>Sceptre du Roi Joueur; Amulette du Strigide; Bracelet du Piloztère; Bracelet des Fonds marins; Bouclier du Captain Amakna; Ceintacé; Némès de Tal Kasha; Chevelure de Tal Kasha; Pataugastrique; Dofus Turquoise; Dofus des Glaces; Dofus Pourpre; Taquin majeur; Chanceux majeur; Vigoureux majeur; Muldo Prune et Emeraude</t>
        </is>
      </c>
    </row>
    <row r="9856">
      <c r="A9856" t="inlineStr">
        <is>
          <t>Eau</t>
        </is>
      </c>
      <c r="B9856">
        <f>HYPERLINK("https://www.dofusbook.net/fr/equipement/2531390-eau/objets", "link")</f>
        <v/>
      </c>
      <c r="C9856" t="n">
        <v>0</v>
      </c>
      <c r="D9856" t="inlineStr">
        <is>
          <t>Sceptre du Roi Joueur; Amulette du Strigide; Bracelet des Fonds marins; Bracelet du Piloztère; Bouclier du Captain Amakna; Ceintacé; Némès de Tal Kasha; Chevelure de Tal Kasha; Pataugastrique; Dofus Émeraude; Dofus Pourpre; Dofus Turquoise; Dofus des Glaces; Taquin majeur; Chanceux majeur; Muldo Prune et Emeraude</t>
        </is>
      </c>
    </row>
    <row r="9857">
      <c r="A9857" t="inlineStr">
        <is>
          <t>Eau resi</t>
        </is>
      </c>
      <c r="B9857">
        <f>HYPERLINK("https://www.dofusbook.net/fr/equipement/2531218-eau-resi/objets", "link")</f>
        <v/>
      </c>
      <c r="C9857" t="n">
        <v>0</v>
      </c>
      <c r="D9857" t="inlineStr">
        <is>
          <t>Rapière aux Glyphes; Amulette de Shokkoth; Alliance Gloursonne; Bracelet des Fonds marins; Quatre-feuilles; Poulpagne; Kidibonnet; Cape du Sinistrofu; Bottes du Sinistrofu; Dofus Turquoise; Dofus Pourpre; Remueur; Vigoureux majeur; Taquin majeur; Chanceux majeur; Muldo Indigo</t>
        </is>
      </c>
    </row>
    <row r="9858">
      <c r="A9858" t="inlineStr">
        <is>
          <t>Terre rall</t>
        </is>
      </c>
      <c r="B9858">
        <f>HYPERLINK("https://www.dofusbook.net/fr/equipement/2167789-terre-rall/objets", "link")</f>
        <v/>
      </c>
      <c r="C9858" t="n">
        <v>0</v>
      </c>
      <c r="D9858" t="inlineStr">
        <is>
          <t>Lav'Hache; Collier de Tourthon; Anneau Crustique; Anneau Crustique; Bouclier d'Ilyzaelle; Ceintouse; Chapoulpe; Cape de la Cour Sombre; Sabots Minables; Paralyseur majeur; Étourdisseur majeur; Enragé majeur; Remueur; Nomade; Forcené majeur; Kompost</t>
        </is>
      </c>
    </row>
    <row r="9859">
      <c r="A9859" t="inlineStr">
        <is>
          <t>Crit force</t>
        </is>
      </c>
      <c r="B9859">
        <f>HYPERLINK("https://www.dofusbook.net/fr/equipement/2525148-crit-force/objets", "link")</f>
        <v/>
      </c>
      <c r="C9859" t="n">
        <v>0</v>
      </c>
      <c r="D9859" t="inlineStr">
        <is>
          <t>Arc du Chalœil; Amulette du Strigide; Anneau Crustique; Anneau Crustique; Quatre-feuilles; Ceinture du Strigide; Masque de Koutoulou; Cape au Logis; Bottes du Cœur Saignant; Dofus Pourpre; Dofus Turquoise; Remueur; Enragé majeur; Vigoureux majeur; Forcené majeur; Kompost</t>
        </is>
      </c>
    </row>
    <row r="9860">
      <c r="A9860" t="inlineStr">
        <is>
          <t>Crit force</t>
        </is>
      </c>
      <c r="B9860">
        <f>HYPERLINK("https://www.dofusbook.net/fr/equipement/2525078-crit-force/objets", "link")</f>
        <v/>
      </c>
      <c r="C9860" t="n">
        <v>0</v>
      </c>
      <c r="D9860" t="inlineStr">
        <is>
          <t>Arc du Chalœil; Amulette du Strigide; Anneau Crustique; Anneau Crustique; Quatre-feuilles; Ceinture du Strigide; Masque de Koutoulou; Cape au Logis; Bottes du Cœur Saignant; Dofus Pourpre; Dofus Turquoise; Vigoureux majeur; Forcené majeur; Remueur; Enragé majeur; Kompost</t>
        </is>
      </c>
    </row>
    <row r="9861">
      <c r="A9861" t="inlineStr">
        <is>
          <t>Crit force</t>
        </is>
      </c>
      <c r="B9861">
        <f>HYPERLINK("https://www.dofusbook.net/fr/equipement/2525059-crit-force/objets", "link")</f>
        <v/>
      </c>
      <c r="C9861" t="n">
        <v>2</v>
      </c>
      <c r="D9861" t="inlineStr">
        <is>
          <t>Dagues d'Ilyzaelle; Amulette du Strigide; Anneau Crustique; Anneau Crustique; Bouclier du Captain Amakna; Ceinture du Strigide; Masque de Koutoulou; Cape au Logis; Bottes du Cœur Saignant; Dofus Pourpre; Dofus Turquoise; Remueur; Enragé majeur; Vigoureux majeur; Forcené majeur; Kompost</t>
        </is>
      </c>
    </row>
    <row r="9862">
      <c r="A9862" t="inlineStr">
        <is>
          <t>Force do crit</t>
        </is>
      </c>
      <c r="B9862">
        <f>HYPERLINK("https://www.dofusbook.net/fr/equipement/2524932-force-do-crit/objets", "link")</f>
        <v/>
      </c>
      <c r="C9862" t="n">
        <v>1</v>
      </c>
      <c r="D9862" t="inlineStr">
        <is>
          <t>Arc du Chalœil; Amulette du Strigide; Anneau Chevelu; Anneau Crustique; Quatre-feuilles; Ceinture du Strigide; Masque de Koutoulou; Cape au Logis; Bottes de Brouce; Dofus Pourpre; Dofus Turquoise; Nomade; Forcené majeur; Remueur; Enragé majeur; Kompost</t>
        </is>
      </c>
    </row>
    <row r="9863">
      <c r="A9863" t="inlineStr">
        <is>
          <t>Force do crit</t>
        </is>
      </c>
      <c r="B9863">
        <f>HYPERLINK("https://www.dofusbook.net/fr/equipement/2524889-force-do-crit/objets", "link")</f>
        <v/>
      </c>
      <c r="C9863" t="n">
        <v>0</v>
      </c>
      <c r="D9863" t="inlineStr">
        <is>
          <t>Arc du Chalœil; Collier de Tourthon; Anneau Crustique; Anneau Crustique; Bouclier du Stalak; Ceinture de Brouce; Masque de Koutoulou; Cape au Logis; Bottes de Brouce; Dofus Nébuleux; Remueur; Enragé majeur; Nomade; Forcené majeur; Furibond majeur; Kompost</t>
        </is>
      </c>
    </row>
    <row r="9864">
      <c r="A9864" t="inlineStr">
        <is>
          <t>Force do crit</t>
        </is>
      </c>
      <c r="B9864">
        <f>HYPERLINK("https://www.dofusbook.net/fr/equipement/2524864-force-do-crit/objets", "link")</f>
        <v/>
      </c>
      <c r="C9864" t="n">
        <v>0</v>
      </c>
      <c r="D9864" t="inlineStr">
        <is>
          <t>Arc du Chalœil; Collier de Tourthon; Anneau Crustique; Anneau Crustique; Quatre-feuilles; Ceinture de Brouce; Masque de Koutoulou; Cape au Logis; Bottes de Brouce; Dofus Pourpre; Dofus Nébuleux; Dofus Turquoise; Forcené majeur; Remueur; Enragé majeur; Kompost</t>
        </is>
      </c>
    </row>
    <row r="9865">
      <c r="A9865" t="inlineStr">
        <is>
          <t>Force do crit</t>
        </is>
      </c>
      <c r="B9865">
        <f>HYPERLINK("https://www.dofusbook.net/fr/equipement/2524799-force-do-crit/objets", "link")</f>
        <v/>
      </c>
      <c r="C9865" t="n">
        <v>0</v>
      </c>
      <c r="D9865" t="inlineStr">
        <is>
          <t>Arc du Chalœil; Collier de Tourthon; Anneau Crustique; Anneau Crustique; Quatre-feuilles; Ceinture de Brouce; Masque de Koutoulou; Cape au Logis; Bottes de Brouce; Dofus Pourpre; Dofus Nébuleux; Dofus Turquoise; Remueur; Enragé majeur; Forcené majeur; Kompost</t>
        </is>
      </c>
    </row>
    <row r="9866">
      <c r="A9866" t="inlineStr">
        <is>
          <t>Crit force</t>
        </is>
      </c>
      <c r="B9866">
        <f>HYPERLINK("https://www.dofusbook.net/fr/equipement/2514588-crit-force/objets", "link")</f>
        <v/>
      </c>
      <c r="C9866" t="n">
        <v>0</v>
      </c>
      <c r="D9866" t="inlineStr">
        <is>
          <t>Arc du Chalœil; Collier de Tourthon; Bracelet du Piloztère; Anneau Crustique; Quatre-feuilles; Ceinture de Brouce; Masque de Koutoulou; Cape au Logis; Bottes de Brouce; Dofus Nébuleux; Dofus Pourpre; Dofus Turquoise; Forcené majeur; Remueur; Enragé majeur; Kompost</t>
        </is>
      </c>
    </row>
    <row r="9867">
      <c r="A9867" t="inlineStr">
        <is>
          <t>Crit force</t>
        </is>
      </c>
      <c r="B9867">
        <f>HYPERLINK("https://www.dofusbook.net/fr/equipement/2514250-crit-force/objets", "link")</f>
        <v/>
      </c>
      <c r="C9867" t="n">
        <v>0</v>
      </c>
      <c r="D9867" t="inlineStr">
        <is>
          <t>Dagues d'Ilyzaelle; Amulette du Strigide; Anneau Crustique; Anneau Crustique; Bouclier du Captain Amakna; Ceinture du Strigide; Masque de Koutoulou; Cape au Logis; Bottes du Cœur Saignant; Dofus Nébuleux; Dofus Pourpre; Dofus Turquoise; Remueur; Enragé majeur; Forcené majeur; Kompost</t>
        </is>
      </c>
    </row>
    <row r="9868">
      <c r="A9868" t="inlineStr">
        <is>
          <t>Crit force</t>
        </is>
      </c>
      <c r="B9868">
        <f>HYPERLINK("https://www.dofusbook.net/fr/equipement/2514246-crit-force/objets", "link")</f>
        <v/>
      </c>
      <c r="C9868" t="n">
        <v>0</v>
      </c>
      <c r="D9868" t="inlineStr">
        <is>
          <t>Dagues d'Ilyzaelle; Amulette du Strigide; Anneau Crustique; Anneau Crustique; Bouclier du Captain Amakna; Ceinture du Strigide; Masque de Koutoulou; Cape au Logis; Bottes du Cœur Saignant; Dofus Nébuleux; Dofus Pourpre; Dofus Turquoise; Forcené majeur; Remueur; Enragé majeur; Kompost</t>
        </is>
      </c>
    </row>
    <row r="9869">
      <c r="A9869" t="inlineStr">
        <is>
          <t>Air 3</t>
        </is>
      </c>
      <c r="B9869">
        <f>HYPERLINK("https://www.dofusbook.net/fr/equipement/2500222-air-3/objets", "link")</f>
        <v/>
      </c>
      <c r="C9869" t="n">
        <v>0</v>
      </c>
      <c r="D9869" t="inlineStr">
        <is>
          <t>Manthache; Collier du Valet Veinard; Anneau d'Allister; Gant du Valet Veinard; Bouclier du Stalak; Menoture; Couronne d'Allister; Cape du Valet Veinard; Bottes d'Allister; Dofus Émeraude; Acrobate majeur; Ravageur Air majeur; Voyageur; Equilibriste; Equilibriste majeur; Muldo Ebène et Orchidée</t>
        </is>
      </c>
    </row>
    <row r="9870">
      <c r="A9870" t="inlineStr">
        <is>
          <t>Feu retrait pm</t>
        </is>
      </c>
      <c r="B9870">
        <f>HYPERLINK("https://www.dofusbook.net/fr/equipement/2500046-feu-retrait-pm/objets", "link")</f>
        <v/>
      </c>
      <c r="C9870" t="n">
        <v>2</v>
      </c>
      <c r="D9870" t="inlineStr">
        <is>
          <t>Plumeau Bil; Amulette Volcanique; Anneau Tamie; Anneau Tamie; Bouclier cubiste; Ceinture de Kongoku; Couronne de Nidas; Cape de Diondin; Tongues de Nidas; Dofus Pourpre; Dofus des Glaces; Remueur; Temporiseur majeur; Nomade; Érudit majeur; Kramkram</t>
        </is>
      </c>
    </row>
    <row r="9871">
      <c r="A9871" t="inlineStr">
        <is>
          <t>Eau rox</t>
        </is>
      </c>
      <c r="B9871">
        <f>HYPERLINK("https://www.dofusbook.net/fr/equipement/2471340-eau-rox/objets", "link")</f>
        <v/>
      </c>
      <c r="C9871" t="n">
        <v>0</v>
      </c>
      <c r="D9871" t="inlineStr">
        <is>
          <t>Sceptre du Roi Joueur; Amulette de Shokkoth; Bracelet des Fonds marins; Alliance Gloursonne; Bouclier d'Ilyzaelle; Sangle Ouare; Kidibonnet; Cape du Sinistrofu; Bottes du Sinistrofu; Dofus Pourpre; Remueur; Chanceux majeur; Nomade; Taquin majeur; Joueur majeur; Kramkram</t>
        </is>
      </c>
    </row>
    <row r="9872">
      <c r="A9872" t="inlineStr">
        <is>
          <t>Eau 2.45</t>
        </is>
      </c>
      <c r="B9872">
        <f>HYPERLINK("https://www.dofusbook.net/fr/equipement/2464491-eau-2-45/objets", "link")</f>
        <v/>
      </c>
      <c r="C9872" t="n">
        <v>0</v>
      </c>
      <c r="D9872" t="inlineStr">
        <is>
          <t>Sceptre du Roi Joueur; Amulette Luminescente; Alliance Gloursonne; Bracelet des Fonds marins; Bouclier précieux; Poulpagne; Kidibonnet; Cape Luminescente; Sandales Circulaires du Kimbo; Dofus Émeraude; Miraculé majeur; Chanceux majeur; Bousculeur majeur; Culbuteur majeur; Remueur; Muldo Ebène</t>
        </is>
      </c>
    </row>
    <row r="9873">
      <c r="A9873" t="inlineStr">
        <is>
          <t>Eau agi</t>
        </is>
      </c>
      <c r="B9873">
        <f>HYPERLINK("https://www.dofusbook.net/fr/equipement/2457942-eau-agi/objets", "link")</f>
        <v/>
      </c>
      <c r="C9873" t="n">
        <v>0</v>
      </c>
      <c r="D9873" t="inlineStr">
        <is>
          <t>Marteau des Anciens Steamers; Amulette d'Ilyzaelle; Alliance Gloursonne; Bracelet du Piloztère; Bouclier d'Ilyzaelle; Ceinture de la Reine des Voleurs; Casque d'Ilyzaelle; Voilamibe; Bottes de la Reine des Voleurs; Dofus Ocre; Dolmanax; Dofus des Glaces; Dofus Pourpre; Dofus Émeraude; Robuste majeur; Kramkram</t>
        </is>
      </c>
    </row>
    <row r="9874">
      <c r="A9874" t="inlineStr">
        <is>
          <t>Agitacle</t>
        </is>
      </c>
      <c r="B9874">
        <f>HYPERLINK("https://www.dofusbook.net/fr/equipement/2453599-agitacle/objets", "link")</f>
        <v/>
      </c>
      <c r="C9874" t="n">
        <v>1</v>
      </c>
      <c r="D9874" t="inlineStr">
        <is>
          <t>Épée du Granduk; Amulette du Granduk; Alliance Gloursonne; Anneau de Pol Ouatnos; Jadis; Menoture; Couronne d'Allister; Cape du Valet Veinard; Tentassons; Dofus Émeraude; Bloqueur majeur; Obstructeur majeur; Cascadeur majeur; Remueur; Equilibriste majeur; Muldo Roux</t>
        </is>
      </c>
    </row>
    <row r="9875">
      <c r="A9875" t="inlineStr">
        <is>
          <t>Agitacle</t>
        </is>
      </c>
      <c r="B9875">
        <f>HYPERLINK("https://www.dofusbook.net/fr/equipement/2453519-agitacle/objets", "link")</f>
        <v/>
      </c>
      <c r="C9875" t="n">
        <v>0</v>
      </c>
      <c r="D9875" t="inlineStr">
        <is>
          <t>Épée du Granduk; Amulette du Granduk; Alliance Gloursonne; Anneau de Pol Ouatnos; Jadis; Menoture; Couronne d'Allister; Cape du Valet Veinard; Tentassons; Dofus Émeraude; Remueur; Equilibriste majeur; Bloqueur majeur; Obstructeur majeur; Cascadeur majeur; Muldo Roux</t>
        </is>
      </c>
    </row>
    <row r="9876">
      <c r="A9876" t="inlineStr">
        <is>
          <t>Vita</t>
        </is>
      </c>
      <c r="B9876">
        <f>HYPERLINK("https://www.dofusbook.net/fr/equipement/2452394-vita/objets", "link")</f>
        <v/>
      </c>
      <c r="C9876" t="n">
        <v>0</v>
      </c>
      <c r="D9876" t="inlineStr">
        <is>
          <t>Manthache; Collier du Valet Veinard; Anneau de Pol Ouatnos; Alliance Gloursonne; Bouclier précieux; Menoture; Capuche de Moum-Ra; Cape du Valet Veinard; Palmes Trithons; Dofus Émeraude; Remueur; Miraculé; Cascadeur majeur; Miraculé majeur; Survivant majeur; Péki</t>
        </is>
      </c>
    </row>
    <row r="9877">
      <c r="A9877" t="inlineStr">
        <is>
          <t>Nevark corromp</t>
        </is>
      </c>
      <c r="B9877">
        <f>HYPERLINK("https://www.dofusbook.net/fr/equipement/2451749-nevark-corromp/objets", "link")</f>
        <v/>
      </c>
      <c r="C9877" t="n">
        <v>2</v>
      </c>
      <c r="D9877" t="inlineStr">
        <is>
          <t>Lance corrompue; Amulette de Nevark; Anneau des égarés; Anneau du Comte Harebourg; Bouclier du Captain Amakna; Ceinture de Nevark; Coiffe du Comte Harebourg; Cape de Nevark; Bottes du Comte Harebourg; Dofus Ocre; Dolmanax; Dofus des Glaces; Dofus Pourpre; Robuste majeur; Féroce majeur; Kompost</t>
        </is>
      </c>
    </row>
    <row r="9878">
      <c r="A9878" t="inlineStr">
        <is>
          <t>Nevark corromp</t>
        </is>
      </c>
      <c r="B9878">
        <f>HYPERLINK("https://www.dofusbook.net/fr/equipement/2451582-nevark-corromp/objets", "link")</f>
        <v/>
      </c>
      <c r="C9878" t="n">
        <v>0</v>
      </c>
      <c r="D9878" t="inlineStr">
        <is>
          <t>Lance corrompue; Amulette de Nevark; Anneau des égarés; Anneau du Comte Harebourg; Bouclier du Captain Amakna; Ceinture de Nevark; Coiffe du Comte Harebourg; Cape de Nevark; Bottes du Comte Harebourg; Dofus Pourpre; Dofus Ocre; Dolmanax; Dofus des Glaces; Robuste majeur; Féroce majeur; Kompost</t>
        </is>
      </c>
    </row>
    <row r="9879">
      <c r="A9879" t="inlineStr">
        <is>
          <t>Arc necro</t>
        </is>
      </c>
      <c r="B9879">
        <f>HYPERLINK("https://www.dofusbook.net/fr/equipement/2450983-arc-necro/objets", "link")</f>
        <v/>
      </c>
      <c r="C9879" t="n">
        <v>0</v>
      </c>
      <c r="D9879" t="inlineStr">
        <is>
          <t>Arc Nécrotique; Amulette du Strigide; Anneau Cryochrone; Bracelet du Piloztère; Quatre-feuilles; Ceinture du Strigide; Casquette de Meno; Cape de Meno; Bottes de Meno; Dofus Ocre; Dofus Pourpre; Dofus des Glaces; Dolmanax; Dofus Turquoise; Puissant majeur; Muldo Prune et Emeraude</t>
        </is>
      </c>
    </row>
    <row r="9880">
      <c r="A9880" t="inlineStr">
        <is>
          <t>Arc necro</t>
        </is>
      </c>
      <c r="B9880">
        <f>HYPERLINK("https://www.dofusbook.net/fr/equipement/2450971-arc-necro/objets", "link")</f>
        <v/>
      </c>
      <c r="C9880" t="n">
        <v>0</v>
      </c>
      <c r="D9880" t="inlineStr">
        <is>
          <t>Arc Nécrotique; Amulette du Strigide; Anneau Cryochrone; Bracelet du Piloztère; Quatre-feuilles; Ceinture du Strigide; Casquette de Meno; Cape de Meno; Bottes de Meno; Dolmanax; Dofus Turquoise; Dofus Ocre; Dofus Pourpre; Dofus des Glaces; Puissant majeur; Muldo Prune et Emeraude</t>
        </is>
      </c>
    </row>
    <row r="9881">
      <c r="A9881" t="inlineStr">
        <is>
          <t>Arc necro</t>
        </is>
      </c>
      <c r="B9881">
        <f>HYPERLINK("https://www.dofusbook.net/fr/equipement/2450960-arc-necro/objets", "link")</f>
        <v/>
      </c>
      <c r="C9881" t="n">
        <v>0</v>
      </c>
      <c r="D9881" t="inlineStr">
        <is>
          <t>Arc Nécrotique; Amulette du Strigide; Anneau Cryochrone; Bracelet du Piloztère; Quatre-feuilles; Ceinture du Strigide; Casquette de Meno; Cape de Meno; Bottes de Meno; Dofus Ocre; Dofus Pourpre; Dofus des Glaces; Dolmanax; Dofus Turquoise; Puissant majeur; Muldo Prune et Emeraude</t>
        </is>
      </c>
    </row>
    <row r="9882">
      <c r="A9882" t="inlineStr">
        <is>
          <t>Arc necro</t>
        </is>
      </c>
      <c r="B9882">
        <f>HYPERLINK("https://www.dofusbook.net/fr/equipement/2450891-arc-necro/objets", "link")</f>
        <v/>
      </c>
      <c r="C9882" t="n">
        <v>0</v>
      </c>
      <c r="D9882" t="inlineStr">
        <is>
          <t>Arc Nécrotique; Amulette du Strigide; Anneau Cryochrone; Bracelet du Piloztère; Quatre-feuilles; Ceinture du Strigide; Casquette de Meno; Cape de Meno; Bottes de Meno; Dolmanax; Dofus Turquoise; Dofus Ocre; Dofus Pourpre; Dofus des Glaces; Puissant majeur; Muldo Prune et Emeraude</t>
        </is>
      </c>
    </row>
    <row r="9883">
      <c r="A9883" t="inlineStr">
        <is>
          <t>Eau resi</t>
        </is>
      </c>
      <c r="B9883">
        <f>HYPERLINK("https://www.dofusbook.net/fr/equipement/2447551-eau-resi/objets", "link")</f>
        <v/>
      </c>
      <c r="C9883" t="n">
        <v>0</v>
      </c>
      <c r="D9883" t="inlineStr">
        <is>
          <t>Rapière aux Glyphes; Amulette de Shokkoth; Alliance Gloursonne; Bracelet des Fonds marins; Cadran d'Eau; Poulpagne; Kidibonnet; Cape du Sinistrofu; Bottes du Sinistrofu; Dofus Émeraude; Dofus Turquoise; Remueur; Taquin majeur; Carapace Eau majeur; Chanceux majeur; Muldo Indigo et Pourpre</t>
        </is>
      </c>
    </row>
    <row r="9884">
      <c r="A9884" t="inlineStr">
        <is>
          <t>Eau resi</t>
        </is>
      </c>
      <c r="B9884">
        <f>HYPERLINK("https://www.dofusbook.net/fr/equipement/2447409-eau-resi/objets", "link")</f>
        <v/>
      </c>
      <c r="C9884" t="n">
        <v>0</v>
      </c>
      <c r="D9884" t="inlineStr">
        <is>
          <t>Rapière aux Glyphes; Amulette de Shokkoth; Alliance Gloursonne; Bracelet des Fonds marins; Cadran d'Eau; Poulpagne; Kidibonnet; Cape du Sinistrofu; Bottes du Sinistrofu; Dofus Émeraude; Dofus Turquoise; Taquin majeur; Carapace Eau majeur; Chanceux majeur; Remueur; Muldo Indigo et Pourpre</t>
        </is>
      </c>
    </row>
    <row r="9885">
      <c r="A9885" t="inlineStr">
        <is>
          <t>Eau resi</t>
        </is>
      </c>
      <c r="B9885">
        <f>HYPERLINK("https://www.dofusbook.net/fr/equipement/2097148-eau-resi/objets", "link")</f>
        <v/>
      </c>
      <c r="C9885" t="n">
        <v>0</v>
      </c>
      <c r="D9885" t="inlineStr">
        <is>
          <t>Rapière aux Glyphes; Amulette de Shokkoth; Alliance Gloursonne; Bracelet des Fonds marins; Cadran d'Eau; Poulpagne; Kidibonnet; Cape du Sinistrofu; Bottes du Sinistrofu; Dofus Émeraude; Dofus Turquoise; Miraculé majeur; Carapace Eau majeur; Chanceux majeur; Remueur; Muldo Indigo et Pourpre</t>
        </is>
      </c>
    </row>
    <row r="9886">
      <c r="A9886" t="inlineStr">
        <is>
          <t>Crit force</t>
        </is>
      </c>
      <c r="B9886">
        <f>HYPERLINK("https://www.dofusbook.net/fr/equipement/2447140-crit-force/objets", "link")</f>
        <v/>
      </c>
      <c r="C9886" t="n">
        <v>0</v>
      </c>
      <c r="D9886" t="inlineStr">
        <is>
          <t>Arc du Chalœil; Amulette du Strigide; Anneau Crustique; Anneau Chevelu; Quatre-feuilles; Ceinture du Strigide; Masque de Koutoulou; Cape au Logis; Bottes du Cœur Saignant; Dofus Pourpre; Dofus Turquoise; Forcené majeur; Remueur; Enragé majeur; Nomade; Kompost</t>
        </is>
      </c>
    </row>
    <row r="9887">
      <c r="A9887" t="inlineStr">
        <is>
          <t>Crit force</t>
        </is>
      </c>
      <c r="B9887">
        <f>HYPERLINK("https://www.dofusbook.net/fr/equipement/2446889-crit-force/objets", "link")</f>
        <v/>
      </c>
      <c r="C9887" t="n">
        <v>0</v>
      </c>
      <c r="D9887" t="inlineStr">
        <is>
          <t>Dagues d'Ilyzaelle; Amulette du Strigide; Anneau Crustique; Anneau Crustique; Bouclier du Captain Amakna; Ceinture du Strigide; Masque de Koutoulou; Cape au Logis; Bottes du Cœur Saignant; Dofus Pourpre; Dofus Turquoise; Remueur; Enragé majeur; Vigoureux majeur; Forcené majeur; Kompost</t>
        </is>
      </c>
    </row>
    <row r="9888">
      <c r="A9888" t="inlineStr">
        <is>
          <t>Crit force</t>
        </is>
      </c>
      <c r="B9888">
        <f>HYPERLINK("https://www.dofusbook.net/fr/equipement/2446765-crit-force/objets", "link")</f>
        <v/>
      </c>
      <c r="C9888" t="n">
        <v>0</v>
      </c>
      <c r="D9888" t="inlineStr">
        <is>
          <t>Dagues d'Ilyzaelle; Amulette du Strigide; Anneau Crustique; Anneau Crustique; Bouclier du Captain Amakna; Ceinture du Strigide; Masque de Koutoulou; Cape au Logis; Bottes du Cœur Saignant; Dofus Pourpre; Dofus Turquoise; Forcené majeur; Remueur; Enragé majeur; Vigoureux majeur; Kompost</t>
        </is>
      </c>
    </row>
    <row r="9889">
      <c r="A9889" t="inlineStr">
        <is>
          <t>Crit force</t>
        </is>
      </c>
      <c r="B9889">
        <f>HYPERLINK("https://www.dofusbook.net/fr/equipement/2446633-crit-force/objets", "link")</f>
        <v/>
      </c>
      <c r="C9889" t="n">
        <v>0</v>
      </c>
      <c r="D9889" t="inlineStr">
        <is>
          <t>Arc du Chalœil; Amulette du Strigide; Anneau Chevelu; Anneau Crustique; Quatre-feuilles; Ceinture du Strigide; Masque de Koutoulou; Cape au Logis; Bottes de Brouce; Dofus Nébuleux; Dofus Turquoise; Remueur; Enragé majeur; Nomade; Forcené majeur; Kompost</t>
        </is>
      </c>
    </row>
    <row r="9890">
      <c r="A9890" t="inlineStr">
        <is>
          <t>Fuji</t>
        </is>
      </c>
      <c r="B9890">
        <f>HYPERLINK("https://www.dofusbook.net/fr/equipement/2446597-fuji/objets", "link")</f>
        <v/>
      </c>
      <c r="C9890" t="n">
        <v>0</v>
      </c>
      <c r="D9890" t="inlineStr">
        <is>
          <t>Dague Hirr; Amulette du Strigide; Anneau de la Fuji Givrefoux; Anneau des égarés; Bouclier du Captain Amakna; Ceinture du Strigide; Coiffe de la Fuji Givrefoux; Cape de la Fuji Givrefoux; Bottes de la Fuji Givrefoux; Dofus Turquoise; Dolmanax; Dofus des Glaces; Dofus Pourpre; Dofus Ocre; Puissant majeur; Muldo Doré et Emeraude</t>
        </is>
      </c>
    </row>
    <row r="9891">
      <c r="A9891" t="inlineStr">
        <is>
          <t>Donceit tisue</t>
        </is>
      </c>
      <c r="B9891">
        <f>HYPERLINK("https://www.dofusbook.net/fr/equipement/2446472-donceit-tisue/objets", "link")</f>
        <v/>
      </c>
      <c r="C9891" t="n">
        <v>0</v>
      </c>
      <c r="D9891" t="inlineStr">
        <is>
          <t>Sabres d'Atcham; Amulette du Strigide; Bracelet du Piloztère; Bague Trithon; Quatre-feuilles; Ceinture du Strigide; Masque Trithon; Cape d'Atcham; Bottes Trithon; Dofus Turquoise; Dolmanax; Dofus Ocre; Dofus Pourpre; Dofus des Glaces; Puissant majeur; Muldo Emeraude</t>
        </is>
      </c>
    </row>
    <row r="9892">
      <c r="A9892" t="inlineStr">
        <is>
          <t>Donceit tisue</t>
        </is>
      </c>
      <c r="B9892">
        <f>HYPERLINK("https://www.dofusbook.net/fr/equipement/2446366-donceit-tisue/objets", "link")</f>
        <v/>
      </c>
      <c r="C9892" t="n">
        <v>0</v>
      </c>
      <c r="D9892" t="inlineStr">
        <is>
          <t>Sabres d'Atcham; Amulette du Strigide; Anneau de Padgref; Bague Trithon; Bouclier du Captain Amakna; Ceinture du Strigide; Coiffe de Padgref; Cape d'Atcham; Getas de Padgref; Dofus Ocre; Dofus Pourpre; Dofus des Glaces; Dofus Turquoise; Dolmanax; Puissant majeur; Muldo Emeraude</t>
        </is>
      </c>
    </row>
    <row r="9893">
      <c r="A9893" t="inlineStr">
        <is>
          <t>Ahilrow</t>
        </is>
      </c>
      <c r="B9893">
        <f>HYPERLINK("https://www.dofusbook.net/fr/equipement/2446224-ahilrow/objets", "link")</f>
        <v/>
      </c>
      <c r="C9893" t="n">
        <v>0</v>
      </c>
      <c r="D9893" t="inlineStr">
        <is>
          <t>Amulette de l'Indicible; Alliance Gloursonne; Bracelet du Piloztère; Bouclier du Stalak; Ceinture de la Reine des Voleurs; Coiffe de la Reine des Voleurs; Voilamibe; Bottes de l'Esprit Salvateur; Dofus Pourpre; Dofus Ocre; Dofus des Glaces; Remueur; Vigoureux majeur; Robuste majeur; Kramkram</t>
        </is>
      </c>
    </row>
    <row r="9894">
      <c r="A9894" t="inlineStr">
        <is>
          <t>Airhaique</t>
        </is>
      </c>
      <c r="B9894">
        <f>HYPERLINK("https://www.dofusbook.net/fr/equipement/2443927-airhaique/objets", "link")</f>
        <v/>
      </c>
      <c r="C9894" t="n">
        <v>0</v>
      </c>
      <c r="D9894" t="inlineStr">
        <is>
          <t>Arc Ahique; Collier du Valet Veinard; Gant du Valet Veinard; Alliance Gloursonne; Bouclier du Stalak; Ceinture de la Reine des Voleurs; Coiffe de la Reine des Voleurs; Cape du Valet Veinard; Bottes de la Reine des Voleurs; Dolmanax; Dofus des Glaces; Dokoko; Dofus Pourpre; Dofus Émeraude; Dofus Ocre; Muldo Ebène</t>
        </is>
      </c>
    </row>
    <row r="9895">
      <c r="A9895" t="inlineStr">
        <is>
          <t>Do pou</t>
        </is>
      </c>
      <c r="B9895">
        <f>HYPERLINK("https://www.dofusbook.net/fr/equipement/2436009-do-pou/objets", "link")</f>
        <v/>
      </c>
      <c r="C9895" t="n">
        <v>1</v>
      </c>
      <c r="D9895" t="inlineStr">
        <is>
          <t>Harpelle; Torquistik; Anneau Tique; Baguistik; Bouclier Taverne; Ceintrigue; Masque de l'Esprit Malsain; Cape de Diondin; Bottes des Malveilleurs; Dokoko; Bousculeur majeur; Remueur; Érudit majeur; Culbuteur majeur; Nomade; Kramkram</t>
        </is>
      </c>
    </row>
    <row r="9896">
      <c r="A9896" t="inlineStr">
        <is>
          <t>Hiuffe</t>
        </is>
      </c>
      <c r="B9896">
        <f>HYPERLINK("https://www.dofusbook.net/fr/equipement/2435958-hiuffe/objets", "link")</f>
        <v/>
      </c>
      <c r="C9896" t="n">
        <v>0</v>
      </c>
      <c r="D9896" t="inlineStr">
        <is>
          <t>Harpelle; Amulette Séculaire; Anneau de Padgref; Anneauræus; Bouclier du Captain Amakna; Ceinture Séculaire; Coiffe de Padgref; Cape de Diondin; Getas de Padgref; Dofus des Glaces; Dofus Pourpre; Dofus Turquoise; Astucieux majeur; Saccageur Feu majeur; Savant majeur; Muldo Prune et Emeraude</t>
        </is>
      </c>
    </row>
    <row r="9897">
      <c r="A9897" t="inlineStr">
        <is>
          <t>Hiuffe</t>
        </is>
      </c>
      <c r="B9897">
        <f>HYPERLINK("https://www.dofusbook.net/fr/equipement/2435932-hiuffe/objets", "link")</f>
        <v/>
      </c>
      <c r="C9897" t="n">
        <v>0</v>
      </c>
      <c r="D9897" t="inlineStr">
        <is>
          <t>Harpelle; Amulette Séculaire; Anneauræus; Anneau de Padgref; Bouclier du Captain Amakna; Ceinture Séculaire; Coiffe de Padgref; Cape de Diondin; Getas de Padgref; Dofus Turquoise; Dofus des Glaces; Savant majeur; Astucieux majeur; Ravageur Feu majeur; Saccageur Feu majeur; Muldo Prune et Emeraude</t>
        </is>
      </c>
    </row>
    <row r="9898">
      <c r="A9898" t="inlineStr">
        <is>
          <t>Hiuffe</t>
        </is>
      </c>
      <c r="B9898">
        <f>HYPERLINK("https://www.dofusbook.net/fr/equipement/2435894-hiuffe/objets", "link")</f>
        <v/>
      </c>
      <c r="C9898" t="n">
        <v>0</v>
      </c>
      <c r="D9898" t="inlineStr">
        <is>
          <t>Harpelle; Amulette Séculaire; Anneau de Padgref; Anneauræus; Bouclier du Captain Amakna; Ceinture Séculaire; Coiffe de Padgref; Cape de Diondin; Getas de Padgref; Dofus des Glaces; Dofus Turquoise; Astucieux majeur; Ravageur Feu majeur; Saccageur Feu majeur; Savant majeur; Muldo Prune et Emeraude</t>
        </is>
      </c>
    </row>
    <row r="9899">
      <c r="A9899" t="inlineStr">
        <is>
          <t>Koutoulou</t>
        </is>
      </c>
      <c r="B9899">
        <f>HYPERLINK("https://www.dofusbook.net/fr/equipement/2435793-koutoulou/objets", "link")</f>
        <v/>
      </c>
      <c r="C9899" t="n">
        <v>0</v>
      </c>
      <c r="D9899" t="inlineStr">
        <is>
          <t>Sceptre du Roi Joueur; Amulette du Strigide; Bracelet du Piloztère; Bracelet des Fonds marins; Quatre-feuilles; Ceinture du Strigide; Némès de Tal Kasha; Chevelure de Tal Kasha; Sandales de Tal Kasha; Dofus Pourpre; Dofus Turquoise; Dofus des Glaces; Dofus Ocre; Joueur majeur; Taquin majeur; Muldo Prune et Emeraude</t>
        </is>
      </c>
    </row>
    <row r="9900">
      <c r="A9900" t="inlineStr">
        <is>
          <t>Koutoulou</t>
        </is>
      </c>
      <c r="B9900">
        <f>HYPERLINK("https://www.dofusbook.net/fr/equipement/2435785-koutoulou/objets", "link")</f>
        <v/>
      </c>
      <c r="C9900" t="n">
        <v>0</v>
      </c>
      <c r="D9900" t="inlineStr">
        <is>
          <t>Sceptre du Roi Joueur; Amulette du Strigide; Bracelet des Fonds marins; Bracelet du Piloztère; Bouclier du Captain Amakna; Ceinture du Strigide; Némès de Tal Kasha; Chevelure de Tal Kasha; Sandales de Tal Kasha; Dofus Turquoise; Dofus des Glaces; Dofus Ocre; Dofus Pourpre; Taquin majeur; Joueur majeur; Muldo Prune et Emeraude</t>
        </is>
      </c>
    </row>
    <row r="9901">
      <c r="A9901" t="inlineStr">
        <is>
          <t>Koutoulou</t>
        </is>
      </c>
      <c r="B9901">
        <f>HYPERLINK("https://www.dofusbook.net/fr/equipement/2435766-koutoulou/objets", "link")</f>
        <v/>
      </c>
      <c r="C9901" t="n">
        <v>0</v>
      </c>
      <c r="D9901" t="inlineStr">
        <is>
          <t>Sceptre du Roi Joueur; Amulette du Strigide; Bracelet du Piloztère; Bracelet des Fonds marins; Bouclier du Captain Amakna; Ceinture du Strigide; Némès de Tal Kasha; Chevelure de Tal Kasha; Sandales de Tal Kasha; Dofus Pourpre; Dofus Turquoise; Dofus des Glaces; Dofus Ocre; Joueur majeur; Taquin majeur; Muldo Prune et Emeraude</t>
        </is>
      </c>
    </row>
    <row r="9902">
      <c r="A9902" t="inlineStr">
        <is>
          <t>Full jeak</t>
        </is>
      </c>
      <c r="B9902">
        <f>HYPERLINK("https://www.dofusbook.net/fr/equipement/2435661-full-jeak/objets", "link")</f>
        <v/>
      </c>
      <c r="C9902" t="n">
        <v>0</v>
      </c>
      <c r="D9902" t="inlineStr">
        <is>
          <t>Harpelle; Pendentif affamé; Anneauræus; Anneau de Nidas; Bouclier du Cycloïde; Ceinture de Vortex; Couronne de Nidas; Cape de Diondin; Bottes Innommables; Nomade; Érudit majeur; Astucieux majeur; Guérisseur majeur; Remueur; Docteur majeur; Brûlih</t>
        </is>
      </c>
    </row>
    <row r="9903">
      <c r="A9903" t="inlineStr">
        <is>
          <t>Full jeak</t>
        </is>
      </c>
      <c r="B9903">
        <f>HYPERLINK("https://www.dofusbook.net/fr/equipement/2435600-full-jeak/objets", "link")</f>
        <v/>
      </c>
      <c r="C9903" t="n">
        <v>0</v>
      </c>
      <c r="D9903" t="inlineStr">
        <is>
          <t>Harpelle; Pendentif affamé; Anneau de Nidas; Anneauræus; Bivalve; Ceinture de Vortex; Couronne de Nidas; Cape de Diondin; Bottes Innommables; Astucieux majeur; Guérisseur majeur; Remueur; Docteur majeur; Nomade; Érudit majeur; Brûlih</t>
        </is>
      </c>
    </row>
    <row r="9904">
      <c r="A9904" t="inlineStr">
        <is>
          <t>Full jeak</t>
        </is>
      </c>
      <c r="B9904">
        <f>HYPERLINK("https://www.dofusbook.net/fr/equipement/2435497-full-jeak/objets", "link")</f>
        <v/>
      </c>
      <c r="C9904" t="n">
        <v>0</v>
      </c>
      <c r="D9904" t="inlineStr">
        <is>
          <t>Le Thanos; Pendentif affamé; Anneauræus; Anneau de Nidas; Carapar; Ceinture de Vortex; Couronne de Nidas; Cape de Diondin; Bottes Innommables; Nomade; Érudit majeur; Astucieux majeur; Guérisseur majeur; Remueur; Docteur majeur; Brûlih</t>
        </is>
      </c>
    </row>
    <row r="9905">
      <c r="A9905" t="inlineStr">
        <is>
          <t>Feu resi vita</t>
        </is>
      </c>
      <c r="B9905">
        <f>HYPERLINK("https://www.dofusbook.net/fr/equipement/2435379-feu-resi-vita/objets", "link")</f>
        <v/>
      </c>
      <c r="C9905" t="n">
        <v>0</v>
      </c>
      <c r="D9905" t="inlineStr">
        <is>
          <t>Arc corrompu; Pendentif affamé; Anneau de Nidas; Anneau Tique; Quatre-feuilles; Ceinture de Vortex; Couronne de Nidas; Voile d'encre; Bottes Innommables; Dokoko; Dofus Ocre; Dofus Émeraude; Dofus Turquoise; Remueur; Miraculé majeur; Muldo Doré et Orchidée</t>
        </is>
      </c>
    </row>
    <row r="9906">
      <c r="A9906" t="inlineStr">
        <is>
          <t>Vita</t>
        </is>
      </c>
      <c r="B9906">
        <f>HYPERLINK("https://www.dofusbook.net/fr/equipement/2418341-vita/objets", "link")</f>
        <v/>
      </c>
      <c r="C9906" t="n">
        <v>0</v>
      </c>
      <c r="D9906" t="inlineStr">
        <is>
          <t>Manthache; Amulette de Pol Ouatnos; Bracelet du Piloztère; Alliance Gloursonne; Détourné; Ceintacé; Masque d'Anerice; Cape d'Anerice; Chaussures Face; Dofus Pourpre; Dokoko; Dofus Émeraude; Remueur; Survivant majeur; Miraculé majeur; Muldo Ebène et Orchidée</t>
        </is>
      </c>
    </row>
    <row r="9907">
      <c r="A9907" t="inlineStr">
        <is>
          <t>Bâton no cc</t>
        </is>
      </c>
      <c r="B9907">
        <f>HYPERLINK("https://www.dofusbook.net/fr/equipement/2418282-baton-no-cc/objets", "link")</f>
        <v/>
      </c>
      <c r="C9907" t="n">
        <v>0</v>
      </c>
      <c r="D9907" t="inlineStr">
        <is>
          <t>Lance corrompue; Amulette de l'Indicible; Bracelet du Piloztère; Anneau des égarés; Bouclier alvéolé; Ceinture de la Reine des Voleurs; Coiffe de la Reine des Voleurs; Cape du Cœur Vaillant; Baleinabottes; Dofus Pourpre; Dofus des Glaces; Dolmanax; Nomade; Sanguinaire majeur; Remueur; Kramkram</t>
        </is>
      </c>
    </row>
    <row r="9908">
      <c r="A9908" t="inlineStr">
        <is>
          <t>Dofla</t>
        </is>
      </c>
      <c r="B9908">
        <f>HYPERLINK("https://www.dofusbook.net/fr/equipement/2418218-dofla/objets", "link")</f>
        <v/>
      </c>
      <c r="C9908" t="n">
        <v>1</v>
      </c>
      <c r="D9908" t="inlineStr">
        <is>
          <t>Lance corrompue; Torquistik; Goulano; Alliance Gloursonne; Bouclier précieux; Ceinture de la Reine des Voleurs; Coiffe de la Reine des Voleurs; Cape du Cœur Vaillant; Baleinabottes; Dofus Émeraude; Dofus des Glaces; Dokoko; Remueur; Bousculeur majeur; Culbuteur majeur; Muldo Ebène</t>
        </is>
      </c>
    </row>
    <row r="9909">
      <c r="A9909" t="inlineStr">
        <is>
          <t>Do pou resis</t>
        </is>
      </c>
      <c r="B9909">
        <f>HYPERLINK("https://www.dofusbook.net/fr/equipement/2416478-do-pou-resis/objets", "link")</f>
        <v/>
      </c>
      <c r="C9909" t="n">
        <v>1</v>
      </c>
      <c r="D9909" t="inlineStr">
        <is>
          <t>Lance corrompue; Torquistik; Goulano; Baguistik; Goulclier; Ceinture de la Reine des Voleurs; Coiffe de la Reine des Voleurs; Cape Luminescente; Bottistik; Dolmanax; Dokoko; Dofus Ocre; Dofus Émeraude; Bousculeur majeur; Pousseur majeur; Muldo Ebène et Orchidée</t>
        </is>
      </c>
    </row>
    <row r="9910">
      <c r="A9910" t="inlineStr">
        <is>
          <t>Feu eau</t>
        </is>
      </c>
      <c r="B9910">
        <f>HYPERLINK("https://www.dofusbook.net/fr/equipement/2416242-feu-eau/objets", "link")</f>
        <v/>
      </c>
      <c r="C9910" t="n">
        <v>0</v>
      </c>
      <c r="D9910" t="inlineStr">
        <is>
          <t>Arc Nécrotique; Collier de la Dame du Hasard; Bracelet du Piloztère; Alliance Gloursonne; Quatre-feuilles; Ceintacé; Casquette de Meno; Cape de la Dame du Hasard; Pataugastrique; Dofus Turquoise; Dofus Pourpre; Chanceux majeur; Remueur; Vigoureux majeur; Nomade; Muldo Prune et Orchidée</t>
        </is>
      </c>
    </row>
    <row r="9911">
      <c r="A9911" t="inlineStr">
        <is>
          <t>Feu eau</t>
        </is>
      </c>
      <c r="B9911">
        <f>HYPERLINK("https://www.dofusbook.net/fr/equipement/2416223-feu-eau/objets", "link")</f>
        <v/>
      </c>
      <c r="C9911" t="n">
        <v>0</v>
      </c>
      <c r="D9911" t="inlineStr">
        <is>
          <t>Arc Nécrotique; Collier de la Dame du Hasard; Bracelet du Piloztère; Anneau Tique; Quatre-feuilles; Ceintacé; Casquette de Meno; Cape de la Dame du Hasard; Pataugastrique; Dofus Turquoise; Dofus Pourpre; Chanceux majeur; Remueur; Vigoureux majeur; Nomade; Muldo Prune et Emeraude</t>
        </is>
      </c>
    </row>
    <row r="9912">
      <c r="A9912" t="inlineStr">
        <is>
          <t>Feu eau</t>
        </is>
      </c>
      <c r="B9912">
        <f>HYPERLINK("https://www.dofusbook.net/fr/equipement/2416215-feu-eau/objets", "link")</f>
        <v/>
      </c>
      <c r="C9912" t="n">
        <v>2</v>
      </c>
      <c r="D9912" t="inlineStr">
        <is>
          <t>Arc Nécrotique; Collier de la Dame du Hasard; Anneau Tique; Bracelet du Piloztère; Quatre-feuilles; Ceintacé; Casquette de Meno; Cape de la Dame du Hasard; Pataugastrique; Dofus Pourpre; Dofus Turquoise; Remueur; Vigoureux majeur; Nomade; Chanceux majeur; Muldo Prune et Emeraude</t>
        </is>
      </c>
    </row>
    <row r="9913">
      <c r="A9913" t="inlineStr">
        <is>
          <t>Feu eau</t>
        </is>
      </c>
      <c r="B9913">
        <f>HYPERLINK("https://www.dofusbook.net/fr/equipement/2416200-feu-eau/objets", "link")</f>
        <v/>
      </c>
      <c r="C9913" t="n">
        <v>0</v>
      </c>
      <c r="D9913" t="inlineStr">
        <is>
          <t>Arc Nécrotique; Collier de la Dame du Hasard; Bracelet du Piloztère; Anneau Tique; Quatre-feuilles; Ceintacé; Casquette de Meno; Cape de la Dame du Hasard; Pataugastrique; Dofus Turquoise; Dofus Pourpre; Chanceux majeur; Remueur; Vigoureux majeur; Nomade; Muldo Prune et Emeraude</t>
        </is>
      </c>
    </row>
    <row r="9914">
      <c r="A9914" t="inlineStr">
        <is>
          <t>Feu eau</t>
        </is>
      </c>
      <c r="B9914">
        <f>HYPERLINK("https://www.dofusbook.net/fr/equipement/2416191-feu-eau/objets", "link")</f>
        <v/>
      </c>
      <c r="C9914" t="n">
        <v>0</v>
      </c>
      <c r="D9914" t="inlineStr">
        <is>
          <t>Arc Nécrotique; Collier de la Dame du Hasard; Anneau Tique; Bracelet du Piloztère; Quatre-feuilles; Ceintacé; Casquette de Meno; Cape de la Dame du Hasard; Pataugastrique; Dofus Pourpre; Dofus Turquoise; Remueur; Vigoureux majeur; Nomade; Chanceux majeur; Muldo Prune et Emeraude</t>
        </is>
      </c>
    </row>
    <row r="9915">
      <c r="A9915" t="inlineStr">
        <is>
          <t>Feu eau</t>
        </is>
      </c>
      <c r="B9915">
        <f>HYPERLINK("https://www.dofusbook.net/fr/equipement/2416110-feu-eau/objets", "link")</f>
        <v/>
      </c>
      <c r="C9915" t="n">
        <v>1</v>
      </c>
      <c r="D9915" t="inlineStr">
        <is>
          <t>Arc Nécrotique; Collier de la Dame du Hasard; Bracelet du Piloztère; Anneau Tique; Quatre-feuilles; Ceintacé; Casquette de Meno; Cape de la Dame du Hasard; Pataugastrique; Dofus Turquoise; Dofus Pourpre; Chanceux majeur; Remueur; Vigoureux majeur; Nomade; Muldo Prune et Emeraude</t>
        </is>
      </c>
    </row>
    <row r="9916">
      <c r="A9916" t="inlineStr">
        <is>
          <t>Recrit2</t>
        </is>
      </c>
      <c r="B9916">
        <f>HYPERLINK("https://www.dofusbook.net/fr/equipement/2410469-recrit2/objets", "link")</f>
        <v/>
      </c>
      <c r="C9916" t="n">
        <v>2</v>
      </c>
      <c r="D9916" t="inlineStr">
        <is>
          <t>Dagues de Srambad; Amulette Ementaire Deluxe; Goulano; Bracelet du Piloztère; Goulclier; Ceinture de la Reine des Voleurs; Coiffe de la Reine des Voleurs; Voile d'encre; Bottes de la Reine des Voleurs; Dofus Pourpre; Dofus Ocre; Dolmanax; Dofus des Glaces; Entraveur majeur; Vagabond majeur; Muldo Ebène et Orchidée</t>
        </is>
      </c>
    </row>
    <row r="9917">
      <c r="A9917" t="inlineStr">
        <is>
          <t>Resi crit</t>
        </is>
      </c>
      <c r="B9917">
        <f>HYPERLINK("https://www.dofusbook.net/fr/equipement/1802998-resi-crit/objets", "link")</f>
        <v/>
      </c>
      <c r="C9917" t="n">
        <v>0</v>
      </c>
      <c r="D9917" t="inlineStr">
        <is>
          <t>Dagues Érhy; Torquistik; Baguistik; Goulano; Goulclier; Ceinture de Kongoku; Boucle d'oreille de Kongoku; Cape de Kongoku; Goulbottes; Dofus Pourpre; Dofus Ocre; Dofus des Glaces; Dolmanax; Dofus Turquoise; Puissant majeur; Muldo Prune et Emeraude</t>
        </is>
      </c>
    </row>
    <row r="9918">
      <c r="A9918" t="inlineStr">
        <is>
          <t>Air do cri</t>
        </is>
      </c>
      <c r="B9918">
        <f>HYPERLINK("https://www.dofusbook.net/fr/equipement/2392795-air-do-cri/objets", "link")</f>
        <v/>
      </c>
      <c r="C9918" t="n">
        <v>0</v>
      </c>
      <c r="D9918" t="inlineStr">
        <is>
          <t>Hachoirs de Viandargh; Amulette du Strigide; Anneau de Padgref; Anneau Vicieux; Bouclier du Captain Amakna; Ceinture du Strigide; Coiffe de Padgref; Cape Indescriptible; Getas de Padgref; Dofus Pourpre; Dofus Ocre; Dofus des Glaces; Dofus Turquoise; Acrobate majeur; Equilibriste majeur; Muldo Prune et Emeraude</t>
        </is>
      </c>
    </row>
    <row r="9919">
      <c r="A9919" t="inlineStr">
        <is>
          <t>Glyphe</t>
        </is>
      </c>
      <c r="B9919">
        <f>HYPERLINK("https://www.dofusbook.net/fr/equipement/2389586-glyphe/objets", "link")</f>
        <v/>
      </c>
      <c r="C9919" t="n">
        <v>0</v>
      </c>
      <c r="D9919" t="inlineStr">
        <is>
          <t>Lance corrompue; Kralamansion; Grésilanneau; Bracelet du Piloztère; Jadis; Ceinture du Strigide; Masque de l'Esprit Salvateur; Voilamibe; Bottes du Strigide; Dofus Ocre; Dolmanax; Dofus des Glaces; Dofus Pourpre; Obstructeur majeur; Remueur; Muldo Roux et Doré</t>
        </is>
      </c>
    </row>
    <row r="9920">
      <c r="A9920" t="inlineStr">
        <is>
          <t>Koutoulou</t>
        </is>
      </c>
      <c r="B9920">
        <f>HYPERLINK("https://www.dofusbook.net/fr/equipement/2389514-koutoulou/objets", "link")</f>
        <v/>
      </c>
      <c r="C9920" t="n">
        <v>0</v>
      </c>
      <c r="D9920" t="inlineStr">
        <is>
          <t>Arc de Koutoulou; Amulette du Strigide; Bracelet des Fonds marins; Bracelet du Piloztère; Quatre-feuilles; Ceinture du Strigide; Némès de Tal Kasha; Chevelure de Tal Kasha; Sandales de Tal Kasha; Dofus Turquoise; Dofus Ocre; Dolmanax; Dofus Pourpre; Taquin majeur; Joueur majeur; Muldo Prune et Emeraude</t>
        </is>
      </c>
    </row>
    <row r="9921">
      <c r="A9921" t="inlineStr">
        <is>
          <t>Chsncd</t>
        </is>
      </c>
      <c r="B9921">
        <f>HYPERLINK("https://www.dofusbook.net/fr/equipement/2389339-chsncd/objets", "link")</f>
        <v/>
      </c>
      <c r="C9921" t="n">
        <v>0</v>
      </c>
      <c r="D9921" t="inlineStr">
        <is>
          <t>Sceptre du Roi Joueur; Amulette du Sinistrofu; Bracelet du Piloztère; Bracelet des Fonds marins; Quatre-feuilles; Pagne du Rykaon; Kidibonnet; Cape du Sinistrofu; Pataugastrique; Dofus Pourpre; Dofus Turquoise; Remueur; Chanceux majeur; Nomade; Taquin majeur; Dehluge</t>
        </is>
      </c>
    </row>
    <row r="9922">
      <c r="A9922" t="inlineStr">
        <is>
          <t>Mulyi</t>
        </is>
      </c>
      <c r="B9922">
        <f>HYPERLINK("https://www.dofusbook.net/fr/equipement/2389207-mulyi/objets", "link")</f>
        <v/>
      </c>
      <c r="C9922" t="n">
        <v>1</v>
      </c>
      <c r="D9922" t="inlineStr">
        <is>
          <t>Epée Gloursonne; Amulette de Pol Ouatnos; Alliance Gloursonne; Bague Gloursonne; Bouclier du Captain Amakna; Ceinture de la Reine des Voleurs; Coiffe de la Reine des Voleurs; Dofusteuse; Bottes de la Reine des Voleurs; Dolmanax; Dofus des Glaces; Dofus Émeraude; Dofus Pourpre; Dofus Turquoise; Puissant majeur; Kramkram</t>
        </is>
      </c>
    </row>
    <row r="9923">
      <c r="A9923" t="inlineStr">
        <is>
          <t>Multi terre feu</t>
        </is>
      </c>
      <c r="B9923">
        <f>HYPERLINK("https://www.dofusbook.net/fr/equipement/2351343-multi-terre-feu/objets", "link")</f>
        <v/>
      </c>
      <c r="C9923" t="n">
        <v>0</v>
      </c>
      <c r="D9923" t="inlineStr">
        <is>
          <t>Dagues Érhy; Amulette du Strigide; Bracelet du Piloztère; Anneau de Pol Ouatnos; Quatre-feuilles; Ceintacé; Casque du Chalœil; Voile d'encre; Bottes du Strigide; Dofus Pourpre; Dofus Turquoise; Remueur; Temporiseur majeur; Nomade; Déserteur majeur; Kramkram</t>
        </is>
      </c>
    </row>
    <row r="9924">
      <c r="A9924" t="inlineStr">
        <is>
          <t>Ahique rdv</t>
        </is>
      </c>
      <c r="B9924">
        <f>HYPERLINK("https://www.dofusbook.net/fr/equipement/2351028-ahique-rdv/objets", "link")</f>
        <v/>
      </c>
      <c r="C9924" t="n">
        <v>0</v>
      </c>
      <c r="D9924" t="inlineStr">
        <is>
          <t>Arc Ahique; Amulette Ementaire Deluxe; Bracelet du Piloztère; Alliance Gloursonne; Cadran d'Air; Ceinture de la Reine des Voleurs; Coiffe de la Reine des Voleurs; Voile d'encre; Baleinabottes; Dofus des Glaces; Dolmanax; Dofus Pourpre; Nomade; Vigoureux majeur; Remueur; Kramkram</t>
        </is>
      </c>
    </row>
    <row r="9925">
      <c r="A9925" t="inlineStr">
        <is>
          <t>Ahique</t>
        </is>
      </c>
      <c r="B9925">
        <f>HYPERLINK("https://www.dofusbook.net/fr/equipement/2350877-ahique/objets", "link")</f>
        <v/>
      </c>
      <c r="C9925" t="n">
        <v>0</v>
      </c>
      <c r="D9925" t="inlineStr">
        <is>
          <t>Arc Ahique; Amulette d'Ilyzaelle; Alliance Gloursonne; Bracelet du Piloztère; Bouclier du Stalak; Ceinture Voldelor; Casque d'Ilyzaelle; Cape des Justiciers; Bottes de la Reine des Voleurs; Dofus Pourpre; Dofus des Glaces; Remueur; Vigoureux majeur; Nomade; Robuste majeur; Muldo Ebène et Pourpre</t>
        </is>
      </c>
    </row>
    <row r="9926">
      <c r="A9926" t="inlineStr">
        <is>
          <t>Air 12 cx</t>
        </is>
      </c>
      <c r="B9926">
        <f>HYPERLINK("https://www.dofusbook.net/fr/equipement/2276474-air-12-cx/objets", "link")</f>
        <v/>
      </c>
      <c r="C9926" t="n">
        <v>0</v>
      </c>
      <c r="D9926" t="inlineStr">
        <is>
          <t>Hachoirs de Viandargh; Collier du Valet Veinard; Anneau d'Allister; Gant du Valet Veinard; Bouclier du Captain Amakna; Ceinture du Barbétoal; Couronne d'Allister; Cape du Valet Veinard; Bottes d'Allister; Dofus Pourpre; Dofus des Glaces; Dofus Turquoise; Dofus Émeraude; Dofus Ocre; Equilibriste majeur; Siroko</t>
        </is>
      </c>
    </row>
    <row r="9927">
      <c r="A9927" t="inlineStr">
        <is>
          <t>Air do cri</t>
        </is>
      </c>
      <c r="B9927">
        <f>HYPERLINK("https://www.dofusbook.net/fr/equipement/2276450-air-do-cri/objets", "link")</f>
        <v/>
      </c>
      <c r="C9927" t="n">
        <v>0</v>
      </c>
      <c r="D9927" t="inlineStr">
        <is>
          <t>Baguette Hernelle; Amulette du Strigide; Anneau Vicieux; Anneau de Padgref; Quatre-feuilles; Ceinture du Strigide; Coiffe de Padgref; Cape Indescriptible; Getas de Padgref; Dofus des Glaces; Dofus Turquoise; Dofus Pourpre; Dofus Ocre; Ravageur Air majeur; Equilibriste majeur; Muldo Prune et Emeraude</t>
        </is>
      </c>
    </row>
    <row r="9928">
      <c r="A9928" t="inlineStr">
        <is>
          <t>Air do cri</t>
        </is>
      </c>
      <c r="B9928">
        <f>HYPERLINK("https://www.dofusbook.net/fr/equipement/2276443-air-do-cri/objets", "link")</f>
        <v/>
      </c>
      <c r="C9928" t="n">
        <v>0</v>
      </c>
      <c r="D9928" t="inlineStr">
        <is>
          <t>Hachoirs de Viandargh; Amulette du Strigide; Anneau de Padgref; Anneau Vicieux; Bouclier du Captain Amakna; Ceinture du Strigide; Némès de Tal Kasha; Chevelure de Tal Kasha; Sandales de Tal Kasha; Dofus Pourpre; Dofus Ocre; Dofus des Glaces; Dofus Turquoise; Acrobate majeur; Equilibriste majeur; Muldo Doré et Emeraude</t>
        </is>
      </c>
    </row>
    <row r="9929">
      <c r="A9929" t="inlineStr">
        <is>
          <t>Air do cri</t>
        </is>
      </c>
      <c r="B9929">
        <f>HYPERLINK("https://www.dofusbook.net/fr/equipement/2276436-air-do-cri/objets", "link")</f>
        <v/>
      </c>
      <c r="C9929" t="n">
        <v>0</v>
      </c>
      <c r="D9929" t="inlineStr">
        <is>
          <t>Hachoirs de Viandargh; Amulette du Strigide; Anneau Vicieux; Anneau de Padgref; Bouclier du Captain Amakna; Ceinture du Strigide; Coiffe de Padgref; Cape Indescriptible; Getas de Padgref; Dofus des Glaces; Dofus Turquoise; Dofus Pourpre; Dofus Ocre; Acrobate majeur; Equilibriste majeur; Muldo Prune et Emeraude</t>
        </is>
      </c>
    </row>
    <row r="9930">
      <c r="A9930" t="inlineStr">
        <is>
          <t>Air do cri</t>
        </is>
      </c>
      <c r="B9930">
        <f>HYPERLINK("https://www.dofusbook.net/fr/equipement/2276415-air-do-cri/objets", "link")</f>
        <v/>
      </c>
      <c r="C9930" t="n">
        <v>0</v>
      </c>
      <c r="D9930" t="inlineStr">
        <is>
          <t>Hachoirs de Viandargh; Amulette du Strigide; Anneau de Padgref; Anneau Vicieux; Bouclier du Captain Amakna; Ceinture du Strigide; Coiffe de Padgref; Cape Indescriptible; Getas de Padgref; Dofus Pourpre; Dofus Ocre; Dofus des Glaces; Dofus Turquoise; Acrobate majeur; Equilibriste majeur; Muldo Prune et Emeraude</t>
        </is>
      </c>
    </row>
    <row r="9931">
      <c r="A9931" t="inlineStr">
        <is>
          <t>Vitz multi</t>
        </is>
      </c>
      <c r="B9931">
        <f>HYPERLINK("https://www.dofusbook.net/fr/equipement/2274436-vitz-multi/objets", "link")</f>
        <v/>
      </c>
      <c r="C9931" t="n">
        <v>0</v>
      </c>
      <c r="D9931" t="inlineStr">
        <is>
          <t>Epée Maudite du Saigneur Guerrier; Amulette du Strigide; Anneau de Pol Ouatnos; Bracelet du Piloztère; Bouclier du Captain Amakna; Ceinture du Strigide; Masque de Koutoulou; Cape du Chalœil; Dofus Pourpre; Dofus Turquoise; Dofus Émeraude; Miraculé majeur; Remueur; Nomade</t>
        </is>
      </c>
    </row>
    <row r="9932">
      <c r="A9932" t="inlineStr">
        <is>
          <t>Prospection</t>
        </is>
      </c>
      <c r="B9932">
        <f>HYPERLINK("https://www.dofusbook.net/fr/equipement/2256030-prospection/objets", "link")</f>
        <v/>
      </c>
      <c r="C9932" t="n">
        <v>0</v>
      </c>
      <c r="D9932" t="inlineStr">
        <is>
          <t>Sceptre du Roi Joueur; Amulette du Sinistrofu; Bracelet du Piloztère; Alliance Gloursonne; Quatre-feuilles; Sangle Ouare; Kidibonnet; Cape du Sinistrofu; Sandales Circulaires du Kimbo; Dofus Turquoise; Remueur; Taquin majeur; Nomade; Chanceux majeur; Joueur majeur; Dehluge</t>
        </is>
      </c>
    </row>
    <row r="9933">
      <c r="A9933" t="inlineStr">
        <is>
          <t>Prospection</t>
        </is>
      </c>
      <c r="B9933">
        <f>HYPERLINK("https://www.dofusbook.net/fr/equipement/2256017-prospection/objets", "link")</f>
        <v/>
      </c>
      <c r="C9933" t="n">
        <v>0</v>
      </c>
      <c r="D9933" t="inlineStr">
        <is>
          <t>Sceptre du Roi Joueur; Amulette du Sinistrofu; Alliance Gloursonne; Grésilanneau; Bouclier du Stalak; Poulpagne; Kidibonnet; Cape du Sinistrofu; Sandales Circulaires du Kimbo; Dofus Kaliptus; Joueur majeur; Remueur; Taquin majeur; Nomade; Chanceux majeur; Dragodinde Turquoise</t>
        </is>
      </c>
    </row>
    <row r="9934">
      <c r="A9934" t="inlineStr">
        <is>
          <t>Prospection</t>
        </is>
      </c>
      <c r="B9934">
        <f>HYPERLINK("https://www.dofusbook.net/fr/equipement/2255895-prospection/objets", "link")</f>
        <v/>
      </c>
      <c r="C9934" t="n">
        <v>0</v>
      </c>
      <c r="D9934" t="inlineStr">
        <is>
          <t>Sceptre du Roi Joueur; Amulette du Sinistrofu; Grésilanneau; Alliance Gloursonne; Quatre-feuilles; Sangle Ouare; Kidibonnet; Cape du Sinistrofu; Sandales Circulaires du Kimbo; Dofus Kaliptus; Remueur; Taquin majeur; Nomade; Chanceux majeur; Joueur majeur; Dragodinde Turquoise</t>
        </is>
      </c>
    </row>
    <row r="9935">
      <c r="A9935" t="inlineStr">
        <is>
          <t>Multi</t>
        </is>
      </c>
      <c r="B9935">
        <f>HYPERLINK("https://www.dofusbook.net/fr/equipement/2255431-multi/objets", "link")</f>
        <v/>
      </c>
      <c r="C9935" t="n">
        <v>0</v>
      </c>
      <c r="D9935" t="inlineStr">
        <is>
          <t>Dagues Érhy; Torquistik; Alliance Brûlâme; Baguistik; Bouclier du Stalak; Protopagne; Masque Brûlâme; Voile d'encre; Pompes Funèbres; Dolmanax; Dofus des Glaces; Dofus Pourpre; Dokoko; Dofus Ocre; Ralentisseur majeur; Kramkram</t>
        </is>
      </c>
    </row>
    <row r="9936">
      <c r="A9936" t="inlineStr">
        <is>
          <t>Multi</t>
        </is>
      </c>
      <c r="B9936">
        <f>HYPERLINK("https://www.dofusbook.net/fr/equipement/2255417-multi/objets", "link")</f>
        <v/>
      </c>
      <c r="C9936" t="n">
        <v>0</v>
      </c>
      <c r="D9936" t="inlineStr">
        <is>
          <t>Epée Gloursonne; Amulette du Strigide; Bague Gloursonne; Alliance Gloursonne; Bouclier du Captain Amakna; Ceinture du Strigide; Chapeau Lisson; Voile d'encre; Bottes du Strigide; Dokoko; Dofus Turquoise; Dolmanax; Dofus Ocre; Dofus Pourpre; Dofus des Glaces; Muldo Prune et Emeraude</t>
        </is>
      </c>
    </row>
    <row r="9937">
      <c r="A9937" t="inlineStr">
        <is>
          <t>Multi</t>
        </is>
      </c>
      <c r="B9937">
        <f>HYPERLINK("https://www.dofusbook.net/fr/equipement/2255406-multi/objets", "link")</f>
        <v/>
      </c>
      <c r="C9937" t="n">
        <v>0</v>
      </c>
      <c r="D9937" t="inlineStr">
        <is>
          <t>Epée Gloursonne; Amulette du Strigide; Alliance Gloursonne; Bague Gloursonne; Bouclier du Captain Amakna; Ceinture du Strigide; Chapeau Lisson; Voile d'encre; Bottes du Strigide; Dofus Pourpre; Dofus des Glaces; Dokoko; Dofus Turquoise; Dolmanax; Dofus Ocre; Muldo Prune et Emeraude</t>
        </is>
      </c>
    </row>
    <row r="9938">
      <c r="A9938" t="inlineStr">
        <is>
          <t>Multi</t>
        </is>
      </c>
      <c r="B9938">
        <f>HYPERLINK("https://www.dofusbook.net/fr/equipement/2255386-multi/objets", "link")</f>
        <v/>
      </c>
      <c r="C9938" t="n">
        <v>0</v>
      </c>
      <c r="D9938" t="inlineStr">
        <is>
          <t>Epée Gloursonne; Amulette du Strigide; Bague Gloursonne; Alliance Gloursonne; Quatre-feuilles; Ceinture du Strigide; Chapeau Lisson; Voile d'encre; Bottes du Strigide; Dokoko; Dofus Turquoise; Dolmanax; Dofus Ocre; Dofus Pourpre; Dofus des Glaces; Muldo Prune et Emeraude</t>
        </is>
      </c>
    </row>
    <row r="9939">
      <c r="A9939" t="inlineStr">
        <is>
          <t>Air donceit</t>
        </is>
      </c>
      <c r="B9939">
        <f>HYPERLINK("https://www.dofusbook.net/fr/equipement/2255310-air-donceit/objets", "link")</f>
        <v/>
      </c>
      <c r="C9939" t="n">
        <v>0</v>
      </c>
      <c r="D9939" t="inlineStr">
        <is>
          <t>Hachoirs de Viandargh; Amulette du Strigide; Anneau Vicieux; Anneau d'Allister; Bouclier du Captain Amakna; Ceinture du Strigide; Némès de Tal Kasha; Chevelure de Tal Kasha; Sandales de Tal Kasha; Dofus Pourpre; Dofus des Glaces; Dofus Turquoise; Dofus Ocre; Ravageur Air majeur; Equilibriste majeur; Muldo Prune et Emeraude</t>
        </is>
      </c>
    </row>
    <row r="9940">
      <c r="A9940" t="inlineStr">
        <is>
          <t>Rencrit</t>
        </is>
      </c>
      <c r="B9940">
        <f>HYPERLINK("https://www.dofusbook.net/fr/equipement/2254944-rencrit/objets", "link")</f>
        <v/>
      </c>
      <c r="C9940" t="n">
        <v>0</v>
      </c>
      <c r="D9940" t="inlineStr">
        <is>
          <t>Bâthon; Torquistik; Baguistik; Goulano; Goulclier; Ceintacé; Masque Brûlâme; Voile d'encre; Pompes Funèbres; Dofus Pourpre; Dofus des Glaces; Dofus Émeraude; Dokoko; Dofus Ocre; Dofus Ivoire; Muldo Roux et Doré</t>
        </is>
      </c>
    </row>
    <row r="9941">
      <c r="A9941" t="inlineStr">
        <is>
          <t>Agil</t>
        </is>
      </c>
      <c r="B9941">
        <f>HYPERLINK("https://www.dofusbook.net/fr/equipement/2252261-agil/objets", "link")</f>
        <v/>
      </c>
      <c r="C9941" t="n">
        <v>0</v>
      </c>
      <c r="D9941" t="inlineStr">
        <is>
          <t>Manthache; Collier du Valet Veinard; Gant du Valet Veinard; Alliance Gloursonne; Bouclier du Stalak; Menoture; Capuche de Moum-Ra; Cape Indescriptible; Palmes Trithons; Dofus Pourpre; Nomade; Equilibriste majeur; Cascadeur majeur; Remueur; Dévastateur Air majeur; Siroko</t>
        </is>
      </c>
    </row>
    <row r="9942">
      <c r="A9942" t="inlineStr">
        <is>
          <t>Air donceit</t>
        </is>
      </c>
      <c r="B9942">
        <f>HYPERLINK("https://www.dofusbook.net/fr/equipement/2250536-air-donceit/objets", "link")</f>
        <v/>
      </c>
      <c r="C9942" t="n">
        <v>0</v>
      </c>
      <c r="D9942" t="inlineStr">
        <is>
          <t>Hachoirs de Viandargh; Amulette du Strigide; Anneau d'Allister; Anneau Vicieux; Bouclier du Captain Amakna; Ceinture du Strigide; Némès de Tal Kasha; Chevelure de Tal Kasha; Sandales de Tal Kasha; Dofus Turquoise; Dofus Ocre; Dofus Pourpre; Dofus des Glaces; Ravageur Air majeur; Equilibriste majeur; Muldo Prune et Emeraude</t>
        </is>
      </c>
    </row>
    <row r="9943">
      <c r="A9943" t="inlineStr">
        <is>
          <t>Air donceit</t>
        </is>
      </c>
      <c r="B9943">
        <f>HYPERLINK("https://www.dofusbook.net/fr/equipement/2250491-air-donceit/objets", "link")</f>
        <v/>
      </c>
      <c r="C9943" t="n">
        <v>2</v>
      </c>
      <c r="D9943" t="inlineStr">
        <is>
          <t>Hachoirs de Viandargh; Amulette du Strigide; Anneau Vicieux; Anneau d'Allister; Bouclier du Captain Amakna; Ceinture du Strigide; Némès de Tal Kasha; Chevelure de Tal Kasha; Sandales de Tal Kasha; Dofus Pourpre; Dofus des Glaces; Dofus Turquoise; Dofus Ocre; Ravageur Air majeur; Equilibriste majeur; Muldo Prune et Emeraude</t>
        </is>
      </c>
    </row>
    <row r="9944">
      <c r="A9944" t="inlineStr">
        <is>
          <t>Air donceit</t>
        </is>
      </c>
      <c r="B9944">
        <f>HYPERLINK("https://www.dofusbook.net/fr/equipement/2250486-air-donceit/objets", "link")</f>
        <v/>
      </c>
      <c r="C9944" t="n">
        <v>0</v>
      </c>
      <c r="D9944" t="inlineStr">
        <is>
          <t>Hachoirs de Viandargh; Amulette du Strigide; Anneau d'Allister; Anneau Vicieux; Bouclier du Captain Amakna; Ceinture du Strigide; Némès de Tal Kasha; Chevelure de Tal Kasha; Sandales de Tal Kasha; Dofus Turquoise; Dofus Ocre; Dofus Pourpre; Dofus Nébuleux; Ravageur Air majeur; Equilibriste majeur; Muldo Prune et Emeraude</t>
        </is>
      </c>
    </row>
    <row r="9945">
      <c r="A9945" t="inlineStr">
        <is>
          <t>Air donceit</t>
        </is>
      </c>
      <c r="B9945">
        <f>HYPERLINK("https://www.dofusbook.net/fr/equipement/2250482-air-donceit/objets", "link")</f>
        <v/>
      </c>
      <c r="C9945" t="n">
        <v>0</v>
      </c>
      <c r="D9945" t="inlineStr">
        <is>
          <t>Hachoirs de Viandargh; Amulette du Strigide; Anneau Vicieux; Anneau d'Allister; Bouclier du Captain Amakna; Ceinture du Strigide; Némès de Tal Kasha; Chevelure de Tal Kasha; Sandales de Tal Kasha; Dofus Pourpre; Dofus des Glaces; Dofus Turquoise; Dofus Ocre; Ravageur Air majeur; Equilibriste majeur; Muldo Prune et Emeraude</t>
        </is>
      </c>
    </row>
    <row r="9946">
      <c r="A9946" t="inlineStr">
        <is>
          <t>Air donceit</t>
        </is>
      </c>
      <c r="B9946">
        <f>HYPERLINK("https://www.dofusbook.net/fr/equipement/2250441-air-donceit/objets", "link")</f>
        <v/>
      </c>
      <c r="C9946" t="n">
        <v>1</v>
      </c>
      <c r="D9946" t="inlineStr">
        <is>
          <t>Hachoirs de Viandargh; Amulette du Strigide; Anneau d'Allister; Anneau Vicieux; Bouclier du Captain Amakna; Ceinture du Strigide; Némès de Tal Kasha; Chevelure de Tal Kasha; Sandales de Tal Kasha; Dofus Turquoise; Dofus Ocre; Dofus Pourpre; Dofus des Glaces; Ravageur Air majeur; Equilibriste majeur; Muldo Prune et Emeraude</t>
        </is>
      </c>
    </row>
    <row r="9947">
      <c r="A9947" t="inlineStr">
        <is>
          <t>Eau rox</t>
        </is>
      </c>
      <c r="B9947">
        <f>HYPERLINK("https://www.dofusbook.net/fr/equipement/2250430-eau-rox/objets", "link")</f>
        <v/>
      </c>
      <c r="C9947" t="n">
        <v>0</v>
      </c>
      <c r="D9947" t="inlineStr">
        <is>
          <t>Sceptre du Roi Joueur; Amulette du Sinistrofu; Bracelet des Fonds marins; Alliance Gloursonne; Bouclier du Captain Amakna; Poulpagne; Kidibonnet; Cape du Sinistrofu; Sandales Circulaires du Kimbo; Dofus Turquoise; Dofus Pourpre; Taquin majeur; Remueur; Chanceux majeur; Nomade; Dehluge</t>
        </is>
      </c>
    </row>
    <row r="9948">
      <c r="A9948" t="inlineStr">
        <is>
          <t>Koutoulou</t>
        </is>
      </c>
      <c r="B9948">
        <f>HYPERLINK("https://www.dofusbook.net/fr/equipement/2249857-koutoulou/objets", "link")</f>
        <v/>
      </c>
      <c r="C9948" t="n">
        <v>0</v>
      </c>
      <c r="D9948" t="inlineStr">
        <is>
          <t>Sceptre du Roi Joueur; Amulette du Strigide; Bracelet du Piloztère; Bracelet des Fonds marins; Bouclier du Captain Amakna; Ceinture du Strigide; Némès de Tal Kasha; Chevelure de Tal Kasha; Sandales de Tal Kasha; Dofus des Glaces; Dolmanax; Dofus Pourpre; Dofus Turquoise; Joueur majeur; Taquin majeur; Muldo Prune et Emeraude</t>
        </is>
      </c>
    </row>
    <row r="9949">
      <c r="A9949" t="inlineStr">
        <is>
          <t>Koutoulou</t>
        </is>
      </c>
      <c r="B9949">
        <f>HYPERLINK("https://www.dofusbook.net/fr/equipement/2249818-koutoulou/objets", "link")</f>
        <v/>
      </c>
      <c r="C9949" t="n">
        <v>0</v>
      </c>
      <c r="D9949" t="inlineStr">
        <is>
          <t>Sceptre du Roi Joueur; Amulette du Strigide; Bracelet des Fonds marins; Bracelet du Piloztère; Bouclier du Captain Amakna; Ceinture du Strigide; Némès de Tal Kasha; Chevelure de Tal Kasha; Sandales de Tal Kasha; Dofus Turquoise; Dofus des Glaces; Dofus Ocre; Dofus Pourpre; Taquin majeur; Joueur majeur; Muldo Prune et Emeraude</t>
        </is>
      </c>
    </row>
    <row r="9950">
      <c r="A9950" t="inlineStr">
        <is>
          <t>Koutoulou</t>
        </is>
      </c>
      <c r="B9950">
        <f>HYPERLINK("https://www.dofusbook.net/fr/equipement/2249784-koutoulou/objets", "link")</f>
        <v/>
      </c>
      <c r="C9950" t="n">
        <v>1</v>
      </c>
      <c r="D9950" t="inlineStr">
        <is>
          <t>Arc de Koutoulou; Amulette du Strigide; Bracelet du Piloztère; Bracelet des Fonds marins; Quatre-feuilles; Ceinture du Strigide; Némès de Tal Kasha; Chevelure de Tal Kasha; Sandales de Tal Kasha; Dofus des Glaces; Dolmanax; Dofus Pourpre; Dofus Turquoise; Joueur majeur; Taquin majeur; Muldo Prune et Emeraude</t>
        </is>
      </c>
    </row>
    <row r="9951">
      <c r="A9951" t="inlineStr">
        <is>
          <t>Eau rox</t>
        </is>
      </c>
      <c r="B9951">
        <f>HYPERLINK("https://www.dofusbook.net/fr/equipement/2249698-eau-rox/objets", "link")</f>
        <v/>
      </c>
      <c r="C9951" t="n">
        <v>0</v>
      </c>
      <c r="D9951" t="inlineStr">
        <is>
          <t>Sceptre du Roi Joueur; Amulette de Shokkoth; Alliance Gloursonne; Bracelet des Fonds marins; Quatre-feuilles; Sangle Ouare; Kidibonnet; Cape du Sinistrofu; Bottes du Sinistrofu; Dofus Pourpre; Dofus Turquoise; Nomade; Taquin majeur; Remueur; Chanceux majeur; Dehluge</t>
        </is>
      </c>
    </row>
    <row r="9952">
      <c r="A9952" t="inlineStr">
        <is>
          <t>Eau rox</t>
        </is>
      </c>
      <c r="B9952">
        <f>HYPERLINK("https://www.dofusbook.net/fr/equipement/2249697-eau-rox/objets", "link")</f>
        <v/>
      </c>
      <c r="C9952" t="n">
        <v>0</v>
      </c>
      <c r="D9952" t="inlineStr">
        <is>
          <t>Sceptre du Roi Joueur; Amulette de Shokkoth; Alliance Gloursonne; Bracelet des Fonds marins; Sangle Ouare; Kidibonnet; Cape du Sinistrofu; Bottes du Sinistrofu; Dofus Pourpre; Remueur; Chanceux majeur; Nomade; Taquin majeur; Joueur majeur; Dehluge</t>
        </is>
      </c>
    </row>
    <row r="9953">
      <c r="A9953" t="inlineStr">
        <is>
          <t>Eau rox</t>
        </is>
      </c>
      <c r="B9953">
        <f>HYPERLINK("https://www.dofusbook.net/fr/equipement/2249656-eau-rox/objets", "link")</f>
        <v/>
      </c>
      <c r="C9953" t="n">
        <v>0</v>
      </c>
      <c r="D9953" t="inlineStr">
        <is>
          <t>Rapière aux Glyphes; Talisman Glouti; Bracelet des Fonds marins; Alliance Gloursonne; Bouclier d'Ilyzaelle; Sangle Ouare; Kidibonnet; Cape du Sinistrofu; Bottes du Sinistrofu; Dofus Émeraude; Dofus des Glaces; Dofus Pourpre; Remueur; Chanceux majeur; Vigoureux majeur; Kramkram</t>
        </is>
      </c>
    </row>
    <row r="9954">
      <c r="A9954" t="inlineStr">
        <is>
          <t>Eau rox</t>
        </is>
      </c>
      <c r="B9954">
        <f>HYPERLINK("https://www.dofusbook.net/fr/equipement/2244759-eau-rox/objets", "link")</f>
        <v/>
      </c>
      <c r="C9954" t="n">
        <v>0</v>
      </c>
      <c r="D9954" t="inlineStr">
        <is>
          <t>Sceptre du Roi Joueur; Amulette de Shokkoth; Alliance Gloursonne; Bracelet des Fonds marins; Bouclier du Stalak; Sangle Ouare; Kidibonnet; Cape du Sinistrofu; Bottes du Sinistrofu; Dofus Pourpre; Nomade; Taquin majeur; Joueur majeur; Remueur; Chanceux majeur; Dehluge</t>
        </is>
      </c>
    </row>
    <row r="9955">
      <c r="A9955" t="inlineStr">
        <is>
          <t>Eau rox</t>
        </is>
      </c>
      <c r="B9955">
        <f>HYPERLINK("https://www.dofusbook.net/fr/equipement/2244610-eau-rox/objets", "link")</f>
        <v/>
      </c>
      <c r="C9955" t="n">
        <v>3</v>
      </c>
      <c r="D9955" t="inlineStr">
        <is>
          <t>Arc Ontanporin; Amulette du Sinistrofu; Bracelet des Fonds marins; Alliance Gloursonne; Quatre-feuilles; Poulpagne; Kidibonnet; Cape du Sinistrofu; Sandales Circulaires du Kimbo; Dofus Turquoise; Dofus Pourpre; Taquin majeur; Remueur; Chanceux majeur; Nomade; Dehluge</t>
        </is>
      </c>
    </row>
    <row r="9956">
      <c r="A9956" t="inlineStr">
        <is>
          <t>Eau rox</t>
        </is>
      </c>
      <c r="B9956">
        <f>HYPERLINK("https://www.dofusbook.net/fr/equipement/2244605-eau-rox/objets", "link")</f>
        <v/>
      </c>
      <c r="C9956" t="n">
        <v>0</v>
      </c>
      <c r="D9956" t="inlineStr">
        <is>
          <t>Arc Ontanporin; Amulette du Sinistrofu; Alliance Gloursonne; Bracelet des Fonds marins; Quatre-feuilles; Poulpagne; Kidibonnet; Cape du Sinistrofu; Sandales Circulaires du Kimbo; Dofus Pourpre; Dofus Turquoise; Nomade; Taquin majeur; Remueur; Chanceux majeur; Dehluge</t>
        </is>
      </c>
    </row>
    <row r="9957">
      <c r="A9957" t="inlineStr">
        <is>
          <t>Eau rox</t>
        </is>
      </c>
      <c r="B9957">
        <f>HYPERLINK("https://www.dofusbook.net/fr/equipement/2244584-eau-rox/objets", "link")</f>
        <v/>
      </c>
      <c r="C9957" t="n">
        <v>0</v>
      </c>
      <c r="D9957" t="inlineStr">
        <is>
          <t>Sceptre du Roi Joueur; Amulette de Shokkoth; Bracelet des Fonds marins; Alliance Gloursonne; Bouclier du Stalak; Poulpagne; Kidibonnet; Cape du Sinistrofu; Bottes du Sinistrofu; Dofus Pourpre; Taquin majeur; Joueur majeur; Remueur; Chanceux majeur; Nomade; Dehluge</t>
        </is>
      </c>
    </row>
    <row r="9958">
      <c r="A9958" t="inlineStr">
        <is>
          <t>Eau rox</t>
        </is>
      </c>
      <c r="B9958">
        <f>HYPERLINK("https://www.dofusbook.net/fr/equipement/2244558-eau-rox/objets", "link")</f>
        <v/>
      </c>
      <c r="C9958" t="n">
        <v>0</v>
      </c>
      <c r="D9958" t="inlineStr">
        <is>
          <t>Sceptre du Roi Joueur; Amulette de Shokkoth; Alliance Gloursonne; Bracelet des Fonds marins; Bouclier du Captain Amakna; Poulpagne; Kidibonnet; Cape du Sinistrofu; Bottes du Sinistrofu; Dofus Pourpre; Dofus Turquoise; Nomade; Taquin majeur; Remueur; Chanceux majeur; Dehluge</t>
        </is>
      </c>
    </row>
    <row r="9959">
      <c r="A9959" t="inlineStr">
        <is>
          <t>Air resi</t>
        </is>
      </c>
      <c r="B9959">
        <f>HYPERLINK("https://www.dofusbook.net/fr/equipement/2238805-air-resi/objets", "link")</f>
        <v/>
      </c>
      <c r="C9959" t="n">
        <v>0</v>
      </c>
      <c r="D9959" t="inlineStr">
        <is>
          <t>Manthache; Collier du Valet Veinard; Gant du Valet Veinard; Alliance Gloursonne; Cadran d'Air; Menoture; Casque Dragoeuf; Caracape Minotoris; Baleinabottes; Dofus Pourpre; Remueur; Cascadeur majeur; Carapace Feu majeur; Miraculé majeur; Nomade; Muldo Ebène</t>
        </is>
      </c>
    </row>
    <row r="9960">
      <c r="A9960" t="inlineStr">
        <is>
          <t>Tetre agi</t>
        </is>
      </c>
      <c r="B9960">
        <f>HYPERLINK("https://www.dofusbook.net/fr/equipement/2238645-tetre-agi/objets", "link")</f>
        <v/>
      </c>
      <c r="C9960" t="n">
        <v>1</v>
      </c>
      <c r="D9960" t="inlineStr">
        <is>
          <t>Héqache; Amulette du Strigide; Anneau Chevelu; Bracelet du Piloztère; Quatre-feuilles; Ceinture du Strigide; Casque des égarés; Cape au Logis; Baleinabottes; Dofus Pourpre; Dofus Turquoise; Enragé majeur; Remueur; Vigoureux majeur; Nomade; Kramkram</t>
        </is>
      </c>
    </row>
    <row r="9961">
      <c r="A9961" t="inlineStr">
        <is>
          <t>Force</t>
        </is>
      </c>
      <c r="B9961">
        <f>HYPERLINK("https://www.dofusbook.net/fr/equipement/2238598-force/objets", "link")</f>
        <v/>
      </c>
      <c r="C9961" t="n">
        <v>0</v>
      </c>
      <c r="D9961" t="inlineStr">
        <is>
          <t>Dagues d'Ilyzaelle; Amulette du Strigide; Bracelet du Piloztère; Anneau Chevelu; Bouclier du Captain Amakna; Ceinture du Strigide; Masque de Koutoulou; Cape au Logis; Bottes du Cœur Saignant; Dofus Turquoise; Dofus Pourpre; Remueur; Nomade; Enragé majeur; Forcené majeur; Kompost</t>
        </is>
      </c>
    </row>
    <row r="9962">
      <c r="A9962" t="inlineStr">
        <is>
          <t>Force</t>
        </is>
      </c>
      <c r="B9962">
        <f>HYPERLINK("https://www.dofusbook.net/fr/equipement/2238537-force/objets", "link")</f>
        <v/>
      </c>
      <c r="C9962" t="n">
        <v>0</v>
      </c>
      <c r="D9962" t="inlineStr">
        <is>
          <t>Dagues d'Ilyzaelle; Amulette du Strigide; Anneau Chevelu; Anneau Crustique; Bouclier du Captain Amakna; Ceinture du Strigide; Masque de Koutoulou; Cape au Logis; Bottes de Brouce; Dofus Pourpre; Dofus Turquoise; Nomade; Enragé majeur; Forcené majeur; Remueur; Kompost</t>
        </is>
      </c>
    </row>
    <row r="9963">
      <c r="A9963" t="inlineStr">
        <is>
          <t>Air resi</t>
        </is>
      </c>
      <c r="B9963">
        <f>HYPERLINK("https://www.dofusbook.net/fr/equipement/2236870-air-resi/objets", "link")</f>
        <v/>
      </c>
      <c r="C9963" t="n">
        <v>0</v>
      </c>
      <c r="D9963" t="inlineStr">
        <is>
          <t>Manthache; Collier du Valet Veinard; Alliance Gloursonne; Gant du Valet Veinard; Cadran d'Air; Menoture; Casque Dragoeuf; Caracape Minotoris; Baleinabottes; Dofus Pourpre; Nomade; Remueur; Cascadeur majeur; Carapace Feu majeur; Miraculé majeur; Muldo Ebène</t>
        </is>
      </c>
    </row>
    <row r="9964">
      <c r="A9964" t="inlineStr">
        <is>
          <t>Feuj</t>
        </is>
      </c>
      <c r="B9964">
        <f>HYPERLINK("https://www.dofusbook.net/fr/equipement/2232717-feuj-/objets", "link")</f>
        <v/>
      </c>
      <c r="C9964" t="n">
        <v>0</v>
      </c>
      <c r="D9964" t="inlineStr">
        <is>
          <t>Arc corrompu; Pendentif affamé; Anneau Tamie; Anneau de Nidas; Bouclier du Stalak; Ceinture Séculaire; Couronne de Nidas; Cape de Diondin; Chaussures Ardentes; Dofus Pourpre; Astucieux majeur; Remueur; Érudit majeur; Nomade; Temporiseur majeur; Brûlih</t>
        </is>
      </c>
    </row>
    <row r="9965">
      <c r="A9965" t="inlineStr">
        <is>
          <t>Feuj</t>
        </is>
      </c>
      <c r="B9965">
        <f>HYPERLINK("https://www.dofusbook.net/fr/equipement/2232708-feuj-/objets", "link")</f>
        <v/>
      </c>
      <c r="C9965" t="n">
        <v>0</v>
      </c>
      <c r="D9965" t="inlineStr">
        <is>
          <t>Arc corrompu; Pendentif affamé; Anneau Tamie; Anneau Tamie; Quatre-feuilles; Ceinture Séculaire; Coiffe Séculaire; Cape de Diondin; Bottes Innommables; Dofus Pourpre; Nomade; Dévastateur Feu majeur; Astucieux majeur; Remueur; Érudit majeur; Brûlih</t>
        </is>
      </c>
    </row>
    <row r="9966">
      <c r="A9966" t="inlineStr">
        <is>
          <t>Eau air</t>
        </is>
      </c>
      <c r="B9966">
        <f>HYPERLINK("https://www.dofusbook.net/fr/equipement/2226012-eau-air/objets", "link")</f>
        <v/>
      </c>
      <c r="C9966" t="n">
        <v>0</v>
      </c>
      <c r="D9966" t="inlineStr">
        <is>
          <t>Hache du Korriandre; Amulette du Strigide; Alliance Gloursonne; Anneau du Korriandre; Quatre-feuilles; Ceinture du Strigide; Némès de Tal Kasha; Chevelure de Tal Kasha; Sandales de Tal Kasha; Dofus Pourpre; Dofus des Glaces; Dofus Turquoise; Dolmanax; Dofus Ocre; Engourdisseur majeur; Muldo Prune et Emeraude</t>
        </is>
      </c>
    </row>
    <row r="9967">
      <c r="A9967" t="inlineStr">
        <is>
          <t>Eau air</t>
        </is>
      </c>
      <c r="B9967">
        <f>HYPERLINK("https://www.dofusbook.net/fr/equipement/2225971-eau-air/objets", "link")</f>
        <v/>
      </c>
      <c r="C9967" t="n">
        <v>0</v>
      </c>
      <c r="D9967" t="inlineStr">
        <is>
          <t>Hache du Korriandre; Amulette du Strigide; Anneau du Korriandre; Alliance Gloursonne; Bouclier du Captain Amakna; Ceinture du Strigide; Némès de Tal Kasha; Chevelure de Tal Kasha; Sandales de Tal Kasha; Dolmanax; Dofus Ocre; Dofus Pourpre; Dofus des Glaces; Dofus Abyssal; Dofus Turquoise; Muldo Prune et Emeraude</t>
        </is>
      </c>
    </row>
    <row r="9968">
      <c r="A9968" t="inlineStr">
        <is>
          <t>Eau air</t>
        </is>
      </c>
      <c r="B9968">
        <f>HYPERLINK("https://www.dofusbook.net/fr/equipement/2225931-eau-air/objets", "link")</f>
        <v/>
      </c>
      <c r="C9968" t="n">
        <v>0</v>
      </c>
      <c r="D9968" t="inlineStr">
        <is>
          <t>Hache du Korriandre; Amulette du Strigide; Alliance Gloursonne; Anneau du Korriandre; Bouclier du Captain Amakna; Ceinture du Strigide; Némès de Tal Kasha; Chevelure de Tal Kasha; Sandales de Tal Kasha; Dofus Pourpre; Dofus des Glaces; Dofus Abyssal; Dofus Turquoise; Dolmanax; Dofus Ocre; Muldo Prune et Emeraude</t>
        </is>
      </c>
    </row>
    <row r="9969">
      <c r="A9969" t="inlineStr">
        <is>
          <t>No critique</t>
        </is>
      </c>
      <c r="B9969">
        <f>HYPERLINK("https://www.dofusbook.net/fr/equipement/2225926-no-critique-/objets", "link")</f>
        <v/>
      </c>
      <c r="C9969" t="n">
        <v>0</v>
      </c>
      <c r="D9969" t="inlineStr">
        <is>
          <t>Pelle de Nidas; Kralamansion; Grésilanneau; Sceau Souverain du Roissingue; Cadran d'Eau; Ceinture de l'Esprit Salvateur; Le Dorado; Voilamibe; Bottes de l'Esprit Salvateur; Dofus des Glaces; Dofus Pourpre; Sanguinaire majeur; Remueur; Vigoureux majeur; Féroce majeur; Kramkram</t>
        </is>
      </c>
    </row>
    <row r="9970">
      <c r="A9970" t="inlineStr">
        <is>
          <t>No critique</t>
        </is>
      </c>
      <c r="B9970">
        <f>HYPERLINK("https://www.dofusbook.net/fr/equipement/2225907-no-critique-/objets", "link")</f>
        <v/>
      </c>
      <c r="C9970" t="n">
        <v>0</v>
      </c>
      <c r="D9970" t="inlineStr">
        <is>
          <t>Pelle de Nidas; Kralamansion; Grésilanneau; Sceau Souverain du Roissingue; Cadran d'Eau; Ceinture de l'Esprit Salvateur; Le Dorado; Voilamibe; Bottes de l'Esprit Salvateur; Dofus des Glaces; Dofus Pourpre; Vigoureux majeur; Féroce majeur; Sanguinaire majeur; Remueur; Kramkram</t>
        </is>
      </c>
    </row>
    <row r="9971">
      <c r="A9971" t="inlineStr">
        <is>
          <t>Tetre agi</t>
        </is>
      </c>
      <c r="B9971">
        <f>HYPERLINK("https://www.dofusbook.net/fr/equipement/2223002-tetre-agi/objets", "link")</f>
        <v/>
      </c>
      <c r="C9971" t="n">
        <v>0</v>
      </c>
      <c r="D9971" t="inlineStr">
        <is>
          <t>Héqache; Amulette du Strigide; Anneau Chevelu; Bracelet du Piloztère; Bouclier du Captain Amakna; Ceinture du Strigide; Masque de Koutoulou; Cape au Logis; Baleinabottes; Dofus Pourpre; Dofus Turquoise; Enragé majeur; Remueur; Vigoureux majeur; Nomade; Kramkram</t>
        </is>
      </c>
    </row>
    <row r="9972">
      <c r="A9972" t="inlineStr">
        <is>
          <t>Tetre agi</t>
        </is>
      </c>
      <c r="B9972">
        <f>HYPERLINK("https://www.dofusbook.net/fr/equipement/2222960-tetre-agi/objets", "link")</f>
        <v/>
      </c>
      <c r="C9972" t="n">
        <v>0</v>
      </c>
      <c r="D9972" t="inlineStr">
        <is>
          <t>Héqache; Amulette du Strigide; Bracelet du Piloztère; Anneau Chevelu; Bouclier du Captain Amakna; Ceinture du Strigide; Casque des égarés; Cape au Logis; Baleinabottes; Dofus Turquoise; Dofus Pourpre; Remueur; Vigoureux majeur; Nomade; Enragé majeur; Kramkram</t>
        </is>
      </c>
    </row>
    <row r="9973">
      <c r="A9973" t="inlineStr">
        <is>
          <t>Tetre agi</t>
        </is>
      </c>
      <c r="B9973">
        <f>HYPERLINK("https://www.dofusbook.net/fr/equipement/1997564-tetre-agi/objets", "link")</f>
        <v/>
      </c>
      <c r="C9973" t="n">
        <v>0</v>
      </c>
      <c r="D9973" t="inlineStr">
        <is>
          <t>Héqache; Amulette du Strigide; Bracelet du Piloztère; Anneau Chevelu; Quatre-feuilles; Ceinture du Strigide; Casque des égarés; Cape au Logis; Baleinabottes; Dofus Turquoise; Dofus Pourpre; Remueur; Vigoureux majeur; Nomade; Enragé majeur; Kramkram</t>
        </is>
      </c>
    </row>
    <row r="9974">
      <c r="A9974" t="inlineStr">
        <is>
          <t>Multi do crit</t>
        </is>
      </c>
      <c r="B9974">
        <f>HYPERLINK("https://www.dofusbook.net/fr/equipement/2221827-multi-do-crit/objets", "link")</f>
        <v/>
      </c>
      <c r="C9974" t="n">
        <v>0</v>
      </c>
      <c r="D9974" t="inlineStr">
        <is>
          <t>Dagues Érhy; Amulette du Strigide; Anneau de Nidas; Bracelet du Piloztère; Quatre-feuilles; Ceintacé; Le Dorado; Voile d'encre; Bottes du Strigide; Dofus des Glaces; Dofus Pourpre; Dofus Turquoise; Vigoureux majeur; Remueur; Nomade; Kramkram</t>
        </is>
      </c>
    </row>
    <row r="9975">
      <c r="A9975" t="inlineStr">
        <is>
          <t>Un pont 29</t>
        </is>
      </c>
      <c r="B9975">
        <f>HYPERLINK("https://www.dofusbook.net/fr/equipement/2209243-un-pont-29/objets", "link")</f>
        <v/>
      </c>
      <c r="C9975" t="n">
        <v>3</v>
      </c>
      <c r="D9975" t="inlineStr">
        <is>
          <t>Ougarteau; Kralamansion; Annolamour; Kralano; Ougature; Le Kim; Voile d'encre; Sandales Circulaires du Kimbo; Dofus Cawotte; Dofus Pourpre; Dofus Émeraude; Dofus Turquoise; Dofus Kaliptus; Dofus Ocre; El Scarador</t>
        </is>
      </c>
    </row>
    <row r="9976">
      <c r="A9976" t="inlineStr">
        <is>
          <t>Koutoulou</t>
        </is>
      </c>
      <c r="B9976">
        <f>HYPERLINK("https://www.dofusbook.net/fr/equipement/2220319-koutoulou/objets", "link")</f>
        <v/>
      </c>
      <c r="C9976" t="n">
        <v>0</v>
      </c>
      <c r="D9976" t="inlineStr">
        <is>
          <t>Arc de Koutoulou; Amulette du Strigide; Bracelet du Piloztère; Bracelet des Fonds marins; Quatre-feuilles; Ceinture du Strigide; Némès de Tal Kasha; Chevelure de Tal Kasha; Sandales de Tal Kasha; Dofus des Glaces; Dolmanax; Dofus Pourpre; Dofus Turquoise; Joueur majeur; Taquin majeur; Muldo Prune et Emeraude</t>
        </is>
      </c>
    </row>
    <row r="9977">
      <c r="A9977" t="inlineStr">
        <is>
          <t>Koutoulou</t>
        </is>
      </c>
      <c r="B9977">
        <f>HYPERLINK("https://www.dofusbook.net/fr/equipement/2220278-koutoulou/objets", "link")</f>
        <v/>
      </c>
      <c r="C9977" t="n">
        <v>0</v>
      </c>
      <c r="D9977" t="inlineStr">
        <is>
          <t>Arc de Koutoulou; Amulette du Strigide; Bracelet des Fonds marins; Bracelet du Piloztère; Quatre-feuilles; Ceinture du Strigide; Némès de Tal Kasha; Chevelure de Tal Kasha; Sandales de Tal Kasha; Dofus Turquoise; Dofus des Glaces; Dolmanax; Dofus Pourpre; Taquin majeur; Joueur majeur; Muldo Prune et Emeraude</t>
        </is>
      </c>
    </row>
    <row r="9978">
      <c r="A9978" t="inlineStr">
        <is>
          <t>Koutoulou</t>
        </is>
      </c>
      <c r="B9978">
        <f>HYPERLINK("https://www.dofusbook.net/fr/equipement/2220177-koutoulou/objets", "link")</f>
        <v/>
      </c>
      <c r="C9978" t="n">
        <v>0</v>
      </c>
      <c r="D9978" t="inlineStr">
        <is>
          <t>Arc de Koutoulou; Amulette du Strigide; Bracelet du Piloztère; Bracelet des Fonds marins; Quatre-feuilles; Ceinture du Strigide; Némès de Tal Kasha; Chevelure de Tal Kasha; Sandales de Tal Kasha; Dofus des Glaces; Dolmanax; Dofus Pourpre; Dofus Turquoise; Joueur majeur; Taquin majeur; Muldo Prune et Emeraude</t>
        </is>
      </c>
    </row>
    <row r="9979">
      <c r="A9979" t="inlineStr">
        <is>
          <t>Koutoulou</t>
        </is>
      </c>
      <c r="B9979">
        <f>HYPERLINK("https://www.dofusbook.net/fr/equipement/2220133-koutoulou/objets", "link")</f>
        <v/>
      </c>
      <c r="C9979" t="n">
        <v>0</v>
      </c>
      <c r="D9979" t="inlineStr">
        <is>
          <t>Arc de Koutoulou; Amulette du Strigide; Bracelet des Fonds marins; Bracelet du Piloztère; Quatre-feuilles; Ceinture du Strigide; Némès de Tal Kasha; Chevelure de Tal Kasha; Sandales de Tal Kasha; Dofus Turquoise; Dofus des Glaces; Dolmanax; Dofus Pourpre; Taquin majeur; Joueur majeur; Muldo Prune et Emeraude</t>
        </is>
      </c>
    </row>
    <row r="9980">
      <c r="A9980" t="inlineStr">
        <is>
          <t>Koutoulou</t>
        </is>
      </c>
      <c r="B9980">
        <f>HYPERLINK("https://www.dofusbook.net/fr/equipement/2219855-koutoulou/objets", "link")</f>
        <v/>
      </c>
      <c r="C9980" t="n">
        <v>0</v>
      </c>
      <c r="D9980" t="inlineStr">
        <is>
          <t>Arc de Koutoulou; Amulette du Strigide; Bracelet du Piloztère; Bracelet des Fonds marins; Quatre-feuilles; Ceinture du Strigide; Némès de Tal Kasha; Chevelure de Tal Kasha; Sandales de Tal Kasha; Dolmanax; Dofus Pourpre; Dofus Turquoise; Ralentisseur majeur; Joueur majeur; Taquin majeur; Muldo Prune et Emeraude</t>
        </is>
      </c>
    </row>
    <row r="9981">
      <c r="A9981" t="inlineStr">
        <is>
          <t>Koutoulou</t>
        </is>
      </c>
      <c r="B9981">
        <f>HYPERLINK("https://www.dofusbook.net/fr/equipement/2219782-koutoulou/objets", "link")</f>
        <v/>
      </c>
      <c r="C9981" t="n">
        <v>0</v>
      </c>
      <c r="D9981" t="inlineStr">
        <is>
          <t>Arc de Koutoulou; Amulette du Strigide; Bracelet des Fonds marins; Bracelet du Piloztère; Quatre-feuilles; Ceinture du Strigide; Némès de Tal Kasha; Chevelure de Tal Kasha; Sandales de Tal Kasha; Dofus Turquoise; Dofus Ocre; Dolmanax; Dofus Pourpre; Taquin majeur; Joueur majeur; Muldo Prune et Emeraude</t>
        </is>
      </c>
    </row>
    <row r="9982">
      <c r="A9982" t="inlineStr">
        <is>
          <t>Eau .29</t>
        </is>
      </c>
      <c r="B9982">
        <f>HYPERLINK("https://www.dofusbook.net/fr/equipement/2208989-eau--29/objets", "link")</f>
        <v/>
      </c>
      <c r="C9982" t="n">
        <v>0</v>
      </c>
      <c r="D9982" t="inlineStr">
        <is>
          <t>Ougarteau; Ougamulette; Annolamour; Grésilanneau; Ougature; Ougalurette; Grésilocape; Grésilobottes; Dofus Kaliptus; Dofus Turquoise; Dofus Cawotte; Dofus Émeraude; Nomoon</t>
        </is>
      </c>
    </row>
    <row r="9983">
      <c r="A9983" t="inlineStr">
        <is>
          <t>Bottes do crit</t>
        </is>
      </c>
      <c r="B9983">
        <f>HYPERLINK("https://www.dofusbook.net/fr/equipement/2204393-bottes-do-crit/objets", "link")</f>
        <v/>
      </c>
      <c r="C9983" t="n">
        <v>0</v>
      </c>
      <c r="D9983" t="inlineStr">
        <is>
          <t>Baguette Range; Amulette du Strigide; Anneau Rifique; Anneau de Padgref; Quatre-feuilles; Ceinture du Strigide; Le Dorado; Cape Lati; Bottes Antrin; Dofus Pourpre; Dofus Turquoise; Dokoko; Nomade; Vigoureux majeur; Remueur; Muldo Prune et Emeraude</t>
        </is>
      </c>
    </row>
    <row r="9984">
      <c r="A9984" t="inlineStr">
        <is>
          <t>Seambad</t>
        </is>
      </c>
      <c r="B9984">
        <f>HYPERLINK("https://www.dofusbook.net/fr/equipement/2198764-seambad/objets", "link")</f>
        <v/>
      </c>
      <c r="C9984" t="n">
        <v>0</v>
      </c>
      <c r="D9984" t="inlineStr">
        <is>
          <t>Dagues de Srambad; Amulette de Pol Ouatnos; Alliance Gloursonne; Bracelet du Piloztère; Bouclier du Captain Amakna; Ceinture de la Reine des Voleurs; Coiffe de la Reine des Voleurs; Cape Luminescente; Baleinabottes; Dofus Émeraude; Dofus Pourpre; Dofus Turquoise; Remueur; Nomade; Vigoureux majeur; Kramkram</t>
        </is>
      </c>
    </row>
    <row r="9985">
      <c r="A9985" t="inlineStr">
        <is>
          <t>Force do crit</t>
        </is>
      </c>
      <c r="B9985">
        <f>HYPERLINK("https://www.dofusbook.net/fr/equipement/2198756-force-do-crit/objets", "link")</f>
        <v/>
      </c>
      <c r="C9985" t="n">
        <v>1</v>
      </c>
      <c r="D9985" t="inlineStr">
        <is>
          <t>Marteau R'ture; Collier de Tourthon; Anneau Crustique; Anneau Crustique; Bouclier du Captain Amakna; Ceinture de Brouce; Masque de Koutoulou; Cape au Logis; Bottes de Brouce; Dofus Turquoise; Furibond majeur; Forcené majeur; Remueur; Enragé majeur; Nomade; Kompost</t>
        </is>
      </c>
    </row>
    <row r="9986">
      <c r="A9986" t="inlineStr">
        <is>
          <t>Force do crit</t>
        </is>
      </c>
      <c r="B9986">
        <f>HYPERLINK("https://www.dofusbook.net/fr/equipement/2198559-force-do-crit/objets", "link")</f>
        <v/>
      </c>
      <c r="C9986" t="n">
        <v>0</v>
      </c>
      <c r="D9986" t="inlineStr">
        <is>
          <t>Arc du Chalœil; Collier de Tourthon; Anneau Crustique; Anneau Crustique; Quatre-feuilles; Ceinture de Brouce; Masque de Koutoulou; Cape au Logis; Bottes de Brouce; Dofus Turquoise; Remueur; Enragé majeur; Nomade; Furibond majeur; Forcené majeur; Kompost</t>
        </is>
      </c>
    </row>
    <row r="9987">
      <c r="A9987" t="inlineStr">
        <is>
          <t>Force do crit</t>
        </is>
      </c>
      <c r="B9987">
        <f>HYPERLINK("https://www.dofusbook.net/fr/equipement/2198490-force-do-crit/objets", "link")</f>
        <v/>
      </c>
      <c r="C9987" t="n">
        <v>0</v>
      </c>
      <c r="D9987" t="inlineStr">
        <is>
          <t>Arc du Chalœil; Collier de Tourthon; Anneau Crustique; Anneau Crustique; Quatre-feuilles; Ceinture de Brouce; Masque de Koutoulou; Cape au Logis; Bottes de Brouce; Dofus Pourpre; Dofus Turquoise; Forcené majeur; Remueur; Enragé majeur; Nomade; Kompost</t>
        </is>
      </c>
    </row>
    <row r="9988">
      <c r="A9988" t="inlineStr">
        <is>
          <t>Force do crit</t>
        </is>
      </c>
      <c r="B9988">
        <f>HYPERLINK("https://www.dofusbook.net/fr/equipement/2198483-force-do-crit/objets", "link")</f>
        <v/>
      </c>
      <c r="C9988" t="n">
        <v>0</v>
      </c>
      <c r="D9988" t="inlineStr">
        <is>
          <t>Arc du Chalœil; Amulette du Cœur Saignant; Anneau Crustique; Anneau Crustique; Quatre-feuilles; Ceinture de Brouce; Masque de Koutoulou; Cape au Logis; Bottes du Cœur Saignant; Dofus Pourpre; Dofus Turquoise; Remueur; Enragé majeur; Nomade; Forcené majeur; Kompost</t>
        </is>
      </c>
    </row>
    <row r="9989">
      <c r="A9989" t="inlineStr">
        <is>
          <t>Force do crit</t>
        </is>
      </c>
      <c r="B9989">
        <f>HYPERLINK("https://www.dofusbook.net/fr/equipement/2198433-force-do-crit/objets", "link")</f>
        <v/>
      </c>
      <c r="C9989" t="n">
        <v>0</v>
      </c>
      <c r="D9989" t="inlineStr">
        <is>
          <t>Arc du Chalœil; Amulette du Cœur Saignant; Anneau Crustique; Anneau Crustique; Quatre-feuilles; Ceinture de Brouce; Masque de Koutoulou; Cape au Logis; Bottes du Cœur Saignant; Dofus Pourpre; Dofus Turquoise; Forcené majeur; Remueur; Enragé majeur; Nomade; Kompost</t>
        </is>
      </c>
    </row>
    <row r="9990">
      <c r="A9990" t="inlineStr">
        <is>
          <t>Full puissance</t>
        </is>
      </c>
      <c r="B9990">
        <f>HYPERLINK("https://www.dofusbook.net/fr/equipement/2196893-full-puissance-/objets", "link")</f>
        <v/>
      </c>
      <c r="C9990" t="n">
        <v>0</v>
      </c>
      <c r="D9990" t="inlineStr">
        <is>
          <t>Marteau de Katrepat; Amulette du Strigide; Anneau du Père Fwetar; Bracelet du Piloztère; Bouclier du Captain Amakna; Ceintacé; Chapeau Lisson; Dofusteuse; Bottes du Strigide; Dofus Pourpre; Dofus Nébuleux; Dofus Turquoise; Nomade; Remueur; Vigoureux majeur; Kramkram</t>
        </is>
      </c>
    </row>
    <row r="9991">
      <c r="A9991" t="inlineStr">
        <is>
          <t>Full puissance</t>
        </is>
      </c>
      <c r="B9991">
        <f>HYPERLINK("https://www.dofusbook.net/fr/equipement/2196821-full-puissance-/objets", "link")</f>
        <v/>
      </c>
      <c r="C9991" t="n">
        <v>0</v>
      </c>
      <c r="D9991" t="inlineStr">
        <is>
          <t>Epée Maudite du Saigneur Guerrier; Amulette du Strigide; Bracelet du Piloztère; Anneau du Père Fwetar; Bouclier du Captain Amakna; Ceintacé; Chapeau Lisson; Dofusteuse; Bottes du Strigide; Dofus Pourpre; Dofus Turquoise; Remueur; Vigoureux majeur; Nomade; Sanguinaire majeur; Muldo Prune et Emeraude</t>
        </is>
      </c>
    </row>
    <row r="9992">
      <c r="A9992" t="inlineStr">
        <is>
          <t>Eau air multi</t>
        </is>
      </c>
      <c r="B9992">
        <f>HYPERLINK("https://www.dofusbook.net/fr/equipement/2189191-eau-air-multi/objets", "link")</f>
        <v/>
      </c>
      <c r="C9992" t="n">
        <v>0</v>
      </c>
      <c r="D9992" t="inlineStr">
        <is>
          <t>Arc de Koutoulou; Amulette du Strigide; Bracelet du Piloztère; Alliance Gloursonne; Quatre-feuilles; Ceintacé; Dorabysses; Chevelure de Tal Kasha; Sandales de Tal Kasha; Dofus Pourpre; Dofus Turquoise; Remueur; Vigoureux majeur; Nomade; Chanceux majeur; Kramkram</t>
        </is>
      </c>
    </row>
    <row r="9993">
      <c r="A9993" t="inlineStr">
        <is>
          <t>Air do pou</t>
        </is>
      </c>
      <c r="B9993">
        <f>HYPERLINK("https://www.dofusbook.net/fr/equipement/2185326-air-do-pou/objets", "link")</f>
        <v/>
      </c>
      <c r="C9993" t="n">
        <v>1</v>
      </c>
      <c r="D9993" t="inlineStr">
        <is>
          <t>Pelle de la Cour Sombre; Amibou; Alliance Gloursonne; Bague Trithon; Bivalve; Ceinture du Nocturlabe; Masque du Barbétoal; Capibou; Bottes du Cœur Vaillant; Dofus Ocre; Bousculeur majeur; Remueur; Culbuteur majeur; Pousseur majeur; Cascadeur majeur; Muldo Ebène</t>
        </is>
      </c>
    </row>
    <row r="9994">
      <c r="A9994" t="inlineStr">
        <is>
          <t>Air resi</t>
        </is>
      </c>
      <c r="B9994">
        <f>HYPERLINK("https://www.dofusbook.net/fr/equipement/2180411-air-resi/objets", "link")</f>
        <v/>
      </c>
      <c r="C9994" t="n">
        <v>0</v>
      </c>
      <c r="D9994" t="inlineStr">
        <is>
          <t>Manthache; Collier du Valet Veinard; Gant du Valet Veinard; Alliance Gloursonne; Bouclier Bontarien; Menoture; Casque Dragoeuf; Caracape Minotoris; Palmes Trithons; Dofus Pourpre; Carapace Neutre majeur; Miraculé majeur; Nomade; Remueur; Cascadeur majeur; Muldo Ebène</t>
        </is>
      </c>
    </row>
    <row r="9995">
      <c r="A9995" t="inlineStr">
        <is>
          <t>Air resi</t>
        </is>
      </c>
      <c r="B9995">
        <f>HYPERLINK("https://www.dofusbook.net/fr/equipement/2180400-air-resi/objets", "link")</f>
        <v/>
      </c>
      <c r="C9995" t="n">
        <v>0</v>
      </c>
      <c r="D9995" t="inlineStr">
        <is>
          <t>Manthache; Collier du Valet Veinard; Alliance Gloursonne; Gant du Valet Veinard; Cadran d'Eau; Menoture; Casque Dragoeuf; Caracape Minotoris; Palmes Trithons; Dofus Pourpre; Nomade; Remueur; Cascadeur majeur; Carapace Neutre majeur; Miraculé majeur; Muldo Ebène</t>
        </is>
      </c>
    </row>
    <row r="9996">
      <c r="A9996" t="inlineStr">
        <is>
          <t>Air resi</t>
        </is>
      </c>
      <c r="B9996">
        <f>HYPERLINK("https://www.dofusbook.net/fr/equipement/2180255-air-resi/objets", "link")</f>
        <v/>
      </c>
      <c r="C9996" t="n">
        <v>1</v>
      </c>
      <c r="D9996" t="inlineStr">
        <is>
          <t>Manthache; Collier du Valet Veinard; Gant du Valet Veinard; Alliance Gloursonne; Cadran de Feu; Menoture; Casque Dragoeuf; Caracape Minotoris; Palmes Trithons; Dofus Pourpre; Carapace Neutre majeur; Miraculé majeur; Nomade; Remueur; Cascadeur majeur; Muldo Ebène</t>
        </is>
      </c>
    </row>
    <row r="9997">
      <c r="A9997" t="inlineStr">
        <is>
          <t>Force do crit</t>
        </is>
      </c>
      <c r="B9997">
        <f>HYPERLINK("https://www.dofusbook.net/fr/equipement/2180190-force-do-crit/objets", "link")</f>
        <v/>
      </c>
      <c r="C9997" t="n">
        <v>0</v>
      </c>
      <c r="D9997" t="inlineStr">
        <is>
          <t>Arc du Chalœil; Amulette du Cœur Saignant; Anneau Crustique; Anneau Crustique; Quatre-feuilles; Ceinture de Brouce; Masque de Koutoulou; Cape au Logis; Bottes du Cœur Saignant; Dofus Pourpre; Dofus Turquoise; Nomade; Forcené majeur; Remueur; Enragé majeur; Kompost</t>
        </is>
      </c>
    </row>
    <row r="9998">
      <c r="A9998" t="inlineStr">
        <is>
          <t>Force do crit</t>
        </is>
      </c>
      <c r="B9998">
        <f>HYPERLINK("https://www.dofusbook.net/fr/equipement/2179963-force-do-crit/objets", "link")</f>
        <v/>
      </c>
      <c r="C9998" t="n">
        <v>3</v>
      </c>
      <c r="D9998" t="inlineStr">
        <is>
          <t>Arc du Chalœil; Amulette du Strigide; Anneau Crustique; Anneau Chevelu; Quatre-feuilles; Ceinture du Strigide; Masque de Koutoulou; Cape au Logis; Bottes de Brouce; Dofus Nébuleux; Dofus Turquoise; Remueur; Enragé majeur; Nomade; Forcené majeur; Kompost</t>
        </is>
      </c>
    </row>
    <row r="9999">
      <c r="A9999" t="inlineStr">
        <is>
          <t>Force do crit</t>
        </is>
      </c>
      <c r="B9999">
        <f>HYPERLINK("https://www.dofusbook.net/fr/equipement/2179929-force-do-crit/objets", "link")</f>
        <v/>
      </c>
      <c r="C9999" t="n">
        <v>0</v>
      </c>
      <c r="D9999" t="inlineStr">
        <is>
          <t>Arc du Chalœil; Amulette du Cœur Saignant; Anneau Crustique; Anneau Crustique; Quatre-feuilles; Ceinture de Brouce; Masque de Koutoulou; Cape au Logis; Bottes du Cœur Saignant; Dofus Pourpre; Dofus Turquoise; Nomade; Forcené majeur; Remueur; Enragé majeur; Kompost</t>
        </is>
      </c>
    </row>
    <row r="10000">
      <c r="A10000" t="inlineStr">
        <is>
          <t>Force do crit</t>
        </is>
      </c>
      <c r="B10000">
        <f>HYPERLINK("https://www.dofusbook.net/fr/equipement/2179899-force-do-crit/objets", "link")</f>
        <v/>
      </c>
      <c r="C10000" t="n">
        <v>0</v>
      </c>
      <c r="D10000" t="inlineStr">
        <is>
          <t>Dagues d'Ilyzaelle; Amulette du Cœur Saignant; Anneau Crustique; Anneau Crustique; Bouclier du Captain Amakna; Ceinture de Brouce; Masque de Koutoulou; Cape au Logis; Bottes du Cœur Saignant; Dofus Pourpre; Dofus Turquoise; Remueur; Enragé majeur; Nomade; Forcené majeur; Kompost</t>
        </is>
      </c>
    </row>
    <row r="10001">
      <c r="A10001" t="inlineStr">
        <is>
          <t>Force do crit</t>
        </is>
      </c>
      <c r="B10001">
        <f>HYPERLINK("https://www.dofusbook.net/fr/equipement/2179867-force-do-crit/objets", "link")</f>
        <v/>
      </c>
      <c r="C10001" t="n">
        <v>0</v>
      </c>
      <c r="D10001" t="inlineStr">
        <is>
          <t>Dagues d'Ilyzaelle; Amulette du Cœur Saignant; Anneau Crustique; Anneau Crustique; Bouclier du Captain Amakna; Ceinture de Brouce; Masque de Koutoulou; Cape au Logis; Bottes du Cœur Saignant; Dofus Pourpre; Dofus Turquoise; Nomade; Forcené majeur; Remueur; Enragé majeur; Kompost</t>
        </is>
      </c>
    </row>
    <row r="10002">
      <c r="A10002" t="inlineStr">
        <is>
          <t>Force do crit</t>
        </is>
      </c>
      <c r="B10002">
        <f>HYPERLINK("https://www.dofusbook.net/fr/equipement/2179826-force-do-crit/objets", "link")</f>
        <v/>
      </c>
      <c r="C10002" t="n">
        <v>0</v>
      </c>
      <c r="D10002" t="inlineStr">
        <is>
          <t>Arc du Chalœil; Amulette du Cœur Saignant; Anneau Crustique; Anneau Crustique; Quatre-feuilles; Ceinture de Brouce; Masque de Koutoulou; Cape au Logis; Bottes du Cœur Saignant; Dofus Pourpre; Dofus Turquoise; Remueur; Enragé majeur; Nomade; Forcené majeur; Kompost</t>
        </is>
      </c>
    </row>
    <row r="10003">
      <c r="A10003" t="inlineStr">
        <is>
          <t>Force</t>
        </is>
      </c>
      <c r="B10003">
        <f>HYPERLINK("https://www.dofusbook.net/fr/equipement/2179809-force/objets", "link")</f>
        <v/>
      </c>
      <c r="C10003" t="n">
        <v>0</v>
      </c>
      <c r="D10003" t="inlineStr">
        <is>
          <t>Arc du Chalœil; Anneau Crustique; Quatre-feuilles; Masque de Koutoulou; Cape au Logis; Bottes de Brouce; Dofus Pourpre; Dofus Turquoise; Nomade; Enragé majeur; Forcené majeur; Remueur</t>
        </is>
      </c>
    </row>
    <row r="10004">
      <c r="A10004" t="inlineStr">
        <is>
          <t>Agil</t>
        </is>
      </c>
      <c r="B10004">
        <f>HYPERLINK("https://www.dofusbook.net/fr/equipement/2179754-agil/objets", "link")</f>
        <v/>
      </c>
      <c r="C10004" t="n">
        <v>0</v>
      </c>
      <c r="D10004" t="inlineStr">
        <is>
          <t>Manthache; Collier du Valet Veinard; Alliance Gloursonne; Gant du Valet Veinard; Bouclier alvéolé; Menoture; Capuche de Moum-Ra; Cape Indescriptible; Palmes Trithons; Remueur; Cascadeur; Nomade; Equilibriste majeur; Acrobate majeur; Cascadeur majeur; Siroko</t>
        </is>
      </c>
    </row>
    <row r="10005">
      <c r="A10005" t="inlineStr">
        <is>
          <t>Air resi</t>
        </is>
      </c>
      <c r="B10005">
        <f>HYPERLINK("https://www.dofusbook.net/fr/equipement/2179724-air-resi/objets", "link")</f>
        <v/>
      </c>
      <c r="C10005" t="n">
        <v>0</v>
      </c>
      <c r="D10005" t="inlineStr">
        <is>
          <t>Manthache; Collier du Valet Veinard; Gant du Valet Veinard; Alliance Gloursonne; Bouclier du Stalak; Menoture; Casque Dragoeuf; Caracape Minotoris; Palmes Trithons; Dofus Pourpre; Remueur; Cascadeur majeur; Carapace Neutre majeur; Miraculé majeur; Nomade; Muldo Ebène</t>
        </is>
      </c>
    </row>
    <row r="10006">
      <c r="A10006" t="inlineStr">
        <is>
          <t>Air resi</t>
        </is>
      </c>
      <c r="B10006">
        <f>HYPERLINK("https://www.dofusbook.net/fr/equipement/2179700-air-resi/objets", "link")</f>
        <v/>
      </c>
      <c r="C10006" t="n">
        <v>0</v>
      </c>
      <c r="D10006" t="inlineStr">
        <is>
          <t>Manthache; Collier du Valet Veinard; Alliance Gloursonne; Gant du Valet Veinard; Bouclier du Stalak; Menoture; Casque Dragoeuf; Caracape Minotoris; Palmes Trithons; Dofus Pourpre; Nomade; Remueur; Cascadeur majeur; Carapace Neutre majeur; Miraculé majeur; Muldo Ebène</t>
        </is>
      </c>
    </row>
    <row r="10007">
      <c r="A10007" t="inlineStr">
        <is>
          <t>Air resi</t>
        </is>
      </c>
      <c r="B10007">
        <f>HYPERLINK("https://www.dofusbook.net/fr/equipement/2179669-air-resi/objets", "link")</f>
        <v/>
      </c>
      <c r="C10007" t="n">
        <v>0</v>
      </c>
      <c r="D10007" t="inlineStr">
        <is>
          <t>Manthache; Collier du Valet Veinard; Gant du Valet Veinard; Alliance Gloursonne; Bouclier du Stalak; Menoture; Casque Dragoeuf; Caracape Minotoris; Palmes Trithons; Dofus Pourpre; Remueur; Cascadeur majeur; Carapace Neutre majeur; Miraculé majeur; Nomade; Muldo Ebène</t>
        </is>
      </c>
    </row>
    <row r="10008">
      <c r="A10008" t="inlineStr">
        <is>
          <t>Air resi</t>
        </is>
      </c>
      <c r="B10008">
        <f>HYPERLINK("https://www.dofusbook.net/fr/equipement/2179624-air-resi/objets", "link")</f>
        <v/>
      </c>
      <c r="C10008" t="n">
        <v>0</v>
      </c>
      <c r="D10008" t="inlineStr">
        <is>
          <t>Manthache; Collier du Valet Veinard; Alliance Gloursonne; Gant du Valet Veinard; Bouclier du Stalak; Menoture; Casque Dragoeuf; Caracape Minotoris; Palmes Trithons; Dofus Pourpre; Nomade; Remueur; Cascadeur majeur; Carapace Neutre majeur; Miraculé majeur; Muldo Ebène</t>
        </is>
      </c>
    </row>
    <row r="10009">
      <c r="A10009" t="inlineStr">
        <is>
          <t>Terre do pou</t>
        </is>
      </c>
      <c r="B10009">
        <f>HYPERLINK("https://www.dofusbook.net/fr/equipement/2174194-terre-do-pou/objets", "link")</f>
        <v/>
      </c>
      <c r="C10009" t="n">
        <v>0</v>
      </c>
      <c r="D10009" t="inlineStr">
        <is>
          <t>Arc du Chalœil; Amulette Luminescente; Bague Instable; Anneau Crustique; Bivalve; Ceinture Luminescente; Scaphandre Ojine; Cape au Logis; Bottes du Cœur Vaillant; Dofus Ocre; Dofus Turquoise; Enragé majeur; Remueur; Culbuteur majeur; Nomade; Tatouf</t>
        </is>
      </c>
    </row>
    <row r="10010">
      <c r="A10010" t="inlineStr">
        <is>
          <t>Eau feu</t>
        </is>
      </c>
      <c r="B10010">
        <f>HYPERLINK("https://www.dofusbook.net/fr/equipement/2173921-eau-feu/objets", "link")</f>
        <v/>
      </c>
      <c r="C10010" t="n">
        <v>0</v>
      </c>
      <c r="D10010" t="inlineStr">
        <is>
          <t>Arc Nécrotique; Amulette du Strigide; Anneau Bliteré; Bracelet du Piloztère; Quatre-feuilles; Ceinture du Strigide; Capuche de l'Œil Putride; Cape de la Dame du Hasard; Pataugastrique; Dofus Pourpre; Dofus Turquoise; Sanguinaire majeur; Remueur; Nomade; Vigoureux majeur; Muldo Prune et Emeraude</t>
        </is>
      </c>
    </row>
    <row r="10011">
      <c r="A10011" t="inlineStr">
        <is>
          <t>Eau feu</t>
        </is>
      </c>
      <c r="B10011">
        <f>HYPERLINK("https://www.dofusbook.net/fr/equipement/2173787-eau-feu/objets", "link")</f>
        <v/>
      </c>
      <c r="C10011" t="n">
        <v>0</v>
      </c>
      <c r="D10011" t="inlineStr">
        <is>
          <t>Arc Nécrotique; Amulette du Strigide; Anneau Bliteré; Bracelet du Piloztère; Quatre-feuilles; Ceinture du Strigide; Capuche de l'Œil Putride; Cape de la Dame du Hasard; Pataugastrique; Dofus Turquoise; Dofus Pourpre; Vigoureux majeur; Sanguinaire majeur; Remueur; Nomade; Muldo Prune et Emeraude</t>
        </is>
      </c>
    </row>
    <row r="10012">
      <c r="A10012" t="inlineStr">
        <is>
          <t>Air resi</t>
        </is>
      </c>
      <c r="B10012">
        <f>HYPERLINK("https://www.dofusbook.net/fr/equipement/2168689-air-resi/objets", "link")</f>
        <v/>
      </c>
      <c r="C10012" t="n">
        <v>0</v>
      </c>
      <c r="D10012" t="inlineStr">
        <is>
          <t>Manthache; Collier du Valet Veinard; Alliance Gloursonne; Gant du Valet Veinard; Cadran d'Eau; Menoture; Casque Dragoeuf; Caracape Minotoris; Palmes Trithons; Dofus Pourpre; Dofus Émeraude; Carapace Neutre majeur; Equilibriste majeur; Remueur; Cascadeur majeur; Muldo Ebène</t>
        </is>
      </c>
    </row>
    <row r="10013">
      <c r="A10013" t="inlineStr">
        <is>
          <t>Air resi</t>
        </is>
      </c>
      <c r="B10013">
        <f>HYPERLINK("https://www.dofusbook.net/fr/equipement/2168682-air-resi/objets", "link")</f>
        <v/>
      </c>
      <c r="C10013" t="n">
        <v>0</v>
      </c>
      <c r="D10013" t="inlineStr">
        <is>
          <t>Manthache; Collier du Valet Veinard; Alliance Gloursonne; Gant du Valet Veinard; Cadran d'Eau; Menoture; Casque Dragoeuf; Caracape Minotoris; Palmes Trithons; Dofus Pourpre; Dofus Émeraude; Remueur; Cascadeur majeur; Carapace Neutre majeur; Miraculé majeur; Muldo Ebène</t>
        </is>
      </c>
    </row>
    <row r="10014">
      <c r="A10014" t="inlineStr">
        <is>
          <t>Air resi</t>
        </is>
      </c>
      <c r="B10014">
        <f>HYPERLINK("https://www.dofusbook.net/fr/equipement/2168656-air-resi/objets", "link")</f>
        <v/>
      </c>
      <c r="C10014" t="n">
        <v>0</v>
      </c>
      <c r="D10014" t="inlineStr">
        <is>
          <t>Manthache; Collier du Valet Veinard; Alliance Gloursonne; Gant du Valet Veinard; Bouclier du Stalak; Menoture; Casque Dragoeuf; Caracape Minotoris; Palmes Trithons; Dofus Pourpre; Carapace Neutre majeur; Miraculé majeur; Equilibriste majeur; Remueur; Cascadeur majeur; Muldo Ebène</t>
        </is>
      </c>
    </row>
    <row r="10015">
      <c r="A10015" t="inlineStr">
        <is>
          <t>Heal</t>
        </is>
      </c>
      <c r="B10015">
        <f>HYPERLINK("https://www.dofusbook.net/fr/equipement/2168596-heal/objets", "link")</f>
        <v/>
      </c>
      <c r="C10015" t="n">
        <v>0</v>
      </c>
      <c r="D10015" t="inlineStr">
        <is>
          <t>Le Thanos; Pendentif affamé; Anneauræus; Anneau de Nidas; Carapar; Ceinture Séculaire; Couronne de Nidas; Cape de Diondin; Bottes Innommables; Remueur; Astucieux majeur; Soigneur majeur; Érudit majeur; Guérisseur majeur; Docteur majeur; Brûlih</t>
        </is>
      </c>
    </row>
    <row r="10016">
      <c r="A10016" t="inlineStr">
        <is>
          <t>Heal</t>
        </is>
      </c>
      <c r="B10016">
        <f>HYPERLINK("https://www.dofusbook.net/fr/equipement/2168593-heal/objets", "link")</f>
        <v/>
      </c>
      <c r="C10016" t="n">
        <v>1</v>
      </c>
      <c r="D10016" t="inlineStr">
        <is>
          <t>Le Thanos; Pendentif affamé; Anneauræus; Anneau de Nidas; Carapar; Ceinture Séculaire; Couronne de Nidas; Cape de Diondin; Bottes Innommables; Soigneur majeur; Érudit majeur; Guérisseur majeur; Docteur majeur; Remueur; Astucieux majeur; Brûlih</t>
        </is>
      </c>
    </row>
    <row r="10017">
      <c r="A10017" t="inlineStr">
        <is>
          <t>Heal</t>
        </is>
      </c>
      <c r="B10017">
        <f>HYPERLINK("https://www.dofusbook.net/fr/equipement/2168576-heal/objets", "link")</f>
        <v/>
      </c>
      <c r="C10017" t="n">
        <v>0</v>
      </c>
      <c r="D10017" t="inlineStr">
        <is>
          <t>Baguette de Malléfisk; Pendentif affamé; Anneauræus; Anneau de Nidas; Bivalve; Ceinture Séculaire; Couronne de Nidas; Cape de Diondin; Bottes Innommables; Remueur; Astucieux majeur; Nomade; Érudit majeur; Guérisseur majeur; Docteur majeur; Brûlih</t>
        </is>
      </c>
    </row>
    <row r="10018">
      <c r="A10018" t="inlineStr">
        <is>
          <t>Heal</t>
        </is>
      </c>
      <c r="B10018">
        <f>HYPERLINK("https://www.dofusbook.net/fr/equipement/2168564-heal/objets", "link")</f>
        <v/>
      </c>
      <c r="C10018" t="n">
        <v>0</v>
      </c>
      <c r="D10018" t="inlineStr">
        <is>
          <t>Baguette de Malléfisk; Pendentif affamé; Anneauræus; Anneau de Nidas; Carapar; Ceinture Séculaire; Couronne de Nidas; Cape de Diondin; Bottes Innommables; Nomade; Érudit majeur; Guérisseur majeur; Docteur majeur; Remueur; Astucieux majeur; Brûlih</t>
        </is>
      </c>
    </row>
    <row r="10019">
      <c r="A10019" t="inlineStr">
        <is>
          <t>Heal</t>
        </is>
      </c>
      <c r="B10019">
        <f>HYPERLINK("https://www.dofusbook.net/fr/equipement/2168555-heal/objets", "link")</f>
        <v/>
      </c>
      <c r="C10019" t="n">
        <v>0</v>
      </c>
      <c r="D10019" t="inlineStr">
        <is>
          <t>Le Thanos; Pendentif affamé; Anneauræus; Anneau de Nidas; Carapar; Ceinture Séculaire; Couronne de Nidas; Cape de Diondin; Bottes Innommables; Remueur; Astucieux majeur; Soigneur majeur; Érudit majeur; Guérisseur majeur; Docteur majeur; Brûlih</t>
        </is>
      </c>
    </row>
    <row r="10020">
      <c r="A10020" t="inlineStr">
        <is>
          <t>Heal</t>
        </is>
      </c>
      <c r="B10020">
        <f>HYPERLINK("https://www.dofusbook.net/fr/equipement/2168370-heal/objets", "link")</f>
        <v/>
      </c>
      <c r="C10020" t="n">
        <v>0</v>
      </c>
      <c r="D10020" t="inlineStr">
        <is>
          <t>Baguette de Malléfisk; Pendentif affamé; Baguistik; Anneau de Nidas; Carapar; Ceinture Séculaire; Couronne de Nidas; Voile d'encre; Bottes Innommables; Dofus Émeraude; Dofus Ocre; Carapace Neutre majeur; Érudit majeur; Carapace Feu majeur; Remueur; Muldo Indigo et Orchidée</t>
        </is>
      </c>
    </row>
    <row r="10021">
      <c r="A10021" t="inlineStr">
        <is>
          <t>Multi</t>
        </is>
      </c>
      <c r="B10021">
        <f>HYPERLINK("https://www.dofusbook.net/fr/equipement/2136866-multi/objets", "link")</f>
        <v/>
      </c>
      <c r="C10021" t="n">
        <v>0</v>
      </c>
      <c r="D10021" t="inlineStr">
        <is>
          <t>Hache du Chalœil; Amulette du Strigide; Alliance de Missiz Frizz; Bracelet du Piloztère; Quatre-feuilles; Ceintacé; Maskrobe; Voile d'encre; Bottes du Strigide; Dofus Pourpre; Dofus Turquoise; Vigoureux majeur; Remueur; Sanguinaire majeur; Nomade; Kramkram</t>
        </is>
      </c>
    </row>
    <row r="10022">
      <c r="A10022" t="inlineStr">
        <is>
          <t>Air 3</t>
        </is>
      </c>
      <c r="B10022">
        <f>HYPERLINK("https://www.dofusbook.net/fr/equipement/2136782-air-3/objets", "link")</f>
        <v/>
      </c>
      <c r="C10022" t="n">
        <v>0</v>
      </c>
      <c r="D10022" t="inlineStr">
        <is>
          <t>Manthache; Collier du Valet Veinard; Gant du Valet Veinard; Anneau d'Allister; Bouclier du Stalak; Menoture; Couronne d'Allister; Cape du Valet Veinard; Bottes d'Allister; Dofus Émeraude; Dofus Pourpre; Acrobate majeur; Ravageur Air majeur; Voyageur; Equilibriste majeur; Muldo Ebène et Orchidée</t>
        </is>
      </c>
    </row>
    <row r="10023">
      <c r="A10023" t="inlineStr">
        <is>
          <t>Terre eau</t>
        </is>
      </c>
      <c r="B10023">
        <f>HYPERLINK("https://www.dofusbook.net/fr/equipement/2128071-terre-eau/objets", "link")</f>
        <v/>
      </c>
      <c r="C10023" t="n">
        <v>0</v>
      </c>
      <c r="D10023" t="inlineStr">
        <is>
          <t>Arc de Guten Tak; Amulette du Strigide; Bracelet du Piloztère; Pikano; Quatre-feuilles; Ceinture du Strigide; Casquipik; Cape Luminescente; Pikottes; Dofus Ocre; Dofus Turquoise; Dofus des Glaces; Dolmanax; Dofus Pourpre; Puissant majeur; Muldo Prune et Emeraude</t>
        </is>
      </c>
    </row>
    <row r="10024">
      <c r="A10024" t="inlineStr">
        <is>
          <t>Multi res</t>
        </is>
      </c>
      <c r="B10024">
        <f>HYPERLINK("https://www.dofusbook.net/fr/equipement/2128012-multi-res/objets", "link")</f>
        <v/>
      </c>
      <c r="C10024" t="n">
        <v>0</v>
      </c>
      <c r="D10024" t="inlineStr">
        <is>
          <t>Dagues de Srambad; Amulette Ementaire Deluxe; Bracelet du Piloztère; Bague Gloursonne; Ftalmo; Ceinture de la Reine des Voleurs; Coiffe de la Reine des Voleurs; Voile d'encre; Goulbottes; Dolmanax; Dofus Ocre; Dofus Pourpre; Dofus des Glaces; Remueur; Nomade; Kramkram</t>
        </is>
      </c>
    </row>
    <row r="10025">
      <c r="A10025" t="inlineStr">
        <is>
          <t>Full ral</t>
        </is>
      </c>
      <c r="B10025">
        <f>HYPERLINK("https://www.dofusbook.net/fr/equipement/2127182-full-ral/objets", "link")</f>
        <v/>
      </c>
      <c r="C10025" t="n">
        <v>1</v>
      </c>
      <c r="D10025" t="inlineStr">
        <is>
          <t>Hache du Korriandre; Amulette du Strigide; Anneau du Korriandre; Alliance Gloursonne; Sept ans de malheur; Ceinture du Strigide; Némès de Tal Kasha; Chevelure de Tal Kasha; Sandales de Tal Kasha; Dofus Ocre; Dofus Pourpre; Dofus Turquoise; Engourdisseur majeur; Paralyseur majeur; Paralyseur; Muldo Ebène et Indigo</t>
        </is>
      </c>
    </row>
    <row r="10026">
      <c r="A10026" t="inlineStr">
        <is>
          <t>Eau retrait</t>
        </is>
      </c>
      <c r="B10026">
        <f>HYPERLINK("https://www.dofusbook.net/fr/equipement/2127111-eau-retrait/objets", "link")</f>
        <v/>
      </c>
      <c r="C10026" t="n">
        <v>0</v>
      </c>
      <c r="D10026" t="inlineStr">
        <is>
          <t>Arc Ontanporin; Amulette de Shokkoth; Alliance Gloursonne; Bracelet des Fonds marins; Quatre-feuilles; Poulpagne; Kidibonnet; Chevelure de Tal Kasha; Sandales de Tal Kasha; Dofus Turquoise; Paralyseur majeur; Remueur; Chanceux majeur; Nomade; Étourdisseur majeur; Muldo Indigo</t>
        </is>
      </c>
    </row>
    <row r="10027">
      <c r="A10027" t="inlineStr">
        <is>
          <t>Multi</t>
        </is>
      </c>
      <c r="B10027">
        <f>HYPERLINK("https://www.dofusbook.net/fr/equipement/2126062-multi/objets", "link")</f>
        <v/>
      </c>
      <c r="C10027" t="n">
        <v>0</v>
      </c>
      <c r="D10027" t="inlineStr">
        <is>
          <t>Hache du Chalœil; Amulette du Strigide; Bracelet du Piloztère; Alliance du Lévitrof; Quatre-feuilles; Ceinture du Strigide; Coiffe du Lévitrof; Voile d'encre; Bottes du Strigide; Dofus Pourpre; Dofus des Glaces; Dofus Turquoise; Dolmanax; Dofus Ocre; Puissant majeur; Muldo Prune et Emeraude</t>
        </is>
      </c>
    </row>
    <row r="10028">
      <c r="A10028" t="inlineStr">
        <is>
          <t>Multi</t>
        </is>
      </c>
      <c r="B10028">
        <f>HYPERLINK("https://www.dofusbook.net/fr/equipement/2126001-multi/objets", "link")</f>
        <v/>
      </c>
      <c r="C10028" t="n">
        <v>0</v>
      </c>
      <c r="D10028" t="inlineStr">
        <is>
          <t>Hache du Chalœil; Amulette du Strigide; Bracelet du Piloztère; Alliance du Lévitrof; Quatre-feuilles; Ceinture du Strigide; Coiffe du Lévitrof; Voile d'encre; Bottes du Strigide; Dolmanax; Dofus Ocre; Dofus Pourpre; Dofus des Glaces; Dofus Turquoise; Muldo Prune et Emeraude</t>
        </is>
      </c>
    </row>
    <row r="10029">
      <c r="A10029" t="inlineStr">
        <is>
          <t>Multi roxcc</t>
        </is>
      </c>
      <c r="B10029">
        <f>HYPERLINK("https://www.dofusbook.net/fr/equipement/2125488-multi-roxcc/objets", "link")</f>
        <v/>
      </c>
      <c r="C10029" t="n">
        <v>0</v>
      </c>
      <c r="D10029" t="inlineStr">
        <is>
          <t>Hache du Chalœil; Amulette du Strigide; Anneau de Pol Ouatnos; Bracelet du Piloztère; Quatre-feuilles; Ceintacé; Chapeau Lisson; Dofusteuse; Bottes du Strigide; Dofus Pourpre; Dofus Turquoise; Nomade; Vigoureux majeur; Remueur; Sanguinaire majeur; Kramkram</t>
        </is>
      </c>
    </row>
    <row r="10030">
      <c r="A10030" t="inlineStr">
        <is>
          <t>Feu roxx</t>
        </is>
      </c>
      <c r="B10030">
        <f>HYPERLINK("https://www.dofusbook.net/fr/equipement/2122015-feu-roxx/objets", "link")</f>
        <v/>
      </c>
      <c r="C10030" t="n">
        <v>0</v>
      </c>
      <c r="D10030" t="inlineStr">
        <is>
          <t>Harpelle; Pendentif affamé; Anneauræus; Anneauræus; Bouclier du Captain Amakna; Ceinture Séculaire; Coiffe Séculaire; Cape de Diondin; Bottes Innommables; Dofus Turquoise; Dofus Nébuleux; Dofus Pourpre; Érudit majeur; Remueur; Nomade; Brûlih</t>
        </is>
      </c>
    </row>
    <row r="10031">
      <c r="A10031" t="inlineStr">
        <is>
          <t>Feu roxx</t>
        </is>
      </c>
      <c r="B10031">
        <f>HYPERLINK("https://www.dofusbook.net/fr/equipement/1862577-feu-roxx/objets", "link")</f>
        <v/>
      </c>
      <c r="C10031" t="n">
        <v>0</v>
      </c>
      <c r="D10031" t="inlineStr">
        <is>
          <t>Harpelle; Pendentif affamé; Anneauræus; Anneauræus; Bouclier du Captain Amakna; Ceinture Séculaire; Coiffe Séculaire; Cape de Diondin; Bottes Innommables; Dofus Turquoise; Dofus Nébuleux; Dofus Pourpre; Érudit majeur; Remueur; Nomade; Brûlih</t>
        </is>
      </c>
    </row>
    <row r="10032">
      <c r="A10032" t="inlineStr">
        <is>
          <t>Chance resistance</t>
        </is>
      </c>
      <c r="B10032">
        <f>HYPERLINK("https://www.dofusbook.net/fr/equipement/2121962-chance-resistance/objets", "link")</f>
        <v/>
      </c>
      <c r="C10032" t="n">
        <v>0</v>
      </c>
      <c r="D10032" t="inlineStr">
        <is>
          <t>Sceptre du Roi Joueur; Amulette de Shokkoth; Bracelet du Piloztère; Bracelet des Fonds marins; Bouclier du Stalak; Sangle Ouare; Kidibonnet; Cape du Sinistrofu; Bottes du Sinistrofu; Dofus Pourpre; Dévastateur Eau majeur; Chanceux majeur; Remueur; Nomade; Taquin majeur; Kramkram</t>
        </is>
      </c>
    </row>
    <row r="10033">
      <c r="A10033" t="inlineStr">
        <is>
          <t>Full force</t>
        </is>
      </c>
      <c r="B10033">
        <f>HYPERLINK("https://www.dofusbook.net/fr/equipement/2121825-full-force/objets", "link")</f>
        <v/>
      </c>
      <c r="C10033" t="n">
        <v>0</v>
      </c>
      <c r="D10033" t="inlineStr">
        <is>
          <t>Dagues d'Ilyzaelle; Amulette du Cœur Saignant; Anneau Crustique; Anneau Crustique; Bouclier du Captain Amakna; Sangle de Sylargh; Masque de Koutoulou; Cape au Logis; Bottes du Cœur Saignant; Dofus Turquoise; Furibond majeur; Remueur; Forcené majeur; Nomade; Enragé majeur; Kompost</t>
        </is>
      </c>
    </row>
    <row r="10034">
      <c r="A10034" t="inlineStr">
        <is>
          <t>Full force</t>
        </is>
      </c>
      <c r="B10034">
        <f>HYPERLINK("https://www.dofusbook.net/fr/equipement/2121806-full-force/objets", "link")</f>
        <v/>
      </c>
      <c r="C10034" t="n">
        <v>0</v>
      </c>
      <c r="D10034" t="inlineStr">
        <is>
          <t>Arc du Chalœil; Amulette du Cœur Saignant; Anneau Crustique; Anneau Crustique; Quatre-feuilles; Sangle de Sylargh; Masque de Koutoulou; Cape au Logis; Bottes du Cœur Saignant; Dofus Turquoise; Nomade; Enragé majeur; Furibond majeur; Remueur; Forcené majeur; Kompost</t>
        </is>
      </c>
    </row>
    <row r="10035">
      <c r="A10035" t="inlineStr">
        <is>
          <t>Full resi</t>
        </is>
      </c>
      <c r="B10035">
        <f>HYPERLINK("https://www.dofusbook.net/fr/equipement/2121752-full-resi/objets", "link")</f>
        <v/>
      </c>
      <c r="C10035" t="n">
        <v>0</v>
      </c>
      <c r="D10035" t="inlineStr">
        <is>
          <t>Baguette de Malléfisk; Torquistik; Goulano; Baguistik; Goulclier; Frimature; Casque Dragoeuf; Voile d'encre; Bottistik; Dofus Ocre; Dofus Émeraude; Dolmanax; Dofus Ivoire; Vagabond majeur; Bastion majeur; Muldo Orchidée et Pourpre</t>
        </is>
      </c>
    </row>
    <row r="10036">
      <c r="A10036" t="inlineStr">
        <is>
          <t>Feu resi</t>
        </is>
      </c>
      <c r="B10036">
        <f>HYPERLINK("https://www.dofusbook.net/fr/equipement/2121672-feu-resi/objets", "link")</f>
        <v/>
      </c>
      <c r="C10036" t="n">
        <v>0</v>
      </c>
      <c r="D10036" t="inlineStr">
        <is>
          <t>Baguette de Malléfisk; Pendentif affamé; Anneau Tique; Anneau de Nidas; Carapar; Protopagne; Casque Dragoeuf; Voile d'encre; Tongues de Nidas; Dofus Ocre; Dofus Ivoire; Remueur; Carapace Neutre majeur; Miraculé majeur; Érudit majeur; Muldo Orchidée et Amande</t>
        </is>
      </c>
    </row>
    <row r="10037">
      <c r="A10037" t="inlineStr">
        <is>
          <t>Terre eau</t>
        </is>
      </c>
      <c r="B10037">
        <f>HYPERLINK("https://www.dofusbook.net/fr/equipement/2121027-terre-eau/objets", "link")</f>
        <v/>
      </c>
      <c r="C10037" t="n">
        <v>0</v>
      </c>
      <c r="D10037" t="inlineStr">
        <is>
          <t>Arc de Guten Tak; Amulette du Strigide; Pikano; Bracelet du Piloztère; Quatre-feuilles; Ceinture du Strigide; Casquipik; Cape Luminescente; Pikottes; Dofus Ocre; Dofus Turquoise; Dofus des Glaces; Dolmanax; Dofus Pourpre; Puissant majeur; Muldo Prune et Emeraude</t>
        </is>
      </c>
    </row>
    <row r="10038">
      <c r="A10038" t="inlineStr">
        <is>
          <t>Terre eau</t>
        </is>
      </c>
      <c r="B10038">
        <f>HYPERLINK("https://www.dofusbook.net/fr/equipement/2120995-terre-eau/objets", "link")</f>
        <v/>
      </c>
      <c r="C10038" t="n">
        <v>1</v>
      </c>
      <c r="D10038" t="inlineStr">
        <is>
          <t>Arc de Guten Tak; Amulette du Strigide; Pikano; Bracelet du Piloztère; Quatre-feuilles; Ceinture du Strigide; Casquipik; Cape Luminescente; Pikottes; Dofus Ocre; Dofus Turquoise; Dofus des Glaces; Dolmanax; Dofus Pourpre; Puissant majeur; Muldo Prune et Emeraude</t>
        </is>
      </c>
    </row>
    <row r="10039">
      <c r="A10039" t="inlineStr">
        <is>
          <t>Do pou</t>
        </is>
      </c>
      <c r="B10039">
        <f>HYPERLINK("https://www.dofusbook.net/fr/equipement/2120955-do-pou/objets", "link")</f>
        <v/>
      </c>
      <c r="C10039" t="n">
        <v>0</v>
      </c>
      <c r="D10039" t="inlineStr">
        <is>
          <t>Arc du Chalœil; Amulette Luminescente; Anneau du Professeur Xa; Anneau du Comte Harebourg; Bouclier Taverne; Ceinture Luminescente; Coiffe du Comte Harebourg; Cape Luminescente; Bottes du Comte Harebourg; Dofus Pourpre; Dofus Turquoise; Dolmanax; Pousseur majeur; Bousculeur majeur; Forcené majeur; Kompost</t>
        </is>
      </c>
    </row>
    <row r="10040">
      <c r="A10040" t="inlineStr">
        <is>
          <t>Resi vrit</t>
        </is>
      </c>
      <c r="B10040">
        <f>HYPERLINK("https://www.dofusbook.net/fr/equipement/2120732-resi-vrit/objets", "link")</f>
        <v/>
      </c>
      <c r="C10040" t="n">
        <v>0</v>
      </c>
      <c r="D10040" t="inlineStr">
        <is>
          <t>Dagues de Srambad; Torquistik; Baguistik; Goulano; Goulclier; Ceinture de la Reine des Voleurs; Coiffe de la Reine des Voleurs; Capchalot; Goulbottes; Dofus Pourpre; Robuste majeur; Puissant majeur; Joueur majeur; Féroce majeur; Bastion majeur; Muldo Ebène et Indigo</t>
        </is>
      </c>
    </row>
    <row r="10041">
      <c r="A10041" t="inlineStr">
        <is>
          <t>Feuj</t>
        </is>
      </c>
      <c r="B10041">
        <f>HYPERLINK("https://www.dofusbook.net/fr/equipement/2120622-feuj-/objets", "link")</f>
        <v/>
      </c>
      <c r="C10041" t="n">
        <v>0</v>
      </c>
      <c r="D10041" t="inlineStr">
        <is>
          <t>Arc corrompu; Pendentif affamé; Anneau Tamie; Anneau Tamie; Quatre-feuilles; Ceinture Séculaire; Coiffe Séculaire; Cape de Diondin; Bottes Innommables; Dofus Turquoise; Nomade; Dévastateur Feu majeur; Astucieux majeur; Remueur; Érudit majeur; Brûlih</t>
        </is>
      </c>
    </row>
    <row r="10042">
      <c r="A10042" t="inlineStr">
        <is>
          <t>Feuj</t>
        </is>
      </c>
      <c r="B10042">
        <f>HYPERLINK("https://www.dofusbook.net/fr/equipement/2120602-feuj-/objets", "link")</f>
        <v/>
      </c>
      <c r="C10042" t="n">
        <v>0</v>
      </c>
      <c r="D10042" t="inlineStr">
        <is>
          <t>Arc corrompu; Pendentif affamé; Anneau Tamie; Anneau Tamie; Quatre-feuilles; Ceinture Séculaire; Coiffe Séculaire; Cape de Diondin; Bottes Innommables; Dofus Turquoise; Astucieux majeur; Remueur; Érudit majeur; Nomade; Dévastateur Feu majeur; Brûlih</t>
        </is>
      </c>
    </row>
    <row r="10043">
      <c r="A10043" t="inlineStr">
        <is>
          <t>Feuj</t>
        </is>
      </c>
      <c r="B10043">
        <f>HYPERLINK("https://www.dofusbook.net/fr/equipement/2120533-feuj-/objets", "link")</f>
        <v/>
      </c>
      <c r="C10043" t="n">
        <v>0</v>
      </c>
      <c r="D10043" t="inlineStr">
        <is>
          <t>Arc corrompu; Pendentif affamé; Anneau Tamie; Anneau Tamie; Quatre-feuilles; Ceinture Séculaire; Coiffe Séculaire; Cape de Diondin; Bottes Innommables; Dofus Turquoise; Nomade; Dévastateur Feu majeur; Astucieux majeur; Remueur; Érudit majeur; Brûlih</t>
        </is>
      </c>
    </row>
    <row r="10044">
      <c r="A10044" t="inlineStr">
        <is>
          <t>Do pui</t>
        </is>
      </c>
      <c r="B10044">
        <f>HYPERLINK("https://www.dofusbook.net/fr/equipement/2120507-do-pui/objets", "link")</f>
        <v/>
      </c>
      <c r="C10044" t="n">
        <v>0</v>
      </c>
      <c r="D10044" t="inlineStr">
        <is>
          <t>Marteau des égarés; Amulette de l'Indicible; Bracelet du Piloztère; Grésilanneau; Cadran d'Eau; Ceinture de l'Esprit Salvateur; Le Dorado; Voilamibe; Bottes de l'Esprit Salvateur; Dolmanax; Dofus des Glaces; Dofus Pourpre; Remueur; Nomade; Vigoureux majeur; Kramkram</t>
        </is>
      </c>
    </row>
    <row r="10045">
      <c r="A10045" t="inlineStr">
        <is>
          <t>Feuj</t>
        </is>
      </c>
      <c r="B10045">
        <f>HYPERLINK("https://www.dofusbook.net/fr/equipement/2117684-feuj-/objets", "link")</f>
        <v/>
      </c>
      <c r="C10045" t="n">
        <v>0</v>
      </c>
      <c r="D10045" t="inlineStr">
        <is>
          <t>Arc corrompu; Pendentif affamé; Anneau Tamie; Anneau Tamie; Bouclier du Captain Amakna; Ceinture Séculaire; Coiffe Séculaire; Cape de Diondin; Bottes Innommables; Dofus Turquoise; Nomade; Dévastateur Feu majeur; Astucieux majeur; Remueur; Érudit majeur; Brûlih</t>
        </is>
      </c>
    </row>
    <row r="10046">
      <c r="A10046" t="inlineStr">
        <is>
          <t>Feuj</t>
        </is>
      </c>
      <c r="B10046">
        <f>HYPERLINK("https://www.dofusbook.net/fr/equipement/2117639-feuj-/objets", "link")</f>
        <v/>
      </c>
      <c r="C10046" t="n">
        <v>0</v>
      </c>
      <c r="D10046" t="inlineStr">
        <is>
          <t>Arc corrompu; Pendentif affamé; Anneau Tamie; Anneau Tamie; Bouclier du Captain Amakna; Ceinture Séculaire; Coiffe Séculaire; Cape de Diondin; Bottes Innommables; Dofus Turquoise; Astucieux majeur; Remueur; Érudit majeur; Nomade; Dévastateur Feu majeur; Brûlih</t>
        </is>
      </c>
    </row>
    <row r="10047">
      <c r="A10047" t="inlineStr">
        <is>
          <t>Terre eau</t>
        </is>
      </c>
      <c r="B10047">
        <f>HYPERLINK("https://www.dofusbook.net/fr/equipement/2113795-terre-eau/objets", "link")</f>
        <v/>
      </c>
      <c r="C10047" t="n">
        <v>0</v>
      </c>
      <c r="D10047" t="inlineStr">
        <is>
          <t>Arc de Guten Tak; Amulette du Strigide; Bracelet du Piloztère; Pikano; Quatre-feuilles; Ceinture du Strigide; Casquipik; Cape Luminescente; Pikottes; Dolmanax; Dofus Pourpre; Dofus Ocre; Dofus Turquoise; Dofus des Glaces; Puissant majeur; Muldo Prune et Emeraude</t>
        </is>
      </c>
    </row>
    <row r="10048">
      <c r="A10048" t="inlineStr">
        <is>
          <t>Tetreeau</t>
        </is>
      </c>
      <c r="B10048">
        <f>HYPERLINK("https://www.dofusbook.net/fr/equipement/2113765-tetreeau/objets", "link")</f>
        <v/>
      </c>
      <c r="C10048" t="n">
        <v>0</v>
      </c>
      <c r="D10048" t="inlineStr">
        <is>
          <t>Arc de Guten Tak; Amulette Luminescente; Bracelet du Piloztère; Pikano; Quatre-feuilles; Ceinture Luminescente; Casquipik; Cape Luminescente; Pikottes; Dolmanax; Dofus Turquoise; Dofus Pourpre; Dofus des Glaces; Dofus Abyssal; Dofus Ocre; Muldo Prune et Emeraude</t>
        </is>
      </c>
    </row>
    <row r="10049">
      <c r="A10049" t="inlineStr">
        <is>
          <t>Tetreeau</t>
        </is>
      </c>
      <c r="B10049">
        <f>HYPERLINK("https://www.dofusbook.net/fr/equipement/2113734-tetreeau/objets", "link")</f>
        <v/>
      </c>
      <c r="C10049" t="n">
        <v>0</v>
      </c>
      <c r="D10049" t="inlineStr">
        <is>
          <t>Arc de Guten Tak; Amulette Luminescente; Pikano; Bracelet du Piloztère; Quatre-feuilles; Ceinture Luminescente; Casquipik; Cape Luminescente; Pikottes; Dofus Abyssal; Dofus Ocre; Dolmanax; Dofus Turquoise; Dofus Pourpre; Dofus des Glaces; Muldo Prune et Emeraude</t>
        </is>
      </c>
    </row>
    <row r="10050">
      <c r="A10050" t="inlineStr">
        <is>
          <t>Tetreeau</t>
        </is>
      </c>
      <c r="B10050">
        <f>HYPERLINK("https://www.dofusbook.net/fr/equipement/2113679-tetreeau/objets", "link")</f>
        <v/>
      </c>
      <c r="C10050" t="n">
        <v>0</v>
      </c>
      <c r="D10050" t="inlineStr">
        <is>
          <t>Arc de Guten Tak; Amulette Luminescente; Bracelet du Piloztère; Pikano; Quatre-feuilles; Ceinture Luminescente; Casquipik; Cape Luminescente; Pikottes; Dolmanax; Dofus Turquoise; Dofus Pourpre; Dofus des Glaces; Dofus Abyssal; Dofus Ocre; Muldo Prune et Emeraude</t>
        </is>
      </c>
    </row>
    <row r="10051">
      <c r="A10051" t="inlineStr">
        <is>
          <t>Do pou</t>
        </is>
      </c>
      <c r="B10051">
        <f>HYPERLINK("https://www.dofusbook.net/fr/equipement/2113025-do-pou/objets", "link")</f>
        <v/>
      </c>
      <c r="C10051" t="n">
        <v>0</v>
      </c>
      <c r="D10051" t="inlineStr">
        <is>
          <t>Arc du Chalœil; Amulette Luminescente; Bague Trithon; Anneau du Professeur Xa; Bouclier Taverne; Ceinture Luminescente; Masque Trithon; Cape Luminescente; Bottes Trithon; Dolmanax; Dofus Pourpre; Dofus Turquoise; Bousculeur; Pousseur majeur; Bousculeur majeur; Tatouf</t>
        </is>
      </c>
    </row>
    <row r="10052">
      <c r="A10052" t="inlineStr">
        <is>
          <t>Do pou</t>
        </is>
      </c>
      <c r="B10052">
        <f>HYPERLINK("https://www.dofusbook.net/fr/equipement/2113016-do-pou/objets", "link")</f>
        <v/>
      </c>
      <c r="C10052" t="n">
        <v>1</v>
      </c>
      <c r="D10052" t="inlineStr">
        <is>
          <t>Arc du Chalœil; Amulette Luminescente; Anneau Chevelu; Bague Trithon; Bouclier Taverne; Ceinture Luminescente; Masque de Koutoulou; Cape au Logis; Bottes du Cœur Vaillant; Dofus Turquoise; Enragé majeur; Bousculeur majeur; Pousseur majeur; Remueur; Culbuteur majeur; Kramkram</t>
        </is>
      </c>
    </row>
    <row r="10053">
      <c r="A10053" t="inlineStr">
        <is>
          <t>Eau ro x</t>
        </is>
      </c>
      <c r="B10053">
        <f>HYPERLINK("https://www.dofusbook.net/fr/equipement/2111483-eau-ro-x/objets", "link")</f>
        <v/>
      </c>
      <c r="C10053" t="n">
        <v>0</v>
      </c>
      <c r="D10053" t="inlineStr">
        <is>
          <t>Dagoulinantes; Amulette du Sinistrofu; Bracelet des Fonds marins; Anneau Glacial; Bouclier du Captain Amakna; Poulpagne; Kidibonnet; Cape du Sinistrofu; Sandales Circulaires du Kimbo; Dofus Pourpre; Dofus Turquoise; Remueur; Chanceux majeur; Nomade; Taquin majeur; Dehluge</t>
        </is>
      </c>
    </row>
    <row r="10054">
      <c r="A10054" t="inlineStr">
        <is>
          <t>Eau ro x</t>
        </is>
      </c>
      <c r="B10054">
        <f>HYPERLINK("https://www.dofusbook.net/fr/equipement/2111400-eau-ro-x/objets", "link")</f>
        <v/>
      </c>
      <c r="C10054" t="n">
        <v>0</v>
      </c>
      <c r="D10054" t="inlineStr">
        <is>
          <t>Dagoulinantes; Amulette du Sinistrofu; Anneau Glacial; Bracelet des Fonds marins; Bouclier du Captain Amakna; Poulpagne; Kidibonnet; Cape du Sinistrofu; Sandales Circulaires du Kimbo; Dofus Pourpre; Dofus Turquoise; Nomade; Taquin majeur; Remueur; Chanceux majeur; Dehluge</t>
        </is>
      </c>
    </row>
    <row r="10055">
      <c r="A10055" t="inlineStr">
        <is>
          <t>Terre eau</t>
        </is>
      </c>
      <c r="B10055">
        <f>HYPERLINK("https://www.dofusbook.net/fr/equipement/2111119-terre-eau/objets", "link")</f>
        <v/>
      </c>
      <c r="C10055" t="n">
        <v>1</v>
      </c>
      <c r="D10055" t="inlineStr">
        <is>
          <t>Baguette des égarés; Amulette du Strigide; Pikano; Bracelet du Piloztère; Quatre-feuilles; Ceinture du Strigide; Casquipik; Cape Luminescente; Pikottes; Dofus Nébuleux; Dofus des Glaces; Dolmanax; Dofus Pourpre; Dofus Ocre; Dofus Turquoise; Muldo Prune et Emeraude</t>
        </is>
      </c>
    </row>
    <row r="10056">
      <c r="A10056" t="inlineStr">
        <is>
          <t>Do pou</t>
        </is>
      </c>
      <c r="B10056">
        <f>HYPERLINK("https://www.dofusbook.net/fr/equipement/2110840-do-pou/objets", "link")</f>
        <v/>
      </c>
      <c r="C10056" t="n">
        <v>0</v>
      </c>
      <c r="D10056" t="inlineStr">
        <is>
          <t>Arc du Chalœil; Amulette Luminescente; Anneau du Professeur Xa; Bague Trithon; Bouclier précieux; Ceinture Luminescente; Masque Trithon; Cape Luminescente; Bottes Trithon; Dofus Pourpre; Dofus Turquoise; Dolmanax; Pousseur majeur; Bousculeur majeur; Bousculeur; Tatouf</t>
        </is>
      </c>
    </row>
    <row r="10057">
      <c r="A10057" t="inlineStr">
        <is>
          <t>Do pou</t>
        </is>
      </c>
      <c r="B10057">
        <f>HYPERLINK("https://www.dofusbook.net/fr/equipement/2110834-do-pou/objets", "link")</f>
        <v/>
      </c>
      <c r="C10057" t="n">
        <v>1</v>
      </c>
      <c r="D10057" t="inlineStr">
        <is>
          <t>Arc du Chalœil; Amulette Luminescente; Bague Trithon; Anneau du Professeur Xa; Bouclier Taverne; Ceinture Luminescente; Masque Trithon; Cape Luminescente; Bottes Trithon; Dolmanax; Dofus Pourpre; Dofus Turquoise; Bousculeur; Pousseur majeur; Bousculeur majeur; Tatouf</t>
        </is>
      </c>
    </row>
    <row r="10058">
      <c r="A10058" t="inlineStr">
        <is>
          <t>Do pou</t>
        </is>
      </c>
      <c r="B10058">
        <f>HYPERLINK("https://www.dofusbook.net/fr/equipement/2110833-do-pou/objets", "link")</f>
        <v/>
      </c>
      <c r="C10058" t="n">
        <v>1</v>
      </c>
      <c r="D10058" t="inlineStr">
        <is>
          <t>Arc du Chalœil; Amulette Luminescente; Bague Trithon; Anneau du Professeur Xa; Bouclier précieux; Ceinture Luminescente; Masque Trithon; Cape Luminescente; Dofus Pourpre; Dofus Turquoise; Dolmanax; Pousseur majeur; Bousculeur majeur; Bousculeur; Tatouf</t>
        </is>
      </c>
    </row>
    <row r="10059">
      <c r="A10059" t="inlineStr">
        <is>
          <t>Do pou</t>
        </is>
      </c>
      <c r="B10059">
        <f>HYPERLINK("https://www.dofusbook.net/fr/equipement/2110799-do-pou/objets", "link")</f>
        <v/>
      </c>
      <c r="C10059" t="n">
        <v>0</v>
      </c>
      <c r="D10059" t="inlineStr">
        <is>
          <t>Arc du Chalœil; Amulette Luminescente; Anneau du Professeur Xa; Bague Trithon; Bouclier Taverne; Ceinture Luminescente; Masque Trithon; Cape Luminescente; Bottes Trithon; Dofus Pourpre; Dofus Turquoise; Dolmanax; Pousseur majeur; Bousculeur majeur; Bousculeur; Tatouf</t>
        </is>
      </c>
    </row>
    <row r="10060">
      <c r="A10060" t="inlineStr">
        <is>
          <t>Do cac</t>
        </is>
      </c>
      <c r="B10060">
        <f>HYPERLINK("https://www.dofusbook.net/fr/equipement/2110554-do-cac/objets", "link")</f>
        <v/>
      </c>
      <c r="C10060" t="n">
        <v>0</v>
      </c>
      <c r="D10060" t="inlineStr">
        <is>
          <t>Sabres d'Atcham; Amulette du Strigide; Anneau de Padgref; Bague Trithon; Bouclier du Captain Amakna; Ceinture du Strigide; Coiffe de Padgref; Cape d'Atcham; Getas de Padgref; Dofus Pourpre; Dofus des Glaces; Dofus Abyssal; Dofus Turquoise; Dolmanax; Dofus Ocre; Muldo Emeraude</t>
        </is>
      </c>
    </row>
    <row r="10061">
      <c r="A10061" t="inlineStr">
        <is>
          <t>Do cac</t>
        </is>
      </c>
      <c r="B10061">
        <f>HYPERLINK("https://www.dofusbook.net/fr/equipement/2110542-do-cac/objets", "link")</f>
        <v/>
      </c>
      <c r="C10061" t="n">
        <v>0</v>
      </c>
      <c r="D10061" t="inlineStr">
        <is>
          <t>Sabres d'Atcham; Amulette du Strigide; Bague Trithon; Anneau de Padgref; Bouclier du Captain Amakna; Ceinture du Strigide; Coiffe de Padgref; Cape d'Atcham; Getas de Padgref; Dolmanax; Dofus Ocre; Dofus Pourpre; Dofus des Glaces; Dofus Abyssal; Dofus Turquoise; Muldo Emeraude</t>
        </is>
      </c>
    </row>
    <row r="10062">
      <c r="A10062" t="inlineStr">
        <is>
          <t>Do cac</t>
        </is>
      </c>
      <c r="B10062">
        <f>HYPERLINK("https://www.dofusbook.net/fr/equipement/2110400-do-cac/objets", "link")</f>
        <v/>
      </c>
      <c r="C10062" t="n">
        <v>0</v>
      </c>
      <c r="D10062" t="inlineStr">
        <is>
          <t>Sabres d'Atcham; Amulette du Strigide; Anneau de Padgref; Bague Trithon; Bouclier du Captain Amakna; Ceinture du Strigide; Coiffe de Padgref; Cape d'Atcham; Getas de Padgref; Dofus Pourpre; Dofus des Glaces; Dofus Abyssal; Dofus Turquoise; Dolmanax; Dofus Ocre; Muldo Emeraude</t>
        </is>
      </c>
    </row>
    <row r="10063">
      <c r="A10063" t="inlineStr">
        <is>
          <t>Do pui</t>
        </is>
      </c>
      <c r="B10063">
        <f>HYPERLINK("https://www.dofusbook.net/fr/equipement/2110261-do-pui/objets", "link")</f>
        <v/>
      </c>
      <c r="C10063" t="n">
        <v>0</v>
      </c>
      <c r="D10063" t="inlineStr">
        <is>
          <t>Marteau des égarés; Amulette de l'Indicible; Grésilanneau; Bracelet du Piloztère; Bouclier du Stalak; Ceinture de l'Esprit Salvateur; Le Dorado; Voilamibe; Bottes de l'Esprit Salvateur; Dolmanax; Dofus des Glaces; Dofus Pourpre; Nomade; Vigoureux majeur; Remueur; Kramkram</t>
        </is>
      </c>
    </row>
    <row r="10064">
      <c r="A10064" t="inlineStr">
        <is>
          <t>Resi crit</t>
        </is>
      </c>
      <c r="B10064">
        <f>HYPERLINK("https://www.dofusbook.net/fr/equipement/2105045-resi-crit/objets", "link")</f>
        <v/>
      </c>
      <c r="C10064" t="n">
        <v>0</v>
      </c>
      <c r="D10064" t="inlineStr">
        <is>
          <t>Dagues de Srambad; Amulette de Pol Ouatnos; Bracelet du Piloztère; Goulano; Goulclier; Ceinture de la Reine des Voleurs; Coiffe de la Reine des Voleurs; Voile d'encre; Goulbottes; Dofus Pourpre; Dofus Abyssal; Dofus Turquoise; Dofus Ocre; Dolmanax; Dofus des Glaces; Muldo Doré et Ebène</t>
        </is>
      </c>
    </row>
    <row r="10065">
      <c r="A10065" t="inlineStr">
        <is>
          <t>Strigide gloursonne</t>
        </is>
      </c>
      <c r="B10065">
        <f>HYPERLINK("https://www.dofusbook.net/fr/equipement/2104776-strigide-gloursonne/objets", "link")</f>
        <v/>
      </c>
      <c r="C10065" t="n">
        <v>1</v>
      </c>
      <c r="D10065" t="inlineStr">
        <is>
          <t>Epée Gloursonne; Amulette du Strigide; Bague Gloursonne; Alliance Gloursonne; Quatre-feuilles; Ceinture du Strigide; Chapeau Lisson; Voile d'encre; Bottes du Strigide; Dolmanax; Dofus Pourpre; Dofus Ocre; Dofus Turquoise; Dokoko; Dofus des Glaces; Muldo Indigo et Pourpre</t>
        </is>
      </c>
    </row>
    <row r="10066">
      <c r="A10066" t="inlineStr">
        <is>
          <t>Resi crit</t>
        </is>
      </c>
      <c r="B10066">
        <f>HYPERLINK("https://www.dofusbook.net/fr/equipement/2099070-resi-crit/objets", "link")</f>
        <v/>
      </c>
      <c r="C10066" t="n">
        <v>0</v>
      </c>
      <c r="D10066" t="inlineStr">
        <is>
          <t>Arc corrompu; Torquistik; Baguistik; Goulano; Goulclier; Ceinture de Kongoku; Boucle d'oreille de Kongoku; Cape de Kongoku; Bottistik; Dofus Pourpre; Dofus Abyssal; Dofus Turquoise; Dofus Ocre; Dolmanax; Dofus des Glaces; Muldo Doré et Pourpre</t>
        </is>
      </c>
    </row>
    <row r="10067">
      <c r="A10067" t="inlineStr">
        <is>
          <t>Striglour</t>
        </is>
      </c>
      <c r="B10067">
        <f>HYPERLINK("https://www.dofusbook.net/fr/equipement/2099009-striglour/objets", "link")</f>
        <v/>
      </c>
      <c r="C10067" t="n">
        <v>0</v>
      </c>
      <c r="D10067" t="inlineStr">
        <is>
          <t>Arc Nécrotique; Amulette de l'Œil Putride; Anneau Cryochrone; Bracelet du Piloztère; Quatre-feuilles; Ceinture du Strigide; Capuche de l'Œil Putride; Cape de l'Œil Putride; Bottes du Strigide; Dofus des Glaces; Dofus Pourpre; Dofus Ocre; Dofus Turquoise; Dolmanax; Dokoko; Muldo Prune et Emeraude</t>
        </is>
      </c>
    </row>
    <row r="10068">
      <c r="A10068" t="inlineStr">
        <is>
          <t>Striglour</t>
        </is>
      </c>
      <c r="B10068">
        <f>HYPERLINK("https://www.dofusbook.net/fr/equipement/2099006-striglour/objets", "link")</f>
        <v/>
      </c>
      <c r="C10068" t="n">
        <v>0</v>
      </c>
      <c r="D10068" t="inlineStr">
        <is>
          <t>Arc Nécrotique; Amulette de l'Œil Putride; Anneau Cryochrone; Bracelet du Piloztère; Quatre-feuilles; Ceinture du Strigide; Capuche de l'Œil Putride; Cape de l'Œil Putride; Bottes du Strigide; Dofus Ocre; Dofus Turquoise; Dolmanax; Dokoko; Dofus des Glaces; Dofus Pourpre; Muldo Prune et Emeraude</t>
        </is>
      </c>
    </row>
    <row r="10069">
      <c r="A10069" t="inlineStr">
        <is>
          <t>Striglour</t>
        </is>
      </c>
      <c r="B10069">
        <f>HYPERLINK("https://www.dofusbook.net/fr/equipement/2098951-striglour/objets", "link")</f>
        <v/>
      </c>
      <c r="C10069" t="n">
        <v>0</v>
      </c>
      <c r="D10069" t="inlineStr">
        <is>
          <t>Arc Nécrotique; Amulette de l'Œil Putride; Anneau Cryochrone; Bracelet du Piloztère; Quatre-feuilles; Ceinture du Strigide; Capuche de l'Œil Putride; Cape de l'Œil Putride; Bottes du Strigide; Dolmanax; Dokoko; Dofus des Glaces; Dofus Pourpre; Dofus Ocre; Dofus Turquoise; Muldo Prune et Emeraude</t>
        </is>
      </c>
    </row>
    <row r="10070">
      <c r="A10070" t="inlineStr">
        <is>
          <t>Multi</t>
        </is>
      </c>
      <c r="B10070">
        <f>HYPERLINK("https://www.dofusbook.net/fr/equipement/2098909-multi/objets", "link")</f>
        <v/>
      </c>
      <c r="C10070" t="n">
        <v>0</v>
      </c>
      <c r="D10070" t="inlineStr">
        <is>
          <t>Epée Gloursonne; Amulette du Strigide; Bague Gloursonne; Alliance Gloursonne; Bouclier d'Anerice; Ceinture du Strigide; Masque d'Anerice; Cape d'Anerice; Bottes du Strigide; Dolmanax; Dofus des Glaces; Dofus Pourpre; Dokoko; Dofus Turquoise; Examinateur; Muldo Prune et Indigo</t>
        </is>
      </c>
    </row>
    <row r="10071">
      <c r="A10071" t="inlineStr">
        <is>
          <t>Houffe</t>
        </is>
      </c>
      <c r="B10071">
        <f>HYPERLINK("https://www.dofusbook.net/fr/equipement/2097188-houffe/objets", "link")</f>
        <v/>
      </c>
      <c r="C10071" t="n">
        <v>0</v>
      </c>
      <c r="D10071" t="inlineStr">
        <is>
          <t>Baguette Hernelle; Amulette Séculaire; Anneauræus; Anneau de Padgref; Quatre-feuilles; Ceinture Séculaire; Coiffe de Padgref; Cape de Diondin; Getas de Padgref; Dofus Pourpre; Dofus Turquoise; Ravageur Feu majeur; Saccageur Feu majeur; Savant majeur; Astucieux majeur; Muldo Prune et Emeraude</t>
        </is>
      </c>
    </row>
    <row r="10072">
      <c r="A10072" t="inlineStr">
        <is>
          <t>Eau resi</t>
        </is>
      </c>
      <c r="B10072">
        <f>HYPERLINK("https://www.dofusbook.net/fr/equipement/2097181-eau-resi/objets", "link")</f>
        <v/>
      </c>
      <c r="C10072" t="n">
        <v>0</v>
      </c>
      <c r="D10072" t="inlineStr">
        <is>
          <t>Rapière aux Glyphes; Amulette de Shokkoth; Alliance Gloursonne; Bracelet des Fonds marins; Bouclier du Captain Amakna; Poulpagne; Kidibonnet; Cape du Sinistrofu; Bottes du Sinistrofu; Dofus Turquoise; Dofus Pourpre; Remueur; Chanceux majeur; Nomade; Dévastateur Eau majeur; Muldo Indigo</t>
        </is>
      </c>
    </row>
    <row r="10073">
      <c r="A10073" t="inlineStr">
        <is>
          <t>Eau resi</t>
        </is>
      </c>
      <c r="B10073">
        <f>HYPERLINK("https://www.dofusbook.net/fr/equipement/2097164-eau-resi/objets", "link")</f>
        <v/>
      </c>
      <c r="C10073" t="n">
        <v>0</v>
      </c>
      <c r="D10073" t="inlineStr">
        <is>
          <t>Rapière aux Glyphes; Amulette de Shokkoth; Alliance Gloursonne; Bracelet des Fonds marins; Bouclier du Captain Amakna; Poulpagne; Kidibonnet; Cape du Sinistrofu; Bottes du Sinistrofu; Dofus Pourpre; Dofus Turquoise; Chanceux majeur; Nomade; Dévastateur Eau majeur; Remueur; Muldo Indigo</t>
        </is>
      </c>
    </row>
    <row r="10074">
      <c r="A10074" t="inlineStr">
        <is>
          <t>Eau resi</t>
        </is>
      </c>
      <c r="B10074">
        <f>HYPERLINK("https://www.dofusbook.net/fr/equipement/2097156-eau-resi/objets", "link")</f>
        <v/>
      </c>
      <c r="C10074" t="n">
        <v>0</v>
      </c>
      <c r="D10074" t="inlineStr">
        <is>
          <t>Rapière aux Glyphes; Amulette de Shokkoth; Alliance Gloursonne; Bracelet des Fonds marins; Bouclier du Captain Amakna; Poulpagne; Kidibonnet; Cape du Sinistrofu; Bottes du Sinistrofu; Dofus Turquoise; Dofus Pourpre; Remueur; Chanceux majeur; Nomade; Dévastateur Eau majeur; Muldo Indigo</t>
        </is>
      </c>
    </row>
    <row r="10075">
      <c r="A10075" t="inlineStr">
        <is>
          <t>Rdv</t>
        </is>
      </c>
      <c r="B10075">
        <f>HYPERLINK("https://www.dofusbook.net/fr/equipement/2096974-rdv/objets", "link")</f>
        <v/>
      </c>
      <c r="C10075" t="n">
        <v>0</v>
      </c>
      <c r="D10075" t="inlineStr">
        <is>
          <t>Dagues de Srambad; Amulette de Pol Ouatnos; Bracelet du Piloztère; Pikano; Bouclier du Stalak; Ceinture de la Reine des Voleurs; Coiffe de la Reine des Voleurs; Voile d'encre; Baleinabottes; Dokoko; Dofus Pourpre; Remueur; Sanguinaire majeur; Nomade; Vigoureux majeur; Kramkram</t>
        </is>
      </c>
    </row>
    <row r="10076">
      <c r="A10076" t="inlineStr">
        <is>
          <t>Feuj</t>
        </is>
      </c>
      <c r="B10076">
        <f>HYPERLINK("https://www.dofusbook.net/fr/equipement/2096405-feuj-/objets", "link")</f>
        <v/>
      </c>
      <c r="C10076" t="n">
        <v>0</v>
      </c>
      <c r="D10076" t="inlineStr">
        <is>
          <t>Arc corrompu; Pendentif affamé; Kralano; Anneau Tique; Quatre-feuilles; Ceinture Séculaire; Coiffe Séculaire; Cape de Diondin; Bottes d'Otomaï; Dofus Pourpre; Dofus Turquoise; Remueur; Érudit majeur; Nomade; Astucieux majeur</t>
        </is>
      </c>
    </row>
    <row r="10077">
      <c r="A10077" t="inlineStr">
        <is>
          <t>Feuj</t>
        </is>
      </c>
      <c r="B10077">
        <f>HYPERLINK("https://www.dofusbook.net/fr/equipement/2089123-feuj-/objets", "link")</f>
        <v/>
      </c>
      <c r="C10077" t="n">
        <v>0</v>
      </c>
      <c r="D10077" t="inlineStr">
        <is>
          <t>Arc corrompu; Pendentif affamé; Anneau Tamie; Anneau Tamie; Quatre-feuilles; Ceinture Séculaire; Coiffe Séculaire; Cape de Diondin; Bottes Innommables; Dofus Pourpre; Nomade; Dévastateur Feu majeur; Astucieux majeur; Remueur; Érudit majeur; Brûlih</t>
        </is>
      </c>
    </row>
    <row r="10078">
      <c r="A10078" t="inlineStr">
        <is>
          <t>Feuj</t>
        </is>
      </c>
      <c r="B10078">
        <f>HYPERLINK("https://www.dofusbook.net/fr/equipement/2089115-feuj-/objets", "link")</f>
        <v/>
      </c>
      <c r="C10078" t="n">
        <v>0</v>
      </c>
      <c r="D10078" t="inlineStr">
        <is>
          <t>Arc corrompu; Pendentif affamé; Anneau Tamie; Anneau Tamie; Quatre-feuilles; Ceinture Séculaire; Coiffe Séculaire; Cape de Diondin; Bottes Innommables; Dofus Turquoise; Remueur; Érudit majeur; Nomade; Dévastateur Feu majeur; Astucieux majeur; Brûlih</t>
        </is>
      </c>
    </row>
    <row r="10079">
      <c r="A10079" t="inlineStr">
        <is>
          <t>Feu resi</t>
        </is>
      </c>
      <c r="B10079">
        <f>HYPERLINK("https://www.dofusbook.net/fr/equipement/2085612-feu-resi/objets", "link")</f>
        <v/>
      </c>
      <c r="C10079" t="n">
        <v>0</v>
      </c>
      <c r="D10079" t="inlineStr">
        <is>
          <t>Arc corrompu; Talisman Igans; Anneau Tique; Anneau de Nidas; Bouclier cubiste; Ceintacé; Couronne de Nidas; Voile d'encre; Bottes du Chalœil; Dofus Turquoise; Dofus Pourpre; Nomade; Voyageur; Érudit majeur; Remueur; Kramkram</t>
        </is>
      </c>
    </row>
    <row r="10080">
      <c r="A10080" t="inlineStr">
        <is>
          <t>Feuj</t>
        </is>
      </c>
      <c r="B10080">
        <f>HYPERLINK("https://www.dofusbook.net/fr/equipement/2083662-feuj-/objets", "link")</f>
        <v/>
      </c>
      <c r="C10080" t="n">
        <v>0</v>
      </c>
      <c r="D10080" t="inlineStr">
        <is>
          <t>Arc corrompu; Pendentif affamé; Kralano; Anneau de Nidas; Quatre-feuilles; Ceinture de Vortex; Couronne de Nidas; Cape de Diondin; Bottes Dogues; Dokoko; Dofus Turquoise; Remueur; Érudit majeur; Nomade; Temporiseur majeur; Dragodinde en armure</t>
        </is>
      </c>
    </row>
    <row r="10081">
      <c r="A10081" t="inlineStr">
        <is>
          <t>Feuj</t>
        </is>
      </c>
      <c r="B10081">
        <f>HYPERLINK("https://www.dofusbook.net/fr/equipement/2071974-feuj-/objets", "link")</f>
        <v/>
      </c>
      <c r="C10081" t="n">
        <v>1</v>
      </c>
      <c r="D10081" t="inlineStr">
        <is>
          <t>Arc corrompu; Pendentif affamé; Anneau Tique; Kralano; Quatre-feuilles; Ceinture Séculaire; Coiffe Séculaire; Cape de Diondin; Bottes d'Otomaï; Dofus Pourpre; Dofus Turquoise; Nomade; Astucieux majeur; Remueur; Érudit majeur; Muldo Orchidée</t>
        </is>
      </c>
    </row>
    <row r="10082">
      <c r="A10082" t="inlineStr">
        <is>
          <t>Feuj</t>
        </is>
      </c>
      <c r="B10082">
        <f>HYPERLINK("https://www.dofusbook.net/fr/equipement/2071797-feuj-/objets", "link")</f>
        <v/>
      </c>
      <c r="C10082" t="n">
        <v>0</v>
      </c>
      <c r="D10082" t="inlineStr">
        <is>
          <t>Arc corrompu; Pendentif affamé; Kralano; Anneau Tique; Quatre-feuilles; Ceinture Séculaire; Coiffe Séculaire; Cape de Diondin; Bottes d'Otomaï; Dofus Pourpre; Dofus Turquoise; Remueur; Érudit majeur; Nomade; Astucieux majeur; Pioute rouge</t>
        </is>
      </c>
    </row>
    <row r="10083">
      <c r="A10083" t="inlineStr">
        <is>
          <t>Feuj</t>
        </is>
      </c>
      <c r="B10083">
        <f>HYPERLINK("https://www.dofusbook.net/fr/equipement/2071769-feuj-/objets", "link")</f>
        <v/>
      </c>
      <c r="C10083" t="n">
        <v>0</v>
      </c>
      <c r="D10083" t="inlineStr">
        <is>
          <t>Arc corrompu; Pendentif affamé; Anneau Tique; Kralano; Quatre-feuilles; Ceinture Séculaire; Coiffe Séculaire; Cape de Diondin; Bottes d'Otomaï; Dofus Pourpre; Dofus Turquoise; Nomade; Astucieux majeur; Remueur; Érudit majeur; Pioute rouge</t>
        </is>
      </c>
    </row>
    <row r="10084">
      <c r="A10084" t="inlineStr">
        <is>
          <t>Feuj</t>
        </is>
      </c>
      <c r="B10084">
        <f>HYPERLINK("https://www.dofusbook.net/fr/equipement/2071635-feuj-/objets", "link")</f>
        <v/>
      </c>
      <c r="C10084" t="n">
        <v>0</v>
      </c>
      <c r="D10084" t="inlineStr">
        <is>
          <t>Arc corrompu; Pendentif affamé; Kralano; Anneau Tique; Quatre-feuilles; Ceinture Séculaire; Coiffe Séculaire; Cape de Diondin; Bottes d'Otomaï; Dofus Turquoise; Remueur; Érudit majeur; Nomade; Savant majeur; Astucieux majeur; Muldo Orchidée</t>
        </is>
      </c>
    </row>
    <row r="10085">
      <c r="A10085" t="inlineStr">
        <is>
          <t>Feuj</t>
        </is>
      </c>
      <c r="B10085">
        <f>HYPERLINK("https://www.dofusbook.net/fr/equipement/2071617-feuj-/objets", "link")</f>
        <v/>
      </c>
      <c r="C10085" t="n">
        <v>0</v>
      </c>
      <c r="D10085" t="inlineStr">
        <is>
          <t>Le Thanos; Pendentif affamé; Anneau Tique; Kralano; Quatre-feuilles; Ceinture Séculaire; Coiffe Séculaire; Cape de Diondin; Bottes Innommables; Dofus Pourpre; Dofus Turquoise; Nomade; Astucieux majeur; Remueur; Érudit majeur; Pioute rouge</t>
        </is>
      </c>
    </row>
    <row r="10086">
      <c r="A10086" t="inlineStr">
        <is>
          <t>Feuj</t>
        </is>
      </c>
      <c r="B10086">
        <f>HYPERLINK("https://www.dofusbook.net/fr/equipement/2071509-feuj-/objets", "link")</f>
        <v/>
      </c>
      <c r="C10086" t="n">
        <v>0</v>
      </c>
      <c r="D10086" t="inlineStr">
        <is>
          <t>Arc corrompu; Pendentif affamé; Anneau Tique; Anneau de Nidas; Quatre-feuilles; Ceinture Séculaire; Couronne de Nidas; Cape de Diondin; Bottes Dogues; Dofus Pourpre; Dofus Turquoise; Nomade; Astucieux majeur; Remueur; Érudit majeur; Brûlih</t>
        </is>
      </c>
    </row>
    <row r="10087">
      <c r="A10087" t="inlineStr">
        <is>
          <t>Feuj</t>
        </is>
      </c>
      <c r="B10087">
        <f>HYPERLINK("https://www.dofusbook.net/fr/equipement/2071367-feuj-/objets", "link")</f>
        <v/>
      </c>
      <c r="C10087" t="n">
        <v>0</v>
      </c>
      <c r="D10087" t="inlineStr">
        <is>
          <t>Arc corrompu; Pendentif affamé; Kralano; Anneau Tique; Quatre-feuilles; Ceinture de Gein; Chapeau de Gein; Cape de Diondin; Bottes Innommables; Dofus Turquoise; Remueur; Nomade; Érudit majeur; Kramkram</t>
        </is>
      </c>
    </row>
    <row r="10088">
      <c r="A10088" t="inlineStr">
        <is>
          <t>Force</t>
        </is>
      </c>
      <c r="B10088">
        <f>HYPERLINK("https://www.dofusbook.net/fr/equipement/2003851-force/objets", "link")</f>
        <v/>
      </c>
      <c r="C10088" t="n">
        <v>1</v>
      </c>
      <c r="D10088" t="inlineStr">
        <is>
          <t>Arc du Chalœil; Collier de Tourthon; Bracelet du Piloztère; Anneau Chevelu; Quatre-feuilles; Ceinture de Brouce; Masque de Koutoulou; Cape au Logis; Bottes de Brouce; Dofus Turquoise; Dofus Pourpre; Remueur; Nomade; Enragé majeur; Forcené majeur; Kompost</t>
        </is>
      </c>
    </row>
    <row r="10089">
      <c r="A10089" t="inlineStr">
        <is>
          <t>Agil</t>
        </is>
      </c>
      <c r="B10089">
        <f>HYPERLINK("https://www.dofusbook.net/fr/equipement/2057721-agil/objets", "link")</f>
        <v/>
      </c>
      <c r="C10089" t="n">
        <v>0</v>
      </c>
      <c r="D10089" t="inlineStr">
        <is>
          <t>Manthache; Collier du Valet Veinard; Alliance Gloursonne; Gant du Valet Veinard; Bouclier du Stalak; Menoture; Capuche de Moum-Ra; Cape Indescriptible; Palmes Trithons; Remueur; Cascadeur; Nomade; Equilibriste majeur; Acrobate majeur; Cascadeur majeur; Siroko</t>
        </is>
      </c>
    </row>
    <row r="10090">
      <c r="A10090" t="inlineStr">
        <is>
          <t>Agil</t>
        </is>
      </c>
      <c r="B10090">
        <f>HYPERLINK("https://www.dofusbook.net/fr/equipement/2057130-agil/objets", "link")</f>
        <v/>
      </c>
      <c r="C10090" t="n">
        <v>0</v>
      </c>
      <c r="D10090" t="inlineStr">
        <is>
          <t>Manthache; Collier du Valet Veinard; Gant du Valet Veinard; Alliance Gloursonne; La Rondelle; Menoture; Capuche de Moum-Ra; Cape Indescriptible; Palmes Trithons; Nomade; Equilibriste majeur; Acrobate majeur; Cascadeur majeur; Remueur; Cascadeur; Siroko</t>
        </is>
      </c>
    </row>
    <row r="10091">
      <c r="A10091" t="inlineStr">
        <is>
          <t>Agil</t>
        </is>
      </c>
      <c r="B10091">
        <f>HYPERLINK("https://www.dofusbook.net/fr/equipement/2057125-agil/objets", "link")</f>
        <v/>
      </c>
      <c r="C10091" t="n">
        <v>0</v>
      </c>
      <c r="D10091" t="inlineStr">
        <is>
          <t>Manthache; Collier du Valet Veinard; Alliance Gloursonne; Gant du Valet Veinard; La Rondelle; Menoture; Capuche de Moum-Ra; Cape Indescriptible; Palmes Trithons; Remueur; Cascadeur; Nomade; Equilibriste majeur; Acrobate majeur; Cascadeur majeur; Siroko</t>
        </is>
      </c>
    </row>
    <row r="10092">
      <c r="A10092" t="inlineStr">
        <is>
          <t>Agil</t>
        </is>
      </c>
      <c r="B10092">
        <f>HYPERLINK("https://www.dofusbook.net/fr/equipement/2057054-agil/objets", "link")</f>
        <v/>
      </c>
      <c r="C10092" t="n">
        <v>0</v>
      </c>
      <c r="D10092" t="inlineStr">
        <is>
          <t>Manthache; Collier du Valet Veinard; Gant du Valet Veinard; Alliance Gloursonne; Bouclier du Stalak; Menoture; Capuche de Moum-Ra; Cape Indescriptible; Palmes Trithons; Dofus Pourpre; Nomade; Equilibriste majeur; Cascadeur majeur; Remueur; Dévastateur Air majeur; Siroko</t>
        </is>
      </c>
    </row>
    <row r="10093">
      <c r="A10093" t="inlineStr">
        <is>
          <t>Agil</t>
        </is>
      </c>
      <c r="B10093">
        <f>HYPERLINK("https://www.dofusbook.net/fr/equipement/2057046-agil/objets", "link")</f>
        <v/>
      </c>
      <c r="C10093" t="n">
        <v>0</v>
      </c>
      <c r="D10093" t="inlineStr">
        <is>
          <t>Manthache; Collier du Valet Veinard; Alliance Gloursonne; Gant du Valet Veinard; Quatre-feuilles; Menoture; Capuche de Moum-Ra; Cape Indescriptible; Palmes Trithons; Dofus Émeraude; Remueur; Nomade; Equilibriste majeur; Acrobate majeur; Cascadeur majeur; Muldo Ebène</t>
        </is>
      </c>
    </row>
    <row r="10094">
      <c r="A10094" t="inlineStr">
        <is>
          <t>Eau</t>
        </is>
      </c>
      <c r="B10094">
        <f>HYPERLINK("https://www.dofusbook.net/fr/equipement/2056875-eau/objets", "link")</f>
        <v/>
      </c>
      <c r="C10094" t="n">
        <v>0</v>
      </c>
      <c r="D10094" t="inlineStr">
        <is>
          <t>Arc Ontanporin; Amulette du Strigide; Bracelet des Fonds marins; Bracelet du Piloztère; Quatre-feuilles; Ceinture du Strigide; Kidibonnet; Cape du Sinistrofu; Pataugastrique; Dofus Turquoise; Dofus Pourpre; Remueur; Nomade; Chanceux majeur; Vigoureux majeur; Dehluge</t>
        </is>
      </c>
    </row>
    <row r="10095">
      <c r="A10095" t="inlineStr">
        <is>
          <t>Eau invocations</t>
        </is>
      </c>
      <c r="B10095">
        <f>HYPERLINK("https://www.dofusbook.net/fr/equipement/2056777-eau-invocations-/objets", "link")</f>
        <v/>
      </c>
      <c r="C10095" t="n">
        <v>0</v>
      </c>
      <c r="D10095" t="inlineStr">
        <is>
          <t>Sceptre du Roi Joueur; Kralamansion; Bracelet du Piloztère; Bracelet des Fonds marins; Quatre-feuilles; Protopagne; Kidibonnet; Cape du Sinistrofu; Bottes du Sinistrofu; Dofus Turquoise; Nomade; Chanceux majeur; Joueur majeur; Remueur; Taquin majeur; Dehluge</t>
        </is>
      </c>
    </row>
    <row r="10096">
      <c r="A10096" t="inlineStr">
        <is>
          <t>Eau</t>
        </is>
      </c>
      <c r="B10096">
        <f>HYPERLINK("https://www.dofusbook.net/fr/equipement/2056702-eau/objets", "link")</f>
        <v/>
      </c>
      <c r="C10096" t="n">
        <v>0</v>
      </c>
      <c r="D10096" t="inlineStr">
        <is>
          <t>Arc Ontanporin; Amulette du Strigide; Bracelet des Fonds marins; Bracelet du Piloztère; Quatre-feuilles; Ceinture du Strigide; Kidibonnet; Cape du Sinistrofu; Pataugastrique; Dofus Turquoise; Dofus Pourpre; Remueur; Nomade; Chanceux majeur; Vigoureux majeur; Dehluge</t>
        </is>
      </c>
    </row>
    <row r="10097">
      <c r="A10097" t="inlineStr">
        <is>
          <t>Eau terre</t>
        </is>
      </c>
      <c r="B10097">
        <f>HYPERLINK("https://www.dofusbook.net/fr/equipement/2056670-eau-terre/objets", "link")</f>
        <v/>
      </c>
      <c r="C10097" t="n">
        <v>0</v>
      </c>
      <c r="D10097" t="inlineStr">
        <is>
          <t>Arc de Guten Tak; Amulette du Strigide; Anneau de Pol Ouatnos; Bracelet du Piloztère; Quatre-feuilles; Ceintacé; Chapeau Lisson; Cape Ovri; Bottes du Strigide; Dofus Pourpre; Dofus Turquoise; Nomade; Vigoureux majeur; Remueur; Sanguinaire majeur; Kramkram</t>
        </is>
      </c>
    </row>
    <row r="10098">
      <c r="A10098" t="inlineStr">
        <is>
          <t>Eau terre</t>
        </is>
      </c>
      <c r="B10098">
        <f>HYPERLINK("https://www.dofusbook.net/fr/equipement/2056153-eau-terre/objets", "link")</f>
        <v/>
      </c>
      <c r="C10098" t="n">
        <v>0</v>
      </c>
      <c r="D10098" t="inlineStr">
        <is>
          <t>Baguette des égarés; Amulette du Strigide; Bracelet du Piloztère; Alliance de Missiz Frizz; Quatre-feuilles; Ceintacé; Kidibonnet; Cape Ovri; Bottes du Strigide; Dofus Turquoise; Dofus Pourpre; Vigoureux majeur; Remueur; Sanguinaire majeur; Nomade; Muldo Prune et Emeraude</t>
        </is>
      </c>
    </row>
    <row r="10099">
      <c r="A10099" t="inlineStr">
        <is>
          <t>Rdv</t>
        </is>
      </c>
      <c r="B10099">
        <f>HYPERLINK("https://www.dofusbook.net/fr/equipement/2054737-rdv/objets", "link")</f>
        <v/>
      </c>
      <c r="C10099" t="n">
        <v>1</v>
      </c>
      <c r="D10099" t="inlineStr">
        <is>
          <t>Arc Ahique; Amulette de Pol Ouatnos; Alliance Gloursonne; Bracelet du Piloztère; Cadran d'Air; Ceinture de la Reine des Voleurs; Coiffe de la Reine des Voleurs; Cape des Justiciers; Bottes du Chalœil; Dofus Pourpre; Nomade; Vigoureux majeur; Puissant majeur; Remueur; Sanguinaire majeur; Kramkram</t>
        </is>
      </c>
    </row>
    <row r="10100">
      <c r="A10100" t="inlineStr">
        <is>
          <t>Resi critt</t>
        </is>
      </c>
      <c r="B10100">
        <f>HYPERLINK("https://www.dofusbook.net/fr/equipement/2051553-resi-critt/objets", "link")</f>
        <v/>
      </c>
      <c r="C10100" t="n">
        <v>0</v>
      </c>
      <c r="D10100" t="inlineStr">
        <is>
          <t>Manthache; Torquistik; Baguistik; Goulano; Goulclier; Ceinture de Kongoku; Coiffe de la Reine des Voleurs; Cape de Kongoku; Bottes de la Reine des Voleurs; Dofus Ivoire; Dofus Abyssal; Dofus Ocre; Dofus Émeraude; Bastion majeur; Rempart majeur; Bouftor</t>
        </is>
      </c>
    </row>
    <row r="10101">
      <c r="A10101" t="inlineStr">
        <is>
          <t>Agil</t>
        </is>
      </c>
      <c r="B10101">
        <f>HYPERLINK("https://www.dofusbook.net/fr/equipement/1995613-agil/objets", "link")</f>
        <v/>
      </c>
      <c r="C10101" t="n">
        <v>0</v>
      </c>
      <c r="D10101" t="inlineStr">
        <is>
          <t>Manthache; Collier du Valet Veinard; Gant du Valet Veinard; Anneau d'Allister; Bouclier Ventaille; Menoture; Capuche de Moum-Ra; Cape Indescriptible; Palmes Trithons; Dofus Émeraude; Nomade; Acrobate majeur; Cascadeur majeur; Remueur; Miraculé majeur; Muldo Ebène</t>
        </is>
      </c>
    </row>
    <row r="10102">
      <c r="A10102" t="inlineStr">
        <is>
          <t>Force</t>
        </is>
      </c>
      <c r="B10102">
        <f>HYPERLINK("https://www.dofusbook.net/fr/equipement/2046776-force/objets", "link")</f>
        <v/>
      </c>
      <c r="C10102" t="n">
        <v>0</v>
      </c>
      <c r="D10102" t="inlineStr">
        <is>
          <t>Dagues d'Ilyzaelle; Amulette du Strigide; Anneau Crustique; Anneau Chevelu; Bouclier du Captain Amakna; Ceinture du Strigide; Masque de Koutoulou; Cape au Logis; Bottes de Brouce; Dofus Turquoise; Dofus Pourpre; Remueur; Nomade; Enragé majeur; Forcené majeur; Kompost</t>
        </is>
      </c>
    </row>
    <row r="10103">
      <c r="A10103" t="inlineStr">
        <is>
          <t>Tetre agi</t>
        </is>
      </c>
      <c r="B10103">
        <f>HYPERLINK("https://www.dofusbook.net/fr/equipement/2045502-tetre-agi/objets", "link")</f>
        <v/>
      </c>
      <c r="C10103" t="n">
        <v>1</v>
      </c>
      <c r="D10103" t="inlineStr">
        <is>
          <t>Héqache; Amulette du Strigide; Anneau Chevelu; Bracelet du Piloztère; Quatre-feuilles; Ceinture du Strigide; Casque des égarés; Cape au Logis; Baleinabottes; Dofus Pourpre; Dofus Turquoise; Enragé majeur; Remueur; Vigoureux majeur; Nomade; Kramkram</t>
        </is>
      </c>
    </row>
    <row r="10104">
      <c r="A10104" t="inlineStr">
        <is>
          <t>Eau resi</t>
        </is>
      </c>
      <c r="B10104">
        <f>HYPERLINK("https://www.dofusbook.net/fr/equipement/1963277-eau-resi/objets", "link")</f>
        <v/>
      </c>
      <c r="C10104" t="n">
        <v>0</v>
      </c>
      <c r="D10104" t="inlineStr">
        <is>
          <t>Rapière aux Glyphes; Amulette de Shokkoth; Alliance Gloursonne; Bracelet des Fonds marins; Cadran de Terre; Poulpagne; Kidibonnet; Cape du Sinistrofu; Bottes du Sinistrofu; Nomade; Dévastateur Eau majeur; Remueur; Temporiseur majeur; Entraveur majeur; Chanceux majeur; Pioute bleu</t>
        </is>
      </c>
    </row>
    <row r="10105">
      <c r="A10105" t="inlineStr">
        <is>
          <t>Force</t>
        </is>
      </c>
      <c r="B10105">
        <f>HYPERLINK("https://www.dofusbook.net/fr/equipement/2043431-force/objets", "link")</f>
        <v/>
      </c>
      <c r="C10105" t="n">
        <v>0</v>
      </c>
      <c r="D10105" t="inlineStr">
        <is>
          <t>Arc du Chalœil; Amulette du Strigide; Bracelet du Piloztère; Anneau Chevelu; Quatre-feuilles; Ceinture du Strigide; Masque de Koutoulou; Cape au Logis; Bottes de Brouce; Dofus Turquoise; Dofus Pourpre; Remueur; Nomade; Enragé majeur; Forcené majeur; Kompost</t>
        </is>
      </c>
    </row>
    <row r="10106">
      <c r="A10106" t="inlineStr">
        <is>
          <t>Force</t>
        </is>
      </c>
      <c r="B10106">
        <f>HYPERLINK("https://www.dofusbook.net/fr/equipement/2043277-force/objets", "link")</f>
        <v/>
      </c>
      <c r="C10106" t="n">
        <v>0</v>
      </c>
      <c r="D10106" t="inlineStr">
        <is>
          <t>Arc du Chalœil; Amulette du Strigide; Anneau Chevelu; Bracelet du Piloztère; Quatre-feuilles; Ceinture du Strigide; Masque de Koutoulou; Cape au Logis; Bottes de Brouce; Dofus Pourpre; Dofus Turquoise; Nomade; Enragé majeur; Forcené majeur; Remueur; Kompost</t>
        </is>
      </c>
    </row>
    <row r="10107">
      <c r="A10107" t="inlineStr">
        <is>
          <t>New air</t>
        </is>
      </c>
      <c r="B10107">
        <f>HYPERLINK("https://www.dofusbook.net/fr/equipement/2039873-new-air/objets", "link")</f>
        <v/>
      </c>
      <c r="C10107" t="n">
        <v>0</v>
      </c>
      <c r="D10107" t="inlineStr">
        <is>
          <t>Manthache; Frimamulette; Anneau de Padgref; Anneau d'Allister; Quatre-feuilles; Menoture; Couronne d'Allister; Cape Indescriptible; Palmes Trithons; Dofus Turquoise; Acrobate majeur; Equilibriste majeur; Remueur; Cascadeur majeur; Nomade; Siroko</t>
        </is>
      </c>
    </row>
    <row r="10108">
      <c r="A10108" t="inlineStr">
        <is>
          <t>Multi resi</t>
        </is>
      </c>
      <c r="B10108">
        <f>HYPERLINK("https://www.dofusbook.net/fr/equipement/2026787-multi-resi/objets", "link")</f>
        <v/>
      </c>
      <c r="C10108" t="n">
        <v>0</v>
      </c>
      <c r="D10108" t="inlineStr">
        <is>
          <t>Hache du Chalœil; Amulette du Strigide; Anneau Chevelu; Alliance Gloursonne; Quatre-feuilles; Ceintacé; Chapeau Lisson; Voile d'encre; Bottes du Strigide; Dofus Turquoise; Dofus Pourpre; Sanguinaire majeur; Remueur; Vigoureux majeur; Nomade; Dragodinde en armure</t>
        </is>
      </c>
    </row>
    <row r="10109">
      <c r="A10109" t="inlineStr">
        <is>
          <t>Tetre agi</t>
        </is>
      </c>
      <c r="B10109">
        <f>HYPERLINK("https://www.dofusbook.net/fr/equipement/2022456-tetre-agi/objets", "link")</f>
        <v/>
      </c>
      <c r="C10109" t="n">
        <v>0</v>
      </c>
      <c r="D10109" t="inlineStr">
        <is>
          <t>Héqache; Amulette du Strigide; Bracelet du Piloztère; Anneau Chevelu; Bouclier du Captain Amakna; Ceinture du Strigide; Casque des égarés; Cape au Logis; Baleinabottes; Dofus Turquoise; Dofus Pourpre; Remueur; Vigoureux majeur; Nomade; Enragé majeur; Kramkram</t>
        </is>
      </c>
    </row>
    <row r="10110">
      <c r="A10110" t="inlineStr">
        <is>
          <t>Agil</t>
        </is>
      </c>
      <c r="B10110">
        <f>HYPERLINK("https://www.dofusbook.net/fr/equipement/2015009-agil/objets", "link")</f>
        <v/>
      </c>
      <c r="C10110" t="n">
        <v>0</v>
      </c>
      <c r="D10110" t="inlineStr">
        <is>
          <t>Manthache; Collier du Valet Veinard; Gant du Valet Veinard; Alliance Gloursonne; Bouclier d'Ilyzaelle; Menoture; Couronne d'Allister; Cape Indescriptible; Palmes Trithons; Dofus Nébuleux; Nomade; Equilibriste majeur; Acrobate majeur; Cascadeur majeur; Remueur; Siroko</t>
        </is>
      </c>
    </row>
    <row r="10111">
      <c r="A10111" t="inlineStr">
        <is>
          <t>Agil</t>
        </is>
      </c>
      <c r="B10111">
        <f>HYPERLINK("https://www.dofusbook.net/fr/equipement/2014998-agil/objets", "link")</f>
        <v/>
      </c>
      <c r="C10111" t="n">
        <v>0</v>
      </c>
      <c r="D10111" t="inlineStr">
        <is>
          <t>Manthache; Collier du Valet Veinard; Anneau d'Allister; Gant du Valet Veinard; Cadran d'Eau; Menoture; Capuche de Moum-Ra; Cape Indescriptible; Palmes Trithons; Acrobate majeur; Cascadeur majeur; Remueur; Dévastateur Air majeur; Nomade; Equilibriste majeur; Siroko</t>
        </is>
      </c>
    </row>
    <row r="10112">
      <c r="A10112" t="inlineStr">
        <is>
          <t>Do pou 2</t>
        </is>
      </c>
      <c r="B10112">
        <f>HYPERLINK("https://www.dofusbook.net/fr/equipement/2014936-do-pou-2/objets", "link")</f>
        <v/>
      </c>
      <c r="C10112" t="n">
        <v>0</v>
      </c>
      <c r="D10112" t="inlineStr">
        <is>
          <t>Masse Ossiale; Amulette Luminescente; Anneau du Professeur Xa; Bague Instable; Bouclier précieux; Ceinture Luminescente; Masque de l'Esprit Malsain; Cape Solution; Bottes Trithon; Culbuteur; Bousculeur; Bousculeur majeur; Pousseur majeur; Remueur; Culbuteur majeur; Kafarce</t>
        </is>
      </c>
    </row>
    <row r="10113">
      <c r="A10113" t="inlineStr">
        <is>
          <t>Do pou</t>
        </is>
      </c>
      <c r="B10113">
        <f>HYPERLINK("https://www.dofusbook.net/fr/equipement/2014769-do-pou/objets", "link")</f>
        <v/>
      </c>
      <c r="C10113" t="n">
        <v>0</v>
      </c>
      <c r="D10113" t="inlineStr">
        <is>
          <t>Hache Euvale; Amulette Luminescente; Anneau du Professeur Xa; Bague Trithon; Bouclier précieux; Ceinture Luminescente; Masque Trithon; Cape Luminescente; Bottes Trithon; Dokoko; Dofus Émeraude; Survivant majeur; Bousculeur; Pousseur majeur; Bousculeur majeur; Muldo Ebène</t>
        </is>
      </c>
    </row>
    <row r="10114">
      <c r="A10114" t="inlineStr">
        <is>
          <t>Multi</t>
        </is>
      </c>
      <c r="B10114">
        <f>HYPERLINK("https://www.dofusbook.net/fr/equipement/2012229-multi/objets", "link")</f>
        <v/>
      </c>
      <c r="C10114" t="n">
        <v>0</v>
      </c>
      <c r="D10114" t="inlineStr">
        <is>
          <t>Epée Toche; Amulette du Strigide; Gelano; Bague Gloursonne; Bouclier du Captain Amakna; Ceinture du Strigide; Bonnet Ko; Voile d'encre; Bottes du Cycloïde; Dofus Turquoise; Dofus Pourpre; Vigoureux majeur; Remueur; Sanguinaire majeur; Nomade; Muldo Prune et Emeraude</t>
        </is>
      </c>
    </row>
    <row r="10115">
      <c r="A10115" t="inlineStr">
        <is>
          <t>Agil</t>
        </is>
      </c>
      <c r="B10115">
        <f>HYPERLINK("https://www.dofusbook.net/fr/equipement/2010910-agil/objets", "link")</f>
        <v/>
      </c>
      <c r="C10115" t="n">
        <v>0</v>
      </c>
      <c r="D10115" t="inlineStr">
        <is>
          <t>Manthache; Collier du Valet Veinard; Anneau d'Allister; Gant du Valet Veinard; Quatre-feuilles; Menoture; Capuche de Moum-Ra; Cape Indescriptible; Palmes Trithons; Acrobate majeur; Cascadeur majeur; Remueur; Cascadeur; Nomade; Equilibriste majeur; Siroko</t>
        </is>
      </c>
    </row>
    <row r="10116">
      <c r="A10116" t="inlineStr">
        <is>
          <t>Flr</t>
        </is>
      </c>
      <c r="B10116">
        <f>HYPERLINK("https://www.dofusbook.net/fr/equipement/1455645-flr/objets", "link")</f>
        <v/>
      </c>
      <c r="C10116" t="n">
        <v>6</v>
      </c>
      <c r="D10116" t="inlineStr">
        <is>
          <t>Arc du Chalœil; Amulette Héroclite; Anneau de Brouce; Bracelet du Piloztère; Quatre-feuilles; Ceinture de Brouce; Le Kim; Cape au Logis; Baleinabottes; Dofus Turquoise; Nomade; Furibond majeur; Forcené majeur; Remueur; Enragé majeur; Kompost</t>
        </is>
      </c>
    </row>
    <row r="10117">
      <c r="A10117" t="inlineStr">
        <is>
          <t>Force</t>
        </is>
      </c>
      <c r="B10117">
        <f>HYPERLINK("https://www.dofusbook.net/fr/equipement/2003905-force/objets", "link")</f>
        <v/>
      </c>
      <c r="C10117" t="n">
        <v>1</v>
      </c>
      <c r="D10117" t="inlineStr">
        <is>
          <t>Arc du Chalœil; Amulette du Strigide; Anneau Crustique; Anneau Chevelu; Quatre-feuilles; Ceinture du Strigide; Masque de Koutoulou; Cape au Logis; Bottes de Brouce; Dofus Pourpre; Dofus Turquoise; Nomade; Enragé majeur; Forcené majeur; Remueur; Kramkram</t>
        </is>
      </c>
    </row>
    <row r="10118">
      <c r="A10118" t="inlineStr">
        <is>
          <t>Force</t>
        </is>
      </c>
      <c r="B10118">
        <f>HYPERLINK("https://www.dofusbook.net/fr/equipement/2003888-force/objets", "link")</f>
        <v/>
      </c>
      <c r="C10118" t="n">
        <v>0</v>
      </c>
      <c r="D10118" t="inlineStr">
        <is>
          <t>Arc du Chalœil; Collier de Tourthon; Bracelet du Piloztère; Anneau de Brouce; Quatre-feuilles; Ceinture de Brouce; Masque de Koutoulou; Cape au Logis; Baleinabottes; Dofus Turquoise; Dofus Pourpre; Enragé majeur; Forcené majeur; Remueur; Nomade; Kompost</t>
        </is>
      </c>
    </row>
    <row r="10119">
      <c r="A10119" t="inlineStr">
        <is>
          <t>Force</t>
        </is>
      </c>
      <c r="B10119">
        <f>HYPERLINK("https://www.dofusbook.net/fr/equipement/2003878-force/objets", "link")</f>
        <v/>
      </c>
      <c r="C10119" t="n">
        <v>0</v>
      </c>
      <c r="D10119" t="inlineStr">
        <is>
          <t>Arc du Chalœil; Collier de Tourthon; Anneau de Brouce; Bracelet du Piloztère; Quatre-feuilles; Ceinture de Brouce; Masque de Koutoulou; Cape au Logis; Baleinabottes; Dofus Pourpre; Dofus Turquoise; Nomade; Enragé majeur; Forcené majeur; Remueur; Kompost</t>
        </is>
      </c>
    </row>
    <row r="10120">
      <c r="A10120" t="inlineStr">
        <is>
          <t>Force</t>
        </is>
      </c>
      <c r="B10120">
        <f>HYPERLINK("https://www.dofusbook.net/fr/equipement/2003872-force/objets", "link")</f>
        <v/>
      </c>
      <c r="C10120" t="n">
        <v>0</v>
      </c>
      <c r="D10120" t="inlineStr">
        <is>
          <t>Arc du Chalœil; Collier de Tourthon; Anneau Crustique; Anneau Crustique; Quatre-feuilles; Ceinture de Brouce; Masque de Koutoulou; Cape au Logis; Bottes de Brouce; Dofus Turquoise; Dofus Pourpre; Enragé majeur; Forcené majeur; Remueur; Nomade; Kompost</t>
        </is>
      </c>
    </row>
    <row r="10121">
      <c r="A10121" t="inlineStr">
        <is>
          <t>Force</t>
        </is>
      </c>
      <c r="B10121">
        <f>HYPERLINK("https://www.dofusbook.net/fr/equipement/2003865-force/objets", "link")</f>
        <v/>
      </c>
      <c r="C10121" t="n">
        <v>3</v>
      </c>
      <c r="D10121" t="inlineStr">
        <is>
          <t>Arc du Chalœil; Collier de Tourthon; Bracelet du Piloztère; Anneau Chevelu; Quatre-feuilles; Ceinture de Brouce; Masque de Koutoulou; Cape au Logis; Bottes de Brouce; Dofus Nébuleux; Dofus Turquoise; Nomade; Enragé majeur; Forcené majeur; Remueur; Kompost</t>
        </is>
      </c>
    </row>
    <row r="10122">
      <c r="A10122" t="inlineStr">
        <is>
          <t>Force</t>
        </is>
      </c>
      <c r="B10122">
        <f>HYPERLINK("https://www.dofusbook.net/fr/equipement/1368121-force/objets", "link")</f>
        <v/>
      </c>
      <c r="C10122" t="n">
        <v>1</v>
      </c>
      <c r="D10122" t="inlineStr">
        <is>
          <t>Arc du Chalœil; Collier de Tourthon; Bracelet du Piloztère; Anneau Chevelu; Quatre-feuilles; Ceinture de Brouce; Masque de Koutoulou; Cape au Logis; Bottes de Brouce; Dofus Turquoise; Dofus Pourpre; Enragé majeur; Forcené majeur; Remueur; Nomade; Kompost</t>
        </is>
      </c>
    </row>
    <row r="10123">
      <c r="A10123" t="inlineStr">
        <is>
          <t>Force krure</t>
        </is>
      </c>
      <c r="B10123">
        <f>HYPERLINK("https://www.dofusbook.net/fr/equipement/2003480-force-krure/objets", "link")</f>
        <v/>
      </c>
      <c r="C10123" t="n">
        <v>0</v>
      </c>
      <c r="D10123" t="inlineStr">
        <is>
          <t>Marteau R'ture; Collier de Tourthon; Anneau Crustique; Anneau de Brouce; Bouclier du Captain Amakna; Ceinture de Brouce; Masque de Koutoulou; Cape au Logis; Baleinabottes; Dofus Turquoise; Remueur; Forcené majeur; Nomade; Enragé majeur; Furibond majeur; Kompost</t>
        </is>
      </c>
    </row>
    <row r="10124">
      <c r="A10124" t="inlineStr">
        <is>
          <t>Resi fix</t>
        </is>
      </c>
      <c r="B10124">
        <f>HYPERLINK("https://www.dofusbook.net/fr/equipement/1999354-resi-fix/objets", "link")</f>
        <v/>
      </c>
      <c r="C10124" t="n">
        <v>0</v>
      </c>
      <c r="D10124" t="inlineStr">
        <is>
          <t>Epée Gloursonne; Amulette Ementaire Deluxe; Goulano; Bracelet du Piloztère; Goulclier; Ceinture du Glourséleste; Coiffe du Glourséleste; Caracape Minotoris; Bottes du Sinistrofu; Dolmanax; Dofus Ivoire; Dofus Pourpre; Dofus Ocre; Remueur; Carapace Neutre majeur; Muldo Indigo et Orchidée</t>
        </is>
      </c>
    </row>
    <row r="10125">
      <c r="A10125" t="inlineStr">
        <is>
          <t>Feu resi</t>
        </is>
      </c>
      <c r="B10125">
        <f>HYPERLINK("https://www.dofusbook.net/fr/equipement/1997538-feu-resi/objets", "link")</f>
        <v/>
      </c>
      <c r="C10125" t="n">
        <v>0</v>
      </c>
      <c r="D10125" t="inlineStr">
        <is>
          <t>Arc corrompu; Pendentif affamé; Anneau Tique; Anneau de Nidas; Quatre-feuilles; Ceintacé; Couronne de Nidas; Voile d'encre; Pataugastrique; Dofus Turquoise; Savant majeur; Astucieux majeur; Remueur; Érudit majeur; Nomade; Muldo Orchidée</t>
        </is>
      </c>
    </row>
    <row r="10126">
      <c r="A10126" t="inlineStr">
        <is>
          <t>Agil</t>
        </is>
      </c>
      <c r="B10126">
        <f>HYPERLINK("https://www.dofusbook.net/fr/equipement/1997197-agil/objets", "link")</f>
        <v/>
      </c>
      <c r="C10126" t="n">
        <v>0</v>
      </c>
      <c r="D10126" t="inlineStr">
        <is>
          <t>Manthache; Collier du Valet Veinard; Anneau d'Allister; Gant du Valet Veinard; Quatre-feuilles; Menoture; Capuche de Moum-Ra; Cape Indescriptible; Palmes Trithons; Dofus Turquoise; Dofus Pourpre; Remueur; Nomade; Equilibriste majeur; Cascadeur majeur; Siroko</t>
        </is>
      </c>
    </row>
    <row r="10127">
      <c r="A10127" t="inlineStr">
        <is>
          <t>Agil</t>
        </is>
      </c>
      <c r="B10127">
        <f>HYPERLINK("https://www.dofusbook.net/fr/equipement/1997186-agil/objets", "link")</f>
        <v/>
      </c>
      <c r="C10127" t="n">
        <v>0</v>
      </c>
      <c r="D10127" t="inlineStr">
        <is>
          <t>Manthache; Collier du Valet Veinard; Anneau d'Allister; Gant du Valet Veinard; Quatre-feuilles; Menoture; Capuche de Moum-Ra; Cape Indescriptible; Palmes Trithons; Acrobate majeur; Cascadeur majeur; Remueur; Cascadeur; Nomade; Equilibriste majeur; Siroko</t>
        </is>
      </c>
    </row>
    <row r="10128">
      <c r="A10128" t="inlineStr">
        <is>
          <t>Agil</t>
        </is>
      </c>
      <c r="B10128">
        <f>HYPERLINK("https://www.dofusbook.net/fr/equipement/1997175-agil/objets", "link")</f>
        <v/>
      </c>
      <c r="C10128" t="n">
        <v>0</v>
      </c>
      <c r="D10128" t="inlineStr">
        <is>
          <t>Manthache; Collier du Valet Veinard; Anneau d'Allister; Gant du Valet Veinard; Quatre-feuilles; Menoture; Capuche de Moum-Ra; Cape Indescriptible; Palmes Trithons; Remueur; Cascadeur; Nomade; Equilibriste majeur; Acrobate majeur; Cascadeur majeur; Siroko</t>
        </is>
      </c>
    </row>
    <row r="10129">
      <c r="A10129" t="inlineStr">
        <is>
          <t>Agil</t>
        </is>
      </c>
      <c r="B10129">
        <f>HYPERLINK("https://www.dofusbook.net/fr/equipement/1997133-agil/objets", "link")</f>
        <v/>
      </c>
      <c r="C10129" t="n">
        <v>0</v>
      </c>
      <c r="D10129" t="inlineStr">
        <is>
          <t>Manthache; Collier du Valet Veinard; Anneau d'Allister; Gant du Valet Veinard; Quatre-feuilles; Menoture; Capuche de Moum-Ra; Cape Indescriptible; Palmes Trithons; Acrobate majeur; Cascadeur majeur; Remueur; Cascadeur; Nomade; Equilibriste majeur; Siroko</t>
        </is>
      </c>
    </row>
    <row r="10130">
      <c r="A10130" t="inlineStr">
        <is>
          <t>No critique</t>
        </is>
      </c>
      <c r="B10130">
        <f>HYPERLINK("https://www.dofusbook.net/fr/equipement/1992763-no-critique-/objets", "link")</f>
        <v/>
      </c>
      <c r="C10130" t="n">
        <v>0</v>
      </c>
      <c r="D10130" t="inlineStr">
        <is>
          <t>Pelle de Nidas; Kralamansion; Grésilanneau; Sceau Souverain du Roissingue; Bouclier du Stalak; Ceinture de l'Esprit Salvateur; Le Dorado; Voilamibe; Bottes de l'Esprit Salvateur; Dofus des Glaces; Dofus Pourpre; Sanguinaire majeur; Remueur; Vigoureux majeur; Féroce majeur; Kramkram</t>
        </is>
      </c>
    </row>
    <row r="10131">
      <c r="A10131" t="inlineStr">
        <is>
          <t>Agil</t>
        </is>
      </c>
      <c r="B10131">
        <f>HYPERLINK("https://www.dofusbook.net/fr/equipement/1988024-agil/objets", "link")</f>
        <v/>
      </c>
      <c r="C10131" t="n">
        <v>0</v>
      </c>
      <c r="D10131" t="inlineStr">
        <is>
          <t>Manthache; Collier du Valet Veinard; Anneau d'Allister; Gant du Valet Veinard; Quatre-feuilles; Menoture; Capuche de Moum-Ra; Cape Indescriptible; Palmes Trithons; Acrobate majeur; Cascadeur majeur; Remueur; Dévastateur Air majeur; Nomade; Equilibriste majeur; Siroko</t>
        </is>
      </c>
    </row>
    <row r="10132">
      <c r="A10132" t="inlineStr">
        <is>
          <t>Multi</t>
        </is>
      </c>
      <c r="B10132">
        <f>HYPERLINK("https://www.dofusbook.net/fr/equipement/1988010-multi/objets", "link")</f>
        <v/>
      </c>
      <c r="C10132" t="n">
        <v>0</v>
      </c>
      <c r="D10132" t="inlineStr">
        <is>
          <t>Hache du Chalœil; Amulette du Strigide; Bracelet du Piloztère; Bague Gloursonne; Quatre-feuilles; Ceinture du Strigide; Coiffe du Glourséleste; Voile d'encre; Pataugastrique; Dofus Pourpre; Dofus Turquoise; Nomade; Vigoureux majeur; Remueur; Sanguinaire majeur; Muldo Prune et Emeraude</t>
        </is>
      </c>
    </row>
    <row r="10133">
      <c r="A10133" t="inlineStr">
        <is>
          <t>Agil</t>
        </is>
      </c>
      <c r="B10133">
        <f>HYPERLINK("https://www.dofusbook.net/fr/equipement/1987901-agil/objets", "link")</f>
        <v/>
      </c>
      <c r="C10133" t="n">
        <v>0</v>
      </c>
      <c r="D10133" t="inlineStr">
        <is>
          <t>Manthache; Collier du Valet Veinard; Anneau d'Allister; Gant du Valet Veinard; Quatre-feuilles; Menoture; Capuche de Moum-Ra; Cape Indescriptible; Baleinabottes; Acrobate majeur; Cascadeur majeur; Remueur; Dévastateur Air majeur; Nomade; Equilibriste majeur; Siroko</t>
        </is>
      </c>
    </row>
    <row r="10134">
      <c r="A10134" t="inlineStr">
        <is>
          <t>Agil</t>
        </is>
      </c>
      <c r="B10134">
        <f>HYPERLINK("https://www.dofusbook.net/fr/equipement/1985163-agil/objets", "link")</f>
        <v/>
      </c>
      <c r="C10134" t="n">
        <v>0</v>
      </c>
      <c r="D10134" t="inlineStr">
        <is>
          <t>Manthache; Collier du Valet Veinard; Anneau d'Allister; Gant du Valet Veinard; Quatre-feuilles; Menoture; Capuche de Moum-Ra; Cape Indescriptible; Baleinabottes; Remueur; Dévastateur Air majeur; Nomade; Equilibriste majeur; Acrobate majeur; Cascadeur majeur; Siroko</t>
        </is>
      </c>
    </row>
    <row r="10135">
      <c r="A10135" t="inlineStr">
        <is>
          <t>Air 3</t>
        </is>
      </c>
      <c r="B10135">
        <f>HYPERLINK("https://www.dofusbook.net/fr/equipement/1970024-air-3/objets", "link")</f>
        <v/>
      </c>
      <c r="C10135" t="n">
        <v>0</v>
      </c>
      <c r="D10135" t="inlineStr">
        <is>
          <t>Manthache; Collier du Valet Veinard; Anneau d'Allister; Bouclier du Stalak; Menoture; Couronne d'Allister; Cape du Valet Veinard; Bottes d'Allister; Dofus Émeraude; Acrobate majeur; Ravageur Air majeur; Voyageur; Equilibriste; Equilibriste majeur; Muldo Ebène et Orchidée</t>
        </is>
      </c>
    </row>
    <row r="10136">
      <c r="A10136" t="inlineStr">
        <is>
          <t>Air 3</t>
        </is>
      </c>
      <c r="B10136">
        <f>HYPERLINK("https://www.dofusbook.net/fr/equipement/1970019-air-3/objets", "link")</f>
        <v/>
      </c>
      <c r="C10136" t="n">
        <v>0</v>
      </c>
      <c r="D10136" t="inlineStr">
        <is>
          <t>Manthache; Collier du Valet Veinard; Anneau d'Allister; Gant du Valet Veinard; Bouclier du Stalak; Menoture; Couronne d'Allister; Cape du Valet Veinard; Bottes d'Allister; Dofus Émeraude; Equilibriste; Equilibriste majeur; Acrobate majeur; Ravageur Air majeur; Voyageur; Muldo Ebène et Orchidée</t>
        </is>
      </c>
    </row>
    <row r="10137">
      <c r="A10137" t="inlineStr">
        <is>
          <t>Eau resi</t>
        </is>
      </c>
      <c r="B10137">
        <f>HYPERLINK("https://www.dofusbook.net/fr/equipement/1967645-eau-resi/objets", "link")</f>
        <v/>
      </c>
      <c r="C10137" t="n">
        <v>1</v>
      </c>
      <c r="D10137" t="inlineStr">
        <is>
          <t>Arc Ontanporin; Amulette de Shokkoth; Alliance Gloursonne; Bracelet des Fonds marins; Quatre-feuilles; Poulpagne; Kidibonnet; Cape du Sinistrofu; Bottes du Sinistrofu; Dofus Turquoise; Nomade; Dévastateur Eau majeur; Remueur; Taquin majeur; Chanceux majeur; Muldo Indigo</t>
        </is>
      </c>
    </row>
    <row r="10138">
      <c r="A10138" t="inlineStr">
        <is>
          <t>Terrep</t>
        </is>
      </c>
      <c r="B10138">
        <f>HYPERLINK("https://www.dofusbook.net/fr/equipement/1963014-terrep/objets", "link")</f>
        <v/>
      </c>
      <c r="C10138" t="n">
        <v>0</v>
      </c>
      <c r="D10138" t="inlineStr">
        <is>
          <t>Arc du Chalœil; Collier de Tourthon; Anneau Crustique; Anneau Crustique; Quatre-feuilles; Ceinture de la Cour Sombre; Masque de Koutoulou; Cape au Logis; Bottes de la Cour Sombre; Dofus Turquoise; Dofus Pourpre; Forcené majeur; Remueur; Enragé majeur; Nomade; Kompost</t>
        </is>
      </c>
    </row>
    <row r="10139">
      <c r="A10139" t="inlineStr">
        <is>
          <t>Eau feu</t>
        </is>
      </c>
      <c r="B10139">
        <f>HYPERLINK("https://www.dofusbook.net/fr/equipement/1922564-eau-feu/objets", "link")</f>
        <v/>
      </c>
      <c r="C10139" t="n">
        <v>0</v>
      </c>
      <c r="D10139" t="inlineStr">
        <is>
          <t>Arc Nécrotique; Amulette du Strigide; Anneau Cryochrone; Bracelet du Piloztère; Quatre-feuilles; Ceinture du Strigide; Casque Harnage; Cape de la Dame du Hasard; Pataugastrique; Dofus Pourpre; Dofus Turquoise; Nomade; Vigoureux majeur; Observateur; Remueur; Muldo Prune et Emeraude</t>
        </is>
      </c>
    </row>
    <row r="10140">
      <c r="A10140" t="inlineStr">
        <is>
          <t>Eau feu</t>
        </is>
      </c>
      <c r="B10140">
        <f>HYPERLINK("https://www.dofusbook.net/fr/equipement/1922540-eau-feu/objets", "link")</f>
        <v/>
      </c>
      <c r="C10140" t="n">
        <v>0</v>
      </c>
      <c r="D10140" t="inlineStr">
        <is>
          <t>Arc Nécrotique; Amulette du Strigide; Bracelet du Piloztère; Anneau Bliteré; Quatre-feuilles; Ceinture du Strigide; Capuche de l'Œil Putride; Cape de la Dame du Hasard; Pataugastrique; Dofus Turquoise; Dofus Pourpre; Vigoureux majeur; Sanguinaire majeur; Remueur; Nomade; Muldo Prune et Emeraude</t>
        </is>
      </c>
    </row>
    <row r="10141">
      <c r="A10141" t="inlineStr">
        <is>
          <t>Eau feu</t>
        </is>
      </c>
      <c r="B10141">
        <f>HYPERLINK("https://www.dofusbook.net/fr/equipement/1922523-eau-feu/objets", "link")</f>
        <v/>
      </c>
      <c r="C10141" t="n">
        <v>0</v>
      </c>
      <c r="D10141" t="inlineStr">
        <is>
          <t>Arc Nécrotique; Amulette du Strigide; Anneau Cryochrone; Bracelet du Piloztère; Quatre-feuilles; Ceinture du Strigide; Coiffe du Glourséleste; Cape de la Dame du Hasard; Pataugastrique; Dofus Pourpre; Dofus Turquoise; Nomade; Vigoureux majeur; Sanguinaire majeur; Remueur; Muldo Prune et Emeraude</t>
        </is>
      </c>
    </row>
    <row r="10142">
      <c r="A10142" t="inlineStr">
        <is>
          <t>Eau feu</t>
        </is>
      </c>
      <c r="B10142">
        <f>HYPERLINK("https://www.dofusbook.net/fr/equipement/1917319-eau-feu/objets", "link")</f>
        <v/>
      </c>
      <c r="C10142" t="n">
        <v>0</v>
      </c>
      <c r="D10142" t="inlineStr">
        <is>
          <t>Arc Nécrotique; Collier de la Dame du Hasard; Bracelet du Piloztère; Anneau de Padgref; Quatre-feuilles; Ceintacé; Masque du Glourséleste; Cape de la Dame du Hasard; Pataugastrique; Dofus Turquoise; Dofus Pourpre; Vigoureux majeur; Observateur; Remueur; Nomade; Muldo Prune et Emeraude</t>
        </is>
      </c>
    </row>
    <row r="10143">
      <c r="A10143" t="inlineStr">
        <is>
          <t>Do pou</t>
        </is>
      </c>
      <c r="B10143">
        <f>HYPERLINK("https://www.dofusbook.net/fr/equipement/1913588-do-pou/objets", "link")</f>
        <v/>
      </c>
      <c r="C10143" t="n">
        <v>1</v>
      </c>
      <c r="D10143" t="inlineStr">
        <is>
          <t>Arc du Chalœil; Amulette Luminescente; Anneau Crustique; Anneau du Comte Harebourg; Bouclier du Captain Amakna; Ceinture Luminescente; Coiffe du Comte Harebourg; Cape Luminescente; Bottes du Comte Harebourg; Dofus Turquoise; Dofus Ocre; Dofus Pourpre; Bousculeur majeur; Forcené majeur; Pousseur majeur; Kompost</t>
        </is>
      </c>
    </row>
    <row r="10144">
      <c r="A10144" t="inlineStr">
        <is>
          <t>Air 3</t>
        </is>
      </c>
      <c r="B10144">
        <f>HYPERLINK("https://www.dofusbook.net/fr/equipement/1913557-air-3/objets", "link")</f>
        <v/>
      </c>
      <c r="C10144" t="n">
        <v>0</v>
      </c>
      <c r="D10144" t="inlineStr">
        <is>
          <t>Manthache; Collier du Valet Veinard; Anneau d'Allister; Gant du Valet Veinard; Bouclier du Stalak; Menoture; Couronne d'Allister; Cape du Valet Veinard; Bottes d'Allister; Dofus Pourpre; Equilibriste; Equilibriste majeur; Acrobate majeur; Ravageur Air majeur; Voyageur; Siroko</t>
        </is>
      </c>
    </row>
    <row r="10145">
      <c r="A10145" t="inlineStr">
        <is>
          <t>Terre air</t>
        </is>
      </c>
      <c r="B10145">
        <f>HYPERLINK("https://www.dofusbook.net/fr/equipement/1903993-terre-air/objets", "link")</f>
        <v/>
      </c>
      <c r="C10145" t="n">
        <v>0</v>
      </c>
      <c r="D10145" t="inlineStr">
        <is>
          <t>Héqache; Amulette du Strigide; Anneau Vicieux; Anneau de la Fuji Givrefoux; Bouclier du Captain Amakna; Ceinture du Strigide; Coiffe de la Fuji Givrefoux; Cape de la Fuji Givrefoux; Bottes de la Fuji Givrefoux; Dofus Émeraude; Dofus Ocre; Dofus Turquoise; Dofus Pourpre; Acrobate majeur; Furibond majeur; Muldo Prune et Emeraude</t>
        </is>
      </c>
    </row>
    <row r="10146">
      <c r="A10146" t="inlineStr">
        <is>
          <t>Flr</t>
        </is>
      </c>
      <c r="B10146">
        <f>HYPERLINK("https://www.dofusbook.net/fr/equipement/1903882-flr/objets", "link")</f>
        <v/>
      </c>
      <c r="C10146" t="n">
        <v>0</v>
      </c>
      <c r="D10146" t="inlineStr">
        <is>
          <t>Arc du Chalœil; Collier de Tourthon; Anneau Chevelu; Anneau de Brouce; Quatre-feuilles; Ceinture de Brouce; Masque de Koutoulou; Cape au Logis; Baleinabottes; Dofus Turquoise; Remueur; Enragé majeur; Nomade; Furibond majeur; Forcené majeur; Kompost</t>
        </is>
      </c>
    </row>
    <row r="10147">
      <c r="A10147" t="inlineStr">
        <is>
          <t>Full force</t>
        </is>
      </c>
      <c r="B10147">
        <f>HYPERLINK("https://www.dofusbook.net/fr/equipement/1896903-full-force/objets", "link")</f>
        <v/>
      </c>
      <c r="C10147" t="n">
        <v>0</v>
      </c>
      <c r="D10147" t="inlineStr">
        <is>
          <t>Marteau R'ture; Collier de Tourthon; Anneau Crustique; Gelano; Bouclier du Captain Amakna; Ceinture de Brouce; Le Kim; Cape de la Cour Sombre; Bottes de Brouce; Dofus Turquoise; Dofus Ocre; Dofus Nébuleux; Dofus Vulbis; Remueur; Enragé majeur; Kompost</t>
        </is>
      </c>
    </row>
    <row r="10148">
      <c r="A10148" t="inlineStr">
        <is>
          <t>Vita</t>
        </is>
      </c>
      <c r="B10148">
        <f>HYPERLINK("https://www.dofusbook.net/fr/equipement/1896761-vita/objets", "link")</f>
        <v/>
      </c>
      <c r="C10148" t="n">
        <v>0</v>
      </c>
      <c r="D10148" t="inlineStr">
        <is>
          <t>Marteau R'ture; Amulette du Strigide; Anneau Crustique; Anneau Crustique; Bouclier précieux; Ceinture du Strigide; Masque de Koutoulou; Cape au Logis; Baleinabottes; Dofus Turquoise; Dofus Émeraude; Remueur; Miraculé majeur; Survivant majeur; Nomade; Péki</t>
        </is>
      </c>
    </row>
    <row r="10149">
      <c r="A10149" t="inlineStr">
        <is>
          <t>Resi</t>
        </is>
      </c>
      <c r="B10149">
        <f>HYPERLINK("https://www.dofusbook.net/fr/equipement/1894161-resi/objets", "link")</f>
        <v/>
      </c>
      <c r="C10149" t="n">
        <v>0</v>
      </c>
      <c r="D10149" t="inlineStr">
        <is>
          <t>Dagoulinantes; Amulette Voldelor; Pikano; Alliance Gloursonne; Cadran d'Eau; Pagne du Rykaon; Masque des Fonds marins; Chevelure de Tal Kasha; Sandales des Fonds marins; Dofus Abyssal; Dofus Ocre; Dofus Émeraude; Remueur; Miraculé majeur; Nomade; Kramkram</t>
        </is>
      </c>
    </row>
    <row r="10150">
      <c r="A10150" t="inlineStr">
        <is>
          <t>Resi</t>
        </is>
      </c>
      <c r="B10150">
        <f>HYPERLINK("https://www.dofusbook.net/fr/equipement/1894142-resi/objets", "link")</f>
        <v/>
      </c>
      <c r="C10150" t="n">
        <v>0</v>
      </c>
      <c r="D10150" t="inlineStr"/>
    </row>
    <row r="10151">
      <c r="A10151" t="inlineStr">
        <is>
          <t>Terre 12PA</t>
        </is>
      </c>
      <c r="B10151">
        <f>HYPERLINK("https://www.dofusbook.net/fr/equipement/1883689-terre-12pa/objets", "link")</f>
        <v/>
      </c>
      <c r="C10151" t="n">
        <v>1</v>
      </c>
      <c r="D10151" t="inlineStr">
        <is>
          <t>Marteau R'ture; Collier de Tourthon; Gelano; Anneau Chevelu; Bouclier du Captain Amakna; Ceinture de Brouce; Le Kim; Cape de Sylargh; Bottes de Brouce; Dofus Ocre; Dofus Turquoise; Forcené majeur; Remueur; Enragé majeur; Nomade; Kompost</t>
        </is>
      </c>
    </row>
    <row r="10152">
      <c r="A10152" t="inlineStr">
        <is>
          <t>Multi tetre feu</t>
        </is>
      </c>
      <c r="B10152">
        <f>HYPERLINK("https://www.dofusbook.net/fr/equipement/1882317-multi-tetre-feu/objets", "link")</f>
        <v/>
      </c>
      <c r="C10152" t="n">
        <v>0</v>
      </c>
      <c r="D10152" t="inlineStr">
        <is>
          <t>Dagues Érhy; Amulette du Strigide; Baguistik; Bague Gloursonne; Bouclier du Captain Amakna; Ceinture du Strigide; Casque de Missiz Frizz; Voile d'encre; Pataugastrique; Dofus Pourpre; Dofus Turquoise; Sanguinaire majeur; Vigoureux majeur; Remueur; Nomade; Muldo Prune et Emeraude</t>
        </is>
      </c>
    </row>
    <row r="10153">
      <c r="A10153" t="inlineStr">
        <is>
          <t>Do Crit</t>
        </is>
      </c>
      <c r="B10153">
        <f>HYPERLINK("https://www.dofusbook.net/fr/equipement/1868298-do-crit-/objets", "link")</f>
        <v/>
      </c>
      <c r="C10153" t="n">
        <v>0</v>
      </c>
      <c r="D10153" t="inlineStr">
        <is>
          <t>Sabres d'Atcham; Amulette du Strigide; Kralano; Anneau de Padgref; Quatre-feuilles; Ceinture du Strigide; Coiffe de Padgref; Cape d'Atcham; Getas de Padgref; Dofus Pourpre; Dofus Turquoise; Dofus Nébuleux; Dofus Émeraude; Dofus Ocre; Puissant majeur; Muldo Prune et Emeraude</t>
        </is>
      </c>
    </row>
    <row r="10154">
      <c r="A10154" t="inlineStr">
        <is>
          <t>Do Crit</t>
        </is>
      </c>
      <c r="B10154">
        <f>HYPERLINK("https://www.dofusbook.net/fr/equipement/1868269-do-crit-/objets", "link")</f>
        <v/>
      </c>
      <c r="C10154" t="n">
        <v>0</v>
      </c>
      <c r="D10154" t="inlineStr">
        <is>
          <t>Sabres d'Atcham; Amulette du Strigide; Anneau de Padgref; Kralano; Quatre-feuilles; Ceinture du Strigide; Coiffe de Padgref; Cape d'Atcham; Getas de Padgref; Dofus Turquoise; Dofus Nébuleux; Dofus Émeraude; Dofus Ocre; Dofus Pourpre; Puissant majeur; Muldo Prune et Emeraude</t>
        </is>
      </c>
    </row>
    <row r="10155">
      <c r="A10155" t="inlineStr">
        <is>
          <t>Feu roxx</t>
        </is>
      </c>
      <c r="B10155">
        <f>HYPERLINK("https://www.dofusbook.net/fr/equipement/1862540-feu-roxx/objets", "link")</f>
        <v/>
      </c>
      <c r="C10155" t="n">
        <v>0</v>
      </c>
      <c r="D10155" t="inlineStr">
        <is>
          <t>Harpelle; Pendentif affamé; Anneau de Nidas; Anneauræus; Quatre-feuilles; Ceinture Séculaire; Coiffe Séculaire; Cape de Diondin; Bottes Innommables; Dofus Pourpre; Dofus Ocre; Dofus Turquoise; Dofus Nébuleux; Dofus Vulbis; Érudit majeur; Brûlih</t>
        </is>
      </c>
    </row>
    <row r="10156">
      <c r="A10156" t="inlineStr">
        <is>
          <t>Chaloeil</t>
        </is>
      </c>
      <c r="B10156">
        <f>HYPERLINK("https://www.dofusbook.net/fr/equipement/1860935-chaloeil/objets", "link")</f>
        <v/>
      </c>
      <c r="C10156" t="n">
        <v>0</v>
      </c>
      <c r="D10156" t="inlineStr">
        <is>
          <t>Hache du Chalœil; Amulette du Strigide; Alliance du Lévitrof; Bracelet du Piloztère; Quatre-feuilles; Ceinture du Strigide; Coiffe du Lévitrof; Voile d'encre; Bottes du Lévitrof; Dofus Turquoise; Dofus des Glaces; Dofus Pourpre; Dofus Ocre; Dofus Émeraude; Dolmanax; Muldo Prune et Emeraude</t>
        </is>
      </c>
    </row>
    <row r="10157">
      <c r="A10157" t="inlineStr">
        <is>
          <t>Eau air koitou</t>
        </is>
      </c>
      <c r="B10157">
        <f>HYPERLINK("https://www.dofusbook.net/fr/equipement/1856537-eau-air-koitou/objets", "link")</f>
        <v/>
      </c>
      <c r="C10157" t="n">
        <v>0</v>
      </c>
      <c r="D10157" t="inlineStr">
        <is>
          <t>Arc de Koutoulou; Amulette du Strigide; Alliance Gloursonne; Bracelet du Piloztère; Quatre-feuilles; Ceinture du Strigide; Némès de Tal Kasha; Chevelure de Tal Kasha; Sandales de Tal Kasha; Dofus Turquoise; Dofus Émeraude; Dofus Ocre; Dokoko; Dofus Pourpre; Puissant majeur; Muldo Prune et Emeraude</t>
        </is>
      </c>
    </row>
    <row r="10158">
      <c r="A10158" t="inlineStr">
        <is>
          <t>Flr</t>
        </is>
      </c>
      <c r="B10158">
        <f>HYPERLINK("https://www.dofusbook.net/fr/equipement/1854842-flr/objets", "link")</f>
        <v/>
      </c>
      <c r="C10158" t="n">
        <v>0</v>
      </c>
      <c r="D10158" t="inlineStr">
        <is>
          <t>Arc du Chalœil; Amulette Héroclite; Anneau de Brouce; Anneau Chevelu; Quatre-feuilles; Ceinture de Brouce; Masque de Koutoulou; Cape au Logis; Baleinabottes; Dofus Turquoise; Nomade; Furibond majeur; Forcené majeur; Remueur; Enragé majeur; Kompost</t>
        </is>
      </c>
    </row>
    <row r="10159">
      <c r="A10159" t="inlineStr">
        <is>
          <t>Flr</t>
        </is>
      </c>
      <c r="B10159">
        <f>HYPERLINK("https://www.dofusbook.net/fr/equipement/1854836-flr/objets", "link")</f>
        <v/>
      </c>
      <c r="C10159" t="n">
        <v>0</v>
      </c>
      <c r="D10159" t="inlineStr">
        <is>
          <t>Arc du Chalœil; Amulette Héroclite; Anneau de la Fuji Givrefoux; Anneau de Brouce; Quatre-feuilles; Ceinture de Brouce; Masque de Koutoulou; Cape au Logis; Bottes du Cœur Saignant; Dofus Turquoise; Remueur; Enragé majeur; Nomade; Furibond majeur; Forcené majeur; Kompost</t>
        </is>
      </c>
    </row>
    <row r="10160">
      <c r="A10160" t="inlineStr">
        <is>
          <t>Do Crit</t>
        </is>
      </c>
      <c r="B10160">
        <f>HYPERLINK("https://www.dofusbook.net/fr/equipement/1846029-do-crit-/objets", "link")</f>
        <v/>
      </c>
      <c r="C10160" t="n">
        <v>0</v>
      </c>
      <c r="D10160" t="inlineStr">
        <is>
          <t>Marteau Phossile; Amulette du Strigide; Anneau de Padgref; Kralano; Bouclier du Captain Amakna; Ceinture du Strigide; Coiffe de Padgref; Cape des Justiciers; Getas de Padgref; Dofus Turquoise; Dofus Émeraude; Dokoko; Dofus Pourpre; Voyageur; Puissant majeur; Muldo Prune et Emeraude</t>
        </is>
      </c>
    </row>
    <row r="10161">
      <c r="A10161" t="inlineStr">
        <is>
          <t>Eau rall199 2</t>
        </is>
      </c>
      <c r="B10161">
        <f>HYPERLINK("https://www.dofusbook.net/fr/equipement/1762314-eau-rall199-2/objets", "link")</f>
        <v/>
      </c>
      <c r="C10161" t="n">
        <v>0</v>
      </c>
      <c r="D10161" t="inlineStr">
        <is>
          <t>Dagues Açantes; Amulette de Danathor; Anneau Aimgéroks; Pikano; Bouclier cubiste; Ceinture Glaciale; Binocle Airvoyant; Cape de Léthaline; Pikottes; Temporiseur; Remueur; Chanceux majeur; Ralentisseur majeur; Entraveur majeur; Temporiseur majeur; Muldo Doré et Amande</t>
        </is>
      </c>
    </row>
    <row r="10162">
      <c r="A10162" t="inlineStr">
        <is>
          <t>Do Crit</t>
        </is>
      </c>
      <c r="B10162">
        <f>HYPERLINK("https://www.dofusbook.net/fr/equipement/1831039-do-crit-/objets", "link")</f>
        <v/>
      </c>
      <c r="C10162" t="n">
        <v>0</v>
      </c>
      <c r="D10162" t="inlineStr">
        <is>
          <t>Sabres d'Atcham; Amulette du Strigide; Kralano; Anneau de Padgref; Bouclier du Captain Amakna; Ceinture du Strigide; Coiffe de Padgref; Cape d'Atcham; Getas de Padgref; Dofus Pourpre; Dofus Turquoise; Dofus Émeraude; Dofus Ocre; Puissant majeur; Voyageur; Muldo Prune et Emeraude</t>
        </is>
      </c>
    </row>
    <row r="10163">
      <c r="A10163" t="inlineStr">
        <is>
          <t>Eau agi</t>
        </is>
      </c>
      <c r="B10163">
        <f>HYPERLINK("https://www.dofusbook.net/fr/equipement/1798335-eau-agi/objets", "link")</f>
        <v/>
      </c>
      <c r="C10163" t="n">
        <v>0</v>
      </c>
      <c r="D10163" t="inlineStr">
        <is>
          <t>Arc de Koutoulou; Amulette du Strigide; Bracelet du Piloztère; Alliance Gloursonne; Quatre-feuilles; Ceinture du Strigide; Némès de Tal Kasha; Chevelure de Tal Kasha; Sandales de Tal Kasha; Dolmanax; Dofus des Glaces; Dokoko; Dofus Turquoise; Dofus Pourpre; Dofus Ocre; Muldo Prune et Emeraude</t>
        </is>
      </c>
    </row>
    <row r="10164">
      <c r="A10164" t="inlineStr">
        <is>
          <t>Eau agi</t>
        </is>
      </c>
      <c r="B10164">
        <f>HYPERLINK("https://www.dofusbook.net/fr/equipement/1798307-eau-agi/objets", "link")</f>
        <v/>
      </c>
      <c r="C10164" t="n">
        <v>0</v>
      </c>
      <c r="D10164" t="inlineStr">
        <is>
          <t>Arc de Koutoulou; Amulette du Strigide; Alliance Gloursonne; Bracelet du Piloztère; Quatre-feuilles; Ceinture du Strigide; Némès de Tal Kasha; Chevelure de Tal Kasha; Sandales de Tal Kasha; Dofus Pourpre; Dofus Ocre; Dofus Émeraude; Dokoko; Dofus Abyssal; Dofus Turquoise; Muldo Prune et Emeraude</t>
        </is>
      </c>
    </row>
    <row r="10165">
      <c r="A10165" t="inlineStr">
        <is>
          <t>Tri</t>
        </is>
      </c>
      <c r="B10165">
        <f>HYPERLINK("https://www.dofusbook.net/fr/equipement/1789421-tri/objets", "link")</f>
        <v/>
      </c>
      <c r="C10165" t="n">
        <v>1</v>
      </c>
      <c r="D10165" t="inlineStr">
        <is>
          <t>Sabres d'Atcham; Talisman Glouti; Anneau Tique; Bracelet du Piloztère; Quatre-feuilles; Ceinture de Kongoku; Dorabysses; Cape d'Atcham; Sandales  d'Atcham; Dofus Turquoise; Dofus Ocre; Dofus Émeraude; Dofus des Glaces; Dofus Pourpre; Dolmanax; Muldo Prune et Emeraude</t>
        </is>
      </c>
    </row>
    <row r="10166">
      <c r="A10166" t="inlineStr">
        <is>
          <t>Eau rall 199</t>
        </is>
      </c>
      <c r="B10166">
        <f>HYPERLINK("https://www.dofusbook.net/fr/equipement/1762285-eau-rall-199/objets", "link")</f>
        <v/>
      </c>
      <c r="C10166" t="n">
        <v>0</v>
      </c>
      <c r="D10166" t="inlineStr">
        <is>
          <t>Arc Nécrotique; Collier de la Dame du Hasard; Bracelet du Piloztère; Anneau Cryochrone; Quatre-feuilles; Ceintacé; Casquette de Meno; Cape de la Dame du Hasard; Pataugastrique; Dofus Pourpre; Dofus Turquoise; Nomade; Remueur; Érudit majeur; Chanceux majeur; Muldo Prune et Emeraude</t>
        </is>
      </c>
    </row>
    <row r="10167">
      <c r="A10167" t="inlineStr">
        <is>
          <t>Feu terre</t>
        </is>
      </c>
      <c r="B10167">
        <f>HYPERLINK("https://www.dofusbook.net/fr/equipement/1755054-feu-terre/objets", "link")</f>
        <v/>
      </c>
      <c r="C10167" t="n">
        <v>0</v>
      </c>
      <c r="D10167" t="inlineStr">
        <is>
          <t>Dagues Érhy; Amulette de Gein; Chevalière du Roi Joueur; Baguistik; Bouclier du Captain Amakna; Ceinture de Gein; Couronne du Roi Joueur; Voile d'encre; Bottes du Roi Joueur; Dofus Ocre; Dofus Abyssal; Dofus Pourpre; Dofus des Glaces; Dofus Turquoise; Dofus Nébuleux; Muldo Prune et Emeraude</t>
        </is>
      </c>
    </row>
    <row r="10168">
      <c r="A10168" t="inlineStr">
        <is>
          <t>Tetre neb</t>
        </is>
      </c>
      <c r="B10168">
        <f>HYPERLINK("https://www.dofusbook.net/fr/equipement/1755041-tetre-neb/objets", "link")</f>
        <v/>
      </c>
      <c r="C10168" t="n">
        <v>0</v>
      </c>
      <c r="D10168" t="inlineStr">
        <is>
          <t>Marteau R'ture; Collier de Tourthon; Anneau Crustique; Anneau Crustique; Bouclier du Captain Amakna; Ceinture de Brouce; Masque de Koutoulou; Cape au Logis; Bottes de Brouce; Dofus Pourpre; Dofus Turquoise; Dofus Nébuleux; Remueur; Enragé majeur; Forcené majeur; Kompost</t>
        </is>
      </c>
    </row>
    <row r="10169">
      <c r="A10169" t="inlineStr">
        <is>
          <t>Tetre neb</t>
        </is>
      </c>
      <c r="B10169">
        <f>HYPERLINK("https://www.dofusbook.net/fr/equipement/1755002-tetre-neb/objets", "link")</f>
        <v/>
      </c>
      <c r="C10169" t="n">
        <v>0</v>
      </c>
      <c r="D10169" t="inlineStr">
        <is>
          <t>Marteau R'ture; Collier de Tourthon; Anneau Crustique; Anneau Crustique; Bouclier du Captain Amakna; Ceinture de Brouce; Masque de Koutoulou; Cape au Logis; Bottes de Brouce; Dofus Pourpre; Dofus Turquoise; Dofus Nébuleux; Enragé majeur; Forcené majeur; Remueur; Kompost</t>
        </is>
      </c>
    </row>
    <row r="10170">
      <c r="A10170" t="inlineStr">
        <is>
          <t>Houffe 2</t>
        </is>
      </c>
      <c r="B10170">
        <f>HYPERLINK("https://www.dofusbook.net/fr/equipement/1734603-houffe-2/objets", "link")</f>
        <v/>
      </c>
      <c r="C10170" t="n">
        <v>0</v>
      </c>
      <c r="D10170" t="inlineStr">
        <is>
          <t>Baguette Houffe-Craitien; Amulette du Strigide; Kralano; Anneau de Padgref; Quatre-feuilles; Ceinture du Strigide; Coiffe de Padgref; Cape de Diondin; Getas de Padgref; Dofus Pourpre; Dofus Turquoise; Ravageur Feu majeur; Saccageur Feu majeur; Astucieux majeur; Savant majeur; Muldo Prune et Emeraude</t>
        </is>
      </c>
    </row>
    <row r="10171">
      <c r="A10171" t="inlineStr">
        <is>
          <t>Do Crit</t>
        </is>
      </c>
      <c r="B10171">
        <f>HYPERLINK("https://www.dofusbook.net/fr/equipement/1725845-do-crit-/objets", "link")</f>
        <v/>
      </c>
      <c r="C10171" t="n">
        <v>0</v>
      </c>
      <c r="D10171" t="inlineStr">
        <is>
          <t>Dagues Érhy; Amulette du Strigide; Anneau de Padgref; Kralano; Bouclier du Captain Amakna; Ceinture du Strigide; Coiffe de Padgref; Cape des Justiciers; Getas de Padgref; Dofus Turquoise; Dofus Émeraude; Dokoko; Dofus Pourpre; Voyageur; Puissant majeur; Muldo Prune et Emeraude</t>
        </is>
      </c>
    </row>
    <row r="10172">
      <c r="A10172" t="inlineStr">
        <is>
          <t>Do Crit</t>
        </is>
      </c>
      <c r="B10172">
        <f>HYPERLINK("https://www.dofusbook.net/fr/equipement/1725252-do-crit-/objets", "link")</f>
        <v/>
      </c>
      <c r="C10172" t="n">
        <v>0</v>
      </c>
      <c r="D10172" t="inlineStr">
        <is>
          <t>Sabres d'Atcham; Amulette du Strigide; Kralano; Anneau de Padgref; Quatre-feuilles; Ceinture du Strigide; Coiffe de Padgref; Cape d'Atcham; Getas de Padgref; Dofus Émeraude; Dofus Ocre; Dofus Pourpre; Dofus Vulbis; Dofus Turquoise; Dofus Nébuleux; Muldo Doré et Emeraude</t>
        </is>
      </c>
    </row>
    <row r="10173">
      <c r="A10173" t="inlineStr">
        <is>
          <t>Feu air</t>
        </is>
      </c>
      <c r="B10173">
        <f>HYPERLINK("https://www.dofusbook.net/fr/equipement/1715702-feu-air/objets", "link")</f>
        <v/>
      </c>
      <c r="C10173" t="n">
        <v>0</v>
      </c>
      <c r="D10173" t="inlineStr">
        <is>
          <t>Baguette Hernelle; Amulette du Strigide; Anneau de Padgref; Kralano; Quatre-feuilles; Ceinture du Strigide; Coiffe de Padgref; Cape des Justiciers; Getas de Padgref; Dofus Émeraude; Dofus Turquoise; Dofus Pourpre; Savant majeur; Voyageur; Puissant majeur; Muldo Prune et Emeraude</t>
        </is>
      </c>
    </row>
    <row r="10174">
      <c r="A10174" t="inlineStr">
        <is>
          <t>Feu air</t>
        </is>
      </c>
      <c r="B10174">
        <f>HYPERLINK("https://www.dofusbook.net/fr/equipement/1715099-feu-air/objets", "link")</f>
        <v/>
      </c>
      <c r="C10174" t="n">
        <v>2</v>
      </c>
      <c r="D10174" t="inlineStr">
        <is>
          <t>Baguette Range; Amulette du Strigide; Kralano; Anneau de Padgref; Quatre-feuilles; Ceinture du Strigide; Coiffe de Padgref; Cape des Justiciers; Getas de Padgref; Dofus Pourpre; Dofus Émeraude; Dofus Turquoise; Savant majeur; Voyageur; Puissant majeur; Muldo Prune et Emeraude</t>
        </is>
      </c>
    </row>
    <row r="10175">
      <c r="A10175" t="inlineStr">
        <is>
          <t>Feu air</t>
        </is>
      </c>
      <c r="B10175">
        <f>HYPERLINK("https://www.dofusbook.net/fr/equipement/1712557-feu-air/objets", "link")</f>
        <v/>
      </c>
      <c r="C10175" t="n">
        <v>0</v>
      </c>
      <c r="D10175" t="inlineStr">
        <is>
          <t>Baguette Range; Amulette du Strigide; Anneau de Padgref; Kralano; Bouclier du Captain Amakna; Ceinture du Strigide; Coiffe de Padgref; Cape des Justiciers; Getas de Padgref; Dofus Émeraude; Dofus Turquoise; Dofus Pourpre; Savant majeur; Voyageur; Puissant majeur; Muldo Prune et Emeraude</t>
        </is>
      </c>
    </row>
    <row r="10176">
      <c r="A10176" t="inlineStr">
        <is>
          <t>Multi 12</t>
        </is>
      </c>
      <c r="B10176">
        <f>HYPERLINK("https://www.dofusbook.net/fr/equipement/1701815-multi-12/objets", "link")</f>
        <v/>
      </c>
      <c r="C10176" t="n">
        <v>0</v>
      </c>
      <c r="D10176" t="inlineStr">
        <is>
          <t>Epée Gloursonne; Amulette du Strigide; Bague Gloursonne; Alliance Gloursonne; Bouclier du Captain Amakna; Ceinture du Strigide; Casque du Chalœil; Cape du Chalœil; Bottes du Strigide; Dofus Pourpre; Dolmanax; Dofus Turquoise; Dofus des Glaces; Dofus Ocre; Dofus Nébuleux; Muldo Prune et Emeraude</t>
        </is>
      </c>
    </row>
    <row r="10177">
      <c r="A10177" t="inlineStr">
        <is>
          <t>Striglours</t>
        </is>
      </c>
      <c r="B10177">
        <f>HYPERLINK("https://www.dofusbook.net/fr/equipement/1701338-striglours/objets", "link")</f>
        <v/>
      </c>
      <c r="C10177" t="n">
        <v>0</v>
      </c>
      <c r="D10177" t="inlineStr">
        <is>
          <t>Epée Gloursonne; Amulette du Strigide; Alliance Gloursonne; Bague Gloursonne; Bouclier du Captain Amakna; Ceinture du Strigide; Maskrobe; Cape des Justiciers; Bottes du Strigide; Dofus Turquoise; Dofus Pourpre; Furibond majeur; Savant majeur; Puissant majeur; Acrobate majeur; Muldo Prune et Emeraude</t>
        </is>
      </c>
    </row>
    <row r="10178">
      <c r="A10178" t="inlineStr">
        <is>
          <t>Striglours</t>
        </is>
      </c>
      <c r="B10178">
        <f>HYPERLINK("https://www.dofusbook.net/fr/equipement/1701252-striglours/objets", "link")</f>
        <v/>
      </c>
      <c r="C10178" t="n">
        <v>0</v>
      </c>
      <c r="D10178" t="inlineStr">
        <is>
          <t>Epée Gloursonne; Amulette du Strigide; Bague Gloursonne; Alliance Gloursonne; Quatre-feuilles; Ceinture du Strigide; Le Dorado; Voilamibe; Bottes du Strigide; Dofus Pourpre; Dofus Turquoise; Savant majeur; Puissant majeur; Joueur majeur; Furibond majeur; Muldo Prune et Emeraude</t>
        </is>
      </c>
    </row>
    <row r="10179">
      <c r="A10179" t="inlineStr">
        <is>
          <t>Feu abordable</t>
        </is>
      </c>
      <c r="B10179">
        <f>HYPERLINK("https://www.dofusbook.net/fr/equipement/1680119-feu-abordable/objets", "link")</f>
        <v/>
      </c>
      <c r="C10179" t="n">
        <v>0</v>
      </c>
      <c r="D10179" t="inlineStr">
        <is>
          <t>Harpelle; Pendentif affamé; Anneauræus; Anneau de Pol Ouatnos; Quatre-feuilles; Ceinture Séculaire; Coiffe Séculaire; Cape de Diondin; Pataugastrique; Dofus Turquoise; Remueur; Érudit majeur; Nomade; Dévastateur Feu majeur; Astucieux majeur; Brûlih</t>
        </is>
      </c>
    </row>
    <row r="10180">
      <c r="A10180" t="inlineStr">
        <is>
          <t>Feu abordable</t>
        </is>
      </c>
      <c r="B10180">
        <f>HYPERLINK("https://www.dofusbook.net/fr/equipement/1680078-feu-abordable/objets", "link")</f>
        <v/>
      </c>
      <c r="C10180" t="n">
        <v>1</v>
      </c>
      <c r="D10180" t="inlineStr">
        <is>
          <t>Harpelle; Pendentif affamé; Anneau de Pol Ouatnos; Anneauræus; Bouclier du Captain Amakna; Ceinture Séculaire; Coiffe Séculaire; Cape de Diondin; Pataugastrique; Dofus Turquoise; Nomade; Dévastateur Feu majeur; Astucieux majeur; Remueur; Érudit majeur; Brûlih</t>
        </is>
      </c>
    </row>
    <row r="10181">
      <c r="A10181" t="inlineStr">
        <is>
          <t>Air 3</t>
        </is>
      </c>
      <c r="B10181">
        <f>HYPERLINK("https://www.dofusbook.net/fr/equipement/1680066-air-3/objets", "link")</f>
        <v/>
      </c>
      <c r="C10181" t="n">
        <v>0</v>
      </c>
      <c r="D10181" t="inlineStr">
        <is>
          <t>Manthache; Collier du Valet Veinard; Anneau d'Allister; Gant du Valet Veinard; Bouclier du Stalak; Menoture; Couronne d'Allister; Cape du Valet Veinard; Bottes d'Allister; Dofus Émeraude; Dokoko; Voyageur; Equilibriste majeur; Acrobate majeur; Ravageur Air majeur; Muldo Ebène et Orchidée</t>
        </is>
      </c>
    </row>
    <row r="10182">
      <c r="A10182" t="inlineStr">
        <is>
          <t>Air 3</t>
        </is>
      </c>
      <c r="B10182">
        <f>HYPERLINK("https://www.dofusbook.net/fr/equipement/1680049-air-3/objets", "link")</f>
        <v/>
      </c>
      <c r="C10182" t="n">
        <v>0</v>
      </c>
      <c r="D10182" t="inlineStr">
        <is>
          <t>Manthache; Collier du Valet Veinard; Gant du Valet Veinard; Anneau d'Allister; Bouclier du Stalak; Menoture; Couronne d'Allister; Cape du Valet Veinard; Bottes d'Allister; Dofus Émeraude; Dokoko; Acrobate majeur; Ravageur Air majeur; Voyageur; Equilibriste majeur; Muldo Ebène et Orchidée</t>
        </is>
      </c>
    </row>
    <row r="10183">
      <c r="A10183" t="inlineStr">
        <is>
          <t>Air 3</t>
        </is>
      </c>
      <c r="B10183">
        <f>HYPERLINK("https://www.dofusbook.net/fr/equipement/1680030-air-3/objets", "link")</f>
        <v/>
      </c>
      <c r="C10183" t="n">
        <v>0</v>
      </c>
      <c r="D10183" t="inlineStr">
        <is>
          <t>Manthache; Collier du Valet Veinard; Anneau d'Allister; Gant du Valet Veinard; Bouclier du Stalak; Menoture; Couronne d'Allister; Cape du Valet Veinard; Bottes d'Allister; Dofus Émeraude; Dokoko; Voyageur; Equilibriste majeur; Acrobate majeur; Ravageur Air majeur; Muldo Ebène et Orchidée</t>
        </is>
      </c>
    </row>
    <row r="10184">
      <c r="A10184" t="inlineStr">
        <is>
          <t>Air 3</t>
        </is>
      </c>
      <c r="B10184">
        <f>HYPERLINK("https://www.dofusbook.net/fr/equipement/1680003-air-3/objets", "link")</f>
        <v/>
      </c>
      <c r="C10184" t="n">
        <v>0</v>
      </c>
      <c r="D10184" t="inlineStr">
        <is>
          <t>Pelle de la Cour Sombre; Collier du Valet Veinard; Gant du Valet Veinard; Anneau d'Allister; Bouclier du Stalak; Menoture; Couronne d'Allister; Cape du Valet Veinard; Bottes d'Allister; Dofus Émeraude; Dokoko; Acrobate majeur; Ravageur Air majeur; Voyageur; Equilibriste majeur; Muldo Ebène et Orchidée</t>
        </is>
      </c>
    </row>
    <row r="10185">
      <c r="A10185" t="inlineStr">
        <is>
          <t>Air 3</t>
        </is>
      </c>
      <c r="B10185">
        <f>HYPERLINK("https://www.dofusbook.net/fr/equipement/1678024-air-3/objets", "link")</f>
        <v/>
      </c>
      <c r="C10185" t="n">
        <v>1</v>
      </c>
      <c r="D10185" t="inlineStr">
        <is>
          <t>Manthache; Collier du Valet Veinard; Anneau d'Allister; Gant du Valet Veinard; Bouclier du Stalak; Menoture; Couronne d'Allister; Cape du Valet Veinard; Bottes d'Allister; Dofus Émeraude; Dokoko; Equilibriste; Equilibriste majeur; Acrobate majeur; Ravageur Air majeur; Muldo Ebène et Orchidée</t>
        </is>
      </c>
    </row>
    <row r="10186">
      <c r="A10186" t="inlineStr">
        <is>
          <t>Eau resi</t>
        </is>
      </c>
      <c r="B10186">
        <f>HYPERLINK("https://www.dofusbook.net/fr/equipement/1668120-eau-resi/objets", "link")</f>
        <v/>
      </c>
      <c r="C10186" t="n">
        <v>0</v>
      </c>
      <c r="D10186" t="inlineStr">
        <is>
          <t>Arc Ontanporin; Amulette de Shokkoth; Alliance Gloursonne; Bracelet des Fonds marins; Quatre-feuilles; Poulpagne; Kidibonnet; Cape du Sinistrofu; Bottes du Sinistrofu; Dofus Turquoise; Nomade; Dévastateur Eau majeur; Remueur; Taquin majeur; Chanceux majeur; Muldo Indigo</t>
        </is>
      </c>
    </row>
    <row r="10187">
      <c r="A10187" t="inlineStr">
        <is>
          <t>Eau resi</t>
        </is>
      </c>
      <c r="B10187">
        <f>HYPERLINK("https://www.dofusbook.net/fr/equipement/1668038-eau-resi/objets", "link")</f>
        <v/>
      </c>
      <c r="C10187" t="n">
        <v>0</v>
      </c>
      <c r="D10187" t="inlineStr">
        <is>
          <t>Arc Ontanporin; Amulette de Shokkoth; Bracelet des Fonds marins; Alliance Gloursonne; Quatre-feuilles; Poulpagne; Kidibonnet; Cape du Sinistrofu; Bottes du Sinistrofu; Dofus Turquoise; Taquin majeur; Chanceux majeur; Nomade; Dévastateur Eau majeur; Remueur; Muldo Indigo</t>
        </is>
      </c>
    </row>
    <row r="10188">
      <c r="A10188" t="inlineStr">
        <is>
          <t>Eau resi</t>
        </is>
      </c>
      <c r="B10188">
        <f>HYPERLINK("https://www.dofusbook.net/fr/equipement/1667915-eau-resi/objets", "link")</f>
        <v/>
      </c>
      <c r="C10188" t="n">
        <v>0</v>
      </c>
      <c r="D10188" t="inlineStr">
        <is>
          <t>Rapière aux Glyphes; Amulette de Shokkoth; Alliance Gloursonne; Bracelet des Fonds marins; Cadran de Terre; Poulpagne; Kidibonnet; Cape du Sinistrofu; Bottes du Sinistrofu; Dofus Turquoise; Nomade; Dévastateur Eau majeur; Remueur; Miraculé majeur; Chanceux majeur; Muldo Indigo</t>
        </is>
      </c>
    </row>
    <row r="10189">
      <c r="A10189" t="inlineStr">
        <is>
          <t>Eau resi</t>
        </is>
      </c>
      <c r="B10189">
        <f>HYPERLINK("https://www.dofusbook.net/fr/equipement/1656136-eau-resi/objets", "link")</f>
        <v/>
      </c>
      <c r="C10189" t="n">
        <v>0</v>
      </c>
      <c r="D10189" t="inlineStr">
        <is>
          <t>Sceptre du Roi Joueur; Amulette de Shokkoth; Bracelet des Fonds marins; Alliance Gloursonne; Bouclier du Captain Amakna; Poulpagne; Kidibonnet; Cape du Sinistrofu; Bottes du Sinistrofu; Dofus Turquoise; Taquin majeur; Chanceux majeur; Nomade; Dévastateur Eau majeur; Remueur; Muldo Indigo</t>
        </is>
      </c>
    </row>
    <row r="10190">
      <c r="A10190" t="inlineStr">
        <is>
          <t>Eau resi</t>
        </is>
      </c>
      <c r="B10190">
        <f>HYPERLINK("https://www.dofusbook.net/fr/equipement/1648288-eau-resi/objets", "link")</f>
        <v/>
      </c>
      <c r="C10190" t="n">
        <v>0</v>
      </c>
      <c r="D10190" t="inlineStr">
        <is>
          <t>Arc Ontanporin; Amulette de Shokkoth; Alliance Gloursonne; Bracelet des Fonds marins; Quatre-feuilles; Poulpagne; Kidibonnet; Cape du Sinistrofu; Bottes du Sinistrofu; Dofus Turquoise; Nomade; Dévastateur Eau majeur; Remueur; Miraculé majeur; Chanceux majeur; Muldo Indigo</t>
        </is>
      </c>
    </row>
    <row r="10191">
      <c r="A10191" t="inlineStr">
        <is>
          <t>Agil</t>
        </is>
      </c>
      <c r="B10191">
        <f>HYPERLINK("https://www.dofusbook.net/fr/equipement/1648243-agil/objets", "link")</f>
        <v/>
      </c>
      <c r="C10191" t="n">
        <v>0</v>
      </c>
      <c r="D10191" t="inlineStr">
        <is>
          <t>Manthache; Collier du Valet Veinard; Gant du Valet Veinard; Anneau d'Allister; Quatre-feuilles; Menoture; Capuche de Moum-Ra; Cape Indescriptible; Baleinabottes; Equilibriste majeur; Acrobate majeur; Cascadeur majeur; Remueur; Dévastateur Air majeur; Nomade; Pioute jaune</t>
        </is>
      </c>
    </row>
    <row r="10192">
      <c r="A10192" t="inlineStr">
        <is>
          <t>Multi double pano</t>
        </is>
      </c>
      <c r="B10192">
        <f>HYPERLINK("https://www.dofusbook.net/fr/equipement/1648016-multi-double-pano/objets", "link")</f>
        <v/>
      </c>
      <c r="C10192" t="n">
        <v>0</v>
      </c>
      <c r="D10192" t="inlineStr">
        <is>
          <t>Sabres d'Atcham; Talisman Glouti; Anneau de Pol Ouatnos; Anneau Tique; Quatre-feuilles; Ceinture du Strigide; Dorabysses; Cape d'Atcham; Sandales  d'Atcham; Dolmanax; Dofus Turquoise; Dofus Pourpre; Dofus des Glaces; Dofus Ocre; Dofus Émeraude; Kramkram</t>
        </is>
      </c>
    </row>
    <row r="10193">
      <c r="A10193" t="inlineStr">
        <is>
          <t>Feu air</t>
        </is>
      </c>
      <c r="B10193">
        <f>HYPERLINK("https://www.dofusbook.net/fr/equipement/1646474-feu-air/objets", "link")</f>
        <v/>
      </c>
      <c r="C10193" t="n">
        <v>0</v>
      </c>
      <c r="D10193" t="inlineStr">
        <is>
          <t>Baguette Range; Amulette du Strigide; Anneau de Padgref; Kralano; Quatre-feuilles; Ceinture du Strigide; Coiffe de Padgref; Cape des Justiciers; Getas de Padgref; Dofus Turquoise; Dofus Pourpre; Dofus Émeraude; Savant majeur; Voyageur; Puissant majeur; Muldo Prune et Emeraude</t>
        </is>
      </c>
    </row>
    <row r="10194">
      <c r="A10194" t="inlineStr">
        <is>
          <t>Feu air</t>
        </is>
      </c>
      <c r="B10194">
        <f>HYPERLINK("https://www.dofusbook.net/fr/equipement/1646299-feu-air/objets", "link")</f>
        <v/>
      </c>
      <c r="C10194" t="n">
        <v>0</v>
      </c>
      <c r="D10194" t="inlineStr">
        <is>
          <t>Dagues Érhy; Amulette du Strigide; Anneau de Padgref; Kralano; Bouclier du Captain Amakna; Ceinture du Strigide; Coiffe de Padgref; Cape des Justiciers; Getas de Padgref; Dofus Turquoise; Dofus Émeraude; Dofus Pourpre; Puissant majeur; Savant majeur; Muldo Prune et Emeraude</t>
        </is>
      </c>
    </row>
    <row r="10195">
      <c r="A10195" t="inlineStr">
        <is>
          <t>Film chance</t>
        </is>
      </c>
      <c r="B10195">
        <f>HYPERLINK("https://www.dofusbook.net/fr/equipement/1632733-film-chance/objets", "link")</f>
        <v/>
      </c>
      <c r="C10195" t="n">
        <v>0</v>
      </c>
      <c r="D10195" t="inlineStr">
        <is>
          <t>Sceptre du Roi Joueur; Amulette de Shokkoth; Anneau Glacial; Bracelet des Fonds marins; Bouclier Akwadala; Ceinture Glaciale; Masque des Fonds marins; Cape Glaciale; Sandales des Fonds marins; Dofus Turquoise; Dofus Ocre; Dofus Pourpre; Ravageur Eau majeur; Taquin majeur; Joueur majeur; Kramkram</t>
        </is>
      </c>
    </row>
    <row r="10196">
      <c r="A10196" t="inlineStr">
        <is>
          <t>Multi</t>
        </is>
      </c>
      <c r="B10196">
        <f>HYPERLINK("https://www.dofusbook.net/fr/equipement/1629855-multi/objets", "link")</f>
        <v/>
      </c>
      <c r="C10196" t="n">
        <v>0</v>
      </c>
      <c r="D10196" t="inlineStr">
        <is>
          <t>Epée Gloursonne; Amulette du Strigide; Alliance Gloursonne; Bague Gloursonne; Quatre-feuilles; Ceinture du Strigide; Chapeau Lisson; Voilamibe; Bottes du Strigide; Dofus Pourpre; Dofus des Glaces; Dofus Turquoise; Dofus Émeraude; Dolmanax; Puissant majeur; Kramkram</t>
        </is>
      </c>
    </row>
    <row r="10197">
      <c r="A10197" t="inlineStr">
        <is>
          <t>Resirox</t>
        </is>
      </c>
      <c r="B10197">
        <f>HYPERLINK("https://www.dofusbook.net/fr/equipement/1629739-resirox/objets", "link")</f>
        <v/>
      </c>
      <c r="C10197" t="n">
        <v>0</v>
      </c>
      <c r="D10197" t="inlineStr">
        <is>
          <t>Epée Gloursonne; Amulette de Pol Ouatnos; Bague Gloursonne; Alliance Gloursonne; Cadran de Feu; Ceinture de la Reine des Voleurs; Coiffe de la Reine des Voleurs; Voile d'encre; Bottes de la Reine des Voleurs; Dofus Émeraude; Dofus des Glaces; Dofus Turquoise; Dokoko; Dofus Pourpre; Dolmanax; Muldo Ebène et Orchidée</t>
        </is>
      </c>
    </row>
    <row r="10198">
      <c r="A10198" t="inlineStr">
        <is>
          <t>Do agi</t>
        </is>
      </c>
      <c r="B10198">
        <f>HYPERLINK("https://www.dofusbook.net/fr/equipement/1627999-do-agi/objets", "link")</f>
        <v/>
      </c>
      <c r="C10198" t="n">
        <v>0</v>
      </c>
      <c r="D10198" t="inlineStr">
        <is>
          <t>Arc Ahique; Collier du Valet Veinard; Gant du Valet Veinard; Alliance Gloursonne; Bouclier du Stalak; Ceinture de la Reine des Voleurs; Coiffe de la Reine des Voleurs; Cape du Valet Veinard; Bottes de la Reine des Voleurs; Dofus des Glaces; Dofus Pourpre; Dolmanax; Dofus Ocre; Ravageur Air majeur; Equilibriste majeur; Siroko</t>
        </is>
      </c>
    </row>
    <row r="10199">
      <c r="A10199" t="inlineStr">
        <is>
          <t>Do agi</t>
        </is>
      </c>
      <c r="B10199">
        <f>HYPERLINK("https://www.dofusbook.net/fr/equipement/1627243-do-agi/objets", "link")</f>
        <v/>
      </c>
      <c r="C10199" t="n">
        <v>0</v>
      </c>
      <c r="D10199" t="inlineStr">
        <is>
          <t>Pelle de la Cour Sombre; Collier du Valet Veinard; Anneau d'Allister; Gant du Valet Veinard; Bouclier du Stalak; Ceintouse; Couronne d'Allister; Cape du Valet Veinard; Bottes d'Allister; Dofus Ocre; Dofus des Glaces; Acrobate majeur; Ravageur Air majeur; Saccageur Air majeur; Equilibriste majeur; Muldo Doré et Orchidée</t>
        </is>
      </c>
    </row>
    <row r="10200">
      <c r="A10200" t="inlineStr">
        <is>
          <t>Do air</t>
        </is>
      </c>
      <c r="B10200">
        <f>HYPERLINK("https://www.dofusbook.net/fr/equipement/1627133-do-air/objets", "link")</f>
        <v/>
      </c>
      <c r="C10200" t="n">
        <v>1</v>
      </c>
      <c r="D10200" t="inlineStr">
        <is>
          <t>Pelle de la Cour Sombre; Collier du Valet Veinard; Gant du Valet Veinard; Anneau des égarés; La Rondelle; Ceinture de la Reine des Voleurs; Coiffe de la Reine des Voleurs; Cape du Valet Veinard; Bottes de la Reine des Voleurs; Dofus des Glaces; Dofus Ocre; Equilibriste majeur; Acrobate majeur; Saccageur Air majeur; Ravageur Air majeur; Siroko</t>
        </is>
      </c>
    </row>
    <row r="10201">
      <c r="A10201" t="inlineStr">
        <is>
          <t>Full agi</t>
        </is>
      </c>
      <c r="B10201">
        <f>HYPERLINK("https://www.dofusbook.net/fr/equipement/1624595-full-agi/objets", "link")</f>
        <v/>
      </c>
      <c r="C10201" t="n">
        <v>0</v>
      </c>
      <c r="D10201" t="inlineStr">
        <is>
          <t>Pelle de la Cour Sombre; Collier du Valet Veinard; Anneau d'Allister; Gant du Valet Veinard; La Rondelle; Ceintouse; Couronne d'Allister; Cape du Valet Veinard; Bottes d'Allister; Dofus Émeraude; Dofus Ocre; Dofus Pourpre; Acrobate majeur; Equilibriste majeur; Ravageur Air majeur; Muldo Roux et Doré</t>
        </is>
      </c>
    </row>
    <row r="10202">
      <c r="A10202" t="inlineStr">
        <is>
          <t>Eau resi</t>
        </is>
      </c>
      <c r="B10202">
        <f>HYPERLINK("https://www.dofusbook.net/fr/equipement/1619703-eau-resi/objets", "link")</f>
        <v/>
      </c>
      <c r="C10202" t="n">
        <v>0</v>
      </c>
      <c r="D10202" t="inlineStr">
        <is>
          <t>Arc Ontanporin; Amulette de Shokkoth; Bracelet des Fonds marins; Alliance Gloursonne; Quatre-feuilles; Poulpagne; Kidibonnet; Cape du Sinistrofu; Bottes du Sinistrofu; Dofus Turquoise; Dofus Pourpre; Remueur; Taquin majeur; Chanceux majeur; Nomade; Muldo Indigo</t>
        </is>
      </c>
    </row>
    <row r="10203">
      <c r="A10203" t="inlineStr">
        <is>
          <t>Foulo</t>
        </is>
      </c>
      <c r="B10203">
        <f>HYPERLINK("https://www.dofusbook.net/fr/equipement/1619368-foulo/objets", "link")</f>
        <v/>
      </c>
      <c r="C10203" t="n">
        <v>0</v>
      </c>
      <c r="D10203" t="inlineStr">
        <is>
          <t>Arc Ontanporin; Amulette du Sinistrofu; Bracelet du Piloztère; Bracelet des Fonds marins; Quatre-feuilles; Poulpagne; Coiffe de Danathor; Cape du Sinistrofu; Bottes de Meno; Dofus Turquoise; Remueur; Chanceux majeur; Nomade; Dévastateur Eau majeur; Taquin majeur; Dehluge</t>
        </is>
      </c>
    </row>
    <row r="10204">
      <c r="A10204" t="inlineStr">
        <is>
          <t>Feu air</t>
        </is>
      </c>
      <c r="B10204">
        <f>HYPERLINK("https://www.dofusbook.net/fr/equipement/1585971-feu-air/objets", "link")</f>
        <v/>
      </c>
      <c r="C10204" t="n">
        <v>0</v>
      </c>
      <c r="D10204" t="inlineStr">
        <is>
          <t>Baguette Range; Amulette du Strigide; Anneau de Padgref; Anneau Rifique; Quatre-feuilles; Ceinture du Strigide; Coiffe de Padgref; Cape Lati; Getas de Padgref; Dofus Ocre; Dofus Nébuleux; Dofus Pourpre; Dolmanax; Dofus Turquoise; Dofus des Glaces; Muldo Prune et Emeraude</t>
        </is>
      </c>
    </row>
    <row r="10205">
      <c r="A10205" t="inlineStr">
        <is>
          <t>Feu rall</t>
        </is>
      </c>
      <c r="B10205">
        <f>HYPERLINK("https://www.dofusbook.net/fr/equipement/1578727-feu-rall/objets", "link")</f>
        <v/>
      </c>
      <c r="C10205" t="n">
        <v>0</v>
      </c>
      <c r="D10205" t="inlineStr">
        <is>
          <t>Plumeau Bil; Amulette de Pol Ouatnos; Anneau Tique; Anneau de Nidas; Bouclier cubiste; Ceinture de Kongoku; Couronne de Nidas; Voile d'encre; Pataugastrique; Dofus Turquoise; Remueur; Dévastateur Feu majeur; Nomade; Temporiseur majeur; Érudit majeur; Kramkram</t>
        </is>
      </c>
    </row>
    <row r="10206">
      <c r="A10206" t="inlineStr">
        <is>
          <t>Feuezu</t>
        </is>
      </c>
      <c r="B10206">
        <f>HYPERLINK("https://www.dofusbook.net/fr/equipement/1576176-feuezu/objets", "link")</f>
        <v/>
      </c>
      <c r="C10206" t="n">
        <v>0</v>
      </c>
      <c r="D10206" t="inlineStr">
        <is>
          <t>Sceptre du Roi Joueur; Amulette du Strigide; Anneau Tique; Bracelet du Piloztère; Quatre-feuilles; Ceinture du Strigide; Casquette de Meno; Cape de Meno; Bottes de Meno; Dofus Ocre; Dofus Pourpre; Dolmanax; Dofus Turquoise; Dofus des Glaces; Ralentisseur majeur; Muldo Prune et Emeraude</t>
        </is>
      </c>
    </row>
    <row r="10207">
      <c r="A10207" t="inlineStr">
        <is>
          <t>Multi</t>
        </is>
      </c>
      <c r="B10207">
        <f>HYPERLINK("https://www.dofusbook.net/fr/equipement/1576141-multi/objets", "link")</f>
        <v/>
      </c>
      <c r="C10207" t="n">
        <v>0</v>
      </c>
      <c r="D10207" t="inlineStr">
        <is>
          <t>Sabres d'Atcham; Amulette du Strigide; Bracelet du Piloztère; Anneau de Padgref; Bouclier du Captain Amakna; Ceinture du Strigide; Coiffe de Padgref; Cape d'Atcham; Getas de Padgref; Dofus Pourpre; Dofus Nébuleux; Dofus Turquoise; Dofus des Glaces; Dolmanax; Dofus Ocre; Muldo Prune et Emeraude</t>
        </is>
      </c>
    </row>
    <row r="10208">
      <c r="A10208" t="inlineStr">
        <is>
          <t>Houffe</t>
        </is>
      </c>
      <c r="B10208">
        <f>HYPERLINK("https://www.dofusbook.net/fr/equipement/1547676-houffe/objets", "link")</f>
        <v/>
      </c>
      <c r="C10208" t="n">
        <v>1</v>
      </c>
      <c r="D10208" t="inlineStr">
        <is>
          <t>Baguette Houffe-Craitien; Amulette Séculaire; Anneauræus; Anneau de Padgref; Quatre-feuilles; Ceinture Séculaire; Coiffe de Padgref; Cape de Diondin; Getas de Padgref; Dofus Turquoise; Dofus des Glaces; Ravageur Feu majeur; Savant majeur; Astucieux majeur; Saccageur Feu majeur; Muldo Emeraude</t>
        </is>
      </c>
    </row>
    <row r="10209">
      <c r="A10209" t="inlineStr">
        <is>
          <t>Feu</t>
        </is>
      </c>
      <c r="B10209">
        <f>HYPERLINK("https://www.dofusbook.net/fr/equipement/1539778-feu/objets", "link")</f>
        <v/>
      </c>
      <c r="C10209" t="n">
        <v>0</v>
      </c>
      <c r="D10209" t="inlineStr">
        <is>
          <t>Harpelle; Pendentif affamé; Bague Gloursonne; Anneauræus; Bouclier d'Asse; Ceinture Séculaire; Coiffe Séculaire; Cape de Diondin; Bottes Innommables; Dofus Turquoise; Dofus Pourpre; Érudit majeur; Nomade; Astucieux majeur; Remueur; Brûlih</t>
        </is>
      </c>
    </row>
    <row r="10210">
      <c r="A10210" t="inlineStr">
        <is>
          <t>Feu</t>
        </is>
      </c>
      <c r="B10210">
        <f>HYPERLINK("https://www.dofusbook.net/fr/equipement/1532111-feu/objets", "link")</f>
        <v/>
      </c>
      <c r="C10210" t="n">
        <v>0</v>
      </c>
      <c r="D10210" t="inlineStr">
        <is>
          <t>Harpelle; Pendentif affamé; Bague Gloursonne; Anneauræus; Quatre-feuilles; Ceinture Séculaire; Coiffe Séculaire; Cape de Diondin; Bottes Innommables; Dofus Turquoise; Dofus Pourpre; Astucieux majeur; Remueur; Érudit majeur; Nomade; Brûlih</t>
        </is>
      </c>
    </row>
    <row r="10211">
      <c r="A10211" t="inlineStr">
        <is>
          <t>Feu</t>
        </is>
      </c>
      <c r="B10211">
        <f>HYPERLINK("https://www.dofusbook.net/fr/equipement/1532078-feu/objets", "link")</f>
        <v/>
      </c>
      <c r="C10211" t="n">
        <v>0</v>
      </c>
      <c r="D10211" t="inlineStr">
        <is>
          <t>Harpelle; Pendentif affamé; Kralano; Anneau Tique; Quatre-feuilles; Ceinture Séculaire; Coiffe Séculaire; Cape de Diondin; Bottes Innommables; Dofus Turquoise; Dofus Pourpre; Érudit majeur; Nomade; Astucieux majeur; Remueur; Brûlih</t>
        </is>
      </c>
    </row>
    <row r="10212">
      <c r="A10212" t="inlineStr">
        <is>
          <t>Feu</t>
        </is>
      </c>
      <c r="B10212">
        <f>HYPERLINK("https://www.dofusbook.net/fr/equipement/1532067-feu/objets", "link")</f>
        <v/>
      </c>
      <c r="C10212" t="n">
        <v>0</v>
      </c>
      <c r="D10212" t="inlineStr">
        <is>
          <t>Arc Hétype; Pendentif affamé; Anneauræus; Anneauræus; Quatre-feuilles; Ceinture Séculaire; Coiffe Séculaire; Cape de Diondin; Bottes Innommables; Dofus Turquoise; Astucieux majeur; Remueur; Érudit majeur; Nomade; Guérisseur majeur; Brûlih</t>
        </is>
      </c>
    </row>
    <row r="10213">
      <c r="A10213" t="inlineStr">
        <is>
          <t>Feu</t>
        </is>
      </c>
      <c r="B10213">
        <f>HYPERLINK("https://www.dofusbook.net/fr/equipement/1532041-feu/objets", "link")</f>
        <v/>
      </c>
      <c r="C10213" t="n">
        <v>0</v>
      </c>
      <c r="D10213" t="inlineStr">
        <is>
          <t>Arc corrompu; Pendentif affamé; Anneau Tamie; Anneau Tamie; Bouclier du Stalak; Ceinture Séculaire; Coiffe Séculaire; Cape de Diondin; Bottes Innommables; Dofus Pourpre; Érudit majeur; Vigoureux majeur; Nomade; Astucieux majeur; Remueur; Brûlih</t>
        </is>
      </c>
    </row>
    <row r="10214">
      <c r="A10214" t="inlineStr">
        <is>
          <t>Feu</t>
        </is>
      </c>
      <c r="B10214">
        <f>HYPERLINK("https://www.dofusbook.net/fr/equipement/1524867-feu/objets", "link")</f>
        <v/>
      </c>
      <c r="C10214" t="n">
        <v>0</v>
      </c>
      <c r="D10214" t="inlineStr">
        <is>
          <t>Harpelle; Pendentif affamé; Bague Gloursonne; Anneauræus; Quatre-feuilles; Ceinture Séculaire; Coiffe Séculaire; Cape de Diondin; Bottes Innommables; Dofus Turquoise; Dofus Pourpre; Astucieux majeur; Remueur; Érudit majeur; Nomade; Brûlih</t>
        </is>
      </c>
    </row>
    <row r="10215">
      <c r="A10215" t="inlineStr">
        <is>
          <t>Stri</t>
        </is>
      </c>
      <c r="B10215">
        <f>HYPERLINK("https://www.dofusbook.net/fr/equipement/1517925-stri/objets", "link")</f>
        <v/>
      </c>
      <c r="C10215" t="n">
        <v>0</v>
      </c>
      <c r="D10215" t="inlineStr">
        <is>
          <t>Epée Gloursonne; Amulette du Strigide; Bague Gloursonne; Alliance Gloursonne; Ceinture du Strigide; Le Dorado; Voilamibe; Bottes du Strigide</t>
        </is>
      </c>
    </row>
    <row r="10216">
      <c r="A10216" t="inlineStr">
        <is>
          <t>Tetre feu</t>
        </is>
      </c>
      <c r="B10216">
        <f>HYPERLINK("https://www.dofusbook.net/fr/equipement/1516360-tetre-feu/objets", "link")</f>
        <v/>
      </c>
      <c r="C10216" t="n">
        <v>0</v>
      </c>
      <c r="D10216" t="inlineStr">
        <is>
          <t>Dagues Érhy; Amulette du Strigide; Chevalière du Roi Joueur; Baguistik; Bouclier du Captain Amakna; Ceinture du Strigide; Couronne du Roi Joueur; Voile d'encre; Bottes du Roi Joueur; Dofus Turquoise; Dofus des Glaces; Dofus Ocre; Dofus Pourpre; Dolmanax; Vagabond majeur; Muldo Doré et Emeraude</t>
        </is>
      </c>
    </row>
    <row r="10217">
      <c r="A10217" t="inlineStr">
        <is>
          <t>Multi 42</t>
        </is>
      </c>
      <c r="B10217">
        <f>HYPERLINK("https://www.dofusbook.net/fr/equipement/1507985-multi-42/objets", "link")</f>
        <v/>
      </c>
      <c r="C10217" t="n">
        <v>0</v>
      </c>
      <c r="D10217" t="inlineStr">
        <is>
          <t>Hache du Chalœil; Amulette du Strigide; Bracelet du Piloztère; Goulano; Goulclier; Ceinture du Strigide; Maskrobe; Voile d'encre; Goulbottes; Dofus Turquoise; Dofus des Glaces; Dofus Ocre; Dofus Nébuleux; Dofus Pourpre; Dolmanax; Kramkram</t>
        </is>
      </c>
    </row>
    <row r="10218">
      <c r="A10218" t="inlineStr">
        <is>
          <t>Ressd</t>
        </is>
      </c>
      <c r="B10218">
        <f>HYPERLINK("https://www.dofusbook.net/fr/equipement/908250-ressd/objets", "link")</f>
        <v/>
      </c>
      <c r="C10218" t="n">
        <v>0</v>
      </c>
      <c r="D10218" t="inlineStr">
        <is>
          <t>Epée Gloursonne; Amulette du Strigide; Bague Gloursonne; Alliance Gloursonne; Bouclier d'Anerice; Ceinture du Strigide; Masque d'Anerice; Cape d'Anerice; Bottes du Strigide; Dofus Émeraude; Dofus Pourpre; Dofus Vulbis; Dolmanax; Dofus Turquoise; Dofus des Glaces; Kramkram</t>
        </is>
      </c>
    </row>
    <row r="10219">
      <c r="A10219" t="inlineStr">
        <is>
          <t>Srambad</t>
        </is>
      </c>
      <c r="B10219">
        <f>HYPERLINK("https://www.dofusbook.net/fr/equipement/1471820-srambad/objets", "link")</f>
        <v/>
      </c>
      <c r="C10219" t="n">
        <v>0</v>
      </c>
      <c r="D10219" t="inlineStr">
        <is>
          <t>Dagues de Srambad; Amulette de Pol Ouatnos; Bracelet du Piloztère; Pikano; Bouclier Ventaille; Ceinture de la Reine des Voleurs; Coiffe de la Reine des Voleurs; Cape des Justiciers; Baleinabottes; Dofus Pourpre; Dofus Émeraude; Nomade; Miraculé majeur; Remueur; Sanguinaire majeur; Kramkram</t>
        </is>
      </c>
    </row>
    <row r="10220">
      <c r="A10220" t="inlineStr">
        <is>
          <t>Srambad</t>
        </is>
      </c>
      <c r="B10220">
        <f>HYPERLINK("https://www.dofusbook.net/fr/equipement/1471808-srambad/objets", "link")</f>
        <v/>
      </c>
      <c r="C10220" t="n">
        <v>0</v>
      </c>
      <c r="D10220" t="inlineStr">
        <is>
          <t>Dagues de Srambad; Amulette de Pol Ouatnos; Pikano; Bracelet du Piloztère; Bouclier Ventaille; Ceinture de la Reine des Voleurs; Coiffe de la Reine des Voleurs; Cape des Justiciers; Baleinabottes; Dofus Pourpre; Remueur; Sanguinaire majeur; Nomade; Robuste majeur; Vigoureux majeur; Kramkram</t>
        </is>
      </c>
    </row>
    <row r="10221">
      <c r="A10221" t="inlineStr">
        <is>
          <t>Do Crit</t>
        </is>
      </c>
      <c r="B10221">
        <f>HYPERLINK("https://www.dofusbook.net/fr/equipement/1469541-do-crit-/objets", "link")</f>
        <v/>
      </c>
      <c r="C10221" t="n">
        <v>0</v>
      </c>
      <c r="D10221" t="inlineStr">
        <is>
          <t>Sabres d'Atcham; Amulette du Strigide; Anneau de Padgref; Anneau Vicieux; Bouclier du Captain Amakna; Ceinture du Strigide; Coiffe de Padgref; Cape d'Atcham; Getas de Padgref; Dofus Turquoise; Dofus des Glaces; Dolmanax; Dofus Ocre; Dofus Pourpre; Dofus Nébuleux; Muldo Prune et Emeraude</t>
        </is>
      </c>
    </row>
    <row r="10222">
      <c r="A10222" t="inlineStr">
        <is>
          <t>Srambad</t>
        </is>
      </c>
      <c r="B10222">
        <f>HYPERLINK("https://www.dofusbook.net/fr/equipement/1469258-srambad/objets", "link")</f>
        <v/>
      </c>
      <c r="C10222" t="n">
        <v>0</v>
      </c>
      <c r="D10222" t="inlineStr">
        <is>
          <t>Dagues de Srambad; Amulette de Pol Ouatnos; Pikano; Bracelet du Piloztère; Bouclier Ventaille; Ceinture de la Reine des Voleurs; Coiffe de la Reine des Voleurs; Cape des Justiciers; Baleinabottes; Dofus Pourpre; Remueur; Sanguinaire majeur; Nomade; Robuste majeur; Vigoureux majeur; Kramkram</t>
        </is>
      </c>
    </row>
    <row r="10223">
      <c r="A10223" t="inlineStr">
        <is>
          <t>Stuff 1</t>
        </is>
      </c>
      <c r="B10223">
        <f>HYPERLINK("https://www.dofusbook.net/fr/equipement/100559-stuff-1/objets", "link")</f>
        <v/>
      </c>
      <c r="C10223" t="n">
        <v>0</v>
      </c>
      <c r="D10223" t="inlineStr">
        <is>
          <t>Arc du Chalœil; Collier de Tourthon; Anneau Chevelu; Anneau de Brouce; Bouclier du Captain Amakna; Ceinture de Brouce; Masque de Koutoulou; Cape au Logis; Baleinabottes; Dofus Turquoise; Nomade; Furibond majeur; Forcené majeur; Remueur; Enragé majeur; Kompost</t>
        </is>
      </c>
    </row>
    <row r="10224">
      <c r="A10224" t="inlineStr">
        <is>
          <t>Terre</t>
        </is>
      </c>
      <c r="B10224">
        <f>HYPERLINK("https://www.dofusbook.net/fr/equipement/1455692-terre/objets", "link")</f>
        <v/>
      </c>
      <c r="C10224" t="n">
        <v>0</v>
      </c>
      <c r="D10224" t="inlineStr">
        <is>
          <t>Arc du Chalœil; Collier de Tourthon; Anneau Chevelu; Anneau de Brouce; Quatre-feuilles; Ceinture de Brouce; Masque de Koutoulou; Cape au Logis; Baleinabottes; Dofus Turquoise; Nomade; Furibond majeur; Forcené majeur; Remueur; Enragé majeur; Kompost</t>
        </is>
      </c>
    </row>
    <row r="10225">
      <c r="A10225" t="inlineStr">
        <is>
          <t>Flr</t>
        </is>
      </c>
      <c r="B10225">
        <f>HYPERLINK("https://www.dofusbook.net/fr/equipement/1455693-flr/objets", "link")</f>
        <v/>
      </c>
      <c r="C10225" t="n">
        <v>0</v>
      </c>
      <c r="D10225" t="inlineStr">
        <is>
          <t>Arc du Chalœil; Anneau Chevelu; Anneau de Brouce; Quatre-feuilles; Ceinture de Brouce; Masque de Koutoulou; Cape au Logis; Baleinabottes; Dofus Turquoise; Nomade; Furibond majeur; Forcené majeur; Remueur; Enragé majeur; Kompost</t>
        </is>
      </c>
    </row>
    <row r="10226">
      <c r="A10226" t="inlineStr">
        <is>
          <t>Geu eau</t>
        </is>
      </c>
      <c r="B10226">
        <f>HYPERLINK("https://www.dofusbook.net/fr/equipement/1431100-geu-eau/objets", "link")</f>
        <v/>
      </c>
      <c r="C10226" t="n">
        <v>0</v>
      </c>
      <c r="D10226" t="inlineStr">
        <is>
          <t>Arc Nécrotique; Collier de la Dame du Hasard; Anneau de Pol Ouatnos; Bracelet du Piloztère; Bouclier cubiste; Ceintacé; Chapeau Lisson; Cape de la Dame du Hasard; Pataugastrique; Dofus Turquoise; Dofus Pourpre; Vigoureux majeur; Remueur; Carapace Feu majeur; Nomade; Kramkram</t>
        </is>
      </c>
    </row>
    <row r="10227">
      <c r="A10227" t="inlineStr">
        <is>
          <t>Terre arc</t>
        </is>
      </c>
      <c r="B10227">
        <f>HYPERLINK("https://www.dofusbook.net/fr/equipement/1416919-terre-arc-/objets", "link")</f>
        <v/>
      </c>
      <c r="C10227" t="n">
        <v>0</v>
      </c>
      <c r="D10227" t="inlineStr">
        <is>
          <t>Arc du Chalœil; Amulette Héroclite; Anneau Chevelu; Bracelet du Piloztère; Quatre-feuilles; Ceinture de Brouce; Masque de Koutoulou; Cape au Logis; Bottes de Brouce; Dofus Turquoise; Dofus Pourpre; Nomade; Enragé majeur; Forcené majeur; Remueur; Kompost</t>
        </is>
      </c>
    </row>
    <row r="10228">
      <c r="A10228" t="inlineStr">
        <is>
          <t>Cha</t>
        </is>
      </c>
      <c r="B10228">
        <f>HYPERLINK("https://www.dofusbook.net/fr/equipement/1416882-cha/objets", "link")</f>
        <v/>
      </c>
      <c r="C10228" t="n">
        <v>1</v>
      </c>
      <c r="D10228" t="inlineStr">
        <is>
          <t>Arc Ontanporin; Amulette de Shokkoth; Bracelet du Piloztère; Bracelet des Fonds marins; Quatre-feuilles; Poulpagne; Kidibonnet; Cape Glaciale; Sandales des Fonds marins; Dofus Turquoise; Taquin majeur; Remueur; Chanceux majeur; Nomade; Dévastateur Eau majeur; Dehluge</t>
        </is>
      </c>
    </row>
    <row r="10229">
      <c r="A10229" t="inlineStr">
        <is>
          <t>Terre arc</t>
        </is>
      </c>
      <c r="B10229">
        <f>HYPERLINK("https://www.dofusbook.net/fr/equipement/1416758-terre-arc-/objets", "link")</f>
        <v/>
      </c>
      <c r="C10229" t="n">
        <v>2</v>
      </c>
      <c r="D10229" t="inlineStr">
        <is>
          <t>Arc du Chalœil; Amulette Héroclite; Anneau Chevelu; Anneau de Brouce; Bouclier Taverne; Ceinture de Brouce; Masque de Koutoulou; Cape au Logis; Baleinabottes; Dofus Turquoise; Nomade; Enragé majeur; Forcené majeur; Remueur; Bousculeur majeur; Kompost</t>
        </is>
      </c>
    </row>
    <row r="10230">
      <c r="A10230" t="inlineStr">
        <is>
          <t>Multi</t>
        </is>
      </c>
      <c r="B10230">
        <f>HYPERLINK("https://www.dofusbook.net/fr/equipement/1416317-multi/objets", "link")</f>
        <v/>
      </c>
      <c r="C10230" t="n">
        <v>3</v>
      </c>
      <c r="D10230" t="inlineStr">
        <is>
          <t>Marteau des égarés; Amulette du Strigide; Bracelet du Piloztère; Alliance Gloursonne; Quatre-feuilles; Ceinture du Strigide; Kidibonnet; Voile d'encre; Bottes du Cycloïde; Dolmanax; Dofus Pourpre; Dofus Turquoise; Nomade; Remueur; Vigoureux majeur; Muldo Indigo et Pourpre</t>
        </is>
      </c>
    </row>
    <row r="10231">
      <c r="A10231" t="inlineStr">
        <is>
          <t>Full feu</t>
        </is>
      </c>
      <c r="B10231">
        <f>HYPERLINK("https://www.dofusbook.net/fr/equipement/1409421-full-feu/objets", "link")</f>
        <v/>
      </c>
      <c r="C10231" t="n">
        <v>0</v>
      </c>
      <c r="D10231" t="inlineStr">
        <is>
          <t>Harpelle; Pendentif affamé; Anneauræus; Anneauræus; Bouclier du Captain Amakna; Ceinture Séculaire; Coiffe Séculaire; Cape de Diondin; Bottes Innommables; Dofus Turquoise; Dofus Nébuleux; Érudit majeur; Nomade; Astucieux majeur; Remueur; Brûlih</t>
        </is>
      </c>
    </row>
    <row r="10232">
      <c r="A10232" t="inlineStr">
        <is>
          <t>Chance</t>
        </is>
      </c>
      <c r="B10232">
        <f>HYPERLINK("https://www.dofusbook.net/fr/equipement/1409051-chance/objets", "link")</f>
        <v/>
      </c>
      <c r="C10232" t="n">
        <v>0</v>
      </c>
      <c r="D10232" t="inlineStr">
        <is>
          <t>Dagoulinantes; Amulette du Sinistrofu; Bracelet des Fonds marins; Alliance Gloursonne; Quatre-feuilles; Poulpagne; Kidibonnet; Cape du Sinistrofu; Pantoufles du Piloztère; Dofus Nébuleux; Dofus Pourpre; Dofus Turquoise; Taquin majeur; Chanceux majeur; Nomade; Dehluge</t>
        </is>
      </c>
    </row>
    <row r="10233">
      <c r="A10233" t="inlineStr">
        <is>
          <t>Air2</t>
        </is>
      </c>
      <c r="B10233">
        <f>HYPERLINK("https://www.dofusbook.net/fr/equipement/1402691-air2/objets", "link")</f>
        <v/>
      </c>
      <c r="C10233" t="n">
        <v>0</v>
      </c>
      <c r="D10233" t="inlineStr">
        <is>
          <t>Pelle de la Cour Sombre; Amibou; Anneau de Padgref; Anneau d'Allister; Quatre-feuilles; Menoture; Couronne d'Allister; Capibou; Baleinabottes; Dofus Turquoise; Dokoko; Cascadeur majeur; Remueur; Equilibriste majeur; Nomade; Muldo Ebène et Orchidée</t>
        </is>
      </c>
    </row>
    <row r="10234">
      <c r="A10234" t="inlineStr">
        <is>
          <t>Roxx</t>
        </is>
      </c>
      <c r="B10234">
        <f>HYPERLINK("https://www.dofusbook.net/fr/equipement/1176684-roxx/objets", "link")</f>
        <v/>
      </c>
      <c r="C10234" t="n">
        <v>0</v>
      </c>
      <c r="D10234" t="inlineStr">
        <is>
          <t>Sabres d'Atcham; Amulette du Strigide; Anneau Tique; Bracelet du Piloztère; Bouclier du Sadida; Ceinture du Strigide; Dorabysses; Cape d'Atcham; Sandales  d'Atcham; Dofus Turquoise; Dofus Pourpre; Dofus Émeraude; Vigoureux majeur; Remueur; Nomade; Kramkram</t>
        </is>
      </c>
    </row>
    <row r="10235">
      <c r="A10235" t="inlineStr">
        <is>
          <t>Multi</t>
        </is>
      </c>
      <c r="B10235">
        <f>HYPERLINK("https://www.dofusbook.net/fr/equipement/1176646-multi/objets", "link")</f>
        <v/>
      </c>
      <c r="C10235" t="n">
        <v>0</v>
      </c>
      <c r="D10235" t="inlineStr">
        <is>
          <t>Sabres d'Atcham; Amulette de Pol Ouatnos; Anneau Tique; Bracelet du Piloztère; Bouclier du Sadida; Ceintacé; Chapeau des Malveilleurs; Cape d'Atcham; Pataugastrique; Dofus Émeraude; Dofus Turquoise; Dofus Pourpre; Nomade; Vigoureux majeur; Remueur; Dragodinde en armure</t>
        </is>
      </c>
    </row>
    <row r="10236">
      <c r="A10236" t="inlineStr">
        <is>
          <t>Eau retrait</t>
        </is>
      </c>
      <c r="B10236">
        <f>HYPERLINK("https://www.dofusbook.net/fr/equipement/1167347-eau-retrait/objets", "link")</f>
        <v/>
      </c>
      <c r="C10236" t="n">
        <v>1</v>
      </c>
      <c r="D10236" t="inlineStr">
        <is>
          <t>Dagoulinantes; Amulette du Sinistrofu; Alliance Gloursonne; Bracelet des Fonds marins; Cadran de Terre; Poulpagne; Casqnoar; Cape du Sinistrofu; Pataugastrique; Dofus Turquoise; Dofus Émeraude; Chanceux majeur; Remueur; Étourdisseur majeur; Nomade; Muldo Ebène et Indigo</t>
        </is>
      </c>
    </row>
    <row r="10237">
      <c r="A10237" t="inlineStr">
        <is>
          <t>Air</t>
        </is>
      </c>
      <c r="B10237">
        <f>HYPERLINK("https://www.dofusbook.net/fr/equipement/1163426-air/objets", "link")</f>
        <v/>
      </c>
      <c r="C10237" t="n">
        <v>0</v>
      </c>
      <c r="D10237" t="inlineStr">
        <is>
          <t>Pelle de la Cour Sombre; Amibou; Anneau d'Allister; Gant du Valet Veinard; Quatre-feuilles; Menoture; Chapeau des Malveilleurs; Capibou; Baleinabottes; Muldo Ebène</t>
        </is>
      </c>
    </row>
    <row r="10238">
      <c r="A10238" t="inlineStr">
        <is>
          <t>Terre</t>
        </is>
      </c>
      <c r="B10238">
        <f>HYPERLINK("https://www.dofusbook.net/fr/equipement/1163310-terre/objets", "link")</f>
        <v/>
      </c>
      <c r="C10238" t="n">
        <v>0</v>
      </c>
      <c r="D10238" t="inlineStr">
        <is>
          <t>Arc du Chalœil; Amulette Héroclite; Anneau de Brouce; Pikano; Quatre-feuilles; Ceinture de Brouce; Masque de Koutoulou; Cape au Logis; Baleinabottes; Dokoko; Dofus Émeraude; Dofus Turquoise; Enragé majeur; Remueur; Nomade; Dragodinde Prune et Pourpre</t>
        </is>
      </c>
    </row>
    <row r="10239">
      <c r="A10239" t="inlineStr">
        <is>
          <t>Bielem</t>
        </is>
      </c>
      <c r="B10239">
        <f>HYPERLINK("https://www.dofusbook.net/fr/equipement/1159249-bielem/objets", "link")</f>
        <v/>
      </c>
      <c r="C10239" t="n">
        <v>1</v>
      </c>
      <c r="D10239" t="inlineStr">
        <is>
          <t>Dagues Érhy; Amulette du Strigide; Baguistik; Bague Gloursonne; Bouclier du Captain Amakna; Ceinture du Strigide; Chapeau de Gein; Voile d'encre; Bottes du Roi Joueur; Dofus Turquoise; Dofus Pourpre; Dofus Ocre; Dofus des Glaces; Nomade; Remueur; Muldo Prune et Emeraude</t>
        </is>
      </c>
    </row>
    <row r="10240">
      <c r="A10240" t="inlineStr">
        <is>
          <t>Eay</t>
        </is>
      </c>
      <c r="B10240">
        <f>HYPERLINK("https://www.dofusbook.net/fr/equipement/1042063-eay/objets", "link")</f>
        <v/>
      </c>
      <c r="C10240" t="n">
        <v>0</v>
      </c>
      <c r="D10240" t="inlineStr">
        <is>
          <t>Sceptre du Roi Joueur; Amulette de Shokkoth; Bracelet des Fonds marins; Alliance Gloursonne; Quatre-feuilles; Poulpagne; Masque des Fonds marins; Cape du Sinistrofu; Sandales Circulaires du Kimbo; Dokoko; Dofus Pourpre; Dofus Turquoise; Chanceux majeur; Remueur; Nomade; Dehluge</t>
        </is>
      </c>
    </row>
    <row r="10241">
      <c r="A10241" t="inlineStr">
        <is>
          <t>Arc</t>
        </is>
      </c>
      <c r="B10241">
        <f>HYPERLINK("https://www.dofusbook.net/fr/equipement/935935-arc/objets", "link")</f>
        <v/>
      </c>
      <c r="C10241" t="n">
        <v>0</v>
      </c>
      <c r="D10241" t="inlineStr">
        <is>
          <t>Arc de Koutoulou; Amulette du Strigide; Alliance Gloursonne; Bracelet du Piloztère; Quatre-feuilles; Ceinture du Strigide; Némès de Tal Kasha; Chevelure de Tal Kasha; Sandales de Tal Kasha; Dofus Pourpre; Dofus Ocre; Dofus Émeraude; Dofus des Glaces; Dolmanax; Dofus Turquoise; Muldo Prune et Emeraude</t>
        </is>
      </c>
    </row>
    <row r="10242">
      <c r="A10242" t="inlineStr">
        <is>
          <t>Multi</t>
        </is>
      </c>
      <c r="B10242">
        <f>HYPERLINK("https://www.dofusbook.net/fr/equipement/890284-multi/objets", "link")</f>
        <v/>
      </c>
      <c r="C10242" t="n">
        <v>0</v>
      </c>
      <c r="D10242" t="inlineStr">
        <is>
          <t>Sabres d'Atcham; Amulette du Strigide; Anneau de Pol Ouatnos; Bracelet du Piloztère; Bouclier du Captain Amakna; Ceinture du Strigide; Chapeau des Malveilleurs; Cape d'Atcham; Sandales  d'Atcham; Dofus Turquoise; Dofus des Glaces; Dofus Pourpre; Dofus Ocre; Dofus Émeraude; Dolmanax; Kramkram</t>
        </is>
      </c>
    </row>
    <row r="10243">
      <c r="A10243" t="inlineStr">
        <is>
          <t>Glours</t>
        </is>
      </c>
      <c r="B10243">
        <f>HYPERLINK("https://www.dofusbook.net/fr/equipement/890257-glours/objets", "link")</f>
        <v/>
      </c>
      <c r="C10243" t="n">
        <v>0</v>
      </c>
      <c r="D10243" t="inlineStr">
        <is>
          <t>Epée Gloursonne; Amulette du Glourséleste; Bague Gloursonne; Alliance Gloursonne; Bouclier du Stalak; Ceinture du Glourséleste; Masque du Glourséleste; Cape du Glourséleste; Bottes du Glourséleste; Dofus Pourpre; Dolmanax; Dofus Turquoise; Dofus des Glaces; Dofus Émeraude; Dofus Ocre; Kramkram</t>
        </is>
      </c>
    </row>
    <row r="10244">
      <c r="A10244" t="inlineStr">
        <is>
          <t>Crit</t>
        </is>
      </c>
      <c r="B10244">
        <f>HYPERLINK("https://www.dofusbook.net/fr/equipement/890115-crit/objets", "link")</f>
        <v/>
      </c>
      <c r="C10244" t="n">
        <v>0</v>
      </c>
      <c r="D10244" t="inlineStr">
        <is>
          <t>Dagues Érhy; Amulette du Strigide; Anneau du Katcheur; Bracelet du Piloztère; Bouclier du Captain Amakna; Ceinture du Strigide; Masque du Katcheur; Voilamibe; Bottes du Katcheur; Dofus Pourpre; Dofus des Glaces; Dokoko; Dofus Turquoise; Dolmanax; Dofus Ocre; Muldo Doré et Emeraude</t>
        </is>
      </c>
    </row>
    <row r="10245">
      <c r="A10245" t="inlineStr">
        <is>
          <t>Boyy</t>
        </is>
      </c>
      <c r="B10245">
        <f>HYPERLINK("https://www.dofusbook.net/fr/equipement/786053-boyy/objets", "link")</f>
        <v/>
      </c>
      <c r="C10245" t="n">
        <v>0</v>
      </c>
      <c r="D10245" t="inlineStr">
        <is>
          <t>Sabres d'Atcham; Amulette du Strigide; Alliance Gloursonne; Anneau Tique; Bouclier du Captain Amakna; Ceinture du Strigide; Dorabysses; Cape d'Atcham; Sandales  d'Atcham; Dofus Pourpre; Dofus Ocre; Dofus Turquoise; Dofus des Glaces; Dofus Émeraude; Dofus Vulbis; Kramkram</t>
        </is>
      </c>
    </row>
    <row r="10246">
      <c r="A10246" t="inlineStr">
        <is>
          <t>Uij</t>
        </is>
      </c>
      <c r="B10246">
        <f>HYPERLINK("https://www.dofusbook.net/fr/equipement/327000-uij/objets", "link")</f>
        <v/>
      </c>
      <c r="C10246" t="n">
        <v>0</v>
      </c>
      <c r="D10246" t="inlineStr">
        <is>
          <t>Marteau R'ture; Collier de Tourthon; Anneau Chevelu; Anneau Crustique; Sangle de Sylargh; Capuche de Sylargh; Cape au Logis; Baleinabottes; Dofus Turquoise; Vigoureux majeur; Remueur; Forcené majeur; Enragé majeur; Nomade; Kompost</t>
        </is>
      </c>
    </row>
    <row r="10247">
      <c r="A10247" t="inlineStr">
        <is>
          <t>Pvp</t>
        </is>
      </c>
      <c r="B10247">
        <f>HYPERLINK("https://www.dofusbook.net/fr/equipement/132330-pvp-/objets", "link")</f>
        <v/>
      </c>
      <c r="C10247" t="n">
        <v>0</v>
      </c>
      <c r="D10247" t="inlineStr">
        <is>
          <t>Dagues de Srambad; Amulette de Pol Ouatnos; Alliance Gloursonne; Bracelet du Piloztère; Bouclier du Captain Amakna cassé; Ceinture de la Reine des Voleurs; Coiffe de la Reine des Voleurs; Cape Luminescente; Baleinabottes; Dofus Pourpre; Enragé majeur; Nomade; Sanguinaire majeur; Remueur; Vigoureux majeur; Dragodinde en armure</t>
        </is>
      </c>
    </row>
    <row r="10248">
      <c r="A10248" t="inlineStr">
        <is>
          <t>Stuff 2</t>
        </is>
      </c>
      <c r="B10248">
        <f>HYPERLINK("https://www.dofusbook.net/fr/equipement/100576-stuff-2/objets", "link")</f>
        <v/>
      </c>
      <c r="C10248" t="n">
        <v>0</v>
      </c>
      <c r="D10248" t="inlineStr">
        <is>
          <t>Pelle de la Cour Sombre; Collier du Valet Veinard; Anneau de Pol Ouatnos; Gant du Valet Veinard; Menoture; Capuche de Moum-Ra; Cape Indescriptible; Baleinabottes; Dofus Turquoise; Dévastateur Air majeur; Nomade; Equilibriste majeur; Remueur; Cascadeur majeur; Siroko</t>
        </is>
      </c>
    </row>
    <row r="10249">
      <c r="A10249" t="inlineStr">
        <is>
          <t>Stuff 1</t>
        </is>
      </c>
      <c r="B10249">
        <f>HYPERLINK("https://www.dofusbook.net/fr/equipement/100575-stuff-1/objets", "link")</f>
        <v/>
      </c>
      <c r="C10249" t="n">
        <v>0</v>
      </c>
      <c r="D10249" t="inlineStr">
        <is>
          <t>Sabres d'Atcham; Amulette du Strigide; Alliance de Missiz Frizz; Anneau de Padgref; Ceinture du Strigide; Coiffe de Padgref; Cape d'Atcham; Getas de Padgref; Dofus des Glaces; Dolmanax; Dofus Turquoise; Dofus Ocre; Dofus Pourpre; Dofus Nébuleux; Muldo Prune et Emeraude</t>
        </is>
      </c>
    </row>
    <row r="10250">
      <c r="A10250" t="inlineStr">
        <is>
          <t>Stuff 3</t>
        </is>
      </c>
      <c r="B10250">
        <f>HYPERLINK("https://www.dofusbook.net/fr/equipement/100577-stuff-3/objets", "link")</f>
        <v/>
      </c>
      <c r="C10250" t="n">
        <v>0</v>
      </c>
      <c r="D10250" t="inlineStr">
        <is>
          <t>Plumeau Bil; Pendentif affamé; Anneauræus; Anneauræus; Ceinture Séculaire; Coiffe Séculaire; Cape de Diondin; Bottes Innommables; Dofus Turquoise; Dofus Pourpre; Nomade; Astucieux majeur; Remueur; Érudit majeur; Brûlih</t>
        </is>
      </c>
    </row>
    <row r="10251">
      <c r="A10251" t="inlineStr">
        <is>
          <t>Stuff 3</t>
        </is>
      </c>
      <c r="B10251">
        <f>HYPERLINK("https://www.dofusbook.net/fr/equipement/100573-stuff-3/objets", "link")</f>
        <v/>
      </c>
      <c r="C10251" t="n">
        <v>0</v>
      </c>
      <c r="D10251" t="inlineStr">
        <is>
          <t>Marteau R'ture; Collier de Tourthon; Anneau Crustique; Anneau de Brouce; Ceinture de Brouce; Masque de Koutoulou; Cape au Logis; Bottes de la Cour Sombre; Dofus Pourpre; Dofus Turquoise; Enragé majeur; Remueur; Forcené majeur; Nomade; Kompost</t>
        </is>
      </c>
    </row>
    <row r="10252">
      <c r="A10252" t="inlineStr">
        <is>
          <t>Stuff 1</t>
        </is>
      </c>
      <c r="B10252">
        <f>HYPERLINK("https://www.dofusbook.net/fr/equipement/100565-stuff-1/objets", "link")</f>
        <v/>
      </c>
      <c r="C10252" t="n">
        <v>0</v>
      </c>
      <c r="D10252" t="inlineStr">
        <is>
          <t>Bâton Brageut; Amulette d'Otomaï; Anneau Aimgéroks; Bague Gloursonne; Ceinture du K.O.; Chapeau Lochon; Voile d'encre; Bottes d'Otomaï; Savant majeur; Érudit majeur; Dévastateur Feu majeur; Nomade; Astucieux majeur; Remueur; Brûlih</t>
        </is>
      </c>
    </row>
    <row r="10253">
      <c r="A10253" t="inlineStr">
        <is>
          <t>Stuff 2</t>
        </is>
      </c>
      <c r="B10253">
        <f>HYPERLINK("https://www.dofusbook.net/fr/equipement/100560-stuff-2/objets", "link")</f>
        <v/>
      </c>
      <c r="C10253" t="n">
        <v>0</v>
      </c>
      <c r="D10253" t="inlineStr">
        <is>
          <t>Baguette Range; Amulette du Strigide; Anneau de Padgref; Anneau Rifique; Ceinture du Strigide; Coiffe de Padgref; Cape Lati; Getas de Padgref; Dofus Turquoise; Dolmanax; Dofus Pourpre; Dofus des Glaces; Dofus Ocre; Puissant majeur</t>
        </is>
      </c>
    </row>
    <row r="10254">
      <c r="A10254" t="inlineStr">
        <is>
          <t>Stuff 3</t>
        </is>
      </c>
      <c r="B10254">
        <f>HYPERLINK("https://www.dofusbook.net/fr/equipement/100567-stuff-3/objets", "link")</f>
        <v/>
      </c>
      <c r="C10254" t="n">
        <v>0</v>
      </c>
      <c r="D10254" t="inlineStr">
        <is>
          <t>Dagoulinantes; Amulette du Sinistrofu; Alliance Gloursonne; Bracelet des Fonds marins; Sangle Ouare; Kidibonnet; Cape du Sinistrofu; Pataugastrique; Dofus Turquoise; Taquin majeur; Remueur; Chanceux majeur; Dévastateur Eau majeur; Nomade; Dehluge</t>
        </is>
      </c>
    </row>
    <row r="10255">
      <c r="A10255" t="inlineStr">
        <is>
          <t>Stuff 2</t>
        </is>
      </c>
      <c r="B10255">
        <f>HYPERLINK("https://www.dofusbook.net/fr/equipement/100572-stuff-2/objets", "link")</f>
        <v/>
      </c>
      <c r="C10255" t="n">
        <v>0</v>
      </c>
      <c r="D10255" t="inlineStr">
        <is>
          <t>Épée du Granduk; Amulette du Granduk; Alliance Gloursonne; Gant du Valet Veinard; Ceinture de Klime; Masque du Granduk; Cape de Klime; Baleinabottes; Dofus Turquoise; Dofus Pourpre; Dokoko; Acrobate majeur; Equilibriste majeur; Ravageur Air majeur; Siroko</t>
        </is>
      </c>
    </row>
    <row r="10256">
      <c r="A10256" t="inlineStr">
        <is>
          <t>Stuff 3</t>
        </is>
      </c>
      <c r="B10256">
        <f>HYPERLINK("https://www.dofusbook.net/fr/equipement/100564-stuff-3/objets", "link")</f>
        <v/>
      </c>
      <c r="C10256" t="n">
        <v>0</v>
      </c>
      <c r="D10256" t="inlineStr">
        <is>
          <t>Arc de Koutoulou; Amulette Voldelor; Bracelet du Piloztère; Alliance Gloursonne; Ceinture Voldelor; Masque du Barbétoal; Cape du Barbétoal; Bottes Voldelor; Dolmanax; Dofus Ocre; Dofus des Glaces; Dofus Pourpre; Dofus Vulbis; Dofus Turquoise</t>
        </is>
      </c>
    </row>
    <row r="10257">
      <c r="A10257" t="inlineStr">
        <is>
          <t>Stuff 2</t>
        </is>
      </c>
      <c r="B10257">
        <f>HYPERLINK("https://www.dofusbook.net/fr/equipement/100566-stuff-2/objets", "link")</f>
        <v/>
      </c>
      <c r="C10257" t="n">
        <v>0</v>
      </c>
      <c r="D10257" t="inlineStr">
        <is>
          <t>Dagoulinantes; Amulette de Shokkoth; Alliance Gloursonne; Bracelet des Fonds marins; Quatre-feuilles; Poulpagne; Kidibonnet; Cape de Mantaze; Sandales des Fonds marins; Dofus Turquoise; Remueur; Taquin majeur; Chanceux majeur; Dévastateur Eau majeur; Nomade; Dehluge</t>
        </is>
      </c>
    </row>
    <row r="10258">
      <c r="A10258" t="inlineStr">
        <is>
          <t>Stuff 3</t>
        </is>
      </c>
      <c r="B10258">
        <f>HYPERLINK("https://www.dofusbook.net/fr/equipement/100561-stuff-3/objets", "link")</f>
        <v/>
      </c>
      <c r="C10258" t="n">
        <v>0</v>
      </c>
      <c r="D10258" t="inlineStr">
        <is>
          <t>Epée Toche; Amulette de Gein; Alliance de Missiz Frizz; Bague Gloursonne; Ceintacé; Couronne du Roi Joueur; Voile d'encre; Bottes du Roi Joueur; Dofus Turquoise; Dofus Pourpre; Dofus des Glaces; Nomade; Vigoureux majeur; Remueur; Kramkram</t>
        </is>
      </c>
    </row>
    <row r="10259">
      <c r="A10259" t="inlineStr">
        <is>
          <t>Stuff 2</t>
        </is>
      </c>
      <c r="B10259">
        <f>HYPERLINK("https://www.dofusbook.net/fr/equipement/100563-stuff-2/objets", "link")</f>
        <v/>
      </c>
      <c r="C10259" t="n">
        <v>0</v>
      </c>
      <c r="D10259" t="inlineStr">
        <is>
          <t>Marteau R'ture; Collier de Tourthon; Anneau Crustique; Anneau Crustique; Ceinture de Brouce; Le Kim; Cape au Logis; Bottes de Brouce; Dofus des Glaces; Dofus Ocre; Dofus Turquoise; Remueur; Enragé majeur; Forcené majeur; Pioute vert</t>
        </is>
      </c>
    </row>
    <row r="10260">
      <c r="A10260" t="inlineStr">
        <is>
          <t>Enutrof M 200</t>
        </is>
      </c>
      <c r="B10260">
        <f>HYPERLINK("https://www.dofusbook.net/fr/equipement/5981857-enutrof-m-200/objets", "link")</f>
        <v/>
      </c>
      <c r="C10260" t="n">
        <v>0</v>
      </c>
      <c r="D10260" t="inlineStr">
        <is>
          <t>Rapière aux Glyphes; Amulette du Sinistrofu; Bracelet des Fonds marins; Bague Trithon; Bouclier du Stalak; Poulpagne; Capuche de l'Œil Attentif; Cape Solution; Bottes Trithon; Dofus Turquoise; Dofus Abyssal; Dofus Pourpre; Nomade; Dragodinde Prune et Indigo</t>
        </is>
      </c>
    </row>
    <row r="10261">
      <c r="A10261" t="inlineStr">
        <is>
          <t>Féca M 200</t>
        </is>
      </c>
      <c r="B10261">
        <f>HYPERLINK("https://www.dofusbook.net/fr/equipement/5981853-feca-m-200/objets", "link")</f>
        <v/>
      </c>
      <c r="C10261" t="n">
        <v>0</v>
      </c>
      <c r="D10261" t="inlineStr"/>
    </row>
    <row r="10262">
      <c r="A10262" t="inlineStr">
        <is>
          <t>terre rox</t>
        </is>
      </c>
      <c r="B10262">
        <f>HYPERLINK("https://www.dofusbook.net/fr/equipement/3232778-terre-rox/objets", "link")</f>
        <v/>
      </c>
      <c r="C10262" t="n">
        <v>39</v>
      </c>
      <c r="D10262" t="inlineStr">
        <is>
          <t>Arc du Chalœil; Amulette du Cœur Saignant; Anneau Volkorne; Chevalière du Roi Joueur; Quatre-feuilles; Ceinture Volkorne; Couronne du Roi Joueur; Cape du Cœur Saignant; Bottes du Cœur Saignant; Dofus Ocre; Dofus Ivoire; Dofus Pourpre; Dofus Ébène; Dofus Abyssal; Dofus Vulbis; Volkorne Saphir et Pourpre</t>
        </is>
      </c>
    </row>
    <row r="10263">
      <c r="A10263" t="inlineStr">
        <is>
          <t>Sadida M 200</t>
        </is>
      </c>
      <c r="B10263">
        <f>HYPERLINK("https://www.dofusbook.net/fr/equipement/3992244-sadida-m-200/objets", "link")</f>
        <v/>
      </c>
      <c r="C10263" t="n">
        <v>0</v>
      </c>
      <c r="D10263" t="inlineStr">
        <is>
          <t>Arc Honte; Amulette des Chocomanciens; Bouclier cubiste; Ceinture des Chocomanciens; Boucle d'oreille de Kongoku; Cape de Kongoku; Dofus Ébène; Dofus Ocre; Dofus Vulbis; Dofus Ivoire; Dofus Pourpre; Volkorne Turquoise et Orchidée</t>
        </is>
      </c>
    </row>
    <row r="10264">
      <c r="A10264" t="inlineStr">
        <is>
          <t>Crâ M 200</t>
        </is>
      </c>
      <c r="B10264">
        <f>HYPERLINK("https://www.dofusbook.net/fr/equipement/3530038-cra-m-200/objets", "link")</f>
        <v/>
      </c>
      <c r="C10264" t="n">
        <v>5</v>
      </c>
      <c r="D10264" t="inlineStr">
        <is>
          <t>Arc Honte; Amulette Martegel; Anneau Rifique; Alliance Gloursonne; Bouclier du Stalak; Ceinture de Vortex; Casque Cyclopéen; Cape Martegel; Sabots de Vortex; Dofus Vulbis; Dofus Ébène; Dofus Pourpre; Dofus Abyssal; Dofus Ocre; Dofus Ivoire; Fëanor</t>
        </is>
      </c>
    </row>
    <row r="10265">
      <c r="A10265" t="inlineStr">
        <is>
          <t>Ouginak F 200</t>
        </is>
      </c>
      <c r="B10265">
        <f>HYPERLINK("https://www.dofusbook.net/fr/equipement/5232039-ouginak-f-200/objets", "link")</f>
        <v/>
      </c>
      <c r="C10265" t="n">
        <v>0</v>
      </c>
      <c r="D10265" t="inlineStr">
        <is>
          <t>Karnak; Collier du Valet Veinard; Gant du Valet Veinard; Alliance Gloursonne; Bouclier d'Ilyzaelle; Menoture; Dorabysses; Palmes Trithons; Dofus Ocre; Dofus Abyssal; Dofus Pourpre; Dofus Ivoire; Dofus Émeraude; Dofus Ébène</t>
        </is>
      </c>
    </row>
    <row r="10266">
      <c r="A10266" t="inlineStr">
        <is>
          <t>Terre</t>
        </is>
      </c>
      <c r="B10266">
        <f>HYPERLINK("https://www.dofusbook.net/fr/equipement/2991121-terre/objets", "link")</f>
        <v/>
      </c>
      <c r="C10266" t="n">
        <v>1</v>
      </c>
      <c r="D10266" t="inlineStr">
        <is>
          <t>Arc du Chalœil; Amulette du Cœur Saignant; Anneau Chevelu; Anneau Volkorne; Quatre-feuilles; Ceinture Volkorne; Masque de Koutoulou; Cape au Logis; Bottes du Cœur Saignant; Dofus Turquoise; Dofus Pourpre; Dofus Ébène; Dofus Abyssal; Dofus Ocre; Dofus Ivoire; Dragodinde Amande et Pourpre</t>
        </is>
      </c>
    </row>
    <row r="10267">
      <c r="A10267" t="inlineStr">
        <is>
          <t>stuff2</t>
        </is>
      </c>
      <c r="B10267">
        <f>HYPERLINK("https://www.dofusbook.net/fr/equipement/1098265-stuff2/objets", "link")</f>
        <v/>
      </c>
      <c r="C10267" t="n">
        <v>3</v>
      </c>
      <c r="D10267" t="inlineStr">
        <is>
          <t>Arc corrompu; Amulette Volkorne; Anneauræus; Anneauræus; Bouclier du Stalak; Ceinture Volkorne; Heaume Oplate; Voile d'encre; Bottes Innommables; Dofus Ébène; Dofus Vulbis; Dofus Ocre; Dofus Abyssal; Dofus Pourpre; Dofus Ivoire; Dragodinde Ivoire et Orchidée</t>
        </is>
      </c>
    </row>
    <row r="10268">
      <c r="A10268" t="inlineStr">
        <is>
          <t>eau</t>
        </is>
      </c>
      <c r="B10268">
        <f>HYPERLINK("https://www.dofusbook.net/fr/equipement/2026729-eau/objets", "link")</f>
        <v/>
      </c>
      <c r="C10268" t="n">
        <v>4</v>
      </c>
      <c r="D10268" t="inlineStr">
        <is>
          <t>Rapière aux Glyphes; Amulette d'Ilyzaelle; Anneau Volkorne; Alliance Gloursonne; Bouclier d'Ilyzaelle; Sangle Ouare; Casque d'Ilyzaelle; Cape du Sinistrofu; Bottes du Sinistrofu; Dofus Émeraude; Dofus Ocre; Dofus Abyssal; Dofus Ivoire; Dofus Pourpre; Dofus Ébène; Dragodinde Indigo et Ivoire</t>
        </is>
      </c>
    </row>
    <row r="10269">
      <c r="A10269" t="inlineStr">
        <is>
          <t>feu arc rox</t>
        </is>
      </c>
      <c r="B10269">
        <f>HYPERLINK("https://www.dofusbook.net/fr/equipement/2121202-feu-arc-rox/objets", "link")</f>
        <v/>
      </c>
      <c r="C10269" t="n">
        <v>2</v>
      </c>
      <c r="D10269" t="inlineStr">
        <is>
          <t>Arc corrompu; Amulette Volkorne; Anneauræus; Anneauræus; Bouclier du Stalak; Ceinture Séculaire; Coiffe Séculaire; Cape de Diondin; Chaussures Ardentes; Dofus Vulbis; Dofus Ivoire; Dofus Ébène; Dofus Ocre; Érudit majeur; Temporiseur majeur; Léopardo</t>
        </is>
      </c>
    </row>
    <row r="10270">
      <c r="A10270" t="inlineStr">
        <is>
          <t>feu res cri</t>
        </is>
      </c>
      <c r="B10270">
        <f>HYPERLINK("https://www.dofusbook.net/fr/equipement/4259392-feu-res-cri/objets", "link")</f>
        <v/>
      </c>
      <c r="C10270" t="n">
        <v>0</v>
      </c>
      <c r="D10270" t="inlineStr">
        <is>
          <t>Arc corrompu; Pendentif mignon de Koutoulou; Anneauræus; Anneau Rifique; Bouclier du Stalak; Protopagne; Heaume Oplate; Voile d'encre; Bottes Innommables; Dofus Ébène; Dofus Pourpre; Dofus Ocre; Dofus Abyssal; Dofus Ivoire; Érudit majeur; Wabbit</t>
        </is>
      </c>
    </row>
    <row r="10271">
      <c r="A10271" t="inlineStr">
        <is>
          <t>Stuff 2</t>
        </is>
      </c>
      <c r="B10271">
        <f>HYPERLINK("https://www.dofusbook.net/fr/equipement/388689-stuff-2/objets", "link")</f>
        <v/>
      </c>
      <c r="C10271" t="n">
        <v>17</v>
      </c>
      <c r="D10271" t="inlineStr">
        <is>
          <t>Arc corrompu; Amulette Volkorne; Anneauræus; Anneau de Nidas; Bouclier du Stalak; Ceinture Volkorne; Couronne de Nidas; Voile d'encre; Tongues de Nidas; Dofus Ébène; Dofus Abyssal; Dofus Ocre; Dofus Pourpre; Dofus Ivoire; Vagabond majeur; Muldo Ebène et Amande</t>
        </is>
      </c>
    </row>
    <row r="10272">
      <c r="A10272" t="inlineStr">
        <is>
          <t>stuff2</t>
        </is>
      </c>
      <c r="B10272">
        <f>HYPERLINK("https://www.dofusbook.net/fr/equipement/1146256-stuff2/objets", "link")</f>
        <v/>
      </c>
      <c r="C10272" t="n">
        <v>0</v>
      </c>
      <c r="D10272" t="inlineStr">
        <is>
          <t>Baguette de Malléfisk; Collier du Valet Veinard; Bracelet des Fonds marins; Alliance Gloursonne; Bouclier à hélice; Ceinture Gence; Masque d'Anerice; Cape d'Anerice; Palmes Trithons; Dofus Vulbis; Dofus Ivoire; Dofus Abyssal; Miraculé majeur; Fonceur majeur; Cavaleur majeur; Tanuk</t>
        </is>
      </c>
    </row>
    <row r="10273">
      <c r="A10273" t="inlineStr">
        <is>
          <t>eau air ret pm</t>
        </is>
      </c>
      <c r="B10273">
        <f>HYPERLINK("https://www.dofusbook.net/fr/equipement/4069882-eau-air-ret-pm/objets", "link")</f>
        <v/>
      </c>
      <c r="C10273" t="n">
        <v>3</v>
      </c>
      <c r="D10273" t="inlineStr">
        <is>
          <t>Epée Loponèze; Amulette Hale; Anneau Volkorne; Alliance Gloursonne; Bouclier cubiste; Ceinture Volkorne; Casque Volkorne; Cape Tif; Chaussures Face; Dofus Pourpre; Dofus Ivoire; Dofus Ocre; Dofus Ébène; Dofus Abyssal; Entraveur majeur; Léopardo</t>
        </is>
      </c>
    </row>
    <row r="10274">
      <c r="A10274" t="inlineStr">
        <is>
          <t>Zobal F 200</t>
        </is>
      </c>
      <c r="B10274">
        <f>HYPERLINK("https://www.dofusbook.net/fr/equipement/3834504-zobal-f-200/objets", "link")</f>
        <v/>
      </c>
      <c r="C10274" t="n">
        <v>11</v>
      </c>
      <c r="D10274" t="inlineStr">
        <is>
          <t>Pyraguette; Amulette Volkorne; Anneau Volkorne; Alliance Gloursonne; Bouclier du Stalak; Ceinture de l'Esprit Salvateur; Masque de l'Esprit Salvateur; Cape Paztek; Bottes de l'Esprit Salvateur; Dofus Pourpre; Dofus Vulbis; Dofus Abyssal; Dofus Ébène; Dofus Ocre; Dofus Ivoire; Dragodinde Indigo et Ivoire</t>
        </is>
      </c>
    </row>
    <row r="10275">
      <c r="A10275" t="inlineStr">
        <is>
          <t>Stuff 3</t>
        </is>
      </c>
      <c r="B10275">
        <f>HYPERLINK("https://www.dofusbook.net/fr/equipement/388693-stuff-3/objets", "link")</f>
        <v/>
      </c>
      <c r="C10275" t="n">
        <v>18</v>
      </c>
      <c r="D10275" t="inlineStr">
        <is>
          <t>Rapière aux Glyphes; Amulette de l'Œil Attentif; Bracelet des Fonds marins; Anneau Volkorne; Bouclier d'Ilyzaelle; Poulpagne; Masque des Fonds marins; Cape de l'Œil Attentif; Sandales des Fonds marins; Dofus Ébène; Dofus Émeraude; Dofus Ivoire; Dofus Pourpre; Dofus Abyssal; Dofus Cawotte; Muldo Turquoise et Ivoire</t>
        </is>
      </c>
    </row>
    <row r="10276">
      <c r="A10276" t="inlineStr">
        <is>
          <t>terre air</t>
        </is>
      </c>
      <c r="B10276">
        <f>HYPERLINK("https://www.dofusbook.net/fr/equipement/3531011-terre-air/objets", "link")</f>
        <v/>
      </c>
      <c r="C10276" t="n">
        <v>13</v>
      </c>
      <c r="D10276" t="inlineStr">
        <is>
          <t>Baguette de Torkélonia; Amulette du Strigide; Bague Gloursonne; Alliance Gloursonne; Quatre-feuilles; Ceinture du Strigide; Corne de Torkélonia; Carapace de Torkélonia; Bottes du Strigide; Dofus Pourpre; Dofus Turquoise; Dofus Ocre; Dofus Ivoire; Dofus Ébène; Dofus Nébuleux; Sakochère</t>
        </is>
      </c>
    </row>
    <row r="10277">
      <c r="A10277" t="inlineStr">
        <is>
          <t>air dofusteuse</t>
        </is>
      </c>
      <c r="B10277">
        <f>HYPERLINK("https://www.dofusbook.net/fr/equipement/2996476-air-dofusteuse-/objets", "link")</f>
        <v/>
      </c>
      <c r="C10277" t="n">
        <v>7</v>
      </c>
      <c r="D10277" t="inlineStr">
        <is>
          <t>Arc de Koutoulou; Amulette Voldelor; Alliance Gloursonne; Anneau Volkorne; Quatre-feuilles; Ceinture Voldelor; Casque Volkorne; Dofusteuse; Bottes Voldelor; Dofus Vulbis; Dofus Ébène; Dofus Nébuleux; Dofus Ocre; Dofus Ivoire; Dofus Pourpre; Fëanor</t>
        </is>
      </c>
    </row>
    <row r="10278">
      <c r="A10278" t="inlineStr">
        <is>
          <t>Iop M 200</t>
        </is>
      </c>
      <c r="B10278">
        <f>HYPERLINK("https://www.dofusbook.net/fr/equipement/3486202-iop-m-200/objets", "link")</f>
        <v/>
      </c>
      <c r="C10278" t="n">
        <v>9</v>
      </c>
      <c r="D10278" t="inlineStr">
        <is>
          <t>Arc du Chalœil; Amulette du Cœur Saignant; Anneau Volkorne; Alliance de Missiz Frizz; Quatre-feuilles; Ceinture Volkorne; Casque de Missiz Frizz; Cape du Cœur Saignant; Bottes du Cœur Saignant; Dofus Turquoise; Dofus Abyssal; Dofus Ocre; Dofus Ivoire; Dofus Vulbis; Dofus Ébène; Pioute vert</t>
        </is>
      </c>
    </row>
    <row r="10279">
      <c r="A10279" t="inlineStr">
        <is>
          <t>feu</t>
        </is>
      </c>
      <c r="B10279">
        <f>HYPERLINK("https://www.dofusbook.net/fr/equipement/2251762-feu/objets", "link")</f>
        <v/>
      </c>
      <c r="C10279" t="n">
        <v>9</v>
      </c>
      <c r="D10279" t="inlineStr">
        <is>
          <t>Arc Nécrotique; Amulette Volkorne; Anneau Volkorne; Bague Trithon; Quatre-feuilles; Ceintacé; Masque Trithon; Cape de la Dame du Hasard; Bottes de la Dame du Hasard; Dofus Ivoire; Dofus Turquoise; Dofus Vulbis; Dofus Abyssal; Dofus Ocre; Dofus Ébène; Chaperlipopette</t>
        </is>
      </c>
    </row>
    <row r="10280">
      <c r="A10280" t="inlineStr">
        <is>
          <t>PVM ret pm</t>
        </is>
      </c>
      <c r="B10280">
        <f>HYPERLINK("https://www.dofusbook.net/fr/equipement/2853351-pvm-ret-pm/objets", "link")</f>
        <v/>
      </c>
      <c r="C10280" t="n">
        <v>3</v>
      </c>
      <c r="D10280" t="inlineStr">
        <is>
          <t>Marteau R'ture; Amulette des Chocomanciens; Anneau Tamie; Anneau Tamie; Bouclier cubiste; Ceinture des Chocomanciens; Capuche de l'Œil Putride; Cape de Léthaline; Pantoufles Émar; Dofus Ocre; Temporiseur majeur; Temporiseur; Ralentisseur majeur; Entraveur; Entraveur majeur; Léopardo</t>
        </is>
      </c>
    </row>
    <row r="10281">
      <c r="A10281" t="inlineStr">
        <is>
          <t>Sacrieur F 200</t>
        </is>
      </c>
      <c r="B10281">
        <f>HYPERLINK("https://www.dofusbook.net/fr/equipement/3839274-sacrieur-f-200/objets", "link")</f>
        <v/>
      </c>
      <c r="C10281" t="n">
        <v>9</v>
      </c>
      <c r="D10281" t="inlineStr">
        <is>
          <t>Rapière aux Glyphes; Amulette du Sinistrofu; Bracelet des Fonds marins; Anneau Volkorne; Bouclier d'Ilyzaelle; Ceinture Volkorne; Masque des Fonds marins; Cape du Sinistrofu; Bottes du Sinistrofu; Dofus Vulbis; Dofus Ivoire; Dofus Ocre; Dofus Ébène; Dragodinde Indigo et Ivoire</t>
        </is>
      </c>
    </row>
    <row r="10282">
      <c r="A10282" t="inlineStr">
        <is>
          <t>airpvm</t>
        </is>
      </c>
      <c r="B10282">
        <f>HYPERLINK("https://www.dofusbook.net/fr/equipement/1478333-airpvm/objets", "link")</f>
        <v/>
      </c>
      <c r="C10282" t="n">
        <v>2</v>
      </c>
      <c r="D10282" t="inlineStr">
        <is>
          <t>Plume de Buhorado; Amulette du Strigide; Bague Trithon; Anneau Volkorne; Quatre-feuilles; Ceinture du Strigide; Casque Volkorne; Cape Solution; Bottes Trithon; Dofus Ocre; Dofus Ébène; Dofus Abyssal; Dofus Turquoise; Dofus Ivoire; Bousculeur majeur; Kafarce</t>
        </is>
      </c>
    </row>
    <row r="10283">
      <c r="A10283" t="inlineStr">
        <is>
          <t>Féca M 200</t>
        </is>
      </c>
      <c r="B10283">
        <f>HYPERLINK("https://www.dofusbook.net/fr/equipement/4524121-feca-m-200/objets", "link")</f>
        <v/>
      </c>
      <c r="C10283" t="n">
        <v>2</v>
      </c>
      <c r="D10283" t="inlineStr">
        <is>
          <t>Baguette du Dragoeuf; Amulette du Strigide; Bague Trithon; Crocanneau; Quatre-feuilles; Ceinture du Strigide; Corne de Torkélonia; Carapace de Torkélonia; Bottes Trithon; Dofus Abyssal; Dofus Ivoire; Dofus Turquoise; Dofus Ébène; Dofus des Glaces; Dofus Ocre; Kokulte</t>
        </is>
      </c>
    </row>
    <row r="10284">
      <c r="A10284" t="inlineStr">
        <is>
          <t>stuff3</t>
        </is>
      </c>
      <c r="B10284">
        <f>HYPERLINK("https://www.dofusbook.net/fr/equipement/1146693-stuff3/objets", "link")</f>
        <v/>
      </c>
      <c r="C10284" t="n">
        <v>10</v>
      </c>
      <c r="D10284" t="inlineStr">
        <is>
          <t>Baguette de Torkélonia; Amulette du Strigide; Bague Trithon; Quatre-feuilles; Ceinture du Strigide; Masque Trithon; Carapace de Torkélonia; Bottes Trithon; Dofus Pourpre; Dofus Ocre; Dofus Ivoire; Dofus des Glaces; Dofus Ébène; Dofus Turquoise; Kokulte</t>
        </is>
      </c>
    </row>
    <row r="10285">
      <c r="A10285" t="inlineStr">
        <is>
          <t>eau air</t>
        </is>
      </c>
      <c r="B10285">
        <f>HYPERLINK("https://www.dofusbook.net/fr/equipement/1367626-eau-air/objets", "link")</f>
        <v/>
      </c>
      <c r="C10285" t="n">
        <v>3</v>
      </c>
      <c r="D10285" t="inlineStr">
        <is>
          <t>Arc de Koutoulou; Amulette d'Ilyzaelle; Alliance Gloursonne; Anneau Volkorne; Bouclier d'Ilyzaelle; Ceinture de la Reine des Voleurs; Masque Trithon; Dofusteuse; Bottes de la Reine des Voleurs; Dofus des Glaces; Dofus Ocre; Dofus Nébuleux; Dofus Vulbis; Dofus Ivoire; Dofus Ébène; Fëanor</t>
        </is>
      </c>
    </row>
    <row r="10286">
      <c r="A10286" t="inlineStr">
        <is>
          <t>feu</t>
        </is>
      </c>
      <c r="B10286">
        <f>HYPERLINK("https://www.dofusbook.net/fr/equipement/2459606-feu/objets", "link")</f>
        <v/>
      </c>
      <c r="C10286" t="n">
        <v>4</v>
      </c>
      <c r="D10286" t="inlineStr">
        <is>
          <t>Arc corrompu; Amulette de Nileza; Anneauræus; Anneauræus; Bouclier du Stalak; Croture; Heaume Oplate; Cape de Nileza; Bottes Innommables; Dofus Abyssal; Dofus Ébène; Dofus Vulbis; Dofus Ivoire; Dofus Ocre; Dofus Pourpre; Bisouglours</t>
        </is>
      </c>
    </row>
    <row r="10287">
      <c r="A10287" t="inlineStr">
        <is>
          <t>Steamer M 200</t>
        </is>
      </c>
      <c r="B10287">
        <f>HYPERLINK("https://www.dofusbook.net/fr/equipement/3355807-steamer-m-200/objets", "link")</f>
        <v/>
      </c>
      <c r="C10287" t="n">
        <v>8</v>
      </c>
      <c r="D10287" t="inlineStr">
        <is>
          <t>Plume de Buhorado; Amibou; Anneau Volkorne; Alliance Gloursonne; Quatre-feuilles; Menoture; Casque Volkorne; Capibou; Palmes Trithons; Dofus Ivoire; Dofus Ocre; Dofus Pourpre; Dofus Vulbis; Dofus Turquoise; Dofus Ébène; Tofoudre</t>
        </is>
      </c>
    </row>
    <row r="10288">
      <c r="A10288" t="inlineStr">
        <is>
          <t>stuff5</t>
        </is>
      </c>
      <c r="B10288">
        <f>HYPERLINK("https://www.dofusbook.net/fr/equipement/1158162-stuff5/objets", "link")</f>
        <v/>
      </c>
      <c r="C10288" t="n">
        <v>7</v>
      </c>
      <c r="D10288" t="inlineStr">
        <is>
          <t>Hache du Chalœil; Amulette Volkorne; Anneau Volkorne; Bague Trithon; Quatre-feuilles; Ceinture Volkorne; Corne de Torkélonia; Carapace de Torkélonia; Bottes Trithon; Dofus Ivoire; Dofus Turquoise; Dofus Ébène; Dofus Ocre; Dofus Pourpre; Dofus des Glaces; Sakochère</t>
        </is>
      </c>
    </row>
    <row r="10289">
      <c r="A10289" t="inlineStr">
        <is>
          <t>stuff1</t>
        </is>
      </c>
      <c r="B10289">
        <f>HYPERLINK("https://www.dofusbook.net/fr/equipement/1138930-stuff1/objets", "link")</f>
        <v/>
      </c>
      <c r="C10289" t="n">
        <v>4</v>
      </c>
      <c r="D10289" t="inlineStr">
        <is>
          <t>Pyraguette; Amulette Volkorne; Alliance Gloursonne; Anneau Volkorne; Bouclier du Stalak; Ceinture de l'Esprit Salvateur; Masque de l'Esprit Salvateur; Cape de Jahash Jurgen; Bottes de l'Esprit Salvateur; Dofus des Glaces; Dofus Ocre; Dofus Pourpre; Dofus Ébène; Dofus Vulbis; Fëanor</t>
        </is>
      </c>
    </row>
    <row r="10290">
      <c r="A10290" t="inlineStr">
        <is>
          <t>stuff4</t>
        </is>
      </c>
      <c r="B10290">
        <f>HYPERLINK("https://www.dofusbook.net/fr/equipement/1147217-stuff4/objets", "link")</f>
        <v/>
      </c>
      <c r="C10290" t="n">
        <v>12</v>
      </c>
      <c r="D10290" t="inlineStr">
        <is>
          <t>Arc Volkorne; Amulette du Nocturlabe; Alliance Gloursonne; Anneau Volkorne; Bouclier du Stalak; Ceinture du Nocturlabe; Casque Volkorne; Cape de Jahash Jurgen; Bottes du Nocturlabe; Dofus Ocre; Dofus des Glaces; Dofus Ébène; Dofus Pourpre; Dofus Ivoire; Dofus Vulbis; Fëanor</t>
        </is>
      </c>
    </row>
    <row r="10291">
      <c r="A10291" t="inlineStr">
        <is>
          <t>Stuff 3</t>
        </is>
      </c>
      <c r="B10291">
        <f>HYPERLINK("https://www.dofusbook.net/fr/equipement/388681-stuff-3/objets", "link")</f>
        <v/>
      </c>
      <c r="C10291" t="n">
        <v>4</v>
      </c>
      <c r="D10291" t="inlineStr">
        <is>
          <t>Crocobur; Talisman Glouti; Anneau Volkorne; Alliance Gloursonne; Bouclier de Solar; Ceinture de Dame Jhessica; Casque Dragoeuf; Cape du Sinistrofu; Bottes du Sinistrofu; Dofus Ocre; Dofus Ébène; Dofus Émeraude; Dofus Ivoire; Dofus Vulbis; Solide majeur; Volkorne Amande et Indigo</t>
        </is>
      </c>
    </row>
    <row r="10292">
      <c r="A10292" t="inlineStr">
        <is>
          <t>Sacrieur M 200</t>
        </is>
      </c>
      <c r="B10292">
        <f>HYPERLINK("https://www.dofusbook.net/fr/equipement/4123516-sacrieur-m-200/objets", "link")</f>
        <v/>
      </c>
      <c r="C10292" t="n">
        <v>2</v>
      </c>
      <c r="D10292" t="inlineStr">
        <is>
          <t>Collier du Valet Veinard; Alliance Gloursonne; Gant du Valet Veinard; Bouclier d'Ilyzaelle; Dorabysses; Cape de Crânonier; Palmes Trithons; Dofus Ivoire; Dofus Vulbis; Dofus Ocre; Dofus Abyssal; Solide majeur; Cascadeur majeur; Volkorne Amande et Ebène</t>
        </is>
      </c>
    </row>
    <row r="10293">
      <c r="A10293" t="inlineStr">
        <is>
          <t>Steamer M 200</t>
        </is>
      </c>
      <c r="B10293">
        <f>HYPERLINK("https://www.dofusbook.net/fr/equipement/4527269-steamer-m-200/objets", "link")</f>
        <v/>
      </c>
      <c r="C10293" t="n">
        <v>1</v>
      </c>
      <c r="D10293" t="inlineStr">
        <is>
          <t>Plume de Buhorado; Torquistik; Bague Trithon; Bague Instable; Bouclier précieux; Ceinture Gence; Casque Dragoeuf; Cape Solution; Bottistik; Dofus Ivoire; Dofus Abyssal; Culbuteur majeur; Culbuteur; Bousculeur majeur; Pousseur majeur; Tatouf</t>
        </is>
      </c>
    </row>
    <row r="10294">
      <c r="A10294" t="inlineStr">
        <is>
          <t>Xélor M 200</t>
        </is>
      </c>
      <c r="B10294">
        <f>HYPERLINK("https://www.dofusbook.net/fr/equipement/5543907-xelor-m-200/objets", "link")</f>
        <v/>
      </c>
      <c r="C10294" t="n">
        <v>2</v>
      </c>
      <c r="D10294" t="inlineStr">
        <is>
          <t>Faux Maudite du Saigneur Guerrier; Talisman Glouti; Anneau de Pol Ouatnos; Anneau Tique; Bouclier de Solar; Culotte de Bethel; Coiffe d'Aermyne; Cape d'Aermyne; Chaussons de Macrab; Dofus Ivoire; Dofus Ocre; Dofus Forgelave; Adamantin majeur; Paralyseur majeur; Inflexible majeur; Volkorne Amande et Ivoire</t>
        </is>
      </c>
    </row>
    <row r="10295">
      <c r="A10295" t="inlineStr">
        <is>
          <t>vita res pou</t>
        </is>
      </c>
      <c r="B10295">
        <f>HYPERLINK("https://www.dofusbook.net/fr/equipement/3167612-vita-res-pou/objets", "link")</f>
        <v/>
      </c>
      <c r="C10295" t="n">
        <v>5</v>
      </c>
      <c r="D10295" t="inlineStr">
        <is>
          <t>Hache du Guerrier Zoth; Talisman Glouti; Anneau de Pol Ouatnos; Anneau Tique; Bouclier de Solar; Culotte de Bethel; Coiffe d'Aermyne; Cape de Crânonier; Bottes Innommables; Dofus Abyssal; Dofus Ivoire; Dofus Forgelave; Solide majeur; Remueur; Miraculé majeur</t>
        </is>
      </c>
    </row>
    <row r="10296">
      <c r="A10296" t="inlineStr">
        <is>
          <t>Féca M 200</t>
        </is>
      </c>
      <c r="B10296">
        <f>HYPERLINK("https://www.dofusbook.net/fr/equipement/5485505-feca-m-200/objets", "link")</f>
        <v/>
      </c>
      <c r="C10296" t="n">
        <v>2</v>
      </c>
      <c r="D10296" t="inlineStr">
        <is>
          <t>Le Thanos; Amulette d'Otomaï; Anneauræus; Anneauræus; Bouclier du Mont Kipou; Ceinture de Vortex; Masque Ardent; Cape de Diondin; Chaussures Ardentes; Dofus Ocre; Dofus Ébène; Dofus Vulbis; Dofus Abyssal; Dofus Ivoire; Érudit majeur; Drakopin</t>
        </is>
      </c>
    </row>
    <row r="10297">
      <c r="A10297" t="inlineStr">
        <is>
          <t>eau</t>
        </is>
      </c>
      <c r="B10297">
        <f>HYPERLINK("https://www.dofusbook.net/fr/equipement/1679842-eau/objets", "link")</f>
        <v/>
      </c>
      <c r="C10297" t="n">
        <v>9</v>
      </c>
      <c r="D10297" t="inlineStr">
        <is>
          <t>Sceptre du Roi Joueur; Amulette de Shokkoth; Anneau Glacial; Bracelet des Fonds marins; Quatre-feuilles; Ceinture Glaciale; Masque des Fonds marins; Cape Glaciale; Sandales des Fonds marins; Dofus Ivoire; Dofus Turquoise; Dofus Abyssal; Dofus Ocre; Dofus Pourpre; Dofus Ébène; Volkorne Doré et Indigo</t>
        </is>
      </c>
    </row>
    <row r="10298">
      <c r="A10298" t="inlineStr">
        <is>
          <t>eau air nébu dofuste</t>
        </is>
      </c>
      <c r="B10298">
        <f>HYPERLINK("https://www.dofusbook.net/fr/equipement/2006394-eau-air-nebu-dofuste/objets", "link")</f>
        <v/>
      </c>
      <c r="C10298" t="n">
        <v>1</v>
      </c>
      <c r="D10298" t="inlineStr">
        <is>
          <t>Arc de Koutoulou; Amulette d'Ilyzaelle; Alliance Gloursonne; Anneau Volkorne; Bouclier du Stalak; Sangle Ouare; Casque Volkorne; Dofusteuse; Chaussures Face; Dofus Nébuleux; Dofus Ocre; Dofus Pourpre; Dofus des Glaces; Dofus Ivoire; Dofus Ébène; Fëanor</t>
        </is>
      </c>
    </row>
    <row r="10299">
      <c r="A10299" t="inlineStr">
        <is>
          <t>PVM boost</t>
        </is>
      </c>
      <c r="B10299">
        <f>HYPERLINK("https://www.dofusbook.net/fr/equipement/2853044-pvm-boost/objets", "link")</f>
        <v/>
      </c>
      <c r="C10299" t="n">
        <v>6</v>
      </c>
      <c r="D10299" t="inlineStr">
        <is>
          <t>La Baguette des Limbes; Amulette du Glourséleste; Anneau Tamie; Mitaine Aibre; Bouclier cubiste; Sangle Hyssérine; Coiffe Ainte; Cape Endaison; Bottes Opsy; Dofus Abyssal; Dofus Ocre; Entraveur; Ralentisseur majeur; Ralentisseur; Entraveur majeur; Léopardo</t>
        </is>
      </c>
    </row>
    <row r="10300">
      <c r="A10300" t="inlineStr">
        <is>
          <t>Pandawa M 200</t>
        </is>
      </c>
      <c r="B10300">
        <f>HYPERLINK("https://www.dofusbook.net/fr/equipement/5369096-pandawa-m-200/objets", "link")</f>
        <v/>
      </c>
      <c r="C10300" t="n">
        <v>3</v>
      </c>
      <c r="D10300" t="inlineStr">
        <is>
          <t>Plume de Buhorado; Amibou; Gant du Valet Veinard; Alliance Gloursonne; Bouclier cubiste; Menoture; Capuche de l'Œil Putride; Capibou; Palmes Trithons; Dofus Ocre; Dofus Abyssal; Dofus Pourpre; Dofus Ébène; Entraveur majeur; Temporiseur majeur; Léopardo</t>
        </is>
      </c>
    </row>
    <row r="10301">
      <c r="A10301" t="inlineStr">
        <is>
          <t>stuff tank chaloeil</t>
        </is>
      </c>
      <c r="B10301">
        <f>HYPERLINK("https://www.dofusbook.net/fr/equipement/3984348-stuff-tank-chaloeil/objets", "link")</f>
        <v/>
      </c>
      <c r="C10301" t="n">
        <v>8</v>
      </c>
      <c r="D10301" t="inlineStr">
        <is>
          <t>Héqache; Collier du Valet Veinard; Alliance Gloursonne; Anneau Crustique; Bouclier d'Anerice; Ceinture de Dame Jhessica; Dorabysses; Cape du Valet Veinard; Palmes Trithons; Dofus Ivoire; Obstructeur majeur; Bloqueur; Obstructeur; Bloqueur majeur; Tacleur majeur; Drakopin</t>
        </is>
      </c>
    </row>
    <row r="10302">
      <c r="A10302" t="inlineStr">
        <is>
          <t>Sacrieur F 200</t>
        </is>
      </c>
      <c r="B10302">
        <f>HYPERLINK("https://www.dofusbook.net/fr/equipement/5351900-sacrieur-f-200/objets", "link")</f>
        <v/>
      </c>
      <c r="C10302" t="n">
        <v>3</v>
      </c>
      <c r="D10302" t="inlineStr">
        <is>
          <t>Amulette du Strigide; Anneau Volkorne; Bouclier d'Ilyzaelle; Ceinture du Strigide; Casque Volkorne; Cape de Jahash Jurgen; Bottes du Strigide; Dofus Pourpre; Dofus Ébène; Dofus Ocre; Dofus Abyssal; Dofus Turquoise; Dofus Ivoire; Fëanor</t>
        </is>
      </c>
    </row>
    <row r="10303">
      <c r="A10303" t="inlineStr">
        <is>
          <t>Pandawa M 200</t>
        </is>
      </c>
      <c r="B10303">
        <f>HYPERLINK("https://www.dofusbook.net/fr/equipement/5311620-pandawa-m-200/objets", "link")</f>
        <v/>
      </c>
      <c r="C10303" t="n">
        <v>2</v>
      </c>
      <c r="D10303" t="inlineStr">
        <is>
          <t>Rouleau à Pâtisserie d'Aermyne; Collier Rophante; Pikano; Alliance Gloursonne; Droiture de Fallanster; Ceinture de Dame Jhessica; Masque d'Anerice; Cape d'Anerice; Bottes Innommables; Dofus des Veilleurs; Dokoko; Dofus Ivoire; Dofus Émeraude; Carapace Neutre majeur; Miraculé majeur; Bontique</t>
        </is>
      </c>
    </row>
    <row r="10304">
      <c r="A10304" t="inlineStr">
        <is>
          <t>Pandawa F 200</t>
        </is>
      </c>
      <c r="B10304">
        <f>HYPERLINK("https://www.dofusbook.net/fr/equipement/5310202-pandawa-f-200/objets", "link")</f>
        <v/>
      </c>
      <c r="C10304" t="n">
        <v>3</v>
      </c>
      <c r="D10304" t="inlineStr">
        <is>
          <t>Rouleau à Pâtisserie d'Aermyne; Torquistik; Alliance Gloursonne; Anneau Rifique; Droiture de Fallanster; Ceinture de Dame Jhessica; Casque Dragoeuf; Cape d'Anerice; Bottistik; Dofus Émeraude; Dofus des Veilleurs; Dokoko; Dofus Ivoire; Bastion majeur; Miraculé majeur; La Chose</t>
        </is>
      </c>
    </row>
    <row r="10305">
      <c r="A10305" t="inlineStr">
        <is>
          <t>Pandawa M 200</t>
        </is>
      </c>
      <c r="B10305">
        <f>HYPERLINK("https://www.dofusbook.net/fr/equipement/5310078-pandawa-m-200/objets", "link")</f>
        <v/>
      </c>
      <c r="C10305" t="n">
        <v>1</v>
      </c>
      <c r="D10305" t="inlineStr">
        <is>
          <t>Rouleau à Pâtisserie d'Aermyne; Torquistik; Alliance Gloursonne; Anneau Rifique; Droiture de Fallanster; Ceinture de Kongoku; Masque d'Anerice; Cape d'Anerice; Bottistik; Dofus Émeraude; Dokoko; Dofus Ivoire; Dofus des Veilleurs; Bastion majeur; Bastion; Bontique</t>
        </is>
      </c>
    </row>
    <row r="10306">
      <c r="A10306" t="inlineStr">
        <is>
          <t>Pandawa M 200</t>
        </is>
      </c>
      <c r="B10306">
        <f>HYPERLINK("https://www.dofusbook.net/fr/equipement/5309923-pandawa-m-200/objets", "link")</f>
        <v/>
      </c>
      <c r="C10306" t="n">
        <v>5</v>
      </c>
      <c r="D10306" t="inlineStr">
        <is>
          <t>Rouleau à Pâtisserie d'Aermyne; Torquistik; Baguistik; Goulano; Droiture de Fallanster; Ceinture de Kongoku; Coiffe d'Aermyne; Cape de Kongoku; Goulbottes; Dokoko; Dofus Émeraude; Dofus des Veilleurs; Dofus Ivoire; Bastion; Bastion majeur; Bontique</t>
        </is>
      </c>
    </row>
    <row r="10307">
      <c r="A10307" t="inlineStr">
        <is>
          <t>Crâ F 200</t>
        </is>
      </c>
      <c r="B10307">
        <f>HYPERLINK("https://www.dofusbook.net/fr/equipement/5309327-cra-f-200/objets", "link")</f>
        <v/>
      </c>
      <c r="C10307" t="n">
        <v>7</v>
      </c>
      <c r="D10307" t="inlineStr">
        <is>
          <t>Bâton Beau; Amulette du Strigide; Bracelet du Piloztère; Anneau de Padgref; Quatre-feuilles; Ceinture du Strigide; Coiffe de Padgref; Cape de Jahash Jurgen; Getas de Padgref; Dofus Pourpre; Dofus Ébène; Dofus Turquoise; Dofus Abyssal; Dofus Vulbis; Dofus Ocre; Fëanor</t>
        </is>
      </c>
    </row>
    <row r="10308">
      <c r="A10308" t="inlineStr">
        <is>
          <t>Crâ F 200</t>
        </is>
      </c>
      <c r="B10308">
        <f>HYPERLINK("https://www.dofusbook.net/fr/equipement/5309241-cra-f-200/objets", "link")</f>
        <v/>
      </c>
      <c r="C10308" t="n">
        <v>2</v>
      </c>
      <c r="D10308" t="inlineStr">
        <is>
          <t>Bâton Beau; Amulette du Strigide; Anneau Volkorne; Bracelet du Piloztère; Quatre-feuilles; Ceinture Volkorne; Diadème de Ganymède; Cape de Jahash Jurgen; Bottes du Strigide; Dofus Turquoise; Dofus Ocre; Dofus Vulbis; Dofus Ébène; Dofus Pourpre; Dofus Abyssal; Pioute rose</t>
        </is>
      </c>
    </row>
    <row r="10309">
      <c r="A10309" t="inlineStr">
        <is>
          <t>songe</t>
        </is>
      </c>
      <c r="B10309">
        <f>HYPERLINK("https://www.dofusbook.net/fr/equipement/2014834-songe/objets", "link")</f>
        <v/>
      </c>
      <c r="C10309" t="n">
        <v>5</v>
      </c>
      <c r="D10309" t="inlineStr">
        <is>
          <t>Sabres d'Atcham; Amulette Volkorne; Anneau de Padgref; Anneau Volkorne; Bouclier d'Ilyzaelle; Ceinture Volkorne; Coiffe de Padgref; Cape d'Atcham; Getas de Padgref; Dofus Ébène; Dofus Abyssal; Dofus Ivoire; Dofus Ocre; Dofus Pourpre; Dofus Turquoise; Fëanor</t>
        </is>
      </c>
    </row>
    <row r="10310">
      <c r="A10310" t="inlineStr">
        <is>
          <t>Féca M 200</t>
        </is>
      </c>
      <c r="B10310">
        <f>HYPERLINK("https://www.dofusbook.net/fr/equipement/5221363-feca-m-200/objets", "link")</f>
        <v/>
      </c>
      <c r="C10310" t="n">
        <v>3</v>
      </c>
      <c r="D10310" t="inlineStr">
        <is>
          <t>Epée Kari; Amulette du Strigide; Anneau Crustique; Anneau Volkorne; Bouclier du Captain Amakna; Ceinture Volkorne; Masque de Koutoulou; Cape au Logis; Bottes du Strigide; Dofus Ocre; Dofus Ivoire; Dofus Ébène; Dofus Abyssal; Dofus Pourpre; Dofus Turquoise; Bulbisou</t>
        </is>
      </c>
    </row>
    <row r="10311">
      <c r="A10311" t="inlineStr">
        <is>
          <t>Pandawa F 200</t>
        </is>
      </c>
      <c r="B10311">
        <f>HYPERLINK("https://www.dofusbook.net/fr/equipement/5206822-pandawa-f-200/objets", "link")</f>
        <v/>
      </c>
      <c r="C10311" t="n">
        <v>2</v>
      </c>
      <c r="D10311" t="inlineStr">
        <is>
          <t>Rouleau à Pâtisserie d'Aermyne; Amulette de Pol Ouatnos; Anneau Tique; Bague Gloursonne; Droiture de Fallanster; Ceinture de Dame Jhessica; Casque Dragoeuf; Cape Solution; Dofus Émeraude; Dofus Abyssal; Dofus Ocre; Dofus Ivoire; Titard</t>
        </is>
      </c>
    </row>
    <row r="10312">
      <c r="A10312" t="inlineStr">
        <is>
          <t>Pandawa F 200</t>
        </is>
      </c>
      <c r="B10312">
        <f>HYPERLINK("https://www.dofusbook.net/fr/equipement/5204692-pandawa-f-200/objets", "link")</f>
        <v/>
      </c>
      <c r="C10312" t="n">
        <v>2</v>
      </c>
      <c r="D10312" t="inlineStr">
        <is>
          <t>Rouleau à Pâtisserie d'Aermyne; Collier Rophante; Anneau Tique; Bague Trithon; Bouclier d'Anerice; Ceinture de Dame Jhessica; Dorabysses; Cape du Valet Veinard; Pataugastrique; Dofus Ivoire; Dofus Abyssal; Dofus Émeraude; Dofus Ocre; Obstructeur majeur; Bloqueur majeur; Platypus</t>
        </is>
      </c>
    </row>
    <row r="10313">
      <c r="A10313" t="inlineStr">
        <is>
          <t>terre air</t>
        </is>
      </c>
      <c r="B10313">
        <f>HYPERLINK("https://www.dofusbook.net/fr/equipement/5204265-terre-air/objets", "link")</f>
        <v/>
      </c>
      <c r="C10313" t="n">
        <v>1</v>
      </c>
      <c r="D10313" t="inlineStr">
        <is>
          <t>Épée de la Reine des Voleurs; Amulette du Nocturlabe; Bague Gloursonne; Alliance Gloursonne; Bouclier du Stalak; Ceinture du Nocturlabe; Coiffe de la Reine des Voleurs; Cape de Jahash Jurgen; Bottes de la Reine des Voleurs; Dofus Abyssal; Dofus Ivoire; Dofus Pourpre; Dofus Ébène; Dofus Ocre; Dofus des Glaces; Fëanor</t>
        </is>
      </c>
    </row>
    <row r="10314">
      <c r="A10314" t="inlineStr">
        <is>
          <t>terre eau</t>
        </is>
      </c>
      <c r="B10314">
        <f>HYPERLINK("https://www.dofusbook.net/fr/equipement/3192252-terre-eau/objets", "link")</f>
        <v/>
      </c>
      <c r="C10314" t="n">
        <v>6</v>
      </c>
      <c r="D10314" t="inlineStr">
        <is>
          <t>Dagues de Srambad; Amulette du Nocturlabe; Anneau Volkorne; Pikano; Bouclier du Stalak; Ceinture Volkorne; Casquipik; Cape au Logis; Bottes du Nocturlabe; Dofus Pourpre; Dofus Abyssal; Dofus Ocre; Dofus Ivoire; Dofus Ébène; Dofus des Glaces; Fëanor</t>
        </is>
      </c>
    </row>
    <row r="10315">
      <c r="A10315" t="inlineStr">
        <is>
          <t>Féca M 200</t>
        </is>
      </c>
      <c r="B10315">
        <f>HYPERLINK("https://www.dofusbook.net/fr/equipement/5188965-feca-m-200/objets", "link")</f>
        <v/>
      </c>
      <c r="C10315" t="n">
        <v>1</v>
      </c>
      <c r="D10315" t="inlineStr">
        <is>
          <t>Couteaux Sacrificiels; Amulette Volkorne; Anneau Volkorne; Alliance Gloursonne; Bouclier alvéolé; Ceintrigue; Masque Paztek; Cape Paztek; Bottes Owesli; Dofus Ocre; Dofus Abyssal; Dofus des Glaces; Dofus Ivoire; Dofus Émeraude; Dofus Ébène</t>
        </is>
      </c>
    </row>
    <row r="10316">
      <c r="A10316" t="inlineStr">
        <is>
          <t>Pandawa F 200</t>
        </is>
      </c>
      <c r="B10316">
        <f>HYPERLINK("https://www.dofusbook.net/fr/equipement/5188791-pandawa-f-200/objets", "link")</f>
        <v/>
      </c>
      <c r="C10316" t="n">
        <v>3</v>
      </c>
      <c r="D10316" t="inlineStr">
        <is>
          <t>Lav'Hache; Collier de Tourthon; Anneau Chevelu; Anneau de XLII; Bouclier d'Ilyzaelle; Ceinture de XLII; Masque d'Anerice; Cape d'Anerice; Bottes de XLII; Dofus Ocre; Dofus Ébène; Dofus Pourpre; Dofus Abyssal; Dofus Vulbis; Dofus Ivoire; Kougnard</t>
        </is>
      </c>
    </row>
    <row r="10317">
      <c r="A10317" t="inlineStr">
        <is>
          <t>stuff 3</t>
        </is>
      </c>
      <c r="B10317">
        <f>HYPERLINK("https://www.dofusbook.net/fr/equipement/1099250-stuff-3/objets", "link")</f>
        <v/>
      </c>
      <c r="C10317" t="n">
        <v>7</v>
      </c>
      <c r="D10317" t="inlineStr">
        <is>
          <t>Couteaux Sacrificiels; Amulette Volkorne; Alliance Gloursonne; Anneau Volkorne; Bouclier alvéolé; Ceinture de l'Esprit Salvateur; Masque de l'Esprit Salvateur; Cape Paztek; Bottes de l'Esprit Salvateur; Dofus Pourpre; Dofus Vulbis; Dofus Ivoire; Dofus Abyssal; Dofus Émeraude; Dofus Ocre; Fëanor</t>
        </is>
      </c>
    </row>
    <row r="10318">
      <c r="A10318" t="inlineStr">
        <is>
          <t>rox</t>
        </is>
      </c>
      <c r="B10318">
        <f>HYPERLINK("https://www.dofusbook.net/fr/equipement/2028844-rox/objets", "link")</f>
        <v/>
      </c>
      <c r="C10318" t="n">
        <v>5</v>
      </c>
      <c r="D10318" t="inlineStr">
        <is>
          <t>Hachoirs de Viandargh; Amulette du Strigide; Anneau de Padgref; Anneau d'Allister; Bouclier du Captain Amakna; Ceinture du Strigide; Coiffe de Padgref; Cape de Klime; Getas de Padgref; Dofus des Glaces; Dofus Abyssal; Dofus Pourpre; Dofus Ébène; Dofus Turquoise; Dofus Ocre; Kokulte</t>
        </is>
      </c>
    </row>
    <row r="10319">
      <c r="A10319" t="inlineStr">
        <is>
          <t>dopou</t>
        </is>
      </c>
      <c r="B10319">
        <f>HYPERLINK("https://www.dofusbook.net/fr/equipement/2026924-dopou/objets", "link")</f>
        <v/>
      </c>
      <c r="C10319" t="n">
        <v>6</v>
      </c>
      <c r="D10319" t="inlineStr">
        <is>
          <t>Crocobur; Amulette du Strigide; Bracelet du Piloztère; Anneau Volkorne; Bouclier d'Ilyzaelle; Ceinture Volkorne; Casque Volkorne; Cape de Jahash Jurgen; Bottes du Strigide; Dofus Ocre; Dofus Ébène; Dofus Pourpre; Dofus Abyssal; Dofus Turquoise; Dofus Ivoire; Fëanor</t>
        </is>
      </c>
    </row>
    <row r="10320">
      <c r="A10320" t="inlineStr">
        <is>
          <t>Xélor M 200</t>
        </is>
      </c>
      <c r="B10320">
        <f>HYPERLINK("https://www.dofusbook.net/fr/equipement/5125051-xelor-m-200/objets", "link")</f>
        <v/>
      </c>
      <c r="C10320" t="n">
        <v>1</v>
      </c>
      <c r="D10320" t="inlineStr">
        <is>
          <t>Pelle Vice; Amulette d'Oshimo; Anneau Crustique; Anneau de Guten Tak; Sept ans de malheur; Menoture; Masque Ardent; Cape Ardente; Pataugastrique; Étourdisseur; Engourdisseur majeur; Paralyseur majeur; Paralyseur; Étourdisseur majeur; Boskito</t>
        </is>
      </c>
    </row>
    <row r="10321">
      <c r="A10321" t="inlineStr">
        <is>
          <t>Crâ F 200</t>
        </is>
      </c>
      <c r="B10321">
        <f>HYPERLINK("https://www.dofusbook.net/fr/equipement/3838691-cra-f-200/objets", "link")</f>
        <v/>
      </c>
      <c r="C10321" t="n">
        <v>6</v>
      </c>
      <c r="D10321" t="inlineStr">
        <is>
          <t>Plume de Buhorado; Collier du Valet Veinard; Gant du Valet Veinard; Alliance Gloursonne; Bouclier du Stalak; Menoture; Casque Dragoeuf; Cape de Jahash Jurgen; Palmes Trithons; Dofus Ébène; Dofus Abyssal; Dofus Ocre; Dofus Ivoire; Dofus Pourpre; Dofus Nébuleux; Dragodinde Ebène et Ivoire</t>
        </is>
      </c>
    </row>
    <row r="10322">
      <c r="A10322" t="inlineStr">
        <is>
          <t>air ret</t>
        </is>
      </c>
      <c r="B10322">
        <f>HYPERLINK("https://www.dofusbook.net/fr/equipement/1134982-air-ret/objets", "link")</f>
        <v/>
      </c>
      <c r="C10322" t="n">
        <v>3</v>
      </c>
      <c r="D10322" t="inlineStr">
        <is>
          <t>Lance Horselé; Collier du Valet Veinard; Gant du Valet Veinard; Alliance Gloursonne; Droiture de Fallanster; Menoture; Dorabysses; Cape Martegel; Palmes Trithons; Dofus Ocre; Dofus Pourpre; Dofus Vulbis; Dofus Ébène; Dofus Ivoire; Dofus Abyssal; Boskito</t>
        </is>
      </c>
    </row>
    <row r="10323">
      <c r="A10323" t="inlineStr">
        <is>
          <t>Huppermage F 200</t>
        </is>
      </c>
      <c r="B10323">
        <f>HYPERLINK("https://www.dofusbook.net/fr/equipement/5086493-huppermage-f-200/objets", "link")</f>
        <v/>
      </c>
      <c r="C10323" t="n">
        <v>1</v>
      </c>
      <c r="D10323" t="inlineStr">
        <is>
          <t>Le Thanos; Amulette Volkorne; Anneauræus; Anneauræus; Cadran de Terre; Ceinture de Vortex; Masque Ardent; Cape de Diondin; Chaussures Ardentes; Dofus Vulbis; Dofus Ivoire; Dofus Ébène; Dofus Ocre; Dofus Abyssal; Érudit majeur; Ross</t>
        </is>
      </c>
    </row>
    <row r="10324">
      <c r="A10324" t="inlineStr">
        <is>
          <t>Zobal F 200</t>
        </is>
      </c>
      <c r="B10324">
        <f>HYPERLINK("https://www.dofusbook.net/fr/equipement/3834001-zobal-f-200/objets", "link")</f>
        <v/>
      </c>
      <c r="C10324" t="n">
        <v>15</v>
      </c>
      <c r="D10324" t="inlineStr">
        <is>
          <t>Lav'Hache; Collier de Tourthon; Anneau Crustique; Anneau Crustique; Cadran de Terre; Ceinture Volkorne; Masque de Koutoulou; Cape de la Cour Sombre; Bottes de la Cour Sombre; Dofus Ébène; Dofus Vulbis; Dofus Ocre; Dofus Pourpre; Dofus Ivoire; Enragé majeur; Bulbisou</t>
        </is>
      </c>
    </row>
    <row r="10325">
      <c r="A10325" t="inlineStr">
        <is>
          <t>Ecaflip M 200</t>
        </is>
      </c>
      <c r="B10325">
        <f>HYPERLINK("https://www.dofusbook.net/fr/equipement/5070361-ecaflip-m-200/objets", "link")</f>
        <v/>
      </c>
      <c r="C10325" t="n">
        <v>6</v>
      </c>
      <c r="D10325" t="inlineStr">
        <is>
          <t>Sceptre du Roi Joueur; Amulette Volkorne; Alliance Gloursonne; Anneau Volkorne; Bouclier du Stalak; Sangle Ouare; Casque d'Ilyzaelle; Cape de Jahash Jurgen; Pataugastrique; Dofus Nébuleux; Dofus Pourpre; Vigoureux majeur; Remueur; Chanceux majeur; Taquin majeur; Pioute bleu</t>
        </is>
      </c>
    </row>
    <row r="10326">
      <c r="A10326" t="inlineStr">
        <is>
          <t>Sadida M 200</t>
        </is>
      </c>
      <c r="B10326">
        <f>HYPERLINK("https://www.dofusbook.net/fr/equipement/4114104-sadida-m-200/objets", "link")</f>
        <v/>
      </c>
      <c r="C10326" t="n">
        <v>17</v>
      </c>
      <c r="D10326" t="inlineStr">
        <is>
          <t>Epée Gloursonne; Amulette Martegel; Bague Gloursonne; Alliance Gloursonne; Bouclier du Stalak; Ceinture Luthe; Masquegel; Cape Martegel; Palmes Trithons; Dofus Ébène; Dofus Ocre; Dofus Abyssal; Acrobate majeur; Equilibriste majeur; Fuyard majeur; Muldo Amande</t>
        </is>
      </c>
    </row>
    <row r="10327">
      <c r="A10327" t="inlineStr">
        <is>
          <t>Sadida M 200</t>
        </is>
      </c>
      <c r="B10327">
        <f>HYPERLINK("https://www.dofusbook.net/fr/equipement/5029935-sadida-m-200/objets", "link")</f>
        <v/>
      </c>
      <c r="C10327" t="n">
        <v>6</v>
      </c>
      <c r="D10327" t="inlineStr">
        <is>
          <t>Crocobur; Amulette du Strigide; Annolamour; Anneau Volkorne; Bouclier du Stalak; Ceinture Volkorne; Diadème de Ganymède; Cape de Jahash Jurgen; Bottes du Strigide; Dolmanax; Dofus Pourpre; Dofus des Glaces; Dofus Nébuleux; Puissant majeur; Robuste majeur; Bébé Pandawa</t>
        </is>
      </c>
    </row>
    <row r="10328">
      <c r="A10328" t="inlineStr">
        <is>
          <t>Sadida M 200</t>
        </is>
      </c>
      <c r="B10328">
        <f>HYPERLINK("https://www.dofusbook.net/fr/equipement/4114065-sadida-m-200/objets", "link")</f>
        <v/>
      </c>
      <c r="C10328" t="n">
        <v>16</v>
      </c>
      <c r="D10328" t="inlineStr">
        <is>
          <t>Arc du Chalœil; Collier de Tourthon; Anneau de Brouce; Anneau du Comte Harebourg; Bivalve; Ceinture Gence; Coiffe du Comte Harebourg; Cape de Jahash Jurgen; Bottes du Cœur Saignant; Dofus Nébuleux; Dofus Pourpre; Enragé majeur; Vigoureux majeur; Forcené majeur; Kompost</t>
        </is>
      </c>
    </row>
    <row r="10329">
      <c r="A10329" t="inlineStr">
        <is>
          <t>Steamer F 200</t>
        </is>
      </c>
      <c r="B10329">
        <f>HYPERLINK("https://www.dofusbook.net/fr/equipement/4029094-steamer-f-200/objets", "link")</f>
        <v/>
      </c>
      <c r="C10329" t="n">
        <v>3</v>
      </c>
      <c r="D10329" t="inlineStr">
        <is>
          <t>Baguette de Malléfisk; Torquistik; Bague Instable; Bague Trithon; Bivalve; Ceintrigue; Masque Paztek; Cape Solution; Bottes Owesli; Dofus Ocre; Dofus Abyssal; Dofus Ivoire; Bousculeur majeur; Culbuteur majeur; Culbuteur; Balafreux</t>
        </is>
      </c>
    </row>
    <row r="10330">
      <c r="A10330" t="inlineStr">
        <is>
          <t>eausoin ret pa</t>
        </is>
      </c>
      <c r="B10330">
        <f>HYPERLINK("https://www.dofusbook.net/fr/equipement/1866952-eausoin-ret-pa/objets", "link")</f>
        <v/>
      </c>
      <c r="C10330" t="n">
        <v>4</v>
      </c>
      <c r="D10330" t="inlineStr">
        <is>
          <t>Baguette de Malléfisk; Amulette Volkorne; Lavanneau; Anneau Volkorne; Bouclier d'Ilyzaelle; Ceintrigue; Casque d'Ilyzaelle; Cape Solution; Bottes Owesli; Dofus Ébène; Dofus Ocre; Dofus Ivoire; Dofus Vulbis; Dofus des Glaces; Paralyseur majeur; Ross</t>
        </is>
      </c>
    </row>
    <row r="10331">
      <c r="A10331" t="inlineStr">
        <is>
          <t>terre feu</t>
        </is>
      </c>
      <c r="B10331">
        <f>HYPERLINK("https://www.dofusbook.net/fr/equipement/2479273-terre-feu/objets", "link")</f>
        <v/>
      </c>
      <c r="C10331" t="n">
        <v>9</v>
      </c>
      <c r="D10331" t="inlineStr">
        <is>
          <t>Arc Hétype; Amulette Volkorne; Chevalière du Roi Joueur; Anneau Volkorne; Droiture de Fallanster; Ceinture Volkorne; Couronne du Roi Joueur; Bravoure de Rykke Errel; Bottes du Roi Joueur; Dofus Abyssal; Dofus Ivoire; Dofus Ocre; Dofus des Glaces; Dofus Pourpre; Dofus Ébène; Volkorne Pourpre et Orchidée</t>
        </is>
      </c>
    </row>
    <row r="10332">
      <c r="A10332" t="inlineStr">
        <is>
          <t>Stuff 3</t>
        </is>
      </c>
      <c r="B10332">
        <f>HYPERLINK("https://www.dofusbook.net/fr/equipement/388675-stuff-3/objets", "link")</f>
        <v/>
      </c>
      <c r="C10332" t="n">
        <v>30</v>
      </c>
      <c r="D10332" t="inlineStr">
        <is>
          <t>Arc Hétype; Amulette Volkorne; Chevalière du Roi Joueur; Anneau Volkorne; Sept ans de malheur; Ceinture Volkorne; Couronne du Roi Joueur; Bravoure de Rykke Errel; Bottes du Roi Joueur; Dofus Abyssal; Dofus Ivoire; Dofus Ébène; Dolmanax; Paralyseur majeur; Entraveur majeur; Volkorne Ivoire et Turquoise</t>
        </is>
      </c>
    </row>
    <row r="10333">
      <c r="A10333" t="inlineStr">
        <is>
          <t>Féca M 200</t>
        </is>
      </c>
      <c r="B10333">
        <f>HYPERLINK("https://www.dofusbook.net/fr/equipement/4369801-feca-m-200/objets", "link")</f>
        <v/>
      </c>
      <c r="C10333" t="n">
        <v>17</v>
      </c>
      <c r="D10333" t="inlineStr">
        <is>
          <t>Lav'Hache; Amulette de Pol Ouatnos; Anneau Crustique; Anneau Chevelu; Bouclier d'Ilyzaelle; Ceintouse; Masque de Koutoulou; Bravoure de Rykke Errel; Tentassons; Dofus Ocre; Dofus Ébène; Dofus Abyssal; Dofus Pourpre; Dofus Ivoire; Enragé majeur; Drakopin</t>
        </is>
      </c>
    </row>
    <row r="10334">
      <c r="A10334" t="inlineStr">
        <is>
          <t>Crâ F 200</t>
        </is>
      </c>
      <c r="B10334">
        <f>HYPERLINK("https://www.dofusbook.net/fr/equipement/3839409-cra-f-200/objets", "link")</f>
        <v/>
      </c>
      <c r="C10334" t="n">
        <v>5</v>
      </c>
      <c r="D10334" t="inlineStr">
        <is>
          <t>Le Thanos; Amulette Volkorne; Anneauræus; Anneau Toriété; Cadran de Terre; Ceinture Séculaire; Coiffe Séculaire; Bravoure de Rykke Errel; Pataugastrique; Dofus Abyssal; Dofus Ivoire; Dofus Ébène; Dofus Ocre; Étourdisseur majeur; Érudit majeur; Ross</t>
        </is>
      </c>
    </row>
    <row r="10335">
      <c r="A10335" t="inlineStr">
        <is>
          <t>Crâ F 200</t>
        </is>
      </c>
      <c r="B10335">
        <f>HYPERLINK("https://www.dofusbook.net/fr/equipement/3839221-cra-f-200/objets", "link")</f>
        <v/>
      </c>
      <c r="C10335" t="n">
        <v>1</v>
      </c>
      <c r="D10335" t="inlineStr">
        <is>
          <t>Arc Hétype; Amulette Volkorne; Bague Gloursonne; Chevalière du Roi Joueur; Bouclier du Stalak; Ceinture Volkorne; Couronne du Roi Joueur; Voile d'encre; Bottes du Roi Joueur; Dofus Vulbis; Dofus Nébuleux; Dofus Ébène; Dofus Pourpre; Dofus Ocre; Dofus Ivoire; Dragodinde Ivoire et Orchidée</t>
        </is>
      </c>
    </row>
    <row r="10336">
      <c r="A10336" t="inlineStr">
        <is>
          <t>talka</t>
        </is>
      </c>
      <c r="B10336">
        <f>HYPERLINK("https://www.dofusbook.net/fr/equipement/2697714-talka/objets", "link")</f>
        <v/>
      </c>
      <c r="C10336" t="n">
        <v>1</v>
      </c>
      <c r="D10336" t="inlineStr">
        <is>
          <t>Crocobur; Amulette du Strigide; Alliance Gloursonne; Anneau Volkorne; Bouclier du Captain Amakna; Ceinture du Strigide; Casque Volkorne; Chevelure de Tal Kasha; Sandales de Tal Kasha; Dofus Turquoise; Dofus Ébène; Dofus Ocre; Dofus Abyssal; Dofus Pourpre; Dofus Ivoire; Sakochère</t>
        </is>
      </c>
    </row>
    <row r="10337">
      <c r="A10337" t="inlineStr">
        <is>
          <t>Osamodas F 200</t>
        </is>
      </c>
      <c r="B10337">
        <f>HYPERLINK("https://www.dofusbook.net/fr/equipement/3853423-osamodas-f-200/objets", "link")</f>
        <v/>
      </c>
      <c r="C10337" t="n">
        <v>17</v>
      </c>
      <c r="D10337" t="inlineStr">
        <is>
          <t>Le Thanos; Amulette Volkorne; Anneau Crustique; Bague Gloursonne; Carapar; Ceinture Volkorne; Casque Dragoeuf; Bravoure de Rykke Errel; Bottes Dogues; Dofus des Glaces; Dofus Ocre; Dofus Ivoire; Guérisseur majeur; Remueur; Enragé majeur; Dragodinde Pourpre et Rousse</t>
        </is>
      </c>
    </row>
    <row r="10338">
      <c r="A10338" t="inlineStr">
        <is>
          <t>Osamodas M 200</t>
        </is>
      </c>
      <c r="B10338">
        <f>HYPERLINK("https://www.dofusbook.net/fr/equipement/4369106-osamodas-m-200/objets", "link")</f>
        <v/>
      </c>
      <c r="C10338" t="n">
        <v>4</v>
      </c>
      <c r="D10338" t="inlineStr">
        <is>
          <t>Dagues Ricol; Amulette Volkorne; Alliance du Lévitrof; Bague Gloursonne; Droiture de Fallanster; Ceinture Volkorne; Casque Dragoeuf; Bravoure de Rykke Errel; Bottes Dogues; Dolmanax; Dofus Ocre; Dofus des Glaces; Dofus Abyssal; Dofus Ivoire; Remueur; Dragodinde Orchidée et Pourpre</t>
        </is>
      </c>
    </row>
    <row r="10339">
      <c r="A10339" t="inlineStr">
        <is>
          <t>Crâ F 200</t>
        </is>
      </c>
      <c r="B10339">
        <f>HYPERLINK("https://www.dofusbook.net/fr/equipement/4081732-cra-f-200/objets", "link")</f>
        <v/>
      </c>
      <c r="C10339" t="n">
        <v>19</v>
      </c>
      <c r="D10339" t="inlineStr">
        <is>
          <t>Baguette de Malléfisk; Amulette Martegel; Alliance Gloursonne; Anneau Tique; Cadran de Terre; Ceinture de Vortex; Cagoule de Vortex; Cape Martegel; Sabots de Vortex; Dofus des Glaces; Dofus Ocre; Dofus Vulbis; Dofus Abyssal; Dofus Pourpre; Dofus Ivoire; Ross</t>
        </is>
      </c>
    </row>
    <row r="10340">
      <c r="A10340" t="inlineStr">
        <is>
          <t>Sadida M 200</t>
        </is>
      </c>
      <c r="B10340">
        <f>HYPERLINK("https://www.dofusbook.net/fr/equipement/3472171-sadida-m-200/objets", "link")</f>
        <v/>
      </c>
      <c r="C10340" t="n">
        <v>19</v>
      </c>
      <c r="D10340" t="inlineStr">
        <is>
          <t>Dagues Ricol; Amulette Volkorne; Chevalière du Roi Joueur; Anneau Volkorne; Cadran d'Eau; Ceinture Volkorne; Couronne du Roi Joueur; Bravoure de Rykke Errel; Bottes du Roi Joueur; Dofus Turquoise; Dofus des Glaces; Dofus Pourpre; Dofus Ivoire; Dofus Ocre; Dofus Nébuleux; Dragodinde Ivoire et Pourpre</t>
        </is>
      </c>
    </row>
    <row r="10341">
      <c r="A10341" t="inlineStr">
        <is>
          <t>feu ret</t>
        </is>
      </c>
      <c r="B10341">
        <f>HYPERLINK("https://www.dofusbook.net/fr/equipement/1946369-feu-ret/objets", "link")</f>
        <v/>
      </c>
      <c r="C10341" t="n">
        <v>0</v>
      </c>
      <c r="D10341" t="inlineStr">
        <is>
          <t>Arc Hétype; Amulette Volkorne; Anneau de Nidas; Anneauræus; Cadran d'Eau; Ceinture Séculaire; Couronne de Nidas; Voile d'encre; Bottes Innommables; Dofus Abyssal; Dofus Ocre; Temporiseur majeur; Nomade; Érudit majeur</t>
        </is>
      </c>
    </row>
    <row r="10342">
      <c r="A10342" t="inlineStr">
        <is>
          <t>Stuff 1</t>
        </is>
      </c>
      <c r="B10342">
        <f>HYPERLINK("https://www.dofusbook.net/fr/equipement/388673-stuff-1/objets", "link")</f>
        <v/>
      </c>
      <c r="C10342" t="n">
        <v>10</v>
      </c>
      <c r="D10342" t="inlineStr">
        <is>
          <t>Faux Maudite du Saigneur Guerrier; Amulette du Strigide; Anneau de Padgref; Bouclier du Captain Amakna; Ceinture du Strigide; Coiffe de Padgref; Bravoure de Rykke Errel; Getas de Padgref; Dofus Pourpre; Dofus Turquoise; Dofus Ivoire; Dofus des Glaces; Dofus Ocre; Dofus Abyssal; Kokulte</t>
        </is>
      </c>
    </row>
    <row r="10343">
      <c r="A10343" t="inlineStr">
        <is>
          <t>do pou ini</t>
        </is>
      </c>
      <c r="B10343">
        <f>HYPERLINK("https://www.dofusbook.net/fr/equipement/2251692-do-pou-ini/objets", "link")</f>
        <v/>
      </c>
      <c r="C10343" t="n">
        <v>9</v>
      </c>
      <c r="D10343" t="inlineStr">
        <is>
          <t>Arc du Chalœil; Torquistik; Anneau Instable; Bague Instable; Bouclier précieux; Ceinture Gence; Casque Dragoeuf; Cape Solution; Bottes Trithon; Dofus Abyssal; Dofus Ivoire; Bousculeur majeur; Culbuteur; Pousseur majeur; Culbuteur majeur; Balafreux</t>
        </is>
      </c>
    </row>
    <row r="10344">
      <c r="A10344" t="inlineStr">
        <is>
          <t>tank chaloeil</t>
        </is>
      </c>
      <c r="B10344">
        <f>HYPERLINK("https://www.dofusbook.net/fr/equipement/4582609-tank-chaloeil-/objets", "link")</f>
        <v/>
      </c>
      <c r="C10344" t="n">
        <v>15</v>
      </c>
      <c r="D10344" t="inlineStr">
        <is>
          <t>Héqache; Collier du Valet Veinard; Anneau Crustique; Bague Trithon; Bouclier d'Anerice; Ceinture de Dame Jhessica; Chapeau de Tournoyé; Cape du Valet Veinard; Palmes Trithons; Dofus Ivoire; Obstructeur; Obstructeur majeur; Tacleur majeur; Bloqueur; Bloqueur majeur; Givrefoux</t>
        </is>
      </c>
    </row>
    <row r="10345">
      <c r="A10345" t="inlineStr">
        <is>
          <t>Huppermage F 200</t>
        </is>
      </c>
      <c r="B10345">
        <f>HYPERLINK("https://www.dofusbook.net/fr/equipement/4561447-huppermage-f-200/objets", "link")</f>
        <v/>
      </c>
      <c r="C10345" t="n">
        <v>0</v>
      </c>
      <c r="D10345" t="inlineStr">
        <is>
          <t>Amulette d'Ilyzaelle; Alliance Gloursonne; Anneau Volkorne; Bouclier d'Ilyzaelle; Ceinture de Dame Jhessica; Casque d'Ilyzaelle; Cape du Sinistrofu; Bottes du Sinistrofu; Dofus Vulbis; Dofus Abyssal; Dofus Pourpre; Dofus Ivoire; Dofus Émeraude; Dofus Ocre; Kanigloups</t>
        </is>
      </c>
    </row>
    <row r="10346">
      <c r="A10346" t="inlineStr">
        <is>
          <t>Steamer M 200</t>
        </is>
      </c>
      <c r="B10346">
        <f>HYPERLINK("https://www.dofusbook.net/fr/equipement/3827285-steamer-m-200/objets", "link")</f>
        <v/>
      </c>
      <c r="C10346" t="n">
        <v>4</v>
      </c>
      <c r="D10346" t="inlineStr">
        <is>
          <t>Plume de Buhorado; Amibou; Bague Trithon; Alliance Gloursonne; Quatre-feuilles; Menoture; Casque Dragoeuf; Capibou; Bottes Trithon; Dofus Abyssal; Dofus Turquoise; Dofus Ivoire; Dofus Pourpre; Dofus Ocre; Bousculeur majeur; Tofoudre</t>
        </is>
      </c>
    </row>
    <row r="10347">
      <c r="A10347" t="inlineStr">
        <is>
          <t>Sram M 200</t>
        </is>
      </c>
      <c r="B10347">
        <f>HYPERLINK("https://www.dofusbook.net/fr/equipement/4518417-sram-m-200/objets", "link")</f>
        <v/>
      </c>
      <c r="C10347" t="n">
        <v>7</v>
      </c>
      <c r="D10347" t="inlineStr">
        <is>
          <t>Héqache; Amulette du Strigide; Anneau Chevelu; Bague Trithon; Bouclier d'Ilyzaelle; Ceinture du Strigide; Masque de Koutoulou; Cape au Logis; Bottes Trithon; Dofus des Glaces; Dofus Ocre; Dofus Pourpre; Dofus Abyssal; Dofus Turquoise; Dofus Ivoire; Dragodinde Ivoire et Pourpre</t>
        </is>
      </c>
    </row>
    <row r="10348">
      <c r="A10348" t="inlineStr">
        <is>
          <t>Féca M 200</t>
        </is>
      </c>
      <c r="B10348">
        <f>HYPERLINK("https://www.dofusbook.net/fr/equipement/4070957-feca-m-200/objets", "link")</f>
        <v/>
      </c>
      <c r="C10348" t="n">
        <v>0</v>
      </c>
      <c r="D10348" t="inlineStr">
        <is>
          <t>Crocobur; Amulette du Strigide; Anneau Crustique; Anneau Chevelu; Droiture de Fallanster; Ceinture du Strigide; Masque Trithon; Cape au Logis; Bottes Trithon; Dofus Pourpre; Dofus Vulbis; Dofus Ocre; Dofus Turquoise; Dofus Ivoire; Kokulte</t>
        </is>
      </c>
    </row>
    <row r="10349">
      <c r="A10349" t="inlineStr">
        <is>
          <t>Roublard F 200</t>
        </is>
      </c>
      <c r="B10349">
        <f>HYPERLINK("https://www.dofusbook.net/fr/equipement/4109052-roublard-f-200/objets", "link")</f>
        <v/>
      </c>
      <c r="C10349" t="n">
        <v>1</v>
      </c>
      <c r="D10349" t="inlineStr">
        <is>
          <t>Dagoulinantes; Amulette de Shokkoth; Alliance Gloursonne; Anneau Volkorne; Cadran de Terre; Culotte de Bethel; Masque de Funespadon; Cape Solution; Pataugastrique; Dofus des Glaces; Dofus Abyssal; Dofus Ébène; Dofus Ivoire; Nomade; Étourdisseur majeur; Dragodinde Indigo et Ivoire</t>
        </is>
      </c>
    </row>
    <row r="10350">
      <c r="A10350" t="inlineStr">
        <is>
          <t>terre</t>
        </is>
      </c>
      <c r="B10350">
        <f>HYPERLINK("https://www.dofusbook.net/fr/equipement/2106818-terre/objets", "link")</f>
        <v/>
      </c>
      <c r="C10350" t="n">
        <v>1</v>
      </c>
      <c r="D10350" t="inlineStr">
        <is>
          <t>Arc Honte; Amulette Volkorne; Chevalière du Roi Joueur; Bague Gloursonne; Bouclier du Stalak; Ceinture Volkorne; Couronne du Roi Joueur; Cape de Jahash Jurgen; Bottes du Roi Joueur; Dofus Ocre; Dofus Ébène; Dofus Vulbis; Dofus Abyssal; Dofus Pourpre; Dofus Ivoire; Bwak de Terre</t>
        </is>
      </c>
    </row>
    <row r="10351">
      <c r="A10351" t="inlineStr">
        <is>
          <t>eau 1</t>
        </is>
      </c>
      <c r="B10351">
        <f>HYPERLINK("https://www.dofusbook.net/fr/equipement/3820231-eau-1/objets", "link")</f>
        <v/>
      </c>
      <c r="C10351" t="n">
        <v>4</v>
      </c>
      <c r="D10351" t="inlineStr">
        <is>
          <t>Sceptre du Roi Joueur; Amulette de Shokkoth; Alliance Gloursonne; Anneau Volkorne; Bouclier du Stalak; Sangle Ouare; Masque de Funespadon; Cape Solution; Chaussons de Macrab; Dofus Ébène; Dofus Ocre; Dofus Pourpre; Dofus Abyssal; Dofus Ivoire; Étourdisseur majeur; Dragoune Rose</t>
        </is>
      </c>
    </row>
    <row r="10352">
      <c r="A10352" t="inlineStr">
        <is>
          <t>Roublard M 200</t>
        </is>
      </c>
      <c r="B10352">
        <f>HYPERLINK("https://www.dofusbook.net/fr/equipement/4498883-roublard-m-200/objets", "link")</f>
        <v/>
      </c>
      <c r="C10352" t="n">
        <v>3</v>
      </c>
      <c r="D10352" t="inlineStr">
        <is>
          <t>Arc Hétype; Amulette Volkorne; Anneauræus; Anneauræus; Bouclier du Stalak; Ceinture Volkorne; Heaume Oplate; Voile d'encre; Bottes Innommables; Dofus Ocre; Dofus Ébène; Dofus Abyssal; Dofus Vulbis; Dofus Ivoire; Érudit majeur; Dragodinde Prune et Orchidée</t>
        </is>
      </c>
    </row>
    <row r="10353">
      <c r="A10353" t="inlineStr">
        <is>
          <t>feu eau</t>
        </is>
      </c>
      <c r="B10353">
        <f>HYPERLINK("https://www.dofusbook.net/fr/equipement/3442452-feu-eau/objets", "link")</f>
        <v/>
      </c>
      <c r="C10353" t="n">
        <v>3</v>
      </c>
      <c r="D10353" t="inlineStr">
        <is>
          <t>Pyraguette; Amulette Volkorne; Anneau Volkorne; Alliance Gloursonne; Bouclier du Stalak; Ceintrigue; Masque Paztek; Cape Solution; Bottes Owesli; Dofus Ocre; Dofus Ivoire; Dofus Pourpre; Dofus des Glaces; Dofus Ébène; Dofus Abyssal</t>
        </is>
      </c>
    </row>
    <row r="10354">
      <c r="A10354" t="inlineStr">
        <is>
          <t>stuff test</t>
        </is>
      </c>
      <c r="B10354">
        <f>HYPERLINK("https://www.dofusbook.net/fr/equipement/1367545-stuff-test/objets", "link")</f>
        <v/>
      </c>
      <c r="C10354" t="n">
        <v>4</v>
      </c>
      <c r="D10354" t="inlineStr">
        <is>
          <t>Arc Honte; Amulette Volkorne; Anneau Volkorne; Alliance Gloursonne; Cadran de Terre; Ceinture de Vortex; Casque Volkorne; Cape Martegel; Pataugastrique; Dofus Ivoire; Dofus Pourpre; Dofus Abyssal; Dofus Ocre; Dofus Ébène; Étourdisseur majeur; Minimino</t>
        </is>
      </c>
    </row>
    <row r="10355">
      <c r="A10355" t="inlineStr">
        <is>
          <t>Huppermage M 200</t>
        </is>
      </c>
      <c r="B10355">
        <f>HYPERLINK("https://www.dofusbook.net/fr/equipement/4503041-huppermage-m-200/objets", "link")</f>
        <v/>
      </c>
      <c r="C10355" t="n">
        <v>2</v>
      </c>
      <c r="D10355" t="inlineStr">
        <is>
          <t>Arc corrompu; Amulette de Nileza; Anneauræus; Anneauræus; Cadran de Terre; Ceinture de Vortex; Masque Ardent; Cape de Diondin; Chaussures Ardentes; Dofus Ocre; Dofus Ébène; Dofus Abyssal; Dofus Vulbis; Dofus Ivoire; Érudit majeur; Koalak Sanguin</t>
        </is>
      </c>
    </row>
    <row r="10356">
      <c r="A10356" t="inlineStr">
        <is>
          <t>Pandawa F 200</t>
        </is>
      </c>
      <c r="B10356">
        <f>HYPERLINK("https://www.dofusbook.net/fr/equipement/4500004-pandawa-f-200/objets", "link")</f>
        <v/>
      </c>
      <c r="C10356" t="n">
        <v>0</v>
      </c>
      <c r="D10356" t="inlineStr">
        <is>
          <t>Arc du Chalœil; Amulette du Strigide; Anneau Chevelu; Anneau Volkorne; Quatre-feuilles; Ceinture Volkorne; Masque de Koutoulou; Cape au Logis; Bottes du Cœur Saignant; Dofus Abyssal; Dofus Turquoise; Dofus Ivoire; Dofus Ocre; Dofus Ébène; Enragé majeur; Dragodinde Ivoire et Pourpre</t>
        </is>
      </c>
    </row>
    <row r="10357">
      <c r="A10357" t="inlineStr">
        <is>
          <t>Pandawa F 200</t>
        </is>
      </c>
      <c r="B10357">
        <f>HYPERLINK("https://www.dofusbook.net/fr/equipement/3537645-pandawa-f-200/objets", "link")</f>
        <v/>
      </c>
      <c r="C10357" t="n">
        <v>5</v>
      </c>
      <c r="D10357" t="inlineStr">
        <is>
          <t>Dagues d'Ilyzaelle; Amulette du Cœur Saignant; Anneau Volkorne; Alliance de Missiz Frizz; Bouclier du Captain Amakna; Ceinture Volkorne; Casque de Missiz Frizz; Cape du Cœur Saignant; Bottes du Cœur Saignant; Dofus des Glaces; Dofus Abyssal; Dofus Pourpre; Dofus Ébène; Dofus Turquoise; Dofus Ocre; Pioute vert</t>
        </is>
      </c>
    </row>
    <row r="10358">
      <c r="A10358" t="inlineStr">
        <is>
          <t>feu rox</t>
        </is>
      </c>
      <c r="B10358">
        <f>HYPERLINK("https://www.dofusbook.net/fr/equipement/2153592-feu-rox/objets", "link")</f>
        <v/>
      </c>
      <c r="C10358" t="n">
        <v>3</v>
      </c>
      <c r="D10358" t="inlineStr">
        <is>
          <t>Dagues Cacterre; Amulette Volkorne; Anneau Volkorne; Bague Trithon; Bouclier du Captain Amakna; Ceintacé; Masque Trithon; Cape de la Dame du Hasard; Bottes de la Dame du Hasard; Dofus Ébène; Dofus Pourpre; Dofus Ocre; Dofus Abyssal; Dofus Turquoise; Dofus des Glaces; Kokulte</t>
        </is>
      </c>
    </row>
    <row r="10359">
      <c r="A10359" t="inlineStr">
        <is>
          <t>Zobal M 200</t>
        </is>
      </c>
      <c r="B10359">
        <f>HYPERLINK("https://www.dofusbook.net/fr/equipement/3306602-zobal-m-200/objets", "link")</f>
        <v/>
      </c>
      <c r="C10359" t="n">
        <v>24</v>
      </c>
      <c r="D10359" t="inlineStr">
        <is>
          <t>Dagues Érhy; Amulette du Strigide; Bague Gloursonne; Chevalière du Roi Joueur; Bouclier du Captain Amakna; Ceinture du Strigide; Couronne du Roi Joueur; Sac Volcanique; Bottes du Roi Joueur; Dofus Turquoise; Dofus Abyssal; Dofus Ocre; Dofus Ébène; Dofus Pourpre; Dofus des Glaces; Kokulte</t>
        </is>
      </c>
    </row>
    <row r="10360">
      <c r="A10360" t="inlineStr">
        <is>
          <t>Crâ F 200</t>
        </is>
      </c>
      <c r="B10360">
        <f>HYPERLINK("https://www.dofusbook.net/fr/equipement/4339156-cra-f-200/objets", "link")</f>
        <v/>
      </c>
      <c r="C10360" t="n">
        <v>0</v>
      </c>
      <c r="D10360" t="inlineStr">
        <is>
          <t>Marteau R'ture; Amulette Volcanique; Anneau Tamie; Anneau Tamie; Bouclier cubiste; Casquipik; Cape de Léthaline; Pantoufles Émar; Dofus Ocre; Entraveur; Entraveur majeur; Temporiseur; Temporiseur majeur; Ralentisseur majeur; Léopardo</t>
        </is>
      </c>
    </row>
    <row r="10361">
      <c r="A10361" t="inlineStr">
        <is>
          <t>feu</t>
        </is>
      </c>
      <c r="B10361">
        <f>HYPERLINK("https://www.dofusbook.net/fr/equipement/1950212-feu/objets", "link")</f>
        <v/>
      </c>
      <c r="C10361" t="n">
        <v>2</v>
      </c>
      <c r="D10361" t="inlineStr">
        <is>
          <t>Arc Hétype; Amulette Volkorne; Anneau Tique; Bague Gloursonne; Droiture de Fallanster; Ceinture Volkorne; Casque Dragoeuf; Bravoure de Rykke Errel; Bottes Honyme; Dofus Abyssal; Dofus Ivoire; Dofus Vulbis; Dofus Ébène; Dofus Ocre; Érudit majeur; Bisouglours</t>
        </is>
      </c>
    </row>
    <row r="10362">
      <c r="A10362" t="inlineStr">
        <is>
          <t>Sadida M 200</t>
        </is>
      </c>
      <c r="B10362">
        <f>HYPERLINK("https://www.dofusbook.net/fr/equipement/3672221-sadida-m-200/objets", "link")</f>
        <v/>
      </c>
      <c r="C10362" t="n">
        <v>4</v>
      </c>
      <c r="D10362" t="inlineStr">
        <is>
          <t>Dagues Érhy; Amulette Volkorne; Anneau de Pol Ouatnos; Chevalière du Roi Joueur; Bouclier cubiste; Ceinture Volkorne; Couronne du Roi Joueur; Bravoure de Rykke Errel; Bottes du Roi Joueur; Dofus Ébène; Dofus des Glaces; Dofus Pourpre; Dofus Ivoire; Dolmanax; Dofus Ocre; Léopardo</t>
        </is>
      </c>
    </row>
    <row r="10363">
      <c r="A10363" t="inlineStr">
        <is>
          <t>stuff1</t>
        </is>
      </c>
      <c r="B10363">
        <f>HYPERLINK("https://www.dofusbook.net/fr/equipement/1463786-stuff1/objets", "link")</f>
        <v/>
      </c>
      <c r="C10363" t="n">
        <v>17</v>
      </c>
      <c r="D10363" t="inlineStr">
        <is>
          <t>Bâton Beau; Amulette du Strigide; Bracelet du Piloztère; Anneau de Padgref; Quatre-feuilles; Ceinture du Strigide; Coiffe de Padgref; Cape de Jahash Jurgen; Getas de Padgref; Dofus Pourpre; Dofus Vulbis; Dofus des Glaces; Dofus Ébène; Dofus Turquoise; Dofus Ocre; Sakochère</t>
        </is>
      </c>
    </row>
    <row r="10364">
      <c r="A10364" t="inlineStr">
        <is>
          <t>Ecaflip M 200</t>
        </is>
      </c>
      <c r="B10364">
        <f>HYPERLINK("https://www.dofusbook.net/fr/equipement/4212579-ecaflip-m-200/objets", "link")</f>
        <v/>
      </c>
      <c r="C10364" t="n">
        <v>22</v>
      </c>
      <c r="D10364" t="inlineStr">
        <is>
          <t>Bâton Beau; Amulette du Strigide; Anneau Volkorne; Bracelet du Piloztère; Quatre-feuilles; Ceinture du Strigide; Casque Volkorne; Cape de Jahash Jurgen; Bottes du Strigide; Dofus des Glaces; Dofus Ébène; Dofus Turquoise; Dofus Pourpre; Dofus Vulbis; Dofus Ocre; Fëanor</t>
        </is>
      </c>
    </row>
    <row r="10365">
      <c r="A10365" t="inlineStr">
        <is>
          <t>Eniripsa F 200</t>
        </is>
      </c>
      <c r="B10365">
        <f>HYPERLINK("https://www.dofusbook.net/fr/equipement/4117466-eniripsa-f-200/objets", "link")</f>
        <v/>
      </c>
      <c r="C10365" t="n">
        <v>1</v>
      </c>
      <c r="D10365" t="inlineStr">
        <is>
          <t>Arc Volkorne; Amulette Volkorne; Anneau Volkorne; Anneau de Padgref; Quatre-feuilles; Ceinture Volkorne; Coiffe de Padgref; Getas de Padgref; Dofus des Glaces; Dofus Ocre; Dofus Turquoise; Dofus Abyssal; Dofus Pourpre; Kokulte</t>
        </is>
      </c>
    </row>
    <row r="10366">
      <c r="A10366" t="inlineStr">
        <is>
          <t>Iop M 200</t>
        </is>
      </c>
      <c r="B10366">
        <f>HYPERLINK("https://www.dofusbook.net/fr/equipement/4217124-iop-m-200/objets", "link")</f>
        <v/>
      </c>
      <c r="C10366" t="n">
        <v>0</v>
      </c>
      <c r="D10366" t="inlineStr">
        <is>
          <t>Plume de Buhorado; Amibou; Alliance Gloursonne; Bague Trithon; Bouclier Taverne; Sangle Oriole; Chapibou; Capibou; Bottes Trithon; Dofus Ocre; Dofus Abyssal; Dofus Ivoire; Dofus Turquoise; Dofus Ébène; Bousculeur majeur; Tofoudre</t>
        </is>
      </c>
    </row>
    <row r="10367">
      <c r="A10367" t="inlineStr">
        <is>
          <t>air</t>
        </is>
      </c>
      <c r="B10367">
        <f>HYPERLINK("https://www.dofusbook.net/fr/equipement/1511820-air/objets", "link")</f>
        <v/>
      </c>
      <c r="C10367" t="n">
        <v>12</v>
      </c>
      <c r="D10367" t="inlineStr">
        <is>
          <t>Épée du Granduk; Amulette du Granduk; Alliance Gloursonne; Anneau d'Allister; Quatre-feuilles; Menoture; Capuche de Moum-Ra; Cape de Klime; Palmes Trithons; Dofus Pourpre; Dofus Ocre; Dofus Turquoise; Cascadeur majeur; Equilibriste majeur; Nomade; Dragodinde Ebène et Emeraude</t>
        </is>
      </c>
    </row>
    <row r="10368">
      <c r="A10368" t="inlineStr">
        <is>
          <t>Zobal M 200</t>
        </is>
      </c>
      <c r="B10368">
        <f>HYPERLINK("https://www.dofusbook.net/fr/equipement/3962318-zobal-m-200/objets", "link")</f>
        <v/>
      </c>
      <c r="C10368" t="n">
        <v>9</v>
      </c>
      <c r="D10368" t="inlineStr">
        <is>
          <t>Arc du Chalœil; Torquistik; Bague Trithon; Baguistik; Bouclier précieux; Ceinture Gence; Casque Dragoeuf; Cape Solution; Bottes du Cœur Vaillant; Dofus Ivoire; Dofus Abyssal; Bousculeur majeur; Culbuteur; Culbuteur majeur; Pousseur majeur; Tatouf</t>
        </is>
      </c>
    </row>
    <row r="10369">
      <c r="A10369" t="inlineStr">
        <is>
          <t>Xélor M 200</t>
        </is>
      </c>
      <c r="B10369">
        <f>HYPERLINK("https://www.dofusbook.net/fr/equipement/4048214-xelor-m-200/objets", "link")</f>
        <v/>
      </c>
      <c r="C10369" t="n">
        <v>11</v>
      </c>
      <c r="D10369" t="inlineStr">
        <is>
          <t>Sceptre du Roi Joueur; Amulette de Shokkoth; Anneau Volkorne; Alliance Gloursonne; Cadran de Terre; Culotte de Bethel; Casque Dragoeuf; Cape Matelassée; Chaussons de Macrab; Dofus Vulbis; Dofus Ivoire; Dofus Ocre; Dofus Ébène; Dofus Abyssal; Chanceux majeur; Minimino</t>
        </is>
      </c>
    </row>
    <row r="10370">
      <c r="A10370" t="inlineStr">
        <is>
          <t>Huppermage M 200</t>
        </is>
      </c>
      <c r="B10370">
        <f>HYPERLINK("https://www.dofusbook.net/fr/equipement/4369478-huppermage-m-200/objets", "link")</f>
        <v/>
      </c>
      <c r="C10370" t="n">
        <v>8</v>
      </c>
      <c r="D10370" t="inlineStr">
        <is>
          <t>Harpelle; Pendentif mignon de Koutoulou; Anneau Rifique; Anneauræus; Droiture de Fallanster; Ceinture de Vortex; Casque Dragoeuf; Bravoure de Rykke Errel; Pataugastrique; Dofus Ébène; Dofus Abyssal; Dofus Vulbis; Dofus Ivoire; Dofus Ocre; Érudit majeur; Dragodinde Ivoire et Orchidée</t>
        </is>
      </c>
    </row>
    <row r="10371">
      <c r="A10371" t="inlineStr">
        <is>
          <t>Ouginak M 200</t>
        </is>
      </c>
      <c r="B10371">
        <f>HYPERLINK("https://www.dofusbook.net/fr/equipement/4369385-ouginak-m-200/objets", "link")</f>
        <v/>
      </c>
      <c r="C10371" t="n">
        <v>11</v>
      </c>
      <c r="D10371" t="inlineStr">
        <is>
          <t>Lav'Hache; Amulette du Strigide; Anneau Chevelu; Anneau Volkorne; Droiture de Fallanster; Ceinture Volkorne; Masque de Koutoulou; Bravoure de Rykke Errel; Bottes du Strigide; Dofus Vulbis; Dofus Ivoire; Dofus Ocre; Dofus Ébène; Dofus Pourpre; Dofus Abyssal; Dragodinde Ivoire et Pourpre</t>
        </is>
      </c>
    </row>
    <row r="10372">
      <c r="A10372" t="inlineStr">
        <is>
          <t>Pandawa pvm</t>
        </is>
      </c>
      <c r="B10372">
        <f>HYPERLINK("https://www.dofusbook.net/fr/equipement/3984515-pandawa-pvm/objets", "link")</f>
        <v/>
      </c>
      <c r="C10372" t="n">
        <v>8</v>
      </c>
      <c r="D10372" t="inlineStr">
        <is>
          <t>Rouleau à Pâtisserie d'Aermyne; Amulette Ementaire Deluxe; Alliance Gloursonne; Anneau Raille; Bouclier Bontarien; Sangle Huée; Chapeau Lithique; Cape Wéra; Getas Bernacle; Dofus Émeraude; Dofus Ocre; Dofus Ivoire; Dofus Abyssal; Examinateur; Précurseur majeur</t>
        </is>
      </c>
    </row>
    <row r="10373">
      <c r="A10373" t="inlineStr">
        <is>
          <t>Eniripsa F 200</t>
        </is>
      </c>
      <c r="B10373">
        <f>HYPERLINK("https://www.dofusbook.net/fr/equipement/4349590-eniripsa-f-200/objets", "link")</f>
        <v/>
      </c>
      <c r="C10373" t="n">
        <v>1</v>
      </c>
      <c r="D10373" t="inlineStr">
        <is>
          <t>Arc corrompu; Amulette Martegel; Anneauræus; Anneauræus; Bouclier du Stalak; Ceinture Séculaire; Masquegel; Bottes Innommables; Dofus Abyssal; Dofus Ivoire; Dofus Ocre; Nomade; Érudit majeur; Bisouglours</t>
        </is>
      </c>
    </row>
    <row r="10374">
      <c r="A10374" t="inlineStr">
        <is>
          <t>Pandawa M 200</t>
        </is>
      </c>
      <c r="B10374">
        <f>HYPERLINK("https://www.dofusbook.net/fr/equipement/4344852-pandawa-m-200/objets", "link")</f>
        <v/>
      </c>
      <c r="C10374" t="n">
        <v>3</v>
      </c>
      <c r="D10374" t="inlineStr">
        <is>
          <t>Epée Gloursonne; Amulette Ementaire Deluxe; Alliance Gloursonne; Bague Gloursonne; Bouclier Bontarien; Ceinture de XLII; Casque Dragoeuf; Cape d'Anerice; Bottes de XLII; Dofus Ivoire; Dofus Abyssal; Dofus Ocre; Voyageur; Cuirassé Eau majeur; Miniminotot</t>
        </is>
      </c>
    </row>
    <row r="10375">
      <c r="A10375" t="inlineStr">
        <is>
          <t>Enutrof M 200</t>
        </is>
      </c>
      <c r="B10375">
        <f>HYPERLINK("https://www.dofusbook.net/fr/equipement/4344942-enutrof-m-200/objets", "link")</f>
        <v/>
      </c>
      <c r="C10375" t="n">
        <v>2</v>
      </c>
      <c r="D10375" t="inlineStr">
        <is>
          <t>Baguette Hique; Amulette Volcanique; Anneau Tamie; Bague Instable; Bouclier cubiste; Ceinture Instable; Billréole; Cape de Léthaline; Pikottes; Dofus Ocre; Entraveur majeur; Initiateur majeur; Temporiseur majeur; Précurseur majeur; Fonceur majeur; Kougnard</t>
        </is>
      </c>
    </row>
    <row r="10376">
      <c r="A10376" t="inlineStr">
        <is>
          <t>Enutrof M 200</t>
        </is>
      </c>
      <c r="B10376">
        <f>HYPERLINK("https://www.dofusbook.net/fr/equipement/4329552-enutrof-m-200/objets", "link")</f>
        <v/>
      </c>
      <c r="C10376" t="n">
        <v>4</v>
      </c>
      <c r="D10376" t="inlineStr">
        <is>
          <t>Marteau R'ture; Amulette Volcanique; Anneau Tamie; Bague Instable; Bouclier cubiste; Ceinture Instable; Casquipik; Cape de Léthaline; Pantoufles Émar; Dofus Ocre; Temporiseur; Temporiseur majeur; Ralentisseur majeur; Entraveur; Entraveur majeur; Léopardo</t>
        </is>
      </c>
    </row>
    <row r="10377">
      <c r="A10377" t="inlineStr">
        <is>
          <t>Roublard M 200</t>
        </is>
      </c>
      <c r="B10377">
        <f>HYPERLINK("https://www.dofusbook.net/fr/equipement/4120748-roublard-m-200/objets", "link")</f>
        <v/>
      </c>
      <c r="C10377" t="n">
        <v>1</v>
      </c>
      <c r="D10377" t="inlineStr">
        <is>
          <t>Hachoirs de Viandargh; Amibou; Anneau d'Allister; Alliance Gloursonne; Bouclier cubiste; Menoture; Capuche de l'Œil Putride; Capibou; Chaussures Face; Dofus des Glaces; Dofus Vulbis; Dofus Ocre; Cascadeur majeur; Entraveur majeur; Temporiseur majeur; Léopardo</t>
        </is>
      </c>
    </row>
    <row r="10378">
      <c r="A10378" t="inlineStr">
        <is>
          <t>Osamodas F 200</t>
        </is>
      </c>
      <c r="B10378">
        <f>HYPERLINK("https://www.dofusbook.net/fr/equipement/4304911-osamodas-f-200/objets", "link")</f>
        <v/>
      </c>
      <c r="C10378" t="n">
        <v>1</v>
      </c>
      <c r="D10378" t="inlineStr">
        <is>
          <t>Pyraguette; Amulette de Shokkoth; Anneau Volkorne; Alliance Gloursonne; Bouclier du Stalak; Ceinture de la Reine des Voleurs; Kidibonnet; Cape Solution; Bottes de la Reine des Voleurs; Dofus des Glaces; Dofus Abyssal; Dévastateur Eau majeur; Nomade; Chanceux majeur; Saccageur Eau majeur; Kanigloups</t>
        </is>
      </c>
    </row>
    <row r="10379">
      <c r="A10379" t="inlineStr">
        <is>
          <t>Pandawa M 200</t>
        </is>
      </c>
      <c r="B10379">
        <f>HYPERLINK("https://www.dofusbook.net/fr/equipement/4125038-pandawa-m-200/objets", "link")</f>
        <v/>
      </c>
      <c r="C10379" t="n">
        <v>2</v>
      </c>
      <c r="D10379" t="inlineStr">
        <is>
          <t>Arc Volkorne; Amulette Volkorne; Anneau de Padgref; Anneau Volkorne; Quatre-feuilles; Ceinture Volkorne; Coiffe de Padgref; Cape d'Anerice; Getas de Padgref; Dofus Ébène; Dofus Turquoise; Dofus des Glaces; Dofus Ocre; Dofus Abyssal; Dofus Pourpre; Sakochère</t>
        </is>
      </c>
    </row>
    <row r="10380">
      <c r="A10380" t="inlineStr">
        <is>
          <t>Zobal F 200</t>
        </is>
      </c>
      <c r="B10380">
        <f>HYPERLINK("https://www.dofusbook.net/fr/equipement/3878254-zobal-f-200/objets", "link")</f>
        <v/>
      </c>
      <c r="C10380" t="n">
        <v>7</v>
      </c>
      <c r="D10380" t="inlineStr">
        <is>
          <t>Baguette Hernelle; Amulette du Strigide; Anneau d'Allister; Anneau de Padgref; Quatre-feuilles; Ceinture du Strigide; Coiffe de Padgref; Cape Indescriptible; Getas de Padgref; Dofus Pourpre; Dofus des Glaces; Dofus Turquoise; Dofus Vulbis; Dofus Ocre; Dofus Abyssal; Kokulte</t>
        </is>
      </c>
    </row>
    <row r="10381">
      <c r="A10381" t="inlineStr">
        <is>
          <t>Sram M 200</t>
        </is>
      </c>
      <c r="B10381">
        <f>HYPERLINK("https://www.dofusbook.net/fr/equipement/3967853-sram-m-200/objets", "link")</f>
        <v/>
      </c>
      <c r="C10381" t="n">
        <v>3</v>
      </c>
      <c r="D10381" t="inlineStr">
        <is>
          <t>Dagues Lassay; Amulette Volkorne; Bague Gloursonne; Chevalière du Roi Joueur; Bouclier du Stalak; Ceinture Volkorne; Couronne du Roi Joueur; Sac Volcanique; Bottes du Roi Joueur; Dofus Abyssal; Dofus Ocre; Dofus des Glaces; Dofus Ébène; Dofus Pourpre; Robuste majeur; Volkorne Pourpre et Orchidée</t>
        </is>
      </c>
    </row>
    <row r="10382">
      <c r="A10382" t="inlineStr">
        <is>
          <t>air</t>
        </is>
      </c>
      <c r="B10382">
        <f>HYPERLINK("https://www.dofusbook.net/fr/equipement/2155763-air/objets", "link")</f>
        <v/>
      </c>
      <c r="C10382" t="n">
        <v>10</v>
      </c>
      <c r="D10382" t="inlineStr">
        <is>
          <t>Manthache; Collier du Valet Veinard; Gant du Valet Veinard; Anneau d'Allister; Bouclier du Stalak; Sangle Oriole; Couronne d'Allister; Cape du Valet Veinard; Bottes d'Allister; Dofus Vulbis; Dofus Ocre; Dofus Pourpre; Dofus des Glaces; Equilibriste majeur; Saccageur Air majeur; Blérodoudou</t>
        </is>
      </c>
    </row>
    <row r="10383">
      <c r="A10383" t="inlineStr">
        <is>
          <t>Ecaflip M 200</t>
        </is>
      </c>
      <c r="B10383">
        <f>HYPERLINK("https://www.dofusbook.net/fr/equipement/3967889-ecaflip-m-200/objets", "link")</f>
        <v/>
      </c>
      <c r="C10383" t="n">
        <v>4</v>
      </c>
      <c r="D10383" t="inlineStr">
        <is>
          <t>Bâton Beau; Amulette du Strigide; Anneau Volkorne; Bracelet du Piloztère; Bouclier du Stalak; Ceinture du Strigide; Casque Volkorne; Cape Reski; Bottes du Strigide; Dofus Turquoise; Dofus Ébène; Dofus Ocre; Dofus Vulbis; Dofus Pourpre; Robuste majeur; Chacha Angora</t>
        </is>
      </c>
    </row>
    <row r="10384">
      <c r="A10384" t="inlineStr">
        <is>
          <t>stuff2</t>
        </is>
      </c>
      <c r="B10384">
        <f>HYPERLINK("https://www.dofusbook.net/fr/equipement/1506632-stuff2/objets", "link")</f>
        <v/>
      </c>
      <c r="C10384" t="n">
        <v>25</v>
      </c>
      <c r="D10384" t="inlineStr">
        <is>
          <t>Marteau R'ture; Amulette du Cœur Saignant; Chevalière du Roi Joueur; Anneau Volkorne; Bouclier cubiste; Ceinture Volkorne; Couronne du Roi Joueur; Cape du Cœur Saignant; Bottes du Cœur Saignant; Dofus Pourpre; Dofus Vulbis; Dofus Ocre; Ralentisseur majeur; Entraveur majeur; Léopardo</t>
        </is>
      </c>
    </row>
    <row r="10385">
      <c r="A10385" t="inlineStr">
        <is>
          <t>stuff 2</t>
        </is>
      </c>
      <c r="B10385">
        <f>HYPERLINK("https://www.dofusbook.net/fr/equipement/1515367-stuff-2/objets", "link")</f>
        <v/>
      </c>
      <c r="C10385" t="n">
        <v>6</v>
      </c>
      <c r="D10385" t="inlineStr">
        <is>
          <t>Baguette Hernelle; Amulette du Strigide; Kralano; Anneau de Padgref; Quatre-feuilles; Ceinture du Strigide; Coiffe de Padgref; Cape d'Atcham; Getas de Padgref; Dofus Ocre; Dofus Turquoise; Dofus des Glaces; Dofus Ébène; Dofus Pourpre; Dofus Vulbis; Kokulte</t>
        </is>
      </c>
    </row>
    <row r="10386">
      <c r="A10386" t="inlineStr">
        <is>
          <t>Sacrieur F 200</t>
        </is>
      </c>
      <c r="B10386">
        <f>HYPERLINK("https://www.dofusbook.net/fr/equipement/3982509-sacrieur-f-200/objets", "link")</f>
        <v/>
      </c>
      <c r="C10386" t="n">
        <v>9</v>
      </c>
      <c r="D10386" t="inlineStr">
        <is>
          <t>Le Thanos; Collier Rophante; Anneauræus; Anneau de Pol Ouatnos; Trompe-la-Mort; Poulpagne; Masque d'Anerice; Cape d'Anerice; Bottes Innommables; Dofus Émeraude; Dofus Abyssal; Dofus Ivoire; Remueur; Guérisseur majeur; Miraculé majeur; Dragodinde Prune et Rousse</t>
        </is>
      </c>
    </row>
    <row r="10387">
      <c r="A10387" t="inlineStr">
        <is>
          <t>Iop M 200</t>
        </is>
      </c>
      <c r="B10387">
        <f>HYPERLINK("https://www.dofusbook.net/fr/equipement/4216528-iop-m-200/objets", "link")</f>
        <v/>
      </c>
      <c r="C10387" t="n">
        <v>31</v>
      </c>
      <c r="D10387" t="inlineStr">
        <is>
          <t>Couteaux Sacrificiels; Amulette Volkorne; Anneau Volkorne; Alliance Gloursonne; Droiture de Fallanster; Ceinture de Dame Jhessica; Masque Paztek; Cape Paztek; Sandales Paztek; Dofus des Glaces; Dofus Ocre; Dofus Pourpre; Dofus Ivoire; Dofus Nébuleux; Dofus Ébène; Fëanor</t>
        </is>
      </c>
    </row>
    <row r="10388">
      <c r="A10388" t="inlineStr">
        <is>
          <t>Iop M 200</t>
        </is>
      </c>
      <c r="B10388">
        <f>HYPERLINK("https://www.dofusbook.net/fr/equipement/3283420-iop-m-200/objets", "link")</f>
        <v/>
      </c>
      <c r="C10388" t="n">
        <v>2</v>
      </c>
      <c r="D10388" t="inlineStr">
        <is>
          <t>Hachoirs de Viandargh; Amibou; Bague Instable; Bague Trithon; Bouclier précieux; Ceinture Gence; Casque Dragoeuf; Capibou; Bottes du Cul Botté; Dofus Abyssal; Dofus Ivoire; Dofus Ocre; Culbuteur majeur; Bousculeur majeur; Temporiseur majeur; Balafreux</t>
        </is>
      </c>
    </row>
    <row r="10389">
      <c r="A10389" t="inlineStr">
        <is>
          <t>dopou 2</t>
        </is>
      </c>
      <c r="B10389">
        <f>HYPERLINK("https://www.dofusbook.net/fr/equipement/1905627-dopou-2/objets", "link")</f>
        <v/>
      </c>
      <c r="C10389" t="n">
        <v>5</v>
      </c>
      <c r="D10389" t="inlineStr">
        <is>
          <t>Arc Honte; Torquistik; Chevalière du Roi Joueur; Anneauræus; Bouclier Taverne; Audace de Dodge; Masque Paztek; Cape Paztek; Bottes du Cul Botté; Dofus Ocre; Dofus Ivoire; Culbuteur majeur; Remueur; Bousculeur majeur; Nomade; Scarakiri</t>
        </is>
      </c>
    </row>
    <row r="10390">
      <c r="A10390" t="inlineStr">
        <is>
          <t>Sacrieur F 200</t>
        </is>
      </c>
      <c r="B10390">
        <f>HYPERLINK("https://www.dofusbook.net/fr/equipement/3982688-sacrieur-f-200/objets", "link")</f>
        <v/>
      </c>
      <c r="C10390" t="n">
        <v>3</v>
      </c>
      <c r="D10390" t="inlineStr">
        <is>
          <t>Rouleau à Pâtisserie d'Aermyne; Amulette d'Ilyzaelle; Anneau de Pol Ouatnos; Anneau de Pol Ouatnos; Trompe-la-Mort; Ceintacé; Masque d'Anerice; Cape d'Anerice; Palmes Trithons; Dofus Émeraude; Dofus Ivoire; Dofus Abyssal; Remueur; Obstructeur majeur; Miraculé majeur; Platypus</t>
        </is>
      </c>
    </row>
    <row r="10391">
      <c r="A10391" t="inlineStr">
        <is>
          <t>Thanos</t>
        </is>
      </c>
      <c r="B10391">
        <f>HYPERLINK("https://www.dofusbook.net/fr/equipement/3026304-thanos/objets", "link")</f>
        <v/>
      </c>
      <c r="C10391" t="n">
        <v>2</v>
      </c>
      <c r="D10391" t="inlineStr">
        <is>
          <t>Le Thanos; Amulette Volkorne; Anneauræus; Anneauræus; Bouclier d'Ilyzaelle; Ceinture Séculaire; Masque d'Anerice; Cape d'Anerice; Bottes Innommables; Dofus Ocre; Dofus Abyssal; Dofus Vulbis; Dofus Ivoire; Remueur; Érudit majeur; Dragodinde Orchidée et Rousse</t>
        </is>
      </c>
    </row>
    <row r="10392">
      <c r="A10392" t="inlineStr">
        <is>
          <t>Sacrieur F 200</t>
        </is>
      </c>
      <c r="B10392">
        <f>HYPERLINK("https://www.dofusbook.net/fr/equipement/4213507-sacrieur-f-200/objets", "link")</f>
        <v/>
      </c>
      <c r="C10392" t="n">
        <v>0</v>
      </c>
      <c r="D10392" t="inlineStr">
        <is>
          <t>Arc Hétype; Amulette Volkorne; Chevalière du Roi Joueur; Bague Gloursonne; Bouclier d'Ilyzaelle; Ceinture Volkorne; Couronne du Roi Joueur; Bravoure de Rykke Errel; Bottes du Roi Joueur; Dofus Émeraude; Dofus Ivoire; Dofus Ébène; Dofus Ocre; Dofus Vulbis; Dofus Abyssal; Dragodinde Orchidée et Pourpre</t>
        </is>
      </c>
    </row>
    <row r="10393">
      <c r="A10393" t="inlineStr">
        <is>
          <t>Ecaflip M 200</t>
        </is>
      </c>
      <c r="B10393">
        <f>HYPERLINK("https://www.dofusbook.net/fr/equipement/4212792-ecaflip-m-200/objets", "link")</f>
        <v/>
      </c>
      <c r="C10393" t="n">
        <v>8</v>
      </c>
      <c r="D10393" t="inlineStr">
        <is>
          <t>Bâton Beau; Amulette du Strigide; Bracelet du Piloztère; Anneau Volkorne; Bouclier du Stalak; Ceinture Volkorne; Diadème de Ganymède; Cape de Jahash Jurgen; Bottes du Strigide; Dofus Pourpre; Dofus Ébène; Dofus Turquoise; Dofus Vulbis; Dofus Ocre; Robuste majeur; Chacha Angora</t>
        </is>
      </c>
    </row>
    <row r="10394">
      <c r="A10394" t="inlineStr">
        <is>
          <t>air rox</t>
        </is>
      </c>
      <c r="B10394">
        <f>HYPERLINK("https://www.dofusbook.net/fr/equipement/2771876-air-rox/objets", "link")</f>
        <v/>
      </c>
      <c r="C10394" t="n">
        <v>1</v>
      </c>
      <c r="D10394" t="inlineStr">
        <is>
          <t>Lance Horselé; Collier du Valet Veinard; Gant du Valet Veinard; Alliance Gloursonne; Bouclier du Stalak; Menoture; Couronne d'Allister; Cape d'Anerice; Palmes Trithons; Dofus Ivoire; Dofus Vulbis; Dofus des Glaces; Dofus Ocre; Dofus Abyssal; Cascadeur majeur; Blérodoudou</t>
        </is>
      </c>
    </row>
    <row r="10395">
      <c r="A10395" t="inlineStr">
        <is>
          <t>eau</t>
        </is>
      </c>
      <c r="B10395">
        <f>HYPERLINK("https://www.dofusbook.net/fr/equipement/2227589-eau/objets", "link")</f>
        <v/>
      </c>
      <c r="C10395" t="n">
        <v>3</v>
      </c>
      <c r="D10395" t="inlineStr">
        <is>
          <t>Sceptre du Roi Joueur; Amulette du Strigide; Anneau Volkorne; Alliance Gloursonne; Bouclier du Stalak; Sangle Ouare; Casque Dragoeuf; Cape Solution; Bottes du Strigide; Dofus Abyssal; Dofus Ocre; Dofus Pourpre; Dofus Turquoise; Dofus Ivoire; Chanceux majeur; Pioute bleu</t>
        </is>
      </c>
    </row>
    <row r="10396">
      <c r="A10396" t="inlineStr">
        <is>
          <t>terre feu soin</t>
        </is>
      </c>
      <c r="B10396">
        <f>HYPERLINK("https://www.dofusbook.net/fr/equipement/2783764-terre-feu-soin-/objets", "link")</f>
        <v/>
      </c>
      <c r="C10396" t="n">
        <v>0</v>
      </c>
      <c r="D10396" t="inlineStr">
        <is>
          <t>Bâthon; Amulette Volkorne; Bague Gloursonne; Chevalière du Roi Joueur; Bouclier cubiste; Ceinture Volkorne; Couronne du Roi Joueur; Voile d'encre; Bottes du Roi Joueur; Dofus Abyssal; Dofus Ocre; Dofus Vulbis; Dofus Ivoire; Dofus Émeraude; Dofus Pourpre; Léopardo</t>
        </is>
      </c>
    </row>
    <row r="10397">
      <c r="A10397" t="inlineStr">
        <is>
          <t>Huppermage F 200</t>
        </is>
      </c>
      <c r="B10397">
        <f>HYPERLINK("https://www.dofusbook.net/fr/equipement/4183228-huppermage-f-200/objets", "link")</f>
        <v/>
      </c>
      <c r="C10397" t="n">
        <v>10</v>
      </c>
      <c r="D10397" t="inlineStr">
        <is>
          <t>Hache du Chalœil; Amulette Volkorne; Anneau Volkorne; Chevalière du Roi Joueur; Cadran de Terre; Ceinture Volkorne; Couronne du Roi Joueur; Voile d'encre; Bottes du Roi Joueur; Dofus Pourpre; Dofus Ivoire; Dofus des Glaces; Dofus Ocre; Dofus Abyssal; Paralyseur majeur; Volkorne Ivoire</t>
        </is>
      </c>
    </row>
    <row r="10398">
      <c r="A10398" t="inlineStr">
        <is>
          <t>Eliotrope M 200</t>
        </is>
      </c>
      <c r="B10398">
        <f>HYPERLINK("https://www.dofusbook.net/fr/equipement/4035142-eliotrope-m-200/objets", "link")</f>
        <v/>
      </c>
      <c r="C10398" t="n">
        <v>4</v>
      </c>
      <c r="D10398" t="inlineStr">
        <is>
          <t>Arc corrompu; Amulette Volkorne; Anneauræus; Anneauræus; Bouclier du Stalak; Ceinture Volkorne; Casque Dragoeuf; Cape de Diondin; Bottes Innommables; Dofus Ocre; Dofus Abyssal; Dofus Pourpre; Dofus Ivoire; Nomade; Érudit majeur; Dragodinde Ivoire et Orchidée</t>
        </is>
      </c>
    </row>
    <row r="10399">
      <c r="A10399" t="inlineStr">
        <is>
          <t>Sacrieur F 200</t>
        </is>
      </c>
      <c r="B10399">
        <f>HYPERLINK("https://www.dofusbook.net/fr/equipement/3902517-sacrieur-f-200/objets", "link")</f>
        <v/>
      </c>
      <c r="C10399" t="n">
        <v>17</v>
      </c>
      <c r="D10399" t="inlineStr">
        <is>
          <t>Manthache; Amulette Martegel; Gant du Valet Veinard; Alliance Gloursonne; Bouclier d'Ilyzaelle; Menoture; Dorabysses; Cape Martegel; Palmes Trithons; Dofus Ivoire; Dofus Émeraude; Dofus Ocre; Dofus Abyssal; Nomade; Cascadeur majeur; Dragodinde Ebène et Ivoire</t>
        </is>
      </c>
    </row>
    <row r="10400">
      <c r="A10400" t="inlineStr">
        <is>
          <t>Roublard M 200</t>
        </is>
      </c>
      <c r="B10400">
        <f>HYPERLINK("https://www.dofusbook.net/fr/equipement/3992399-roublard-m-200/objets", "link")</f>
        <v/>
      </c>
      <c r="C10400" t="n">
        <v>5</v>
      </c>
      <c r="D10400" t="inlineStr">
        <is>
          <t>Arc du Chalœil; Collier de Tourthon; Anneau de Brouce; Anneau Volkorne; Bouclier du Stalak; Ceinture Volkorne; Casque Dragoeuf; Voile d'encre; Bottes de la Cour Sombre; Dofus Abyssal; Dofus Ocre; Dofus Ivoire; Dofus Vulbis; Remueur; Enragé majeur; Kougnard</t>
        </is>
      </c>
    </row>
    <row r="10401">
      <c r="A10401" t="inlineStr">
        <is>
          <t>stuff3</t>
        </is>
      </c>
      <c r="B10401">
        <f>HYPERLINK("https://www.dofusbook.net/fr/equipement/1591448-stuff3/objets", "link")</f>
        <v/>
      </c>
      <c r="C10401" t="n">
        <v>4</v>
      </c>
      <c r="D10401" t="inlineStr">
        <is>
          <t>Manthache; Amibou; Anneau de Pol Ouatnos; Alliance Gloursonne; Cadran d'Air; Menoture; Casque Dragoeuf; Capibou; Palmes Trithons; Dofus Pourpre; Dofus Abyssal; Dofus Ocre; Dofus Ivoire; Temporiseur majeur; Cascadeur majeur; Léopardo</t>
        </is>
      </c>
    </row>
    <row r="10402">
      <c r="A10402" t="inlineStr">
        <is>
          <t>Roublard M 200</t>
        </is>
      </c>
      <c r="B10402">
        <f>HYPERLINK("https://www.dofusbook.net/fr/equipement/3442517-roublard-m-200/objets", "link")</f>
        <v/>
      </c>
      <c r="C10402" t="n">
        <v>10</v>
      </c>
      <c r="D10402" t="inlineStr">
        <is>
          <t>Baguette de Malléfisk; Amulette Volkorne; Anneauræus; Anneauræus; Bouclier d'Ilyzaelle; Ceinture Volkorne; Heaume Oplate; Voile d'encre; Bottes Innommables; Dofus Abyssal; Dofus Ivoire; Dofus Émeraude; Érudit majeur; Évasif majeur; Nomade; Kougnard</t>
        </is>
      </c>
    </row>
    <row r="10403">
      <c r="A10403" t="inlineStr">
        <is>
          <t>Sacrieur F 200</t>
        </is>
      </c>
      <c r="B10403">
        <f>HYPERLINK("https://www.dofusbook.net/fr/equipement/3836509-sacrieur-f-200/objets", "link")</f>
        <v/>
      </c>
      <c r="C10403" t="n">
        <v>11</v>
      </c>
      <c r="D10403" t="inlineStr">
        <is>
          <t>Baguette de Malléfisk; Amulette Martegel; Anneauræus; Anneauræus; Bouclier d'Ilyzaelle; Ceinture de Vortex; Heaume Oplate; Cape Martegel; Bottes Innommables; Dofus Ivoire; Dofus Émeraude; Dofus Abyssal; Nomade; Carapace Feu majeur; Érudit majeur; Chienchien Tigré</t>
        </is>
      </c>
    </row>
    <row r="10404">
      <c r="A10404" t="inlineStr">
        <is>
          <t>Sram M 200</t>
        </is>
      </c>
      <c r="B10404">
        <f>HYPERLINK("https://www.dofusbook.net/fr/equipement/3962086-sram-m-200/objets", "link")</f>
        <v/>
      </c>
      <c r="C10404" t="n">
        <v>19</v>
      </c>
      <c r="D10404" t="inlineStr">
        <is>
          <t>Rapière aux Glyphes; Amulette du Sinistrofu; Alliance Gloursonne; Anneau Volkorne; Bouclier du Stalak; Sangle Ouare; Capuche de l'Œil Attentif; Cape de l'Œil Attentif; Pataugastrique; Dofus Abyssal; Dofus Ivoire; Dofus Ocre; Bousculeur majeur; Culbuteur majeur; Évasif majeur; Écumouth</t>
        </is>
      </c>
    </row>
    <row r="10405">
      <c r="A10405" t="inlineStr">
        <is>
          <t>terre pvm</t>
        </is>
      </c>
      <c r="B10405">
        <f>HYPERLINK("https://www.dofusbook.net/fr/equipement/4120719-terre-pvm/objets", "link")</f>
        <v/>
      </c>
      <c r="C10405" t="n">
        <v>6</v>
      </c>
      <c r="D10405" t="inlineStr">
        <is>
          <t>Marteau R'ture; Amulette Volcanique; Pikano; Chevalière du Roi Joueur; Bouclier cubiste; Ceinture Gence; Couronne du Roi Joueur; Cape du Cœur Saignant; Bottes du Kamasterisk; Dofus Vulbis; Dofus Ocre; Ralentisseur majeur; Entraveur majeur; Temporiseur; Temporiseur majeur; Léopardo</t>
        </is>
      </c>
    </row>
    <row r="10406">
      <c r="A10406" t="inlineStr">
        <is>
          <t>Stuff 2</t>
        </is>
      </c>
      <c r="B10406">
        <f>HYPERLINK("https://www.dofusbook.net/fr/equipement/388683-stuff-2/objets", "link")</f>
        <v/>
      </c>
      <c r="C10406" t="n">
        <v>15</v>
      </c>
      <c r="D10406" t="inlineStr">
        <is>
          <t>Rapière aux Glyphes; Amulette de l'Œil Attentif; Alliance Gloursonne; Bague Trithon; Quatre-feuilles; Sangle Ouare; Capuche de l'Œil Attentif; Cape de l'Œil Attentif; Bottes Trithon; Dofus Abyssal; Dofus Ivoire; Dofus Turquoise; Dofus Pourpre; Dofus Ocre; Bousculeur majeur; Écumouth</t>
        </is>
      </c>
    </row>
    <row r="10407">
      <c r="A10407" t="inlineStr">
        <is>
          <t>Crâ F 200</t>
        </is>
      </c>
      <c r="B10407">
        <f>HYPERLINK("https://www.dofusbook.net/fr/equipement/4158136-cra-f-200/objets", "link")</f>
        <v/>
      </c>
      <c r="C10407" t="n">
        <v>11</v>
      </c>
      <c r="D10407" t="inlineStr">
        <is>
          <t>Arc Honte; Amulette Martegel; Alliance Gloursonne; Anneau Tique; Bouclier du Stalak; Ceinture de Vortex; Dorabysses; Cape Martegel; Sabots de Vortex; Dofus Pourpre; Dofus Ivoire; Dofus des Glaces; Dofus Vulbis; Dofus Ocre; Robuste majeur; Kougnard</t>
        </is>
      </c>
    </row>
    <row r="10408">
      <c r="A10408" t="inlineStr">
        <is>
          <t>Crâ M 200</t>
        </is>
      </c>
      <c r="B10408">
        <f>HYPERLINK("https://www.dofusbook.net/fr/equipement/4152135-cra-m-200/objets", "link")</f>
        <v/>
      </c>
      <c r="C10408" t="n">
        <v>9</v>
      </c>
      <c r="D10408" t="inlineStr">
        <is>
          <t>Dagues d'Ilyzaelle; Amulette du Cœur Saignant; Anneau Volkorne; Anneau Crustique; Bouclier du Captain Amakna; Ceinture Volkorne; Casque Dragoeuf; Cape du Cœur Saignant; Bottes du Cœur Saignant; Dofus Pourpre; Dofus Abyssal; Dofus Turquoise; Dofus Ivoire; Dofus Vulbis; Dofus Ocre; Pioute vert</t>
        </is>
      </c>
    </row>
    <row r="10409">
      <c r="A10409" t="inlineStr">
        <is>
          <t>Eniripsa F 200</t>
        </is>
      </c>
      <c r="B10409">
        <f>HYPERLINK("https://www.dofusbook.net/fr/equipement/3820293-eniripsa-f-200/objets", "link")</f>
        <v/>
      </c>
      <c r="C10409" t="n">
        <v>17</v>
      </c>
      <c r="D10409" t="inlineStr">
        <is>
          <t>Sceptre du Roi Joueur; Amulette de Shokkoth; Anneau Toriété; Alliance Gloursonne; Sept ans de malheur; Culotte de Bethel; Casque Dragoeuf; Cape Solution; Chaussons de Macrab; Dofus Abyssal; Dofus Ocre; Dofus Ivoire; Étourdisseur majeur; Miraculé majeur; Chanceux majeur; Dragoune Rose</t>
        </is>
      </c>
    </row>
    <row r="10410">
      <c r="A10410" t="inlineStr">
        <is>
          <t>ceinture classe percu</t>
        </is>
      </c>
      <c r="B10410">
        <f>HYPERLINK("https://www.dofusbook.net/fr/equipement/3972451-ceinture-classe-percu/objets", "link")</f>
        <v/>
      </c>
      <c r="C10410" t="n">
        <v>7</v>
      </c>
      <c r="D10410" t="inlineStr">
        <is>
          <t>Dagoulinantes; Amulette de Shokkoth; Anneau Volkorne; Alliance Gloursonne; Bouclier du Stalak; Poulpagne; Capuche de l'Œil Attentif; Cape de l'Œil Attentif; Bottes du Sinistrofu; Dofus Pourpre; Dofus Ivoire; Dofus Ocre; Dofus Vulbis; Dofus Abyssal; Chanceux majeur; Kanigloups</t>
        </is>
      </c>
    </row>
    <row r="10411">
      <c r="A10411" t="inlineStr">
        <is>
          <t>Roublard F 200</t>
        </is>
      </c>
      <c r="B10411">
        <f>HYPERLINK("https://www.dofusbook.net/fr/equipement/4125637-roublard-f-200/objets", "link")</f>
        <v/>
      </c>
      <c r="C10411" t="n">
        <v>1</v>
      </c>
      <c r="D10411" t="inlineStr">
        <is>
          <t>Lav'Hache; Collier de Tourthon; Anneau de Brouce; Bague Gloursonne; Bouclier du Captain Amakna; Ceinture de la Reine des Voleurs; Coiffe de la Reine des Voleurs; Cape au Logis; Baleinabottes; Dofus des Glaces; Dofus Pourpre; Vigoureux majeur; Dévastateur Terre majeur; Enragé majeur; Remueur; Bulbisou</t>
        </is>
      </c>
    </row>
    <row r="10412">
      <c r="A10412" t="inlineStr">
        <is>
          <t>Sacrieur F 200</t>
        </is>
      </c>
      <c r="B10412">
        <f>HYPERLINK("https://www.dofusbook.net/fr/equipement/4020593-sacrieur-f-200/objets", "link")</f>
        <v/>
      </c>
      <c r="C10412" t="n">
        <v>10</v>
      </c>
      <c r="D10412" t="inlineStr">
        <is>
          <t>Arc Nécrotique; Amulette Volkorne; Bague Trithon; Anneau Volkorne; Quatre-feuilles; Ceintacé; Masque Trithon; Cape de la Dame du Hasard; Bottes de la Dame du Hasard; Dofus Turquoise; Dofus Ivoire; Dofus Vulbis; Dofus Ocre; Dofus Pourpre; Dofus Abyssal; Kokulte</t>
        </is>
      </c>
    </row>
    <row r="10413">
      <c r="A10413" t="inlineStr">
        <is>
          <t>pvm team sadi</t>
        </is>
      </c>
      <c r="B10413">
        <f>HYPERLINK("https://www.dofusbook.net/fr/equipement/4120696-pvm-team-sadi/objets", "link")</f>
        <v/>
      </c>
      <c r="C10413" t="n">
        <v>3</v>
      </c>
      <c r="D10413" t="inlineStr">
        <is>
          <t>Arc corrompu; Amulette Séculaire; Anneauræus; Anneauræus; Quatre-feuilles; Ceinture Séculaire; Heaume Oplate; Cape de Diondin; Bottes Innommables; Dofus Turquoise; Dofus Pourpre; Érudit majeur; Astucieux majeur; Nomade; Vigoureux majeur; Bisouglours</t>
        </is>
      </c>
    </row>
    <row r="10414">
      <c r="A10414" t="inlineStr">
        <is>
          <t>Crâ F 200</t>
        </is>
      </c>
      <c r="B10414">
        <f>HYPERLINK("https://www.dofusbook.net/fr/equipement/4082470-cra-f-200/objets", "link")</f>
        <v/>
      </c>
      <c r="C10414" t="n">
        <v>1</v>
      </c>
      <c r="D10414" t="inlineStr">
        <is>
          <t>Pelle de Nidas; Amulette du Kamasterisk; Alliance Gloursonne; Bague Gloursonne; Bouclier du Stalak; Ceinture Volkorne; Casque Volkorne; Cape du Kamasterisk; Bottes du Kamasterisk; Dofus Pourpre; Dofus Abyssal; Dofus Ocre; Dofus Ivoire; Dofus Vulbis; Dofus Nébuleux; Mékrabe</t>
        </is>
      </c>
    </row>
    <row r="10415">
      <c r="A10415" t="inlineStr">
        <is>
          <t>Roublard M 200</t>
        </is>
      </c>
      <c r="B10415">
        <f>HYPERLINK("https://www.dofusbook.net/fr/equipement/4109011-roublard-m-200/objets", "link")</f>
        <v/>
      </c>
      <c r="C10415" t="n">
        <v>0</v>
      </c>
      <c r="D10415" t="inlineStr">
        <is>
          <t>Bâthon; Amulette Volkorne; Anneau Volkorne; Chevalière du Roi Joueur; Bouclier du Stalak; Ceinture Volkorne; Couronne du Roi Joueur; Voile d'encre; Bottes du Roi Joueur; Dofus Pourpre; Dofus Abyssal; Dofus Ocre; Dofus Ivoire; Dofus Émeraude; Dofus des Glaces; Fëanor</t>
        </is>
      </c>
    </row>
    <row r="10416">
      <c r="A10416" t="inlineStr">
        <is>
          <t>Sacrieur F 200</t>
        </is>
      </c>
      <c r="B10416">
        <f>HYPERLINK("https://www.dofusbook.net/fr/equipement/4105653-sacrieur-f-200/objets", "link")</f>
        <v/>
      </c>
      <c r="C10416" t="n">
        <v>3</v>
      </c>
      <c r="D10416" t="inlineStr">
        <is>
          <t>Arc du Chalœil; Torquistik; Baguistik; Anneau de Pol Ouatnos; Bouclier précieux; Ceinture Gence; Casque Dragoeuf; Cape Solution; Bottes Trithon; Dofus Ivoire; Dofus Abyssal; Miraculé majeur; Culbuteur majeur; Culbuteur; Bousculeur majeur; Gelutin</t>
        </is>
      </c>
    </row>
    <row r="10417">
      <c r="A10417" t="inlineStr">
        <is>
          <t>Crâ M 200</t>
        </is>
      </c>
      <c r="B10417">
        <f>HYPERLINK("https://www.dofusbook.net/fr/equipement/3689779-cra-m-200/objets", "link")</f>
        <v/>
      </c>
      <c r="C10417" t="n">
        <v>7</v>
      </c>
      <c r="D10417" t="inlineStr">
        <is>
          <t>Arc Hétype; Amulette Volkorne; Anneauræus; Anneauræus; Bouclier du Stalak; Ceinture Volkorne; Casque Dragoeuf; Cape de Diondin; Bottes Innommables; Dofus Vulbis; Dofus Ivoire; Dofus Ocre; Dofus Pourpre; Dofus Abyssal; Érudit majeur; Brûlih</t>
        </is>
      </c>
    </row>
    <row r="10418">
      <c r="A10418" t="inlineStr">
        <is>
          <t>Iop M 200</t>
        </is>
      </c>
      <c r="B10418">
        <f>HYPERLINK("https://www.dofusbook.net/fr/equipement/4093096-iop-m-200/objets", "link")</f>
        <v/>
      </c>
      <c r="C10418" t="n">
        <v>7</v>
      </c>
      <c r="D10418" t="inlineStr">
        <is>
          <t>Épée Brûlâme; Amulette Volkorne; Lavanneau; Anneau Volkorne; Bouclier du Captain Amakna; Ceinture Volkorne; Kidibonnet; Cape de la Dame du Hasard; Bottes de la Dame du Hasard; Dofus Turquoise; Dofus Abyssal; Dofus Ocre; Dofus Ivoire; Dofus Pourpre; Dofus Nébuleux; Dragodinde Emeraude et Ivoire</t>
        </is>
      </c>
    </row>
    <row r="10419">
      <c r="A10419" t="inlineStr">
        <is>
          <t>Sram M 200</t>
        </is>
      </c>
      <c r="B10419">
        <f>HYPERLINK("https://www.dofusbook.net/fr/equipement/4092954-sram-m-200/objets", "link")</f>
        <v/>
      </c>
      <c r="C10419" t="n">
        <v>6</v>
      </c>
      <c r="D10419" t="inlineStr">
        <is>
          <t>Épée Brûlâme; Amulette Volkorne; Anneau Volkorne; Bague Trithon; Bouclier du Captain Amakna; Ceintacé; Masque Trithon; Cape de la Dame du Hasard; Bottes de la Dame du Hasard; Dofus Turquoise; Dofus Ivoire; Dofus Pourpre; Dofus Ocre; Dofus Vulbis; Dofus Abyssal; Kokulte</t>
        </is>
      </c>
    </row>
    <row r="10420">
      <c r="A10420" t="inlineStr">
        <is>
          <t>Pandawa M 200</t>
        </is>
      </c>
      <c r="B10420">
        <f>HYPERLINK("https://www.dofusbook.net/fr/equipement/4092859-pandawa-m-200/objets", "link")</f>
        <v/>
      </c>
      <c r="C10420" t="n">
        <v>2</v>
      </c>
      <c r="D10420" t="inlineStr">
        <is>
          <t>Hachoirs de Viandargh; Amibou; Gant du Valet Veinard; Alliance Gloursonne; Bouclier cubiste; Menoture; Casque Dragoeuf; Capibou; Palmes Trithons; Dofus Ivoire; Dofus Ocre; Dofus Abyssal; Miraculé majeur; Cascadeur majeur; Nomade; Léopardo</t>
        </is>
      </c>
    </row>
    <row r="10421">
      <c r="A10421" t="inlineStr">
        <is>
          <t>Iop M 200</t>
        </is>
      </c>
      <c r="B10421">
        <f>HYPERLINK("https://www.dofusbook.net/fr/equipement/4083350-iop-m-200/objets", "link")</f>
        <v/>
      </c>
      <c r="C10421" t="n">
        <v>4</v>
      </c>
      <c r="D10421" t="inlineStr">
        <is>
          <t>Pelle Fik; Amulette du Strigide; Anneau Toriété; Alliance Gloursonne; Bouclier du Captain Amakna; Ceinture du Strigide; Némès de Tal Kasha; Chevelure de Tal Kasha; Sandales de Tal Kasha; Dofus Pourpre; Dofus Ivoire; Dofus des Glaces; Dofus Ocre; Dofus Turquoise; Dofus Abyssal; Kokulte</t>
        </is>
      </c>
    </row>
    <row r="10422">
      <c r="A10422" t="inlineStr">
        <is>
          <t>Iop M 200</t>
        </is>
      </c>
      <c r="B10422">
        <f>HYPERLINK("https://www.dofusbook.net/fr/equipement/4083381-iop-m-200/objets", "link")</f>
        <v/>
      </c>
      <c r="C10422" t="n">
        <v>4</v>
      </c>
      <c r="D10422" t="inlineStr">
        <is>
          <t>Marteau des Anciens Steamers; Amulette d'Ilyzaelle; Anneau Toriété; Alliance Gloursonne; Bouclier d'Ilyzaelle; Ceinture de la Reine des Voleurs; Casque d'Ilyzaelle; Dofusteuse; Bottes de la Reine des Voleurs; Dofus Nébuleux; Dofus Ocre; Dofus Émeraude; Dofus Abyssal; Dofus Pourpre; Dofus Ivoire; Dragodinde Ebène et Ivoire</t>
        </is>
      </c>
    </row>
    <row r="10423">
      <c r="A10423" t="inlineStr">
        <is>
          <t>eau air</t>
        </is>
      </c>
      <c r="B10423">
        <f>HYPERLINK("https://www.dofusbook.net/fr/equipement/2106163-eau-air/objets", "link")</f>
        <v/>
      </c>
      <c r="C10423" t="n">
        <v>3</v>
      </c>
      <c r="D10423" t="inlineStr">
        <is>
          <t>Marteau des Anciens Steamers; Amulette du Strigide; Anneau Volkorne; Alliance Gloursonne; Bouclier d'Ilyzaelle; Sangle Ouare; Casque Volkorne; Cape Solution; Bottes du Strigide; Dofus Nébuleux; Dofus Ivoire; Dofus Émeraude; Dofus Pourpre; Dofus Abyssal; Dofus Ocre; Dragodinde Ebène et Ivoire</t>
        </is>
      </c>
    </row>
    <row r="10424">
      <c r="A10424" t="inlineStr">
        <is>
          <t>Crâ F 200</t>
        </is>
      </c>
      <c r="B10424">
        <f>HYPERLINK("https://www.dofusbook.net/fr/equipement/3818668-cra-f-200/objets", "link")</f>
        <v/>
      </c>
      <c r="C10424" t="n">
        <v>17</v>
      </c>
      <c r="D10424" t="inlineStr">
        <is>
          <t>Arc Honte; Amulette Martegel; Anneau Rifique; Alliance Gloursonne; Bouclier du Stalak; Ceinture de l'Esprit Salvateur; Masque de l'Esprit Salvateur; Cape Martegel; Bottes de l'Esprit Salvateur; Dofus Vulbis; Dofus des Glaces; Dofus Pourpre; Dofus Abyssal; Dofus Ocre; Dofus Ivoire; Dragodinde Amande et Ivoire</t>
        </is>
      </c>
    </row>
    <row r="10425">
      <c r="A10425" t="inlineStr">
        <is>
          <t>Stuff 1</t>
        </is>
      </c>
      <c r="B10425">
        <f>HYPERLINK("https://www.dofusbook.net/fr/equipement/388694-stuff-1/objets", "link")</f>
        <v/>
      </c>
      <c r="C10425" t="n">
        <v>8</v>
      </c>
      <c r="D10425" t="inlineStr">
        <is>
          <t>Lav'Hache; Collier de Tourthon; Anneau Volkorne; Anneau Chevelu; Bouclier d'Ilyzaelle; Ceinture Volkorne; Masque de Koutoulou; Cape au Logis; Bottes de la Cour Sombre; Dofus Émeraude; Dofus Pourpre; Dofus Ivoire; Dofus Ocre; Dofus Abyssal; Enragé majeur; Dragodinde Ivoire et Pourpre</t>
        </is>
      </c>
    </row>
    <row r="10426">
      <c r="A10426" t="inlineStr">
        <is>
          <t>Pandawa M 200</t>
        </is>
      </c>
      <c r="B10426">
        <f>HYPERLINK("https://www.dofusbook.net/fr/equipement/4077166-pandawa-m-200/objets", "link")</f>
        <v/>
      </c>
      <c r="C10426" t="n">
        <v>0</v>
      </c>
      <c r="D10426" t="inlineStr">
        <is>
          <t>Dagoulinantes; Amulette Volkorne; Alliance Gloursonne; Anneau Volkorne; Quatre-feuilles; Pagne du Rykaon; Kidibonnet; Cape Solution; Bottes Voldelor; Dofus Pourpre; Dofus Nébuleux; Dofus Vulbis; Dofus Abyssal; Dofus Turquoise; Dofus Ivoire; Dragodinde Emeraude et Indigo</t>
        </is>
      </c>
    </row>
    <row r="10427">
      <c r="A10427" t="inlineStr">
        <is>
          <t>Steamer M 200</t>
        </is>
      </c>
      <c r="B10427">
        <f>HYPERLINK("https://www.dofusbook.net/fr/equipement/4071319-steamer-m-200/objets", "link")</f>
        <v/>
      </c>
      <c r="C10427" t="n">
        <v>0</v>
      </c>
      <c r="D10427" t="inlineStr">
        <is>
          <t>Sceptre du Roi Joueur; Amulette de Shokkoth; Bracelet des Fonds marins; Alliance Gloursonne; Bouclier cubiste; Ceinture Glaciale; Capuche de l'Œil Attentif; Cape Solution; Pataugastrique; Dofus Ivoire; Dofus Abyssal; Chanceux majeur; Nomade; Temporiseur majeur; Miraculé majeur; Léopardo</t>
        </is>
      </c>
    </row>
    <row r="10428">
      <c r="A10428" t="inlineStr">
        <is>
          <t>Stuff 2</t>
        </is>
      </c>
      <c r="B10428">
        <f>HYPERLINK("https://www.dofusbook.net/fr/equipement/388674-stuff-2/objets", "link")</f>
        <v/>
      </c>
      <c r="C10428" t="n">
        <v>5</v>
      </c>
      <c r="D10428" t="inlineStr">
        <is>
          <t>Dagues Érhy; Amulette du Strigide; Anneau de Padgref; Anneauræus; Bouclier du Captain Amakna; Ceinture du Strigide; Coiffe de Padgref; Cape de la Dame du Hasard; Getas de Padgref; Dofus Pourpre; Dolmanax; Dofus Vulbis; Dofus Ocre; Dofus Turquoise; Dofus Nébuleux; Kokulte</t>
        </is>
      </c>
    </row>
    <row r="10429">
      <c r="A10429" t="inlineStr">
        <is>
          <t>Osamodas F 200</t>
        </is>
      </c>
      <c r="B10429">
        <f>HYPERLINK("https://www.dofusbook.net/fr/equipement/4053938-osamodas-f-200/objets", "link")</f>
        <v/>
      </c>
      <c r="C10429" t="n">
        <v>11</v>
      </c>
      <c r="D10429" t="inlineStr">
        <is>
          <t>Dagues Érhy; Pendentif mignon de Koutoulou; Baguistik; Anneau Rifique; Bouclier Bontarien; Protopagne; Casque Dragoeuf; Voile d'encre; Chaussures Ardentes; Dofus Ocre; Dofus Abyssal; Dofus Ivoire; Miraculé majeur; Érudit majeur; Remueur; Dragodinde Dorée et Orchidée</t>
        </is>
      </c>
    </row>
    <row r="10430">
      <c r="A10430" t="inlineStr">
        <is>
          <t>Crâ F 200</t>
        </is>
      </c>
      <c r="B10430">
        <f>HYPERLINK("https://www.dofusbook.net/fr/equipement/4048138-cra-f-200/objets", "link")</f>
        <v/>
      </c>
      <c r="C10430" t="n">
        <v>1</v>
      </c>
      <c r="D10430" t="inlineStr">
        <is>
          <t>Arc du Chalœil; Amulette du Kamasterisk; Anneau Volkorne; Chevalière du Roi Joueur; Bouclier du Stalak; Ceinture Volkorne; Masque de Koutoulou; Cape du Kamasterisk; Bottes du Roi Joueur; Dofus Pourpre; Dofus Ivoire; Dofus Ocre; Dofus Nébuleux; Dofus Vulbis; Entraveur majeur; Gwo Tofu Ventripotent</t>
        </is>
      </c>
    </row>
    <row r="10431">
      <c r="A10431" t="inlineStr">
        <is>
          <t>feu</t>
        </is>
      </c>
      <c r="B10431">
        <f>HYPERLINK("https://www.dofusbook.net/fr/equipement/1706295-feu/objets", "link")</f>
        <v/>
      </c>
      <c r="C10431" t="n">
        <v>22</v>
      </c>
      <c r="D10431" t="inlineStr">
        <is>
          <t>Arc corrompu; Amulette Volkorne; Anneauræus; Anneauræus; Bouclier du Stalak; Ceinture Volkorne; Heaume Oplate; Cape de Diondin; Bottes Innommables; Dofus Vulbis; Dofus Nébuleux; Dofus Abyssal; Dofus Ivoire; Dofus Pourpre; Érudit majeur; Dragodinde Ivoire et Orchidée</t>
        </is>
      </c>
    </row>
    <row r="10432">
      <c r="A10432" t="inlineStr">
        <is>
          <t>Huppermage F 200</t>
        </is>
      </c>
      <c r="B10432">
        <f>HYPERLINK("https://www.dofusbook.net/fr/equipement/4043388-huppermage-f-200/objets", "link")</f>
        <v/>
      </c>
      <c r="C10432" t="n">
        <v>3</v>
      </c>
      <c r="D10432" t="inlineStr">
        <is>
          <t>Arc du Chalœil; Torquistik; Bague Instable; Anneau de Pol Ouatnos; Bouclier précieux; Ceinture Gence; Masque Ardent; Cape Solution; Bottistik; Dofus Abyssal; Dofus Ivoire; Pousseur majeur; Bousculeur majeur; Culbuteur; Culbuteur majeur; Tatouf</t>
        </is>
      </c>
    </row>
    <row r="10433">
      <c r="A10433" t="inlineStr">
        <is>
          <t>Eliotrope M 200</t>
        </is>
      </c>
      <c r="B10433">
        <f>HYPERLINK("https://www.dofusbook.net/fr/equipement/4035064-eliotrope-m-200/objets", "link")</f>
        <v/>
      </c>
      <c r="C10433" t="n">
        <v>7</v>
      </c>
      <c r="D10433" t="inlineStr">
        <is>
          <t>Pelle de la Cour Sombre; Collier du Valet Veinard; Gant du Valet Veinard; Alliance Gloursonne; Cadran d'Air; Sangle Oriole; Chapeau de Tournoyé; Cape de Crânonier; Palmes Trithons; Dofus Ocre; Dofus Abyssal; Dofus Ivoire; Nomade; Cascadeur majeur; Bouftor</t>
        </is>
      </c>
    </row>
    <row r="10434">
      <c r="A10434" t="inlineStr">
        <is>
          <t>eau air</t>
        </is>
      </c>
      <c r="B10434">
        <f>HYPERLINK("https://www.dofusbook.net/fr/equipement/2377372-eau-air/objets", "link")</f>
        <v/>
      </c>
      <c r="C10434" t="n">
        <v>3</v>
      </c>
      <c r="D10434" t="inlineStr">
        <is>
          <t>Arc de Koutoulou; Amulette Voldelor; Alliance Gloursonne; Anneau Volkorne; Cadran de Terre; Ceinture Voldelor; Casque Volkorne; Chevelure de Tal Kasha; Bottes Voldelor; Dofus Turquoise; Dofus Ivoire; Dofus Ocre; Dofus Abyssal; Dofus Vulbis; Dofus Pourpre; Minimino</t>
        </is>
      </c>
    </row>
    <row r="10435">
      <c r="A10435" t="inlineStr">
        <is>
          <t>terre crit</t>
        </is>
      </c>
      <c r="B10435">
        <f>HYPERLINK("https://www.dofusbook.net/fr/equipement/3149788-terre-crit/objets", "link")</f>
        <v/>
      </c>
      <c r="C10435" t="n">
        <v>7</v>
      </c>
      <c r="D10435" t="inlineStr">
        <is>
          <t>Arc du Chalœil; Collier de Tourthon; Anneau Volkorne; Anneau de Brouce; Bouclier du Stalak; Ceinture Volkorne; Masque de Koutoulou; Cape au Logis; Bottes de la Cour Sombre; Dofus Ivoire; Dofus Ocre; Dofus Pourpre; Dofus Abyssal; Enragé majeur; Dragodinde Ivoire et Pourpre</t>
        </is>
      </c>
    </row>
    <row r="10436">
      <c r="A10436" t="inlineStr">
        <is>
          <t>Stuff 1</t>
        </is>
      </c>
      <c r="B10436">
        <f>HYPERLINK("https://www.dofusbook.net/fr/equipement/388691-stuff-1/objets", "link")</f>
        <v/>
      </c>
      <c r="C10436" t="n">
        <v>15</v>
      </c>
      <c r="D10436" t="inlineStr">
        <is>
          <t>Arc Nécrotique; Amulette Volkorne; Anneau Volkorne; Bague Trithon; Quatre-feuilles; Ceintacé; Masque Trithon; Cape de la Dame du Hasard; Bottes de la Dame du Hasard; Dofus Turquoise; Dofus Vulbis; Dofus Pourpre; Dofus Ocre; Dofus Ivoire; Dofus des Glaces; Kokulte</t>
        </is>
      </c>
    </row>
    <row r="10437">
      <c r="A10437" t="inlineStr">
        <is>
          <t>Huppermage F 200</t>
        </is>
      </c>
      <c r="B10437">
        <f>HYPERLINK("https://www.dofusbook.net/fr/equipement/4032335-huppermage-f-200/objets", "link")</f>
        <v/>
      </c>
      <c r="C10437" t="n">
        <v>0</v>
      </c>
      <c r="D10437" t="inlineStr">
        <is>
          <t>Arc du Chalœil; Torquistik; Bague Instable; Baguistik; Bouclier précieux; Ceinture Gence; Casque Dragoeuf; Cape Solution; Bottes Trithon; Dofus Abyssal; Dofus Ivoire; Bousculeur majeur; Culbuteur majeur; Culbuteur; Pousseur majeur; Balafreux</t>
        </is>
      </c>
    </row>
    <row r="10438">
      <c r="A10438" t="inlineStr">
        <is>
          <t>Féca M 200</t>
        </is>
      </c>
      <c r="B10438">
        <f>HYPERLINK("https://www.dofusbook.net/fr/equipement/3981040-feca-m-200/objets", "link")</f>
        <v/>
      </c>
      <c r="C10438" t="n">
        <v>21</v>
      </c>
      <c r="D10438" t="inlineStr">
        <is>
          <t>Pyraguette; Amulette Volkorne; Alliance Gloursonne; Anneau Volkorne; Bouclier du Stalak; Ceinture de l'Esprit Salvateur; Masque de l'Esprit Salvateur; Voilamibe; Bottes de l'Esprit Salvateur; Dofus Pourpre; Dofus Abyssal; Dofus Ocre; Dofus Ivoire; Dofus des Glaces; Robuste majeur; Kramkram</t>
        </is>
      </c>
    </row>
    <row r="10439">
      <c r="A10439" t="inlineStr">
        <is>
          <t>Huppermage M 200</t>
        </is>
      </c>
      <c r="B10439">
        <f>HYPERLINK("https://www.dofusbook.net/fr/equipement/4024475-huppermage-m-200/objets", "link")</f>
        <v/>
      </c>
      <c r="C10439" t="n">
        <v>10</v>
      </c>
      <c r="D10439" t="inlineStr">
        <is>
          <t>Hache du Chalœil; Amulette Volkorne; Anneau Volkorne; Bague Trithon; Quatre-feuilles; Ceinture Volkorne; Masque Trithon; Voile d'encre; Bottes Honyme; Dofus Pourpre; Dofus des Glaces; Dofus Turquoise; Dofus Abyssal; Dofus Ocre; Dofus Ivoire; Kokulte</t>
        </is>
      </c>
    </row>
    <row r="10440">
      <c r="A10440" t="inlineStr">
        <is>
          <t>Huppermage M 200</t>
        </is>
      </c>
      <c r="B10440">
        <f>HYPERLINK("https://www.dofusbook.net/fr/equipement/4024300-huppermage-m-200/objets", "link")</f>
        <v/>
      </c>
      <c r="C10440" t="n">
        <v>6</v>
      </c>
      <c r="D10440" t="inlineStr">
        <is>
          <t>Arc Nécrotique; Amulette Volkorne; Alliance Gloursonne; Anneau Volkorne; Quatre-feuilles; Ceinture Volkorne; Kidibonnet; Cape de la Dame du Hasard; Bottes de la Dame du Hasard; Dofus des Glaces; Dofus Turquoise; Dofus Abyssal; Dofus Ocre; Dofus Ivoire; Dofus Pourpre; Kokulte</t>
        </is>
      </c>
    </row>
    <row r="10441">
      <c r="A10441" t="inlineStr">
        <is>
          <t>Huppermage M 200</t>
        </is>
      </c>
      <c r="B10441">
        <f>HYPERLINK("https://www.dofusbook.net/fr/equipement/4024262-huppermage-m-200/objets", "link")</f>
        <v/>
      </c>
      <c r="C10441" t="n">
        <v>2</v>
      </c>
      <c r="D10441" t="inlineStr">
        <is>
          <t>Arc Honte; Amulette du Strigide; Anneau Volkorne; Alliance Gloursonne; Bouclier du Stalak; Ceinture du Strigide; Casque Volkorne; Voile d'encre; Bottes du Strigide; Dofus Ocre; Dofus Ivoire; Dofus Vulbis; Dofus des Glaces; Dofus Pourpre; Dofus Abyssal; Bwak de Terre</t>
        </is>
      </c>
    </row>
    <row r="10442">
      <c r="A10442" t="inlineStr">
        <is>
          <t>Zobal F 200</t>
        </is>
      </c>
      <c r="B10442">
        <f>HYPERLINK("https://www.dofusbook.net/fr/equipement/4020750-zobal-f-200/objets", "link")</f>
        <v/>
      </c>
      <c r="C10442" t="n">
        <v>7</v>
      </c>
      <c r="D10442" t="inlineStr">
        <is>
          <t>Arc du Chalœil; Torquistik; Anneau de Pol Ouatnos; Bague Instable; Bouclier précieux; Ceinture Gence; Masque Trithon; Cape Solution; Bottistik; Dofus Abyssal; Dofus Ivoire; Pousseur majeur; Bousculeur majeur; Culbuteur majeur; Miraculé majeur; Péki</t>
        </is>
      </c>
    </row>
    <row r="10443">
      <c r="A10443" t="inlineStr">
        <is>
          <t>Sacrieur F 200</t>
        </is>
      </c>
      <c r="B10443">
        <f>HYPERLINK("https://www.dofusbook.net/fr/equipement/4020520-sacrieur-f-200/objets", "link")</f>
        <v/>
      </c>
      <c r="C10443" t="n">
        <v>0</v>
      </c>
      <c r="D10443" t="inlineStr">
        <is>
          <t>Arc de Koutoulou; Amulette Voldelor; Anneau Volkorne; Alliance Gloursonne; Bouclier d'Ilyzaelle; Ceinture Voldelor; Casque Volkorne; Dofusteuse; Bottes Voldelor; Dofus Ocre; Dofus Ivoire; Dofus Vulbis; Dofus Nébuleux; Dofus Pourpre; Dofus Turquoise; Dragodinde Emeraude et Ivoire</t>
        </is>
      </c>
    </row>
    <row r="10444">
      <c r="A10444" t="inlineStr">
        <is>
          <t>Sadida M 200</t>
        </is>
      </c>
      <c r="B10444">
        <f>HYPERLINK("https://www.dofusbook.net/fr/equipement/3992195-sadida-m-200/objets", "link")</f>
        <v/>
      </c>
      <c r="C10444" t="n">
        <v>6</v>
      </c>
      <c r="D10444" t="inlineStr">
        <is>
          <t>Arc de Koutoulou; Amulette Hale; Anneau Volkorne; Alliance Gloursonne; Bouclier cubiste; Sangle Ouare; Casque Volkorne; Cape Tif; Chaussures Face; Dofus Ocre; Dofus Abyssal; Dofus Pourpre; Dofus Ivoire; Dofus Émeraude; Entraveur majeur; Léopardo</t>
        </is>
      </c>
    </row>
    <row r="10445">
      <c r="A10445" t="inlineStr">
        <is>
          <t>Zobal F 200</t>
        </is>
      </c>
      <c r="B10445">
        <f>HYPERLINK("https://www.dofusbook.net/fr/equipement/3819550-zobal-f-200/objets", "link")</f>
        <v/>
      </c>
      <c r="C10445" t="n">
        <v>19</v>
      </c>
      <c r="D10445" t="inlineStr">
        <is>
          <t>Arc du Chalœil; Torquistik; Bague Trithon; Bague Instable; Bouclier précieux; Ceinture Gence; Casque Dragoeuf; Cape Solution; Bottistik; Dofus Ivoire; Dofus Abyssal; Culbuteur majeur; Pousseur majeur; Bousculeur majeur; Culbuteur; Balafreux</t>
        </is>
      </c>
    </row>
    <row r="10446">
      <c r="A10446" t="inlineStr">
        <is>
          <t>eau esquive pa</t>
        </is>
      </c>
      <c r="B10446">
        <f>HYPERLINK("https://www.dofusbook.net/fr/equipement/1708788-eau-esquive-pa/objets", "link")</f>
        <v/>
      </c>
      <c r="C10446" t="n">
        <v>17</v>
      </c>
      <c r="D10446" t="inlineStr">
        <is>
          <t>Sceptre du Roi Joueur; Amulette de Shokkoth; Anneau Volkorne; Alliance Gloursonne; Cadran de Terre; Poulpagne; Capuche de l'Œil Attentif; Cape de l'Œil Attentif; Bottes du Sinistrofu; Dofus Abyssal; Dofus Ivoire; Dofus Ocre; Chanceux majeur; Nomade; Miraculé majeur; Dragodinde Indigo et Ivoire</t>
        </is>
      </c>
    </row>
    <row r="10447">
      <c r="A10447" t="inlineStr">
        <is>
          <t>Sadida M 200</t>
        </is>
      </c>
      <c r="B10447">
        <f>HYPERLINK("https://www.dofusbook.net/fr/equipement/3990385-sadida-m-200/objets", "link")</f>
        <v/>
      </c>
      <c r="C10447" t="n">
        <v>9</v>
      </c>
      <c r="D10447" t="inlineStr">
        <is>
          <t>Arc Honte; Pendentif mignon de Koutoulou; Anneau de Nidas; Alliance Gloursonne; Bouclier cubiste; Protopagne; Casque Cyclopéen; Cape Martegel; Pantoufles Émar; Dofus Pourpre; Dofus Ivoire; Dofus Émeraude; Dofus Ocre; Dofus des Glaces; Entraveur majeur; Léopardo</t>
        </is>
      </c>
    </row>
    <row r="10448">
      <c r="A10448" t="inlineStr">
        <is>
          <t>Féca M 200</t>
        </is>
      </c>
      <c r="B10448">
        <f>HYPERLINK("https://www.dofusbook.net/fr/equipement/3990324-feca-m-200/objets", "link")</f>
        <v/>
      </c>
      <c r="C10448" t="n">
        <v>8</v>
      </c>
      <c r="D10448" t="inlineStr">
        <is>
          <t>Baguette Hique; Amulette Volkorne; Alliance Gloursonne; Anneau Volkorne; Bouclier cubiste; Sangle Ouare; Casque Dragoeuf; Cape de la Dame du Hasard; Bottes de la Dame du Hasard; Dofus Ocre; Dofus Émeraude; Dofus des Glaces; Dofus Pourpre; Dofus Ivoire; Entraveur majeur; Volkorne Turquoise</t>
        </is>
      </c>
    </row>
    <row r="10449">
      <c r="A10449" t="inlineStr">
        <is>
          <t>air</t>
        </is>
      </c>
      <c r="B10449">
        <f>HYPERLINK("https://www.dofusbook.net/fr/equipement/2683712-air/objets", "link")</f>
        <v/>
      </c>
      <c r="C10449" t="n">
        <v>2</v>
      </c>
      <c r="D10449" t="inlineStr">
        <is>
          <t>Lance Horselé; Collier du Valet Veinard; Gant du Valet Veinard; Alliance Gloursonne; Cadran de Terre; Menoture; Couronne d'Allister; Cape Indescriptible; Palmes Trithons; Dofus Vulbis; Dofus Abyssal; Dofus Ivoire; Dofus Ocre; Étourdisseur majeur; Cascadeur majeur; Minimino</t>
        </is>
      </c>
    </row>
    <row r="10450">
      <c r="A10450" t="inlineStr">
        <is>
          <t>Roublard F 200</t>
        </is>
      </c>
      <c r="B10450">
        <f>HYPERLINK("https://www.dofusbook.net/fr/equipement/3984079-roublard-f-200/objets", "link")</f>
        <v/>
      </c>
      <c r="C10450" t="n">
        <v>2</v>
      </c>
      <c r="D10450" t="inlineStr">
        <is>
          <t>Arc du Chalœil; Collier de Tourthon; Anneau de Brouce; Anneau Crustique; Bouclier du Stalak; Ceinture de la Reine des Voleurs; Coiffe de la Reine des Voleurs; Cape au Logis; Sabots Minables; Dofus Pourpre; Dofus Ocre; Dofus des Glaces; Dévastateur Terre majeur; Vigoureux majeur; Enragé majeur; Bulbisou</t>
        </is>
      </c>
    </row>
    <row r="10451">
      <c r="A10451" t="inlineStr">
        <is>
          <t>xel feu ret rox</t>
        </is>
      </c>
      <c r="B10451">
        <f>HYPERLINK("https://www.dofusbook.net/fr/equipement/3311436-xel-feu-ret-rox/objets", "link")</f>
        <v/>
      </c>
      <c r="C10451" t="n">
        <v>6</v>
      </c>
      <c r="D10451" t="inlineStr">
        <is>
          <t>Arc corrompu; Amulette de Pol Ouatnos; Anneauræus; Anneauræus; Sept ans de malheur; Ceinture de Vortex; Masque Ardent; Cape de Diondin; Chaussures Ardentes; Dofus Abyssal; Dofus Ivoire; Dofus Ocre; Érudit majeur; Étourdisseur majeur; Paralyseur majeur; Minimino</t>
        </is>
      </c>
    </row>
    <row r="10452">
      <c r="A10452" t="inlineStr">
        <is>
          <t>ret soin</t>
        </is>
      </c>
      <c r="B10452">
        <f>HYPERLINK("https://www.dofusbook.net/fr/equipement/3924112-ret-soin/objets", "link")</f>
        <v/>
      </c>
      <c r="C10452" t="n">
        <v>11</v>
      </c>
      <c r="D10452" t="inlineStr">
        <is>
          <t>Le Thanos; Collier du Valet Veinard; Anneau de Pol Ouatnos; Alliance Gloursonne; Bouclier du Mont Kipou; Ceinture de Vortex; Coiffe d'Aermyne; Cape d'Aermyne; Pataugastrique; Dofus Abyssal; Dofus Ivoire; Dofus Ocre; Paralyseur majeur; Étourdisseur majeur; Guérisseur majeur; Ross</t>
        </is>
      </c>
    </row>
    <row r="10453">
      <c r="A10453" t="inlineStr">
        <is>
          <t>Ecaflip M 200</t>
        </is>
      </c>
      <c r="B10453">
        <f>HYPERLINK("https://www.dofusbook.net/fr/equipement/3983773-ecaflip-m-200/objets", "link")</f>
        <v/>
      </c>
      <c r="C10453" t="n">
        <v>0</v>
      </c>
      <c r="D10453" t="inlineStr">
        <is>
          <t>Lav'Hache; Amulette Luminescente; Anneau Chevelu; Bague Trithon; Bouclier Taverne; Ceinture Gence; Masque de Koutoulou; Cape au Logis; Bottes Trithon; Dofus Ivoire; Dofus Pourpre; Bousculeur majeur; Enragé majeur; Culbuteur majeur; Pousseur majeur; Black Tiwabbit</t>
        </is>
      </c>
    </row>
    <row r="10454">
      <c r="A10454" t="inlineStr">
        <is>
          <t>Sacrieur F 200</t>
        </is>
      </c>
      <c r="B10454">
        <f>HYPERLINK("https://www.dofusbook.net/fr/equipement/3983740-sacrieur-f-200/objets", "link")</f>
        <v/>
      </c>
      <c r="C10454" t="n">
        <v>0</v>
      </c>
      <c r="D10454" t="inlineStr">
        <is>
          <t>Manthache; Collier du Valet Veinard; Alliance Gloursonne; Gant du Valet Veinard; Bouclier d'Ilyzaelle; Menoture; Dorabysses; Cape Indescriptible; Palmes Trithons; Dofus Ivoire; Dofus Émeraude; Dofus Abyssal; Miraculé majeur; Nomade; Remueur; La Chose</t>
        </is>
      </c>
    </row>
    <row r="10455">
      <c r="A10455" t="inlineStr">
        <is>
          <t>sadi</t>
        </is>
      </c>
      <c r="B10455">
        <f>HYPERLINK("https://www.dofusbook.net/fr/equipement/3980262-sadi/objets", "link")</f>
        <v/>
      </c>
      <c r="C10455" t="n">
        <v>8</v>
      </c>
      <c r="D10455" t="inlineStr">
        <is>
          <t>Arc Honte; Amulette de l'Œil Putride; Bague Gloursonne; Alliance Gloursonne; Bouclier cubiste; Ceinture de l'Esprit Salvateur; Masque de l'Esprit Salvateur; Cape de l'Œil Putride; Bottes de l'Esprit Salvateur; Dofus des Glaces; Dofus Pourpre; Dolmanax; Dofus Ocre; Dofus Ivoire; Dofus Vulbis; Léopardo</t>
        </is>
      </c>
    </row>
    <row r="10456">
      <c r="A10456" t="inlineStr">
        <is>
          <t>Enutrof M 200</t>
        </is>
      </c>
      <c r="B10456">
        <f>HYPERLINK("https://www.dofusbook.net/fr/equipement/3970946-enutrof-m-200/objets", "link")</f>
        <v/>
      </c>
      <c r="C10456" t="n">
        <v>0</v>
      </c>
      <c r="D10456" t="inlineStr">
        <is>
          <t>Baguette de Malléfisk; Amulette Martegel; Anneau Tique; Bouclier du Stalak; Cape Martegel; Bottes Innommables; Kougnard</t>
        </is>
      </c>
    </row>
    <row r="10457">
      <c r="A10457" t="inlineStr">
        <is>
          <t>Féca M 200</t>
        </is>
      </c>
      <c r="B10457">
        <f>HYPERLINK("https://www.dofusbook.net/fr/equipement/3969463-feca-m-200/objets", "link")</f>
        <v/>
      </c>
      <c r="C10457" t="n">
        <v>11</v>
      </c>
      <c r="D10457" t="inlineStr">
        <is>
          <t>Lav'Hache; Collier de Tourthon; Anneau Chevelu; Anneau Volkorne; Bouclier d'Ilyzaelle; Ceinture Volkorne; Masque de Koutoulou; Voile d'encre; Tentassons; Dofus Abyssal; Dofus Ivoire; Dofus Ocre; Étourdisseur majeur; Enragé majeur; Nomade; Drakopin</t>
        </is>
      </c>
    </row>
    <row r="10458">
      <c r="A10458" t="inlineStr">
        <is>
          <t>test</t>
        </is>
      </c>
      <c r="B10458">
        <f>HYPERLINK("https://www.dofusbook.net/fr/equipement/2628900-test/objets", "link")</f>
        <v/>
      </c>
      <c r="C10458" t="n">
        <v>13</v>
      </c>
      <c r="D10458" t="inlineStr">
        <is>
          <t>Héqache; Amulette du Strigide; Anneau Chevelu; Bague Trithon; Bouclier du Captain Amakna; Ceinture du Strigide; Masque Trithon; Voile d'encre; Bottes Trithon; Dofus Ocre; Dofus des Glaces; Dofus Vulbis; Dofus Ivoire; Dofus Turquoise; Dofus Pourpre; Kokulte</t>
        </is>
      </c>
    </row>
    <row r="10459">
      <c r="A10459" t="inlineStr">
        <is>
          <t>Enutrof M 200</t>
        </is>
      </c>
      <c r="B10459">
        <f>HYPERLINK("https://www.dofusbook.net/fr/equipement/3969395-enutrof-m-200/objets", "link")</f>
        <v/>
      </c>
      <c r="C10459" t="n">
        <v>12</v>
      </c>
      <c r="D10459" t="inlineStr">
        <is>
          <t>Sceptre du Roi Joueur; Amulette de Shokkoth; Bracelet des Fonds marins; Alliance Gloursonne; Bouclier du Stalak; Ceinture Glaciale; Capuche de l'Œil Attentif; Cape de l'Œil Attentif; Bottes du Sinistrofu; Dofus Ivoire; Dofus Ocre; Dofus Abyssal; Chanceux majeur; Remueur; Nomade; Kougnard</t>
        </is>
      </c>
    </row>
    <row r="10460">
      <c r="A10460" t="inlineStr">
        <is>
          <t>Enutrof M 200</t>
        </is>
      </c>
      <c r="B10460">
        <f>HYPERLINK("https://www.dofusbook.net/fr/equipement/3969258-enutrof-m-200/objets", "link")</f>
        <v/>
      </c>
      <c r="C10460" t="n">
        <v>4</v>
      </c>
      <c r="D10460" t="inlineStr">
        <is>
          <t>Arc Nécrotique; Amulette Volkorne; Lavanneau; Anneau Volkorne; Bouclier cubiste; Ceinture Volkorne; Kidibonnet; Cape de la Dame du Hasard; Bottes de la Dame du Hasard; Dofus Pourpre; Dofus Abyssal; Dofus Turquoise; Dofus Ivoire; Dofus Émeraude; Dofus Ocre; Kokulte</t>
        </is>
      </c>
    </row>
    <row r="10461">
      <c r="A10461" t="inlineStr">
        <is>
          <t>Enutrof M 200</t>
        </is>
      </c>
      <c r="B10461">
        <f>HYPERLINK("https://www.dofusbook.net/fr/equipement/3959832-enutrof-m-200/objets", "link")</f>
        <v/>
      </c>
      <c r="C10461" t="n">
        <v>8</v>
      </c>
      <c r="D10461" t="inlineStr">
        <is>
          <t>Arc corrompu; Amulette de Pol Ouatnos; Goulano; Anneau Rifique; Bouclier du Stalak; Ceinture de l'Esprit Salvateur; Casque Cyclopéen; Voile d'encre; Bottes Innommables; Dofus Ivoire; Dofus Ocre; Dofus Abyssal; Remueur; Érudit majeur; Carapace Terre majeur; Wabbit</t>
        </is>
      </c>
    </row>
    <row r="10462">
      <c r="A10462" t="inlineStr">
        <is>
          <t>Zobal F 200</t>
        </is>
      </c>
      <c r="B10462">
        <f>HYPERLINK("https://www.dofusbook.net/fr/equipement/3934443-zobal-f-200/objets", "link")</f>
        <v/>
      </c>
      <c r="C10462" t="n">
        <v>0</v>
      </c>
      <c r="D10462" t="inlineStr">
        <is>
          <t>Arc du Chalœil; Torquistik; Baguistik; Bouclier précieux; Ceinture Gence; Masque du Barbétoal; Cape Solution; Bottes Trithon; Dofus Ivoire; Dofus Abyssal; Bousculeur majeur; Culbuteur; Culbuteur majeur; Pousseur majeur; Balafreux</t>
        </is>
      </c>
    </row>
    <row r="10463">
      <c r="A10463" t="inlineStr">
        <is>
          <t>Huppermage F 200</t>
        </is>
      </c>
      <c r="B10463">
        <f>HYPERLINK("https://www.dofusbook.net/fr/equipement/3932272-huppermage-f-200/objets", "link")</f>
        <v/>
      </c>
      <c r="C10463" t="n">
        <v>1</v>
      </c>
      <c r="D10463" t="inlineStr">
        <is>
          <t>Lav'Hache; Amulette du Cœur Vaillant; Bague Instable; Anneau de Pol Ouatnos; Bouclier précieux; Ceinture Gence; Casque Dragoeuf; Cape du Cœur Vaillant; Bottes Owesli; Dofus Abyssal; Dofus Ivoire; Bousculeur majeur; Culbuteur majeur; Étourdisseur majeur; Pousseur majeur; Volkorne Roux et Ivoire</t>
        </is>
      </c>
    </row>
    <row r="10464">
      <c r="A10464" t="inlineStr">
        <is>
          <t>ret feu soin</t>
        </is>
      </c>
      <c r="B10464">
        <f>HYPERLINK("https://www.dofusbook.net/fr/equipement/3924044-ret-feu-soin/objets", "link")</f>
        <v/>
      </c>
      <c r="C10464" t="n">
        <v>0</v>
      </c>
      <c r="D10464" t="inlineStr">
        <is>
          <t>Le Thanos; Amulette Volkorne; Anneauræus; Anneau Toriété; Sept ans de malheur; Ceinture de Vortex; Masque Ardent; Cape de Diondin; Chaussures Ardentes; Dofus Ivoire; Dofus Ocre; Dofus Abyssal; Érudit majeur; Paralyseur majeur; Étourdisseur majeur; Ross</t>
        </is>
      </c>
    </row>
    <row r="10465">
      <c r="A10465" t="inlineStr">
        <is>
          <t>multi glas</t>
        </is>
      </c>
      <c r="B10465">
        <f>HYPERLINK("https://www.dofusbook.net/fr/equipement/2051073-multi-glas/objets", "link")</f>
        <v/>
      </c>
      <c r="C10465" t="n">
        <v>25</v>
      </c>
      <c r="D10465" t="inlineStr">
        <is>
          <t>Pyraguette; Amulette Volkorne; Alliance Gloursonne; Anneau Volkorne; Bouclier du Stalak; Ceinture de l'Esprit Salvateur; Masque de l'Esprit Salvateur; Voilamibe; Bottes de l'Esprit Salvateur; Dofus Pourpre; Dofus des Glaces; Dofus Ivoire; Dofus Abyssal; Dofus Nébuleux; Dofus Ocre; Bwak de Terre</t>
        </is>
      </c>
    </row>
    <row r="10466">
      <c r="A10466" t="inlineStr">
        <is>
          <t>feu</t>
        </is>
      </c>
      <c r="B10466">
        <f>HYPERLINK("https://www.dofusbook.net/fr/equipement/2238153-feu/objets", "link")</f>
        <v/>
      </c>
      <c r="C10466" t="n">
        <v>17</v>
      </c>
      <c r="D10466" t="inlineStr">
        <is>
          <t>Baguette de Malléfisk; Amulette Volkorne; Anneauræus; Anneauræus; Bouclier à hélice; Protopagne; Casque Dragoeuf; Cape de Diondin; Bottes Innommables; Dolmanax; Dofus Ivoire; Dofus Abyssal; Dofus Ocre; Dofus des Glaces; Érudit majeur; Shushu de Rushu</t>
        </is>
      </c>
    </row>
    <row r="10467">
      <c r="A10467" t="inlineStr">
        <is>
          <t>Zobal F 200</t>
        </is>
      </c>
      <c r="B10467">
        <f>HYPERLINK("https://www.dofusbook.net/fr/equipement/3907232-zobal-f-200/objets", "link")</f>
        <v/>
      </c>
      <c r="C10467" t="n">
        <v>7</v>
      </c>
      <c r="D10467" t="inlineStr">
        <is>
          <t>Lance corrompue; Amulette de Nevark; Alliance Gloursonne; Anneau des égarés; Bouclier d'Ilyzaelle; Ceinture de Nevark; Casque des égarés; Cape de Nevark; Bottes des égarés; Dofus Pourpre; Dofus Abyssal; Dofus Ocre; Dofus Ivoire; Dofus Vulbis; Dofus des Glaces; Bwak d'Air</t>
        </is>
      </c>
    </row>
    <row r="10468">
      <c r="A10468" t="inlineStr">
        <is>
          <t>Ret pa</t>
        </is>
      </c>
      <c r="B10468">
        <f>HYPERLINK("https://www.dofusbook.net/fr/equipement/2974382-ret-pa/objets", "link")</f>
        <v/>
      </c>
      <c r="C10468" t="n">
        <v>8</v>
      </c>
      <c r="D10468" t="inlineStr">
        <is>
          <t>Sceptre du Roi Joueur; Amulette de Shokkoth; Alliance Gloursonne; Anneau Volkorne; Cadran de Terre; Ceinture Glaciale; Masque de Funespadon; Cape de l'Œil Attentif; Chaussons de Macrab; Dofus Ivoire; Dofus Ocre; Dofus Vulbis; Dofus Abyssal; Chanceux majeur; Étourdisseur majeur; Kougnard</t>
        </is>
      </c>
    </row>
    <row r="10469">
      <c r="A10469" t="inlineStr">
        <is>
          <t>Zobal F 200</t>
        </is>
      </c>
      <c r="B10469">
        <f>HYPERLINK("https://www.dofusbook.net/fr/equipement/3886683-zobal-f-200/objets", "link")</f>
        <v/>
      </c>
      <c r="C10469" t="n">
        <v>4</v>
      </c>
      <c r="D10469" t="inlineStr">
        <is>
          <t>Amrothiline; Amulette du Strigide; Anneau Volkorne; Bague Gloursonne; Quatre-feuilles; Ceinture Volkorne; Masque de Koutoulou; Cape au Logis; Bottes du Strigide; Dofus Ocre; Dofus Ivoire; Dofus Pourpre; Dofus des Glaces; Dofus Turquoise; Dofus Abyssal; Kokulte</t>
        </is>
      </c>
    </row>
    <row r="10470">
      <c r="A10470" t="inlineStr">
        <is>
          <t>dague sram</t>
        </is>
      </c>
      <c r="B10470">
        <f>HYPERLINK("https://www.dofusbook.net/fr/equipement/2159781-dague-sram/objets", "link")</f>
        <v/>
      </c>
      <c r="C10470" t="n">
        <v>16</v>
      </c>
      <c r="D10470" t="inlineStr">
        <is>
          <t>Bâtonnet Ronien; Amulette du Strigide; Anneau de Padgref; Anneau Volkorne; Quatre-feuilles; Ceinture du Strigide; Coiffe de Padgref; Cape d'Anerice; Getas de Padgref; Dofus Turquoise; Dofus Vulbis; Dofus Ivoire; Dofus Ocre; Dofus Pourpre; Dofus des Glaces; Kokulte</t>
        </is>
      </c>
    </row>
    <row r="10471">
      <c r="A10471" t="inlineStr">
        <is>
          <t>Zobal F 200</t>
        </is>
      </c>
      <c r="B10471">
        <f>HYPERLINK("https://www.dofusbook.net/fr/equipement/3817475-zobal-f-200/objets", "link")</f>
        <v/>
      </c>
      <c r="C10471" t="n">
        <v>14</v>
      </c>
      <c r="D10471" t="inlineStr">
        <is>
          <t>Dagues Cacterre; Amulette Volkorne; Anneau Volkorne; Bague Trithon; Bouclier du Captain Amakna; Ceintacé; Masque Trithon; Cape de la Dame du Hasard; Bottes de la Dame du Hasard; Dofus Turquoise; Dofus Vulbis; Dofus Ocre; Dofus Ivoire; Dofus Pourpre; Dofus des Glaces; Kokulte</t>
        </is>
      </c>
    </row>
    <row r="10472">
      <c r="A10472" t="inlineStr">
        <is>
          <t>Osamodas F 200</t>
        </is>
      </c>
      <c r="B10472">
        <f>HYPERLINK("https://www.dofusbook.net/fr/equipement/3878168-osamodas-f-200/objets", "link")</f>
        <v/>
      </c>
      <c r="C10472" t="n">
        <v>7</v>
      </c>
      <c r="D10472" t="inlineStr">
        <is>
          <t>Dagues Érhy; Collier de Tourthon; Bague Gloursonne; Pikano; Bouclier Bontarien; Ceinture de la Cour Sombre; Casque Dragoeuf; Cape de la Cour Sombre; Bottes de la Cour Sombre; Dofus Vulbis; Dofus Abyssal; Dofus Ocre; Dofus Ivoire; Dofus Émeraude; Dofus des Glaces; Kougnard</t>
        </is>
      </c>
    </row>
    <row r="10473">
      <c r="A10473" t="inlineStr">
        <is>
          <t>Zobal F 200</t>
        </is>
      </c>
      <c r="B10473">
        <f>HYPERLINK("https://www.dofusbook.net/fr/equipement/3876201-zobal-f-200/objets", "link")</f>
        <v/>
      </c>
      <c r="C10473" t="n">
        <v>4</v>
      </c>
      <c r="D10473" t="inlineStr">
        <is>
          <t>Marteau des égarés; Amulette du Strigide; Anneau de Padgref; Alliance de Missiz Frizz; Bouclier du Captain Amakna; Ceinture du Strigide; Coiffe de Padgref; Cape d'Anerice; Getas de Padgref; Dofus Ocre; Dofus Ivoire; Dofus Pourpre; Dofus des Glaces; Dofus Turquoise; Dofus Vulbis; Kokulte</t>
        </is>
      </c>
    </row>
    <row r="10474">
      <c r="A10474" t="inlineStr">
        <is>
          <t>Zobal F 200</t>
        </is>
      </c>
      <c r="B10474">
        <f>HYPERLINK("https://www.dofusbook.net/fr/equipement/3872956-zobal-f-200/objets", "link")</f>
        <v/>
      </c>
      <c r="C10474" t="n">
        <v>10</v>
      </c>
      <c r="D10474" t="inlineStr">
        <is>
          <t>Dagues Érhy; Amulette du Strigide; Bague Gloursonne; Anneau de Padgref; Bouclier du Captain Amakna; Ceinture du Strigide; Coiffe de Padgref; Cape d'Anerice; Getas de Padgref; Dofus Turquoise; Dofus Pourpre; Dofus Ocre; Dofus Ivoire; Dofus Vulbis; Dofus des Glaces; Kokulte</t>
        </is>
      </c>
    </row>
    <row r="10475">
      <c r="A10475" t="inlineStr">
        <is>
          <t>Osamodas M 200</t>
        </is>
      </c>
      <c r="B10475">
        <f>HYPERLINK("https://www.dofusbook.net/fr/equipement/3872492-osamodas-m-200/objets", "link")</f>
        <v/>
      </c>
      <c r="C10475" t="n">
        <v>1</v>
      </c>
      <c r="D10475" t="inlineStr">
        <is>
          <t>Dagues de Srambad; Amulette du Piloztère; Bracelet du Piloztère; Anneau en Grithril; Cadran d'Eau; Ceinture en Grithril; Casque en Grithril; Cape au Logis; Pantoufles du Piloztère; Dofus Ocre; Dofus Ivoire; Dofus Pourpre; Dofus des Glaces; Dofus Émeraude; Dofus Abyssal; Wabbit</t>
        </is>
      </c>
    </row>
    <row r="10476">
      <c r="A10476" t="inlineStr">
        <is>
          <t>Zobal F 200</t>
        </is>
      </c>
      <c r="B10476">
        <f>HYPERLINK("https://www.dofusbook.net/fr/equipement/3861221-zobal-f-200/objets", "link")</f>
        <v/>
      </c>
      <c r="C10476" t="n">
        <v>6</v>
      </c>
      <c r="D10476" t="inlineStr">
        <is>
          <t>Marteau R'ture; Collier de Tourthon; Anneau Chevelu; Anneau Volkorne; Bouclier d'Ilyzaelle; Ceinture Volkorne; Masque de Koutoulou; Cape au Logis; Bottes de la Cour Sombre; Dofus Abyssal; Dofus Ivoire; Dofus Turquoise; Enragé majeur; Imprenable majeur; Évasif majeur; Chienchien Tigré</t>
        </is>
      </c>
    </row>
    <row r="10477">
      <c r="A10477" t="inlineStr">
        <is>
          <t>Zobal F 200</t>
        </is>
      </c>
      <c r="B10477">
        <f>HYPERLINK("https://www.dofusbook.net/fr/equipement/3834141-zobal-f-200/objets", "link")</f>
        <v/>
      </c>
      <c r="C10477" t="n">
        <v>6</v>
      </c>
      <c r="D10477" t="inlineStr">
        <is>
          <t>Baguette de Malléfisk; Amulette Volkorne; Anneauræus; Anneauræus; Écorce de Brouce; Ceinture Volkorne; Casque Dragoeuf; Cape de Diondin; Bottes Innommables; Dofus Ivoire; Dofus Ocre; Dofus Abyssal; Érudit majeur; Évasif majeur; Nomade; Raknaille</t>
        </is>
      </c>
    </row>
    <row r="10478">
      <c r="A10478" t="inlineStr">
        <is>
          <t>Zobal F 200</t>
        </is>
      </c>
      <c r="B10478">
        <f>HYPERLINK("https://www.dofusbook.net/fr/equipement/3859304-zobal-f-200/objets", "link")</f>
        <v/>
      </c>
      <c r="C10478" t="n">
        <v>6</v>
      </c>
      <c r="D10478" t="inlineStr">
        <is>
          <t>Dagues de Srambad; Amulette de Pol Ouatnos; Goulano; Anneau Volkorne; Cadran d'Eau; Ceinture Volkorne; Casque en Grithril; Voile d'encre; Goulbottes; Dofus Ocre; Dofus Ivoire; Dofus Émeraude; Dofus des Glaces; Dofus Pourpre; Dofus Abyssal; Chienchien Tigré</t>
        </is>
      </c>
    </row>
    <row r="10479">
      <c r="A10479" t="inlineStr">
        <is>
          <t>Osamodas F 200</t>
        </is>
      </c>
      <c r="B10479">
        <f>HYPERLINK("https://www.dofusbook.net/fr/equipement/3858834-osamodas-f-200/objets", "link")</f>
        <v/>
      </c>
      <c r="C10479" t="n">
        <v>19</v>
      </c>
      <c r="D10479" t="inlineStr">
        <is>
          <t>Arc Honte; Amulette Volkorne; Anneau de Nidas; Anneau Rifique; Bouclier d'Anerice; Ceinture Volkorne; Casque Cyclopéen; Cape d'Anerice; Tongues de Nidas; Dofus Vulbis; Dofus Émeraude; Dofus Ocre; Dofus Ivoire; Dofus des Glaces; Imprenable majeur; Chienchien Tigré</t>
        </is>
      </c>
    </row>
    <row r="10480">
      <c r="A10480" t="inlineStr">
        <is>
          <t>Zobal F 200</t>
        </is>
      </c>
      <c r="B10480">
        <f>HYPERLINK("https://www.dofusbook.net/fr/equipement/3853827-zobal-f-200/objets", "link")</f>
        <v/>
      </c>
      <c r="C10480" t="n">
        <v>13</v>
      </c>
      <c r="D10480" t="inlineStr">
        <is>
          <t>Rapière aux Glyphes; Amulette de Shokkoth; Anneau Volkorne; Alliance Gloursonne; Bouclier d'Ilyzaelle; Poulpagne; Capuche de l'Œil Attentif; Cape de l'Œil Attentif; Bottes du Sinistrofu; Dofus Émeraude; Dofus Turquoise; Dofus Abyssal; Dofus Ivoire; Nomade; Chanceux majeur; Chienchien Tigré</t>
        </is>
      </c>
    </row>
    <row r="10481">
      <c r="A10481" t="inlineStr">
        <is>
          <t>Zobal F 200</t>
        </is>
      </c>
      <c r="B10481">
        <f>HYPERLINK("https://www.dofusbook.net/fr/equipement/3853760-zobal-f-200/objets", "link")</f>
        <v/>
      </c>
      <c r="C10481" t="n">
        <v>5</v>
      </c>
      <c r="D10481" t="inlineStr">
        <is>
          <t>Manthache; Amulette du Strigide; Alliance Gloursonne; Bague Gloursonne; Bouclier d'Ilyzaelle; Sangle Oriole; Chapeau de Tournoyé; Cape de Crânonier; Bottes du Strigide; Dofus Vulbis; Dofus Ivoire; Dofus Pourpre; Dofus Ocre; Dofus Turquoise; Dofus Abyssal; Chienchien Tigré</t>
        </is>
      </c>
    </row>
    <row r="10482">
      <c r="A10482" t="inlineStr">
        <is>
          <t>Zobal F 200</t>
        </is>
      </c>
      <c r="B10482">
        <f>HYPERLINK("https://www.dofusbook.net/fr/equipement/3853623-zobal-f-200/objets", "link")</f>
        <v/>
      </c>
      <c r="C10482" t="n">
        <v>5</v>
      </c>
      <c r="D10482" t="inlineStr">
        <is>
          <t>Pelle de Katrepat; Amulette Volkorne; Lavanneau; Anneau Volkorne; Cadran d'Eau; Ceintrigue; Casque Dragoeuf; Cape Solution; Bottes Owesli; Dofus Émeraude; Dofus Pourpre; Dofus Abyssal; Dofus Ocre; Dofus Vulbis; Dofus Ivoire; Rauleur</t>
        </is>
      </c>
    </row>
    <row r="10483">
      <c r="A10483" t="inlineStr">
        <is>
          <t>Zobal F 200</t>
        </is>
      </c>
      <c r="B10483">
        <f>HYPERLINK("https://www.dofusbook.net/fr/equipement/3834411-zobal-f-200/objets", "link")</f>
        <v/>
      </c>
      <c r="C10483" t="n">
        <v>14</v>
      </c>
      <c r="D10483" t="inlineStr">
        <is>
          <t>Hache Téroïde; Amulette Volkorne; Anneau Volkorne; Chevalière du Roi Joueur; Cadran d'Eau; Ceinture Volkorne; Couronne du Roi Joueur; Voile d'encre; Bottes du Roi Joueur; Dofus Ocre; Dofus Ivoire; Dofus Pourpre; Dofus des Glaces; Dofus Turquoise; Dofus Abyssal; Bwak de Terre</t>
        </is>
      </c>
    </row>
    <row r="10484">
      <c r="A10484" t="inlineStr">
        <is>
          <t>Osamodas F 200</t>
        </is>
      </c>
      <c r="B10484">
        <f>HYPERLINK("https://www.dofusbook.net/fr/equipement/3845855-osamodas-f-200/objets", "link")</f>
        <v/>
      </c>
      <c r="C10484" t="n">
        <v>7</v>
      </c>
      <c r="D10484" t="inlineStr">
        <is>
          <t>Lav'Hache; Collier de Tourthon; Pikano; Anneau de Brouce; Bouclier d'Anerice; Ceinture Volkorne; Chapeau de Gein; Cape d'Anerice; Bottes du Cœur Saignant; Dofus Ocre; Dofus Ivoire; Dofus des Glaces; Nomade; Remueur; Enragé majeur; Kougnard</t>
        </is>
      </c>
    </row>
    <row r="10485">
      <c r="A10485" t="inlineStr">
        <is>
          <t>Zobal F 200</t>
        </is>
      </c>
      <c r="B10485">
        <f>HYPERLINK("https://www.dofusbook.net/fr/equipement/3843759-zobal-f-200/objets", "link")</f>
        <v/>
      </c>
      <c r="C10485" t="n">
        <v>4</v>
      </c>
      <c r="D10485" t="inlineStr">
        <is>
          <t>Lav'Hache; Collier de Tourthon; Anneau Chevelu; Anneau Volkorne; Bouclier du Stalak; Ceinture Volkorne; Masque de Koutoulou; Cape au Logis; Bottes de la Cour Sombre; Dofus Ocre; Dofus des Glaces; Dofus Pourpre; Dofus Ivoire; Miraculé majeur; Enragé majeur; Bulbisou</t>
        </is>
      </c>
    </row>
    <row r="10486">
      <c r="A10486" t="inlineStr">
        <is>
          <t>dague terre cc</t>
        </is>
      </c>
      <c r="B10486">
        <f>HYPERLINK("https://www.dofusbook.net/fr/equipement/2020620-dague-terre-cc/objets", "link")</f>
        <v/>
      </c>
      <c r="C10486" t="n">
        <v>9</v>
      </c>
      <c r="D10486" t="inlineStr">
        <is>
          <t>Dagues d'Ilyzaelle; Amulette du Strigide; Anneau Chevelu; Anneau Volkorne; Bouclier du Captain Amakna; Ceinture Volkorne; Masque de Koutoulou; Cape au Logis; Bottes du Cœur Saignant; Dofus des Glaces; Dofus Pourpre; Dofus Ocre; Dofus Turquoise; Enragé majeur; Miraculé majeur; Dragodinde Emeraude et Pourpre</t>
        </is>
      </c>
    </row>
    <row r="10487">
      <c r="A10487" t="inlineStr">
        <is>
          <t>Zobal F 200</t>
        </is>
      </c>
      <c r="B10487">
        <f>HYPERLINK("https://www.dofusbook.net/fr/equipement/3819586-zobal-f-200/objets", "link")</f>
        <v/>
      </c>
      <c r="C10487" t="n">
        <v>8</v>
      </c>
      <c r="D10487" t="inlineStr">
        <is>
          <t>Épouvante; Amulette Luminescente; Bague Trithon; Anneau Volkorne; Bouclier Taverne; Ceinture Volkorne; Masque Trithon; Cape Luminescente; Bottes Trithon; Dofus Ivoire; Dofus Turquoise; Dofus Pourpre; Dofus des Glaces; Dofus Ocre; Bousculeur majeur; Balafreux</t>
        </is>
      </c>
    </row>
    <row r="10488">
      <c r="A10488" t="inlineStr">
        <is>
          <t>Zobal F 200</t>
        </is>
      </c>
      <c r="B10488">
        <f>HYPERLINK("https://www.dofusbook.net/fr/equipement/3834379-zobal-f-200/objets", "link")</f>
        <v/>
      </c>
      <c r="C10488" t="n">
        <v>4</v>
      </c>
      <c r="D10488" t="inlineStr">
        <is>
          <t>Pelle Vice; Amulette Volkorne; Bague Trithon; Anneau Volkorne; Bouclier du Captain Amakna; Ceinture Volkorne; Masque Trithon; Cape de la Dame du Hasard; Bottes Trithon; Dofus Pourpre; Dofus des Glaces; Dofus Turquoise; Dofus Abyssal; Dofus Ocre; Dofus Ivoire; Kokulte</t>
        </is>
      </c>
    </row>
    <row r="10489">
      <c r="A10489" t="inlineStr">
        <is>
          <t>Zobal F 200</t>
        </is>
      </c>
      <c r="B10489">
        <f>HYPERLINK("https://www.dofusbook.net/fr/equipement/3834308-zobal-f-200/objets", "link")</f>
        <v/>
      </c>
      <c r="C10489" t="n">
        <v>4</v>
      </c>
      <c r="D10489" t="inlineStr">
        <is>
          <t>Marteau Reine; Amulette du Strigide; Anneau Volkorne; Anneau Toriété; Bouclier du Captain Amakna; Ceinture du Strigide; Casque Volkorne; Dofusteuse; Bottes du Strigide; Dofus Ocre; Dofus Ivoire; Dofus Pourpre; Dofus des Glaces; Dofus Turquoise; Dofus Abyssal; Kokulte</t>
        </is>
      </c>
    </row>
    <row r="10490">
      <c r="A10490" t="inlineStr">
        <is>
          <t>Zobal F 200</t>
        </is>
      </c>
      <c r="B10490">
        <f>HYPERLINK("https://www.dofusbook.net/fr/equipement/3834199-zobal-f-200/objets", "link")</f>
        <v/>
      </c>
      <c r="C10490" t="n">
        <v>4</v>
      </c>
      <c r="D10490" t="inlineStr">
        <is>
          <t>Baguette Hernelle; Amulette du Strigide; Anneau Toriété; Anneau de Padgref; Quatre-feuilles; Ceinture du Strigide; Coiffe de Padgref; Cape Indescriptible; Getas de Padgref; Dofus Pourpre; Dofus des Glaces; Dofus Turquoise; Dofus Abyssal; Dofus Ocre; Dofus Ivoire; Dragodinde Ebène et Emeraude</t>
        </is>
      </c>
    </row>
    <row r="10491">
      <c r="A10491" t="inlineStr">
        <is>
          <t>terre air</t>
        </is>
      </c>
      <c r="B10491">
        <f>HYPERLINK("https://www.dofusbook.net/fr/equipement/2925449-terre-air/objets", "link")</f>
        <v/>
      </c>
      <c r="C10491" t="n">
        <v>6</v>
      </c>
      <c r="D10491" t="inlineStr">
        <is>
          <t>Héqache; Amulette du Strigide; Alliance Gloursonne; Anneau Volkorne; Quatre-feuilles; Ceinture Volkorne; Casque Volkorne; Voile d'encre; Bottes du Strigide; Dofus des Glaces; Dofus Turquoise; Dofus Ocre; Dofus Abyssal; Dofus Pourpre; Dofus Ivoire; Fëanor</t>
        </is>
      </c>
    </row>
    <row r="10492">
      <c r="A10492" t="inlineStr">
        <is>
          <t>Eniripsa F 200</t>
        </is>
      </c>
      <c r="B10492">
        <f>HYPERLINK("https://www.dofusbook.net/fr/equipement/3820164-eniripsa-f-200/objets", "link")</f>
        <v/>
      </c>
      <c r="C10492" t="n">
        <v>0</v>
      </c>
      <c r="D10492" t="inlineStr">
        <is>
          <t>Arc Nécrotique; Amulette Volkorne; Anneau Volkorne; Bague Trithon; Bouclier cubiste; Ceinture Volkorne; Masque Trithon; Cape de la Dame du Hasard; Bottes de la Dame du Hasard; Dofus Ocre; Dofus Turquoise; Dofus Abyssal; Dofus Pourpre; Dofus Ivoire; Dolmanax; Sakochère</t>
        </is>
      </c>
    </row>
    <row r="10493">
      <c r="A10493" t="inlineStr">
        <is>
          <t>Sadida F 200</t>
        </is>
      </c>
      <c r="B10493">
        <f>HYPERLINK("https://www.dofusbook.net/fr/equipement/3825027-sadida-f-200/objets", "link")</f>
        <v/>
      </c>
      <c r="C10493" t="n">
        <v>3</v>
      </c>
      <c r="D10493" t="inlineStr">
        <is>
          <t>Arc Honte; Amulette Volkorne; Anneau Volkorne; Anneauræus; Bouclier cubiste; Ceinture de Vortex; Casque Volkorne; Cape Martegel; Sabots de Vortex; Dofus Abyssal; Dofus Ocre; Dofus Ivoire; Volkorne Turquoise</t>
        </is>
      </c>
    </row>
    <row r="10494">
      <c r="A10494" t="inlineStr">
        <is>
          <t>Stuff 3</t>
        </is>
      </c>
      <c r="B10494">
        <f>HYPERLINK("https://www.dofusbook.net/fr/equipement/388690-stuff-3/objets", "link")</f>
        <v/>
      </c>
      <c r="C10494" t="n">
        <v>3</v>
      </c>
      <c r="D10494" t="inlineStr">
        <is>
          <t>Arc Nécrotique; Amulette Volkorne; Anneau Volkorne; Alliance Gloursonne; Cadran de Terre; Ceinture du Barbétoal; Casque Volkorne; Cape du Barbétoal; Pataugastrique; Dofus Abyssal; Dofus Ivoire; Dofus Turquoise; Dolmanax; Dofus des Glaces; Dofus Pourpre; Volkorne Rubis et Ivoire</t>
        </is>
      </c>
    </row>
    <row r="10495">
      <c r="A10495" t="inlineStr">
        <is>
          <t>Zobal M 200</t>
        </is>
      </c>
      <c r="B10495">
        <f>HYPERLINK("https://www.dofusbook.net/fr/equipement/3819512-zobal-m-200/objets", "link")</f>
        <v/>
      </c>
      <c r="C10495" t="n">
        <v>6</v>
      </c>
      <c r="D10495" t="inlineStr">
        <is>
          <t>Arc du Chalœil; Amulette du Cœur Saignant; Anneau Volkorne; Chevalière du Roi Joueur; Bouclier cubiste; Ceinture Volkorne; Couronne du Roi Joueur; Cape du Cœur Saignant; Bottes du Cœur Saignant; Dofus Émeraude; Dofus Turquoise; Dofus Abyssal; Dofus Ocre; Dofus Ivoire; Dofus Vulbis; Volkorne Jade et Turquoise</t>
        </is>
      </c>
    </row>
    <row r="10496">
      <c r="A10496" t="inlineStr">
        <is>
          <t>Zobal M 200</t>
        </is>
      </c>
      <c r="B10496">
        <f>HYPERLINK("https://www.dofusbook.net/fr/equipement/3819223-zobal-m-200/objets", "link")</f>
        <v/>
      </c>
      <c r="C10496" t="n">
        <v>1</v>
      </c>
      <c r="D10496" t="inlineStr">
        <is>
          <t>Pelle Fik; Amulette de l'Œil Attentif; Anneau Volkorne; Alliance Gloursonne; Bouclier du Captain Amakna; Sangle Ouare; Capuche de l'Œil Attentif; Cape de l'Œil Attentif; Bottes de la Dame du Hasard; Dofus Ocre; Dofus Ivoire; Dofus Pourpre; Dofus des Glaces; Dofus Turquoise; Dofus Abyssal; Pioute bleu</t>
        </is>
      </c>
    </row>
    <row r="10497">
      <c r="A10497" t="inlineStr">
        <is>
          <t>terre air</t>
        </is>
      </c>
      <c r="B10497">
        <f>HYPERLINK("https://www.dofusbook.net/fr/equipement/2992561-terre-air/objets", "link")</f>
        <v/>
      </c>
      <c r="C10497" t="n">
        <v>8</v>
      </c>
      <c r="D10497" t="inlineStr">
        <is>
          <t>Arc Nécrotique; Amulette Volkorne; Anneau Toriété; Anneau Volkorne; Cadran de Terre; Ceintrigue; Casque Dragoeuf; Cape de Diondin; Bottes Owesli; Dofus Ivoire; Dofus Pourpre; Dofus Ocre; Dolmanax; Dofus Abyssal; Dofus des Glaces; Walk</t>
        </is>
      </c>
    </row>
    <row r="10498">
      <c r="A10498" t="inlineStr">
        <is>
          <t>Zobal F 200</t>
        </is>
      </c>
      <c r="B10498">
        <f>HYPERLINK("https://www.dofusbook.net/fr/equipement/3817308-zobal-f-200/objets", "link")</f>
        <v/>
      </c>
      <c r="C10498" t="n">
        <v>3</v>
      </c>
      <c r="D10498" t="inlineStr">
        <is>
          <t>Baguette Hique; Amulette du Strigide; Anneau Volkorne; Anneau Chevelu; Quatre-feuilles; Ceinture Volkorne; Masque de Koutoulou; Voile d'encre; Bottes du Strigide; Dofus des Glaces; Dofus Turquoise; Dofus Abyssal; Dofus Ocre; Dofus Ivoire; Dofus Pourpre; Kokulte</t>
        </is>
      </c>
    </row>
    <row r="10499">
      <c r="A10499" t="inlineStr">
        <is>
          <t>Féca M 200</t>
        </is>
      </c>
      <c r="B10499">
        <f>HYPERLINK("https://www.dofusbook.net/fr/equipement/3801298-feca-m-200/objets", "link")</f>
        <v/>
      </c>
      <c r="C10499" t="n">
        <v>4</v>
      </c>
      <c r="D10499" t="inlineStr">
        <is>
          <t>Arc Volkorne; Amulette Volkorne; Grésilanneau; Anneau Volkorne; Bouclier du Stalak; Ceinture Volkorne; Casque du Chalœil; Cape du Chalœil; Bottes du Chalœil; Dofus des Glaces; Dofus Pourpre; Dofus Abyssal; Dofus Ocre; Dofus Ivoire; Wabbit</t>
        </is>
      </c>
    </row>
    <row r="10500">
      <c r="A10500" t="inlineStr">
        <is>
          <t>terre feu rox</t>
        </is>
      </c>
      <c r="B10500">
        <f>HYPERLINK("https://www.dofusbook.net/fr/equipement/2004898-terre-feu-rox/objets", "link")</f>
        <v/>
      </c>
      <c r="C10500" t="n">
        <v>4</v>
      </c>
      <c r="D10500" t="inlineStr">
        <is>
          <t>Arc du Chalœil; Amulette Héroclite; Bague Gloursonne; Anneau Chevelu; Bouclier du Stalak; Ceinture de la Cour Sombre; Masque de Koutoulou; Voile d'encre; Bottes de la Cour Sombre; Dofus Ivoire; Dofus Ocre; Dofus Pourpre; Nomade; Enragé majeur; Dragodinde Prune et Pourpre</t>
        </is>
      </c>
    </row>
    <row r="10501">
      <c r="A10501" t="inlineStr">
        <is>
          <t>stuff2</t>
        </is>
      </c>
      <c r="B10501">
        <f>HYPERLINK("https://www.dofusbook.net/fr/equipement/1295412-stuff2/objets", "link")</f>
        <v/>
      </c>
      <c r="C10501" t="n">
        <v>0</v>
      </c>
      <c r="D10501" t="inlineStr">
        <is>
          <t>Dagues d'Ilyzaelle; Amulette du Cœur Saignant; Anneau Volkorne; Chevalière du Roi Joueur; Cadran d'Eau; Ceinture Volkorne; Couronne du Roi Joueur; Cape du Cœur Saignant; Bottes du Cœur Saignant; Dofus Turquoise; Dofus Pourpre; Dofus Ocre; Dofus Ivoire; Dofus Abyssal; Dofus des Glaces; Muldo Prune et Emeraude</t>
        </is>
      </c>
    </row>
    <row r="10502">
      <c r="A10502" t="inlineStr">
        <is>
          <t>Iop M 200</t>
        </is>
      </c>
      <c r="B10502">
        <f>HYPERLINK("https://www.dofusbook.net/fr/equipement/3522793-iop-m-200/objets", "link")</f>
        <v/>
      </c>
      <c r="C10502" t="n">
        <v>2</v>
      </c>
      <c r="D10502" t="inlineStr">
        <is>
          <t>Héqache; Amulette du Strigide; Anneau Volkorne; Anneau des égarés; Bouclier du Captain Amakna; Ceinture Volkorne; Casque Volkorne; Cape des Justiciers; Bottes du Strigide; Dofus Nébuleux; Dofus des Glaces; Dolmanax; Dofus Ocre; Dofus Pourpre; Dofus Turquoise; Dragodinde Emeraude et Ivoire</t>
        </is>
      </c>
    </row>
    <row r="10503">
      <c r="A10503" t="inlineStr">
        <is>
          <t>Huppermage M 200</t>
        </is>
      </c>
      <c r="B10503">
        <f>HYPERLINK("https://www.dofusbook.net/fr/equipement/3547499-huppermage-m-200/objets", "link")</f>
        <v/>
      </c>
      <c r="C10503" t="n">
        <v>3</v>
      </c>
      <c r="D10503" t="inlineStr">
        <is>
          <t>Rapière aux Glyphes; Amulette de Shokkoth; Anneau Glacial; Anneau Volkorne; Bouclier du Captain Amakna; Poulpagne; Kidibonnet; Cape du Sinistrofu; Bottes du Sinistrofu; Dofus Turquoise; Dofus Pourpre; Taquin majeur; Chanceux majeur; Nomade; Vigoureux majeur; Dragodinde Emeraude et Indigo</t>
        </is>
      </c>
    </row>
    <row r="10504">
      <c r="A10504" t="inlineStr">
        <is>
          <t>Huppermage M 200</t>
        </is>
      </c>
      <c r="B10504">
        <f>HYPERLINK("https://www.dofusbook.net/fr/equipement/3350315-huppermage-m-200/objets", "link")</f>
        <v/>
      </c>
      <c r="C10504" t="n">
        <v>5</v>
      </c>
      <c r="D10504" t="inlineStr">
        <is>
          <t>Épée Brûlâme; Amulette Volkorne; Anneau Volkorne; Lavanneau; Bouclier du Captain Amakna; Sangle Ouare; Le Dorado; Cape de la Dame du Hasard; Bottes de la Dame du Hasard; Dofus des Glaces; Dofus Pourpre; Dolmanax; Dofus Turquoise; Dofus Ocre; Puissant majeur; Dragodinde Emeraude et Ivoire</t>
        </is>
      </c>
    </row>
    <row r="10505">
      <c r="A10505" t="inlineStr">
        <is>
          <t>Zobal M 200</t>
        </is>
      </c>
      <c r="B10505">
        <f>HYPERLINK("https://www.dofusbook.net/fr/equipement/3552413-zobal-m-200/objets", "link")</f>
        <v/>
      </c>
      <c r="C10505" t="n">
        <v>0</v>
      </c>
      <c r="D10505" t="inlineStr">
        <is>
          <t>Marteau de Katrepat; Amulette du Strigide; Anneau Volkorne; Alliance Brûlâme; Bouclier du Captain Amakna; Ceinture Volkorne; Casque Volkorne; Cape des Justiciers; Bottes du Strigide; Dofus Pourpre; Dofus Ocre; Dofus Turquoise; Dofus Émeraude; Dolmanax; Dofus des Glaces; Dragodinde Emeraude et Ivoire</t>
        </is>
      </c>
    </row>
    <row r="10506">
      <c r="A10506" t="inlineStr">
        <is>
          <t>dague sram</t>
        </is>
      </c>
      <c r="B10506">
        <f>HYPERLINK("https://www.dofusbook.net/fr/equipement/2264320-dague-sram/objets", "link")</f>
        <v/>
      </c>
      <c r="C10506" t="n">
        <v>1</v>
      </c>
      <c r="D10506" t="inlineStr">
        <is>
          <t>Dagues Érhy; Amulette Volkorne; Chevalière du Roi Joueur; Anneau Volkorne; Bouclier du Captain Amakna; Ceinture Volkorne; Couronne du Roi Joueur; Sac Volcanique; Bottes du Roi Joueur; Dolmanax; Dofus des Glaces; Dofus Pourpre; Dofus Turquoise; Dofus Ocre; Dragodinde Emeraude et Ivoire</t>
        </is>
      </c>
    </row>
    <row r="10507">
      <c r="A10507" t="inlineStr">
        <is>
          <t>Eniripsa M 200</t>
        </is>
      </c>
      <c r="B10507">
        <f>HYPERLINK("https://www.dofusbook.net/fr/equipement/3286502-eniripsa-m-200/objets", "link")</f>
        <v/>
      </c>
      <c r="C10507" t="n">
        <v>7</v>
      </c>
      <c r="D10507" t="inlineStr">
        <is>
          <t>Sabres d'Atcham; Amulette Volkorne; Bague Trithon; Anneau Volkorne; Bouclier du Captain Amakna; Ceintacé; Casque Volkorne; Cape d'Atcham; Bottes Trithon; Dofus Ocre; Dofus Pourpre; Dolmanax; Dofus Turquoise; Dofus des Glaces; Puissant majeur; Dragodinde Emeraude et Ivoire</t>
        </is>
      </c>
    </row>
    <row r="10508">
      <c r="A10508" t="inlineStr">
        <is>
          <t>terre soin</t>
        </is>
      </c>
      <c r="B10508">
        <f>HYPERLINK("https://www.dofusbook.net/fr/equipement/2286656-terre-soin/objets", "link")</f>
        <v/>
      </c>
      <c r="C10508" t="n">
        <v>3</v>
      </c>
      <c r="D10508" t="inlineStr">
        <is>
          <t>Pelle de la Cour Sombre; Collier du Valet Veinard; Gant du Valet Veinard; Alliance Gloursonne; Bouclier d'Ilyzaelle; Menoture; Dorabysses; Cape Martegel; Palmes Trithons; Dofus Émeraude; Dofus Vulbis; Dofus Abyssal; Dofus Ivoire; Dofus Ocre; Cascadeur majeur; Dragodinde Amande et Ebène</t>
        </is>
      </c>
    </row>
    <row r="10509">
      <c r="A10509" t="inlineStr">
        <is>
          <t>Stuff 1</t>
        </is>
      </c>
      <c r="B10509">
        <f>HYPERLINK("https://www.dofusbook.net/fr/equipement/388679-stuff-1/objets", "link")</f>
        <v/>
      </c>
      <c r="C10509" t="n">
        <v>8</v>
      </c>
      <c r="D10509" t="inlineStr">
        <is>
          <t>Le Thanos; Amulette d'Ilyzaelle; Alliance Gloursonne; Anneau Rifique; Bouclier d'Ilyzaelle; Menoture; Dorabysses; Cape Martegel; Palmes Trithons; Dofus Ocre; Dofus Vulbis; Dofus Émeraude; Dofus Abyssal; Guérisseur majeur; Cascadeur majeur; Dragodinde Ebène et Rousse</t>
        </is>
      </c>
    </row>
    <row r="10510">
      <c r="A10510" t="inlineStr">
        <is>
          <t>eau agi soin</t>
        </is>
      </c>
      <c r="B10510">
        <f>HYPERLINK("https://www.dofusbook.net/fr/equipement/1960773-eau-agi-soin/objets", "link")</f>
        <v/>
      </c>
      <c r="C10510" t="n">
        <v>13</v>
      </c>
      <c r="D10510" t="inlineStr">
        <is>
          <t>Le Thanos; Amulette d'Ilyzaelle; Alliance Gloursonne; Anneau Volkorne; Bouclier d'Ilyzaelle; Menoture; Casque Volkorne; Cape Martegel; Palmes Trithons; Dofus Ivoire; Dofus Turquoise; Dofus Pourpre; Dofus Vulbis; Dofus Ocre; Dolmanax; Dragodinde Ebène et Rousse</t>
        </is>
      </c>
    </row>
    <row r="10511">
      <c r="A10511" t="inlineStr">
        <is>
          <t>feu mallé</t>
        </is>
      </c>
      <c r="B10511">
        <f>HYPERLINK("https://www.dofusbook.net/fr/equipement/2344509-feu-malle/objets", "link")</f>
        <v/>
      </c>
      <c r="C10511" t="n">
        <v>1</v>
      </c>
      <c r="D10511" t="inlineStr">
        <is>
          <t>Baguette de Malléfisk; Amulette Séculaire; Anneauræus; Anneauræus; Carapar; Ceinture Séculaire; Casque Dragoeuf; Cape de Diondin; Chaussures Ardentes; Dofus Vulbis; Dofus Ocre; Dofus Abyssal; Dofus Ivoire; Carapace Feu majeur; Érudit majeur; Dragodinde Orchidée et Rousse</t>
        </is>
      </c>
    </row>
    <row r="10512">
      <c r="A10512" t="inlineStr">
        <is>
          <t>Pandawa F 200</t>
        </is>
      </c>
      <c r="B10512">
        <f>HYPERLINK("https://www.dofusbook.net/fr/equipement/3537601-pandawa-f-200/objets", "link")</f>
        <v/>
      </c>
      <c r="C10512" t="n">
        <v>8</v>
      </c>
      <c r="D10512" t="inlineStr">
        <is>
          <t>Arc corrompu; Amulette Volkorne; Anneauræus; Anneau Volkorne; Quatre-feuilles; Ceinture Séculaire; Coiffe Séculaire; Voile d'encre; Pataugastrique; Dofus Vulbis; Dofus Abyssal; Dofus Pourpre; Dofus Ivoire; Dofus Turquoise; Dofus Ocre; Dragodinde Ivoire et Orchidée</t>
        </is>
      </c>
    </row>
    <row r="10513">
      <c r="A10513" t="inlineStr">
        <is>
          <t>eau</t>
        </is>
      </c>
      <c r="B10513">
        <f>HYPERLINK("https://www.dofusbook.net/fr/equipement/3198766-eau/objets", "link")</f>
        <v/>
      </c>
      <c r="C10513" t="n">
        <v>14</v>
      </c>
      <c r="D10513" t="inlineStr">
        <is>
          <t>Rapière aux Glyphes; Amulette Volkorne; Anneau Volkorne; Alliance Gloursonne; Bouclier d'Ilyzaelle; Pagne du Rykaon; Masque d'Anerice; Cape d'Anerice; Pataugastrique; Dofus Vulbis; Dofus Abyssal; Dofus Pourpre; Dofus Ivoire; Dofus Ocre; Dofus Émeraude; Dragodinde Indigo et Ivoire</t>
        </is>
      </c>
    </row>
    <row r="10514">
      <c r="A10514" t="inlineStr">
        <is>
          <t>mégaB ret res P 12/6</t>
        </is>
      </c>
      <c r="B10514">
        <f>HYPERLINK("https://www.dofusbook.net/fr/equipement/3550411-megab-ret-res-p-12-6/objets", "link")</f>
        <v/>
      </c>
      <c r="C10514" t="n">
        <v>9</v>
      </c>
      <c r="D10514" t="inlineStr">
        <is>
          <t>Rouleau à Pâtisserie d'Aermyne; Talisman Glouti; Alliance de Guten Tak; Anneau Tique; Sept ans de malheur; Culotte de Bethel; Coiffe d'Aermyne; Cape d'Aermyne; Chaussons de Macrab; Dofus Forgelave; Dofus Vulbis; Dofus Émeraude; Dofus Ivoire; Dofus Ocre; Paralyseur majeur; Volkorne Amande et Ivoire</t>
        </is>
      </c>
    </row>
    <row r="10515">
      <c r="A10515" t="inlineStr">
        <is>
          <t>do pou ret pa</t>
        </is>
      </c>
      <c r="B10515">
        <f>HYPERLINK("https://www.dofusbook.net/fr/equipement/3168613-do-pou-ret-pa/objets", "link")</f>
        <v/>
      </c>
      <c r="C10515" t="n">
        <v>1</v>
      </c>
      <c r="D10515" t="inlineStr">
        <is>
          <t>Lav'Hache; Amulette du Cœur Vaillant; Bague Instable; Anneau de Pol Ouatnos; Bouclier précieux; Ceinture Gence; Casque Dragoeuf; Cape du Cœur Vaillant; Bottes Owesli; Dofus Ivoire; Culbuteur majeur; Bousculeur; Bousculeur majeur; Culbuteur; Étourdisseur majeur; Volkorne Roux et Ivoire</t>
        </is>
      </c>
    </row>
    <row r="10516">
      <c r="A10516" t="inlineStr">
        <is>
          <t>eau full do 12/6</t>
        </is>
      </c>
      <c r="B10516">
        <f>HYPERLINK("https://www.dofusbook.net/fr/equipement/2830350-eau-full-do-12-6/objets", "link")</f>
        <v/>
      </c>
      <c r="C10516" t="n">
        <v>2</v>
      </c>
      <c r="D10516" t="inlineStr">
        <is>
          <t>Pyraguette; Amulette d'Ilyzaelle; Anneau Volkorne; Alliance Gloursonne; Bouclier d'Ilyzaelle; Ceinture de la Reine des Voleurs; Casque d'Ilyzaelle; Cape de l'Œil Attentif; Bottes de la Reine des Voleurs; Dofus Ocre; Dofus Ivoire; Dofus des Glaces; Dofus Pourpre; Dofus Vulbis; Saccageur Eau majeur; Volkorne Améthyste et Indigo</t>
        </is>
      </c>
    </row>
    <row r="10517">
      <c r="A10517" t="inlineStr">
        <is>
          <t>tank eau ret</t>
        </is>
      </c>
      <c r="B10517">
        <f>HYPERLINK("https://www.dofusbook.net/fr/equipement/3571875-tank-eau-ret/objets", "link")</f>
        <v/>
      </c>
      <c r="C10517" t="n">
        <v>2</v>
      </c>
      <c r="D10517" t="inlineStr">
        <is>
          <t>Sceptre du Roi Joueur; Amulette de Shokkoth; Alliance Gloursonne; Anneau Volkorne; Sept ans de malheur; Culotte de Bethel; Casque Dragoeuf; Cape Solution; Chaussons de Macrab; Dofus Ivoire; Dofus Vulbis; Dofus Pourpre; Étourdisseur majeur; Chanceux majeur; Miraculé majeur; Volkorne Ivoire</t>
        </is>
      </c>
    </row>
    <row r="10518">
      <c r="A10518" t="inlineStr">
        <is>
          <t>mégabombe</t>
        </is>
      </c>
      <c r="B10518">
        <f>HYPERLINK("https://www.dofusbook.net/fr/equipement/3552367-megabombe/objets", "link")</f>
        <v/>
      </c>
      <c r="C10518" t="n">
        <v>2</v>
      </c>
      <c r="D10518" t="inlineStr">
        <is>
          <t>Rouleau à Pâtisserie d'Aermyne; Collier Rophante; Anneauræus; Bague Trithon; Bouclier Bontarien; Ceinture de Kongoku; Masque d'Anerice; Cape d'Anerice; Bottes Honyme; Dofus Ivoire; Dofus des Veilleurs; Dofus Émeraude; Dofus Abyssal; Miraculé majeur; Remueur; Dragodinde Dorée</t>
        </is>
      </c>
    </row>
    <row r="10519">
      <c r="A10519" t="inlineStr">
        <is>
          <t>eau</t>
        </is>
      </c>
      <c r="B10519">
        <f>HYPERLINK("https://www.dofusbook.net/fr/equipement/2834785-eau/objets", "link")</f>
        <v/>
      </c>
      <c r="C10519" t="n">
        <v>2</v>
      </c>
      <c r="D10519" t="inlineStr">
        <is>
          <t>Sceptre du Roi Joueur; Amulette de Shokkoth; Bracelet des Fonds marins; Alliance Gloursonne; Bouclier du Stalak; Sangle Ouare; Casque Dragoeuf; Cape Solution; Sandales des Fonds marins; Dofus des Glaces; Dofus Abyssal; Dofus Ivoire; Remueur; Chanceux majeur; Miraculé majeur; Dragodinde Dorée et Indigo</t>
        </is>
      </c>
    </row>
    <row r="10520">
      <c r="A10520" t="inlineStr">
        <is>
          <t>eau fuite 12/6</t>
        </is>
      </c>
      <c r="B10520">
        <f>HYPERLINK("https://www.dofusbook.net/fr/equipement/1816567-eau-fuite-12-6/objets", "link")</f>
        <v/>
      </c>
      <c r="C10520" t="n">
        <v>0</v>
      </c>
      <c r="D10520" t="inlineStr">
        <is>
          <t>Sceptre du Roi Joueur; Amulette de l'Œil Attentif; Alliance Gloursonne; Bracelet des Fonds marins; Bouclier du Stalak; Ceinture de l'Esprit Salvateur; Capuche de l'Œil Attentif; Cape de l'Œil Attentif; Bottes de l'Esprit Salvateur; Dofus des Glaces; Dofus Ivoire; Dofus Abyssal; Dofus Ocre; Dofus Pourpre; Dofus Vulbis; Volkorne Améthyste et Indigo</t>
        </is>
      </c>
    </row>
    <row r="10521">
      <c r="A10521" t="inlineStr">
        <is>
          <t>Roublard agi 12/6</t>
        </is>
      </c>
      <c r="B10521">
        <f>HYPERLINK("https://www.dofusbook.net/fr/equipement/3543522-roublard-agi-12-6/objets", "link")</f>
        <v/>
      </c>
      <c r="C10521" t="n">
        <v>0</v>
      </c>
      <c r="D10521" t="inlineStr">
        <is>
          <t>Pelle de la Cour Sombre; Collier du Valet Veinard; Alliance Gloursonne; Gant du Valet Veinard; Bouclier du Stalak; Sangle Oriole; Coiffe de la Reine des Voleurs; Cape du Valet Veinard; Bottes de la Reine des Voleurs; Dofus Pourpre; Dofus Abyssal; Dofus Ocre; Dofus Ivoire; Dofus Vulbis; Dofus des Glaces; Volkorne Doré et Ebène</t>
        </is>
      </c>
    </row>
    <row r="10522">
      <c r="A10522" t="inlineStr">
        <is>
          <t>Roublard eau rox 12/6</t>
        </is>
      </c>
      <c r="B10522">
        <f>HYPERLINK("https://www.dofusbook.net/fr/equipement/3537565-roublard-eau-rox-12-6/objets", "link")</f>
        <v/>
      </c>
      <c r="C10522" t="n">
        <v>3</v>
      </c>
      <c r="D10522" t="inlineStr">
        <is>
          <t>Rapière aux Glyphes; Amulette de l'Œil Attentif; Anneau Volkorne; Alliance Gloursonne; Bouclier du Stalak; Ceinture de la Reine des Voleurs; Capuche de l'Œil Attentif; Cape de l'Œil Attentif; Bottes de la Reine des Voleurs; Dofus Vulbis; Dofus des Glaces; Dofus Pourpre; Dofus Abyssal; Dofus Ocre; Dofus Ivoire; Volkorne Améthyste</t>
        </is>
      </c>
    </row>
    <row r="10523">
      <c r="A10523" t="inlineStr">
        <is>
          <t>eau ret pa 12/6</t>
        </is>
      </c>
      <c r="B10523">
        <f>HYPERLINK("https://www.dofusbook.net/fr/equipement/2566191-eau-ret-pa-12-6/objets", "link")</f>
        <v/>
      </c>
      <c r="C10523" t="n">
        <v>8</v>
      </c>
      <c r="D10523" t="inlineStr">
        <is>
          <t>Sceptre du Roi Joueur; Amulette de l'Œil Attentif; Bracelet des Fonds marins; Alliance Gloursonne; Cadran de Terre; Culotte de Bethel; Capuche de l'Œil Attentif; Cape de l'Œil Attentif; Chaussons de Macrab; Dofus Vulbis; Dofus des Glaces; Dofus Ocre; Dofus Abyssal; Dofus Ivoire; Dofus Pourpre; Volkorne Ivoire et Indigo</t>
        </is>
      </c>
    </row>
    <row r="10524">
      <c r="A10524" t="inlineStr">
        <is>
          <t>eau air</t>
        </is>
      </c>
      <c r="B10524">
        <f>HYPERLINK("https://www.dofusbook.net/fr/equipement/2087004-eau-air/objets", "link")</f>
        <v/>
      </c>
      <c r="C10524" t="n">
        <v>1</v>
      </c>
      <c r="D10524" t="inlineStr">
        <is>
          <t>Arc de Koutoulou; Amulette d'Ilyzaelle; Alliance Gloursonne; Anneau Volkorne; Bouclier d'Ilyzaelle; Ceinture de la Reine des Voleurs; Casque Volkorne; Cape Solution; Bottes de la Reine des Voleurs; Dofus Ivoire; Dofus des Glaces; Dofus Pourpre; Dofus Abyssal; Dofus Vulbis; Dofus Ocre; Kramkram</t>
        </is>
      </c>
    </row>
    <row r="10525">
      <c r="A10525" t="inlineStr">
        <is>
          <t>Sacrieur F 200</t>
        </is>
      </c>
      <c r="B10525">
        <f>HYPERLINK("https://www.dofusbook.net/fr/equipement/3537696-sacrieur-f-200/objets", "link")</f>
        <v/>
      </c>
      <c r="C10525" t="n">
        <v>1</v>
      </c>
      <c r="D10525" t="inlineStr">
        <is>
          <t>Hachoirs de Viandargh; Collier du Valet Veinard; Alliance Gloursonne; Gant du Valet Veinard; Bouclier d'Ilyzaelle; Ceintouse; Dorabysses; Cape Martegel; Palmes Trithons; Dofus Ocre; Dofus Vulbis; Dofus Abyssal; Dofus Ivoire; Remueur; Volkorne Améthyste</t>
        </is>
      </c>
    </row>
    <row r="10526">
      <c r="A10526" t="inlineStr">
        <is>
          <t>Sacrieur F 200</t>
        </is>
      </c>
      <c r="B10526">
        <f>HYPERLINK("https://www.dofusbook.net/fr/equipement/3537663-sacrieur-f-200/objets", "link")</f>
        <v/>
      </c>
      <c r="C10526" t="n">
        <v>2</v>
      </c>
      <c r="D10526" t="inlineStr">
        <is>
          <t>Manthache; Amulette d'Ilyzaelle; Alliance Gloursonne; Gant du Valet Veinard; Bouclier d'Ilyzaelle; Sangle Oriole; Casque d'Ilyzaelle; Cape du Valet Veinard; Palmes Trithons; Dofus Pourpre; Dofus Ivoire; Dofus Émeraude; Dofus Ocre; Dofus Vulbis; Dofus Abyssal; Volkorne Jade et Doré</t>
        </is>
      </c>
    </row>
    <row r="10527">
      <c r="A10527" t="inlineStr">
        <is>
          <t>Stuff 2</t>
        </is>
      </c>
      <c r="B10527">
        <f>HYPERLINK("https://www.dofusbook.net/fr/equipement/388680-stuff-2/objets", "link")</f>
        <v/>
      </c>
      <c r="C10527" t="n">
        <v>4</v>
      </c>
      <c r="D10527" t="inlineStr">
        <is>
          <t>Pelle de la Cour Sombre; Collier du Valet Veinard; Gant du Valet Veinard; Anneau de Pol Ouatnos; Bouclier d'Ilyzaelle; Menoture; Dorabysses; Cape Indescriptible; Palmes Trithons; Dofus Pourpre; Dofus Abyssal; Dofus Émeraude; Remueur; Cascadeur majeur; Dragodinde Ebène et Ivoire</t>
        </is>
      </c>
    </row>
    <row r="10528">
      <c r="A10528" t="inlineStr">
        <is>
          <t>air vita</t>
        </is>
      </c>
      <c r="B10528">
        <f>HYPERLINK("https://www.dofusbook.net/fr/equipement/3536468-air-vita/objets", "link")</f>
        <v/>
      </c>
      <c r="C10528" t="n">
        <v>1</v>
      </c>
      <c r="D10528" t="inlineStr">
        <is>
          <t>Manthache; Collier du Valet Veinard; Alliance Gloursonne; Gant du Valet Veinard; Bouclier du Stalak; Menoture; Capuche de Moum-Ra; Cape Indescriptible; Palmes Trithons; Dofus Ocre; Dofus Ivoire; Dofus Vulbis; Dofus des Glaces; Dofus Pourpre; Miraculé majeur; Dragodinde Ebène et Ivoire</t>
        </is>
      </c>
    </row>
    <row r="10529">
      <c r="A10529" t="inlineStr">
        <is>
          <t>vita eau</t>
        </is>
      </c>
      <c r="B10529">
        <f>HYPERLINK("https://www.dofusbook.net/fr/equipement/2168000-vita-eau/objets", "link")</f>
        <v/>
      </c>
      <c r="C10529" t="n">
        <v>1</v>
      </c>
      <c r="D10529" t="inlineStr">
        <is>
          <t>Sceptre du Roi Joueur; Amulette de Shokkoth; Alliance Gloursonne; Anneau Volkorne; Bouclier du Stalak; Poulpagne; Masque des Fonds marins; Cape Solution; Sandales des Fonds marins; Dofus Émeraude; Dofus Ivoire; Dofus des Glaces; Dofus Pourpre; Dofus Vulbis; Miraculé majeur; Dragodinde Prune et Indigo</t>
        </is>
      </c>
    </row>
    <row r="10530">
      <c r="A10530" t="inlineStr">
        <is>
          <t>feu air</t>
        </is>
      </c>
      <c r="B10530">
        <f>HYPERLINK("https://www.dofusbook.net/fr/equipement/2259152-feu-air/objets", "link")</f>
        <v/>
      </c>
      <c r="C10530" t="n">
        <v>1</v>
      </c>
      <c r="D10530" t="inlineStr">
        <is>
          <t>Arc Honte; Amulette Volkorne; Anneau Rifique; Alliance Gloursonne; Bouclier du Stalak; Ceinture de l'Esprit Salvateur; Casque Volkorne; Cape Martegel; Bottes de l'Esprit Salvateur; Dofus Vulbis; Dofus Ocre; Dofus Ivoire; Dofus des Glaces; Dofus Pourpre; Dofus Abyssal; Volkorne Jade</t>
        </is>
      </c>
    </row>
    <row r="10531">
      <c r="A10531" t="inlineStr">
        <is>
          <t>dofusteuse t3 eau ai</t>
        </is>
      </c>
      <c r="B10531">
        <f>HYPERLINK("https://www.dofusbook.net/fr/equipement/1792409-dofusteuse-t3-eau-ai/objets", "link")</f>
        <v/>
      </c>
      <c r="C10531" t="n">
        <v>0</v>
      </c>
      <c r="D10531" t="inlineStr">
        <is>
          <t>Arc de Koutoulou; Amulette d'Ilyzaelle; Alliance Gloursonne; Anneau Volkorne; Bouclier d'Ilyzaelle; Ceinture de la Reine des Voleurs; Casque Volkorne; Dofusteuse; Bottes de la Reine des Voleurs; Dofus Pourpre; Dofus des Glaces; Dofus Ivoire; Dofus Nébuleux; Dofus Ocre; Dofus Vulbis; Volkorne Indigo et Ebène</t>
        </is>
      </c>
    </row>
    <row r="10532">
      <c r="A10532" t="inlineStr">
        <is>
          <t>terre do pou</t>
        </is>
      </c>
      <c r="B10532">
        <f>HYPERLINK("https://www.dofusbook.net/fr/equipement/2118571-terre-do-pou/objets", "link")</f>
        <v/>
      </c>
      <c r="C10532" t="n">
        <v>6</v>
      </c>
      <c r="D10532" t="inlineStr">
        <is>
          <t>Lav'Hache; Torquistik; Anneau Chevelu; Bague Trithon; Bouclier Taverne; Ceinture Gence; Masque de Koutoulou; Cape du Cœur Vaillant; Bottes Trithon; Dofus Pourpre; Dofus Ivoire; Dofus Turquoise; Bousculeur majeur; Enragé majeur; Culbuteur majeur; Muldo Ebène et Pourpre</t>
        </is>
      </c>
    </row>
    <row r="10533">
      <c r="A10533" t="inlineStr">
        <is>
          <t>Iop M 200</t>
        </is>
      </c>
      <c r="B10533">
        <f>HYPERLINK("https://www.dofusbook.net/fr/equipement/3517940-iop-m-200/objets", "link")</f>
        <v/>
      </c>
      <c r="C10533" t="n">
        <v>1</v>
      </c>
      <c r="D10533" t="inlineStr">
        <is>
          <t>Hache Téroïde; Amulette de Gein; Bague Gloursonne; Chevalière du Roi Joueur; Quatre-feuilles; Ceinture de Gein; Chapeau de Gein; Voile d'encre; Bottes du Roi Joueur; Dofus Turquoise; Dofus Abyssal; Dofus Ocre; Dofus Ivoire; Dofus Pourpre; Dofus Vulbis</t>
        </is>
      </c>
    </row>
    <row r="10534">
      <c r="A10534" t="inlineStr">
        <is>
          <t>Sadida M 200</t>
        </is>
      </c>
      <c r="B10534">
        <f>HYPERLINK("https://www.dofusbook.net/fr/equipement/3505350-sadida-m-200/objets", "link")</f>
        <v/>
      </c>
      <c r="C10534" t="n">
        <v>1</v>
      </c>
      <c r="D10534" t="inlineStr">
        <is>
          <t>Arc Honte; Amulette Ementaire Deluxe; Anneau Toriété; Alliance Gloursonne; Bouclier cubiste; Ceinture de l'Esprit Salvateur; Masque de l'Esprit Salvateur; Cape de l'Œil Putride; Bottes de l'Esprit Salvateur; Dofus Émeraude; Dofus Ocre; Dolmanax; Dofus des Glaces; Dofus Pourpre; Dofus Ivoire; Dragodinde Dorée et Ivoire</t>
        </is>
      </c>
    </row>
    <row r="10535">
      <c r="A10535" t="inlineStr">
        <is>
          <t>terre feu dist</t>
        </is>
      </c>
      <c r="B10535">
        <f>HYPERLINK("https://www.dofusbook.net/fr/equipement/3084536-terre-feu-dist/objets", "link")</f>
        <v/>
      </c>
      <c r="C10535" t="n">
        <v>1</v>
      </c>
      <c r="D10535" t="inlineStr">
        <is>
          <t>Hache Téroïde; Amulette du Strigide; Bague Trithon; Bague Gloursonne; Quatre-feuilles; Ceinture du Strigide; Masque Trithon; Voile d'encre; Bottes du Strigide; Dofus Pourpre; Dofus des Glaces; Dofus Turquoise; Dofus Vulbis; Dofus Ocre; Dofus Ivoire; Dragodinde Emeraude et Ivoire</t>
        </is>
      </c>
    </row>
    <row r="10536">
      <c r="A10536" t="inlineStr">
        <is>
          <t>Iop M 200</t>
        </is>
      </c>
      <c r="B10536">
        <f>HYPERLINK("https://www.dofusbook.net/fr/equipement/3482807-iop-m-200/objets", "link")</f>
        <v/>
      </c>
      <c r="C10536" t="n">
        <v>4</v>
      </c>
      <c r="D10536" t="inlineStr">
        <is>
          <t>Manthache; Amulette du Strigide; Anneau Toriété; Alliance Gloursonne; Quatre-feuilles; Sangle Oriole; Chapeau de Tournoyé; Cape de Crânonier; Bottes du Strigide; Dofus Pourpre; Dofus Abyssal; Dofus Turquoise; Dofus Ivoire; Dofus Nébuleux; Dofus Ocre; Kramkram</t>
        </is>
      </c>
    </row>
    <row r="10537">
      <c r="A10537" t="inlineStr">
        <is>
          <t>Féca M 200</t>
        </is>
      </c>
      <c r="B10537">
        <f>HYPERLINK("https://www.dofusbook.net/fr/equipement/3474802-feca-m-200/objets", "link")</f>
        <v/>
      </c>
      <c r="C10537" t="n">
        <v>12</v>
      </c>
      <c r="D10537" t="inlineStr">
        <is>
          <t>Arc de Koutoulou; Amulette du Strigide; Alliance Gloursonne; Anneau Volkorne; Cadran de Terre; Ceinture du Strigide; Casque Volkorne; Chevelure de Tal Kasha; Sandales de Tal Kasha; Dofus Turquoise; Dofus Vulbis; Dofus Ocre; Dofus Ivoire; Dofus Pourpre; Dofus Abyssal; Volkorne Améthyste et Ivoire</t>
        </is>
      </c>
    </row>
    <row r="10538">
      <c r="A10538" t="inlineStr">
        <is>
          <t>Roublard F 200</t>
        </is>
      </c>
      <c r="B10538">
        <f>HYPERLINK("https://www.dofusbook.net/fr/equipement/3475683-roublard-f-200/objets", "link")</f>
        <v/>
      </c>
      <c r="C10538" t="n">
        <v>0</v>
      </c>
      <c r="D10538" t="inlineStr">
        <is>
          <t>Arc du Chalœil; Collier de Tourthon; Anneau Chevelu; Anneau de Brouce; Bouclier du Stalak; Ceinture de la Cour Sombre; Masque de Koutoulou; Cape de la Cour Sombre; Bottes du Cœur Saignant; Dofus des Glaces; Dofus Abyssal; Dofus Pourpre; Dofus Ivoire</t>
        </is>
      </c>
    </row>
    <row r="10539">
      <c r="A10539" t="inlineStr">
        <is>
          <t>terre tank</t>
        </is>
      </c>
      <c r="B10539">
        <f>HYPERLINK("https://www.dofusbook.net/fr/equipement/1879324-terre-tank/objets", "link")</f>
        <v/>
      </c>
      <c r="C10539" t="n">
        <v>16</v>
      </c>
      <c r="D10539" t="inlineStr">
        <is>
          <t>Lav'Hache; Collier de Tourthon; Anneau de Pol Ouatnos; Anneau de Brouce; Bouclier d'Anerice; Ceinture de la Cour Sombre; Chapeau de Gein; Cape d'Anerice; Sabots Minables; Dofus Abyssal; Dofus Ivoire; Dofus des Glaces; Carapace Terre majeur; Remueur; Enragé majeur; Dragodinde Amande et Pourpre</t>
        </is>
      </c>
    </row>
    <row r="10540">
      <c r="A10540" t="inlineStr">
        <is>
          <t>Osamodas F 200</t>
        </is>
      </c>
      <c r="B10540">
        <f>HYPERLINK("https://www.dofusbook.net/fr/equipement/3475116-osamodas-f-200/objets", "link")</f>
        <v/>
      </c>
      <c r="C10540" t="n">
        <v>0</v>
      </c>
      <c r="D10540" t="inlineStr">
        <is>
          <t>Amulette Héroclite; Ceinture de la Cour Sombre; Masque de Koutoulou; Cape d'Anerice; Bottes de la Cour Sombre; Dragodinde Amande et Dorée</t>
        </is>
      </c>
    </row>
    <row r="10541">
      <c r="A10541" t="inlineStr">
        <is>
          <t>Féca M 200</t>
        </is>
      </c>
      <c r="B10541">
        <f>HYPERLINK("https://www.dofusbook.net/fr/equipement/3429107-feca-m-200/objets", "link")</f>
        <v/>
      </c>
      <c r="C10541" t="n">
        <v>6</v>
      </c>
      <c r="D10541" t="inlineStr">
        <is>
          <t>Hachoirs de Viandargh; Amulette du Strigide; Alliance Gloursonne; Anneau Toriété; Bouclier du Captain Amakna; Sangle Oriole; Chapeau de Tournoyé; Cape de Crânonier; Bottes du Strigide; Dofus Pourpre; Dofus Ivoire; Dofus des Glaces; Dofus Turquoise; Dofus Ocre; Dofus Abyssal</t>
        </is>
      </c>
    </row>
    <row r="10542">
      <c r="A10542" t="inlineStr">
        <is>
          <t>Iop F 200</t>
        </is>
      </c>
      <c r="B10542">
        <f>HYPERLINK("https://www.dofusbook.net/fr/equipement/3351124-iop-f-200/objets", "link")</f>
        <v/>
      </c>
      <c r="C10542" t="n">
        <v>4</v>
      </c>
      <c r="D10542" t="inlineStr">
        <is>
          <t>Dagues d'Ilyzaelle; Collier de Tourthon; Anneau Crustique; Anneau du Comte Harebourg; Bouclier du Captain Amakna; Ceinture Gence; Masque de Koutoulou; Cape au Logis; Bottes du Comte Harebourg; Dofus Turquoise; Dofus Pourpre; Enragé majeur; Vigoureux majeur; Nomade; Forcené majeur; Dragodinde Emeraude et Pourpre</t>
        </is>
      </c>
    </row>
    <row r="10543">
      <c r="A10543" t="inlineStr">
        <is>
          <t>Féca M 200</t>
        </is>
      </c>
      <c r="B10543">
        <f>HYPERLINK("https://www.dofusbook.net/fr/equipement/3349691-feca-m-200/objets", "link")</f>
        <v/>
      </c>
      <c r="C10543" t="n">
        <v>11</v>
      </c>
      <c r="D10543" t="inlineStr">
        <is>
          <t>Harpelle; Amulette Volkorne; Anneauræus; Anneauræus; Bouclier du Captain Amakna; Ceinture Séculaire; Coiffe Séculaire; Cape de Diondin; Bottes Innommables; Dofus Pourpre; Dofus Turquoise; Nomade; Vigoureux majeur; Érudit majeur; Astucieux majeur; Volkorne Emeraude et Orchidée</t>
        </is>
      </c>
    </row>
    <row r="10544">
      <c r="A10544" t="inlineStr">
        <is>
          <t>Sacrieur F 200</t>
        </is>
      </c>
      <c r="B10544">
        <f>HYPERLINK("https://www.dofusbook.net/fr/equipement/3350979-sacrieur-f-200/objets", "link")</f>
        <v/>
      </c>
      <c r="C10544" t="n">
        <v>5</v>
      </c>
      <c r="D10544" t="inlineStr">
        <is>
          <t>Épée du Granduk; Amulette du Granduk; Anneau d'Allister; Anneau de Padgref; Bouclier du Captain Amakna; Menoture; Casque Volkorne; Cape Indescriptible; Palmes Trithons; Dofus Pourpre; Dofus Turquoise; Cascadeur majeur; Equilibriste majeur; Remueur; Nomade; Dragodinde Ebène et Emeraude</t>
        </is>
      </c>
    </row>
    <row r="10545">
      <c r="A10545" t="inlineStr">
        <is>
          <t>multi</t>
        </is>
      </c>
      <c r="B10545">
        <f>HYPERLINK("https://www.dofusbook.net/fr/equipement/2222367-multi/objets", "link")</f>
        <v/>
      </c>
      <c r="C10545" t="n">
        <v>6</v>
      </c>
      <c r="D10545" t="inlineStr">
        <is>
          <t>Arc de Koutoulou; Amulette du Strigide; Anneau Toriété; Alliance Gloursonne; Bouclier d'Ilyzaelle; Ceintacé; Casque d'Ilyzaelle; Dofusteuse; Bottes du Strigide; Dofus Pourpre; Dofus Nébuleux; Dofus Abyssal; Dofus Turquoise; Dofus Ivoire; Dofus Ocre; Kramkram</t>
        </is>
      </c>
    </row>
    <row r="10546">
      <c r="A10546" t="inlineStr">
        <is>
          <t>Ouginak F 200</t>
        </is>
      </c>
      <c r="B10546">
        <f>HYPERLINK("https://www.dofusbook.net/fr/equipement/3437679-ouginak-f-200/objets", "link")</f>
        <v/>
      </c>
      <c r="C10546" t="n">
        <v>5</v>
      </c>
      <c r="D10546" t="inlineStr">
        <is>
          <t>Marteau R'ture; Amulette du Strigide; Anneau Crustique; Anneau Chevelu; Bouclier d'Ilyzaelle; Ceinture du Strigide; Masque de Koutoulou; Cape au Logis; Bottes du Cœur Saignant; Dofus Pourpre; Dofus Turquoise; Dofus Abyssal; Dofus Ivoire; Remueur; Enragé majeur</t>
        </is>
      </c>
    </row>
    <row r="10547">
      <c r="A10547" t="inlineStr">
        <is>
          <t>Enutrof F 200</t>
        </is>
      </c>
      <c r="B10547">
        <f>HYPERLINK("https://www.dofusbook.net/fr/equipement/3323894-enutrof-f-200/objets", "link")</f>
        <v/>
      </c>
      <c r="C10547" t="n">
        <v>6</v>
      </c>
      <c r="D10547" t="inlineStr">
        <is>
          <t>Baguette Hique; Amulette de Shokkoth; Alliance Gloursonne; Bracelet des Fonds marins; Bouclier cubiste; Poulpagne; Capuche de l'Œil Attentif; Cape de la Dame du Hasard; Bottes de la Dame du Hasard; Dofus Pourpre; Dofus Abyssal; Dofus Ivoire; Chanceux majeur; Remueur; Vigoureux majeur</t>
        </is>
      </c>
    </row>
    <row r="10548">
      <c r="A10548" t="inlineStr">
        <is>
          <t>eau carni</t>
        </is>
      </c>
      <c r="B10548">
        <f>HYPERLINK("https://www.dofusbook.net/fr/equipement/3184910-eau-carni/objets", "link")</f>
        <v/>
      </c>
      <c r="C10548" t="n">
        <v>11</v>
      </c>
      <c r="D10548" t="inlineStr">
        <is>
          <t>Sceptre du Roi Joueur; Amulette d'Ilyzaelle; Lavanneau; Alliance Gloursonne; Bouclier d'Ilyzaelle; Ceinture de la Reine des Voleurs; Casque d'Ilyzaelle; Cape de l'Œil Attentif; Bottes de la Reine des Voleurs; Dofus des Glaces; Dofus Pourpre; Dofus Abyssal; Dofus Ocre; Dofus Ivoire; Muldo Ebène et Indigo</t>
        </is>
      </c>
    </row>
    <row r="10549">
      <c r="A10549" t="inlineStr">
        <is>
          <t>Enutrof M 200</t>
        </is>
      </c>
      <c r="B10549">
        <f>HYPERLINK("https://www.dofusbook.net/fr/equipement/3323015-enutrof-m-200/objets", "link")</f>
        <v/>
      </c>
      <c r="C10549" t="n">
        <v>8</v>
      </c>
      <c r="D10549" t="inlineStr">
        <is>
          <t>Pyraguette; Collier de la Dame du Hasard; Lavanneau; Anneau de Nidas; Bouclier du Stalak; Poulpagne; Casque Dragoeuf; Cape de la Dame du Hasard; Bottes de Meno; Dofus des Glaces; Dofus Abyssal; Dofus Pourpre; Dofus Ivoire; Remueur; Temporiseur majeur</t>
        </is>
      </c>
    </row>
    <row r="10550">
      <c r="A10550" t="inlineStr">
        <is>
          <t>feu soin</t>
        </is>
      </c>
      <c r="B10550">
        <f>HYPERLINK("https://www.dofusbook.net/fr/equipement/3232080-feu-soin/objets", "link")</f>
        <v/>
      </c>
      <c r="C10550" t="n">
        <v>1</v>
      </c>
      <c r="D10550" t="inlineStr">
        <is>
          <t>Le Thanos; Amulette d'Otomaï; Alliance Boletée; Anneau de Nidas; Carapar; Ceinture de Vortex; Couronne de Nidas; Voile d'encre; Chaussures Ardentes; Dofus Abyssal; Dofus Ivoire; Dofus Ocre; Remueur; Érudit majeur; Miraculé majeur; Muldo Ebène et Indigo</t>
        </is>
      </c>
    </row>
    <row r="10551">
      <c r="A10551" t="inlineStr">
        <is>
          <t>air soin</t>
        </is>
      </c>
      <c r="B10551">
        <f>HYPERLINK("https://www.dofusbook.net/fr/equipement/1946342-air-soin/objets", "link")</f>
        <v/>
      </c>
      <c r="C10551" t="n">
        <v>5</v>
      </c>
      <c r="D10551" t="inlineStr">
        <is>
          <t>Le Thanos; Amulette d'Ilyzaelle; Alliance Boletée; Alliance Gloursonne; Carapar; Ceinture de Vortex; Casque d'Ilyzaelle; Cape d'Anerice; Pantoufles Émar; Dofus des Glaces; Dofus Abyssal; Guérisseur majeur; Remueur; Miraculé majeur; Cascadeur majeur; Muldo Ebène et Indigo</t>
        </is>
      </c>
    </row>
    <row r="10552">
      <c r="A10552" t="inlineStr">
        <is>
          <t>Osamodas M 200</t>
        </is>
      </c>
      <c r="B10552">
        <f>HYPERLINK("https://www.dofusbook.net/fr/equipement/3297672-osamodas-m-200/objets", "link")</f>
        <v/>
      </c>
      <c r="C10552" t="n">
        <v>0</v>
      </c>
      <c r="D10552" t="inlineStr">
        <is>
          <t>Le Thanos; Amulette d'Ilyzaelle; Alliance Boletée; Gant du Valet Veinard; Carapar; Ceinture de Vortex; Casque d'Ilyzaelle; Cape du Valet Veinard; Pantoufles Émar; Dofus Émeraude; Dofus Abyssal; Dofus Ocre; Dofus Ivoire; Dolmanax; Dofus des Glaces; Muldo Ebène et Indigo</t>
        </is>
      </c>
    </row>
    <row r="10553">
      <c r="A10553" t="inlineStr">
        <is>
          <t>multi</t>
        </is>
      </c>
      <c r="B10553">
        <f>HYPERLINK("https://www.dofusbook.net/fr/equipement/1950215-multi/objets", "link")</f>
        <v/>
      </c>
      <c r="C10553" t="n">
        <v>1</v>
      </c>
      <c r="D10553" t="inlineStr">
        <is>
          <t>Dagues de Srambad; Amulette du Piloztère; Grésilanneau; Alliance Gloursonne; Bouclier du Stalak; Ceinture de l'Esprit Salvateur; Masque de l'Esprit Salvateur; Cape Solution; Bottes de l'Esprit Salvateur; Dofus des Glaces; Dofus Pourpre; Dofus Ocre; Miraculé majeur; Remueur; Vigoureux majeur; Muldo Ebène</t>
        </is>
      </c>
    </row>
    <row r="10554">
      <c r="A10554" t="inlineStr">
        <is>
          <t>Stuff 3</t>
        </is>
      </c>
      <c r="B10554">
        <f>HYPERLINK("https://www.dofusbook.net/fr/equipement/388684-stuff-3/objets", "link")</f>
        <v/>
      </c>
      <c r="C10554" t="n">
        <v>1</v>
      </c>
      <c r="D10554" t="inlineStr">
        <is>
          <t>Baguette de Malléfisk; Pendentif mignon de Koutoulou; Anneauræus; Anneau Rifique; Carapar; Ceinture de Vortex; Casque Dragoeuf; Cape de Diondin; Bottes Innommables; Dofus Abyssal; Déserteur majeur; Remueur; Érudit majeur; Guérisseur majeur; Muldo Pourpre et Amande</t>
        </is>
      </c>
    </row>
    <row r="10555">
      <c r="A10555" t="inlineStr">
        <is>
          <t>Sadida M 200</t>
        </is>
      </c>
      <c r="B10555">
        <f>HYPERLINK("https://www.dofusbook.net/fr/equipement/3285558-sadida-m-200/objets", "link")</f>
        <v/>
      </c>
      <c r="C10555" t="n">
        <v>2</v>
      </c>
      <c r="D10555" t="inlineStr">
        <is>
          <t>Arc Honte; Amulette de l'Œil Putride; Alliance Gloursonne; Bague Gloursonne; Bouclier cubiste; Ceinture de l'Esprit Salvateur; Masque de l'Esprit Salvateur; Cape de l'Œil Putride; Bottes de l'Esprit Salvateur; Dofus Ocre; Dolmanax; Dofus des Glaces; Dofus Pourpre; Dofus Ivoire; Entraveur majeur; Muldo Ebène et Pourpre</t>
        </is>
      </c>
    </row>
    <row r="10556">
      <c r="A10556" t="inlineStr">
        <is>
          <t>tri élem</t>
        </is>
      </c>
      <c r="B10556">
        <f>HYPERLINK("https://www.dofusbook.net/fr/equipement/3280954-tri-elem/objets", "link")</f>
        <v/>
      </c>
      <c r="C10556" t="n">
        <v>2</v>
      </c>
      <c r="D10556" t="inlineStr">
        <is>
          <t>Dagues Érhy; Amulette Ementaire Deluxe; Anneau du Cycloïde; Alliance Brûlâme; Bouclier de Solar; Ceinture de l'Indicible; Coiffe de la Reine des Voleurs; Voile d'encre; Bottes de l'Indicible; Dolmanax; Dofus des Glaces; Dofus Ivoire; Dofus Ocre; Remueur; Miraculé majeur; Muldo Ebène et Pourpre</t>
        </is>
      </c>
    </row>
    <row r="10557">
      <c r="A10557" t="inlineStr">
        <is>
          <t>eau air</t>
        </is>
      </c>
      <c r="B10557">
        <f>HYPERLINK("https://www.dofusbook.net/fr/equipement/3280891-eau-air/objets", "link")</f>
        <v/>
      </c>
      <c r="C10557" t="n">
        <v>1</v>
      </c>
      <c r="D10557" t="inlineStr">
        <is>
          <t>Bâtonnet Ronien; Amulette d'Ilyzaelle; Pikano; Alliance Gloursonne; Bouclier du Stalak; Ceinture du Barbétoal; Casque d'Ilyzaelle; Cape Solution; Bottes de la Reine des Voleurs; Dofus Ivoire; Dofus des Glaces; Cascadeur majeur; Remueur; Miraculé majeur; Muldo Ebène</t>
        </is>
      </c>
    </row>
    <row r="10558">
      <c r="A10558" t="inlineStr">
        <is>
          <t>feu retpa</t>
        </is>
      </c>
      <c r="B10558">
        <f>HYPERLINK("https://www.dofusbook.net/fr/equipement/388676-feu-retpa/objets", "link")</f>
        <v/>
      </c>
      <c r="C10558" t="n">
        <v>3</v>
      </c>
      <c r="D10558" t="inlineStr">
        <is>
          <t>Arc corrompu; Pendentif affamé; Anneau Tique; Anneauræus; Cadran de Terre; Ceinture Séculaire; Heaume Oplate; Cape Ardente; Chaussures Ardentes; Dofus Abyssal; Dofus Pourpre; Érudit majeur; Remueur; Étourdisseur majeur; Muldo Orchidée</t>
        </is>
      </c>
    </row>
    <row r="10559">
      <c r="A10559" t="inlineStr">
        <is>
          <t>terre tank</t>
        </is>
      </c>
      <c r="B10559">
        <f>HYPERLINK("https://www.dofusbook.net/fr/equipement/3270179-terre-tank/objets", "link")</f>
        <v/>
      </c>
      <c r="C10559" t="n">
        <v>2</v>
      </c>
      <c r="D10559" t="inlineStr">
        <is>
          <t>Arc du Chalœil; Collier de Tourthon; Anneau de Brouce; Baguistik; Bouclier d'Anerice; Ceinture de la Reine des Voleurs; Coiffe de la Reine des Voleurs; Cape d'Anerice; Baleinabottes; Dofus Ocre; Dofus Ivoire; Dofus des Glaces; Dofus Pourpre; Dofus Abyssal; Saccageur Terre majeur; Muldo Ebène et Pourpre</t>
        </is>
      </c>
    </row>
    <row r="10560">
      <c r="A10560" t="inlineStr">
        <is>
          <t>terre air</t>
        </is>
      </c>
      <c r="B10560">
        <f>HYPERLINK("https://www.dofusbook.net/fr/equipement/3221722-terre-air/objets", "link")</f>
        <v/>
      </c>
      <c r="C10560" t="n">
        <v>0</v>
      </c>
      <c r="D10560" t="inlineStr">
        <is>
          <t>Hache Ériphe; Amulette Ementaire Deluxe; Alliance Gloursonne; Anneau Toriété; Bouclier du Stalak; Ceinture de la Reine des Voleurs; Coiffe de la Reine des Voleurs; Voile d'encre; Baleinabottes; Dofus Pourpre; Dofus Ivoire; Dolmanax; Remueur; Miraculé majeur; Kramkram</t>
        </is>
      </c>
    </row>
    <row r="10561">
      <c r="A10561" t="inlineStr">
        <is>
          <t>feu eau air</t>
        </is>
      </c>
      <c r="B10561">
        <f>HYPERLINK("https://www.dofusbook.net/fr/equipement/2005055-feu-eau-air/objets", "link")</f>
        <v/>
      </c>
      <c r="C10561" t="n">
        <v>3</v>
      </c>
      <c r="D10561" t="inlineStr">
        <is>
          <t>Arc Honte; Amulette Ementaire Deluxe; Alliance Gloursonne; Alliance Brûlâme; Bouclier du Stalak; Ceinture de l'Esprit Salvateur; Masque de l'Esprit Salvateur; Cape de l'Œil Putride; Pataugastrique; Dofus Pourpre; Dofus Ivoire; Dolmanax; Dofus des Glaces; Miraculé majeur; Remueur; Muldo Pourpre et Amande</t>
        </is>
      </c>
    </row>
    <row r="10562">
      <c r="A10562" t="inlineStr">
        <is>
          <t>Stuff1</t>
        </is>
      </c>
      <c r="B10562">
        <f>HYPERLINK("https://www.dofusbook.net/fr/equipement/1167113-stuff1/objets", "link")</f>
        <v/>
      </c>
      <c r="C10562" t="n">
        <v>2</v>
      </c>
      <c r="D10562" t="inlineStr">
        <is>
          <t>Manthache; Collier du Valet Veinard; Alliance Gloursonne; Gant du Valet Veinard; Sept ans de malheur; Menoture; Dorabysses; Cape Indescriptible; Palmes Trithons; Dofus Abyssal; Dofus Ivoire; Paralyseur majeur; Étourdisseur majeur; Cascadeur majeur; Remueur; Muldo Ebène</t>
        </is>
      </c>
    </row>
    <row r="10563">
      <c r="A10563" t="inlineStr">
        <is>
          <t>feu</t>
        </is>
      </c>
      <c r="B10563">
        <f>HYPERLINK("https://www.dofusbook.net/fr/equipement/2051074-feu/objets", "link")</f>
        <v/>
      </c>
      <c r="C10563" t="n">
        <v>1</v>
      </c>
      <c r="D10563" t="inlineStr">
        <is>
          <t>Arc corrompu; Pendentif affamé; Lavanneau; Bague Gloursonne; Sept ans de malheur; Ceinture de Vortex; Chapeau du Comte Razof; Cape Ardente; Chaussures Ardentes; Dofus Ocre; Dofus Abyssal; Dofus Ivoire; Étourdisseur majeur; Remueur</t>
        </is>
      </c>
    </row>
    <row r="10564">
      <c r="A10564" t="inlineStr">
        <is>
          <t>feu rox</t>
        </is>
      </c>
      <c r="B10564">
        <f>HYPERLINK("https://www.dofusbook.net/fr/equipement/2795641-feu-rox/objets", "link")</f>
        <v/>
      </c>
      <c r="C10564" t="n">
        <v>2</v>
      </c>
      <c r="D10564" t="inlineStr">
        <is>
          <t>Dagues Érhy; Amulette de Gein; Chevalière du Roi Joueur; Bague Gloursonne; Bouclier du Captain Amakna; Ceinture de Gein; Chapeau de Gein; Voile d'encre; Bottes du Roi Joueur; Dolmanax; Dofus Ivoire; Dofus Pourpre; Dofus Ocre; Dofus des Glaces; Dofus Turquoise; Muldo Ebène et Pourpre</t>
        </is>
      </c>
    </row>
    <row r="10565">
      <c r="A10565" t="inlineStr">
        <is>
          <t>do pou</t>
        </is>
      </c>
      <c r="B10565">
        <f>HYPERLINK("https://www.dofusbook.net/fr/equipement/2168067-do-pou/objets", "link")</f>
        <v/>
      </c>
      <c r="C10565" t="n">
        <v>0</v>
      </c>
      <c r="D10565" t="inlineStr">
        <is>
          <t>Lav'Hache; Torquistik; Bague Instable; Anneau de Pol Ouatnos; Bouclier précieux; Ceinture Gence; Casque Dragoeuf; Cape du Cœur Vaillant; Bottistik; Bousculeur; Bousculeur majeur; Remueur; Culbuteur majeur; Pousseur majeur; Culbuteur; Kafarce</t>
        </is>
      </c>
    </row>
    <row r="10566">
      <c r="A10566" t="inlineStr">
        <is>
          <t>air</t>
        </is>
      </c>
      <c r="B10566">
        <f>HYPERLINK("https://www.dofusbook.net/fr/equipement/3169269-air/objets", "link")</f>
        <v/>
      </c>
      <c r="C10566" t="n">
        <v>1</v>
      </c>
      <c r="D10566" t="inlineStr">
        <is>
          <t>Manthache; Collier du Valet Veinard; Alliance Gloursonne; Gant du Valet Veinard; Bouclier du Stalak; Menoture; Dorabysses; Cape Indescriptible; Palmes Trithons; Dofus Abyssal; Dofus Pourpre; Dofus Ivoire; Dofus des Glaces; Remueur; Cascadeur majeur</t>
        </is>
      </c>
    </row>
    <row r="10567">
      <c r="A10567" t="inlineStr">
        <is>
          <t>Stuff 1</t>
        </is>
      </c>
      <c r="B10567">
        <f>HYPERLINK("https://www.dofusbook.net/fr/equipement/388682-stuff-1/objets", "link")</f>
        <v/>
      </c>
      <c r="C10567" t="n">
        <v>0</v>
      </c>
      <c r="D10567" t="inlineStr">
        <is>
          <t>Rapière aux Glyphes; Amulette du Strigide; Bracelet des Fonds marins; Alliance Gloursonne; Quatre-feuilles; Ceinture du Strigide; Masque des Fonds marins; Dofusteuse; Sandales des Fonds marins; Dofus Abyssal; Dofus Nébuleux; Dofus Pourpre; Dofus Ivoire; Dofus Ocre; Dofus Turquoise; Muldo Prune et Indigo</t>
        </is>
      </c>
    </row>
    <row r="10568">
      <c r="A10568" t="inlineStr">
        <is>
          <t>terre eau</t>
        </is>
      </c>
      <c r="B10568">
        <f>HYPERLINK("https://www.dofusbook.net/fr/equipement/2111064-terre-eau/objets", "link")</f>
        <v/>
      </c>
      <c r="C10568" t="n">
        <v>1</v>
      </c>
      <c r="D10568" t="inlineStr">
        <is>
          <t>Dagues de Srambad; Amulette du Nocturlabe; Pikano; Anneau Toriété; Bouclier du Stalak; Culotte de Bethel; Masque de Funespadon; Cape Solution; Bottes du Nocturlabe; Dofus Pourpre; Dofus Abyssal; Dofus Émeraude; Dofus Ocre; Dolmanax; Dofus des Glaces; Kramkram</t>
        </is>
      </c>
    </row>
    <row r="10569">
      <c r="A10569" t="inlineStr">
        <is>
          <t>tank ret fuite</t>
        </is>
      </c>
      <c r="B10569">
        <f>HYPERLINK("https://www.dofusbook.net/fr/equipement/3111173-tank-ret-fuite/objets", "link")</f>
        <v/>
      </c>
      <c r="C10569" t="n">
        <v>0</v>
      </c>
      <c r="D10569" t="inlineStr">
        <is>
          <t>Rouleau à Pâtisserie d'Aermyne; Amulette du Cœur Vaillant; Alliance Gloursonne; Alliance Brûlâme; Sept ans de malheur; Menoture; Coiffe d'Aermyne; Cape du Kamasterisk; Bottes de l'Indicible; Dofus Ivoire; Dofus Abyssal; Miraculé majeur; Déserteur majeur; Remueur; Étourdisseur majeur</t>
        </is>
      </c>
    </row>
    <row r="10570">
      <c r="A10570" t="inlineStr">
        <is>
          <t>do pou rox</t>
        </is>
      </c>
      <c r="B10570">
        <f>HYPERLINK("https://www.dofusbook.net/fr/equipement/2104574-do-pou-rox/objets", "link")</f>
        <v/>
      </c>
      <c r="C10570" t="n">
        <v>3</v>
      </c>
      <c r="D10570" t="inlineStr">
        <is>
          <t>Lav'Hache; Torquistik; Anneau de Pol Ouatnos; Bague Instable; Bouclier précieux; Ceinture Gence; Casque Dragoeuf; Cape du Cœur Vaillant; Bottistik; Culbuteur majeur; Pousseur majeur; Bousculeur majeur; Bousculeur; Remueur; Culbuteur; Kafarce</t>
        </is>
      </c>
    </row>
    <row r="10571">
      <c r="A10571" t="inlineStr">
        <is>
          <t>terre</t>
        </is>
      </c>
      <c r="B10571">
        <f>HYPERLINK("https://www.dofusbook.net/fr/equipement/2797373-terre/objets", "link")</f>
        <v/>
      </c>
      <c r="C10571" t="n">
        <v>8</v>
      </c>
      <c r="D10571" t="inlineStr">
        <is>
          <t>Lav'Hache; Amulette Héroclite; Anneau Chevelu; Anneau de Brouce; Bouclier du Stalak; Ceinture Gence; Masque de Koutoulou; Voile d'encre; Bottes de Brouce; Dofus Ivoire; Dofus Pourpre; Dofus Abyssal; Miraculé majeur; Vigoureux majeur; Enragé majeur; Muldo Pourpre</t>
        </is>
      </c>
    </row>
    <row r="10572">
      <c r="A10572" t="inlineStr">
        <is>
          <t>feu eau</t>
        </is>
      </c>
      <c r="B10572">
        <f>HYPERLINK("https://www.dofusbook.net/fr/equipement/3027417-feu-eau/objets", "link")</f>
        <v/>
      </c>
      <c r="C10572" t="n">
        <v>5</v>
      </c>
      <c r="D10572" t="inlineStr">
        <is>
          <t>Pyraguette; Talisman Igans; Anneau Toriété; Lavanneau; Bouclier du Stalak; Sangle Ouare; Casque Dragoeuf; Cape Solution; Bottes Owesli; Dofus Pourpre; Dofus Ivoire; Dofus Abyssal; Dofus des Glaces; Vigoureux majeur; Remueur; Kramkram</t>
        </is>
      </c>
    </row>
    <row r="10573">
      <c r="A10573" t="inlineStr">
        <is>
          <t>vita</t>
        </is>
      </c>
      <c r="B10573">
        <f>HYPERLINK("https://www.dofusbook.net/fr/equipement/2977445-vita/objets", "link")</f>
        <v/>
      </c>
      <c r="C10573" t="n">
        <v>1</v>
      </c>
      <c r="D10573" t="inlineStr">
        <is>
          <t>Rouleau à Pâtisserie d'Aermyne; Collier Rophante; Bague Trithon; Anneauræus; Roncier; Ceintacé; Masque d'Anerice; Cape d'Anerice; Bottes Owesli; Dofus Ivoire; Dofus Émeraude; Dofus Abyssal; Remueur; Miraculé majeur; Eliôme</t>
        </is>
      </c>
    </row>
    <row r="10574">
      <c r="A10574" t="inlineStr">
        <is>
          <t>eau esquive pm</t>
        </is>
      </c>
      <c r="B10574">
        <f>HYPERLINK("https://www.dofusbook.net/fr/equipement/2938757-eau-esquive-pm/objets", "link")</f>
        <v/>
      </c>
      <c r="C10574" t="n">
        <v>1</v>
      </c>
      <c r="D10574" t="inlineStr">
        <is>
          <t>Rapière aux Glyphes; Amulette de Shokkoth; Alliance Gloursonne; Bracelet des Fonds marins; Cadran d'Air; Ceinture Glaciale; Casque d'Ilyzaelle; Cape Solution; Sandales des Fonds marins; Dofus Abyssal; Dofus Ivoire; Dofus des Glaces; Cavaleur majeur; Miraculé majeur; Muldo Indigo</t>
        </is>
      </c>
    </row>
    <row r="10575">
      <c r="A10575" t="inlineStr">
        <is>
          <t>Stuff 1</t>
        </is>
      </c>
      <c r="B10575">
        <f>HYPERLINK("https://www.dofusbook.net/fr/equipement/388688-stuff-1/objets", "link")</f>
        <v/>
      </c>
      <c r="C10575" t="n">
        <v>1</v>
      </c>
      <c r="D10575" t="inlineStr">
        <is>
          <t>Arc Honte; Pendentif mignon de Koutoulou; Anneau Rifique; Gant du Valet Veinard; Cadran de Terre; Ceinture de Vortex; Casque Cyclopéen; Cape du Valet Veinard; Sabots de Vortex; Dofus Ocre; Dofus Abyssal; Dolmanax; Dofus Pourpre; Dofus des Glaces; Engourdisseur majeur; Muldo Ebène et Pourpre</t>
        </is>
      </c>
    </row>
    <row r="10576">
      <c r="A10576" t="inlineStr">
        <is>
          <t>PVM</t>
        </is>
      </c>
      <c r="B10576">
        <f>HYPERLINK("https://www.dofusbook.net/fr/equipement/2852785-pvm/objets", "link")</f>
        <v/>
      </c>
      <c r="C10576" t="n">
        <v>2</v>
      </c>
      <c r="D10576" t="inlineStr">
        <is>
          <t>Bâton Fracass; Amulette du Glourséleste; Alliance Gloursonne; Pikano; Bouclier cubiste; Ceinture Glaciale; Kidibonnet; Cape de Léthaline; Pikottes; Temporiseur; Temporiseur majeur; Remueur; Ralentisseur majeur; Entraveur; Entraveur majeur; Gwo Tofu Ventripotent</t>
        </is>
      </c>
    </row>
    <row r="10577">
      <c r="A10577" t="inlineStr">
        <is>
          <t>PVM air</t>
        </is>
      </c>
      <c r="B10577">
        <f>HYPERLINK("https://www.dofusbook.net/fr/equipement/2853218-pvm-air/objets", "link")</f>
        <v/>
      </c>
      <c r="C10577" t="n">
        <v>0</v>
      </c>
      <c r="D10577" t="inlineStr">
        <is>
          <t>Lance Horselé; Amulette du Strigide; Anneau d'Allister; Anneau de Padgref; Quatre-feuilles; Menoture; Couronne d'Allister; Cape Indescriptible; Palmes Trithons; Dofus Turquoise; Dofus des Glaces; Dofus Pourpre; Remueur; Cascadeur majeur; Vigoureux majeur; Muldo Prune et Doré</t>
        </is>
      </c>
    </row>
    <row r="10578">
      <c r="A10578" t="inlineStr">
        <is>
          <t>pvm terre ret</t>
        </is>
      </c>
      <c r="B10578">
        <f>HYPERLINK("https://www.dofusbook.net/fr/equipement/2852864-pvm-terre-ret/objets", "link")</f>
        <v/>
      </c>
      <c r="C10578" t="n">
        <v>2</v>
      </c>
      <c r="D10578" t="inlineStr">
        <is>
          <t>Marteau R'ture; Amulette Volcanique; Pikano; Chevalière du Roi Joueur; Bouclier cubiste; Ceinture Gence; Couronne du Roi Joueur; Voilamibe; Bottes du Cœur Saignant; Ralentisseur majeur; Enragé majeur; Remueur; Temporiseur majeur; Forcené majeur; Entraveur majeur; Kompost</t>
        </is>
      </c>
    </row>
    <row r="10579">
      <c r="A10579" t="inlineStr">
        <is>
          <t>terre rox</t>
        </is>
      </c>
      <c r="B10579">
        <f>HYPERLINK("https://www.dofusbook.net/fr/equipement/2016082-terre-rox/objets", "link")</f>
        <v/>
      </c>
      <c r="C10579" t="n">
        <v>2</v>
      </c>
      <c r="D10579" t="inlineStr">
        <is>
          <t>Lav'Hache; Amulette Héroclite; Anneau Chevelu; Anneau de Brouce; Bouclier du Stalak; Ceinture de la Reine des Voleurs; Coiffe de la Reine des Voleurs; Voile d'encre; Sabots Minables; Dofus des Glaces; Dofus Abyssal; Enragé majeur; Miraculé majeur; Remueur; Muldo Ebène et Pourpre</t>
        </is>
      </c>
    </row>
    <row r="10580">
      <c r="A10580" t="inlineStr">
        <is>
          <t>terre air</t>
        </is>
      </c>
      <c r="B10580">
        <f>HYPERLINK("https://www.dofusbook.net/fr/equipement/2824200-terre-air/objets", "link")</f>
        <v/>
      </c>
      <c r="C10580" t="n">
        <v>1</v>
      </c>
      <c r="D10580" t="inlineStr">
        <is>
          <t>Héqache; Amulette du Kamasterisk; Bague Gloursonne; Alliance Gloursonne; Cadran d'Air; Ceinture de la Reine des Voleurs; Coiffe de la Reine des Voleurs; Cape du Kamasterisk; Bottes du Kamasterisk; Dofus Pourpre; Dofus Ivoire; Dofus Émeraude; Dofus Ocre; Dofus Vulbis; Dofus des Glaces; Kramkram</t>
        </is>
      </c>
    </row>
    <row r="10581">
      <c r="A10581" t="inlineStr">
        <is>
          <t>air</t>
        </is>
      </c>
      <c r="B10581">
        <f>HYPERLINK("https://www.dofusbook.net/fr/equipement/2823726-air/objets", "link")</f>
        <v/>
      </c>
      <c r="C10581" t="n">
        <v>2</v>
      </c>
      <c r="D10581" t="inlineStr">
        <is>
          <t>Lance Horselé; Collier du Valet Veinard; Gant du Valet Veinard; Alliance Gloursonne; Bouclier du Stalak; Menoture; Couronne d'Allister; Cape d'Anerice; Palmes Trithons; Muldo Ebène</t>
        </is>
      </c>
    </row>
    <row r="10582">
      <c r="A10582" t="inlineStr">
        <is>
          <t>soin do pou</t>
        </is>
      </c>
      <c r="B10582">
        <f>HYPERLINK("https://www.dofusbook.net/fr/equipement/2775471-soin-do-pou/objets", "link")</f>
        <v/>
      </c>
      <c r="C10582" t="n">
        <v>1</v>
      </c>
      <c r="D10582" t="inlineStr">
        <is>
          <t>Baguette de Malléfisk; Torquistik; Anneauræus; Anneauræus; Bouclier précieux; Ceintrigue; Casque Dragoeuf; Cape Solution; Bottistik; Dofus Abyssal; Miraculé majeur; Culbuteur majeur; Guérisseur majeur; Remueur; Bousculeur majeur; Muldo Indigo et Orchidée</t>
        </is>
      </c>
    </row>
    <row r="10583">
      <c r="A10583" t="inlineStr">
        <is>
          <t>eau tank cac</t>
        </is>
      </c>
      <c r="B10583">
        <f>HYPERLINK("https://www.dofusbook.net/fr/equipement/2086975-eau-tank-cac/objets", "link")</f>
        <v/>
      </c>
      <c r="C10583" t="n">
        <v>1</v>
      </c>
      <c r="D10583" t="inlineStr">
        <is>
          <t>Sceptre du Roi Joueur; Amulette de Shokkoth; Alliance Gloursonne; Bracelet des Fonds marins; Bouclier d'Anerice; Poulpagne; Capuche de l'Œil Attentif; Cape d'Anerice; Bottes du Sinistrofu; Dofus des Glaces; Dofus Pourpre; Dofus Abyssal; Remueur; Chanceux majeur; Muldo Indigo</t>
        </is>
      </c>
    </row>
    <row r="10584">
      <c r="A10584" t="inlineStr">
        <is>
          <t>Stuff 3</t>
        </is>
      </c>
      <c r="B10584">
        <f>HYPERLINK("https://www.dofusbook.net/fr/equipement/388672-stuff-3/objets", "link")</f>
        <v/>
      </c>
      <c r="C10584" t="n">
        <v>2</v>
      </c>
      <c r="D10584" t="inlineStr">
        <is>
          <t>Hache Ériphe; Amulette du Strigide; Bague Trithon; Alliance Gloursonne; Bouclier d'Ilyzaelle; Ceinture du Strigide; Masque de Koutoulou; Voile d'encre; Bottes Trithon; Dofus Turquoise; Dofus Ocre; Dofus Abyssal; Dofus Pourpre; Dofus des Glaces; Dolmanax; Muldo Orchidée et Pourpre</t>
        </is>
      </c>
    </row>
    <row r="10585">
      <c r="A10585" t="inlineStr">
        <is>
          <t>Stuff 2</t>
        </is>
      </c>
      <c r="B10585">
        <f>HYPERLINK("https://www.dofusbook.net/fr/equipement/388671-stuff-2/objets", "link")</f>
        <v/>
      </c>
      <c r="C10585" t="n">
        <v>1</v>
      </c>
      <c r="D10585" t="inlineStr">
        <is>
          <t>Epée Gloursonne; Amulette du Strigide; Alliance Gloursonne; Bague Gloursonne; Bouclier d'Ilyzaelle; Ceinture du Strigide; Masque d'Anerice; Cape d'Anerice; Bottes du Strigide; Dofus Ivoire; Dofus Turquoise; Dofus Abyssal; Dofus Pourpre; Dofus des Glaces; Dofus Ocre; Muldo Ebène et Orchidée</t>
        </is>
      </c>
    </row>
    <row r="10586">
      <c r="A10586" t="inlineStr">
        <is>
          <t>dopou air ceinture c</t>
        </is>
      </c>
      <c r="B10586">
        <f>HYPERLINK("https://www.dofusbook.net/fr/equipement/1515659-dopou-air-ceinture-c/objets", "link")</f>
        <v/>
      </c>
      <c r="C10586" t="n">
        <v>2</v>
      </c>
      <c r="D10586" t="inlineStr">
        <is>
          <t>Hachoirs de Viandargh; Amibou; Bague Trithon; Alliance Gloursonne; Bouclier Taverne; Chapibou; Capibou; Bottes Trithon; Dofus Abyssal; Dofus Ocre; Dofus Turquoise; Dofus Pourpre; Pousseur majeur; Bousculeur majeur; Muldo Ebène</t>
        </is>
      </c>
    </row>
    <row r="10587">
      <c r="A10587" t="inlineStr">
        <is>
          <t>agi</t>
        </is>
      </c>
      <c r="B10587">
        <f>HYPERLINK("https://www.dofusbook.net/fr/equipement/2673655-agi/objets", "link")</f>
        <v/>
      </c>
      <c r="C10587" t="n">
        <v>2</v>
      </c>
      <c r="D10587" t="inlineStr">
        <is>
          <t>Lance Horselé; Collier du Valet Veinard; Alliance Gloursonne; Gant du Valet Veinard; Bouclier du Stalak; Sangle Oriole; Chapibou; Cape Indescriptible; Palmes Trithons; Dofus Ocre; Dofus Pourpre; Dofus Turquoise; Cascadeur majeur; Remueur; Muldo Ebène</t>
        </is>
      </c>
    </row>
    <row r="10588">
      <c r="A10588" t="inlineStr">
        <is>
          <t>test</t>
        </is>
      </c>
      <c r="B10588">
        <f>HYPERLINK("https://www.dofusbook.net/fr/equipement/2152133-test/objets", "link")</f>
        <v/>
      </c>
      <c r="C10588" t="n">
        <v>0</v>
      </c>
      <c r="D10588" t="inlineStr">
        <is>
          <t>Arc de Koutoulou; Amulette d'Ilyzaelle; Alliance Gloursonne; Gant du Valet Veinard; Bouclier du Stalak; Sangle Ouare; Casque d'Ilyzaelle; Cape de l'Œil Putride; Chaussures Face; Dofus Nébuleux; Dofus des Glaces; Dofus Pourpre; Dofus Ocre; Dolmanax; Remueur; El Scarador</t>
        </is>
      </c>
    </row>
    <row r="10589">
      <c r="A10589" t="inlineStr">
        <is>
          <t>feu air crit</t>
        </is>
      </c>
      <c r="B10589">
        <f>HYPERLINK("https://www.dofusbook.net/fr/equipement/2287567-feu-air-crit/objets", "link")</f>
        <v/>
      </c>
      <c r="C10589" t="n">
        <v>1</v>
      </c>
      <c r="D10589" t="inlineStr">
        <is>
          <t>Épée de la Reine des Voleurs; Amulette du Strigide; Alliance Gloursonne; Bague Trithon; Bouclier du Stalak; Ceinture du Strigide; Masque Trithon; Chevelure de Tal Kasha; Bottes Trithon; Dolmanax; Dofus Ocre; Dofus Pourpre; Dofus des Glaces; Dofus Turquoise; Dofus Abyssal; Kokulte</t>
        </is>
      </c>
    </row>
    <row r="10590">
      <c r="A10590" t="inlineStr">
        <is>
          <t>pad stri</t>
        </is>
      </c>
      <c r="B10590">
        <f>HYPERLINK("https://www.dofusbook.net/fr/equipement/2364607-pad-stri/objets", "link")</f>
        <v/>
      </c>
      <c r="C10590" t="n">
        <v>0</v>
      </c>
      <c r="D10590" t="inlineStr">
        <is>
          <t>Arc Nécrotique; Amulette du Strigide; Alliance Gloursonne; Anneau de Padgref; Bouclier cubiste; Ceinture du Strigide; Coiffe de Padgref; Cape d'Anerice; Getas de Padgref; Dofus Turquoise; Dolmanax; Dofus Ocre; Dofus Pourpre; Dofus des Glaces; Joueur majeur; Muldo Prune et Emeraude</t>
        </is>
      </c>
    </row>
    <row r="10591">
      <c r="A10591" t="inlineStr">
        <is>
          <t>tank feu soin</t>
        </is>
      </c>
      <c r="B10591">
        <f>HYPERLINK("https://www.dofusbook.net/fr/equipement/2323989-tank-feu-soin/objets", "link")</f>
        <v/>
      </c>
      <c r="C10591" t="n">
        <v>0</v>
      </c>
      <c r="D10591" t="inlineStr">
        <is>
          <t>Baguette de Malléfisk; Talisman Igans; Baguistik; Anneauræus; Bouclier d'Ilyzaelle; Ceintrigue; Casque Dragoeuf; Cape de Diondin; Bottes Innommables; Dofus Ivoire; Dofus Abyssal; Érudit majeur; Remueur; Miraculé majeur; Muldo Orchidée et Pourpre</t>
        </is>
      </c>
    </row>
    <row r="10592">
      <c r="A10592" t="inlineStr">
        <is>
          <t>feu soin</t>
        </is>
      </c>
      <c r="B10592">
        <f>HYPERLINK("https://www.dofusbook.net/fr/equipement/2344639-feu-soin/objets", "link")</f>
        <v/>
      </c>
      <c r="C10592" t="n">
        <v>0</v>
      </c>
      <c r="D10592" t="inlineStr">
        <is>
          <t>Le Thanos; Amulette Séculaire; Anneauræus; Anneauræus; Bouclier du Stalak; Ceinture Séculaire; Heaume Oplate; Voile d'encre; Bottes Innommables; Dofus Pourpre; Dofus Turquoise; Dofus Ivoire; Érudit majeur; Remueur; Muldo Orchidée et Pourpre</t>
        </is>
      </c>
    </row>
    <row r="10593">
      <c r="A10593" t="inlineStr">
        <is>
          <t>cape de classe</t>
        </is>
      </c>
      <c r="B10593">
        <f>HYPERLINK("https://www.dofusbook.net/fr/equipement/2332295-cape-de-classe/objets", "link")</f>
        <v/>
      </c>
      <c r="C10593" t="n">
        <v>0</v>
      </c>
      <c r="D10593" t="inlineStr">
        <is>
          <t>Arc de Koutoulou; Amulette d'Ilyzaelle; Alliance Gloursonne; Grésilanneau; Bouclier du Stalak; Poulpagne; Casque d'Ilyzaelle; Bottes du Sinistrofu; Dofus des Glaces; Dofus Abyssal; Dolmanax; Miraculé majeur; Chanceux majeur; Remueur; Muldo Ebène et Indigo</t>
        </is>
      </c>
    </row>
    <row r="10594">
      <c r="A10594" t="inlineStr">
        <is>
          <t>terre feu ret tank</t>
        </is>
      </c>
      <c r="B10594">
        <f>HYPERLINK("https://www.dofusbook.net/fr/equipement/388687-terre-feu-ret-tank/objets", "link")</f>
        <v/>
      </c>
      <c r="C10594" t="n">
        <v>3</v>
      </c>
      <c r="D10594" t="inlineStr">
        <is>
          <t>Marteau R'ture; Amulette Héroclite; Bague Gloursonne; Anneau de Brouce; Bouclier cubiste; Ceinture de Gein; Masque de Koutoulou; Cape du Cœur Saignant; Bottes du Cœur Saignant; Dofus Turquoise; Dofus Pourpre; Dolmanax; Dofus Ocre; Enragé majeur; Temporiseur majeur; Muldo Pourpre</t>
        </is>
      </c>
    </row>
    <row r="10595">
      <c r="A10595" t="inlineStr">
        <is>
          <t>terre</t>
        </is>
      </c>
      <c r="B10595">
        <f>HYPERLINK("https://www.dofusbook.net/fr/equipement/2259688-terre/objets", "link")</f>
        <v/>
      </c>
      <c r="C10595" t="n">
        <v>2</v>
      </c>
      <c r="D10595" t="inlineStr">
        <is>
          <t>Marteau R'ture; Amulette du Strigide; Anneau Crustique; Anneau Crustique; Cadran d'Eau; Ceintouse; Masque de Koutoulou; Voile d'encre; Tentassons; Dofus Turquoise; Dofus Abyssal; Dofus Pourpre; Enragé majeur; Étourdisseur majeur; Remueur; Muldo Pourpre</t>
        </is>
      </c>
    </row>
    <row r="10596">
      <c r="A10596" t="inlineStr">
        <is>
          <t>eau</t>
        </is>
      </c>
      <c r="B10596">
        <f>HYPERLINK("https://www.dofusbook.net/fr/equipement/2260162-eau/objets", "link")</f>
        <v/>
      </c>
      <c r="C10596" t="n">
        <v>0</v>
      </c>
      <c r="D10596" t="inlineStr">
        <is>
          <t>Sabres d'Atcham; Amulette du Strigide; Alliance Gloursonne; Bague Trithon; Bouclier alvéolé; Culotte de Bethel; Masque de Funespadon; Cape d'Atcham; Chaussons de Macrab; Dofus Turquoise; Dofus Abyssal; Dofus Ocre; Dofus Pourpre; Dofus des Glaces; Muldo Ebène</t>
        </is>
      </c>
    </row>
    <row r="10597">
      <c r="A10597" t="inlineStr">
        <is>
          <t>feu eau</t>
        </is>
      </c>
      <c r="B10597">
        <f>HYPERLINK("https://www.dofusbook.net/fr/equipement/2259228-feu-eau/objets", "link")</f>
        <v/>
      </c>
      <c r="C10597" t="n">
        <v>2</v>
      </c>
      <c r="D10597" t="inlineStr">
        <is>
          <t>Épée Brûlâme; Amulette du Strigide; Alliance Gloursonne; Anneau de Padgref; Bouclier alvéolé; Ceinture du Strigide; Casqnoar; Chevelure de Tal Kasha; Pataugastrique; Dofus Turquoise; Dofus des Glaces; Dofus Pourpre; Dofus Abyssal; Étourdisseur majeur; Remueur; Muldo Orchidée</t>
        </is>
      </c>
    </row>
    <row r="10598">
      <c r="A10598" t="inlineStr">
        <is>
          <t>eau ret</t>
        </is>
      </c>
      <c r="B10598">
        <f>HYPERLINK("https://www.dofusbook.net/fr/equipement/2253431-eau-ret/objets", "link")</f>
        <v/>
      </c>
      <c r="C10598" t="n">
        <v>8</v>
      </c>
      <c r="D10598" t="inlineStr">
        <is>
          <t>Sceptre du Roi Joueur; Amulette de Shokkoth; Alliance Gloursonne; Anneau Glacial; Bouclier cubiste; Ceinture de l'Esprit Salvateur; Casque Dragoeuf; Cape de l'Œil Putride; Bottes de l'Esprit Salvateur; Dofus Ocre; Remueur; Miraculé majeur; Temporiseur majeur; Chanceux majeur; Muldo Pourpre et Amande</t>
        </is>
      </c>
    </row>
    <row r="10599">
      <c r="A10599" t="inlineStr">
        <is>
          <t>botte de classe</t>
        </is>
      </c>
      <c r="B10599">
        <f>HYPERLINK("https://www.dofusbook.net/fr/equipement/2227798-botte-de-classe/objets", "link")</f>
        <v/>
      </c>
      <c r="C10599" t="n">
        <v>2</v>
      </c>
      <c r="D10599" t="inlineStr">
        <is>
          <t>Arc de Koutoulou; Amulette d'Ilyzaelle; Alliance Gloursonne; Grésilanneau; Bouclier du Stalak; Ceinture Voldelor; Casque d'Ilyzaelle; Cape Matelassée; Dofus Pourpre; Dofus des Glaces; Dofus Abyssal; Remueur; Miraculé majeur; Vigoureux majeur; Muldo Ebène</t>
        </is>
      </c>
    </row>
    <row r="10600">
      <c r="A10600" t="inlineStr">
        <is>
          <t>Stuff 2</t>
        </is>
      </c>
      <c r="B10600">
        <f>HYPERLINK("https://www.dofusbook.net/fr/equipement/388677-stuff-2/objets", "link")</f>
        <v/>
      </c>
      <c r="C10600" t="n">
        <v>3</v>
      </c>
      <c r="D10600" t="inlineStr">
        <is>
          <t>Arc du Chalœil; Amulette du Strigide; Anneau Crustique; Anneau de Brouce; Quatre-feuilles; Ceinture de Brouce; Masque d'Anerice; Cape d'Anerice; Bottes de Brouce; Dofus des Glaces; Dolmanax; Dofus Abyssal; Dofus Ocre; Dofus Turquoise; Dofus Pourpre; Muldo Prune et Pourpre</t>
        </is>
      </c>
    </row>
    <row r="10601">
      <c r="A10601" t="inlineStr">
        <is>
          <t>air</t>
        </is>
      </c>
      <c r="B10601">
        <f>HYPERLINK("https://www.dofusbook.net/fr/equipement/2222412-air/objets", "link")</f>
        <v/>
      </c>
      <c r="C10601" t="n">
        <v>0</v>
      </c>
      <c r="D10601" t="inlineStr">
        <is>
          <t>Lance Horselé; Amulette d'Ilyzaelle; Alliance Gloursonne; Gant du Valet Veinard; Bouclier d'Anerice; Ceinture du Barbétoal; Couronne d'Allister; Cape d'Anerice; Palmes Trithons; Dofus Ocre; Dofus Ivoire; Dofus Abyssal; Remueur; Miraculé majeur; Cascadeur majeur; Muldo Ebène et Indigo</t>
        </is>
      </c>
    </row>
    <row r="10602">
      <c r="A10602" t="inlineStr">
        <is>
          <t>air</t>
        </is>
      </c>
      <c r="B10602">
        <f>HYPERLINK("https://www.dofusbook.net/fr/equipement/2221341-air/objets", "link")</f>
        <v/>
      </c>
      <c r="C10602" t="n">
        <v>2</v>
      </c>
      <c r="D10602" t="inlineStr">
        <is>
          <t>Manthache; Collier du Valet Veinard; Gant du Valet Veinard; Alliance Gloursonne; Cadran de Terre; Menoture; Casque d'Ilyzaelle; Cape Indescriptible; Palmes Trithons; Dofus Abyssal; Dofus Pourpre; Cascadeur majeur; Remueur; Étourdisseur majeur; Muldo Ebène</t>
        </is>
      </c>
    </row>
    <row r="10603">
      <c r="A10603" t="inlineStr">
        <is>
          <t>stuff3</t>
        </is>
      </c>
      <c r="B10603">
        <f>HYPERLINK("https://www.dofusbook.net/fr/equipement/1515548-stuff3/objets", "link")</f>
        <v/>
      </c>
      <c r="C10603" t="n">
        <v>1</v>
      </c>
      <c r="D10603" t="inlineStr">
        <is>
          <t>Baguette de Malléfisk; Pendentif affamé; Anneau Rifique; Anneauræus; Bouclier d'Ilyzaelle; Ceinture de Vortex; Casque Cyclopéen; Cape de Diondin; Bottes Innommables; Dofus Nébuleux; Dofus Pourpre; Dofus Abyssal; Remueur; Érudit majeur; Miraculé majeur; Muldo Orchidée et Pourpre</t>
        </is>
      </c>
    </row>
    <row r="10604">
      <c r="A10604" t="inlineStr">
        <is>
          <t>feu eau 2</t>
        </is>
      </c>
      <c r="B10604">
        <f>HYPERLINK("https://www.dofusbook.net/fr/equipement/388686-feu-eau-2/objets", "link")</f>
        <v/>
      </c>
      <c r="C10604" t="n">
        <v>0</v>
      </c>
      <c r="D10604" t="inlineStr">
        <is>
          <t>Arc Honte; Amulette Ementaire Deluxe; Alliance Gloursonne; Anneau de Nidas; Bouclier du Stalak; Sangle Ouare; Capuche de l'Œil Putride; Cape de l'Œil Putride; Pataugastrique; Dofus des Glaces; Dolmanax; Dofus Pourpre; Temporiseur majeur; Remueur; Miraculé majeur; Kramkram</t>
        </is>
      </c>
    </row>
    <row r="10605">
      <c r="A10605" t="inlineStr">
        <is>
          <t>eau ini</t>
        </is>
      </c>
      <c r="B10605">
        <f>HYPERLINK("https://www.dofusbook.net/fr/equipement/2110702-eau-ini/objets", "link")</f>
        <v/>
      </c>
      <c r="C10605" t="n">
        <v>2</v>
      </c>
      <c r="D10605" t="inlineStr">
        <is>
          <t>Sceptre du Roi Joueur; Amulette de l'Œil Attentif; Bracelet des Fonds marins; Alliance Gloursonne; Bouclier du Stalak; Ceinture de l'Esprit Salvateur; Capuche de l'Œil Attentif; Cape de l'Œil Attentif; Bottes de l'Esprit Salvateur; Dofus Émeraude; Dofus Ocre; Dolmanax; Dofus Abyssal; Dofus Nébuleux; Dofus Pourpre; Muldo Ebène et Indigo</t>
        </is>
      </c>
    </row>
    <row r="10606">
      <c r="A10606" t="inlineStr">
        <is>
          <t>feu eau 3</t>
        </is>
      </c>
      <c r="B10606">
        <f>HYPERLINK("https://www.dofusbook.net/fr/equipement/388685-feu-eau-3/objets", "link")</f>
        <v/>
      </c>
      <c r="C10606" t="n">
        <v>4</v>
      </c>
      <c r="D10606" t="inlineStr">
        <is>
          <t>Arc Nécrotique; Talisman Igans; Lavanneau; Alliance Gloursonne; Bouclier du Stalak; Sangle Ouare; Casqnoar; Cape de la Dame du Hasard; Bottes de la Dame du Hasard; Dofus Pourpre; Dolmanax; Dofus Ocre; Dofus des Glaces; Miraculé majeur; Remueur; El Scarador</t>
        </is>
      </c>
    </row>
    <row r="10607">
      <c r="A10607" t="inlineStr">
        <is>
          <t>stuff1</t>
        </is>
      </c>
      <c r="B10607">
        <f>HYPERLINK("https://www.dofusbook.net/fr/equipement/1687749-stuff1/objets", "link")</f>
        <v/>
      </c>
      <c r="C10607" t="n">
        <v>0</v>
      </c>
      <c r="D10607" t="inlineStr">
        <is>
          <t>Arc Nécrotique; Collier de la Dame du Hasard; Alliance Gloursonne; Bague Gloursonne; Quatre-feuilles; Ceinture de l'Esprit Malsain; Masque de l'Esprit Malsain; Cape de la Dame du Hasard; Bottes de la Dame du Hasard; Dofus Turquoise; Dofus des Glaces; Dofus Abyssal; Dofus Ocre; Dofus Pourpre; Dolmanax; Muldo Orchidée</t>
        </is>
      </c>
    </row>
    <row r="10608">
      <c r="A10608" t="inlineStr">
        <is>
          <t>feu eau</t>
        </is>
      </c>
      <c r="B10608">
        <f>HYPERLINK("https://www.dofusbook.net/fr/equipement/1898967-feu-eau/objets", "link")</f>
        <v/>
      </c>
      <c r="C10608" t="n">
        <v>1</v>
      </c>
      <c r="D10608" t="inlineStr">
        <is>
          <t>Pyraguette; Talisman Igans; Lavanneau; Lavanneau; Bouclier du Stalak; Ceinture de l'Esprit Salvateur; Casque Dragoeuf; Cape Solution; Bottes Owesli; Dofus Abyssal; Dofus Pourpre; Dofus des Glaces; Vigoureux majeur; Miraculé majeur; Remueur; Muldo Indigo et Orchidée</t>
        </is>
      </c>
    </row>
    <row r="10609">
      <c r="A10609" t="inlineStr">
        <is>
          <t>stuff2</t>
        </is>
      </c>
      <c r="B10609">
        <f>HYPERLINK("https://www.dofusbook.net/fr/equipement/1771083-stuff2/objets", "link")</f>
        <v/>
      </c>
      <c r="C10609" t="n">
        <v>2</v>
      </c>
      <c r="D10609" t="inlineStr">
        <is>
          <t>Manthache; Collier du Valet Veinard; Alliance Gloursonne; Gant du Valet Veinard; Sept ans de malheur; Menoture; Casque Dragoeuf; Chevelure de Tal Kasha; Palmes Trithons; Dofus Abyssal; Dofus Pourpre; Miraculé majeur; Remueur; Étourdisseur majeur; Carapace Feu majeur; Muldo Ebène</t>
        </is>
      </c>
    </row>
    <row r="10610">
      <c r="A10610" t="inlineStr">
        <is>
          <t>test3</t>
        </is>
      </c>
      <c r="B10610">
        <f>HYPERLINK("https://www.dofusbook.net/fr/equipement/1377728-test3/objets", "link")</f>
        <v/>
      </c>
      <c r="C10610" t="n">
        <v>0</v>
      </c>
      <c r="D10610" t="inlineStr">
        <is>
          <t>Dagues de Srambad; Torquistik; Baguistik; Goulano; Goulclier; Ceinture de la Reine des Voleurs; Coiffe de la Reine des Voleurs; Voile d'encre; Goulbottes; Dofus Abyssal; Dolmanax; Dofus Ocre; Dofus Pourpre; Dofus des Glaces; Féroce majeur; Muldo Ebène et Indigo</t>
        </is>
      </c>
    </row>
    <row r="10611">
      <c r="A10611" t="inlineStr">
        <is>
          <t>Ecaflip M 200</t>
        </is>
      </c>
      <c r="B10611">
        <f>HYPERLINK("https://www.dofusbook.net/fr/equipement/5791309-ecaflip-m-200/objets", "link")</f>
        <v/>
      </c>
      <c r="C10611" t="n">
        <v>0</v>
      </c>
      <c r="D10611" t="inlineStr">
        <is>
          <t>Manthache; Collier du Valet Veinard; Gant du Valet Veinard; Alliance Gloursonne; Bouclier du Stalak; Ceinture de l'Esprit Salvateur; Masque de l'Esprit Salvateur; Cape du Valet Veinard; Bottes de l'Esprit Salvateur; Dofus Vulbis; Dofus Abyssal; Dofus Pourpre; Dofus Ivoire; Dofus Ocre; Dofus Ébène; Dragodinde Ebène et Ivoire</t>
        </is>
      </c>
    </row>
    <row r="10612">
      <c r="A10612" t="inlineStr">
        <is>
          <t>terre</t>
        </is>
      </c>
      <c r="B10612">
        <f>HYPERLINK("https://www.dofusbook.net/fr/equipement/5791228-terre/objets", "link")</f>
        <v/>
      </c>
      <c r="C10612" t="n">
        <v>1</v>
      </c>
      <c r="D10612" t="inlineStr">
        <is>
          <t>Arc du Chalœil; Amulette du Cœur Saignant; Anneau Chevelu; Anneau Volkorne; Quatre-feuilles; Ceinture Volkorne; Casque Volkorne; Cape du Cœur Saignant; Bottes du Cœur Saignant; Dofus Pourpre; Dofus Ivoire; Dofus Turquoise; Dofus Ébène; Dofus Abyssal; Dofus Ocre; Volkorne Turquoise et Pourpre</t>
        </is>
      </c>
    </row>
    <row r="10613">
      <c r="A10613" t="inlineStr">
        <is>
          <t>Iop</t>
        </is>
      </c>
      <c r="B10613">
        <f>HYPERLINK("https://www.dofusbook.net/fr/equipement/5783515-iop/objets", "link")</f>
        <v/>
      </c>
      <c r="C10613" t="n">
        <v>0</v>
      </c>
      <c r="D10613" t="inlineStr">
        <is>
          <t>Epée Toche; Amulette Volkorne; Alliance Brûlâme; Bague Gloursonne; Cadran d'Air; Ceinture Volkorne; Masque Brûlâme; Voile d'encre; Pompes Funèbres; Dofus Ocre; Dofus Ébène; Dofus Vulbis; Dofus Pourpre; Dofus Ivoire; Robuste majeur; Tanuk</t>
        </is>
      </c>
    </row>
    <row r="10614">
      <c r="A10614" t="inlineStr">
        <is>
          <t>nul</t>
        </is>
      </c>
      <c r="B10614">
        <f>HYPERLINK("https://www.dofusbook.net/fr/equipement/5764810-nul/objets", "link")</f>
        <v/>
      </c>
      <c r="C10614" t="n">
        <v>0</v>
      </c>
      <c r="D10614" t="inlineStr">
        <is>
          <t>Le Thanos; Amulette d'Otomaï; Anneauræus; Anneauræus; Carapar; Ceinture de Vortex; Masque Ardent; Cape de Diondin; Chaussures Ardentes; Dofus Ocre; Dofus Ébène; Dofus Ivoire; Dofus Vulbis; Érudit majeur; Guérisseur majeur; Dragodinde Orchidée et Rousse</t>
        </is>
      </c>
    </row>
    <row r="10615">
      <c r="A10615" t="inlineStr">
        <is>
          <t>intel 2.52</t>
        </is>
      </c>
      <c r="B10615">
        <f>HYPERLINK("https://www.dofusbook.net/fr/equipement/5380222-intel-2-52/objets", "link")</f>
        <v/>
      </c>
      <c r="C10615" t="n">
        <v>2</v>
      </c>
      <c r="D10615" t="inlineStr">
        <is>
          <t>Harpelle; Amulette Volkorne; Anneauræus; Anneau Volkorne; Droiture de Fallanster; Croture; Heaume Oplate; Voile d'encre; Chaussures Ardentes; Dofus Ocre; Dofus Ébène; Dofus Vulbis; Dofus Pourpre; Dofus Ivoire; Érudit majeur; Bisouglours</t>
        </is>
      </c>
    </row>
    <row r="10616">
      <c r="A10616" t="inlineStr">
        <is>
          <t>Enutrof M 200</t>
        </is>
      </c>
      <c r="B10616">
        <f>HYPERLINK("https://www.dofusbook.net/fr/equipement/5473853-enutrof-m-200/objets", "link")</f>
        <v/>
      </c>
      <c r="C10616" t="n">
        <v>0</v>
      </c>
      <c r="D10616" t="inlineStr">
        <is>
          <t>Pelle Dorado; Collier Lunaire; Bracelet du Piloztère; Pikano; Bouclier cubiste; Ceinture Glaciale; Kidibonnet; Cape de Léthaline; Bottes Lunaires; Dofus Cawotte; Temporiseur majeur; Remueur; Entraveur majeur; Ralentisseur majeur; Chanceux majeur; Gwo Tofu Ventripotent</t>
        </is>
      </c>
    </row>
    <row r="10617">
      <c r="A10617" t="inlineStr">
        <is>
          <t>2.48</t>
        </is>
      </c>
      <c r="B10617">
        <f>HYPERLINK("https://www.dofusbook.net/fr/equipement/3743249-2-48/objets", "link")</f>
        <v/>
      </c>
      <c r="C10617" t="n">
        <v>3</v>
      </c>
      <c r="D10617" t="inlineStr">
        <is>
          <t>Hache du Chalœil; Amulette Volkorne; Anneau Volkorne; Alliance du Lévitrof; Quatre-feuilles; Ceinture Volkorne; Coiffe du Lévitrof; Voile d'encre; Bottes du Lévitrof; Dofus Ébène; Dofus Ocre; Dofus Turquoise; Dofus des Glaces; Dofus Ivoire; Dofus Pourpre; Chacha Angora</t>
        </is>
      </c>
    </row>
    <row r="10618">
      <c r="A10618" t="inlineStr">
        <is>
          <t>sacri</t>
        </is>
      </c>
      <c r="B10618">
        <f>HYPERLINK("https://www.dofusbook.net/fr/equipement/5299729-sacri/objets", "link")</f>
        <v/>
      </c>
      <c r="C10618" t="n">
        <v>1</v>
      </c>
      <c r="D10618" t="inlineStr">
        <is>
          <t>Rapière aux Glyphes; Amulette d'Ilyzaelle; Alliance Gloursonne; Anneau Volkorne; Bouclier d'Ilyzaelle; Ceinture de Dame Jhessica; Masque Paztek; Cape Solution; Bottes du Sinistrofu; Dofus Vulbis; Dofus Ivoire; Dokoko; Dofus Ébène; Dofus Émeraude; Dofus Ocre; Kanigloups</t>
        </is>
      </c>
    </row>
    <row r="10619">
      <c r="A10619" t="inlineStr">
        <is>
          <t>intel</t>
        </is>
      </c>
      <c r="B10619">
        <f>HYPERLINK("https://www.dofusbook.net/fr/equipement/5185566-intel/objets", "link")</f>
        <v/>
      </c>
      <c r="C10619" t="n">
        <v>1</v>
      </c>
      <c r="D10619" t="inlineStr">
        <is>
          <t>Plumeau Bil; Amulette Volkorne; Anneauræus; Anneauræus; Bouclier d'Ilyzaelle; Ceinture Volkorne; Heaume Oplate; Voile d'encre; Bottes Innommables; Dofus Ocre; Dofus Abyssal; Dofus Émeraude; Dofus Ivoire; Dofus Vulbis; Dofus Ébène; Bisouglours</t>
        </is>
      </c>
    </row>
    <row r="10620">
      <c r="A10620" t="inlineStr">
        <is>
          <t>dofi</t>
        </is>
      </c>
      <c r="B10620">
        <f>HYPERLINK("https://www.dofusbook.net/fr/equipement/4904454-dofi/objets", "link")</f>
        <v/>
      </c>
      <c r="C10620" t="n">
        <v>1</v>
      </c>
      <c r="D10620" t="inlineStr">
        <is>
          <t>Crocobur; Amulette Ementaire Deluxe; Bague Gloursonne; Alliance Gloursonne; Bouclier du Stalak; Ceinture de l'Esprit Salvateur; Masque de l'Esprit Salvateur; Voilamibe; Bottes de l'Esprit Salvateur; Dofus Pourpre; Dolmanax; Dofus des Glaces; Dofus Émeraude; Robuste majeur; Féroce majeur; Fëanor</t>
        </is>
      </c>
    </row>
    <row r="10621">
      <c r="A10621" t="inlineStr">
        <is>
          <t>troll feu</t>
        </is>
      </c>
      <c r="B10621">
        <f>HYPERLINK("https://www.dofusbook.net/fr/equipement/4714956-troll-feu/objets", "link")</f>
        <v/>
      </c>
      <c r="C10621" t="n">
        <v>3</v>
      </c>
      <c r="D10621" t="inlineStr">
        <is>
          <t>Arc corrompu; Amulette Volkorne; Anneauræus; Anneauræus; Bouclier du Stalak; Ceinture Volkorne; Diadème de Ganymède; Cape de Jahash Jurgen; Bottes Innommables; Dofus Pourpre; Dofus Ébène; Dofus Vulbis; Dofus Ocre; Astucieux majeur; Érudit majeur; Bisouglours</t>
        </is>
      </c>
    </row>
    <row r="10622">
      <c r="A10622" t="inlineStr">
        <is>
          <t>agi autist</t>
        </is>
      </c>
      <c r="B10622">
        <f>HYPERLINK("https://www.dofusbook.net/fr/equipement/4891191-agi-autist/objets", "link")</f>
        <v/>
      </c>
      <c r="C10622" t="n">
        <v>3</v>
      </c>
      <c r="D10622" t="inlineStr">
        <is>
          <t>Manthache; Collier du Valet Veinard; Alliance Gloursonne; Gant du Valet Veinard; Bouclier du Stalak; Ceinture du Nocturlabe; Diadème de Ganymède; Cape de Jahash Jurgen; Palmes Trithons; Dofus Vulbis; Dofus Ébène; Dofus Pourpre; Dofus Ocre; Equilibriste majeur; Cascadeur majeur; Siroko</t>
        </is>
      </c>
    </row>
    <row r="10623">
      <c r="A10623" t="inlineStr">
        <is>
          <t>paire troll</t>
        </is>
      </c>
      <c r="B10623">
        <f>HYPERLINK("https://www.dofusbook.net/fr/equipement/4856034-paire-troll/objets", "link")</f>
        <v/>
      </c>
      <c r="C10623" t="n">
        <v>0</v>
      </c>
      <c r="D10623" t="inlineStr">
        <is>
          <t>Rapière aux Glyphes; Amulette du Sinistrofu; Alliance Gloursonne; Anneau Volkorne; Bouclier d'Ilyzaelle; Ceinture de Dame Jhessica; Diadème de Ganymède; Cape de Jahash Jurgen; Bottes du Sinistrofu; Dofus Ocre; Dofus Vulbis; Dofus Ivoire; Dofus Pourpre; Chanceux majeur; Robuste majeur; Kanigloups</t>
        </is>
      </c>
    </row>
    <row r="10624">
      <c r="A10624" t="inlineStr">
        <is>
          <t>ah ok</t>
        </is>
      </c>
      <c r="B10624">
        <f>HYPERLINK("https://www.dofusbook.net/fr/equipement/4850047-ah-ok/objets", "link")</f>
        <v/>
      </c>
      <c r="C10624" t="n">
        <v>0</v>
      </c>
      <c r="D10624" t="inlineStr">
        <is>
          <t>Rapière aux Glyphes; Amulette Volkorne; Anneau Volkorne; Alliance Gloursonne; Bouclier d'Ilyzaelle; Ceinture de Dame Jhessica; Kidibonnet; Cape de Jahash Jurgen; Bottes du Sinistrofu; Dokoko; Dofus Ocre; Dofus Émeraude; Dofus Pourpre; Nomade; Chanceux majeur; Kanigloups</t>
        </is>
      </c>
    </row>
    <row r="10625">
      <c r="A10625" t="inlineStr">
        <is>
          <t>ret</t>
        </is>
      </c>
      <c r="B10625">
        <f>HYPERLINK("https://www.dofusbook.net/fr/equipement/4820869-ret/objets", "link")</f>
        <v/>
      </c>
      <c r="C10625" t="n">
        <v>0</v>
      </c>
      <c r="D10625" t="inlineStr">
        <is>
          <t>Pelle Dorado; Amulette des Chocomanciens; Anneau de la Fuji Givrefoux; Pikano; Bouclier cubiste; Ceinture des Chocomanciens; Kidibonnet; Cape de Léthaline; Bottes de Meno; Dofus Cawotte; Entraveur majeur; Remueur; Chanceux majeur; Ralentisseur majeur; Temporiseur majeur; Gwo Tofu Ventripotent</t>
        </is>
      </c>
    </row>
    <row r="10626">
      <c r="A10626" t="inlineStr">
        <is>
          <t>eaupou</t>
        </is>
      </c>
      <c r="B10626">
        <f>HYPERLINK("https://www.dofusbook.net/fr/equipement/4820707-eaupou/objets", "link")</f>
        <v/>
      </c>
      <c r="C10626" t="n">
        <v>0</v>
      </c>
      <c r="D10626" t="inlineStr">
        <is>
          <t>Masse Ossiale; Amulette du Sinistrofu; Anneau Volkorne; Alliance Gloursonne; Bouclier d'Ilyzaelle; Ceintrigue; Masque de Kao; Cape Solution; Bottes Owesli; Dofus Émeraude; Dofus Pourpre; Chanceux majeur; Remueur; Bousculeur majeur; Culbuteur majeur; Écumouth</t>
        </is>
      </c>
    </row>
    <row r="10627">
      <c r="A10627" t="inlineStr">
        <is>
          <t>terre</t>
        </is>
      </c>
      <c r="B10627">
        <f>HYPERLINK("https://www.dofusbook.net/fr/equipement/4811452-terre-/objets", "link")</f>
        <v/>
      </c>
      <c r="C10627" t="n">
        <v>2</v>
      </c>
      <c r="D10627" t="inlineStr">
        <is>
          <t>Crocobur; Collier de Tourthon; Anneau de Brouce; Anneau Crustique; Bouclier du Captain Amakna; Ceinture Volkorne; Diadème de Ganymède; Cape de Jahash Jurgen; Bottes de Brouce; Dofus Ocre; Dofus Vulbis; Dofus Ivoire; Dofus Pourpre; Enragé majeur; Forcené majeur; Kompost</t>
        </is>
      </c>
    </row>
    <row r="10628">
      <c r="A10628" t="inlineStr">
        <is>
          <t>pvm</t>
        </is>
      </c>
      <c r="B10628">
        <f>HYPERLINK("https://www.dofusbook.net/fr/equipement/4798072-pvm-/objets", "link")</f>
        <v/>
      </c>
      <c r="C10628" t="n">
        <v>0</v>
      </c>
      <c r="D10628" t="inlineStr">
        <is>
          <t>Arc corrompu; Amulette Volkorne; Bracelet du Piloztère; Grésilanneau; Bouclier du Stalak; Ceinture Volkorne; Diadème de Ganymède; Cape de Jahash Jurgen; Bottes du Strigide; Dofus Ocre; Dofus Vulbis; Dolmanax; Dofus Pourpre; Vigoureux majeur; Robuste majeur; Cromeugnon</t>
        </is>
      </c>
    </row>
    <row r="10629">
      <c r="A10629" t="inlineStr">
        <is>
          <t>depluland</t>
        </is>
      </c>
      <c r="B10629">
        <f>HYPERLINK("https://www.dofusbook.net/fr/equipement/4733182-depluland/objets", "link")</f>
        <v/>
      </c>
      <c r="C10629" t="n">
        <v>1</v>
      </c>
      <c r="D10629" t="inlineStr">
        <is>
          <t>Lance Horselé; Collier du Valet Veinard; Gant du Valet Veinard; Anneau d'Allister; Bouclier du Stalak; Sangle Oriole; Couronne d'Allister; Cape du Valet Veinard; Bottes d'Allister; Dofus Ivoire; Dofus Nébuleux; Dofus Pourpre; Dofus Ocre; Dofus Vulbis; Equilibriste majeur; Blérodoudou</t>
        </is>
      </c>
    </row>
    <row r="10630">
      <c r="A10630" t="inlineStr">
        <is>
          <t>gneuh t2</t>
        </is>
      </c>
      <c r="B10630">
        <f>HYPERLINK("https://www.dofusbook.net/fr/equipement/4729722-gneuh-t2/objets", "link")</f>
        <v/>
      </c>
      <c r="C10630" t="n">
        <v>2</v>
      </c>
      <c r="D10630" t="inlineStr">
        <is>
          <t>Arc du Chalœil; Collier de Tourthon; Anneau Crustique; Anneau de Brouce; Bouclier du Stalak; Ceinture Volkorne; Diadème de Ganymède; Cape de Jahash Jurgen; Bottes de Brouce; Dofus Pourpre; Dofus Ocre; Dofus Vulbis; Dofus Ivoire; Forcené majeur; Enragé majeur; Bulbisou</t>
        </is>
      </c>
    </row>
    <row r="10631">
      <c r="A10631" t="inlineStr">
        <is>
          <t>mdr t2</t>
        </is>
      </c>
      <c r="B10631">
        <f>HYPERLINK("https://www.dofusbook.net/fr/equipement/4726210-mdr-t2/objets", "link")</f>
        <v/>
      </c>
      <c r="C10631" t="n">
        <v>1</v>
      </c>
      <c r="D10631" t="inlineStr">
        <is>
          <t>Bâton Beau; Amulette du Strigide; Alliance Gloursonne; Bracelet du Piloztère; Bouclier du Stalak; Ceinture du Strigide; Diadème de Ganymède; Cape de Jahash Jurgen; Bottes du Cycloïde; Dofus Vulbis; Dofus Ivoire; Dofus Turquoise; Dolmanax; Dofus Pourpre; Dofus Ocre; Chacha Angora</t>
        </is>
      </c>
    </row>
    <row r="10632">
      <c r="A10632" t="inlineStr">
        <is>
          <t>t1 pour t2</t>
        </is>
      </c>
      <c r="B10632">
        <f>HYPERLINK("https://www.dofusbook.net/fr/equipement/4726189-t1-pour-t2/objets", "link")</f>
        <v/>
      </c>
      <c r="C10632" t="n">
        <v>2</v>
      </c>
      <c r="D10632" t="inlineStr">
        <is>
          <t>Rouleau à Pâtisserie d'Aermyne; Collier Rophante; Bague Gloursonne; Alliance Gloursonne; Droiture de Fallanster; Ceintacé; Casque Dragoeuf; Bravoure de Rykke Errel; Bottes de Mille Lieues; Dofus Abyssal; Dofus Émeraude; Dofus Forgelave; Dofus Ocre; Dofus Ivoire; Miraculé majeur; Titard</t>
        </is>
      </c>
    </row>
    <row r="10633">
      <c r="A10633" t="inlineStr">
        <is>
          <t>nul</t>
        </is>
      </c>
      <c r="B10633">
        <f>HYPERLINK("https://www.dofusbook.net/fr/equipement/4726048-nul/objets", "link")</f>
        <v/>
      </c>
      <c r="C10633" t="n">
        <v>1</v>
      </c>
      <c r="D10633" t="inlineStr">
        <is>
          <t>Rouleau à Pâtisserie d'Aermyne; Collier Rophante; Bague Gloursonne; Alliance Gloursonne; Droiture de Fallanster; Ceinture de Dame Jhessica; Casque Dragoeuf; Bravoure de Rykke Errel; Baleinabottes; Dofus Émeraude; Dofus Ivoire; Dofus Ocre; Dofus Forgelave; Dofus Abyssal; Miraculé majeur; Titard</t>
        </is>
      </c>
    </row>
    <row r="10634">
      <c r="A10634" t="inlineStr">
        <is>
          <t>mdr</t>
        </is>
      </c>
      <c r="B10634">
        <f>HYPERLINK("https://www.dofusbook.net/fr/equipement/4724527-mdr/objets", "link")</f>
        <v/>
      </c>
      <c r="C10634" t="n">
        <v>2</v>
      </c>
      <c r="D10634" t="inlineStr">
        <is>
          <t>Marteau R'ture; Collier de Tourthon; Anneau Crustique; Anneau de Brouce; Bouclier d'Ilyzaelle; Ceinture Volkorne; Diadème de Ganymède; Cape de Jahash Jurgen; Bottes de Brouce; Dofus Pourpre; Dofus Ocre; Dofus Vulbis; Dofus Ivoire; Enragé majeur; Forcené majeur; Bulbisou</t>
        </is>
      </c>
    </row>
    <row r="10635">
      <c r="A10635" t="inlineStr">
        <is>
          <t>perco lolilol</t>
        </is>
      </c>
      <c r="B10635">
        <f>HYPERLINK("https://www.dofusbook.net/fr/equipement/4706699-perco-lolilol/objets", "link")</f>
        <v/>
      </c>
      <c r="C10635" t="n">
        <v>1</v>
      </c>
      <c r="D10635" t="inlineStr">
        <is>
          <t>Hachoirs de Viandargh; Amulette du Strigide; Anneau Toriété; Anneau de Padgref; Bouclier du Captain Amakna; Ceinture du Strigide; Coiffe de Padgref; Chevelure de Tal Kasha; Getas de Padgref; Dofus Pourpre; Dofus Ivoire; Dofus Turquoise; Dolmanax; Dofus Ocre; Acrobate majeur; Pioute jaune</t>
        </is>
      </c>
    </row>
    <row r="10636">
      <c r="A10636" t="inlineStr">
        <is>
          <t>yon</t>
        </is>
      </c>
      <c r="B10636">
        <f>HYPERLINK("https://www.dofusbook.net/fr/equipement/4698779-yon/objets", "link")</f>
        <v/>
      </c>
      <c r="C10636" t="n">
        <v>1</v>
      </c>
      <c r="D10636" t="inlineStr">
        <is>
          <t>Rapière aux Glyphes; Amulette du Strigide; Anneau Volkorne; Bague Trithon; Bouclier du Stalak; Ceinture du Strigide; Némès de Tal Kasha; Chevelure de Tal Kasha; Bottes Trithon; Dofus Vulbis; Dofus Ocre; Dofus Turquoise; Dofus Abyssal; Dofus Pourpre; Dofus Ivoire; Sakochère</t>
        </is>
      </c>
    </row>
    <row r="10637">
      <c r="A10637" t="inlineStr">
        <is>
          <t>sout</t>
        </is>
      </c>
      <c r="B10637">
        <f>HYPERLINK("https://www.dofusbook.net/fr/equipement/4628352-sout/objets", "link")</f>
        <v/>
      </c>
      <c r="C10637" t="n">
        <v>0</v>
      </c>
      <c r="D10637" t="inlineStr">
        <is>
          <t>Arc corrompu; Amulette Volkorne; Anneauræus; Anneauræus; Droiture de Fallanster; Ceinture de Vortex; Masque Ardent; Bravoure de Rykke Errel; Chaussures Ardentes; Dofus Vulbis; Dofus Ocre; Dofus Ivoire; Érudit majeur; Observateur; Volkorne Ivoire et Orchidée</t>
        </is>
      </c>
    </row>
    <row r="10638">
      <c r="A10638" t="inlineStr">
        <is>
          <t>rip fuite</t>
        </is>
      </c>
      <c r="B10638">
        <f>HYPERLINK("https://www.dofusbook.net/fr/equipement/4628327-rip-fuite/objets", "link")</f>
        <v/>
      </c>
      <c r="C10638" t="n">
        <v>0</v>
      </c>
      <c r="D10638" t="inlineStr">
        <is>
          <t>Arc corrompu; Pendentif affamé; Anneau Tique; Anneau de Nidas; Bouclier du Stalak; Ceinture de Vortex; Casque Dragoeuf; Cape Martegel; Tongues de Nidas; Dofus Vulbis; Dofus Ocre; Dofus Ivoire; Érudit majeur; Volkorne Ivoire et Orchidée</t>
        </is>
      </c>
    </row>
    <row r="10639">
      <c r="A10639" t="inlineStr">
        <is>
          <t>gneuh</t>
        </is>
      </c>
      <c r="B10639">
        <f>HYPERLINK("https://www.dofusbook.net/fr/equipement/4628284-gneuh/objets", "link")</f>
        <v/>
      </c>
      <c r="C10639" t="n">
        <v>0</v>
      </c>
      <c r="D10639" t="inlineStr">
        <is>
          <t>Manthache; Collier du Valet Veinard; Alliance Gloursonne; Gant du Valet Veinard; Bouclier du Stalak; Menoture; Couronne d'Allister; Cape Martegel; Palmes Trithons; Dofus Vulbis; Dofus Ébène; Dofus Ocre; Dofus Nébuleux; Dofus Ivoire; Cascadeur majeur; Blérodoudou</t>
        </is>
      </c>
    </row>
    <row r="10640">
      <c r="A10640" t="inlineStr">
        <is>
          <t>12/6</t>
        </is>
      </c>
      <c r="B10640">
        <f>HYPERLINK("https://www.dofusbook.net/fr/equipement/4614702-12-6/objets", "link")</f>
        <v/>
      </c>
      <c r="C10640" t="n">
        <v>2</v>
      </c>
      <c r="D10640" t="inlineStr">
        <is>
          <t>Pelle de la Cour Sombre; Collier du Valet Veinard; Anneau d'Allister; Gant du Valet Veinard; Bouclier du Stalak; Ceintouse; Couronne d'Allister; Cape du Valet Veinard; Bottes d'Allister; Dofus Vulbis; Dofus des Glaces; Dofus Pourpre; Dofus Ivoire; Dofus Ocre; Dofus Abyssal; Blérodoudou</t>
        </is>
      </c>
    </row>
    <row r="10641">
      <c r="A10641" t="inlineStr">
        <is>
          <t>intel esq</t>
        </is>
      </c>
      <c r="B10641">
        <f>HYPERLINK("https://www.dofusbook.net/fr/equipement/4614675-intel-esq/objets", "link")</f>
        <v/>
      </c>
      <c r="C10641" t="n">
        <v>1</v>
      </c>
      <c r="D10641" t="inlineStr">
        <is>
          <t>Baguette de Malléfisk; Amulette Volkorne; Anneauræus; Anneauræus; Cadran de Feu; Ceinture Volkorne; Heaume Oplate; Voile d'encre; Bottes Innommables; Dofus Pourpre; Dofus Ivoire; Dofus Ocre; Dofus Vulbis; Dofus Abyssal; Érudit majeur; Rauleur</t>
        </is>
      </c>
    </row>
    <row r="10642">
      <c r="A10642" t="inlineStr">
        <is>
          <t>esq ag</t>
        </is>
      </c>
      <c r="B10642">
        <f>HYPERLINK("https://www.dofusbook.net/fr/equipement/4614593-esq-ag/objets", "link")</f>
        <v/>
      </c>
      <c r="C10642" t="n">
        <v>0</v>
      </c>
      <c r="D10642" t="inlineStr">
        <is>
          <t>Lance corrompue; Amulette du Kamasterisk; Anneau des égarés; Alliance Gloursonne; Cadran d'Air; Sangle Oriole; Chapeau de Tournoyé; Cape du Kamasterisk; Bottes du Kamasterisk; Dofus Abyssal; Dolmanax; Dofus Vulbis; Dofus Ocre; Dofus Pourpre; Dofus Ivoire; Chienchien Tigré</t>
        </is>
      </c>
    </row>
    <row r="10643">
      <c r="A10643" t="inlineStr">
        <is>
          <t>feu</t>
        </is>
      </c>
      <c r="B10643">
        <f>HYPERLINK("https://www.dofusbook.net/fr/equipement/4588707-feu/objets", "link")</f>
        <v/>
      </c>
      <c r="C10643" t="n">
        <v>0</v>
      </c>
      <c r="D10643" t="inlineStr">
        <is>
          <t>Baguette de Malléfisk; Amulette Séculaire; Anneauræus; Anneauræus; Droiture de Fallanster; Ceinture Séculaire; Casque Dragoeuf; Bravoure de Rykke Errel; Bottes d'Otomaï; Dofus Ivoire; Dofus Vulbis; Dofus Émeraude; Dofus Ocre; Remueur; Érudit majeur; Dragodinde Dorée et Orchidée</t>
        </is>
      </c>
    </row>
    <row r="10644">
      <c r="A10644" t="inlineStr">
        <is>
          <t>crit</t>
        </is>
      </c>
      <c r="B10644">
        <f>HYPERLINK("https://www.dofusbook.net/fr/equipement/4588631-crit/objets", "link")</f>
        <v/>
      </c>
      <c r="C10644" t="n">
        <v>3</v>
      </c>
      <c r="D10644" t="inlineStr">
        <is>
          <t>L'Épée Nice; Amulette du Strigide; Alliance Gloursonne; Bracelet du Piloztère; Quatre-feuilles; Ceintacé; Casque Dragoeuf; Cape de Jahash Jurgen; Bottes du Strigide; Dofus Ocre; Dofus Pourpre; Dofus Abyssal; Dofus Turquoise; Dofus Ivoire; Vigoureux majeur; Chacha Angora</t>
        </is>
      </c>
    </row>
    <row r="10645">
      <c r="A10645" t="inlineStr">
        <is>
          <t>dopou 2.0</t>
        </is>
      </c>
      <c r="B10645">
        <f>HYPERLINK("https://www.dofusbook.net/fr/equipement/4580648-dopou-2-0/objets", "link")</f>
        <v/>
      </c>
      <c r="C10645" t="n">
        <v>3</v>
      </c>
      <c r="D10645" t="inlineStr">
        <is>
          <t>Hachoirs de Viandargh; Amibou; Bague Trithon; Bague Instable; Bouclier précieux; Ceinture Gence; Casque Dragoeuf; Capibou; Bottes du Cul Botté; Dofus Abyssal; Dofus Ivoire; Remueur; Bousculeur majeur; Culbuteur majeur; Balafreux</t>
        </is>
      </c>
    </row>
    <row r="10646">
      <c r="A10646" t="inlineStr">
        <is>
          <t>feupoures</t>
        </is>
      </c>
      <c r="B10646">
        <f>HYPERLINK("https://www.dofusbook.net/fr/equipement/4580568-feupoures/objets", "link")</f>
        <v/>
      </c>
      <c r="C10646" t="n">
        <v>0</v>
      </c>
      <c r="D10646" t="inlineStr">
        <is>
          <t>Plumeau Bil; Torquistik; Anneauræus; Anneau Toriété; Bouclier Taverne; Audace de Dodge; Casque Dragoeuf; Cape Paztek; Bottistik; Dofus Ocre; Dofus Ivoire; Dofus Pourpre; Érudit majeur; Culbuteur majeur; Remueur; Scarakiri</t>
        </is>
      </c>
    </row>
    <row r="10647">
      <c r="A10647" t="inlineStr">
        <is>
          <t>12/6</t>
        </is>
      </c>
      <c r="B10647">
        <f>HYPERLINK("https://www.dofusbook.net/fr/equipement/4440487-12-6/objets", "link")</f>
        <v/>
      </c>
      <c r="C10647" t="n">
        <v>1</v>
      </c>
      <c r="D10647" t="inlineStr">
        <is>
          <t>L'Épée Nice; Amulette du Strigide; Bague Gloursonne; Anneau Chevelu; Bouclier Taverne; Ceinture du Strigide; Bonnet Ko; Cape de Jahash Jurgen; Pompes Funèbres; Dofus Turquoise; Dofus Ocre; Dofus Pourpre; Remueur; Vigoureux majeur; Nomade; Chacha Angora</t>
        </is>
      </c>
    </row>
    <row r="10648">
      <c r="A10648" t="inlineStr">
        <is>
          <t>agi 2.49</t>
        </is>
      </c>
      <c r="B10648">
        <f>HYPERLINK("https://www.dofusbook.net/fr/equipement/4467448-agi-2-49/objets", "link")</f>
        <v/>
      </c>
      <c r="C10648" t="n">
        <v>0</v>
      </c>
      <c r="D10648" t="inlineStr">
        <is>
          <t>Plume de Buhorado; Collier du Valet Veinard; Gant du Valet Veinard; Anneau des égarés; Bouclier du Stalak; Menoture; Couronne d'Allister; Cape Martegel; Palmes Trithons; Dofus Ocre; Dofus Pourpre; Dofus Ivoire; Dofus Abyssal; Dofus Ébène; Cascadeur majeur; Blérodoudou</t>
        </is>
      </c>
    </row>
    <row r="10649">
      <c r="A10649" t="inlineStr">
        <is>
          <t>eautiste</t>
        </is>
      </c>
      <c r="B10649">
        <f>HYPERLINK("https://www.dofusbook.net/fr/equipement/4440023-eautiste/objets", "link")</f>
        <v/>
      </c>
      <c r="C10649" t="n">
        <v>19</v>
      </c>
      <c r="D10649" t="inlineStr">
        <is>
          <t>Rapière aux Glyphes; Amulette de Shokkoth; Anneau Volkorne; Alliance Gloursonne; Bouclier du Stalak; Sangle Ouare; Kidibonnet; Chevelure de Tal Kasha; Sandales de Tal Kasha; Dofus Turquoise; Dofus Ocre; Dofus Pourpre; Dofus Ivoire; Chanceux majeur; Vigoureux majeur; Pioute bleu</t>
        </is>
      </c>
    </row>
    <row r="10650">
      <c r="A10650" t="inlineStr">
        <is>
          <t>pvm farm</t>
        </is>
      </c>
      <c r="B10650">
        <f>HYPERLINK("https://www.dofusbook.net/fr/equipement/4438627-pvm-farm/objets", "link")</f>
        <v/>
      </c>
      <c r="C10650" t="n">
        <v>2</v>
      </c>
      <c r="D10650" t="inlineStr">
        <is>
          <t>Bâton Beau; Amulette Volkorne; Anneau Volkorne; Alliance du Lévitrof; Quatre-feuilles; Ceinture Volkorne; Coiffe du Lévitrof; Cape de Jahash Jurgen; Bottes du Lévitrof; Dofus Pourpre; Dofus des Glaces; Dofus Turquoise; Dolmanax; Dofus Ocre; Puissant majeur; Pioute rose</t>
        </is>
      </c>
    </row>
    <row r="10651">
      <c r="A10651" t="inlineStr">
        <is>
          <t>leg</t>
        </is>
      </c>
      <c r="B10651">
        <f>HYPERLINK("https://www.dofusbook.net/fr/equipement/4415143-leg/objets", "link")</f>
        <v/>
      </c>
      <c r="C10651" t="n">
        <v>1</v>
      </c>
      <c r="D10651" t="inlineStr">
        <is>
          <t>Couteaux Sacrificiels; Amulette Volkorne; Alliance Gloursonne; Anneau Volkorne; Bouclier alvéolé; Ceinture de Dame Jhessica; Couronne de Brâm Barbe-Monde; Bravoure de Rykke Errel; Pataugastrique; Dofus Vulbis; Dofus Ivoire; Dofus Pourpre; Dofus Ocre; Dofus Émeraude; Dofus des Glaces; Walk</t>
        </is>
      </c>
    </row>
    <row r="10652">
      <c r="A10652" t="inlineStr">
        <is>
          <t>pvm</t>
        </is>
      </c>
      <c r="B10652">
        <f>HYPERLINK("https://www.dofusbook.net/fr/equipement/4431760-pvm/objets", "link")</f>
        <v/>
      </c>
      <c r="C10652" t="n">
        <v>1</v>
      </c>
      <c r="D10652" t="inlineStr">
        <is>
          <t>Arc Volkorne; Amulette Ementaire Deluxe; Alliance Gloursonne; Anneau Volkorne; Bouclier du Stalak; Ceinture Volkorne; Casque de Missiz Frizz; Voilamibe; Bottes de l'Esprit Salvateur; Dofus Pourpre; Dofus des Glaces; Robuste majeur; Remueur; Vigoureux majeur; Sanguinaire majeur; Fëanor</t>
        </is>
      </c>
    </row>
    <row r="10653">
      <c r="A10653" t="inlineStr">
        <is>
          <t>tank test</t>
        </is>
      </c>
      <c r="B10653">
        <f>HYPERLINK("https://www.dofusbook.net/fr/equipement/4386546-tank-test/objets", "link")</f>
        <v/>
      </c>
      <c r="C10653" t="n">
        <v>0</v>
      </c>
      <c r="D10653" t="inlineStr">
        <is>
          <t>Arc Hétype; Pendentif affamé; Anneau Toriété; Anneau Tique; Droiture de Fallanster; Ceinture de Vortex; Heaume Oplate; Bravoure de Rykke Errel; Chaussures Ardentes; Dofus Abyssal; Dofus Ivoire; Dofus Ocre; Dofus Ébène; Miraculé majeur; Érudit majeur; Dragodinde Prune et Orchidée</t>
        </is>
      </c>
    </row>
    <row r="10654">
      <c r="A10654" t="inlineStr">
        <is>
          <t>agi</t>
        </is>
      </c>
      <c r="B10654">
        <f>HYPERLINK("https://www.dofusbook.net/fr/equipement/4379420-agi-/objets", "link")</f>
        <v/>
      </c>
      <c r="C10654" t="n">
        <v>0</v>
      </c>
      <c r="D10654" t="inlineStr">
        <is>
          <t>Plume de Buhorado; Collier du Valet Veinard; Alliance Gloursonne; Gant du Valet Veinard; Bouclier du Stalak; Menoture; Couronne d'Allister; Cape Martegel; Palmes Trithons; Dofus Ébène; Dofus Pourpre; Dofus Ocre; Dofus Ivoire; Cascadeur majeur; Vigoureux majeur; Blérodoudou</t>
        </is>
      </c>
    </row>
    <row r="10655">
      <c r="A10655" t="inlineStr">
        <is>
          <t>zboom</t>
        </is>
      </c>
      <c r="B10655">
        <f>HYPERLINK("https://www.dofusbook.net/fr/equipement/4281035-zboom/objets", "link")</f>
        <v/>
      </c>
      <c r="C10655" t="n">
        <v>0</v>
      </c>
      <c r="D10655" t="inlineStr">
        <is>
          <t>Crocobur; Amulette du Strigide; Anneau Chevelu; Bague Trithon; Bouclier du Captain Amakna; Ceinture du Strigide; Masque Trithon; Cape au Logis; Bottes Trithon; Dofus Turquoise; Dofus Pourpre; Dofus Ocre; Dofus Ivoire; Dofus des Glaces; Dofus Ébène; Kokulte</t>
        </is>
      </c>
    </row>
    <row r="10656">
      <c r="A10656" t="inlineStr">
        <is>
          <t>t2 ah</t>
        </is>
      </c>
      <c r="B10656">
        <f>HYPERLINK("https://www.dofusbook.net/fr/equipement/4217826-t2-ah/objets", "link")</f>
        <v/>
      </c>
      <c r="C10656" t="n">
        <v>3</v>
      </c>
      <c r="D10656" t="inlineStr">
        <is>
          <t>Epée Loponèze; Amulette du Strigide; Bague Gloursonne; Alliance Gloursonne; Bouclier du Stalak; Ceinture de l'Esprit Salvateur; Diadème de Ganymède; Cape de Jahash Jurgen; Bottes du Strigide; Dofus Turquoise; Dofus Ébène; Dofus Vulbis; Dofus Pourpre; Dofus Ocre; Robuste majeur; Chacha Angora</t>
        </is>
      </c>
    </row>
    <row r="10657">
      <c r="A10657" t="inlineStr">
        <is>
          <t>t4 m</t>
        </is>
      </c>
      <c r="B10657">
        <f>HYPERLINK("https://www.dofusbook.net/fr/equipement/4217808-t4-m/objets", "link")</f>
        <v/>
      </c>
      <c r="C10657" t="n">
        <v>0</v>
      </c>
      <c r="D10657" t="inlineStr">
        <is>
          <t>Marteau R'ture; Amulette du Cœur Saignant; Anneau Crustique; Anneau Chevelu; Bouclier du Captain Amakna; Ceinture Volkorne; Diadème de Ganymède; Cape au Logis; Bottes du Cœur Saignant; Dofus Turquoise; Dofus Ocre; Dofus Pourpre; Dofus Ivoire; Enragé majeur; Vigoureux majeur; Dragodinde en armure</t>
        </is>
      </c>
    </row>
    <row r="10658">
      <c r="A10658" t="inlineStr">
        <is>
          <t>multi</t>
        </is>
      </c>
      <c r="B10658">
        <f>HYPERLINK("https://www.dofusbook.net/fr/equipement/4207358-multi/objets", "link")</f>
        <v/>
      </c>
      <c r="C10658" t="n">
        <v>0</v>
      </c>
      <c r="D10658" t="inlineStr">
        <is>
          <t>Couteaux Sacrificiels; Amulette Ementaire Deluxe; Bague Gloursonne; Alliance Gloursonne; Bouclier d'Ilyzaelle; Ceinture de l'Esprit Salvateur; Casque de Missiz Frizz; Voile d'encre; Bottes Honyme; Dofus des Glaces; Dofus Pourpre; Sanguinaire majeur; Nomade; Vigoureux majeur; Robuste majeur; Fëanor</t>
        </is>
      </c>
    </row>
    <row r="10659">
      <c r="A10659" t="inlineStr">
        <is>
          <t>crit</t>
        </is>
      </c>
      <c r="B10659">
        <f>HYPERLINK("https://www.dofusbook.net/fr/equipement/4188768-crit/objets", "link")</f>
        <v/>
      </c>
      <c r="C10659" t="n">
        <v>1</v>
      </c>
      <c r="D10659" t="inlineStr">
        <is>
          <t>Hache du Chalœil; Amulette Volkorne; Alliance du Lévitrof; Anneau Volkorne; Quatre-feuilles; Ceinture Volkorne; Coiffe du Lévitrof; Voile d'encre; Bottes du Lévitrof; Dofus Pourpre; Dofus des Glaces; Dofus Turquoise; Dofus Ivoire; Dofus Ocre; Kokulte</t>
        </is>
      </c>
    </row>
    <row r="10660">
      <c r="A10660" t="inlineStr">
        <is>
          <t>ret</t>
        </is>
      </c>
      <c r="B10660">
        <f>HYPERLINK("https://www.dofusbook.net/fr/equipement/4105050-ret/objets", "link")</f>
        <v/>
      </c>
      <c r="C10660" t="n">
        <v>1</v>
      </c>
      <c r="D10660" t="inlineStr">
        <is>
          <t>Rouleau à Pâtisserie d'Aermyne; Collier Rophante; Anneau Crustique; Anneau Crustique; Sept ans de malheur; Ceinture de Vortex; Coiffe d'Aermyne; Cape Matelassée; Chaussures Ardentes; Dofus Émeraude; Dofus Ocre; Dofus Abyssal; Dofus Ivoire; Paralyseur majeur; Étourdisseur majeur; Drakopin</t>
        </is>
      </c>
    </row>
    <row r="10661">
      <c r="A10661" t="inlineStr">
        <is>
          <t>taper bi</t>
        </is>
      </c>
      <c r="B10661">
        <f>HYPERLINK("https://www.dofusbook.net/fr/equipement/4096622-taper-bi/objets", "link")</f>
        <v/>
      </c>
      <c r="C10661" t="n">
        <v>2</v>
      </c>
      <c r="D10661" t="inlineStr">
        <is>
          <t>Épée Brûlâme; Amulette Volkorne; Alliance Gloursonne; Anneau Volkorne; Bouclier du Captain Amakna; Ceintacé; Casque Volkorne; Cape de la Dame du Hasard; Bottes de la Dame du Hasard; Dolmanax; Dofus Ocre; Dofus Turquoise; Dofus des Glaces; Dofus Abyssal; Dofus Pourpre; Kokulte</t>
        </is>
      </c>
    </row>
    <row r="10662">
      <c r="A10662" t="inlineStr">
        <is>
          <t>nul</t>
        </is>
      </c>
      <c r="B10662">
        <f>HYPERLINK("https://www.dofusbook.net/fr/equipement/4096559-nul/objets", "link")</f>
        <v/>
      </c>
      <c r="C10662" t="n">
        <v>0</v>
      </c>
      <c r="D10662" t="inlineStr">
        <is>
          <t>Lav'Hache; Torquistik; Bague Trithon; Bague Instable; Bouclier Taverne; Ceinture Gence; Casque Dragoeuf; Cape au Logis; Bottistik; Dofus Pourpre; Dofus Ocre; Culbuteur majeur; Carapace Terre majeur; Enragé majeur; Bousculeur majeur; Black Tiwabbit</t>
        </is>
      </c>
    </row>
    <row r="10663">
      <c r="A10663" t="inlineStr">
        <is>
          <t>rip res</t>
        </is>
      </c>
      <c r="B10663">
        <f>HYPERLINK("https://www.dofusbook.net/fr/equipement/4089947-rip-res/objets", "link")</f>
        <v/>
      </c>
      <c r="C10663" t="n">
        <v>3</v>
      </c>
      <c r="D10663" t="inlineStr">
        <is>
          <t>Dagues Cacterre; Amulette Volkorne; Bague Trithon; Anneau Volkorne; Bouclier du Captain Amakna; Ceintacé; Masque Trithon; Cape de la Dame du Hasard; Bottes de la Dame du Hasard; Dofus Turquoise; Dofus Vulbis; Dofus Ocre; Dofus Ivoire; Dofus Pourpre; Dofus des Glaces; Kokulte</t>
        </is>
      </c>
    </row>
    <row r="10664">
      <c r="A10664" t="inlineStr">
        <is>
          <t>mdr</t>
        </is>
      </c>
      <c r="B10664">
        <f>HYPERLINK("https://www.dofusbook.net/fr/equipement/4080121-mdr/objets", "link")</f>
        <v/>
      </c>
      <c r="C10664" t="n">
        <v>2</v>
      </c>
      <c r="D10664" t="inlineStr">
        <is>
          <t>Baguette de Malléfisk; Amulette Volkorne; Anneauræus; Anneauræus; Sept ans de malheur; Ceinture de Vortex; Masque Ardent; Cape Ardente; Pataugastrique; Dofus Ocre; Dofus Ivoire; Guérisseur majeur; Nomade; Érudit majeur; Étourdisseur majeur; Bouftor</t>
        </is>
      </c>
    </row>
    <row r="10665">
      <c r="A10665" t="inlineStr">
        <is>
          <t>chance sout</t>
        </is>
      </c>
      <c r="B10665">
        <f>HYPERLINK("https://www.dofusbook.net/fr/equipement/4073617-chance-sout/objets", "link")</f>
        <v/>
      </c>
      <c r="C10665" t="n">
        <v>1</v>
      </c>
      <c r="D10665" t="inlineStr">
        <is>
          <t>Rapière aux Glyphes; Amulette de Shokkoth; Alliance Gloursonne; Anneau Volkorne; Bouclier du Stalak; Ceinture de la Reine des Voleurs; Kidibonnet; Cape de l'Œil Attentif; Bottes de la Reine des Voleurs; Dofus Ocre; Dofus Vulbis; Dofus des Glaces; Dofus Pourpre; Dévastateur Eau majeur; Chanceux majeur; Kanigloups</t>
        </is>
      </c>
    </row>
    <row r="10666">
      <c r="A10666" t="inlineStr">
        <is>
          <t>destin</t>
        </is>
      </c>
      <c r="B10666">
        <f>HYPERLINK("https://www.dofusbook.net/fr/equipement/4066875-destin/objets", "link")</f>
        <v/>
      </c>
      <c r="C10666" t="n">
        <v>0</v>
      </c>
      <c r="D10666" t="inlineStr">
        <is>
          <t>Arc du Chalœil; Amulette du Strigide; Bague Trithon; Anneau Chevelu; Bouclier Taverne; Ceinture Gence; Casque Dragoeuf; Cape au Logis; Bottes Trithon; Dofus Ocre; Dofus Abyssal; Dofus Pourpre; Dofus Ivoire; Enragé majeur; Culbuteur majeur; Black Tiwabbit</t>
        </is>
      </c>
    </row>
    <row r="10667">
      <c r="A10667" t="inlineStr">
        <is>
          <t>tank</t>
        </is>
      </c>
      <c r="B10667">
        <f>HYPERLINK("https://www.dofusbook.net/fr/equipement/4066851-tank/objets", "link")</f>
        <v/>
      </c>
      <c r="C10667" t="n">
        <v>3</v>
      </c>
      <c r="D10667" t="inlineStr">
        <is>
          <t>Manthache; Collier Rophante; Anneau Tique; Gant du Valet Veinard; Bouclier Bontarien; Menoture; Dorabysses; Cape Indescriptible; Palmes Trithons; Dofus Émeraude; Dofus Ivoire; Cascadeur majeur; Remueur; Miraculé majeur; Titard</t>
        </is>
      </c>
    </row>
    <row r="10668">
      <c r="A10668" t="inlineStr">
        <is>
          <t>terre</t>
        </is>
      </c>
      <c r="B10668">
        <f>HYPERLINK("https://www.dofusbook.net/fr/equipement/4048959-terre/objets", "link")</f>
        <v/>
      </c>
      <c r="C10668" t="n">
        <v>1</v>
      </c>
      <c r="D10668" t="inlineStr">
        <is>
          <t>Bêche Asse; Amulette du Strigide; Anneau Crustique; Anneau Chevelu; Bouclier du Captain Amakna; Ceinture du Strigide; Masque de Funespadon; Cape au Logis; Bottes du Cœur Saignant; Dofus Turquoise; Dofus des Glaces; Dofus Ocre; Dofus Pourpre; Enragé majeur; Remueur; Kokulte</t>
        </is>
      </c>
    </row>
    <row r="10669">
      <c r="A10669" t="inlineStr">
        <is>
          <t>crit bi</t>
        </is>
      </c>
      <c r="B10669">
        <f>HYPERLINK("https://www.dofusbook.net/fr/equipement/4048908-crit-bi/objets", "link")</f>
        <v/>
      </c>
      <c r="C10669" t="n">
        <v>1</v>
      </c>
      <c r="D10669" t="inlineStr">
        <is>
          <t>Arc Nécrotique; Amulette Volkorne; Bague Trithon; Anneau Volkorne; Quatre-feuilles; Ceintacé; Masque Trithon; Cape de la Dame du Hasard; Bottes de la Dame du Hasard; Dofus Ocre; Dofus Ivoire; Dofus Pourpre; Dofus des Glaces; Dofus Turquoise; Dofus Vulbis; Kokulte</t>
        </is>
      </c>
    </row>
    <row r="10670">
      <c r="A10670" t="inlineStr">
        <is>
          <t>new terre eau</t>
        </is>
      </c>
      <c r="B10670">
        <f>HYPERLINK("https://www.dofusbook.net/fr/equipement/3438050-new-terre-eau/objets", "link")</f>
        <v/>
      </c>
      <c r="C10670" t="n">
        <v>4</v>
      </c>
      <c r="D10670" t="inlineStr">
        <is>
          <t>Dagues de Srambad; Amulette Luminescente; Anneau en Grithril; Goulano; Goulclier; Ceinture Luminescente; Casque en Grithril; Cape Luminescente; Goulbottes; Dofus Vulbis; Dofus des Glaces; Dofus Pourpre; Dofus Ocre; Examinateur; Robuste majeur; Dragodinde en armure</t>
        </is>
      </c>
    </row>
    <row r="10671">
      <c r="A10671" t="inlineStr">
        <is>
          <t>tyranul</t>
        </is>
      </c>
      <c r="B10671">
        <f>HYPERLINK("https://www.dofusbook.net/fr/equipement/3982457-tyranul/objets", "link")</f>
        <v/>
      </c>
      <c r="C10671" t="n">
        <v>3</v>
      </c>
      <c r="D10671" t="inlineStr">
        <is>
          <t>Marteau Phossile; Amulette Martegel; Bague Gloursonne; Alliance Gloursonne; Bouclier du Stalak; Ceinture de l'Esprit Salvateur; Masquegel; Cape Martegel; Bottes de l'Esprit Salvateur; Dofus Vulbis; Dofus Ocre; Dolmanax; Dofus des Glaces; Dofus Pourpre; Robuste majeur; Willy le Relou</t>
        </is>
      </c>
    </row>
    <row r="10672">
      <c r="A10672" t="inlineStr">
        <is>
          <t>taper</t>
        </is>
      </c>
      <c r="B10672">
        <f>HYPERLINK("https://www.dofusbook.net/fr/equipement/3967570-taper/objets", "link")</f>
        <v/>
      </c>
      <c r="C10672" t="n">
        <v>4</v>
      </c>
      <c r="D10672" t="inlineStr">
        <is>
          <t>Hache du Chalœil; Amulette Volkorne; Anneau Volkorne; Alliance du Lévitrof; Quatre-feuilles; Ceinture Volkorne; Coiffe du Lévitrof; Voile d'encre; Bottes du Lévitrof; Dolmanax; Dofus Ocre; Dofus Pourpre; Dofus des Glaces; Dofus Turquoise; Dofus Ivoire; Sakochère</t>
        </is>
      </c>
    </row>
    <row r="10673">
      <c r="A10673" t="inlineStr">
        <is>
          <t>test</t>
        </is>
      </c>
      <c r="B10673">
        <f>HYPERLINK("https://www.dofusbook.net/fr/equipement/3935931-test/objets", "link")</f>
        <v/>
      </c>
      <c r="C10673" t="n">
        <v>0</v>
      </c>
      <c r="D10673" t="inlineStr">
        <is>
          <t>Arc corrompu; Amulette Volkorne; Anneauræus; Anneauræus; Sept ans de malheur; Ceinture Séculaire; Coiffe Séculaire; Voile d'encre; Bottes Honyme; Remueur; Dévastateur Feu majeur; Guérisseur majeur; Étourdisseur majeur; Nomade; Érudit majeur; Bisouglours</t>
        </is>
      </c>
    </row>
    <row r="10674">
      <c r="A10674" t="inlineStr">
        <is>
          <t>eau ret nul</t>
        </is>
      </c>
      <c r="B10674">
        <f>HYPERLINK("https://www.dofusbook.net/fr/equipement/3924537-eau-ret-nul/objets", "link")</f>
        <v/>
      </c>
      <c r="C10674" t="n">
        <v>5</v>
      </c>
      <c r="D10674" t="inlineStr">
        <is>
          <t>Dagoulinantes; Amulette Voldelor; Alliance Gloursonne; Anneau Toriété; Cadran de Terre; Ceinture du Barbétoal; Masque du Barbétoal; Chevelure de Tal Kasha; Pataugastrique; Dofus Ivoire; Dofus Pourpre; Dofus Ocre; Chanceux majeur; Étourdisseur majeur; Carapace Air majeur; Minimino</t>
        </is>
      </c>
    </row>
    <row r="10675">
      <c r="A10675" t="inlineStr">
        <is>
          <t>intel ret pauvre mae</t>
        </is>
      </c>
      <c r="B10675">
        <f>HYPERLINK("https://www.dofusbook.net/fr/equipement/3924443-intel-ret-pauvre-mae/objets", "link")</f>
        <v/>
      </c>
      <c r="C10675" t="n">
        <v>2</v>
      </c>
      <c r="D10675" t="inlineStr">
        <is>
          <t>Arc corrompu; Pendentif affamé; Anneau Toriété; Anneauræus; Sept ans de malheur; Ceinture de Vortex; Cagoule de Vortex; Voile d'encre; Pataugastrique; Dofus Abyssal; Dofus Pourpre; Érudit majeur; Étourdisseur majeur; Remueur; Bisouglours</t>
        </is>
      </c>
    </row>
    <row r="10676">
      <c r="A10676" t="inlineStr">
        <is>
          <t>2.48</t>
        </is>
      </c>
      <c r="B10676">
        <f>HYPERLINK("https://www.dofusbook.net/fr/equipement/3882591-2-48/objets", "link")</f>
        <v/>
      </c>
      <c r="C10676" t="n">
        <v>0</v>
      </c>
      <c r="D10676" t="inlineStr">
        <is>
          <t>Manthache; Collier du Valet Veinard; Alliance Gloursonne; Gant du Valet Veinard; Bouclier du Stalak; Menoture; Dorabysses; Cape du Kamasterisk; Palmes Trithons; Equilibriste majeur; Nomade; Cascadeur majeur; Remueur; Acrobate majeur; Fonceur majeur; Blérodoudou</t>
        </is>
      </c>
    </row>
    <row r="10677">
      <c r="A10677" t="inlineStr">
        <is>
          <t>eau 2.48</t>
        </is>
      </c>
      <c r="B10677">
        <f>HYPERLINK("https://www.dofusbook.net/fr/equipement/3876174-eau-2-48/objets", "link")</f>
        <v/>
      </c>
      <c r="C10677" t="n">
        <v>0</v>
      </c>
      <c r="D10677" t="inlineStr">
        <is>
          <t>Rapière aux Glyphes; Amulette Luminescente; Anneau Volkorne; Alliance Gloursonne; Bouclier Taverne; Ceinture Luminescente; Masque des Fonds marins; Cape Solution; Pantoufles du Piloztère; Dofus Ocre; Dofus des Glaces; Dofus Pourpre; Dévastateur Eau majeur; Chanceux majeur; Nomade; Écumouth</t>
        </is>
      </c>
    </row>
    <row r="10678">
      <c r="A10678" t="inlineStr">
        <is>
          <t>agi 2.48</t>
        </is>
      </c>
      <c r="B10678">
        <f>HYPERLINK("https://www.dofusbook.net/fr/equipement/3857309-agi-2-48/objets", "link")</f>
        <v/>
      </c>
      <c r="C10678" t="n">
        <v>0</v>
      </c>
      <c r="D10678" t="inlineStr">
        <is>
          <t>Manthache; Collier du Valet Veinard; Alliance Gloursonne; Gant du Valet Veinard; Bouclier du Stalak; Menoture; Couronne d'Allister; Cape Martegel; Palmes Trithons; Dofus des Glaces; Dofus Vulbis; Dofus Ocre; Dofus Pourpre; Dévastateur Air majeur; Cascadeur majeur; Blérodoudou</t>
        </is>
      </c>
    </row>
    <row r="10679">
      <c r="A10679" t="inlineStr">
        <is>
          <t>air 2.48</t>
        </is>
      </c>
      <c r="B10679">
        <f>HYPERLINK("https://www.dofusbook.net/fr/equipement/3825083-air-2-48/objets", "link")</f>
        <v/>
      </c>
      <c r="C10679" t="n">
        <v>0</v>
      </c>
      <c r="D10679" t="inlineStr">
        <is>
          <t>Manthache; Collier du Valet Veinard; Alliance Gloursonne; Gant du Valet Veinard; Bouclier du Stalak; Menoture; Couronne d'Allister; Cape Martegel; Palmes Trithons; Dofus Ocre; Dofus Pourpre; Dofus des Glaces; Dofus Vulbis; Dévastateur Air majeur; Cascadeur majeur; Blérodoudou</t>
        </is>
      </c>
    </row>
    <row r="10680">
      <c r="A10680" t="inlineStr">
        <is>
          <t>agi 2.48</t>
        </is>
      </c>
      <c r="B10680">
        <f>HYPERLINK("https://www.dofusbook.net/fr/equipement/3849957-agi-2-48/objets", "link")</f>
        <v/>
      </c>
      <c r="C10680" t="n">
        <v>2</v>
      </c>
      <c r="D10680" t="inlineStr">
        <is>
          <t>Manthache; Collier du Valet Veinard; Gant du Valet Veinard; Alliance Gloursonne; Bouclier Bontarien; Menoture; Couronne d'Allister; Cape Martegel; Palmes Trithons; Dofus des Glaces; Dofus Émeraude; Dofus Pourpre; Remueur; Cascadeur majeur; Nomade; Blérodoudou</t>
        </is>
      </c>
    </row>
    <row r="10681">
      <c r="A10681" t="inlineStr">
        <is>
          <t>test 12</t>
        </is>
      </c>
      <c r="B10681">
        <f>HYPERLINK("https://www.dofusbook.net/fr/equipement/3847450-test-12/objets", "link")</f>
        <v/>
      </c>
      <c r="C10681" t="n">
        <v>0</v>
      </c>
      <c r="D10681" t="inlineStr">
        <is>
          <t>Epée Toche; Amulette Volkorne; Anneau Chevelu; Bague Gloursonne; Bouclier Taverne; Ceinture Volkorne; Casque de Missiz Frizz; Voile d'encre; Bottes du Cycloïde; Dofus Turquoise; Dofus Ocre; Dofus Pourpre; Remueur; Vigoureux majeur; Nomade; Sakochère</t>
        </is>
      </c>
    </row>
    <row r="10682">
      <c r="A10682" t="inlineStr">
        <is>
          <t>pvm 2.48</t>
        </is>
      </c>
      <c r="B10682">
        <f>HYPERLINK("https://www.dofusbook.net/fr/equipement/3825467-pvm-2-48/objets", "link")</f>
        <v/>
      </c>
      <c r="C10682" t="n">
        <v>2</v>
      </c>
      <c r="D10682" t="inlineStr">
        <is>
          <t>Pelle Dorado; Amulette Luminescente; Pikano; Anneau de la Fuji Givrefoux; Bouclier cubiste; Ceinture Glaciale; Kidibonnet; Cape de Léthaline; Pikottes; Dofus Cawotte; Dévastateur Eau majeur; Remueur; Entraveur majeur; Temporiseur majeur; Chanceux majeur; Gwo Tofu Ventripotent</t>
        </is>
      </c>
    </row>
    <row r="10683">
      <c r="A10683" t="inlineStr">
        <is>
          <t>2.48 air</t>
        </is>
      </c>
      <c r="B10683">
        <f>HYPERLINK("https://www.dofusbook.net/fr/equipement/3825358-2-48-air/objets", "link")</f>
        <v/>
      </c>
      <c r="C10683" t="n">
        <v>0</v>
      </c>
      <c r="D10683" t="inlineStr">
        <is>
          <t>Manthache; Collier du Valet Veinard; Alliance Gloursonne; Gant du Valet Veinard; Bouclier du Stalak; Menoture; Casque Volkorne; Cape Martegel; Palmes Trithons; Dofus Ocre; Dofus Ivoire; Dofus Émeraude; Étourdisseur majeur; Cascadeur majeur; Nomade; Dragoune Rose</t>
        </is>
      </c>
    </row>
    <row r="10684">
      <c r="A10684" t="inlineStr">
        <is>
          <t>bi 2.48</t>
        </is>
      </c>
      <c r="B10684">
        <f>HYPERLINK("https://www.dofusbook.net/fr/equipement/3825261-bi-2-48/objets", "link")</f>
        <v/>
      </c>
      <c r="C10684" t="n">
        <v>1</v>
      </c>
      <c r="D10684" t="inlineStr">
        <is>
          <t>Bâtonnet Ronien; Amulette Ementaire Deluxe; Anneau Volkorne; Alliance Gloursonne; Bouclier du Stalak; Ceinture Voldelor; Casque Volkorne; Cape Matelassée; Chaussures Face; Dofus Pourpre; Vigoureux majeur; Remueur; Miraculé majeur; Étourdisseur majeur; Nomade; Minimino</t>
        </is>
      </c>
    </row>
    <row r="10685">
      <c r="A10685" t="inlineStr">
        <is>
          <t>test</t>
        </is>
      </c>
      <c r="B10685">
        <f>HYPERLINK("https://www.dofusbook.net/fr/equipement/3824910-test/objets", "link")</f>
        <v/>
      </c>
      <c r="C10685" t="n">
        <v>0</v>
      </c>
      <c r="D10685" t="inlineStr">
        <is>
          <t>Marteau Phossile; Amulette Volkorne; Anneau Tique; Alliance Gloursonne; Bouclier d'Ilyzaelle; Ceinture de Vortex; Casque Volkorne; Cape Hiculteur; Pantoufles Émar; Dofus des Glaces; Dofus Pourpre; Dofus Ocre; Sanguinaire majeur; Nomade; Vigoureux majeur; Willy le Relou</t>
        </is>
      </c>
    </row>
    <row r="10686">
      <c r="A10686" t="inlineStr">
        <is>
          <t>bi taper</t>
        </is>
      </c>
      <c r="B10686">
        <f>HYPERLINK("https://www.dofusbook.net/fr/equipement/3811704-bi-taper/objets", "link")</f>
        <v/>
      </c>
      <c r="C10686" t="n">
        <v>0</v>
      </c>
      <c r="D10686" t="inlineStr">
        <is>
          <t>Pyraguette; Amulette Volkorne; Anneau de Pol Ouatnos; Anneau Volkorne; Bouclier du Stalak; Ceinture de l'Esprit Salvateur; Masque de l'Esprit Salvateur; Voile d'encre; Bottes Owesli; Dofus des Glaces; Dofus Ivoire; Dofus Ocre; Dofus Pourpre; Féroce majeur; Robuste majeur; Fëanor</t>
        </is>
      </c>
    </row>
    <row r="10687">
      <c r="A10687" t="inlineStr">
        <is>
          <t>multi</t>
        </is>
      </c>
      <c r="B10687">
        <f>HYPERLINK("https://www.dofusbook.net/fr/equipement/3811538-multi/objets", "link")</f>
        <v/>
      </c>
      <c r="C10687" t="n">
        <v>1</v>
      </c>
      <c r="D10687" t="inlineStr">
        <is>
          <t>Dagues Érhy; Amulette du Strigide; Anneau Chevelu; Baguistik; Bouclier Taverne; Ceinture du Strigide; Casque de Missiz Frizz; Voile d'encre; Pompes Funèbres; Dofus Ocre; Dofus Pourpre; Dofus Turquoise; Vigoureux majeur; Remueur; Nomade; Fëanor</t>
        </is>
      </c>
    </row>
    <row r="10688">
      <c r="A10688" t="inlineStr">
        <is>
          <t>agi new</t>
        </is>
      </c>
      <c r="B10688">
        <f>HYPERLINK("https://www.dofusbook.net/fr/equipement/3603975-agi-new/objets", "link")</f>
        <v/>
      </c>
      <c r="C10688" t="n">
        <v>1</v>
      </c>
      <c r="D10688" t="inlineStr">
        <is>
          <t>L'Épée Nice; Collier du Valet Veinard; Alliance Gloursonne; Gant du Valet Veinard; Bouclier d'Ilyzaelle; Menoture; Couronne d'Allister; Cape Indescriptible; Palmes Trithons; Dofus Émeraude; Dofus Ocre; Dofus Pourpre; Cascadeur majeur; Dévastateur Air majeur; Carapace Air majeur; Blérodoudou</t>
        </is>
      </c>
    </row>
    <row r="10689">
      <c r="A10689" t="inlineStr">
        <is>
          <t>Stuff 3</t>
        </is>
      </c>
      <c r="B10689">
        <f>HYPERLINK("https://www.dofusbook.net/fr/equipement/288475-stuff-3/objets", "link")</f>
        <v/>
      </c>
      <c r="C10689" t="n">
        <v>1</v>
      </c>
      <c r="D10689" t="inlineStr">
        <is>
          <t>Épée du Granduk; Amulette du Granduk; Anneau d'Allister; Alliance Gloursonne; Bouclier du Stalak; Ceinture Rasboulaire du Rasboul; Dorabysses; Cape Matelassée; Pantoufles Émar; Vigoureux majeur; Nomade; Dévastateur Air majeur; Remueur; Acrobate majeur; Cascadeur majeur; Muldo Ebène et Indigo</t>
        </is>
      </c>
    </row>
    <row r="10690">
      <c r="A10690" t="inlineStr">
        <is>
          <t>euh</t>
        </is>
      </c>
      <c r="B10690">
        <f>HYPERLINK("https://www.dofusbook.net/fr/equipement/3614239-euh/objets", "link")</f>
        <v/>
      </c>
      <c r="C10690" t="n">
        <v>2</v>
      </c>
      <c r="D10690" t="inlineStr">
        <is>
          <t>Bâtonnet Ronien; Amulette Ementaire Deluxe; Alliance Gloursonne; Alliance Brûlâme; Bouclier du Stalak; Ceinture de l'Esprit Salvateur; Casque de Missiz Frizz; Voilamibe; Bottes de l'Esprit Salvateur; Dofus des Glaces; Dofus Pourpre; Dofus Ocre; Remueur; Robuste majeur; Vigoureux majeur; Dragodinde en armure</t>
        </is>
      </c>
    </row>
    <row r="10691">
      <c r="A10691" t="inlineStr">
        <is>
          <t>taper nouveau</t>
        </is>
      </c>
      <c r="B10691">
        <f>HYPERLINK("https://www.dofusbook.net/fr/equipement/3579280-taper-nouveau/objets", "link")</f>
        <v/>
      </c>
      <c r="C10691" t="n">
        <v>0</v>
      </c>
      <c r="D10691" t="inlineStr">
        <is>
          <t>Hache du Chalœil; Amulette Volkorne; Alliance du Lévitrof; Anneau Volkorne; Quatre-feuilles; Ceinture Volkorne; Coiffe du Lévitrof; Voile d'encre; Bottes du Lévitrof; Dofus Abyssal; Dofus Pourpre; Dofus Ivoire; Dofus Ocre; Dofus Turquoise; Dofus des Glaces; Dragodinde en armure</t>
        </is>
      </c>
    </row>
    <row r="10692">
      <c r="A10692" t="inlineStr">
        <is>
          <t>bi-</t>
        </is>
      </c>
      <c r="B10692">
        <f>HYPERLINK("https://www.dofusbook.net/fr/equipement/3567343-bi-/objets", "link")</f>
        <v/>
      </c>
      <c r="C10692" t="n">
        <v>0</v>
      </c>
      <c r="D10692" t="inlineStr">
        <is>
          <t>Dagues de Srambad; Amulette du Nocturlabe; Annolamour; Bracelet du Piloztère; Bouclier d'Ilyzaelle; Ceinture de la Reine des Voleurs; Coiffe de la Reine des Voleurs; Voilamibe; Bottes du Nocturlabe; Dofus Pourpre; Dofus Ocre; Dofus des Glaces; Robuste majeur; Féroce majeur; Volkorne Rubis et Améthyste</t>
        </is>
      </c>
    </row>
    <row r="10693">
      <c r="A10693" t="inlineStr">
        <is>
          <t>ancien bi</t>
        </is>
      </c>
      <c r="B10693">
        <f>HYPERLINK("https://www.dofusbook.net/fr/equipement/3438306-ancien-bi/objets", "link")</f>
        <v/>
      </c>
      <c r="C10693" t="n">
        <v>3</v>
      </c>
      <c r="D10693" t="inlineStr">
        <is>
          <t>Arc Honte; Amulette de l'Œil Putride; Bague Gloursonne; Alliance Gloursonne; Bouclier du Stalak; Ceinture de l'Esprit Salvateur; Masque de l'Esprit Salvateur; Cape de l'Œil Putride; Bottes de l'Esprit Salvateur; Dofus Ocre; Dofus Vulbis; Dofus des Glaces; Dofus Pourpre; Robuste majeur; Féroce majeur; Dragodinde en armure</t>
        </is>
      </c>
    </row>
    <row r="10694">
      <c r="A10694" t="inlineStr">
        <is>
          <t>soutien</t>
        </is>
      </c>
      <c r="B10694">
        <f>HYPERLINK("https://www.dofusbook.net/fr/equipement/3416356-soutien/objets", "link")</f>
        <v/>
      </c>
      <c r="C10694" t="n">
        <v>2</v>
      </c>
      <c r="D10694" t="inlineStr">
        <is>
          <t>Baguette de Malléfisk; Amulette d'Otomaï; Anneau de Nidas; Anneau Tique; Cadran de Feu; Ceinture de Vortex; Couronne de Nidas; Cape de Diondin; Bottes Dogues; Observateur; Guérisseur majeur; Savant majeur; Fonceur majeur; Érudit majeur; Remueur; Muldo Orchidée et Pourpre</t>
        </is>
      </c>
    </row>
    <row r="10695">
      <c r="A10695" t="inlineStr">
        <is>
          <t>new</t>
        </is>
      </c>
      <c r="B10695">
        <f>HYPERLINK("https://www.dofusbook.net/fr/equipement/3368253-new/objets", "link")</f>
        <v/>
      </c>
      <c r="C10695" t="n">
        <v>0</v>
      </c>
      <c r="D10695" t="inlineStr">
        <is>
          <t>Arc Honte; Amulette de l'Œil Putride; Bague Gloursonne; Alliance Gloursonne; Bouclier du Stalak; Ceinture de l'Esprit Salvateur; Masque de l'Esprit Salvateur; Cape de l'Œil Putride; Bottes de l'Esprit Salvateur; Dofus Vulbis; Dofus Ocre; Dolmanax; Dofus des Glaces; Dofus Pourpre; Féroce majeur; Dragodinde en armure</t>
        </is>
      </c>
    </row>
    <row r="10696">
      <c r="A10696" t="inlineStr">
        <is>
          <t>bi-2</t>
        </is>
      </c>
      <c r="B10696">
        <f>HYPERLINK("https://www.dofusbook.net/fr/equipement/3222870-bi-2/objets", "link")</f>
        <v/>
      </c>
      <c r="C10696" t="n">
        <v>4</v>
      </c>
      <c r="D10696" t="inlineStr">
        <is>
          <t>Pyraguette; Talisman Igans; Alliance Gloursonne; Alliance du Lévitrof; Bouclier du Stalak; Ceintrigue; Masque de l'Esprit Salvateur; Voilamibe; Bottes Honyme; Dofus Pourpre; Dofus des Glaces; Robuste majeur; Vigoureux majeur; Sanguinaire majeur; Remueur; Dragodinde en armure</t>
        </is>
      </c>
    </row>
    <row r="10697">
      <c r="A10697" t="inlineStr">
        <is>
          <t>bi-1</t>
        </is>
      </c>
      <c r="B10697">
        <f>HYPERLINK("https://www.dofusbook.net/fr/equipement/2691862-bi-1/objets", "link")</f>
        <v/>
      </c>
      <c r="C10697" t="n">
        <v>0</v>
      </c>
      <c r="D10697" t="inlineStr">
        <is>
          <t>Manthache; Amulette d'Ilyzaelle; Alliance Gloursonne; Anneau Tique; Bouclier du Stalak; Menoture; Casque d'Ilyzaelle; Voilamibe; Chaussures Face; Dofus Émeraude; Dofus Pourpre; Robuste majeur; Remueur; Étourdisseur majeur; Vigoureux majeur; Dragodinde en armure</t>
        </is>
      </c>
    </row>
    <row r="10698">
      <c r="A10698" t="inlineStr">
        <is>
          <t>taper</t>
        </is>
      </c>
      <c r="B10698">
        <f>HYPERLINK("https://www.dofusbook.net/fr/equipement/2681003-taper/objets", "link")</f>
        <v/>
      </c>
      <c r="C10698" t="n">
        <v>0</v>
      </c>
      <c r="D10698" t="inlineStr">
        <is>
          <t>Epée Gloursonne; Amulette de l'Indicible; Bague Gloursonne; Alliance Gloursonne; Bouclier du Stalak; Ceinture de la Reine des Voleurs; Coiffe de la Reine des Voleurs; Voilamibe; Bottes de l'Indicible; Dolmanax; Dofus Pourpre; Dofus Ocre; Dofus des Glaces; Robuste majeur; Féroce majeur; Dragodinde en armure</t>
        </is>
      </c>
    </row>
    <row r="10699">
      <c r="A10699" t="inlineStr">
        <is>
          <t>boum</t>
        </is>
      </c>
      <c r="B10699">
        <f>HYPERLINK("https://www.dofusbook.net/fr/equipement/2245036-boum/objets", "link")</f>
        <v/>
      </c>
      <c r="C10699" t="n">
        <v>1</v>
      </c>
      <c r="D10699" t="inlineStr">
        <is>
          <t>Pyraguette; Amulette Ementaire Deluxe; Bague Gloursonne; Alliance Gloursonne; Bouclier du Stalak; Ceinture de l'Esprit Salvateur; Masque de l'Esprit Salvateur; Voilamibe; Bottes de l'Esprit Salvateur; Dolmanax; Dofus Ocre; Dofus Émeraude; Dofus des Glaces; Dofus Pourpre; Robuste majeur; Dragodinde en armure</t>
        </is>
      </c>
    </row>
    <row r="10700">
      <c r="A10700" t="inlineStr">
        <is>
          <t>recrit</t>
        </is>
      </c>
      <c r="B10700">
        <f>HYPERLINK("https://www.dofusbook.net/fr/equipement/2143643-recrit/objets", "link")</f>
        <v/>
      </c>
      <c r="C10700" t="n">
        <v>0</v>
      </c>
      <c r="D10700" t="inlineStr">
        <is>
          <t>Dagues Érhy; Torquistik; Goulano; Baguistik; Goulclier; Ceinture de Kongoku; Masque Brûlâme; Cape de Kongoku; Bottistik; Dofus des Glaces; Dofus Pourpre; Dofus Émeraude; Dofus Ocre; Dolmanax; Dofus Abyssal; Muldo Ebène</t>
        </is>
      </c>
    </row>
    <row r="10701">
      <c r="A10701" t="inlineStr">
        <is>
          <t>rien</t>
        </is>
      </c>
      <c r="B10701">
        <f>HYPERLINK("https://www.dofusbook.net/fr/equipement/1374532-rien/objets", "link")</f>
        <v/>
      </c>
      <c r="C10701" t="n">
        <v>0</v>
      </c>
      <c r="D10701" t="inlineStr">
        <is>
          <t>Epée Gloursonne; Amulette du Strigide; Bague Gloursonne; Alliance Gloursonne; Bouclier d'Anerice; Ceinture du Strigide; Masque d'Anerice; Cape d'Anerice; Bottes du Strigide; Dofus Pourpre; Dofus Turquoise; Dolmanax; Dofus Émeraude; Dofus des Glaces; Examinateur; Muldo Roux et Indigo</t>
        </is>
      </c>
    </row>
    <row r="10702">
      <c r="A10702" t="inlineStr">
        <is>
          <t>Stuff 2</t>
        </is>
      </c>
      <c r="B10702">
        <f>HYPERLINK("https://www.dofusbook.net/fr/equipement/288464-stuff-2/objets", "link")</f>
        <v/>
      </c>
      <c r="C10702" t="n">
        <v>0</v>
      </c>
      <c r="D10702" t="inlineStr">
        <is>
          <t>Marteau Phossile; Amulette Ementaire Deluxe; Alliance Gloursonne; Bague Gloursonne; Ougature; Chapignon; Voile d'encre; Baleinabottes; Dofus Pourpre; Nomade; Robuste majeur; Remueur; Temporiseur majeur; Vigoureux majeur; Dragodinde en armure</t>
        </is>
      </c>
    </row>
    <row r="10703">
      <c r="A10703" t="inlineStr">
        <is>
          <t>Stuff 1</t>
        </is>
      </c>
      <c r="B10703">
        <f>HYPERLINK("https://www.dofusbook.net/fr/equipement/288473-stuff-1/objets", "link")</f>
        <v/>
      </c>
      <c r="C10703" t="n">
        <v>0</v>
      </c>
      <c r="D10703" t="inlineStr">
        <is>
          <t>Manthache; Collier du Valet Veinard; Alliance Gloursonne; Gant du Valet Veinard; Bouclier du Stalak; Ceinture du Barbétoal; Dorabysses; Cape Matelassée; Baleinabottes; Dolmanax; Remueur; Equilibriste majeur; Cascadeur majeur; Cascadeur; Acrobate majeur; Muldo Ebène</t>
        </is>
      </c>
    </row>
    <row r="10704">
      <c r="A10704" t="inlineStr">
        <is>
          <t>Stuff 3</t>
        </is>
      </c>
      <c r="B10704">
        <f>HYPERLINK("https://www.dofusbook.net/fr/equipement/288465-stuff-3/objets", "link")</f>
        <v/>
      </c>
      <c r="C10704" t="n">
        <v>0</v>
      </c>
      <c r="D10704" t="inlineStr">
        <is>
          <t>Hache du Chalœil; Amulette Ementaire Deluxe; Alliance du Lévitrof; Alliance Gloursonne; Bouclier du Stalak; Ougature; Coiffe du Lévitrof; Voilamibe; Baleinabottes; Dofus des Glaces; Dofus Pourpre; Vigoureux majeur; Robuste majeur; Remueur; Temporiseur majeur; Dragodinde en armure</t>
        </is>
      </c>
    </row>
    <row r="10705">
      <c r="A10705" t="inlineStr">
        <is>
          <t>Stuff 2</t>
        </is>
      </c>
      <c r="B10705">
        <f>HYPERLINK("https://www.dofusbook.net/fr/equipement/288474-stuff-2/objets", "link")</f>
        <v/>
      </c>
      <c r="C10705" t="n">
        <v>0</v>
      </c>
      <c r="D10705" t="inlineStr">
        <is>
          <t>Manthache; Collier du Valet Veinard; Gant du Valet Veinard; Alliance Gloursonne; Bouclier du Stalak; Menoture; Capuche de Moum-Ra; Cape Indescriptible; Palmes Trithons; Dofus Pourpre; Dolmanax; Equilibriste majeur; Cascadeur majeur; Vigoureux majeur; Remueur; Muldo Ebène</t>
        </is>
      </c>
    </row>
    <row r="10706">
      <c r="A10706" t="inlineStr">
        <is>
          <t>Torke strigide</t>
        </is>
      </c>
      <c r="B10706">
        <f>HYPERLINK("https://www.dofusbook.net/fr/equipement/5888688-torke-strigide/objets", "link")</f>
        <v/>
      </c>
      <c r="C10706" t="n">
        <v>7</v>
      </c>
      <c r="D10706" t="inlineStr">
        <is>
          <t>Baguette de Torkélonia; Amulette du Strigide; Bracelet du Piloztère; Anneau de Padgref; Bouclier du Captain Amakna; Ceinture du Strigide; Corne de Torkélonia; Carapace de Torkélonia; Bottes du Strigide; Dofus Émeraude; Dofus Turquoise; Dolmanax; Dofus des Glaces; Dofus Pourpre; Dofus Ocre; Kokulte</t>
        </is>
      </c>
    </row>
    <row r="10707">
      <c r="A10707" t="inlineStr">
        <is>
          <t>Actuel</t>
        </is>
      </c>
      <c r="B10707">
        <f>HYPERLINK("https://www.dofusbook.net/fr/equipement/661297-actuel/objets", "link")</f>
        <v/>
      </c>
      <c r="C10707" t="n">
        <v>3</v>
      </c>
      <c r="D10707" t="inlineStr">
        <is>
          <t>Marteau des égarés; Amulette du Strigide; Alliance Gloursonne; Anneau du Professeur Xa; Bouclier d'Asse; Ceintacé; Coiffe d'Ogivol; Voile d'encre; Bottes du Strigide; Dofus Pourpre; Dofus Turquoise; Nomade; Vigoureux majeur; Remueur; Puissant majeur; Kramkram</t>
        </is>
      </c>
    </row>
    <row r="10708">
      <c r="A10708" t="inlineStr">
        <is>
          <t>100 CC</t>
        </is>
      </c>
      <c r="B10708">
        <f>HYPERLINK("https://www.dofusbook.net/fr/equipement/4176995-100-cc/objets", "link")</f>
        <v/>
      </c>
      <c r="C10708" t="n">
        <v>8</v>
      </c>
      <c r="D10708" t="inlineStr">
        <is>
          <t>Hache Téroïde; Amulette du Strigide; Bague Gloursonne; Alliance Brûlâme; Bouclier du Captain Amakna; Ceinture du Strigide; Masque Brûlâme; Cape au Logis; Pompes Funèbres; Dofus des Glaces; Dolmanax; Dofus Ocre; Dofus Turquoise; Dofus Émeraude; Dofus Pourpre; Kokulte</t>
        </is>
      </c>
    </row>
    <row r="10709">
      <c r="A10709" t="inlineStr">
        <is>
          <t>Terre/Air/FeuHeqache</t>
        </is>
      </c>
      <c r="B10709">
        <f>HYPERLINK("https://www.dofusbook.net/fr/equipement/661310-terre-air-feuheqache/objets", "link")</f>
        <v/>
      </c>
      <c r="C10709" t="n">
        <v>3</v>
      </c>
      <c r="D10709" t="inlineStr">
        <is>
          <t>Héqache; Amulette du Kamasterisk; Anneau de Padgref; Bracelet du Piloztère; Bouclier du Captain Amakna; Ceintacé; Casque de Missiz Frizz; Cape du Kamasterisk; Bottes du Cycloïde; Dolmanax; Dofus Turquoise; Dofus Pourpre; Nomade; Observateur; Remueur; Muldo Prune et Doré</t>
        </is>
      </c>
    </row>
    <row r="10710">
      <c r="A10710" t="inlineStr">
        <is>
          <t>Full eau tank/boubou</t>
        </is>
      </c>
      <c r="B10710">
        <f>HYPERLINK("https://www.dofusbook.net/fr/equipement/2909540-full-eau-tank-boubou/objets", "link")</f>
        <v/>
      </c>
      <c r="C10710" t="n">
        <v>5</v>
      </c>
      <c r="D10710" t="inlineStr">
        <is>
          <t>Sceptre du Roi Joueur; Amulette de Shokkoth; Alliance Gloursonne; Bracelet des Fonds marins; Bouclier d'Ilyzaelle; Ceinture du Barbétoal; Masque des Fonds marins; Cape Solution; Bottes du Sinistrofu; Dofus Pourpre; Dofus Émeraude; Chanceux majeur; Nomade; Remueur; Vigoureux majeur; Bwak d'Eau</t>
        </is>
      </c>
    </row>
    <row r="10711">
      <c r="A10711" t="inlineStr">
        <is>
          <t>Eau/air 1/2 baguette</t>
        </is>
      </c>
      <c r="B10711">
        <f>HYPERLINK("https://www.dofusbook.net/fr/equipement/5821850-eau-air-1-2-baguette/objets", "link")</f>
        <v/>
      </c>
      <c r="C10711" t="n">
        <v>0</v>
      </c>
      <c r="D10711" t="inlineStr">
        <is>
          <t>Baguette du Dragoeuf; Amulette de l'Œil Putride; Anneau du Korriandre; Anneau Volkorne; Quatre-feuilles; Ceinture Instable; Casque Volkorne; Cape Matelassée; Bottes Voldelor; Dolmanax; Dofus Turquoise; Dévastateur Air majeur; Nomade; Remueur; Miraculé majeur; Kokulte</t>
        </is>
      </c>
    </row>
    <row r="10712">
      <c r="A10712" t="inlineStr">
        <is>
          <t>Tourmenteur tenebre</t>
        </is>
      </c>
      <c r="B10712">
        <f>HYPERLINK("https://www.dofusbook.net/fr/equipement/5819054-tourmenteur-tenebre/objets", "link")</f>
        <v/>
      </c>
      <c r="C10712" t="n">
        <v>3</v>
      </c>
      <c r="D10712" t="inlineStr">
        <is>
          <t>Amulette du Strigide; Bracelet du Piloztère; Anneau de Padgref; Quatre-feuilles; Ceinture du Strigide; Coiffe de Padgref; Cape de la Dame du Hasard; Getas de Padgref; Dofus Turquoise; Dofus des Glaces; Dofus Ocre; Dofus Abyssal; Voyageur; Turbulent; Kokulte</t>
        </is>
      </c>
    </row>
    <row r="10713">
      <c r="A10713" t="inlineStr">
        <is>
          <t>1sur2 CC Cra eau</t>
        </is>
      </c>
      <c r="B10713">
        <f>HYPERLINK("https://www.dofusbook.net/fr/equipement/4257547-1sur2-cc-cra-eau/objets", "link")</f>
        <v/>
      </c>
      <c r="C10713" t="n">
        <v>4</v>
      </c>
      <c r="D10713" t="inlineStr">
        <is>
          <t>Bagdette Café; Amulette du Sinistrofu; Anneau Volkorne; Bracelet des Fonds marins; Quatre-feuilles; Ceinture Instable; Casque Volkorne; Cape Solution; Bottes Voldelor; Dofus Turquoise; Dofus Ébène; Dolmanax; Nomade; Remueur; Miraculé majeur; Kokulte</t>
        </is>
      </c>
    </row>
    <row r="10714">
      <c r="A10714" t="inlineStr">
        <is>
          <t>voleurs</t>
        </is>
      </c>
      <c r="B10714">
        <f>HYPERLINK("https://www.dofusbook.net/fr/equipement/2939410-voleurs/objets", "link")</f>
        <v/>
      </c>
      <c r="C10714" t="n">
        <v>7</v>
      </c>
      <c r="D10714" t="inlineStr">
        <is>
          <t>Épée de la Reine des Voleurs; Amulette Ementaire Deluxe; Bague Gloursonne; Alliance Gloursonne; Bouclier du Captain Amakna; Ceinture de la Reine des Voleurs; Coiffe de la Reine des Voleurs; Cape des Justiciers; Bottes de la Reine des Voleurs; Dofus des Glaces; Dolmanax; Dofus Pourpre; Dofus Émeraude; Féroce majeur; Saccageur Air majeur; Kramkram</t>
        </is>
      </c>
    </row>
    <row r="10715">
      <c r="A10715" t="inlineStr">
        <is>
          <t>Joy-stick</t>
        </is>
      </c>
      <c r="B10715">
        <f>HYPERLINK("https://www.dofusbook.net/fr/equipement/1872605-joy-stick/objets", "link")</f>
        <v/>
      </c>
      <c r="C10715" t="n">
        <v>2</v>
      </c>
      <c r="D10715" t="inlineStr">
        <is>
          <t>Sabres d'Atcham; Amulette du Strigide; Anneau de Padgref; Bracelet du Piloztère; Bouclier du Captain Amakna; Ceinture du Strigide; Coiffe de Padgref; Cape d'Atcham; Getas de Padgref; Dolmanax; Dofus Pourpre; Dofus des Glaces; Dofus Ocre; Dofus Nébuleux; Dofus Turquoise; Muldo Prune et Emeraude</t>
        </is>
      </c>
    </row>
    <row r="10716">
      <c r="A10716" t="inlineStr">
        <is>
          <t>teste</t>
        </is>
      </c>
      <c r="B10716">
        <f>HYPERLINK("https://www.dofusbook.net/fr/equipement/5917139-teste/objets", "link")</f>
        <v/>
      </c>
      <c r="C10716" t="n">
        <v>2</v>
      </c>
      <c r="D10716" t="inlineStr">
        <is>
          <t>Arc Hétype; Amulette de Nileza; Anneau de Nidas; Anneau Tique; Bouclier cubiste; Ceinture de Vortex; Couronne de Nidas; Voile d'encre; Pataugastrique; Dofus Ivoire; Nomade; Savant majeur; Érudit majeur; Remueur; Dévastateur Feu majeur; Brûlih</t>
        </is>
      </c>
    </row>
    <row r="10717">
      <c r="A10717" t="inlineStr">
        <is>
          <t>retrait</t>
        </is>
      </c>
      <c r="B10717">
        <f>HYPERLINK("https://www.dofusbook.net/fr/equipement/3398033-retrait-/objets", "link")</f>
        <v/>
      </c>
      <c r="C10717" t="n">
        <v>6</v>
      </c>
      <c r="D10717" t="inlineStr">
        <is>
          <t>Arc Hétype; Amulette de Nileza; Anneau Tique; Anneau de Nidas; Bouclier cubiste; Ceinture de Kongoku; Couronne de Nidas; Cape de Léthaline; Pantoufles Émar; Dofus Ivoire; Temporiseur majeur; Fonceur majeur; Ralentisseur majeur; Entraveur majeur; Remueur; Brûlih</t>
        </is>
      </c>
    </row>
    <row r="10718">
      <c r="A10718" t="inlineStr">
        <is>
          <t>terre</t>
        </is>
      </c>
      <c r="B10718">
        <f>HYPERLINK("https://www.dofusbook.net/fr/equipement/5612979-terre/objets", "link")</f>
        <v/>
      </c>
      <c r="C10718" t="n">
        <v>2</v>
      </c>
      <c r="D10718" t="inlineStr">
        <is>
          <t>Marteau de Katrepat; Amulette du Strigide; Bracelet du Piloztère; Anneau Chevelu; Bouclier de Choudini; Ceintacé; Masque de Koutoulou; Cape au Logis; Bottes du Strigide; Dofus Ivoire; Vigoureux majeur; Érudit majeur; Remueur; Enragé majeur; Nomade; Chacha Angora</t>
        </is>
      </c>
    </row>
    <row r="10719">
      <c r="A10719" t="inlineStr">
        <is>
          <t>Xélor F 200</t>
        </is>
      </c>
      <c r="B10719">
        <f>HYPERLINK("https://www.dofusbook.net/fr/equipement/5503819-xelor-f-200/objets", "link")</f>
        <v/>
      </c>
      <c r="C10719" t="n">
        <v>3</v>
      </c>
      <c r="D10719" t="inlineStr">
        <is>
          <t>Baguette du Dragoeuf; Amulette Voldelor; Gant du Valet Veinard; Alliance Gloursonne; Bouclier du Stalak; Menoture; Casque Volkorne; Chevelure de Tal Kasha; Sandales de Tal Kasha; Pioute jaune</t>
        </is>
      </c>
    </row>
    <row r="10720">
      <c r="A10720" t="inlineStr">
        <is>
          <t>feu</t>
        </is>
      </c>
      <c r="B10720">
        <f>HYPERLINK("https://www.dofusbook.net/fr/equipement/5642967-feu/objets", "link")</f>
        <v/>
      </c>
      <c r="C10720" t="n">
        <v>0</v>
      </c>
      <c r="D10720" t="inlineStr">
        <is>
          <t>Arc corrompu; Amulette Volkorne; Anneau Tique; Anneau de Nidas; Bouclier du Stalak; Ceinture Volkorne; Masquegel; Voile d'encre; Pataugastrique; Dofus Ivoire; Dofus des Glaces; Nomade; Érudit majeur; Remueur; Dévastateur Feu majeur; Bisouglours</t>
        </is>
      </c>
    </row>
    <row r="10721">
      <c r="A10721" t="inlineStr">
        <is>
          <t>terre feu</t>
        </is>
      </c>
      <c r="B10721">
        <f>HYPERLINK("https://www.dofusbook.net/fr/equipement/5605411-terre-feu/objets", "link")</f>
        <v/>
      </c>
      <c r="C10721" t="n">
        <v>1</v>
      </c>
      <c r="D10721" t="inlineStr">
        <is>
          <t>Hache Téroïde; Amulette Volkorne; Anneau Chevelu; Bague Gloursonne; Bouclier du Stalak; Ceinture Volkorne; Masque de Koutoulou; Voile d'encre; Bottes du Roi Joueur; Dofus Pourpre; Dofus Ivoire; Dofus des Glaces; Dolmanax; Remueur; Nomade; Pioute violet</t>
        </is>
      </c>
    </row>
    <row r="10722">
      <c r="A10722" t="inlineStr">
        <is>
          <t>Stuff 1</t>
        </is>
      </c>
      <c r="B10722">
        <f>HYPERLINK("https://www.dofusbook.net/fr/equipement/79991-stuff-1/objets", "link")</f>
        <v/>
      </c>
      <c r="C10722" t="n">
        <v>10</v>
      </c>
      <c r="D10722" t="inlineStr">
        <is>
          <t>Hache Téroïde; Amulette du Strigide; Anneau Chevelu; Bague Gloursonne; Bouclier d'Ilyzaelle; Ceinture du Strigide; Masque de Koutoulou; Voile d'encre; Bottes de la Cour Sombre; Dofus Pourpre; Dofus Nébuleux; Dofus Turquoise; Remueur; Vigoureux majeur; Nomade; Chacha Angora</t>
        </is>
      </c>
    </row>
    <row r="10723">
      <c r="A10723" t="inlineStr">
        <is>
          <t>feu</t>
        </is>
      </c>
      <c r="B10723">
        <f>HYPERLINK("https://www.dofusbook.net/fr/equipement/5587526-feu/objets", "link")</f>
        <v/>
      </c>
      <c r="C10723" t="n">
        <v>0</v>
      </c>
      <c r="D10723" t="inlineStr">
        <is>
          <t>Arc corrompu; Amulette Volkorne; Anneau de Nidas; Anneau Tique; Bouclier du Stalak; Ceinture Volkorne; Masquegel; Voile d'encre; Pantoufles Émar; Dofus des Glaces; Dofus Ivoire; Nomade; Dévastateur Feu majeur; Érudit majeur; Remueur; Bisouglours</t>
        </is>
      </c>
    </row>
    <row r="10724">
      <c r="A10724" t="inlineStr">
        <is>
          <t>full eau</t>
        </is>
      </c>
      <c r="B10724">
        <f>HYPERLINK("https://www.dofusbook.net/fr/equipement/5547399-full-eau/objets", "link")</f>
        <v/>
      </c>
      <c r="C10724" t="n">
        <v>1</v>
      </c>
      <c r="D10724" t="inlineStr">
        <is>
          <t>Sceptre du Roi Joueur; Amulette de Shokkoth; Alliance Gloursonne; Bracelet des Fonds marins; Bouclier du Stalak; Ceinture Glaciale; Kidibonnet; Cape du Sinistrofu; Bottes du Sinistrofu; Dofus Abyssal; Dofus des Glaces; Dofus Ivoire; Nomade; Chanceux majeur; Remueur; Kanigloups</t>
        </is>
      </c>
    </row>
    <row r="10725">
      <c r="A10725" t="inlineStr">
        <is>
          <t>multi pvp</t>
        </is>
      </c>
      <c r="B10725">
        <f>HYPERLINK("https://www.dofusbook.net/fr/equipement/2841595-multi-pvp/objets", "link")</f>
        <v/>
      </c>
      <c r="C10725" t="n">
        <v>3</v>
      </c>
      <c r="D10725" t="inlineStr">
        <is>
          <t>Lav'Hache; Amulette du Strigide; Anneau Toriété; Alliance Gloursonne; Quatre-feuilles; Ceinture du Strigide; Masque du Barbétoal; Voile d'encre; Bottes Honyme; Dolmanax; Dofus Ocre; Dofus Pourpre; Dofus des Glaces; Dofus Turquoise; Dofus Ivoire; Kokulte</t>
        </is>
      </c>
    </row>
    <row r="10726">
      <c r="A10726" t="inlineStr">
        <is>
          <t>feu</t>
        </is>
      </c>
      <c r="B10726">
        <f>HYPERLINK("https://www.dofusbook.net/fr/equipement/2514562-feu/objets", "link")</f>
        <v/>
      </c>
      <c r="C10726" t="n">
        <v>0</v>
      </c>
      <c r="D10726" t="inlineStr">
        <is>
          <t>Arc corrompu; Amulette Volkorne; Anneau de Nidas; Anneau Tique; Bouclier du Stalak; Ceinture Volkorne; Chapeau de Gein; Voile d'encre; Pataugastrique; Dofus Ivoire; Nomade; Dévastateur Feu majeur; Savant majeur; Remueur; Érudit majeur; Bisouglours</t>
        </is>
      </c>
    </row>
    <row r="10727">
      <c r="A10727" t="inlineStr">
        <is>
          <t>teste</t>
        </is>
      </c>
      <c r="B10727">
        <f>HYPERLINK("https://www.dofusbook.net/fr/equipement/5286712-teste/objets", "link")</f>
        <v/>
      </c>
      <c r="C10727" t="n">
        <v>2</v>
      </c>
      <c r="D10727" t="inlineStr">
        <is>
          <t>Arc Nécrotique; Amulette du Strigide; Alliance Gloursonne; Anneau Tique; Quatre-feuilles; Ceintacé; Casque du Chalœil; Voile d'encre; Bottes du Chalœil; Dofus Turquoise; Dofus Ivoire; Dofus Pourpre; Dofus des Glaces; Remueur; Nomade; Kokulte</t>
        </is>
      </c>
    </row>
    <row r="10728">
      <c r="A10728" t="inlineStr">
        <is>
          <t>eau</t>
        </is>
      </c>
      <c r="B10728">
        <f>HYPERLINK("https://www.dofusbook.net/fr/equipement/5346594-eau/objets", "link")</f>
        <v/>
      </c>
      <c r="C10728" t="n">
        <v>1</v>
      </c>
      <c r="D10728" t="inlineStr">
        <is>
          <t>Baguette Hique; Amulette de l'Indicible; Alliance Gloursonne; Anneau Tique; Bouclier du Stalak; Ceintacé; Chapeau des Malveilleurs; Cape de la Dame du Hasard; Bottes de la Dame du Hasard; Dofus Ivoire; Dofus des Glaces; Dofus Turquoise; Remueur; Nomade; Sanguinaire majeur; Pioute violet</t>
        </is>
      </c>
    </row>
    <row r="10729">
      <c r="A10729" t="inlineStr">
        <is>
          <t>do crit</t>
        </is>
      </c>
      <c r="B10729">
        <f>HYPERLINK("https://www.dofusbook.net/fr/equipement/5254256-do-crit/objets", "link")</f>
        <v/>
      </c>
      <c r="C10729" t="n">
        <v>1</v>
      </c>
      <c r="D10729" t="inlineStr">
        <is>
          <t>Arc Nécrotique; Collier de la Dame du Hasard; Alliance Gloursonne; Sangle Ouare; Cape de la Dame du Hasard; Pataugastrique</t>
        </is>
      </c>
    </row>
    <row r="10730">
      <c r="A10730" t="inlineStr">
        <is>
          <t>Sadida F 200</t>
        </is>
      </c>
      <c r="B10730">
        <f>HYPERLINK("https://www.dofusbook.net/fr/equipement/5340385-sadida-f-200/objets", "link")</f>
        <v/>
      </c>
      <c r="C10730" t="n">
        <v>0</v>
      </c>
      <c r="D10730" t="inlineStr">
        <is>
          <t>Arc Honte; Amulette Volkorne; Anneau Volkorne; Anneau Tique; Bouclier du Stalak; Ceinture Volkorne; Némès de Tal Kasha; Chevelure de Tal Kasha; Sandales de Tal Kasha; Dofus Turquoise; Dofus des Glaces; Dofus Émeraude; Dofus Ocre; Dofus Pourpre; Dofus Ivoire; Chachyène</t>
        </is>
      </c>
    </row>
    <row r="10731">
      <c r="A10731" t="inlineStr">
        <is>
          <t>terre feu</t>
        </is>
      </c>
      <c r="B10731">
        <f>HYPERLINK("https://www.dofusbook.net/fr/equipement/5334552-terre-feu/objets", "link")</f>
        <v/>
      </c>
      <c r="C10731" t="n">
        <v>2</v>
      </c>
      <c r="D10731" t="inlineStr">
        <is>
          <t>Hache Téroïde; Amulette de Gein; Anneau Chevelu; Bague Gloursonne; Bouclier du Stalak; Ceinture de Gein; Masque de Koutoulou; Voile d'encre; Bottes de la Cour Sombre; Dofus Ivoire; Dofus Turquoise; Dofus des Glaces; Dofus Pourpre</t>
        </is>
      </c>
    </row>
    <row r="10732">
      <c r="A10732" t="inlineStr">
        <is>
          <t>air cac</t>
        </is>
      </c>
      <c r="B10732">
        <f>HYPERLINK("https://www.dofusbook.net/fr/equipement/5295951-air-cac/objets", "link")</f>
        <v/>
      </c>
      <c r="C10732" t="n">
        <v>1</v>
      </c>
      <c r="D10732" t="inlineStr">
        <is>
          <t>Hachoirs de Viandargh; Collier du Valet Veinard; Gant du Valet Veinard; Alliance Gloursonne; Menoture; Dorabysses; Cape de Crânonier; Palmes Trithons</t>
        </is>
      </c>
    </row>
    <row r="10733">
      <c r="A10733" t="inlineStr">
        <is>
          <t>air</t>
        </is>
      </c>
      <c r="B10733">
        <f>HYPERLINK("https://www.dofusbook.net/fr/equipement/2890149-air/objets", "link")</f>
        <v/>
      </c>
      <c r="C10733" t="n">
        <v>8</v>
      </c>
      <c r="D10733" t="inlineStr">
        <is>
          <t>Lance Horselé; Collier Rophante; Gant du Valet Veinard; Alliance Gloursonne; Bouclier du Stalak; Sangle Oriole; Couronne d'Allister; Cape de Crânonier; Baleinabottes; Dofus Ivoire; Dofus des Glaces; Cascadeur majeur; Dévastateur Air majeur; Nomade; Remueur; Blérodoudou</t>
        </is>
      </c>
    </row>
    <row r="10734">
      <c r="A10734" t="inlineStr">
        <is>
          <t>air 2</t>
        </is>
      </c>
      <c r="B10734">
        <f>HYPERLINK("https://www.dofusbook.net/fr/equipement/80084-air-2-/objets", "link")</f>
        <v/>
      </c>
      <c r="C10734" t="n">
        <v>9</v>
      </c>
      <c r="D10734" t="inlineStr">
        <is>
          <t>Manthache; Collier Rophante; Gant du Valet Veinard; Alliance Gloursonne; Bouclier du Stalak; Menoture; Cape du Valet Veinard; Palmes Trithons; Dofus Ivoire; Dofus des Glaces; Dofus Ébène; Nomade; Cascadeur majeur; Remueur; Blérodoudou</t>
        </is>
      </c>
    </row>
    <row r="10735">
      <c r="A10735" t="inlineStr">
        <is>
          <t>teste</t>
        </is>
      </c>
      <c r="B10735">
        <f>HYPERLINK("https://www.dofusbook.net/fr/equipement/5282555-teste/objets", "link")</f>
        <v/>
      </c>
      <c r="C10735" t="n">
        <v>0</v>
      </c>
      <c r="D10735" t="inlineStr">
        <is>
          <t>Arc du Chalœil; Amulette de Gein; Bague Gloursonne; Anneau Chevelu; Quatre-feuilles; Ceinture de Gein; Coiffe de la Reine des Voleurs; Cape du Cœur Saignant; Baleinabottes; Dofus des Glaces; Dofus Turquoise; Dofus Ivoire; Remueur; Nomade; Enragé majeur; Pioute vert</t>
        </is>
      </c>
    </row>
    <row r="10736">
      <c r="A10736" t="inlineStr">
        <is>
          <t>feu eau do crit</t>
        </is>
      </c>
      <c r="B10736">
        <f>HYPERLINK("https://www.dofusbook.net/fr/equipement/5247210-feu-eau-do-crit/objets", "link")</f>
        <v/>
      </c>
      <c r="C10736" t="n">
        <v>2</v>
      </c>
      <c r="D10736" t="inlineStr">
        <is>
          <t>Arc Nécrotique; Collier de la Dame du Hasard; Anneau Tique; Alliance Gloursonne; Quatre-feuilles; Ceinture de Vortex; Masque Trithon; Cape de la Dame du Hasard; Pataugastrique; Dofus Turquoise; Dofus Ivoire; Dofus Pourpre; Dofus des Glaces; Remueur; Nomade; Kokulte</t>
        </is>
      </c>
    </row>
    <row r="10737">
      <c r="A10737" t="inlineStr">
        <is>
          <t>CC crocobur</t>
        </is>
      </c>
      <c r="B10737">
        <f>HYPERLINK("https://www.dofusbook.net/fr/equipement/5224940-cc-crocobur/objets", "link")</f>
        <v/>
      </c>
      <c r="C10737" t="n">
        <v>0</v>
      </c>
      <c r="D10737" t="inlineStr">
        <is>
          <t>Crocobur; Amulette du Strigide; Anneau Chevelu; Bague Gloursonne; Bouclier d'Ilyzaelle; Ceinture du Strigide; Masque de Koutoulou; Voile d'encre; Bottes de la Cour Sombre; Dofus Ivoire; Dofus Pourpre; Dofus des Glaces; Dofus Turquoise; Nomade; Remueur; Kokulte</t>
        </is>
      </c>
    </row>
    <row r="10738">
      <c r="A10738" t="inlineStr">
        <is>
          <t>teste salva</t>
        </is>
      </c>
      <c r="B10738">
        <f>HYPERLINK("https://www.dofusbook.net/fr/equipement/5222791-teste-salva/objets", "link")</f>
        <v/>
      </c>
      <c r="C10738" t="n">
        <v>0</v>
      </c>
      <c r="D10738" t="inlineStr">
        <is>
          <t>Dagues Érhy; Amulette de l'Œil Putride; Alliance Gloursonne; Anneau Chevelu; Bouclier du Stalak; Ceinture de l'Esprit Salvateur; Kidibonnet; Voile d'encre; Bottes de l'Esprit Salvateur; Dofus Pourpre; Dofus Ivoire; Dofus des Glaces; Sanguinaire majeur; Remueur; Nomade; Pioute violet</t>
        </is>
      </c>
    </row>
    <row r="10739">
      <c r="A10739" t="inlineStr">
        <is>
          <t>air tacle</t>
        </is>
      </c>
      <c r="B10739">
        <f>HYPERLINK("https://www.dofusbook.net/fr/equipement/5145472-air-tacle/objets", "link")</f>
        <v/>
      </c>
      <c r="C10739" t="n">
        <v>0</v>
      </c>
      <c r="D10739" t="inlineStr">
        <is>
          <t>Manthache; Collier Rophante; Alliance Gloursonne; Gant du Valet Veinard; Sept ans de malheur; Menoture; Dorabysses; Cape du Valet Veinard; Palmes Trithons; Dofus Émeraude; Dofus Ivoire; Obstructeur majeur; Cascadeur majeur; Remueur; Bloqueur majeur; Dragodinde Amande et Ebène</t>
        </is>
      </c>
    </row>
    <row r="10740">
      <c r="A10740" t="inlineStr">
        <is>
          <t>feu</t>
        </is>
      </c>
      <c r="B10740">
        <f>HYPERLINK("https://www.dofusbook.net/fr/equipement/5099432-feu-/objets", "link")</f>
        <v/>
      </c>
      <c r="C10740" t="n">
        <v>2</v>
      </c>
      <c r="D10740" t="inlineStr">
        <is>
          <t>Arc corrompu; Amulette de Nileza; Anneau de Nidas; Anneau Tique; Bouclier du Stalak; Ceinture de Vortex; Cagoule de Vortex; Voile d'encre; Pataugastrique; Dofus Ivoire; Remueur; Érudit majeur; Nomade; Dévastateur Feu majeur; Étourdisseur majeur; Bisouglours</t>
        </is>
      </c>
    </row>
    <row r="10741">
      <c r="A10741" t="inlineStr">
        <is>
          <t>teste do crit</t>
        </is>
      </c>
      <c r="B10741">
        <f>HYPERLINK("https://www.dofusbook.net/fr/equipement/5097994-teste-do-crit/objets", "link")</f>
        <v/>
      </c>
      <c r="C10741" t="n">
        <v>0</v>
      </c>
      <c r="D10741" t="inlineStr"/>
    </row>
    <row r="10742">
      <c r="A10742" t="inlineStr">
        <is>
          <t>teste terre</t>
        </is>
      </c>
      <c r="B10742">
        <f>HYPERLINK("https://www.dofusbook.net/fr/equipement/5087697-teste-terre/objets", "link")</f>
        <v/>
      </c>
      <c r="C10742" t="n">
        <v>2</v>
      </c>
      <c r="D10742" t="inlineStr">
        <is>
          <t>Arc du Chalœil; Collier de Tourthon; Anneau Chevelu; Bague Gloursonne; Quatre-feuilles; Ceinture de la Reine des Voleurs; Coiffe de la Reine des Voleurs; Cape au Logis; Baleinabottes; Dofus Ébène; Dofus Ivoire; Dofus Turquoise; Nomade; Enragé majeur; Remueur; Bulbisou</t>
        </is>
      </c>
    </row>
    <row r="10743">
      <c r="A10743" t="inlineStr">
        <is>
          <t>terre air</t>
        </is>
      </c>
      <c r="B10743">
        <f>HYPERLINK("https://www.dofusbook.net/fr/equipement/2804656-terre-air/objets", "link")</f>
        <v/>
      </c>
      <c r="C10743" t="n">
        <v>4</v>
      </c>
      <c r="D10743" t="inlineStr">
        <is>
          <t>Héqache; Amulette du Strigide; Anneau Chevelu; Anneau Crustique; Bouclier d'Ilyzaelle; Ceintouse; Masque de Koutoulou; Cape du Kamasterisk; Bottes du Strigide; Dofus des Glaces; Dofus Ivoire; Dofus Pourpre; Dofus Turquoise; Remueur; Nomade; Mékrabe</t>
        </is>
      </c>
    </row>
    <row r="10744">
      <c r="A10744" t="inlineStr">
        <is>
          <t>Stuff 2</t>
        </is>
      </c>
      <c r="B10744">
        <f>HYPERLINK("https://www.dofusbook.net/fr/equipement/1441069-stuff-2/objets", "link")</f>
        <v/>
      </c>
      <c r="C10744" t="n">
        <v>0</v>
      </c>
      <c r="D10744" t="inlineStr">
        <is>
          <t>Az'tech; Amulette de l'Indicible; Anneau Crustique; Alliance Gloursonne; Bouclier alvéolé; Menoture; Chapoulpe; Voile d'encre; Tentassons; Dofus Ivoire; Enragé majeur; Remueur; Étourdisseur majeur; Nomade; Cascadeur majeur; Drakopin</t>
        </is>
      </c>
    </row>
    <row r="10745">
      <c r="A10745" t="inlineStr">
        <is>
          <t>feu ret PM</t>
        </is>
      </c>
      <c r="B10745">
        <f>HYPERLINK("https://www.dofusbook.net/fr/equipement/2576496-feu-ret-pm/objets", "link")</f>
        <v/>
      </c>
      <c r="C10745" t="n">
        <v>1</v>
      </c>
      <c r="D10745" t="inlineStr">
        <is>
          <t>Arc Hétype; Amulette de Nileza; Bague Gloursonne; Anneau de Nidas; Bouclier cubiste; Ceinture de Vortex; Couronne de Nidas; Voile d'encre; Pantoufles Émar; Dofus Ivoire; Dofus Ébène; Temporiseur majeur; Fonceur majeur; Érudit majeur; Remueur; Muldo Indigo et Amande</t>
        </is>
      </c>
    </row>
    <row r="10746">
      <c r="A10746" t="inlineStr">
        <is>
          <t>feu</t>
        </is>
      </c>
      <c r="B10746">
        <f>HYPERLINK("https://www.dofusbook.net/fr/equipement/2101199-feu/objets", "link")</f>
        <v/>
      </c>
      <c r="C10746" t="n">
        <v>3</v>
      </c>
      <c r="D10746" t="inlineStr">
        <is>
          <t>Arc corrompu; Amulette de Nileza; Anneau de Nidas; Anneau Tique; Quatre-feuilles; Ceinture de Vortex; Couronne de Nidas; Voile d'encre; Pantoufles Émar; Dofus Turquoise; Dofus Ébène; Dofus Ivoire; Remueur; Nomade; Érudit majeur; Bisouglours</t>
        </is>
      </c>
    </row>
    <row r="10747">
      <c r="A10747" t="inlineStr">
        <is>
          <t>terre</t>
        </is>
      </c>
      <c r="B10747">
        <f>HYPERLINK("https://www.dofusbook.net/fr/equipement/5005760-terre/objets", "link")</f>
        <v/>
      </c>
      <c r="C10747" t="n">
        <v>0</v>
      </c>
      <c r="D10747" t="inlineStr">
        <is>
          <t>Lav'Hache; Collier de Tourthon; Anneau Chevelu; Anneau de Brouce; Bouclier Taverne; Ceinture de la Reine des Voleurs; Coiffe de la Reine des Voleurs; Cape au Logis; Baleinabottes; Dofus des Glaces; Dofus Pourpre; Dofus Ivoire; Remueur; Vigoureux majeur; Enragé majeur; Bulbisou</t>
        </is>
      </c>
    </row>
    <row r="10748">
      <c r="A10748" t="inlineStr">
        <is>
          <t>air</t>
        </is>
      </c>
      <c r="B10748">
        <f>HYPERLINK("https://www.dofusbook.net/fr/equipement/2638086-air/objets", "link")</f>
        <v/>
      </c>
      <c r="C10748" t="n">
        <v>2</v>
      </c>
      <c r="D10748" t="inlineStr">
        <is>
          <t>Manthache; Collier du Valet Veinard; Gant du Valet Veinard; Alliance Gloursonne; Bouclier du Stalak; Menoture; Dorabysses; Cape du Kamasterisk; Palmes Trithons; Dofus Abyssal; Dofus Ivoire; Dofus Ébène; Dofus des Glaces; Remueur; Nomade; Blérodoudou</t>
        </is>
      </c>
    </row>
    <row r="10749">
      <c r="A10749" t="inlineStr">
        <is>
          <t>do piege</t>
        </is>
      </c>
      <c r="B10749">
        <f>HYPERLINK("https://www.dofusbook.net/fr/equipement/3511457-do-piege/objets", "link")</f>
        <v/>
      </c>
      <c r="C10749" t="n">
        <v>9</v>
      </c>
      <c r="D10749" t="inlineStr">
        <is>
          <t>Dagues Eudin; Amulette Volkorne; Bague Gloursonne; Anneau Chevelu; Bouclier du Stalak; Ceinture Volkorne; Solomonk; Voile d'encre; Baleinabottes; Dofus Pourpre; Dofus Ivoire; Dofus Abyssal; Dofus des Glaces; Remueur; Nomade; Bulbisou</t>
        </is>
      </c>
    </row>
    <row r="10750">
      <c r="A10750" t="inlineStr">
        <is>
          <t>eau do crit</t>
        </is>
      </c>
      <c r="B10750">
        <f>HYPERLINK("https://www.dofusbook.net/fr/equipement/80020-eau-do-crit/objets", "link")</f>
        <v/>
      </c>
      <c r="C10750" t="n">
        <v>22</v>
      </c>
      <c r="D10750" t="inlineStr">
        <is>
          <t>Sceptre du Roi Joueur; Amulette de Shokkoth; Bague Trithon; Anneau Volkorne; Bouclier du Stalak; Poulpagne; Casque Dragoeuf; Cape de la Dame du Hasard; Bottes de la Dame du Hasard; Dofus Abyssal; Dofus des Glaces; Dofus Ivoire; Remueur; Nomade; Chanceux majeur; Pioute bleu</t>
        </is>
      </c>
    </row>
    <row r="10751">
      <c r="A10751" t="inlineStr">
        <is>
          <t>terre do pou</t>
        </is>
      </c>
      <c r="B10751">
        <f>HYPERLINK("https://www.dofusbook.net/fr/equipement/3476568-terre-do-pou/objets", "link")</f>
        <v/>
      </c>
      <c r="C10751" t="n">
        <v>5</v>
      </c>
      <c r="D10751" t="inlineStr">
        <is>
          <t>Arc du Chalœil; Amulette Luminescente; Bague Gloursonne; Bague Instable; Bouclier précieux; Ceinture Gence; Casque Dragoeuf; Cape Luminescente; Bottes Trithon; Dofus Abyssal; Dofus Ivoire; Nomade; Bousculeur majeur; Remueur; Culbuteur majeur; Black Tiwabbit</t>
        </is>
      </c>
    </row>
    <row r="10752">
      <c r="A10752" t="inlineStr">
        <is>
          <t>terre air</t>
        </is>
      </c>
      <c r="B10752">
        <f>HYPERLINK("https://www.dofusbook.net/fr/equipement/1847425-terre-air/objets", "link")</f>
        <v/>
      </c>
      <c r="C10752" t="n">
        <v>14</v>
      </c>
      <c r="D10752" t="inlineStr">
        <is>
          <t>Héqache; Amulette du Strigide; Bracelet du Piloztère; Alliance Gloursonne; Bouclier d'Ilyzaelle; Ceintacé; Coiffe de la Reine des Voleurs; Voile d'encre; Bottes du Strigide; Dofus Turquoise; Dofus Émeraude; Dofus Ivoire; Dofus des Glaces; Dofus Pourpre; Remueur; Muldo Ebène et Pourpre</t>
        </is>
      </c>
    </row>
    <row r="10753">
      <c r="A10753" t="inlineStr">
        <is>
          <t>air</t>
        </is>
      </c>
      <c r="B10753">
        <f>HYPERLINK("https://www.dofusbook.net/fr/equipement/79979-air/objets", "link")</f>
        <v/>
      </c>
      <c r="C10753" t="n">
        <v>3</v>
      </c>
      <c r="D10753" t="inlineStr">
        <is>
          <t>Manthache; Collier du Valet Veinard; Alliance Gloursonne; Gant du Valet Veinard; Bouclier du Stalak; Menoture; Dorabysses; Cape Indescriptible; Palmes Trithons; Dofus Abyssal; Dofus Ivoire; Dofus Émeraude; Remueur; Cascadeur majeur; Muldo Ebène</t>
        </is>
      </c>
    </row>
    <row r="10754">
      <c r="A10754" t="inlineStr">
        <is>
          <t>multi pvp</t>
        </is>
      </c>
      <c r="B10754">
        <f>HYPERLINK("https://www.dofusbook.net/fr/equipement/2898118-multi-pvp/objets", "link")</f>
        <v/>
      </c>
      <c r="C10754" t="n">
        <v>6</v>
      </c>
      <c r="D10754" t="inlineStr">
        <is>
          <t>Hache du Chalœil; Amulette du Strigide; Alliance Gloursonne; Grésilanneau; Bouclier du Stalak; Ceinture Volkorne; Le Dorado; Voile d'encre; Bottes du Strigide; Dofus Pourpre; Dofus Ivoire; Dofus Abyssal; Dofus des Glaces; Remueur; Nomade; Chacha Angora</t>
        </is>
      </c>
    </row>
    <row r="10755">
      <c r="A10755" t="inlineStr">
        <is>
          <t>feu 2</t>
        </is>
      </c>
      <c r="B10755">
        <f>HYPERLINK("https://www.dofusbook.net/fr/equipement/5003904-feu-2/objets", "link")</f>
        <v/>
      </c>
      <c r="C10755" t="n">
        <v>2</v>
      </c>
      <c r="D10755" t="inlineStr">
        <is>
          <t>Arc corrompu; Amulette de Nileza; Anneauræus; Anneauræus; Quatre-feuilles; Ceinture de Vortex; Heaume Oplate; Cape de Nileza; Bottes Innommables; Dofus Ivoire; Dofus des Glaces; Dofus Turquoise; Nomade; Érudit majeur; Remueur; Bisouglours</t>
        </is>
      </c>
    </row>
    <row r="10756">
      <c r="A10756" t="inlineStr">
        <is>
          <t>eau ret PA</t>
        </is>
      </c>
      <c r="B10756">
        <f>HYPERLINK("https://www.dofusbook.net/fr/equipement/80001-eau-ret-pa/objets", "link")</f>
        <v/>
      </c>
      <c r="C10756" t="n">
        <v>16</v>
      </c>
      <c r="D10756" t="inlineStr">
        <is>
          <t>Sceptre du Roi Joueur; Amulette de Shokkoth; Bracelet des Fonds marins; Alliance Gloursonne; Cadran de Terre; Sangle Ouare; Masque de Funespadon; Cape Solution; Chaussons de Macrab; Dofus Ivoire; Dofus Émeraude; Dofus Abyssal; Chanceux majeur; Étourdisseur majeur; Remueur; Kanigloups</t>
        </is>
      </c>
    </row>
    <row r="10757">
      <c r="A10757" t="inlineStr">
        <is>
          <t>feu ret PA</t>
        </is>
      </c>
      <c r="B10757">
        <f>HYPERLINK("https://www.dofusbook.net/fr/equipement/3224838-feu-ret-pa/objets", "link")</f>
        <v/>
      </c>
      <c r="C10757" t="n">
        <v>18</v>
      </c>
      <c r="D10757" t="inlineStr">
        <is>
          <t>Arc corrompu; Amulette de Nileza; Anneau Tique; Anneau de Nidas; Cadran de Terre; Ceinture de Vortex; Cagoule de Vortex; Voile d'encre; Pataugastrique; Dofus Abyssal; Dofus Ivoire; Nomade; Érudit majeur; Remueur; Étourdisseur majeur; Bisouglours</t>
        </is>
      </c>
    </row>
    <row r="10758">
      <c r="A10758" t="inlineStr">
        <is>
          <t>air ret PA</t>
        </is>
      </c>
      <c r="B10758">
        <f>HYPERLINK("https://www.dofusbook.net/fr/equipement/80096-air-ret-pa/objets", "link")</f>
        <v/>
      </c>
      <c r="C10758" t="n">
        <v>8</v>
      </c>
      <c r="D10758" t="inlineStr">
        <is>
          <t>Manthache; Collier du Valet Veinard; Alliance Gloursonne; Gant du Valet Veinard; Cadran de Terre; Menoture; Dorabysses; Cape du Barbétoal; Palmes Trithons; Dofus Abyssal; Dofus Ivoire; Remueur; Nomade; Étourdisseur majeur; Cascadeur majeur; Blérodoudou</t>
        </is>
      </c>
    </row>
    <row r="10759">
      <c r="A10759" t="inlineStr">
        <is>
          <t>feu</t>
        </is>
      </c>
      <c r="B10759">
        <f>HYPERLINK("https://www.dofusbook.net/fr/equipement/2599467-feu/objets", "link")</f>
        <v/>
      </c>
      <c r="C10759" t="n">
        <v>8</v>
      </c>
      <c r="D10759" t="inlineStr">
        <is>
          <t>Arc corrompu; Amulette de Nileza; Anneauræus; Anneauræus; Cadran de Terre; Ceinture de Vortex; Cagoule de Vortex; Voile d'encre; Pataugastrique; Dofus Abyssal; Dofus Ivoire; Remueur; Nomade; Étourdisseur majeur; Érudit majeur; Bisouglours</t>
        </is>
      </c>
    </row>
    <row r="10760">
      <c r="A10760" t="inlineStr">
        <is>
          <t>feu eau dague</t>
        </is>
      </c>
      <c r="B10760">
        <f>HYPERLINK("https://www.dofusbook.net/fr/equipement/4637689-feu-eau-dague/objets", "link")</f>
        <v/>
      </c>
      <c r="C10760" t="n">
        <v>3</v>
      </c>
      <c r="D10760" t="inlineStr">
        <is>
          <t>Couteaux Sacrificiels; Pendentif affamé; Anneau de Nidas; Bracelet des Fonds marins; Bouclier d'Ilyzaelle; Ceinture de l'Esprit Malsain; Masque de l'Esprit Malsain; Voile d'encre; Pataugastrique; Dofus des Glaces; Dofus Ivoire; Dofus Émeraude; Nomade; Guérisseur majeur; Remueur; Walk</t>
        </is>
      </c>
    </row>
    <row r="10761">
      <c r="A10761" t="inlineStr">
        <is>
          <t>erhy</t>
        </is>
      </c>
      <c r="B10761">
        <f>HYPERLINK("https://www.dofusbook.net/fr/equipement/79992-erhy/objets", "link")</f>
        <v/>
      </c>
      <c r="C10761" t="n">
        <v>1</v>
      </c>
      <c r="D10761" t="inlineStr">
        <is>
          <t>Dagues Érhy; Amulette du Strigide; Anneau Chevelu; Bague Gloursonne; Bouclier Taverne; Ceinture du Strigide; Masque de Koutoulou; Voile d'encre; Bottes de la Cour Sombre; Dofus Turquoise; Dofus Pourpre; Remueur; Enragé majeur; Vigoureux majeur; Nomade; El Scarador</t>
        </is>
      </c>
    </row>
    <row r="10762">
      <c r="A10762" t="inlineStr">
        <is>
          <t>stri glour</t>
        </is>
      </c>
      <c r="B10762">
        <f>HYPERLINK("https://www.dofusbook.net/fr/equipement/79993-stri-glour/objets", "link")</f>
        <v/>
      </c>
      <c r="C10762" t="n">
        <v>3</v>
      </c>
      <c r="D10762" t="inlineStr">
        <is>
          <t>Epée Gloursonne; Amulette du Strigide; Bague Gloursonne; Alliance Gloursonne; Bouclier d'Ilyzaelle; Ceinture du Strigide; Masque Brûlâme; Voile d'encre; Bottes du Strigide; Dofus Ocre; Dofus Abyssal; Dofus des Glaces; Dofus Ivoire; Dofus Pourpre; Dofus Nébuleux; Muldo Prune et Emeraude</t>
        </is>
      </c>
    </row>
    <row r="10763">
      <c r="A10763" t="inlineStr">
        <is>
          <t>full terre pvp reine</t>
        </is>
      </c>
      <c r="B10763">
        <f>HYPERLINK("https://www.dofusbook.net/fr/equipement/3417499-full-terre-pvp-reine/objets", "link")</f>
        <v/>
      </c>
      <c r="C10763" t="n">
        <v>7</v>
      </c>
      <c r="D10763" t="inlineStr">
        <is>
          <t>Lav'Hache; Collier de Tourthon; Anneau Chevelu; Anneau de Brouce; Bouclier Taverne; Ceinture de la Reine des Voleurs; Coiffe de la Reine des Voleurs; Cape au Logis; Baleinabottes; Dofus des Glaces; Dofus Pourpre; Dofus Ivoire; Remueur; Vigoureux majeur; Enragé majeur; Bulbisou</t>
        </is>
      </c>
    </row>
    <row r="10764">
      <c r="A10764" t="inlineStr">
        <is>
          <t>air</t>
        </is>
      </c>
      <c r="B10764">
        <f>HYPERLINK("https://www.dofusbook.net/fr/equipement/1633319-air/objets", "link")</f>
        <v/>
      </c>
      <c r="C10764" t="n">
        <v>2</v>
      </c>
      <c r="D10764" t="inlineStr">
        <is>
          <t>Manthache; Collier du Valet Veinard; Alliance Gloursonne; Gant du Valet Veinard; Bouclier du Stalak; Menoture; Dorabysses; Cape du Kamasterisk; Palmes Trithons; Dofus Ivoire; Carapace Air majeur; Cascadeur majeur; Remueur; Dévastateur Air majeur; Nomade; Blérodoudou</t>
        </is>
      </c>
    </row>
    <row r="10765">
      <c r="A10765" t="inlineStr">
        <is>
          <t>teroide volkorne</t>
        </is>
      </c>
      <c r="B10765">
        <f>HYPERLINK("https://www.dofusbook.net/fr/equipement/80035-teroide-volkorne/objets", "link")</f>
        <v/>
      </c>
      <c r="C10765" t="n">
        <v>2</v>
      </c>
      <c r="D10765" t="inlineStr">
        <is>
          <t>Hache Téroïde; Amulette Volkorne; Anneau Chevelu; Bague Gloursonne; Bouclier d'Ilyzaelle; Ceinture Volkorne; Masque de Koutoulou; Voile d'encre; Bottes du Roi Joueur; Dofus Ivoire; Dofus Pourpre; Dofus des Glaces; Dofus Turquoise; Nomade; Remueur; Chacha Angora</t>
        </is>
      </c>
    </row>
    <row r="10766">
      <c r="A10766" t="inlineStr">
        <is>
          <t>ricol neutre</t>
        </is>
      </c>
      <c r="B10766">
        <f>HYPERLINK("https://www.dofusbook.net/fr/equipement/2890062-ricol-neutre/objets", "link")</f>
        <v/>
      </c>
      <c r="C10766" t="n">
        <v>9</v>
      </c>
      <c r="D10766" t="inlineStr">
        <is>
          <t>Dagues Ricol; Amulette du Strigide; Bague Gloursonne; Anneau Chevelu; Bouclier d'Ilyzaelle; Ceintacé; Casque de Missiz Frizz; Voile d'encre; Bottes du Strigide; Dofus des Glaces; Dofus Turquoise; Dofus Pourpre; Dofus Ivoire; Nomade; Remueur; Kokulte</t>
        </is>
      </c>
    </row>
    <row r="10767">
      <c r="A10767" t="inlineStr">
        <is>
          <t>feu</t>
        </is>
      </c>
      <c r="B10767">
        <f>HYPERLINK("https://www.dofusbook.net/fr/equipement/666326-feu/objets", "link")</f>
        <v/>
      </c>
      <c r="C10767" t="n">
        <v>10</v>
      </c>
      <c r="D10767" t="inlineStr">
        <is>
          <t>Arc corrompu; Amulette de Nileza; Anneau Tique; Anneau de Nidas; Quatre-feuilles; Ceintacé; Masque Trithon; Cape de Nileza; Bottes Innommables; Dofus Pourpre; Dofus Turquoise; Dofus Ivoire; Remueur; Érudit majeur; Nomade; Bisouglours</t>
        </is>
      </c>
    </row>
    <row r="10768">
      <c r="A10768" t="inlineStr">
        <is>
          <t>feu/eau pvm</t>
        </is>
      </c>
      <c r="B10768">
        <f>HYPERLINK("https://www.dofusbook.net/fr/equipement/3066455-feu-eau-pvm/objets", "link")</f>
        <v/>
      </c>
      <c r="C10768" t="n">
        <v>2</v>
      </c>
      <c r="D10768" t="inlineStr">
        <is>
          <t>Épée Brûlâme; Amulette du Strigide; Bague Gloursonne; Alliance du Lévitrof; Quatre-feuilles; Ceinture du Strigide; Capuche de l'Œil Putride; Cape de Diondin; Bottes Owesli; Remueur; Chanceux majeur; Nomade; Vigoureux majeur; Érudit majeur; Muldo Prune et Emeraude</t>
        </is>
      </c>
    </row>
    <row r="10769">
      <c r="A10769" t="inlineStr">
        <is>
          <t>multi pvm</t>
        </is>
      </c>
      <c r="B10769">
        <f>HYPERLINK("https://www.dofusbook.net/fr/equipement/2071944-multi-pvm/objets", "link")</f>
        <v/>
      </c>
      <c r="C10769" t="n">
        <v>12</v>
      </c>
      <c r="D10769" t="inlineStr">
        <is>
          <t>Bâton Beau; Amulette du Strigide; Bracelet du Piloztère; Alliance Gloursonne; Quatre-feuilles; Ceinture du Strigide; Masque Brûlâme; Cape des Justiciers; Bottes du Père Fwetar; Dofus des Glaces; Dofus Turquoise; Dofus Pourpre; Remueur; Vigoureux majeur; Nomade; Muldo Prune et Emeraude</t>
        </is>
      </c>
    </row>
    <row r="10770">
      <c r="A10770" t="inlineStr">
        <is>
          <t>12 6</t>
        </is>
      </c>
      <c r="B10770">
        <f>HYPERLINK("https://www.dofusbook.net/fr/equipement/3380099-12-6/objets", "link")</f>
        <v/>
      </c>
      <c r="C10770" t="n">
        <v>11</v>
      </c>
      <c r="D10770" t="inlineStr">
        <is>
          <t>La Baguette des Limbes; Amulette du Strigide; Alliance Gloursonne; Anneau de Brouce; Quatre-feuilles; Ceinture du Strigide; Bonnet Ko; Cape des Malveilleurs; Bottes du Père Fwetar; Dofus Turquoise; Dofus des Glaces; Dofus Pourpre; Nomade; Vigoureux majeur; Remueur; Muldo Prune et Emeraude</t>
        </is>
      </c>
    </row>
    <row r="10771">
      <c r="A10771" t="inlineStr">
        <is>
          <t>eau</t>
        </is>
      </c>
      <c r="B10771">
        <f>HYPERLINK("https://www.dofusbook.net/fr/equipement/80047-eau/objets", "link")</f>
        <v/>
      </c>
      <c r="C10771" t="n">
        <v>26</v>
      </c>
      <c r="D10771" t="inlineStr">
        <is>
          <t>Baguette Héroclite; Amulette de Shokkoth; Bracelet des Fonds marins; Alliance Gloursonne; Bouclier du Stalak; Poulpagne; Casque Dragoeuf; Cape du Sinistrofu; Bottes du Sinistrofu; Dofus Ivoire; Dofus Émeraude; Remueur; Chanceux majeur; Miraculé majeur; Nomade; Kanigloups</t>
        </is>
      </c>
    </row>
    <row r="10772">
      <c r="A10772" t="inlineStr">
        <is>
          <t>air drag</t>
        </is>
      </c>
      <c r="B10772">
        <f>HYPERLINK("https://www.dofusbook.net/fr/equipement/3242308-air-drag/objets", "link")</f>
        <v/>
      </c>
      <c r="C10772" t="n">
        <v>33</v>
      </c>
      <c r="D10772" t="inlineStr">
        <is>
          <t>Manthache; Collier du Valet Veinard; Gant du Valet Veinard; Alliance Gloursonne; Bouclier d'Ilyzaelle; Menoture; Casque Dragoeuf; Cape Indescriptible; Palmes Trithons; Dofus Émeraude; Dofus Abyssal; Dofus Ivoire; Remueur; Cascadeur majeur; Carapace Air majeur; Blérodoudou</t>
        </is>
      </c>
    </row>
    <row r="10773">
      <c r="A10773" t="inlineStr">
        <is>
          <t>feu</t>
        </is>
      </c>
      <c r="B10773">
        <f>HYPERLINK("https://www.dofusbook.net/fr/equipement/80029-feu/objets", "link")</f>
        <v/>
      </c>
      <c r="C10773" t="n">
        <v>17</v>
      </c>
      <c r="D10773" t="inlineStr">
        <is>
          <t>Arc corrompu; Pendentif affamé; Bague Gloursonne; Anneau de Nidas; Bouclier du Stalak; Ceintacé; Casque Dragoeuf; Voile d'encre; Bottes Innommables; Dofus Émeraude; Dofus Ivoire; Dofus Abyssal; Remueur; Nomade; Érudit majeur; Bisouglours</t>
        </is>
      </c>
    </row>
    <row r="10774">
      <c r="A10774" t="inlineStr">
        <is>
          <t>air</t>
        </is>
      </c>
      <c r="B10774">
        <f>HYPERLINK("https://www.dofusbook.net/fr/equipement/80031-air/objets", "link")</f>
        <v/>
      </c>
      <c r="C10774" t="n">
        <v>16</v>
      </c>
      <c r="D10774" t="inlineStr">
        <is>
          <t>Lance Horselé; Collier du Valet Veinard; Gant du Valet Veinard; Alliance Gloursonne; Bouclier d'Ilyzaelle; Menoture; Dorabysses; Cape du Kamasterisk; Palmes Trithons; Dofus Ivoire; Nomade; Carapace Air majeur; Cascadeur majeur; Remueur; Dévastateur Air majeur; Blérodoudou</t>
        </is>
      </c>
    </row>
    <row r="10775">
      <c r="A10775" t="inlineStr">
        <is>
          <t>eau</t>
        </is>
      </c>
      <c r="B10775">
        <f>HYPERLINK("https://www.dofusbook.net/fr/equipement/79976-eau/objets", "link")</f>
        <v/>
      </c>
      <c r="C10775" t="n">
        <v>5</v>
      </c>
      <c r="D10775" t="inlineStr">
        <is>
          <t>Baguette Héroclite; Amulette de Shokkoth; Alliance Gloursonne; Anneau Volkorne; Quatre-feuilles; Ceinture Volkorne; Casque Dragoeuf; Cape Solution; Bottes de la Reine des Voleurs; Dofus Ivoire; Dofus Abyssal; Dofus des Glaces; Remueur; Chanceux majeur; Nomade; Kanigloups</t>
        </is>
      </c>
    </row>
    <row r="10776">
      <c r="A10776" t="inlineStr">
        <is>
          <t>feu</t>
        </is>
      </c>
      <c r="B10776">
        <f>HYPERLINK("https://www.dofusbook.net/fr/equipement/1866782-feu/objets", "link")</f>
        <v/>
      </c>
      <c r="C10776" t="n">
        <v>7</v>
      </c>
      <c r="D10776" t="inlineStr">
        <is>
          <t>Arc corrompu; Amulette de Nileza; Anneau Tique; Anneau de Nidas; Bouclier du Stalak; Ceinture de Vortex; Masque d'Anerice; Cape d'Anerice; Pataugastrique; Dofus Ivoire; Érudit majeur; Remueur; Fonceur majeur; Nomade; Dévastateur Feu majeur; Bisouglours</t>
        </is>
      </c>
    </row>
    <row r="10777">
      <c r="A10777" t="inlineStr">
        <is>
          <t>feu volkorne</t>
        </is>
      </c>
      <c r="B10777">
        <f>HYPERLINK("https://www.dofusbook.net/fr/equipement/2301842-feu-volkorne/objets", "link")</f>
        <v/>
      </c>
      <c r="C10777" t="n">
        <v>7</v>
      </c>
      <c r="D10777" t="inlineStr">
        <is>
          <t>Arc corrompu; Amulette Volkorne; Anneau Tique; Anneau de Nidas; Bouclier du Stalak; Ceinture Volkorne; Casque Dragoeuf; Voile d'encre; Pantoufles Émar; Dofus Ivoire; Érudit majeur; Remueur; Dévastateur Feu majeur; Nomade; Fonceur majeur; Bisouglours</t>
        </is>
      </c>
    </row>
    <row r="10778">
      <c r="A10778" t="inlineStr">
        <is>
          <t>hache chaloeil</t>
        </is>
      </c>
      <c r="B10778">
        <f>HYPERLINK("https://www.dofusbook.net/fr/equipement/80018-hache-chaloeil/objets", "link")</f>
        <v/>
      </c>
      <c r="C10778" t="n">
        <v>5</v>
      </c>
      <c r="D10778" t="inlineStr">
        <is>
          <t>Hache du Chalœil; Amulette du Strigide; Bracelet du Piloztère; Alliance Gloursonne; Quatre-feuilles; Ceintacé; Casque du Chalœil; Voile d'encre; Bottes du Chalœil; Dofus Pourpre; Dofus Ivoire; Dofus des Glaces; Nomade; Fonceur majeur; Remueur; El Scarador</t>
        </is>
      </c>
    </row>
    <row r="10779">
      <c r="A10779" t="inlineStr">
        <is>
          <t>malléfisk</t>
        </is>
      </c>
      <c r="B10779">
        <f>HYPERLINK("https://www.dofusbook.net/fr/equipement/79978-mallefisk/objets", "link")</f>
        <v/>
      </c>
      <c r="C10779" t="n">
        <v>3</v>
      </c>
      <c r="D10779" t="inlineStr">
        <is>
          <t>Baguette de Malléfisk; Amulette de Nileza; Anneau Tique; Anneau de Nidas; Carapar; Ceinture de Vortex; Masque d'Anerice; Cape d'Anerice; Pataugastrique; Dofus Ivoire; Nomade; Érudit majeur; Dévastateur Feu majeur; Remueur; Guérisseur majeur; Bisouglours</t>
        </is>
      </c>
    </row>
    <row r="10780">
      <c r="A10780" t="inlineStr">
        <is>
          <t>eau</t>
        </is>
      </c>
      <c r="B10780">
        <f>HYPERLINK("https://www.dofusbook.net/fr/equipement/3312353-eau-/objets", "link")</f>
        <v/>
      </c>
      <c r="C10780" t="n">
        <v>25</v>
      </c>
      <c r="D10780" t="inlineStr">
        <is>
          <t>Sceptre du Roi Joueur; Amulette de Shokkoth; Alliance Gloursonne; Bracelet des Fonds marins; Cadran d'Air; Poulpagne; Casque Dragoeuf; Cape du Sinistrofu; Bottes du Sinistrofu; Dofus des Glaces; Dofus Ivoire; Miraculé majeur; Dévastateur Eau majeur; Remueur; Chanceux majeur; Muldo Indigo</t>
        </is>
      </c>
    </row>
    <row r="10781">
      <c r="A10781" t="inlineStr">
        <is>
          <t>air 2</t>
        </is>
      </c>
      <c r="B10781">
        <f>HYPERLINK("https://www.dofusbook.net/fr/equipement/1330234-air-2/objets", "link")</f>
        <v/>
      </c>
      <c r="C10781" t="n">
        <v>2</v>
      </c>
      <c r="D10781" t="inlineStr">
        <is>
          <t>Manthache; Collier du Valet Veinard; Alliance Gloursonne; Gant du Valet Veinard; Bouclier du Stalak; Menoture; Dorabysses; Cape Indescriptible; Palmes Trithons; Dofus Ivoire; Dofus Abyssal; Carapace Air majeur; Cascadeur majeur; Remueur; Dévastateur Air majeur; Muldo Ebène et Pourpre</t>
        </is>
      </c>
    </row>
    <row r="10782">
      <c r="A10782" t="inlineStr">
        <is>
          <t>air</t>
        </is>
      </c>
      <c r="B10782">
        <f>HYPERLINK("https://www.dofusbook.net/fr/equipement/80026-air/objets", "link")</f>
        <v/>
      </c>
      <c r="C10782" t="n">
        <v>0</v>
      </c>
      <c r="D10782" t="inlineStr">
        <is>
          <t>Manthache; Collier du Valet Veinard; Alliance Gloursonne; Gant du Valet Veinard; Bouclier du Stalak; Menoture; Casque Dragoeuf; Cape Indescriptible; Palmes Trithons; Dofus Ivoire; Dofus des Glaces; Dévastateur Air majeur; Remueur; Cascadeur majeur; Nomade; Blérodoudou</t>
        </is>
      </c>
    </row>
    <row r="10783">
      <c r="A10783" t="inlineStr">
        <is>
          <t>eau</t>
        </is>
      </c>
      <c r="B10783">
        <f>HYPERLINK("https://www.dofusbook.net/fr/equipement/3272083-eau/objets", "link")</f>
        <v/>
      </c>
      <c r="C10783" t="n">
        <v>6</v>
      </c>
      <c r="D10783" t="inlineStr">
        <is>
          <t>Sceptre du Roi Joueur; Amulette de Shokkoth; Bracelet des Fonds marins; Alliance Gloursonne; Bouclier d'Ilyzaelle; Sangle Ouare; Kidibonnet; Cape du Sinistrofu; Bottes du Sinistrofu; Dofus Émeraude; Dofus Ivoire; Remueur; Dévastateur Eau majeur; Nomade; Chanceux majeur; Kanigloups</t>
        </is>
      </c>
    </row>
    <row r="10784">
      <c r="A10784" t="inlineStr">
        <is>
          <t>full terre</t>
        </is>
      </c>
      <c r="B10784">
        <f>HYPERLINK("https://www.dofusbook.net/fr/equipement/79997-full-terre/objets", "link")</f>
        <v/>
      </c>
      <c r="C10784" t="n">
        <v>7</v>
      </c>
      <c r="D10784" t="inlineStr">
        <is>
          <t>Arc du Chalœil; Collier de Tourthon; Anneau Chevelu; Anneau Volkorne; Quatre-feuilles; Ceinture Volkorne; Masque de Koutoulou; Voile d'encre; Bottes de la Cour Sombre; Dofus Ivoire; Dofus Turquoise; Dofus des Glaces; Enragé majeur; Remueur; Nomade; Bulbisou</t>
        </is>
      </c>
    </row>
    <row r="10785">
      <c r="A10785" t="inlineStr">
        <is>
          <t>vlab</t>
        </is>
      </c>
      <c r="B10785">
        <f>HYPERLINK("https://www.dofusbook.net/fr/equipement/1407664-vlab/objets", "link")</f>
        <v/>
      </c>
      <c r="C10785" t="n">
        <v>2</v>
      </c>
      <c r="D10785" t="inlineStr">
        <is>
          <t>Manthache; Collier du Valet Veinard; Gant du Valet Veinard; Alliance Gloursonne; Bouclier du Stalak; Menoture; Dorabysses; Cape Indescriptible; Palmes Trithons; Dofus Émeraude; Dofus Abyssal; Dofus Ivoire; Nomade; Cascadeur majeur; Remueur; Bwak d'Air</t>
        </is>
      </c>
    </row>
    <row r="10786">
      <c r="A10786" t="inlineStr">
        <is>
          <t>full res</t>
        </is>
      </c>
      <c r="B10786">
        <f>HYPERLINK("https://www.dofusbook.net/fr/equipement/80048-full-res/objets", "link")</f>
        <v/>
      </c>
      <c r="C10786" t="n">
        <v>3</v>
      </c>
      <c r="D10786" t="inlineStr">
        <is>
          <t>Manthache; Collier du Valet Veinard; Alliance Gloursonne; Gant du Valet Veinard; Bouclier Pandawa; Menoture; Casque Dragoeuf; Voile d'encre; Palmes Trithons; Dofus des Glaces; Nomade; Cascadeur majeur; Remueur; Carapace Neutre majeur; Carapace Air majeur</t>
        </is>
      </c>
    </row>
    <row r="10787">
      <c r="A10787" t="inlineStr">
        <is>
          <t>air do pou</t>
        </is>
      </c>
      <c r="B10787">
        <f>HYPERLINK("https://www.dofusbook.net/fr/equipement/80032-air-do-pou/objets", "link")</f>
        <v/>
      </c>
      <c r="C10787" t="n">
        <v>4</v>
      </c>
      <c r="D10787" t="inlineStr">
        <is>
          <t>Hachoirs de Viandargh; Amibou; Bague Instable; Bague Trithon; Bouclier précieux; Menoture; Casque Dragoeuf; Capibou; Palmes Trithons; Dofus Ivoire; Dofus Abyssal; Cascadeur majeur; Bousculeur majeur; Remueur; Culbuteur majeur; Balafreux</t>
        </is>
      </c>
    </row>
    <row r="10788">
      <c r="A10788" t="inlineStr">
        <is>
          <t>terre do pu</t>
        </is>
      </c>
      <c r="B10788">
        <f>HYPERLINK("https://www.dofusbook.net/fr/equipement/80033-terre-do-pu/objets", "link")</f>
        <v/>
      </c>
      <c r="C10788" t="n">
        <v>0</v>
      </c>
      <c r="D10788" t="inlineStr">
        <is>
          <t>Lav'Hache; Torquistik; Bague Trithon; Bague Instable; Bouclier précieux; Ceinture Gence; Casque Dragoeuf; Cape au Logis; Bottistik; Dofus Ivoire; Dofus Abyssal; Culbuteur; Culbuteur majeur; Remueur; Bousculeur majeur; Péki</t>
        </is>
      </c>
    </row>
    <row r="10789">
      <c r="A10789" t="inlineStr">
        <is>
          <t>do crit</t>
        </is>
      </c>
      <c r="B10789">
        <f>HYPERLINK("https://www.dofusbook.net/fr/equipement/80034-do-crit/objets", "link")</f>
        <v/>
      </c>
      <c r="C10789" t="n">
        <v>1</v>
      </c>
      <c r="D10789" t="inlineStr">
        <is>
          <t>Arc Nécrotique; Amulette du Strigide; Alliance Gloursonne; Anneau Toriété; Quatre-feuilles; Sangle Ouare; Kidibonnet; Cape de la Dame du Hasard; Bottes de la Dame du Hasard; Dofus Ivoire; Dofus Turquoise; Dofus Pourpre; Dofus des Glaces; Remueur; Kokulte</t>
        </is>
      </c>
    </row>
    <row r="10790">
      <c r="A10790" t="inlineStr">
        <is>
          <t>dopou</t>
        </is>
      </c>
      <c r="B10790">
        <f>HYPERLINK("https://www.dofusbook.net/fr/equipement/2960454-dopou/objets", "link")</f>
        <v/>
      </c>
      <c r="C10790" t="n">
        <v>2</v>
      </c>
      <c r="D10790" t="inlineStr">
        <is>
          <t>Arc du Chalœil; Torquistik; Bague Trithon; Bague Instable; Bouclier précieux; Ceinture Gence; Casque Dragoeuf; Voile d'encre; Bottistik; Dofus Abyssal; Dofus Ivoire; Remueur; Bousculeur majeur; Nomade; Culbuteur majeur; Tatouf</t>
        </is>
      </c>
    </row>
    <row r="10791">
      <c r="A10791" t="inlineStr">
        <is>
          <t>eau aztech</t>
        </is>
      </c>
      <c r="B10791">
        <f>HYPERLINK("https://www.dofusbook.net/fr/equipement/80059-eau-aztech/objets", "link")</f>
        <v/>
      </c>
      <c r="C10791" t="n">
        <v>1</v>
      </c>
      <c r="D10791" t="inlineStr">
        <is>
          <t>Az'tech; Amulette de Shokkoth; Bracelet des Fonds marins; Alliance Gloursonne; Bouclier Taverne; Poulpagne; Casque Dragoeuf; Cape du Sinistrofu; Bottes du Sinistrofu; Dofus Ivoire; Bousculeur majeur; Dévastateur Eau majeur; Culbuteur majeur; Remueur; Chanceux majeur; Écumouth</t>
        </is>
      </c>
    </row>
    <row r="10792">
      <c r="A10792" t="inlineStr">
        <is>
          <t>eau do pou</t>
        </is>
      </c>
      <c r="B10792">
        <f>HYPERLINK("https://www.dofusbook.net/fr/equipement/2031665-eau-do-pou/objets", "link")</f>
        <v/>
      </c>
      <c r="C10792" t="n">
        <v>4</v>
      </c>
      <c r="D10792" t="inlineStr">
        <is>
          <t>Baguette Héroclite; Amulette du Sinistrofu; Alliance Gloursonne; Bracelet des Fonds marins; Bouclier Taverne; Sangle Ouare; Casque Dragoeuf; Cape Solution; Bottes du Sinistrofu; Dofus Ivoire; Dévastateur Eau majeur; Chanceux majeur; Bousculeur majeur; Culbuteur majeur; Remueur; Kanigloups</t>
        </is>
      </c>
    </row>
    <row r="10793">
      <c r="A10793" t="inlineStr">
        <is>
          <t>do crit</t>
        </is>
      </c>
      <c r="B10793">
        <f>HYPERLINK("https://www.dofusbook.net/fr/equipement/3042521-do-crit/objets", "link")</f>
        <v/>
      </c>
      <c r="C10793" t="n">
        <v>5</v>
      </c>
      <c r="D10793" t="inlineStr">
        <is>
          <t>Arc Nécrotique; Amulette du Strigide; Bracelet des Fonds marins; Anneau Toriété; Quatre-feuilles; Ceintacé; Masque Trithon; Cape de la Dame du Hasard; Bottes de la Dame du Hasard; Dofus Pourpre; Dofus Ivoire; Dofus Turquoise; Dofus des Glaces; Remueur; Nomade; Kokulte</t>
        </is>
      </c>
    </row>
    <row r="10794">
      <c r="A10794" t="inlineStr">
        <is>
          <t>terre air do crit</t>
        </is>
      </c>
      <c r="B10794">
        <f>HYPERLINK("https://www.dofusbook.net/fr/equipement/3225076-terre-air-do-crit/objets", "link")</f>
        <v/>
      </c>
      <c r="C10794" t="n">
        <v>3</v>
      </c>
      <c r="D10794" t="inlineStr">
        <is>
          <t>Hache Ériphe; Amulette du Strigide; Alliance Gloursonne; Anneau Chevelu; Bouclier Taverne; Ceintacé; Coiffe de la Fuji Givrefoux; Cape au Logis; Bottes du Strigide; Dofus Turquoise; Dofus des Glaces; Dofus Pourpre; Dofus Ivoire; Nomade; Remueur; Kokulte</t>
        </is>
      </c>
    </row>
    <row r="10795">
      <c r="A10795" t="inlineStr">
        <is>
          <t>terre air</t>
        </is>
      </c>
      <c r="B10795">
        <f>HYPERLINK("https://www.dofusbook.net/fr/equipement/1812483-terre-air/objets", "link")</f>
        <v/>
      </c>
      <c r="C10795" t="n">
        <v>2</v>
      </c>
      <c r="D10795" t="inlineStr">
        <is>
          <t>Hache Ériphe; Amulette du Strigide; Alliance Gloursonne; Anneau Chevelu; Bouclier d'Ilyzaelle; Ceinture du Strigide; Masque de Koutoulou; Cape au Logis; Baleinabottes; Dofus Ivoire; Vigoureux majeur; Remueur; Enragé majeur; Nomade; Cascadeur majeur; Mékrabe</t>
        </is>
      </c>
    </row>
    <row r="10796">
      <c r="A10796" t="inlineStr">
        <is>
          <t>salvateur</t>
        </is>
      </c>
      <c r="B10796">
        <f>HYPERLINK("https://www.dofusbook.net/fr/equipement/2694374-salvateur/objets", "link")</f>
        <v/>
      </c>
      <c r="C10796" t="n">
        <v>0</v>
      </c>
      <c r="D10796" t="inlineStr">
        <is>
          <t>Arc Honte; Amulette de l'Œil Putride; Bague Gloursonne; Alliance Gloursonne; Bouclier du Stalak; Ceinture de l'Esprit Salvateur; Masque de l'Esprit Salvateur; Cape de l'Œil Putride; Bottes de l'Esprit Salvateur; Dofus Ocre; Dofus Pourpre; Dofus Ivoire; Dofus Abyssal; Dofus des Glaces; Féroce majeur; Muldo Doré et Amande</t>
        </is>
      </c>
    </row>
    <row r="10797">
      <c r="A10797" t="inlineStr">
        <is>
          <t>baguette range</t>
        </is>
      </c>
      <c r="B10797">
        <f>HYPERLINK("https://www.dofusbook.net/fr/equipement/685465-baguette-range/objets", "link")</f>
        <v/>
      </c>
      <c r="C10797" t="n">
        <v>3</v>
      </c>
      <c r="D10797" t="inlineStr">
        <is>
          <t>Baguette Range; Amulette de l'Indicible; Anneau de Nidas; Alliance Gloursonne; Bouclier du Stalak; Sangle Ouare; Chapeau des Malveilleurs; Voile d'encre; Bottes de l'Indicible; Dofus Ivoire; Dofus Pourpre; Dofus des Glaces; Féroce majeur; Sanguinaire majeur; Remueur; Fëanor</t>
        </is>
      </c>
    </row>
    <row r="10798">
      <c r="A10798" t="inlineStr">
        <is>
          <t>az tech</t>
        </is>
      </c>
      <c r="B10798">
        <f>HYPERLINK("https://www.dofusbook.net/fr/equipement/3485408-az-tech/objets", "link")</f>
        <v/>
      </c>
      <c r="C10798" t="n">
        <v>4</v>
      </c>
      <c r="D10798" t="inlineStr">
        <is>
          <t>Az'tech; Amulette Volkorne; Anneau Tique; Alliance Gloursonne; Bouclier alvéolé; Ceinture de l'Indicible; Masquegel; Cape Solution; Bottes de l'Indicible; Dofus des Glaces; Dofus Pourpre; Dofus Ivoire; Remueur; Sanguinaire majeur; Nomade; Gwo Tofu Ventripotent</t>
        </is>
      </c>
    </row>
    <row r="10799">
      <c r="A10799" t="inlineStr">
        <is>
          <t>terre feu eau</t>
        </is>
      </c>
      <c r="B10799">
        <f>HYPERLINK("https://www.dofusbook.net/fr/equipement/2777603-terre-feu-eau/objets", "link")</f>
        <v/>
      </c>
      <c r="C10799" t="n">
        <v>5</v>
      </c>
      <c r="D10799" t="inlineStr">
        <is>
          <t>Hache du Chalœil; Amulette de l'Indicible; Alliance du Lévitrof; Anneau de Nidas; Bouclier du Stalak; Ceintacé; Casque Dragoeuf; Voile d'encre; Bottes du Lévitrof; Dofus Ivoire; Dofus des Glaces; Vigoureux majeur; Remueur; Sanguinaire majeur; Nomade; Pioute violet</t>
        </is>
      </c>
    </row>
    <row r="10800">
      <c r="A10800" t="inlineStr">
        <is>
          <t>indic glour</t>
        </is>
      </c>
      <c r="B10800">
        <f>HYPERLINK("https://www.dofusbook.net/fr/equipement/4997820-indic-glour/objets", "link")</f>
        <v/>
      </c>
      <c r="C10800" t="n">
        <v>0</v>
      </c>
      <c r="D10800" t="inlineStr">
        <is>
          <t>Epée Gloursonne; Amulette de l'Indicible; Bague Gloursonne; Alliance Gloursonne; Quatre-feuilles; Ceinture de l'Indicible; Masque Brûlâme; Voile d'encre; Bottes de l'Indicible; Dofus Pourpre; Dofus Ivoire; Dofus Turquoise; Dofus des Glaces; Dofus Émeraude; Dofus Ocre; Chachyène</t>
        </is>
      </c>
    </row>
    <row r="10801">
      <c r="A10801" t="inlineStr">
        <is>
          <t>terre/eau</t>
        </is>
      </c>
      <c r="B10801">
        <f>HYPERLINK("https://www.dofusbook.net/fr/equipement/2692114-terre-eau/objets", "link")</f>
        <v/>
      </c>
      <c r="C10801" t="n">
        <v>10</v>
      </c>
      <c r="D10801" t="inlineStr">
        <is>
          <t>Arc de Guten Tak; Collier Rophante; Anneau Volkorne; Anneau Chevelu; Bouclier du Stalak; Ceinture Volkorne; Masque de Koutoulou; Voile d'encre; Chaussons de Macrab; Dofus Ivoire; Dofus Turquoise; Dofus des Glaces; Sanguinaire majeur; Remueur; Nomade; Pioute violet</t>
        </is>
      </c>
    </row>
    <row r="10802">
      <c r="A10802" t="inlineStr">
        <is>
          <t>teste full reine</t>
        </is>
      </c>
      <c r="B10802">
        <f>HYPERLINK("https://www.dofusbook.net/fr/equipement/4997231-teste-full-reine/objets", "link")</f>
        <v/>
      </c>
      <c r="C10802" t="n">
        <v>0</v>
      </c>
      <c r="D10802" t="inlineStr">
        <is>
          <t>Epée Gloursonne; Amulette de l'Indicible; Bague Gloursonne; Alliance Gloursonne; Quatre-feuilles; Ceinture de la Reine des Voleurs; Coiffe de la Reine des Voleurs; Cape de la Fuji Givrefoux; Bottes de la Reine des Voleurs; Dofus Émeraude; Dofus Turquoise; Dofus Ocre; Dofus Ivoire; Dofus Pourpre; Dofus des Glaces</t>
        </is>
      </c>
    </row>
    <row r="10803">
      <c r="A10803" t="inlineStr">
        <is>
          <t>Stuff 3</t>
        </is>
      </c>
      <c r="B10803">
        <f>HYPERLINK("https://www.dofusbook.net/fr/equipement/80083-stuff-3/objets", "link")</f>
        <v/>
      </c>
      <c r="C10803" t="n">
        <v>0</v>
      </c>
      <c r="D10803" t="inlineStr">
        <is>
          <t>Dagoulinantes; Amulette de Shokkoth; Alliance Gloursonne; Anneau Volkorne; Sept ans de malheur; Culotte de Bethel; Némès de Tal Kasha; Chevelure de Tal Kasha; Pataugastrique; Dofus Ébène; Dofus Ivoire; Étourdisseur majeur; Remueur; Chanceux majeur; Nomade; Boskito</t>
        </is>
      </c>
    </row>
    <row r="10804">
      <c r="A10804" t="inlineStr">
        <is>
          <t>tank tacle</t>
        </is>
      </c>
      <c r="B10804">
        <f>HYPERLINK("https://www.dofusbook.net/fr/equipement/4649278-tank-tacle/objets", "link")</f>
        <v/>
      </c>
      <c r="C10804" t="n">
        <v>1</v>
      </c>
      <c r="D10804" t="inlineStr">
        <is>
          <t>Rouleau à Pâtisserie d'Aermyne; Collier Rophante; Alliance Gloursonne; Anneau Toriété; Sept ans de malheur; Ceinture de Kongoku; Masque d'Anerice; Cape d'Anerice; Pataugastrique; Dofus Ivoire; Dofus Émeraude; Bloqueur majeur; Remueur; Obstructeur majeur; Tacleur majeur; Dragodinde Amande</t>
        </is>
      </c>
    </row>
    <row r="10805">
      <c r="A10805" t="inlineStr">
        <is>
          <t>terre feu</t>
        </is>
      </c>
      <c r="B10805">
        <f>HYPERLINK("https://www.dofusbook.net/fr/equipement/4637186-terre-feu/objets", "link")</f>
        <v/>
      </c>
      <c r="C10805" t="n">
        <v>1</v>
      </c>
      <c r="D10805" t="inlineStr">
        <is>
          <t>Lav'Hache; Amulette Volkorne; Anneau Chevelu; Anneau Tique; Bouclier du Stalak; Ceinture Volkorne; Chapeau de Gein; Voile d'encre; Bottes Honyme; Dofus Ivoire; Dofus des Glaces; Remueur; Nomade; Pioute violet</t>
        </is>
      </c>
    </row>
    <row r="10806">
      <c r="A10806" t="inlineStr">
        <is>
          <t>full dofus</t>
        </is>
      </c>
      <c r="B10806">
        <f>HYPERLINK("https://www.dofusbook.net/fr/equipement/4630467-full-dofus/objets", "link")</f>
        <v/>
      </c>
      <c r="C10806" t="n">
        <v>2</v>
      </c>
      <c r="D10806" t="inlineStr">
        <is>
          <t>Arc Honte; Amulette de l'Indicible; Bague Gloursonne; Alliance Gloursonne; Bouclier du Stalak; Ceinture de l'Indicible; Masque de l'Esprit Salvateur; Cape de l'Œil Putride; Bottes de l'Indicible; Dofus Ébène; Dofus des Glaces; Dofus Pourpre; Dofus Ivoire; Dofus Abyssal; Dofus Ocre; Muldo Doré et Amande</t>
        </is>
      </c>
    </row>
    <row r="10807">
      <c r="A10807" t="inlineStr">
        <is>
          <t>feu/soin</t>
        </is>
      </c>
      <c r="B10807">
        <f>HYPERLINK("https://www.dofusbook.net/fr/equipement/2242326-feu-soin/objets", "link")</f>
        <v/>
      </c>
      <c r="C10807" t="n">
        <v>5</v>
      </c>
      <c r="D10807" t="inlineStr">
        <is>
          <t>Bêche Asse; Amulette Héroclite; Anneau Crustique; Anneau Chevelu; Bouclier du Stalak; Ceinture de la Cour Sombre; Masque de Koutoulou; Cape au Logis; Bottes de la Cour Sombre; Dofus Émeraude; Dofus Ivoire; Remueur; Nomade; Enragé majeur; Dévastateur Terre majeur; Bulbisou</t>
        </is>
      </c>
    </row>
    <row r="10808">
      <c r="A10808" t="inlineStr">
        <is>
          <t>Stuff 3</t>
        </is>
      </c>
      <c r="B10808">
        <f>HYPERLINK("https://www.dofusbook.net/fr/equipement/80022-stuff-3/objets", "link")</f>
        <v/>
      </c>
      <c r="C10808" t="n">
        <v>10</v>
      </c>
      <c r="D10808" t="inlineStr">
        <is>
          <t>Hache du Chalœil; Amulette du Strigide; Alliance du Lévitrof; Alliance Gloursonne; Bouclier d'Ilyzaelle; Ceintacé; Casque du Chalœil; Cape au Logis; Bottes du Strigide; Dofus des Glaces; Dofus Pourpre; Dofus Ivoire; Dofus Turquoise; Nomade; Remueur; Volkorne Doré et Ebène</t>
        </is>
      </c>
    </row>
    <row r="10809">
      <c r="A10809" t="inlineStr">
        <is>
          <t>Stuff 1</t>
        </is>
      </c>
      <c r="B10809">
        <f>HYPERLINK("https://www.dofusbook.net/fr/equipement/79985-stuff-1/objets", "link")</f>
        <v/>
      </c>
      <c r="C10809" t="n">
        <v>0</v>
      </c>
      <c r="D10809" t="inlineStr">
        <is>
          <t>Arc corrompu; Pendentif affamé; Anneau de Nidas; Anneau Tique; Bouclier du Stalak; Ceinture de Vortex; Couronne de Nidas; Voile d'encre; Pataugastrique; Dofus des Glaces; Dofus Ivoire; Érudit majeur; Remueur; Nomade; Guérisseur majeur; Bisouglours</t>
        </is>
      </c>
    </row>
    <row r="10810">
      <c r="A10810" t="inlineStr">
        <is>
          <t>terre/Air</t>
        </is>
      </c>
      <c r="B10810">
        <f>HYPERLINK("https://www.dofusbook.net/fr/equipement/3113517-terre-air/objets", "link")</f>
        <v/>
      </c>
      <c r="C10810" t="n">
        <v>0</v>
      </c>
      <c r="D10810" t="inlineStr">
        <is>
          <t>Manthache; Collier du Valet Veinard; Alliance Gloursonne; Gant du Valet Veinard; Cadran de Terre; Menoture; Dorabysses; Cape Indescriptible; Palmes Trithons; Dofus Ivoire; Dofus Pourpre; Remueur; Dévastateur Air majeur; Cascadeur majeur; Vigoureux majeur; Bwak d'Air</t>
        </is>
      </c>
    </row>
    <row r="10811">
      <c r="A10811" t="inlineStr">
        <is>
          <t>Osamodas F 200</t>
        </is>
      </c>
      <c r="B10811">
        <f>HYPERLINK("https://www.dofusbook.net/fr/equipement/4210031-osamodas-f-200/objets", "link")</f>
        <v/>
      </c>
      <c r="C10811" t="n">
        <v>6</v>
      </c>
      <c r="D10811" t="inlineStr">
        <is>
          <t>Sceptre du Roi Joueur; Amulette de Shokkoth; Bracelet des Fonds marins; Alliance Gloursonne; Bouclier du Stalak; Sangle Ouare; Casque Dragoeuf; Cape Solution; Sandales des Fonds marins; Dofus Émeraude; Déserteur majeur; Miraculé majeur; Chanceux majeur; Remueur; Dévastateur Eau majeur; Muldo Indigo et Orchidée</t>
        </is>
      </c>
    </row>
    <row r="10812">
      <c r="A10812" t="inlineStr">
        <is>
          <t>Stuff 2</t>
        </is>
      </c>
      <c r="B10812">
        <f>HYPERLINK("https://www.dofusbook.net/fr/equipement/80092-stuff-2/objets", "link")</f>
        <v/>
      </c>
      <c r="C10812" t="n">
        <v>5</v>
      </c>
      <c r="D10812" t="inlineStr">
        <is>
          <t>Héqache; Amulette du Strigide; Anneau Chevelu; Anneau Crustique; Bouclier du Stalak; Ceintouse; Chapoulpe; Voile d'encre; Baleinabottes; Dofus Pourpre; Dofus Ivoire; Dofus Turquoise; Nomade; Déserteur majeur; Remueur; Bwak de Terre</t>
        </is>
      </c>
    </row>
    <row r="10813">
      <c r="A10813" t="inlineStr">
        <is>
          <t>eau/air</t>
        </is>
      </c>
      <c r="B10813">
        <f>HYPERLINK("https://www.dofusbook.net/fr/equipement/3125033-eau-air/objets", "link")</f>
        <v/>
      </c>
      <c r="C10813" t="n">
        <v>1</v>
      </c>
      <c r="D10813" t="inlineStr">
        <is>
          <t>Manthache; Collier du Valet Veinard; Gant du Valet Veinard; Alliance Gloursonne; Cadran de Terre; Menoture; Dorabysses; Cape du Kamasterisk; Palmes Trithons; Dofus Ivoire; Dofus Abyssal; Remueur; Nomade; Fonceur majeur; Cascadeur majeur; Bwak d'Air</t>
        </is>
      </c>
    </row>
    <row r="10814">
      <c r="A10814" t="inlineStr">
        <is>
          <t>eau/air</t>
        </is>
      </c>
      <c r="B10814">
        <f>HYPERLINK("https://www.dofusbook.net/fr/equipement/4186502-eau-air/objets", "link")</f>
        <v/>
      </c>
      <c r="C10814" t="n">
        <v>2</v>
      </c>
      <c r="D10814" t="inlineStr">
        <is>
          <t>Hache du Korriandre; Amulette Volkorne; Anneau Tique; Alliance Gloursonne; Quatre-feuilles; Sangle Ouare; Némès de Tal Kasha; Chevelure de Tal Kasha; Pataugastrique; Dofus des Glaces; Dofus Ivoire; Dofus Turquoise; Dévastateur Feu majeur; Sanguinaire majeur; Remueur; El Scarador</t>
        </is>
      </c>
    </row>
    <row r="10815">
      <c r="A10815" t="inlineStr">
        <is>
          <t>air</t>
        </is>
      </c>
      <c r="B10815">
        <f>HYPERLINK("https://www.dofusbook.net/fr/equipement/3320268-air/objets", "link")</f>
        <v/>
      </c>
      <c r="C10815" t="n">
        <v>10</v>
      </c>
      <c r="D10815" t="inlineStr">
        <is>
          <t>Manthache; Collier du Valet Veinard; Alliance Gloursonne; Gant du Valet Veinard; Bouclier d'Ilyzaelle; Menoture; Casque Dragoeuf; Cape Indescriptible; Palmes Trithons; Dofus Abyssal; Dofus Ivoire; Dofus Émeraude; Remueur; Cascadeur majeur; Carapace Air majeur; Muldo Ebène</t>
        </is>
      </c>
    </row>
    <row r="10816">
      <c r="A10816" t="inlineStr">
        <is>
          <t>air pvp</t>
        </is>
      </c>
      <c r="B10816">
        <f>HYPERLINK("https://www.dofusbook.net/fr/equipement/3946873-air-pvp/objets", "link")</f>
        <v/>
      </c>
      <c r="C10816" t="n">
        <v>5</v>
      </c>
      <c r="D10816" t="inlineStr">
        <is>
          <t>Manthache; Collier du Valet Veinard; Gant du Valet Veinard; Alliance Gloursonne; Bouclier du Stalak; Menoture; Dorabysses; Cape du Kamasterisk; Palmes Trithons; Dofus Ivoire; Dofus Abyssal; Cascadeur majeur; Remueur; Carapace Air majeur; Nomade; Blérodoudou</t>
        </is>
      </c>
    </row>
    <row r="10817">
      <c r="A10817" t="inlineStr">
        <is>
          <t>terre/retait</t>
        </is>
      </c>
      <c r="B10817">
        <f>HYPERLINK("https://www.dofusbook.net/fr/equipement/2867086-terre-retait/objets", "link")</f>
        <v/>
      </c>
      <c r="C10817" t="n">
        <v>2</v>
      </c>
      <c r="D10817" t="inlineStr">
        <is>
          <t>Lav'Hache; Amulette du Strigide; Anneau Crustique; Alliance Gloursonne; Bouclier alvéolé; Ceinture de la Cour Sombre; Masque de Koutoulou; Cape de la Cour Sombre; Tentassons; Dofus Ivoire; Dofus Émeraude; Étourdisseur majeur; Remueur; Enragé majeur; Nomade; Drakopin</t>
        </is>
      </c>
    </row>
    <row r="10818">
      <c r="A10818" t="inlineStr">
        <is>
          <t>testedrag</t>
        </is>
      </c>
      <c r="B10818">
        <f>HYPERLINK("https://www.dofusbook.net/fr/equipement/2867076-testedrag/objets", "link")</f>
        <v/>
      </c>
      <c r="C10818" t="n">
        <v>0</v>
      </c>
      <c r="D10818" t="inlineStr">
        <is>
          <t>Amulette du Strigide; Anneau Crustique; Alliance Gloursonne; Bouclier d'Ilyzaelle; Ceinture de la Cour Sombre; Casque Dragoeuf; Cape de la Cour Sombre; Baleinabottes; Dofus Ivoire; Dofus Émeraude; Enragé majeur; Remueur; Étourdisseur majeur; Nomade; Drakopin</t>
        </is>
      </c>
    </row>
    <row r="10819">
      <c r="A10819" t="inlineStr">
        <is>
          <t>fullterre/retraitPA</t>
        </is>
      </c>
      <c r="B10819">
        <f>HYPERLINK("https://www.dofusbook.net/fr/equipement/1708908-fullterre-retraitpa/objets", "link")</f>
        <v/>
      </c>
      <c r="C10819" t="n">
        <v>1</v>
      </c>
      <c r="D10819" t="inlineStr">
        <is>
          <t>Marteau R'ture; Amulette du Strigide; Alliance Gloursonne; Anneau Crustique; Bouclier alvéolé; Ceintouse; Masque de Koutoulou; Voile d'encre; Tentassons; Dofus Ivoire; Dofus Émeraude; Enragé majeur; Remueur; Étourdisseur majeur; Obstructeur majeur; Drakopin</t>
        </is>
      </c>
    </row>
    <row r="10820">
      <c r="A10820" t="inlineStr">
        <is>
          <t>full eau pvp</t>
        </is>
      </c>
      <c r="B10820">
        <f>HYPERLINK("https://www.dofusbook.net/fr/equipement/3952337-full-eau-pvp/objets", "link")</f>
        <v/>
      </c>
      <c r="C10820" t="n">
        <v>3</v>
      </c>
      <c r="D10820" t="inlineStr">
        <is>
          <t>Sceptre du Roi Joueur; Amulette de Shokkoth; Anneau Tique; Alliance Gloursonne; Cadran de Feu; Poulpagne; Casque Dragoeuf; Cape du Sinistrofu; Bottes du Sinistrofu; Dofus Émeraude; Dofus Ivoire; Chanceux majeur; Remueur; Dévastateur Eau majeur; Nomade; Pioute bleu</t>
        </is>
      </c>
    </row>
    <row r="10821">
      <c r="A10821" t="inlineStr">
        <is>
          <t>eau retrait</t>
        </is>
      </c>
      <c r="B10821">
        <f>HYPERLINK("https://www.dofusbook.net/fr/equipement/4156298-eau-retrait/objets", "link")</f>
        <v/>
      </c>
      <c r="C10821" t="n">
        <v>1</v>
      </c>
      <c r="D10821" t="inlineStr">
        <is>
          <t>Sceptre du Roi Joueur; Amulette de Shokkoth; Alliance Gloursonne; Bracelet des Fonds marins; Sept ans de malheur; Sangle Ouare; Masque de Funespadon; Cape Solution; Chaussons de Macrab; Dofus des Glaces; Dofus Abyssal; Dofus Ivoire; Remueur; Étourdisseur majeur; Chanceux majeur; Kanigloups</t>
        </is>
      </c>
    </row>
    <row r="10822">
      <c r="A10822" t="inlineStr">
        <is>
          <t>Stuff 3</t>
        </is>
      </c>
      <c r="B10822">
        <f>HYPERLINK("https://www.dofusbook.net/fr/equipement/80093-stuff-3/objets", "link")</f>
        <v/>
      </c>
      <c r="C10822" t="n">
        <v>0</v>
      </c>
      <c r="D10822" t="inlineStr">
        <is>
          <t>Manthache; Collier du Valet Veinard; Alliance Gloursonne; Gant du Valet Veinard; Sept ans de malheur; Menoture; Dorabysses; Cape du Kamasterisk; Palmes Trithons; Dofus Émeraude; Dofus Abyssal; Étourdisseur majeur; Cascadeur majeur; Carapace Air majeur; Remueur</t>
        </is>
      </c>
    </row>
    <row r="10823">
      <c r="A10823" t="inlineStr">
        <is>
          <t>12/6</t>
        </is>
      </c>
      <c r="B10823">
        <f>HYPERLINK("https://www.dofusbook.net/fr/equipement/4143654-12-6/objets", "link")</f>
        <v/>
      </c>
      <c r="C10823" t="n">
        <v>2</v>
      </c>
      <c r="D10823" t="inlineStr">
        <is>
          <t>Manthache; Collier du Valet Veinard; Gant du Valet Veinard; Alliance Gloursonne; Cadran d'Air; Ceintouse; Chapoulpe; Cape du Valet Veinard; Tentassons; Dofus Turquoise; Dofus Ocre; Dofus Pourpre; Dofus des Glaces; Dofus Ivoire; Féroce majeur; Muldo Ebène</t>
        </is>
      </c>
    </row>
    <row r="10824">
      <c r="A10824" t="inlineStr">
        <is>
          <t>air</t>
        </is>
      </c>
      <c r="B10824">
        <f>HYPERLINK("https://www.dofusbook.net/fr/equipement/3113508-air/objets", "link")</f>
        <v/>
      </c>
      <c r="C10824" t="n">
        <v>3</v>
      </c>
      <c r="D10824" t="inlineStr">
        <is>
          <t>Lance Horselé; Collier du Valet Veinard; Gant du Valet Veinard; Alliance Gloursonne; Cadran de Terre; Menoture; Dorabysses; Cape du Barbétoal; Palmes Trithons; Dofus Ivoire; Dofus Abyssal; Cascadeur majeur; Paralyseur majeur; Étourdisseur majeur; Remueur; Muldo Ebène et Indigo</t>
        </is>
      </c>
    </row>
    <row r="10825">
      <c r="A10825" t="inlineStr">
        <is>
          <t>terre/air/ret</t>
        </is>
      </c>
      <c r="B10825">
        <f>HYPERLINK("https://www.dofusbook.net/fr/equipement/3125010-terre-air-ret/objets", "link")</f>
        <v/>
      </c>
      <c r="C10825" t="n">
        <v>2</v>
      </c>
      <c r="D10825" t="inlineStr">
        <is>
          <t>Lance Horselé; Collier du Valet Veinard; Alliance Gloursonne; Gant du Valet Veinard; Bouclier du Stalak; Menoture; Casque Dragoeuf; Chevelure de Tal Kasha; Palmes Trithons; Dofus Abyssal; Dofus Ivoire; Remueur; Étourdisseur majeur; Nomade; Cascadeur majeur; Boskito</t>
        </is>
      </c>
    </row>
    <row r="10826">
      <c r="A10826" t="inlineStr">
        <is>
          <t>terre/retait</t>
        </is>
      </c>
      <c r="B10826">
        <f>HYPERLINK("https://www.dofusbook.net/fr/equipement/2867084-terre-retait/objets", "link")</f>
        <v/>
      </c>
      <c r="C10826" t="n">
        <v>3</v>
      </c>
      <c r="D10826" t="inlineStr">
        <is>
          <t>Marteau R'ture; Amulette du Cœur Vaillant; Anneau Crustique; Alliance Gloursonne; Bouclier d'Ilyzaelle; Menoture; Casque Dragoeuf; Cape du Cœur Vaillant; Tentassons; Dofus des Glaces; Dofus Ivoire; Nomade; Obstructeur majeur; Remueur; Étourdisseur majeur; Drakopin</t>
        </is>
      </c>
    </row>
    <row r="10827">
      <c r="A10827" t="inlineStr">
        <is>
          <t>feu/eau/air</t>
        </is>
      </c>
      <c r="B10827">
        <f>HYPERLINK("https://www.dofusbook.net/fr/equipement/3047783-feu-eau-air/objets", "link")</f>
        <v/>
      </c>
      <c r="C10827" t="n">
        <v>8</v>
      </c>
      <c r="D10827" t="inlineStr">
        <is>
          <t>Arc Honte; Amulette de l'Œil Putride; Alliance Gloursonne; Anneau Tique; Bouclier du Stalak; Ceinture de l'Indicible; Kidibonnet; Voile d'encre; Bottes de l'Indicible; Dofus des Glaces; Dofus Ivoire; Remueur; Sanguinaire majeur; Nomade; Féroce majeur; Pioute violet</t>
        </is>
      </c>
    </row>
    <row r="10828">
      <c r="A10828" t="inlineStr">
        <is>
          <t>aori</t>
        </is>
      </c>
      <c r="B10828">
        <f>HYPERLINK("https://www.dofusbook.net/fr/equipement/3459437-aori/objets", "link")</f>
        <v/>
      </c>
      <c r="C10828" t="n">
        <v>9</v>
      </c>
      <c r="D10828" t="inlineStr">
        <is>
          <t>Hache du Korriandre; Amulette de l'Œil Putride; Anneau Tique; Alliance Gloursonne; Bouclier du Stalak; Ceinture de l'Indicible; Kidibonnet; Voile d'encre; Bottes de l'Indicible; Dofus des Glaces; Dofus Ivoire; Dévastateur Feu majeur; Sanguinaire majeur; Remueur; Nomade; Pioute violet</t>
        </is>
      </c>
    </row>
    <row r="10829">
      <c r="A10829" t="inlineStr">
        <is>
          <t>salvateur</t>
        </is>
      </c>
      <c r="B10829">
        <f>HYPERLINK("https://www.dofusbook.net/fr/equipement/3417556-salvateur/objets", "link")</f>
        <v/>
      </c>
      <c r="C10829" t="n">
        <v>3</v>
      </c>
      <c r="D10829" t="inlineStr">
        <is>
          <t>Baguette Hique; Amulette de l'Indicible; Anneau de Nidas; Alliance Gloursonne; Bouclier du Stalak; Ceintacé; Chapeau des Malveilleurs; Voile d'encre; Bottes de l'Indicible; Dofus Ivoire; Dofus des Glaces; Féroce majeur; Remueur; Nomade; Sanguinaire majeur; Pioute violet</t>
        </is>
      </c>
    </row>
    <row r="10830">
      <c r="A10830" t="inlineStr">
        <is>
          <t>dopou 3</t>
        </is>
      </c>
      <c r="B10830">
        <f>HYPERLINK("https://www.dofusbook.net/fr/equipement/3292797-dopou-3/objets", "link")</f>
        <v/>
      </c>
      <c r="C10830" t="n">
        <v>3</v>
      </c>
      <c r="D10830" t="inlineStr">
        <is>
          <t>Arc du Chalœil; Torquistik; Bague Trithon; Bague Instable; Bouclier précieux; Sangle Ouare; Casque Dragoeuf; Cape Solution; Bottistik; Dofus Ivoire; Bousculeur majeur; Culbuteur; Nomade; Remueur; Culbuteur majeur; Péki</t>
        </is>
      </c>
    </row>
    <row r="10831">
      <c r="A10831" t="inlineStr">
        <is>
          <t>Stuff 2</t>
        </is>
      </c>
      <c r="B10831">
        <f>HYPERLINK("https://www.dofusbook.net/fr/equipement/80051-stuff-2/objets", "link")</f>
        <v/>
      </c>
      <c r="C10831" t="n">
        <v>2</v>
      </c>
      <c r="D10831" t="inlineStr">
        <is>
          <t>Baguette de Malléfisk; Amulette de Nileza; Anneau de Nidas; Anneau Tique; Bouclier du Chouque; Ceinture de Vortex; Cagoule de Vortex; Voile d'encre; Pataugastrique; Dofus Ivoire; Obstructeur majeur; Étourdisseur majeur; Remueur; Érudit majeur; Nomade; Bilby</t>
        </is>
      </c>
    </row>
    <row r="10832">
      <c r="A10832" t="inlineStr">
        <is>
          <t>Sadida F 200</t>
        </is>
      </c>
      <c r="B10832">
        <f>HYPERLINK("https://www.dofusbook.net/fr/equipement/3377744-sadida-f-200/objets", "link")</f>
        <v/>
      </c>
      <c r="C10832" t="n">
        <v>3</v>
      </c>
      <c r="D10832" t="inlineStr">
        <is>
          <t>Arc Honte; Amulette de l'Indicible; Anneau de Nidas; Alliance Gloursonne; Bouclier du Stalak; Ceintacé; Casque d'Ilyzaelle; Cape de l'Œil Putride; Bottes de l'Indicible; Dofus des Glaces; Dofus Ivoire; Remueur; Sanguinaire majeur; Nomade; Féroce majeur; Willy le Relou</t>
        </is>
      </c>
    </row>
    <row r="10833">
      <c r="A10833" t="inlineStr">
        <is>
          <t>terre pvp</t>
        </is>
      </c>
      <c r="B10833">
        <f>HYPERLINK("https://www.dofusbook.net/fr/equipement/3497668-terre-pvp/objets", "link")</f>
        <v/>
      </c>
      <c r="C10833" t="n">
        <v>10</v>
      </c>
      <c r="D10833" t="inlineStr">
        <is>
          <t>Dagues Érhy; Collier de Tourthon; Anneau Chevelu; Anneau Volkorne; Bouclier du Stalak; Ceinture Volkorne; Masque de Koutoulou; Cape au Logis; Chaussons de Macrab; Dofus Ivoire; Dofus Pourpre; Dofus des Glaces; Dévastateur Terre majeur; Remueur; Nomade; Bulbisou</t>
        </is>
      </c>
    </row>
    <row r="10834">
      <c r="A10834" t="inlineStr">
        <is>
          <t>Stuff 3</t>
        </is>
      </c>
      <c r="B10834">
        <f>HYPERLINK("https://www.dofusbook.net/fr/equipement/79981-stuff-3/objets", "link")</f>
        <v/>
      </c>
      <c r="C10834" t="n">
        <v>7</v>
      </c>
      <c r="D10834" t="inlineStr">
        <is>
          <t>Dagues de Srambad; Amulette du Strigide; Alliance Gloursonne; Bracelet du Piloztère; Bouclier d'Ilyzaelle; Ceinture de la Reine des Voleurs; Coiffe de la Reine des Voleurs; Voile d'encre; Baleinabottes; Dofus Abyssal; Dofus Ivoire; Dofus des Glaces; Remueur; Nomade; Carapace Air majeur; El Scarador</t>
        </is>
      </c>
    </row>
    <row r="10835">
      <c r="A10835" t="inlineStr">
        <is>
          <t>terre dopou</t>
        </is>
      </c>
      <c r="B10835">
        <f>HYPERLINK("https://www.dofusbook.net/fr/equipement/3552209-terre-dopou/objets", "link")</f>
        <v/>
      </c>
      <c r="C10835" t="n">
        <v>5</v>
      </c>
      <c r="D10835" t="inlineStr">
        <is>
          <t>Arc du Chalœil; Torquistik; Bague Trithon; Bague Instable; Bouclier précieux; Ceinture Gence; Casque Dragoeuf; Voile d'encre; Bottistik; Dofus Ivoire; Pousseur majeur; Remueur; Bousculeur majeur; Nomade; Culbuteur majeur; Péki</t>
        </is>
      </c>
    </row>
    <row r="10836">
      <c r="A10836" t="inlineStr">
        <is>
          <t>teste aori</t>
        </is>
      </c>
      <c r="B10836">
        <f>HYPERLINK("https://www.dofusbook.net/fr/equipement/3373434-teste-aori/objets", "link")</f>
        <v/>
      </c>
      <c r="C10836" t="n">
        <v>7</v>
      </c>
      <c r="D10836" t="inlineStr">
        <is>
          <t>Arc Honte; Amulette Volkorne; Anneau Volkorne; Alliance Gloursonne; Bouclier du Stalak; Sangle Ouare; Casque d'Ilyzaelle; Voile d'encre; Pantoufles Émar; Dofus Ivoire; Dofus Pourpre; Dofus des Glaces; Féroce majeur; Sanguinaire majeur; Remueur; Willy le Relou</t>
        </is>
      </c>
    </row>
    <row r="10837">
      <c r="A10837" t="inlineStr">
        <is>
          <t>air dopou</t>
        </is>
      </c>
      <c r="B10837">
        <f>HYPERLINK("https://www.dofusbook.net/fr/equipement/3930887-air-dopou/objets", "link")</f>
        <v/>
      </c>
      <c r="C10837" t="n">
        <v>0</v>
      </c>
      <c r="D10837" t="inlineStr">
        <is>
          <t>Hachoirs de Viandargh; Amibou; Anneau de Pol Ouatnos; Bague Instable; Bouclier précieux; Menoture; Casque Dragoeuf; Capibou; Palmes Trithons; Dofus Ivoire; Remueur; Culbuteur majeur; Nomade; Culbuteur; Bousculeur majeur; Tofoudre</t>
        </is>
      </c>
    </row>
    <row r="10838">
      <c r="A10838" t="inlineStr">
        <is>
          <t>feu</t>
        </is>
      </c>
      <c r="B10838">
        <f>HYPERLINK("https://www.dofusbook.net/fr/equipement/2959394-feu/objets", "link")</f>
        <v/>
      </c>
      <c r="C10838" t="n">
        <v>4</v>
      </c>
      <c r="D10838" t="inlineStr">
        <is>
          <t>Arc corrompu; Amulette de Nileza; Anneau Tique; Bague Gloursonne; Cadran de Terre; Ceinture de Vortex; Couronne de Nidas; Cape de Nileza; Pataugastrique; Dofus Ivoire; Nomade; Étourdisseur majeur; Érudit majeur; Remueur; Guérisseur majeur</t>
        </is>
      </c>
    </row>
    <row r="10839">
      <c r="A10839" t="inlineStr">
        <is>
          <t>terre/eau/air</t>
        </is>
      </c>
      <c r="B10839">
        <f>HYPERLINK("https://www.dofusbook.net/fr/equipement/2701046-terre-eau-air/objets", "link")</f>
        <v/>
      </c>
      <c r="C10839" t="n">
        <v>7</v>
      </c>
      <c r="D10839" t="inlineStr">
        <is>
          <t>Héqache; Amulette du Strigide; Alliance Gloursonne; Anneau Chevelu; Bouclier d'Ilyzaelle; Ceinture de la Reine des Voleurs; Masque de Koutoulou; Voile d'encre; Bottes de la Reine des Voleurs; Dofus Turquoise; Dofus Ivoire; Dofus des Glaces; Dofus Nébuleux; Nomade; Remueur; El Scarador</t>
        </is>
      </c>
    </row>
    <row r="10840">
      <c r="A10840" t="inlineStr">
        <is>
          <t>feu/eau</t>
        </is>
      </c>
      <c r="B10840">
        <f>HYPERLINK("https://www.dofusbook.net/fr/equipement/3437221-feu-eau/objets", "link")</f>
        <v/>
      </c>
      <c r="C10840" t="n">
        <v>4</v>
      </c>
      <c r="D10840" t="inlineStr">
        <is>
          <t>Arc Honte; Amulette de l'Œil Putride; Anneau Tique; Alliance Gloursonne; Bouclier du Stalak; Ceinture de l'Indicible; Kidibonnet; Voile d'encre; Bottes de l'Indicible; Dofus Ivoire; Dofus des Glaces; Féroce majeur; Remueur; Sanguinaire majeur; Nomade; Pioute violet</t>
        </is>
      </c>
    </row>
    <row r="10841">
      <c r="A10841" t="inlineStr">
        <is>
          <t>Stuff 2</t>
        </is>
      </c>
      <c r="B10841">
        <f>HYPERLINK("https://www.dofusbook.net/fr/equipement/80057-stuff-2/objets", "link")</f>
        <v/>
      </c>
      <c r="C10841" t="n">
        <v>9</v>
      </c>
      <c r="D10841" t="inlineStr">
        <is>
          <t>Arc corrompu; Amulette de Nileza; Anneau de Nidas; Anneau Tique; Bouclier du Stalak; Protopagne; Couronne de Nidas; Voile d'encre; Pataugastrique; Dofus Ivoire; Dofus Abyssal; Miraculé majeur; Déserteur majeur; Remueur; Érudit majeur; Shushu de Rushu</t>
        </is>
      </c>
    </row>
    <row r="10842">
      <c r="A10842" t="inlineStr">
        <is>
          <t>air 2</t>
        </is>
      </c>
      <c r="B10842">
        <f>HYPERLINK("https://www.dofusbook.net/fr/equipement/3050825-air-2/objets", "link")</f>
        <v/>
      </c>
      <c r="C10842" t="n">
        <v>10</v>
      </c>
      <c r="D10842" t="inlineStr">
        <is>
          <t>Manthache; Collier Rophante; Alliance Gloursonne; Gant du Valet Veinard; Cadran de Feu; Menoture; Couronne d'Allister; Cape du Valet Veinard; Bottes de l'Indicible; Dofus Ivoire; Remueur; Miraculé majeur; Cascadeur majeur; Dévastateur Air majeur; Muldo Ebène et Indigo</t>
        </is>
      </c>
    </row>
    <row r="10843">
      <c r="A10843" t="inlineStr">
        <is>
          <t>terre/air</t>
        </is>
      </c>
      <c r="B10843">
        <f>HYPERLINK("https://www.dofusbook.net/fr/equipement/2900187-terre-air/objets", "link")</f>
        <v/>
      </c>
      <c r="C10843" t="n">
        <v>3</v>
      </c>
      <c r="D10843" t="inlineStr">
        <is>
          <t>Héqache; Amulette du Strigide; Bracelet du Piloztère; Alliance Gloursonne; Bouclier d'Ilyzaelle; Ceintacé; Coiffe de la Fuji Givrefoux; Cape du Kamasterisk; Bottes du Strigide; Dofus Abyssal; Dofus des Glaces; Dofus Ivoire; Dofus Pourpre; Remueur; Nomade; El Scarador</t>
        </is>
      </c>
    </row>
    <row r="10844">
      <c r="A10844" t="inlineStr">
        <is>
          <t>air/ret</t>
        </is>
      </c>
      <c r="B10844">
        <f>HYPERLINK("https://www.dofusbook.net/fr/equipement/3141764-air-ret/objets", "link")</f>
        <v/>
      </c>
      <c r="C10844" t="n">
        <v>2</v>
      </c>
      <c r="D10844" t="inlineStr">
        <is>
          <t>Lance Horselé; Collier du Valet Veinard; Gant du Valet Veinard; Alliance Gloursonne; Cadran de Terre; Menoture; Casque Dragoeuf; Cape du Barbétoal; Palmes Trithons; Dofus Ivoire; Dofus Émeraude; Dofus Abyssal; Étourdisseur majeur; Remueur; Cascadeur majeur; Muldo Ebène et Indigo</t>
        </is>
      </c>
    </row>
    <row r="10845">
      <c r="A10845" t="inlineStr">
        <is>
          <t>Stuff 2</t>
        </is>
      </c>
      <c r="B10845">
        <f>HYPERLINK("https://www.dofusbook.net/fr/equipement/80066-stuff-2/objets", "link")</f>
        <v/>
      </c>
      <c r="C10845" t="n">
        <v>7</v>
      </c>
      <c r="D10845" t="inlineStr">
        <is>
          <t>Dagues Érhy; Amulette d'Ilyzaelle; Anneau Tique; Anneau de Nidas; Bouclier du Stalak; Ceinture du Barbétoal; Casque d'Ilyzaelle; Voile d'encre; Pataugastrique; Dofus Ivoire; Dofus des Glaces; Dévastateur Feu majeur; Féroce majeur; Temporiseur majeur; Remueur; Muldo Ebène et Pourpre</t>
        </is>
      </c>
    </row>
    <row r="10846">
      <c r="A10846" t="inlineStr">
        <is>
          <t>teste dopou</t>
        </is>
      </c>
      <c r="B10846">
        <f>HYPERLINK("https://www.dofusbook.net/fr/equipement/3442445-teste-dopou/objets", "link")</f>
        <v/>
      </c>
      <c r="C10846" t="n">
        <v>0</v>
      </c>
      <c r="D10846" t="inlineStr">
        <is>
          <t>Arc du Chalœil; Torquistik; Alliance Gloursonne; Bague Trithon; Bouclier précieux; L'Élémenture; Masque d'Anerice; Cape d'Anerice; Baleinabottes; Dofus Ivoire; Pousseur majeur; Remueur; Bousculeur majeur; Nomade; Culbuteur majeur; Volkorne Doré et Roux</t>
        </is>
      </c>
    </row>
    <row r="10847">
      <c r="A10847" t="inlineStr">
        <is>
          <t>eau pvp</t>
        </is>
      </c>
      <c r="B10847">
        <f>HYPERLINK("https://www.dofusbook.net/fr/equipement/3375618-eau-pvp/objets", "link")</f>
        <v/>
      </c>
      <c r="C10847" t="n">
        <v>16</v>
      </c>
      <c r="D10847" t="inlineStr">
        <is>
          <t>Sceptre du Roi Joueur; Amulette de Shokkoth; Bracelet des Fonds marins; Alliance Gloursonne; Carapar; Sangle Ouare; Casque Dragoeuf; Cape Solution; Bottes de l'Indicible; Dofus Émeraude; Miraculé majeur; Déserteur majeur; Chanceux majeur; Remueur; Dévastateur Eau majeur; El Scarador</t>
        </is>
      </c>
    </row>
    <row r="10848">
      <c r="A10848" t="inlineStr">
        <is>
          <t>full terre</t>
        </is>
      </c>
      <c r="B10848">
        <f>HYPERLINK("https://www.dofusbook.net/fr/equipement/3302394-full-terre/objets", "link")</f>
        <v/>
      </c>
      <c r="C10848" t="n">
        <v>7</v>
      </c>
      <c r="D10848" t="inlineStr">
        <is>
          <t>Marteau R'ture; Amulette du Strigide; Anneau Chevelu; Bague Gloursonne; Bouclier d'Ilyzaelle; Ceinture du Strigide; Masque de Koutoulou; Voile d'encre; Bottes de la Cour Sombre; Dofus Turquoise; Dofus Nébuleux; Dofus Pourpre; Dofus Ivoire; Remueur; Nomade; Kramkram</t>
        </is>
      </c>
    </row>
    <row r="10849">
      <c r="A10849" t="inlineStr">
        <is>
          <t>drag/air</t>
        </is>
      </c>
      <c r="B10849">
        <f>HYPERLINK("https://www.dofusbook.net/fr/equipement/3328252-drag-air/objets", "link")</f>
        <v/>
      </c>
      <c r="C10849" t="n">
        <v>2</v>
      </c>
      <c r="D10849" t="inlineStr">
        <is>
          <t>Manthache; Collier du Valet Veinard; Alliance Gloursonne; Gant du Valet Veinard; Cadran de Terre; Menoture; Casque Dragoeuf; Cape d'Hel Munster; Palmes Trithons; Dofus des Glaces; Dofus Abyssal; Dofus Ivoire; Remueur; Cascadeur majeur; Étourdisseur majeur; Muldo Ebène et Orchidée</t>
        </is>
      </c>
    </row>
    <row r="10850">
      <c r="A10850" t="inlineStr">
        <is>
          <t>drag/Eau</t>
        </is>
      </c>
      <c r="B10850">
        <f>HYPERLINK("https://www.dofusbook.net/fr/equipement/3328238-drag-eau/objets", "link")</f>
        <v/>
      </c>
      <c r="C10850" t="n">
        <v>1</v>
      </c>
      <c r="D10850" t="inlineStr">
        <is>
          <t>Sceptre du Roi Joueur; Amulette Voldelor; Bracelet des Fonds marins; Alliance Gloursonne; Cadran de Terre; Ceinture du Barbétoal; Casque Dragoeuf; Cape du Barbétoal; Pataugastrique; Dofus Ivoire; Dofus des Glaces; Dofus Abyssal; Étourdisseur majeur; Remueur; Chanceux majeur; Muldo Ebène et Indigo</t>
        </is>
      </c>
    </row>
    <row r="10851">
      <c r="A10851" t="inlineStr">
        <is>
          <t>feu</t>
        </is>
      </c>
      <c r="B10851">
        <f>HYPERLINK("https://www.dofusbook.net/fr/equipement/3027207-feu/objets", "link")</f>
        <v/>
      </c>
      <c r="C10851" t="n">
        <v>2</v>
      </c>
      <c r="D10851" t="inlineStr">
        <is>
          <t>Arc corrompu; Amulette de Nileza; Anneau Tique; Anneau de Nidas; Cadran de Terre; Ceinture de Vortex; Couronne de Nidas; Voile d'encre; Pataugastrique; Dofus Émeraude; Dofus Turquoise; Dofus Ivoire; Érudit majeur; Remueur; Nomade; Muldo Orchidée et Pourpre</t>
        </is>
      </c>
    </row>
    <row r="10852">
      <c r="A10852" t="inlineStr">
        <is>
          <t>terre eau</t>
        </is>
      </c>
      <c r="B10852">
        <f>HYPERLINK("https://www.dofusbook.net/fr/equipement/3224895-terre-eau/objets", "link")</f>
        <v/>
      </c>
      <c r="C10852" t="n">
        <v>2</v>
      </c>
      <c r="D10852" t="inlineStr">
        <is>
          <t>Dagues de Srambad; Amulette Luminescente; Anneau Crustique; Alliance Gloursonne; Cadran d'Air; Ceinture de la Reine des Voleurs; Masque de Funespadon; Cape Solution; Chaussons de Macrab; Dofus Abyssal; Dofus Ivoire; Remueur; Étourdisseur majeur; Nomade; Temporiseur majeur; Muldo Ebène et Indigo</t>
        </is>
      </c>
    </row>
    <row r="10853">
      <c r="A10853" t="inlineStr">
        <is>
          <t>full air</t>
        </is>
      </c>
      <c r="B10853">
        <f>HYPERLINK("https://www.dofusbook.net/fr/equipement/3224798-full-air/objets", "link")</f>
        <v/>
      </c>
      <c r="C10853" t="n">
        <v>5</v>
      </c>
      <c r="D10853" t="inlineStr">
        <is>
          <t>Lance Horselé; Collier du Valet Veinard; Gant du Valet Veinard; Alliance Gloursonne; Cadran de Terre; Menoture; Dorabysses; Cape du Barbétoal; Palmes Trithons; Dofus Ivoire; Dofus Abyssal; Cascadeur majeur; Remueur; Étourdisseur majeur; Évasif majeur; Muldo Ebène et Indigo</t>
        </is>
      </c>
    </row>
    <row r="10854">
      <c r="A10854" t="inlineStr">
        <is>
          <t>terre</t>
        </is>
      </c>
      <c r="B10854">
        <f>HYPERLINK("https://www.dofusbook.net/fr/equipement/3219290-terre/objets", "link")</f>
        <v/>
      </c>
      <c r="C10854" t="n">
        <v>0</v>
      </c>
      <c r="D10854" t="inlineStr">
        <is>
          <t>Arc du Chalœil; Amulette du Strigide; Bague Gloursonne; Anneau Chevelu; Cadran de Terre; Ceinture du Strigide; Masque de Koutoulou; Voile d'encre; Bottes de la Cour Sombre; Dofus des Glaces; Dofus Abyssal; Dofus Ivoire; Remueur; Nomade; Enragé majeur; El Scarador</t>
        </is>
      </c>
    </row>
    <row r="10855">
      <c r="A10855" t="inlineStr">
        <is>
          <t>terre/retait</t>
        </is>
      </c>
      <c r="B10855">
        <f>HYPERLINK("https://www.dofusbook.net/fr/equipement/2867078-terre-retait/objets", "link")</f>
        <v/>
      </c>
      <c r="C10855" t="n">
        <v>2</v>
      </c>
      <c r="D10855" t="inlineStr">
        <is>
          <t>Lav'Hache; Amulette du Cœur Vaillant; Alliance Gloursonne; Anneau Crustique; Sept ans de malheur; Menoture; Chapoulpe; Cape de la Cour Sombre; Tentassons; Dofus Émeraude; Dofus Ivoire; Fonceur majeur; Obstructeur majeur; Remueur; Étourdisseur majeur; Muldo Ebène et Indigo</t>
        </is>
      </c>
    </row>
    <row r="10856">
      <c r="A10856" t="inlineStr">
        <is>
          <t>eau/air/ret</t>
        </is>
      </c>
      <c r="B10856">
        <f>HYPERLINK("https://www.dofusbook.net/fr/equipement/3148410-eau-air-ret/objets", "link")</f>
        <v/>
      </c>
      <c r="C10856" t="n">
        <v>1</v>
      </c>
      <c r="D10856" t="inlineStr">
        <is>
          <t>Lance Horselé; Collier du Valet Veinard; Alliance Gloursonne; Gant du Valet Veinard; Sept ans de malheur; Menoture; Dorabysses; Cape du Barbétoal; Palmes Trithons; Dofus Abyssal; Dofus Ivoire; Remueur; Cascadeur majeur; Étourdisseur majeur; Muldo Ebène et Indigo</t>
        </is>
      </c>
    </row>
    <row r="10857">
      <c r="A10857" t="inlineStr">
        <is>
          <t>air/retrait</t>
        </is>
      </c>
      <c r="B10857">
        <f>HYPERLINK("https://www.dofusbook.net/fr/equipement/3125570-air-retrait/objets", "link")</f>
        <v/>
      </c>
      <c r="C10857" t="n">
        <v>0</v>
      </c>
      <c r="D10857" t="inlineStr">
        <is>
          <t>Manthache; Collier du Valet Veinard; Alliance Gloursonne; Gant du Valet Veinard; Sept ans de malheur; Menoture; Dorabysses; Cape du Barbétoal; Palmes Trithons; Dofus Abyssal; Dofus Ivoire; Étourdisseur majeur; Remueur; Cascadeur majeur; Muldo Ebène et Orchidée</t>
        </is>
      </c>
    </row>
    <row r="10858">
      <c r="A10858" t="inlineStr">
        <is>
          <t>air/retrait</t>
        </is>
      </c>
      <c r="B10858">
        <f>HYPERLINK("https://www.dofusbook.net/fr/equipement/3113530-air-retrait/objets", "link")</f>
        <v/>
      </c>
      <c r="C10858" t="n">
        <v>0</v>
      </c>
      <c r="D10858" t="inlineStr">
        <is>
          <t>Lance Horselé; Collier du Valet Veinard; Anneau Crustique; Alliance Gloursonne; Sept ans de malheur; Ceintouse; Masque de Koutoulou; Cape du Kamasterisk; Tentassons; Dofus Ivoire; Dofus Abyssal; Cascadeur majeur; Remueur; Étourdisseur majeur; Enragé majeur; Muldo Ebène et Indigo</t>
        </is>
      </c>
    </row>
    <row r="10859">
      <c r="A10859" t="inlineStr">
        <is>
          <t>terre/air</t>
        </is>
      </c>
      <c r="B10859">
        <f>HYPERLINK("https://www.dofusbook.net/fr/equipement/1940145-terre-air/objets", "link")</f>
        <v/>
      </c>
      <c r="C10859" t="n">
        <v>0</v>
      </c>
      <c r="D10859" t="inlineStr">
        <is>
          <t>Manthache; Amulette du Cœur Vaillant; Alliance Gloursonne; Anneau Crustique; Sept ans de malheur; Menoture; Chapoulpe; Voile d'encre; Tentassons</t>
        </is>
      </c>
    </row>
    <row r="10860">
      <c r="A10860" t="inlineStr">
        <is>
          <t>anerice/srambad</t>
        </is>
      </c>
      <c r="B10860">
        <f>HYPERLINK("https://www.dofusbook.net/fr/equipement/3042626-anerice-srambad/objets", "link")</f>
        <v/>
      </c>
      <c r="C10860" t="n">
        <v>2</v>
      </c>
      <c r="D10860" t="inlineStr">
        <is>
          <t>Dagues de Srambad; Amulette Luminescente; Pikano; Alliance Gloursonne; Bouclier précieux; Sangle Ouare; Masque d'Anerice; Cape d'Anerice; Baleinabottes; Dofus Émeraude; Culbuteur majeur; Miraculé majeur; Bousculeur majeur; Remueur; Cube</t>
        </is>
      </c>
    </row>
    <row r="10861">
      <c r="A10861" t="inlineStr">
        <is>
          <t>anerice/fullvita</t>
        </is>
      </c>
      <c r="B10861">
        <f>HYPERLINK("https://www.dofusbook.net/fr/equipement/3042552-anerice-fullvita/objets", "link")</f>
        <v/>
      </c>
      <c r="C10861" t="n">
        <v>1</v>
      </c>
      <c r="D10861" t="inlineStr">
        <is>
          <t>Héqache; Amulette Luminescente; Pikano; Alliance Gloursonne; Bouclier précieux; Sangle Ouare; Masque d'Anerice; Cape d'Anerice; Baleinabottes; Dofus Émeraude; Remueur; Culbuteur majeur; Bousculeur majeur; Évasif majeur; Cube</t>
        </is>
      </c>
    </row>
    <row r="10862">
      <c r="A10862" t="inlineStr">
        <is>
          <t>air 2</t>
        </is>
      </c>
      <c r="B10862">
        <f>HYPERLINK("https://www.dofusbook.net/fr/equipement/3031379-air-2/objets", "link")</f>
        <v/>
      </c>
      <c r="C10862" t="n">
        <v>11</v>
      </c>
      <c r="D10862" t="inlineStr">
        <is>
          <t>Pelle de la Cour Sombre; Collier du Valet Veinard; Gant du Valet Veinard; Alliance Gloursonne; Bouclier d'Ilyzaelle; Menoture; Dorabysses; Cape de Crânonier; Palmes Trithons; Dofus Émeraude; Dofus Ivoire; Carapace Air majeur; Remueur; Cascadeur majeur; Miraculé majeur; Muldo Ebène et Orchidée</t>
        </is>
      </c>
    </row>
    <row r="10863">
      <c r="A10863" t="inlineStr">
        <is>
          <t>anerice</t>
        </is>
      </c>
      <c r="B10863">
        <f>HYPERLINK("https://www.dofusbook.net/fr/equipement/3009792-anerice/objets", "link")</f>
        <v/>
      </c>
      <c r="C10863" t="n">
        <v>0</v>
      </c>
      <c r="D10863" t="inlineStr">
        <is>
          <t>Manthache; Amibou; Alliance Gloursonne; Gant du Valet Veinard; Sept ans de malheur; Menoture; Masque d'Anerice; Cape d'Anerice; Palmes Trithons</t>
        </is>
      </c>
    </row>
    <row r="10864">
      <c r="A10864" t="inlineStr">
        <is>
          <t>eau</t>
        </is>
      </c>
      <c r="B10864">
        <f>HYPERLINK("https://www.dofusbook.net/fr/equipement/2892076-eau/objets", "link")</f>
        <v/>
      </c>
      <c r="C10864" t="n">
        <v>0</v>
      </c>
      <c r="D10864" t="inlineStr">
        <is>
          <t>Sceptre du Roi Joueur; Amulette de l'Œil Attentif; Alliance Gloursonne; Bracelet des Fonds marins; Cadran de Feu; Sangle Ouare; Capuche de l'Œil Attentif; Cape Solution; Bottes de l'Indicible; Dofus Ivoire; Miraculé majeur; Remueur; Déserteur majeur; Chanceux majeur; Dévastateur Eau majeur; El Scarador</t>
        </is>
      </c>
    </row>
    <row r="10865">
      <c r="A10865" t="inlineStr">
        <is>
          <t>teste/terre/air</t>
        </is>
      </c>
      <c r="B10865">
        <f>HYPERLINK("https://www.dofusbook.net/fr/equipement/2867075-teste-terre-air/objets", "link")</f>
        <v/>
      </c>
      <c r="C10865" t="n">
        <v>2</v>
      </c>
      <c r="D10865" t="inlineStr">
        <is>
          <t>Lav'Hache; Amulette du Strigide; Anneau Crustique; Alliance Gloursonne; Sept ans de malheur; Ceintouse; Chapoulpe; Cape de la Cour Sombre; Baleinabottes; Dofus Émeraude; Dofus Ivoire; Remueur; Fonceur majeur; Nomade; Étourdisseur majeur; El Scarador</t>
        </is>
      </c>
    </row>
    <row r="10866">
      <c r="A10866" t="inlineStr">
        <is>
          <t>terre/eau</t>
        </is>
      </c>
      <c r="B10866">
        <f>HYPERLINK("https://www.dofusbook.net/fr/equipement/2804502-terre-eau/objets", "link")</f>
        <v/>
      </c>
      <c r="C10866" t="n">
        <v>1</v>
      </c>
      <c r="D10866" t="inlineStr">
        <is>
          <t>Dagues de Srambad; Amulette Luminescente; Alliance Gloursonne; Bracelet du Piloztère; Ceinture de la Reine des Voleurs; Coiffe de la Reine des Voleurs; Cape au Logis; Sabots Minables; Enragé majeur; Remueur; Culbuteur majeur; Chanceux majeur; Vigoureux majeur; Muldo Ebène et Indigo</t>
        </is>
      </c>
    </row>
    <row r="10867">
      <c r="A10867" t="inlineStr">
        <is>
          <t>terre/retait</t>
        </is>
      </c>
      <c r="B10867">
        <f>HYPERLINK("https://www.dofusbook.net/fr/equipement/2867085-terre-retait/objets", "link")</f>
        <v/>
      </c>
      <c r="C10867" t="n">
        <v>0</v>
      </c>
      <c r="D10867" t="inlineStr">
        <is>
          <t>Lav'Hache; Amulette du Strigide; Anneau Crustique; Alliance Gloursonne; Sept ans de malheur; Ceinture de la Cour Sombre; Chapoulpe; Cape de la Cour Sombre; Baleinabottes; Dofus Émeraude; Remueur; Étourdisseur majeur; Nomade; Fonceur majeur; Obstructeur majeur; El Scarador</t>
        </is>
      </c>
    </row>
    <row r="10868">
      <c r="A10868" t="inlineStr">
        <is>
          <t>anerice/retrait</t>
        </is>
      </c>
      <c r="B10868">
        <f>HYPERLINK("https://www.dofusbook.net/fr/equipement/2867182-anerice-retrait/objets", "link")</f>
        <v/>
      </c>
      <c r="C10868" t="n">
        <v>2</v>
      </c>
      <c r="D10868" t="inlineStr">
        <is>
          <t>Lav'Hache; Alliance Gloursonne; Anneau Crustique; Sept ans de malheur; Menoture; Masque d'Anerice; Cape d'Anerice; Bottes du Cœur Vaillant; Dofus Émeraude; Dofus Ivoire; Remueur; Fonceur majeur; Nomade; Étourdisseur majeur</t>
        </is>
      </c>
    </row>
    <row r="10869">
      <c r="A10869" t="inlineStr">
        <is>
          <t>retraitPA</t>
        </is>
      </c>
      <c r="B10869">
        <f>HYPERLINK("https://www.dofusbook.net/fr/equipement/2867048-retraitpa/objets", "link")</f>
        <v/>
      </c>
      <c r="C10869" t="n">
        <v>0</v>
      </c>
      <c r="D10869" t="inlineStr">
        <is>
          <t>Lav'Hache; Amulette du Strigide; Anneau Crustique; Alliance Gloursonne; Sept ans de malheur; Menoture; Chapoulpe; Cape du Cœur Vaillant; Bottes du Cœur Vaillant; Dofus Émeraude; Nomade; Étourdisseur majeur; Remueur; Fonceur majeur; El Scarador</t>
        </is>
      </c>
    </row>
    <row r="10870">
      <c r="A10870" t="inlineStr">
        <is>
          <t>testeterre/air</t>
        </is>
      </c>
      <c r="B10870">
        <f>HYPERLINK("https://www.dofusbook.net/fr/equipement/2856901-testeterre-air/objets", "link")</f>
        <v/>
      </c>
      <c r="C10870" t="n">
        <v>0</v>
      </c>
      <c r="D10870" t="inlineStr">
        <is>
          <t>Lav'Hache; Amulette du Strigide; Alliance Gloursonne; Anneau Crustique; Sept ans de malheur; Menoture; Chapoulpe; Voile d'encre; Tentassons; Dofus Émeraude; Étourdisseur majeur; Nomade; Fonceur majeur; Remueur; Obstructeur majeur; El Scarador</t>
        </is>
      </c>
    </row>
    <row r="10871">
      <c r="A10871" t="inlineStr">
        <is>
          <t>terre/eau/teste</t>
        </is>
      </c>
      <c r="B10871">
        <f>HYPERLINK("https://www.dofusbook.net/fr/equipement/2805287-terre-eau-teste/objets", "link")</f>
        <v/>
      </c>
      <c r="C10871" t="n">
        <v>0</v>
      </c>
      <c r="D10871" t="inlineStr">
        <is>
          <t>Lance Horselé; Amulette du Strigide; Alliance Gloursonne; Anneau Crustique; Sept ans de malheur; Menoture; Chapoulpe; Voile d'encre; Tentassons; Dofus Émeraude; Fonceur majeur; Remueur; Cascadeur majeur; Nomade; Étourdisseur majeur; El Scarador</t>
        </is>
      </c>
    </row>
    <row r="10872">
      <c r="A10872" t="inlineStr">
        <is>
          <t>teste feu/mallé</t>
        </is>
      </c>
      <c r="B10872">
        <f>HYPERLINK("https://www.dofusbook.net/fr/equipement/2804690-teste-feu-malle/objets", "link")</f>
        <v/>
      </c>
      <c r="C10872" t="n">
        <v>1</v>
      </c>
      <c r="D10872" t="inlineStr">
        <is>
          <t>Baguette de Malléfisk; Amulette de Nileza; Anneau Tique; Anneau de Nidas; Bouclier du Cycloïde; Ceinture de Vortex; Casque Dragoeuf; Cape de Diondin; Tongues de Nidas; Nomade; Évasif majeur; Érudit majeur; Fonceur majeur; Remueur; Guérisseur majeur; El Scarador</t>
        </is>
      </c>
    </row>
    <row r="10873">
      <c r="A10873" t="inlineStr">
        <is>
          <t>air</t>
        </is>
      </c>
      <c r="B10873">
        <f>HYPERLINK("https://www.dofusbook.net/fr/equipement/2149107-air/objets", "link")</f>
        <v/>
      </c>
      <c r="C10873" t="n">
        <v>5</v>
      </c>
      <c r="D10873" t="inlineStr">
        <is>
          <t>Hachoirs de Viandargh; Amulette du Strigide; Anneau Crustique; Alliance Gloursonne; Bouclier alvéolé; Menoture; Chapoulpe; Voile d'encre; Tentassons; Dofus Émeraude; Dofus Turquoise; Nomade; Étourdisseur majeur; Remueur; Fonceur majeur; El Scarador</t>
        </is>
      </c>
    </row>
    <row r="10874">
      <c r="A10874" t="inlineStr">
        <is>
          <t>feu/eau</t>
        </is>
      </c>
      <c r="B10874">
        <f>HYPERLINK("https://www.dofusbook.net/fr/equipement/1169122-feu-eau-/objets", "link")</f>
        <v/>
      </c>
      <c r="C10874" t="n">
        <v>0</v>
      </c>
      <c r="D10874" t="inlineStr">
        <is>
          <t>Arc Nécrotique; Collier de la Dame du Hasard; Anneau Tique; Alliance Gloursonne; Quatre-feuilles; Ceinture de Vortex; Cagoule de Vortex; Cape de Meno; Pataugastrique; Chanceux majeur; Érudit majeur; Remueur; Étourdisseur majeur; Nomade; Guérisseur majeur; El Scarador</t>
        </is>
      </c>
    </row>
    <row r="10875">
      <c r="A10875" t="inlineStr">
        <is>
          <t>teste</t>
        </is>
      </c>
      <c r="B10875">
        <f>HYPERLINK("https://www.dofusbook.net/fr/equipement/79986-teste/objets", "link")</f>
        <v/>
      </c>
      <c r="C10875" t="n">
        <v>1</v>
      </c>
      <c r="D10875" t="inlineStr">
        <is>
          <t>Arc de Koutoulou; Amulette de l'Œil Attentif; Alliance Gloursonne; Bracelet des Fonds marins; Quatre-feuilles; Menoture; Casque Dragoeuf; Chevelure de Tal Kasha; Sandales de Tal Kasha; Dofus Turquoise; Dofus Pourpre; Nomade; Étourdisseur majeur; Remueur; Chanceux majeur; El Scarador</t>
        </is>
      </c>
    </row>
    <row r="10876">
      <c r="A10876" t="inlineStr">
        <is>
          <t>teste</t>
        </is>
      </c>
      <c r="B10876">
        <f>HYPERLINK("https://www.dofusbook.net/fr/equipement/80004-teste/objets", "link")</f>
        <v/>
      </c>
      <c r="C10876" t="n">
        <v>0</v>
      </c>
      <c r="D10876" t="inlineStr">
        <is>
          <t>Héqache; Amulette du Strigide; Anneau Crustique; Alliance Gloursonne; Sept ans de malheur; Menoture; Chapoulpe; Voile d'encre; Tentassons; Enragé majeur; Remueur; Cascadeur majeur; Obstructeur majeur; Étourdisseur majeur</t>
        </is>
      </c>
    </row>
    <row r="10877">
      <c r="A10877" t="inlineStr">
        <is>
          <t>lance</t>
        </is>
      </c>
      <c r="B10877">
        <f>HYPERLINK("https://www.dofusbook.net/fr/equipement/2531024-lance/objets", "link")</f>
        <v/>
      </c>
      <c r="C10877" t="n">
        <v>0</v>
      </c>
      <c r="D10877" t="inlineStr">
        <is>
          <t>Lance corrompue; Amulette de l'Indicible; Anneau Crustique; Alliance Gloursonne; Sept ans de malheur; Ceintouse; Chapoulpe; Voile d'encre; Baleinabottes; Dofus Émeraude; Fonceur majeur; Nomade; Remueur; Cascadeur majeur; Étourdisseur majeur; El Scarador</t>
        </is>
      </c>
    </row>
    <row r="10878">
      <c r="A10878" t="inlineStr">
        <is>
          <t>lance air</t>
        </is>
      </c>
      <c r="B10878">
        <f>HYPERLINK("https://www.dofusbook.net/fr/equipement/2525040-lance-air/objets", "link")</f>
        <v/>
      </c>
      <c r="C10878" t="n">
        <v>0</v>
      </c>
      <c r="D10878" t="inlineStr">
        <is>
          <t>Lance Horselé; Amulette du Strigide; Alliance Gloursonne; Anneau Crustique; Sept ans de malheur; Ceinture du Strigide; Dorabysses; Cape du Kamasterisk; Bottes de la Cour Sombre; Nomade; Évasif majeur; Cascadeur majeur; Cavaleur majeur; Remueur; Étourdisseur majeur</t>
        </is>
      </c>
    </row>
    <row r="10879">
      <c r="A10879" t="inlineStr">
        <is>
          <t>arc</t>
        </is>
      </c>
      <c r="B10879">
        <f>HYPERLINK("https://www.dofusbook.net/fr/equipement/2514471-arc/objets", "link")</f>
        <v/>
      </c>
      <c r="C10879" t="n">
        <v>0</v>
      </c>
      <c r="D10879" t="inlineStr">
        <is>
          <t>Arc Ahique; Amulette de Shokkoth; Anneau Chevelu; Alliance Gloursonne; Sept ans de malheur; Ceintouse; Chapoulpe; Voile d'encre; Baleinabottes; Dofus des Glaces; Dofus Abyssal; Dofus Pourpre; Évasif majeur; Remueur; Étourdisseur majeur; Muldo Indigo et Pourpre</t>
        </is>
      </c>
    </row>
    <row r="10880">
      <c r="A10880" t="inlineStr">
        <is>
          <t>feu</t>
        </is>
      </c>
      <c r="B10880">
        <f>HYPERLINK("https://www.dofusbook.net/fr/equipement/2491410-feu/objets", "link")</f>
        <v/>
      </c>
      <c r="C10880" t="n">
        <v>1</v>
      </c>
      <c r="D10880" t="inlineStr">
        <is>
          <t>Arc corrompu; Amulette Séculaire; Anneau de Nidas; Anneau Tique; Bouclier du Cycloïde; Ceinture de Vortex; Cagoule de Vortex; Voile d'encre; Pataugastrique; Dofus Turquoise; Érudit majeur; Remueur; Guérisseur majeur; Étourdisseur majeur; Nomade; El Scarador</t>
        </is>
      </c>
    </row>
    <row r="10881">
      <c r="A10881" t="inlineStr">
        <is>
          <t>Stuff 1</t>
        </is>
      </c>
      <c r="B10881">
        <f>HYPERLINK("https://www.dofusbook.net/fr/equipement/80056-stuff-1/objets", "link")</f>
        <v/>
      </c>
      <c r="C10881" t="n">
        <v>0</v>
      </c>
      <c r="D10881" t="inlineStr">
        <is>
          <t>Baguette de Malléfisk; Amulette de Nileza; Alliance Boletée; Anneau de Nidas; Bouclier du Cycloïde; Protopagne; Couronne de Nidas; Voile d'encre; Pataugastrique; Déserteur majeur; Érudit majeur; Évasif majeur; Guérisseur majeur; Remueur; Muldo Indigo et Amande</t>
        </is>
      </c>
    </row>
    <row r="10882">
      <c r="A10882" t="inlineStr">
        <is>
          <t>tacle</t>
        </is>
      </c>
      <c r="B10882">
        <f>HYPERLINK("https://www.dofusbook.net/fr/equipement/2209926-tacle/objets", "link")</f>
        <v/>
      </c>
      <c r="C10882" t="n">
        <v>2</v>
      </c>
      <c r="D10882" t="inlineStr">
        <is>
          <t>Héqache; Amulette du Cœur Vaillant; Alliance Gloursonne; Anneau Crustique; Sept ans de malheur; Menoture; Chapoulpe; Voile d'encre; Bottes du Cœur Vaillant; Enragé majeur; Étourdisseur majeur; Cascadeur majeur; Fonceur majeur; Obstructeur majeur; Muldo Ebène et Pourpre</t>
        </is>
      </c>
    </row>
    <row r="10883">
      <c r="A10883" t="inlineStr">
        <is>
          <t>air/eau</t>
        </is>
      </c>
      <c r="B10883">
        <f>HYPERLINK("https://www.dofusbook.net/fr/equipement/1057815-air-eau/objets", "link")</f>
        <v/>
      </c>
      <c r="C10883" t="n">
        <v>5</v>
      </c>
      <c r="D10883" t="inlineStr">
        <is>
          <t>Arc de Koutoulou; Amulette du Strigide; Bracelet du Piloztère; Alliance Gloursonne; Bouclier Taverne; Menoture; Dorabysses; Chevelure de Tal Kasha; Sandales de Tal Kasha; Dofus Turquoise; Dofus Pourpre; Cascadeur majeur; Remueur; Chanceux majeur; Nomade; Muldo Ebène et Indigo</t>
        </is>
      </c>
    </row>
    <row r="10884">
      <c r="A10884" t="inlineStr">
        <is>
          <t>feu/eau</t>
        </is>
      </c>
      <c r="B10884">
        <f>HYPERLINK("https://www.dofusbook.net/fr/equipement/1812445-feu-eau/objets", "link")</f>
        <v/>
      </c>
      <c r="C10884" t="n">
        <v>0</v>
      </c>
      <c r="D10884" t="inlineStr">
        <is>
          <t>Baguette de Malléfisk; Torquistik; Anneau de Nidas; Alliance Gloursonne; Bouclier précieux; Ceintrigue; Kidibonnet; Voile d'encre; Bottes Owesli; Miraculé majeur; Bousculeur majeur; Guérisseur majeur; Chanceux majeur; Culbuteur majeur; Remueur</t>
        </is>
      </c>
    </row>
    <row r="10885">
      <c r="A10885" t="inlineStr">
        <is>
          <t>teste/feu/soin</t>
        </is>
      </c>
      <c r="B10885">
        <f>HYPERLINK("https://www.dofusbook.net/fr/equipement/1801935-teste-feu-soin/objets", "link")</f>
        <v/>
      </c>
      <c r="C10885" t="n">
        <v>0</v>
      </c>
      <c r="D10885" t="inlineStr">
        <is>
          <t>Arc Hétype; Amulette Ementaire Deluxe; Anneau Tique; Anneau de Nidas; Bouclier du Chouque; Ceinture de Vortex; Masque d'Anerice; Cape d'Anerice; Pataugastrique; Guérisseur majeur; Étourdisseur majeur; Nomade; Savant majeur; Érudit majeur; Remueur; Muldo Roux et Orchidée</t>
        </is>
      </c>
    </row>
    <row r="10886">
      <c r="A10886" t="inlineStr">
        <is>
          <t>testeterre/air</t>
        </is>
      </c>
      <c r="B10886">
        <f>HYPERLINK("https://www.dofusbook.net/fr/equipement/1801302-testeterre-air/objets", "link")</f>
        <v/>
      </c>
      <c r="C10886" t="n">
        <v>0</v>
      </c>
      <c r="D10886" t="inlineStr">
        <is>
          <t>Héqache; Amulette Ementaire Deluxe; Alliance Gloursonne; Anneau Crustique; Sept ans de malheur; Ceintouse; Masque d'Anerice; Cape d'Anerice; Baleinabottes; Fonceur majeur; Cascadeur majeur; Remueur; Étourdisseur majeur; Nomade; El Scarador</t>
        </is>
      </c>
    </row>
    <row r="10887">
      <c r="A10887" t="inlineStr">
        <is>
          <t>feu/air/retaitPA</t>
        </is>
      </c>
      <c r="B10887">
        <f>HYPERLINK("https://www.dofusbook.net/fr/equipement/1711578-feu-air-retaitpa/objets", "link")</f>
        <v/>
      </c>
      <c r="C10887" t="n">
        <v>0</v>
      </c>
      <c r="D10887" t="inlineStr">
        <is>
          <t>Arc Oleptik; Amulette de Nileza; Anneau Rifique; Anneau Tique; Sept ans de malheur; Menoture; Masque d'Anerice; Cape d'Anerice; Getas de Padgref; Muldo Ebène et Indigo</t>
        </is>
      </c>
    </row>
    <row r="10888">
      <c r="A10888" t="inlineStr">
        <is>
          <t>terre/feu</t>
        </is>
      </c>
      <c r="B10888">
        <f>HYPERLINK("https://www.dofusbook.net/fr/equipement/1709115-terre-feu/objets", "link")</f>
        <v/>
      </c>
      <c r="C10888" t="n">
        <v>1</v>
      </c>
      <c r="D10888" t="inlineStr">
        <is>
          <t>Hache Téroïde; Torquistik; Bague Gloursonne; Anneau Chevelu; Sept ans de malheur; Ceinture de Gein; Masque d'Anerice; Cape d'Anerice; Pataugastrique; Dofus Abyssal; Dofus Turquoise; Dofus Pourpre; Nomade; Étourdisseur majeur; Remueur; Muldo Ebène et Indigo</t>
        </is>
      </c>
    </row>
    <row r="10889">
      <c r="A10889" t="inlineStr">
        <is>
          <t>feu/eau/retraitPA/PM</t>
        </is>
      </c>
      <c r="B10889">
        <f>HYPERLINK("https://www.dofusbook.net/fr/equipement/1709037-feu-eau-retraitpa-pm/objets", "link")</f>
        <v/>
      </c>
      <c r="C10889" t="n">
        <v>3</v>
      </c>
      <c r="D10889" t="inlineStr">
        <is>
          <t>Pelle de Katrepat; Pendentif affamé; Anneau Tique; Bracelet des Fonds marins; Sept ans de malheur; Ceinture de l'Indicible; Masque d'Anerice; Cape d'Anerice; Pataugastrique; Étourdisseur majeur; Chanceux majeur; Remueur; Érudit majeur; Nomade; Muldo Ebène et Indigo</t>
        </is>
      </c>
    </row>
    <row r="10890">
      <c r="A10890" t="inlineStr">
        <is>
          <t>terre/air</t>
        </is>
      </c>
      <c r="B10890">
        <f>HYPERLINK("https://www.dofusbook.net/fr/equipement/80003-terre-air/objets", "link")</f>
        <v/>
      </c>
      <c r="C10890" t="n">
        <v>2</v>
      </c>
      <c r="D10890" t="inlineStr">
        <is>
          <t>Héqache; Amulette de l'Indicible; Alliance Gloursonne; Bracelet du Piloztère; Sept ans de malheur; Menoture; Masque d'Anerice; Cape d'Anerice; Bottes Trithon; Dofus Turquoise; Étourdisseur majeur; Nomade; Fonceur majeur; Remueur; Muldo Ebène et Indigo</t>
        </is>
      </c>
    </row>
    <row r="10891">
      <c r="A10891" t="inlineStr">
        <is>
          <t>terre/eau</t>
        </is>
      </c>
      <c r="B10891">
        <f>HYPERLINK("https://www.dofusbook.net/fr/equipement/777182-terre-eau/objets", "link")</f>
        <v/>
      </c>
      <c r="C10891" t="n">
        <v>2</v>
      </c>
      <c r="D10891" t="inlineStr">
        <is>
          <t>Dagues de Srambad; Amulette Luminescente; Anneau Crustique; Alliance Gloursonne; Sept ans de malheur; Ceinture de la Reine des Voleurs; Masque d'Anerice; Cape d'Anerice; Baleinabottes; Fonceur majeur; Chanceux majeur; Enragé majeur; Nomade; Étourdisseur majeur; Remueur; Muldo Ebène et Indigo</t>
        </is>
      </c>
    </row>
    <row r="10892">
      <c r="A10892" t="inlineStr">
        <is>
          <t>eau/air</t>
        </is>
      </c>
      <c r="B10892">
        <f>HYPERLINK("https://www.dofusbook.net/fr/equipement/1632712-eau-air/objets", "link")</f>
        <v/>
      </c>
      <c r="C10892" t="n">
        <v>0</v>
      </c>
      <c r="D10892" t="inlineStr">
        <is>
          <t>Arc de Koutoulou; Amulette de Shokkoth; Alliance Gloursonne; Anneau Colerette; Sept ans de malheur; Menoture; Masque d'Anerice; Cape d'Anerice; Palmes Trithons; Dofus Pourpre; Dofus Abyssal; Nomade; Étourdisseur majeur; Remueur; Muldo Ebène et Orchidée</t>
        </is>
      </c>
    </row>
    <row r="10893">
      <c r="A10893" t="inlineStr">
        <is>
          <t>feu/soin</t>
        </is>
      </c>
      <c r="B10893">
        <f>HYPERLINK("https://www.dofusbook.net/fr/equipement/1086940-feu-soin/objets", "link")</f>
        <v/>
      </c>
      <c r="C10893" t="n">
        <v>1</v>
      </c>
      <c r="D10893" t="inlineStr">
        <is>
          <t>Arc Hétype; Pendentif affamé; Anneau Tique; Anneau de Nidas; Bouclier du Chouque; Ceinture de Vortex; Masque d'Anerice; Cape d'Anerice; Pataugastrique; Guérisseur majeur; Astucieux majeur; Érudit majeur; Étourdisseur majeur; Remueur; Fonceur majeur; El Scarador</t>
        </is>
      </c>
    </row>
    <row r="10894">
      <c r="A10894" t="inlineStr">
        <is>
          <t>Stuff 3</t>
        </is>
      </c>
      <c r="B10894">
        <f>HYPERLINK("https://www.dofusbook.net/fr/equipement/80005-stuff-3/objets", "link")</f>
        <v/>
      </c>
      <c r="C10894" t="n">
        <v>0</v>
      </c>
      <c r="D10894" t="inlineStr">
        <is>
          <t>Manthache; Amulette du Strigide; Alliance Gloursonne; Anneau Crustique; Menoture; Chapoulpe; Cape du Kamasterisk; Tentassons; Dofus Turquoise; Nomade; Fonceur majeur; Étourdisseur majeur; Remueur; Muldo Indigo et Orchidée</t>
        </is>
      </c>
    </row>
    <row r="10895">
      <c r="A10895" t="inlineStr">
        <is>
          <t>terre/feu</t>
        </is>
      </c>
      <c r="B10895">
        <f>HYPERLINK("https://www.dofusbook.net/fr/equipement/1611935-terre-feu/objets", "link")</f>
        <v/>
      </c>
      <c r="C10895" t="n">
        <v>0</v>
      </c>
      <c r="D10895" t="inlineStr">
        <is>
          <t>Hache Téroïde; Amulette de Gein; Anneau Crustique; Anneau Chevelu; Sept ans de malheur; Ceinture de la Cour Sombre; Masque de Koutoulou; Cape de la Cour Sombre; Bottes du Lévitrof; Remueur; Enragé majeur; Nomade; Étourdisseur majeur; Vigoureux majeur; Érudit majeur; Kramkram</t>
        </is>
      </c>
    </row>
    <row r="10896">
      <c r="A10896" t="inlineStr">
        <is>
          <t>soin</t>
        </is>
      </c>
      <c r="B10896">
        <f>HYPERLINK("https://www.dofusbook.net/fr/equipement/893940-soin/objets", "link")</f>
        <v/>
      </c>
      <c r="C10896" t="n">
        <v>1</v>
      </c>
      <c r="D10896" t="inlineStr">
        <is>
          <t>Arc Nécrotique; Pendentif affamé; Alliance Gloursonne; Anneau Tique; Bouclier du Chouque; Ceinture de Vortex; Cagoule de Vortex; Cape des Malveilleurs; Pataugastrique; Remueur; Érudit majeur; Étourdisseur majeur; Guérisseur majeur; Nomade; Chanceux majeur; Muldo Indigo et Orchidée</t>
        </is>
      </c>
    </row>
    <row r="10897">
      <c r="A10897" t="inlineStr">
        <is>
          <t>feu/eau 199</t>
        </is>
      </c>
      <c r="B10897">
        <f>HYPERLINK("https://www.dofusbook.net/fr/equipement/1179974-feu-eau-199/objets", "link")</f>
        <v/>
      </c>
      <c r="C10897" t="n">
        <v>0</v>
      </c>
      <c r="D10897" t="inlineStr">
        <is>
          <t>Baguette Hique; Amulette de Nileza; Bague Gloursonne; Anneau de Padgref; Bivalve; Ceinture Glaciale; Casqnoar; Cape de Nileza; Pantoufles Émar; Dofus Émeraude; Guérisseur majeur; Carapace Feu majeur; Remueur; Étourdisseur majeur; Nomade; Kramkram</t>
        </is>
      </c>
    </row>
    <row r="10898">
      <c r="A10898" t="inlineStr">
        <is>
          <t>Stuff 1</t>
        </is>
      </c>
      <c r="B10898">
        <f>HYPERLINK("https://www.dofusbook.net/fr/equipement/80081-stuff-1/objets", "link")</f>
        <v/>
      </c>
      <c r="C10898" t="n">
        <v>0</v>
      </c>
      <c r="D10898" t="inlineStr">
        <is>
          <t>Manthache; Amulette du Strigide; Alliance Gloursonne; Gant du Valet Veinard; Bouclier du Sadida; Ceintouse; Dorabysses; Cape de la Cour Sombre; Tentassons; Dofus Turquoise; Engourdisseur majeur; Remueur; Déserteur majeur; Étourdisseur majeur; Fonceur majeur; Muldo Indigo et Orchidée</t>
        </is>
      </c>
    </row>
    <row r="10899">
      <c r="A10899" t="inlineStr">
        <is>
          <t>terre/feu</t>
        </is>
      </c>
      <c r="B10899">
        <f>HYPERLINK("https://www.dofusbook.net/fr/equipement/1096363-terre-feu/objets", "link")</f>
        <v/>
      </c>
      <c r="C10899" t="n">
        <v>1</v>
      </c>
      <c r="D10899" t="inlineStr">
        <is>
          <t>Dagues Érhy; Amulette du Strigide; Bague Gloursonne; Anneau Chevelu; Bouclier Taverne; Ceinture de la Cour Sombre; Masque de Koutoulou; Voile d'encre; Bottes du Strigide; Dofus Pourpre; Dofus Turquoise; Dofus Émeraude; Remueur; Vigoureux majeur; Nomade; Kramkram</t>
        </is>
      </c>
    </row>
    <row r="10900">
      <c r="A10900" t="inlineStr">
        <is>
          <t>terreair</t>
        </is>
      </c>
      <c r="B10900">
        <f>HYPERLINK("https://www.dofusbook.net/fr/equipement/972295-terreair/objets", "link")</f>
        <v/>
      </c>
      <c r="C10900" t="n">
        <v>4</v>
      </c>
      <c r="D10900" t="inlineStr">
        <is>
          <t>Héqache; Collier de Tourthon; Alliance Gloursonne; Anneau d'Allister; Bouclier du Stalak; Ceintouse; Chapoulpe; Voile d'encre; Baleinabottes; Dofus Turquoise; Dofus Émeraude; Remueur; Miraculé majeur; Carapace Neutre majeur; Initiateur majeur; Muldo Pourpre</t>
        </is>
      </c>
    </row>
    <row r="10901">
      <c r="A10901" t="inlineStr">
        <is>
          <t>rox</t>
        </is>
      </c>
      <c r="B10901">
        <f>HYPERLINK("https://www.dofusbook.net/fr/equipement/669543-rox/objets", "link")</f>
        <v/>
      </c>
      <c r="C10901" t="n">
        <v>3</v>
      </c>
      <c r="D10901" t="inlineStr">
        <is>
          <t>Héqache; Amibou; Alliance Gloursonne; Anneau Crustique; Bouclier du Captain Amakna; Menoture; Chapoulpe; Cape de la Cour Sombre; Tentassons; Dofus Émeraude; Remueur; Fonceur majeur; Nomade; Cascadeur majeur; Étourdisseur majeur; El Scarador</t>
        </is>
      </c>
    </row>
    <row r="10902">
      <c r="A10902" t="inlineStr">
        <is>
          <t>Stuff 3</t>
        </is>
      </c>
      <c r="B10902">
        <f>HYPERLINK("https://www.dofusbook.net/fr/equipement/80077-stuff-3/objets", "link")</f>
        <v/>
      </c>
      <c r="C10902" t="n">
        <v>0</v>
      </c>
      <c r="D10902" t="inlineStr">
        <is>
          <t>Baguette de Malléfisk; Amulette de Nileza; Kralano; Anneau Tique; Ceinture de Vortex; Cagoule de Vortex; Cape de Diondin; Bottes d'Otomaï; Érudit majeur; Obstructeur majeur; Guérisseur majeur; Fonceur majeur; Remueur; Étourdisseur majeur</t>
        </is>
      </c>
    </row>
    <row r="10903">
      <c r="A10903" t="inlineStr">
        <is>
          <t>Stuff 1</t>
        </is>
      </c>
      <c r="B10903">
        <f>HYPERLINK("https://www.dofusbook.net/fr/equipement/80072-stuff-1/objets", "link")</f>
        <v/>
      </c>
      <c r="C10903" t="n">
        <v>0</v>
      </c>
      <c r="D10903" t="inlineStr">
        <is>
          <t>Dagoulinantes; Amulette de Shokkoth; Gant du Valet Veinard; Alliance Gloursonne; Ceinture Voldelor; Némès de Tal Kasha; Cape Matelassée; Sandales de Tal Kasha; Dofus Turquoise; Déserteur majeur; Nomade; Étourdisseur majeur; Remueur; Engourdisseur majeur</t>
        </is>
      </c>
    </row>
    <row r="10904">
      <c r="A10904" t="inlineStr">
        <is>
          <t>Stuff 2</t>
        </is>
      </c>
      <c r="B10904">
        <f>HYPERLINK("https://www.dofusbook.net/fr/equipement/80079-stuff-2/objets", "link")</f>
        <v/>
      </c>
      <c r="C10904" t="n">
        <v>0</v>
      </c>
      <c r="D10904" t="inlineStr">
        <is>
          <t>Héqache; Collier de Tourthon; Alliance Gloursonne; Anneau Crustique; Menoture; Chapoulpe; Voile d'encre; Tentassons; Dofus Pourpre; Fonceur majeur; Nomade; Étourdisseur majeur; Remueur; Engourdisseur majeur</t>
        </is>
      </c>
    </row>
    <row r="10905">
      <c r="A10905" t="inlineStr">
        <is>
          <t>Stuff 3</t>
        </is>
      </c>
      <c r="B10905">
        <f>HYPERLINK("https://www.dofusbook.net/fr/equipement/80074-stuff-3/objets", "link")</f>
        <v/>
      </c>
      <c r="C10905" t="n">
        <v>0</v>
      </c>
      <c r="D10905" t="inlineStr">
        <is>
          <t>Manthache; Amulette de Shokkoth; Gant du Valet Veinard; Alliance Gloursonne; Menoture; Casque Dragoeuf; Chevelure de Tal Kasha; Sandales de Tal Kasha; Dofus Turquoise; Déserteur majeur; Cascadeur majeur; Nomade; Étourdisseur majeur; Remueur</t>
        </is>
      </c>
    </row>
    <row r="10906">
      <c r="A10906" t="inlineStr">
        <is>
          <t>Stuff 1</t>
        </is>
      </c>
      <c r="B10906">
        <f>HYPERLINK("https://www.dofusbook.net/fr/equipement/80067-stuff-1/objets", "link")</f>
        <v/>
      </c>
      <c r="C10906" t="n">
        <v>0</v>
      </c>
      <c r="D10906" t="inlineStr">
        <is>
          <t>Arc de Koutoulou; Amulette d'Ilyzaelle; Alliance Gloursonne; Cadran d'Air; Menoture; Casque Dragoeuf; Chevelure de Tal Kasha; Sandales de Tal Kasha</t>
        </is>
      </c>
    </row>
    <row r="10907">
      <c r="A10907" t="inlineStr">
        <is>
          <t>Stuff 2</t>
        </is>
      </c>
      <c r="B10907">
        <f>HYPERLINK("https://www.dofusbook.net/fr/equipement/80076-stuff-2/objets", "link")</f>
        <v/>
      </c>
      <c r="C10907" t="n">
        <v>0</v>
      </c>
      <c r="D10907" t="inlineStr">
        <is>
          <t>Baguette de Malléfisk; Amulette de Nileza; Kralano; Anneau Tique; Bouclier du Chouque; Ceinture de Vortex; Cagoule de Vortex; Cape de Diondin; Bottes d'Otomaï; Remueur; Nomade; Érudit majeur; Cascadeur majeur; Obstructeur majeur; Fonceur majeur; Muldo Orchidée et Pourpre</t>
        </is>
      </c>
    </row>
    <row r="10908">
      <c r="A10908" t="inlineStr">
        <is>
          <t>Stuff 3</t>
        </is>
      </c>
      <c r="B10908">
        <f>HYPERLINK("https://www.dofusbook.net/fr/equipement/80069-stuff-3/objets", "link")</f>
        <v/>
      </c>
      <c r="C10908" t="n">
        <v>0</v>
      </c>
      <c r="D10908" t="inlineStr">
        <is>
          <t>Manthache; Amulette de Shokkoth; Alliance Gloursonne; Gant du Valet Veinard; Menoture; Némès de Tal Kasha; Chevelure de Tal Kasha; Bottes de la Reine des Voleurs; Dofus Turquoise; Fonceur majeur; Étourdisseur majeur; Nomade; Déserteur majeur; Remueur</t>
        </is>
      </c>
    </row>
    <row r="10909">
      <c r="A10909" t="inlineStr">
        <is>
          <t>Stuff 1</t>
        </is>
      </c>
      <c r="B10909">
        <f>HYPERLINK("https://www.dofusbook.net/fr/equipement/80078-stuff-1/objets", "link")</f>
        <v/>
      </c>
      <c r="C10909" t="n">
        <v>0</v>
      </c>
      <c r="D10909" t="inlineStr">
        <is>
          <t>Pelle de Nidas; Amulette de Shokkoth; Anneau Crustique; Alliance Gloursonne; Ceinture Voldelor; Coiffe de la Reine des Voleurs; Cape Matelassée; Bottes de la Reine des Voleurs; Dofus Pourpre; Dofus Turquoise; Étourdisseur majeur; Remueur; Vigoureux majeur; Nomade</t>
        </is>
      </c>
    </row>
    <row r="10910">
      <c r="A10910" t="inlineStr">
        <is>
          <t>Stuff 2</t>
        </is>
      </c>
      <c r="B10910">
        <f>HYPERLINK("https://www.dofusbook.net/fr/equipement/80073-stuff-2/objets", "link")</f>
        <v/>
      </c>
      <c r="C10910" t="n">
        <v>0</v>
      </c>
      <c r="D10910" t="inlineStr">
        <is>
          <t>Dagoulinantes; Amulette Voldelor; Alliance Gloursonne; Gant du Valet Veinard; Ceinture Voldelor; Couronne d'Allister; Cape Matelassée; Sandales de Tal Kasha; Dofus Turquoise; Nomade; Engourdisseur majeur; Remueur; Étourdisseur majeur</t>
        </is>
      </c>
    </row>
    <row r="10911">
      <c r="A10911" t="inlineStr">
        <is>
          <t>Stuff 1</t>
        </is>
      </c>
      <c r="B10911">
        <f>HYPERLINK("https://www.dofusbook.net/fr/equipement/80091-stuff-1/objets", "link")</f>
        <v/>
      </c>
      <c r="C10911" t="n">
        <v>0</v>
      </c>
      <c r="D10911" t="inlineStr">
        <is>
          <t>Manthache; Collier du Valet Veinard; Alliance Gloursonne; Gant du Valet Veinard; Sept ans de malheur; Menoture; Dorabysses; Capille; Palmes Trithons; Dévastateur Air majeur; Remueur; Étourdisseur majeur; Nomade; Cascadeur majeur</t>
        </is>
      </c>
    </row>
    <row r="10912">
      <c r="A10912" t="inlineStr">
        <is>
          <t>Stuff 1</t>
        </is>
      </c>
      <c r="B10912">
        <f>HYPERLINK("https://www.dofusbook.net/fr/equipement/80075-stuff-1/objets", "link")</f>
        <v/>
      </c>
      <c r="C10912" t="n">
        <v>0</v>
      </c>
      <c r="D10912" t="inlineStr">
        <is>
          <t>Arc Hétype; Amulette de Nileza; Anneau Tique; Anneau de Nidas; Ceinture de Vortex; Cagoule de Vortex; Voile d'encre; Pataugastrique; Érudit majeur; Étourdisseur majeur; Nomade; Fonceur majeur; Remueur; Obstructeur majeur; Kramkram</t>
        </is>
      </c>
    </row>
    <row r="10913">
      <c r="A10913" t="inlineStr">
        <is>
          <t>Stuff 2</t>
        </is>
      </c>
      <c r="B10913">
        <f>HYPERLINK("https://www.dofusbook.net/fr/equipement/80068-stuff-2/objets", "link")</f>
        <v/>
      </c>
      <c r="C10913" t="n">
        <v>0</v>
      </c>
      <c r="D10913" t="inlineStr">
        <is>
          <t>Manthache; Amulette de Shokkoth; Alliance Gloursonne; Gant du Valet Veinard; Menoture; Dorabysses; Chevelure de Tal Kasha; Sandales de Tal Kasha; Déserteur majeur; Nomade; Étourdisseur majeur; Remueur</t>
        </is>
      </c>
    </row>
    <row r="10914">
      <c r="A10914" t="inlineStr">
        <is>
          <t>Stuff 2</t>
        </is>
      </c>
      <c r="B10914">
        <f>HYPERLINK("https://www.dofusbook.net/fr/equipement/80082-stuff-2/objets", "link")</f>
        <v/>
      </c>
      <c r="C10914" t="n">
        <v>0</v>
      </c>
      <c r="D10914" t="inlineStr">
        <is>
          <t>Manthache; Collier du Valet Veinard; Alliance Gloursonne; Anneau Crustique; Menoture; Chapoulpe; Cape du Kamasterisk; Tentassons; Fonceur majeur; Nomade; Étourdisseur majeur; Remueur; Engourdisseur majeur; Déserteur majeur</t>
        </is>
      </c>
    </row>
    <row r="10915">
      <c r="A10915" t="inlineStr">
        <is>
          <t>Stuff 1</t>
        </is>
      </c>
      <c r="B10915">
        <f>HYPERLINK("https://www.dofusbook.net/fr/equipement/80050-stuff-1/objets", "link")</f>
        <v/>
      </c>
      <c r="C10915" t="n">
        <v>1</v>
      </c>
      <c r="D10915" t="inlineStr">
        <is>
          <t>Baguette de Malléfisk; Amulette de Nileza; Anneau Tique; Anneau de Nidas; Ceinture de Vortex; Cagoule de Vortex; Cape de Diondin; Bottes Innommables; Étourdisseur majeur; Guérisseur majeur; Érudit majeur; Fonceur majeur; Obstructeur majeur; Remueur</t>
        </is>
      </c>
    </row>
    <row r="10916">
      <c r="A10916" t="inlineStr">
        <is>
          <t>Stuff 1</t>
        </is>
      </c>
      <c r="B10916">
        <f>HYPERLINK("https://www.dofusbook.net/fr/equipement/80042-stuff-1/objets", "link")</f>
        <v/>
      </c>
      <c r="C10916" t="n">
        <v>0</v>
      </c>
      <c r="D10916" t="inlineStr">
        <is>
          <t>Manthache; Amulette de Shokkoth; Gant du Valet Veinard; Alliance Gloursonne; Menoture; Dorabysses; Chevelure de Tal Kasha; Sandales de Tal Kasha; Dofus Turquoise; Déserteur majeur; Étourdisseur majeur; Fonceur majeur; Engourdisseur majeur; Remueur</t>
        </is>
      </c>
    </row>
    <row r="10917">
      <c r="A10917" t="inlineStr">
        <is>
          <t>Stuff 2</t>
        </is>
      </c>
      <c r="B10917">
        <f>HYPERLINK("https://www.dofusbook.net/fr/equipement/79998-stuff-2/objets", "link")</f>
        <v/>
      </c>
      <c r="C10917" t="n">
        <v>2</v>
      </c>
      <c r="D10917" t="inlineStr">
        <is>
          <t>Manthache; Collier du Valet Veinard; Gant du Valet Veinard; Alliance Gloursonne; Bouclier Taverne; Menoture; Dorabysses; Voile d'encre; Palmes Trithons; Dofus Émeraude; Dofus Pourpre; Cascadeur majeur; Remueur; Vigoureux majeur; Nomade; Muldo Ebène et Pourpre</t>
        </is>
      </c>
    </row>
    <row r="10918">
      <c r="A10918" t="inlineStr">
        <is>
          <t>Stuff 2</t>
        </is>
      </c>
      <c r="B10918">
        <f>HYPERLINK("https://www.dofusbook.net/fr/equipement/79989-stuff-2/objets", "link")</f>
        <v/>
      </c>
      <c r="C10918" t="n">
        <v>0</v>
      </c>
      <c r="D10918" t="inlineStr">
        <is>
          <t>Epée Gloursonne; Amulette du Strigide; Bague Gloursonne; Alliance Gloursonne; Bouclier alvéolé; Ceinture du Strigide; Masque du Barbétoal; Voile d'encre; Bottes du Strigide; Dofus Turquoise; Dofus Émeraude; Dofus Pourpre; Dofus des Glaces; Dofus Ocre; Puissant majeur; Muldo Prune et Doré</t>
        </is>
      </c>
    </row>
    <row r="10919">
      <c r="A10919" t="inlineStr">
        <is>
          <t>Stuff 3</t>
        </is>
      </c>
      <c r="B10919">
        <f>HYPERLINK("https://www.dofusbook.net/fr/equipement/80052-stuff-3/objets", "link")</f>
        <v/>
      </c>
      <c r="C10919" t="n">
        <v>0</v>
      </c>
      <c r="D10919" t="inlineStr">
        <is>
          <t>Marteau R'ture; Amulette du Kamasterisk; Alliance Gloursonne; Anneau de Nidas; Menoture; Chapoulpe; Voile d'encre; Tentassons; Dofus Turquoise; Nomade; Étourdisseur majeur; Remueur; Temporiseur majeur; Obstructeur majeur</t>
        </is>
      </c>
    </row>
    <row r="10920">
      <c r="A10920" t="inlineStr">
        <is>
          <t>Stuff 3</t>
        </is>
      </c>
      <c r="B10920">
        <f>HYPERLINK("https://www.dofusbook.net/fr/equipement/80044-stuff-3/objets", "link")</f>
        <v/>
      </c>
      <c r="C10920" t="n">
        <v>0</v>
      </c>
      <c r="D10920" t="inlineStr">
        <is>
          <t>Manthache; Amulette de Shokkoth; Alliance Gloursonne; Gant du Valet Veinard; Ceinture Voldelor; Dorabysses; Cape Matelassée; Sandales de Tal Kasha; Dofus Turquoise; Engourdisseur majeur; Remueur; Déserteur majeur; Étourdisseur majeur; Fonceur majeur</t>
        </is>
      </c>
    </row>
    <row r="10921">
      <c r="A10921" t="inlineStr">
        <is>
          <t>Stuff 2</t>
        </is>
      </c>
      <c r="B10921">
        <f>HYPERLINK("https://www.dofusbook.net/fr/equipement/80043-stuff-2/objets", "link")</f>
        <v/>
      </c>
      <c r="C10921" t="n">
        <v>0</v>
      </c>
      <c r="D10921" t="inlineStr">
        <is>
          <t>Dagoulinantes; Amulette de Shokkoth; Gant du Valet Veinard; Alliance Gloursonne; Ceinture Voldelor; Coiffe de la Reine des Voleurs; Cape Matelassée; Bottes de la Reine des Voleurs; Dofus Turquoise; Engourdisseur majeur; Nomade; Étourdisseur majeur; Déserteur majeur; Remueur</t>
        </is>
      </c>
    </row>
    <row r="10922">
      <c r="A10922" t="inlineStr">
        <is>
          <t>Xélor F 200</t>
        </is>
      </c>
      <c r="B10922">
        <f>HYPERLINK("https://www.dofusbook.net/fr/equipement/5102927-xelor-f-200/objets", "link")</f>
        <v/>
      </c>
      <c r="C10922" t="n">
        <v>1</v>
      </c>
      <c r="D10922" t="inlineStr">
        <is>
          <t>Marteau R'ture; Amulette du Cœur Saignant; Anneau Chevelu; Anneau Crustique; Bouclier Taverne; Ceinture Volkorne; Masque de Koutoulou; Cape au Logis; Bottes du Cœur Saignant; Dofus Ocre; Dofus des Glaces; Dofus Ivoire; Dofus Abyssal; Dofus Turquoise; Dofus Ébène; Pioute vert</t>
        </is>
      </c>
    </row>
    <row r="10923">
      <c r="A10923" t="inlineStr">
        <is>
          <t>Roublard F 200</t>
        </is>
      </c>
      <c r="B10923">
        <f>HYPERLINK("https://www.dofusbook.net/fr/equipement/5910189-roublard-f-200/objets", "link")</f>
        <v/>
      </c>
      <c r="C10923" t="n">
        <v>1</v>
      </c>
      <c r="D10923" t="inlineStr">
        <is>
          <t>Sceptre du Roi Joueur; Amulette de l'Œil Attentif; Anneau Volkorne; Alliance Gloursonne; Cadran de Terre; Culotte de Bethel; Capuche de l'Œil Attentif; Cape de l'Œil Attentif; Chaussons de Macrab; Dofus Vulbis; Dofus Ébène; Dofus Ocre; Dofus des Glaces; Dofus Ivoire; Dofus Abyssal; Volkorne Ivoire et Indigo</t>
        </is>
      </c>
    </row>
    <row r="10924">
      <c r="A10924" t="inlineStr">
        <is>
          <t>Xélor M 200</t>
        </is>
      </c>
      <c r="B10924">
        <f>HYPERLINK("https://www.dofusbook.net/fr/equipement/4856095-xelor-m-200/objets", "link")</f>
        <v/>
      </c>
      <c r="C10924" t="n">
        <v>0</v>
      </c>
      <c r="D10924" t="inlineStr">
        <is>
          <t>Baguette de Torkélonia; Amulette du Strigide; Alliance Gloursonne; Bague Gloursonne; Quatre-feuilles; Ceinture du Strigide; Corne de Torkélonia; Carapace de Torkélonia; Bottes du Strigide; Dofus Ocre; Dofus Ébène; Dofus Turquoise; Dofus des Glaces; Dofus Ivoire; Dofus Abyssal; Kokulte</t>
        </is>
      </c>
    </row>
    <row r="10925">
      <c r="A10925" t="inlineStr">
        <is>
          <t>Xélor F 200</t>
        </is>
      </c>
      <c r="B10925">
        <f>HYPERLINK("https://www.dofusbook.net/fr/equipement/4973912-xelor-f-200/objets", "link")</f>
        <v/>
      </c>
      <c r="C10925" t="n">
        <v>3</v>
      </c>
      <c r="D10925" t="inlineStr">
        <is>
          <t>Bâthon; Amulette Volkorne; Chevalière du Roi Joueur; Anneau Volkorne; Bouclier Taverne; Ceinture Volkorne; Couronne du Roi Joueur; Voile d'encre; Bottes du Roi Joueur; Dofus Ébène; Dofus des Glaces; Dofus Pourpre; Dofus Abyssal; Dofus Ivoire; Dofus Ocre; Fëanor</t>
        </is>
      </c>
    </row>
    <row r="10926">
      <c r="A10926" t="inlineStr">
        <is>
          <t>Xélor M 200</t>
        </is>
      </c>
      <c r="B10926">
        <f>HYPERLINK("https://www.dofusbook.net/fr/equipement/4843603-xelor-m-200/objets", "link")</f>
        <v/>
      </c>
      <c r="C10926" t="n">
        <v>1</v>
      </c>
      <c r="D10926" t="inlineStr">
        <is>
          <t>Baguette Héroclite; Amulette de Shokkoth; Alliance Gloursonne; Anneau Volkorne; Bouclier du Stalak; Poulpagne; Capuche de l'Œil Attentif; Cape du Sinistrofu; Bottes du Sinistrofu; Dofus Ocre; Dofus des Glaces; Dofus Ivoire; Dofus Abyssal; Dofus Vulbis; Dofus Ébène; Kanigloups</t>
        </is>
      </c>
    </row>
    <row r="10927">
      <c r="A10927" t="inlineStr">
        <is>
          <t>Xélor F 200</t>
        </is>
      </c>
      <c r="B10927">
        <f>HYPERLINK("https://www.dofusbook.net/fr/equipement/5235571-xelor-f-200/objets", "link")</f>
        <v/>
      </c>
      <c r="C10927" t="n">
        <v>0</v>
      </c>
      <c r="D10927" t="inlineStr">
        <is>
          <t>Sabres d'Atcham; Amulette Volkorne; Alliance Gloursonne; Anneau Volkorne; Bouclier Taverne; Ceinture du Strigide; Casque Volkorne; Cape d'Atcham; Sandales  d'Atcham; Dofus Ocre; Dofus des Glaces; Dofus Ivoire; Dofus Abyssal; Dofus Turquoise; Dofus Ébène; Kokulte</t>
        </is>
      </c>
    </row>
    <row r="10928">
      <c r="A10928" t="inlineStr">
        <is>
          <t>Xélor M 200</t>
        </is>
      </c>
      <c r="B10928">
        <f>HYPERLINK("https://www.dofusbook.net/fr/equipement/4009522-xelor-m-200/objets", "link")</f>
        <v/>
      </c>
      <c r="C10928" t="n">
        <v>0</v>
      </c>
      <c r="D10928" t="inlineStr">
        <is>
          <t>Marteau R'ture; Amulette Volkorne; Bague Gloursonne; Anneau Chevelu; Bouclier Taverne; Ceinture Volkorne; Masque de Koutoulou; Cape au Logis; Bottes du Cœur Saignant; Dofus Turquoise; Dofus des Glaces; Dofus Ocre; Dofus Ivoire; Dofus Abyssal; Dofus Ébène; Pioute vert</t>
        </is>
      </c>
    </row>
    <row r="10929">
      <c r="A10929" t="inlineStr">
        <is>
          <t>Xélor M 200</t>
        </is>
      </c>
      <c r="B10929">
        <f>HYPERLINK("https://www.dofusbook.net/fr/equipement/4009561-xelor-m-200/objets", "link")</f>
        <v/>
      </c>
      <c r="C10929" t="n">
        <v>1</v>
      </c>
      <c r="D10929" t="inlineStr">
        <is>
          <t>Baguette de Malléfisk; Amulette de Nileza; Bague Gloursonne; Anneau Tique; Sept ans de malheur; Ceinture de Vortex; Heaume Oplate; Cape Ardente; Chaussures Ardentes; Dofus Abyssal; Dofus Ivoire; Dofus Ocre; Érudit majeur; Étourdisseur majeur; Nomade; Ross</t>
        </is>
      </c>
    </row>
    <row r="10930">
      <c r="A10930" t="inlineStr">
        <is>
          <t>Xélor M 200</t>
        </is>
      </c>
      <c r="B10930">
        <f>HYPERLINK("https://www.dofusbook.net/fr/equipement/4366981-xelor-m-200/objets", "link")</f>
        <v/>
      </c>
      <c r="C10930" t="n">
        <v>0</v>
      </c>
      <c r="D10930" t="inlineStr">
        <is>
          <t>Baguette Héroclite; Amulette de l'Œil Attentif; Bracelet des Fonds marins; Alliance Gloursonne; Cadran de Terre; Ceinture Glaciale; Capuche de l'Œil Attentif; Cape Solution; Chaussons de Macrab; Dofus Abyssal; Dofus Ivoire; Dofus Ocre; Dofus Ébène; Nomade; Chanceux majeur; Kanigloups</t>
        </is>
      </c>
    </row>
    <row r="10931">
      <c r="A10931" t="inlineStr">
        <is>
          <t>Xélor M 200</t>
        </is>
      </c>
      <c r="B10931">
        <f>HYPERLINK("https://www.dofusbook.net/fr/equipement/3380849-xelor-m-200/objets", "link")</f>
        <v/>
      </c>
      <c r="C10931" t="n">
        <v>2</v>
      </c>
      <c r="D10931" t="inlineStr">
        <is>
          <t>Lav'Hache; Collier de Tourthon; Anneau Crustique; Anneau Crustique; Cadran de Terre; Ceinture de la Cour Sombre; Masque de Koutoulou; Cape au Logis; Bottes de la Cour Sombre; Dofus Abyssal; Dofus Ivoire; Dofus Ocre; Dévastateur Terre majeur; Enragé majeur; Étourdisseur majeur; Bwak de Terre</t>
        </is>
      </c>
    </row>
    <row r="10932">
      <c r="A10932" t="inlineStr">
        <is>
          <t>sadi eau air</t>
        </is>
      </c>
      <c r="B10932">
        <f>HYPERLINK("https://www.dofusbook.net/fr/equipement/4226376-sadi-eau-air/objets", "link")</f>
        <v/>
      </c>
      <c r="C10932" t="n">
        <v>4</v>
      </c>
      <c r="D10932" t="inlineStr">
        <is>
          <t>Hache du Korriandre; Amulette d'Ilyzaelle; Anneau Volkorne; Alliance Gloursonne; Bouclier du Stalak; Ceinture du Barbétoal; Casque Volkorne; Cape de Jahash Jurgen; Bottes de l'Esprit Salvateur; Dofus des Glaces; Dofus Ocre; Dofus Pourpre; Chanceux majeur; Nomade; Cascadeur majeur; Volkorne Indigo et Ebène</t>
        </is>
      </c>
    </row>
    <row r="10933">
      <c r="A10933" t="inlineStr">
        <is>
          <t>Sadida F 200</t>
        </is>
      </c>
      <c r="B10933">
        <f>HYPERLINK("https://www.dofusbook.net/fr/equipement/5213425-sadida-f-200/objets", "link")</f>
        <v/>
      </c>
      <c r="C10933" t="n">
        <v>0</v>
      </c>
      <c r="D10933" t="inlineStr">
        <is>
          <t>Pyraguette; Amulette Volkorne; Anneau Volkorne; Alliance Gloursonne; Bouclier du Stalak; Ceinture de l'Esprit Salvateur; Masque de l'Esprit Salvateur; Cape de Jahash Jurgen; Bottes de l'Esprit Salvateur; Dofus des Glaces; Dofus Ocre; Dolmanax; Dofus Vulbis; Dofus Pourpre; Puissant majeur; Fëanor</t>
        </is>
      </c>
    </row>
    <row r="10934">
      <c r="A10934" t="inlineStr">
        <is>
          <t>Ouginak F 200 zzsqa</t>
        </is>
      </c>
      <c r="B10934">
        <f>HYPERLINK("https://www.dofusbook.net/fr/equipement/5213382-ouginak-f-200--zzsqa/objets", "link")</f>
        <v/>
      </c>
      <c r="C10934" t="n">
        <v>0</v>
      </c>
      <c r="D10934" t="inlineStr">
        <is>
          <t>Manthache; Collier du Valet Veinard; Alliance Gloursonne; Gant du Valet Veinard; Bouclier du Stalak; Ceinture de l'Esprit Salvateur; Masque de l'Esprit Salvateur; Cape du Valet Veinard; Bottes de l'Esprit Salvateur; Dofus Vulbis; Dofus des Glaces; Dofus Ivoire; Dofus Ocre; Dofus Pourpre; Dofus Ébène; Blérodoudou</t>
        </is>
      </c>
    </row>
    <row r="10935">
      <c r="A10935" t="inlineStr">
        <is>
          <t>Sadida F 200</t>
        </is>
      </c>
      <c r="B10935">
        <f>HYPERLINK("https://www.dofusbook.net/fr/equipement/4892604-sadida-f-200/objets", "link")</f>
        <v/>
      </c>
      <c r="C10935" t="n">
        <v>0</v>
      </c>
      <c r="D10935" t="inlineStr">
        <is>
          <t>Bâthon; Amulette Volkorne; Bague Gloursonne; Chevalière du Roi Joueur; Bouclier du Stalak; Ceinture Volkorne; Couronne du Roi Joueur; Cape de Jahash Jurgen; Bottes du Roi Joueur; Dolmanax; Dofus Ocre; Dofus des Glaces; Dofus Vulbis; Dofus Pourpre; Robuste majeur; Fëanor</t>
        </is>
      </c>
    </row>
    <row r="10936">
      <c r="A10936" t="inlineStr">
        <is>
          <t>Ecaflip F 200</t>
        </is>
      </c>
      <c r="B10936">
        <f>HYPERLINK("https://www.dofusbook.net/fr/equipement/4274741-ecaflip-f-200/objets", "link")</f>
        <v/>
      </c>
      <c r="C10936" t="n">
        <v>2</v>
      </c>
      <c r="D10936" t="inlineStr">
        <is>
          <t>Dagoulinantes; Amulette de Shokkoth; Anneau Volkorne; Anneau Glacial; Quatre-feuilles; Poulpagne; Kidibonnet; Cape du Sinistrofu; Bottes du Sinistrofu; Dofus Pourpre; Dofus Turquoise; Chanceux majeur; Nomade; Vigoureux majeur; Taquin majeur; Pioute bleu</t>
        </is>
      </c>
    </row>
    <row r="10937">
      <c r="A10937" t="inlineStr">
        <is>
          <t>Ouginak F 200</t>
        </is>
      </c>
      <c r="B10937">
        <f>HYPERLINK("https://www.dofusbook.net/fr/equipement/4272753-ouginak-f-200/objets", "link")</f>
        <v/>
      </c>
      <c r="C10937" t="n">
        <v>0</v>
      </c>
      <c r="D10937" t="inlineStr">
        <is>
          <t>Dagoulinantes; Amulette de Shokkoth; Anneau Glacial; Anneau Volkorne; Quatre-feuilles; Poulpagne; Kidibonnet; Cape du Sinistrofu; Bottes du Sinistrofu; Dofus Turquoise; Dofus Pourpre; Taquin majeur; Chanceux majeur; Nomade; Vigoureux majeur; Kanigloups</t>
        </is>
      </c>
    </row>
    <row r="10938">
      <c r="A10938" t="inlineStr">
        <is>
          <t>Steamer F 200</t>
        </is>
      </c>
      <c r="B10938">
        <f>HYPERLINK("https://www.dofusbook.net/fr/equipement/3825862-steamer-f-200/objets", "link")</f>
        <v/>
      </c>
      <c r="C10938" t="n">
        <v>6</v>
      </c>
      <c r="D10938" t="inlineStr">
        <is>
          <t>Baguette de Malléfisk; Amulette Volkorne; Anneau de Nidas; Anneauræus; Carapar; Ceinture Séculaire; Coiffe Séculaire; Cape de Diondin; Bottes Innommables; Guérisseur majeur; Nomade; Soigneur majeur; Docteur majeur; Érudit majeur; Remueur; Meuch</t>
        </is>
      </c>
    </row>
    <row r="10939">
      <c r="A10939" t="inlineStr">
        <is>
          <t>Zobal F 200</t>
        </is>
      </c>
      <c r="B10939">
        <f>HYPERLINK("https://www.dofusbook.net/fr/equipement/4028578-zobal-f-200/objets", "link")</f>
        <v/>
      </c>
      <c r="C10939" t="n">
        <v>0</v>
      </c>
      <c r="D10939" t="inlineStr">
        <is>
          <t>Arc Nécrotique; Amulette Volkorne; Bague Trithon; Anneau Volkorne; Quatre-feuilles; Ceintacé; Masque Trithon; Cape de la Dame du Hasard; Bottes de la Dame du Hasard; Dofus Pourpre; Dofus Ocre; Dofus des Glaces; Kokulte</t>
        </is>
      </c>
    </row>
    <row r="10940">
      <c r="A10940" t="inlineStr">
        <is>
          <t>Stuff 2</t>
        </is>
      </c>
      <c r="B10940">
        <f>HYPERLINK("https://www.dofusbook.net/fr/equipement/1679316-stuff-2/objets", "link")</f>
        <v/>
      </c>
      <c r="C10940" t="n">
        <v>41</v>
      </c>
      <c r="D10940" t="inlineStr">
        <is>
          <t>Hache Téroïde; Amulette du Strigide; Bague Gloursonne; Chevalière du Roi Joueur; Bouclier du Captain Amakna; Ceinture du Strigide; Couronne du Roi Joueur; Cape au Logis; Bottes du Roi Joueur; Dofus Nébuleux; Dofus Ocre; Dofus Pourpre; Dofus des Glaces; Dolmanax; Dofus Turquoise; Kokulte</t>
        </is>
      </c>
    </row>
    <row r="10941">
      <c r="A10941" t="inlineStr">
        <is>
          <t>Pandawa M 200</t>
        </is>
      </c>
      <c r="B10941">
        <f>HYPERLINK("https://www.dofusbook.net/fr/equipement/4154851-pandawa-m-200/objets", "link")</f>
        <v/>
      </c>
      <c r="C10941" t="n">
        <v>1</v>
      </c>
      <c r="D10941" t="inlineStr">
        <is>
          <t>Arc Hétype; Amulette Séculaire; Anneau Tique; Bracelet du Piloztère; Ceinture Séculaire; Coiffe Séculaire; Cape de Nileza; Bottes d'Otomaï; Dofus des Glaces; Dofus Ocre; Dofus Turquoise; Astucieux majeur; Savant majeur; Astucieux; Muldo Doré et Amande</t>
        </is>
      </c>
    </row>
    <row r="10942">
      <c r="A10942" t="inlineStr">
        <is>
          <t>air-feu</t>
        </is>
      </c>
      <c r="B10942">
        <f>HYPERLINK("https://www.dofusbook.net/fr/equipement/3079150-air-feu/objets", "link")</f>
        <v/>
      </c>
      <c r="C10942" t="n">
        <v>1</v>
      </c>
      <c r="D10942" t="inlineStr">
        <is>
          <t>La Baguette des Limbes; Col de Ush; Gelano; Anneau Nobstant; Cadran de Terre; Ceinture de l'Orfélin; Bonnet Ko; Cape du Bretteur Céleste; Bottes de Ush; Dofus Turquoise; Dofus Pourpre; Vigoureux majeur; Nomade; Vigoureux; Remueur; Muldo Prune et Doré</t>
        </is>
      </c>
    </row>
    <row r="10943">
      <c r="A10943" t="inlineStr">
        <is>
          <t>eau-terre</t>
        </is>
      </c>
      <c r="B10943">
        <f>HYPERLINK("https://www.dofusbook.net/fr/equipement/3062955-eau-terre/objets", "link")</f>
        <v/>
      </c>
      <c r="C10943" t="n">
        <v>0</v>
      </c>
      <c r="D10943" t="inlineStr">
        <is>
          <t>Ares; Amulette du Chef Bwork; Gelano; Anneau Ancestral; Le Karde Cœur; Ceinture Phossile; Katar Strophe; Cape Phossile; Sandales Humeuses; Dofus Pourpre; Enragé majeur; Chanceux majeur; Nomade; Vigoureux majeur; Remueur; Dragodinde Prune et Ivoire</t>
        </is>
      </c>
    </row>
    <row r="10944">
      <c r="A10944" t="inlineStr">
        <is>
          <t>terre-eau</t>
        </is>
      </c>
      <c r="B10944">
        <f>HYPERLINK("https://www.dofusbook.net/fr/equipement/3060845-terre-eau/objets", "link")</f>
        <v/>
      </c>
      <c r="C10944" t="n">
        <v>0</v>
      </c>
      <c r="D10944" t="inlineStr">
        <is>
          <t>Bâton K'Tueuh; Amulette du Chef Bwork; Anneau Ancestral; Gelano; Cadran de Terre; Ceinture des Matougarous; Bonnet Ko; Cape des Matougarous; Sandales Humeuses; Dofus Pourpre; Temporiseur majeur; Remueur; Nomade; Ralentisseur majeur; Vigoureux majeur; Dragodinde Prune et Ivoire</t>
        </is>
      </c>
    </row>
    <row r="10945">
      <c r="A10945" t="inlineStr">
        <is>
          <t>air-feu</t>
        </is>
      </c>
      <c r="B10945">
        <f>HYPERLINK("https://www.dofusbook.net/fr/equipement/3048600-air-feu/objets", "link")</f>
        <v/>
      </c>
      <c r="C10945" t="n">
        <v>0</v>
      </c>
      <c r="D10945" t="inlineStr">
        <is>
          <t>Racine Hécouanone; Talisman d'Elya Wood; Gelano; Anneau du Dragoeuf; Xénature; La Bekille; Cape Cérémoniale du Seigneur des Rats; Bottes Cérémoniales du Seigneur des Rats; Érudit; Vigoureux; Guérisseur; Remueur; Nomade; Observateur; Dragodinde Prune et Ivoire</t>
        </is>
      </c>
    </row>
    <row r="10946">
      <c r="A10946" t="inlineStr">
        <is>
          <t>terre-air</t>
        </is>
      </c>
      <c r="B10946">
        <f>HYPERLINK("https://www.dofusbook.net/fr/equipement/3051430-terre-air/objets", "link")</f>
        <v/>
      </c>
      <c r="C10946" t="n">
        <v>0</v>
      </c>
      <c r="D10946" t="inlineStr">
        <is>
          <t>L'Épée Nice; Amulette Nécrotique; Anneau du Meulou; Bracelet du Chef Bwork; Bouclier Taverne; Ceinture de XLII; Masque de l'Abrakleur clair; Cape Phossile; Bottes de XLII; Dofus Pourpre; Dofus Ocre; Vigoureux majeur; Remueur; Culbuteur majeur; Nomade; Kramkram</t>
        </is>
      </c>
    </row>
    <row r="10947">
      <c r="A10947" t="inlineStr">
        <is>
          <t>feu-air</t>
        </is>
      </c>
      <c r="B10947">
        <f>HYPERLINK("https://www.dofusbook.net/fr/equipement/3029167-feu-air/objets", "link")</f>
        <v/>
      </c>
      <c r="C10947" t="n">
        <v>0</v>
      </c>
      <c r="D10947" t="inlineStr">
        <is>
          <t>Amulette du Scorbute; Gelano; Craquanneau Légendaire; Le Karde Cœur; Ceinture du Berserkoffre; Casque du Berserkoffre; Bottes du Chef Bwork; Remueur; Vigoureux; Érudit; Nomade; Cascadeur; Dragodinde Prune et Ivoire</t>
        </is>
      </c>
    </row>
    <row r="10948">
      <c r="A10948" t="inlineStr">
        <is>
          <t>terre eau</t>
        </is>
      </c>
      <c r="B10948">
        <f>HYPERLINK("https://www.dofusbook.net/fr/equipement/2956977-terre-eau/objets", "link")</f>
        <v/>
      </c>
      <c r="C10948" t="n">
        <v>0</v>
      </c>
      <c r="D10948" t="inlineStr">
        <is>
          <t>Kask'Arc Go; Amulette du Chef Bwork; Anneau du Dragon Cochon; Gelano; Bouclier Terrdala; Ceinture du Capitaine Ekarlatte; Kaskargo; Abracapa Ancestrale; Gruchaussures; Dofus Émeraude; Dofus Pourpre; Vigoureux; Enragé; Remueur; Nomade; Kramkram</t>
        </is>
      </c>
    </row>
    <row r="10949">
      <c r="A10949" t="inlineStr">
        <is>
          <t>Chance</t>
        </is>
      </c>
      <c r="B10949">
        <f>HYPERLINK("https://www.dofusbook.net/fr/equipement/2952869-chance/objets", "link")</f>
        <v/>
      </c>
      <c r="C10949" t="n">
        <v>0</v>
      </c>
      <c r="D10949" t="inlineStr">
        <is>
          <t>Pelle Hikule; La Feuille de Printemps; Anneau K'Tuelle; Gelano; Bouclier Aerdala; Ceinture du Capitaine Ekarlatte; Holoune; Corbacape Mastralis; Sandales Humeuses; Dofus Émeraude; Dokoko; Vigoureux; Remueur; Chanceux; Nomade; Kramkram</t>
        </is>
      </c>
    </row>
    <row r="10950">
      <c r="A10950" t="inlineStr">
        <is>
          <t>airdala</t>
        </is>
      </c>
      <c r="B10950">
        <f>HYPERLINK("https://www.dofusbook.net/fr/equipement/2948900-airdala/objets", "link")</f>
        <v/>
      </c>
      <c r="C10950" t="n">
        <v>0</v>
      </c>
      <c r="D10950" t="inlineStr">
        <is>
          <t>Dagues Aerdala; Amulette Aerdala; Alliance Aerdala; Ceinture Aerdala; Chapeau Aerdala; Cape Aerdala; Geta Aerdala; Equilibriste mineur; Examinateur; Acrobate mineur; Dragodinde Prune et Ebène</t>
        </is>
      </c>
    </row>
    <row r="10951">
      <c r="A10951" t="inlineStr">
        <is>
          <t>air</t>
        </is>
      </c>
      <c r="B10951">
        <f>HYPERLINK("https://www.dofusbook.net/fr/equipement/2948836-air/objets", "link")</f>
        <v/>
      </c>
      <c r="C10951" t="n">
        <v>0</v>
      </c>
      <c r="D10951" t="inlineStr">
        <is>
          <t>Blessdags; Amulette Aerdala; Gelano; Blopanneau Coco; Kloume; Ceinture Tortue Jaune; Dantgoule; Cape du Tofu Fou; Geta Aerdala; Equilibriste mineur; Observateur; Robuste mineur; Cascadeur mineur; Acrobate mineur; Vigoureux mineur; Dragodinde Prune et Ebène</t>
        </is>
      </c>
    </row>
    <row r="10952">
      <c r="A10952" t="inlineStr">
        <is>
          <t>eau</t>
        </is>
      </c>
      <c r="B10952">
        <f>HYPERLINK("https://www.dofusbook.net/fr/equipement/2880010-eau/objets", "link")</f>
        <v/>
      </c>
      <c r="C10952" t="n">
        <v>0</v>
      </c>
      <c r="D10952" t="inlineStr">
        <is>
          <t>Ares; Boufbamu; Blopanneau Indigo; Gelano; Ceinture Tortue Bleue; Caracoiffe; Cape du Coq Hû; Carabottes; Vagabond mineur; Taquin mineur; Déserteur mineur; Chanceux mineur; Joueur mineur; Observateur; Dragodinde Prune et Indigo</t>
        </is>
      </c>
    </row>
    <row r="10953">
      <c r="A10953" t="inlineStr">
        <is>
          <t>feu 90</t>
        </is>
      </c>
      <c r="B10953">
        <f>HYPERLINK("https://www.dofusbook.net/fr/equipement/2898783-feu-90/objets", "link")</f>
        <v/>
      </c>
      <c r="C10953" t="n">
        <v>0</v>
      </c>
      <c r="D10953" t="inlineStr">
        <is>
          <t>Pelle Gicque; Amulette Feudala; Gelano; Alliance des Forestiers; Bouclier du Chouque; Ceinture des Vents; Masque Riktus; Cape Riktus; Bloptes Griotte Royales; Dokoko; Dofus Cawotte; Étourdisseur mineur; Miraculé mineur; Astucieux mineur; Érudit mineur; Dragodinde Prune et Orchidée</t>
        </is>
      </c>
    </row>
    <row r="10954">
      <c r="A10954" t="inlineStr">
        <is>
          <t>feu terre</t>
        </is>
      </c>
      <c r="B10954">
        <f>HYPERLINK("https://www.dofusbook.net/fr/equipement/2890071-feu-terre/objets", "link")</f>
        <v/>
      </c>
      <c r="C10954" t="n">
        <v>1</v>
      </c>
      <c r="D10954" t="inlineStr">
        <is>
          <t>Baguette Meneuse; Amublop Multicolore Royale; Blopanneau Multicolore Royal; Gelano; Blopture Multicolore Royale; Couronne du Wa Wobot; Cape du Wa Wobot; Bloptes Multicolores Royales; Dokoko; Dofus Cawotte; Dragodinde Prune et Ivoire</t>
        </is>
      </c>
    </row>
    <row r="10955">
      <c r="A10955" t="inlineStr">
        <is>
          <t>eau-feu</t>
        </is>
      </c>
      <c r="B10955">
        <f>HYPERLINK("https://www.dofusbook.net/fr/equipement/2889202-eau-feu/objets", "link")</f>
        <v/>
      </c>
      <c r="C10955" t="n">
        <v>0</v>
      </c>
      <c r="D10955" t="inlineStr">
        <is>
          <t>Le Kikoularc; Amulette Feudala; Bracelet Magique de Shika; Gelano; Bouclier de Choudini; Ceinture des Vents; Masque de Choudini; Capodindo; Bloptes Multicolores Royales; Dofus Cawotte; Étourdisseur mineur; Observateur; Robuste mineur; Temporiseur mineur; Vigoureux mineur; Dragodinde Prune et Ivoire</t>
        </is>
      </c>
    </row>
    <row r="10956">
      <c r="A10956" t="inlineStr">
        <is>
          <t>terre</t>
        </is>
      </c>
      <c r="B10956">
        <f>HYPERLINK("https://www.dofusbook.net/fr/equipement/2890166-terre/objets", "link")</f>
        <v/>
      </c>
      <c r="C10956" t="n">
        <v>0</v>
      </c>
      <c r="D10956" t="inlineStr">
        <is>
          <t>La Thor-Boyaux; Amublop Reinette Royale; Bracelet Magique de Farle; Gelano; Bouclier Akwadala; Ceinture Mulante; Couronne du Wa Wobot; Cape Ouroboulos; Bottes Ouroboulos; Dofus Cawotte; Dokoko; Vigoureux mineur; Enragé mineur; Observateur; Temporiseur mineur; Dragodinde Prune et Pourpre</t>
        </is>
      </c>
    </row>
    <row r="10957">
      <c r="A10957" t="inlineStr">
        <is>
          <t>terre-eau</t>
        </is>
      </c>
      <c r="B10957">
        <f>HYPERLINK("https://www.dofusbook.net/fr/equipement/2890021-terre-eau/objets", "link")</f>
        <v/>
      </c>
      <c r="C10957" t="n">
        <v>0</v>
      </c>
      <c r="D10957" t="inlineStr">
        <is>
          <t>Ares; Dés de la Chance; Gelano; Anneau Ouroboulos; Ceinture de Klüme; Caracoiffe; Cape Ouroboulos; Bottes Ouroboulos; Dokoko; Dofus Cawotte; Examinateur; Entraveur mineur; Puissant mineur; Robuste mineur; Dragodinde Prune et Ivoire</t>
        </is>
      </c>
    </row>
    <row r="10958">
      <c r="A10958" t="inlineStr">
        <is>
          <t>eau 80</t>
        </is>
      </c>
      <c r="B10958">
        <f>HYPERLINK("https://www.dofusbook.net/fr/equipement/2889931-eau-80/objets", "link")</f>
        <v/>
      </c>
      <c r="C10958" t="n">
        <v>0</v>
      </c>
      <c r="D10958" t="inlineStr">
        <is>
          <t>Ares; Boufbamu; Gelano; Bracelet du Blanc Pa Wabbit; Bouclier de Sidimote; Ceinture du Blanc Pa Wabbit; Casque du Blanc Pa Wabbit; Cape Ouroboulos; Bottes Ouroboulos; Dokoko; Dofus Cawotte; Examinateur; Ralentisseur mineur; Entraveur mineur; Taquin mineur; Dragodinde Prune et Indigo</t>
        </is>
      </c>
    </row>
    <row r="10959">
      <c r="A10959" t="inlineStr">
        <is>
          <t>air-eau</t>
        </is>
      </c>
      <c r="B10959">
        <f>HYPERLINK("https://www.dofusbook.net/fr/equipement/2879941-air-eau/objets", "link")</f>
        <v/>
      </c>
      <c r="C10959" t="n">
        <v>0</v>
      </c>
      <c r="D10959" t="inlineStr">
        <is>
          <t>Lame du Chef Crocodaille; Amulette du Chef Crocodaille; Bracelet du Chef Crocodaille; Gelano; Ceinture du Chef Crocodaille; Coiffe du Chef Crocodaille; Petit sac d'écolier du Chef Crocodaille; Pantoufles Crochues du Chef Crocodaille; Dragodinde Prune et Emeraude</t>
        </is>
      </c>
    </row>
    <row r="10960">
      <c r="A10960" t="inlineStr">
        <is>
          <t>air</t>
        </is>
      </c>
      <c r="B10960">
        <f>HYPERLINK("https://www.dofusbook.net/fr/equipement/2861719-air/objets", "link")</f>
        <v/>
      </c>
      <c r="C10960" t="n">
        <v>0</v>
      </c>
      <c r="D10960" t="inlineStr">
        <is>
          <t>Cruelle Pelle-Truelle; Amulette Aerdala; Gelano; Blopanneau Coco; Cape du Tofu Fou; Puissant mineur; Equilibriste mineur; Vigoureux mineur; Cascadeur mineur; Observateur; Acrobate mineur; Dragodinde Prune et Ebène; Bouclier Verréhor</t>
        </is>
      </c>
    </row>
    <row r="10961">
      <c r="A10961" t="inlineStr">
        <is>
          <t>Boum</t>
        </is>
      </c>
      <c r="B10961">
        <f>HYPERLINK("https://www.dofusbook.net/fr/equipement/2410246-boum/objets", "link")</f>
        <v/>
      </c>
      <c r="C10961" t="n">
        <v>1</v>
      </c>
      <c r="D10961" t="inlineStr">
        <is>
          <t>Harpelle; Pendentif affamé; Anneauræus; Anneau Tique; Bouclier du Cycloïde; Ceinture de Vortex; Couronne de Nidas; Cape de la Dame du Hasard; Bottes Innommables; Dofus Ocre; Dofus Pourpre; Dofus Turquoise; Érudit majeur; Remueur; Guérisseur majeur; Muldo Orchidée</t>
        </is>
      </c>
    </row>
    <row r="10962">
      <c r="A10962" t="inlineStr">
        <is>
          <t>bam</t>
        </is>
      </c>
      <c r="B10962">
        <f>HYPERLINK("https://www.dofusbook.net/fr/equipement/1812775-bam/objets", "link")</f>
        <v/>
      </c>
      <c r="C10962" t="n">
        <v>1</v>
      </c>
      <c r="D10962" t="inlineStr">
        <is>
          <t>Bâthon; Amulette de Gein; Bague Gloursonne; Baguistik; Ceinture de Gein; Couronne du Roi Joueur; Voile d'encre; Bottes du Chalœil; Dofus Ocre; Dofus Pourpre; Dofus Turquoise; Vigoureux majeur; Remueur; Carapace Neutre majeur; Muldo Doré et Pourpre</t>
        </is>
      </c>
    </row>
    <row r="10963">
      <c r="A10963" t="inlineStr">
        <is>
          <t>boum</t>
        </is>
      </c>
      <c r="B10963">
        <f>HYPERLINK("https://www.dofusbook.net/fr/equipement/1935190-boum/objets", "link")</f>
        <v/>
      </c>
      <c r="C10963" t="n">
        <v>1</v>
      </c>
      <c r="D10963" t="inlineStr">
        <is>
          <t>Arc de Koutoulou; Amulette Voldelor; Bracelet du Piloztère; Alliance Gloursonne; Bouclier du Stalak; Ceinture du Barbétoal; Chapeau des Malveilleurs; Chevelure de Tal Kasha; Bottes des Malveilleurs; Dofus Turquoise; Dofus Ocre; Dofus Pourpre; Carapace Air majeur; Vigoureux majeur; Remueur; Muldo Doré et Ebène</t>
        </is>
      </c>
    </row>
    <row r="10964">
      <c r="A10964" t="inlineStr">
        <is>
          <t>Ret</t>
        </is>
      </c>
      <c r="B10964">
        <f>HYPERLINK("https://www.dofusbook.net/fr/equipement/1644247-ret/objets", "link")</f>
        <v/>
      </c>
      <c r="C10964" t="n">
        <v>0</v>
      </c>
      <c r="D10964" t="inlineStr">
        <is>
          <t>Marteau R'ture; Collier de la Dame du Hasard; Chevalière du Roi Joueur; Anneau Tamie; Ambrouclier; Ceinture Instable; Couronne de Nidas; Cape de la Dame du Hasard; Pikottes; Dofus Ocre; Dofus Turquoise; Entraveur majeur; Remueur; Temporiseur majeur; Ralentisseur majeur; Dragodinde Emeraude et Rousse</t>
        </is>
      </c>
    </row>
    <row r="10965">
      <c r="A10965" t="inlineStr">
        <is>
          <t>booom</t>
        </is>
      </c>
      <c r="B10965">
        <f>HYPERLINK("https://www.dofusbook.net/fr/equipement/1644163-booom/objets", "link")</f>
        <v/>
      </c>
      <c r="C10965" t="n">
        <v>2</v>
      </c>
      <c r="D10965" t="inlineStr">
        <is>
          <t>Sabres d'Atcham; Amulette du Strigide; Bracelet du Piloztère; Anneau de Padgref; Bouclier du Captain Amakna; Ceinture du Strigide; Coiffe de Padgref; Cape d'Atcham; Getas de Padgref; Dofus Abyssal; Dofus Émeraude; Dolmanax; Dofus Turquoise; Dofus Pourpre; Dofus Ocre; Muldo Prune et Emeraude</t>
        </is>
      </c>
    </row>
    <row r="10966">
      <c r="A10966" t="inlineStr">
        <is>
          <t>Stuff 3</t>
        </is>
      </c>
      <c r="B10966">
        <f>HYPERLINK("https://www.dofusbook.net/fr/equipement/1644151-stuff-3/objets", "link")</f>
        <v/>
      </c>
      <c r="C10966" t="n">
        <v>0</v>
      </c>
      <c r="D10966" t="inlineStr">
        <is>
          <t>Marteau des Anciens Steamers; Amulette d'Hel Munster; Alliance Gloursonne; Anneau d'Allister; Slip Iholo; Coiffe d'Hel Munster; Cape d'Hel Munster; Sandales Ouzi; Dofus Ocre; Dofus Pourpre; Dofus Turquoise; Joueur majeur; Acrobate majeur; Puissant majeur; Kramkram</t>
        </is>
      </c>
    </row>
    <row r="10967">
      <c r="A10967" t="inlineStr">
        <is>
          <t>Stuff 3</t>
        </is>
      </c>
      <c r="B10967">
        <f>HYPERLINK("https://www.dofusbook.net/fr/equipement/1644146-stuff-3/objets", "link")</f>
        <v/>
      </c>
      <c r="C10967" t="n">
        <v>0</v>
      </c>
      <c r="D10967" t="inlineStr">
        <is>
          <t>Pelle Hikule; La Feuille de Printemps; Anneau du Dragon Cochon; Ceinture du Royalmouth; Holoune; Corbacape Mastralis; Sandales Humeuses; Dofus Ocre; Dofus Pourpre; Remueur; Chanceux; Nomade; Déserteur; Dragodinde Prune et Indigo</t>
        </is>
      </c>
    </row>
    <row r="10968">
      <c r="A10968" t="inlineStr">
        <is>
          <t>Stuff 1</t>
        </is>
      </c>
      <c r="B10968">
        <f>HYPERLINK("https://www.dofusbook.net/fr/equipement/1644135-stuff-1/objets", "link")</f>
        <v/>
      </c>
      <c r="C10968" t="n">
        <v>0</v>
      </c>
      <c r="D10968" t="inlineStr">
        <is>
          <t>Dagues Açantes; Amulette du Glourséleste; Anneau Aimgéroks; Pikano; Ceinture Instable; Coiffe d'Ogivol; Cape de Léthaline; Pikottes; Entraveur majeur; Remueur; Temporiseur majeur; Entraveur; Ralentisseur majeur; Temporiseur; Dragodinde en armure</t>
        </is>
      </c>
    </row>
    <row r="10969">
      <c r="A10969" t="inlineStr">
        <is>
          <t>Stuff 3</t>
        </is>
      </c>
      <c r="B10969">
        <f>HYPERLINK("https://www.dofusbook.net/fr/equipement/1644137-stuff-3/objets", "link")</f>
        <v/>
      </c>
      <c r="C10969" t="n">
        <v>0</v>
      </c>
      <c r="D10969" t="inlineStr">
        <is>
          <t>Bâton des Rois; Amublop Griotte; Blopanneau Griotte; Gelano; Blopture Griotte; Gelocoiffe; Bloptes Griottes; Dofus Cawotte; Fuyard mineur; Entraveur mineur; Vagabond mineur; Examinateur; Ralentisseur mineur; Dragodinde Prune et Orchidée; Cape de Julith</t>
        </is>
      </c>
    </row>
    <row r="10970">
      <c r="A10970" t="inlineStr">
        <is>
          <t>Stuff 2</t>
        </is>
      </c>
      <c r="B10970">
        <f>HYPERLINK("https://www.dofusbook.net/fr/equipement/1644150-stuff-2/objets", "link")</f>
        <v/>
      </c>
      <c r="C10970" t="n">
        <v>0</v>
      </c>
      <c r="D10970" t="inlineStr">
        <is>
          <t>Epée Kari; Amulette du Strigide; Alliance Gloursonne; Grésilanneau; Ceinture d'Ogivol; Coiffe Ranshi; Cape Reski; Bottes du Strigide; Dofus Turquoise; Dofus Ocre; Dofus Pourpre; Remueur; Vigoureux majeur; Nomade; Kramkram</t>
        </is>
      </c>
    </row>
    <row r="10971">
      <c r="A10971" t="inlineStr">
        <is>
          <t>Stuff 2</t>
        </is>
      </c>
      <c r="B10971">
        <f>HYPERLINK("https://www.dofusbook.net/fr/equipement/1644145-stuff-2/objets", "link")</f>
        <v/>
      </c>
      <c r="C10971" t="n">
        <v>0</v>
      </c>
      <c r="D10971" t="inlineStr">
        <is>
          <t>Glaive Icération; Gruchette; Bracelet du Chef Bwork; Gelano; Ceinture Billonnante; Solomonk; Caracape Minotoris; Gruchaussures; Dofus Ocre; Dofus Pourpre; Remueur; Vigoureux; Cascadeur; Nomade; Dragodinde Prune et Ebène</t>
        </is>
      </c>
    </row>
    <row r="10972">
      <c r="A10972" t="inlineStr">
        <is>
          <t>Stuff 2</t>
        </is>
      </c>
      <c r="B10972">
        <f>HYPERLINK("https://www.dofusbook.net/fr/equipement/1644136-stuff-2/objets", "link")</f>
        <v/>
      </c>
      <c r="C10972" t="n">
        <v>0</v>
      </c>
      <c r="D10972" t="inlineStr">
        <is>
          <t>Marteau Ronto; Amulette de Moon; Gelano; Blopanneau Griotte Royal; Ceinture des Vents; Billréole; Cape de Moon; Bottes du Chef Bwork; Déserteur; Érudit; Entraveur; Nomade; Temporiseur; Remueur; Dragodinde Prune et Orchidée</t>
        </is>
      </c>
    </row>
    <row r="10973">
      <c r="A10973" t="inlineStr">
        <is>
          <t>Stuff 1</t>
        </is>
      </c>
      <c r="B10973">
        <f>HYPERLINK("https://www.dofusbook.net/fr/equipement/1644149-stuff-1/objets", "link")</f>
        <v/>
      </c>
      <c r="C10973" t="n">
        <v>0</v>
      </c>
      <c r="D10973" t="inlineStr">
        <is>
          <t>Marteau des Anciens Steamers; Amulette d'Hel Munster; Grésilanneau; Alliance Gloursonne; Ceinture Rasboulaire du Rasboul; Coiffe d'Hel Munster; Cape Matelassée; Sandales Circulaires du Kimbo; Dofus Pourpre; Dofus Ocre; Dofus Turquoise; Nomade; Remueur; Vigoureux majeur; Dragodinde en armure</t>
        </is>
      </c>
    </row>
    <row r="10974">
      <c r="A10974" t="inlineStr">
        <is>
          <t>Stuff 1</t>
        </is>
      </c>
      <c r="B10974">
        <f>HYPERLINK("https://www.dofusbook.net/fr/equipement/1644144-stuff-1/objets", "link")</f>
        <v/>
      </c>
      <c r="C10974" t="n">
        <v>0</v>
      </c>
      <c r="D10974" t="inlineStr">
        <is>
          <t>Baguette Hernelle; Frimamulette; Anneau d'Allister; Anneau de Padgref; Ceinture Rasboulaire du Rasboul; Couronne d'Allister; Cape d'Hel Munster; Pantoufles Émar; Dofus Turquoise; Dofus Pourpre; Dofus Ocre; Remueur; Nomade; Cascadeur majeur; Siroko</t>
        </is>
      </c>
    </row>
    <row r="10975">
      <c r="A10975" t="inlineStr">
        <is>
          <t>immortel</t>
        </is>
      </c>
      <c r="B10975">
        <f>HYPERLINK("https://www.dofusbook.net/fr/equipement/2831467-immortel/objets", "link")</f>
        <v/>
      </c>
      <c r="C10975" t="n">
        <v>3</v>
      </c>
      <c r="D10975" t="inlineStr">
        <is>
          <t>Crocobur; Collier de Tourthon; Anneau Crustique; Anneau Crustique; Ceinture de la Cour Sombre; Masque de Koutoulou; Sac Volcanique; Sabots Volcaniques; Dofus Émeraude; Remueur; Miraculé majeur; Obstructeur majeur; Enragé majeur; Muldo Pourpre</t>
        </is>
      </c>
    </row>
    <row r="10976">
      <c r="A10976" t="inlineStr">
        <is>
          <t>try 1</t>
        </is>
      </c>
      <c r="B10976">
        <f>HYPERLINK("https://www.dofusbook.net/fr/equipement/2611333-try-1/objets", "link")</f>
        <v/>
      </c>
      <c r="C10976" t="n">
        <v>0</v>
      </c>
      <c r="D10976" t="inlineStr">
        <is>
          <t>Héqache; Amulette du Strigide; Bracelet du Piloztère; Bague Trithon; Bouclier du Captain Amakna; Ceinture du Strigide; Masque Trithon; Cape au Logis; Bottes Trithon; Dofus Pourpre; Dofus Turquoise; Dolmanax; Dofus Ocre; Kokulte</t>
        </is>
      </c>
    </row>
    <row r="10977">
      <c r="A10977" t="inlineStr">
        <is>
          <t>test 1</t>
        </is>
      </c>
      <c r="B10977">
        <f>HYPERLINK("https://www.dofusbook.net/fr/equipement/3011809-test-1/objets", "link")</f>
        <v/>
      </c>
      <c r="C10977" t="n">
        <v>19</v>
      </c>
      <c r="D10977" t="inlineStr">
        <is>
          <t>Hachoirs de Viandargh; Amibou; Anneau de Padgref; Bague Trithon; Bouclier Taverne; Menoture; Chapeau des Malveilleurs; Capibou; Bottes du Cœur Vaillant; Dofus Pourpre; Dofus Turquoise; Culbuteur majeur; Nomade; Remueur; Cascadeur majeur; Tofoudre</t>
        </is>
      </c>
    </row>
    <row r="10978">
      <c r="A10978" t="inlineStr">
        <is>
          <t>do cri pui</t>
        </is>
      </c>
      <c r="B10978">
        <f>HYPERLINK("https://www.dofusbook.net/fr/equipement/2588710-do-cri-pui/objets", "link")</f>
        <v/>
      </c>
      <c r="C10978" t="n">
        <v>1</v>
      </c>
      <c r="D10978" t="inlineStr">
        <is>
          <t>Rapière aux Glyphes; Amulette de l'Œil Attentif; Anneau Volkorne; Pikano; Quatre-feuilles; Pagne du Rykaon; Capuche de l'Œil Attentif; Cape de l'Œil Attentif; Sandales des Fonds marins; Dofus Turquoise; Dofus Ocre; Dofus Ébène; Dofus Ivoire; Dofus Vulbis; Dofus Abyssal</t>
        </is>
      </c>
    </row>
    <row r="10979">
      <c r="A10979" t="inlineStr">
        <is>
          <t>balec 1</t>
        </is>
      </c>
      <c r="B10979">
        <f>HYPERLINK("https://www.dofusbook.net/fr/equipement/2520236-balec-1/objets", "link")</f>
        <v/>
      </c>
      <c r="C10979" t="n">
        <v>1</v>
      </c>
      <c r="D10979" t="inlineStr">
        <is>
          <t>Amulette de Danathor; Anneau Bliteré; Gelano; Quatre-feuilles; Ceinture de Danathor; Casqnoar; Cape Tivante; Bottes de Théodoran Ax; Vigoureux majeur; Remueur; Robuste majeur; Chanceux majeur; Miraculé majeur; Nomade; Volkorne Doré et Indigo</t>
        </is>
      </c>
    </row>
    <row r="10980">
      <c r="A10980" t="inlineStr">
        <is>
          <t>test belu thl rework</t>
        </is>
      </c>
      <c r="B10980">
        <f>HYPERLINK("https://www.dofusbook.net/fr/equipement/2587928-test-belu-thl-rework/objets", "link")</f>
        <v/>
      </c>
      <c r="C10980" t="n">
        <v>1</v>
      </c>
      <c r="D10980" t="inlineStr">
        <is>
          <t>Bâtonnet Ronien; Amulette d'Ilyzaelle; Bracelet du Piloztère; Gelano; Bouclier du Stalak; Ceintacé; Casque d'Ilyzaelle; Cape Matelassée; Bottes de la Reine des Voleurs; Dofus Pourpre; Dofus Émeraude; Dolmanax; Dofus Abyssal; Dofus des Glaces; Muldo Ebène</t>
        </is>
      </c>
    </row>
    <row r="10981">
      <c r="A10981" t="inlineStr">
        <is>
          <t>try belu mono</t>
        </is>
      </c>
      <c r="B10981">
        <f>HYPERLINK("https://www.dofusbook.net/fr/equipement/2984243-try-belu-mono-/objets", "link")</f>
        <v/>
      </c>
      <c r="C10981" t="n">
        <v>4</v>
      </c>
      <c r="D10981" t="inlineStr"/>
    </row>
    <row r="10982">
      <c r="A10982" t="inlineStr">
        <is>
          <t>thl belu agi</t>
        </is>
      </c>
      <c r="B10982">
        <f>HYPERLINK("https://www.dofusbook.net/fr/equipement/2830782-thl-belu-agi/objets", "link")</f>
        <v/>
      </c>
      <c r="C10982" t="n">
        <v>1</v>
      </c>
      <c r="D10982" t="inlineStr">
        <is>
          <t>Manthache; Collier du Valet Veinard; Alliance Gloursonne; Gant du Valet Veinard; Bouclier du Stalak; Menoture; Casque Dragoeuf; Cape Indescriptible; Palmes Trithons; Dofus Abyssal; Dokoko; Dofus Émeraude; Cascadeur majeur; Remueur; Nomade; Croum</t>
        </is>
      </c>
    </row>
    <row r="10983">
      <c r="A10983" t="inlineStr">
        <is>
          <t>vycf</t>
        </is>
      </c>
      <c r="B10983">
        <f>HYPERLINK("https://www.dofusbook.net/fr/equipement/2820456-vycf/objets", "link")</f>
        <v/>
      </c>
      <c r="C10983" t="n">
        <v>0</v>
      </c>
      <c r="D10983" t="inlineStr">
        <is>
          <t>La Baguette des Limbes; Amulette d'Otomaï; Anneau Tamie; Anneau Tamie; Ceinture Hyolite; Calotte Spot; Cape de Nileza; Pantoufles Émar; Remueur; Érudit majeur; Nomade; Ravageur Feu majeur; Dévastateur Feu majeur; Saccageur Feu majeur; Bisouglours</t>
        </is>
      </c>
    </row>
    <row r="10984">
      <c r="A10984" t="inlineStr">
        <is>
          <t>try iop1</t>
        </is>
      </c>
      <c r="B10984">
        <f>HYPERLINK("https://www.dofusbook.net/fr/equipement/2603864-try-iop1/objets", "link")</f>
        <v/>
      </c>
      <c r="C10984" t="n">
        <v>1</v>
      </c>
      <c r="D10984" t="inlineStr"/>
    </row>
    <row r="10985">
      <c r="A10985" t="inlineStr">
        <is>
          <t>Iop M 200</t>
        </is>
      </c>
      <c r="B10985">
        <f>HYPERLINK("https://www.dofusbook.net/fr/equipement/5298501-iop-m-200/objets", "link")</f>
        <v/>
      </c>
      <c r="C10985" t="n">
        <v>1</v>
      </c>
      <c r="D10985" t="inlineStr">
        <is>
          <t>Héqache; Amulette du Strigide; Bague Gloursonne; Alliance Gloursonne; Quatre-feuilles; Ceinture du Strigide; Corne de Torkélonia; Carapace de Torkélonia; Bottes du Strigide; Dofus Ocre; Dofus Ébène; Dofus Pourpre; Dofus Vulbis; Dofus Turquoise; Dofus Ivoire; Kokulte</t>
        </is>
      </c>
    </row>
    <row r="10986">
      <c r="A10986" t="inlineStr">
        <is>
          <t>Iop M 200</t>
        </is>
      </c>
      <c r="B10986">
        <f>HYPERLINK("https://www.dofusbook.net/fr/equipement/5739351-iop-m-200/objets", "link")</f>
        <v/>
      </c>
      <c r="C10986" t="n">
        <v>0</v>
      </c>
      <c r="D10986" t="inlineStr">
        <is>
          <t>Epée Gloursonne; Amulette du Strigide; Bague Gloursonne; Alliance Gloursonne; Quatre-feuilles; Ceinture du Strigide; Corne de Torkélonia; Carapace de Torkélonia; Bottes du Strigide; Dofus Pourpre; Dofus Ocre; Dofus Ébène; Dofus Turquoise; Dofus Ivoire; Dofus Vulbis; Kokulte</t>
        </is>
      </c>
    </row>
    <row r="10987">
      <c r="A10987" t="inlineStr">
        <is>
          <t>Iop M 200</t>
        </is>
      </c>
      <c r="B10987">
        <f>HYPERLINK("https://www.dofusbook.net/fr/equipement/5395168-iop-m-200/objets", "link")</f>
        <v/>
      </c>
      <c r="C10987" t="n">
        <v>0</v>
      </c>
      <c r="D10987" t="inlineStr"/>
    </row>
    <row r="10988">
      <c r="A10988" t="inlineStr">
        <is>
          <t>pvm</t>
        </is>
      </c>
      <c r="B10988">
        <f>HYPERLINK("https://www.dofusbook.net/fr/equipement/5078051-pvm/objets", "link")</f>
        <v/>
      </c>
      <c r="C10988" t="n">
        <v>1</v>
      </c>
      <c r="D10988" t="inlineStr">
        <is>
          <t>Arc corrompu; Amulette Volkorne; Anneauræus; Anneauræus; Quatre-feuilles; Ceinture Volkorne; Heaume Oplate; Cape de Diondin; Bottes Innommables; Dofus Pourpre; Dofus Ébène; Dofus Abyssal; Dofus Turquoise; Nomade; Érudit majeur; Pioute rouge</t>
        </is>
      </c>
    </row>
    <row r="10989">
      <c r="A10989" t="inlineStr">
        <is>
          <t>Ecaflip M 200</t>
        </is>
      </c>
      <c r="B10989">
        <f>HYPERLINK("https://www.dofusbook.net/fr/equipement/5157274-ecaflip-m-200/objets", "link")</f>
        <v/>
      </c>
      <c r="C10989" t="n">
        <v>1</v>
      </c>
      <c r="D10989" t="inlineStr">
        <is>
          <t>Sceptre du Roi Joueur; Amulette Voldelor; Alliance Gloursonne; Anneau Volkorne; Droiture de Fallanster; Sangle Ouare; Casque Dragoeuf; Cape de l'Œil Attentif; Pataugastrique; Dofus Nébuleux; Dofus Ivoire; Dofus Pourpre; Dofus Ébène; Dofus Ocre; Dofus Abyssal; Pioute bleu</t>
        </is>
      </c>
    </row>
    <row r="10990">
      <c r="A10990" t="inlineStr">
        <is>
          <t>Iop M 200</t>
        </is>
      </c>
      <c r="B10990">
        <f>HYPERLINK("https://www.dofusbook.net/fr/equipement/5120182-iop-m-200/objets", "link")</f>
        <v/>
      </c>
      <c r="C10990" t="n">
        <v>0</v>
      </c>
      <c r="D10990" t="inlineStr">
        <is>
          <t>Marteau R'ture; Amulette du Strigide; Anneau Chevelu; Anneau Volkorne; Cadran d'Eau; Ceinture Volkorne; Masque de Koutoulou; Cape au Logis; Bottes de la Cour Sombre; Dofus Pourpre; Dofus Abyssal; Dofus Ocre; Dofus Ivoire; Dofus Turquoise; Dofus Ébène; Pioute vert</t>
        </is>
      </c>
    </row>
    <row r="10991">
      <c r="A10991" t="inlineStr">
        <is>
          <t>Pandawa F 200</t>
        </is>
      </c>
      <c r="B10991">
        <f>HYPERLINK("https://www.dofusbook.net/fr/equipement/5114070-pandawa-f-200/objets", "link")</f>
        <v/>
      </c>
      <c r="C10991" t="n">
        <v>4</v>
      </c>
      <c r="D10991" t="inlineStr">
        <is>
          <t>Rouleau à Pâtisserie d'Aermyne; Collier Rophante; Alliance Gloursonne; Bague Trithon; Droiture de Fallanster; Ceinture de Kongoku; Casque Dragoeuf; Bravoure de Rykke Errel; Pataugastrique</t>
        </is>
      </c>
    </row>
    <row r="10992">
      <c r="A10992" t="inlineStr">
        <is>
          <t>Sacrieur F 200</t>
        </is>
      </c>
      <c r="B10992">
        <f>HYPERLINK("https://www.dofusbook.net/fr/equipement/5099561-sacrieur-f-200/objets", "link")</f>
        <v/>
      </c>
      <c r="C10992" t="n">
        <v>1</v>
      </c>
      <c r="D10992" t="inlineStr">
        <is>
          <t>Manthache; Collier Rophante; Alliance Gloursonne; Gant du Valet Veinard; Bouclier d'Ilyzaelle; Menoture; Casque Dragoeuf; Cape Martegel; Palmes Trithons; Dofus Émeraude; Dofus Ivoire; Dofus Pourpre; Dofus Ébène; Dofus Ocre; Dofus Abyssal; Blérodoudou</t>
        </is>
      </c>
    </row>
    <row r="10993">
      <c r="A10993" t="inlineStr">
        <is>
          <t>Pandawa force</t>
        </is>
      </c>
      <c r="B10993">
        <f>HYPERLINK("https://www.dofusbook.net/fr/equipement/4644150-pandawa-force/objets", "link")</f>
        <v/>
      </c>
      <c r="C10993" t="n">
        <v>3</v>
      </c>
      <c r="D10993" t="inlineStr">
        <is>
          <t>Arc du Chalœil; Amulette du Cœur Saignant; Anneau Volkorne; Chevalière du Roi Joueur; Quatre-feuilles; Ceinture Volkorne; Couronne du Roi Joueur; Cape du Cœur Saignant; Bottes du Roi Joueur; Dofus Pourpre; Dofus Vulbis; Dofus Turquoise; Dofus Ivoire; Dofus Ocre; Dofus Ébène; Pioute vert</t>
        </is>
      </c>
    </row>
    <row r="10994">
      <c r="A10994" t="inlineStr">
        <is>
          <t>Pandawa F 200</t>
        </is>
      </c>
      <c r="B10994">
        <f>HYPERLINK("https://www.dofusbook.net/fr/equipement/5047023-pandawa-f-200/objets", "link")</f>
        <v/>
      </c>
      <c r="C10994" t="n">
        <v>1</v>
      </c>
      <c r="D10994" t="inlineStr">
        <is>
          <t>Arc Nécrotique; Amulette Volkorne; Bracelet du Piloztère; Anneau Volkorne; Quatre-feuilles; Ceinture du Strigide; Le Dorado; Cape de la Dame du Hasard; Bottes Honyme; Dofus Turquoise; Dofus Pourpre; Dofus Abyssal; Nomade; Vigoureux majeur; Puissant majeur; Kokulte</t>
        </is>
      </c>
    </row>
    <row r="10995">
      <c r="A10995" t="inlineStr">
        <is>
          <t>pvm</t>
        </is>
      </c>
      <c r="B10995">
        <f>HYPERLINK("https://www.dofusbook.net/fr/equipement/5077989-pvm-/objets", "link")</f>
        <v/>
      </c>
      <c r="C10995" t="n">
        <v>1</v>
      </c>
      <c r="D10995" t="inlineStr">
        <is>
          <t>Bâton Fracass; Amulette des Chocomanciens; Alliance Gloursonne; Pikano; Bouclier cubiste; Ceinture Glaciale; Kidibonnet; Cape de la Dame du Hasard; Pikottes; Dofus Ocre; Dofus Pourpre; Ralentisseur majeur; Temporiseur majeur; Nomade; Entraveur majeur; Gwo Tofu Ventripotent</t>
        </is>
      </c>
    </row>
    <row r="10996">
      <c r="A10996" t="inlineStr">
        <is>
          <t>Crâ M 200</t>
        </is>
      </c>
      <c r="B10996">
        <f>HYPERLINK("https://www.dofusbook.net/fr/equipement/5048414-cra-m-200/objets", "link")</f>
        <v/>
      </c>
      <c r="C10996" t="n">
        <v>2</v>
      </c>
      <c r="D10996" t="inlineStr">
        <is>
          <t>Epée Gloursonne; Amulette du Strigide; Bague Gloursonne; Alliance Gloursonne; Quatre-feuilles; Ceinture du Strigide; Masque Vaudou Tam; Cape de Jahash Jurgen; Bottes du Strigide; Dofus Ocre; Dofus Turquoise; Dofus des Glaces; Dofus Ébène; Dofus Pourpre; Dofus Vulbis; Chacha Angora</t>
        </is>
      </c>
    </row>
    <row r="10997">
      <c r="A10997" t="inlineStr">
        <is>
          <t>Sram F 200</t>
        </is>
      </c>
      <c r="B10997">
        <f>HYPERLINK("https://www.dofusbook.net/fr/equipement/5048003-sram-f-200/objets", "link")</f>
        <v/>
      </c>
      <c r="C10997" t="n">
        <v>1</v>
      </c>
      <c r="D10997" t="inlineStr">
        <is>
          <t>Manthache; Collier du Valet Veinard; Alliance Gloursonne; Gant du Valet Veinard; Bouclier du Stalak; Menoture; Dorabysses; Cape Martegel; Palmes Trithons; Dofus Ivoire; Dofus Ébène; Dofus Vulbis; Dofus Abyssal; Dofus Ocre; Cascadeur majeur; Blérodoudou</t>
        </is>
      </c>
    </row>
    <row r="10998">
      <c r="A10998" t="inlineStr">
        <is>
          <t>Crâ M 200</t>
        </is>
      </c>
      <c r="B10998">
        <f>HYPERLINK("https://www.dofusbook.net/fr/equipement/5004439-cra-m-200/objets", "link")</f>
        <v/>
      </c>
      <c r="C10998" t="n">
        <v>0</v>
      </c>
      <c r="D10998" t="inlineStr">
        <is>
          <t>Bâton Beau; Amulette Volkorne; Bracelet du Piloztère; Anneau Volkorne; Quatre-feuilles; Ceinture Volkorne; Casque du Chalœil; Cape du Chalœil; Bottes du Chalœil; Dofus Nébuleux; Dofus Turquoise; Dolmanax; Dofus Pourpre; Dofus Ocre; Dofus des Glaces; Kokulte</t>
        </is>
      </c>
    </row>
    <row r="10999">
      <c r="A10999" t="inlineStr">
        <is>
          <t>Pandawa Feu eau</t>
        </is>
      </c>
      <c r="B10999">
        <f>HYPERLINK("https://www.dofusbook.net/fr/equipement/4995758-pandawa-feu-eau/objets", "link")</f>
        <v/>
      </c>
      <c r="C10999" t="n">
        <v>1</v>
      </c>
      <c r="D10999" t="inlineStr">
        <is>
          <t>Arc Nécrotique; Amulette Volkorne; Anneau Volkorne; Bracelet du Piloztère; Quatre-feuilles; Ceinture Volkorne; Le Dorado; Cape de la Dame du Hasard; Bottes de la Dame du Hasard; Dofus des Glaces; Dofus Pourpre; Dofus Abyssal; Dofus Ébène; Dofus Turquoise; Dofus Ocre; Kokulte</t>
        </is>
      </c>
    </row>
    <row r="11000">
      <c r="A11000" t="inlineStr">
        <is>
          <t>Iop pvp force cac</t>
        </is>
      </c>
      <c r="B11000">
        <f>HYPERLINK("https://www.dofusbook.net/fr/equipement/4640069-iop-pvp-force-cac/objets", "link")</f>
        <v/>
      </c>
      <c r="C11000" t="n">
        <v>7</v>
      </c>
      <c r="D11000" t="inlineStr">
        <is>
          <t>Crocobur; Amulette du Strigide; Anneau Chevelu; Anneau Volkorne; Cadran d'Eau; Ceinture Volkorne; Masque de Koutoulou; Cape au Logis; Bottes du Strigide; Dofus Ivoire; Dofus Ocre; Dofus Ébène; Dofus Abyssal; Dofus Turquoise; Dofus Pourpre; Bulbisou</t>
        </is>
      </c>
    </row>
    <row r="11001">
      <c r="A11001" t="inlineStr">
        <is>
          <t>Enutrof M 200</t>
        </is>
      </c>
      <c r="B11001">
        <f>HYPERLINK("https://www.dofusbook.net/fr/equipement/4940463-enutrof-m-200/objets", "link")</f>
        <v/>
      </c>
      <c r="C11001" t="n">
        <v>1</v>
      </c>
      <c r="D11001" t="inlineStr">
        <is>
          <t>Bâton Fracass; Amulette des Chocomanciens; Alliance Gloursonne; Pikano; Bouclier cubiste; Ceinture Glaciale; Kidibonnet; Cape de la Dame du Hasard; Pikottes; Dofus Pourpre; Nomade; Chanceux majeur; Entraveur majeur; Remueur; Temporiseur majeur; Gwo Tofu Ventripotent</t>
        </is>
      </c>
    </row>
    <row r="11002">
      <c r="A11002" t="inlineStr">
        <is>
          <t>Pandawa tank sans exo</t>
        </is>
      </c>
      <c r="B11002">
        <f>HYPERLINK("https://www.dofusbook.net/fr/equipement/4860086-pandawa-tank-sans-exo/objets", "link")</f>
        <v/>
      </c>
      <c r="C11002" t="n">
        <v>11</v>
      </c>
      <c r="D11002" t="inlineStr">
        <is>
          <t>Rouleau à Pâtisserie d'Aermyne; Collier Rophante; Alliance Gloursonne; Anneau de Pol Ouatnos; Sept ans de malheur; Ceinture de Kongoku; Casque Dragoeuf; Capchalot; Pataugastrique; Dofus Émeraude; Miraculé majeur; Bloqueur majeur; Tacleur majeur; Remueur; Obstructeur majeur; Dauge</t>
        </is>
      </c>
    </row>
    <row r="11003">
      <c r="A11003" t="inlineStr">
        <is>
          <t>Iop M 200</t>
        </is>
      </c>
      <c r="B11003">
        <f>HYPERLINK("https://www.dofusbook.net/fr/equipement/4818046-iop-m-200/objets", "link")</f>
        <v/>
      </c>
      <c r="C11003" t="n">
        <v>2</v>
      </c>
      <c r="D11003" t="inlineStr">
        <is>
          <t>Dagues du Dragoeuf; Amulette Volkorne; Anneau Volkorne; Chevalière du Roi Joueur; Quatre-feuilles; Ceinture Volkorne; Couronne du Roi Joueur; Voile d'encre; Bottes du Roi Joueur; Dofus Ivoire; Dofus Turquoise; Dofus des Glaces; Dofus Pourpre; Dofus Ébène; Dofus Ocre; Cromeugnon</t>
        </is>
      </c>
    </row>
    <row r="11004">
      <c r="A11004" t="inlineStr">
        <is>
          <t>Pandawa tank</t>
        </is>
      </c>
      <c r="B11004">
        <f>HYPERLINK("https://www.dofusbook.net/fr/equipement/4675787-pandawa-tank/objets", "link")</f>
        <v/>
      </c>
      <c r="C11004" t="n">
        <v>0</v>
      </c>
      <c r="D11004" t="inlineStr">
        <is>
          <t>Rouleau à Pâtisserie d'Aermyne; Collier Rophante; Anneau de Pol Ouatnos; Alliance Gloursonne; Sept ans de malheur; Ceinture de Kongoku; Masque d'Anerice; Cape d'Anerice; Pataugastrique; Dofus Émeraude; Dofus Ivoire; Miraculé majeur; Obstructeur majeur; Carapace Eau majeur; Remueur; Givrefoux</t>
        </is>
      </c>
    </row>
    <row r="11005">
      <c r="A11005" t="inlineStr">
        <is>
          <t>Iop M 200</t>
        </is>
      </c>
      <c r="B11005">
        <f>HYPERLINK("https://www.dofusbook.net/fr/equipement/4835746-iop-m-200/objets", "link")</f>
        <v/>
      </c>
      <c r="C11005" t="n">
        <v>3</v>
      </c>
      <c r="D11005" t="inlineStr">
        <is>
          <t>Hache Téroïde; Amulette du Strigide; Anneau Volkorne; Anneau Chevelu; Quatre-feuilles; Ceinture Volkorne; Masque de Koutoulou; Cape au Logis; Bottes du Cœur Saignant; Dofus Ébène; Dofus Pourpre; Dofus Abyssal; Dofus Ocre; Dofus Ivoire; Dofus Turquoise; Pioute vert</t>
        </is>
      </c>
    </row>
    <row r="11006">
      <c r="A11006" t="inlineStr">
        <is>
          <t>Sram F 200</t>
        </is>
      </c>
      <c r="B11006">
        <f>HYPERLINK("https://www.dofusbook.net/fr/equipement/4741514-sram-f-200/objets", "link")</f>
        <v/>
      </c>
      <c r="C11006" t="n">
        <v>2</v>
      </c>
      <c r="D11006" t="inlineStr">
        <is>
          <t>Dagues d'Ilyzaelle; Amulette du Cœur Saignant; Bague Gloursonne; Anneau Chevelu; Bouclier du Captain Amakna; Ceinture Volkorne; Masque de Koutoulou; Cape au Logis; Bottes du Cœur Saignant; Dofus Nébuleux; Dofus Turquoise; Dofus Abyssal; Dofus Ocre; Dofus Pourpre; Enragé majeur; Pioute vert</t>
        </is>
      </c>
    </row>
    <row r="11007">
      <c r="A11007" t="inlineStr">
        <is>
          <t>Osamodas M 200</t>
        </is>
      </c>
      <c r="B11007">
        <f>HYPERLINK("https://www.dofusbook.net/fr/equipement/4775460-osamodas-m-200/objets", "link")</f>
        <v/>
      </c>
      <c r="C11007" t="n">
        <v>0</v>
      </c>
      <c r="D11007" t="inlineStr">
        <is>
          <t>Manthache; Collier du Valet Veinard; Alliance Gloursonne; Gant du Valet Veinard; Bouclier du Stalak; Menoture; Couronne d'Allister; Cape du Kamasterisk; Palmes Trithons; Dofus Pourpre; Dofus Ivoire; Dofus des Glaces; Dofus Ocre; Nomade; Cascadeur majeur; Blérodoudou</t>
        </is>
      </c>
    </row>
    <row r="11008">
      <c r="A11008" t="inlineStr">
        <is>
          <t>Pandawa Feu</t>
        </is>
      </c>
      <c r="B11008">
        <f>HYPERLINK("https://www.dofusbook.net/fr/equipement/4767140-pandawa-feu/objets", "link")</f>
        <v/>
      </c>
      <c r="C11008" t="n">
        <v>0</v>
      </c>
      <c r="D11008" t="inlineStr">
        <is>
          <t>Baguette de Malléfisk; Amulette Volkorne; Anneauræus; Anneauræus; Cadran de Feu; Ceinture Volkorne; Heaume Oplate; Cape de Diondin; Bottes Innommables; Dofus Pourpre; Dofus Abyssal; Dofus Ivoire; Nomade; Guérisseur majeur; Érudit majeur; El Scarador</t>
        </is>
      </c>
    </row>
    <row r="11009">
      <c r="A11009" t="inlineStr">
        <is>
          <t>Ecaflip terre do pou</t>
        </is>
      </c>
      <c r="B11009">
        <f>HYPERLINK("https://www.dofusbook.net/fr/equipement/4763164-ecaflip-terre-do-pou/objets", "link")</f>
        <v/>
      </c>
      <c r="C11009" t="n">
        <v>2</v>
      </c>
      <c r="D11009" t="inlineStr">
        <is>
          <t>Lav'Hache; Torquistik; Bague Trithon; Anneau Chevelu; Bouclier d'Ilyzaelle; Ceinture Gence; Casque Dragoeuf; Cape au Logis; Bottistik; Dofus Turquoise; Dofus Ocre; Dofus Ivoire; Dofus Abyssal; Dofus Pourpre; Culbuteur majeur; Black Tiwabbit</t>
        </is>
      </c>
    </row>
    <row r="11010">
      <c r="A11010" t="inlineStr">
        <is>
          <t>Iop air</t>
        </is>
      </c>
      <c r="B11010">
        <f>HYPERLINK("https://www.dofusbook.net/fr/equipement/4754908-iop-air/objets", "link")</f>
        <v/>
      </c>
      <c r="C11010" t="n">
        <v>2</v>
      </c>
      <c r="D11010" t="inlineStr">
        <is>
          <t>Manthache; Collier du Valet Veinard; Gant du Valet Veinard; Alliance Gloursonne; Bouclier du Stalak; Menoture; Dorabysses; Cape Martegel; Palmes Trithons; Dofus Pourpre; Dofus Ivoire; Dofus Ocre; Dofus Ébène; Dofus Nébuleux; Nomade; Blérodoudou</t>
        </is>
      </c>
    </row>
    <row r="11011">
      <c r="A11011" t="inlineStr">
        <is>
          <t>Ecaflip eau do cri</t>
        </is>
      </c>
      <c r="B11011">
        <f>HYPERLINK("https://www.dofusbook.net/fr/equipement/4621131-ecaflip-eau-do-cri/objets", "link")</f>
        <v/>
      </c>
      <c r="C11011" t="n">
        <v>3</v>
      </c>
      <c r="D11011" t="inlineStr">
        <is>
          <t>Sceptre du Roi Joueur; Amulette Voldelor; Anneau Volkorne; Alliance Gloursonne; Bouclier du Stalak; Sangle Ouare; Némès de Tal Kasha; Chevelure de Tal Kasha; Pataugastrique; Dofus Pourpre; Dofus Ébène; Dofus Nébuleux; Dofus Ocre; Dofus Turquoise; Dofus Ivoire; Pioute bleu</t>
        </is>
      </c>
    </row>
    <row r="11012">
      <c r="A11012" t="inlineStr">
        <is>
          <t>Iop pvm bis</t>
        </is>
      </c>
      <c r="B11012">
        <f>HYPERLINK("https://www.dofusbook.net/fr/equipement/4620677-iop-pvm-bis/objets", "link")</f>
        <v/>
      </c>
      <c r="C11012" t="n">
        <v>14</v>
      </c>
      <c r="D11012" t="inlineStr">
        <is>
          <t>Dagues du Dragoeuf; Amulette Volkorne; Anneau Volkorne; Chevalière du Roi Joueur; Quatre-feuilles; Ceinture Volkorne; Couronne du Roi Joueur; Cape de Jahash Jurgen; Bottes du Roi Joueur; Dofus Abyssal; Dofus Nébuleux; Dofus Pourpre; Dofus Ébène; Dofus Ivoire; Dofus Ocre; Cromeugnon</t>
        </is>
      </c>
    </row>
    <row r="11013">
      <c r="A11013" t="inlineStr">
        <is>
          <t>Iop feu pvp</t>
        </is>
      </c>
      <c r="B11013">
        <f>HYPERLINK("https://www.dofusbook.net/fr/equipement/4694445-iop-feu-pvp/objets", "link")</f>
        <v/>
      </c>
      <c r="C11013" t="n">
        <v>2</v>
      </c>
      <c r="D11013" t="inlineStr">
        <is>
          <t>Arc corrompu; Amulette Volkorne; Anneauræus; Anneauræus; Bouclier du Stalak; Ceinture Volkorne; Heaume Oplate; Voile d'encre; Bottes Innommables; Dofus Ocre; Dofus Ébène; Dofus Pourpre; Dofus Ivoire; Dofus Vulbis; Érudit majeur; Dragodinde Amande et Orchidée</t>
        </is>
      </c>
    </row>
    <row r="11014">
      <c r="A11014" t="inlineStr">
        <is>
          <t>Ecaflip Pvm</t>
        </is>
      </c>
      <c r="B11014">
        <f>HYPERLINK("https://www.dofusbook.net/fr/equipement/4337871-ecaflip-pvm/objets", "link")</f>
        <v/>
      </c>
      <c r="C11014" t="n">
        <v>3</v>
      </c>
      <c r="D11014" t="inlineStr">
        <is>
          <t>Bâton Beau; Amulette du Strigide; Bracelet du Piloztère; Bague Gloursonne; Bouclier du Stalak; Ceintacé; Le Dorado; Cape de Jahash Jurgen; Bottes du Strigide; Dofus Pourpre; Dofus Turquoise; Dofus des Glaces; Dofus Vulbis; Dofus Ébène; Vigoureux majeur; Chacha Angora</t>
        </is>
      </c>
    </row>
    <row r="11015">
      <c r="A11015" t="inlineStr">
        <is>
          <t>Crâ force</t>
        </is>
      </c>
      <c r="B11015">
        <f>HYPERLINK("https://www.dofusbook.net/fr/equipement/4622087-cra-force-/objets", "link")</f>
        <v/>
      </c>
      <c r="C11015" t="n">
        <v>1</v>
      </c>
      <c r="D11015" t="inlineStr">
        <is>
          <t>Arc du Chalœil; Amulette du Cœur Saignant; Anneau Volkorne; Chevalière du Roi Joueur; Quatre-feuilles; Ceinture Volkorne; Couronne du Roi Joueur; Cape du Cœur Saignant; Bottes du Cœur Saignant; Dofus Ébène; Dofus Turquoise; Dofus Pourpre; Dofus Ocre; Dofus Ivoire; Dofus Vulbis; Volkorne Turquoise et Pourpre</t>
        </is>
      </c>
    </row>
    <row r="11016">
      <c r="A11016" t="inlineStr">
        <is>
          <t>Pandawa Pvm</t>
        </is>
      </c>
      <c r="B11016">
        <f>HYPERLINK("https://www.dofusbook.net/fr/equipement/4337841-pandawa-pvm/objets", "link")</f>
        <v/>
      </c>
      <c r="C11016" t="n">
        <v>4</v>
      </c>
      <c r="D11016" t="inlineStr">
        <is>
          <t>Baguette Hique; Amulette de Shokkoth; Bracelet des Fonds marins; Alliance Gloursonne; Quatre-feuilles; Pagne du Rykaon; Kidibonnet; Cape de la Dame du Hasard; Bottes de la Dame du Hasard; Dofus Vulbis; Dofus Pourpre; Dofus Ocre; Dofus Turquoise; Dofus Abyssal; Chanceux majeur; Pioute bleu</t>
        </is>
      </c>
    </row>
    <row r="11017">
      <c r="A11017" t="inlineStr">
        <is>
          <t>Eniripsa Pvm</t>
        </is>
      </c>
      <c r="B11017">
        <f>HYPERLINK("https://www.dofusbook.net/fr/equipement/4337902-eniripsa-pvm/objets", "link")</f>
        <v/>
      </c>
      <c r="C11017" t="n">
        <v>2</v>
      </c>
      <c r="D11017" t="inlineStr">
        <is>
          <t>Arc corrompu; Amulette Volkorne; Anneauræus; Anneauræus; Quatre-feuilles; Ceinture Volkorne; Heaume Oplate; Cape de Diondin; Bottes Innommables; Dofus Vulbis; Dofus Pourpre; Dofus Abyssal; Dofus des Glaces; Dofus Turquoise; Érudit majeur; Pioute rouge</t>
        </is>
      </c>
    </row>
    <row r="11018">
      <c r="A11018" t="inlineStr">
        <is>
          <t>Enutrof Pvm</t>
        </is>
      </c>
      <c r="B11018">
        <f>HYPERLINK("https://www.dofusbook.net/fr/equipement/4338199-enutrof-pvm/objets", "link")</f>
        <v/>
      </c>
      <c r="C11018" t="n">
        <v>1</v>
      </c>
      <c r="D11018" t="inlineStr">
        <is>
          <t>Hache du Guerrier Zoth; Amulette du Glourséleste; Pikano; Anneau Instable; Bouclier cubiste; Ceinture Instable; Capuche de l'Œil Putride; Cape de Léthaline; Bottes du Cul Botté; Temporiseur; Temporiseur majeur; Entraveur; Ralentisseur majeur; Remueur; Entraveur majeur; Gwo Tofu Ventripotent</t>
        </is>
      </c>
    </row>
    <row r="11019">
      <c r="A11019" t="inlineStr">
        <is>
          <t>Crâ Pvm</t>
        </is>
      </c>
      <c r="B11019">
        <f>HYPERLINK("https://www.dofusbook.net/fr/equipement/4338238-cra-pvm/objets", "link")</f>
        <v/>
      </c>
      <c r="C11019" t="n">
        <v>49</v>
      </c>
      <c r="D11019" t="inlineStr">
        <is>
          <t>Bâton Beau; Amulette du Strigide; Bracelet du Piloztère; Anneau de Padgref; Quatre-feuilles; Ceinture du Strigide; Coiffe de Padgref; Cape de Jahash Jurgen; Getas de Padgref; Dolmanax; Dofus Turquoise; Dofus Vulbis; Dofus Ocre; Dofus des Glaces; Dofus Pourpre; Chacha Angora</t>
        </is>
      </c>
    </row>
    <row r="11020">
      <c r="A11020" t="inlineStr">
        <is>
          <t>Iop Pvm</t>
        </is>
      </c>
      <c r="B11020">
        <f>HYPERLINK("https://www.dofusbook.net/fr/equipement/4340257-iop-pvm/objets", "link")</f>
        <v/>
      </c>
      <c r="C11020" t="n">
        <v>31</v>
      </c>
      <c r="D11020" t="inlineStr">
        <is>
          <t>Dagues du Dragoeuf; Amulette du Strigide; Chevalière du Roi Joueur; Bague Gloursonne; Quatre-feuilles; Ceinture du Strigide; Couronne du Roi Joueur; Voile d'encre; Bottes du Strigide; Dofus Pourpre; Dofus Vulbis; Dofus Nébuleux; Dofus Ébène; Dofus Turquoise; Dofus Ocre; Cromeugnon</t>
        </is>
      </c>
    </row>
    <row r="11021">
      <c r="A11021" t="inlineStr">
        <is>
          <t>Pandawa F 200</t>
        </is>
      </c>
      <c r="B11021">
        <f>HYPERLINK("https://www.dofusbook.net/fr/equipement/5616536-pandawa-f-200/objets", "link")</f>
        <v/>
      </c>
      <c r="C11021" t="n">
        <v>1</v>
      </c>
      <c r="D11021" t="inlineStr">
        <is>
          <t>Baguette de Torkélonia; Amulette du Strigide; Bague Gloursonne; Alliance Gloursonne; Quatre-feuilles; Ceinture du Strigide; Corne de Torkélonia; Carapace de Torkélonia; Bottes du Strigide; Dofus Ébène; Dofus Ocre; Dofus Ivoire; Dofus Pourpre; Dofus des Glaces; Dofus Turquoise; Sakochère</t>
        </is>
      </c>
    </row>
    <row r="11022">
      <c r="A11022" t="inlineStr">
        <is>
          <t>Crâ F 200</t>
        </is>
      </c>
      <c r="B11022">
        <f>HYPERLINK("https://www.dofusbook.net/fr/equipement/4963049-cra-f-200/objets", "link")</f>
        <v/>
      </c>
      <c r="C11022" t="n">
        <v>4</v>
      </c>
      <c r="D11022" t="inlineStr">
        <is>
          <t>Dagues du Dragoeuf; Amulette du Strigide; Anneau de Padgref; Bracelet du Piloztère; Bouclier du Captain Amakna; Ceinture du Strigide; Coiffe de Padgref; Carapace de Torkélonia; Getas de Padgref; Dofus Ivoire; Dofus Turquoise; Dofus Ébène; Dofus Ocre; Dofus Pourpre; Dofus des Glaces; Muldo Prune et Emeraude</t>
        </is>
      </c>
    </row>
    <row r="11023">
      <c r="A11023" t="inlineStr">
        <is>
          <t>Stuff 1</t>
        </is>
      </c>
      <c r="B11023">
        <f>HYPERLINK("https://www.dofusbook.net/fr/equipement/646296-stuff-1/objets", "link")</f>
        <v/>
      </c>
      <c r="C11023" t="n">
        <v>1</v>
      </c>
      <c r="D11023" t="inlineStr">
        <is>
          <t>Baguette de Malléfisk; Pendentif affamé; Anneau Tique; Anneau Rifique; Carapar; Ceinture de Vortex; Casque Cyclopéen; Cape de Diondin; Bottes Innommables; Dofus Émeraude; Nomade; Remueur; Érudit majeur; Miraculé majeur; Carapace Feu majeur; Muldo Pourpre</t>
        </is>
      </c>
    </row>
    <row r="11024">
      <c r="A11024" t="inlineStr">
        <is>
          <t>Stuff 3</t>
        </is>
      </c>
      <c r="B11024">
        <f>HYPERLINK("https://www.dofusbook.net/fr/equipement/646298-stuff-3/objets", "link")</f>
        <v/>
      </c>
      <c r="C11024" t="n">
        <v>0</v>
      </c>
      <c r="D11024" t="inlineStr">
        <is>
          <t>Dagoulinantes; Amulette de Shokkoth; Bracelet des Fonds marins; Alliance Gloursonne; Sept ans de malheur; Poulpagne; Masque d'Anerice; Cape d'Anerice; Pataugastrique; Dofus Pourpre; Dofus Turquoise; Paralyseur majeur; Étourdisseur majeur; Chanceux majeur; Muldo Indigo</t>
        </is>
      </c>
    </row>
    <row r="11025">
      <c r="A11025" t="inlineStr">
        <is>
          <t>chaloeil</t>
        </is>
      </c>
      <c r="B11025">
        <f>HYPERLINK("https://www.dofusbook.net/fr/equipement/2069872-chaloeil/objets", "link")</f>
        <v/>
      </c>
      <c r="C11025" t="n">
        <v>1</v>
      </c>
      <c r="D11025" t="inlineStr">
        <is>
          <t>Hache du Chalœil; Amulette du Strigide; Bracelet du Piloztère; Alliance Gloursonne; Bouclier du Captain Amakna; Ceintacé; Casque du Chalœil; Voile d'encre; Bottes du Strigide; Dofus Turquoise; Dofus des Glaces; Dofus Pourpre; Dofus Abyssal; Nomade; Remueur; Dragodinde en armure</t>
        </is>
      </c>
    </row>
    <row r="11026">
      <c r="A11026" t="inlineStr">
        <is>
          <t>stuff 5</t>
        </is>
      </c>
      <c r="B11026">
        <f>HYPERLINK("https://www.dofusbook.net/fr/equipement/2049465-stuff-5/objets", "link")</f>
        <v/>
      </c>
      <c r="C11026" t="n">
        <v>0</v>
      </c>
      <c r="D11026" t="inlineStr">
        <is>
          <t>Héqache; Amulette du Kamasterisk; Alliance Gloursonne; Anneau de Pol Ouatnos; Sept ans de malheur; Ceintacé; Coiffe de la Reine des Voleurs; Cape du Kamasterisk; Bottes du Cœur Vaillant; Dolmanax; Dofus Turquoise; Remueur; Étourdisseur majeur; Cascadeur majeur; Vigoureux majeur; Muldo Ebène et Orchidée</t>
        </is>
      </c>
    </row>
    <row r="11027">
      <c r="A11027" t="inlineStr">
        <is>
          <t>Stuff 2</t>
        </is>
      </c>
      <c r="B11027">
        <f>HYPERLINK("https://www.dofusbook.net/fr/equipement/646291-stuff-2/objets", "link")</f>
        <v/>
      </c>
      <c r="C11027" t="n">
        <v>2</v>
      </c>
      <c r="D11027" t="inlineStr">
        <is>
          <t>Arc corrompu; Amulette du Strigide; Anneau de Padgref; Anneau Tique; Quatre-feuilles; Ceinture du Strigide; Coiffe de Padgref; Voile d'encre; Getas de Padgref; Dofus des Glaces; Dofus Ocre; Dofus Nébuleux; Dofus Pourpre; Dolmanax; Dofus Turquoise; Muldo Prune et Emeraude</t>
        </is>
      </c>
    </row>
    <row r="11028">
      <c r="A11028" t="inlineStr">
        <is>
          <t>Stuff 1</t>
        </is>
      </c>
      <c r="B11028">
        <f>HYPERLINK("https://www.dofusbook.net/fr/equipement/646313-stuff-1/objets", "link")</f>
        <v/>
      </c>
      <c r="C11028" t="n">
        <v>0</v>
      </c>
      <c r="D11028" t="inlineStr">
        <is>
          <t>Arc Ahique; Collier du Valet Veinard; Gant du Valet Veinard; Alliance Gloursonne; Bouclier du Stalak; Ceinture de la Reine des Voleurs; Coiffe de la Reine des Voleurs; Cape du Valet Veinard; Bottes de la Reine des Voleurs; Dofus Turquoise; Dofus Abyssal; Dolmanax; Dofus Ocre; Dofus Pourpre; Dofus des Glaces; Muldo Doré</t>
        </is>
      </c>
    </row>
    <row r="11029">
      <c r="A11029" t="inlineStr">
        <is>
          <t>STUFF 3</t>
        </is>
      </c>
      <c r="B11029">
        <f>HYPERLINK("https://www.dofusbook.net/fr/equipement/1979021-stuff-3/objets", "link")</f>
        <v/>
      </c>
      <c r="C11029" t="n">
        <v>1</v>
      </c>
      <c r="D11029" t="inlineStr">
        <is>
          <t>Epée Gloursonne; Amulette du Strigide; Bague Gloursonne; Alliance Gloursonne; Bouclier Taverne; Ceinture du Strigide; Chapoulpe; Voile d'encre; Bottes du Strigide; Dofus Turquoise; Dolmanax; Dofus Ocre; Dofus des Glaces; Dofus Pourpre; Dofus Abyssal; Muldo Prune et Emeraude</t>
        </is>
      </c>
    </row>
    <row r="11030">
      <c r="A11030" t="inlineStr">
        <is>
          <t>Stuff 2</t>
        </is>
      </c>
      <c r="B11030">
        <f>HYPERLINK("https://www.dofusbook.net/fr/equipement/646314-stuff-2/objets", "link")</f>
        <v/>
      </c>
      <c r="C11030" t="n">
        <v>1</v>
      </c>
      <c r="D11030" t="inlineStr">
        <is>
          <t>Marteau de Katrepat; Amulette du Strigide; Bracelet du Piloztère; Alliance Gloursonne; Bouclier Taverne; Ceintacé; Chapoulpe; Voile d'encre; Bottes du Strigide; Dofus des Glaces; Dofus Turquoise; Dolmanax; Dofus Pourpre; Remueur; Muldo Ebène et Pourpre</t>
        </is>
      </c>
    </row>
    <row r="11031">
      <c r="A11031" t="inlineStr">
        <is>
          <t>Stuff 1</t>
        </is>
      </c>
      <c r="B11031">
        <f>HYPERLINK("https://www.dofusbook.net/fr/equipement/646324-stuff-1/objets", "link")</f>
        <v/>
      </c>
      <c r="C11031" t="n">
        <v>1</v>
      </c>
      <c r="D11031" t="inlineStr">
        <is>
          <t>Sabres d'Atcham; Amulette du Strigide; Anneau de Padgref; Bague Trithon; Bouclier du Captain Amakna; Ceinture du Strigide; Coiffe de Padgref; Cape d'Atcham; Getas de Padgref; Dofus des Glaces; Dofus Turquoise; Dofus Abyssal; Dolmanax; Dofus Pourpre; Dofus Ocre; Muldo Prune et Emeraude</t>
        </is>
      </c>
    </row>
    <row r="11032">
      <c r="A11032" t="inlineStr">
        <is>
          <t>Stuff 1</t>
        </is>
      </c>
      <c r="B11032">
        <f>HYPERLINK("https://www.dofusbook.net/fr/equipement/646302-stuff-1/objets", "link")</f>
        <v/>
      </c>
      <c r="C11032" t="n">
        <v>0</v>
      </c>
      <c r="D11032" t="inlineStr">
        <is>
          <t>Dagoulinantes; Amulette de l'Œil Attentif; Bracelet des Fonds marins; Alliance Gloursonne; Quatre-feuilles; Pagne du Rykaon; Kidibonnet; Cape de l'Œil Attentif; Bottes du Sinistrofu; Dofus Pourpre; Dofus Turquoise; Dofus des Glaces; Chanceux majeur; Nomade; Remueur; Dehluge</t>
        </is>
      </c>
    </row>
    <row r="11033">
      <c r="A11033" t="inlineStr">
        <is>
          <t>Stuff 1</t>
        </is>
      </c>
      <c r="B11033">
        <f>HYPERLINK("https://www.dofusbook.net/fr/equipement/646290-stuff-1/objets", "link")</f>
        <v/>
      </c>
      <c r="C11033" t="n">
        <v>2</v>
      </c>
      <c r="D11033" t="inlineStr">
        <is>
          <t>Sabres d'Atcham; Amulette de l'Œil Putride; Bague Gloursonne; Alliance Gloursonne; Quatre-feuilles; Ceinture du Strigide; Capuche de l'Œil Putride; Cape de l'Œil Putride; Sandales  d'Atcham; Dofus Turquoise; Dolmanax; Dofus Ocre; Dofus des Glaces; Dofus Pourpre; Dofus Nébuleux; Muldo Prune et Emeraude</t>
        </is>
      </c>
    </row>
    <row r="11034">
      <c r="A11034" t="inlineStr">
        <is>
          <t>Stuff 3</t>
        </is>
      </c>
      <c r="B11034">
        <f>HYPERLINK("https://www.dofusbook.net/fr/equipement/646292-stuff-3/objets", "link")</f>
        <v/>
      </c>
      <c r="C11034" t="n">
        <v>2</v>
      </c>
      <c r="D11034" t="inlineStr">
        <is>
          <t>Dagues de Srambad; Torquistik; Baguistik; Goulano; Goulclier; Ceinture de la Reine des Voleurs; Coiffe de la Reine des Voleurs; Cape de Kongoku; Bottes de la Reine des Voleurs; Dofus Pourpre; Dofus Nébuleux; Dofus Ocre; Dofus Abyssal; Dolmanax; Dofus des Glaces; Muldo Ebène</t>
        </is>
      </c>
    </row>
    <row r="11035">
      <c r="A11035" t="inlineStr">
        <is>
          <t>Stuff 2</t>
        </is>
      </c>
      <c r="B11035">
        <f>HYPERLINK("https://www.dofusbook.net/fr/equipement/646319-stuff-2/objets", "link")</f>
        <v/>
      </c>
      <c r="C11035" t="n">
        <v>0</v>
      </c>
      <c r="D11035" t="inlineStr">
        <is>
          <t>Dagues de Srambad; Amulette Ementaire Deluxe; Pikano; Alliance Gloursonne; Ceinture de la Reine des Voleurs; Coiffe de la Reine des Voleurs; Voile d'encre; Sabots Minables; Dofus Pourpre; Dofus des Glaces; Nomade; Carapace Terre majeur; Remueur; Miraculé majeur; Dragodinde en armure</t>
        </is>
      </c>
    </row>
    <row r="11036">
      <c r="A11036" t="inlineStr">
        <is>
          <t>Stuff 2</t>
        </is>
      </c>
      <c r="B11036">
        <f>HYPERLINK("https://www.dofusbook.net/fr/equipement/646309-stuff-2/objets", "link")</f>
        <v/>
      </c>
      <c r="C11036" t="n">
        <v>0</v>
      </c>
      <c r="D11036" t="inlineStr">
        <is>
          <t>Pelle de la Cour Sombre; Collier du Valet Veinard; Gant du Valet Veinard; Alliance Gloursonne; Ceinture du Barbétoal; Couronne d'Allister; Cape de Klime; Baleinabottes; Dofus Pourpre; Dofus des Glaces; Nomade; Obstructeur majeur; Remueur; Cascadeur majeur; Kramkram</t>
        </is>
      </c>
    </row>
    <row r="11037">
      <c r="A11037" t="inlineStr">
        <is>
          <t>Stuff 3</t>
        </is>
      </c>
      <c r="B11037">
        <f>HYPERLINK("https://www.dofusbook.net/fr/equipement/646304-stuff-3/objets", "link")</f>
        <v/>
      </c>
      <c r="C11037" t="n">
        <v>0</v>
      </c>
      <c r="D11037" t="inlineStr">
        <is>
          <t>Arc Hétype; Amulette de Nileza; Anneau Tique; Anneau de Nidas; Protopagne; Couronne de Nidas; Voile d'encre; Pataugastrique; Temporiseur majeur; Carapace Eau majeur; Érudit majeur; Remueur; Kramkram</t>
        </is>
      </c>
    </row>
    <row r="11038">
      <c r="A11038" t="inlineStr">
        <is>
          <t>Stuff 1</t>
        </is>
      </c>
      <c r="B11038">
        <f>HYPERLINK("https://www.dofusbook.net/fr/equipement/646321-stuff-1/objets", "link")</f>
        <v/>
      </c>
      <c r="C11038" t="n">
        <v>0</v>
      </c>
      <c r="D11038" t="inlineStr">
        <is>
          <t>Rapière aux Glyphes; Amulette Voldelor; Alliance Gloursonne; Bracelet des Fonds marins; Ceinture du Barbétoal; Masque du Barbétoal; Cape du Sinistrofu; Pataugastrique; Dofus des Glaces; Engourdisseur majeur; Nomade; Étourdisseur majeur; Remueur; Carapace Eau majeur; Dragodinde en armure</t>
        </is>
      </c>
    </row>
    <row r="11039">
      <c r="A11039" t="inlineStr">
        <is>
          <t>Stuff 2</t>
        </is>
      </c>
      <c r="B11039">
        <f>HYPERLINK("https://www.dofusbook.net/fr/equipement/646316-stuff-2/objets", "link")</f>
        <v/>
      </c>
      <c r="C11039" t="n">
        <v>0</v>
      </c>
      <c r="D11039" t="inlineStr">
        <is>
          <t>Dagues de Srambad; Amulette Ementaire Deluxe; Pikano; Alliance Gloursonne; Ceinture de la Reine des Voleurs; Coiffe de la Reine des Voleurs; Voile d'encre; Sabots Minables; Dofus des Glaces; Dofus Pourpre; Miraculé majeur; Nomade; Carapace Terre majeur; Remueur; Croum</t>
        </is>
      </c>
    </row>
    <row r="11040">
      <c r="A11040" t="inlineStr">
        <is>
          <t>Stuff 1</t>
        </is>
      </c>
      <c r="B11040">
        <f>HYPERLINK("https://www.dofusbook.net/fr/equipement/646311-stuff-1/objets", "link")</f>
        <v/>
      </c>
      <c r="C11040" t="n">
        <v>1</v>
      </c>
      <c r="D11040" t="inlineStr">
        <is>
          <t>Rapière aux Glyphes; Amulette Voldelor; Alliance Gloursonne; Bracelet des Fonds marins; Ceinture de la Reine des Voleurs; Kidibonnet; Cape du Sinistrofu; Bottes Voldelor; Dofus des Glaces; Dofus Turquoise; Carapace Air majeur; Remueur; Chanceux majeur; Nomade; Dragodinde en armure</t>
        </is>
      </c>
    </row>
    <row r="11041">
      <c r="A11041" t="inlineStr">
        <is>
          <t>Stuff 3</t>
        </is>
      </c>
      <c r="B11041">
        <f>HYPERLINK("https://www.dofusbook.net/fr/equipement/646323-stuff-3/objets", "link")</f>
        <v/>
      </c>
      <c r="C11041" t="n">
        <v>0</v>
      </c>
      <c r="D11041" t="inlineStr">
        <is>
          <t>Dagues de Srambad; Amulette Ementaire Deluxe; Alliance du Lévitrof; Alliance Gloursonne; Ceinture de la Reine des Voleurs; Coiffe de la Reine des Voleurs; Voile d'encre; Baleinabottes; Dofus des Glaces; Dolmanax; Dofus Pourpre; Dokoko; Remueur; Nomade; Dragodinde en armure</t>
        </is>
      </c>
    </row>
    <row r="11042">
      <c r="A11042" t="inlineStr">
        <is>
          <t>Stuff 1</t>
        </is>
      </c>
      <c r="B11042">
        <f>HYPERLINK("https://www.dofusbook.net/fr/equipement/646318-stuff-1/objets", "link")</f>
        <v/>
      </c>
      <c r="C11042" t="n">
        <v>0</v>
      </c>
      <c r="D11042" t="inlineStr">
        <is>
          <t>Dagues Érhy; Amulette du Strigide; Bague Gloursonne; Bracelet du Piloztère; Ceintacé; Chapeau de Gein; Voile d'encre; Bottes du Strigide; Dofus Turquoise; Dofus Pourpre; Enragé majeur; Vigoureux majeur; Nomade; Remueur; Dragodinde en armure</t>
        </is>
      </c>
    </row>
    <row r="11043">
      <c r="A11043" t="inlineStr">
        <is>
          <t>Stuff 1</t>
        </is>
      </c>
      <c r="B11043">
        <f>HYPERLINK("https://www.dofusbook.net/fr/equipement/646308-stuff-1/objets", "link")</f>
        <v/>
      </c>
      <c r="C11043" t="n">
        <v>0</v>
      </c>
      <c r="D11043" t="inlineStr">
        <is>
          <t>Rapière aux Glyphes; Talisman Glouti; Alliance Gloursonne; Bracelet des Fonds marins; Ceinture Glaciale; Kidibonnet; Cape du Sinistrofu; Bottes du Sinistrofu; Dofus Turquoise; Remueur; Carapace Air majeur; Chanceux majeur; Nomade; Dragodinde en armure</t>
        </is>
      </c>
    </row>
    <row r="11044">
      <c r="A11044" t="inlineStr">
        <is>
          <t>Stuff 2</t>
        </is>
      </c>
      <c r="B11044">
        <f>HYPERLINK("https://www.dofusbook.net/fr/equipement/646303-stuff-2/objets", "link")</f>
        <v/>
      </c>
      <c r="C11044" t="n">
        <v>1</v>
      </c>
      <c r="D11044" t="inlineStr">
        <is>
          <t>Arc Hétype; Pendentif affamé; Anneau Tique; Anneau Rifique; Bouclier cubiste; Ceinture de Vortex; Casque Cyclopéen; Cape de Diondin; Bottes Innommables; Érudit majeur; Temporiseur majeur; Déserteur majeur; Ralentisseur majeur; Carapace Terre majeur; Remueur; Muldo Indigo et Orchidée</t>
        </is>
      </c>
    </row>
    <row r="11045">
      <c r="A11045" t="inlineStr">
        <is>
          <t>Stuff 1</t>
        </is>
      </c>
      <c r="B11045">
        <f>HYPERLINK("https://www.dofusbook.net/fr/equipement/646320-stuff-1/objets", "link")</f>
        <v/>
      </c>
      <c r="C11045" t="n">
        <v>0</v>
      </c>
      <c r="D11045" t="inlineStr">
        <is>
          <t>Arc Hétype; Amulette Séculaire; Anneau de Nidas; Anneau Tique; Protopagne; Couronne de Nidas; Voile d'encre; Pataugastrique; Déserteur majeur; Ralentisseur majeur; Carapace Eau majeur; Remueur; Miraculé majeur; Temporiseur majeur; El Scarador</t>
        </is>
      </c>
    </row>
    <row r="11046">
      <c r="A11046" t="inlineStr">
        <is>
          <t>Stuff 1</t>
        </is>
      </c>
      <c r="B11046">
        <f>HYPERLINK("https://www.dofusbook.net/fr/equipement/646315-stuff-1/objets", "link")</f>
        <v/>
      </c>
      <c r="C11046" t="n">
        <v>0</v>
      </c>
      <c r="D11046" t="inlineStr">
        <is>
          <t>Dagues Érhy; Amulette du Strigide; Bague Gloursonne; Bracelet du Piloztère; Ceintacé; Chapeau de Gein; Voile d'encre; Bottes du Strigide; Dofus Pourpre; Dolmanax; Dofus Turquoise; Remueur; Vigoureux majeur; Nomade; Dragodinde en armure</t>
        </is>
      </c>
    </row>
    <row r="11047">
      <c r="A11047" t="inlineStr">
        <is>
          <t>Stuff 3</t>
        </is>
      </c>
      <c r="B11047">
        <f>HYPERLINK("https://www.dofusbook.net/fr/equipement/646310-stuff-3/objets", "link")</f>
        <v/>
      </c>
      <c r="C11047" t="n">
        <v>0</v>
      </c>
      <c r="D11047" t="inlineStr">
        <is>
          <t>Rapière aux Glyphes; Amulette Voldelor; Bracelet des Fonds marins; Alliance Gloursonne; Ceinture de la Reine des Voleurs; Kidibonnet; Cape du Sinistrofu; Bottes Voldelor; Dofus des Glaces; Dofus Turquoise; Carapace Air majeur; Remueur; Chanceux majeur; Nomade; Dragodinde en armure</t>
        </is>
      </c>
    </row>
    <row r="11048">
      <c r="A11048" t="inlineStr">
        <is>
          <t>Stuff 1</t>
        </is>
      </c>
      <c r="B11048">
        <f>HYPERLINK("https://www.dofusbook.net/fr/equipement/646305-stuff-1/objets", "link")</f>
        <v/>
      </c>
      <c r="C11048" t="n">
        <v>1</v>
      </c>
      <c r="D11048" t="inlineStr">
        <is>
          <t>Pelle de la Cour Sombre; Amulette du Kamasterisk; Anneau d'Allister; Alliance Gloursonne; Ceinture du Barbétoal; Dorabysses; Cape du Kamasterisk; Baleinabottes; Dofus Turquoise; Dofus Pourpre; Cascadeur majeur; Nomade; Remueur; Kramkram</t>
        </is>
      </c>
    </row>
    <row r="11049">
      <c r="A11049" t="inlineStr">
        <is>
          <t>Stuff 2</t>
        </is>
      </c>
      <c r="B11049">
        <f>HYPERLINK("https://www.dofusbook.net/fr/equipement/646322-stuff-2/objets", "link")</f>
        <v/>
      </c>
      <c r="C11049" t="n">
        <v>0</v>
      </c>
      <c r="D11049" t="inlineStr">
        <is>
          <t>Rapière aux Glyphes; Amulette Voldelor; Bracelet du Piloztère; Alliance Gloursonne; Ceinture Voldelor; Masque des Fonds marins; Cape du Barbétoal; Pataugastrique; Dofus Pourpre; Dofus des Glaces; Dofus Turquoise; Remueur; Chanceux majeur; Nomade; Dragodinde en armure</t>
        </is>
      </c>
    </row>
    <row r="11050">
      <c r="A11050" t="inlineStr">
        <is>
          <t>Stuff 3</t>
        </is>
      </c>
      <c r="B11050">
        <f>HYPERLINK("https://www.dofusbook.net/fr/equipement/646317-stuff-3/objets", "link")</f>
        <v/>
      </c>
      <c r="C11050" t="n">
        <v>0</v>
      </c>
      <c r="D11050" t="inlineStr">
        <is>
          <t>Marteau des Anciens Steamers; Amulette Voldelor; Alliance Gloursonne; Pikano; Ceinture du Barbétoal; Masque du Barbétoal; Cape Matelassée; Bottes de la Reine des Voleurs; Nomade; Carapace Air majeur; Engourdisseur majeur; Remueur; Étourdisseur majeur; Miraculé majeur; Dragodinde en armure</t>
        </is>
      </c>
    </row>
    <row r="11051">
      <c r="A11051" t="inlineStr">
        <is>
          <t>Stuff 3</t>
        </is>
      </c>
      <c r="B11051">
        <f>HYPERLINK("https://www.dofusbook.net/fr/equipement/646312-stuff-3/objets", "link")</f>
        <v/>
      </c>
      <c r="C11051" t="n">
        <v>1</v>
      </c>
      <c r="D11051" t="inlineStr">
        <is>
          <t>Sceptre du Roi Joueur; Amulette de Shokkoth; Bracelet des Fonds marins; Alliance Gloursonne; Ceinture Voldelor; Kidibonnet; Cape du Sinistrofu; Bottes du Sinistrofu; Dofus Pourpre; Remueur; Nomade; Miraculé majeur; Chanceux majeur; Étourdisseur majeur; Kramkram</t>
        </is>
      </c>
    </row>
    <row r="11052">
      <c r="A11052" t="inlineStr">
        <is>
          <t>Stuff 3</t>
        </is>
      </c>
      <c r="B11052">
        <f>HYPERLINK("https://www.dofusbook.net/fr/equipement/646307-stuff-3/objets", "link")</f>
        <v/>
      </c>
      <c r="C11052" t="n">
        <v>1</v>
      </c>
      <c r="D11052" t="inlineStr">
        <is>
          <t>Marteau Reine; Amulette du Strigide; Alliance Gloursonne; Anneau Chevelu; Ceinture du Strigide; Casque des égarés; Cape du Professeur Xa; Bottes du Kamasterisk; Dofus Ocre; Dofus Turquoise; Dofus Pourpre; Remueur; Dragodinde en armure</t>
        </is>
      </c>
    </row>
    <row r="11053">
      <c r="A11053" t="inlineStr">
        <is>
          <t>Stuff 2</t>
        </is>
      </c>
      <c r="B11053">
        <f>HYPERLINK("https://www.dofusbook.net/fr/equipement/646319-stuff-2/objets", "link")</f>
        <v/>
      </c>
      <c r="C11053" t="n">
        <v>0</v>
      </c>
      <c r="D11053" t="inlineStr">
        <is>
          <t>Dagues de Srambad; Amulette Ementaire Deluxe; Pikano; Alliance Gloursonne; Ceinture de la Reine des Voleurs; Coiffe de la Reine des Voleurs; Voile d'encre; Sabots Minables; Dofus des Glaces; Dofus Pourpre; Miraculé majeur; Nomade; Carapace Terre majeur; Remueur; Dragodinde en armure</t>
        </is>
      </c>
    </row>
    <row r="11054">
      <c r="A11054" t="inlineStr">
        <is>
          <t>Stuff 2</t>
        </is>
      </c>
      <c r="B11054">
        <f>HYPERLINK("https://www.dofusbook.net/fr/equipement/646294-stuff-2/objets", "link")</f>
        <v/>
      </c>
      <c r="C11054" t="n">
        <v>1</v>
      </c>
      <c r="D11054" t="inlineStr">
        <is>
          <t>Dagues Érhy; Amulette du Strigide; Bague Gloursonne; Anneau Chevelu; Ceinture du Strigide; Casque de Missiz Frizz; Cape du Professeur Xa; Bottes du Cycloïde; Dofus Turquoise; Dofus des Glaces; Dofus Pourpre; Dofus Ocre; Vigoureux majeur; Remueur; Kramkram</t>
        </is>
      </c>
    </row>
    <row r="11055">
      <c r="A11055" t="inlineStr">
        <is>
          <t>Stuff 2</t>
        </is>
      </c>
      <c r="B11055">
        <f>HYPERLINK("https://www.dofusbook.net/fr/equipement/646289-stuff-2/objets", "link")</f>
        <v/>
      </c>
      <c r="C11055" t="n">
        <v>0</v>
      </c>
      <c r="D11055" t="inlineStr">
        <is>
          <t>Arc Hétype; Amulette d'Otomaï; Anneau Tique; Anneau de Nidas; Ceinture Séculaire; Couronne de Nidas; Voile d'encre; Pataugastrique; Dofus Turquoise; Carapace Feu majeur; Vagabond majeur; Nomade; Érudit majeur; Remueur; Dragodinde en armure</t>
        </is>
      </c>
    </row>
    <row r="11056">
      <c r="A11056" t="inlineStr">
        <is>
          <t>Stuff 2</t>
        </is>
      </c>
      <c r="B11056">
        <f>HYPERLINK("https://www.dofusbook.net/fr/equipement/646284-stuff-2/objets", "link")</f>
        <v/>
      </c>
      <c r="C11056" t="n">
        <v>1</v>
      </c>
      <c r="D11056" t="inlineStr">
        <is>
          <t>Marteau Reine; Amulette du Strigide; Alliance Gloursonne; Anneau Chevelu; Ceinture du Strigide; Casque des égarés; Cape de Kongoku; Baleinabottes; Dofus Turquoise; Dofus Pourpre; Vigoureux majeur; Nomade; Remueur; Dragodinde en armure</t>
        </is>
      </c>
    </row>
    <row r="11057">
      <c r="A11057" t="inlineStr">
        <is>
          <t>Stuff 1</t>
        </is>
      </c>
      <c r="B11057">
        <f>HYPERLINK("https://www.dofusbook.net/fr/equipement/646286-stuff-1/objets", "link")</f>
        <v/>
      </c>
      <c r="C11057" t="n">
        <v>0</v>
      </c>
      <c r="D11057" t="inlineStr">
        <is>
          <t>Plumeau Bil; Amulette d'Otomaï; Anneau Tamie; Bague Gloursonne; Ceinture Séculaire; Coiffe Séculaire; Voile d'encre; Pataugastrique; Remueur; Fonceur majeur; Saccageur Feu majeur; Dévastateur Feu majeur; Nomade; Érudit majeur; Tifoux Tigré</t>
        </is>
      </c>
    </row>
    <row r="11058">
      <c r="A11058" t="inlineStr">
        <is>
          <t>Stuff 1</t>
        </is>
      </c>
      <c r="B11058">
        <f>HYPERLINK("https://www.dofusbook.net/fr/equipement/646293-stuff-1/objets", "link")</f>
        <v/>
      </c>
      <c r="C11058" t="n">
        <v>1</v>
      </c>
      <c r="D11058" t="inlineStr">
        <is>
          <t>Dagues Érhy; Amulette du Strigide; Bague Gloursonne; Anneau Chevelu; Ceinture de Gein; Casque de Missiz Frizz; Cape du Professeur Xa; Bottes du Strigide; Dofus Turquoise; Dofus Pourpre; Dofus Ocre; Carapace Terre majeur; Remueur; Kramkram</t>
        </is>
      </c>
    </row>
    <row r="11059">
      <c r="A11059" t="inlineStr">
        <is>
          <t>Stuff 1</t>
        </is>
      </c>
      <c r="B11059">
        <f>HYPERLINK("https://www.dofusbook.net/fr/equipement/646286-stuff-1/objets", "link")</f>
        <v/>
      </c>
      <c r="C11059" t="n">
        <v>0</v>
      </c>
      <c r="D11059" t="inlineStr">
        <is>
          <t>Plumeau Bil; Amulette d'Otomaï; Anneau Tamie; Bague Gloursonne; Ceinture Séculaire; Coiffe Séculaire; Voile d'encre; Pataugastrique; Fonceur majeur; Saccageur Feu majeur; Dévastateur Feu majeur; Nomade; Érudit majeur; Remueur; Tifoux Tigré</t>
        </is>
      </c>
    </row>
    <row r="11060">
      <c r="A11060" t="inlineStr">
        <is>
          <t>Stuff 1</t>
        </is>
      </c>
      <c r="B11060">
        <f>HYPERLINK("https://www.dofusbook.net/fr/equipement/646293-stuff-1/objets", "link")</f>
        <v/>
      </c>
      <c r="C11060" t="n">
        <v>1</v>
      </c>
      <c r="D11060" t="inlineStr">
        <is>
          <t>Dagues Érhy; Amulette du Strigide; Bague Gloursonne; Anneau Chevelu; Ceinture de Gein; Casque de Missiz Frizz; Cape du Professeur Xa; Bottes du Strigide; Dofus Pourpre; Dofus Ocre; Dofus Turquoise; Carapace Terre majeur; Remueur; Kramkram</t>
        </is>
      </c>
    </row>
    <row r="11061">
      <c r="A11061" t="inlineStr">
        <is>
          <t>Stuff 1</t>
        </is>
      </c>
      <c r="B11061">
        <f>HYPERLINK("https://www.dofusbook.net/fr/equipement/646288-stuff-1/objets", "link")</f>
        <v/>
      </c>
      <c r="C11061" t="n">
        <v>0</v>
      </c>
      <c r="D11061" t="inlineStr">
        <is>
          <t>Dagues Érhy; Amulette d'Otomaï; Kralano; Anneau de Padgref; Ceinture Séculaire; Coiffe de Padgref; Cape Hiculteur; Pantoufles Émar; Savant majeur; Érudit majeur; Saccageur Feu majeur; Nomade; Dévastateur Feu majeur; Remueur; Tifoux Tigré</t>
        </is>
      </c>
    </row>
    <row r="11062">
      <c r="A11062" t="inlineStr">
        <is>
          <t>Stuff 1</t>
        </is>
      </c>
      <c r="B11062">
        <f>HYPERLINK("https://www.dofusbook.net/fr/equipement/646283-stuff-1/objets", "link")</f>
        <v/>
      </c>
      <c r="C11062" t="n">
        <v>3</v>
      </c>
      <c r="D11062" t="inlineStr">
        <is>
          <t>Marteau Reine; Amulette du Strigide; Alliance Gloursonne; Bracelet du Piloztère; Ceintacé; Casque des égarés; Cape du Kamasterisk; Bottes du Strigide; Dofus Pourpre; Dofus Turquoise; Remueur; Vigoureux majeur; Nomade; Dragodinde en armure</t>
        </is>
      </c>
    </row>
    <row r="11063">
      <c r="A11063" t="inlineStr">
        <is>
          <t>Stuff 3</t>
        </is>
      </c>
      <c r="B11063">
        <f>HYPERLINK("https://www.dofusbook.net/fr/equipement/646295-stuff-3/objets", "link")</f>
        <v/>
      </c>
      <c r="C11063" t="n">
        <v>1</v>
      </c>
      <c r="D11063" t="inlineStr">
        <is>
          <t>Dagues Érhy; Amulette du Strigide; Bague Gloursonne; Anneau Chevelu; Ceinture du Strigide; Casque de Missiz Frizz; Cape du Professeur Xa; Bottes du Cycloïde; Dofus Ocre; Dofus des Glaces; Dofus Turquoise; Dofus Pourpre; Vigoureux majeur; Remueur; Dragodinde en armure</t>
        </is>
      </c>
    </row>
    <row r="11064">
      <c r="A11064" t="inlineStr">
        <is>
          <t>Stuff 3</t>
        </is>
      </c>
      <c r="B11064">
        <f>HYPERLINK("https://www.dofusbook.net/fr/equipement/646285-stuff-3/objets", "link")</f>
        <v/>
      </c>
      <c r="C11064" t="n">
        <v>2</v>
      </c>
      <c r="D11064" t="inlineStr">
        <is>
          <t>Marteau Reine; Amulette du Strigide; Anneau Chevelu; Anneau des égarés; Ceinture de Kongoku; Casque des égarés; Cape du Kamasterisk; Baleinabottes; Dofus Pourpre; Dofus des Glaces; Dofus Turquoise; Remueur; Vigoureux majeur; Nomade; Dragodinde en armure</t>
        </is>
      </c>
    </row>
    <row r="11065">
      <c r="A11065" t="inlineStr">
        <is>
          <t>Crâ M 200</t>
        </is>
      </c>
      <c r="B11065">
        <f>HYPERLINK("https://www.dofusbook.net/fr/equipement/3572984-cra-m-200/objets", "link")</f>
        <v/>
      </c>
      <c r="C11065" t="n">
        <v>1</v>
      </c>
      <c r="D11065" t="inlineStr">
        <is>
          <t>Bracelet du Piloztère; Masque de Koutoulou; Cape au Logis</t>
        </is>
      </c>
    </row>
    <row r="11066">
      <c r="A11066" t="inlineStr">
        <is>
          <t>re pou</t>
        </is>
      </c>
      <c r="B11066">
        <f>HYPERLINK("https://www.dofusbook.net/fr/equipement/3227504-re-pou/objets", "link")</f>
        <v/>
      </c>
      <c r="C11066" t="n">
        <v>2</v>
      </c>
      <c r="D11066" t="inlineStr">
        <is>
          <t>Pelle de la Cour Sombre; Collier du Valet Veinard; Alliance Gloursonne; Gant du Valet Veinard; Bouclier de Solar; Menoture; Dorabysses; Cape de Crânonier; Palmes Trithons; Dofus Forgelave; Dofus Abyssal; Dofus Ivoire; Solide majeur; Remueur; Cascadeur majeur</t>
        </is>
      </c>
    </row>
    <row r="11067">
      <c r="A11067" t="inlineStr">
        <is>
          <t>Steamer M 200</t>
        </is>
      </c>
      <c r="B11067">
        <f>HYPERLINK("https://www.dofusbook.net/fr/equipement/3301713-steamer-m-200/objets", "link")</f>
        <v/>
      </c>
      <c r="C11067" t="n">
        <v>2</v>
      </c>
      <c r="D11067" t="inlineStr">
        <is>
          <t>Lav'Hache; Torquistik; Anneau de Pol Ouatnos; Bague Instable; Bouclier précieux; Ceinture Gence; Casque Dragoeuf; Cape Solution; Bottistik; Dofus Émeraude; Dofus Abyssal; Dofus Ivoire; Dokoko; Bousculeur majeur; Culbuteur majeur</t>
        </is>
      </c>
    </row>
    <row r="11068">
      <c r="A11068" t="inlineStr">
        <is>
          <t>Sadi/enu/eni</t>
        </is>
      </c>
      <c r="B11068">
        <f>HYPERLINK("https://www.dofusbook.net/fr/equipement/3245018-sadi-enu-eni/objets", "link")</f>
        <v/>
      </c>
      <c r="C11068" t="n">
        <v>2</v>
      </c>
      <c r="D11068" t="inlineStr">
        <is>
          <t>Manthache; Collier du Valet Veinard; Gant du Valet Veinard; Alliance Gloursonne; Bouclier d'Ilyzaelle; Menoture; Dorabysses; Cape du Kamasterisk; Palmes Trithons; Dofus Ivoire; Dofus Émeraude; Dofus Abyssal; Remueur; Cascadeur majeur; Évasif majeur; Muldo Ebène</t>
        </is>
      </c>
    </row>
    <row r="11069">
      <c r="A11069" t="inlineStr">
        <is>
          <t>ANTISteam</t>
        </is>
      </c>
      <c r="B11069">
        <f>HYPERLINK("https://www.dofusbook.net/fr/equipement/3244967-antisteam/objets", "link")</f>
        <v/>
      </c>
      <c r="C11069" t="n">
        <v>1</v>
      </c>
      <c r="D11069" t="inlineStr">
        <is>
          <t>Manthache; Collier du Valet Veinard; Alliance Gloursonne; Bouclier Bontarien; Menoture; Coiffe de la Reine des Voleurs; Cape du Chalœil; Bottes de la Reine des Voleurs; Dofus Abyssal; Dofus Ivoire; Dofus Émeraude; Remueur; Fortification majeure; Cascadeur majeur; Muldo Ebène</t>
        </is>
      </c>
    </row>
    <row r="11070">
      <c r="A11070" t="inlineStr">
        <is>
          <t>Antisram</t>
        </is>
      </c>
      <c r="B11070">
        <f>HYPERLINK("https://www.dofusbook.net/fr/equipement/3244892-antisram/objets", "link")</f>
        <v/>
      </c>
      <c r="C11070" t="n">
        <v>0</v>
      </c>
      <c r="D11070" t="inlineStr">
        <is>
          <t>Epée Loponèze; Amulette d'Ilyzaelle; Gant du Valet Veinard; Alliance Gloursonne; Bouclier d'Ilyzaelle; Menoture; Masque du Granduk; Cape de Klime; Palmes Trithons; Dolmanax; Dofus Abyssal; Dofus Émeraude; Dofus Ivoire; Remueur; Fonceur majeur; Muldo Ebène</t>
        </is>
      </c>
    </row>
    <row r="11071">
      <c r="A11071" t="inlineStr">
        <is>
          <t>antisacri</t>
        </is>
      </c>
      <c r="B11071">
        <f>HYPERLINK("https://www.dofusbook.net/fr/equipement/3240585-antisacri/objets", "link")</f>
        <v/>
      </c>
      <c r="C11071" t="n">
        <v>1</v>
      </c>
      <c r="D11071" t="inlineStr">
        <is>
          <t>Arc corrompu; Amulette de Nileza; Anneau Tique; Anneau Rifique; Heaume Oplate; Cape de Diondin</t>
        </is>
      </c>
    </row>
    <row r="11072">
      <c r="A11072" t="inlineStr">
        <is>
          <t>res feu</t>
        </is>
      </c>
      <c r="B11072">
        <f>HYPERLINK("https://www.dofusbook.net/fr/equipement/3237010-res-feu/objets", "link")</f>
        <v/>
      </c>
      <c r="C11072" t="n">
        <v>0</v>
      </c>
      <c r="D11072" t="inlineStr">
        <is>
          <t>Arc corrompu; Amulette de Nileza; Anneau de Nidas; Anneau Tique; Quatre-feuilles; Ceinture de Gein; Casque Cyclopéen; Voile d'encre; Pataugastrique; Dofus Abyssal; Dofus Ivoire; Remueur; Érudit majeur; Nomade; Brûlih</t>
        </is>
      </c>
    </row>
    <row r="11073">
      <c r="A11073" t="inlineStr">
        <is>
          <t>antisacri</t>
        </is>
      </c>
      <c r="B11073">
        <f>HYPERLINK("https://www.dofusbook.net/fr/equipement/3238366-antisacri/objets", "link")</f>
        <v/>
      </c>
      <c r="C11073" t="n">
        <v>1</v>
      </c>
      <c r="D11073" t="inlineStr">
        <is>
          <t>Dague de Grouillot</t>
        </is>
      </c>
    </row>
    <row r="11074">
      <c r="A11074" t="inlineStr">
        <is>
          <t>feumulti</t>
        </is>
      </c>
      <c r="B11074">
        <f>HYPERLINK("https://www.dofusbook.net/fr/equipement/3237220-feumulti/objets", "link")</f>
        <v/>
      </c>
      <c r="C11074" t="n">
        <v>1</v>
      </c>
      <c r="D11074" t="inlineStr">
        <is>
          <t>Arc Hétype; Amulette de Nileza; Anneau Tique; Anneau de Nidas; Bouclier cubiste; Ceinture de Vortex; Cagoule de Vortex; Voile d'encre; Pataugastrique; Dofus Abyssal; Dofus Ivoire; Remueur; Déserteur majeur; Érudit majeur; Miraculé majeur; Muldo Ebène et Pourpre</t>
        </is>
      </c>
    </row>
    <row r="11075">
      <c r="A11075" t="inlineStr">
        <is>
          <t>Stuff 2</t>
        </is>
      </c>
      <c r="B11075">
        <f>HYPERLINK("https://www.dofusbook.net/fr/equipement/263491-stuff-2/objets", "link")</f>
        <v/>
      </c>
      <c r="C11075" t="n">
        <v>1</v>
      </c>
      <c r="D11075" t="inlineStr">
        <is>
          <t>Arc Hétype; Amulette de Nileza; Anneau Tique; Anneau de Nidas; Bouclier du Stalak; Protopagne; Couronne de Nidas; Voile d'encre; Pataugastrique; Dofus Ivoire; Dofus Pourpre; Carapace Eau majeur; Érudit majeur; Remueur; Déserteur majeur; Dragodinde en armure</t>
        </is>
      </c>
    </row>
    <row r="11076">
      <c r="A11076" t="inlineStr">
        <is>
          <t>Stuff 1</t>
        </is>
      </c>
      <c r="B11076">
        <f>HYPERLINK("https://www.dofusbook.net/fr/equipement/263508-stuff-1/objets", "link")</f>
        <v/>
      </c>
      <c r="C11076" t="n">
        <v>2</v>
      </c>
      <c r="D11076" t="inlineStr">
        <is>
          <t>Arc Hétype; Amulette d'Otomaï; Anneau Tique; Anneau de Nidas; Bouclier du Stalak; Ceinture de Vortex; Couronne de Nidas; Voile d'encre; Pataugastrique; Dofus Ivoire; Dofus Turquoise; Nomade; Remueur; Érudit majeur; Déserteur majeur; Dragodinde en armure</t>
        </is>
      </c>
    </row>
    <row r="11077">
      <c r="A11077" t="inlineStr">
        <is>
          <t>E/a</t>
        </is>
      </c>
      <c r="B11077">
        <f>HYPERLINK("https://www.dofusbook.net/fr/equipement/3227977-e-a/objets", "link")</f>
        <v/>
      </c>
      <c r="C11077" t="n">
        <v>2</v>
      </c>
      <c r="D11077" t="inlineStr">
        <is>
          <t>Sabres d'Atcham; Amulette d'Ilyzaelle; Alliance Brûlâme; Alliance Gloursonne; Bouclier d'Ilyzaelle; Ceinture Leumant; Casque d'Ilyzaelle; Cape d'Atcham; Sandales  d'Atcham; Dofus Abyssal; Dofus Émeraude; Dofus Ivoire; Dolmanax; Dofus Ocre; Dofus Pourpre; Muldo Ebène</t>
        </is>
      </c>
    </row>
    <row r="11078">
      <c r="A11078" t="inlineStr">
        <is>
          <t>osa</t>
        </is>
      </c>
      <c r="B11078">
        <f>HYPERLINK("https://www.dofusbook.net/fr/equipement/3224905-osa/objets", "link")</f>
        <v/>
      </c>
      <c r="C11078" t="n">
        <v>0</v>
      </c>
      <c r="D11078" t="inlineStr">
        <is>
          <t>Massier; Amulette d'Otomaï; Anneau Tique; Anneau de Nidas; Bouclier Taverne; Ceinture Séculaire; Heaume Oplate; Cape de Diondin; Bottes d'Otomaï; Dofus Pourpre; Dofus Abyssal; Dofus Turquoise; Dofus Ivoire; Nomade; Érudit majeur; Brûlih</t>
        </is>
      </c>
    </row>
    <row r="11079">
      <c r="A11079" t="inlineStr">
        <is>
          <t>Enu</t>
        </is>
      </c>
      <c r="B11079">
        <f>HYPERLINK("https://www.dofusbook.net/fr/equipement/3223972-enu/objets", "link")</f>
        <v/>
      </c>
      <c r="C11079" t="n">
        <v>1</v>
      </c>
      <c r="D11079" t="inlineStr">
        <is>
          <t>Massier; Amulette d'Otomaï; Anneau de Nidas; Anneau Tique; Bouclier d'Ilyzaelle; Ceinture Séculaire; Heaume Oplate; Voile d'encre; Bottes d'Otomaï; Dofus Abyssal; Dofus Ivoire; Remueur; Nomade; Évasif majeur; Érudit majeur; Brûlih</t>
        </is>
      </c>
    </row>
    <row r="11080">
      <c r="A11080" t="inlineStr">
        <is>
          <t>Iop</t>
        </is>
      </c>
      <c r="B11080">
        <f>HYPERLINK("https://www.dofusbook.net/fr/equipement/3223906-iop/objets", "link")</f>
        <v/>
      </c>
      <c r="C11080" t="n">
        <v>0</v>
      </c>
      <c r="D11080" t="inlineStr">
        <is>
          <t>Arc corrompu; Pendentif affamé; Anneau Tique; Anneau de Nidas; Quatre-feuilles; Ceinture Hyolite; Heaume Oplate; Cape de Diondin; Tongues de Nidas; Dofus Ivoire; Dofus Forgelave; Dofus Abyssal; Nomade; Solide majeur; Érudit majeur; Brûlih</t>
        </is>
      </c>
    </row>
    <row r="11081">
      <c r="A11081" t="inlineStr">
        <is>
          <t>normal</t>
        </is>
      </c>
      <c r="B11081">
        <f>HYPERLINK("https://www.dofusbook.net/fr/equipement/3211897-normal/objets", "link")</f>
        <v/>
      </c>
      <c r="C11081" t="n">
        <v>4</v>
      </c>
      <c r="D11081" t="inlineStr">
        <is>
          <t>Manthache; Collier du Valet Veinard; Alliance Gloursonne; Gant du Valet Veinard; Bouclier d'Ilyzaelle; Menoture; Dorabysses; Cape Indescriptible; Palmes Trithons; Dofus Pourpre; Dofus Abyssal; Dofus Ivoire; Dofus Émeraude; Remueur; Cascadeur majeur; Muldo Ebène</t>
        </is>
      </c>
    </row>
    <row r="11082">
      <c r="A11082" t="inlineStr">
        <is>
          <t>xel/feca</t>
        </is>
      </c>
      <c r="B11082">
        <f>HYPERLINK("https://www.dofusbook.net/fr/equipement/3211890-xel-feca/objets", "link")</f>
        <v/>
      </c>
      <c r="C11082" t="n">
        <v>1</v>
      </c>
      <c r="D11082" t="inlineStr">
        <is>
          <t>Manthache; Amulette du Strigide; Alliance Gloursonne; Anneau des égarés; Bouclier d'Ilyzaelle; Sangle Oriole; Chapeau de Tournoyé; Cape de Crânonier; Bottes du Strigide; Dofus Ivoire; Dofus Turquoise; Dofus Ocre; Dofus Émeraude; Dofus Abyssal; Dofus Pourpre; Muldo Ebène</t>
        </is>
      </c>
    </row>
    <row r="11083">
      <c r="A11083" t="inlineStr">
        <is>
          <t>eau retape</t>
        </is>
      </c>
      <c r="B11083">
        <f>HYPERLINK("https://www.dofusbook.net/fr/equipement/3185954-eau-retape/objets", "link")</f>
        <v/>
      </c>
      <c r="C11083" t="n">
        <v>0</v>
      </c>
      <c r="D11083" t="inlineStr">
        <is>
          <t>Dagoulinantes; Amulette de Shokkoth; Bracelet des Fonds marins; Alliance Gloursonne; Cadran de Terre; Culotte de Bethel; Kidibonnet; Cape de Mantaze; Chaussons de Macrab</t>
        </is>
      </c>
    </row>
    <row r="11084">
      <c r="A11084" t="inlineStr">
        <is>
          <t>eau/pb</t>
        </is>
      </c>
      <c r="B11084">
        <f>HYPERLINK("https://www.dofusbook.net/fr/equipement/3137244-eau-pb/objets", "link")</f>
        <v/>
      </c>
      <c r="C11084" t="n">
        <v>4</v>
      </c>
      <c r="D11084" t="inlineStr">
        <is>
          <t>Rapière aux Glyphes; Talisman Glouti; Alliance Gloursonne; Bracelet des Fonds marins; Bouclier d'Ilyzaelle; Sangle Ouare; Masque d'Anerice; Cape d'Anerice; Pataugastrique; Dofus Émeraude; Dofus Abyssal; Dofus Ivoire; Dokoko; Remueur; Miraculé majeur; Péki</t>
        </is>
      </c>
    </row>
    <row r="11085">
      <c r="A11085" t="inlineStr">
        <is>
          <t>feu</t>
        </is>
      </c>
      <c r="B11085">
        <f>HYPERLINK("https://www.dofusbook.net/fr/equipement/2926329-feu/objets", "link")</f>
        <v/>
      </c>
      <c r="C11085" t="n">
        <v>0</v>
      </c>
      <c r="D11085" t="inlineStr">
        <is>
          <t>Arc corrompu; Amulette de Nileza; Anneau Tique; Anneau de Nidas; Bouclier du Stalak; Ceinture de Vortex; Couronne de Nidas; Voile d'encre; Pataugastrique; Dofus Ivoire; Dolmanax; Déserteur majeur; Remueur; Carapace Neutre majeur; Érudit majeur; Muldo Ebène et Pourpre</t>
        </is>
      </c>
    </row>
    <row r="11086">
      <c r="A11086" t="inlineStr">
        <is>
          <t>srambad</t>
        </is>
      </c>
      <c r="B11086">
        <f>HYPERLINK("https://www.dofusbook.net/fr/equipement/2889009-srambad/objets", "link")</f>
        <v/>
      </c>
      <c r="C11086" t="n">
        <v>0</v>
      </c>
      <c r="D11086" t="inlineStr">
        <is>
          <t>Amulette de l'Indicible; Bague Gloursonne; Alliance Gloursonne; Ceinture de la Reine des Voleurs; Coiffe de la Reine des Voleurs; Cape des Justiciers; Bottes de l'Indicible; Dolmanax; Dofus des Glaces; Dofus Pourpre; Dofus Abyssal; Dofus Ocre; Dofus Ivoire; Muldo Indigo et Pourpre</t>
        </is>
      </c>
    </row>
    <row r="11087">
      <c r="A11087" t="inlineStr">
        <is>
          <t>air/feu12/6</t>
        </is>
      </c>
      <c r="B11087">
        <f>HYPERLINK("https://www.dofusbook.net/fr/equipement/2888589-air-feu12-6/objets", "link")</f>
        <v/>
      </c>
      <c r="C11087" t="n">
        <v>2</v>
      </c>
      <c r="D11087" t="inlineStr">
        <is>
          <t>Arc Honte; Collier du Valet Veinard; Alliance Gloursonne; Gant du Valet Veinard; Bouclier du Stalak; Ceinture de Vortex; Cagoule de Vortex; Cape du Valet Veinard; Sabots de Vortex; Dolmanax; Dofus des Glaces; Dofus Pourpre; Dofus Abyssal; Dofus Ocre; Dofus Ivoire; Muldo Ebène</t>
        </is>
      </c>
    </row>
    <row r="11088">
      <c r="A11088" t="inlineStr">
        <is>
          <t>airPA</t>
        </is>
      </c>
      <c r="B11088">
        <f>HYPERLINK("https://www.dofusbook.net/fr/equipement/2878436-airpa/objets", "link")</f>
        <v/>
      </c>
      <c r="C11088" t="n">
        <v>0</v>
      </c>
      <c r="D11088" t="inlineStr">
        <is>
          <t>Lance Horselé; Collier du Valet Veinard; Gant du Valet Veinard; Alliance Gloursonne; Bouclier du Mont Kipou; Menoture; Chapeau de Tournoyé; Cape d'Anerice; Palmes Trithons; Dofus Ivoire; Dofus Abyssal; Étourdisseur majeur; Observateur; Remueur; Cascadeur majeur; Muldo Ebène</t>
        </is>
      </c>
    </row>
    <row r="11089">
      <c r="A11089" t="inlineStr">
        <is>
          <t>Terretappperrrr</t>
        </is>
      </c>
      <c r="B11089">
        <f>HYPERLINK("https://www.dofusbook.net/fr/equipement/2846595-terretappperrrr/objets", "link")</f>
        <v/>
      </c>
      <c r="C11089" t="n">
        <v>5</v>
      </c>
      <c r="D11089" t="inlineStr">
        <is>
          <t>Az'tech; Amulette du Strigide; Bracelet du Piloztère; Bague Trithon; Bouclier du Captain Amakna; Ceinture du Strigide; Masque Trithon; Cape du Cœur Vaillant; Bottes Trithon; Dofus Nébuleux; Dofus Turquoise; Dofus Abyssal; Dofus Ocre; Dofus Ivoire; Dofus Pourpre; Muldo Ebène et Pourpre</t>
        </is>
      </c>
    </row>
    <row r="11090">
      <c r="A11090" t="inlineStr">
        <is>
          <t>eau 3v3</t>
        </is>
      </c>
      <c r="B11090">
        <f>HYPERLINK("https://www.dofusbook.net/fr/equipement/2839557-eau-3v3/objets", "link")</f>
        <v/>
      </c>
      <c r="C11090" t="n">
        <v>0</v>
      </c>
      <c r="D11090" t="inlineStr"/>
    </row>
    <row r="11091">
      <c r="A11091" t="inlineStr">
        <is>
          <t>full feu 3v3</t>
        </is>
      </c>
      <c r="B11091">
        <f>HYPERLINK("https://www.dofusbook.net/fr/equipement/2839530-full-feu-3v3/objets", "link")</f>
        <v/>
      </c>
      <c r="C11091" t="n">
        <v>1</v>
      </c>
      <c r="D11091" t="inlineStr">
        <is>
          <t>Arc Hétype; Amulette d'Otomaï; Anneau Tique; Anneau de Nidas; Quatre-feuilles; Ceinture Séculaire; Couronne de Nidas; Voile d'encre; Pataugastrique; Dofus Émeraude; Dofus Ivoire; Dofus Pourpre; Dofus Turquoise; Dofus Abyssal; Remueur; Muldo Indigo et Orchidée</t>
        </is>
      </c>
    </row>
    <row r="11092">
      <c r="A11092" t="inlineStr">
        <is>
          <t>Srambad</t>
        </is>
      </c>
      <c r="B11092">
        <f>HYPERLINK("https://www.dofusbook.net/fr/equipement/2821704-srambad/objets", "link")</f>
        <v/>
      </c>
      <c r="C11092" t="n">
        <v>2</v>
      </c>
      <c r="D11092" t="inlineStr">
        <is>
          <t>Dagues de Srambad; Amulette Luminescente; Alliance Gloursonne; Bracelet du Piloztère; Bouclier du Captain Amakna; Ceinture de la Reine des Voleurs; Coiffe de la Reine des Voleurs; Voile d'encre; Baleinabottes; Dofus des Glaces; Dofus Émeraude; Remueur; Miraculé majeur; Nomade</t>
        </is>
      </c>
    </row>
    <row r="11093">
      <c r="A11093" t="inlineStr">
        <is>
          <t>airdp</t>
        </is>
      </c>
      <c r="B11093">
        <f>HYPERLINK("https://www.dofusbook.net/fr/equipement/2677333-airdp/objets", "link")</f>
        <v/>
      </c>
      <c r="C11093" t="n">
        <v>0</v>
      </c>
      <c r="D11093" t="inlineStr">
        <is>
          <t>Hachoirs de Viandargh; Amulette du Strigide; Gant du Valet Veinard; Alliance Gloursonne; Menoture; Chapibou; Capibou; Palmes Trithons</t>
        </is>
      </c>
    </row>
    <row r="11094">
      <c r="A11094" t="inlineStr">
        <is>
          <t>air dopou</t>
        </is>
      </c>
      <c r="B11094">
        <f>HYPERLINK("https://www.dofusbook.net/fr/equipement/2677310-air-dopou/objets", "link")</f>
        <v/>
      </c>
      <c r="C11094" t="n">
        <v>0</v>
      </c>
      <c r="D11094" t="inlineStr">
        <is>
          <t>Héqache; Amulette du Strigide; Alliance Gloursonne; Bague Trithon; Quatre-feuilles; Ceinture du Strigide; Masque Trithon; Cape du Cœur Vaillant; Bottes du Strigide; Dofus Abyssal; Dofus Ocre; Dofus Ivoire; Dofus Pourpre; Dofus des Glaces; Dofus Turquoise; Muldo Ebène</t>
        </is>
      </c>
    </row>
    <row r="11095">
      <c r="A11095" t="inlineStr">
        <is>
          <t>Arc ahique</t>
        </is>
      </c>
      <c r="B11095">
        <f>HYPERLINK("https://www.dofusbook.net/fr/equipement/2670869-arc-ahique/objets", "link")</f>
        <v/>
      </c>
      <c r="C11095" t="n">
        <v>1</v>
      </c>
      <c r="D11095" t="inlineStr">
        <is>
          <t>Arc Ahique; Collier du Valet Veinard; Alliance Gloursonne; Gant du Valet Veinard; Sept ans de malheur; Ceintouse; Chapoulpe; Cape du Valet Veinard; Tentassons; Dofus Ocre; Dofus Abyssal; Dofus des Glaces; Dofus Ivoire; Dolmanax; Dofus Nébuleux</t>
        </is>
      </c>
    </row>
    <row r="11096">
      <c r="A11096" t="inlineStr">
        <is>
          <t>Feu air</t>
        </is>
      </c>
      <c r="B11096">
        <f>HYPERLINK("https://www.dofusbook.net/fr/equipement/2624408-feu-air-/objets", "link")</f>
        <v/>
      </c>
      <c r="C11096" t="n">
        <v>0</v>
      </c>
      <c r="D11096" t="inlineStr"/>
    </row>
    <row r="11097">
      <c r="A11097" t="inlineStr">
        <is>
          <t>doucir</t>
        </is>
      </c>
      <c r="B11097">
        <f>HYPERLINK("https://www.dofusbook.net/fr/equipement/2592142-doucir/objets", "link")</f>
        <v/>
      </c>
      <c r="C11097" t="n">
        <v>3</v>
      </c>
      <c r="D11097" t="inlineStr">
        <is>
          <t>Arc de Koutoulou; Amulette du Strigide; Bague Trithon; Alliance Gloursonne; Quatre-feuilles; Ceinture du Strigide; Masque Trithon; Chevelure de Tal Kasha; Bottes du Strigide; Dofus Ivoire; Dolmanax; Dofus des Glaces; Dofus Pourpre; Dofus Abyssal; Dofus Ocre; Muldo Ebène et Indigo</t>
        </is>
      </c>
    </row>
    <row r="11098">
      <c r="A11098" t="inlineStr">
        <is>
          <t>arc</t>
        </is>
      </c>
      <c r="B11098">
        <f>HYPERLINK("https://www.dofusbook.net/fr/equipement/2591945-arc/objets", "link")</f>
        <v/>
      </c>
      <c r="C11098" t="n">
        <v>0</v>
      </c>
      <c r="D11098" t="inlineStr">
        <is>
          <t>Lav'Hache; Collier de Tourthon; Alliance Gloursonne; Anneau de Pol Ouatnos; Sept ans de malheur; Ceintouse; Chapoulpe; Cape du Cœur Vaillant; Baleinabottes; Dofus Ivoire; Remueur; Carapace Terre majeur; Nomade; Étourdisseur majeur; Croum</t>
        </is>
      </c>
    </row>
    <row r="11099">
      <c r="A11099" t="inlineStr">
        <is>
          <t>arc ahique eau</t>
        </is>
      </c>
      <c r="B11099">
        <f>HYPERLINK("https://www.dofusbook.net/fr/equipement/2583496-arc-ahique-eau/objets", "link")</f>
        <v/>
      </c>
      <c r="C11099" t="n">
        <v>1</v>
      </c>
      <c r="D11099" t="inlineStr">
        <is>
          <t>Arc Ahique; Amulette Voldelor; Pikano; Alliance Gloursonne; Bouclier du Stalak; Ceinture de la Reine des Voleurs; Kidibonnet; Cape de Mantaze; Bottes de la Reine des Voleurs; Dofus Ocre; Dofus Ivoire; Dofus des Glaces; Dofus Pourpre; Dofus Abyssal; Muldo Ebène et Pourpre</t>
        </is>
      </c>
    </row>
    <row r="11100">
      <c r="A11100" t="inlineStr">
        <is>
          <t>arc ahi full air</t>
        </is>
      </c>
      <c r="B11100">
        <f>HYPERLINK("https://www.dofusbook.net/fr/equipement/2583454-arc-ahi-full-air/objets", "link")</f>
        <v/>
      </c>
      <c r="C11100" t="n">
        <v>2</v>
      </c>
      <c r="D11100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des Glaces; Dofus Ocre; Dofus Abyssal; Dofus Nébuleux; Dofus Ivoire; Muldo Ebène et Orchidée</t>
        </is>
      </c>
    </row>
    <row r="11101">
      <c r="A11101" t="inlineStr">
        <is>
          <t>nevark reine glour</t>
        </is>
      </c>
      <c r="B11101">
        <f>HYPERLINK("https://www.dofusbook.net/fr/equipement/2583410-nevark-reine-glour/objets", "link")</f>
        <v/>
      </c>
      <c r="C11101" t="n">
        <v>1</v>
      </c>
      <c r="D11101" t="inlineStr">
        <is>
          <t>Arc Ahique; Amulette de Nevark; Bague Gloursonne; Alliance Gloursonne; Bouclier du Stalak; Ceinture de la Reine des Voleurs; Coiffe de la Reine des Voleurs; Cape de Nevark; Bottes de la Reine des Voleurs; Dofus Ocre; Dofus Ivoire; Dofus Nébuleux; Dofus des Glaces; Dofus Pourpre; Dofus Abyssal; Muldo Ebène et Orchidée</t>
        </is>
      </c>
    </row>
    <row r="11102">
      <c r="A11102" t="inlineStr">
        <is>
          <t>arc chiqueindicible</t>
        </is>
      </c>
      <c r="B11102">
        <f>HYPERLINK("https://www.dofusbook.net/fr/equipement/2583383-arc-chiqueindicible/objets", "link")</f>
        <v/>
      </c>
      <c r="C11102" t="n">
        <v>1</v>
      </c>
      <c r="D11102" t="inlineStr">
        <is>
          <t>Dagues de Srambad; Amulette de l'Indicible; Bague Gloursonne; Alliance Gloursonne; Ceinture de la Reine des Voleurs; Coiffe de la Reine des Voleurs; Cape des Justiciers; Bottes de l'Indicible; Dofus Émeraude; Dofus Ocre; Dofus des Glaces; Dofus Abyssal; Dofus Pourpre; Dofus Ivoire; Muldo Indigo et Orchidée</t>
        </is>
      </c>
    </row>
    <row r="11103">
      <c r="A11103" t="inlineStr">
        <is>
          <t>air terre</t>
        </is>
      </c>
      <c r="B11103">
        <f>HYPERLINK("https://www.dofusbook.net/fr/equipement/2583354-air-terre-/objets", "link")</f>
        <v/>
      </c>
      <c r="C11103" t="n">
        <v>1</v>
      </c>
      <c r="D11103" t="inlineStr">
        <is>
          <t>Héqache; Amulette du Strigide; Bague Gloursonne; Anneau des égarés; Quatre-feuilles; Ceinture du Strigide; Casque des égarés; Cape du Professeur Xa; Bottes du Strigide; Dofus Pourpre; Dofus des Glaces; Dofus Turquoise; Dofus Nébuleux; Dolmanax; Dofus Ocre</t>
        </is>
      </c>
    </row>
    <row r="11104">
      <c r="A11104" t="inlineStr">
        <is>
          <t>eau ret pvm</t>
        </is>
      </c>
      <c r="B11104">
        <f>HYPERLINK("https://www.dofusbook.net/fr/equipement/2583278-eau-ret-pvm/objets", "link")</f>
        <v/>
      </c>
      <c r="C11104" t="n">
        <v>2</v>
      </c>
      <c r="D11104" t="inlineStr">
        <is>
          <t>Baguette Hique; Amulette de Shokkoth; Alliance Gloursonne; Pikano; Bouclier cubiste; Ceinture Glaciale; Kidibonnet; Cape de Meno; Bottes de Meno; Dofus Ocre; Dolmanax; Chanceux majeur; Nomade; Entraveur majeur; Temporiseur majeur</t>
        </is>
      </c>
    </row>
    <row r="11105">
      <c r="A11105" t="inlineStr">
        <is>
          <t>air/terre ppm</t>
        </is>
      </c>
      <c r="B11105">
        <f>HYPERLINK("https://www.dofusbook.net/fr/equipement/2582850-air-terre-ppm/objets", "link")</f>
        <v/>
      </c>
      <c r="C11105" t="n">
        <v>1</v>
      </c>
      <c r="D11105" t="inlineStr">
        <is>
          <t>Héqache; Amulette du Strigide; Bague Gloursonne; Anneau des égarés; Quatre-feuilles; Ceinture du Strigide; Casque des égarés; Cape au Logis; Bottes du Strigide; Dolmanax; Dofus Ocre; Dofus Pourpre; Dofus des Glaces; Dofus Turquoise; Dofus Nébuleux</t>
        </is>
      </c>
    </row>
    <row r="11106">
      <c r="A11106" t="inlineStr">
        <is>
          <t>Rox</t>
        </is>
      </c>
      <c r="B11106">
        <f>HYPERLINK("https://www.dofusbook.net/fr/equipement/2574181-rox/objets", "link")</f>
        <v/>
      </c>
      <c r="C11106" t="n">
        <v>0</v>
      </c>
      <c r="D11106" t="inlineStr"/>
    </row>
    <row r="11107">
      <c r="A11107" t="inlineStr">
        <is>
          <t>Terreair</t>
        </is>
      </c>
      <c r="B11107">
        <f>HYPERLINK("https://www.dofusbook.net/fr/equipement/2573514-terreair/objets", "link")</f>
        <v/>
      </c>
      <c r="C11107" t="n">
        <v>1</v>
      </c>
      <c r="D11107" t="inlineStr">
        <is>
          <t>Lance corrompue; Quatre-feuilles; Coiffe de la Reine des Voleurs; Baleinabottes; Dofus Ocre; Dofus Ivoire; Dofus Pourpre; Dofus Nébuleux; Dofus Turquoise; Dofus Abyssal</t>
        </is>
      </c>
    </row>
    <row r="11108">
      <c r="A11108" t="inlineStr">
        <is>
          <t>terreair</t>
        </is>
      </c>
      <c r="B11108">
        <f>HYPERLINK("https://www.dofusbook.net/fr/equipement/2566987-terreair/objets", "link")</f>
        <v/>
      </c>
      <c r="C11108" t="n">
        <v>1</v>
      </c>
      <c r="D11108" t="inlineStr">
        <is>
          <t>Héqache; Amulette du Strigide; Bague Gloursonne; Anneau Chevelu; Ceinture du Strigide; Casque des égarés; Cape du Cœur Vaillant; Baleinabottes</t>
        </is>
      </c>
    </row>
    <row r="11109">
      <c r="A11109" t="inlineStr">
        <is>
          <t>Air</t>
        </is>
      </c>
      <c r="B11109">
        <f>HYPERLINK("https://www.dofusbook.net/fr/equipement/2528330-air/objets", "link")</f>
        <v/>
      </c>
      <c r="C11109" t="n">
        <v>0</v>
      </c>
      <c r="D11109" t="inlineStr">
        <is>
          <t>Manthache; Collier du Valet Veinard; Alliance Gloursonne; Gant du Valet Veinard; Quatre-feuilles; Ceinture Billonnante; Couronne d'Allister; Cape Matelassée; Palmes Trithons; Dofus Pourpre; Dofus Abyssal; Nomade; Remueur; Cascadeur majeur</t>
        </is>
      </c>
    </row>
    <row r="11110">
      <c r="A11110" t="inlineStr">
        <is>
          <t>feu</t>
        </is>
      </c>
      <c r="B11110">
        <f>HYPERLINK("https://www.dofusbook.net/fr/equipement/2527107-feu/objets", "link")</f>
        <v/>
      </c>
      <c r="C11110" t="n">
        <v>0</v>
      </c>
      <c r="D11110" t="inlineStr">
        <is>
          <t>Arc Hétype; Amulette de Nileza; Anneau de Nidas; Anneau Tique; Bouclier cubiste; Ceinture de Vortex; Couronne de Nidas; Voile d'encre; Pataugastrique; Dofus Abyssal; Dofus Ivoire; Carapace Neutre majeur; Remueur; Temporiseur majeur; Érudit majeur; Muldo Ebène et Indigo</t>
        </is>
      </c>
    </row>
    <row r="11111">
      <c r="A11111" t="inlineStr">
        <is>
          <t>pvm</t>
        </is>
      </c>
      <c r="B11111">
        <f>HYPERLINK("https://www.dofusbook.net/fr/equipement/2483729-pvm/objets", "link")</f>
        <v/>
      </c>
      <c r="C11111" t="n">
        <v>0</v>
      </c>
      <c r="D11111" t="inlineStr">
        <is>
          <t>Arc du Chalœil; Amulette du Strigide; Bague Gloursonne; Ceinture du Strigide; Cape du Professeur Xa; Bottes du Strigide</t>
        </is>
      </c>
    </row>
    <row r="11112">
      <c r="A11112" t="inlineStr">
        <is>
          <t>feu pvm</t>
        </is>
      </c>
      <c r="B11112">
        <f>HYPERLINK("https://www.dofusbook.net/fr/equipement/2483554-feu-pvm/objets", "link")</f>
        <v/>
      </c>
      <c r="C11112" t="n">
        <v>1</v>
      </c>
      <c r="D11112" t="inlineStr">
        <is>
          <t>Arc corrompu; Pendentif affamé; Anneau de Nidas; Anneau Tique; Bouclier cubiste; Ceinture de Vortex; Couronne de Nidas; Voile d'encre; Pantoufles Émar; Dofus Turquoise; Dofus Abyssal; Remueur; Érudit majeur; Nomade; Temporiseur majeur; Tifoux Tigré</t>
        </is>
      </c>
    </row>
    <row r="11113">
      <c r="A11113" t="inlineStr">
        <is>
          <t>pvm age/terre</t>
        </is>
      </c>
      <c r="B11113">
        <f>HYPERLINK("https://www.dofusbook.net/fr/equipement/2482814-pvm-age-terre/objets", "link")</f>
        <v/>
      </c>
      <c r="C11113" t="n">
        <v>1</v>
      </c>
      <c r="D11113" t="inlineStr">
        <is>
          <t>Héqache; Amulette du Strigide; Bague Gloursonne; Alliance Gloursonne; Quatre-feuilles; Ceinture du Strigide; Casque des égarés; Cape du Professeur Xa; Bottes du Strigide; Dofus Pourpre; Dofus des Glaces; Dofus Turquoise; Dofus Nébuleux; Dolmanax; Dofus Ocre; Kramkram</t>
        </is>
      </c>
    </row>
    <row r="11114">
      <c r="A11114" t="inlineStr">
        <is>
          <t>air</t>
        </is>
      </c>
      <c r="B11114">
        <f>HYPERLINK("https://www.dofusbook.net/fr/equipement/2482534-air/objets", "link")</f>
        <v/>
      </c>
      <c r="C11114" t="n">
        <v>1</v>
      </c>
      <c r="D11114" t="inlineStr">
        <is>
          <t>Manthache; Amulette du Strigide; Alliance Gloursonne; Gant du Valet Veinard; Quatre-feuilles; Ceinture du Strigide; Couronne d'Allister; Cape Indescriptible; Baleinabottes; Dofus Pourpre; Dofus Turquoise; Dofus Abyssal; Cascadeur majeur; Nomade; Remueur; Siroko</t>
        </is>
      </c>
    </row>
    <row r="11115">
      <c r="A11115" t="inlineStr">
        <is>
          <t>retpm</t>
        </is>
      </c>
      <c r="B11115">
        <f>HYPERLINK("https://www.dofusbook.net/fr/equipement/2482492-retpm/objets", "link")</f>
        <v/>
      </c>
      <c r="C11115" t="n">
        <v>1</v>
      </c>
      <c r="D11115" t="inlineStr">
        <is>
          <t>Hache du Chalœil; Amulette du Strigide; Pikano; Alliance Gloursonne; Bouclier cubiste; Ceintacé; Couronne du Roi Joueur; Voile d'encre; Dofus Nébuleux; Dofus Pourpre; Dofus Turquoise; Remueur; Temporiseur majeur; Nomade; Tifoux Tigré</t>
        </is>
      </c>
    </row>
    <row r="11116">
      <c r="A11116" t="inlineStr">
        <is>
          <t>Eau</t>
        </is>
      </c>
      <c r="B11116">
        <f>HYPERLINK("https://www.dofusbook.net/fr/equipement/2482438-eau/objets", "link")</f>
        <v/>
      </c>
      <c r="C11116" t="n">
        <v>0</v>
      </c>
      <c r="D11116" t="inlineStr">
        <is>
          <t>Amulette de Shokkoth; Alliance Gloursonne; Bracelet des Fonds marins; Quatre-feuilles; Poulpagne; Capuche de l'Œil Attentif; Cape du Sinistrofu; Bottes du Sinistrofu; Dofus Abyssal; Nomade; Remueur; Chanceux majeur; Tifoux Tigré</t>
        </is>
      </c>
    </row>
    <row r="11117">
      <c r="A11117" t="inlineStr">
        <is>
          <t>Nevark</t>
        </is>
      </c>
      <c r="B11117">
        <f>HYPERLINK("https://www.dofusbook.net/fr/equipement/2454792-nevark/objets", "link")</f>
        <v/>
      </c>
      <c r="C11117" t="n">
        <v>1</v>
      </c>
      <c r="D11117" t="inlineStr">
        <is>
          <t>Lance corrompue; Amulette de Nevark; Alliance Gloursonne; Bague Gloursonne; Bouclier précieux; Ceinture de la Reine des Voleurs; Coiffe de la Reine des Voleurs; Cape de Nevark; Bottes de la Reine des Voleurs; Dofus Ocre; Dofus Ivoire; Dokoko; Dofus des Glaces; Dofus Pourpre; Dofus Abyssal; Muldo Ebène</t>
        </is>
      </c>
    </row>
    <row r="11118">
      <c r="A11118" t="inlineStr">
        <is>
          <t>dadou</t>
        </is>
      </c>
      <c r="B11118">
        <f>HYPERLINK("https://www.dofusbook.net/fr/equipement/2399481-dadou/objets", "link")</f>
        <v/>
      </c>
      <c r="C11118" t="n">
        <v>0</v>
      </c>
      <c r="D11118" t="inlineStr">
        <is>
          <t>Dague Adou; Amulette du Strigide; Alliance Gloursonne; Bague Trithon; Bouclier précieux; Ceinture du Strigide; Masque Trithon; Cape au Logis; Bottes Trithon; Dofus Émeraude; Dofus Ocre; Dofus Pourpre; Dofus des Glaces; Dokoko; Dofus Turquoise; Kramkram</t>
        </is>
      </c>
    </row>
    <row r="11119">
      <c r="A11119" t="inlineStr">
        <is>
          <t>esquivepm</t>
        </is>
      </c>
      <c r="B11119">
        <f>HYPERLINK("https://www.dofusbook.net/fr/equipement/2399475-esquivepm/objets", "link")</f>
        <v/>
      </c>
      <c r="C11119" t="n">
        <v>0</v>
      </c>
      <c r="D11119" t="inlineStr">
        <is>
          <t>Bague Trithon; Alliance Gloursonne; Masque d'Anerice</t>
        </is>
      </c>
    </row>
    <row r="11120">
      <c r="A11120" t="inlineStr">
        <is>
          <t>feu ane</t>
        </is>
      </c>
      <c r="B11120">
        <f>HYPERLINK("https://www.dofusbook.net/fr/equipement/2286666-feu-ane/objets", "link")</f>
        <v/>
      </c>
      <c r="C11120" t="n">
        <v>1</v>
      </c>
      <c r="D11120" t="inlineStr">
        <is>
          <t>Arc Hétype; Amulette d'Otomaï; Chevalière du Roi Joueur; Bague Gloursonne; Quatre-feuilles; Ceintacé; Masque d'Anerice; Cape d'Anerice; Bottes de Meno; Dofus Ivoire; Dofus Turquoise; Remueur; Érudit majeur; Temporiseur majeur; Nomade; Brûlih</t>
        </is>
      </c>
    </row>
    <row r="11121">
      <c r="A11121" t="inlineStr">
        <is>
          <t>het full feu</t>
        </is>
      </c>
      <c r="B11121">
        <f>HYPERLINK("https://www.dofusbook.net/fr/equipement/2286611-het-full-feu/objets", "link")</f>
        <v/>
      </c>
      <c r="C11121" t="n">
        <v>1</v>
      </c>
      <c r="D11121" t="inlineStr">
        <is>
          <t>Arc Hétype; Amulette d'Otomaï; Anneau Tique; Anneau de Nidas; Quatre-feuilles; Ceintacé; Couronne de Nidas; Voile d'encre; Bottes de Meno; Dofus Ivoire; Dofus Turquoise; Remueur; Érudit majeur; Temporiseur majeur; Muldo Ebène et Orchidée</t>
        </is>
      </c>
    </row>
    <row r="11122">
      <c r="A11122" t="inlineStr">
        <is>
          <t>hetype</t>
        </is>
      </c>
      <c r="B11122">
        <f>HYPERLINK("https://www.dofusbook.net/fr/equipement/2286549-hetype/objets", "link")</f>
        <v/>
      </c>
      <c r="C11122" t="n">
        <v>2</v>
      </c>
      <c r="D11122" t="inlineStr">
        <is>
          <t>Arc Hétype; Amulette de Gein; Chevalière du Roi Joueur; Bague Gloursonne; Bouclier précieux; Ceintacé; Chapeau de Gein; Voile d'encre; Pompes Funèbres; Dofus Ivoire; Dofus Turquoise; Dolmanax; Érudit majeur; Remueur; Nomade; Kramkram</t>
        </is>
      </c>
    </row>
    <row r="11123">
      <c r="A11123" t="inlineStr">
        <is>
          <t>arc chique</t>
        </is>
      </c>
      <c r="B11123">
        <f>HYPERLINK("https://www.dofusbook.net/fr/equipement/2234512-arc-chique/objets", "link")</f>
        <v/>
      </c>
      <c r="C11123" t="n">
        <v>1</v>
      </c>
      <c r="D11123" t="inlineStr">
        <is>
          <t>Arc Ahique; Amulette d'Ilyzaelle; Bague Gloursonne; Alliance Gloursonne; Bouclier du Stalak; Ceinture de la Reine des Voleurs; Casque d'Ilyzaelle; Cape Matelassée; Bottes de la Reine des Voleurs; Dofus Pourpre; Dofus Abyssal; Dokoko; Dofus Ocre; Dofus Émeraude; Dofus des Glaces; Muldo Ebène et Indigo</t>
        </is>
      </c>
    </row>
    <row r="11124">
      <c r="A11124" t="inlineStr">
        <is>
          <t>dopou/res/eau</t>
        </is>
      </c>
      <c r="B11124">
        <f>HYPERLINK("https://www.dofusbook.net/fr/equipement/2233505-dopou-res-eau/objets", "link")</f>
        <v/>
      </c>
      <c r="C11124" t="n">
        <v>4</v>
      </c>
      <c r="D11124" t="inlineStr">
        <is>
          <t>Sceptre du Roi Joueur; Amulette du Sinistrofu; Bague Trithon; Alliance Gloursonne; Bouclier précieux; Sangle Ouare; Masque d'Anerice; Cape d'Anerice; Pataugastrique; Dofus Émeraude; Bousculeur majeur; Culbuteur majeur; Miraculé majeur; Remueur; Péki</t>
        </is>
      </c>
    </row>
    <row r="11125">
      <c r="A11125" t="inlineStr">
        <is>
          <t>terre/dopou</t>
        </is>
      </c>
      <c r="B11125">
        <f>HYPERLINK("https://www.dofusbook.net/fr/equipement/2211274-terre-dopou/objets", "link")</f>
        <v/>
      </c>
      <c r="C11125" t="n">
        <v>3</v>
      </c>
      <c r="D11125" t="inlineStr">
        <is>
          <t>Héqache; Amulette Luminescente; Bague Gloursonne; Anneau Chevelu; Bouclier Taverne; Ceinture Luminescente; Masque de Koutoulou; Cape au Logis; Bottistik; Dofus Ivoire; Dofus Turquoise; Dofus des Glaces; Culbuteur majeur; Remueur; Bousculeur majeur; Tanuk</t>
        </is>
      </c>
    </row>
    <row r="11126">
      <c r="A11126" t="inlineStr">
        <is>
          <t>dopou vita</t>
        </is>
      </c>
      <c r="B11126">
        <f>HYPERLINK("https://www.dofusbook.net/fr/equipement/2211264-dopou-vita-/objets", "link")</f>
        <v/>
      </c>
      <c r="C11126" t="n">
        <v>2</v>
      </c>
      <c r="D11126" t="inlineStr">
        <is>
          <t>Héqache; Amulette du Cœur Vaillant; Anneau Chevelu; Bague Trithon; Bouclier précieux; Ceinture Luminescente; Masque d'Anerice; Cape d'Anerice; Baleinabottes; Dokoko; Dofus Émeraude; Dofus Ivoire; Bousculeur majeur; Culbuteur majeur; Remueur; Muldo Ebène</t>
        </is>
      </c>
    </row>
    <row r="11127">
      <c r="A11127" t="inlineStr">
        <is>
          <t>dopou/vita/res</t>
        </is>
      </c>
      <c r="B11127">
        <f>HYPERLINK("https://www.dofusbook.net/fr/equipement/2211242-dopou-vita-res/objets", "link")</f>
        <v/>
      </c>
      <c r="C11127" t="n">
        <v>2</v>
      </c>
      <c r="D11127" t="inlineStr">
        <is>
          <t>Héqache; Amulette Luminescente; Anneau Chevelu; Bouclier précieux; Ceinture Luminescente; Casque Dragoeuf; Cape au Logis; Baleinabottes; Dofus Ivoire; Dofus Émeraude; Bousculeur majeur; Remueur; Culbuteur majeur; Tanuk</t>
        </is>
      </c>
    </row>
    <row r="11128">
      <c r="A11128" t="inlineStr">
        <is>
          <t>epeebrulame</t>
        </is>
      </c>
      <c r="B11128">
        <f>HYPERLINK("https://www.dofusbook.net/fr/equipement/2202245-epeebrulame/objets", "link")</f>
        <v/>
      </c>
      <c r="C11128" t="n">
        <v>0</v>
      </c>
      <c r="D11128" t="inlineStr">
        <is>
          <t>Épée Brûlâme; Amulette du Strigide; Ceinture de l'Esprit Malsain; Kidibonnet; Bottes du Strigide</t>
        </is>
      </c>
    </row>
    <row r="11129">
      <c r="A11129" t="inlineStr">
        <is>
          <t>arckoutoulou</t>
        </is>
      </c>
      <c r="B11129">
        <f>HYPERLINK("https://www.dofusbook.net/fr/equipement/2202165-arckoutoulou/objets", "link")</f>
        <v/>
      </c>
      <c r="C11129" t="n">
        <v>2</v>
      </c>
      <c r="D11129" t="inlineStr">
        <is>
          <t>Arc de Koutoulou; Amulette du Strigide; Alliance Gloursonne; Bracelet du Piloztère; Quatre-feuilles; Ceintacé; Némès de Tal Kasha; Chevelure de Tal Kasha; Bottes de la Reine des Voleurs; Dokoko; Dofus Pourpre; Dofus des Glaces; Dofus Turquoise; Dofus Ivoire; Remueur; Muldo Ebène et Orchidée</t>
        </is>
      </c>
    </row>
    <row r="11130">
      <c r="A11130" t="inlineStr">
        <is>
          <t>anti feca</t>
        </is>
      </c>
      <c r="B11130">
        <f>HYPERLINK("https://www.dofusbook.net/fr/equipement/2200865-anti-feca/objets", "link")</f>
        <v/>
      </c>
      <c r="C11130" t="n">
        <v>2</v>
      </c>
      <c r="D11130" t="inlineStr">
        <is>
          <t>Marteau R'ture; Amulette du Strigide; Anneau Chevelu; Bague Gloursonne; Ceintacé; Casque Dragoeuf; Cape au Logis; Bottes du Strigide; Dofus des Glaces; Dofus Pourpre; Dokoko; Dofus Ivoire; Remueur; Évasif majeur; Kompost</t>
        </is>
      </c>
    </row>
    <row r="11131">
      <c r="A11131" t="inlineStr">
        <is>
          <t>dopou</t>
        </is>
      </c>
      <c r="B11131">
        <f>HYPERLINK("https://www.dofusbook.net/fr/equipement/2200797-dopou/objets", "link")</f>
        <v/>
      </c>
      <c r="C11131" t="n">
        <v>1</v>
      </c>
      <c r="D11131" t="inlineStr">
        <is>
          <t>Héqache; Amulette du Cœur Vaillant; Anneau Chevelu; Bague Trithon; Bouclier précieux; Ceinture Luminescente; Casque Dragoeuf; Cape du Cœur Vaillant; Baleinabottes; Dofus Ivoire; Culbuteur majeur; Nomade; Bousculeur majeur; Remueur; Tanuk</t>
        </is>
      </c>
    </row>
    <row r="11132">
      <c r="A11132" t="inlineStr">
        <is>
          <t>bourrin</t>
        </is>
      </c>
      <c r="B11132">
        <f>HYPERLINK("https://www.dofusbook.net/fr/equipement/2028691-bourrin/objets", "link")</f>
        <v/>
      </c>
      <c r="C11132" t="n">
        <v>1</v>
      </c>
      <c r="D11132" t="inlineStr">
        <is>
          <t>Lance corrompue; Collier de Tourthon; Anneau de Pol Ouatnos; Alliance Gloursonne; Quatre-feuilles; Ceintouse; Chapoulpe; Cape du Cœur Vaillant; Baleinabottes; Dofus Pourpre; Dofus des Glaces; Carapace Terre majeur; Remueur; Nomade; Enragé majeur</t>
        </is>
      </c>
    </row>
    <row r="11133">
      <c r="A11133" t="inlineStr">
        <is>
          <t>terre/air</t>
        </is>
      </c>
      <c r="B11133">
        <f>HYPERLINK("https://www.dofusbook.net/fr/equipement/1914072-terre-air/objets", "link")</f>
        <v/>
      </c>
      <c r="C11133" t="n">
        <v>0</v>
      </c>
      <c r="D11133" t="inlineStr">
        <is>
          <t>Arc du Chalœil; Amulette du Strigide; Anneau Chevelu; Chevalière du Roi Joueur; Quatre-feuilles; Ceinture du Strigide; Masque de Koutoulou; Voile d'encre; Bottes de la Cour Sombre; Dofus Turquoise; Dofus Pourpre; Dofus Nébuleux; Enragé majeur; Nomade; Remueur; Muldo Indigo et Pourpre</t>
        </is>
      </c>
    </row>
    <row r="11134">
      <c r="A11134" t="inlineStr">
        <is>
          <t>terre/feu/eau</t>
        </is>
      </c>
      <c r="B11134">
        <f>HYPERLINK("https://www.dofusbook.net/fr/equipement/1908090-terre-feu-eau/objets", "link")</f>
        <v/>
      </c>
      <c r="C11134" t="n">
        <v>0</v>
      </c>
      <c r="D11134" t="inlineStr">
        <is>
          <t>Hache du Chalœil; Amulette Ementaire Deluxe; Alliance Gloursonne; Alliance du Lévitrof; Bouclier cubiste; Ceinture de l'Indicible; Coiffe du Lévitrof; Voile d'encre; Pataugastrique; Dofus Pourpre; Dolmanax; Dofus Turquoise; Remueur; Temporiseur majeur; Miraculé majeur; Muldo Indigo et Pourpre</t>
        </is>
      </c>
    </row>
    <row r="11135">
      <c r="A11135" t="inlineStr">
        <is>
          <t>terre/feu</t>
        </is>
      </c>
      <c r="B11135">
        <f>HYPERLINK("https://www.dofusbook.net/fr/equipement/1907698-terre-feu/objets", "link")</f>
        <v/>
      </c>
      <c r="C11135" t="n">
        <v>0</v>
      </c>
      <c r="D11135" t="inlineStr">
        <is>
          <t>Bâthon; Amulette Ementaire Deluxe; Anneau Chevelu; Alliance du Lévitrof; Bouclier cubiste; Ceinture de l'Indicible; Coiffe du Lévitrof; Voile d'encre; Baleinabottes; Dofus Pourpre; Dolmanax; Temporiseur majeur; Miraculé majeur; Remueur; Muldo Indigo et Pourpre</t>
        </is>
      </c>
    </row>
    <row r="11136">
      <c r="A11136" t="inlineStr">
        <is>
          <t>terre/eau</t>
        </is>
      </c>
      <c r="B11136">
        <f>HYPERLINK("https://www.dofusbook.net/fr/equipement/1899391-terre-eau/objets", "link")</f>
        <v/>
      </c>
      <c r="C11136" t="n">
        <v>1</v>
      </c>
      <c r="D11136" t="inlineStr">
        <is>
          <t>Dagues de Srambad; Amulette Ementaire Deluxe; Pikano; Alliance Gloursonne; Bouclier cubiste; Ceinture Luminescente; Coiffe du Lévitrof; Cape Luminescente; Baleinabottes; Dofus Pourpre; Dolmanax; Temporiseur majeur; Miraculé majeur; Carapace Terre majeur; Remueur; Muldo Ebène et Pourpre</t>
        </is>
      </c>
    </row>
    <row r="11137">
      <c r="A11137" t="inlineStr">
        <is>
          <t>terre/air</t>
        </is>
      </c>
      <c r="B11137">
        <f>HYPERLINK("https://www.dofusbook.net/fr/equipement/1906465-terre-air/objets", "link")</f>
        <v/>
      </c>
      <c r="C11137" t="n">
        <v>0</v>
      </c>
      <c r="D11137" t="inlineStr">
        <is>
          <t>Héqache; Amulette du Strigide; Alliance Gloursonne; Ceintacé; Chapoulpe; Cape du Kamasterisk; Baleinabottes</t>
        </is>
      </c>
    </row>
    <row r="11138">
      <c r="A11138" t="inlineStr">
        <is>
          <t>air</t>
        </is>
      </c>
      <c r="B11138">
        <f>HYPERLINK("https://www.dofusbook.net/fr/equipement/1896199-air/objets", "link")</f>
        <v/>
      </c>
      <c r="C11138" t="n">
        <v>0</v>
      </c>
      <c r="D11138" t="inlineStr">
        <is>
          <t>Manthache; Collier du Valet Veinard; Alliance Gloursonne; Gant du Valet Veinard; Bouclier du Stalak; Menoture; Dorabysses; Cape Indescriptible; Palmes Trithons; Dofus Abyssal; Remueur; Carapace Air majeur; Cascadeur majeur; Muldo Ebène et Pourpre</t>
        </is>
      </c>
    </row>
    <row r="11139">
      <c r="A11139" t="inlineStr">
        <is>
          <t>uuu</t>
        </is>
      </c>
      <c r="B11139">
        <f>HYPERLINK("https://www.dofusbook.net/fr/equipement/1872842-uuu/objets", "link")</f>
        <v/>
      </c>
      <c r="C11139" t="n">
        <v>0</v>
      </c>
      <c r="D11139" t="inlineStr">
        <is>
          <t>Arc Nécrotique; Amulette Ementaire Deluxe; Alliance Gloursonne; Chevalière du Roi Joueur; Bouclier cubiste; Ceinture Séculaire; Casquette de Meno; Cape de Meno; Pataugastrique; Dolmanax; Dofus Turquoise; Nomade; Temporiseur majeur; Cavaleur majeur; Remueur; Croum</t>
        </is>
      </c>
    </row>
    <row r="11140">
      <c r="A11140" t="inlineStr">
        <is>
          <t>terre</t>
        </is>
      </c>
      <c r="B11140">
        <f>HYPERLINK("https://www.dofusbook.net/fr/equipement/1889526-terre/objets", "link")</f>
        <v/>
      </c>
      <c r="C11140" t="n">
        <v>2</v>
      </c>
      <c r="D11140" t="inlineStr">
        <is>
          <t>Dagues Érhy; Amulette du Strigide; Bague Gloursonne; Anneau Chevelu; Bouclier du Captain Amakna; Ceinture du Strigide; Masque de Koutoulou; Cape au Logis; Bottes de la Cour Sombre; Dofus des Glaces; Dofus Nébuleux; Dofus Pourpre; Dofus Turquoise; Remueur; Enragé majeur; Kompost</t>
        </is>
      </c>
    </row>
    <row r="11141">
      <c r="A11141" t="inlineStr">
        <is>
          <t>eau</t>
        </is>
      </c>
      <c r="B11141">
        <f>HYPERLINK("https://www.dofusbook.net/fr/equipement/1888830-eau/objets", "link")</f>
        <v/>
      </c>
      <c r="C11141" t="n">
        <v>2</v>
      </c>
      <c r="D11141" t="inlineStr">
        <is>
          <t>Dagoulinantes; Amulette de Shokkoth; Grésilanneau; Alliance Gloursonne; Sept ans de malheur; Sangle Ouare; Némès de Tal Kasha; Cape Matelassée; Sandales de Tal Kasha; Dofus Abyssal; Chanceux majeur; Remueur; Étourdisseur majeur; Déserteur majeur; Cavaleur majeur; Muldo Ebène et Indigo</t>
        </is>
      </c>
    </row>
    <row r="11142">
      <c r="A11142" t="inlineStr">
        <is>
          <t>tyy</t>
        </is>
      </c>
      <c r="B11142">
        <f>HYPERLINK("https://www.dofusbook.net/fr/equipement/1888581-tyy/objets", "link")</f>
        <v/>
      </c>
      <c r="C11142" t="n">
        <v>1</v>
      </c>
      <c r="D11142" t="inlineStr">
        <is>
          <t>Manthache; Collier du Valet Veinard; Alliance Gloursonne; Gant du Valet Veinard; Sept ans de malheur; Menoture; Dorabysses; Cape Matelassée; Sandales de Tal Kasha; Dofus Abyssal; Dolmanax; Cascadeur majeur; Carapace Air majeur; Cavaleur majeur; Étourdisseur majeur; Croum</t>
        </is>
      </c>
    </row>
    <row r="11143">
      <c r="A11143" t="inlineStr">
        <is>
          <t>yuh</t>
        </is>
      </c>
      <c r="B11143">
        <f>HYPERLINK("https://www.dofusbook.net/fr/equipement/1881177-yuh/objets", "link")</f>
        <v/>
      </c>
      <c r="C11143" t="n">
        <v>3</v>
      </c>
      <c r="D11143" t="inlineStr">
        <is>
          <t>La Baguette des Limbes; Talisman Choh; Gelano; Anneau Nobstant; Ceinture du Père Phorreur; Bonnet Ko; Cape Phossile; Bottes Phossiles; Dofus des Glaces; Dofus Pourpre; Dofus Nébuleux; Vigoureux majeur; Nomade; Remueur</t>
        </is>
      </c>
    </row>
    <row r="11144">
      <c r="A11144" t="inlineStr">
        <is>
          <t>srambad</t>
        </is>
      </c>
      <c r="B11144">
        <f>HYPERLINK("https://www.dofusbook.net/fr/equipement/1683776-srambad/objets", "link")</f>
        <v/>
      </c>
      <c r="C11144" t="n">
        <v>1</v>
      </c>
      <c r="D11144" t="inlineStr">
        <is>
          <t>Dagues de Srambad; Amulette Ementaire Deluxe; Bague Gloursonne; Goulano; Bouclier du Captain Amakna; Ceinture de la Reine des Voleurs; Coiffe de la Reine des Voleurs; Cape Luminescente; Sabots Minables; Dofus des Glaces; Dofus Pourpre; Nomade; Chanceux majeur; Remueur; Vigoureux majeur; Kramkram</t>
        </is>
      </c>
    </row>
    <row r="11145">
      <c r="A11145" t="inlineStr">
        <is>
          <t>anti/cra</t>
        </is>
      </c>
      <c r="B11145">
        <f>HYPERLINK("https://www.dofusbook.net/fr/equipement/1683694-anti-cra/objets", "link")</f>
        <v/>
      </c>
      <c r="C11145" t="n">
        <v>1</v>
      </c>
      <c r="D11145" t="inlineStr">
        <is>
          <t>Dagues Érhy; Torquistik; Goulano; Bague Gloursonne; Ceinture de la Reine des Voleurs; Coiffe de la Reine des Voleurs; Cape au Logis; Bottes de la Cour Sombre; Kramkram</t>
        </is>
      </c>
    </row>
    <row r="11146">
      <c r="A11146" t="inlineStr">
        <is>
          <t>anti/enu</t>
        </is>
      </c>
      <c r="B11146">
        <f>HYPERLINK("https://www.dofusbook.net/fr/equipement/1683596-anti-enu/objets", "link")</f>
        <v/>
      </c>
      <c r="C11146" t="n">
        <v>1</v>
      </c>
      <c r="D11146" t="inlineStr">
        <is>
          <t>Arc du Chalœil; Amulette du Strigide; Anneau Chevelu; Bague Gloursonne; Quatre-feuilles; Ceintacé; Chapeau de Gein; Cape de Sylargh; Bottes de la Cour Sombre; Dofus Turquoise; Dofus Pourpre; Dofus des Glaces; Cavaleur majeur; Remueur; Carapace Feu majeur; Muldo Turquoise et Indigo</t>
        </is>
      </c>
    </row>
    <row r="11147">
      <c r="A11147" t="inlineStr">
        <is>
          <t>terre/feu</t>
        </is>
      </c>
      <c r="B11147">
        <f>HYPERLINK("https://www.dofusbook.net/fr/equipement/1665425-terre-feu/objets", "link")</f>
        <v/>
      </c>
      <c r="C11147" t="n">
        <v>1</v>
      </c>
      <c r="D11147" t="inlineStr">
        <is>
          <t>Arc du Chalœil; Amulette du Strigide; Anneau Chevelu; Bague Gloursonne; Quatre-feuilles; Ceinture du Strigide; Masque de Koutoulou; Voile d'encre; Bottes de la Cour Sombre; Dolmanax; Dofus Pourpre; Dofus Turquoise; Dofus des Glaces; Remueur; Nomade; Kramkram</t>
        </is>
      </c>
    </row>
    <row r="11148">
      <c r="A11148" t="inlineStr">
        <is>
          <t>eau feu</t>
        </is>
      </c>
      <c r="B11148">
        <f>HYPERLINK("https://www.dofusbook.net/fr/equipement/1641983-eau-feu/objets", "link")</f>
        <v/>
      </c>
      <c r="C11148" t="n">
        <v>0</v>
      </c>
      <c r="D11148" t="inlineStr">
        <is>
          <t>Arc Nécrotique; Talisman Igans; Alliance Gloursonne; Bracelet des Fonds marins; Quatre-feuilles; Ceintrigue; Casqnoar; Voile d'encre; Pataugastrique; Dofus des Glaces; Dofus Pourpre; Dolmanax; Dofus Turquoise; Vigoureux majeur; Remueur; Muldo Indigo et Orchidée</t>
        </is>
      </c>
    </row>
    <row r="11149">
      <c r="A11149" t="inlineStr">
        <is>
          <t>air</t>
        </is>
      </c>
      <c r="B11149">
        <f>HYPERLINK("https://www.dofusbook.net/fr/equipement/1634167-air/objets", "link")</f>
        <v/>
      </c>
      <c r="C11149" t="n">
        <v>1</v>
      </c>
      <c r="D11149" t="inlineStr">
        <is>
          <t>Manthache; Collier du Valet Veinard; Gant du Valet Veinard; Alliance Gloursonne; Quatre-feuilles; Menoture; Couronne d'Allister; Cape Indescriptible; Palmes Trithons; Dofus des Glaces; Remueur; Dévastateur Air majeur; Cascadeur majeur; Saccageur Air majeur; Nomade; Siroko</t>
        </is>
      </c>
    </row>
    <row r="11150">
      <c r="A11150" t="inlineStr">
        <is>
          <t>feu</t>
        </is>
      </c>
      <c r="B11150">
        <f>HYPERLINK("https://www.dofusbook.net/fr/equipement/1634065-feu/objets", "link")</f>
        <v/>
      </c>
      <c r="C11150" t="n">
        <v>2</v>
      </c>
      <c r="D11150" t="inlineStr">
        <is>
          <t>Arc Hétype; Amulette d'Otomaï; Anneau Rifique; Anneau Tamie; Quatre-feuilles; Ceinture Séculaire; Coiffe Séculaire; Cape de Diondin; Pataugastrique; Dofus des Glaces; Dévastateur Feu majeur; Remueur; Saccageur Feu majeur; Érudit majeur; Nomade; Brûlih</t>
        </is>
      </c>
    </row>
    <row r="11151">
      <c r="A11151" t="inlineStr">
        <is>
          <t>test</t>
        </is>
      </c>
      <c r="B11151">
        <f>HYPERLINK("https://www.dofusbook.net/fr/equipement/1633270-test/objets", "link")</f>
        <v/>
      </c>
      <c r="C11151" t="n">
        <v>2</v>
      </c>
      <c r="D11151" t="inlineStr">
        <is>
          <t>Arc du Chalœil; Torquistik; Anneau Chevelu; Bague Gloursonne; Bouclier Taverne; Ceintacé; Masque Trithon; Cape au Logis; Bottistik; Dofus Pourpre; Dofus Turquoise; Remueur; Enragé majeur; Culbuteur majeur; Bousculeur majeur; Tanuk</t>
        </is>
      </c>
    </row>
    <row r="11152">
      <c r="A11152" t="inlineStr">
        <is>
          <t>tacle/res/vita</t>
        </is>
      </c>
      <c r="B11152">
        <f>HYPERLINK("https://www.dofusbook.net/fr/equipement/1633172-tacle-res-vita/objets", "link")</f>
        <v/>
      </c>
      <c r="C11152" t="n">
        <v>5</v>
      </c>
      <c r="D11152" t="inlineStr">
        <is>
          <t>Rouleau à Pâtisserie d'Aermyne; Amulette de Pol Ouatnos; Anneau de Pol Ouatnos; Anneau de XLII; Bouclier d'Anerice; Ceinture de XLII; Masque d'Anerice; Cape d'Anerice; Bottes de XLII; Dofus Ocre; Dofus Émeraude; Survivant majeur; Bloqueur majeur; Blokus</t>
        </is>
      </c>
    </row>
    <row r="11153">
      <c r="A11153" t="inlineStr">
        <is>
          <t>Stuff 1</t>
        </is>
      </c>
      <c r="B11153">
        <f>HYPERLINK("https://www.dofusbook.net/fr/equipement/263561-stuff-1/objets", "link")</f>
        <v/>
      </c>
      <c r="C11153" t="n">
        <v>1</v>
      </c>
      <c r="D11153" t="inlineStr">
        <is>
          <t>Marteau de Katrepat; Amulette du Strigide; Anneau Chevelu; Bague Gloursonne; Ceinture du Strigide; Casque du Chalœil; Cape du Chalœil; Bottes du Chalœil; Dofus Turquoise; Dofus des Glaces; Dolmanax; Kramkram</t>
        </is>
      </c>
    </row>
    <row r="11154">
      <c r="A11154" t="inlineStr">
        <is>
          <t>feuairkikou</t>
        </is>
      </c>
      <c r="B11154">
        <f>HYPERLINK("https://www.dofusbook.net/fr/equipement/894821-feuairkikou/objets", "link")</f>
        <v/>
      </c>
      <c r="C11154" t="n">
        <v>1</v>
      </c>
      <c r="D11154" t="inlineStr">
        <is>
          <t>Baguette Houffe-Craitien; Amulette du Strigide; Anneau de Padgref; Bracelet du Piloztère; Quatre-feuilles; Ceinture du Strigide; Coiffe de Padgref; Cape Lati; Getas de Padgref; Dofus Nébuleux; Dofus Pourpre; Dofus Ocre; Dofus Turquoise; Dofus Abyssal; Dofus des Glaces; Muldo Prune et Emeraude</t>
        </is>
      </c>
    </row>
    <row r="11155">
      <c r="A11155" t="inlineStr">
        <is>
          <t>Stuff 3</t>
        </is>
      </c>
      <c r="B11155">
        <f>HYPERLINK("https://www.dofusbook.net/fr/equipement/263503-stuff-3/objets", "link")</f>
        <v/>
      </c>
      <c r="C11155" t="n">
        <v>1</v>
      </c>
      <c r="D11155" t="inlineStr">
        <is>
          <t>Hache du Chalœil; Amulette du Strigide; Alliance Gloursonne; Bracelet du Piloztère; Ceintacé; Chapeau des Malveilleurs; Voile d'encre; Bottes du Strigide; Dofus Turquoise; Dofus Pourpre; Vigoureux majeur; Nomade; Carapace Terre majeur; Remueur; Kramkram</t>
        </is>
      </c>
    </row>
    <row r="11156">
      <c r="A11156" t="inlineStr">
        <is>
          <t>air</t>
        </is>
      </c>
      <c r="B11156">
        <f>HYPERLINK("https://www.dofusbook.net/fr/equipement/876299-air/objets", "link")</f>
        <v/>
      </c>
      <c r="C11156" t="n">
        <v>1</v>
      </c>
      <c r="D11156" t="inlineStr">
        <is>
          <t>Manthache; Collier du Valet Veinard; Alliance Gloursonne; Gant du Valet Veinard; Bouclier du Cycloïde; Menoture; Casque Dragoeuf; Cape du Kamasterisk; Palmes Trithons; Dofus Émeraude; Remueur; Cascadeur majeur; Évasif majeur; Nomade; Croum</t>
        </is>
      </c>
    </row>
    <row r="11157">
      <c r="A11157" t="inlineStr">
        <is>
          <t>air</t>
        </is>
      </c>
      <c r="B11157">
        <f>HYPERLINK("https://www.dofusbook.net/fr/equipement/876262-air/objets", "link")</f>
        <v/>
      </c>
      <c r="C11157" t="n">
        <v>0</v>
      </c>
      <c r="D11157" t="inlineStr">
        <is>
          <t>Manthache; Collier du Valet Veinard; Alliance Gloursonne; Gant du Valet Veinard; Casque Dragoeuf</t>
        </is>
      </c>
    </row>
    <row r="11158">
      <c r="A11158" t="inlineStr">
        <is>
          <t>Stuff 3</t>
        </is>
      </c>
      <c r="B11158">
        <f>HYPERLINK("https://www.dofusbook.net/fr/equipement/263500-stuff-3/objets", "link")</f>
        <v/>
      </c>
      <c r="C11158" t="n">
        <v>2</v>
      </c>
      <c r="D11158" t="inlineStr">
        <is>
          <t>Epée Kari; Amulette du Strigide; Alliance Gloursonne; Bracelet du Piloztère; Ceintacé; Coiffe Ranshi; Cape Reski; Bottes du Strigide; Dofus Pourpre; Dofus Turquoise; Enragé majeur; Nomade; Vigoureux majeur; Remueur; Dragodinde en armure</t>
        </is>
      </c>
    </row>
    <row r="11159">
      <c r="A11159" t="inlineStr">
        <is>
          <t>Stuff 2</t>
        </is>
      </c>
      <c r="B11159">
        <f>HYPERLINK("https://www.dofusbook.net/fr/equipement/263536-stuff-2/objets", "link")</f>
        <v/>
      </c>
      <c r="C11159" t="n">
        <v>2</v>
      </c>
      <c r="D11159" t="inlineStr">
        <is>
          <t>Hache du Chalœil; Amulette du Strigide; Bracelet du Piloztère; Alliance Gloursonne; Ceintacé; Chapeau de Gein; Voile d'encre; Bottes du Strigide; Dofus Turquoise; Dofus Pourpre; Dolmanax; Remueur; Nomade; Kramkram</t>
        </is>
      </c>
    </row>
    <row r="11160">
      <c r="A11160" t="inlineStr">
        <is>
          <t>Stuff 3</t>
        </is>
      </c>
      <c r="B11160">
        <f>HYPERLINK("https://www.dofusbook.net/fr/equipement/263495-stuff-3/objets", "link")</f>
        <v/>
      </c>
      <c r="C11160" t="n">
        <v>1</v>
      </c>
      <c r="D11160" t="inlineStr">
        <is>
          <t>Hache Ériphe; Amulette de Pol Ouatnos; Anneau Chevelu; Anneau Crustique; Ceinture de la Cour Sombre; Chapoulpe; Cape de la Cour Sombre; Baleinabottes; Dofus Émeraude; Carapace Air majeur; Remueur; Obstructeur majeur; Carapace Eau majeur; Étourdisseur majeur; Croum</t>
        </is>
      </c>
    </row>
    <row r="11161">
      <c r="A11161" t="inlineStr">
        <is>
          <t>Stuff 2</t>
        </is>
      </c>
      <c r="B11161">
        <f>HYPERLINK("https://www.dofusbook.net/fr/equipement/263526-stuff-2/objets", "link")</f>
        <v/>
      </c>
      <c r="C11161" t="n">
        <v>0</v>
      </c>
      <c r="D11161" t="inlineStr">
        <is>
          <t>Manthache; Collier du Valet Veinard; Gant du Valet Veinard; Alliance Gloursonne; Ceinture du Barbétoal; Dorabysses; Cape Matelassée; Palmes Trithons; Étourdisseur majeur; Nomade; Cascadeur majeur; Remueur; Paralyseur majeur; Fonceur majeur; Croum</t>
        </is>
      </c>
    </row>
    <row r="11162">
      <c r="A11162" t="inlineStr">
        <is>
          <t>Stuff 2</t>
        </is>
      </c>
      <c r="B11162">
        <f>HYPERLINK("https://www.dofusbook.net/fr/equipement/263548-stuff-2/objets", "link")</f>
        <v/>
      </c>
      <c r="C11162" t="n">
        <v>1</v>
      </c>
      <c r="D11162" t="inlineStr">
        <is>
          <t>Arc du Chalœil; Torquistik; Bague Gloursonne; Anneau Chevelu; Ceintacé; Masque de Koutoulou; Cape au Logis; Bottes de la Cour Sombre; Dofus Pourpre; Dofus des Glaces; Dofus Turquoise; Bousculeur majeur; Enragé majeur; Culbuteur majeur; Kramkram</t>
        </is>
      </c>
    </row>
    <row r="11163">
      <c r="A11163" t="inlineStr">
        <is>
          <t>Stuff 1</t>
        </is>
      </c>
      <c r="B11163">
        <f>HYPERLINK("https://www.dofusbook.net/fr/equipement/263513-stuff-1/objets", "link")</f>
        <v/>
      </c>
      <c r="C11163" t="n">
        <v>0</v>
      </c>
      <c r="D11163" t="inlineStr">
        <is>
          <t>Hache du Chalœil; Amulette du Strigide; Alliance Gloursonne; Bracelet du Piloztère; Ceintacé; Chapeau des Malveilleurs; Voile d'encre; Bottes du Strigide; Dofus Pourpre; Dofus Turquoise; Remueur; Carapace Terre majeur; Vigoureux majeur; Nomade; Dragodinde en armure</t>
        </is>
      </c>
    </row>
    <row r="11164">
      <c r="A11164" t="inlineStr">
        <is>
          <t>Stuff 3</t>
        </is>
      </c>
      <c r="B11164">
        <f>HYPERLINK("https://www.dofusbook.net/fr/equipement/263543-stuff-3/objets", "link")</f>
        <v/>
      </c>
      <c r="C11164" t="n">
        <v>0</v>
      </c>
      <c r="D11164" t="inlineStr">
        <is>
          <t>Epée Gloursonne; Amulette du Strigide; Bague Gloursonne; Alliance Gloursonne; Ceinture du Strigide; Chapeau de Gein; Voile d'encre; Bottes du Strigide; Dofus des Glaces; Dofus Turquoise; Dolmanax; Dofus Nébuleux; Dofus Ocre; Dofus Pourpre; Muldo Indigo et Pourpre</t>
        </is>
      </c>
    </row>
    <row r="11165">
      <c r="A11165" t="inlineStr">
        <is>
          <t>Stuff 3</t>
        </is>
      </c>
      <c r="B11165">
        <f>HYPERLINK("https://www.dofusbook.net/fr/equipement/263507-stuff-3/objets", "link")</f>
        <v/>
      </c>
      <c r="C11165" t="n">
        <v>1</v>
      </c>
      <c r="D11165" t="inlineStr">
        <is>
          <t>Arc Nécrotique; Amulette Cryochrone; Alliance Gloursonne; Bracelet du Piloztère; Ceinture Voldelor; Coiffe Cryochrone; Cape de la Dame du Hasard; Pataugastrique; Dofus Pourpre; Carapace Feu majeur; Vigoureux majeur; Nomade; Chanceux majeur; Remueur; Dragodinde en armure</t>
        </is>
      </c>
    </row>
    <row r="11166">
      <c r="A11166" t="inlineStr">
        <is>
          <t>Stuff 1</t>
        </is>
      </c>
      <c r="B11166">
        <f>HYPERLINK("https://www.dofusbook.net/fr/equipement/263538-stuff-1/objets", "link")</f>
        <v/>
      </c>
      <c r="C11166" t="n">
        <v>0</v>
      </c>
      <c r="D11166" t="inlineStr">
        <is>
          <t>Epée Maudite du Saigneur Guerrier; Amulette du Strigide; Bague Gloursonne; Anneau Chevelu; Ceintacé; Chapeau de Gein; Voile d'encre; Bottes de la Cour Sombre; Dofus des Glaces; Dolmanax; Dofus Pourpre; Dofus Turquoise; Nomade; Remueur; Dragodinde en armure</t>
        </is>
      </c>
    </row>
    <row r="11167">
      <c r="A11167" t="inlineStr">
        <is>
          <t>Stuff 2</t>
        </is>
      </c>
      <c r="B11167">
        <f>HYPERLINK("https://www.dofusbook.net/fr/equipement/263502-stuff-2/objets", "link")</f>
        <v/>
      </c>
      <c r="C11167" t="n">
        <v>0</v>
      </c>
      <c r="D11167" t="inlineStr">
        <is>
          <t>Dagues Érhy; Amulette du Strigide; Bracelet du Piloztère; Alliance Gloursonne; Ceintacé; Chapeau de Gein; Voile d'encre; Bottes du Strigide; Dofus Turquoise; Dofus Pourpre; Vigoureux majeur; Nomade; Carapace Terre majeur; Remueur; Kramkram</t>
        </is>
      </c>
    </row>
    <row r="11168">
      <c r="A11168" t="inlineStr">
        <is>
          <t>Stuff 2</t>
        </is>
      </c>
      <c r="B11168">
        <f>HYPERLINK("https://www.dofusbook.net/fr/equipement/263497-stuff-2/objets", "link")</f>
        <v/>
      </c>
      <c r="C11168" t="n">
        <v>0</v>
      </c>
      <c r="D11168" t="inlineStr">
        <is>
          <t>Dagues Érhy; Amulette d'Otomaï; Anneau de Padgref; Kralano; Ceinture Séculaire; Coiffe de Padgref; Cape Hiculteur; Pantoufles Émar; Nomade; Remueur; Astucieux majeur; Érudit majeur; Muldo Orchidée</t>
        </is>
      </c>
    </row>
    <row r="11169">
      <c r="A11169" t="inlineStr">
        <is>
          <t>Stuff 1</t>
        </is>
      </c>
      <c r="B11169">
        <f>HYPERLINK("https://www.dofusbook.net/fr/equipement/263528-stuff-1/objets", "link")</f>
        <v/>
      </c>
      <c r="C11169" t="n">
        <v>1</v>
      </c>
      <c r="D11169" t="inlineStr">
        <is>
          <t>Epée Gloursonne; Amulette du Kamasterisk; Bague Gloursonne; Alliance Gloursonne; Bouclier d'Asse cassé; Ceinture de la Reine des Voleurs; Coiffe de la Reine des Voleurs; Cape du Kamasterisk; Bottes du Kamasterisk; Dofus Vulbis; Dofus Turquoise; Dofus des Glaces; Dofus Pourpre; Dolmanax; Dofus Ocre; Croum</t>
        </is>
      </c>
    </row>
    <row r="11170">
      <c r="A11170" t="inlineStr">
        <is>
          <t>Stuff 1</t>
        </is>
      </c>
      <c r="B11170">
        <f>HYPERLINK("https://www.dofusbook.net/fr/equipement/263562-stuff-1/objets", "link")</f>
        <v/>
      </c>
      <c r="C11170" t="n">
        <v>0</v>
      </c>
      <c r="D11170" t="inlineStr">
        <is>
          <t>Hache Ériphe; Amulette du Strigide; Alliance Gloursonne; Anneau Crustique; Ceintouse; Chapoulpe; Voile d'encre; Baleinabottes; Dofus Pourpre; Dofus Émeraude; Carapace Eau majeur; Nomade; Remueur; Étourdisseur majeur; Croum</t>
        </is>
      </c>
    </row>
    <row r="11171">
      <c r="A11171" t="inlineStr">
        <is>
          <t>Stuff 3</t>
        </is>
      </c>
      <c r="B11171">
        <f>HYPERLINK("https://www.dofusbook.net/fr/equipement/263492-stuff-3/objets", "link")</f>
        <v/>
      </c>
      <c r="C11171" t="n">
        <v>0</v>
      </c>
      <c r="D11171" t="inlineStr">
        <is>
          <t>Dagues Açantes; Amulette du Glourséleste; Anneau Tamie; Pikano; Ceinture Instable; Casquipik; Cape de Léthaline; Pantoufles Émar; Dofus Cawotte; Remueur; Entraveur majeur; Temporiseur; Ralentisseur majeur; Temporiseur majeur; Dragoune Rose</t>
        </is>
      </c>
    </row>
    <row r="11172">
      <c r="A11172" t="inlineStr">
        <is>
          <t>Stuff 1</t>
        </is>
      </c>
      <c r="B11172">
        <f>HYPERLINK("https://www.dofusbook.net/fr/equipement/263522-stuff-1/objets", "link")</f>
        <v/>
      </c>
      <c r="C11172" t="n">
        <v>0</v>
      </c>
      <c r="D11172" t="inlineStr">
        <is>
          <t>Arc du Chalœil; Amulette du Kamasterisk; Bracelet du Piloztère; Anneau Chevelu; Ceintouse; Masque de Koutoulou; Voile d'encre; Bottes de la Cour Sombre; Dofus Pourpre; Dofus Turquoise; Carapace Terre majeur; Nomade; Enragé majeur; Remueur; El Scarador</t>
        </is>
      </c>
    </row>
    <row r="11173">
      <c r="A11173" t="inlineStr">
        <is>
          <t>Stuff 1</t>
        </is>
      </c>
      <c r="B11173">
        <f>HYPERLINK("https://www.dofusbook.net/fr/equipement/263557-stuff-1/objets", "link")</f>
        <v/>
      </c>
      <c r="C11173" t="n">
        <v>2</v>
      </c>
      <c r="D11173" t="inlineStr">
        <is>
          <t>Dagoulinantes; Amulette de Shokkoth; Alliance Gloursonne; Bracelet des Fonds marins; Sangle Ouare; Kidibonnet; Cape du Sinistrofu; Bottes du Sinistrofu; Dofus Émeraude; Dofus Turquoise; Dofus Abyssal; Dofus Pourpre; Chanceux majeur; Remueur; Kramkram</t>
        </is>
      </c>
    </row>
    <row r="11174">
      <c r="A11174" t="inlineStr">
        <is>
          <t>Stuff 3</t>
        </is>
      </c>
      <c r="B11174">
        <f>HYPERLINK("https://www.dofusbook.net/fr/equipement/263486-stuff-3/objets", "link")</f>
        <v/>
      </c>
      <c r="C11174" t="n">
        <v>1</v>
      </c>
      <c r="D11174" t="inlineStr">
        <is>
          <t>Dagoulinantes; Amulette de Shokkoth; Alliance Gloursonne; Bracelet des Fonds marins; Poulpagne; Kidibonnet; Cape du Sinistrofu; Bottes du Sinistrofu; Dofus Turquoise; Dofus Abyssal; Dofus Pourpre; Remueur; Nomade; Chanceux majeur</t>
        </is>
      </c>
    </row>
    <row r="11175">
      <c r="A11175" t="inlineStr">
        <is>
          <t>Stuff 3</t>
        </is>
      </c>
      <c r="B11175">
        <f>HYPERLINK("https://www.dofusbook.net/fr/equipement/263515-stuff-3/objets", "link")</f>
        <v/>
      </c>
      <c r="C11175" t="n">
        <v>1</v>
      </c>
      <c r="D11175" t="inlineStr">
        <is>
          <t>Dagues Cacterre; Amulette du Strigide; Alliance Gloursonne; Bracelet du Piloztère; Ceintacé; Chapeau des Malveilleurs; Voile d'encre; Bottes du Strigide; Dofus Pourpre; Dofus Turquoise; Remueur; Carapace Terre majeur; Vigoureux majeur; Nomade; Dragodinde en armure</t>
        </is>
      </c>
    </row>
    <row r="11176">
      <c r="A11176" t="inlineStr">
        <is>
          <t>Stuff 1</t>
        </is>
      </c>
      <c r="B11176">
        <f>HYPERLINK("https://www.dofusbook.net/fr/equipement/263552-stuff-1/objets", "link")</f>
        <v/>
      </c>
      <c r="C11176" t="n">
        <v>0</v>
      </c>
      <c r="D11176" t="inlineStr">
        <is>
          <t>Harpelle; Pendentif affamé; Anneau Rifique; Anneau Tique; Ceinture Séculaire; Coiffe Séculaire; Voile d'encre; Pataugastrique; Dofus Turquoise; Remueur; Astucieux majeur; Savant majeur; Nomade; Érudit majeur; Brûlih</t>
        </is>
      </c>
    </row>
    <row r="11177">
      <c r="A11177" t="inlineStr">
        <is>
          <t>Stuff 2</t>
        </is>
      </c>
      <c r="B11177">
        <f>HYPERLINK("https://www.dofusbook.net/fr/equipement/263545-stuff-2/objets", "link")</f>
        <v/>
      </c>
      <c r="C11177" t="n">
        <v>1</v>
      </c>
      <c r="D11177" t="inlineStr">
        <is>
          <t>Hache Téroïde; Amulette du Strigide; Bague Gloursonne; Chevalière du Roi Joueur; Ceintacé; Couronne de Nidas; Voile d'encre; Bottes du Roi Joueur; Dolmanax; Dofus Turquoise; Dofus Pourpre; Dofus Nébuleux; Remueur; Nomade; Dragodinde en armure</t>
        </is>
      </c>
    </row>
    <row r="11178">
      <c r="A11178" t="inlineStr">
        <is>
          <t>Stuff 1</t>
        </is>
      </c>
      <c r="B11178">
        <f>HYPERLINK("https://www.dofusbook.net/fr/equipement/263510-stuff-1/objets", "link")</f>
        <v/>
      </c>
      <c r="C11178" t="n">
        <v>2</v>
      </c>
      <c r="D11178" t="inlineStr">
        <is>
          <t>Arc du Chalœil; Amulette du Strigide; Anneau Chevelu; Bague Gloursonne; Ceintacé; Voile d'encre; Chaussures Hau; Dofus Turquoise; Dofus Pourpre; Remueur; Nomade; Kramkram</t>
        </is>
      </c>
    </row>
    <row r="11179">
      <c r="A11179" t="inlineStr">
        <is>
          <t>Stuff 3</t>
        </is>
      </c>
      <c r="B11179">
        <f>HYPERLINK("https://www.dofusbook.net/fr/equipement/263540-stuff-3/objets", "link")</f>
        <v/>
      </c>
      <c r="C11179" t="n">
        <v>1</v>
      </c>
      <c r="D11179" t="inlineStr">
        <is>
          <t>Arc du Chalœil; Amulette du Strigide; Anneau Chevelu; Bague Gloursonne; Ceinture du Strigide; Masque de Koutoulou; Cape au Logis; Sabots Minables; Dofus des Glaces; Dofus Turquoise; Dofus Pourpre; Enragé majeur; Culbuteur majeur; Bousculeur majeur; Dragodinde en armure</t>
        </is>
      </c>
    </row>
    <row r="11180">
      <c r="A11180" t="inlineStr">
        <is>
          <t>Stuff 1</t>
        </is>
      </c>
      <c r="B11180">
        <f>HYPERLINK("https://www.dofusbook.net/fr/equipement/263504-stuff-1/objets", "link")</f>
        <v/>
      </c>
      <c r="C11180" t="n">
        <v>0</v>
      </c>
      <c r="D11180" t="inlineStr">
        <is>
          <t>Manthache; Collier du Valet Veinard; Gant du Valet Veinard; Alliance Gloursonne; Menoture; Casque Dragoeuf; Cape du Kamasterisk; Palmes Trithons; Cavaleur majeur; Remueur; Nomade; Évasif majeur; Cascadeur majeur; Carapace Neutre majeur</t>
        </is>
      </c>
    </row>
    <row r="11181">
      <c r="A11181" t="inlineStr">
        <is>
          <t>Stuff 1</t>
        </is>
      </c>
      <c r="B11181">
        <f>HYPERLINK("https://www.dofusbook.net/fr/equipement/263541-stuff-1/objets", "link")</f>
        <v/>
      </c>
      <c r="C11181" t="n">
        <v>3</v>
      </c>
      <c r="D11181" t="inlineStr">
        <is>
          <t>Arc du Chalœil; Amulette Luminescente; Anneau Chevelu; Bague Trithon; Ceintacé; Masque Trithon; Cape au Logis; Sabots Minables; Dofus Pourpre; Dofus Turquoise; Culbuteur majeur; Enragé majeur; Remueur; Bousculeur majeur; Tanuk</t>
        </is>
      </c>
    </row>
    <row r="11182">
      <c r="A11182" t="inlineStr">
        <is>
          <t>Stuff 1</t>
        </is>
      </c>
      <c r="B11182">
        <f>HYPERLINK("https://www.dofusbook.net/fr/equipement/263505-stuff-1/objets", "link")</f>
        <v/>
      </c>
      <c r="C11182" t="n">
        <v>2</v>
      </c>
      <c r="D11182" t="inlineStr">
        <is>
          <t>Dagoulinantes; Amulette Ementaire Deluxe; Alliance du Lévitrof; Alliance Gloursonne; Ceinture de la Reine des Voleurs; Kidibonnet; Cape de Mantaze; Bottes de la Reine des Voleurs; Dofus Pourpre; Dolmanax; Remueur; Nomade; Chanceux majeur; Vigoureux majeur; Kramkram</t>
        </is>
      </c>
    </row>
    <row r="11183">
      <c r="A11183" t="inlineStr">
        <is>
          <t>Stuff 3</t>
        </is>
      </c>
      <c r="B11183">
        <f>HYPERLINK("https://www.dofusbook.net/fr/equipement/263500-stuff-3/objets", "link")</f>
        <v/>
      </c>
      <c r="C11183" t="n">
        <v>2</v>
      </c>
      <c r="D11183" t="inlineStr">
        <is>
          <t>Epée Kari; Amulette du Strigide; Alliance Gloursonne; Bracelet du Piloztère; Ceintacé; Coiffe Ranshi; Cape Reski; Bottes du Strigide; Dofus Turquoise; Dofus Pourpre; Nomade; Vigoureux majeur; Remueur; Enragé majeur; Dragodinde en armure</t>
        </is>
      </c>
    </row>
    <row r="11184">
      <c r="A11184" t="inlineStr">
        <is>
          <t>Stuff 2</t>
        </is>
      </c>
      <c r="B11184">
        <f>HYPERLINK("https://www.dofusbook.net/fr/equipement/263536-stuff-2/objets", "link")</f>
        <v/>
      </c>
      <c r="C11184" t="n">
        <v>2</v>
      </c>
      <c r="D11184" t="inlineStr">
        <is>
          <t>Hache du Chalœil; Amulette du Strigide; Bracelet du Piloztère; Alliance Gloursonne; Ceintacé; Chapeau de Gein; Voile d'encre; Bottes du Strigide; Dofus Turquoise; Dofus Pourpre; Dolmanax; Remueur; Nomade; Kramkram</t>
        </is>
      </c>
    </row>
    <row r="11185">
      <c r="A11185" t="inlineStr">
        <is>
          <t>Stuff 3</t>
        </is>
      </c>
      <c r="B11185">
        <f>HYPERLINK("https://www.dofusbook.net/fr/equipement/263495-stuff-3/objets", "link")</f>
        <v/>
      </c>
      <c r="C11185" t="n">
        <v>1</v>
      </c>
      <c r="D11185" t="inlineStr">
        <is>
          <t>Hache Ériphe; Amulette de Pol Ouatnos; Anneau Chevelu; Anneau Crustique; Ceinture de la Cour Sombre; Chapoulpe; Cape de la Cour Sombre; Baleinabottes; Dofus Émeraude; Étourdisseur majeur; Carapace Air majeur; Remueur; Obstructeur majeur; Carapace Eau majeur; Croum</t>
        </is>
      </c>
    </row>
    <row r="11186">
      <c r="A11186" t="inlineStr">
        <is>
          <t>Stuff 1</t>
        </is>
      </c>
      <c r="B11186">
        <f>HYPERLINK("https://www.dofusbook.net/fr/equipement/263560-stuff-1/objets", "link")</f>
        <v/>
      </c>
      <c r="C11186" t="n">
        <v>0</v>
      </c>
      <c r="D11186" t="inlineStr">
        <is>
          <t>Marteau des Anciens Steamers; Amulette de Pol Ouatnos; Gant du Valet Veinard; Alliance Gloursonne; Ceinture du Barbétoal; Kidibonnet; Chevelure de Tal Kasha; Sandales de Tal Kasha; Dofus Émeraude; Dofus Abyssal; Dofus Pourpre; Dofus des Glaces; Vigoureux majeur; Remueur; Croum</t>
        </is>
      </c>
    </row>
    <row r="11187">
      <c r="A11187" t="inlineStr">
        <is>
          <t>Stuff 3</t>
        </is>
      </c>
      <c r="B11187">
        <f>HYPERLINK("https://www.dofusbook.net/fr/equipement/263489-stuff-3/objets", "link")</f>
        <v/>
      </c>
      <c r="C11187" t="n">
        <v>0</v>
      </c>
      <c r="D11187" t="inlineStr">
        <is>
          <t>Dagues Érhy; Amulette du Strigide; Bague Gloursonne; Gelano; Ceinture du Strigide; Couronne du Roi Joueur; Cape du Professeur Xa; Bottes du Cycloïde; Dofus Turquoise; Dofus Pourpre; Remueur; Turbulent; Vigoureux majeur; Nomade; Dragodinde en armure</t>
        </is>
      </c>
    </row>
    <row r="11188">
      <c r="A11188" t="inlineStr">
        <is>
          <t>Stuff 2</t>
        </is>
      </c>
      <c r="B11188">
        <f>HYPERLINK("https://www.dofusbook.net/fr/equipement/263526-stuff-2/objets", "link")</f>
        <v/>
      </c>
      <c r="C11188" t="n">
        <v>0</v>
      </c>
      <c r="D11188" t="inlineStr">
        <is>
          <t>Manthache; Collier du Valet Veinard; Alliance Gloursonne; Gant du Valet Veinard; Ceinture du Barbétoal; Dorabysses; Cape Matelassée; Palmes Trithons; Étourdisseur majeur; Nomade; Cascadeur majeur; Remueur; Paralyseur majeur; Fonceur majeur; Croum</t>
        </is>
      </c>
    </row>
    <row r="11189">
      <c r="A11189" t="inlineStr">
        <is>
          <t>Stuff 3</t>
        </is>
      </c>
      <c r="B11189">
        <f>HYPERLINK("https://www.dofusbook.net/fr/equipement/263520-stuff-3/objets", "link")</f>
        <v/>
      </c>
      <c r="C11189" t="n">
        <v>3</v>
      </c>
      <c r="D11189" t="inlineStr">
        <is>
          <t>Harpelle; Amulette d'Otomaï; Chevalière du Roi Joueur; Anneau de Nidas; Ceinture Séculaire; Couronne de Nidas; Voile d'encre; Pantoufles Émar; Dofus Turquoise; Dofus Pourpre; Dofus Nébuleux; Érudit majeur; Nomade; Remueur; Croum</t>
        </is>
      </c>
    </row>
    <row r="11190">
      <c r="A11190" t="inlineStr">
        <is>
          <t>Stuff 2</t>
        </is>
      </c>
      <c r="B11190">
        <f>HYPERLINK("https://www.dofusbook.net/fr/equipement/263548-stuff-2/objets", "link")</f>
        <v/>
      </c>
      <c r="C11190" t="n">
        <v>1</v>
      </c>
      <c r="D11190" t="inlineStr">
        <is>
          <t>Arc du Chalœil; Torquistik; Anneau Chevelu; Bague Gloursonne; Ceintacé; Masque de Koutoulou; Cape au Logis; Bottes de la Cour Sombre; Dofus Pourpre; Dofus des Glaces; Dofus Turquoise; Enragé majeur; Culbuteur majeur; Bousculeur majeur; Kramkram</t>
        </is>
      </c>
    </row>
    <row r="11191">
      <c r="A11191" t="inlineStr">
        <is>
          <t>Stuff 1</t>
        </is>
      </c>
      <c r="B11191">
        <f>HYPERLINK("https://www.dofusbook.net/fr/equipement/263513-stuff-1/objets", "link")</f>
        <v/>
      </c>
      <c r="C11191" t="n">
        <v>0</v>
      </c>
      <c r="D11191" t="inlineStr">
        <is>
          <t>Hache du Chalœil; Amulette du Strigide; Alliance Gloursonne; Bracelet du Piloztère; Ceintacé; Chapeau des Malveilleurs; Voile d'encre; Bottes du Strigide; Dofus Turquoise; Dofus Pourpre; Carapace Terre majeur; Vigoureux majeur; Nomade; Remueur; Dragodinde en armure</t>
        </is>
      </c>
    </row>
    <row r="11192">
      <c r="A11192" t="inlineStr">
        <is>
          <t>Stuff 3</t>
        </is>
      </c>
      <c r="B11192">
        <f>HYPERLINK("https://www.dofusbook.net/fr/equipement/263543-stuff-3/objets", "link")</f>
        <v/>
      </c>
      <c r="C11192" t="n">
        <v>0</v>
      </c>
      <c r="D11192" t="inlineStr">
        <is>
          <t>Epée Gloursonne; Amulette du Strigide; Bague Gloursonne; Alliance Gloursonne; Ceinture du Strigide; Chapeau de Gein; Voile d'encre; Bottes du Strigide; Dofus Ocre; Dofus Pourpre; Dofus des Glaces; Dofus Turquoise; Dolmanax; Dofus Nébuleux; Muldo Indigo et Pourpre</t>
        </is>
      </c>
    </row>
    <row r="11193">
      <c r="A11193" t="inlineStr">
        <is>
          <t>Stuff 3</t>
        </is>
      </c>
      <c r="B11193">
        <f>HYPERLINK("https://www.dofusbook.net/fr/equipement/263507-stuff-3/objets", "link")</f>
        <v/>
      </c>
      <c r="C11193" t="n">
        <v>1</v>
      </c>
      <c r="D11193" t="inlineStr">
        <is>
          <t>Arc Nécrotique; Amulette Cryochrone; Bracelet du Piloztère; Alliance Gloursonne; Ceinture Voldelor; Coiffe Cryochrone; Cape de la Dame du Hasard; Pataugastrique; Dofus Pourpre; Nomade; Chanceux majeur; Remueur; Carapace Feu majeur; Vigoureux majeur; Dragodinde en armure</t>
        </is>
      </c>
    </row>
    <row r="11194">
      <c r="A11194" t="inlineStr">
        <is>
          <t>Stuff 2</t>
        </is>
      </c>
      <c r="B11194">
        <f>HYPERLINK("https://www.dofusbook.net/fr/equipement/263502-stuff-2/objets", "link")</f>
        <v/>
      </c>
      <c r="C11194" t="n">
        <v>0</v>
      </c>
      <c r="D11194" t="inlineStr">
        <is>
          <t>Dagues Érhy; Amulette du Strigide; Bracelet du Piloztère; Alliance Gloursonne; Ceintacé; Chapeau de Gein; Voile d'encre; Bottes du Strigide; Dofus Turquoise; Dofus Pourpre; Vigoureux majeur; Nomade; Carapace Terre majeur; Remueur; Kramkram</t>
        </is>
      </c>
    </row>
    <row r="11195">
      <c r="A11195" t="inlineStr">
        <is>
          <t>Stuff 1</t>
        </is>
      </c>
      <c r="B11195">
        <f>HYPERLINK("https://www.dofusbook.net/fr/equipement/263538-stuff-1/objets", "link")</f>
        <v/>
      </c>
      <c r="C11195" t="n">
        <v>0</v>
      </c>
      <c r="D11195" t="inlineStr">
        <is>
          <t>Epée Maudite du Saigneur Guerrier; Amulette du Strigide; Anneau Chevelu; Bague Gloursonne; Ceintacé; Chapeau de Gein; Voile d'encre; Bottes de la Cour Sombre; Dofus Turquoise; Dofus des Glaces; Dolmanax; Dofus Pourpre; Remueur; Nomade; Dragodinde en armure</t>
        </is>
      </c>
    </row>
    <row r="11196">
      <c r="A11196" t="inlineStr">
        <is>
          <t>Stuff 2</t>
        </is>
      </c>
      <c r="B11196">
        <f>HYPERLINK("https://www.dofusbook.net/fr/equipement/263497-stuff-2/objets", "link")</f>
        <v/>
      </c>
      <c r="C11196" t="n">
        <v>0</v>
      </c>
      <c r="D11196" t="inlineStr">
        <is>
          <t>Dagues Érhy; Amulette d'Otomaï; Anneau de Padgref; Kralano; Ceinture Séculaire; Coiffe de Padgref; Cape Hiculteur; Pantoufles Émar; Astucieux majeur; Érudit majeur; Nomade; Remueur; Muldo Orchidée</t>
        </is>
      </c>
    </row>
    <row r="11197">
      <c r="A11197" t="inlineStr">
        <is>
          <t>Stuff 1</t>
        </is>
      </c>
      <c r="B11197">
        <f>HYPERLINK("https://www.dofusbook.net/fr/equipement/263562-stuff-1/objets", "link")</f>
        <v/>
      </c>
      <c r="C11197" t="n">
        <v>0</v>
      </c>
      <c r="D11197" t="inlineStr">
        <is>
          <t>Hache Ériphe; Amulette du Strigide; Anneau Crustique; Alliance Gloursonne; Ceintouse; Chapoulpe; Voile d'encre; Baleinabottes; Dofus Pourpre; Dofus Émeraude; Remueur; Étourdisseur majeur; Carapace Eau majeur; Nomade; Croum</t>
        </is>
      </c>
    </row>
    <row r="11198">
      <c r="A11198" t="inlineStr">
        <is>
          <t>Stuff 3</t>
        </is>
      </c>
      <c r="B11198">
        <f>HYPERLINK("https://www.dofusbook.net/fr/equipement/263498-stuff-3/objets", "link")</f>
        <v/>
      </c>
      <c r="C11198" t="n">
        <v>0</v>
      </c>
      <c r="D11198" t="inlineStr">
        <is>
          <t>Harpelle; Pendentif affamé; Anneau Tique; Anneau Rifique; Ceinture Séculaire; Coiffe Séculaire; Voile d'encre; Pataugastrique; Dofus Turquoise; Remueur; Astucieux majeur; Savant majeur; Nomade; Érudit majeur; Brûlih</t>
        </is>
      </c>
    </row>
    <row r="11199">
      <c r="A11199" t="inlineStr">
        <is>
          <t>Stuff 1</t>
        </is>
      </c>
      <c r="B11199">
        <f>HYPERLINK("https://www.dofusbook.net/fr/equipement/263493-stuff-1/objets", "link")</f>
        <v/>
      </c>
      <c r="C11199" t="n">
        <v>0</v>
      </c>
      <c r="D11199" t="inlineStr">
        <is>
          <t>Dagues Érhy; Amulette du Strigide; Bague Gloursonne; Gelano; Ceinture du Strigide; Casque de Missiz Frizz; Cape au Logis; Sabots Minables; Dofus Turquoise; Dofus Pourpre; Érudit majeur; Vigoureux majeur; Enragé majeur; Remueur; Kompost</t>
        </is>
      </c>
    </row>
    <row r="11200">
      <c r="A11200" t="inlineStr">
        <is>
          <t>Stuff 1</t>
        </is>
      </c>
      <c r="B11200">
        <f>HYPERLINK("https://www.dofusbook.net/fr/equipement/263487-stuff-1/objets", "link")</f>
        <v/>
      </c>
      <c r="C11200" t="n">
        <v>1</v>
      </c>
      <c r="D11200" t="inlineStr">
        <is>
          <t>Dagues Érhy; Amulette du Strigide; Gelano; Bague Gloursonne; Ceinture du Strigide; Chapeau de Gein; Voile d'encre; Bottes de la Cour Sombre; Dofus Ocre; Dofus Turquoise; Dolmanax; Dofus Pourpre; Remueur; Nomade; Dragodinde en armure</t>
        </is>
      </c>
    </row>
    <row r="11201">
      <c r="A11201" t="inlineStr">
        <is>
          <t>Stuff 2</t>
        </is>
      </c>
      <c r="B11201">
        <f>HYPERLINK("https://www.dofusbook.net/fr/equipement/263523-stuff-2/objets", "link")</f>
        <v/>
      </c>
      <c r="C11201" t="n">
        <v>0</v>
      </c>
      <c r="D11201" t="inlineStr">
        <is>
          <t>Dagues Érhy; Amulette du Strigide; Bracelet du Piloztère; Alliance Gloursonne; Ceintacé; Chapeau de Gein; Voile d'encre; Bottes du Strigide; Dofus des Glaces; Dofus Pourpre; Dofus Turquoise; Nomade; Vigoureux majeur; Remueur; Dragodinde en armure</t>
        </is>
      </c>
    </row>
    <row r="11202">
      <c r="A11202" t="inlineStr">
        <is>
          <t>Stuff 2</t>
        </is>
      </c>
      <c r="B11202">
        <f>HYPERLINK("https://www.dofusbook.net/fr/equipement/263558-stuff-2/objets", "link")</f>
        <v/>
      </c>
      <c r="C11202" t="n">
        <v>2</v>
      </c>
      <c r="D11202" t="inlineStr">
        <is>
          <t>Manthache; Collier du Valet Veinard; Alliance Gloursonne; Gant du Valet Veinard; Menoture; Casque Dragoeuf; Cape du Kamasterisk; Palmes Trithons; Dofus Pourpre; Dofus Abyssal; Dofus Émeraude; Remueur; Nomade; Cascadeur majeur; Croum</t>
        </is>
      </c>
    </row>
    <row r="11203">
      <c r="A11203" t="inlineStr">
        <is>
          <t>Stuff 1</t>
        </is>
      </c>
      <c r="B11203">
        <f>HYPERLINK("https://www.dofusbook.net/fr/equipement/263518-stuff-1/objets", "link")</f>
        <v/>
      </c>
      <c r="C11203" t="n">
        <v>2</v>
      </c>
      <c r="D11203" t="inlineStr">
        <is>
          <t>Epée Toche; Amulette du Strigide; Anneau Chevelu; Bague Gloursonne; Ceintacé; Masque de Koutoulou; Voile d'encre; Bottes de la Cour Sombre; Dofus Turquoise; Dofus Pourpre; Dolmanax; Vigoureux majeur; Enragé majeur; Nomade; Dragodinde en armure</t>
        </is>
      </c>
    </row>
    <row r="11204">
      <c r="A11204" t="inlineStr">
        <is>
          <t>Stuff 2</t>
        </is>
      </c>
      <c r="B11204">
        <f>HYPERLINK("https://www.dofusbook.net/fr/equipement/263553-stuff-2/objets", "link")</f>
        <v/>
      </c>
      <c r="C11204" t="n">
        <v>0</v>
      </c>
      <c r="D11204" t="inlineStr">
        <is>
          <t>Arc Hétype; Pendentif affamé; Anneau Rifique; Anneau Tique; Ceinture de Vortex; Cagoule de Vortex; Voile d'encre; Pataugastrique; Dofus Turquoise; Nomade; Érudit majeur; Remueur; Savant majeur; Étourdisseur majeur; Croum</t>
        </is>
      </c>
    </row>
    <row r="11205">
      <c r="A11205" t="inlineStr">
        <is>
          <t>Stuff 2</t>
        </is>
      </c>
      <c r="B11205">
        <f>HYPERLINK("https://www.dofusbook.net/fr/equipement/263511-stuff-2/objets", "link")</f>
        <v/>
      </c>
      <c r="C11205" t="n">
        <v>4</v>
      </c>
      <c r="D11205" t="inlineStr">
        <is>
          <t>Dagues Érhy; Amulette du Strigide; Bague Gloursonne; Alliance de Missiz Frizz; Ceinture du Strigide; Casque de Missiz Frizz; Cape du Professeur Xa; Bottes du Strigide; Dofus Ocre; Dolmanax; Dofus Turquoise; Dofus des Glaces; Dofus Pourpre; Forcené majeur; Dragodinde en armure</t>
        </is>
      </c>
    </row>
    <row r="11206">
      <c r="A11206" t="inlineStr">
        <is>
          <t>Stuff 3</t>
        </is>
      </c>
      <c r="B11206">
        <f>HYPERLINK("https://www.dofusbook.net/fr/equipement/263546-stuff-3/objets", "link")</f>
        <v/>
      </c>
      <c r="C11206" t="n">
        <v>2</v>
      </c>
      <c r="D11206" t="inlineStr">
        <is>
          <t>Héqache; Amulette du Strigide; Bague Gloursonne; Anneau Chevelu; Ceinture du Strigide; Casque de Missiz Frizz; Cape au Logis; Baleinabottes; Dofus Turquoise; Dofus Pourpre; Dolmanax; Remueur; Enragé majeur; Vigoureux majeur; Dragodinde en armure</t>
        </is>
      </c>
    </row>
    <row r="11207">
      <c r="A11207" t="inlineStr">
        <is>
          <t>Stuff 1</t>
        </is>
      </c>
      <c r="B11207">
        <f>HYPERLINK("https://www.dofusbook.net/fr/equipement/263505-stuff-1/objets", "link")</f>
        <v/>
      </c>
      <c r="C11207" t="n">
        <v>2</v>
      </c>
      <c r="D11207" t="inlineStr">
        <is>
          <t>Dagoulinantes; Amulette Ementaire Deluxe; Alliance Gloursonne; Alliance du Lévitrof; Ceinture de la Reine des Voleurs; Kidibonnet; Cape de Mantaze; Bottes de la Reine des Voleurs; Dolmanax; Dofus Pourpre; Nomade; Chanceux majeur; Vigoureux majeur; Remueur; Kramkram</t>
        </is>
      </c>
    </row>
    <row r="11208">
      <c r="A11208" t="inlineStr">
        <is>
          <t>Stuff 1</t>
        </is>
      </c>
      <c r="B11208">
        <f>HYPERLINK("https://www.dofusbook.net/fr/equipement/263541-stuff-1/objets", "link")</f>
        <v/>
      </c>
      <c r="C11208" t="n">
        <v>3</v>
      </c>
      <c r="D11208" t="inlineStr">
        <is>
          <t>Arc du Chalœil; Amulette Luminescente; Anneau Chevelu; Bague Trithon; Ceintacé; Masque Trithon; Cape au Logis; Sabots Minables; Dofus Turquoise; Dofus Pourpre; Enragé majeur; Remueur; Bousculeur majeur; Culbuteur majeur; Tanuk</t>
        </is>
      </c>
    </row>
    <row r="11209">
      <c r="A11209" t="inlineStr">
        <is>
          <t>Stuff 3</t>
        </is>
      </c>
      <c r="B11209">
        <f>HYPERLINK("https://www.dofusbook.net/fr/equipement/263500-stuff-3/objets", "link")</f>
        <v/>
      </c>
      <c r="C11209" t="n">
        <v>2</v>
      </c>
      <c r="D11209" t="inlineStr">
        <is>
          <t>Epée Kari; Amulette du Strigide; Alliance Gloursonne; Bracelet du Piloztère; Ceintacé; Coiffe Ranshi; Cape Reski; Bottes du Strigide; Dofus Pourpre; Dofus Turquoise; Vigoureux majeur; Remueur; Enragé majeur; Nomade; Dragodinde en armure</t>
        </is>
      </c>
    </row>
    <row r="11210">
      <c r="A11210" t="inlineStr">
        <is>
          <t>Stuff 2</t>
        </is>
      </c>
      <c r="B11210">
        <f>HYPERLINK("https://www.dofusbook.net/fr/equipement/263536-stuff-2/objets", "link")</f>
        <v/>
      </c>
      <c r="C11210" t="n">
        <v>2</v>
      </c>
      <c r="D11210" t="inlineStr">
        <is>
          <t>Hache du Chalœil; Amulette du Strigide; Bracelet du Piloztère; Alliance Gloursonne; Ceintacé; Chapeau de Gein; Voile d'encre; Bottes du Strigide; Dofus Pourpre; Dolmanax; Dofus Turquoise; Remueur; Nomade; Kramkram</t>
        </is>
      </c>
    </row>
    <row r="11211">
      <c r="A11211" t="inlineStr">
        <is>
          <t>Stuff 3</t>
        </is>
      </c>
      <c r="B11211">
        <f>HYPERLINK("https://www.dofusbook.net/fr/equipement/263495-stuff-3/objets", "link")</f>
        <v/>
      </c>
      <c r="C11211" t="n">
        <v>1</v>
      </c>
      <c r="D11211" t="inlineStr">
        <is>
          <t>Hache Ériphe; Amulette de Pol Ouatnos; Anneau Crustique; Anneau Chevelu; Ceinture de la Cour Sombre; Chapoulpe; Cape de la Cour Sombre; Baleinabottes; Dofus Émeraude; Carapace Eau majeur; Étourdisseur majeur; Carapace Air majeur; Remueur; Obstructeur majeur; Croum</t>
        </is>
      </c>
    </row>
    <row r="11212">
      <c r="A11212" t="inlineStr">
        <is>
          <t>Stuff 1</t>
        </is>
      </c>
      <c r="B11212">
        <f>HYPERLINK("https://www.dofusbook.net/fr/equipement/263560-stuff-1/objets", "link")</f>
        <v/>
      </c>
      <c r="C11212" t="n">
        <v>0</v>
      </c>
      <c r="D11212" t="inlineStr">
        <is>
          <t>Marteau des Anciens Steamers; Amulette de Pol Ouatnos; Gant du Valet Veinard; Alliance Gloursonne; Ceinture du Barbétoal; Kidibonnet; Chevelure de Tal Kasha; Sandales de Tal Kasha; Dofus Abyssal; Dofus Pourpre; Dofus des Glaces; Dofus Émeraude; Remueur; Vigoureux majeur; Croum</t>
        </is>
      </c>
    </row>
    <row r="11213">
      <c r="A11213" t="inlineStr">
        <is>
          <t>Stuff 3</t>
        </is>
      </c>
      <c r="B11213">
        <f>HYPERLINK("https://www.dofusbook.net/fr/equipement/263489-stuff-3/objets", "link")</f>
        <v/>
      </c>
      <c r="C11213" t="n">
        <v>0</v>
      </c>
      <c r="D11213" t="inlineStr">
        <is>
          <t>Dagues Érhy; Amulette du Strigide; Gelano; Bague Gloursonne; Ceinture du Strigide; Couronne du Roi Joueur; Cape du Professeur Xa; Bottes du Cycloïde; Dofus Turquoise; Dofus Pourpre; Remueur; Turbulent; Vigoureux majeur; Nomade; Dragodinde en armure</t>
        </is>
      </c>
    </row>
    <row r="11214">
      <c r="A11214" t="inlineStr">
        <is>
          <t>Stuff 2</t>
        </is>
      </c>
      <c r="B11214">
        <f>HYPERLINK("https://www.dofusbook.net/fr/equipement/263526-stuff-2/objets", "link")</f>
        <v/>
      </c>
      <c r="C11214" t="n">
        <v>0</v>
      </c>
      <c r="D11214" t="inlineStr">
        <is>
          <t>Manthache; Collier du Valet Veinard; Gant du Valet Veinard; Alliance Gloursonne; Ceinture du Barbétoal; Dorabysses; Cape Matelassée; Palmes Trithons; Cascadeur majeur; Remueur; Paralyseur majeur; Fonceur majeur; Étourdisseur majeur; Nomade; Croum</t>
        </is>
      </c>
    </row>
    <row r="11215">
      <c r="A11215" t="inlineStr">
        <is>
          <t>Stuff 1</t>
        </is>
      </c>
      <c r="B11215">
        <f>HYPERLINK("https://www.dofusbook.net/fr/equipement/263505-stuff-1/objets", "link")</f>
        <v/>
      </c>
      <c r="C11215" t="n">
        <v>2</v>
      </c>
      <c r="D11215" t="inlineStr">
        <is>
          <t>Dagoulinantes; Amulette Ementaire Deluxe; Alliance Gloursonne; Alliance du Lévitrof; Ceinture de la Reine des Voleurs; Kidibonnet; Cape de Mantaze; Bottes de la Reine des Voleurs; Dolmanax; Dofus Pourpre; Nomade; Chanceux majeur; Vigoureux majeur; Remueur; Kramkram</t>
        </is>
      </c>
    </row>
    <row r="11216">
      <c r="A11216" t="inlineStr">
        <is>
          <t>Stuff 1</t>
        </is>
      </c>
      <c r="B11216">
        <f>HYPERLINK("https://www.dofusbook.net/fr/equipement/263541-stuff-1/objets", "link")</f>
        <v/>
      </c>
      <c r="C11216" t="n">
        <v>3</v>
      </c>
      <c r="D11216" t="inlineStr">
        <is>
          <t>Arc du Chalœil; Amulette Luminescente; Anneau Chevelu; Bague Trithon; Ceintacé; Masque Trithon; Cape au Logis; Sabots Minables; Dofus Turquoise; Dofus Pourpre; Enragé majeur; Remueur; Bousculeur majeur; Culbuteur majeur; Tanuk</t>
        </is>
      </c>
    </row>
    <row r="11217">
      <c r="A11217" t="inlineStr">
        <is>
          <t>Féca F 200</t>
        </is>
      </c>
      <c r="B11217">
        <f>HYPERLINK("https://www.dofusbook.net/fr/equipement/5322903-feca-f-200/objets", "link")</f>
        <v/>
      </c>
      <c r="C11217" t="n">
        <v>0</v>
      </c>
      <c r="D11217" t="inlineStr">
        <is>
          <t>Couteaux Sacrificiels; Amulette Volkorne; Anneau Volkorne; Bouclier alvéolé; Ceinture de l'Esprit Salvateur; Walk</t>
        </is>
      </c>
    </row>
    <row r="11218">
      <c r="A11218" t="inlineStr">
        <is>
          <t>Ouginak M 200</t>
        </is>
      </c>
      <c r="B11218">
        <f>HYPERLINK("https://www.dofusbook.net/fr/equipement/5304665-ouginak-m-200/objets", "link")</f>
        <v/>
      </c>
      <c r="C11218" t="n">
        <v>0</v>
      </c>
      <c r="D11218" t="inlineStr">
        <is>
          <t>Épée du Granduk; Amulette du Strigide; Kralano; Anneau de Padgref; Bouclier du Captain Amakna; Ceinture du Strigide; Coiffe de Padgref; Cape de Jahash Jurgen; Getas de Padgref; Dofus Abyssal; Dofus Ocre; Dofus Pourpre; Dofus Turquoise; Equilibriste majeur; Pioute jaune</t>
        </is>
      </c>
    </row>
    <row r="11219">
      <c r="A11219" t="inlineStr">
        <is>
          <t>SOLAR TANK</t>
        </is>
      </c>
      <c r="B11219">
        <f>HYPERLINK("https://www.dofusbook.net/fr/equipement/5034261-solar-tank/objets", "link")</f>
        <v/>
      </c>
      <c r="C11219" t="n">
        <v>0</v>
      </c>
      <c r="D11219" t="inlineStr">
        <is>
          <t>Arc du Chalœil; Amulette du Strigide; Alliance Gloursonne; Bague Gloursonne; Sept ans de malheur; Ceinture du Strigide; Masque d'Anerice; Cape d'Anerice; Bottes du Strigide; Dofus Ivoire; Dokoko; Dofus Ocre; Dofus Argenté; Voyageur; Dragodinde Amande</t>
        </is>
      </c>
    </row>
    <row r="11220">
      <c r="A11220" t="inlineStr">
        <is>
          <t>Féca M 200</t>
        </is>
      </c>
      <c r="B11220">
        <f>HYPERLINK("https://www.dofusbook.net/fr/equipement/4934245-feca-m-200/objets", "link")</f>
        <v/>
      </c>
      <c r="C11220" t="n">
        <v>1</v>
      </c>
      <c r="D11220" t="inlineStr">
        <is>
          <t>Racine de Floribonde; Amulette du Glourséleste; Kralano; Annolamour; Ceinture d'Ogivol; Coiffe d'Ogivol; Cape d'Ogivol; Bottes Innommables; Dofus Cawotte; Chienchien</t>
        </is>
      </c>
    </row>
    <row r="11221">
      <c r="A11221" t="inlineStr">
        <is>
          <t>menofeu</t>
        </is>
      </c>
      <c r="B11221">
        <f>HYPERLINK("https://www.dofusbook.net/fr/equipement/4925493-menofeu/objets", "link")</f>
        <v/>
      </c>
      <c r="C11221" t="n">
        <v>0</v>
      </c>
      <c r="D11221" t="inlineStr">
        <is>
          <t>Arc corrompu; Amulette Volkorne; Alliance Brûlâme; Bague Gloursonne; Droiture de Fallanster; Ceinture de Gein; Casque Cyclopéen; Cape Routh; Pataugastrique; Dofus Ocre; Dofus Vulbis; Dofus Ivoire; Dofus Émeraude; Dofus Pourpre; Érudit majeur; Dragodinde Prune et Orchidée</t>
        </is>
      </c>
    </row>
    <row r="11222">
      <c r="A11222" t="inlineStr">
        <is>
          <t>meno</t>
        </is>
      </c>
      <c r="B11222">
        <f>HYPERLINK("https://www.dofusbook.net/fr/equipement/4925404-meno/objets", "link")</f>
        <v/>
      </c>
      <c r="C11222" t="n">
        <v>0</v>
      </c>
      <c r="D11222" t="inlineStr">
        <is>
          <t>Arc de Laikteur; Amulette de Shokkoth; Bracelet des Fonds marins; Anneau Volkorne; Droiture de Fallanster; Ceinture de Vortex; Masque d'Anerice; Cape d'Anerice; Bottes de la Dame du Hasard; Dofus Abyssal; Dofus Ivoire; Dofus Vulbis; Dofus Ocre; Dofus Turquoise; Chanceux majeur; Kokulte</t>
        </is>
      </c>
    </row>
    <row r="11223">
      <c r="A11223" t="inlineStr">
        <is>
          <t>Songes à buy</t>
        </is>
      </c>
      <c r="B11223">
        <f>HYPERLINK("https://www.dofusbook.net/fr/equipement/4900271-songes-a-buy/objets", "link")</f>
        <v/>
      </c>
      <c r="C11223" t="n">
        <v>1</v>
      </c>
      <c r="D11223" t="inlineStr">
        <is>
          <t>Le Thanos; Amulette Volkorne; Anneauræus; Anneauræus; Carapar; Ceinture Volkorne; Heaume Oplate; Bravoure de Rykke Errel; Bottes Innommables; Dofus Émeraude; Dofus Ivoire; Dofus des Veilleurs; Dofus Ocre; Érudit majeur; Nomade; Ross</t>
        </is>
      </c>
    </row>
    <row r="11224">
      <c r="A11224" t="inlineStr">
        <is>
          <t>test degats songes</t>
        </is>
      </c>
      <c r="B11224">
        <f>HYPERLINK("https://www.dofusbook.net/fr/equipement/4862239-test-degats-songes/objets", "link")</f>
        <v/>
      </c>
      <c r="C11224" t="n">
        <v>0</v>
      </c>
      <c r="D11224" t="inlineStr">
        <is>
          <t>Pelle de la Cour Sombre; Amulette du Strigide; Kralano; Anneau de Padgref; Bouclier du Captain Amakna; Ceinture du Strigide; Coiffe de Padgref; Cape de Jahash Jurgen; Getas de Padgref; Dofus Ébène; Dofus Turquoise; Dofus Abyssal; Dofus Ocre; Dofus Pourpre; Dofus Ivoire; Pioute jaune</t>
        </is>
      </c>
    </row>
    <row r="11225">
      <c r="A11225" t="inlineStr">
        <is>
          <t>Songes a buy</t>
        </is>
      </c>
      <c r="B11225">
        <f>HYPERLINK("https://www.dofusbook.net/fr/equipement/4907647-songes-a-buy/objets", "link")</f>
        <v/>
      </c>
      <c r="C11225" t="n">
        <v>0</v>
      </c>
      <c r="D11225" t="inlineStr">
        <is>
          <t>Rouleau à Pâtisserie d'Aermyne; Collier Rophante; Bague Trithon; Anneau de Pol Ouatnos; Bouclier précieux; Ceinture de Dame Jhessica; Masque d'Anerice; Cape d'Anerice; Pataugastrique; Dofus Ivoire; Dofus des Veilleurs; Dofus Abyssal; Dofus Émeraude; Obstructeur majeur; Bloqueur majeur; Platypus</t>
        </is>
      </c>
    </row>
    <row r="11226">
      <c r="A11226" t="inlineStr">
        <is>
          <t>TANK SOIN</t>
        </is>
      </c>
      <c r="B11226">
        <f>HYPERLINK("https://www.dofusbook.net/fr/equipement/4862115-tank-soin/objets", "link")</f>
        <v/>
      </c>
      <c r="C11226" t="n">
        <v>0</v>
      </c>
      <c r="D11226" t="inlineStr">
        <is>
          <t>Couteaux Sacrificiels; Collier Rophante; Alliance Gloursonne; Bague Trithon; Bouclier précieux; Ceinture de Dame Jhessica; Masque d'Anerice; Cape d'Anerice; Pataugastrique; Dofus Émeraude; Dofus Ivoire; Dofus Ocre; Bloqueur majeur; Miraculé majeur; Obstructeur majeur</t>
        </is>
      </c>
    </row>
    <row r="11227">
      <c r="A11227" t="inlineStr">
        <is>
          <t>Pandawa M 200</t>
        </is>
      </c>
      <c r="B11227">
        <f>HYPERLINK("https://www.dofusbook.net/fr/equipement/4900263-pandawa-m-200/objets", "link")</f>
        <v/>
      </c>
      <c r="C11227" t="n">
        <v>1</v>
      </c>
      <c r="D11227" t="inlineStr">
        <is>
          <t>Le Thanos; Collier Rophante; Anneau de Pol Ouatnos; Alliance Gloursonne; Carapar; Ceinture de Dame Jhessica; Masque d'Anerice; Cape d'Anerice; Pataugastrique; Dofus Ivoire; Dofus Abyssal; Dofus des Veilleurs; Dofus Émeraude; Remueur; Miraculé majeur; Platypus</t>
        </is>
      </c>
    </row>
    <row r="11228">
      <c r="A11228" t="inlineStr">
        <is>
          <t>Iop F 200</t>
        </is>
      </c>
      <c r="B11228">
        <f>HYPERLINK("https://www.dofusbook.net/fr/equipement/4879368-iop-f-200/objets", "link")</f>
        <v/>
      </c>
      <c r="C11228" t="n">
        <v>0</v>
      </c>
      <c r="D11228" t="inlineStr">
        <is>
          <t>Amulette de Gein; Quatre-feuilles</t>
        </is>
      </c>
    </row>
    <row r="11229">
      <c r="A11229" t="inlineStr">
        <is>
          <t>Full terre</t>
        </is>
      </c>
      <c r="B11229">
        <f>HYPERLINK("https://www.dofusbook.net/fr/equipement/4685628-full-terre/objets", "link")</f>
        <v/>
      </c>
      <c r="C11229" t="n">
        <v>0</v>
      </c>
      <c r="D11229" t="inlineStr">
        <is>
          <t>Arc du Chalœil; Collier de Tourthon; Anneau de Brouce; Anneau du Comte Harebourg; Quatre-feuilles; Ceinture de Brouce; Coiffe du Comte Harebourg; Cape de Jahash Jurgen; Bottes de Brouce; Dolmanax; Dofus Pourpre; Dofus Abyssal; Dofus Turquoise; Dofus Ocre; Forcené majeur; Volkorne Emeraude et Pourpre</t>
        </is>
      </c>
    </row>
    <row r="11230">
      <c r="A11230" t="inlineStr">
        <is>
          <t>xeloslip</t>
        </is>
      </c>
      <c r="B11230">
        <f>HYPERLINK("https://www.dofusbook.net/fr/equipement/4690907-xeloslip/objets", "link")</f>
        <v/>
      </c>
      <c r="C11230" t="n">
        <v>2</v>
      </c>
      <c r="D11230" t="inlineStr">
        <is>
          <t>Amulette du Strigide; Anneau de Brouce; Anneau du Comte Harebourg; Bouclier précieux; Ceinture du Strigide; Coiffe du Comte Harebourg; Bravoure de Rykke Errel; Bottes du Strigide; Dofus Nébuleux; Dofus Pourpre; Dofus Émeraude; Dofus Ivoire; Dofus Turquoise; Bloqueur majeur; Dragodinde Emeraude et Pourpre</t>
        </is>
      </c>
    </row>
    <row r="11231">
      <c r="A11231" t="inlineStr">
        <is>
          <t>Re cri sans runes</t>
        </is>
      </c>
      <c r="B11231">
        <f>HYPERLINK("https://www.dofusbook.net/fr/equipement/4692201-re-cri-sans-runes/objets", "link")</f>
        <v/>
      </c>
      <c r="C11231" t="n">
        <v>0</v>
      </c>
      <c r="D11231" t="inlineStr">
        <is>
          <t>Manthache; Torquistik; Goulano; Baguistik; Goulclier; Ceinture de la Reine des Voleurs; Coiffe de la Reine des Voleurs; Bravoure de Rykke Errel; Goulbottes; Dofus Ivoire; Dokoko; Dofus Émeraude; Bastion majeur; Bastion; Rempart majeur; Raknaille</t>
        </is>
      </c>
    </row>
    <row r="11232">
      <c r="A11232" t="inlineStr">
        <is>
          <t>Full ret</t>
        </is>
      </c>
      <c r="B11232">
        <f>HYPERLINK("https://www.dofusbook.net/fr/equipement/4685602-full-ret/objets", "link")</f>
        <v/>
      </c>
      <c r="C11232" t="n">
        <v>0</v>
      </c>
      <c r="D11232" t="inlineStr">
        <is>
          <t>Marteau R'ture; Amulette Volcanique; Pikano; Anneau Pwal; Bouclier cubiste; Ceinture Instable; Casquipik; Cape de Léthaline; Pantoufles Émar; Dofus Ocre; Entraveur; Entraveur majeur; Temporiseur; Temporiseur majeur; Ralentisseur majeur; Gwo Tofu Ventripotent</t>
        </is>
      </c>
    </row>
    <row r="11233">
      <c r="A11233" t="inlineStr">
        <is>
          <t>Full ret</t>
        </is>
      </c>
      <c r="B11233">
        <f>HYPERLINK("https://www.dofusbook.net/fr/equipement/4685603-full-ret/objets", "link")</f>
        <v/>
      </c>
      <c r="C11233" t="n">
        <v>1</v>
      </c>
      <c r="D11233" t="inlineStr">
        <is>
          <t>Marteau R'ture; Amulette Volcanique; Anneau Tamie; Pikano; Bouclier cubiste; Sangle Cible; Casquipik; Cape de Léthaline; Pantoufles Émar; Dofus Ocre; Temporiseur majeur; Ralentisseur majeur; Entraveur; Entraveur majeur; Temporiseur; Gwo Tofu Ventripotent</t>
        </is>
      </c>
    </row>
    <row r="11234">
      <c r="A11234" t="inlineStr">
        <is>
          <t>Max ré cri</t>
        </is>
      </c>
      <c r="B11234">
        <f>HYPERLINK("https://www.dofusbook.net/fr/equipement/4677470-max-re-cri/objets", "link")</f>
        <v/>
      </c>
      <c r="C11234" t="n">
        <v>0</v>
      </c>
      <c r="D11234" t="inlineStr">
        <is>
          <t>Dagues Érhy; Torquistik; Baguistik; Goulano; Goulclier; Ceinture de la Reine des Voleurs; Coiffe de la Reine des Voleurs; Cape au Logis; Bottistik; Dofus Ivoire; Dofus Abyssal; Dofus Ocre; Dofus Pourpre; Dofus Émeraude; Bastion majeur; Raknaille</t>
        </is>
      </c>
    </row>
    <row r="11235">
      <c r="A11235" t="inlineStr">
        <is>
          <t>Solotage V</t>
        </is>
      </c>
      <c r="B11235">
        <f>HYPERLINK("https://www.dofusbook.net/fr/equipement/4611003-solotage-v/objets", "link")</f>
        <v/>
      </c>
      <c r="C11235" t="n">
        <v>0</v>
      </c>
      <c r="D11235" t="inlineStr">
        <is>
          <t>Manthache; Amulette de Pol Ouatnos; Anneau d'Allister; Gant du Valet Veinard; Bouclier du Stalak; Menoture; Coiffe de la Reine des Voleurs; Bravoure de Rykke Errel; Bottes de la Reine des Voleurs; Dofus Ocre; Dofus Émeraude; Dofus Ivoire; Dofus Abyssal; Bastion majeur; Fortification majeure; Meulourd</t>
        </is>
      </c>
    </row>
    <row r="11236">
      <c r="A11236" t="inlineStr">
        <is>
          <t>Feu SOLO</t>
        </is>
      </c>
      <c r="B11236">
        <f>HYPERLINK("https://www.dofusbook.net/fr/equipement/4611715-feu-solo/objets", "link")</f>
        <v/>
      </c>
      <c r="C11236" t="n">
        <v>0</v>
      </c>
      <c r="D11236" t="inlineStr">
        <is>
          <t>Arc corrompu; Pendentif mignon de Koutoulou; Anneau Rifique; Baguistik; Droiture de Fallanster; Sangle Aise; Casque Cyclopéen; Bravoure de Rykke Errel; Bottistik; Dofus Émeraude; Dofus Ocre; Dofus Abyssal; Dofus Ivoire; Bastion majeur; Obstructeur majeur; Wabbit</t>
        </is>
      </c>
    </row>
    <row r="11237">
      <c r="A11237" t="inlineStr">
        <is>
          <t>Solotage vortex</t>
        </is>
      </c>
      <c r="B11237">
        <f>HYPERLINK("https://www.dofusbook.net/fr/equipement/4601019-solotage-vortex/objets", "link")</f>
        <v/>
      </c>
      <c r="C11237" t="n">
        <v>0</v>
      </c>
      <c r="D11237" t="inlineStr">
        <is>
          <t>Manthache; Collier du Valet Veinard; Alliance Gloursonne; Gant du Valet Veinard; Bouclier du Stalak; Menoture; Couronne d'Allister; Bravoure de Rykke Errel; Palmes Trithons; Dofus Ocre; Dofus Émeraude; Dofus Pourpre; Dofus Ivoire; Cascadeur majeur; Blérodoudou</t>
        </is>
      </c>
    </row>
    <row r="11238">
      <c r="A11238" t="inlineStr">
        <is>
          <t>PROSPEC PADGREF</t>
        </is>
      </c>
      <c r="B11238">
        <f>HYPERLINK("https://www.dofusbook.net/fr/equipement/4579163-prospec-padgref/objets", "link")</f>
        <v/>
      </c>
      <c r="C11238" t="n">
        <v>0</v>
      </c>
      <c r="D11238" t="inlineStr">
        <is>
          <t>Baguette Hernelle; Amulette du Strigide; Kralano; Anneau de Padgref; Quatre-feuilles; Ceinture du Strigide; Coiffe de Padgref; Cape Lati; Getas de Padgref; Dofus Kaliptus; Dofus Ocre; Dofus Turquoise; Dokille; Dofus Pourpre; Glub</t>
        </is>
      </c>
    </row>
    <row r="11239">
      <c r="A11239" t="inlineStr">
        <is>
          <t>Prospec</t>
        </is>
      </c>
      <c r="B11239">
        <f>HYPERLINK("https://www.dofusbook.net/fr/equipement/4579064-prospec/objets", "link")</f>
        <v/>
      </c>
      <c r="C11239" t="n">
        <v>0</v>
      </c>
      <c r="D11239" t="inlineStr">
        <is>
          <t>Dagues Açantes; Amulette de Danathor; Frimanneau; Grésilanneau; Bouclier du Stalak; Ceinture de Danathor; Coiffe de Danathor; Cape Solution; Bottines des sous-bois; Dofus Kaliptus; Dofus Pourpre; Dokille; Joueur majeur; Taquin majeur; Glub</t>
        </is>
      </c>
    </row>
    <row r="11240">
      <c r="A11240" t="inlineStr">
        <is>
          <t>GLAS</t>
        </is>
      </c>
      <c r="B11240">
        <f>HYPERLINK("https://www.dofusbook.net/fr/equipement/4556437-glas/objets", "link")</f>
        <v/>
      </c>
      <c r="C11240" t="n">
        <v>0</v>
      </c>
      <c r="D11240" t="inlineStr">
        <is>
          <t>Amulette de l'Indicible; Bague Gloursonne; Bouclier du Stalak; Ceinture de l'Indicible; Coiffe de la Reine des Voleurs; Bottes de la Reine des Voleurs; Dofus Pourpre; Dofus des Glaces; Dolmanax; Dofus Ocre; Dofus Vulbis; Dofus Ivoire</t>
        </is>
      </c>
    </row>
    <row r="11241">
      <c r="A11241" t="inlineStr">
        <is>
          <t>SONGE</t>
        </is>
      </c>
      <c r="B11241">
        <f>HYPERLINK("https://www.dofusbook.net/fr/equipement/4518483-songe/objets", "link")</f>
        <v/>
      </c>
      <c r="C11241" t="n">
        <v>1</v>
      </c>
      <c r="D11241" t="inlineStr">
        <is>
          <t>Manthache; Collier du Valet Veinard; Anneau d'Allister; Gant du Valet Veinard; Bouclier du Stalak; Ceinture de Nevark; Couronne d'Allister; Cape du Valet Veinard; Bottes d'Allister; Dofus Pourpre; Dofus Ocre; Dofus des Glaces; Equilibriste majeur; Saccageur Air majeur; Robuste majeur; Blérodoudou</t>
        </is>
      </c>
    </row>
    <row r="11242">
      <c r="A11242" t="inlineStr">
        <is>
          <t>Iop M 200</t>
        </is>
      </c>
      <c r="B11242">
        <f>HYPERLINK("https://www.dofusbook.net/fr/equipement/4550343-iop-m-200/objets", "link")</f>
        <v/>
      </c>
      <c r="C11242" t="n">
        <v>1</v>
      </c>
      <c r="D11242" t="inlineStr">
        <is>
          <t>Arc Honte; Amulette de Nileza; Anneauræus; Anneauræus; Bouclier du Stalak; Ceinture Séculaire; Masque Vaudou Ark; Cape de Nileza; Pataugastrique; Dolmanax; Dofus Ivoire; Dofus Nébuleux; Dofus Ocre; Érudit majeur; Fonceur majeur; Dragodinde Amande et Orchidée</t>
        </is>
      </c>
    </row>
    <row r="11243">
      <c r="A11243" t="inlineStr">
        <is>
          <t>Xélor F 200</t>
        </is>
      </c>
      <c r="B11243">
        <f>HYPERLINK("https://www.dofusbook.net/fr/equipement/4483385-xelor-f-200/objets", "link")</f>
        <v/>
      </c>
      <c r="C11243" t="n">
        <v>1</v>
      </c>
      <c r="D11243" t="inlineStr">
        <is>
          <t>Lav'Hache; Amulette d'Oshimo; Anneau du Professeur Xa; Anneau de Guten Tak; Sept ans de malheur; Menoture; Masque d'Anerice; Cape d'Anerice; Pataugastrique; Dofus Ivoire; Paralyseur majeur; Précurseur majeur; Étourdisseur majeur; Fonceur majeur; Petit Chacha Blanc</t>
        </is>
      </c>
    </row>
    <row r="11244">
      <c r="A11244" t="inlineStr">
        <is>
          <t>SONGE</t>
        </is>
      </c>
      <c r="B11244">
        <f>HYPERLINK("https://www.dofusbook.net/fr/equipement/4517855-songe/objets", "link")</f>
        <v/>
      </c>
      <c r="C11244" t="n">
        <v>1</v>
      </c>
      <c r="D11244" t="inlineStr">
        <is>
          <t>La Baguette des Limbes; Kralamansion; Anneau Tilus; Kralano; Bouclier Bontarien; Ceinture Lupine; Bonnet Nufar; Cape Huchon; Bottes Hairo; Dofus des Veilleurs; Dofus Abyssal; Dofus Kaliptus; Dofus Ocre; Dofus Émeraude; Dofus Ivoire; Phortiche</t>
        </is>
      </c>
    </row>
    <row r="11245">
      <c r="A11245" t="inlineStr">
        <is>
          <t>SONGE</t>
        </is>
      </c>
      <c r="B11245">
        <f>HYPERLINK("https://www.dofusbook.net/fr/equipement/4518392-songe/objets", "link")</f>
        <v/>
      </c>
      <c r="C11245" t="n">
        <v>0</v>
      </c>
      <c r="D11245" t="inlineStr">
        <is>
          <t>Hachoirs de Viandargh; Amulette du Glourséleste; Pikano; Alliance Gloursonne; Bouclier cubiste; Ceinture Instable; Casquipik; Cape de Léthaline; Pantoufles Émar; Dofus Ocre; Dofus des Veilleurs; Temporiseur; Temporiseur majeur; Ralentisseur majeur; Entraveur majeur; Léopardo</t>
        </is>
      </c>
    </row>
    <row r="11246">
      <c r="A11246" t="inlineStr">
        <is>
          <t>SONGE</t>
        </is>
      </c>
      <c r="B11246">
        <f>HYPERLINK("https://www.dofusbook.net/fr/equipement/4518612-songe/objets", "link")</f>
        <v/>
      </c>
      <c r="C11246" t="n">
        <v>0</v>
      </c>
      <c r="D11246" t="inlineStr">
        <is>
          <t>Rouleau à Pâtisserie d'Aermyne; Collier Rophante; Anneau de Pol Ouatnos; Bague Trithon; Bouclier précieux; Menoture; Masque d'Anerice; Cape d'Anerice; Pataugastrique; Dofus Émeraude; Dofus Ivoire; Obstructeur majeur; Bloqueur majeur; Carapace Eau majeur; Miraculé majeur; Platypus</t>
        </is>
      </c>
    </row>
    <row r="11247">
      <c r="A11247" t="inlineStr">
        <is>
          <t>ALI VV</t>
        </is>
      </c>
      <c r="B11247">
        <f>HYPERLINK("https://www.dofusbook.net/fr/equipement/4509911-ali-vv/objets", "link")</f>
        <v/>
      </c>
      <c r="C11247" t="n">
        <v>0</v>
      </c>
      <c r="D11247" t="inlineStr">
        <is>
          <t>Manthache; Collier du Valet Veinard; Anneau d'Allister; Gant du Valet Veinard; Bouclier du Stalak; Sangle Oriole; Couronne d'Allister; Cape du Valet Veinard; Bottes d'Allister; Dofus Pourpre; Dofus des Glaces; Dofus Ocre; Dofus Vulbis; Equilibriste majeur; Saccageur Air majeur; Blérodoudou</t>
        </is>
      </c>
    </row>
    <row r="11248">
      <c r="A11248" t="inlineStr">
        <is>
          <t>Xélor F 200</t>
        </is>
      </c>
      <c r="B11248">
        <f>HYPERLINK("https://www.dofusbook.net/fr/equipement/4384272-xelor-f-200/objets", "link")</f>
        <v/>
      </c>
      <c r="C11248" t="n">
        <v>0</v>
      </c>
      <c r="D11248" t="inlineStr">
        <is>
          <t>Harpelle; Amulette du Strigide; Kralano; Anneau de Padgref; Quatre-feuilles; Ceinture du Strigide; Coiffe de Padgref; Cape Lati; Getas de Padgref; Dofus Nébuleux; Dofus Ocre; Dofus Turquoise; Dofus Pourpre; Dofus des Glaces; Astucieux majeur; Pioute rouge</t>
        </is>
      </c>
    </row>
    <row r="11249">
      <c r="A11249" t="inlineStr">
        <is>
          <t>Pandawa F 200</t>
        </is>
      </c>
      <c r="B11249">
        <f>HYPERLINK("https://www.dofusbook.net/fr/equipement/4489490-pandawa-f-200/objets", "link")</f>
        <v/>
      </c>
      <c r="C11249" t="n">
        <v>0</v>
      </c>
      <c r="D11249" t="inlineStr">
        <is>
          <t>Rouleau à Pâtisserie d'Aermyne; Collier Rophante; Anneau de Pol Ouatnos; Bague Trithon; Bouclier précieux; Menoture; Masque d'Anerice; Cape d'Anerice; Pataugastrique; Dofus Ivoire; Dofus Émeraude; Bloqueur majeur; Miraculé majeur; Survivant majeur; Obstructeur majeur; Platypus</t>
        </is>
      </c>
    </row>
    <row r="11250">
      <c r="A11250" t="inlineStr">
        <is>
          <t>Pandawa M 200</t>
        </is>
      </c>
      <c r="B11250">
        <f>HYPERLINK("https://www.dofusbook.net/fr/equipement/4495444-pandawa-m-200/objets", "link")</f>
        <v/>
      </c>
      <c r="C11250" t="n">
        <v>1</v>
      </c>
      <c r="D11250" t="inlineStr">
        <is>
          <t>Rouleau à Pâtisserie d'Aermyne; Collier Rophante; Alliance Gloursonne; Anneau Volkorne; Bouclier précieux; Menoture; Masque d'Anerice; Cape d'Anerice; Pataugastrique; Dofus Ivoire; Dokoko; Dofus Émeraude; Obstructeur majeur; Miraculé majeur; Bloqueur majeur; Platypus</t>
        </is>
      </c>
    </row>
    <row r="11251">
      <c r="A11251" t="inlineStr">
        <is>
          <t>FEU</t>
        </is>
      </c>
      <c r="B11251">
        <f>HYPERLINK("https://www.dofusbook.net/fr/equipement/4490730-feu/objets", "link")</f>
        <v/>
      </c>
      <c r="C11251" t="n">
        <v>0</v>
      </c>
      <c r="D11251" t="inlineStr">
        <is>
          <t>Massier; Amulette Volkorne; Anneau Tamie; Anneau Tamie; Bouclier du Stalak; Sangle Aise; Heaume Oplate; Cape de Nileza; Bottes de Nileza; Dofus des Glaces; Dofus Pourpre; Astucieux majeur; Nomade; Érudit majeur; Saccageur Feu majeur; Bisouglours</t>
        </is>
      </c>
    </row>
    <row r="11252">
      <c r="A11252" t="inlineStr">
        <is>
          <t>EAu</t>
        </is>
      </c>
      <c r="B11252">
        <f>HYPERLINK("https://www.dofusbook.net/fr/equipement/4490896-eau/objets", "link")</f>
        <v/>
      </c>
      <c r="C11252" t="n">
        <v>1</v>
      </c>
      <c r="D11252" t="inlineStr">
        <is>
          <t>Dagoulinantes; Amulette de Shokkoth; Anneau Glacial; Anneau Volkorne; Bouclier du Stalak; Poulpagne; Kidibonnet; Cape du Sinistrofu; Bottes du Sinistrofu; Dofus Pourpre; Dofus des Glaces; Taquin majeur; Chanceux majeur; Nomade; Dévastateur Eau majeur; Kanigloups</t>
        </is>
      </c>
    </row>
    <row r="11253">
      <c r="A11253" t="inlineStr">
        <is>
          <t>TERRE</t>
        </is>
      </c>
      <c r="B11253">
        <f>HYPERLINK("https://www.dofusbook.net/fr/equipement/4490849-terre/objets", "link")</f>
        <v/>
      </c>
      <c r="C11253" t="n">
        <v>0</v>
      </c>
      <c r="D11253" t="inlineStr">
        <is>
          <t>Marteau R'ture; Collier de Tourthon; Anneau de Brouce; Anneau Crustique; Bouclier du Stalak; Ceinture Gence; Coiffe du Comte Harebourg; Cape au Logis; Bottes du Comte Harebourg; Dofus Pourpre; Dofus Ocre; Dofus des Glaces; Dévastateur Terre majeur; Enragé majeur; Forcené majeur; Bulbisou</t>
        </is>
      </c>
    </row>
    <row r="11254">
      <c r="A11254" t="inlineStr">
        <is>
          <t>AIR</t>
        </is>
      </c>
      <c r="B11254">
        <f>HYPERLINK("https://www.dofusbook.net/fr/equipement/4490792-air/objets", "link")</f>
        <v/>
      </c>
      <c r="C11254" t="n">
        <v>0</v>
      </c>
      <c r="D11254" t="inlineStr">
        <is>
          <t>Épée du Granduk; Collier du Valet Veinard; Gant du Valet Veinard; Anneau d'Allister; Bouclier du Stalak; Menoture; Casque Volkorne; Cape Indescriptible; Baleinabottes; Dofus Pourpre; Dofus des Glaces; Dévastateur Air majeur; Equilibriste majeur; Nomade; Cascadeur majeur; Blérodoudou</t>
        </is>
      </c>
    </row>
    <row r="11255">
      <c r="A11255" t="inlineStr">
        <is>
          <t>Ecaflip M 200</t>
        </is>
      </c>
      <c r="B11255">
        <f>HYPERLINK("https://www.dofusbook.net/fr/equipement/4421016-ecaflip-m-200/objets", "link")</f>
        <v/>
      </c>
      <c r="C11255" t="n">
        <v>0</v>
      </c>
      <c r="D11255" t="inlineStr">
        <is>
          <t>Marteau des Anciens Steamers; Amulette du Strigide; Anneau Volkorne; Alliance Gloursonne; Bouclier du Stalak; Ceinture du Strigide; Némès de Tal Kasha; Chevelure de Tal Kasha; Pataugastrique; Dolmanax; Dofus Ocre; Dofus Abyssal; Dofus Ivoire; Dofus Pourpre; Robuste majeur</t>
        </is>
      </c>
    </row>
    <row r="11256">
      <c r="A11256" t="inlineStr">
        <is>
          <t>Xélor F 200</t>
        </is>
      </c>
      <c r="B11256">
        <f>HYPERLINK("https://www.dofusbook.net/fr/equipement/4465415-xelor-f-200/objets", "link")</f>
        <v/>
      </c>
      <c r="C11256" t="n">
        <v>0</v>
      </c>
      <c r="D11256" t="inlineStr">
        <is>
          <t>Will Killson; Amulette du Strigide; Anneau de Padgref; Alliance Gloursonne; Bouclier du Captain Amakna; Ceinture du Strigide; Coiffe de Padgref; Cape Lati; Getas de Padgref; Dofus Turquoise; Dofus Nébuleux; Dofus Ivoire; Dofus Ocre; Dofus Pourpre; Dofus des Glaces; Pioute jaune</t>
        </is>
      </c>
    </row>
    <row r="11257">
      <c r="A11257" t="inlineStr">
        <is>
          <t>Eniripsa F 200</t>
        </is>
      </c>
      <c r="B11257">
        <f>HYPERLINK("https://www.dofusbook.net/fr/equipement/4433356-eniripsa-f-200/objets", "link")</f>
        <v/>
      </c>
      <c r="C11257" t="n">
        <v>2</v>
      </c>
      <c r="D11257" t="inlineStr">
        <is>
          <t>Arc corrompu; Amulette Séculaire; Anneauræus; Anneauræus; Bouclier du Stalak; Ceinture Séculaire; Heaume Oplate; Cape de Diondin; Bottes Innommables; Dofus Pourpre; Dolmanax; Nomade; Remueur; Astucieux majeur; Érudit majeur; Brûlih</t>
        </is>
      </c>
    </row>
    <row r="11258">
      <c r="A11258" t="inlineStr">
        <is>
          <t>Feu Air / Fuite</t>
        </is>
      </c>
      <c r="B11258">
        <f>HYPERLINK("https://www.dofusbook.net/fr/equipement/3014728-feu-air---fuite/objets", "link")</f>
        <v/>
      </c>
      <c r="C11258" t="n">
        <v>3</v>
      </c>
      <c r="D11258" t="inlineStr">
        <is>
          <t>Arc Honte; Amulette de l'Œil Putride; Bague Gloursonne; Alliance Gloursonne; Cadran de Terre; Ceinture de l'Esprit Salvateur; Masque de l'Esprit Salvateur; Cape de l'Œil Putride; Bottes de l'Esprit Salvateur; Dofus Pourpre; Dofus Abyssal; Dofus Ocre; Dofus Ivoire; Dofus Vulbis; Dofus des Glaces; Kramkram</t>
        </is>
      </c>
    </row>
    <row r="11259">
      <c r="A11259" t="inlineStr">
        <is>
          <t>Pandawa M 200</t>
        </is>
      </c>
      <c r="B11259">
        <f>HYPERLINK("https://www.dofusbook.net/fr/equipement/4407694-pandawa-m-200/objets", "link")</f>
        <v/>
      </c>
      <c r="C11259" t="n">
        <v>1</v>
      </c>
      <c r="D11259" t="inlineStr">
        <is>
          <t>Baguette Hernelle; Amulette du Strigide; Anneau Cryochrone; Anneau de Padgref; Quatre-feuilles; Ceinture du Strigide; Coiffe de Padgref; Cape de la Dame du Hasard; Getas de Padgref; Dofus Pourpre; Dofus Ocre; Dofus des Glaces; Dofus Turquoise; Astucieux majeur; Voyageur; Pioute rouge</t>
        </is>
      </c>
    </row>
    <row r="11260">
      <c r="A11260" t="inlineStr">
        <is>
          <t>Enutrof M 200</t>
        </is>
      </c>
      <c r="B11260">
        <f>HYPERLINK("https://www.dofusbook.net/fr/equipement/3907062-enutrof-m-200/objets", "link")</f>
        <v/>
      </c>
      <c r="C11260" t="n">
        <v>4</v>
      </c>
      <c r="D11260" t="inlineStr">
        <is>
          <t>Amulette Hale; Anneau Instable; Bague Instable; Bouclier du serrurier; Ceinture Instable; Casque Dragoeuf; Cape Tif; Chaussures Face; Dofus Ocre; Dofus Émeraude; Dofus Abyssal; Dofus Ivoire; Entraveur majeur; Vagabond majeur</t>
        </is>
      </c>
    </row>
    <row r="11261">
      <c r="A11261" t="inlineStr">
        <is>
          <t>Roublard M 200</t>
        </is>
      </c>
      <c r="B11261">
        <f>HYPERLINK("https://www.dofusbook.net/fr/equipement/4366734-roublard-m-200/objets", "link")</f>
        <v/>
      </c>
      <c r="C11261" t="n">
        <v>1</v>
      </c>
      <c r="D11261" t="inlineStr">
        <is>
          <t>Manthache; Collier du Valet Veinard; Gant du Valet Veinard; Alliance Gloursonne; Bouclier du Stalak; Menoture; Couronne d'Allister; Cape de la Fuji Givrefoux; Palmes Trithons; Dofus Pourpre; Dofus des Glaces; Nomade; Cascadeur majeur; Remueur; Dévastateur Air majeur; Blérodoudou</t>
        </is>
      </c>
    </row>
    <row r="11262">
      <c r="A11262" t="inlineStr">
        <is>
          <t>Eniripsa F 200</t>
        </is>
      </c>
      <c r="B11262">
        <f>HYPERLINK("https://www.dofusbook.net/fr/equipement/4384229-eniripsa-f-200/objets", "link")</f>
        <v/>
      </c>
      <c r="C11262" t="n">
        <v>0</v>
      </c>
      <c r="D11262" t="inlineStr">
        <is>
          <t>Baguette Hernelle; Amulette du Strigide; Kralano; Anneau de Padgref; Quatre-feuilles; Ceinture du Strigide; Coiffe de Padgref; Cape Sulhit; Getas de Padgref; Dofus Turquoise; Dofus Abyssal; Dofus Ocre; Dofus Pourpre; Dofus des Glaces; Voyageur; Pioute rouge</t>
        </is>
      </c>
    </row>
    <row r="11263">
      <c r="A11263" t="inlineStr">
        <is>
          <t>Pandawa M 200</t>
        </is>
      </c>
      <c r="B11263">
        <f>HYPERLINK("https://www.dofusbook.net/fr/equipement/4384173-pandawa-m-200/objets", "link")</f>
        <v/>
      </c>
      <c r="C11263" t="n">
        <v>0</v>
      </c>
      <c r="D11263" t="inlineStr">
        <is>
          <t>Rouleau à Pâtisserie d'Aermyne; Kralamansion; Bracelet Ming; Anneau Raille; Bouclier Bontarien; Sangle Huée; Chapeau Lithique; Cape Wéra; Getas Bernacle; Dokoko; Dofus Abyssal; Dofus Ocre; Dofus Émeraude; Survivant majeur; Voyageur; Kougnard</t>
        </is>
      </c>
    </row>
    <row r="11264">
      <c r="A11264" t="inlineStr">
        <is>
          <t>Roublard M 200</t>
        </is>
      </c>
      <c r="B11264">
        <f>HYPERLINK("https://www.dofusbook.net/fr/equipement/3933398-roublard-m-200/objets", "link")</f>
        <v/>
      </c>
      <c r="C11264" t="n">
        <v>3</v>
      </c>
      <c r="D11264" t="inlineStr">
        <is>
          <t>Marteau R'ture; Collier de Tourthon; Anneau Crustique; Anneau de Brouce; Bouclier du Stalak; Ceinture Gence; Coiffe du Comte Harebourg; Cape au Logis; Bottes du Comte Harebourg; Dofus Pourpre; Dofus des Glaces; Dofus Ocre; Dofus Vulbis; Dévastateur Terre majeur; Enragé majeur; Bulbisou</t>
        </is>
      </c>
    </row>
    <row r="11265">
      <c r="A11265" t="inlineStr">
        <is>
          <t>Osamodas F 200</t>
        </is>
      </c>
      <c r="B11265">
        <f>HYPERLINK("https://www.dofusbook.net/fr/equipement/4010442-osamodas-f-200/objets", "link")</f>
        <v/>
      </c>
      <c r="C11265" t="n">
        <v>1</v>
      </c>
      <c r="D11265" t="inlineStr">
        <is>
          <t>Dagues Érhy; Amulette Volkorne; Pikano; Alliance Brûlâme; Bouclier de Solar; Ceinture Volkorne; Casque Dragoeuf; Voile d'encre; Bottes Dogues; Dofus Ivoire; Dofus Ocre; Miraculé majeur; Enragé majeur; Remueur; Carapace Terre majeur; Cromeugnon</t>
        </is>
      </c>
    </row>
    <row r="11266">
      <c r="A11266" t="inlineStr">
        <is>
          <t>Xélor F 200</t>
        </is>
      </c>
      <c r="B11266">
        <f>HYPERLINK("https://www.dofusbook.net/fr/equipement/3991623-xelor-f-200/objets", "link")</f>
        <v/>
      </c>
      <c r="C11266" t="n">
        <v>6</v>
      </c>
      <c r="D11266" t="inlineStr">
        <is>
          <t>Baguette de Malléfisk; Collier Rophante; Anneau Crustique; Anneau Crustique; Sept ans de malheur; Menoture; Casque Dragoeuf; Cape Ardente; Chaussures Ardentes; Dofus Ivoire; Dofus Forgelave; Paralyseur majeur; Étourdisseur majeur; Engourdisseur majeur; Volkorne Amande et Ivoire</t>
        </is>
      </c>
    </row>
    <row r="11267">
      <c r="A11267" t="inlineStr">
        <is>
          <t>Steamer M 200</t>
        </is>
      </c>
      <c r="B11267">
        <f>HYPERLINK("https://www.dofusbook.net/fr/equipement/3991782-steamer-m-200/objets", "link")</f>
        <v/>
      </c>
      <c r="C11267" t="n">
        <v>3</v>
      </c>
      <c r="D11267" t="inlineStr">
        <is>
          <t>Hachoirs de Viandargh; Torquistik; Bague Instable; Anneau de Guten Tak; Bouclier précieux; Ceinture Gence; Masque Trithon; Cape Solution; Bottistik; Dofus Ivoire; Bousculeur; Pousseur majeur; Bousculeur majeur; Culbuteur; Culbuteur majeur; Balafreux</t>
        </is>
      </c>
    </row>
    <row r="11268">
      <c r="A11268" t="inlineStr">
        <is>
          <t>Sadida F 200</t>
        </is>
      </c>
      <c r="B11268">
        <f>HYPERLINK("https://www.dofusbook.net/fr/equipement/3874439-sadida-f-200/objets", "link")</f>
        <v/>
      </c>
      <c r="C11268" t="n">
        <v>6</v>
      </c>
      <c r="D11268" t="inlineStr">
        <is>
          <t>Arc corrompu; Amulette Volkorne; Anneauræus; Anneauræus; Bouclier à hélice; Protopagne; Masque d'Anerice; Cape d'Anerice; Pataugastrique; Dofus Turquoise; Dofus Ivoire; Dofus Pourpre; Dofus Abyssal; Dofus Ocre; Érudit majeur; Dragodinde Ivoire et Orchidée</t>
        </is>
      </c>
    </row>
    <row r="11269">
      <c r="A11269" t="inlineStr">
        <is>
          <t>Ouginak M 200</t>
        </is>
      </c>
      <c r="B11269">
        <f>HYPERLINK("https://www.dofusbook.net/fr/equipement/3266170-ouginak-m-200/objets", "link")</f>
        <v/>
      </c>
      <c r="C11269" t="n">
        <v>4</v>
      </c>
      <c r="D11269" t="inlineStr">
        <is>
          <t>Manthache; Amulette du Strigide; Alliance Gloursonne; Anneau de Padgref; Cadran de Feu; Ceinture du Strigide; Coiffe de Padgref; Cape Indescriptible; Getas de Padgref; Dofus Abyssal; Dofus Ocre; Dofus Ivoire; Dofus Turquoise; Dofus Pourpre; Imprenable majeur; Muldo Orchidée et Ivoire</t>
        </is>
      </c>
    </row>
    <row r="11270">
      <c r="A11270" t="inlineStr">
        <is>
          <t>Xélor F 200</t>
        </is>
      </c>
      <c r="B11270">
        <f>HYPERLINK("https://www.dofusbook.net/fr/equipement/3776927-xelor-f-200/objets", "link")</f>
        <v/>
      </c>
      <c r="C11270" t="n">
        <v>0</v>
      </c>
      <c r="D11270" t="inlineStr">
        <is>
          <t>Arc Volkorne; Amulette Volkorne; Alliance Gloursonne; Anneau Volkorne; Bouclier du Stalak; Ceinture de la Reine des Voleurs; Casque Volkorne; Cape Reski; Bottes de la Reine des Voleurs; Dofus Ivoire; Dofus Ocre; Dofus des Glaces; Dofus Nébuleux; Dofus Abyssal; Dofus Pourpre; Fëanor</t>
        </is>
      </c>
    </row>
    <row r="11271">
      <c r="A11271" t="inlineStr">
        <is>
          <t>Eniripsa F 200</t>
        </is>
      </c>
      <c r="B11271">
        <f>HYPERLINK("https://www.dofusbook.net/fr/equipement/3547557-eniripsa-f-200/objets", "link")</f>
        <v/>
      </c>
      <c r="C11271" t="n">
        <v>23</v>
      </c>
      <c r="D11271" t="inlineStr">
        <is>
          <t>Hache du Chalœil; Amulette Volkorne; Alliance Gloursonne; Anneau Volkorne; Quatre-feuilles; Ceinture Volkorne; Casque du Chalœil; Cape du Chalœil; Bottes du Chalœil; Dofus Abyssal; Dofus des Glaces; Dofus Ivoire; Dofus Ocre; Dofus Pourpre; Dragodinde en armure</t>
        </is>
      </c>
    </row>
    <row r="11272">
      <c r="A11272" t="inlineStr">
        <is>
          <t>Air K</t>
        </is>
      </c>
      <c r="B11272">
        <f>HYPERLINK("https://www.dofusbook.net/fr/equipement/3014747-air-k/objets", "link")</f>
        <v/>
      </c>
      <c r="C11272" t="n">
        <v>9</v>
      </c>
      <c r="D11272" t="inlineStr">
        <is>
          <t>Manthache; Collier du Valet Veinard; Gant du Valet Veinard; Alliance Gloursonne; Bouclier d'Ilyzaelle; Menoture; Dorabysses; Cape Martegel; Palmes Trithons; Dofus Ivoire; Dofus Vulbis; Dofus Pourpre; Dofus Abyssal; Remueur; Cascadeur majeur; Dragodinde Ebène et Ivoire</t>
        </is>
      </c>
    </row>
    <row r="11273">
      <c r="A11273" t="inlineStr">
        <is>
          <t>Sadida M 200</t>
        </is>
      </c>
      <c r="B11273">
        <f>HYPERLINK("https://www.dofusbook.net/fr/equipement/3518367-sadida-m-200/objets", "link")</f>
        <v/>
      </c>
      <c r="C11273" t="n">
        <v>4</v>
      </c>
      <c r="D11273" t="inlineStr">
        <is>
          <t>Lav'Hache; Collier de Tourthon; Alliance Brûlâme; Anneau Crustique; Bouclier du Stalak; Ceinture Volkorne; Masque de Koutoulou; Cape au Logis; Pompes Funèbres; Dofus Abyssal; Dofus Ivoire; Dofus Pourpre; Enragé majeur; Vigoureux majeur; Remueur; Dragodinde Ivoire et Pourpre</t>
        </is>
      </c>
    </row>
    <row r="11274">
      <c r="A11274" t="inlineStr">
        <is>
          <t>Sacrieur F 200</t>
        </is>
      </c>
      <c r="B11274">
        <f>HYPERLINK("https://www.dofusbook.net/fr/equipement/3266180-sacrieur-f-200/objets", "link")</f>
        <v/>
      </c>
      <c r="C11274" t="n">
        <v>4</v>
      </c>
      <c r="D11274" t="inlineStr">
        <is>
          <t>Arc Volkorne; Amulette Volkorne; Alliance Gloursonne; Anneau Volkorne; Quatre-feuilles; Ceinture Volkorne; Casque Volkorne; Cape d'Atcham; Sandales  d'Atcham; Dofus Turquoise; Dofus Ocre; Dofus des Glaces; Dofus Abyssal; Dofus Pourpre; Dofus Ivoire</t>
        </is>
      </c>
    </row>
    <row r="11275">
      <c r="A11275" t="inlineStr">
        <is>
          <t>Iop M 200</t>
        </is>
      </c>
      <c r="B11275">
        <f>HYPERLINK("https://www.dofusbook.net/fr/equipement/3266166-iop-m-200/objets", "link")</f>
        <v/>
      </c>
      <c r="C11275" t="n">
        <v>5</v>
      </c>
      <c r="D11275" t="inlineStr">
        <is>
          <t>Arc du Chalœil; Amulette du Cœur Vaillant; Bague Trithon; Bague Instable; Bouclier précieux; Ceinture Gence; Masque d'Anerice; Cape d'Anerice; Bottistik; Dofus Ocre; Dofus Abyssal; Dofus Ivoire; Bousculeur majeur; Culbuteur majeur; Pousseur majeur; Muldo Orchidée et Pourpre</t>
        </is>
      </c>
    </row>
    <row r="11276">
      <c r="A11276" t="inlineStr">
        <is>
          <t>Ougi esquive</t>
        </is>
      </c>
      <c r="B11276">
        <f>HYPERLINK("https://www.dofusbook.net/fr/equipement/3237941-ougi-esquive-/objets", "link")</f>
        <v/>
      </c>
      <c r="C11276" t="n">
        <v>4</v>
      </c>
      <c r="D11276" t="inlineStr">
        <is>
          <t>Hache Rot; Amulette de Shokkoth; Bague Trithon; Alliance Gloursonne; Cadran de Feu; Poulpagne; Capuche de l'Œil Attentif; Cape de l'Œil Attentif; Bottes du Sinistrofu; Dofus Abyssal; Dofus Pourpre; Dofus Ivoire; Dofus Ocre; Évasif majeur; Chanceux majeur; Muldo Ebène et Pourpre</t>
        </is>
      </c>
    </row>
    <row r="11277">
      <c r="A11277" t="inlineStr">
        <is>
          <t>Eau</t>
        </is>
      </c>
      <c r="B11277">
        <f>HYPERLINK("https://www.dofusbook.net/fr/equipement/3229325-eau-/objets", "link")</f>
        <v/>
      </c>
      <c r="C11277" t="n">
        <v>10</v>
      </c>
      <c r="D11277" t="inlineStr">
        <is>
          <t>Sceptre du Roi Joueur; Amulette de Shokkoth; Alliance Gloursonne; Bracelet des Fonds marins; Quatre-feuilles; Pagne du Rykaon; Masque des Fonds marins; Cape Solution; Bottes du Sinistrofu; Dofus Ivoire; Dofus Pourpre; Dofus Abyssal; Chanceux majeur; Remueur; Vigoureux majeur; Muldo Ebène et Orchidée</t>
        </is>
      </c>
    </row>
    <row r="11278">
      <c r="A11278" t="inlineStr">
        <is>
          <t>Sadi eau</t>
        </is>
      </c>
      <c r="B11278">
        <f>HYPERLINK("https://www.dofusbook.net/fr/equipement/3229365-sadi-eau/objets", "link")</f>
        <v/>
      </c>
      <c r="C11278" t="n">
        <v>8</v>
      </c>
      <c r="D11278" t="inlineStr">
        <is>
          <t>Arc Ontanporin; Amulette de Shokkoth; Alliance Gloursonne; Bracelet des Fonds marins; Bouclier du Stalak; Pagne du Rykaon; Masque des Fonds marins; Cape Solution; Bottes du Sinistrofu; Dofus Ivoire; Dofus Pourpre; Dofus Vulbis; Chanceux majeur; Remueur; Miraculé majeur; Dragodinde en armure</t>
        </is>
      </c>
    </row>
    <row r="11279">
      <c r="A11279" t="inlineStr">
        <is>
          <t>Eau arc</t>
        </is>
      </c>
      <c r="B11279">
        <f>HYPERLINK("https://www.dofusbook.net/fr/equipement/3229342-eau-arc/objets", "link")</f>
        <v/>
      </c>
      <c r="C11279" t="n">
        <v>4</v>
      </c>
      <c r="D11279" t="inlineStr">
        <is>
          <t>Arc Ontanporin; Amulette de Shokkoth; Bracelet des Fonds marins; Alliance Gloursonne; Bouclier du Stalak; Pagne du Rykaon; Masque des Fonds marins; Cape Solution; Bottes du Sinistrofu; Dofus Abyssal; Dofus Ivoire; Miraculé majeur; Remueur; Nomade; Chanceux majeur; Dragodinde en armure</t>
        </is>
      </c>
    </row>
    <row r="11280">
      <c r="A11280" t="inlineStr">
        <is>
          <t>Louis</t>
        </is>
      </c>
      <c r="B11280">
        <f>HYPERLINK("https://www.dofusbook.net/fr/equipement/2091493-louis/objets", "link")</f>
        <v/>
      </c>
      <c r="C11280" t="n">
        <v>2</v>
      </c>
      <c r="D11280" t="inlineStr">
        <is>
          <t>Karnak; Collier du Valet Veinard; Gant du Valet Veinard; Alliance Gloursonne; Cadran de Feu; Menoture; Casque Dragoeuf; Capibou; Palmes Trithons; Dofus Ébène; Dofus Pourpre; Dofus Ocre; Dofus Ivoire; Dofus Abyssal; Cascadeur majeur; Crocodaille</t>
        </is>
      </c>
    </row>
    <row r="11281">
      <c r="A11281" t="inlineStr">
        <is>
          <t>terre</t>
        </is>
      </c>
      <c r="B11281">
        <f>HYPERLINK("https://www.dofusbook.net/fr/equipement/2891117-terre/objets", "link")</f>
        <v/>
      </c>
      <c r="C11281" t="n">
        <v>0</v>
      </c>
      <c r="D11281" t="inlineStr">
        <is>
          <t>Arc du Chalœil; Amulette du Strigide; Bague Gloursonne; Anneau Chevelu; Quatre-feuilles; Ceinture du Strigide; Masque de Koutoulou; Cape au Logis; Baleinabottes; Dofus Abyssal; Dofus des Glaces; Dofus Pourpre; Dofus Turquoise; Carapace Terre majeur; Enragé majeur; Kramkram</t>
        </is>
      </c>
    </row>
    <row r="11282">
      <c r="A11282" t="inlineStr">
        <is>
          <t>Stuff 3</t>
        </is>
      </c>
      <c r="B11282">
        <f>HYPERLINK("https://www.dofusbook.net/fr/equipement/12118-stuff-3/objets", "link")</f>
        <v/>
      </c>
      <c r="C11282" t="n">
        <v>0</v>
      </c>
      <c r="D11282" t="inlineStr">
        <is>
          <t>Arc Nécrotique; Amulette du Strigide; Anneau Tique; Alliance Gloursonne; Quatre-feuilles; Ceinture du Strigide; Casquette de Meno; Cape de la Dame du Hasard; Pataugastrique; Dofus Ocre; Dofus des Glaces; Dofus Abyssal; Dofus Pourpre; Dofus Turquoise; Nomade; Muldo Orchidée</t>
        </is>
      </c>
    </row>
    <row r="11283">
      <c r="A11283" t="inlineStr">
        <is>
          <t>Stuff 2</t>
        </is>
      </c>
      <c r="B11283">
        <f>HYPERLINK("https://www.dofusbook.net/fr/equipement/12117-stuff-2/objets", "link")</f>
        <v/>
      </c>
      <c r="C11283" t="n">
        <v>8</v>
      </c>
      <c r="D11283" t="inlineStr">
        <is>
          <t>Hache du Chalœil; Amulette Volkorne; Bague Trithon; Anneau Volkorne; Quatre-feuilles; Ceinture Volkorne; Masque Trithon; Voile d'encre; Pataugastrique; Dofus des Glaces; Dofus Turquoise; Dofus Ocre; Dofus Ébène; Dofus Pourpre; Dofus Ivoire; Kokulte</t>
        </is>
      </c>
    </row>
    <row r="11284">
      <c r="A11284" t="inlineStr">
        <is>
          <t>Stuff 2</t>
        </is>
      </c>
      <c r="B11284">
        <f>HYPERLINK("https://www.dofusbook.net/fr/equipement/12042-stuff-2/objets", "link")</f>
        <v/>
      </c>
      <c r="C11284" t="n">
        <v>13</v>
      </c>
      <c r="D11284" t="inlineStr">
        <is>
          <t>Amulette de Shokkoth; Anneau Volkorne; Alliance Gloursonne; Bouclier d'Ilyzaelle; Poulpagne; Capuche de l'Œil Attentif; Cape du Sinistrofu; Bottes du Sinistrofu; Dofus Turquoise; Dofus Abyssal; Dofus Ivoire; Dofus Ocre; Dofus Pourpre; Chanceux majeur; Muldo Ebène et Orchidée</t>
        </is>
      </c>
    </row>
    <row r="11285">
      <c r="A11285" t="inlineStr">
        <is>
          <t>Iop M 200</t>
        </is>
      </c>
      <c r="B11285">
        <f>HYPERLINK("https://www.dofusbook.net/fr/equipement/5409904-iop-m-200/objets", "link")</f>
        <v/>
      </c>
      <c r="C11285" t="n">
        <v>3</v>
      </c>
      <c r="D11285" t="inlineStr">
        <is>
          <t>Manthache; Collier du Valet Veinard; Gant du Valet Veinard; Alliance Gloursonne; Bouclier du Stalak; Menoture; Dorabysses; Cape Martegel; Palmes Trithons; Dofus Pourpre; Dofus Abyssal; Dofus Ocre; Dofus Ivoire; Cascadeur majeur; Nomade; Dragodinde Ebène et Ivoire</t>
        </is>
      </c>
    </row>
    <row r="11286">
      <c r="A11286" t="inlineStr">
        <is>
          <t>Koutou botte CS</t>
        </is>
      </c>
      <c r="B11286">
        <f>HYPERLINK("https://www.dofusbook.net/fr/equipement/12039-koutou-botte-cs/objets", "link")</f>
        <v/>
      </c>
      <c r="C11286" t="n">
        <v>5</v>
      </c>
      <c r="D11286" t="inlineStr">
        <is>
          <t>Marteau R'ture; Amulette du Strigide; Anneau Crustique; Anneau Chevelu; Cadran d'Eau; Ceinture du Strigide; Masque de Koutoulou; Cape au Logis; Bottes de la Cour Sombre; Dofus Pourpre; Dofus Ivoire; Dofus Turquoise; Dofus Abyssal; Dofus Ocre; Enragé majeur; Dragodinde Ivoire et Pourpre</t>
        </is>
      </c>
    </row>
    <row r="11287">
      <c r="A11287" t="inlineStr">
        <is>
          <t>Stuff 3</t>
        </is>
      </c>
      <c r="B11287">
        <f>HYPERLINK("https://www.dofusbook.net/fr/equipement/12043-stuff-3/objets", "link")</f>
        <v/>
      </c>
      <c r="C11287" t="n">
        <v>12</v>
      </c>
      <c r="D11287" t="inlineStr">
        <is>
          <t>Arc corrompu; Amulette Volkorne; Anneauræus; Anneauræus; Quatre-feuilles; Ceinture Volkorne; Heaume Oplate; Voile d'encre; Bottes Innommables; Dofus Pourpre; Dofus Ocre; Dofus Turquoise; Dofus Abyssal; Dofus Ivoire; Érudit majeur; Muldo Orchidée et Pourpre</t>
        </is>
      </c>
    </row>
    <row r="11288">
      <c r="A11288" t="inlineStr">
        <is>
          <t>air</t>
        </is>
      </c>
      <c r="B11288">
        <f>HYPERLINK("https://www.dofusbook.net/fr/equipement/5396993-air/objets", "link")</f>
        <v/>
      </c>
      <c r="C11288" t="n">
        <v>0</v>
      </c>
      <c r="D11288" t="inlineStr">
        <is>
          <t>Manthache; Collier du Valet Veinard; Alliance Gloursonne; Gant du Valet Veinard; Bouclier du Stalak; Menoture; Couronne d'Allister; Cape Indescriptible; Palmes Trithons; Dofus Ocre; Dofus des Glaces; Dofus Pourpre; Dofus Abyssal; Nomade; Cascadeur majeur; Bwak d'Air</t>
        </is>
      </c>
    </row>
    <row r="11289">
      <c r="A11289" t="inlineStr">
        <is>
          <t>terre air hequache</t>
        </is>
      </c>
      <c r="B11289">
        <f>HYPERLINK("https://www.dofusbook.net/fr/equipement/12072-terre-air-hequache/objets", "link")</f>
        <v/>
      </c>
      <c r="C11289" t="n">
        <v>4</v>
      </c>
      <c r="D11289" t="inlineStr">
        <is>
          <t>Amulette du Strigide; Anneau Chevelu; Anneau de Brouce; Bouclier du Captain Amakna; Ceintacé; Chapeau de Gein; Cape au Logis; Bottes du Strigide; Dofus Pourpre; Dofus Abyssal; Dofus Ocre; Dofus des Glaces; Dofus Turquoise; Enragé majeur; Bwak d'Air</t>
        </is>
      </c>
    </row>
    <row r="11290">
      <c r="A11290" t="inlineStr">
        <is>
          <t>feu pvm</t>
        </is>
      </c>
      <c r="B11290">
        <f>HYPERLINK("https://www.dofusbook.net/fr/equipement/2081292-feu-pvm/objets", "link")</f>
        <v/>
      </c>
      <c r="C11290" t="n">
        <v>5</v>
      </c>
      <c r="D11290" t="inlineStr">
        <is>
          <t>Arc corrompu; Pendentif affamé; Anneauræus; Anneau Tique; Bouclier cubiste; Ceinture de Vortex; Cagoule de Vortex; Cape de Diondin; Chaussures Ardentes; Carapace Feu majeur; Remueur; Étourdisseur majeur; Érudit majeur; Guérisseur majeur; Nomade; Croum</t>
        </is>
      </c>
    </row>
    <row r="11291">
      <c r="A11291" t="inlineStr">
        <is>
          <t>Stuff 2</t>
        </is>
      </c>
      <c r="B11291">
        <f>HYPERLINK("https://www.dofusbook.net/fr/equipement/12054-stuff-2/objets", "link")</f>
        <v/>
      </c>
      <c r="C11291" t="n">
        <v>0</v>
      </c>
      <c r="D11291" t="inlineStr">
        <is>
          <t>Sceptre du Roi Joueur; Amulette de Shokkoth; Bracelet des Fonds marins; Alliance Gloursonne; Bouclier du Stalak; Sangle Ouare; Masque des Fonds marins; Cape Solution; Bottes du Sinistrofu; Dofus des Glaces; Dofus Nébuleux; Dofus Ocre; Dofus Pourpre; Dofus Abyssal; Nomade; Bwak d'Eau</t>
        </is>
      </c>
    </row>
    <row r="11292">
      <c r="A11292" t="inlineStr">
        <is>
          <t>mode eau</t>
        </is>
      </c>
      <c r="B11292">
        <f>HYPERLINK("https://www.dofusbook.net/fr/equipement/12128-mode-eau-/objets", "link")</f>
        <v/>
      </c>
      <c r="C11292" t="n">
        <v>4</v>
      </c>
      <c r="D11292" t="inlineStr">
        <is>
          <t>Sceptre du Roi Joueur; Amulette de Shokkoth; Alliance Gloursonne; Bracelet des Fonds marins; Bouclier d'Ilyzaelle; Sangle Ouare; Masque des Fonds marins; Cape Solution; Bottes du Sinistrofu; Dofus Pourpre; Dofus des Glaces; Dofus Abyssal; Miraculé majeur; Chanceux majeur; Remueur; Bwak d'Eau</t>
        </is>
      </c>
    </row>
    <row r="11293">
      <c r="A11293" t="inlineStr">
        <is>
          <t>Terre do pou</t>
        </is>
      </c>
      <c r="B11293">
        <f>HYPERLINK("https://www.dofusbook.net/fr/equipement/1096987-terre-do-pou-/objets", "link")</f>
        <v/>
      </c>
      <c r="C11293" t="n">
        <v>0</v>
      </c>
      <c r="D11293" t="inlineStr">
        <is>
          <t>Marteau R'ture; Amulette du Strigide; Anneau Chevelu; Anneau Crustique; Bouclier d'Ilyzaelle; Ceinture du Strigide; Masque de Koutoulou; Cape au Logis; Bottes de la Cour Sombre; Dofus des Glaces; Dofus Pourpre; Dofus Abyssal; Enragé majeur; Nomade; Vigoureux majeur; Kramkram</t>
        </is>
      </c>
    </row>
    <row r="11294">
      <c r="A11294" t="inlineStr">
        <is>
          <t>essai terre</t>
        </is>
      </c>
      <c r="B11294">
        <f>HYPERLINK("https://www.dofusbook.net/fr/equipement/2998230-essai-terre/objets", "link")</f>
        <v/>
      </c>
      <c r="C11294" t="n">
        <v>6</v>
      </c>
      <c r="D11294" t="inlineStr">
        <is>
          <t>Dagues Érhy; Collier de Tourthon; Anneau Chevelu; Alliance Gloursonne; Cadran d'Air; Ceinture de la Reine des Voleurs; Coiffe de la Reine des Voleurs; Cape au Logis; Sabots Minables; Dofus Ocre; Dofus Pourpre; Dofus Abyssal; Enragé majeur; Vigoureux majeur; Miraculé majeur; Muldo Indigo et Orchidée</t>
        </is>
      </c>
    </row>
    <row r="11295">
      <c r="A11295" t="inlineStr">
        <is>
          <t>terre</t>
        </is>
      </c>
      <c r="B11295">
        <f>HYPERLINK("https://www.dofusbook.net/fr/equipement/1416598-terre-/objets", "link")</f>
        <v/>
      </c>
      <c r="C11295" t="n">
        <v>6</v>
      </c>
      <c r="D11295" t="inlineStr">
        <is>
          <t>Héqache; Amulette du Strigide; Anneau Chevelu; Anneau de Brouce; Bouclier du Captain Amakna; Ceinture du Strigide; Masque de Koutoulou; Cape au Logis; Bottes de la Cour Sombre; Dofus Pourpre; Dofus des Glaces; Dofus Turquoise; Dofus Abyssal; Dofus Ocre; Enragé majeur; Kramkram</t>
        </is>
      </c>
    </row>
    <row r="11296">
      <c r="A11296" t="inlineStr">
        <is>
          <t>Air</t>
        </is>
      </c>
      <c r="B11296">
        <f>HYPERLINK("https://www.dofusbook.net/fr/equipement/12133-air/objets", "link")</f>
        <v/>
      </c>
      <c r="C11296" t="n">
        <v>1</v>
      </c>
      <c r="D11296" t="inlineStr">
        <is>
          <t>Dagues Érhy; Collier du Valet Veinard; Alliance Gloursonne; Gant du Valet Veinard; Cadran d'Air; Ceinture du Barbétoal; Couronne d'Allister; Cape du Kamasterisk; Baleinabottes; Dofus Ocre; Dofus des Glaces; Dofus Abyssal; Cascadeur majeur; Miraculé majeur; Nomade; Muldo Indigo et Orchidée</t>
        </is>
      </c>
    </row>
    <row r="11297">
      <c r="A11297" t="inlineStr">
        <is>
          <t>feu soin</t>
        </is>
      </c>
      <c r="B11297">
        <f>HYPERLINK("https://www.dofusbook.net/fr/equipement/12060-feu-soin-/objets", "link")</f>
        <v/>
      </c>
      <c r="C11297" t="n">
        <v>21</v>
      </c>
      <c r="D11297" t="inlineStr">
        <is>
          <t>Baguette de Malléfisk; Amulette d'Otomaï; Bague Gloursonne; Anneau de Nidas; Bouclier du Cycloïde; Ceinture Séculaire; Casque Dragoeuf; Cape de Diondin; Bottes d'Otomaï; Carapace Neutre majeur; Miraculé majeur; Temporiseur majeur; Érudit majeur; Déserteur majeur; Remueur; Muldo Orchidée</t>
        </is>
      </c>
    </row>
    <row r="11298">
      <c r="A11298" t="inlineStr">
        <is>
          <t>Enutrof M 200</t>
        </is>
      </c>
      <c r="B11298">
        <f>HYPERLINK("https://www.dofusbook.net/fr/equipement/3840102-enutrof-m-200/objets", "link")</f>
        <v/>
      </c>
      <c r="C11298" t="n">
        <v>4</v>
      </c>
      <c r="D11298" t="inlineStr">
        <is>
          <t>Baguette de Malléfisk; Pendentif mignon de Koutoulou; Anneau Tique; Anneau de Nidas; Bouclier cubiste; Ceinture Séculaire; Couronne de Nidas; Cape de l'Œil Putride; Chaussures Ardentes; Dofus Ocre; Déserteur majeur; Remueur; Temporiseur majeur; Érudit majeur; Carapace Neutre majeur; Muldo Orchidée</t>
        </is>
      </c>
    </row>
    <row r="11299">
      <c r="A11299" t="inlineStr">
        <is>
          <t>Terre</t>
        </is>
      </c>
      <c r="B11299">
        <f>HYPERLINK("https://www.dofusbook.net/fr/equipement/12131-terre/objets", "link")</f>
        <v/>
      </c>
      <c r="C11299" t="n">
        <v>0</v>
      </c>
      <c r="D11299" t="inlineStr">
        <is>
          <t>Lav'Hache; Amulette Héroclite; Anneau Chevelu; Pikano; Bouclier Bontarien; Ceinture de la Cour Sombre; Chapeau de Gein; Voile d'encre; Bottes de la Cour Sombre; Dofus Abyssal; Dofus Ocre; Nomade; Remueur; Muldo Ebène et Pourpre</t>
        </is>
      </c>
    </row>
    <row r="11300">
      <c r="A11300" t="inlineStr">
        <is>
          <t>stuff nidas rox 2</t>
        </is>
      </c>
      <c r="B11300">
        <f>HYPERLINK("https://www.dofusbook.net/fr/equipement/2979674-stuff-nidas-rox-2/objets", "link")</f>
        <v/>
      </c>
      <c r="C11300" t="n">
        <v>1</v>
      </c>
      <c r="D11300" t="inlineStr">
        <is>
          <t>La Baguette des Limbes; Amulette du Strigide; Bague Gloursonne; Anneau de Padgref; Quatre-feuilles; Ceinture du Strigide; Coiffe de Padgref; Cape Reski; Getas de Padgref; Dofus Ocre; Dofus Pourpre; Dofus des Glaces; Dofus Turquoise; Astucieux majeur; Puissant majeur; Muldo Prune et Emeraude</t>
        </is>
      </c>
    </row>
    <row r="11301">
      <c r="A11301" t="inlineStr">
        <is>
          <t>stuff ret pm nidas</t>
        </is>
      </c>
      <c r="B11301">
        <f>HYPERLINK("https://www.dofusbook.net/fr/equipement/2169178-stuff-ret-pm-nidas/objets", "link")</f>
        <v/>
      </c>
      <c r="C11301" t="n">
        <v>1</v>
      </c>
      <c r="D11301" t="inlineStr">
        <is>
          <t>Hache du Guerrier Zoth; Amulette du Glourséleste; Pikano; Alliance Gloursonne; Bouclier cubiste; Ceinture de Kongoku; Casquipik; Cape de Léthaline; Bottes du Kamasterisk; Ralentisseur majeur; Temporiseur majeur; Entraveur majeur; Fonceur majeur; Temporiseur; Remueur; Kwaltess</t>
        </is>
      </c>
    </row>
    <row r="11302">
      <c r="A11302" t="inlineStr">
        <is>
          <t>stuff nidas rox</t>
        </is>
      </c>
      <c r="B11302">
        <f>HYPERLINK("https://www.dofusbook.net/fr/equipement/12069-stuff-nidas-rox/objets", "link")</f>
        <v/>
      </c>
      <c r="C11302" t="n">
        <v>3</v>
      </c>
      <c r="D11302" t="inlineStr">
        <is>
          <t>La Baguette des Limbes; Amulette du Strigide; Bague Gloursonne; Anneau de Padgref; Quatre-feuilles; Ceinture du Strigide; Coiffe de Padgref; Cape des Malveilleurs; Getas de Padgref; Dofus Ocre; Dofus Pourpre; Dofus des Glaces; Dofus Turquoise; Dofus Nébuleux; Astucieux majeur; Brûlih</t>
        </is>
      </c>
    </row>
    <row r="11303">
      <c r="A11303" t="inlineStr">
        <is>
          <t>rox ret pm PVM</t>
        </is>
      </c>
      <c r="B11303">
        <f>HYPERLINK("https://www.dofusbook.net/fr/equipement/12063-rox-ret-pm-pvm/objets", "link")</f>
        <v/>
      </c>
      <c r="C11303" t="n">
        <v>4</v>
      </c>
      <c r="D11303" t="inlineStr">
        <is>
          <t>Dagoulinantes; Amulette de Shokkoth; Alliance Gloursonne; Bracelet des Fonds marins; Bouclier du Stalak; Poulpagne; Capuche de l'Œil Attentif; Cape de l'Œil Attentif; Bottes du Sinistrofu; Dofus Pourpre; Dofus Turquoise; Nomade; Remueur; Temporiseur majeur; Chanceux majeur; Muldo Indigo</t>
        </is>
      </c>
    </row>
    <row r="11304">
      <c r="A11304" t="inlineStr">
        <is>
          <t>eau do pou</t>
        </is>
      </c>
      <c r="B11304">
        <f>HYPERLINK("https://www.dofusbook.net/fr/equipement/12049-eau-do-pou-/objets", "link")</f>
        <v/>
      </c>
      <c r="C11304" t="n">
        <v>0</v>
      </c>
      <c r="D11304" t="inlineStr">
        <is>
          <t>Rapière aux Glyphes; Amulette du Sinistrofu; Alliance Gloursonne; Bague Trithon; Bivalve; Ceinture Luminescente; Casque Dragoeuf; Cape Solution; Bottes Trithon; Dofus Abyssal; Miraculé majeur; Culbuteur majeur; Chanceux majeur; Remueur; Bousculeur majeur; Muldo Ebène et Indigo</t>
        </is>
      </c>
    </row>
    <row r="11305">
      <c r="A11305" t="inlineStr">
        <is>
          <t>eau</t>
        </is>
      </c>
      <c r="B11305">
        <f>HYPERLINK("https://www.dofusbook.net/fr/equipement/2096082-eau/objets", "link")</f>
        <v/>
      </c>
      <c r="C11305" t="n">
        <v>0</v>
      </c>
      <c r="D11305" t="inlineStr">
        <is>
          <t>Baguette Hique; Amulette de Shokkoth; Alliance Gloursonne; Pikano; Bouclier cubiste; Sangle Ouare; Kidibonnet; Cape de la Dame du Hasard; Bottes de la Dame du Hasard; Dofus Turquoise; Dofus Pourpre; Chanceux majeur; Dévastateur Eau majeur; Remueur; Temporiseur majeur; Muldo Indigo et Pourpre</t>
        </is>
      </c>
    </row>
    <row r="11306">
      <c r="A11306" t="inlineStr">
        <is>
          <t>terre do pou test</t>
        </is>
      </c>
      <c r="B11306">
        <f>HYPERLINK("https://www.dofusbook.net/fr/equipement/2891674-terre-do-pou-test/objets", "link")</f>
        <v/>
      </c>
      <c r="C11306" t="n">
        <v>0</v>
      </c>
      <c r="D11306" t="inlineStr">
        <is>
          <t>Amrothiline; Amulette du Cœur Saignant; Bague Trithon; Bague Gloursonne; Bouclier Taverne; Ceinture Gence; Masque de Koutoulou; Cape au Logis; Bottes du Cœur Saignant; Dofus des Glaces; Dofus Pourpre; Culbuteur majeur; Enragé majeur; Vigoureux majeur; Bousculeur majeur; Croum</t>
        </is>
      </c>
    </row>
    <row r="11307">
      <c r="A11307" t="inlineStr">
        <is>
          <t>terre/tank/nocc</t>
        </is>
      </c>
      <c r="B11307">
        <f>HYPERLINK("https://www.dofusbook.net/fr/equipement/2889507-terre-tank-nocc/objets", "link")</f>
        <v/>
      </c>
      <c r="C11307" t="n">
        <v>0</v>
      </c>
      <c r="D11307" t="inlineStr">
        <is>
          <t>Lav'Hache; Collier de Tourthon; Anneau Chevelu; Anneau de Brouce; Bouclier du Stalak; Ceinture de Brouce; Casque Dragoeuf; Ankhape; Sabots Minables; Dofus Pourpre; Dofus des Glaces; Dofus Abyssal; Dévastateur Terre majeur; Enragé majeur; Remueur; Muldo Indigo et Pourpre</t>
        </is>
      </c>
    </row>
    <row r="11308">
      <c r="A11308" t="inlineStr">
        <is>
          <t>Stuff 1</t>
        </is>
      </c>
      <c r="B11308">
        <f>HYPERLINK("https://www.dofusbook.net/fr/equipement/12114-stuff-1/objets", "link")</f>
        <v/>
      </c>
      <c r="C11308" t="n">
        <v>2</v>
      </c>
      <c r="D11308" t="inlineStr">
        <is>
          <t>Hachoirs de Viandargh; Torquistik; Bague Instable; Bague Trithon; Bouclier précieux; Ceinture Gence; Casque Dragoeuf; Cape du Cœur Vaillant; Bottistik; Dofus Abyssal; Culbuteur; Bousculeur majeur; Remueur; Culbuteur majeur; Pousseur majeur; Muldo Indigo et Orchidée</t>
        </is>
      </c>
    </row>
    <row r="11309">
      <c r="A11309" t="inlineStr">
        <is>
          <t>multi pas chere</t>
        </is>
      </c>
      <c r="B11309">
        <f>HYPERLINK("https://www.dofusbook.net/fr/equipement/2169632-multi-pas-chere/objets", "link")</f>
        <v/>
      </c>
      <c r="C11309" t="n">
        <v>2</v>
      </c>
      <c r="D11309" t="inlineStr">
        <is>
          <t>La Baguette des Limbes; Amulette du Strigide; Bracelet du Piloztère; Bague Gloursonne; Quatre-feuilles; Ceinture du Strigide; Masque Vaudou Tam; Cape Reski; Getas de Padgref; Dofus Ocre; Dofus Pourpre; Dofus Turquoise; Vigoureux majeur; Remueur; Muldo Prune et Emeraude</t>
        </is>
      </c>
    </row>
    <row r="11310">
      <c r="A11310" t="inlineStr">
        <is>
          <t>terre air 11/6/5</t>
        </is>
      </c>
      <c r="B11310">
        <f>HYPERLINK("https://www.dofusbook.net/fr/equipement/12075-terre-air-11-6-5/objets", "link")</f>
        <v/>
      </c>
      <c r="C11310" t="n">
        <v>0</v>
      </c>
      <c r="D11310" t="inlineStr">
        <is>
          <t>Lance corrompue; Collier du Valet Veinard; Alliance Gloursonne; Gant du Valet Veinard; Bouclier alvéolé; Ceintouse; Chapoulpe; Cape du Valet Veinard; Tentassons; Dofus des Glaces; Dofus Abyssal; Dofus Émeraude; Dofus Pourpre; Dofus Ocre; Muldo Ebène</t>
        </is>
      </c>
    </row>
    <row r="11311">
      <c r="A11311" t="inlineStr">
        <is>
          <t>Stuff 3</t>
        </is>
      </c>
      <c r="B11311">
        <f>HYPERLINK("https://www.dofusbook.net/fr/equipement/12058-stuff-3/objets", "link")</f>
        <v/>
      </c>
      <c r="C11311" t="n">
        <v>0</v>
      </c>
      <c r="D11311" t="inlineStr">
        <is>
          <t>Dagues de Srambad; Amulette de Pol Ouatnos; Alliance Gloursonne; Bouclier du Stalak; Ceinture de la Reine des Voleurs; Coiffe de la Reine des Voleurs; Voile d'encre; Baleinabottes; Dofus des Glaces; Dofus Pourpre; Dofus Abyssal; Dokoko; Remueur; Chanceux majeur; Muldo Ebène</t>
        </is>
      </c>
    </row>
    <row r="11312">
      <c r="A11312" t="inlineStr">
        <is>
          <t>Marteau</t>
        </is>
      </c>
      <c r="B11312">
        <f>HYPERLINK("https://www.dofusbook.net/fr/equipement/2225996-marteau/objets", "link")</f>
        <v/>
      </c>
      <c r="C11312" t="n">
        <v>0</v>
      </c>
      <c r="D11312" t="inlineStr">
        <is>
          <t>Marteau R'ture; Amulette du Strigide; Alliance Gloursonne; Anneau Chevelu; Sept ans de malheur; Ceintouse; Chapoulpe; Voile d'encre; Baleinabottes; Dofus Turquoise; Dofus Pourpre; Remueur; Étourdisseur majeur; Nomade; Carapace Eau majeur; Kramkram</t>
        </is>
      </c>
    </row>
    <row r="11313">
      <c r="A11313" t="inlineStr">
        <is>
          <t>Lance corrompue</t>
        </is>
      </c>
      <c r="B11313">
        <f>HYPERLINK("https://www.dofusbook.net/fr/equipement/12096-lance-corrompue/objets", "link")</f>
        <v/>
      </c>
      <c r="C11313" t="n">
        <v>0</v>
      </c>
      <c r="D11313" t="inlineStr">
        <is>
          <t>Lance corrompue; Amulette de Pol Ouatnos; Alliance Gloursonne; Anneau Chevelu; Sept ans de malheur; Ceintouse; Chapoulpe; Voile d'encre; Baleinabottes; Dofus Abyssal; Dofus Pourpre; Remueur; Miraculé majeur; Obstructeur majeur; Étourdisseur majeur; Muldo Ebène</t>
        </is>
      </c>
    </row>
    <row r="11314">
      <c r="A11314" t="inlineStr">
        <is>
          <t>Reine</t>
        </is>
      </c>
      <c r="B11314">
        <f>HYPERLINK("https://www.dofusbook.net/fr/equipement/12094-reine/objets", "link")</f>
        <v/>
      </c>
      <c r="C11314" t="n">
        <v>0</v>
      </c>
      <c r="D11314" t="inlineStr">
        <is>
          <t>Dagues de Srambad; Amulette de Pol Ouatnos; Anneau Crustique; Alliance Gloursonne; Sept ans de malheur; Culotte de Bethel; Kidibonnet; Voile d'encre; Chaussons de Macrab; Dofus Abyssal; Dofus des Glaces; Étourdisseur majeur; Remueur; Carapace Neutre majeur; Chanceux majeur; Muldo Ebène</t>
        </is>
      </c>
    </row>
    <row r="11315">
      <c r="A11315" t="inlineStr">
        <is>
          <t>Hache</t>
        </is>
      </c>
      <c r="B11315">
        <f>HYPERLINK("https://www.dofusbook.net/fr/equipement/12091-hache/objets", "link")</f>
        <v/>
      </c>
      <c r="C11315" t="n">
        <v>2</v>
      </c>
      <c r="D11315" t="inlineStr">
        <is>
          <t>Héqache; Amulette du Strigide; Alliance Gloursonne; Anneau Crustique; Sept ans de malheur; Menoture; Chapoulpe; Voile d'encre; Tentassons; Dofus Abyssal; Dofus Pourpre; Remueur; Carapace Eau majeur; Étourdisseur majeur; Nomade; Muldo Ebène</t>
        </is>
      </c>
    </row>
    <row r="11316">
      <c r="A11316" t="inlineStr">
        <is>
          <t>terre</t>
        </is>
      </c>
      <c r="B11316">
        <f>HYPERLINK("https://www.dofusbook.net/fr/equipement/2330975-terre/objets", "link")</f>
        <v/>
      </c>
      <c r="C11316" t="n">
        <v>0</v>
      </c>
      <c r="D11316" t="inlineStr">
        <is>
          <t>Arc du Chalœil; Torquistik; Alliance Gloursonne; Baguistik; Sept ans de malheur; Ceintacé; Masque de Koutoulou; Voile d'encre; Bottes de la Cour Sombre; Dofus Turquoise; Nomade; Enragé majeur; Cavaleur majeur; Étourdisseur majeur; Miraculé majeur; Muldo Ebène</t>
        </is>
      </c>
    </row>
    <row r="11317">
      <c r="A11317" t="inlineStr">
        <is>
          <t>air terre</t>
        </is>
      </c>
      <c r="B11317">
        <f>HYPERLINK("https://www.dofusbook.net/fr/equipement/2180327-air-terre/objets", "link")</f>
        <v/>
      </c>
      <c r="C11317" t="n">
        <v>1</v>
      </c>
      <c r="D11317" t="inlineStr">
        <is>
          <t>Lance corrompue; Amulette de l'Indicible; Anneau de Brouce; Alliance Gloursonne; Bouclier alvéolé; Ceinture de la Reine des Voleurs; Coiffe de la Reine des Voleurs; Cape du Kamasterisk; Baleinabottes; Dofus Pourpre; Remueur; Vigoureux majeur; Nomade; Miraculé majeur; Carapace Neutre majeur; Muldo Ebène et Orchidée</t>
        </is>
      </c>
    </row>
    <row r="11318">
      <c r="A11318" t="inlineStr">
        <is>
          <t>terre eau do pou</t>
        </is>
      </c>
      <c r="B11318">
        <f>HYPERLINK("https://www.dofusbook.net/fr/equipement/12047-terre-eau-do-pou/objets", "link")</f>
        <v/>
      </c>
      <c r="C11318" t="n">
        <v>1</v>
      </c>
      <c r="D11318" t="inlineStr">
        <is>
          <t>Dagues de Srambad; Amulette de Pol Ouatnos; Alliance Gloursonne; Pikano; Bouclier précieux; Ceinture de la Reine des Voleurs; Coiffe de la Reine des Voleurs; Cape Luminescente; Baleinabottes; Carapace Neutre majeur; Vigoureux majeur; Miraculé majeur; Carapace Air majeur; Culbuteur majeur; Remueur; Muldo Indigo et Pourpre</t>
        </is>
      </c>
    </row>
    <row r="11319">
      <c r="A11319" t="inlineStr">
        <is>
          <t>feu ret pa mika</t>
        </is>
      </c>
      <c r="B11319">
        <f>HYPERLINK("https://www.dofusbook.net/fr/equipement/12044-feu-ret-pa-mika/objets", "link")</f>
        <v/>
      </c>
      <c r="C11319" t="n">
        <v>0</v>
      </c>
      <c r="D11319" t="inlineStr">
        <is>
          <t>Harpelle; Amulette d'Otomaï; Bague Gloursonne; Anneau de Nidas; Sept ans de malheur; Ceinture de Vortex; Cagoule de Vortex; Cape de Diondin; Bottes Innommables; Dofus Émeraude; Érudit majeur; Carapace Neutre majeur; Remueur; Étourdisseur majeur; Carapace Feu majeur; Muldo Indigo et Pourpre</t>
        </is>
      </c>
    </row>
    <row r="11320">
      <c r="A11320" t="inlineStr">
        <is>
          <t>air terre</t>
        </is>
      </c>
      <c r="B11320">
        <f>HYPERLINK("https://www.dofusbook.net/fr/equipement/12051-air-terre/objets", "link")</f>
        <v/>
      </c>
      <c r="C11320" t="n">
        <v>2</v>
      </c>
      <c r="D11320" t="inlineStr">
        <is>
          <t>Lance corrompue; Amulette de l'Indicible; Anneau Chevelu; Alliance Gloursonne; Bouclier alvéolé; Ceinture de la Reine des Voleurs; Coiffe de la Reine des Voleurs; Voile d'encre; Baleinabottes; Dofus Pourpre; Remueur; Vigoureux majeur; Nomade; Miraculé majeur; Carapace Neutre majeur; Muldo Ebène et Orchidée</t>
        </is>
      </c>
    </row>
    <row r="11321">
      <c r="A11321" t="inlineStr">
        <is>
          <t>Stuff 1</t>
        </is>
      </c>
      <c r="B11321">
        <f>HYPERLINK("https://www.dofusbook.net/fr/equipement/12120-stuff-1/objets", "link")</f>
        <v/>
      </c>
      <c r="C11321" t="n">
        <v>0</v>
      </c>
      <c r="D11321" t="inlineStr">
        <is>
          <t>Manthache; Amulette Voldelor; Alliance Gloursonne; Gant du Valet Veinard; Ceinture du Barbétoal; Dorabysses; Cape du Barbétoal; Baleinabottes; Carapace Terre majeur; Étourdisseur majeur; Engourdisseur majeur; Remueur; Cascadeur majeur; Nomade; El Scarador</t>
        </is>
      </c>
    </row>
    <row r="11322">
      <c r="A11322" t="inlineStr">
        <is>
          <t>Stuff 3</t>
        </is>
      </c>
      <c r="B11322">
        <f>HYPERLINK("https://www.dofusbook.net/fr/equipement/12126-stuff-3/objets", "link")</f>
        <v/>
      </c>
      <c r="C11322" t="n">
        <v>0</v>
      </c>
      <c r="D11322" t="inlineStr">
        <is>
          <t>Dagoulinantes; Amulette du Strigide; Alliance Gloursonne; Bracelet des Fonds marins; Sangle Ouare; Kidibonnet; Cape d'Atcham; Sandales  d'Atcham; Dofus Pourpre; Paralyseur majeur; Chanceux majeur; Fonceur majeur; Remueur; Étourdisseur majeur; Kramkram</t>
        </is>
      </c>
    </row>
    <row r="11323">
      <c r="A11323" t="inlineStr">
        <is>
          <t>Stuff 2</t>
        </is>
      </c>
      <c r="B11323">
        <f>HYPERLINK("https://www.dofusbook.net/fr/equipement/12122-stuff-2/objets", "link")</f>
        <v/>
      </c>
      <c r="C11323" t="n">
        <v>0</v>
      </c>
      <c r="D11323" t="inlineStr">
        <is>
          <t>Manthache; Collier du Valet Veinard; Alliance Gloursonne; Gant du Valet Veinard; Menoture; Chapoulpe; Cape Indescriptible; Palmes Trithons; Dofus des Glaces; Remueur; Carapace Terre majeur; Cascadeur majeur; Vigoureux majeur; Nomade; Croum</t>
        </is>
      </c>
    </row>
    <row r="11324">
      <c r="A11324" t="inlineStr">
        <is>
          <t>Feu 2</t>
        </is>
      </c>
      <c r="B11324">
        <f>HYPERLINK("https://www.dofusbook.net/fr/equipement/4570371-feu-2/objets", "link")</f>
        <v/>
      </c>
      <c r="C11324" t="n">
        <v>0</v>
      </c>
      <c r="D11324" t="inlineStr">
        <is>
          <t>Arc corrompu; Amulette Volkorne; Anneauræus; Bague Gloursonne; Bouclier du Stalak; Croture; Heaume Oplate; Cape Martegel; Bottes Innommables; Dofus Ocre; Dofus des Glaces; Dofus Pourpre; Dofus Ébène; Nomade; Érudit majeur; Bisouglours</t>
        </is>
      </c>
    </row>
    <row r="11325">
      <c r="A11325" t="inlineStr">
        <is>
          <t>Sacrieur F 200</t>
        </is>
      </c>
      <c r="B11325">
        <f>HYPERLINK("https://www.dofusbook.net/fr/equipement/5394908-sacrieur-f-200/objets", "link")</f>
        <v/>
      </c>
      <c r="C11325" t="n">
        <v>2</v>
      </c>
      <c r="D11325" t="inlineStr">
        <is>
          <t>Crocobur; Amulette d'Ilyzaelle; Anneau Volkorne; Alliance Gloursonne; Bouclier d'Ilyzaelle; Ceinture de la Reine des Voleurs; Casque Volkorne; Cape de Jahash Jurgen; Bottes de la Reine des Voleurs; Dofus Ivoire; Dofus Vulbis; Dofus des Glaces; Dofus Pourpre; Dofus Ébène; Dofus Ocre; Fëanor</t>
        </is>
      </c>
    </row>
    <row r="11326">
      <c r="A11326" t="inlineStr">
        <is>
          <t>Eau/Feu vulbis</t>
        </is>
      </c>
      <c r="B11326">
        <f>HYPERLINK("https://www.dofusbook.net/fr/equipement/5261214-eau-feu-vulbis/objets", "link")</f>
        <v/>
      </c>
      <c r="C11326" t="n">
        <v>0</v>
      </c>
      <c r="D11326" t="inlineStr">
        <is>
          <t>Épée Brûlâme; Amulette Volkorne; Anneau Volkorne; Bague Trithon; Bouclier Taverne; Ceintacé; Masque Trithon; Cape de la Dame du Hasard; Bottes de la Dame du Hasard; Dofus Ocre; Dofus Ivoire; Dofus Pourpre; Dofus Turquoise; Dofus Vulbis; Dofus Ébène; Kokulte</t>
        </is>
      </c>
    </row>
    <row r="11327">
      <c r="A11327" t="inlineStr">
        <is>
          <t>Sacrieur F 200</t>
        </is>
      </c>
      <c r="B11327">
        <f>HYPERLINK("https://www.dofusbook.net/fr/equipement/5386606-sacrieur-f-200/objets", "link")</f>
        <v/>
      </c>
      <c r="C11327" t="n">
        <v>0</v>
      </c>
      <c r="D11327" t="inlineStr">
        <is>
          <t>Baguette de Torkélonia; Amulette du Strigide; Bague Gloursonne; Alliance Gloursonne; Bouclier Taverne; Ceinture du Strigide; Corne de Torkélonia; Carapace de Torkélonia; Bottes du Strigide; Dofus Turquoise; Dofus Ivoire; Dofus Pourpre; Dofus des Glaces; Dofus Abyssal; Dofus Ocre; Kokulte</t>
        </is>
      </c>
    </row>
    <row r="11328">
      <c r="A11328" t="inlineStr">
        <is>
          <t>Eau tank</t>
        </is>
      </c>
      <c r="B11328">
        <f>HYPERLINK("https://www.dofusbook.net/fr/equipement/5350976-eau-tank/objets", "link")</f>
        <v/>
      </c>
      <c r="C11328" t="n">
        <v>1</v>
      </c>
      <c r="D11328" t="inlineStr">
        <is>
          <t>Dagoulinantes; Amulette du Sinistrofu; Alliance Gloursonne; Anneau Volkorne; Droiture de Fallanster; Sangle Ouare; Kidibonnet; Cape Solution; Bottes du Sinistrofu; Dofus Abyssal; Dofus Ébène; Dofus Pourpre; Dofus Émeraude; Dofus Ivoire; Miraculé majeur; Kramkram</t>
        </is>
      </c>
    </row>
    <row r="11329">
      <c r="A11329" t="inlineStr">
        <is>
          <t>Eau/Air 2.52</t>
        </is>
      </c>
      <c r="B11329">
        <f>HYPERLINK("https://www.dofusbook.net/fr/equipement/5255564-eau-air-2-52/objets", "link")</f>
        <v/>
      </c>
      <c r="C11329" t="n">
        <v>0</v>
      </c>
      <c r="D11329" t="inlineStr">
        <is>
          <t>Crocobur; Amulette d'Ilyzaelle; Alliance Gloursonne; Anneau Volkorne; Bouclier d'Ilyzaelle; Ceinture de la Reine des Voleurs; Casque Volkorne; Cape Matelassée; Bottes de la Reine des Voleurs; Dofus Pourpre; Dofus des Glaces; Dofus Vulbis; Dofus Ébène; Dofus Ocre; Dofus Ivoire; Mini Wa</t>
        </is>
      </c>
    </row>
    <row r="11330">
      <c r="A11330" t="inlineStr">
        <is>
          <t>feu/eau no crit</t>
        </is>
      </c>
      <c r="B11330">
        <f>HYPERLINK("https://www.dofusbook.net/fr/equipement/4512305-feu-eau-no-crit/objets", "link")</f>
        <v/>
      </c>
      <c r="C11330" t="n">
        <v>0</v>
      </c>
      <c r="D11330" t="inlineStr">
        <is>
          <t>Couteaux Sacrificiels; Amulette Volkorne; Anneau Volkorne; Alliance Gloursonne; Bouclier du Stalak; Ceinture Volkorne; Masque Paztek; Cape Paztek; Pataugastrique; Dofus Pourpre; Dofus Ébène; Dofus Ocre; Dofus des Glaces; Dofus Ivoire; Robuste majeur; Walk</t>
        </is>
      </c>
    </row>
    <row r="11331">
      <c r="A11331" t="inlineStr">
        <is>
          <t>Pandawa tank</t>
        </is>
      </c>
      <c r="B11331">
        <f>HYPERLINK("https://www.dofusbook.net/fr/equipement/4488110-pandawa-tank/objets", "link")</f>
        <v/>
      </c>
      <c r="C11331" t="n">
        <v>3</v>
      </c>
      <c r="D11331" t="inlineStr">
        <is>
          <t>Rouleau à Pâtisserie d'Aermyne; Collier Rophante; Alliance Gloursonne; Anneau Toriété; Droiture de Fallanster; Ceinture de XLII; Casque Dragoeuf; Cape d'Aermyne; Pataugastrique; Dofus Ivoire; Dofus Abyssal; Dofus Émeraude; Remueur; Obstructeur majeur; Miraculé majeur; Platypus</t>
        </is>
      </c>
    </row>
    <row r="11332">
      <c r="A11332" t="inlineStr">
        <is>
          <t>Feu/Eau</t>
        </is>
      </c>
      <c r="B11332">
        <f>HYPERLINK("https://www.dofusbook.net/fr/equipement/4237981-feu-eau/objets", "link")</f>
        <v/>
      </c>
      <c r="C11332" t="n">
        <v>1</v>
      </c>
      <c r="D11332" t="inlineStr">
        <is>
          <t>Couteaux Sacrificiels; Amulette Volkorne; Anneau Volkorne; Alliance Gloursonne; Bouclier d'Ilyzaelle; Ceinture Volkorne; Masque Paztek; Cape Paztek; Pataugastrique; Dofus Pourpre; Dofus Ébène; Dofus Abyssal; Dofus Ocre; Dofus Ivoire; Dofus des Glaces; Walk</t>
        </is>
      </c>
    </row>
    <row r="11333">
      <c r="A11333" t="inlineStr">
        <is>
          <t>Feu 2.52</t>
        </is>
      </c>
      <c r="B11333">
        <f>HYPERLINK("https://www.dofusbook.net/fr/equipement/5255390-feu-2-52/objets", "link")</f>
        <v/>
      </c>
      <c r="C11333" t="n">
        <v>0</v>
      </c>
      <c r="D11333" t="inlineStr">
        <is>
          <t>Massier; Amulette Volkorne; Chevalière du Roi Joueur; Anneauræus; Droiture de Fallanster; Ceinture du Piou Rouge; Heaume Oplate; Voile d'encre; Bottes Innommables; Dofus Ébène; Dofus des Glaces; Dofus Vulbis; Dofus Pourpre; Dofus Ivoire; Dofus Ocre; Bisouglours</t>
        </is>
      </c>
    </row>
    <row r="11334">
      <c r="A11334" t="inlineStr">
        <is>
          <t>Zobal F 200</t>
        </is>
      </c>
      <c r="B11334">
        <f>HYPERLINK("https://www.dofusbook.net/fr/equipement/5012989-zobal-f-200/objets", "link")</f>
        <v/>
      </c>
      <c r="C11334" t="n">
        <v>1</v>
      </c>
      <c r="D11334" t="inlineStr">
        <is>
          <t>Hache Téroïde; Amulette Volkorne; Chevalière du Roi Joueur; Anneau Volkorne; Bouclier Taverne; Ceinture Volkorne; Couronne du Roi Joueur; Bravoure de Rykke Errel; Bottes du Roi Joueur; Dofus Pourpre; Dofus Ivoire; Dofus des Glaces; Dofus Turquoise; Dofus Ocre; Dofus Ébène; Cromeugnon</t>
        </is>
      </c>
    </row>
    <row r="11335">
      <c r="A11335" t="inlineStr">
        <is>
          <t>multi 0crit</t>
        </is>
      </c>
      <c r="B11335">
        <f>HYPERLINK("https://www.dofusbook.net/fr/equipement/4588448-multi-0crit/objets", "link")</f>
        <v/>
      </c>
      <c r="C11335" t="n">
        <v>0</v>
      </c>
      <c r="D11335" t="inlineStr">
        <is>
          <t>Arc Volkorne; Amulette Volkorne; Alliance Brûlâme; Anneau Volkorne; Bouclier du Stalak; Ceinture Volkorne; Masque de l'Esprit Salvateur; Cape de Jahash Jurgen; Bottes Honyme; Dofus Pourpre; Dofus des Glaces; Dofus Ocre; Dofus Ébène; Dofus Nébuleux; Dofus Abyssal; Pioute rose</t>
        </is>
      </c>
    </row>
    <row r="11336">
      <c r="A11336" t="inlineStr">
        <is>
          <t>Eau/Dopou Paztek</t>
        </is>
      </c>
      <c r="B11336">
        <f>HYPERLINK("https://www.dofusbook.net/fr/equipement/4548378-eau-dopou-paztek/objets", "link")</f>
        <v/>
      </c>
      <c r="C11336" t="n">
        <v>0</v>
      </c>
      <c r="D11336" t="inlineStr">
        <is>
          <t>Sceptre du Roi Joueur; Amulette du Sinistrofu; Bague Trithon; Anneau Volkorne; Bouclier Taverne; Sangle Ouare; Masque Paztek; Cape Solution; Sandales Paztek; Dofus Ivoire; Dofus Ocre; Dofus Ébène; Chanceux majeur; Culbuteur majeur; Bousculeur majeur; Écumouth</t>
        </is>
      </c>
    </row>
    <row r="11337">
      <c r="A11337" t="inlineStr">
        <is>
          <t>Multi crit</t>
        </is>
      </c>
      <c r="B11337">
        <f>HYPERLINK("https://www.dofusbook.net/fr/equipement/4291164-multi-crit/objets", "link")</f>
        <v/>
      </c>
      <c r="C11337" t="n">
        <v>2</v>
      </c>
      <c r="D11337" t="inlineStr">
        <is>
          <t>Hache du Chalœil; Amulette Volkorne; Bague Trithon; Anneau Volkorne; Quatre-feuilles; Ceinture Volkorne; Masque Trithon; Cape de la Dame du Hasard; Bottes Trithon; Dofus Pourpre; Dofus des Glaces; Dofus Ocre; Dofus Ébène; Dofus Abyssal; Dofus Turquoise; Kokulte</t>
        </is>
      </c>
    </row>
    <row r="11338">
      <c r="A11338" t="inlineStr">
        <is>
          <t>Roub Feu</t>
        </is>
      </c>
      <c r="B11338">
        <f>HYPERLINK("https://www.dofusbook.net/fr/equipement/4450997-roub-feu/objets", "link")</f>
        <v/>
      </c>
      <c r="C11338" t="n">
        <v>1</v>
      </c>
      <c r="D11338" t="inlineStr">
        <is>
          <t>Arc corrompu; Amulette Volkorne; Anneau Tamie; Anneauræus; Bouclier du Stalak; Ceinture Séculaire; Coiffe Séculaire; Cape de Diondin; Bottes Innommables; Dofus des Glaces; Dofus Ébène; Dofus Pourpre; Remueur; Nomade; Érudit majeur; Bisouglours</t>
        </is>
      </c>
    </row>
    <row r="11339">
      <c r="A11339" t="inlineStr">
        <is>
          <t>Roub Air</t>
        </is>
      </c>
      <c r="B11339">
        <f>HYPERLINK("https://www.dofusbook.net/fr/equipement/4451030-roub-air/objets", "link")</f>
        <v/>
      </c>
      <c r="C11339" t="n">
        <v>0</v>
      </c>
      <c r="D11339" t="inlineStr">
        <is>
          <t>Manthache; Collier du Valet Veinard; Gant du Valet Veinard; Alliance Gloursonne; Bouclier du Stalak; Menoture; Couronne d'Allister; Voilamibe; Palmes Trithons; Dofus Ébène; Dofus Pourpre; Dofus des Glaces; Remueur; Dévastateur Air majeur; Cascadeur majeur; Blérodoudou</t>
        </is>
      </c>
    </row>
    <row r="11340">
      <c r="A11340" t="inlineStr">
        <is>
          <t>Roub Terre</t>
        </is>
      </c>
      <c r="B11340">
        <f>HYPERLINK("https://www.dofusbook.net/fr/equipement/4451049-roub-terre/objets", "link")</f>
        <v/>
      </c>
      <c r="C11340" t="n">
        <v>0</v>
      </c>
      <c r="D11340" t="inlineStr">
        <is>
          <t>Arc du Chalœil; Collier de Tourthon; Anneau Crustique; Anneau de Brouce; Bouclier du Stalak; Ceinture de la Reine des Voleurs; Coiffe de la Reine des Voleurs; Cape au Logis; Bottes Honyme; Dofus des Glaces; Dofus Ébène; Dofus Pourpre; Enragé majeur; Dévastateur Terre majeur; Remueur; Bulbisou</t>
        </is>
      </c>
    </row>
    <row r="11341">
      <c r="A11341" t="inlineStr">
        <is>
          <t>Pandawa M 200</t>
        </is>
      </c>
      <c r="B11341">
        <f>HYPERLINK("https://www.dofusbook.net/fr/equipement/4509442-pandawa-m-200/objets", "link")</f>
        <v/>
      </c>
      <c r="C11341" t="n">
        <v>1</v>
      </c>
      <c r="D11341" t="inlineStr">
        <is>
          <t>Crocobur; Amulette du Nocturlabe; Anneau Toriété; Anneau en Grithril; Bouclier d'Ilyzaelle; Ceinture de la Reine des Voleurs; Coiffe de la Reine des Voleurs; Cape Solution; Bottes du Nocturlabe; Dofus Ocre; Dofus Ivoire; Dofus Pourpre; Dofus Ébène; Dolmanax; Dofus des Glaces; Bébé Pandawa</t>
        </is>
      </c>
    </row>
    <row r="11342">
      <c r="A11342" t="inlineStr">
        <is>
          <t>Hupper multi 2</t>
        </is>
      </c>
      <c r="B11342">
        <f>HYPERLINK("https://www.dofusbook.net/fr/equipement/4366368-hupper-multi-2/objets", "link")</f>
        <v/>
      </c>
      <c r="C11342" t="n">
        <v>0</v>
      </c>
      <c r="D11342" t="inlineStr">
        <is>
          <t>Hache du Chalœil; Amulette Volkorne; Anneau Volkorne; Bracelet du Piloztère; Bouclier du Stalak; Ceinture Volkorne; Diadème de Ganymède; Cape de Jahash Jurgen; Bottes du Strigide; Dofus Ébène; Dofus Abyssal; Dofus des Glaces; Dofus Pourpre; Dofus Ocre; Robuste majeur; El Scarador</t>
        </is>
      </c>
    </row>
    <row r="11343">
      <c r="A11343" t="inlineStr">
        <is>
          <t>Zobal F 200</t>
        </is>
      </c>
      <c r="B11343">
        <f>HYPERLINK("https://www.dofusbook.net/fr/equipement/4216484-zobal-f-200/objets", "link")</f>
        <v/>
      </c>
      <c r="C11343" t="n">
        <v>0</v>
      </c>
      <c r="D11343" t="inlineStr">
        <is>
          <t>Masse Ossiale; Amulette du Sinistrofu; Alliance Gloursonne; Bague Trithon; Bouclier Taverne; Sangle Ouare; Masque Paztek; Cape Solution; Sandales Paztek; Dofus Ocre; Dofus Abyssal; Dofus Pourpre; Bousculeur majeur; Culbuteur majeur; Chanceux majeur; Écumouth</t>
        </is>
      </c>
    </row>
    <row r="11344">
      <c r="A11344" t="inlineStr">
        <is>
          <t>Huppermage F 200</t>
        </is>
      </c>
      <c r="B11344">
        <f>HYPERLINK("https://www.dofusbook.net/fr/equipement/4216365-huppermage-f-200/objets", "link")</f>
        <v/>
      </c>
      <c r="C11344" t="n">
        <v>0</v>
      </c>
      <c r="D11344" t="inlineStr">
        <is>
          <t>Pyraguette; Amulette Volkorne; Lavanneau; Anneau Volkorne; Bouclier Taverne; Poulpagne; Masque Paztek; Cape Paztek; Sandales Paztek; Dofus Nébuleux; Dofus Ocre; Dofus Ébène; Dofus Abyssal; Dofus Pourpre; Dofus des Glaces; Walk</t>
        </is>
      </c>
    </row>
    <row r="11345">
      <c r="A11345" t="inlineStr">
        <is>
          <t>Huppermage F 200</t>
        </is>
      </c>
      <c r="B11345">
        <f>HYPERLINK("https://www.dofusbook.net/fr/equipement/4192682-huppermage-f-200/objets", "link")</f>
        <v/>
      </c>
      <c r="C11345" t="n">
        <v>0</v>
      </c>
      <c r="D11345" t="inlineStr">
        <is>
          <t>Hache du Chalœil; Amulette Volkorne; Bague Trithon; Anneau Volkorne; Quatre-feuilles; Ceinture Volkorne; Masque Trithon; Cape de la Dame du Hasard; Bottes Trithon; Dofus Turquoise; Dofus Abyssal; Dofawa; Dofus Pourpre; Dofus des Glaces; Dofus Ocre; Kokulte</t>
        </is>
      </c>
    </row>
    <row r="11346">
      <c r="A11346" t="inlineStr">
        <is>
          <t>Huppermage F 200</t>
        </is>
      </c>
      <c r="B11346">
        <f>HYPERLINK("https://www.dofusbook.net/fr/equipement/4152438-huppermage-f-200/objets", "link")</f>
        <v/>
      </c>
      <c r="C11346" t="n">
        <v>0</v>
      </c>
      <c r="D11346" t="inlineStr">
        <is>
          <t>Arc du Chalœil; Torquistik; Bracelet du Piloztère; Bague Trithon; Bivalve; Ceinture Gence; Chapeau de Gein; Cape au Logis; Bottistik; Dofus Abyssal; Dofus Pourpre; Dofus Ocre; Bousculeur majeur; Culbuteur majeur; Enragé majeur; Black Tiwabbit</t>
        </is>
      </c>
    </row>
    <row r="11347">
      <c r="A11347" t="inlineStr">
        <is>
          <t>Pandawa M 200</t>
        </is>
      </c>
      <c r="B11347">
        <f>HYPERLINK("https://www.dofusbook.net/fr/equipement/4054925-pandawa-m-200/objets", "link")</f>
        <v/>
      </c>
      <c r="C11347" t="n">
        <v>1</v>
      </c>
      <c r="D11347" t="inlineStr">
        <is>
          <t>Hache du Chalœil; Amulette du Strigide; Alliance du Lévitrof; Bracelet du Piloztère; Quatre-feuilles; Ceinture du Strigide; Le Dorado; Voile d'encre; Bottes du Roi Joueur; Dofus Turquoise; Dolmanax; Dofus Ocre; Dofus Pourpre; Dofus des Glaces; Nomade; Kokulte</t>
        </is>
      </c>
    </row>
    <row r="11348">
      <c r="A11348" t="inlineStr">
        <is>
          <t>Ouginak M 200</t>
        </is>
      </c>
      <c r="B11348">
        <f>HYPERLINK("https://www.dofusbook.net/fr/equipement/4044567-ouginak-m-200/objets", "link")</f>
        <v/>
      </c>
      <c r="C11348" t="n">
        <v>3</v>
      </c>
      <c r="D11348" t="inlineStr">
        <is>
          <t>Manthache; Collier du Valet Veinard; Gant du Valet Veinard; Alliance Gloursonne; Bouclier d'Ilyzaelle; Menoture; Couronne d'Allister; Cape Martegel; Palmes Trithons; Dofus Ocre; Dofus Abyssal; Dofus des Glaces; Dofus Pourpre; Vigoureux majeur; Cascadeur majeur; Blérodoudou</t>
        </is>
      </c>
    </row>
    <row r="11349">
      <c r="A11349" t="inlineStr">
        <is>
          <t>Ouginak M 200</t>
        </is>
      </c>
      <c r="B11349">
        <f>HYPERLINK("https://www.dofusbook.net/fr/equipement/4044548-ouginak-m-200/objets", "link")</f>
        <v/>
      </c>
      <c r="C11349" t="n">
        <v>2</v>
      </c>
      <c r="D11349" t="inlineStr">
        <is>
          <t>Dagoulinantes; Amulette de Shokkoth; Alliance Gloursonne; Anneau Volkorne; Bouclier d'Ilyzaelle; Poulpagne; Kidibonnet; Cape du Sinistrofu; Bottes du Sinistrofu; Dofus Turquoise; Dofus des Glaces; Dofus Pourpre; Dofus Ocre; Chanceux majeur; Vigoureux majeur; Kanigloups</t>
        </is>
      </c>
    </row>
    <row r="11350">
      <c r="A11350" t="inlineStr">
        <is>
          <t>Huppermage F 200</t>
        </is>
      </c>
      <c r="B11350">
        <f>HYPERLINK("https://www.dofusbook.net/fr/equipement/3991301-huppermage-f-200/objets", "link")</f>
        <v/>
      </c>
      <c r="C11350" t="n">
        <v>1</v>
      </c>
      <c r="D11350" t="inlineStr">
        <is>
          <t>Arc Honte; Amulette Martegel; Bague Gloursonne; Alliance Gloursonne; Bouclier du Stalak; Ceinture de l'Esprit Salvateur; Masque de l'Esprit Salvateur; Cape Martegel; Bottes de l'Esprit Salvateur; Dofus Vulbis; Dofus Ocre; Dofus Pourpre; Dofus Abyssal; Dofus des Glaces; Dofus Ivoire; Willy le Relou</t>
        </is>
      </c>
    </row>
    <row r="11351">
      <c r="A11351" t="inlineStr">
        <is>
          <t>Terre</t>
        </is>
      </c>
      <c r="B11351">
        <f>HYPERLINK("https://www.dofusbook.net/fr/equipement/3804735-terre/objets", "link")</f>
        <v/>
      </c>
      <c r="C11351" t="n">
        <v>5</v>
      </c>
      <c r="D11351" t="inlineStr">
        <is>
          <t>Arc du Chalœil; Collier de Tourthon; Anneau Volkorne; Anneau Crustique; Bouclier du Stalak; Ceinture Volkorne; Masque de Koutoulou; Cape au Logis; Bottes du Cœur Saignant; Dofus Ocre; Dofus Abyssal; Dofus des Glaces; Dofus Ivoire; Dévastateur Terre majeur; Enragé majeur; Bulbisou</t>
        </is>
      </c>
    </row>
    <row r="11352">
      <c r="A11352" t="inlineStr">
        <is>
          <t>Terre 2</t>
        </is>
      </c>
      <c r="B11352">
        <f>HYPERLINK("https://www.dofusbook.net/fr/equipement/3929980-terre-2/objets", "link")</f>
        <v/>
      </c>
      <c r="C11352" t="n">
        <v>2</v>
      </c>
      <c r="D11352" t="inlineStr">
        <is>
          <t>Arc du Chalœil; Collier de Tourthon; Anneau Crustique; Anneau Volkorne; Bouclier du Stalak; Ceinture Volkorne; Masque de Koutoulou; Cape au Logis; Bottes de la Cour Sombre; Dofus Ocre; Dofus Abyssal; Dofus des Glaces; Dofus Ivoire; Dévastateur Terre majeur; Enragé majeur; Bulbisou</t>
        </is>
      </c>
    </row>
    <row r="11353">
      <c r="A11353" t="inlineStr">
        <is>
          <t>Ougi Terre</t>
        </is>
      </c>
      <c r="B11353">
        <f>HYPERLINK("https://www.dofusbook.net/fr/equipement/3910608-ougi-terre/objets", "link")</f>
        <v/>
      </c>
      <c r="C11353" t="n">
        <v>7</v>
      </c>
      <c r="D11353" t="inlineStr">
        <is>
          <t>Marteau R'ture; Amulette du Strigide; Anneau Crustique; Anneau Chevelu; Bouclier d'Ilyzaelle; Ceinture du Strigide; Masque de Koutoulou; Cape au Logis; Bottes de la Cour Sombre; Dofus Pourpre; Dofus Ivoire; Dofus des Glaces; Dofus Ocre; Dofus Turquoise; Dofus Abyssal; Bulbisou</t>
        </is>
      </c>
    </row>
    <row r="11354">
      <c r="A11354" t="inlineStr">
        <is>
          <t>Zobal F 200</t>
        </is>
      </c>
      <c r="B11354">
        <f>HYPERLINK("https://www.dofusbook.net/fr/equipement/3894895-zobal-f-200/objets", "link")</f>
        <v/>
      </c>
      <c r="C11354" t="n">
        <v>1</v>
      </c>
      <c r="D11354" t="inlineStr">
        <is>
          <t>Lav'Hache; Collier de Tourthon; Anneau Chevelu; Anneau Volkorne; Bouclier du Stalak; Ceinture Volkorne; Masque de Koutoulou; Cape au Logis; Bottes de la Cour Sombre; Dofus Abyssal; Dofus Pourpre; Dofus des Glaces; Dofus Ocre; Dofus Ivoire; Bulbisou</t>
        </is>
      </c>
    </row>
    <row r="11355">
      <c r="A11355" t="inlineStr">
        <is>
          <t>Eau/Feu no crit</t>
        </is>
      </c>
      <c r="B11355">
        <f>HYPERLINK("https://www.dofusbook.net/fr/equipement/3843234-eau-feu-no-crit/objets", "link")</f>
        <v/>
      </c>
      <c r="C11355" t="n">
        <v>0</v>
      </c>
      <c r="D11355" t="inlineStr">
        <is>
          <t>Pyraguette; Amulette Volkorne; Alliance Gloursonne; Anneau Volkorne; Bouclier du Stalak; Ceinture de l'Esprit Salvateur; Masque de l'Esprit Salvateur; Voilamibe; Bottes de l'Esprit Salvateur; Dofus Nébuleux; Dofus des Glaces; Dolmanax; Dofus Ocre; Dofus Pourpre; Robuste majeur; Dragodinde Ivoire</t>
        </is>
      </c>
    </row>
    <row r="11356">
      <c r="A11356" t="inlineStr">
        <is>
          <t>Huppermage F 200</t>
        </is>
      </c>
      <c r="B11356">
        <f>HYPERLINK("https://www.dofusbook.net/fr/equipement/3838079-huppermage-f-200/objets", "link")</f>
        <v/>
      </c>
      <c r="C11356" t="n">
        <v>1</v>
      </c>
      <c r="D11356" t="inlineStr">
        <is>
          <t>Épée Brûlâme; Amulette du Strigide; Anneau Toriété; Alliance Gloursonne; Bouclier Taverne; Ceinture du Strigide; Kidibonnet; Cape de la Dame du Hasard; Bottes de la Dame du Hasard; Dolmanax; Dofus Abyssal; Dofus Turquoise; Dofus des Glaces; Dofus Pourpre; Dofus Ocre; Kokulte</t>
        </is>
      </c>
    </row>
    <row r="11357">
      <c r="A11357" t="inlineStr">
        <is>
          <t>Panda Tank</t>
        </is>
      </c>
      <c r="B11357">
        <f>HYPERLINK("https://www.dofusbook.net/fr/equipement/3818937-panda-tank/objets", "link")</f>
        <v/>
      </c>
      <c r="C11357" t="n">
        <v>7</v>
      </c>
      <c r="D11357" t="inlineStr">
        <is>
          <t>Lav'Hache; Collier de Tourthon; Anneau Crustique; Alliance Gloursonne; Bouclier Terrdala; Ceintouse; Masque de Koutoulou; Voile d'encre; Tentassons; Dofus des Glaces; Dofus Abyssal; Dofus Ocre; Dofus Pourpre; Nomade; Enragé majeur; Dragodinde Amande et Pourpre</t>
        </is>
      </c>
    </row>
    <row r="11358">
      <c r="A11358" t="inlineStr">
        <is>
          <t>Crâ M 200</t>
        </is>
      </c>
      <c r="B11358">
        <f>HYPERLINK("https://www.dofusbook.net/fr/equipement/3817309-cra-m-200/objets", "link")</f>
        <v/>
      </c>
      <c r="C11358" t="n">
        <v>1</v>
      </c>
      <c r="D11358" t="inlineStr">
        <is>
          <t>Arc Volkorne; Amulette Volkorne; Anneau Volkorne; Bague Trithon; Quatre-feuilles; Ceinture Volkorne; Masque Trithon; Cape du Chalœil; Bottes Trithon; Dofus Pourpre; Dofus Ocre; Dofus Turquoise; Dofus Abyssal; Dofus des Glaces; Dofus Ivoire; Fëanor</t>
        </is>
      </c>
    </row>
    <row r="11359">
      <c r="A11359" t="inlineStr">
        <is>
          <t>Huppermage F 200</t>
        </is>
      </c>
      <c r="B11359">
        <f>HYPERLINK("https://www.dofusbook.net/fr/equipement/3815711-huppermage-f-200/objets", "link")</f>
        <v/>
      </c>
      <c r="C11359" t="n">
        <v>0</v>
      </c>
      <c r="D11359" t="inlineStr">
        <is>
          <t>Épée Brûlâme; Amulette Volkorne; Alliance Gloursonne; Anneau Volkorne; Bouclier Taverne; Ceintacé; Casqnoar; Cape de la Dame du Hasard; Bottes de la Dame du Hasard; Dofus Pourpre; Dofus des Glaces; Dofus Abyssal; Dofus Turquoise; Dofus Ocre; Voyageur; Kokulte</t>
        </is>
      </c>
    </row>
    <row r="11360">
      <c r="A11360" t="inlineStr">
        <is>
          <t>Feu/Eau/Air Do Crit</t>
        </is>
      </c>
      <c r="B11360">
        <f>HYPERLINK("https://www.dofusbook.net/fr/equipement/3807696-feu-eau-air-do-crit/objets", "link")</f>
        <v/>
      </c>
      <c r="C11360" t="n">
        <v>2</v>
      </c>
      <c r="D11360" t="inlineStr">
        <is>
          <t>Sabres d'Atcham; Amulette Volkorne; Anneau Volkorne; Anneau de Padgref; Quatre-feuilles; Ceintacé; Casque Volkorne; Cape d'Atcham; Getas de Padgref; Dofus Pourpre; Dofus Ocre; Dofus Turquoise; Dofus Abyssal; Dofus des Glaces; Dofus Ivoire; Kokulte</t>
        </is>
      </c>
    </row>
    <row r="11361">
      <c r="A11361" t="inlineStr">
        <is>
          <t>Terre/Feu/Eau</t>
        </is>
      </c>
      <c r="B11361">
        <f>HYPERLINK("https://www.dofusbook.net/fr/equipement/3805194-terre-feu-eau/objets", "link")</f>
        <v/>
      </c>
      <c r="C11361" t="n">
        <v>0</v>
      </c>
      <c r="D11361" t="inlineStr">
        <is>
          <t>Hache du Chalœil; Amulette Volkorne; Alliance du Lévitrof; Anneau Volkorne; Quatre-feuilles; Ceinture Volkorne; Coiffe du Lévitrof; Voile d'encre; Bottes du Lévitrof; Dofus Turquoise; Dofus Abyssal; Dofus des Glaces; Dofus Ivoire; Dofus Pourpre; Dofus Ocre; Kokulte</t>
        </is>
      </c>
    </row>
    <row r="11362">
      <c r="A11362" t="inlineStr">
        <is>
          <t>Huppermage F 200</t>
        </is>
      </c>
      <c r="B11362">
        <f>HYPERLINK("https://www.dofusbook.net/fr/equipement/3806392-huppermage-f-200/objets", "link")</f>
        <v/>
      </c>
      <c r="C11362" t="n">
        <v>0</v>
      </c>
      <c r="D11362" t="inlineStr">
        <is>
          <t>Arc de Koutoulou; Amulette du Strigide; Anneau Volkorne; Anneau Toriété; Quatre-feuilles; Ceinture du Strigide; Casque Volkorne; Chevelure de Tal Kasha; Sandales de Tal Kasha; Dofus Turquoise; Dofus Nébuleux; Dolmanax; Dofus Pourpre; Dofus Ocre; Dofus des Glaces; Balafreux</t>
        </is>
      </c>
    </row>
    <row r="11363">
      <c r="A11363" t="inlineStr">
        <is>
          <t>Terre/Feu Crit</t>
        </is>
      </c>
      <c r="B11363">
        <f>HYPERLINK("https://www.dofusbook.net/fr/equipement/3814796-terre-feu-crit/objets", "link")</f>
        <v/>
      </c>
      <c r="C11363" t="n">
        <v>0</v>
      </c>
      <c r="D11363" t="inlineStr">
        <is>
          <t>Hache Téroïde; Amulette Volkorne; Chevalière du Roi Joueur; Anneau Volkorne; Quatre-feuilles; Ceinture Volkorne; Couronne du Roi Joueur; Voile d'encre; Bottes du Roi Joueur; Dofus des Glaces; Dofus Ivoire; Dofus Turquoise; Dofus Ocre; Dofus Pourpre; Dofus Abyssal; Kokulte</t>
        </is>
      </c>
    </row>
    <row r="11364">
      <c r="A11364" t="inlineStr">
        <is>
          <t>Feu/Air crit</t>
        </is>
      </c>
      <c r="B11364">
        <f>HYPERLINK("https://www.dofusbook.net/fr/equipement/3814771-feu-air-crit/objets", "link")</f>
        <v/>
      </c>
      <c r="C11364" t="n">
        <v>1</v>
      </c>
      <c r="D11364" t="inlineStr">
        <is>
          <t>Sabres d'Atcham; Amulette Volkorne; Anneau Toriété; Bague Trithon; Quatre-feuilles; Ceintacé; Casque Volkorne; Cape d'Atcham; Bottes Trithon; Dofus Pourpre; Dofus Abyssal; Dofus des Glaces; Dofus Ivoire; Dofus Turquoise; Dofus Ocre; Kokulte</t>
        </is>
      </c>
    </row>
    <row r="11365">
      <c r="A11365" t="inlineStr">
        <is>
          <t>Feu/Eau/Air crit 2</t>
        </is>
      </c>
      <c r="B11365">
        <f>HYPERLINK("https://www.dofusbook.net/fr/equipement/3814409-feu-eau-air-crit-2/objets", "link")</f>
        <v/>
      </c>
      <c r="C11365" t="n">
        <v>0</v>
      </c>
      <c r="D11365" t="inlineStr">
        <is>
          <t>Sabres d'Atcham; Amulette du Strigide; Bague Trithon; Anneau Toriété; Bouclier Taverne; Ceinture du Strigide; Masque Trithon; Cape d'Atcham; Bottes Trithon; Dofus des Glaces; Dofus Ivoire; Dofus Pourpre; Dofus Ocre; Dofus Turquoise; Dofus Abyssal; Kokulte</t>
        </is>
      </c>
    </row>
    <row r="11366">
      <c r="A11366" t="inlineStr">
        <is>
          <t>Huppermage F 200</t>
        </is>
      </c>
      <c r="B11366">
        <f>HYPERLINK("https://www.dofusbook.net/fr/equipement/3814157-huppermage-f-200/objets", "link")</f>
        <v/>
      </c>
      <c r="C11366" t="n">
        <v>0</v>
      </c>
      <c r="D11366" t="inlineStr">
        <is>
          <t>Hache du Chalœil; Amulette du Strigide; Bague Gloursonne; Bague Trithon; Quatre-feuilles; Ceinture du Strigide; Masque Trithon; Cape au Logis; Bottes Trithon; Dofus Turquoise; Dofus Abyssal; Dofus des Glaces; Dofus Ivoire; Dofus Pourpre; Dofus Ocre; Kokulte</t>
        </is>
      </c>
    </row>
    <row r="11367">
      <c r="A11367" t="inlineStr">
        <is>
          <t>Huppermage F 200</t>
        </is>
      </c>
      <c r="B11367">
        <f>HYPERLINK("https://www.dofusbook.net/fr/equipement/3812736-huppermage-f-200/objets", "link")</f>
        <v/>
      </c>
      <c r="C11367" t="n">
        <v>0</v>
      </c>
      <c r="D11367" t="inlineStr">
        <is>
          <t>Marteau des Anciens Steamers; Amulette du Strigide; Anneau Toriété; Alliance Gloursonne; Bouclier Taverne; Ceinture du Strigide; Némès de Tal Kasha; Chevelure de Tal Kasha; Sandales de Tal Kasha; Dofus des Glaces; Dofus Ivoire; Dofus Turquoise; Dofus Ocre; Dofus Pourpre; Dofus Abyssal; Kokulte</t>
        </is>
      </c>
    </row>
    <row r="11368">
      <c r="A11368" t="inlineStr">
        <is>
          <t>Do Pou</t>
        </is>
      </c>
      <c r="B11368">
        <f>HYPERLINK("https://www.dofusbook.net/fr/equipement/3812504-do-pou/objets", "link")</f>
        <v/>
      </c>
      <c r="C11368" t="n">
        <v>0</v>
      </c>
      <c r="D11368" t="inlineStr">
        <is>
          <t>Arc du Chalœil; Torquistik; Bague Instable; Bague Trithon; Bouclier précieux; Sangle Ouare; Casque Dragoeuf; Cape Solution; Bottistik; Dofus Ocre; Dofus Ivoire; Pousseur majeur; Bousculeur majeur; Culbuteur; Culbuteur majeur; Tatouf</t>
        </is>
      </c>
    </row>
    <row r="11369">
      <c r="A11369" t="inlineStr">
        <is>
          <t>Huppermage F 200</t>
        </is>
      </c>
      <c r="B11369">
        <f>HYPERLINK("https://www.dofusbook.net/fr/equipement/3809804-huppermage-f-200/objets", "link")</f>
        <v/>
      </c>
      <c r="C11369" t="n">
        <v>0</v>
      </c>
      <c r="D11369" t="inlineStr">
        <is>
          <t>Hache Téroïde; Amulette Volkorne; Chevalière du Roi Joueur; Bague Gloursonne; Quatre-feuilles; Ceinture Volkorne; Couronne du Roi Joueur; Cape au Logis; Bottes du Roi Joueur; Dofus des Glaces; Dofus Ivoire; Dofus Turquoise; Dofus Ocre; Dofus Pourpre; Dofus Abyssal; Kokulte</t>
        </is>
      </c>
    </row>
    <row r="11370">
      <c r="A11370" t="inlineStr">
        <is>
          <t>Huppermage F 200</t>
        </is>
      </c>
      <c r="B11370">
        <f>HYPERLINK("https://www.dofusbook.net/fr/equipement/3809352-huppermage-f-200/objets", "link")</f>
        <v/>
      </c>
      <c r="C11370" t="n">
        <v>0</v>
      </c>
      <c r="D11370" t="inlineStr">
        <is>
          <t>Epée Loponèze; Amulette d'Ilyzaelle; Alliance Gloursonne; Anneau Toriété; Bouclier d'Ilyzaelle; Ceinture de la Reine des Voleurs; Casque d'Ilyzaelle; Dofusteuse; Bottes de la Reine des Voleurs; Dofus Nébuleux; Dofus Abyssal; Dofus des Glaces; Dofus Ivoire; Dofus Pourpre; Dofus Ocre; Mini Wa</t>
        </is>
      </c>
    </row>
    <row r="11371">
      <c r="A11371" t="inlineStr">
        <is>
          <t>Huppermage F 200</t>
        </is>
      </c>
      <c r="B11371">
        <f>HYPERLINK("https://www.dofusbook.net/fr/equipement/3808340-huppermage-f-200/objets", "link")</f>
        <v/>
      </c>
      <c r="C11371" t="n">
        <v>0</v>
      </c>
      <c r="D11371" t="inlineStr">
        <is>
          <t>Dagoulinantes; Amulette d'Ilyzaelle; Anneau Volkorne; Bracelet des Fonds marins; Bouclier d'Ilyzaelle; Sangle Ouare; Casque Volkorne; Cape Solution; Sandales des Fonds marins; Dofus des Glaces; Dofus Ivoire; Dofus Nébuleux; Dofus Ocre; Dofus Pourpre; Dofus Abyssal; Kanigloups</t>
        </is>
      </c>
    </row>
    <row r="11372">
      <c r="A11372" t="inlineStr">
        <is>
          <t>Full Agi</t>
        </is>
      </c>
      <c r="B11372">
        <f>HYPERLINK("https://www.dofusbook.net/fr/equipement/3808276-full-agi-/objets", "link")</f>
        <v/>
      </c>
      <c r="C11372" t="n">
        <v>0</v>
      </c>
      <c r="D11372" t="inlineStr">
        <is>
          <t>Manthache; Collier du Valet Veinard; Gant du Valet Veinard; Alliance Gloursonne; Bouclier du Stalak; Menoture; Couronne d'Allister; Cape Indescriptible; Palmes Trithons; Dofus Abyssal; Dofus Ocre; Dofus des Glaces; Cascadeur majeur; Nomade; Dévastateur Air majeur; Blérodoudou</t>
        </is>
      </c>
    </row>
    <row r="11373">
      <c r="A11373" t="inlineStr">
        <is>
          <t>Feu/Eau m</t>
        </is>
      </c>
      <c r="B11373">
        <f>HYPERLINK("https://www.dofusbook.net/fr/equipement/3805260-feu-eau-m/objets", "link")</f>
        <v/>
      </c>
      <c r="C11373" t="n">
        <v>0</v>
      </c>
      <c r="D11373" t="inlineStr">
        <is>
          <t>Épée Brûlâme; Amulette Volkorne; Anneau Toriété; Anneau Volkorne; Bouclier du Captain Amakna; Ceintacé; Heaume Oplate; Cape de la Dame du Hasard; Bottes de la Dame du Hasard; Dolmanax; Dofus des Glaces; Dofus Pourpre; Dofus Abyssal; Dofus Nébuleux; Dofus Turquoise; Kokulte</t>
        </is>
      </c>
    </row>
    <row r="11374">
      <c r="A11374" t="inlineStr">
        <is>
          <t>Full O</t>
        </is>
      </c>
      <c r="B11374">
        <f>HYPERLINK("https://www.dofusbook.net/fr/equipement/2756209-full-o/objets", "link")</f>
        <v/>
      </c>
      <c r="C11374" t="n">
        <v>1</v>
      </c>
      <c r="D11374" t="inlineStr">
        <is>
          <t>Dagoulinantes; Amulette d'Ilyzaelle; Anneau Volkorne; Alliance Gloursonne; Bouclier d'Ilyzaelle; Ceinture de la Reine des Voleurs; Casque Volkorne; Cape Solution; Bottes de la Reine des Voleurs; Dofus Abyssal; Dofus Ocre; Dofus Ivoire; Dofus des Glaces; Dofus Vulbis; Dofus Pourpre; Kanigloups</t>
        </is>
      </c>
    </row>
    <row r="11375">
      <c r="A11375" t="inlineStr">
        <is>
          <t>Terre 2</t>
        </is>
      </c>
      <c r="B11375">
        <f>HYPERLINK("https://www.dofusbook.net/fr/equipement/3777874-terre-2/objets", "link")</f>
        <v/>
      </c>
      <c r="C11375" t="n">
        <v>1</v>
      </c>
      <c r="D11375" t="inlineStr">
        <is>
          <t>Marteau R'ture; Amulette du Cœur Saignant; Anneau Chevelu; Anneau Volkorne; Bouclier Taverne; Ceinture Volkorne; Masque de Koutoulou; Cape au Logis; Bottes du Cœur Saignant; Dofus des Glaces; Dofus Abyssal; Dofus Pourpre; Dofus Ivoire; Dofus Turquoise; Dofus Ocre; Bulbisou</t>
        </is>
      </c>
    </row>
    <row r="11376">
      <c r="A11376" t="inlineStr">
        <is>
          <t>Terre/Feu crit</t>
        </is>
      </c>
      <c r="B11376">
        <f>HYPERLINK("https://www.dofusbook.net/fr/equipement/3794176-terre-feu-crit/objets", "link")</f>
        <v/>
      </c>
      <c r="C11376" t="n">
        <v>0</v>
      </c>
      <c r="D11376" t="inlineStr">
        <is>
          <t>Hache Téroïde; Amulette du Strigide; Bague Gloursonne; Chevalière du Roi Joueur; Bouclier du Captain Amakna; Ceinture du Strigide; Couronne du Roi Joueur; Cape au Logis; Bottes du Roi Joueur; Dofus Turquoise; Dofus Abyssal; Dofus des Glaces; Dofus Ivoire; Dofus Pourpre; Dofus Ocre; Kokulte</t>
        </is>
      </c>
    </row>
    <row r="11377">
      <c r="A11377" t="inlineStr">
        <is>
          <t>Terre / Feu crit</t>
        </is>
      </c>
      <c r="B11377">
        <f>HYPERLINK("https://www.dofusbook.net/fr/equipement/2893484-terre---feu-crit/objets", "link")</f>
        <v/>
      </c>
      <c r="C11377" t="n">
        <v>0</v>
      </c>
      <c r="D11377" t="inlineStr">
        <is>
          <t>Hache Téroïde; Amulette du Strigide; Chevalière du Roi Joueur; Bague Gloursonne; Bouclier Taverne; Ceinture du Strigide; Couronne du Roi Joueur; Cape au Logis; Bottes du Roi Joueur; Dofus Pourpre; Dofus des Glaces; Dofus Abyssal; Dofus Turquoise; Dofus Ivoire; Dofus Ocre; Kokulte</t>
        </is>
      </c>
    </row>
    <row r="11378">
      <c r="A11378" t="inlineStr">
        <is>
          <t>Feu/eau crit</t>
        </is>
      </c>
      <c r="B11378">
        <f>HYPERLINK("https://www.dofusbook.net/fr/equipement/3794273-feu-eau-crit/objets", "link")</f>
        <v/>
      </c>
      <c r="C11378" t="n">
        <v>0</v>
      </c>
      <c r="D11378" t="inlineStr">
        <is>
          <t>Épée Brûlâme; Amulette du Strigide; Anneau Tique; Alliance Gloursonne; Bouclier du Captain Amakna; Ceintacé; Masque d'Anerice; Cape de la Dame du Hasard; Bottes de la Dame du Hasard; Dofus des Glaces; Dofus Pourpre; Dofus Turquoise; Vigoureux majeur; Nomade; Remueur; Kokulte</t>
        </is>
      </c>
    </row>
    <row r="11379">
      <c r="A11379" t="inlineStr">
        <is>
          <t>Terre Tank</t>
        </is>
      </c>
      <c r="B11379">
        <f>HYPERLINK("https://www.dofusbook.net/fr/equipement/3768216-terre-tank/objets", "link")</f>
        <v/>
      </c>
      <c r="C11379" t="n">
        <v>1</v>
      </c>
      <c r="D11379" t="inlineStr">
        <is>
          <t>Lav'Hache; Collier de Tourthon; Anneau Chevelu; Anneau Crustique; Bouclier Terrdala; Ceinture de la Cour Sombre; Masque de Koutoulou; Cape au Logis; Bottes de la Cour Sombre; Dofus Ivoire; Dofus Abyssal; Dofus Émeraude; Dofus Ocre; Dofus Turquoise; Dofus Pourpre; Marcassin</t>
        </is>
      </c>
    </row>
    <row r="11380">
      <c r="A11380" t="inlineStr">
        <is>
          <t>Multi 12/6 No crit</t>
        </is>
      </c>
      <c r="B11380">
        <f>HYPERLINK("https://www.dofusbook.net/fr/equipement/3780112-multi-12-6-no-crit/objets", "link")</f>
        <v/>
      </c>
      <c r="C11380" t="n">
        <v>0</v>
      </c>
      <c r="D11380" t="inlineStr">
        <is>
          <t>Epée Gloursonne; Amulette d'Ilyzaelle; Alliance Gloursonne; Bague Gloursonne; Bouclier du Stalak; Ceinture de l'Esprit Salvateur; Masque de l'Esprit Salvateur; Dofusteuse; Bottes de l'Esprit Salvateur; Dofus des Glaces; Dofus Ivoire; Dolmanax; Dofus Ocre; Dofus Pourpre; Dofus Abyssal; Muldo Doré et Indigo</t>
        </is>
      </c>
    </row>
    <row r="11381">
      <c r="A11381" t="inlineStr">
        <is>
          <t>Eau do pou 2</t>
        </is>
      </c>
      <c r="B11381">
        <f>HYPERLINK("https://www.dofusbook.net/fr/equipement/3749250-eau-do-pou-2/objets", "link")</f>
        <v/>
      </c>
      <c r="C11381" t="n">
        <v>0</v>
      </c>
      <c r="D11381" t="inlineStr">
        <is>
          <t>Sceptre du Roi Joueur; Amulette du Sinistrofu; Bague Trithon; Alliance Gloursonne; Bouclier Taverne; Sangle Ouare; Casque Dragoeuf; Cape Solution; Bottes Trithon; Dofus Ocre; Dofus Ivoire; Dofus Abyssal; Culbuteur majeur; Chanceux majeur; Bousculeur majeur; Écumouth</t>
        </is>
      </c>
    </row>
    <row r="11382">
      <c r="A11382" t="inlineStr">
        <is>
          <t>Terre</t>
        </is>
      </c>
      <c r="B11382">
        <f>HYPERLINK("https://www.dofusbook.net/fr/equipement/3745999-terre/objets", "link")</f>
        <v/>
      </c>
      <c r="C11382" t="n">
        <v>0</v>
      </c>
      <c r="D11382" t="inlineStr">
        <is>
          <t>Dagues d'Ilyzaelle; Collier de Tourthon; Bague Gloursonne; Anneau Chevelu; Bouclier d'Ilyzaelle; Ceinture de la Cour Sombre; Masque de Koutoulou; Cape au Logis; Bottes de la Cour Sombre; Dofus Ocre; Dofus Pourpre; Dofus Ivoire; Dofus Turquoise; Dofus Abyssal; Enragé majeur; Bulbisou</t>
        </is>
      </c>
    </row>
    <row r="11383">
      <c r="A11383" t="inlineStr">
        <is>
          <t>Eau do pou</t>
        </is>
      </c>
      <c r="B11383">
        <f>HYPERLINK("https://www.dofusbook.net/fr/equipement/3739017-eau-do-pou/objets", "link")</f>
        <v/>
      </c>
      <c r="C11383" t="n">
        <v>0</v>
      </c>
      <c r="D11383" t="inlineStr">
        <is>
          <t>Masse Ossiale; Amulette du Sinistrofu; Alliance Gloursonne; Bague Trithon; Bouclier d'Ilyzaelle; Sangle Ouare; Masque de l'Esprit Malsain; Cape Solution; Bottes Trithon; Dofus Ivoire; Dofus Ocre; Dofus Pourpre; Chanceux majeur; Bousculeur majeur; Culbuteur majeur; Écumouth</t>
        </is>
      </c>
    </row>
    <row r="11384">
      <c r="A11384" t="inlineStr">
        <is>
          <t>Full Do pou</t>
        </is>
      </c>
      <c r="B11384">
        <f>HYPERLINK("https://www.dofusbook.net/fr/equipement/3741702-full-do-pou/objets", "link")</f>
        <v/>
      </c>
      <c r="C11384" t="n">
        <v>0</v>
      </c>
      <c r="D11384" t="inlineStr">
        <is>
          <t>Arc du Chalœil; Torquistik; Bague Trithon; Bague Instable; Bouclier précieux; Sangle Ouare; Casque Dragoeuf; Cape Solution; Bottistik; Dofus Ivoire; Dofus Abyssal; Bousculeur majeur; Culbuteur; Culbuteur majeur; Pousseur majeur; Volkorne Roux</t>
        </is>
      </c>
    </row>
    <row r="11385">
      <c r="A11385" t="inlineStr">
        <is>
          <t>Terre do pou</t>
        </is>
      </c>
      <c r="B11385">
        <f>HYPERLINK("https://www.dofusbook.net/fr/equipement/3741652-terre-do-pou/objets", "link")</f>
        <v/>
      </c>
      <c r="C11385" t="n">
        <v>0</v>
      </c>
      <c r="D11385" t="inlineStr">
        <is>
          <t>Arc du Chalœil; Torquistik; Bague Trithon; Bague Instable; Bouclier précieux; Ceinture Gence; Casque Dragoeuf; Cape au Logis; Bottistik; Dofus Ivoire; Dofus Abyssal; Bousculeur majeur; Culbuteur majeur; Pousseur majeur; Volkorne Saphir et Roux</t>
        </is>
      </c>
    </row>
    <row r="11386">
      <c r="A11386" t="inlineStr">
        <is>
          <t>Zobal F 200</t>
        </is>
      </c>
      <c r="B11386">
        <f>HYPERLINK("https://www.dofusbook.net/fr/equipement/3734071-zobal-f-200/objets", "link")</f>
        <v/>
      </c>
      <c r="C11386" t="n">
        <v>2</v>
      </c>
      <c r="D11386" t="inlineStr">
        <is>
          <t>Dagues de Srambad; Amulette Luminescente; Anneau Volkorne; Anneau Toriété; Bouclier Aerdala; Ceinture Volkorne; Coiffe de la Reine des Voleurs; Cape Luminescente; Bottes de la Reine des Voleurs; Dofus des Glaces; Dofus Ivoire; Dofus Abyssal; Dofus Pourpre; Dofus Ocre; Bousculeur majeur; Volkorne Pourpre et Indigo</t>
        </is>
      </c>
    </row>
    <row r="11387">
      <c r="A11387" t="inlineStr">
        <is>
          <t>Huppermage F 200</t>
        </is>
      </c>
      <c r="B11387">
        <f>HYPERLINK("https://www.dofusbook.net/fr/equipement/3603920-huppermage-f-200/objets", "link")</f>
        <v/>
      </c>
      <c r="C11387" t="n">
        <v>0</v>
      </c>
      <c r="D11387" t="inlineStr">
        <is>
          <t>Épouvante; Amulette du Strigide; Anneau en Grithril; Anneau Volkorne; Bouclier du Captain Amakna; Ceinture Volkorne; Masque de Funespadon; Cape Luminescente; Bottes Honyme; Dofus des Glaces; Dofus Pourpre; Dofus Turquoise; Remueur; Vigoureux majeur; Nomade; Muldo Ebène et Orchidée</t>
        </is>
      </c>
    </row>
    <row r="11388">
      <c r="A11388" t="inlineStr">
        <is>
          <t>Huppermage F 200</t>
        </is>
      </c>
      <c r="B11388">
        <f>HYPERLINK("https://www.dofusbook.net/fr/equipement/3585105-huppermage-f-200/objets", "link")</f>
        <v/>
      </c>
      <c r="C11388" t="n">
        <v>0</v>
      </c>
      <c r="D11388" t="inlineStr">
        <is>
          <t>Arc Volkorne; Amulette Volkorne; Bague Trithon; Anneau Volkorne; Quatre-feuilles; Ceinture Volkorne; Masque Trithon; Dofusteuse; Bottes Trithon; Dofus Pourpre; Dofus Nébuleux; Dofus Turquoise; Dofus Ocre; Dofus des Glaces; Dofus Ivoire; Volkorne Améthyste</t>
        </is>
      </c>
    </row>
    <row r="11389">
      <c r="A11389" t="inlineStr">
        <is>
          <t>Terre-Multi</t>
        </is>
      </c>
      <c r="B11389">
        <f>HYPERLINK("https://www.dofusbook.net/fr/equipement/3105494-terre-multi/objets", "link")</f>
        <v/>
      </c>
      <c r="C11389" t="n">
        <v>0</v>
      </c>
      <c r="D11389" t="inlineStr">
        <is>
          <t>Hache du Chalœil; Amulette du Strigide; Bague Trithon; Alliance de Missiz Frizz; Bouclier du Captain Amakna; Ceinture du Strigide; Masque Trithon; Voile d'encre; Bottes Trithon; Dofus Turquoise; Dofus Ivoire; Dolmanax; Dofus Ocre; Dofus Pourpre; Dofus des Glaces; Muldo Prune et Pourpre</t>
        </is>
      </c>
    </row>
    <row r="11390">
      <c r="A11390" t="inlineStr">
        <is>
          <t>Terre-Eau</t>
        </is>
      </c>
      <c r="B11390">
        <f>HYPERLINK("https://www.dofusbook.net/fr/equipement/3105267-terre-eau/objets", "link")</f>
        <v/>
      </c>
      <c r="C11390" t="n">
        <v>2</v>
      </c>
      <c r="D11390" t="inlineStr">
        <is>
          <t>Dagues de Srambad; Amulette du Piloztère; Bracelet du Piloztère; Alliance Gloursonne; Bouclier d'Ilyzaelle; Ceinture de la Reine des Voleurs; Coiffe de la Reine des Voleurs; Cape Solution; Pantoufles du Piloztère; Dofus Ocre; Dolmanax; Dofus des Glaces; Dofus Pourpre; Dofus Ivoire; Robuste majeur; Muldo Caméléon</t>
        </is>
      </c>
    </row>
    <row r="11391">
      <c r="A11391" t="inlineStr">
        <is>
          <t>Terre-Eau-Tank-Crit</t>
        </is>
      </c>
      <c r="B11391">
        <f>HYPERLINK("https://www.dofusbook.net/fr/equipement/3105112-terre-eau-tank-crit/objets", "link")</f>
        <v/>
      </c>
      <c r="C11391" t="n">
        <v>2</v>
      </c>
      <c r="D11391" t="inlineStr">
        <is>
          <t>Épouvante; Amulette du Strigide; Alliance Gloursonne; Bague Gloursonne; Bouclier d'Ilyzaelle; Culotte de Bethel; Masque de Funespadon; Cape d'Anerice; Chaussons de Macrab; Dofus Turquoise; Dofus Ivoire; Dolmanax; Dofus Ocre; Dofus Pourpre; Dofus des Glaces; Muldo Caméléon</t>
        </is>
      </c>
    </row>
    <row r="11392">
      <c r="A11392" t="inlineStr">
        <is>
          <t>Terre-Air</t>
        </is>
      </c>
      <c r="B11392">
        <f>HYPERLINK("https://www.dofusbook.net/fr/equipement/3087420-terre-air/objets", "link")</f>
        <v/>
      </c>
      <c r="C11392" t="n">
        <v>1</v>
      </c>
      <c r="D11392" t="inlineStr">
        <is>
          <t>Hache Ériphe; Amulette du Strigide; Anneau Chevelu; Bague Trithon; Bouclier du Captain Amakna; Ceinture du Strigide; Masque Trithon; Cape au Logis; Bottes Trithon; Dofus Turquoise; Dolmanax; Dofus Ocre; Dofus Pourpre; Dofus Abyssal; Dofus des Glaces; Kramkram</t>
        </is>
      </c>
    </row>
    <row r="11393">
      <c r="A11393" t="inlineStr">
        <is>
          <t>Terre Air</t>
        </is>
      </c>
      <c r="B11393">
        <f>HYPERLINK("https://www.dofusbook.net/fr/equipement/3087157-terre-air/objets", "link")</f>
        <v/>
      </c>
      <c r="C11393" t="n">
        <v>0</v>
      </c>
      <c r="D11393" t="inlineStr">
        <is>
          <t>Lance corrompue; Amulette de Nevark; Alliance Gloursonne; Bague Gloursonne; Bouclier d'Ilyzaelle; Ceinture de Nevark; Coiffe de la Reine des Voleurs; Cape de Nevark; Baleinabottes; Dolmanax; Dofus des Glaces; Dofus Pourpre; Dofus Abyssal; Dofus Ocre; Robuste majeur; Muldo Caméléon</t>
        </is>
      </c>
    </row>
    <row r="11394">
      <c r="A11394" t="inlineStr">
        <is>
          <t>Multi</t>
        </is>
      </c>
      <c r="B11394">
        <f>HYPERLINK("https://www.dofusbook.net/fr/equipement/2926619-multi/objets", "link")</f>
        <v/>
      </c>
      <c r="C11394" t="n">
        <v>0</v>
      </c>
      <c r="D11394" t="inlineStr">
        <is>
          <t>Marteau de Katrepat; Amulette du Strigide; Bague Trithon; Alliance Gloursonne; Bouclier du Captain Amakna; Ceinture du Strigide; Masque Trithon; Voile d'encre; Bottes Trithon; Dofus Ocre; Dofus Abyssal; Dofus Pourpre; Dofus des Glaces; Dofus Turquoise; Dofus Nébuleux; Muldo Prune et Orchidée</t>
        </is>
      </c>
    </row>
    <row r="11395">
      <c r="A11395" t="inlineStr">
        <is>
          <t>Full terre</t>
        </is>
      </c>
      <c r="B11395">
        <f>HYPERLINK("https://www.dofusbook.net/fr/equipement/3033846-full-terre/objets", "link")</f>
        <v/>
      </c>
      <c r="C11395" t="n">
        <v>0</v>
      </c>
      <c r="D11395" t="inlineStr">
        <is>
          <t>Arc du Chalœil; Amulette du Strigide; Bracelet du Piloztère; Anneau Crustique; Quatre-feuilles; Ceinture du Strigide; Masque de Koutoulou; Cape du Cœur Saignant; Bottes du Cœur Saignant; Dofus Turquoise; Dofus Ocre; Dofus des Glaces; Dofus Pourpre; Dofus Abyssal; Forcené majeur; Muldo Caméléon</t>
        </is>
      </c>
    </row>
    <row r="11396">
      <c r="A11396" t="inlineStr">
        <is>
          <t>Air res</t>
        </is>
      </c>
      <c r="B11396">
        <f>HYPERLINK("https://www.dofusbook.net/fr/equipement/2096440-air-res/objets", "link")</f>
        <v/>
      </c>
      <c r="C11396" t="n">
        <v>2</v>
      </c>
      <c r="D11396" t="inlineStr">
        <is>
          <t>Lance Horselé; Collier du Valet Veinard; Gant du Valet Veinard; Alliance Gloursonne; Bouclier d'Ilyzaelle; Menoture; Masque d'Anerice; Cape d'Anerice; Palmes Trithons; Dofus Ocre; Dofus Émeraude; Dofus Abyssal; Dofus Ivoire; Dofus des Glaces; Dofus Pourpre; Muldo Ebène</t>
        </is>
      </c>
    </row>
    <row r="11397">
      <c r="A11397" t="inlineStr">
        <is>
          <t>Full Terre</t>
        </is>
      </c>
      <c r="B11397">
        <f>HYPERLINK("https://www.dofusbook.net/fr/equipement/412341-full-terre/objets", "link")</f>
        <v/>
      </c>
      <c r="C11397" t="n">
        <v>0</v>
      </c>
      <c r="D11397" t="inlineStr">
        <is>
          <t>Marteau R'ture; Collier de Tourthon; Anneau de Brouce; Anneau Crustique; Bouclier d'Ilyzaelle; Ceinture de la Reine des Voleurs; Coiffe de la Reine des Voleurs; Ankhape; Baleinabottes; Dofus Pourpre; Dofus des Glaces; Robuste majeur; Enragé majeur; Vigoureux majeur; Remueur; Muldo Caméléon</t>
        </is>
      </c>
    </row>
    <row r="11398">
      <c r="A11398" t="inlineStr">
        <is>
          <t>Eau dommages</t>
        </is>
      </c>
      <c r="B11398">
        <f>HYPERLINK("https://www.dofusbook.net/fr/equipement/2935656-eau-dommages/objets", "link")</f>
        <v/>
      </c>
      <c r="C11398" t="n">
        <v>0</v>
      </c>
      <c r="D11398" t="inlineStr"/>
    </row>
    <row r="11399">
      <c r="A11399" t="inlineStr">
        <is>
          <t>Tank</t>
        </is>
      </c>
      <c r="B11399">
        <f>HYPERLINK("https://www.dofusbook.net/fr/equipement/2891899-tank/objets", "link")</f>
        <v/>
      </c>
      <c r="C11399" t="n">
        <v>0</v>
      </c>
      <c r="D11399" t="inlineStr">
        <is>
          <t>Dagoulinantes; Amulette de Shokkoth; Bague Trithon; Alliance Gloursonne; Bouclier précieux; Poulpagne; Masque d'Anerice; Cape d'Anerice; Pataugastrique; Dofus Émeraude; Dofus Pourpre; Nomade; Remueur; Chanceux majeur; Kramkram</t>
        </is>
      </c>
    </row>
    <row r="11400">
      <c r="A11400" t="inlineStr">
        <is>
          <t>Feu/air</t>
        </is>
      </c>
      <c r="B11400">
        <f>HYPERLINK("https://www.dofusbook.net/fr/equipement/2771770-feu-air/objets", "link")</f>
        <v/>
      </c>
      <c r="C11400" t="n">
        <v>2</v>
      </c>
      <c r="D11400" t="inlineStr">
        <is>
          <t>Dagues Érhy; Amulette du Strigide; Bracelet du Piloztère; Anneau de Padgref; Cadran de Feu; Ceinture du Strigide; Heaume Oplate; Cape d'Atcham; Bottes du Katcheur; Dofus Pourpre; Dofus Turquoise; Dofus des Glaces; Nomade; Remueur; Vigoureux majeur; Kramkram</t>
        </is>
      </c>
    </row>
    <row r="11401">
      <c r="A11401" t="inlineStr">
        <is>
          <t>Stuff 1</t>
        </is>
      </c>
      <c r="B11401">
        <f>HYPERLINK("https://www.dofusbook.net/fr/equipement/412329-stuff-1/objets", "link")</f>
        <v/>
      </c>
      <c r="C11401" t="n">
        <v>2</v>
      </c>
      <c r="D11401" t="inlineStr">
        <is>
          <t>Hache du Chalœil; Amulette du Strigide; Alliance du Lévitrof; Bracelet du Piloztère; Quatre-feuilles; Ceinture de l'Indicible; Le Dorado; Voile d'encre; Bottes du Strigide; Dofus des Glaces; Dofus Pourpre; Dofus Turquoise; Vigoureux majeur; Remueur; Nomade; Kramkram</t>
        </is>
      </c>
    </row>
    <row r="11402">
      <c r="A11402" t="inlineStr">
        <is>
          <t>multi</t>
        </is>
      </c>
      <c r="B11402">
        <f>HYPERLINK("https://www.dofusbook.net/fr/equipement/2608265-multi/objets", "link")</f>
        <v/>
      </c>
      <c r="C11402" t="n">
        <v>3</v>
      </c>
      <c r="D11402" t="inlineStr">
        <is>
          <t>Hache du Chalœil; Amulette du Strigide; Bracelet du Piloztère; Alliance Gloursonne; Quatre-feuilles; Ceinture du Strigide; Casque du Chalœil; Voile d'encre; Pataugastrique; Dofus des Glaces; Dofus Turquoise; Dofus Pourpre; Remueur; Vigoureux majeur; Nomade; Kramkram</t>
        </is>
      </c>
    </row>
    <row r="11403">
      <c r="A11403" t="inlineStr">
        <is>
          <t>terre/feu</t>
        </is>
      </c>
      <c r="B11403">
        <f>HYPERLINK("https://www.dofusbook.net/fr/equipement/2597856-terre-feu/objets", "link")</f>
        <v/>
      </c>
      <c r="C11403" t="n">
        <v>1</v>
      </c>
      <c r="D11403" t="inlineStr">
        <is>
          <t>Hache Téroïde; Amulette du Strigide; Bracelet du Piloztère; Bague Gloursonne; Bouclier du Captain Amakna; Ceinture du Strigide; Chapeau de Gein; Voile d'encre; Bottes du Roi Joueur; Dofus Turquoise; Dofus Pourpre; Nomade; Remueur; Vigoureux majeur; Kramkram</t>
        </is>
      </c>
    </row>
    <row r="11404">
      <c r="A11404" t="inlineStr">
        <is>
          <t>Eau/Agi</t>
        </is>
      </c>
      <c r="B11404">
        <f>HYPERLINK("https://www.dofusbook.net/fr/equipement/2583943-eau-agi/objets", "link")</f>
        <v/>
      </c>
      <c r="C11404" t="n">
        <v>0</v>
      </c>
      <c r="D11404" t="inlineStr">
        <is>
          <t>Arc Ahique; Amulette d'Ilyzaelle; Alliance Gloursonne; Bracelet du Piloztère; Bouclier du Stalak; Ceinture de l'Esprit Salvateur; Casque d'Ilyzaelle; Cape Matelassée; Bottes de la Reine des Voleurs; Dolmanax; Dofus Pourpre; Dofus des Glaces; Vigoureux majeur; Sanguinaire majeur; Remueur; Muldo Caméléon</t>
        </is>
      </c>
    </row>
    <row r="11405">
      <c r="A11405" t="inlineStr">
        <is>
          <t>Stuff 2</t>
        </is>
      </c>
      <c r="B11405">
        <f>HYPERLINK("https://www.dofusbook.net/fr/equipement/412330-stuff-2/objets", "link")</f>
        <v/>
      </c>
      <c r="C11405" t="n">
        <v>0</v>
      </c>
      <c r="D11405" t="inlineStr">
        <is>
          <t>Hache du Chalœil; Amulette du Strigide; Bracelet du Piloztère; Bague Trithon; Quatre-feuilles; Ceinture du Strigide; Masque Trithon; Voile d'encre; Bottes Trithon; Dofus Pourpre; Dolmanax; Dofus des Glaces; Dofus Turquoise; Dofus Abyssal; Dofus Ocre; Muldo Caméléon</t>
        </is>
      </c>
    </row>
    <row r="11406">
      <c r="A11406" t="inlineStr">
        <is>
          <t>full eau</t>
        </is>
      </c>
      <c r="B11406">
        <f>HYPERLINK("https://www.dofusbook.net/fr/equipement/2527801-full-eau/objets", "link")</f>
        <v/>
      </c>
      <c r="C11406" t="n">
        <v>0</v>
      </c>
      <c r="D11406" t="inlineStr">
        <is>
          <t>Dagoulinantes; Amulette du Strigide; Pikano; Alliance Gloursonne; Bouclier d'Ilyzaelle; Ceinture du Strigide; Capuche de l'Œil Attentif; Cape Solution; Chaussons de Macrab; Dofus Turquoise; Dofus des Glaces; Dofus Pourpre; Remueur; Nomade; Chanceux majeur; Muldo Caméléon</t>
        </is>
      </c>
    </row>
    <row r="11407">
      <c r="A11407" t="inlineStr">
        <is>
          <t>full terre</t>
        </is>
      </c>
      <c r="B11407">
        <f>HYPERLINK("https://www.dofusbook.net/fr/equipement/2070919-full-terre/objets", "link")</f>
        <v/>
      </c>
      <c r="C11407" t="n">
        <v>0</v>
      </c>
      <c r="D11407" t="inlineStr">
        <is>
          <t>Dagues d'Ilyzaelle; Amulette du Cœur Saignant; Anneau Crustique; Bracelet du Piloztère; Bouclier du Captain Amakna; Ceinture de la Reine des Voleurs; Coiffe de la Reine des Voleurs; Cape du Cœur Saignant; Bottes du Cœur Saignant; Dofus Abyssal; Dofus Turquoise; Dolmanax; Dofus Ocre; Dofus Pourpre; Dofus des Glaces; Muldo Ebène et Indigo</t>
        </is>
      </c>
    </row>
    <row r="11408">
      <c r="A11408" t="inlineStr">
        <is>
          <t>terre-eau classique</t>
        </is>
      </c>
      <c r="B11408">
        <f>HYPERLINK("https://www.dofusbook.net/fr/equipement/1971326-terre-eau-classique/objets", "link")</f>
        <v/>
      </c>
      <c r="C11408" t="n">
        <v>1</v>
      </c>
      <c r="D11408" t="inlineStr">
        <is>
          <t>Dagues de Srambad; Amulette Luminescente; Bague Gloursonne; Alliance Gloursonne; Bouclier alvéolé; Ceinture de la Reine des Voleurs; Coiffe de la Reine des Voleurs; Cape Luminescente; Bottes de la Reine des Voleurs; Dolmanax; Dofus Pourpre; Dofus des Glaces; Dofus Émeraude; Dofus Ocre; Robuste majeur; Muldo Doré et Ebène</t>
        </is>
      </c>
    </row>
    <row r="11409">
      <c r="A11409" t="inlineStr">
        <is>
          <t>terre-eau nouveau</t>
        </is>
      </c>
      <c r="B11409">
        <f>HYPERLINK("https://www.dofusbook.net/fr/equipement/1971253-terre-eau-nouveau/objets", "link")</f>
        <v/>
      </c>
      <c r="C11409" t="n">
        <v>0</v>
      </c>
      <c r="D11409" t="inlineStr">
        <is>
          <t>Dagues de Srambad; Amulette Luminescente; Bracelet du Piloztère; Pikano; Bouclier alvéolé; Ceinture de la Reine des Voleurs; Masque de l'Esprit Salvateur; Voilamibe; Bottes de la Reine des Voleurs; Dofus Pourpre; Dofus Ocre; Dolmanax; Dofus des Glaces; Miraculé majeur; Remueur; Kramkram</t>
        </is>
      </c>
    </row>
    <row r="11410">
      <c r="A11410" t="inlineStr">
        <is>
          <t>terre-eau actuel</t>
        </is>
      </c>
      <c r="B11410">
        <f>HYPERLINK("https://www.dofusbook.net/fr/equipement/1971207-terre-eau-actuel/objets", "link")</f>
        <v/>
      </c>
      <c r="C11410" t="n">
        <v>0</v>
      </c>
      <c r="D11410" t="inlineStr">
        <is>
          <t>Dagues de Srambad; Amulette de l'Indicible; Annolamour; Bague Gloursonne; Bouclier alvéolé; Ceinture de la Reine des Voleurs; Coiffe de la Reine des Voleurs; Cape Ovri; Pantoufles du Piloztère; Dofus Ocre; Dofus Pourpre; Remueur; Vigoureux majeur; Nomade; Miraculé majeur; Kramkram</t>
        </is>
      </c>
    </row>
    <row r="11411">
      <c r="A11411" t="inlineStr">
        <is>
          <t>Terre Feu Eau Chaloe</t>
        </is>
      </c>
      <c r="B11411">
        <f>HYPERLINK("https://www.dofusbook.net/fr/equipement/412364-terre-feu-eau-chaloe/objets", "link")</f>
        <v/>
      </c>
      <c r="C11411" t="n">
        <v>0</v>
      </c>
      <c r="D11411" t="inlineStr">
        <is>
          <t>Hache du Chalœil; Amulette du Strigide; Alliance Gloursonne; Bracelet du Piloztère; Bouclier du Captain Amakna; Ceinture du Strigide; Kidibonnet; Voile d'encre; Chaussons de Macrab; Dofus des Glaces; Dofus Pourpre; Dolmanax; Dofus Turquoise; Vigoureux majeur; Remueur; Muldo Caméléon</t>
        </is>
      </c>
    </row>
    <row r="11412">
      <c r="A11412" t="inlineStr">
        <is>
          <t>Terre-invoc 2</t>
        </is>
      </c>
      <c r="B11412">
        <f>HYPERLINK("https://www.dofusbook.net/fr/equipement/1849501-terre-invoc-2/objets", "link")</f>
        <v/>
      </c>
      <c r="C11412" t="n">
        <v>0</v>
      </c>
      <c r="D11412" t="inlineStr">
        <is>
          <t>Hache Téroïde; Amulette du Cycloïde; Pikano; Bague Gloursonne; Bouclier Taverne; Ceinture de la Cour Sombre; Chapeau de Gein; Cape de la Cour Sombre; Baleinabottes; Dofus Pourpre; Dofus Turquoise; Enragé majeur; Remueur; Nomade; Kramkram</t>
        </is>
      </c>
    </row>
    <row r="11413">
      <c r="A11413" t="inlineStr">
        <is>
          <t>Ilyzaelle test</t>
        </is>
      </c>
      <c r="B11413">
        <f>HYPERLINK("https://www.dofusbook.net/fr/equipement/889208-ilyzaelle-test/objets", "link")</f>
        <v/>
      </c>
      <c r="C11413" t="n">
        <v>0</v>
      </c>
      <c r="D11413" t="inlineStr">
        <is>
          <t>Arc de Koutoulou; Amulette d'Ilyzaelle; Bracelet du Piloztère; Alliance Gloursonne; Bouclier d'Ilyzaelle; Ceinture de la Reine des Voleurs; Casque d'Ilyzaelle; Cape d'Hel Munster; Bottes de la Reine des Voleurs; Dofus des Glaces; Dofus Pourpre; Dofus Ocre; Dolmanax; Dofus Nébuleux; Robuste majeur; Muldo Ebène</t>
        </is>
      </c>
    </row>
    <row r="11414">
      <c r="A11414" t="inlineStr">
        <is>
          <t>terre/eau srambad</t>
        </is>
      </c>
      <c r="B11414">
        <f>HYPERLINK("https://www.dofusbook.net/fr/equipement/1834472-terre-eau-srambad/objets", "link")</f>
        <v/>
      </c>
      <c r="C11414" t="n">
        <v>0</v>
      </c>
      <c r="D11414" t="inlineStr"/>
    </row>
    <row r="11415">
      <c r="A11415" t="inlineStr">
        <is>
          <t>Feu Eau Katrepat</t>
        </is>
      </c>
      <c r="B11415">
        <f>HYPERLINK("https://www.dofusbook.net/fr/equipement/1479240-feu-eau-katrepat/objets", "link")</f>
        <v/>
      </c>
      <c r="C11415" t="n">
        <v>0</v>
      </c>
      <c r="D11415" t="inlineStr">
        <is>
          <t>Épée Brûlâme; Amulette du Strigide; Anneau Tique; Alliance Gloursonne; Bouclier du Captain Amakna; Ceintacé; Masque d'Anerice; Cape de la Dame du Hasard; Bottes de la Dame du Hasard; Dofus des Glaces; Dofus Pourpre; Dofus Turquoise; Vigoureux majeur; Nomade; Remueur; Kramkram</t>
        </is>
      </c>
    </row>
    <row r="11416">
      <c r="A11416" t="inlineStr">
        <is>
          <t>Feu Eau Katrepat</t>
        </is>
      </c>
      <c r="B11416">
        <f>HYPERLINK("https://www.dofusbook.net/fr/equipement/1479151-feu-eau-katrepat/objets", "link")</f>
        <v/>
      </c>
      <c r="C11416" t="n">
        <v>0</v>
      </c>
      <c r="D11416" t="inlineStr">
        <is>
          <t>Pelle de Katrepat; Talisman Igans; Bracelet du Piloztère; Anneau Tique; Bouclier du Captain Amakna; Ceintacé; Coiffe Cryochrone; Cape de la Dame du Hasard; Bottes de la Dame du Hasard; Dofus Turquoise; Dofus des Glaces; Dolmanax; Dofus Pourpre; Remueur; Vigoureux majeur; Muldo Orchidée</t>
        </is>
      </c>
    </row>
    <row r="11417">
      <c r="A11417" t="inlineStr">
        <is>
          <t>Agi 12 pa</t>
        </is>
      </c>
      <c r="B11417">
        <f>HYPERLINK("https://www.dofusbook.net/fr/equipement/1395529-agi-12-pa/objets", "link")</f>
        <v/>
      </c>
      <c r="C11417" t="n">
        <v>12</v>
      </c>
      <c r="D11417" t="inlineStr">
        <is>
          <t>La Racine Hagogue; Collier du Valet Veinard; Gant du Valet Veinard; Anneau d'Allister; Bouclier du Stalak; Ceinture de Nevark; Couronne d'Allister; Cape du Valet Veinard; Bottes d'Allister; Dofus des Glaces; Dolmanax; Dofus Pourpre; Dofus Ocre; Robuste majeur; Acrobate majeur; Muldo Ebène et Orchidée</t>
        </is>
      </c>
    </row>
    <row r="11418">
      <c r="A11418" t="inlineStr">
        <is>
          <t>Terre/invoc</t>
        </is>
      </c>
      <c r="B11418">
        <f>HYPERLINK("https://www.dofusbook.net/fr/equipement/1395315-terre-invoc/objets", "link")</f>
        <v/>
      </c>
      <c r="C11418" t="n">
        <v>0</v>
      </c>
      <c r="D11418" t="inlineStr">
        <is>
          <t>Héqache; Amulette Luminescente; Anneau Chevelu; Pikano; Bouclier Taverne; Ceinture Luminescente; Masque de Koutoulou; Voile d'encre; Bottes Dogues; Dofus des Glaces; Dofus Turquoise; Dofus Pourpre; Enragé majeur; Vigoureux majeur; Remueur; Kramkram</t>
        </is>
      </c>
    </row>
    <row r="11419">
      <c r="A11419" t="inlineStr">
        <is>
          <t>feu invoc</t>
        </is>
      </c>
      <c r="B11419">
        <f>HYPERLINK("https://www.dofusbook.net/fr/equipement/1395221-feu-invoc/objets", "link")</f>
        <v/>
      </c>
      <c r="C11419" t="n">
        <v>1</v>
      </c>
      <c r="D11419" t="inlineStr">
        <is>
          <t>Baguette de Malléfisk; Amulette du Cycloïde; Anneau de Nidas; Anneau Tique; Bivalve; Ceintrigue; Couronne de Nidas; Voile d'encre; Bottes Dogues; Dofus Pourpre; Dofus Ocre; Remueur; Savant majeur; Dévastateur Feu majeur; Érudit majeur; Pioute rouge</t>
        </is>
      </c>
    </row>
    <row r="11420">
      <c r="A11420" t="inlineStr">
        <is>
          <t>eau/air crit</t>
        </is>
      </c>
      <c r="B11420">
        <f>HYPERLINK("https://www.dofusbook.net/fr/equipement/1394945-eau-air-crit/objets", "link")</f>
        <v/>
      </c>
      <c r="C11420" t="n">
        <v>1</v>
      </c>
      <c r="D11420" t="inlineStr">
        <is>
          <t>Marteau des Anciens Steamers; Amulette du Strigide; Alliance Gloursonne; Bracelet du Piloztère; Bouclier du Captain Amakna; Ceinture du Strigide; Némès de Tal Kasha; Chevelure de Tal Kasha; Sandales de Tal Kasha; Dolmanax; Dofus Ocre; Dofus Pourpre; Dofus des Glaces; Dofus Abyssal; Dofus Turquoise; Muldo Ebène et Indigo</t>
        </is>
      </c>
    </row>
    <row r="11421">
      <c r="A11421" t="inlineStr">
        <is>
          <t>Agi</t>
        </is>
      </c>
      <c r="B11421">
        <f>HYPERLINK("https://www.dofusbook.net/fr/equipement/1394927-agi/objets", "link")</f>
        <v/>
      </c>
      <c r="C11421" t="n">
        <v>24</v>
      </c>
      <c r="D11421" t="inlineStr">
        <is>
          <t>La Racine Hagogue; Collier du Valet Veinard; Alliance Gloursonne; Gant du Valet Veinard; Bouclier du Captain Amakna; Ceinture de Nevark; Couronne d'Allister; Cape Indescriptible; Tentassons; Dofus Pourpre; Dolmanax; Vigoureux majeur; Nomade; Remueur; Cascadeur majeur; Kramkram</t>
        </is>
      </c>
    </row>
    <row r="11422">
      <c r="A11422" t="inlineStr">
        <is>
          <t>Agi</t>
        </is>
      </c>
      <c r="B11422">
        <f>HYPERLINK("https://www.dofusbook.net/fr/equipement/1394899-agi/objets", "link")</f>
        <v/>
      </c>
      <c r="C11422" t="n">
        <v>1</v>
      </c>
      <c r="D11422" t="inlineStr">
        <is>
          <t>Manthache; Collier du Valet Veinard; Gant du Valet Veinard; Alliance Gloursonne; Bouclier du Captain Amakna; Menoture; Couronne d'Allister; Cape Indescriptible; Palmes Trithons; Dofus Émeraude; Dofus Pourpre; Cascadeur majeur; Vigoureux majeur; Nomade; Remueur; Kramkram</t>
        </is>
      </c>
    </row>
    <row r="11423">
      <c r="A11423" t="inlineStr">
        <is>
          <t>eau/air crit</t>
        </is>
      </c>
      <c r="B11423">
        <f>HYPERLINK("https://www.dofusbook.net/fr/equipement/1394863-eau-air-crit/objets", "link")</f>
        <v/>
      </c>
      <c r="C11423" t="n">
        <v>0</v>
      </c>
      <c r="D11423" t="inlineStr">
        <is>
          <t>Marteau des Anciens Steamers; Amulette du Strigide; Alliance Gloursonne; Bracelet du Piloztère; Bouclier du Captain Amakna; Ceinture du Strigide; Némès de Tal Kasha; Chevelure de Tal Kasha; Sandales de Tal Kasha; Dolmanax; Dofus Ocre; Dofus Pourpre; Dofus des Glaces; Dofus Abyssal; Dofus Turquoise; Muldo Ebène et Indigo</t>
        </is>
      </c>
    </row>
    <row r="11424">
      <c r="A11424" t="inlineStr">
        <is>
          <t>multi marteau Katrep</t>
        </is>
      </c>
      <c r="B11424">
        <f>HYPERLINK("https://www.dofusbook.net/fr/equipement/412355-multi-marteau-katrep/objets", "link")</f>
        <v/>
      </c>
      <c r="C11424" t="n">
        <v>0</v>
      </c>
      <c r="D11424" t="inlineStr">
        <is>
          <t>Marteau de Katrepat; Amulette du Strigide; Anneau de Padgref; Alliance Gloursonne; Bouclier du Captain Amakna; Ceinture du Strigide; Coiffe de Padgref; Dofusteuse; Bottes du Strigide; Dofus Émeraude; Dofus Ocre; Dofus Nébuleux; Dofus Turquoise; Dofus des Glaces; Dofus Pourpre; Muldo Doré et Orchidée</t>
        </is>
      </c>
    </row>
    <row r="11425">
      <c r="A11425" t="inlineStr">
        <is>
          <t>Eau 2 RDV</t>
        </is>
      </c>
      <c r="B11425">
        <f>HYPERLINK("https://www.dofusbook.net/fr/equipement/1319520-eau-2-rdv/objets", "link")</f>
        <v/>
      </c>
      <c r="C11425" t="n">
        <v>1</v>
      </c>
      <c r="D11425" t="inlineStr">
        <is>
          <t>Dagoulinantes; Amulette de Shokkoth; Bracelet des Fonds marins; Alliance Gloursonne; Bouclier du Stalak; Ceinture de la Reine des Voleurs; Kidibonnet; Cape du Sinistrofu; Bottes de la Reine des Voleurs; Dofus des Glaces; Dofus Pourpre; Vigoureux majeur; Chanceux majeur; Remueur; Nomade; Muldo Ebène et Pourpre</t>
        </is>
      </c>
    </row>
    <row r="11426">
      <c r="A11426" t="inlineStr">
        <is>
          <t>Eau</t>
        </is>
      </c>
      <c r="B11426">
        <f>HYPERLINK("https://www.dofusbook.net/fr/equipement/1057109-eau/objets", "link")</f>
        <v/>
      </c>
      <c r="C11426" t="n">
        <v>0</v>
      </c>
      <c r="D11426" t="inlineStr">
        <is>
          <t>Dagoulinantes; Amulette de Shokkoth; Alliance Gloursonne; Pikano; Bouclier du Captain Amakna; Pagne du Rykaon; Kidibonnet; Cape du Sinistrofu; Bottes du Sinistrofu; Dofus Pourpre; Dofus des Glaces; Dofus Turquoise; Vigoureux majeur; Chanceux majeur; Remueur; Muldo Ebène et Indigo</t>
        </is>
      </c>
    </row>
    <row r="11427">
      <c r="A11427" t="inlineStr">
        <is>
          <t>Air nouvelles dagues</t>
        </is>
      </c>
      <c r="B11427">
        <f>HYPERLINK("https://www.dofusbook.net/fr/equipement/412342-air-nouvelles-dagues/objets", "link")</f>
        <v/>
      </c>
      <c r="C11427" t="n">
        <v>1</v>
      </c>
      <c r="D11427" t="inlineStr">
        <is>
          <t>Lance Horselé; Amibou; Gant du Valet Veinard; Alliance Gloursonne; Bouclier du Captain Amakna; Menoture; Capuche de Moum-Ra; Capibou; Palmes Trithons; Dofus Turquoise; Dofus des Glaces; Dofus Pourpre; Remueur; Vigoureux majeur; Cascadeur majeur; Muldo Caméléon</t>
        </is>
      </c>
    </row>
    <row r="11428">
      <c r="A11428" t="inlineStr">
        <is>
          <t>Baguette range</t>
        </is>
      </c>
      <c r="B11428">
        <f>HYPERLINK("https://www.dofusbook.net/fr/equipement/412339-baguette-range/objets", "link")</f>
        <v/>
      </c>
      <c r="C11428" t="n">
        <v>0</v>
      </c>
      <c r="D11428" t="inlineStr">
        <is>
          <t>Hache Harnée; Amulette du Strigide; Bracelet du Piloztère; Alliance Gloursonne; Bouclier du Captain Amakna; Ceinture du Strigide; Le Dorado; Dofusteuse; Bottes du Chalœil; Dofus des Glaces; Dofus Pourpre; Dofus Turquoise; Dofus Émeraude; Remueur; Nomade; Kramkram</t>
        </is>
      </c>
    </row>
    <row r="11429">
      <c r="A11429" t="inlineStr">
        <is>
          <t>Full feu</t>
        </is>
      </c>
      <c r="B11429">
        <f>HYPERLINK("https://www.dofusbook.net/fr/equipement/937640-full-feu/objets", "link")</f>
        <v/>
      </c>
      <c r="C11429" t="n">
        <v>0</v>
      </c>
      <c r="D11429" t="inlineStr">
        <is>
          <t>Harpelle; Amulette d'Otomaï; Chevalière du Roi Joueur; Anneauræus; Bouclier du Captain Amakna; Ceinture Séculaire; Coiffe Séculaire; Cape de Diondin; Bottes Innommables; Dofus des Glaces; Dofus Émeraude; Dofus Pourpre; Dofus Turquoise; Érudit majeur; Remueur; Muldo Orchidée et Pourpre</t>
        </is>
      </c>
    </row>
    <row r="11430">
      <c r="A11430" t="inlineStr">
        <is>
          <t>Arc Koutoulou normal</t>
        </is>
      </c>
      <c r="B11430">
        <f>HYPERLINK("https://www.dofusbook.net/fr/equipement/412357-arc-koutoulou-normal/objets", "link")</f>
        <v/>
      </c>
      <c r="C11430" t="n">
        <v>0</v>
      </c>
      <c r="D11430" t="inlineStr">
        <is>
          <t>Arc de Koutoulou; Amulette du Strigide; Bracelet du Piloztère; Alliance Gloursonne; Bouclier Akwadala; Menoture; Kidibonnet; Chevelure de Tal Kasha; Bottes du Strigide; Dofus Pourpre; Dolmanax; Dofus Turquoise; Dofus des Glaces; Nomade; Vigoureux majeur; Kramkram</t>
        </is>
      </c>
    </row>
    <row r="11431">
      <c r="A11431" t="inlineStr">
        <is>
          <t>Arc Necrotique</t>
        </is>
      </c>
      <c r="B11431">
        <f>HYPERLINK("https://www.dofusbook.net/fr/equipement/412358-arc-necrotique/objets", "link")</f>
        <v/>
      </c>
      <c r="C11431" t="n">
        <v>0</v>
      </c>
      <c r="D11431" t="inlineStr">
        <is>
          <t>Arc Nécrotique; Amulette du Strigide; Anneauræus; Bracelet du Piloztère; Quatre-feuilles; Ceintrigue; Kidibonnet; Cape de la Dame du Hasard; Bottes du Strigide; Dofus des Glaces; Dofus Pourpre; Dofus Turquoise; Vigoureux majeur; Remueur; Nomade; Kramkram</t>
        </is>
      </c>
    </row>
    <row r="11432">
      <c r="A11432" t="inlineStr">
        <is>
          <t>Hache Korri</t>
        </is>
      </c>
      <c r="B11432">
        <f>HYPERLINK("https://www.dofusbook.net/fr/equipement/412356-hache-korri/objets", "link")</f>
        <v/>
      </c>
      <c r="C11432" t="n">
        <v>1</v>
      </c>
      <c r="D11432" t="inlineStr">
        <is>
          <t>Hache du Korriandre; Amulette du Strigide; Alliance Gloursonne; Bracelet des Fonds marins; Bouclier du Captain Amakna; Ceintacé; Capuche de Moum-Ra; Chevelure de Tal Kasha; Sandales de Tal Kasha; Dofus Émeraude; Dofus Turquoise; Dolmanax; Dofus Pourpre; Remueur; Nomade; Kramkram</t>
        </is>
      </c>
    </row>
    <row r="11433">
      <c r="A11433" t="inlineStr">
        <is>
          <t>Air normal</t>
        </is>
      </c>
      <c r="B11433">
        <f>HYPERLINK("https://www.dofusbook.net/fr/equipement/412343-air-normal/objets", "link")</f>
        <v/>
      </c>
      <c r="C11433" t="n">
        <v>1</v>
      </c>
      <c r="D11433" t="inlineStr">
        <is>
          <t>Manthache; Collier du Valet Veinard; Gant du Valet Veinard; Alliance Gloursonne; Bouclier d'Ilyzaelle; Menoture; Couronne d'Allister; Cape Indescriptible; Palmes Trithons; Dofus Pourpre; Dofus des Glaces; Dofus Abyssal; Cascadeur majeur; Remueur; Nomade; Kramkram</t>
        </is>
      </c>
    </row>
    <row r="11434">
      <c r="A11434" t="inlineStr">
        <is>
          <t>Feu pvp</t>
        </is>
      </c>
      <c r="B11434">
        <f>HYPERLINK("https://www.dofusbook.net/fr/equipement/412363-feu-pvp/objets", "link")</f>
        <v/>
      </c>
      <c r="C11434" t="n">
        <v>0</v>
      </c>
      <c r="D11434" t="inlineStr">
        <is>
          <t>Harpelle; Amulette d'Otomaï; Chevalière du Roi Joueur; Anneauræus; Bouclier du Captain Amakna; Ceinture Séculaire; Coiffe Séculaire; Cape de Diondin; Bottes Innommables; Dofus des Glaces; Dofus Émeraude; Dofus Pourpre; Dofus Turquoise; Érudit majeur; Remueur; Muldo Orchidée et Pourpre</t>
        </is>
      </c>
    </row>
    <row r="11435">
      <c r="A11435" t="inlineStr">
        <is>
          <t>Ca/B abysse Epee</t>
        </is>
      </c>
      <c r="B11435">
        <f>HYPERLINK("https://www.dofusbook.net/fr/equipement/412337-ca-b-abysse-epee/objets", "link")</f>
        <v/>
      </c>
      <c r="C11435" t="n">
        <v>1</v>
      </c>
      <c r="D11435" t="inlineStr">
        <is>
          <t>Épée d'Otomaï; Amulette de Nileza; Bague Gloursonne; Anneau Tamie; Bouclier du Stalak; Ceinture Séculaire; Coiffe Séculaire; Cape de Diondin; Bottes Innommables; Dofus des Glaces; Dofus Pourpre; Vigoureux majeur; Érudit majeur; Dévastateur Feu majeur; Remueur; Muldo Orchidée et Pourpre</t>
        </is>
      </c>
    </row>
    <row r="11436">
      <c r="A11436" t="inlineStr">
        <is>
          <t>double Rlyugluglu</t>
        </is>
      </c>
      <c r="B11436">
        <f>HYPERLINK("https://www.dofusbook.net/fr/equipement/412335-double-rlyugluglu/objets", "link")</f>
        <v/>
      </c>
      <c r="C11436" t="n">
        <v>1</v>
      </c>
      <c r="D11436" t="inlineStr">
        <is>
          <t>Plumeau Bil; Pendentif mignon de Koutoulou; Anneauræus; Chevalière du Roi Joueur; Bouclier du Stalak; Ceinture Séculaire; Casque Cyclopéen; Cape de Diondin; Bottes Innommables; Dofus Pourpre; Dofus des Glaces; Dévastateur Feu majeur; Remueur; Érudit majeur; Nomade; Kramkram</t>
        </is>
      </c>
    </row>
    <row r="11437">
      <c r="A11437" t="inlineStr">
        <is>
          <t>Arc Kout a tester</t>
        </is>
      </c>
      <c r="B11437">
        <f>HYPERLINK("https://www.dofusbook.net/fr/equipement/412338-arc-kout-a-tester/objets", "link")</f>
        <v/>
      </c>
      <c r="C11437" t="n">
        <v>0</v>
      </c>
      <c r="D11437" t="inlineStr">
        <is>
          <t>Arc de Koutoulou; Amulette du Strigide; Alliance Gloursonne; Bracelet du Piloztère; Quatre-feuilles; Ceintacé; Coiffe d'Ogivol; Chevelure de Tal Kasha; Sandales de Tal Kasha; Dolmanax; Dofus des Glaces; Dofus Pourpre; Dofus Turquoise; Remueur; Vigoureux majeur; Muldo Ebène et Orchidée</t>
        </is>
      </c>
    </row>
    <row r="11438">
      <c r="A11438" t="inlineStr">
        <is>
          <t>Arc Kout dofusteuse</t>
        </is>
      </c>
      <c r="B11438">
        <f>HYPERLINK("https://www.dofusbook.net/fr/equipement/412340-arc-kout-dofusteuse/objets", "link")</f>
        <v/>
      </c>
      <c r="C11438" t="n">
        <v>0</v>
      </c>
      <c r="D11438" t="inlineStr">
        <is>
          <t>Arc de Koutoulou; Amulette du Strigide; Bracelet du Piloztère; Alliance Gloursonne; Bouclier Akwadala; Menoture; Kidibonnet; Dofusteuse; Bottes du Strigide; Dofus Pourpre; Dofus Nébuleux; Dofus des Glaces; Dofus Turquoise; Vigoureux majeur; Vigoureux majeur; Muldo Ebène et Indigo</t>
        </is>
      </c>
    </row>
    <row r="11439">
      <c r="A11439" t="inlineStr">
        <is>
          <t>Agi cc 200</t>
        </is>
      </c>
      <c r="B11439">
        <f>HYPERLINK("https://www.dofusbook.net/fr/equipement/412393-agi-cc-200/objets", "link")</f>
        <v/>
      </c>
      <c r="C11439" t="n">
        <v>0</v>
      </c>
      <c r="D11439" t="inlineStr">
        <is>
          <t>Lance Horselé; Amulette de l'Indicible; Alliance Gloursonne; Gant du Valet Veinard; Bouclier du Captain Amakna; Menoture; Dorabysses; Cape de Crânonier; Palmes Trithons; Dofus Pourpre; Dofus Turquoise; Nomade; Vigoureux majeur; Cascadeur majeur; Remueur; Kramkram</t>
        </is>
      </c>
    </row>
    <row r="11440">
      <c r="A11440" t="inlineStr">
        <is>
          <t>Stuff 3</t>
        </is>
      </c>
      <c r="B11440">
        <f>HYPERLINK("https://www.dofusbook.net/fr/equipement/412361-stuff-3/objets", "link")</f>
        <v/>
      </c>
      <c r="C11440" t="n">
        <v>1</v>
      </c>
      <c r="D11440" t="inlineStr">
        <is>
          <t>Héqache; Amulette du Strigide; Anneau des égarés; Bracelet du Piloztère; Ceinture du Strigide; Casque des égarés; Cape du Kamasterisk; Bottes du Strigide; Dofus Turquoise; Dofus Émeraude; Dofus Ocre; Dofus Pourpre; Dolmanax; Dofus des Glaces; Muldo Indigo et Pourpre</t>
        </is>
      </c>
    </row>
    <row r="11441">
      <c r="A11441" t="inlineStr">
        <is>
          <t>Stuff 3</t>
        </is>
      </c>
      <c r="B11441">
        <f>HYPERLINK("https://www.dofusbook.net/fr/equipement/412352-stuff-3/objets", "link")</f>
        <v/>
      </c>
      <c r="C11441" t="n">
        <v>0</v>
      </c>
      <c r="D11441" t="inlineStr">
        <is>
          <t>Dagues Érhy; Amulette du Strigide; Bracelet du Piloztère; Bague Gloursonne; Ceintacé; Chapeau de Gein; Voile d'encre; Bottes du Strigide; Dofus Pourpre; Dofus Turquoise; Remueur; Vigoureux majeur; Enragé majeur; Nomade; Kramkram</t>
        </is>
      </c>
    </row>
    <row r="11442">
      <c r="A11442" t="inlineStr">
        <is>
          <t>Stuff 1</t>
        </is>
      </c>
      <c r="B11442">
        <f>HYPERLINK("https://www.dofusbook.net/fr/equipement/412359-stuff-1/objets", "link")</f>
        <v/>
      </c>
      <c r="C11442" t="n">
        <v>0</v>
      </c>
      <c r="D11442" t="inlineStr">
        <is>
          <t>Dagues de Srambad; Amulette du Piloztère; Alliance Gloursonne; Bracelet du Piloztère; Ceinture de la Reine des Voleurs; Coiffe de la Reine des Voleurs; Cape des Justiciers; Pantoufles du Piloztère; Dofus Émeraude; Dofus Ocre; Dofus Abyssal; Dolmanax; Dofus des Glaces; Dofus Pourpre; Muldo Ebène et Orchidée</t>
        </is>
      </c>
    </row>
    <row r="11443">
      <c r="A11443" t="inlineStr">
        <is>
          <t>Stuff 2</t>
        </is>
      </c>
      <c r="B11443">
        <f>HYPERLINK("https://www.dofusbook.net/fr/equipement/412354-stuff-2/objets", "link")</f>
        <v/>
      </c>
      <c r="C11443" t="n">
        <v>0</v>
      </c>
      <c r="D11443" t="inlineStr">
        <is>
          <t>Dagues Érhy; Amulette du Strigide; Chevalière du Roi Joueur; Bague Gloursonne; Ceintacé; Chapeau de Gein; Voile d'encre; Bottes du Strigide; Dolmanax; Dofus Pourpre; Dofus Turquoise; Remueur; Vigoureux majeur; Nomade; Kramkram</t>
        </is>
      </c>
    </row>
    <row r="11444">
      <c r="A11444" t="inlineStr">
        <is>
          <t>Stuff 3</t>
        </is>
      </c>
      <c r="B11444">
        <f>HYPERLINK("https://www.dofusbook.net/fr/equipement/412361-stuff-3/objets", "link")</f>
        <v/>
      </c>
      <c r="C11444" t="n">
        <v>1</v>
      </c>
      <c r="D11444" t="inlineStr">
        <is>
          <t>Héqache; Amulette du Strigide; Anneau des égarés; Bracelet du Piloztère; Ceinture du Strigide; Casque des égarés; Cape du Kamasterisk; Bottes du Strigide; Dofus Turquoise; Dofus Émeraude; Dofus Ocre; Dofus Pourpre; Dolmanax; Dofus des Glaces; Muldo Indigo et Pourpre</t>
        </is>
      </c>
    </row>
    <row r="11445">
      <c r="A11445" t="inlineStr">
        <is>
          <t>Stuff 2</t>
        </is>
      </c>
      <c r="B11445">
        <f>HYPERLINK("https://www.dofusbook.net/fr/equipement/412351-stuff-2/objets", "link")</f>
        <v/>
      </c>
      <c r="C11445" t="n">
        <v>1</v>
      </c>
      <c r="D11445" t="inlineStr">
        <is>
          <t>Épée du Granduk; Amulette du Granduk; Alliance Gloursonne; Bracelet du Piloztère; Ceinture de Klime; Couronne d'Allister; Cape du Valet Veinard; Baleinabottes; Tacleur majeur; Bloqueur majeur; Bloqueur; Obstructeur majeur; Nomade; Obstructeur; Blokus</t>
        </is>
      </c>
    </row>
    <row r="11446">
      <c r="A11446" t="inlineStr">
        <is>
          <t>Stuff 1</t>
        </is>
      </c>
      <c r="B11446">
        <f>HYPERLINK("https://www.dofusbook.net/fr/equipement/412353-stuff-1/objets", "link")</f>
        <v/>
      </c>
      <c r="C11446" t="n">
        <v>0</v>
      </c>
      <c r="D11446" t="inlineStr">
        <is>
          <t>Lance Horselé; Amulette du Strigide; Pikano; Bague Gloursonne; Ceintacé; Chapeau Lisson; Cape de Crânonier; Bottes du Strigide; Dofus Abyssal; Dofus Turquoise; Dofus des Glaces; Dofus Pourpre; Vigoureux majeur; Remueur; Muldo Pourpre</t>
        </is>
      </c>
    </row>
    <row r="11447">
      <c r="A11447" t="inlineStr">
        <is>
          <t>Stuff 2</t>
        </is>
      </c>
      <c r="B11447">
        <f>HYPERLINK("https://www.dofusbook.net/fr/equipement/412360-stuff-2/objets", "link")</f>
        <v/>
      </c>
      <c r="C11447" t="n">
        <v>0</v>
      </c>
      <c r="D11447" t="inlineStr">
        <is>
          <t>Marteau Phossile; Amulette du Strigide; Anneau Tique; Bracelet du Piloztère; Ceintacé; Coiffe de Padgref; Cape Lati; Bottes du Strigide; Dofus Pourpre; Dofus Émeraude; Dofus Turquoise; Dofus Abyssal; Nomade; Remueur; Kramkram</t>
        </is>
      </c>
    </row>
    <row r="11448">
      <c r="A11448" t="inlineStr">
        <is>
          <t>Stuff 2</t>
        </is>
      </c>
      <c r="B11448">
        <f>HYPERLINK("https://www.dofusbook.net/fr/equipement/412345-stuff-2/objets", "link")</f>
        <v/>
      </c>
      <c r="C11448" t="n">
        <v>0</v>
      </c>
      <c r="D11448" t="inlineStr">
        <is>
          <t>Arc Hétype; Amulette d'Otomaï; Anneau de Nidas; Bague Gloursonne; Ceinture Séculaire; Couronne de Nidas; Voile d'encre; Pantoufles Émar; Dofus Turquoise; Ralentisseur majeur; Entraveur majeur; Nomade; Temporiseur majeur; Remueur; Brûlih</t>
        </is>
      </c>
    </row>
    <row r="11449">
      <c r="A11449" t="inlineStr">
        <is>
          <t>Stuff 1</t>
        </is>
      </c>
      <c r="B11449">
        <f>HYPERLINK("https://www.dofusbook.net/fr/equipement/412347-stuff-1/objets", "link")</f>
        <v/>
      </c>
      <c r="C11449" t="n">
        <v>0</v>
      </c>
      <c r="D11449" t="inlineStr">
        <is>
          <t>Dagues de Srambad; Amulule; Alliance du Lévitrof; Bracelet du Piloztère; Ceintacé; Coiffe du Lévitrof; Voilamibe; Bottes du Strigide; Dolmanax; Dofus des Glaces; Dofus Pourpre; Robuste majeur; Vigoureux majeur; Remueur; Kramkram</t>
        </is>
      </c>
    </row>
    <row r="11450">
      <c r="A11450" t="inlineStr">
        <is>
          <t>Stuff 1</t>
        </is>
      </c>
      <c r="B11450">
        <f>HYPERLINK("https://www.dofusbook.net/fr/equipement/412332-stuff-1/objets", "link")</f>
        <v/>
      </c>
      <c r="C11450" t="n">
        <v>1</v>
      </c>
      <c r="D11450" t="inlineStr">
        <is>
          <t>Sabres d'Atcham; Amulette du Strigide; Bracelet du Piloztère; Bague Gloursonne; Sangle Aise; Chapeau des Malveilleurs; Voile d'encre; Bottes du Strigide; Dofus Turquoise; Dolmanax; Dofus des Glaces; Nomade; Remueur; Vigoureux majeur; Muldo Doré</t>
        </is>
      </c>
    </row>
    <row r="11451">
      <c r="A11451" t="inlineStr">
        <is>
          <t>Stuff 3</t>
        </is>
      </c>
      <c r="B11451">
        <f>HYPERLINK("https://www.dofusbook.net/fr/equipement/412349-stuff-3/objets", "link")</f>
        <v/>
      </c>
      <c r="C11451" t="n">
        <v>0</v>
      </c>
      <c r="D11451" t="inlineStr">
        <is>
          <t>Baguette Hique; Collier de la Dame du Hasard; Anneau Pwal; Anneau Tamie; Obscture; Casquipik; Cape de la Dame du Hasard; Pataugastrique; Dofus des Glaces; Temporiseur majeur; Entraveur majeur; Ralentisseur majeur; Nomade; Remueur; Koalak Sanguin</t>
        </is>
      </c>
    </row>
    <row r="11452">
      <c r="A11452" t="inlineStr">
        <is>
          <t>Stuff 1</t>
        </is>
      </c>
      <c r="B11452">
        <f>HYPERLINK("https://www.dofusbook.net/fr/equipement/412344-stuff-1/objets", "link")</f>
        <v/>
      </c>
      <c r="C11452" t="n">
        <v>1</v>
      </c>
      <c r="D11452" t="inlineStr">
        <is>
          <t>Rapière aux Glyphes; Amulette du Sinistrofu; Pikano; Anneau Glacial; Ceinture Glaciale; Casquipik; Cape Glaciale; Pikottes; Dofus Pourpre; Robuste majeur; Entraveur majeur; Joueur majeur; Voyageur; Ralentisseur majeur; Kramkram</t>
        </is>
      </c>
    </row>
    <row r="11453">
      <c r="A11453" t="inlineStr">
        <is>
          <t>Stuff 3</t>
        </is>
      </c>
      <c r="B11453">
        <f>HYPERLINK("https://www.dofusbook.net/fr/equipement/412334-stuff-3/objets", "link")</f>
        <v/>
      </c>
      <c r="C11453" t="n">
        <v>0</v>
      </c>
      <c r="D11453" t="inlineStr">
        <is>
          <t>Harpelle; Amulette de Nileza; Anneau Tamie; Bague Gloursonne; Sangle Aise; Coiffe Séculaire; Cape de Nileza; Bottes d'Otomaï; Dofus Turquoise; Dofus Pourpre; Érudit majeur; Remueur; Vigoureux majeur; Nomade; Pioute rouge</t>
        </is>
      </c>
    </row>
    <row r="11454">
      <c r="A11454" t="inlineStr">
        <is>
          <t>Stuff 3</t>
        </is>
      </c>
      <c r="B11454">
        <f>HYPERLINK("https://www.dofusbook.net/fr/equipement/412346-stuff-3/objets", "link")</f>
        <v/>
      </c>
      <c r="C11454" t="n">
        <v>1</v>
      </c>
      <c r="D11454" t="inlineStr">
        <is>
          <t>Dagues Açantes; Amulette de Danathor; Alliance Gloursonne; Pikano; Ceinture Glaciale; Kidibonnet; Cape du Sinistrofu; Pikottes; Dofus Pourpre; Temporiseur majeur; Chanceux majeur; Nomade; Entraveur majeur; Remueur; Kramkram</t>
        </is>
      </c>
    </row>
    <row r="11455">
      <c r="A11455" t="inlineStr">
        <is>
          <t>Stuff 2</t>
        </is>
      </c>
      <c r="B11455">
        <f>HYPERLINK("https://www.dofusbook.net/fr/equipement/412336-stuff-2/objets", "link")</f>
        <v/>
      </c>
      <c r="C11455" t="n">
        <v>0</v>
      </c>
      <c r="D11455" t="inlineStr">
        <is>
          <t>Plumeau Bil; Amulette d'Otomaï; Chevalière du Roi Joueur; Anneauræus; Bouclier du Stalak; Ceinture Séculaire; Coiffe Séculaire; Cape de Diondin; Bottes Innommables; Dofus des Glaces; Dofus Pourpre; Érudit majeur; Dévastateur Feu majeur; Vigoureux majeur; Remueur; Muldo Indigo et Orchidée</t>
        </is>
      </c>
    </row>
    <row r="11456">
      <c r="A11456" t="inlineStr">
        <is>
          <t>Stuff 2</t>
        </is>
      </c>
      <c r="B11456">
        <f>HYPERLINK("https://www.dofusbook.net/fr/equipement/412348-stuff-2/objets", "link")</f>
        <v/>
      </c>
      <c r="C11456" t="n">
        <v>0</v>
      </c>
      <c r="D11456" t="inlineStr">
        <is>
          <t>Arc Hétype; Amulette du Glourséleste; Pikano; Anneau Pwal; Ceinture Instable; Casquipik; Cape de Léthaline; Pantoufles Émar; Dofus Ocre; Entraveur; Entraveur majeur; Temporiseur majeur; Ralentisseur majeur; Remueur; Gwo Tofu Ventripotent</t>
        </is>
      </c>
    </row>
    <row r="11457">
      <c r="A11457" t="inlineStr">
        <is>
          <t>Stuff 2</t>
        </is>
      </c>
      <c r="B11457">
        <f>HYPERLINK("https://www.dofusbook.net/fr/equipement/412333-stuff-2/objets", "link")</f>
        <v/>
      </c>
      <c r="C11457" t="n">
        <v>0</v>
      </c>
      <c r="D11457" t="inlineStr">
        <is>
          <t>Dagoulinantes; Amulette de Shokkoth; Alliance Gloursonne; Anneau Glacial; Poulpagne; Kidibonnet; Cape du Sinistrofu; Bottes du Sinistrofu; Dofus Turquoise; Dévastateur Eau majeur; Nomade; Joueur majeur; Vigoureux majeur; Chanceux majeur; Kramkram</t>
        </is>
      </c>
    </row>
    <row r="11458">
      <c r="A11458" t="inlineStr">
        <is>
          <t>Zobal M 200</t>
        </is>
      </c>
      <c r="B11458">
        <f>HYPERLINK("https://www.dofusbook.net/fr/equipement/5863252-zobal-m-200/objets", "link")</f>
        <v/>
      </c>
      <c r="C11458" t="n">
        <v>0</v>
      </c>
      <c r="D11458" t="inlineStr">
        <is>
          <t>Masse Ossiale; Amulette du Sinistrofu; Alliance Gloursonne; Anneau Volkorne; Bouclier du Stalak; Ceintrigue; Chapeau des Malveilleurs; Cape Solution; Bottes des Malveilleurs; Dofus Pourpre; Dofus Ivoire; Dofus Abyssal; Dofus Ocre; Culbuteur majeur; Bousculeur majeur; Écumouth</t>
        </is>
      </c>
    </row>
    <row r="11459">
      <c r="A11459" t="inlineStr">
        <is>
          <t>Zobal M 200</t>
        </is>
      </c>
      <c r="B11459">
        <f>HYPERLINK("https://www.dofusbook.net/fr/equipement/5863217-zobal-m-200/objets", "link")</f>
        <v/>
      </c>
      <c r="C11459" t="n">
        <v>0</v>
      </c>
      <c r="D11459" t="inlineStr">
        <is>
          <t>Hache du Korriandre; Amulette du Strigide; Anneau Volkorne; Bracelet du Piloztère; Quatre-feuilles; Ceinture du Strigide; Némès de Tal Kasha; Chevelure de Tal Kasha; Sandales de Tal Kasha; Dofus des Glaces; Dofus Ocre; Dofus Turquoise; Dofus Ivoire; Dofus Abyssal; Dofus Pourpre; Kokulte</t>
        </is>
      </c>
    </row>
    <row r="11460">
      <c r="A11460" t="inlineStr">
        <is>
          <t>Crâ M 200</t>
        </is>
      </c>
      <c r="B11460">
        <f>HYPERLINK("https://www.dofusbook.net/fr/equipement/5813046-cra-m-200/objets", "link")</f>
        <v/>
      </c>
      <c r="C11460" t="n">
        <v>0</v>
      </c>
      <c r="D11460" t="inlineStr">
        <is>
          <t>Dagues du Dragoeuf; Amulette du Strigide; Anneau de Padgref; Gelano; Quatre-feuilles; Ceinture du Strigide; Coiffe de Padgref; Cape Reski; Getas de Padgref; Dofus Pourpre; Dofus Cawotte; Dofus Turquoise; Puissant majeur; Forcené majeur; Astucieux majeur; Muldo Prune et Emeraude</t>
        </is>
      </c>
    </row>
    <row r="11461">
      <c r="A11461" t="inlineStr">
        <is>
          <t>Eniripsa M 200</t>
        </is>
      </c>
      <c r="B11461">
        <f>HYPERLINK("https://www.dofusbook.net/fr/equipement/5810982-eniripsa-m-200/objets", "link")</f>
        <v/>
      </c>
      <c r="C11461" t="n">
        <v>0</v>
      </c>
      <c r="D11461" t="inlineStr"/>
    </row>
    <row r="11462">
      <c r="A11462" t="inlineStr">
        <is>
          <t>Roublard F 200</t>
        </is>
      </c>
      <c r="B11462">
        <f>HYPERLINK("https://www.dofusbook.net/fr/equipement/5810914-roublard-f-200/objets", "link")</f>
        <v/>
      </c>
      <c r="C11462" t="n">
        <v>2</v>
      </c>
      <c r="D11462" t="inlineStr"/>
    </row>
    <row r="11463">
      <c r="A11463" t="inlineStr">
        <is>
          <t>Enutrof M 200</t>
        </is>
      </c>
      <c r="B11463">
        <f>HYPERLINK("https://www.dofusbook.net/fr/equipement/5784255-enutrof-m-200/objets", "link")</f>
        <v/>
      </c>
      <c r="C11463" t="n">
        <v>0</v>
      </c>
      <c r="D11463" t="inlineStr"/>
    </row>
    <row r="11464">
      <c r="A11464" t="inlineStr">
        <is>
          <t>Iop M 200</t>
        </is>
      </c>
      <c r="B11464">
        <f>HYPERLINK("https://www.dofusbook.net/fr/equipement/5546113-iop-m-200/objets", "link")</f>
        <v/>
      </c>
      <c r="C11464" t="n">
        <v>0</v>
      </c>
      <c r="D11464" t="inlineStr"/>
    </row>
    <row r="11465">
      <c r="A11465" t="inlineStr">
        <is>
          <t>Pandawa M 200</t>
        </is>
      </c>
      <c r="B11465">
        <f>HYPERLINK("https://www.dofusbook.net/fr/equipement/5366977-pandawa-m-200/objets", "link")</f>
        <v/>
      </c>
      <c r="C11465" t="n">
        <v>0</v>
      </c>
      <c r="D11465" t="inlineStr"/>
    </row>
    <row r="11466">
      <c r="A11466" t="inlineStr">
        <is>
          <t>Pandawa M 200</t>
        </is>
      </c>
      <c r="B11466">
        <f>HYPERLINK("https://www.dofusbook.net/fr/equipement/5362491-pandawa-m-200/objets", "link")</f>
        <v/>
      </c>
      <c r="C11466" t="n">
        <v>0</v>
      </c>
      <c r="D11466" t="inlineStr"/>
    </row>
    <row r="11467">
      <c r="A11467" t="inlineStr">
        <is>
          <t>Sacrieur F 200</t>
        </is>
      </c>
      <c r="B11467">
        <f>HYPERLINK("https://www.dofusbook.net/fr/equipement/5362487-sacrieur-f-200/objets", "link")</f>
        <v/>
      </c>
      <c r="C11467" t="n">
        <v>0</v>
      </c>
      <c r="D11467" t="inlineStr"/>
    </row>
    <row r="11468">
      <c r="A11468" t="inlineStr">
        <is>
          <t>Enutrof M 200</t>
        </is>
      </c>
      <c r="B11468">
        <f>HYPERLINK("https://www.dofusbook.net/fr/equipement/5362475-enutrof-m-200/objets", "link")</f>
        <v/>
      </c>
      <c r="C11468" t="n">
        <v>1</v>
      </c>
      <c r="D11468" t="inlineStr"/>
    </row>
    <row r="11469">
      <c r="A11469" t="inlineStr">
        <is>
          <t>Roublard F 200</t>
        </is>
      </c>
      <c r="B11469">
        <f>HYPERLINK("https://www.dofusbook.net/fr/equipement/5260058-roublard-f-200/objets", "link")</f>
        <v/>
      </c>
      <c r="C11469" t="n">
        <v>3</v>
      </c>
      <c r="D11469" t="inlineStr">
        <is>
          <t>Arc corrompu; Amulette Volkorne; Anneauræus; Anneauræus; Bouclier du Stalak; Ceinture Séculaire; Coiffe Séculaire; Cape de Diondin; Bottes Innommables; Dofus Abyssal; Dofus Pourpre; Nomade; Remueur; Érudit majeur; Bisouglours</t>
        </is>
      </c>
    </row>
    <row r="11470">
      <c r="A11470" t="inlineStr">
        <is>
          <t>Crâ M 200</t>
        </is>
      </c>
      <c r="B11470">
        <f>HYPERLINK("https://www.dofusbook.net/fr/equipement/5246966-cra-m-200/objets", "link")</f>
        <v/>
      </c>
      <c r="C11470" t="n">
        <v>1</v>
      </c>
      <c r="D11470" t="inlineStr">
        <is>
          <t>Epée Gloursonne; Amulette du Strigide; Bague Gloursonne; Alliance Gloursonne; Bouclier du Stalak; Ceinture du Strigide; Masque Vaudou Tam; Cape Reski; Bottes du Strigide</t>
        </is>
      </c>
    </row>
    <row r="11471">
      <c r="A11471" t="inlineStr">
        <is>
          <t>Roublard F 200</t>
        </is>
      </c>
      <c r="B11471">
        <f>HYPERLINK("https://www.dofusbook.net/fr/equipement/5204964-roublard-f-200/objets", "link")</f>
        <v/>
      </c>
      <c r="C11471" t="n">
        <v>0</v>
      </c>
      <c r="D11471" t="inlineStr"/>
    </row>
    <row r="11472">
      <c r="A11472" t="inlineStr">
        <is>
          <t>Sram M 200</t>
        </is>
      </c>
      <c r="B11472">
        <f>HYPERLINK("https://www.dofusbook.net/fr/equipement/4873660-sram-m-200/objets", "link")</f>
        <v/>
      </c>
      <c r="C11472" t="n">
        <v>2</v>
      </c>
      <c r="D11472" t="inlineStr">
        <is>
          <t>Epée Gloursonne; Amulette du Kamasterisk; Bague Gloursonne; Alliance Gloursonne; Bouclier Taverne; Ceinture Volkorne; Casque Volkorne; Cape du Kamasterisk; Bottes du Kamasterisk; Dofus Pourpre; Dofus Ocre; Dofus Émeraude; Dofus Turquoise; Acrobate majeur; Furibond majeur; Muldo Prune et Emeraude</t>
        </is>
      </c>
    </row>
    <row r="11473">
      <c r="A11473" t="inlineStr">
        <is>
          <t>Roublard F 200</t>
        </is>
      </c>
      <c r="B11473">
        <f>HYPERLINK("https://www.dofusbook.net/fr/equipement/4807000-roublard-f-200/objets", "link")</f>
        <v/>
      </c>
      <c r="C11473" t="n">
        <v>0</v>
      </c>
      <c r="D11473" t="inlineStr">
        <is>
          <t>Dagues Érhy; Amulette Volkorne; Anneau du Katcheur; Bague Gloursonne; Bouclier du Stalak; Ceinture Volkorne; Masque du Katcheur; Voile d'encre; Bottes du Katcheur; Dofus Ocre; Dofus Vulbis; Dofus Abyssal; Dofus Ivoire; Dofus Pourpre; Dofus des Glaces; Volkorne Pourpre et Orchidée</t>
        </is>
      </c>
    </row>
    <row r="11474">
      <c r="A11474" t="inlineStr">
        <is>
          <t>Crâ F 200</t>
        </is>
      </c>
      <c r="B11474">
        <f>HYPERLINK("https://www.dofusbook.net/fr/equipement/4768918-cra-f-200/objets", "link")</f>
        <v/>
      </c>
      <c r="C11474" t="n">
        <v>0</v>
      </c>
      <c r="D11474" t="inlineStr">
        <is>
          <t>Dagues du Dragoeuf; Amulette du Strigide; Anneau de Padgref; Bracelet du Piloztère; Quatre-feuilles; Ceinture du Strigide; Coiffe de Padgref; Cape Reski; Getas de Padgref; Dofus Turquoise; Dofus Pourpre; Furibond majeur; Savant majeur; Puissant majeur; Acrobate majeur; Muldo Prune et Emeraude</t>
        </is>
      </c>
    </row>
    <row r="11475">
      <c r="A11475" t="inlineStr">
        <is>
          <t>Roublard F 200</t>
        </is>
      </c>
      <c r="B11475">
        <f>HYPERLINK("https://www.dofusbook.net/fr/equipement/4748478-roublard-f-200/objets", "link")</f>
        <v/>
      </c>
      <c r="C11475" t="n">
        <v>0</v>
      </c>
      <c r="D11475" t="inlineStr">
        <is>
          <t>Arc corrompu; Amulette Volkorne; Anneauræus; Anneauræus; Bouclier du Stalak; Ceinture Volkorne; Heaume Oplate; Cape de Diondin; Bottes Innommables; Dofus Pourpre; Nomade; Dévastateur Feu majeur; Remueur; Miraculé majeur; Érudit majeur; Bisouglours</t>
        </is>
      </c>
    </row>
    <row r="11476">
      <c r="A11476" t="inlineStr">
        <is>
          <t>Crâ F 200</t>
        </is>
      </c>
      <c r="B11476">
        <f>HYPERLINK("https://www.dofusbook.net/fr/equipement/4063744-cra-f-200/objets", "link")</f>
        <v/>
      </c>
      <c r="C11476" t="n">
        <v>10</v>
      </c>
      <c r="D11476" t="inlineStr">
        <is>
          <t>Epée Kari; Amulette du Strigide; Bracelet du Piloztère; Anneau de Padgref; Bouclier Taverne; Ceinture du Strigide; Masque Vaudou Tam; Cape Reski; Pantoufles Émar; Nomade; Remueur; Vigoureux majeur; Muldo Prune et Emeraude</t>
        </is>
      </c>
    </row>
    <row r="11477">
      <c r="A11477" t="inlineStr">
        <is>
          <t>Sadida M 199</t>
        </is>
      </c>
      <c r="B11477">
        <f>HYPERLINK("https://www.dofusbook.net/fr/equipement/4694492-sadida-m-199/objets", "link")</f>
        <v/>
      </c>
      <c r="C11477" t="n">
        <v>2</v>
      </c>
      <c r="D11477" t="inlineStr">
        <is>
          <t>Arc corrompu; Amulette Volkorne; Anneauræus; Anneauræus; Bouclier du Stalak; Ceinture Volkorne; Heaume Oplate; Voile d'encre; Bottes Innommables; Dofus Abyssal; Dofus Pourpre; Dofus des Glaces; Dofus Ocre; Dofus Ivoire; Nomade</t>
        </is>
      </c>
    </row>
    <row r="11478">
      <c r="A11478" t="inlineStr">
        <is>
          <t>Roublard F 200</t>
        </is>
      </c>
      <c r="B11478">
        <f>HYPERLINK("https://www.dofusbook.net/fr/equipement/4670628-roublard-f-200/objets", "link")</f>
        <v/>
      </c>
      <c r="C11478" t="n">
        <v>0</v>
      </c>
      <c r="D11478" t="inlineStr">
        <is>
          <t>Dagues Érhy; Amulette Volkorne; Baguistik; Anneau du Katcheur; Bouclier du Stalak; Ceinture Volkorne; Masque du Katcheur; Voile d'encre; Bottes du Katcheur; Dofus Ocre; Dofus Ivoire; Dofus Vulbis; Dofus Ébène; Dofus Pourpre; Dofus Abyssal; Volkorne Pourpre et Orchidée</t>
        </is>
      </c>
    </row>
    <row r="11479">
      <c r="A11479" t="inlineStr">
        <is>
          <t>Crâ F 200</t>
        </is>
      </c>
      <c r="B11479">
        <f>HYPERLINK("https://www.dofusbook.net/fr/equipement/4595366-cra-f-200/objets", "link")</f>
        <v/>
      </c>
      <c r="C11479" t="n">
        <v>0</v>
      </c>
      <c r="D11479" t="inlineStr"/>
    </row>
    <row r="11480">
      <c r="A11480" t="inlineStr">
        <is>
          <t>Crâ F 136</t>
        </is>
      </c>
      <c r="B11480">
        <f>HYPERLINK("https://www.dofusbook.net/fr/equipement/4593233-cra-f-136/objets", "link")</f>
        <v/>
      </c>
      <c r="C11480" t="n">
        <v>0</v>
      </c>
      <c r="D11480" t="inlineStr">
        <is>
          <t>Arc du Chalœil; Amulette du Cœur Saignant; Anneau Crustique; Anneau Chevelu; Quatre-feuilles; Ceinture Volkorne; Masque de Koutoulou; Cape au Logis; Bottes du Cœur Saignant; Dofus Turquoise; Dokoko; Dofus Ocre; Dofus Abyssal; Dofus Pourpre; Enragé majeur; Dragodinde Amande et Pourpre</t>
        </is>
      </c>
    </row>
    <row r="11481">
      <c r="A11481" t="inlineStr">
        <is>
          <t>Roublard F 200</t>
        </is>
      </c>
      <c r="B11481">
        <f>HYPERLINK("https://www.dofusbook.net/fr/equipement/4540965-roublard-f-200/objets", "link")</f>
        <v/>
      </c>
      <c r="C11481" t="n">
        <v>0</v>
      </c>
      <c r="D11481" t="inlineStr">
        <is>
          <t>Arc du Chalœil; Torquistik; Baguistik; Goulano; Goulclier; Ceinture Volkorne; Casque Dragoeuf; Cape au Logis; Goulbottes; Dofus Turquoise; Dofus Ocre; Dofus Pourpre; Dofus des Glaces; Dokoko; Dofus Abyssal; Bulbisou</t>
        </is>
      </c>
    </row>
    <row r="11482">
      <c r="A11482" t="inlineStr">
        <is>
          <t>Féca M 200</t>
        </is>
      </c>
      <c r="B11482">
        <f>HYPERLINK("https://www.dofusbook.net/fr/equipement/4476910-feca-m-200/objets", "link")</f>
        <v/>
      </c>
      <c r="C11482" t="n">
        <v>0</v>
      </c>
      <c r="D11482" t="inlineStr"/>
    </row>
    <row r="11483">
      <c r="A11483" t="inlineStr">
        <is>
          <t>Iop M 200</t>
        </is>
      </c>
      <c r="B11483">
        <f>HYPERLINK("https://www.dofusbook.net/fr/equipement/4463970-iop-m-200/objets", "link")</f>
        <v/>
      </c>
      <c r="C11483" t="n">
        <v>0</v>
      </c>
      <c r="D11483" t="inlineStr">
        <is>
          <t>Arc corrompu; Amulette Volkorne; Anneauræus; Anneauræus; Bouclier du Stalak; Ceinture Volkorne; Heaume Oplate; Cape de Jahash Jurgen; Bottes Innommables; Dofus Vulbis; Dofus Ébène; Dofus Ocre; Dofus Ivoire; Dofus Abyssal; Érudit majeur; Bisouglours</t>
        </is>
      </c>
    </row>
    <row r="11484">
      <c r="A11484" t="inlineStr">
        <is>
          <t>Crâ F 200</t>
        </is>
      </c>
      <c r="B11484">
        <f>HYPERLINK("https://www.dofusbook.net/fr/equipement/4420053-cra-f-200/objets", "link")</f>
        <v/>
      </c>
      <c r="C11484" t="n">
        <v>0</v>
      </c>
      <c r="D11484" t="inlineStr"/>
    </row>
    <row r="11485">
      <c r="A11485" t="inlineStr">
        <is>
          <t>Crâ F 200</t>
        </is>
      </c>
      <c r="B11485">
        <f>HYPERLINK("https://www.dofusbook.net/fr/equipement/4404069-cra-f-200/objets", "link")</f>
        <v/>
      </c>
      <c r="C11485" t="n">
        <v>0</v>
      </c>
      <c r="D11485" t="inlineStr">
        <is>
          <t>Lance Horselé; Amulette Volkorne; Gant du Valet Veinard; Alliance Gloursonne; Quatre-feuilles; Menoture; Casque Volkorne; Cape Indescriptible; Palmes Trithons; Dofus Ocre; Dofus Abyssal; Dofus Turquoise; Cascadeur majeur; Equilibriste majeur; Nomade; Pioute jaune</t>
        </is>
      </c>
    </row>
    <row r="11486">
      <c r="A11486" t="inlineStr">
        <is>
          <t>Roublard F 200</t>
        </is>
      </c>
      <c r="B11486">
        <f>HYPERLINK("https://www.dofusbook.net/fr/equipement/4400028-roublard-f-200/objets", "link")</f>
        <v/>
      </c>
      <c r="C11486" t="n">
        <v>0</v>
      </c>
      <c r="D11486" t="inlineStr">
        <is>
          <t>Manthache; Collier du Valet Veinard; Alliance Gloursonne; Gant du Valet Veinard; Bouclier du Stalak; Ceintouse; Casque Volkorne; Cape Martegel; Baleinabottes; Dofus Abyssal; Dofus Pourpre; Dokoko; Remueur; Cascadeur majeur; Nomade; Blérodoudou</t>
        </is>
      </c>
    </row>
    <row r="11487">
      <c r="A11487" t="inlineStr">
        <is>
          <t>Iop M 200</t>
        </is>
      </c>
      <c r="B11487">
        <f>HYPERLINK("https://www.dofusbook.net/fr/equipement/4399252-iop-m-200/objets", "link")</f>
        <v/>
      </c>
      <c r="C11487" t="n">
        <v>0</v>
      </c>
      <c r="D11487" t="inlineStr">
        <is>
          <t>Amulette du Strigide; Bague Gloursonne; Bague Trithon; Ceinture du Strigide; Masque Trithon; Voile d'encre; Bottes Trithon</t>
        </is>
      </c>
    </row>
    <row r="11488">
      <c r="A11488" t="inlineStr">
        <is>
          <t>Roublard F 199</t>
        </is>
      </c>
      <c r="B11488">
        <f>HYPERLINK("https://www.dofusbook.net/fr/equipement/4320005-roublard-f-199/objets", "link")</f>
        <v/>
      </c>
      <c r="C11488" t="n">
        <v>0</v>
      </c>
      <c r="D11488" t="inlineStr">
        <is>
          <t>Manthache; Collier du Valet Veinard; Anneau d'Allister; Alliance Gloursonne; Bouclier du Stalak; Menoture; Coiffe de la Reine des Voleurs; Cape Indescriptible; Bottes de la Reine des Voleurs; Dofus Pourpre; Dokoko; Remueur; Cascadeur majeur; Nomade; Bwak d'Air</t>
        </is>
      </c>
    </row>
    <row r="11489">
      <c r="A11489" t="inlineStr">
        <is>
          <t>Féca M 200</t>
        </is>
      </c>
      <c r="B11489">
        <f>HYPERLINK("https://www.dofusbook.net/fr/equipement/4310403-feca-m-200/objets", "link")</f>
        <v/>
      </c>
      <c r="C11489" t="n">
        <v>1</v>
      </c>
      <c r="D11489" t="inlineStr">
        <is>
          <t>Az'tech; Amulette du Strigide; Alliance Gloursonne; Bague Trithon; Bouclier du Captain Amakna; Ceinture du Strigide; Masque Trithon; Chevelure de Tal Kasha; Bottes du Strigide; Dofus Turquoise; Dofus Abyssal; Dolmanax; Dofus Pourpre; Dofus des Glaces; Dofus Ocre; Muldo Prune et Emeraude</t>
        </is>
      </c>
    </row>
    <row r="11490">
      <c r="A11490" t="inlineStr">
        <is>
          <t>Féca M 200</t>
        </is>
      </c>
      <c r="B11490">
        <f>HYPERLINK("https://www.dofusbook.net/fr/equipement/4304076-feca-m-200/objets", "link")</f>
        <v/>
      </c>
      <c r="C11490" t="n">
        <v>0</v>
      </c>
      <c r="D11490" t="inlineStr">
        <is>
          <t>Grésilosceptre; Amulette du Strigide; Anneau de la Fuji Givrefoux; Bague Trithon; Bouclier du Captain Amakna; Ceintacé; Masque Trithon; Cape de la Fuji Givrefoux; Bottes du Strigide; Dofus Abyssal; Dofus Turquoise; Dolmanax; Dofus Ocre; Dofus Pourpre; Dofus des Glaces; Sakochère</t>
        </is>
      </c>
    </row>
    <row r="11491">
      <c r="A11491" t="inlineStr">
        <is>
          <t>Roublard F 200</t>
        </is>
      </c>
      <c r="B11491">
        <f>HYPERLINK("https://www.dofusbook.net/fr/equipement/4001550-roublard-f-200/objets", "link")</f>
        <v/>
      </c>
      <c r="C11491" t="n">
        <v>1</v>
      </c>
      <c r="D11491" t="inlineStr">
        <is>
          <t>Arc du Chalœil; Torquistik; Baguistik; Goulano; Bouclier du Stalak; Ceinture de la Reine des Voleurs; Coiffe de la Reine des Voleurs; Cape au Logis; Goulbottes; Dofus des Glaces; Dofus Pourpre; Dofus Émeraude; Dofus Ocre; Dokoko; Dofus Abyssal; Volkorne Prune et Pourpre</t>
        </is>
      </c>
    </row>
    <row r="11492">
      <c r="A11492" t="inlineStr">
        <is>
          <t>Roublard F 200</t>
        </is>
      </c>
      <c r="B11492">
        <f>HYPERLINK("https://www.dofusbook.net/fr/equipement/4298322-roublard-f-200/objets", "link")</f>
        <v/>
      </c>
      <c r="C11492" t="n">
        <v>0</v>
      </c>
      <c r="D11492" t="inlineStr">
        <is>
          <t>Arc corrompu; Amulette Volkorne; Baguistik; Goulano; Bouclier du Stalak; Ceinture de Vortex; Heaume Oplate; Cape Martegel; Goulbottes; Dokoko; Miraculé majeur; Remueur; Érudit majeur; Nomade; Dévastateur Feu majeur; Bisouglours</t>
        </is>
      </c>
    </row>
    <row r="11493">
      <c r="A11493" t="inlineStr">
        <is>
          <t>Roublard F 200</t>
        </is>
      </c>
      <c r="B11493">
        <f>HYPERLINK("https://www.dofusbook.net/fr/equipement/4290253-roublard-f-200/objets", "link")</f>
        <v/>
      </c>
      <c r="C11493" t="n">
        <v>0</v>
      </c>
      <c r="D11493" t="inlineStr">
        <is>
          <t>Hache du Korriandre; Amulette d'Ilyzaelle; Alliance Gloursonne; Anneau Volkorne; Bouclier du Stalak; Ceinture du Barbétoal; Casque d'Ilyzaelle; Chevelure de Tal Kasha; Pataugastrique; Dofus Abyssal; Dokoko; Dofus Pourpre; Étourdisseur majeur; Remueur; Nomade</t>
        </is>
      </c>
    </row>
    <row r="11494">
      <c r="A11494" t="inlineStr">
        <is>
          <t>Roublard F 200</t>
        </is>
      </c>
      <c r="B11494">
        <f>HYPERLINK("https://www.dofusbook.net/fr/equipement/4285905-roublard-f-200/objets", "link")</f>
        <v/>
      </c>
      <c r="C11494" t="n">
        <v>0</v>
      </c>
      <c r="D11494" t="inlineStr">
        <is>
          <t>Lav'Hache; Collier de Tourthon; Anneau Chevelu; Anneau Volkorne; Bouclier du Stalak; Ceinture Volkorne; Masque de Koutoulou; Ankhape; Bottes de la Cour Sombre; Dofus Ébène; Dofus Ocre; Dofus Ivoire; Dofus Abyssal; Dofus des Glaces; Enragé majeur</t>
        </is>
      </c>
    </row>
    <row r="11495">
      <c r="A11495" t="inlineStr">
        <is>
          <t>Roublard F 199</t>
        </is>
      </c>
      <c r="B11495">
        <f>HYPERLINK("https://www.dofusbook.net/fr/equipement/4269744-roublard-f-199/objets", "link")</f>
        <v/>
      </c>
      <c r="C11495" t="n">
        <v>0</v>
      </c>
      <c r="D11495" t="inlineStr">
        <is>
          <t>Arc du Chalœil; Torquistik; Goulano; Baguistik; Goulclier; Ceinture de la Reine des Voleurs; Coiffe de la Reine des Voleurs; Cape au Logis; Goulbottes; Dofus Cawotte; Dofus Pourpre; Dokoko; Dofus Abyssal; Dofus Émeraude; Volkorne Saphir et Prune</t>
        </is>
      </c>
    </row>
    <row r="11496">
      <c r="A11496" t="inlineStr">
        <is>
          <t>Crâ M 200</t>
        </is>
      </c>
      <c r="B11496">
        <f>HYPERLINK("https://www.dofusbook.net/fr/equipement/4225722-cra-m-200/objets", "link")</f>
        <v/>
      </c>
      <c r="C11496" t="n">
        <v>1</v>
      </c>
      <c r="D11496" t="inlineStr"/>
    </row>
    <row r="11497">
      <c r="A11497" t="inlineStr">
        <is>
          <t>Zobal M 200</t>
        </is>
      </c>
      <c r="B11497">
        <f>HYPERLINK("https://www.dofusbook.net/fr/equipement/4220745-zobal-m-200/objets", "link")</f>
        <v/>
      </c>
      <c r="C11497" t="n">
        <v>0</v>
      </c>
      <c r="D11497" t="inlineStr"/>
    </row>
    <row r="11498">
      <c r="A11498" t="inlineStr">
        <is>
          <t>Roublard M 200</t>
        </is>
      </c>
      <c r="B11498">
        <f>HYPERLINK("https://www.dofusbook.net/fr/equipement/4116525-roublard-m-200/objets", "link")</f>
        <v/>
      </c>
      <c r="C11498" t="n">
        <v>0</v>
      </c>
      <c r="D11498" t="inlineStr"/>
    </row>
    <row r="11499">
      <c r="A11499" t="inlineStr">
        <is>
          <t>Zobal M 200</t>
        </is>
      </c>
      <c r="B11499">
        <f>HYPERLINK("https://www.dofusbook.net/fr/equipement/4111772-zobal-m-200/objets", "link")</f>
        <v/>
      </c>
      <c r="C11499" t="n">
        <v>1</v>
      </c>
      <c r="D11499" t="inlineStr">
        <is>
          <t>Arc du Chalœil; Torquistik; Bague Trithon; Bague Instable; Bouclier précieux; Sangle Ouare; Casque Dragoeuf; Cape Solution; Bottistik; Dofus Ocre; Dofus Ivoire; Dofus Abyssal; Culbuteur majeur; Pousseur majeur; Bousculeur majeur; Tatouf</t>
        </is>
      </c>
    </row>
    <row r="11500">
      <c r="A11500" t="inlineStr">
        <is>
          <t>Sram M 200</t>
        </is>
      </c>
      <c r="B11500">
        <f>HYPERLINK("https://www.dofusbook.net/fr/equipement/4064798-sram-m-200/objets", "link")</f>
        <v/>
      </c>
      <c r="C11500" t="n">
        <v>0</v>
      </c>
      <c r="D11500" t="inlineStr">
        <is>
          <t>Dagues Eudin; Amulette Volkorne; Bague Gloursonne; Chevalière du Roi Joueur; Bouclier du Stalak; Ceinture Volkorne; Couronne du Roi Joueur; Voile d'encre; Bottes du Roi Joueur; Dofus Vulbis; Dofus Abyssal; Dofus Pourpre; Dofus des Glaces; Dofus Ivoire; Dofus Ocre; Fëanor</t>
        </is>
      </c>
    </row>
    <row r="11501">
      <c r="A11501" t="inlineStr">
        <is>
          <t>Crâ M 200</t>
        </is>
      </c>
      <c r="B11501">
        <f>HYPERLINK("https://www.dofusbook.net/fr/equipement/4063779-cra-m-200/objets", "link")</f>
        <v/>
      </c>
      <c r="C11501" t="n">
        <v>0</v>
      </c>
      <c r="D11501" t="inlineStr">
        <is>
          <t>Arc du Chalœil; Collier de Tourthon; Bracelet du Piloztère; Anneau Chevelu; Bouclier du Stalak; Ceinture de la Reine des Voleurs; Coiffe de la Reine des Voleurs; Cape au Logis; Baleinabottes; Dofus Ivoire; Dofus Turquoise; Dofus Ocre; Dofus Abyssal; Miraculé majeur; Enragé majeur; Pioute vert</t>
        </is>
      </c>
    </row>
    <row r="11502">
      <c r="A11502" t="inlineStr">
        <is>
          <t>Crâ M 200</t>
        </is>
      </c>
      <c r="B11502">
        <f>HYPERLINK("https://www.dofusbook.net/fr/equipement/4063766-cra-m-200/objets", "link")</f>
        <v/>
      </c>
      <c r="C11502" t="n">
        <v>0</v>
      </c>
      <c r="D11502" t="inlineStr">
        <is>
          <t>Epée Kari; Amulette du Strigide; Bracelet du Piloztère; Bague Trithon; Quatre-feuilles; Ceinture du Strigide; Masque Trithon; Cape Reski; Bottes Trithon; Dofus Pourpre; Dofus Ocre; Dofus Turquoise; Muldo Prune et Emeraude</t>
        </is>
      </c>
    </row>
    <row r="11503">
      <c r="A11503" t="inlineStr">
        <is>
          <t>Crâ F 200</t>
        </is>
      </c>
      <c r="B11503">
        <f>HYPERLINK("https://www.dofusbook.net/fr/equipement/4024456-cra-f-200/objets", "link")</f>
        <v/>
      </c>
      <c r="C11503" t="n">
        <v>0</v>
      </c>
      <c r="D11503" t="inlineStr">
        <is>
          <t>Epée Gloursonne; Amulette du Strigide; Bague Gloursonne; Alliance Gloursonne; Ceinture du Strigide; Cape Reski; Bottes du Strigide</t>
        </is>
      </c>
    </row>
    <row r="11504">
      <c r="A11504" t="inlineStr">
        <is>
          <t>Roublard F 200</t>
        </is>
      </c>
      <c r="B11504">
        <f>HYPERLINK("https://www.dofusbook.net/fr/equipement/4024360-roublard-f-200/objets", "link")</f>
        <v/>
      </c>
      <c r="C11504" t="n">
        <v>0</v>
      </c>
      <c r="D11504" t="inlineStr"/>
    </row>
    <row r="11505">
      <c r="A11505" t="inlineStr">
        <is>
          <t>Crâ M 199</t>
        </is>
      </c>
      <c r="B11505">
        <f>HYPERLINK("https://www.dofusbook.net/fr/equipement/4016555-cra-m-199/objets", "link")</f>
        <v/>
      </c>
      <c r="C11505" t="n">
        <v>0</v>
      </c>
      <c r="D11505" t="inlineStr">
        <is>
          <t>Arc du Chalœil; Amulette du Cœur Saignant; Anneau Crustique; Anneau Chevelu; Bouclier du Stalak; Ceinture de la Reine des Voleurs; Coiffe de la Reine des Voleurs; Cape du Cœur Saignant; Bottes du Cœur Saignant; Dofus Ocre; Dofus Turquoise; Dofus Abyssal; Dofus des Glaces; Dofus Ivoire; Dofus Vulbis</t>
        </is>
      </c>
    </row>
    <row r="11506">
      <c r="A11506" t="inlineStr">
        <is>
          <t>Roublard F 200</t>
        </is>
      </c>
      <c r="B11506">
        <f>HYPERLINK("https://www.dofusbook.net/fr/equipement/4001732-roublard-f-200/objets", "link")</f>
        <v/>
      </c>
      <c r="C11506" t="n">
        <v>0</v>
      </c>
      <c r="D11506" t="inlineStr">
        <is>
          <t>Lav'Hache; Collier de Tourthon; Anneau Crustique; Anneau de Brouce; Bouclier du Stalak; Ceinture de la Reine des Voleurs; Coiffe de la Reine des Voleurs; Ankhape; Baleinabottes; Dofus Abyssal; Observateur; Miraculé majeur; Remueur; Enragé majeur; Bulbisou</t>
        </is>
      </c>
    </row>
    <row r="11507">
      <c r="A11507" t="inlineStr">
        <is>
          <t>Zobal M 200</t>
        </is>
      </c>
      <c r="B11507">
        <f>HYPERLINK("https://www.dofusbook.net/fr/equipement/3870846-zobal-m-200/objets", "link")</f>
        <v/>
      </c>
      <c r="C11507" t="n">
        <v>0</v>
      </c>
      <c r="D11507" t="inlineStr">
        <is>
          <t>Lav'Hache; Torquistik; Goulano; Baguistik; Bouclier du Stalak; Ceinture de la Reine des Voleurs; Coiffe de la Reine des Voleurs; Cape au Logis; Goulbottes; Dofus Abyssal; Dofus des Glaces; Dofus Ivoire; Dofus Émeraude; Dofus Ocre; Dofus Pourpre; Volkorne Prune et Pourpre</t>
        </is>
      </c>
    </row>
    <row r="11508">
      <c r="A11508" t="inlineStr">
        <is>
          <t>Roublard F 200</t>
        </is>
      </c>
      <c r="B11508">
        <f>HYPERLINK("https://www.dofusbook.net/fr/equipement/3921381-roublard-f-200/objets", "link")</f>
        <v/>
      </c>
      <c r="C11508" t="n">
        <v>0</v>
      </c>
      <c r="D11508" t="inlineStr">
        <is>
          <t>Manthache; Collier du Valet Veinard; Alliance Gloursonne; Gant du Valet Veinard; Bouclier du Stalak; Menoture; Casque Volkorne; Cape Indescriptible; Palmes Trithons; Dofus des Glaces; Dofus Ocre; Dokoko; Dofus Abyssal; Cascadeur majeur; Dévastateur Air majeur; Blérodoudou</t>
        </is>
      </c>
    </row>
    <row r="11509">
      <c r="A11509" t="inlineStr">
        <is>
          <t>Zobal M 200</t>
        </is>
      </c>
      <c r="B11509">
        <f>HYPERLINK("https://www.dofusbook.net/fr/equipement/3940398-zobal-m-200/objets", "link")</f>
        <v/>
      </c>
      <c r="C11509" t="n">
        <v>0</v>
      </c>
      <c r="D11509" t="inlineStr">
        <is>
          <t>Arc du Chalœil; Torquistik; Goulano; Baguistik; Bouclier du Stalak; Ceinture de la Reine des Voleurs; Coiffe de la Reine des Voleurs; Cape au Logis; Goulbottes; Dolmanax; Dofus Ocre; Dofus Pourpre; Dofus Abyssal; Dofus des Glaces; Dofus Ivoire; Volkorne Prune</t>
        </is>
      </c>
    </row>
    <row r="11510">
      <c r="A11510" t="inlineStr">
        <is>
          <t>Roublard F 200</t>
        </is>
      </c>
      <c r="B11510">
        <f>HYPERLINK("https://www.dofusbook.net/fr/equipement/3921322-roublard-f-200/objets", "link")</f>
        <v/>
      </c>
      <c r="C11510" t="n">
        <v>0</v>
      </c>
      <c r="D11510" t="inlineStr">
        <is>
          <t>Lav'Hache; Collier de Tourthon; Bracelet du Piloztère; Anneau Chevelu; Bouclier du Stalak; Ceinture Volkorne; Masque de Koutoulou; Cape au Logis; Bottes de la Cour Sombre; Dofus Ocre; Dokoko; Dofus Abyssal; Dofus des Glaces; Enragé majeur; Dévastateur Terre majeur; Bulbisou</t>
        </is>
      </c>
    </row>
    <row r="11511">
      <c r="A11511" t="inlineStr">
        <is>
          <t>Roublard F 200</t>
        </is>
      </c>
      <c r="B11511">
        <f>HYPERLINK("https://www.dofusbook.net/fr/equipement/3921291-roublard-f-200/objets", "link")</f>
        <v/>
      </c>
      <c r="C11511" t="n">
        <v>1</v>
      </c>
      <c r="D11511" t="inlineStr">
        <is>
          <t>Hache du Korriandre; Amulette d'Ilyzaelle; Alliance Gloursonne; Anneau Volkorne; Bouclier du Stalak; Ceinture de la Reine des Voleurs; Casque d'Ilyzaelle; Cape Solution; Bottes de la Reine des Voleurs; Dokoko; Dofus des Glaces; Dofus Ocre; Dofus Abyssal; Examinateur; Voyageur; Kanigloups</t>
        </is>
      </c>
    </row>
    <row r="11512">
      <c r="A11512" t="inlineStr">
        <is>
          <t>Zobal F 200</t>
        </is>
      </c>
      <c r="B11512">
        <f>HYPERLINK("https://www.dofusbook.net/fr/equipement/3876939-zobal-f-200/objets", "link")</f>
        <v/>
      </c>
      <c r="C11512" t="n">
        <v>0</v>
      </c>
      <c r="D11512" t="inlineStr">
        <is>
          <t>Hache du Korriandre; Amulette du Strigide; Alliance Gloursonne; Anneau Volkorne; Bouclier du Stalak; Ceinture du Strigide; Casque Volkorne; Chevelure de Tal Kasha; Sandales de Tal Kasha; Dofus Turquoise; Dofus Abyssal; Dofus Vulbis; Dofus Ivoire; Dofus Pourpre; Dofus Ocre; Sakochère</t>
        </is>
      </c>
    </row>
    <row r="11513">
      <c r="A11513" t="inlineStr">
        <is>
          <t>Zobal M 200</t>
        </is>
      </c>
      <c r="B11513">
        <f>HYPERLINK("https://www.dofusbook.net/fr/equipement/3863611-zobal-m-200/objets", "link")</f>
        <v/>
      </c>
      <c r="C11513" t="n">
        <v>0</v>
      </c>
      <c r="D11513" t="inlineStr">
        <is>
          <t>Lav'Hache; Collier de Tourthon; Anneau Crustique; Anneau Chevelu; Bouclier du Stalak; Ceinture Volkorne; Masque de Koutoulou; Cape de la Cour Sombre; Bottes de la Cour Sombre; Dofus des Glaces; Dofus Ocre; Dofus Ivoire; Dofus Vulbis; Dofus Abyssal; Dévastateur Terre majeur; Bulbisou</t>
        </is>
      </c>
    </row>
    <row r="11514">
      <c r="A11514" t="inlineStr">
        <is>
          <t>Crâ M 200</t>
        </is>
      </c>
      <c r="B11514">
        <f>HYPERLINK("https://www.dofusbook.net/fr/equipement/3839564-cra-m-200/objets", "link")</f>
        <v/>
      </c>
      <c r="C11514" t="n">
        <v>2</v>
      </c>
      <c r="D11514" t="inlineStr">
        <is>
          <t>Jakchir Arc; Amulette de Shokkoth; Anneau Volkorne; Alliance Gloursonne; Cadran de Terre; Culotte de Bethel; Casque Dragoeuf; Cape Matelassée; Chaussons de Macrab; Nomade; Dévastateur Eau majeur; Paralyseur majeur; Étourdisseur majeur; Remueur; Chanceux majeur; Dragoune Rose</t>
        </is>
      </c>
    </row>
    <row r="11515">
      <c r="A11515" t="inlineStr">
        <is>
          <t>Sram M 200</t>
        </is>
      </c>
      <c r="B11515">
        <f>HYPERLINK("https://www.dofusbook.net/fr/equipement/3822047-sram-m-200/objets", "link")</f>
        <v/>
      </c>
      <c r="C11515" t="n">
        <v>0</v>
      </c>
      <c r="D11515" t="inlineStr">
        <is>
          <t>Manthache; Collier du Valet Veinard; Alliance Gloursonne; Gant du Valet Veinard; Cadran d'Air; Menoture; Couronne d'Allister; Cape Indescriptible; Palmes Trithons; Dofus Pourpre; Dofus Abyssal; Cascadeur majeur; Dévastateur Air majeur; Remueur; Nomade; Blérodoudou</t>
        </is>
      </c>
    </row>
    <row r="11516">
      <c r="A11516" t="inlineStr">
        <is>
          <t>Ecaflip M 200</t>
        </is>
      </c>
      <c r="B11516">
        <f>HYPERLINK("https://www.dofusbook.net/fr/equipement/3776835-ecaflip-m-200/objets", "link")</f>
        <v/>
      </c>
      <c r="C11516" t="n">
        <v>4</v>
      </c>
      <c r="D11516" t="inlineStr">
        <is>
          <t>Lav'Hache; Amulette Luminescente; Anneau Chevelu; Bague Trithon; Bouclier Taverne; Ceinture Gence; Masque de Koutoulou; Cape au Logis; Bottes Trithon; Dofus Ivoire; Dofus Pourpre; Dofus Abyssal; Culbuteur majeur; Bousculeur majeur; Enragé majeur; Black Tiwabbit</t>
        </is>
      </c>
    </row>
    <row r="11517">
      <c r="A11517" t="inlineStr">
        <is>
          <t>beta</t>
        </is>
      </c>
      <c r="B11517">
        <f>HYPERLINK("https://www.dofusbook.net/fr/equipement/1359144-beta/objets", "link")</f>
        <v/>
      </c>
      <c r="C11517" t="n">
        <v>1</v>
      </c>
      <c r="D11517" t="inlineStr">
        <is>
          <t>Marteau des égarés; Amulette du Strigide; Bague Trithon; Alliance de Missiz Frizz; Bouclier du Captain Amakna; Ceinture du Strigide; Masque Trithon; Chevelure de Tal Kasha; Bottes Trithon; Dofus des Glaces; Dofus Pourpre; Dofus Turquoise; Dofus Émeraude; Dolmanax; Dofus Ocre; Sakochère</t>
        </is>
      </c>
    </row>
    <row r="11518">
      <c r="A11518" t="inlineStr">
        <is>
          <t>Stuff 3</t>
        </is>
      </c>
      <c r="B11518">
        <f>HYPERLINK("https://www.dofusbook.net/fr/equipement/2121860-stuff-3/objets", "link")</f>
        <v/>
      </c>
      <c r="C11518" t="n">
        <v>13</v>
      </c>
      <c r="D11518" t="inlineStr">
        <is>
          <t>Dague Hirr; Amulette du Strigide; Anneau de Padgref; Anneau du Comte Harebourg; Bouclier d'Anerice; Ceinture du Strigide; Masque d'Anerice; Cape d'Anerice; Bottes du Strigide; Dofus Turquoise; Dofus Émeraude; Dofus Pourpre; Dolmanax; Dofus Kaliptus; Voyageur; Sakochère</t>
        </is>
      </c>
    </row>
    <row r="11519">
      <c r="A11519" t="inlineStr">
        <is>
          <t>stuff3</t>
        </is>
      </c>
      <c r="B11519">
        <f>HYPERLINK("https://www.dofusbook.net/fr/equipement/2277240-stuff3/objets", "link")</f>
        <v/>
      </c>
      <c r="C11519" t="n">
        <v>4</v>
      </c>
      <c r="D11519" t="inlineStr">
        <is>
          <t>Hache du Guerrier Zoth; Amulette Volkorne; Bague Trithon; Anneau Volkorne; Quatre-feuilles; Ceinture Volkorne; Masque Trithon; Chevelure de Tal Kasha; Bottes Trithon; Dofus Pourpre; Dofus Cawotte; Dofus Turquoise; Voyageur; Ralentisseur majeur; Entraveur majeur; Volkorne Turquoise</t>
        </is>
      </c>
    </row>
    <row r="11520">
      <c r="A11520" t="inlineStr">
        <is>
          <t>allisael</t>
        </is>
      </c>
      <c r="B11520">
        <f>HYPERLINK("https://www.dofusbook.net/fr/equipement/2086237-allisael/objets", "link")</f>
        <v/>
      </c>
      <c r="C11520" t="n">
        <v>1</v>
      </c>
      <c r="D11520" t="inlineStr">
        <is>
          <t>Epée Gloursonne; Amulette du Strigide; Bague Gloursonne; Alliance Gloursonne; Quatre-feuilles; Ceinture du Strigide; Masque Vaudou Tam; Cape Reski; Bottes du Strigide; Dofus des Glaces; Dofus Turquoise; Dolmanax; Dofus Pourpre; Voyageur; Turbulent; Kokulte</t>
        </is>
      </c>
    </row>
    <row r="11521">
      <c r="A11521" t="inlineStr">
        <is>
          <t>Crit</t>
        </is>
      </c>
      <c r="B11521">
        <f>HYPERLINK("https://www.dofusbook.net/fr/equipement/1180015-crit/objets", "link")</f>
        <v/>
      </c>
      <c r="C11521" t="n">
        <v>10</v>
      </c>
      <c r="D11521" t="inlineStr">
        <is>
          <t>Arc Volkorne; Amulette du Strigide; Anneau de Padgref; Bague Trithon; Quatre-feuilles; Ceinture du Strigide; Masque Trithon; Chevelure de Tal Kasha; Bottes Trithon; Dolmanax; Dofus Ocre; Dofus Pourpre; Dofus des Glaces; Dofus Turquoise; Sakochère</t>
        </is>
      </c>
    </row>
    <row r="11522">
      <c r="A11522" t="inlineStr">
        <is>
          <t>Stuff 3</t>
        </is>
      </c>
      <c r="B11522">
        <f>HYPERLINK("https://www.dofusbook.net/fr/equipement/213389-stuff-3/objets", "link")</f>
        <v/>
      </c>
      <c r="C11522" t="n">
        <v>14</v>
      </c>
      <c r="D11522" t="inlineStr">
        <is>
          <t>Will Killson; Amulette du Strigide; Alliance de Missiz Frizz; Bague Trithon; Bouclier du Captain Amakna; Ceinture du Strigide; Masque Trithon; Chevelure de Tal Kasha; Bottes Trithon; Dofus des Glaces; Dolmanax; Dofus Turquoise; Dofus Ocre; Dofus Pourpre; Voyageur; Kokulte</t>
        </is>
      </c>
    </row>
    <row r="11523">
      <c r="A11523" t="inlineStr">
        <is>
          <t>res cri</t>
        </is>
      </c>
      <c r="B11523">
        <f>HYPERLINK("https://www.dofusbook.net/fr/equipement/1667704-res-cri/objets", "link")</f>
        <v/>
      </c>
      <c r="C11523" t="n">
        <v>0</v>
      </c>
      <c r="D11523" t="inlineStr">
        <is>
          <t>Arc Volkorne; Amulette Volkorne; Bague Trithon; Anneau Volkorne; Quatre-feuilles; Ceinture Volkorne; Masque Trithon; Chevelure de Tal Kasha; Bottes Trithon; Dofus Pourpre; Dofus Émeraude; Dolmanax; Dofus Turquoise; Dofus des Glaces; Dofus Ocre; Sakochère</t>
        </is>
      </c>
    </row>
    <row r="11524">
      <c r="A11524" t="inlineStr">
        <is>
          <t>allezael</t>
        </is>
      </c>
      <c r="B11524">
        <f>HYPERLINK("https://www.dofusbook.net/fr/equipement/213383-allezael/objets", "link")</f>
        <v/>
      </c>
      <c r="C11524" t="n">
        <v>0</v>
      </c>
      <c r="D11524" t="inlineStr">
        <is>
          <t>Arc Ahique; Amulette du Strigide; Alliance de Missiz Frizz; Bague de Boréale; Bouclier du Stalak; Ceinture de Boréale; Coiffe de Boréale; Cape du Professeur Xa; Bottes de Boréale; Dolmanax; Dofus Pourpre; Voyageur; Robuste majeur; Turbulent; Robuste; Volkorne Doré</t>
        </is>
      </c>
    </row>
    <row r="11525">
      <c r="A11525" t="inlineStr">
        <is>
          <t>Stuff 1</t>
        </is>
      </c>
      <c r="B11525">
        <f>HYPERLINK("https://www.dofusbook.net/fr/equipement/213387-stuff-1/objets", "link")</f>
        <v/>
      </c>
      <c r="C11525" t="n">
        <v>0</v>
      </c>
      <c r="D11525" t="inlineStr">
        <is>
          <t>Hache du Guerrier Zoth; Collier de Tourthon; Bracelet Ming; Bracelet Ming; Carapar; Ceinture de Brouce; Masque d'Anerice; Cape d'Anerice; Bottes Trithon; Dofus Émeraude; Dofus Pourpre; Nomade; Miraculé majeur; Remueur; Fonceur majeur; Dragodinde Amande et Emeraude</t>
        </is>
      </c>
    </row>
    <row r="11526">
      <c r="A11526" t="inlineStr">
        <is>
          <t>ougi pui</t>
        </is>
      </c>
      <c r="B11526">
        <f>HYPERLINK("https://www.dofusbook.net/fr/equipement/3549559-ougi-pui/objets", "link")</f>
        <v/>
      </c>
      <c r="C11526" t="n">
        <v>1</v>
      </c>
      <c r="D11526" t="inlineStr">
        <is>
          <t>Epée Kari; Amulette du Strigide; Bracelet du Piloztère; Grésilanneau; Bouclier Taverne; Slip Iholo; Bonnet Ko; Cape de Kongoku; Bottes du Strigide; Robuste majeur; Nomade; Miraculé majeur; Vigoureux; Remueur; Vigoureux majeur; Muldo Prune et Doré</t>
        </is>
      </c>
    </row>
    <row r="11527">
      <c r="A11527" t="inlineStr">
        <is>
          <t>Iop terre feu</t>
        </is>
      </c>
      <c r="B11527">
        <f>HYPERLINK("https://www.dofusbook.net/fr/equipement/3545752-iop-terre-feu/objets", "link")</f>
        <v/>
      </c>
      <c r="C11527" t="n">
        <v>6</v>
      </c>
      <c r="D11527" t="inlineStr">
        <is>
          <t>Arc Hétype; Amulette Hendart; Frimanneau; Alliance de Missiz Frizz; Ceinture de Brouce; Casque de Missiz Frizz; Cape de l'Obsidiantre; Sabots Minables; Dofus Turquoise; Dofus Pourpre; Dolmanax; Remueur; Nomade; Vigoureux majeur; Muldo Prune et Doré</t>
        </is>
      </c>
    </row>
    <row r="11528">
      <c r="A11528" t="inlineStr">
        <is>
          <t>190</t>
        </is>
      </c>
      <c r="B11528">
        <f>HYPERLINK("https://www.dofusbook.net/fr/equipement/3306986-190/objets", "link")</f>
        <v/>
      </c>
      <c r="C11528" t="n">
        <v>0</v>
      </c>
      <c r="D11528" t="inlineStr">
        <is>
          <t>Hache du Guerrier Zoth; Amulette Cætera; Sceau Souverain du Roissingue; Gelano; Bouclier Taverne; Pagne du Soryo Givrefoux; Bonnet Ko; Cape du Kaniblou; Bottines des sous-bois; Dofus Pourpre; Chanceux majeur; Nomade; Vigoureux majeur; Miraculé majeur; Remueur; Muldo Prune et Doré</t>
        </is>
      </c>
    </row>
    <row r="11529">
      <c r="A11529" t="inlineStr">
        <is>
          <t>bast</t>
        </is>
      </c>
      <c r="B11529">
        <f>HYPERLINK("https://www.dofusbook.net/fr/equipement/3289819-bast/objets", "link")</f>
        <v/>
      </c>
      <c r="C11529" t="n">
        <v>1</v>
      </c>
      <c r="D11529" t="inlineStr">
        <is>
          <t>Epée Gloursonne; Amulette du Strigide; Alliance Gloursonne; Bague Gloursonne; Bouclier d'Anerice; Ceinture du Strigide; Masque d'Anerice; Cape d'Anerice; Bottes du Strigide; Dofus Émeraude; Dofus Pourpre; Dotruche; Dofus Turquoise; Puissant majeur; Robuste majeur; Dragodinde Emeraude et Rousse</t>
        </is>
      </c>
    </row>
    <row r="11530">
      <c r="A11530" t="inlineStr">
        <is>
          <t>Stuff 1</t>
        </is>
      </c>
      <c r="B11530">
        <f>HYPERLINK("https://www.dofusbook.net/fr/equipement/213381-stuff-1/objets", "link")</f>
        <v/>
      </c>
      <c r="C11530" t="n">
        <v>0</v>
      </c>
      <c r="D11530" t="inlineStr">
        <is>
          <t>Marteau des Falistos; Collier de Tourthon; Anneau de Brouce; Anneau Crustique; String Automnal du Chêne Mou; Coiffe du Comte Harebourg; Sac du Staca Noviste; Bottes de Brouce; Dolmanax; Forcené majeur; Porteur; Enragé majeur; Furibond majeur; Porteur majeur; Bworky</t>
        </is>
      </c>
    </row>
    <row r="11531">
      <c r="A11531" t="inlineStr">
        <is>
          <t>gannon</t>
        </is>
      </c>
      <c r="B11531">
        <f>HYPERLINK("https://www.dofusbook.net/fr/equipement/2297609-gannon/objets", "link")</f>
        <v/>
      </c>
      <c r="C11531" t="n">
        <v>0</v>
      </c>
      <c r="D11531" t="inlineStr">
        <is>
          <t>Bâton de Daïgoro; Collier Rouge de Daïgoro; Pagne de Daïgoro; Coiffe de Daïgoro</t>
        </is>
      </c>
    </row>
    <row r="11532">
      <c r="A11532" t="inlineStr">
        <is>
          <t>Stuff 1</t>
        </is>
      </c>
      <c r="B11532">
        <f>HYPERLINK("https://www.dofusbook.net/fr/equipement/213401-stuff-1/objets", "link")</f>
        <v/>
      </c>
      <c r="C11532" t="n">
        <v>2</v>
      </c>
      <c r="D11532" t="inlineStr">
        <is>
          <t>Hache du Guerrier Zoth; Collier de la Dame du Hasard; Alliance Gloursonne; Frimanneau; Bouclier cubiste; Ceinture Instable; Capuche de l'Œil Putride; Cape de l'Œil Putride; Bottes de Meno; Temporiseur majeur; Turbulent; Entraveur majeur; Nomade; Robuste majeur; Remueur; Cube</t>
        </is>
      </c>
    </row>
    <row r="11533">
      <c r="A11533" t="inlineStr">
        <is>
          <t>Stuff 1</t>
        </is>
      </c>
      <c r="B11533">
        <f>HYPERLINK("https://www.dofusbook.net/fr/equipement/213372-stuff-1/objets", "link")</f>
        <v/>
      </c>
      <c r="C11533" t="n">
        <v>2</v>
      </c>
      <c r="D11533" t="inlineStr">
        <is>
          <t>Lance corrompue; Collier du Valet Veinard; Anneau Crustique; Gant du Valet Veinard; Bouclier du Captain Amakna; Ceintouse; Chapoulpe; Cape du Valet Veinard; Tentassons; Dofus Pourpre; Dofus Émeraude; Dofus Ocre; Dofus des Glaces; Dolmanax; Voyageur; Kramkram</t>
        </is>
      </c>
    </row>
    <row r="11534">
      <c r="A11534" t="inlineStr">
        <is>
          <t>docri</t>
        </is>
      </c>
      <c r="B11534">
        <f>HYPERLINK("https://www.dofusbook.net/fr/equipement/2172638-docri/objets", "link")</f>
        <v/>
      </c>
      <c r="C11534" t="n">
        <v>1</v>
      </c>
      <c r="D11534" t="inlineStr">
        <is>
          <t>Hache du Guerrier Zoth; Amulette du Strigide; Bague Trithon; Anneau de la Fuji Givrefoux; Quatre-feuilles; Ceinture du Strigide; Masque Trithon; Chevelure de Tal Kasha; Bottes Trithon; Dolmanax; Dofus des Glaces; Dofus Ocre; Dofus Pourpre; Dofus des Veilleurs; Dofus Turquoise; Muldo Emeraude</t>
        </is>
      </c>
    </row>
    <row r="11535">
      <c r="A11535" t="inlineStr">
        <is>
          <t>osa</t>
        </is>
      </c>
      <c r="B11535">
        <f>HYPERLINK("https://www.dofusbook.net/fr/equipement/2172390-osa/objets", "link")</f>
        <v/>
      </c>
      <c r="C11535" t="n">
        <v>0</v>
      </c>
      <c r="D11535" t="inlineStr">
        <is>
          <t>Hache du Guerrier Zoth; Kralamansion; Annolamour; Kralano; Goulclier; Ceinture de l'Esprit Salvateur; Masque de l'Esprit Salvateur; Cape de Léthaline; Bottes de l'Esprit Salvateur; Dolmanax; Dofus des Glaces; Dofus Pourpre; Dofus Émeraude; Dofus des Veilleurs; Survivant majeur; Eliôme</t>
        </is>
      </c>
    </row>
    <row r="11536">
      <c r="A11536" t="inlineStr">
        <is>
          <t>Stuff 2</t>
        </is>
      </c>
      <c r="B11536">
        <f>HYPERLINK("https://www.dofusbook.net/fr/equipement/213382-stuff-2/objets", "link")</f>
        <v/>
      </c>
      <c r="C11536" t="n">
        <v>1</v>
      </c>
      <c r="D11536" t="inlineStr">
        <is>
          <t>Arc Ahique; Torque Ancestral; Anneau Ancestral; Alliance Gloursonne; Bouclier du Stalak; Abrature Ancestrale; Abracaska Ancestral; Abracapa Ancestrale; Protège-Tibias Ancestraux; Dofus Ocre; Dofus Émeraude; Dofus Pourpre; Turbulent; Robuste; Robuste majeur; Muldo Doré</t>
        </is>
      </c>
    </row>
    <row r="11537">
      <c r="A11537" t="inlineStr">
        <is>
          <t>Stuff 2</t>
        </is>
      </c>
      <c r="B11537">
        <f>HYPERLINK("https://www.dofusbook.net/fr/equipement/213402-stuff-2/objets", "link")</f>
        <v/>
      </c>
      <c r="C11537" t="n">
        <v>0</v>
      </c>
      <c r="D11537" t="inlineStr">
        <is>
          <t>Hache du Guerrier Zoth; Pendentif Oton; Anneau Glacial; Frimanneau; Bouclier cubiste; Ceinture de Léthaline; Binocle Airvoyant; Cape de Nileza; Bottes du Sinistrofu; Ralentisseur majeur; Entraveur; Entraveur majeur; Nomade; Temporiseur majeur; Remueur</t>
        </is>
      </c>
    </row>
    <row r="11538">
      <c r="A11538" t="inlineStr">
        <is>
          <t>Stuff 3</t>
        </is>
      </c>
      <c r="B11538">
        <f>HYPERLINK("https://www.dofusbook.net/fr/equipement/213377-stuff-3/objets", "link")</f>
        <v/>
      </c>
      <c r="C11538" t="n">
        <v>0</v>
      </c>
      <c r="D11538" t="inlineStr">
        <is>
          <t>Hache du Guerrier Zoth; Amulette Voldelor; Alliance Gloursonne; Bague Trithon; Ceinture Voldelor; Némès de Tal Kasha; Chevelure de Tal Kasha; Sandales de Tal Kasha; Dofus Ivoire; Dofus Turquoise; Dofus des Veilleurs; Dofus Ocre; Dofus Émeraude; Dofus Pourpre; Muldo Prune</t>
        </is>
      </c>
    </row>
    <row r="11539">
      <c r="A11539" t="inlineStr">
        <is>
          <t>Stuff 1</t>
        </is>
      </c>
      <c r="B11539">
        <f>HYPERLINK("https://www.dofusbook.net/fr/equipement/213378-stuff-1/objets", "link")</f>
        <v/>
      </c>
      <c r="C11539" t="n">
        <v>0</v>
      </c>
      <c r="D11539" t="inlineStr">
        <is>
          <t>Rapière aux Glyphes; Amulette Cryochrone; Anneau de Nidas; Frimanneau; Bouclier Terrdala; Ceinture Séculaire; Coiffe Séculaire; Cape du Professeur Xa; Bottes du Sinistrofu; Dofus Émeraude; Dokoko; Remueur; Turbulent; Chanceux majeur; Muldo Indigo et Orchidée</t>
        </is>
      </c>
    </row>
    <row r="11540">
      <c r="A11540" t="inlineStr">
        <is>
          <t>stuff1</t>
        </is>
      </c>
      <c r="B11540">
        <f>HYPERLINK("https://www.dofusbook.net/fr/equipement/1109653-stuff1/objets", "link")</f>
        <v/>
      </c>
      <c r="C11540" t="n">
        <v>3</v>
      </c>
      <c r="D11540" t="inlineStr">
        <is>
          <t>Hache du Guerrier Zoth; Amulette du Strigide; Bague Trithon; Alliance de Missiz Frizz; Bouclier du Captain Amakna; Ceinture du Strigide; Masque Trithon; Chevelure de Tal Kasha; Bottes Trithon; Dofus des Veilleurs; Dofus Pourpre; Dokoko; Dofus Émeraude; Dofus Ocre; Dofus Turquoise; Muldo Emeraude</t>
        </is>
      </c>
    </row>
    <row r="11541">
      <c r="A11541" t="inlineStr">
        <is>
          <t>terre feu</t>
        </is>
      </c>
      <c r="B11541">
        <f>HYPERLINK("https://www.dofusbook.net/fr/equipement/638884-terre-feu/objets", "link")</f>
        <v/>
      </c>
      <c r="C11541" t="n">
        <v>3</v>
      </c>
      <c r="D11541" t="inlineStr">
        <is>
          <t>Hachoirs de Viandargh; Amulette Hendart; Alliance Gloursonne; Anneau d'Allister; Quatre-feuilles; Ceinture de Klime; Couronne d'Allister; Cape de Klime; Bottes d'Allister; Dofus Cawotte; Dofus Émeraude; Dofus Turquoise; Equilibriste majeur; Voyageur; Turbulent; Muldo Prune et Orchidée</t>
        </is>
      </c>
    </row>
    <row r="11542">
      <c r="A11542" t="inlineStr">
        <is>
          <t>Stuff 1</t>
        </is>
      </c>
      <c r="B11542">
        <f>HYPERLINK("https://www.dofusbook.net/fr/equipement/213399-stuff-1/objets", "link")</f>
        <v/>
      </c>
      <c r="C11542" t="n">
        <v>0</v>
      </c>
      <c r="D11542" t="inlineStr">
        <is>
          <t>Racine de Floribonde; Amulette de l'Obsidiantre; Anneau Nobstant; Anneau Nobstant; Ceinture Meulante; Dora Bora; Cape Phossile; Les Maidartes; Dofus Cawotte</t>
        </is>
      </c>
    </row>
    <row r="11543">
      <c r="A11543" t="inlineStr">
        <is>
          <t>Stuff 2</t>
        </is>
      </c>
      <c r="B11543">
        <f>HYPERLINK("https://www.dofusbook.net/fr/equipement/213400-stuff-2/objets", "link")</f>
        <v/>
      </c>
      <c r="C11543" t="n">
        <v>0</v>
      </c>
      <c r="D11543" t="inlineStr">
        <is>
          <t>Arc Hétype; Amulette d'Hel Munster; Bague Instable; Anneau Instable; Carapar; Ceinture Instable; Coiffe d'Hel Munster; Cape d'Hel Munster; Bottes de Léthaline; Dofus Cawotte; Dofus des Veilleurs; Dofus Émeraude; Dofus Turquoise; Turbulent; Soigneur majeur; Muldo Prune et Orchidée</t>
        </is>
      </c>
    </row>
    <row r="11544">
      <c r="A11544" t="inlineStr">
        <is>
          <t>Stuff 2</t>
        </is>
      </c>
      <c r="B11544">
        <f>HYPERLINK("https://www.dofusbook.net/fr/equipement/213373-stuff-2/objets", "link")</f>
        <v/>
      </c>
      <c r="C11544" t="n">
        <v>1</v>
      </c>
      <c r="D11544" t="inlineStr">
        <is>
          <t>Epée Toche; Amulette Hendart; Frimanneau; Alliance de Missiz Frizz; Bouclier Pandawa; Ceinture Hanium; Le Kim; Cape du Professeur Xa; Bottes d'Oshimo; Dofus Pourpre; Dofus Émeraude; Dofus Cawotte; Dofus Turquoise; Turbulent; Remueur; Muldo Prune et Emeraude</t>
        </is>
      </c>
    </row>
    <row r="11545">
      <c r="A11545" t="inlineStr">
        <is>
          <t>Stuff 1</t>
        </is>
      </c>
      <c r="B11545">
        <f>HYPERLINK("https://www.dofusbook.net/fr/equipement/213403-stuff-1/objets", "link")</f>
        <v/>
      </c>
      <c r="C11545" t="n">
        <v>0</v>
      </c>
      <c r="D11545" t="inlineStr">
        <is>
          <t>Epée Maudite du Saigneur Guerrier; Amulette du Strigide; Alliance de Missiz Frizz; Frimanneau; Ceinture du Strigide; Chapeau Lisson; Dofusteuse; Bottes du Strigide; Dofus Turquoise; Dofus Pourpre; Dofus Ocre; Dofus Émeraude; Dofus des Glaces; Turbulent; Muldo Prune et Emeraude</t>
        </is>
      </c>
    </row>
    <row r="11546">
      <c r="A11546" t="inlineStr">
        <is>
          <t>Stuff 2</t>
        </is>
      </c>
      <c r="B11546">
        <f>HYPERLINK("https://www.dofusbook.net/fr/equipement/213376-stuff-2/objets", "link")</f>
        <v/>
      </c>
      <c r="C11546" t="n">
        <v>0</v>
      </c>
      <c r="D11546" t="inlineStr">
        <is>
          <t>Le Thanos; Amulette d'Otomaï; Anneau de Nidas; Kralano; Ceinture Séculaire; Coiffe Séculaire; Cape de Nileza; Pataugastrique; Dokoko; Dofus Émeraude; Docteur majeur; Remueur; Érudit majeur; Guérisseur majeur; Muldo Indigo et Orchidée</t>
        </is>
      </c>
    </row>
    <row r="11547">
      <c r="A11547" t="inlineStr">
        <is>
          <t>Stuff 2</t>
        </is>
      </c>
      <c r="B11547">
        <f>HYPERLINK("https://www.dofusbook.net/fr/equipement/213388-stuff-2/objets", "link")</f>
        <v/>
      </c>
      <c r="C11547" t="n">
        <v>0</v>
      </c>
      <c r="D11547" t="inlineStr">
        <is>
          <t>Rapière aux Glyphes; Amulette du Sinistrofu; Anneau Glacial; Alliance Gloursonne; Ceinture de Danathor; Coiffe de Danathor; Cape du Sinistrofu; Bottes du Sinistrofu; Dofus Ocre; Dofus Turquoise; Dofus Émeraude; Voyageur; Survivant majeur; Joueur majeur; Kwaltess</t>
        </is>
      </c>
    </row>
    <row r="11548">
      <c r="A11548" t="inlineStr">
        <is>
          <t>Stuff 2</t>
        </is>
      </c>
      <c r="B11548">
        <f>HYPERLINK("https://www.dofusbook.net/fr/equipement/213385-stuff-2/objets", "link")</f>
        <v/>
      </c>
      <c r="C11548" t="n">
        <v>2</v>
      </c>
      <c r="D11548" t="inlineStr">
        <is>
          <t>Dagues Érhy; Amulette Ikête; Anneau Instable; Bague Instable; Ceinture Instable; Bandeau Culaire; Cape Parition; Bottes de Léthaline; Dolmanax; Dofus Turquoise; Dofus Émeraude; Equilibriste majeur; Acrobate majeur; Astucieux majeur; Kwaltess</t>
        </is>
      </c>
    </row>
    <row r="11549">
      <c r="A11549" t="inlineStr">
        <is>
          <t>Stuff 3</t>
        </is>
      </c>
      <c r="B11549">
        <f>HYPERLINK("https://www.dofusbook.net/fr/equipement/213380-stuff-3/objets", "link")</f>
        <v/>
      </c>
      <c r="C11549" t="n">
        <v>0</v>
      </c>
      <c r="D11549" t="inlineStr">
        <is>
          <t>Pelle de la Cour Sombre; Amulette du Granduk; Anneau de la Fuji Givrefoux; Anneau de Padgref; Ceinture du Nocturlabe; Couronne d'Allister; Cape de la Fuji Givrefoux; Bottes de Léthaline; Dofus des Veilleurs; Dofus Ocre; Dofus Turquoise; Dofus Émeraude; Remueur; Turbulent; Muldo Orchidée</t>
        </is>
      </c>
    </row>
    <row r="11550">
      <c r="A11550" t="inlineStr">
        <is>
          <t>Stuff 3</t>
        </is>
      </c>
      <c r="B11550">
        <f>HYPERLINK("https://www.dofusbook.net/fr/equipement/213380-stuff-3/objets", "link")</f>
        <v/>
      </c>
      <c r="C11550" t="n">
        <v>0</v>
      </c>
      <c r="D11550" t="inlineStr">
        <is>
          <t>Pelle de la Cour Sombre; Amulette du Granduk; Anneau de la Fuji Givrefoux; Anneau de Padgref; Ceinture du Nocturlabe; Couronne d'Allister; Cape de la Fuji Givrefoux; Bottes de Léthaline; Dofus des Veilleurs; Dofus Ocre; Dofus Turquoise; Dofus Émeraude; Remueur; Turbulent; Muldo Orchidée</t>
        </is>
      </c>
    </row>
    <row r="11551">
      <c r="A11551" t="inlineStr">
        <is>
          <t>Stuff 1</t>
        </is>
      </c>
      <c r="B11551">
        <f>HYPERLINK("https://www.dofusbook.net/fr/equipement/213375-stuff-1/objets", "link")</f>
        <v/>
      </c>
      <c r="C11551" t="n">
        <v>0</v>
      </c>
      <c r="D11551" t="inlineStr">
        <is>
          <t>Arc Hétype; Amulette d'Otomaï; Bague Gloursonne; Anneauræus; Carapar; Ceinture Séculaire; Couronne de Nidas; Cape du Professeur Xa; Bottes de Léthaline; Dokoko; Dofus Turquoise; Dofus des Veilleurs; Turbulent; Remueur; Guérisseur majeur; Muldo Ebène et Orchidée</t>
        </is>
      </c>
    </row>
    <row r="11552">
      <c r="A11552" t="inlineStr">
        <is>
          <t>Stuff 1</t>
        </is>
      </c>
      <c r="B11552">
        <f>HYPERLINK("https://www.dofusbook.net/fr/equipement/213384-stuff-1/objets", "link")</f>
        <v/>
      </c>
      <c r="C11552" t="n">
        <v>0</v>
      </c>
      <c r="D11552" t="inlineStr">
        <is>
          <t>Marteau des égarés; Amulette du Glourséleste; Anneau Rifique; Bracelet des Fonds marins; Ceinture Luminescente; Chapoulpe; Cape de Diondin; Baleinabottes; Dofus des Glaces; Dofus Turquoise; Dofus Pourpre; Dolmanax; Enragé majeur; Chanceux majeur; Dragodinde en armure</t>
        </is>
      </c>
    </row>
    <row r="11553">
      <c r="A11553" t="inlineStr">
        <is>
          <t>Stuff 2</t>
        </is>
      </c>
      <c r="B11553">
        <f>HYPERLINK("https://www.dofusbook.net/fr/equipement/213379-stuff-2/objets", "link")</f>
        <v/>
      </c>
      <c r="C11553" t="n">
        <v>0</v>
      </c>
      <c r="D11553" t="inlineStr">
        <is>
          <t>Dagues Lassay; Amulette Hendart; Gelano; Anneau d'Allister; Ceinture Instable; Bandeau Culaire; Cape de Klime; Bottes d'Allister; Dofus Émeraude; Dofus Ocre; Dofus Turquoise; Cascadeur majeur; Remueur; Miraculé majeur; Dragodinde Emeraude et Rousse</t>
        </is>
      </c>
    </row>
    <row r="11554">
      <c r="A11554" t="inlineStr">
        <is>
          <t>Stuff 3</t>
        </is>
      </c>
      <c r="B11554">
        <f>HYPERLINK("https://www.dofusbook.net/fr/equipement/213374-stuff-3/objets", "link")</f>
        <v/>
      </c>
      <c r="C11554" t="n">
        <v>1</v>
      </c>
      <c r="D11554" t="inlineStr">
        <is>
          <t>Marteau R'ture; Amulette du Nocturlabe; Anneau Crustique; Anneau Crustique; Ceinture Royale du Bouftou; Coiffe du Comte Harebourg; Sac du Staca Noviste; Bottes du Comte Harebourg; Dolmanax; Porteur majeur; Enragé majeur; Furibond majeur; Porteur; Forcené majeur</t>
        </is>
      </c>
    </row>
    <row r="11555">
      <c r="A11555" t="inlineStr">
        <is>
          <t>item 10</t>
        </is>
      </c>
      <c r="B11555">
        <f>HYPERLINK("https://www.dofusbook.net/fr/equipement/5492030-item-10/objets", "link")</f>
        <v/>
      </c>
      <c r="C11555" t="n">
        <v>0</v>
      </c>
      <c r="D11555" t="inlineStr">
        <is>
          <t>Arc Nécrotique; Amulette de Shokkoth; Ceinture Volkorne; Heaume Oplate; Cape de l'Œil Attentif; Bottes de Brouce</t>
        </is>
      </c>
    </row>
    <row r="11556">
      <c r="A11556" t="inlineStr">
        <is>
          <t>Iop M 200</t>
        </is>
      </c>
      <c r="B11556">
        <f>HYPERLINK("https://www.dofusbook.net/fr/equipement/5882427-iop-m-200/objets", "link")</f>
        <v/>
      </c>
      <c r="C11556" t="n">
        <v>0</v>
      </c>
      <c r="D11556" t="inlineStr">
        <is>
          <t>Marteau R'ture; Collier de Tourthon; Anneau Chevelu; Anneau de Brouce; Cadran d'Eau; Ceinture Gence; Masque de Koutoulou; Cape au Logis; Bottes de Brouce; Dofus Pourpre; Dofus Abyssal; Dofus Ébène; Dofus Turquoise; Dofus Ivoire; Enragé majeur; Dragodinde Ivoire et Pourpre</t>
        </is>
      </c>
    </row>
    <row r="11557">
      <c r="A11557" t="inlineStr">
        <is>
          <t>Ouginak F 200</t>
        </is>
      </c>
      <c r="B11557">
        <f>HYPERLINK("https://www.dofusbook.net/fr/equipement/5774480-ouginak-f-200/objets", "link")</f>
        <v/>
      </c>
      <c r="C11557" t="n">
        <v>0</v>
      </c>
      <c r="D11557" t="inlineStr">
        <is>
          <t>Manthache; Collier du Valet Veinard; Gant du Valet Veinard; Alliance Gloursonne; Bouclier d'Ilyzaelle; Menoture; Casque Dragoeuf; Cape du Kamasterisk; Palmes Trithons; Dofus Abyssal; Dofus Ivoire; Dofus Ocre; Dofus Ébène; Dofus Pourpre; Dofus Vulbis; Dragodinde Ebène et Ivoire</t>
        </is>
      </c>
    </row>
    <row r="11558">
      <c r="A11558" t="inlineStr">
        <is>
          <t>item 3</t>
        </is>
      </c>
      <c r="B11558">
        <f>HYPERLINK("https://www.dofusbook.net/fr/equipement/4971811-item-3/objets", "link")</f>
        <v/>
      </c>
      <c r="C11558" t="n">
        <v>0</v>
      </c>
      <c r="D11558" t="inlineStr">
        <is>
          <t>Marteau R'ture; Amulette de Gein; Bracelet du Piloztère; Gant du Valet Veinard; Cadran d'Eau; Ceinture de la Reine des Voleurs; Masque de Koutoulou; Cape Solution; Bottes du Cœur Saignant</t>
        </is>
      </c>
    </row>
    <row r="11559">
      <c r="A11559" t="inlineStr">
        <is>
          <t>item 1</t>
        </is>
      </c>
      <c r="B11559">
        <f>HYPERLINK("https://www.dofusbook.net/fr/equipement/4938904-item-1/objets", "link")</f>
        <v/>
      </c>
      <c r="C11559" t="n">
        <v>0</v>
      </c>
      <c r="D11559" t="inlineStr">
        <is>
          <t>Dagoulinantes; Collier du Valet Veinard; Anneau Volkorne; Anneau Toriété; Bouclier du Stalak; Pagne du Rykaon; Dorabysses; Cape de Jahash Jurgen; Bottes du Roi Joueur</t>
        </is>
      </c>
    </row>
    <row r="11560">
      <c r="A11560" t="inlineStr">
        <is>
          <t>item 4</t>
        </is>
      </c>
      <c r="B11560">
        <f>HYPERLINK("https://www.dofusbook.net/fr/equipement/4971892-item-4/objets", "link")</f>
        <v/>
      </c>
      <c r="C11560" t="n">
        <v>0</v>
      </c>
      <c r="D11560" t="inlineStr">
        <is>
          <t>Baguette Hique; Amulette Volkorne; Chevalière du Roi Joueur; Anneau de Padgref; Bouclier cubiste; Menoture; Heaume Oplate; Cape Ardente; Tentassons</t>
        </is>
      </c>
    </row>
    <row r="11561">
      <c r="A11561" t="inlineStr">
        <is>
          <t>item 12</t>
        </is>
      </c>
      <c r="B11561">
        <f>HYPERLINK("https://www.dofusbook.net/fr/equipement/5631832-item-12/objets", "link")</f>
        <v/>
      </c>
      <c r="C11561" t="n">
        <v>0</v>
      </c>
      <c r="D11561" t="inlineStr">
        <is>
          <t>Cape du Cœur Saignant; Bottes Trithon</t>
        </is>
      </c>
    </row>
    <row r="11562">
      <c r="A11562" t="inlineStr">
        <is>
          <t>item 11</t>
        </is>
      </c>
      <c r="B11562">
        <f>HYPERLINK("https://www.dofusbook.net/fr/equipement/5613872-item-11/objets", "link")</f>
        <v/>
      </c>
      <c r="C11562" t="n">
        <v>0</v>
      </c>
      <c r="D11562" t="inlineStr">
        <is>
          <t>Chevelure de Tal Kasha; Baleinabottes</t>
        </is>
      </c>
    </row>
    <row r="11563">
      <c r="A11563" t="inlineStr">
        <is>
          <t>item 2</t>
        </is>
      </c>
      <c r="B11563">
        <f>HYPERLINK("https://www.dofusbook.net/fr/equipement/4938980-item-2/objets", "link")</f>
        <v/>
      </c>
      <c r="C11563" t="n">
        <v>0</v>
      </c>
      <c r="D11563" t="inlineStr">
        <is>
          <t>Manthache; Amulette Volkorne; Anneauræus; Bague Trithon; Cadran de Terre; Ceinture Volkorne; Casque Dragoeuf; Cape de la Dame du Hasard; Bottes de Mille Lieues</t>
        </is>
      </c>
    </row>
    <row r="11564">
      <c r="A11564" t="inlineStr">
        <is>
          <t>item 8</t>
        </is>
      </c>
      <c r="B11564">
        <f>HYPERLINK("https://www.dofusbook.net/fr/equipement/5281372-item-8/objets", "link")</f>
        <v/>
      </c>
      <c r="C11564" t="n">
        <v>0</v>
      </c>
      <c r="D11564" t="inlineStr">
        <is>
          <t>Sceptre du Roi Joueur; Amulette Volkorne; Ceinture de l'Esprit Salvateur; Casque Dragoeuf; Cape Martegel; Bottistik</t>
        </is>
      </c>
    </row>
    <row r="11565">
      <c r="A11565" t="inlineStr">
        <is>
          <t>item 7</t>
        </is>
      </c>
      <c r="B11565">
        <f>HYPERLINK("https://www.dofusbook.net/fr/equipement/4938885-item-7/objets", "link")</f>
        <v/>
      </c>
      <c r="C11565" t="n">
        <v>0</v>
      </c>
      <c r="D11565" t="inlineStr">
        <is>
          <t>Pelle de la Cour Sombre; Amulette du Cœur Saignant; Ceinture Séculaire; Capuche de Moum-Ra; Voile d'encre; Bottes de la Reine des Voleurs</t>
        </is>
      </c>
    </row>
    <row r="11566">
      <c r="A11566" t="inlineStr">
        <is>
          <t>item 6</t>
        </is>
      </c>
      <c r="B11566">
        <f>HYPERLINK("https://www.dofusbook.net/fr/equipement/4972174-item-6/objets", "link")</f>
        <v/>
      </c>
      <c r="C11566" t="n">
        <v>0</v>
      </c>
      <c r="D11566" t="inlineStr">
        <is>
          <t>Plume de Buhorado; Collier du Valet Veinard; Ceinture de Vortex; Capuche de l'Œil Attentif; Cape d'Anerice; Bottes du Chalœil</t>
        </is>
      </c>
    </row>
    <row r="11567">
      <c r="A11567" t="inlineStr">
        <is>
          <t>item 5</t>
        </is>
      </c>
      <c r="B11567">
        <f>HYPERLINK("https://www.dofusbook.net/fr/equipement/4971917-item-5/objets", "link")</f>
        <v/>
      </c>
      <c r="C11567" t="n">
        <v>0</v>
      </c>
      <c r="D11567" t="inlineStr">
        <is>
          <t>Bêche Asse; Amulette de l'Œil Attentif; Ceinture Gence; Masque de Koutoulou; Cape d'Atcham; Sandales de Tal Kasha</t>
        </is>
      </c>
    </row>
    <row r="11568">
      <c r="A11568" t="inlineStr">
        <is>
          <t>Pandawa M 200</t>
        </is>
      </c>
      <c r="B11568">
        <f>HYPERLINK("https://www.dofusbook.net/fr/equipement/4597134-pandawa-m-200/objets", "link")</f>
        <v/>
      </c>
      <c r="C11568" t="n">
        <v>3</v>
      </c>
      <c r="D11568" t="inlineStr">
        <is>
          <t>Arc corrompu; Amulette Volkorne; Anneauræus; Anneau de Nidas; Droiture de Fallanster; Ceinture Volkorne; Casque Dragoeuf; Bravoure de Rykke Errel; Pataugastrique; Dofus Ivoire; Dofus Ébène; Dofus Abyssal; Dofus Pourpre; Dofus Ocre; Érudit majeur; Muldo Indigo et Orchidée</t>
        </is>
      </c>
    </row>
    <row r="11569">
      <c r="A11569" t="inlineStr">
        <is>
          <t>Eniripsa M 200</t>
        </is>
      </c>
      <c r="B11569">
        <f>HYPERLINK("https://www.dofusbook.net/fr/equipement/4668181-eniripsa-m-200/objets", "link")</f>
        <v/>
      </c>
      <c r="C11569" t="n">
        <v>3</v>
      </c>
      <c r="D11569" t="inlineStr">
        <is>
          <t>Arc corrompu; Amulette Volkorne; Anneauræus; Anneauræus; Bouclier du Stalak; Ceinture Volkorne; Casque Dragoeuf; Bravoure de Rykke Errel; Pataugastrique; Dofus Abyssal; Dofus Ivoire; Dofus Ocre; Nomade; Érudit majeur; Étourdisseur majeur; Ross</t>
        </is>
      </c>
    </row>
    <row r="11570">
      <c r="A11570" t="inlineStr">
        <is>
          <t>Iop M 200</t>
        </is>
      </c>
      <c r="B11570">
        <f>HYPERLINK("https://www.dofusbook.net/fr/equipement/4665110-iop-m-200/objets", "link")</f>
        <v/>
      </c>
      <c r="C11570" t="n">
        <v>0</v>
      </c>
      <c r="D11570" t="inlineStr"/>
    </row>
    <row r="11571">
      <c r="A11571" t="inlineStr">
        <is>
          <t>Iop M 200</t>
        </is>
      </c>
      <c r="B11571">
        <f>HYPERLINK("https://www.dofusbook.net/fr/equipement/4597223-iop-m-200/objets", "link")</f>
        <v/>
      </c>
      <c r="C11571" t="n">
        <v>0</v>
      </c>
      <c r="D11571" t="inlineStr">
        <is>
          <t>Marteau R'ture; Amulette Volkorne; Anneau Chevelu; Anneau de Brouce; Cadran d'Eau; Ceinture Volkorne; Masque de Koutoulou; Bravoure de Rykke Errel; Bottes de Brouce; Dofus Pourpre; Dofus Ivoire; Dofus Ocre; Dofus Ébène; Dofus Vulbis; Dofus Abyssal; Bulbisou</t>
        </is>
      </c>
    </row>
    <row r="11572">
      <c r="A11572" t="inlineStr">
        <is>
          <t>Xélor F 200</t>
        </is>
      </c>
      <c r="B11572">
        <f>HYPERLINK("https://www.dofusbook.net/fr/equipement/4640448-xelor-f-200/objets", "link")</f>
        <v/>
      </c>
      <c r="C11572" t="n">
        <v>0</v>
      </c>
      <c r="D11572" t="inlineStr">
        <is>
          <t>Plume de Buhorado; Collier du Valet Veinard; Gant du Valet Veinard; Alliance Gloursonne; Bouclier du Stalak; Menoture; Dorabysses; Cape Indescriptible; Palmes Trithons; Dofus Ocre; Dofus Ivoire; Dofus Abyssal; Dofus Pourpre; Dofus Ébène; Étourdisseur majeur; Koalak Sanguin</t>
        </is>
      </c>
    </row>
    <row r="11573">
      <c r="A11573" t="inlineStr">
        <is>
          <t>tank ret pa</t>
        </is>
      </c>
      <c r="B11573">
        <f>HYPERLINK("https://www.dofusbook.net/fr/equipement/4544411-tank-ret-pa/objets", "link")</f>
        <v/>
      </c>
      <c r="C11573" t="n">
        <v>7</v>
      </c>
      <c r="D11573" t="inlineStr">
        <is>
          <t>Lav'Hache; Amulette Ementaire Deluxe; Anneau de Pol Ouatnos; Anneau Crustique; Droiture de Fallanster; Culotte de Bethel; Casque Dragoeuf; Bravoure de Rykke Errel; Chaussons de Macrab; Dofus Ébène; Dofus Ocre; Dofus Ivoire; Dofus Abyssal; Étourdisseur majeur; Remueur; Drakopin</t>
        </is>
      </c>
    </row>
    <row r="11574">
      <c r="A11574" t="inlineStr">
        <is>
          <t>Sadida M 200</t>
        </is>
      </c>
      <c r="B11574">
        <f>HYPERLINK("https://www.dofusbook.net/fr/equipement/4626399-sadida-m-200/objets", "link")</f>
        <v/>
      </c>
      <c r="C11574" t="n">
        <v>0</v>
      </c>
      <c r="D11574" t="inlineStr">
        <is>
          <t>Baguette Hique; Amulette de l'Indicible; Alliance Gloursonne; Pikano; Bouclier cubiste; Ceinture de l'Esprit Salvateur; Masque de l'Esprit Salvateur; Cape de l'Œil Putride; Bottes de l'Esprit Salvateur; Dofus des Glaces; Dofus Ébène; Dofus Pourpre; Dofus Ocre; Dofus Vulbis; Dofus Ivoire; Gwo Tofu Ventripotent</t>
        </is>
      </c>
    </row>
    <row r="11575">
      <c r="A11575" t="inlineStr">
        <is>
          <t>Sadida M 200</t>
        </is>
      </c>
      <c r="B11575">
        <f>HYPERLINK("https://www.dofusbook.net/fr/equipement/4626292-sadida-m-200/objets", "link")</f>
        <v/>
      </c>
      <c r="C11575" t="n">
        <v>1</v>
      </c>
      <c r="D11575" t="inlineStr">
        <is>
          <t>Baguette Hique; Amulette de l'Indicible; Alliance Gloursonne; Anneau Volkorne; Bouclier cubiste; Ceinture de l'Indicible; Casque Volkorne; Cape de l'Œil Putride; Bottes de l'Indicible; Dofus des Glaces; Dofus Ivoire; Dofus Ébène; Dofus Pourpre; Dofus Vulbis; Dofus Ocre; Léopardo</t>
        </is>
      </c>
    </row>
    <row r="11576">
      <c r="A11576" t="inlineStr">
        <is>
          <t>Iop M 200</t>
        </is>
      </c>
      <c r="B11576">
        <f>HYPERLINK("https://www.dofusbook.net/fr/equipement/4619057-iop-m-200/objets", "link")</f>
        <v/>
      </c>
      <c r="C11576" t="n">
        <v>0</v>
      </c>
      <c r="D11576" t="inlineStr">
        <is>
          <t>Plume de Buhorado; Collier du Valet Veinard; Alliance Gloursonne; Gant du Valet Veinard; Bouclier du Stalak; Menoture; Dorabysses; Cape Indescriptible; Palmes Trithons; Dofus Abyssal; Dofus Pourpre; Dofus Ébène; Dofus Ocre; Dofus Ivoire; Robuste majeur; Blérodoudou</t>
        </is>
      </c>
    </row>
    <row r="11577">
      <c r="A11577" t="inlineStr">
        <is>
          <t>Iop M 200</t>
        </is>
      </c>
      <c r="B11577">
        <f>HYPERLINK("https://www.dofusbook.net/fr/equipement/4619032-iop-m-200/objets", "link")</f>
        <v/>
      </c>
      <c r="C11577" t="n">
        <v>0</v>
      </c>
      <c r="D11577" t="inlineStr">
        <is>
          <t>Plume de Buhorado; Collier du Valet Veinard; Alliance Gloursonne; Gant du Valet Veinard; Bouclier du Stalak; Ceinture Volkorne; Casque Volkorne; Cape du Valet Veinard; Palmes Trithons; Dofus Ocre; Dofus Ivoire; Dofus Abyssal; Dofus Pourpre; Dofus Ébène; Robuste majeur; Blérodoudou</t>
        </is>
      </c>
    </row>
    <row r="11578">
      <c r="A11578" t="inlineStr">
        <is>
          <t>achat</t>
        </is>
      </c>
      <c r="B11578">
        <f>HYPERLINK("https://www.dofusbook.net/fr/equipement/4603168-achat-/objets", "link")</f>
        <v/>
      </c>
      <c r="C11578" t="n">
        <v>0</v>
      </c>
      <c r="D11578" t="inlineStr">
        <is>
          <t>Arc corrompu; Amulette Volkorne; Anneau de Nidas; Anneauræus; Droiture de Fallanster; Ceinture Volkorne; Casque Dragoeuf; Cape de Diondin; Pataugastrique; Muldo Indigo et Orchidée</t>
        </is>
      </c>
    </row>
    <row r="11579">
      <c r="A11579" t="inlineStr">
        <is>
          <t>Sram M 200</t>
        </is>
      </c>
      <c r="B11579">
        <f>HYPERLINK("https://www.dofusbook.net/fr/equipement/4604743-sram-m-200/objets", "link")</f>
        <v/>
      </c>
      <c r="C11579" t="n">
        <v>0</v>
      </c>
      <c r="D11579" t="inlineStr">
        <is>
          <t>Amulette du Strigide; Bouclier Taverne; Masque de Koutoulou; Pantoufles du Piloztère</t>
        </is>
      </c>
    </row>
    <row r="11580">
      <c r="A11580" t="inlineStr">
        <is>
          <t>soutien</t>
        </is>
      </c>
      <c r="B11580">
        <f>HYPERLINK("https://www.dofusbook.net/fr/equipement/4544461-soutien-/objets", "link")</f>
        <v/>
      </c>
      <c r="C11580" t="n">
        <v>0</v>
      </c>
      <c r="D11580" t="inlineStr"/>
    </row>
    <row r="11581">
      <c r="A11581" t="inlineStr">
        <is>
          <t>eau</t>
        </is>
      </c>
      <c r="B11581">
        <f>HYPERLINK("https://www.dofusbook.net/fr/equipement/4544436-eau-/objets", "link")</f>
        <v/>
      </c>
      <c r="C11581" t="n">
        <v>0</v>
      </c>
      <c r="D11581" t="inlineStr">
        <is>
          <t>Dagoulinantes; Amulette Volkorne; Alliance Gloursonne; Anneau Volkorne; Quatre-feuilles; Poulpagne; Capuche de l'Œil Attentif; Cape de Jahash Jurgen; Bottes du Sinistrofu; Dofus Pourpre; Dofus Ébène; Dofus Ocre; Dofus Ivoire; Dofus Vulbis; Dofus Abyssal; Bwak d'Air</t>
        </is>
      </c>
    </row>
    <row r="11582">
      <c r="A11582" t="inlineStr">
        <is>
          <t>Iop M 200</t>
        </is>
      </c>
      <c r="B11582">
        <f>HYPERLINK("https://www.dofusbook.net/fr/equipement/5985737-iop-m-200/objets", "link")</f>
        <v/>
      </c>
      <c r="C11582" t="n">
        <v>2</v>
      </c>
      <c r="D11582" t="inlineStr">
        <is>
          <t>Arc du Chalœil; Collier de Tourthon; Anneau Chevelu; Anneau Volkorne; Bouclier du Stalak; Ceinture Volkorne; Masque de Koutoulou; Cape au Logis; Sabots Minables; Dofus Pourpre; Forcené majeur; Robuste majeur; Vigoureux majeur; Nomade; Enragé majeur; Dragodinde Ivoire et Pourpre</t>
        </is>
      </c>
    </row>
    <row r="11583">
      <c r="A11583" t="inlineStr">
        <is>
          <t>iop riche</t>
        </is>
      </c>
      <c r="B11583">
        <f>HYPERLINK("https://www.dofusbook.net/fr/equipement/5985841-iop-riche/objets", "link")</f>
        <v/>
      </c>
      <c r="C11583" t="n">
        <v>1</v>
      </c>
      <c r="D11583" t="inlineStr">
        <is>
          <t>Arc du Chalœil; Amulette du Cœur Saignant; Bague Gloursonne; Anneau Chevelu; Quatre-feuilles; Ceinture Volkorne; Masque de Koutoulou; Cape au Logis; Bottes du Cœur Saignant; Dofus Pourpre; Dofus Turquoise; Vigoureux majeur; Remueur; Enragé majeur; Forcené majeur; Dragodinde Ivoire et Pourpre</t>
        </is>
      </c>
    </row>
    <row r="11584">
      <c r="A11584" t="inlineStr">
        <is>
          <t>Crâ F 200</t>
        </is>
      </c>
      <c r="B11584">
        <f>HYPERLINK("https://www.dofusbook.net/fr/equipement/5673231-cra-f-200/objets", "link")</f>
        <v/>
      </c>
      <c r="C11584" t="n">
        <v>0</v>
      </c>
      <c r="D11584" t="inlineStr"/>
    </row>
    <row r="11585">
      <c r="A11585" t="inlineStr">
        <is>
          <t>Iop F 200</t>
        </is>
      </c>
      <c r="B11585">
        <f>HYPERLINK("https://www.dofusbook.net/fr/equipement/5672100-iop-f-200/objets", "link")</f>
        <v/>
      </c>
      <c r="C11585" t="n">
        <v>0</v>
      </c>
      <c r="D11585" t="inlineStr"/>
    </row>
    <row r="11586">
      <c r="A11586" t="inlineStr">
        <is>
          <t>Sacrieur F 200</t>
        </is>
      </c>
      <c r="B11586">
        <f>HYPERLINK("https://www.dofusbook.net/fr/equipement/5666488-sacrieur-f-200/objets", "link")</f>
        <v/>
      </c>
      <c r="C11586" t="n">
        <v>0</v>
      </c>
      <c r="D11586" t="inlineStr"/>
    </row>
    <row r="11587">
      <c r="A11587" t="inlineStr">
        <is>
          <t>Steamer M 200</t>
        </is>
      </c>
      <c r="B11587">
        <f>HYPERLINK("https://www.dofusbook.net/fr/equipement/5524161-steamer-m-200/objets", "link")</f>
        <v/>
      </c>
      <c r="C11587" t="n">
        <v>3</v>
      </c>
      <c r="D11587" t="inlineStr">
        <is>
          <t>Arc corrompu; Amulette Volkorne; Anneauræus; Anneau Volkorne; Cadran d'Air; Ceinture Volkorne; Heaume Oplate; Voile d'encre; Bottes Innommables; Dofus Ocre; Dofus Abyssal; Dofus Pourpre; Dofus Ivoire; Dokoko; Dofus Ébène; Bisouglours</t>
        </is>
      </c>
    </row>
    <row r="11588">
      <c r="A11588" t="inlineStr">
        <is>
          <t>Steamer M 200</t>
        </is>
      </c>
      <c r="B11588">
        <f>HYPERLINK("https://www.dofusbook.net/fr/equipement/5524276-steamer-m-200/objets", "link")</f>
        <v/>
      </c>
      <c r="C11588" t="n">
        <v>0</v>
      </c>
      <c r="D11588" t="inlineStr">
        <is>
          <t>Arc du Chalœil; Amulette du Cœur Saignant; Anneau Chevelu; Anneau Volkorne; Quatre-feuilles; Ceinture Volkorne; Masque de Koutoulou; Cape du Cœur Saignant; Bottes du Cœur Saignant; Dokoko; Dofus Ébène; Dofus Pourpre; Dofus Abyssal; Dofus Turquoise; Dofus Ivoire; Bulbisou</t>
        </is>
      </c>
    </row>
    <row r="11589">
      <c r="A11589" t="inlineStr">
        <is>
          <t>sram ilyzaelle</t>
        </is>
      </c>
      <c r="B11589">
        <f>HYPERLINK("https://www.dofusbook.net/fr/equipement/5505886-sram-ilyzaelle/objets", "link")</f>
        <v/>
      </c>
      <c r="C11589" t="n">
        <v>3</v>
      </c>
      <c r="D11589" t="inlineStr">
        <is>
          <t>Arc de Koutoulou; Amulette d'Ilyzaelle; Alliance Gloursonne; Anneau Volkorne; Bouclier d'Ilyzaelle; Ceinture de la Reine des Voleurs; Casque Volkorne; Voilamibe; Bottes de la Reine des Voleurs; Dofus Ocre; Dofus Ébène; Dofus Ivoire; Dokoko; Dofus Abyssal; Volkorne Indigo et Ebène</t>
        </is>
      </c>
    </row>
    <row r="11590">
      <c r="A11590" t="inlineStr">
        <is>
          <t>sram volkorne</t>
        </is>
      </c>
      <c r="B11590">
        <f>HYPERLINK("https://www.dofusbook.net/fr/equipement/5505977-sram-volkorne/objets", "link")</f>
        <v/>
      </c>
      <c r="C11590" t="n">
        <v>2</v>
      </c>
      <c r="D11590" t="inlineStr">
        <is>
          <t>Arc de Koutoulou; Amulette d'Ilyzaelle; Anneau Volkorne; Alliance Gloursonne; Cadran d'Air; Ceinture de la Reine des Voleurs; Casque Volkorne; Voilamibe; Bottes de la Reine des Voleurs; Dofus Ocre; Dofus Ébène; Dokoko; Dofus Ivoire; Dofus des Glaces; Dofus Abyssal; Volkorne Indigo et Ebène</t>
        </is>
      </c>
    </row>
    <row r="11591">
      <c r="A11591" t="inlineStr">
        <is>
          <t>Sram F 200</t>
        </is>
      </c>
      <c r="B11591">
        <f>HYPERLINK("https://www.dofusbook.net/fr/equipement/5506687-sram-f-200/objets", "link")</f>
        <v/>
      </c>
      <c r="C11591" t="n">
        <v>0</v>
      </c>
      <c r="D11591" t="inlineStr">
        <is>
          <t>Manthache; Collier du Valet Veinard; Alliance Gloursonne; Gant du Valet Veinard; Cadran d'Air; Menoture; Couronne d'Allister; Cape Indescriptible; Palmes Trithons; Dofus Ocre; Dofus Ébène; Dofus Vulbis; Dofus Abyssal; Dokoko; Dofus Ivoire; Blérodoudou</t>
        </is>
      </c>
    </row>
    <row r="11592">
      <c r="A11592" t="inlineStr">
        <is>
          <t>Sram M 200</t>
        </is>
      </c>
      <c r="B11592">
        <f>HYPERLINK("https://www.dofusbook.net/fr/equipement/5505998-sram-m-200/objets", "link")</f>
        <v/>
      </c>
      <c r="C11592" t="n">
        <v>0</v>
      </c>
      <c r="D11592" t="inlineStr"/>
    </row>
    <row r="11593">
      <c r="A11593" t="inlineStr">
        <is>
          <t>Steamer M 200</t>
        </is>
      </c>
      <c r="B11593">
        <f>HYPERLINK("https://www.dofusbook.net/fr/equipement/3518055-steamer-m-200/objets", "link")</f>
        <v/>
      </c>
      <c r="C11593" t="n">
        <v>7</v>
      </c>
      <c r="D11593" t="inlineStr">
        <is>
          <t>Arc du Chalœil; Torquistik; Bague Instable; Bague Trithon; Bouclier précieux; Ceinture Gence; Casque Dragoeuf; Cape Solution; Bottistik; Dokoko; Dofus Ivoire; Dofus Abyssal; Culbuteur majeur; Bousculeur majeur; Culbuteur; Balafreux</t>
        </is>
      </c>
    </row>
    <row r="11594">
      <c r="A11594" t="inlineStr">
        <is>
          <t>Féca M 200</t>
        </is>
      </c>
      <c r="B11594">
        <f>HYPERLINK("https://www.dofusbook.net/fr/equipement/5470012-feca-m-200/objets", "link")</f>
        <v/>
      </c>
      <c r="C11594" t="n">
        <v>0</v>
      </c>
      <c r="D11594" t="inlineStr"/>
    </row>
    <row r="11595">
      <c r="A11595" t="inlineStr">
        <is>
          <t>steamer padgref</t>
        </is>
      </c>
      <c r="B11595">
        <f>HYPERLINK("https://www.dofusbook.net/fr/equipement/5358959-steamer-padgref/objets", "link")</f>
        <v/>
      </c>
      <c r="C11595" t="n">
        <v>13</v>
      </c>
      <c r="D11595" t="inlineStr">
        <is>
          <t>Hache du Chalœil; Amulette Volkorne; Anneau Volkorne; Anneau de Padgref; Quatre-feuilles; Ceinture Volkorne; Coiffe de Padgref; Dofusteuse; Getas de Padgref; Dofus Ocre; Dokoko; Dofus Ivoire; Dofus Abyssal; Dofus Turquoise; Dofus Ébène; Kokulte</t>
        </is>
      </c>
    </row>
    <row r="11596">
      <c r="A11596" t="inlineStr">
        <is>
          <t>logue vincent</t>
        </is>
      </c>
      <c r="B11596">
        <f>HYPERLINK("https://www.dofusbook.net/fr/equipement/5432656-logue-vincent/objets", "link")</f>
        <v/>
      </c>
      <c r="C11596" t="n">
        <v>2</v>
      </c>
      <c r="D11596" t="inlineStr">
        <is>
          <t>Arc corrompu; Amulette Séculaire; Anneauræus; Anneau de Padgref; Quatre-feuilles; Ceinture Séculaire; Coiffe de Padgref; Voile d'encre; Getas de Padgref; Dofus Ocre; Dofus Ivoire; Dofus Abyssal; Dofus Turquoise; Dofus Ébène; Voyageur; Pioute rouge</t>
        </is>
      </c>
    </row>
    <row r="11597">
      <c r="A11597" t="inlineStr">
        <is>
          <t>Steamer M 200</t>
        </is>
      </c>
      <c r="B11597">
        <f>HYPERLINK("https://www.dofusbook.net/fr/equipement/5357872-steamer-m-200/objets", "link")</f>
        <v/>
      </c>
      <c r="C11597" t="n">
        <v>16</v>
      </c>
      <c r="D11597" t="inlineStr">
        <is>
          <t>Dagues du Dragoeuf; Amulette Volkorne; Anneau Volkorne; Bague Trithon; Quatre-feuilles; Ceinture Volkorne; Masque Trithon; Dofusteuse; Bottes Trithon; Dofus Ivoire; Dofus Abyssal; Dofus Turquoise; Dofus Ébène; Dofus Ocre; Dofus des Glaces; Kokulte</t>
        </is>
      </c>
    </row>
    <row r="11598">
      <c r="A11598" t="inlineStr">
        <is>
          <t>oleg</t>
        </is>
      </c>
      <c r="B11598">
        <f>HYPERLINK("https://www.dofusbook.net/fr/equipement/5381702-oleg/objets", "link")</f>
        <v/>
      </c>
      <c r="C11598" t="n">
        <v>8</v>
      </c>
      <c r="D11598" t="inlineStr">
        <is>
          <t>Dagues du Dragoeuf; Amulette Volkorne; Bague Trithon; Anneau Volkorne; Bouclier du Captain Amakna; Ceinture Volkorne; Masque Trithon; Chevelure de Tal Kasha; Bottes Trithon; Dofus Ocre; Dofus des Glaces; Dofus Pourpre; Dofus Abyssal; Dofus Turquoise; Dofus Ébène; Kokulte</t>
        </is>
      </c>
    </row>
    <row r="11599">
      <c r="A11599" t="inlineStr">
        <is>
          <t>eaufeu</t>
        </is>
      </c>
      <c r="B11599">
        <f>HYPERLINK("https://www.dofusbook.net/fr/equipement/5367566-eaufeu/objets", "link")</f>
        <v/>
      </c>
      <c r="C11599" t="n">
        <v>4</v>
      </c>
      <c r="D11599" t="inlineStr">
        <is>
          <t>Hache du Chalœil; Amulette Volkorne; Anneau Volkorne; Pikano; Quatre-feuilles; Ceinture Volkorne; Némès de Tal Kasha; Chevelure de Tal Kasha; Sandales de Tal Kasha; Dofus Ivoire; Dofus Abyssal; Dofus Turquoise; Dofus Ébène; Dofus Ocre; Dofus des Glaces; Kokulte</t>
        </is>
      </c>
    </row>
    <row r="11600">
      <c r="A11600" t="inlineStr">
        <is>
          <t>Steamer M 200</t>
        </is>
      </c>
      <c r="B11600">
        <f>HYPERLINK("https://www.dofusbook.net/fr/equipement/5357835-steamer-m-200/objets", "link")</f>
        <v/>
      </c>
      <c r="C11600" t="n">
        <v>3</v>
      </c>
      <c r="D11600" t="inlineStr">
        <is>
          <t>Baguette Hique; Amulette Volkorne; Pikano; Anneau Volkorne; Quatre-feuilles; Ceintacé; Némès de Tal Kasha; Chevelure de Tal Kasha; Sandales de Tal Kasha; Dofus Turquoise; Dofus des Glaces; Dofus Ivoire; Dofus Abyssal; Dofus Vulbis; Dofus Ébène; Kokulte</t>
        </is>
      </c>
    </row>
    <row r="11601">
      <c r="A11601" t="inlineStr">
        <is>
          <t>Roublard M 200</t>
        </is>
      </c>
      <c r="B11601">
        <f>HYPERLINK("https://www.dofusbook.net/fr/equipement/5115615-roublard-m-200/objets", "link")</f>
        <v/>
      </c>
      <c r="C11601" t="n">
        <v>0</v>
      </c>
      <c r="D11601" t="inlineStr"/>
    </row>
    <row r="11602">
      <c r="A11602" t="inlineStr">
        <is>
          <t>Féca M 200</t>
        </is>
      </c>
      <c r="B11602">
        <f>HYPERLINK("https://www.dofusbook.net/fr/equipement/5006349-feca-m-200/objets", "link")</f>
        <v/>
      </c>
      <c r="C11602" t="n">
        <v>0</v>
      </c>
      <c r="D11602" t="inlineStr"/>
    </row>
    <row r="11603">
      <c r="A11603" t="inlineStr">
        <is>
          <t>res</t>
        </is>
      </c>
      <c r="B11603">
        <f>HYPERLINK("https://www.dofusbook.net/fr/equipement/4157506-res/objets", "link")</f>
        <v/>
      </c>
      <c r="C11603" t="n">
        <v>5</v>
      </c>
      <c r="D11603" t="inlineStr">
        <is>
          <t>Collier du Valet Veinard; Bague Trithon; Alliance de Guten Tak; Bouclier Bontarien; Protopagne; Masque d'Anerice; Cape d'Anerice; Pataugastrique; Dofus Émeraude; Dofus Forgelave; Dofus Ivoire; Dokoko; Miraculé majeur; Carapace Air majeur</t>
        </is>
      </c>
    </row>
    <row r="11604">
      <c r="A11604" t="inlineStr">
        <is>
          <t>Zobal F 200</t>
        </is>
      </c>
      <c r="B11604">
        <f>HYPERLINK("https://www.dofusbook.net/fr/equipement/4111256-zobal-f-200/objets", "link")</f>
        <v/>
      </c>
      <c r="C11604" t="n">
        <v>0</v>
      </c>
      <c r="D11604" t="inlineStr"/>
    </row>
    <row r="11605">
      <c r="A11605" t="inlineStr">
        <is>
          <t>Ecaflip M 200</t>
        </is>
      </c>
      <c r="B11605">
        <f>HYPERLINK("https://www.dofusbook.net/fr/equipement/3968137-ecaflip-m-200/objets", "link")</f>
        <v/>
      </c>
      <c r="C11605" t="n">
        <v>0</v>
      </c>
      <c r="D11605" t="inlineStr">
        <is>
          <t>Lav'Hache; Collier de Tourthon; Alliance Brûlâme; Bague Gloursonne; Bouclier du Stalak; Ceinture de la Reine des Voleurs; Coiffe de la Reine des Voleurs; Cape au Logis; Bottes de la Cour Sombre</t>
        </is>
      </c>
    </row>
    <row r="11606">
      <c r="A11606" t="inlineStr">
        <is>
          <t>Ecaflip F 200</t>
        </is>
      </c>
      <c r="B11606">
        <f>HYPERLINK("https://www.dofusbook.net/fr/equipement/3968168-ecaflip-f-200/objets", "link")</f>
        <v/>
      </c>
      <c r="C11606" t="n">
        <v>0</v>
      </c>
      <c r="D11606" t="inlineStr"/>
    </row>
    <row r="11607">
      <c r="A11607" t="inlineStr">
        <is>
          <t>do pou</t>
        </is>
      </c>
      <c r="B11607">
        <f>HYPERLINK("https://www.dofusbook.net/fr/equipement/3450348-do-pou/objets", "link")</f>
        <v/>
      </c>
      <c r="C11607" t="n">
        <v>30</v>
      </c>
      <c r="D11607" t="inlineStr">
        <is>
          <t>Lav'Hache; Torquistik; Bague Trithon; Anneau Chevelu; Bouclier Taverne; Ceinture Gence; Casque Dragoeuf; Cape au Logis; Bottistik; Dofus Ivoire; Dofus Pourpre; Dofus Ocre; Dofus Abyssal; Culbuteur majeur; Bousculeur majeur; Black Tiwabbit</t>
        </is>
      </c>
    </row>
    <row r="11608">
      <c r="A11608" t="inlineStr">
        <is>
          <t>Esquive</t>
        </is>
      </c>
      <c r="B11608">
        <f>HYPERLINK("https://www.dofusbook.net/fr/equipement/3830580-esquive/objets", "link")</f>
        <v/>
      </c>
      <c r="C11608" t="n">
        <v>17</v>
      </c>
      <c r="D11608" t="inlineStr">
        <is>
          <t>Arc corrompu; Amulette Volkorne; Anneauræus; Anneauræus; Bouclier du Stalak; Ceinture Volkorne; Casque Dragoeuf; Cape de Diondin; Bottes Innommables; Dofus Abyssal; Dofus Ivoire; Nomade; Érudit majeur; Volkorne Orchidée</t>
        </is>
      </c>
    </row>
    <row r="11609">
      <c r="A11609" t="inlineStr">
        <is>
          <t>feu</t>
        </is>
      </c>
      <c r="B11609">
        <f>HYPERLINK("https://www.dofusbook.net/fr/equipement/3276669-feu/objets", "link")</f>
        <v/>
      </c>
      <c r="C11609" t="n">
        <v>7</v>
      </c>
      <c r="D11609" t="inlineStr">
        <is>
          <t>Arc corrompu; Amulette Séculaire; Anneauræus; Anneauræus; Quatre-feuilles; Ceinture Séculaire; Heaume Oplate; Voile d'encre; Pataugastrique; Dofus Turquoise; Dofus Abyssal; Dofus Ivoire; Dofus Pourpre; Nomade; Érudit majeur; Bisouglours</t>
        </is>
      </c>
    </row>
    <row r="11610">
      <c r="A11610" t="inlineStr">
        <is>
          <t>Steamer M 200</t>
        </is>
      </c>
      <c r="B11610">
        <f>HYPERLINK("https://www.dofusbook.net/fr/equipement/3924490-steamer-m-200/objets", "link")</f>
        <v/>
      </c>
      <c r="C11610" t="n">
        <v>1</v>
      </c>
      <c r="D11610" t="inlineStr">
        <is>
          <t>Lav'Hache; Torquistik; Goulano; Baguistik; Goulclier; Ceinture de la Reine des Voleurs; Coiffe de la Reine des Voleurs; Cape au Logis; Bottistik; Dofus Ivoire; Dofus des Glaces; Dofus Pourpre; Dofus Abyssal; Dofus Ocre; Bastion majeur; Raknaille</t>
        </is>
      </c>
    </row>
    <row r="11611">
      <c r="A11611" t="inlineStr">
        <is>
          <t>full terre</t>
        </is>
      </c>
      <c r="B11611">
        <f>HYPERLINK("https://www.dofusbook.net/fr/equipement/3921660-full-terre/objets", "link")</f>
        <v/>
      </c>
      <c r="C11611" t="n">
        <v>0</v>
      </c>
      <c r="D11611" t="inlineStr">
        <is>
          <t>Arc du Chalœil; Amulette du Strigide; Anneau Volkorne; Anneau Chevelu; Bouclier Taverne; Ceinture Volkorne; Masque de Koutoulou; Cape au Logis; Sabots Minables; Dofus Ivoire; Dofus Pourpre; Dofus Turquoise; Dofus Abyssal; Vigoureux majeur; Enragé majeur; Pioute vert</t>
        </is>
      </c>
    </row>
    <row r="11612">
      <c r="A11612" t="inlineStr">
        <is>
          <t>Ecaflip M 200</t>
        </is>
      </c>
      <c r="B11612">
        <f>HYPERLINK("https://www.dofusbook.net/fr/equipement/3921668-ecaflip-m-200/objets", "link")</f>
        <v/>
      </c>
      <c r="C11612" t="n">
        <v>0</v>
      </c>
      <c r="D11612" t="inlineStr">
        <is>
          <t>Lav'Hache; Amulette du Cœur Saignant; Anneau Toriété; Anneau Volkorne; Bouclier du Stalak; Ceinture Volkorne; Masque de Koutoulou; Cape du Cœur Saignant; Bottes du Cœur Saignant; Dofus Abyssal; Dofus des Glaces; Dofus Ivoire; Dofus Turquoise; Dofus Pourpre; Robuste majeur; Pioute vert</t>
        </is>
      </c>
    </row>
    <row r="11613">
      <c r="A11613" t="inlineStr">
        <is>
          <t>terre do pou</t>
        </is>
      </c>
      <c r="B11613">
        <f>HYPERLINK("https://www.dofusbook.net/fr/equipement/3793309-terre-do-pou/objets", "link")</f>
        <v/>
      </c>
      <c r="C11613" t="n">
        <v>13</v>
      </c>
      <c r="D11613" t="inlineStr">
        <is>
          <t>Lav'Hache; Amulette du Strigide; Anneau Chevelu; Bague Trithon; Bouclier Taverne; Ceinture Gence; Masque de Koutoulou; Cape au Logis; Bottes Trithon; Dofus Ivoire; Dofus Pourpre; Dofus Turquoise; Dofus Abyssal; Enragé majeur; Culbuteur majeur; Black Tiwabbit</t>
        </is>
      </c>
    </row>
    <row r="11614">
      <c r="A11614" t="inlineStr">
        <is>
          <t>Ecaflip M 200</t>
        </is>
      </c>
      <c r="B11614">
        <f>HYPERLINK("https://www.dofusbook.net/fr/equipement/3470423-ecaflip-m-200/objets", "link")</f>
        <v/>
      </c>
      <c r="C11614" t="n">
        <v>6</v>
      </c>
      <c r="D11614" t="inlineStr">
        <is>
          <t>Arc du Chalœil; Amulette du Strigide; Anneau Chevelu; Anneau Volkorne; Bouclier du Stalak; Ceinture Volkorne; Casque Dragoeuf; Cape au Logis; Sabots Minables; Dofus Abyssal; Dofus Turquoise; Dofus Ocre; Dofus Ivoire; Dofus Pourpre; Enragé majeur; Pioute vert</t>
        </is>
      </c>
    </row>
    <row r="11615">
      <c r="A11615" t="inlineStr">
        <is>
          <t>terre feu crit</t>
        </is>
      </c>
      <c r="B11615">
        <f>HYPERLINK("https://www.dofusbook.net/fr/equipement/3825842-terre-feu-crit/objets", "link")</f>
        <v/>
      </c>
      <c r="C11615" t="n">
        <v>9</v>
      </c>
      <c r="D11615" t="inlineStr">
        <is>
          <t>Arc du Chalœil; Amulette du Strigide; Anneau de Brouce; Anneau Chevelu; Cadran d'Air; Ceinture de la Reine des Voleurs; Coiffe de la Reine des Voleurs; Cape au Logis; Sabots Minables; Dofus Abyssal; Dofus Ivoire; Dofus Pourpre; Dofus des Glaces; Remueur; Enragé majeur; Dragodinde Ivoire et Pourpre</t>
        </is>
      </c>
    </row>
    <row r="11616">
      <c r="A11616" t="inlineStr">
        <is>
          <t>Steamer M 200</t>
        </is>
      </c>
      <c r="B11616">
        <f>HYPERLINK("https://www.dofusbook.net/fr/equipement/3881805-steamer-m-200/objets", "link")</f>
        <v/>
      </c>
      <c r="C11616" t="n">
        <v>0</v>
      </c>
      <c r="D11616" t="inlineStr">
        <is>
          <t>Le Kim; Voile d'encre; Koalak Sanguin</t>
        </is>
      </c>
    </row>
    <row r="11617">
      <c r="A11617" t="inlineStr">
        <is>
          <t>skin 1</t>
        </is>
      </c>
      <c r="B11617">
        <f>HYPERLINK("https://www.dofusbook.net/fr/equipement/3879782-skin-1/objets", "link")</f>
        <v/>
      </c>
      <c r="C11617" t="n">
        <v>1</v>
      </c>
      <c r="D11617" t="inlineStr">
        <is>
          <t>Bouclier précieux; Coiffe du Comte Harebourg; Cape Souveraine du Roissingue; Bulbouture</t>
        </is>
      </c>
    </row>
    <row r="11618">
      <c r="A11618" t="inlineStr">
        <is>
          <t>rox eau</t>
        </is>
      </c>
      <c r="B11618">
        <f>HYPERLINK("https://www.dofusbook.net/fr/equipement/3820184-rox-eau/objets", "link")</f>
        <v/>
      </c>
      <c r="C11618" t="n">
        <v>4</v>
      </c>
      <c r="D11618" t="inlineStr">
        <is>
          <t>Sceptre du Roi Joueur; Amulette de Shokkoth; Anneau Volkorne; Alliance Gloursonne; Bouclier du Stalak; Sangle Ouare; Capuche de l'Œil Attentif; Cape de l'Œil Attentif; Pataugastrique; Dofus Ocre; Dofus Turquoise; Dofus Abyssal; Dofus Pourpre; Dofus Ivoire; Chanceux majeur; Pioute bleu</t>
        </is>
      </c>
    </row>
    <row r="11619">
      <c r="A11619" t="inlineStr">
        <is>
          <t>air do pou</t>
        </is>
      </c>
      <c r="B11619">
        <f>HYPERLINK("https://www.dofusbook.net/fr/equipement/3843062-air-do-pou/objets", "link")</f>
        <v/>
      </c>
      <c r="C11619" t="n">
        <v>1</v>
      </c>
      <c r="D11619" t="inlineStr">
        <is>
          <t>L'Épée Nice; Amibou; Bague Instable; Alliance Gloursonne; Bouclier Taverne; Menoture; Casque Dragoeuf; Capibou; Baleinabottes; Dofus Ivoire; Dofus Abyssal; Bousculeur majeur; Culbuteur majeur; Fonceur majeur; Cascadeur majeur; Tofoudre</t>
        </is>
      </c>
    </row>
    <row r="11620">
      <c r="A11620" t="inlineStr">
        <is>
          <t>Eau esquives PA</t>
        </is>
      </c>
      <c r="B11620">
        <f>HYPERLINK("https://www.dofusbook.net/fr/equipement/3703240-eau-esquives-pa/objets", "link")</f>
        <v/>
      </c>
      <c r="C11620" t="n">
        <v>6</v>
      </c>
      <c r="D11620" t="inlineStr">
        <is>
          <t>Sceptre du Roi Joueur; Amulette de Shokkoth; Anneau Volkorne; Alliance Gloursonne; Bouclier du Stalak; Sangle Ouare; Capuche de l'Œil Attentif; Cape de l'Œil Attentif; Pataugastrique; Dofus Turquoise; Dofus Abyssal; Dofus Ivoire; Dofus Ocre; Évasif majeur; Chanceux majeur; Pioute bleu</t>
        </is>
      </c>
    </row>
    <row r="11621">
      <c r="A11621" t="inlineStr">
        <is>
          <t>Tanky</t>
        </is>
      </c>
      <c r="B11621">
        <f>HYPERLINK("https://www.dofusbook.net/fr/equipement/3823784-tanky/objets", "link")</f>
        <v/>
      </c>
      <c r="C11621" t="n">
        <v>10</v>
      </c>
      <c r="D11621" t="inlineStr">
        <is>
          <t>Arc corrompu; Pendentif mignon de Koutoulou; Anneau Rifique; Anneauræus; Bouclier du Cycloïde; Ceinture de Vortex; Casque Dragoeuf; Cape de Diondin; Chaussures Ardentes; Dofus Ivoire; Dofus Abyssal; Déserteur majeur; Étourdisseur majeur; Remueur; Érudit majeur; Muldo Orchidée et Amande</t>
        </is>
      </c>
    </row>
    <row r="11622">
      <c r="A11622" t="inlineStr">
        <is>
          <t>rox</t>
        </is>
      </c>
      <c r="B11622">
        <f>HYPERLINK("https://www.dofusbook.net/fr/equipement/3467365-rox/objets", "link")</f>
        <v/>
      </c>
      <c r="C11622" t="n">
        <v>15</v>
      </c>
      <c r="D11622" t="inlineStr">
        <is>
          <t>Arc corrompu; Pendentif affamé; Anneauræus; Anneauræus; Quatre-feuilles; Ceinture Séculaire; Coiffe Séculaire; Cape de Diondin; Bottes Innommables; Dofus Abyssal; Dofus Turquoise; Dofus Ivoire; Remueur; Érudit majeur; Étourdisseur majeur; Muldo Orchidée et Amande</t>
        </is>
      </c>
    </row>
    <row r="11623">
      <c r="A11623" t="inlineStr">
        <is>
          <t>do crit</t>
        </is>
      </c>
      <c r="B11623">
        <f>HYPERLINK("https://www.dofusbook.net/fr/equipement/3295263-do-crit/objets", "link")</f>
        <v/>
      </c>
      <c r="C11623" t="n">
        <v>9</v>
      </c>
      <c r="D11623" t="inlineStr">
        <is>
          <t>Hache du Chalœil; Amulette du Strigide; Bague Trithon; Anneau Toriété; Quatre-feuilles; Ceinture du Strigide; Masque Trithon; Dofusteuse; Bottes Trithon; Dofus Pourpre; Dolmanax; Dofus Ivoire; Dofus Turquoise; Dofus Abyssal; Dofus Ocre; Kokulte</t>
        </is>
      </c>
    </row>
    <row r="11624">
      <c r="A11624" t="inlineStr">
        <is>
          <t>test new feu</t>
        </is>
      </c>
      <c r="B11624">
        <f>HYPERLINK("https://www.dofusbook.net/fr/equipement/3851978-test-new-feu/objets", "link")</f>
        <v/>
      </c>
      <c r="C11624" t="n">
        <v>2</v>
      </c>
      <c r="D11624" t="inlineStr">
        <is>
          <t>Arc corrompu; Pendentif affamé; Anneauræus; Bouclier du Cycloïde; Ceinture de Vortex; Casque Dragoeuf; Cape Ardente; Chaussures Ardentes; Dofus Ivoire; Dofus Abyssal; Déserteur majeur; Étourdisseur majeur; Remueur; Érudit majeur; Volkorne Ivoire et Orchidée</t>
        </is>
      </c>
    </row>
    <row r="11625">
      <c r="A11625" t="inlineStr">
        <is>
          <t>do crit</t>
        </is>
      </c>
      <c r="B11625">
        <f>HYPERLINK("https://www.dofusbook.net/fr/equipement/3844673-do-crit/objets", "link")</f>
        <v/>
      </c>
      <c r="C11625" t="n">
        <v>0</v>
      </c>
      <c r="D11625" t="inlineStr">
        <is>
          <t>Hache du Chalœil; Amulette du Strigide; Anneau Toriété; Bague Trithon; Quatre-feuilles; Ceinture du Strigide; Masque Trithon; Dofusteuse; Bottes Trithon; Dofus Ivoire; Dofus Turquoise; Dofus Abyssal; Dofus Ocre; Dofus Pourpre; Dolmanax; Kokulte</t>
        </is>
      </c>
    </row>
    <row r="11626">
      <c r="A11626" t="inlineStr">
        <is>
          <t>stuff air</t>
        </is>
      </c>
      <c r="B11626">
        <f>HYPERLINK("https://www.dofusbook.net/fr/equipement/3703178-stuff-air/objets", "link")</f>
        <v/>
      </c>
      <c r="C11626" t="n">
        <v>11</v>
      </c>
      <c r="D11626" t="inlineStr">
        <is>
          <t>Manthache; Collier du Valet Veinard; Gant du Valet Veinard; Alliance Gloursonne; Bouclier d'Ilyzaelle; Menoture; Casque Dragoeuf; Cape Martegel; Palmes Trithons; Dofus Émeraude; Dofus Abyssal; Dofus Ivoire; Miraculé majeur; Cascadeur majeur; Remueur; Muldo Ebène</t>
        </is>
      </c>
    </row>
    <row r="11627">
      <c r="A11627" t="inlineStr">
        <is>
          <t>Sacrieur F 200</t>
        </is>
      </c>
      <c r="B11627">
        <f>HYPERLINK("https://www.dofusbook.net/fr/equipement/3788758-sacrieur-f-200/objets", "link")</f>
        <v/>
      </c>
      <c r="C11627" t="n">
        <v>9</v>
      </c>
      <c r="D11627" t="inlineStr">
        <is>
          <t>Rouleau à Pâtisserie d'Aermyne; Collier Rophante; Bague Trithon; Alliance Gloursonne; Bouclier de Solar; Pagne du Rykaon; Masque d'Anerice; Cape d'Anerice; Pataugastrique; Dofus Émeraude; Dofus Abyssal; Dofus Forgelave; Dofus Ivoire; Miraculé majeur; Remueur; Dauge</t>
        </is>
      </c>
    </row>
    <row r="11628">
      <c r="A11628" t="inlineStr">
        <is>
          <t>Eniripsa F 200</t>
        </is>
      </c>
      <c r="B11628">
        <f>HYPERLINK("https://www.dofusbook.net/fr/equipement/3444044-eniripsa-f-200/objets", "link")</f>
        <v/>
      </c>
      <c r="C11628" t="n">
        <v>1</v>
      </c>
      <c r="D11628" t="inlineStr">
        <is>
          <t>Arc corrompu; Amulette de Nileza; Anneauræus; Anneauræus; Bouclier du Mont Kipou; Casque Dragoeuf; Cape de Diondin; Dofus Abyssal</t>
        </is>
      </c>
    </row>
    <row r="11629">
      <c r="A11629" t="inlineStr">
        <is>
          <t>Eniripsa F 200</t>
        </is>
      </c>
      <c r="B11629">
        <f>HYPERLINK("https://www.dofusbook.net/fr/equipement/3830305-eniripsa-f-200/objets", "link")</f>
        <v/>
      </c>
      <c r="C11629" t="n">
        <v>7</v>
      </c>
      <c r="D11629" t="inlineStr">
        <is>
          <t>Arc corrompu; Pendentif mignon de Koutoulou; Anneau Rifique; Anneauræus; Bouclier du Cycloïde; Ceinture de Vortex; Casque Dragoeuf; Cape de Diondin; Chaussures Ardentes; Dofus Ivoire; Dofus Abyssal; Remueur; Déserteur majeur; Étourdisseur majeur; Érudit majeur; Muldo Orchidée et Amande</t>
        </is>
      </c>
    </row>
    <row r="11630">
      <c r="A11630" t="inlineStr">
        <is>
          <t>Terre esquives PA</t>
        </is>
      </c>
      <c r="B11630">
        <f>HYPERLINK("https://www.dofusbook.net/fr/equipement/3823564-terre-esquives-pa/objets", "link")</f>
        <v/>
      </c>
      <c r="C11630" t="n">
        <v>4</v>
      </c>
      <c r="D11630" t="inlineStr">
        <is>
          <t>Lav'Hache; Amulette du Strigide; Anneau Crustique; Bague Trithon; Bouclier Taverne; Ceinture Gence; Masque de Koutoulou; Cape du Kamasterisk; Bottes du Strigide; Dofus Ivoire; Dofus Turquoise; Dofus Abyssal; Évasif majeur; Enragé majeur; Culbuteur majeur; Muldo Pourpre et Ivoire</t>
        </is>
      </c>
    </row>
    <row r="11631">
      <c r="A11631" t="inlineStr">
        <is>
          <t>Eau Rox</t>
        </is>
      </c>
      <c r="B11631">
        <f>HYPERLINK("https://www.dofusbook.net/fr/equipement/3818889-eau-rox/objets", "link")</f>
        <v/>
      </c>
      <c r="C11631" t="n">
        <v>8</v>
      </c>
      <c r="D11631" t="inlineStr">
        <is>
          <t>Sceptre du Roi Joueur; Collier de la Dame du Hasard; Anneau Volkorne; Alliance Gloursonne; Bouclier du Stalak; Poulpagne; Némès de Tal Kasha; Chevelure de Tal Kasha; Bottes de la Dame du Hasard; Dofus Turquoise; Dofus Abyssal; Dofus Pourpre; Dofus Ivoire; Dofus Ocre; Dofus Vulbis; Pioute bleu</t>
        </is>
      </c>
    </row>
    <row r="11632">
      <c r="A11632" t="inlineStr">
        <is>
          <t>new stuff terre</t>
        </is>
      </c>
      <c r="B11632">
        <f>HYPERLINK("https://www.dofusbook.net/fr/equipement/3820330-new-stuff-terre/objets", "link")</f>
        <v/>
      </c>
      <c r="C11632" t="n">
        <v>2</v>
      </c>
      <c r="D11632" t="inlineStr">
        <is>
          <t>Lav'Hache; Amulette du Cœur Saignant; Anneau Crustique; Anneau Volkorne; Bouclier du Captain Amakna; Ceinture Volkorne; Masque de Koutoulou; Cape du Cœur Saignant; Bottes du Cœur Saignant; Dofus Abyssal; Dofus Turquoise; Dofus Ivoire; Dofus Pourpre; Dofus Vulbis; Forcené majeur; Pioute jaune</t>
        </is>
      </c>
    </row>
    <row r="11633">
      <c r="A11633" t="inlineStr">
        <is>
          <t>Ecaflip M 200</t>
        </is>
      </c>
      <c r="B11633">
        <f>HYPERLINK("https://www.dofusbook.net/fr/equipement/3819666-ecaflip-m-200/objets", "link")</f>
        <v/>
      </c>
      <c r="C11633" t="n">
        <v>0</v>
      </c>
      <c r="D11633" t="inlineStr">
        <is>
          <t>Amulette du Sinistrofu; Bague Trithon; Alliance Gloursonne; Bouclier Taverne; Sangle Ouare; Cape Solution</t>
        </is>
      </c>
    </row>
    <row r="11634">
      <c r="A11634" t="inlineStr">
        <is>
          <t>Ecaflip F 200</t>
        </is>
      </c>
      <c r="B11634">
        <f>HYPERLINK("https://www.dofusbook.net/fr/equipement/3815936-ecaflip-f-200/objets", "link")</f>
        <v/>
      </c>
      <c r="C11634" t="n">
        <v>2</v>
      </c>
      <c r="D11634" t="inlineStr">
        <is>
          <t>Sceptre du Roi Joueur; Collier de la Dame du Hasard; Alliance Gloursonne; Bracelet des Fonds marins; Bouclier du Stalak; Sangle Ouare; Kidibonnet; Cape de la Dame du Hasard; Bottes de la Dame du Hasard; Dofus des Glaces; Dofus Turquoise; Dofus Abyssal; Dofus Pourpre; Dofus Ivoire; Robuste majeur; Pioute bleu</t>
        </is>
      </c>
    </row>
    <row r="11635">
      <c r="A11635" t="inlineStr">
        <is>
          <t>Sram M 200</t>
        </is>
      </c>
      <c r="B11635">
        <f>HYPERLINK("https://www.dofusbook.net/fr/equipement/3467159-sram-m-200/objets", "link")</f>
        <v/>
      </c>
      <c r="C11635" t="n">
        <v>4</v>
      </c>
      <c r="D11635" t="inlineStr">
        <is>
          <t>Dagues Érhy; Amulette Volkorne; Chevalière du Roi Joueur; Anneau Volkorne; Cadran d'Air; Ceinture Volkorne; Couronne du Roi Joueur; Voile d'encre; Bottes du Roi Joueur; Dofus Ivoire; Dofus Pourpre; Dofus des Glaces; Dofus Ocre; Dofus Abyssal; Robuste majeur; Bulbisou</t>
        </is>
      </c>
    </row>
    <row r="11636">
      <c r="A11636" t="inlineStr">
        <is>
          <t>Ecaflip M 200</t>
        </is>
      </c>
      <c r="B11636">
        <f>HYPERLINK("https://www.dofusbook.net/fr/equipement/3763521-ecaflip-m-200/objets", "link")</f>
        <v/>
      </c>
      <c r="C11636" t="n">
        <v>3</v>
      </c>
      <c r="D11636" t="inlineStr">
        <is>
          <t>Lav'Hache; Torquistik; Bague Instable; Bague Trithon; Bouclier précieux; Ceinture Gence; Casque Dragoeuf; Cape Solution; Bottistik; Dofus Abyssal; Dofus Pourpre; Dofus Ivoire; Pousseur majeur; Bousculeur majeur; Culbuteur majeur; Kafarce</t>
        </is>
      </c>
    </row>
    <row r="11637">
      <c r="A11637" t="inlineStr">
        <is>
          <t>Ouginak M 200</t>
        </is>
      </c>
      <c r="B11637">
        <f>HYPERLINK("https://www.dofusbook.net/fr/equipement/3763825-ouginak-m-200/objets", "link")</f>
        <v/>
      </c>
      <c r="C11637" t="n">
        <v>3</v>
      </c>
      <c r="D11637" t="inlineStr">
        <is>
          <t>Manthache; Collier du Valet Veinard; Gant du Valet Veinard; Alliance Gloursonne; Bouclier d'Ilyzaelle; Menoture; Dorabysses; Cape du Kamasterisk; Palmes Trithons; Dofus Ocre; Dofus Ivoire; Dofus Émeraude; Dofus Abyssal; Cascadeur majeur; Muldo Ebène et Orchidée</t>
        </is>
      </c>
    </row>
    <row r="11638">
      <c r="A11638" t="inlineStr">
        <is>
          <t>Sacrieur F 200</t>
        </is>
      </c>
      <c r="B11638">
        <f>HYPERLINK("https://www.dofusbook.net/fr/equipement/3756288-sacrieur-f-200/objets", "link")</f>
        <v/>
      </c>
      <c r="C11638" t="n">
        <v>0</v>
      </c>
      <c r="D11638" t="inlineStr">
        <is>
          <t>Amulette Séculaire; Ceinture Séculaire; Heaume Oplate; Voile d'encre</t>
        </is>
      </c>
    </row>
    <row r="11639">
      <c r="A11639" t="inlineStr">
        <is>
          <t>Féca M 200</t>
        </is>
      </c>
      <c r="B11639">
        <f>HYPERLINK("https://www.dofusbook.net/fr/equipement/3749928-feca-m-200/objets", "link")</f>
        <v/>
      </c>
      <c r="C11639" t="n">
        <v>0</v>
      </c>
      <c r="D11639" t="inlineStr"/>
    </row>
    <row r="11640">
      <c r="A11640" t="inlineStr">
        <is>
          <t>Féca M 200</t>
        </is>
      </c>
      <c r="B11640">
        <f>HYPERLINK("https://www.dofusbook.net/fr/equipement/3443389-feca-m-200/objets", "link")</f>
        <v/>
      </c>
      <c r="C11640" t="n">
        <v>11</v>
      </c>
      <c r="D11640" t="inlineStr">
        <is>
          <t>Lav'Hache; Amulette du Strigide; Anneau Crustique; Anneau Crustique; Sept ans de malheur; Ceintouse; Masque de Koutoulou; Cape au Logis; Tentassons; Dofus Pourpre; Dofus Abyssal; Dofus Émeraude; Dofus Ivoire; Enragé majeur; Étourdisseur majeur; Volkorne Ivoire et Pourpre</t>
        </is>
      </c>
    </row>
    <row r="11641">
      <c r="A11641" t="inlineStr">
        <is>
          <t>Eaufeu</t>
        </is>
      </c>
      <c r="B11641">
        <f>HYPERLINK("https://www.dofusbook.net/fr/equipement/2856794-eaufeu/objets", "link")</f>
        <v/>
      </c>
      <c r="C11641" t="n">
        <v>2</v>
      </c>
      <c r="D11641" t="inlineStr">
        <is>
          <t>Arc Nécrotique; Amulette Volkorne; Anneau Tique; Anneau Volkorne; Quatre-feuilles; Ceinture du Strigide; Casqnoar; Dofus Pourpre; Dofus Abyssal; Dofus Turquoise; Dofus Ocre; Dofus Ivoire; Dofus des Glaces; Muldo Orchidée</t>
        </is>
      </c>
    </row>
    <row r="11642">
      <c r="A11642" t="inlineStr">
        <is>
          <t>Pandawa M 200</t>
        </is>
      </c>
      <c r="B11642">
        <f>HYPERLINK("https://www.dofusbook.net/fr/equipement/3527681-pandawa-m-200/objets", "link")</f>
        <v/>
      </c>
      <c r="C11642" t="n">
        <v>7</v>
      </c>
      <c r="D11642" t="inlineStr">
        <is>
          <t>Dagues Érhy; Amulette Ementaire Deluxe; Anneau de Brouce; Anneau Chevelu; Bouclier du Stalak; Ceinture de la Reine des Voleurs; Coiffe de la Reine des Voleurs; Voile d'encre; Sabots Minables; Dofus Abyssal; Dofus Ocre; Dofus Pourpre; Dofus Ivoire; Dofus des Glaces; Enragé majeur; Muldo Indigo et Pourpre</t>
        </is>
      </c>
    </row>
    <row r="11643">
      <c r="A11643" t="inlineStr">
        <is>
          <t>Steamer M 200</t>
        </is>
      </c>
      <c r="B11643">
        <f>HYPERLINK("https://www.dofusbook.net/fr/equipement/3280835-steamer-m-200/objets", "link")</f>
        <v/>
      </c>
      <c r="C11643" t="n">
        <v>8</v>
      </c>
      <c r="D11643" t="inlineStr">
        <is>
          <t>Arc de Koutoulou; Amulette d'Ilyzaelle; Anneau Volkorne; Alliance Gloursonne; Cadran d'Air; Ceinture de la Reine des Voleurs; Casque Volkorne; Cape Solution; Bottes de la Reine des Voleurs; Dofus Pourpre; Dofus Abyssal; Dofus Ivoire; Dokoko; Dofus Ocre; Dofus des Glaces; Muldo Ebène et Indigo</t>
        </is>
      </c>
    </row>
    <row r="11644">
      <c r="A11644" t="inlineStr">
        <is>
          <t>Huppermage M 200</t>
        </is>
      </c>
      <c r="B11644">
        <f>HYPERLINK("https://www.dofusbook.net/fr/equipement/3685054-huppermage-m-200/objets", "link")</f>
        <v/>
      </c>
      <c r="C11644" t="n">
        <v>3</v>
      </c>
      <c r="D11644" t="inlineStr"/>
    </row>
    <row r="11645">
      <c r="A11645" t="inlineStr">
        <is>
          <t>Huppermage M 200</t>
        </is>
      </c>
      <c r="B11645">
        <f>HYPERLINK("https://www.dofusbook.net/fr/equipement/3685047-huppermage-m-200/objets", "link")</f>
        <v/>
      </c>
      <c r="C11645" t="n">
        <v>6</v>
      </c>
      <c r="D11645" t="inlineStr"/>
    </row>
    <row r="11646">
      <c r="A11646" t="inlineStr">
        <is>
          <t>Iop F 200</t>
        </is>
      </c>
      <c r="B11646">
        <f>HYPERLINK("https://www.dofusbook.net/fr/equipement/3652920-iop-f-200/objets", "link")</f>
        <v/>
      </c>
      <c r="C11646" t="n">
        <v>0</v>
      </c>
      <c r="D11646" t="inlineStr"/>
    </row>
    <row r="11647">
      <c r="A11647" t="inlineStr">
        <is>
          <t>Pandawa M 200</t>
        </is>
      </c>
      <c r="B11647">
        <f>HYPERLINK("https://www.dofusbook.net/fr/equipement/3310808-pandawa-m-200/objets", "link")</f>
        <v/>
      </c>
      <c r="C11647" t="n">
        <v>4</v>
      </c>
      <c r="D11647" t="inlineStr">
        <is>
          <t>Amulette Séculaire; Anneauræus; Anneauræus; Quatre-feuilles; Ceinture Séculaire; Heaume Oplate; Voile d'encre; Pataugastrique; Dofus des Glaces; Dofus Ivoire; Dofus Pourpre; Dofus Abyssal; Dofus Turquoise; Érudit majeur</t>
        </is>
      </c>
    </row>
    <row r="11648">
      <c r="A11648" t="inlineStr">
        <is>
          <t>Pandawa F 200</t>
        </is>
      </c>
      <c r="B11648">
        <f>HYPERLINK("https://www.dofusbook.net/fr/equipement/3439945-pandawa-f-200/objets", "link")</f>
        <v/>
      </c>
      <c r="C11648" t="n">
        <v>4</v>
      </c>
      <c r="D11648" t="inlineStr">
        <is>
          <t>Epée Gloursonne; Amulette du Kamasterisk; Bague Gloursonne; Alliance Gloursonne; Bouclier d'Ilyzaelle; Ceinture de la Reine des Voleurs; Coiffe de la Reine des Voleurs; Cape du Kamasterisk; Bottes du Kamasterisk; Dofus Émeraude; Dofus Ocre; Dofus Pourpre; Dofus des Glaces; Dofus Ivoire; Dofus Abyssal; Muldo Ebène et Indigo</t>
        </is>
      </c>
    </row>
    <row r="11649">
      <c r="A11649" t="inlineStr">
        <is>
          <t>air</t>
        </is>
      </c>
      <c r="B11649">
        <f>HYPERLINK("https://www.dofusbook.net/fr/equipement/1459066-air/objets", "link")</f>
        <v/>
      </c>
      <c r="C11649" t="n">
        <v>0</v>
      </c>
      <c r="D11649" t="inlineStr">
        <is>
          <t>Manthache; Collier du Valet Veinard; Gant du Valet Veinard; Alliance Gloursonne; Cadran d'Air; Menoture; Couronne d'Allister; Cape Indescriptible; Palmes Trithons; Dofus Abyssal; Dofus Pourpre; Dofus Ivoire; Dofus des Glaces; Remueur; Cascadeur majeur</t>
        </is>
      </c>
    </row>
    <row r="11650">
      <c r="A11650" t="inlineStr">
        <is>
          <t>Sram 200</t>
        </is>
      </c>
      <c r="B11650">
        <f>HYPERLINK("https://www.dofusbook.net/fr/equipement/3578779-sram-200/objets", "link")</f>
        <v/>
      </c>
      <c r="C11650" t="n">
        <v>0</v>
      </c>
      <c r="D11650" t="inlineStr">
        <is>
          <t>Arc Nécrotique; Amulette de l'Œil Putride; Anneau Tique; Alliance Gloursonne; Cadran d'Air; Ceintrigue; Capuche de l'Œil Putride; Cape de l'Œil Putride; Bottes Owesli; Dofus Ocre; Dofus Ivoire; Dofus Émeraude; Dofus des Glaces; Dofus Pourpre; Dofus Abyssal; Muldo Indigo et Orchidée</t>
        </is>
      </c>
    </row>
    <row r="11651">
      <c r="A11651" t="inlineStr">
        <is>
          <t>Sram M 200</t>
        </is>
      </c>
      <c r="B11651">
        <f>HYPERLINK("https://www.dofusbook.net/fr/equipement/3574204-sram-m-200/objets", "link")</f>
        <v/>
      </c>
      <c r="C11651" t="n">
        <v>2</v>
      </c>
      <c r="D11651" t="inlineStr">
        <is>
          <t>Pyraguette; Talisman Igans; Bague Gloursonne; Alliance Gloursonne; Cadran d'Air; Ceintrigue; Casqnoar; Cape Solution; Bottes Refois; Dofus Émeraude; Dofus des Glaces; Dofus Pourpre; Dofus Abyssal; Dofus Ocre; Dofus Ivoire; Muldo Indigo et Orchidée</t>
        </is>
      </c>
    </row>
    <row r="11652">
      <c r="A11652" t="inlineStr">
        <is>
          <t>Eniripsa F 200</t>
        </is>
      </c>
      <c r="B11652">
        <f>HYPERLINK("https://www.dofusbook.net/fr/equipement/3487995-eniripsa-f-200/objets", "link")</f>
        <v/>
      </c>
      <c r="C11652" t="n">
        <v>2</v>
      </c>
      <c r="D11652" t="inlineStr">
        <is>
          <t>Pendentif affamé; Anneau Rifique; Ceinture de Vortex; Casque Cyclopéen; Voile d'encre; Pataugastrique; Dofus Turquoise; Dofus Ocre; Dofus Abyssal; Dofus des Glaces; Dofus Pourpre; Muldo Indigo et Amande</t>
        </is>
      </c>
    </row>
    <row r="11653">
      <c r="A11653" t="inlineStr">
        <is>
          <t>Steamer M 200</t>
        </is>
      </c>
      <c r="B11653">
        <f>HYPERLINK("https://www.dofusbook.net/fr/equipement/3518024-steamer-m-200/objets", "link")</f>
        <v/>
      </c>
      <c r="C11653" t="n">
        <v>6</v>
      </c>
      <c r="D11653" t="inlineStr">
        <is>
          <t>Baguette de Malléfisk; Pendentif mignon de Koutoulou; Anneauræus; Anneau Rifique; Carapar; Ceinture de Vortex; Casque Dragoeuf; Cape de Diondin; Chaussures Ardentes; Dofus Abyssal; Dofus Ivoire; Dofus Émeraude; Remueur; Érudit majeur; Miraculé majeur; Muldo Orchidée et Pourpre</t>
        </is>
      </c>
    </row>
    <row r="11654">
      <c r="A11654" t="inlineStr">
        <is>
          <t>Eniripsa F 200</t>
        </is>
      </c>
      <c r="B11654">
        <f>HYPERLINK("https://www.dofusbook.net/fr/equipement/3508042-eniripsa-f-200/objets", "link")</f>
        <v/>
      </c>
      <c r="C11654" t="n">
        <v>1</v>
      </c>
      <c r="D11654" t="inlineStr">
        <is>
          <t>Sceptre du Roi Joueur; Amulette de Shokkoth; Bracelet des Fonds marins; Alliance Gloursonne; Quatre-feuilles; Culotte de Bethel; Masque de Funespadon; Cape Solution; Pataugastrique; Dofus Pourpre; Dofus Abyssal; Dofus Ivoire; Déserteur majeur; Carapace Air majeur; Chanceux majeur; Muldo Indigo et Amande</t>
        </is>
      </c>
    </row>
    <row r="11655">
      <c r="A11655" t="inlineStr">
        <is>
          <t>Xélor F 200</t>
        </is>
      </c>
      <c r="B11655">
        <f>HYPERLINK("https://www.dofusbook.net/fr/equipement/3457783-xelor-f-200/objets", "link")</f>
        <v/>
      </c>
      <c r="C11655" t="n">
        <v>11</v>
      </c>
      <c r="D11655" t="inlineStr">
        <is>
          <t>Manthache; Collier du Valet Veinard; Alliance Gloursonne; Gant du Valet Veinard; Cadran de Terre; Menoture; Dorabysses; Cape Martegel; Palmes Trithons; Dofus Émeraude; Dofus Abyssal; Étourdisseur majeur; Paralyseur majeur; Remueur; Cascadeur majeur; Muldo Ebène et Orchidée</t>
        </is>
      </c>
    </row>
    <row r="11656">
      <c r="A11656" t="inlineStr">
        <is>
          <t>Sadida F 200</t>
        </is>
      </c>
      <c r="B11656">
        <f>HYPERLINK("https://www.dofusbook.net/fr/equipement/3417637-sadida-f-200/objets", "link")</f>
        <v/>
      </c>
      <c r="C11656" t="n">
        <v>6</v>
      </c>
      <c r="D11656" t="inlineStr">
        <is>
          <t>Dagues Érhy; Amulette de l'Indicible; Alliance Gloursonne; Anneau Tique; Bouclier du Stalak; Ceinture de l'Indicible; Masque de l'Esprit Salvateur; Cape de l'Œil Putride; Pataugastrique; Dofus Pourpre; Dofus des Glaces; Dofus Abyssal; Vigoureux majeur; Sanguinaire majeur; Remueur; Muldo Orchidée et Pourpre</t>
        </is>
      </c>
    </row>
    <row r="11657">
      <c r="A11657" t="inlineStr">
        <is>
          <t>Iop M 200</t>
        </is>
      </c>
      <c r="B11657">
        <f>HYPERLINK("https://www.dofusbook.net/fr/equipement/3464501-iop-m-200/objets", "link")</f>
        <v/>
      </c>
      <c r="C11657" t="n">
        <v>0</v>
      </c>
      <c r="D11657" t="inlineStr"/>
    </row>
    <row r="11658">
      <c r="A11658" t="inlineStr">
        <is>
          <t>Osamodas F 200</t>
        </is>
      </c>
      <c r="B11658">
        <f>HYPERLINK("https://www.dofusbook.net/fr/equipement/3452966-osamodas-f-200/objets", "link")</f>
        <v/>
      </c>
      <c r="C11658" t="n">
        <v>2</v>
      </c>
      <c r="D11658" t="inlineStr">
        <is>
          <t>Dagues Érhy; Collier du Valet Veinard; Alliance Gloursonne; Gant du Valet Veinard; Cadran de Feu; Menoture; Casque Dragoeuf; Cape du Kamasterisk; Palmes Trithons; Dokoko; Dofus des Glaces; Dofus Abyssal; Dévastateur Air majeur; Remueur; Cascadeur majeur; Muldo Ebène et Orchidée</t>
        </is>
      </c>
    </row>
    <row r="11659">
      <c r="A11659" t="inlineStr">
        <is>
          <t>Pandawa M 200</t>
        </is>
      </c>
      <c r="B11659">
        <f>HYPERLINK("https://www.dofusbook.net/fr/equipement/3306427-pandawa-m-200/objets", "link")</f>
        <v/>
      </c>
      <c r="C11659" t="n">
        <v>6</v>
      </c>
      <c r="D11659" t="inlineStr">
        <is>
          <t>Baguette de Malléfisk; Pendentif mignon de Koutoulou; Anneau Rifique; Goulano; Goulclier; Ceinture de Vortex; Voile d'encre; Goulbottes; Dofus Ocre; Dofus Abyssal; Dokoko; Dofus Émeraude; Savant majeur; Muldo Orchidée et Pourpre</t>
        </is>
      </c>
    </row>
    <row r="11660">
      <c r="A11660" t="inlineStr">
        <is>
          <t>Sadida M 200</t>
        </is>
      </c>
      <c r="B11660">
        <f>HYPERLINK("https://www.dofusbook.net/fr/equipement/3434820-sadida-m-200/objets", "link")</f>
        <v/>
      </c>
      <c r="C11660" t="n">
        <v>3</v>
      </c>
      <c r="D11660" t="inlineStr">
        <is>
          <t>Sceptre du Roi Joueur; Amulette de Shokkoth; Bracelet des Fonds marins; Alliance Gloursonne; Bouclier du Stalak; Poulpagne; Casque Dragoeuf; Cape de la Dame du Hasard; Bottes de la Dame du Hasard; Dofus des Glaces; Dofus Abyssal; Dofus Pourpre; Chanceux majeur; Dévastateur Eau majeur; Nomade; Volkorne Indigo</t>
        </is>
      </c>
    </row>
    <row r="11661">
      <c r="A11661" t="inlineStr">
        <is>
          <t>Crâ M 200</t>
        </is>
      </c>
      <c r="B11661">
        <f>HYPERLINK("https://www.dofusbook.net/fr/equipement/3454443-cra-m-200/objets", "link")</f>
        <v/>
      </c>
      <c r="C11661" t="n">
        <v>5</v>
      </c>
      <c r="D11661" t="inlineStr">
        <is>
          <t>Arc du Chalœil; Amulette du Strigide; Anneau Crustique; Bracelet du Piloztère; Quatre-feuilles; Ceinture du Strigide; Masque de Koutoulou; Cape au Logis; Sabots Minables; Dofus Pourpre; Dofus Turquoise; Vigoureux majeur; Nomade; Forcené majeur; Enragé majeur; Pioute vert</t>
        </is>
      </c>
    </row>
    <row r="11662">
      <c r="A11662" t="inlineStr">
        <is>
          <t>Féca M 200</t>
        </is>
      </c>
      <c r="B11662">
        <f>HYPERLINK("https://www.dofusbook.net/fr/equipement/3432032-feca-m-200/objets", "link")</f>
        <v/>
      </c>
      <c r="C11662" t="n">
        <v>4</v>
      </c>
      <c r="D11662" t="inlineStr">
        <is>
          <t>Héqache; Amulette du Cœur Vaillant; Anneau Crustique; Alliance Gloursonne; Sept ans de malheur; Menoture; Chapoulpe; Voile d'encre; Tentassons; Dofus Pourpre; Dofus Abyssal; Dofus Émeraude; Carapace Air majeur; Nomade; Étourdisseur majeur; Volkorne Pourpre et Ebène</t>
        </is>
      </c>
    </row>
    <row r="11663">
      <c r="A11663" t="inlineStr">
        <is>
          <t>Iop M 200</t>
        </is>
      </c>
      <c r="B11663">
        <f>HYPERLINK("https://www.dofusbook.net/fr/equipement/3436834-iop-m-200/objets", "link")</f>
        <v/>
      </c>
      <c r="C11663" t="n">
        <v>4</v>
      </c>
      <c r="D11663" t="inlineStr">
        <is>
          <t>Marteau R'ture; Amulette du Strigide; Anneau Chevelu; Pikano; Bouclier du Captain Amakna; Ceintacé; Masque de Koutoulou; Cape au Logis; Bottes du Strigide; Dolmanax; Dofus Turquoise; Dofus Pourpre; Dofus Abyssal; Vigoureux majeur; Enragé majeur; Dragodinde Pourpre et Rousse</t>
        </is>
      </c>
    </row>
    <row r="11664">
      <c r="A11664" t="inlineStr">
        <is>
          <t>Xélor F 200</t>
        </is>
      </c>
      <c r="B11664">
        <f>HYPERLINK("https://www.dofusbook.net/fr/equipement/3407883-xelor-f-200/objets", "link")</f>
        <v/>
      </c>
      <c r="C11664" t="n">
        <v>2</v>
      </c>
      <c r="D11664" t="inlineStr">
        <is>
          <t>Arc corrompu; Amulette du Cœur Vaillant; Alliance Gloursonne; Anneau Crustique; Sept ans de malheur; Menoture; Masque d'Anerice; Cape d'Anerice; Pataugastrique; Dofus Cawotte; Dokoko; Dofus Ivoire; Dofus Abyssal; Paralyseur majeur; Étourdisseur majeur; Muldo Ebène et Orchidée</t>
        </is>
      </c>
    </row>
    <row r="11665">
      <c r="A11665" t="inlineStr">
        <is>
          <t>Sacrieur M 200</t>
        </is>
      </c>
      <c r="B11665">
        <f>HYPERLINK("https://www.dofusbook.net/fr/equipement/3403209-sacrieur-m-200/objets", "link")</f>
        <v/>
      </c>
      <c r="C11665" t="n">
        <v>5</v>
      </c>
      <c r="D11665" t="inlineStr">
        <is>
          <t>Manthache; Collier Rophante; Alliance Gloursonne; Gant du Valet Veinard; Bouclier d'Ilyzaelle; Menoture; Masque d'Anerice; Cape d'Anerice; Palmes Trithons; Dofus Ivoire; Dofus Abyssal; Dofus Émeraude; Cascadeur majeur; Miraculé majeur; Remueur; Péki</t>
        </is>
      </c>
    </row>
    <row r="11666">
      <c r="A11666" t="inlineStr">
        <is>
          <t>Roublard M 200</t>
        </is>
      </c>
      <c r="B11666">
        <f>HYPERLINK("https://www.dofusbook.net/fr/equipement/3389105-roublard-m-200/objets", "link")</f>
        <v/>
      </c>
      <c r="C11666" t="n">
        <v>4</v>
      </c>
      <c r="D11666" t="inlineStr">
        <is>
          <t>Manthache; Collier du Valet Veinard; Gant du Valet Veinard; Alliance Gloursonne; Cadran d'Air; Menoture; Dorabysses; Cape Indescriptible; Palmes Trithons; Dofus Abyssal; Dofus Pourpre; Dofus des Glaces; Dévastateur Air majeur; Remueur; Cascadeur majeur; Muldo Ebène et Pourpre</t>
        </is>
      </c>
    </row>
    <row r="11667">
      <c r="A11667" t="inlineStr">
        <is>
          <t>Roublard M 200</t>
        </is>
      </c>
      <c r="B11667">
        <f>HYPERLINK("https://www.dofusbook.net/fr/equipement/3399568-roublard-m-200/objets", "link")</f>
        <v/>
      </c>
      <c r="C11667" t="n">
        <v>0</v>
      </c>
      <c r="D11667" t="inlineStr">
        <is>
          <t>Sceptre du Roi Joueur; Amulette de Shokkoth; Bracelet des Fonds marins; Alliance Gloursonne; Cadran de Terre; Poulpagne; Kidibonnet; Cape du Sinistrofu; Dofus Pourpre; Dofus des Glaces; Dofus Abyssal; Chanceux majeur; Dévastateur Eau majeur</t>
        </is>
      </c>
    </row>
    <row r="11668">
      <c r="A11668" t="inlineStr">
        <is>
          <t>Roublard M 200</t>
        </is>
      </c>
      <c r="B11668">
        <f>HYPERLINK("https://www.dofusbook.net/fr/equipement/3398980-roublard-m-200/objets", "link")</f>
        <v/>
      </c>
      <c r="C11668" t="n">
        <v>3</v>
      </c>
      <c r="D11668" t="inlineStr">
        <is>
          <t>Dagoulinantes; Amulette de Shokkoth; Bracelet des Fonds marins; Alliance Gloursonne; Cadran de Terre; Ceinture de la Reine des Voleurs; Kidibonnet; Cape Solution; Bottes de la Reine des Voleurs; Dofus des Glaces; Dofus Abyssal; Dofus Pourpre; Chanceux majeur; Dévastateur Eau majeur; Remueur; Muldo Ebène et Indigo</t>
        </is>
      </c>
    </row>
    <row r="11669">
      <c r="A11669" t="inlineStr">
        <is>
          <t>Pandawa M 200</t>
        </is>
      </c>
      <c r="B11669">
        <f>HYPERLINK("https://www.dofusbook.net/fr/equipement/3328826-pandawa-m-200/objets", "link")</f>
        <v/>
      </c>
      <c r="C11669" t="n">
        <v>4</v>
      </c>
      <c r="D11669" t="inlineStr">
        <is>
          <t>Sceptre du Roi Joueur; Amulette de Shokkoth; Alliance Gloursonne; Bracelet des Fonds marins; Quatre-feuilles; Sangle Ouare; Kidibonnet; Cape du Sinistrofu; Bottes du Sinistrofu; Dofus Turquoise; Dokoko; Dofus Pourpre; Dofus des Glaces; Remueur; Chanceux majeur</t>
        </is>
      </c>
    </row>
    <row r="11670">
      <c r="A11670" t="inlineStr">
        <is>
          <t>Panda air</t>
        </is>
      </c>
      <c r="B11670">
        <f>HYPERLINK("https://www.dofusbook.net/fr/equipement/3328807-panda-air/objets", "link")</f>
        <v/>
      </c>
      <c r="C11670" t="n">
        <v>3</v>
      </c>
      <c r="D11670" t="inlineStr">
        <is>
          <t>Manthache; Collier du Valet Veinard; Alliance Gloursonne; Gant du Valet Veinard; Cadran d'Air; Menoture; Dorabysses; Cape Indescriptible; Palmes Trithons; Dolmanax; Dofus des Glaces; Dofus Abyssal; Miraculé majeur; Cascadeur majeur; Remueur; Muldo Orchidée et Pourpre</t>
        </is>
      </c>
    </row>
    <row r="11671">
      <c r="A11671" t="inlineStr">
        <is>
          <t>Steamer M 200</t>
        </is>
      </c>
      <c r="B11671">
        <f>HYPERLINK("https://www.dofusbook.net/fr/equipement/3277446-steamer-m-200/objets", "link")</f>
        <v/>
      </c>
      <c r="C11671" t="n">
        <v>2</v>
      </c>
      <c r="D11671" t="inlineStr">
        <is>
          <t>Arc Nécrotique; Amulette du Strigide; Pikano; Alliance Gloursonne; Quatre-feuilles; Ceinture du Strigide; Masque de l'Esprit Malsain; Cape de la Dame du Hasard; Sandales  d'Atcham; Dofus Turquoise; Dofus Abyssal; Dolmanax; Dofus Pourpre; Dofus des Glaces; Remueur; Muldo Ebène et Orchidée</t>
        </is>
      </c>
    </row>
    <row r="11672">
      <c r="A11672" t="inlineStr">
        <is>
          <t>geinroijoueur</t>
        </is>
      </c>
      <c r="B11672">
        <f>HYPERLINK("https://www.dofusbook.net/fr/equipement/1587984-geinroijoueur/objets", "link")</f>
        <v/>
      </c>
      <c r="C11672" t="n">
        <v>6</v>
      </c>
      <c r="D11672" t="inlineStr">
        <is>
          <t>Arc Hétype; Amulette de Gein; Chevalière du Roi Joueur; Bague Gloursonne; Cadran d'Air; Ceinture de Gein; Chapeau de Gein; Voile d'encre; Bottes du Roi Joueur; Dolmanax; Dokoko; Dofus Pourpre; Dofus Abyssal; Dofus Ocre; Dofus Émeraude; Muldo Ebène et Pourpre</t>
        </is>
      </c>
    </row>
    <row r="11673">
      <c r="A11673" t="inlineStr">
        <is>
          <t>Terre</t>
        </is>
      </c>
      <c r="B11673">
        <f>HYPERLINK("https://www.dofusbook.net/fr/equipement/2994937-terre/objets", "link")</f>
        <v/>
      </c>
      <c r="C11673" t="n">
        <v>8</v>
      </c>
      <c r="D11673" t="inlineStr">
        <is>
          <t>Dagues Érhy; Amulette Ementaire Deluxe; Pikano; Anneau Chevelu; Cadran de Feu; Ceinture de la Reine des Voleurs; Coiffe de la Reine des Voleurs; Voile d'encre; Sabots Minables; Dofus Émeraude; Dofus Abyssal; Carapace Feu majeur; Enragé majeur; Miraculé majeur; Remueur; Muldo Ebène et Indigo</t>
        </is>
      </c>
    </row>
    <row r="11674">
      <c r="A11674" t="inlineStr">
        <is>
          <t>Pvpm duo panda ilyz</t>
        </is>
      </c>
      <c r="B11674">
        <f>HYPERLINK("https://www.dofusbook.net/fr/equipement/4565448-pvpm-duo-panda-ilyz/objets", "link")</f>
        <v/>
      </c>
      <c r="C11674" t="n">
        <v>1</v>
      </c>
      <c r="D11674" t="inlineStr">
        <is>
          <t>Lav'Hache; Collier de Tourthon; Bague Gloursonne; Anneau Chevelu; Bouclier précieux; Ceinture de la Cour Sombre; Masque de Koutoulou; Cape au Logis; Bottes de la Cour Sombre; Dofus Ivoire; Dofus Émeraude; Dofus Pourpre; Dofus Abyssal; Dofus Ocre; Carapace Air majeur; Bwak d'Eau</t>
        </is>
      </c>
    </row>
    <row r="11675">
      <c r="A11675" t="inlineStr">
        <is>
          <t>Pvm x Panda Dps</t>
        </is>
      </c>
      <c r="B11675">
        <f>HYPERLINK("https://www.dofusbook.net/fr/equipement/4503255-pvm-x-panda-dps/objets", "link")</f>
        <v/>
      </c>
      <c r="C11675" t="n">
        <v>3</v>
      </c>
      <c r="D11675" t="inlineStr">
        <is>
          <t>Arc Nécrotique; Amulette Volkorne; Bague Trithon; Anneau Volkorne; Quatre-feuilles; Ceintacé; Masque Trithon; Cape de la Dame du Hasard; Bottes de la Dame du Hasard; Dofus Abyssal; Dofus Pourpre; Dolmanax; Dofus Ocre; Dofus Vulbis; Dofus Turquoise; Kokulte</t>
        </is>
      </c>
    </row>
    <row r="11676">
      <c r="A11676" t="inlineStr">
        <is>
          <t>Pvpm x Eni Eau Ret</t>
        </is>
      </c>
      <c r="B11676">
        <f>HYPERLINK("https://www.dofusbook.net/fr/equipement/4465387-pvpm-x-eni-eau-ret/objets", "link")</f>
        <v/>
      </c>
      <c r="C11676" t="n">
        <v>2</v>
      </c>
      <c r="D11676" t="inlineStr">
        <is>
          <t>Arc Nécrotique; Amulette Volkorne; Anneau Volkorne; Alliance Gloursonne; Cadran de Terre; Ceinture de l'Esprit Malsain; Casquette de Meno; Cape de la Dame du Hasard; Pataugastrique; Dofus Ivoire; Dofus Ocre; Dofus Abyssal; Dofus Turquoise; Dofus Ébène; Dofus Pourpre; Dragoune Rose</t>
        </is>
      </c>
    </row>
    <row r="11677">
      <c r="A11677" t="inlineStr">
        <is>
          <t>Pandawa Retro 200</t>
        </is>
      </c>
      <c r="B11677">
        <f>HYPERLINK("https://www.dofusbook.net/fr/equipement/5806724-pandawa-retro-200/objets", "link")</f>
        <v/>
      </c>
      <c r="C11677" t="n">
        <v>1</v>
      </c>
      <c r="D11677" t="inlineStr">
        <is>
          <t>Kralamansion; Kralano; Annolamour; Ceinture Rasboulaire du Rasboul; Voile d'encre</t>
        </is>
      </c>
    </row>
    <row r="11678">
      <c r="A11678" t="inlineStr">
        <is>
          <t>Sacrieur M 200</t>
        </is>
      </c>
      <c r="B11678">
        <f>HYPERLINK("https://www.dofusbook.net/fr/equipement/5799443-sacrieur-m-200/objets", "link")</f>
        <v/>
      </c>
      <c r="C11678" t="n">
        <v>0</v>
      </c>
      <c r="D11678" t="inlineStr"/>
    </row>
    <row r="11679">
      <c r="A11679" t="inlineStr">
        <is>
          <t>Pandawa M 200</t>
        </is>
      </c>
      <c r="B11679">
        <f>HYPERLINK("https://www.dofusbook.net/fr/equipement/5761198-pandawa-m-200/objets", "link")</f>
        <v/>
      </c>
      <c r="C11679" t="n">
        <v>0</v>
      </c>
      <c r="D11679" t="inlineStr">
        <is>
          <t>Rhizome du Tynril; Kralamansion; Kralano; Annolamour; Ceinture Rasboulaire du Rasboul; Chapignon; Voile d'encre; Sandales Circulaires du Kimbo; Dofawa; Dofus Turquoise; Dofus Émeraude; Dofus Ocre; Dofus Cawotte; Dofus Pourpre; Dragodinde en armure</t>
        </is>
      </c>
    </row>
    <row r="11680">
      <c r="A11680" t="inlineStr">
        <is>
          <t>Ouginak F 200</t>
        </is>
      </c>
      <c r="B11680">
        <f>HYPERLINK("https://www.dofusbook.net/fr/equipement/4248498-ouginak-f-200/objets", "link")</f>
        <v/>
      </c>
      <c r="C11680" t="n">
        <v>2</v>
      </c>
      <c r="D11680" t="inlineStr">
        <is>
          <t>Bagdette Café; Amulette du Strigide; Anneau Volkorne; Pikano; Quatre-feuilles; Ceinture du Strigide; Némès de Tal Kasha; Chevelure de Tal Kasha; Sandales de Tal Kasha; Dofus Turquoise; Dofus Abyssal; Dofus Vulbis; Dofus Ivoire; Dofus Ocre; Dofus Ébène; Kokulte</t>
        </is>
      </c>
    </row>
    <row r="11681">
      <c r="A11681" t="inlineStr">
        <is>
          <t>Ouginak F 200</t>
        </is>
      </c>
      <c r="B11681">
        <f>HYPERLINK("https://www.dofusbook.net/fr/equipement/4098465-ouginak-f-200/objets", "link")</f>
        <v/>
      </c>
      <c r="C11681" t="n">
        <v>2</v>
      </c>
      <c r="D11681" t="inlineStr">
        <is>
          <t>Bagdette Café; Amulette de Shokkoth; Alliance Gloursonne; Bracelet des Fonds marins; Quatre-feuilles; Sangle Ouare; Kidibonnet; Cape de la Dame du Hasard; Bottes de la Dame du Hasard; Dofus Turquoise; Dofus Abyssal; Dofus Pourpre; Dofus Ivoire; Dofus Ocre; Chanceux majeur; Dragodinde Indigo et Ivoire</t>
        </is>
      </c>
    </row>
    <row r="11682">
      <c r="A11682" t="inlineStr">
        <is>
          <t>Steamer F 200</t>
        </is>
      </c>
      <c r="B11682">
        <f>HYPERLINK("https://www.dofusbook.net/fr/equipement/4193595-steamer-f-200/objets", "link")</f>
        <v/>
      </c>
      <c r="C11682" t="n">
        <v>0</v>
      </c>
      <c r="D11682" t="inlineStr">
        <is>
          <t>Arc de Chasse; Amulette du Strigide; Bague Trithon; Bague Instable; Bouclier Taverne; Menoture; Casque Dragoeuf; Cape du Cœur Vaillant; Bottes du Cœur Vaillant; Dofus Ivoire; Dofus Ocre; Dofus Abyssal; Pousseur majeur; Bousculeur majeur; Culbuteur majeur; Kafarce</t>
        </is>
      </c>
    </row>
    <row r="11683">
      <c r="A11683" t="inlineStr">
        <is>
          <t>Steamer F 200</t>
        </is>
      </c>
      <c r="B11683">
        <f>HYPERLINK("https://www.dofusbook.net/fr/equipement/3981343-steamer-f-200/objets", "link")</f>
        <v/>
      </c>
      <c r="C11683" t="n">
        <v>0</v>
      </c>
      <c r="D11683" t="inlineStr">
        <is>
          <t>Arc corrompu; Amulette Volkorne; Anneauræus; Anneauræus; Bouclier cubiste; Ceinture Volkorne; Heaume Oplate; Voile d'encre; Bottes Innommables; Dofus Vulbis; Dofus Abyssal; Dofus Pourpre; Dofus Ivoire; Dofus Ocre; Érudit majeur; Dragodinde Ivoire et Orchidée</t>
        </is>
      </c>
    </row>
    <row r="11684">
      <c r="A11684" t="inlineStr">
        <is>
          <t>Pandawa M 200</t>
        </is>
      </c>
      <c r="B11684">
        <f>HYPERLINK("https://www.dofusbook.net/fr/equipement/4044289-pandawa-m-200/objets", "link")</f>
        <v/>
      </c>
      <c r="C11684" t="n">
        <v>2</v>
      </c>
      <c r="D11684" t="inlineStr">
        <is>
          <t>Amrothiline; Amulette du Strigide; Anneau Volkorne; Anneau Chevelu; Quatre-feuilles; Ceinture Volkorne; Masque de Koutoulou; Cape au Logis; Bottes du Cœur Saignant; Dofus Turquoise; Dofus Ivoire; Dofus Pourpre; Dofus Abyssal; Dofus Ocre; Enragé majeur; Dragodinde Ivoire et Pourpre</t>
        </is>
      </c>
    </row>
    <row r="11685">
      <c r="A11685" t="inlineStr">
        <is>
          <t>Do_pou</t>
        </is>
      </c>
      <c r="B11685">
        <f>HYPERLINK("https://www.dofusbook.net/fr/equipement/4139773-do-pou/objets", "link")</f>
        <v/>
      </c>
      <c r="C11685" t="n">
        <v>0</v>
      </c>
      <c r="D11685" t="inlineStr">
        <is>
          <t>Torquistik; Baguistik; Bague Instable; Bouclier Taverne; Ceinture Gence; Casque Dragoeuf; Cape Solution; Bottes Trithon; Dofus Abyssal; Dofus Ivoire; Pousseur majeur; Culbuteur; Culbuteur majeur; Bousculeur majeur; Kafarce</t>
        </is>
      </c>
    </row>
    <row r="11686">
      <c r="A11686" t="inlineStr">
        <is>
          <t>Iop_feu</t>
        </is>
      </c>
      <c r="B11686">
        <f>HYPERLINK("https://www.dofusbook.net/fr/equipement/4174418-iop-feu/objets", "link")</f>
        <v/>
      </c>
      <c r="C11686" t="n">
        <v>2</v>
      </c>
      <c r="D11686" t="inlineStr">
        <is>
          <t>Arc corrompu; Amulette Volkorne; Anneauræus; Anneauræus; Bouclier du Stalak; Ceinture Volkorne; Heaume Oplate; Voile d'encre; Bottes Innommables; Dofus Ocre; Dofus Vulbis; Dofus Abyssal; Dofus Pourpre; Dofus Ivoire; Érudit majeur; Dragodinde Ivoire et Orchidée</t>
        </is>
      </c>
    </row>
    <row r="11687">
      <c r="A11687" t="inlineStr">
        <is>
          <t>Huppermage F 200</t>
        </is>
      </c>
      <c r="B11687">
        <f>HYPERLINK("https://www.dofusbook.net/fr/equipement/4168133-huppermage-f-200/objets", "link")</f>
        <v/>
      </c>
      <c r="C11687" t="n">
        <v>1</v>
      </c>
      <c r="D11687" t="inlineStr">
        <is>
          <t>Arc du Chalœil; Collier de Tourthon; Bracelet du Piloztère; Anneau de Brouce; Bouclier d'Ilyzaelle; Ceinture de Brouce; Masque de Koutoulou; Cape au Logis; Sabots Minables; Dofus Abyssal; Dofus Pourpre; Dofus Ivoire; Dofus Nébuleux; Dofus des Glaces; Dévastateur Terre majeur; Bulbisou</t>
        </is>
      </c>
    </row>
    <row r="11688">
      <c r="A11688" t="inlineStr">
        <is>
          <t>Steamer F 200</t>
        </is>
      </c>
      <c r="B11688">
        <f>HYPERLINK("https://www.dofusbook.net/fr/equipement/4139771-steamer-f-200/objets", "link")</f>
        <v/>
      </c>
      <c r="C11688" t="n">
        <v>0</v>
      </c>
      <c r="D11688" t="inlineStr"/>
    </row>
    <row r="11689">
      <c r="A11689" t="inlineStr">
        <is>
          <t>Steamer F 200</t>
        </is>
      </c>
      <c r="B11689">
        <f>HYPERLINK("https://www.dofusbook.net/fr/equipement/4139713-steamer-f-200/objets", "link")</f>
        <v/>
      </c>
      <c r="C11689" t="n">
        <v>0</v>
      </c>
      <c r="D11689" t="inlineStr">
        <is>
          <t>Mauvaise Pioche; Amibou; Bague Trithon; Alliance Gloursonne; Bouclier Taverne; Casque Dragoeuf; Capibou; Pantoufles Émar; Dofus Ivoire; Dofus Ocre; Dofus Abyssal; Pousseur majeur; Culbuteur majeur; Bousculeur majeur; Tofoudre</t>
        </is>
      </c>
    </row>
    <row r="11690">
      <c r="A11690" t="inlineStr">
        <is>
          <t>Steamer F 200</t>
        </is>
      </c>
      <c r="B11690">
        <f>HYPERLINK("https://www.dofusbook.net/fr/equipement/4064832-steamer-f-200/objets", "link")</f>
        <v/>
      </c>
      <c r="C11690" t="n">
        <v>0</v>
      </c>
      <c r="D11690" t="inlineStr">
        <is>
          <t>Arc du Chalœil; Amulette Luminescente; Bague Trithon; Bague Instable; Bouclier précieux; Ceinture Luminescente; Masque Trithon; Cape Luminescente; Bottes Trithon; Dofus Ivoire; Dofus Ocre; Dofus Abyssal; Bousculeur majeur; Bousculeur; Pousseur majeur; Balafreux</t>
        </is>
      </c>
    </row>
    <row r="11691">
      <c r="A11691" t="inlineStr">
        <is>
          <t>Sacrieur F 200</t>
        </is>
      </c>
      <c r="B11691">
        <f>HYPERLINK("https://www.dofusbook.net/fr/equipement/4096757-sacrieur-f-200/objets", "link")</f>
        <v/>
      </c>
      <c r="C11691" t="n">
        <v>6</v>
      </c>
      <c r="D11691" t="inlineStr">
        <is>
          <t>Le Thanos; Amulette d'Ilyzaelle; Anneau Toriété; Alliance Gloursonne; Bouclier d'Ilyzaelle; Ceinture de Vortex; Casque Cyclopéen; Cape Martegel; Pantoufles Émar; Dofus Émeraude; Dofus Ivoire; Dofus Ocre; Dofus Abyssal; Guérisseur majeur; Cascadeur majeur; Dragodinde Ebène et Rousse</t>
        </is>
      </c>
    </row>
    <row r="11692">
      <c r="A11692" t="inlineStr">
        <is>
          <t>Pandawa M 200</t>
        </is>
      </c>
      <c r="B11692">
        <f>HYPERLINK("https://www.dofusbook.net/fr/equipement/4075327-pandawa-m-200/objets", "link")</f>
        <v/>
      </c>
      <c r="C11692" t="n">
        <v>0</v>
      </c>
      <c r="D11692" t="inlineStr">
        <is>
          <t>Arc corrompu; Pendentif affamé; Anneauræus; Anneauræus; Bouclier du Stalak; Ceinture Séculaire; Coiffe Séculaire; Cape de Diondin; Bottes Innommables; Dofus Vulbis; Dofus Abyssal; Dofus Pourpre; Dofus Ivoire; Dofus Ocre; Érudit majeur; Bwak de Feu</t>
        </is>
      </c>
    </row>
    <row r="11693">
      <c r="A11693" t="inlineStr">
        <is>
          <t>Xélor M 200</t>
        </is>
      </c>
      <c r="B11693">
        <f>HYPERLINK("https://www.dofusbook.net/fr/equipement/4044117-xelor-m-200/objets", "link")</f>
        <v/>
      </c>
      <c r="C11693" t="n">
        <v>1</v>
      </c>
      <c r="D11693" t="inlineStr">
        <is>
          <t>Manthache; Collier du Valet Veinard; Gant du Valet Veinard; Alliance Gloursonne; Cadran d'Air; Ceinture du Barbétoal; Casque Dragoeuf; Cape Indescriptible; Palmes Trithons; Dofus Ocre; Dofus Pourpre; Dofus Ivoire; Cascadeur majeur; Remueur; Nomade; Volkorne Améthyste et Ebène</t>
        </is>
      </c>
    </row>
    <row r="11694">
      <c r="A11694" t="inlineStr">
        <is>
          <t>Steamer F 200</t>
        </is>
      </c>
      <c r="B11694">
        <f>HYPERLINK("https://www.dofusbook.net/fr/equipement/4044195-steamer-f-200/objets", "link")</f>
        <v/>
      </c>
      <c r="C11694" t="n">
        <v>0</v>
      </c>
      <c r="D11694" t="inlineStr">
        <is>
          <t>Baguette Hique; Amulette de Shokkoth; Alliance Gloursonne; Bracelet des Fonds marins; Quatre-feuilles; Sangle Ouare; Kidibonnet; Cape de la Dame du Hasard; Bottes de la Dame du Hasard; Dofus Pourpre; Dofus Abyssal; Dofus Turquoise; Dofus Ivoire; Dofus Ocre; Chanceux majeur; Kokulte</t>
        </is>
      </c>
    </row>
    <row r="11695">
      <c r="A11695" t="inlineStr">
        <is>
          <t>Ecaflip M 200</t>
        </is>
      </c>
      <c r="B11695">
        <f>HYPERLINK("https://www.dofusbook.net/fr/equipement/3981219-ecaflip-m-200/objets", "link")</f>
        <v/>
      </c>
      <c r="C11695" t="n">
        <v>1</v>
      </c>
      <c r="D11695" t="inlineStr">
        <is>
          <t>Baguette Hique; Amulette de Shokkoth; Alliance Gloursonne; Bracelet des Fonds marins; Quatre-feuilles; Sangle Ouare; Casque Dragoeuf; Cape de la Dame du Hasard; Bottes de la Dame du Hasard; Dofus Pourpre; Dofus Abyssal; Dofus Ocre; Dofus Turquoise; Chanceux majeur; Remueur; Dragodinde Indigo et Ivoire</t>
        </is>
      </c>
    </row>
    <row r="11696">
      <c r="A11696" t="inlineStr">
        <is>
          <t>Sacrieur F 200</t>
        </is>
      </c>
      <c r="B11696">
        <f>HYPERLINK("https://www.dofusbook.net/fr/equipement/4034995-sacrieur-f-200/objets", "link")</f>
        <v/>
      </c>
      <c r="C11696" t="n">
        <v>2</v>
      </c>
      <c r="D11696" t="inlineStr">
        <is>
          <t>Pelle Fik; Amulette Volkorne; Anneau Volkorne; Bracelet des Fonds marins; Bouclier du Captain Amakna; Ceinture Volkorne; Némès de Tal Kasha; Chevelure de Tal Kasha; Sandales de Tal Kasha; Dofus Ocre; Dofus Ivoire; Dofus Turquoise; Dofus des Glaces; Dofus Pourpre; Dofus Abyssal; Kokulte</t>
        </is>
      </c>
    </row>
    <row r="11697">
      <c r="A11697" t="inlineStr">
        <is>
          <t>Sacrieur F 200</t>
        </is>
      </c>
      <c r="B11697">
        <f>HYPERLINK("https://www.dofusbook.net/fr/equipement/4035100-sacrieur-f-200/objets", "link")</f>
        <v/>
      </c>
      <c r="C11697" t="n">
        <v>1</v>
      </c>
      <c r="D11697" t="inlineStr">
        <is>
          <t>Rapière aux Glyphes; Amulette d'Ilyzaelle; Alliance Gloursonne; Anneau Volkorne; Bouclier d'Ilyzaelle; Ceinture Glaciale; Casque d'Ilyzaelle; Cape du Sinistrofu; Bottes du Sinistrofu; Dofus Vulbis; Dofus Abyssal; Dofus Pourpre; Dofus Ivoire; Dofus Émeraude; Dofus Ocre; Volkorne Rubis et Améthyste</t>
        </is>
      </c>
    </row>
    <row r="11698">
      <c r="A11698" t="inlineStr">
        <is>
          <t>Xélor M 200</t>
        </is>
      </c>
      <c r="B11698">
        <f>HYPERLINK("https://www.dofusbook.net/fr/equipement/4019622-xelor-m-200/objets", "link")</f>
        <v/>
      </c>
      <c r="C11698" t="n">
        <v>0</v>
      </c>
      <c r="D11698" t="inlineStr">
        <is>
          <t>Manthache; Collier du Valet Veinard; Alliance Gloursonne; Gant du Valet Veinard; Cadran d'Air; Ceintouse; Casque Dragoeuf; Cape Indescriptible; Palmes Trithons; Dofus Ocre; Dofus Vulbis; Dofus Abyssal; Dofus Pourpre; Cascadeur majeur; Remueur; Volkorne Améthyste et Ebène</t>
        </is>
      </c>
    </row>
    <row r="11699">
      <c r="A11699" t="inlineStr">
        <is>
          <t>Sacrieur F 200</t>
        </is>
      </c>
      <c r="B11699">
        <f>HYPERLINK("https://www.dofusbook.net/fr/equipement/3979649-sacrieur-f-200/objets", "link")</f>
        <v/>
      </c>
      <c r="C11699" t="n">
        <v>6</v>
      </c>
      <c r="D11699" t="inlineStr">
        <is>
          <t>Faux Maudite du Saigneur Guerrier; Amulette du Strigide; Anneau de Padgref; Bracelet du Piloztère; Bouclier du Captain Amakna; Ceinture du Strigide; Coiffe de Padgref; Cape du Professeur Xa; Getas de Padgref; Dofus Turquoise; Dofus Abyssal; Dofus des Glaces; Dofus Émeraude; Dofus Pourpre; Dofus Ocre; Kokulte</t>
        </is>
      </c>
    </row>
    <row r="11700">
      <c r="A11700" t="inlineStr">
        <is>
          <t>Enutrof F 200</t>
        </is>
      </c>
      <c r="B11700">
        <f>HYPERLINK("https://www.dofusbook.net/fr/equipement/3815017-enutrof-f-200/objets", "link")</f>
        <v/>
      </c>
      <c r="C11700" t="n">
        <v>0</v>
      </c>
      <c r="D11700" t="inlineStr">
        <is>
          <t>Dagues de Srambad; Amulette Luminescente; Goulano; Anneau en Grithril; Goulclier; Ceinture en Grithril; Casque en Grithril; Cape Luminescente; Goulbottes; Dofus Vulbis; Dofus Pourpre; Dolmanax; Dofus des Glaces; Dofus Abyssal; Dofus Émeraude; El Scarador</t>
        </is>
      </c>
    </row>
    <row r="11701">
      <c r="A11701" t="inlineStr">
        <is>
          <t>Stuff 1</t>
        </is>
      </c>
      <c r="B11701">
        <f>HYPERLINK("https://www.dofusbook.net/fr/equipement/943972-stuff-1/objets", "link")</f>
        <v/>
      </c>
      <c r="C11701" t="n">
        <v>1</v>
      </c>
      <c r="D11701" t="inlineStr">
        <is>
          <t>Lance Horselé; Amibou; Gant du Valet Veinard; Alliance Gloursonne; Bouclier du Mont Kipou; Menoture; Casque Dragoeuf; Capibou; Sandales de Tal Kasha; Dofus Ivoire; Dofus Abyssal; Étourdisseur majeur; Déserteur majeur; Remueur; Temporiseur majeur; Muldo Ebène et Amande</t>
        </is>
      </c>
    </row>
    <row r="11702">
      <c r="A11702" t="inlineStr">
        <is>
          <t>Stuff 1</t>
        </is>
      </c>
      <c r="B11702">
        <f>HYPERLINK("https://www.dofusbook.net/fr/equipement/943945-stuff-1/objets", "link")</f>
        <v/>
      </c>
      <c r="C11702" t="n">
        <v>0</v>
      </c>
      <c r="D11702" t="inlineStr">
        <is>
          <t>Marteau des Anciens Steamers; Talisman Glouti; Bracelet du Piloztère; Alliance Gloursonne; Ceinture du Barbétoal; Némès de Tal Kasha; Cape Matelassée; Sandales des Fonds marins; Dofus Pourpre; Dofus Turquoise; Dolmanax; Remueur; Nomade; Vigoureux majeur; Croum</t>
        </is>
      </c>
    </row>
    <row r="11703">
      <c r="A11703" t="inlineStr">
        <is>
          <t>Stuff 2</t>
        </is>
      </c>
      <c r="B11703">
        <f>HYPERLINK("https://www.dofusbook.net/fr/equipement/943955-stuff-2/objets", "link")</f>
        <v/>
      </c>
      <c r="C11703" t="n">
        <v>0</v>
      </c>
      <c r="D11703" t="inlineStr">
        <is>
          <t>Arc Nécrotique; Amulette du Strigide; Alliance Gloursonne; Bracelet des Fonds marins; Ceintacé; Casqnoar; Voile d'encre; Bottes du Strigide; Dofus des Glaces; Dofus Turquoise; Dofus Pourpre; Observateur; Remueur; Nomade</t>
        </is>
      </c>
    </row>
    <row r="11704">
      <c r="A11704" t="inlineStr">
        <is>
          <t>Stuff 1</t>
        </is>
      </c>
      <c r="B11704">
        <f>HYPERLINK("https://www.dofusbook.net/fr/equipement/943987-stuff-1/objets", "link")</f>
        <v/>
      </c>
      <c r="C11704" t="n">
        <v>0</v>
      </c>
      <c r="D11704" t="inlineStr">
        <is>
          <t>Hache Euvale; Amulette Luminescente; Bague Trithon; Bracelet du Piloztère; Ceinture Luminescente; Masque Trithon; Cape Luminescente; Bottes Trithon; Dofus des Glaces; Dofus Vulbis; Dofus Pourpre; Dofus Ocre; Dofus Turquoise; Bousculeur majeur; Kramkram</t>
        </is>
      </c>
    </row>
    <row r="11705">
      <c r="A11705" t="inlineStr">
        <is>
          <t>Stuff 2</t>
        </is>
      </c>
      <c r="B11705">
        <f>HYPERLINK("https://www.dofusbook.net/fr/equipement/944019-stuff-2/objets", "link")</f>
        <v/>
      </c>
      <c r="C11705" t="n">
        <v>0</v>
      </c>
      <c r="D11705" t="inlineStr">
        <is>
          <t>Arc en Racine d'Abraknyde; Amulette du Glourséleste; Pikano; Anneau Tamie; Ceinture Instable; Kidibonnet; Cape de Léthaline; Pikottes; Remueur; Entraveur majeur; Temporiseur; Temporiseur majeur; Fonceur majeur; Ralentisseur majeur; Tifoux</t>
        </is>
      </c>
    </row>
    <row r="11706">
      <c r="A11706" t="inlineStr">
        <is>
          <t>Stuff 3</t>
        </is>
      </c>
      <c r="B11706">
        <f>HYPERLINK("https://www.dofusbook.net/fr/equipement/943950-stuff-3/objets", "link")</f>
        <v/>
      </c>
      <c r="C11706" t="n">
        <v>0</v>
      </c>
      <c r="D11706" t="inlineStr">
        <is>
          <t>Dagues Lassay; Amulette du Granduk; Anneau d'Allister; Alliance Gloursonne; Ceinture de Klime; Coiffe de la Reine des Voleurs; Cape de Klime; Baleinabottes; Vagabond majeur; Déserteur majeur; Equilibriste majeur; Fuyard majeur; Remueur; Cascadeur majeur; Chachyène</t>
        </is>
      </c>
    </row>
    <row r="11707">
      <c r="A11707" t="inlineStr">
        <is>
          <t>Stuff 1</t>
        </is>
      </c>
      <c r="B11707">
        <f>HYPERLINK("https://www.dofusbook.net/fr/equipement/944014-stuff-1/objets", "link")</f>
        <v/>
      </c>
      <c r="C11707" t="n">
        <v>0</v>
      </c>
      <c r="D11707" t="inlineStr"/>
    </row>
    <row r="11708">
      <c r="A11708" t="inlineStr">
        <is>
          <t>Stuff 3</t>
        </is>
      </c>
      <c r="B11708">
        <f>HYPERLINK("https://www.dofusbook.net/fr/equipement/943977-stuff-3/objets", "link")</f>
        <v/>
      </c>
      <c r="C11708" t="n">
        <v>0</v>
      </c>
      <c r="D11708" t="inlineStr">
        <is>
          <t>Marteau des Anciens Steamers; Amulette Voldelor; Anneau de Pol Ouatnos; Alliance Gloursonne; Ceinture du Barbétoal; Dorabysses; Cape Matelassée; Bottes Voldelor; Dolmanax; Remueur; Vagabond majeur; Déserteur majeur; Cascadeur majeur</t>
        </is>
      </c>
    </row>
    <row r="11709">
      <c r="A11709" t="inlineStr">
        <is>
          <t>Stuff 2</t>
        </is>
      </c>
      <c r="B11709">
        <f>HYPERLINK("https://www.dofusbook.net/fr/equipement/944009-stuff-2/objets", "link")</f>
        <v/>
      </c>
      <c r="C11709" t="n">
        <v>0</v>
      </c>
      <c r="D11709" t="inlineStr">
        <is>
          <t>Hache Ériphe; Amulette du Kamasterisk; Bracelet du Piloztère; Alliance Gloursonne; Ceinture du Barbétoal; Coiffe de la Reine des Voleurs; Cape du Kamasterisk; Baleinabottes; Dofus Turquoise; Dofus Pourpre; Vigoureux majeur; Remueur; Nomade; Cascadeur majeur; Kramkram</t>
        </is>
      </c>
    </row>
    <row r="11710">
      <c r="A11710" t="inlineStr">
        <is>
          <t>Stuff 1</t>
        </is>
      </c>
      <c r="B11710">
        <f>HYPERLINK("https://www.dofusbook.net/fr/equipement/944004-stuff-1/objets", "link")</f>
        <v/>
      </c>
      <c r="C11710" t="n">
        <v>0</v>
      </c>
      <c r="D11710" t="inlineStr">
        <is>
          <t>Dagues de Srambad; Amulette de Pol Ouatnos; Pikano; Alliance Gloursonne; Ceinture de la Reine des Voleurs; Coiffe de la Reine des Voleurs; Voile d'encre; Pantoufles du Piloztère; Dofus Ocre; Dolmanax; Remueur; Chanceux majeur; Kramkram</t>
        </is>
      </c>
    </row>
    <row r="11711">
      <c r="A11711" t="inlineStr">
        <is>
          <t>Stuff 2</t>
        </is>
      </c>
      <c r="B11711">
        <f>HYPERLINK("https://www.dofusbook.net/fr/equipement/943967-stuff-2/objets", "link")</f>
        <v/>
      </c>
      <c r="C11711" t="n">
        <v>0</v>
      </c>
      <c r="D11711" t="inlineStr">
        <is>
          <t>Dagues Érhy; Amulette du Strigide; Bracelet du Piloztère; Bague Gloursonne; Ceintacé; Chapeau de Gein; Voile d'encre; Bottes du Strigide; Dofus Pourpre; Dofus Turquoise; Nomade; Remueur; Enragé majeur; Vigoureux majeur; Croum</t>
        </is>
      </c>
    </row>
    <row r="11712">
      <c r="A11712" t="inlineStr">
        <is>
          <t>Stuff 1</t>
        </is>
      </c>
      <c r="B11712">
        <f>HYPERLINK("https://www.dofusbook.net/fr/equipement/943999-stuff-1/objets", "link")</f>
        <v/>
      </c>
      <c r="C11712" t="n">
        <v>0</v>
      </c>
      <c r="D11712" t="inlineStr">
        <is>
          <t>Épée du Granduk; Amulette du Granduk; Alliance Gloursonne; Anneau d'Allister; Ceinture de Klime; Masque du Granduk; Cape de Klime; Bottes d'Allister; Dofus Vulbis; Dofus Pourpre; Dofus Ocre; Acrobate majeur; Examinateur; Equilibriste majeur; Siroko</t>
        </is>
      </c>
    </row>
    <row r="11713">
      <c r="A11713" t="inlineStr">
        <is>
          <t>Stuff 3</t>
        </is>
      </c>
      <c r="B11713">
        <f>HYPERLINK("https://www.dofusbook.net/fr/equipement/943962-stuff-3/objets", "link")</f>
        <v/>
      </c>
      <c r="C11713" t="n">
        <v>0</v>
      </c>
      <c r="D11713" t="inlineStr">
        <is>
          <t>Plumeau Bil; Amulette de Nileza; Anneau Tique; Bague Gloursonne; Ceinture de Vortex; Cagoule de Vortex; Voile d'encre; Pataugastrique; Érudit majeur; Nomade; Déserteur majeur; Miraculé majeur; Étourdisseur majeur; Remueur; Croum</t>
        </is>
      </c>
    </row>
    <row r="11714">
      <c r="A11714" t="inlineStr">
        <is>
          <t>Stuff 3</t>
        </is>
      </c>
      <c r="B11714">
        <f>HYPERLINK("https://www.dofusbook.net/fr/equipement/943994-stuff-3/objets", "link")</f>
        <v/>
      </c>
      <c r="C11714" t="n">
        <v>1</v>
      </c>
      <c r="D11714" t="inlineStr">
        <is>
          <t>Dagues Érhy; Amulette du Strigide; Bague Gloursonne; Pikano; Ceintacé; Casque de Missiz Frizz; Voile d'encre; Bottes du Strigide; Dofus Turquoise; Dofus Pourpre; Enragé majeur; Remueur; Nomade; Vigoureux majeur; Croum</t>
        </is>
      </c>
    </row>
    <row r="11715">
      <c r="A11715" t="inlineStr">
        <is>
          <t>Stuff 1</t>
        </is>
      </c>
      <c r="B11715">
        <f>HYPERLINK("https://www.dofusbook.net/fr/equipement/943957-stuff-1/objets", "link")</f>
        <v/>
      </c>
      <c r="C11715" t="n">
        <v>0</v>
      </c>
      <c r="D11715" t="inlineStr">
        <is>
          <t>Marteau des Anciens Steamers; Amulette du Strigide; Bracelet du Piloztère; Alliance Gloursonne; Ceinture du Strigide; Chapeau des Malveilleurs; Cape des Malveilleurs; Bottes des Malveilleurs; Dofus des Glaces; Dofus Pourpre; Dofus Turquoise; Dolmanax; Croum</t>
        </is>
      </c>
    </row>
    <row r="11716">
      <c r="A11716" t="inlineStr">
        <is>
          <t>Stuff 1</t>
        </is>
      </c>
      <c r="B11716">
        <f>HYPERLINK("https://www.dofusbook.net/fr/equipement/943989-stuff-1/objets", "link")</f>
        <v/>
      </c>
      <c r="C11716" t="n">
        <v>0</v>
      </c>
      <c r="D11716" t="inlineStr">
        <is>
          <t>Arc Hétype; Amulette d'Otomaï; Anneau de Nidas; Anneau Tique; Ceinture de Vortex; Chapeau des Malveilleurs; Cape des Malveilleurs; Pataugastrique; Étourdisseur majeur; Nomade; Obstructeur majeur; Érudit majeur; Temporiseur majeur; Remueur</t>
        </is>
      </c>
    </row>
    <row r="11717">
      <c r="A11717" t="inlineStr">
        <is>
          <t>Stuff 2</t>
        </is>
      </c>
      <c r="B11717">
        <f>HYPERLINK("https://www.dofusbook.net/fr/equipement/943952-stuff-2/objets", "link")</f>
        <v/>
      </c>
      <c r="C11717" t="n">
        <v>0</v>
      </c>
      <c r="D11717" t="inlineStr">
        <is>
          <t>Marteau des Anciens Steamers; Amulette de Pol Ouatnos; Alliance Gloursonne; Bracelet du Piloztère; Ceinture du Barbétoal; Masque du Barbétoal; Cape du Barbétoal; Pantoufles du Piloztère; Dofus Pourpre; Dofus Turquoise; Dolmanax; Dofus Ocre; Kramkram</t>
        </is>
      </c>
    </row>
    <row r="11718">
      <c r="A11718" t="inlineStr">
        <is>
          <t>Stuff 1</t>
        </is>
      </c>
      <c r="B11718">
        <f>HYPERLINK("https://www.dofusbook.net/fr/equipement/943992-stuff-1/objets", "link")</f>
        <v/>
      </c>
      <c r="C11718" t="n">
        <v>1</v>
      </c>
      <c r="D11718" t="inlineStr">
        <is>
          <t>Epée Gloursonne; Amulette du Strigide; Alliance Gloursonne; Bague Gloursonne; Ceinture du Strigide; Casque de Missiz Frizz; Voile d'encre; Bottes du Strigide; Dofus Ocre; Dofus des Glaces; Dofus Vulbis; Dofus Pourpre; Dofus Émeraude; Dofus Turquoise; Kramkram</t>
        </is>
      </c>
    </row>
    <row r="11719">
      <c r="A11719" t="inlineStr">
        <is>
          <t>Stuff 2</t>
        </is>
      </c>
      <c r="B11719">
        <f>HYPERLINK("https://www.dofusbook.net/fr/equipement/943955-stuff-2/objets", "link")</f>
        <v/>
      </c>
      <c r="C11719" t="n">
        <v>0</v>
      </c>
      <c r="D11719" t="inlineStr">
        <is>
          <t>Arc Nécrotique; Amulette du Strigide; Bracelet des Fonds marins; Alliance Gloursonne; Ceintacé; Casqnoar; Voile d'encre; Bottes du Strigide; Dofus Pourpre; Dofus des Glaces; Dofus Turquoise; Observateur; Remueur; Nomade</t>
        </is>
      </c>
    </row>
    <row r="11720">
      <c r="A11720" t="inlineStr">
        <is>
          <t>Stuff 1</t>
        </is>
      </c>
      <c r="B11720">
        <f>HYPERLINK("https://www.dofusbook.net/fr/equipement/943987-stuff-1/objets", "link")</f>
        <v/>
      </c>
      <c r="C11720" t="n">
        <v>0</v>
      </c>
      <c r="D11720" t="inlineStr">
        <is>
          <t>Hache Euvale; Amulette Luminescente; Bague Trithon; Bracelet du Piloztère; Ceinture Luminescente; Masque Trithon; Cape Luminescente; Bottes Trithon; Dofus Vulbis; Dofus Pourpre; Dofus Ocre; Dofus Turquoise; Dofus des Glaces; Bousculeur majeur; Kramkram</t>
        </is>
      </c>
    </row>
    <row r="11721">
      <c r="A11721" t="inlineStr">
        <is>
          <t>Stuff 2</t>
        </is>
      </c>
      <c r="B11721">
        <f>HYPERLINK("https://www.dofusbook.net/fr/equipement/944019-stuff-2/objets", "link")</f>
        <v/>
      </c>
      <c r="C11721" t="n">
        <v>0</v>
      </c>
      <c r="D11721" t="inlineStr">
        <is>
          <t>Arc en Racine d'Abraknyde; Amulette du Glourséleste; Anneau Tamie; Pikano; Ceinture Instable; Kidibonnet; Cape de Léthaline; Pikottes; Temporiseur; Temporiseur majeur; Fonceur majeur; Ralentisseur majeur; Remueur; Entraveur majeur; Tifoux</t>
        </is>
      </c>
    </row>
    <row r="11722">
      <c r="A11722" t="inlineStr">
        <is>
          <t>Stuff 3</t>
        </is>
      </c>
      <c r="B11722">
        <f>HYPERLINK("https://www.dofusbook.net/fr/equipement/943950-stuff-3/objets", "link")</f>
        <v/>
      </c>
      <c r="C11722" t="n">
        <v>0</v>
      </c>
      <c r="D11722" t="inlineStr">
        <is>
          <t>Dagues Lassay; Amulette du Granduk; Alliance Gloursonne; Anneau d'Allister; Ceinture de Klime; Coiffe de la Reine des Voleurs; Cape de Klime; Baleinabottes; Fuyard majeur; Remueur; Cascadeur majeur; Vagabond majeur; Déserteur majeur; Equilibriste majeur; Chachyène</t>
        </is>
      </c>
    </row>
    <row r="11723">
      <c r="A11723" t="inlineStr">
        <is>
          <t>Stuff 1</t>
        </is>
      </c>
      <c r="B11723">
        <f>HYPERLINK("https://www.dofusbook.net/fr/equipement/944014-stuff-1/objets", "link")</f>
        <v/>
      </c>
      <c r="C11723" t="n">
        <v>0</v>
      </c>
      <c r="D11723" t="inlineStr"/>
    </row>
    <row r="11724">
      <c r="A11724" t="inlineStr">
        <is>
          <t>Stuff 3</t>
        </is>
      </c>
      <c r="B11724">
        <f>HYPERLINK("https://www.dofusbook.net/fr/equipement/943977-stuff-3/objets", "link")</f>
        <v/>
      </c>
      <c r="C11724" t="n">
        <v>0</v>
      </c>
      <c r="D11724" t="inlineStr">
        <is>
          <t>Marteau des Anciens Steamers; Amulette Voldelor; Anneau de Pol Ouatnos; Alliance Gloursonne; Ceinture du Barbétoal; Dorabysses; Cape Matelassée; Bottes Voldelor; Dolmanax; Remueur; Vagabond majeur; Déserteur majeur; Cascadeur majeur</t>
        </is>
      </c>
    </row>
    <row r="11725">
      <c r="A11725" t="inlineStr">
        <is>
          <t>Stuff 2</t>
        </is>
      </c>
      <c r="B11725">
        <f>HYPERLINK("https://www.dofusbook.net/fr/equipement/944009-stuff-2/objets", "link")</f>
        <v/>
      </c>
      <c r="C11725" t="n">
        <v>0</v>
      </c>
      <c r="D11725" t="inlineStr">
        <is>
          <t>Hache Ériphe; Amulette du Kamasterisk; Alliance Gloursonne; Bracelet du Piloztère; Ceinture du Barbétoal; Coiffe de la Reine des Voleurs; Cape du Kamasterisk; Baleinabottes; Dofus Turquoise; Dofus Pourpre; Vigoureux majeur; Remueur; Nomade; Cascadeur majeur; Kramkram</t>
        </is>
      </c>
    </row>
    <row r="11726">
      <c r="A11726" t="inlineStr">
        <is>
          <t>Stuff 1</t>
        </is>
      </c>
      <c r="B11726">
        <f>HYPERLINK("https://www.dofusbook.net/fr/equipement/944004-stuff-1/objets", "link")</f>
        <v/>
      </c>
      <c r="C11726" t="n">
        <v>0</v>
      </c>
      <c r="D11726" t="inlineStr">
        <is>
          <t>Dagues de Srambad; Amulette de Pol Ouatnos; Pikano; Alliance Gloursonne; Ceinture de la Reine des Voleurs; Coiffe de la Reine des Voleurs; Voile d'encre; Pantoufles du Piloztère; Dolmanax; Dofus Ocre; Chanceux majeur; Remueur; Kramkram</t>
        </is>
      </c>
    </row>
    <row r="11727">
      <c r="A11727" t="inlineStr">
        <is>
          <t>Stuff 2</t>
        </is>
      </c>
      <c r="B11727">
        <f>HYPERLINK("https://www.dofusbook.net/fr/equipement/943967-stuff-2/objets", "link")</f>
        <v/>
      </c>
      <c r="C11727" t="n">
        <v>0</v>
      </c>
      <c r="D11727" t="inlineStr">
        <is>
          <t>Dagues Érhy; Amulette du Strigide; Bague Gloursonne; Bracelet du Piloztère; Ceintacé; Chapeau de Gein; Voile d'encre; Bottes du Strigide; Dofus Turquoise; Dofus Pourpre; Enragé majeur; Vigoureux majeur; Nomade; Remueur; Croum</t>
        </is>
      </c>
    </row>
    <row r="11728">
      <c r="A11728" t="inlineStr">
        <is>
          <t>Stuff 1</t>
        </is>
      </c>
      <c r="B11728">
        <f>HYPERLINK("https://www.dofusbook.net/fr/equipement/943999-stuff-1/objets", "link")</f>
        <v/>
      </c>
      <c r="C11728" t="n">
        <v>0</v>
      </c>
      <c r="D11728" t="inlineStr">
        <is>
          <t>Épée du Granduk; Amulette du Granduk; Anneau d'Allister; Alliance Gloursonne; Ceinture de Klime; Masque du Granduk; Cape de Klime; Bottes d'Allister; Dofus Vulbis; Dofus Pourpre; Dofus Ocre; Acrobate majeur; Examinateur; Equilibriste majeur; Siroko</t>
        </is>
      </c>
    </row>
    <row r="11729">
      <c r="A11729" t="inlineStr">
        <is>
          <t>Stuff 3</t>
        </is>
      </c>
      <c r="B11729">
        <f>HYPERLINK("https://www.dofusbook.net/fr/equipement/943962-stuff-3/objets", "link")</f>
        <v/>
      </c>
      <c r="C11729" t="n">
        <v>0</v>
      </c>
      <c r="D11729" t="inlineStr">
        <is>
          <t>Plumeau Bil; Amulette de Nileza; Bague Gloursonne; Anneau Tique; Ceinture de Vortex; Cagoule de Vortex; Voile d'encre; Pataugastrique; Déserteur majeur; Miraculé majeur; Étourdisseur majeur; Remueur; Érudit majeur; Nomade; Croum</t>
        </is>
      </c>
    </row>
    <row r="11730">
      <c r="A11730" t="inlineStr">
        <is>
          <t>Stuff 3</t>
        </is>
      </c>
      <c r="B11730">
        <f>HYPERLINK("https://www.dofusbook.net/fr/equipement/943994-stuff-3/objets", "link")</f>
        <v/>
      </c>
      <c r="C11730" t="n">
        <v>1</v>
      </c>
      <c r="D11730" t="inlineStr">
        <is>
          <t>Dagues Érhy; Amulette du Strigide; Pikano; Bague Gloursonne; Ceintacé; Casque de Missiz Frizz; Voile d'encre; Bottes du Strigide; Dofus Turquoise; Dofus Pourpre; Nomade; Vigoureux majeur; Enragé majeur; Remueur; Croum</t>
        </is>
      </c>
    </row>
    <row r="11731">
      <c r="A11731" t="inlineStr">
        <is>
          <t>Stuff 1</t>
        </is>
      </c>
      <c r="B11731">
        <f>HYPERLINK("https://www.dofusbook.net/fr/equipement/943957-stuff-1/objets", "link")</f>
        <v/>
      </c>
      <c r="C11731" t="n">
        <v>0</v>
      </c>
      <c r="D11731" t="inlineStr">
        <is>
          <t>Marteau des Anciens Steamers; Amulette du Strigide; Alliance Gloursonne; Bracelet du Piloztère; Ceinture du Strigide; Chapeau des Malveilleurs; Cape des Malveilleurs; Bottes des Malveilleurs; Dofus Pourpre; Dofus Turquoise; Dolmanax; Dofus des Glaces; Croum</t>
        </is>
      </c>
    </row>
    <row r="11732">
      <c r="A11732" t="inlineStr">
        <is>
          <t>Stuff 1</t>
        </is>
      </c>
      <c r="B11732">
        <f>HYPERLINK("https://www.dofusbook.net/fr/equipement/943989-stuff-1/objets", "link")</f>
        <v/>
      </c>
      <c r="C11732" t="n">
        <v>0</v>
      </c>
      <c r="D11732" t="inlineStr">
        <is>
          <t>Arc Hétype; Amulette d'Otomaï; Anneau Tique; Anneau de Nidas; Ceinture de Vortex; Chapeau des Malveilleurs; Cape des Malveilleurs; Pataugastrique; Étourdisseur majeur; Nomade; Obstructeur majeur; Érudit majeur; Temporiseur majeur; Remueur</t>
        </is>
      </c>
    </row>
    <row r="11733">
      <c r="A11733" t="inlineStr">
        <is>
          <t>Stuff 2</t>
        </is>
      </c>
      <c r="B11733">
        <f>HYPERLINK("https://www.dofusbook.net/fr/equipement/943952-stuff-2/objets", "link")</f>
        <v/>
      </c>
      <c r="C11733" t="n">
        <v>0</v>
      </c>
      <c r="D11733" t="inlineStr">
        <is>
          <t>Marteau des Anciens Steamers; Amulette de Pol Ouatnos; Bracelet du Piloztère; Alliance Gloursonne; Ceinture du Barbétoal; Masque du Barbétoal; Cape du Barbétoal; Pantoufles du Piloztère; Dolmanax; Dofus Ocre; Dofus Pourpre; Dofus Turquoise; Kramkram</t>
        </is>
      </c>
    </row>
    <row r="11734">
      <c r="A11734" t="inlineStr">
        <is>
          <t>Stuff 1</t>
        </is>
      </c>
      <c r="B11734">
        <f>HYPERLINK("https://www.dofusbook.net/fr/equipement/943984-stuff-1/objets", "link")</f>
        <v/>
      </c>
      <c r="C11734" t="n">
        <v>0</v>
      </c>
      <c r="D11734" t="inlineStr">
        <is>
          <t>Rapière aux Glyphes; Kralamansion; Alliance Gloursonne; Anneau Glacial; Ceinture Glaciale; Coiffe de Danathor; Cape Matelassée; Bottes Refois; Dofus Turquoise; Dofus Émeraude; Remueur; Nomade; Miraculé majeur; Chanceux majeur; Dehluge</t>
        </is>
      </c>
    </row>
    <row r="11735">
      <c r="A11735" t="inlineStr">
        <is>
          <t>Stuff 3</t>
        </is>
      </c>
      <c r="B11735">
        <f>HYPERLINK("https://www.dofusbook.net/fr/equipement/944016-stuff-3/objets", "link")</f>
        <v/>
      </c>
      <c r="C11735" t="n">
        <v>0</v>
      </c>
      <c r="D11735" t="inlineStr">
        <is>
          <t>Marteau des Anciens Steamers; Amulette Voldelor; Bracelet des Fonds marins; Alliance Gloursonne; Ceinture Voldelor; Boucle d'oreille de Kongoku; Cape Matelassée; Pataugastrique; Dofus Turquoise; Dofus Pourpre; Remueur; Temporiseur majeur; Chanceux majeur; Nomade; Croum</t>
        </is>
      </c>
    </row>
    <row r="11736">
      <c r="A11736" t="inlineStr">
        <is>
          <t>Stuff 3</t>
        </is>
      </c>
      <c r="B11736">
        <f>HYPERLINK("https://www.dofusbook.net/fr/equipement/943947-stuff-3/objets", "link")</f>
        <v/>
      </c>
      <c r="C11736" t="n">
        <v>0</v>
      </c>
      <c r="D11736" t="inlineStr">
        <is>
          <t>Marteau des Anciens Steamers; Amulette Voldelor; Alliance Gloursonne; Bracelet des Fonds marins; Ceinture Voldelor; Masque du Barbétoal; Cape du Barbétoal; Bottes Voldelor; Dofus Pourpre; Dofus Ocre; Dolmanax; Dofus des Glaces; Dofus Turquoise; Dofus Vulbis</t>
        </is>
      </c>
    </row>
    <row r="11737">
      <c r="A11737" t="inlineStr">
        <is>
          <t>Stuff 2</t>
        </is>
      </c>
      <c r="B11737">
        <f>HYPERLINK("https://www.dofusbook.net/fr/equipement/943979-stuff-2/objets", "link")</f>
        <v/>
      </c>
      <c r="C11737" t="n">
        <v>0</v>
      </c>
      <c r="D11737" t="inlineStr">
        <is>
          <t>Arc Hétype; Amulette de Nileza; Anneau du Professeur Xa; Anneau de Nidas; Ceinture Séculaire; Coiffe du Lévitrof; Voile d'encre; Bottes du Lévitrof; Dofus Ocre; Dolmanax; Érudit majeur; Vagabond majeur; Déserteur majeur; Remueur; Croum</t>
        </is>
      </c>
    </row>
    <row r="11738">
      <c r="A11738" t="inlineStr">
        <is>
          <t>Stuff 1</t>
        </is>
      </c>
      <c r="B11738">
        <f>HYPERLINK("https://www.dofusbook.net/fr/equipement/944011-stuff-1/objets", "link")</f>
        <v/>
      </c>
      <c r="C11738" t="n">
        <v>0</v>
      </c>
      <c r="D11738" t="inlineStr">
        <is>
          <t>Pelle de Nidas; Amulette du Strigide; Pikano; Bracelet du Piloztère; Ceintacé; Maskrobe; Cape Matelassée; Bottes du Strigide; Dofus Pourpre; Dofus Turquoise; Vigoureux majeur; Nomade; Cascadeur majeur; Kramkram</t>
        </is>
      </c>
    </row>
    <row r="11739">
      <c r="A11739" t="inlineStr">
        <is>
          <t>Stuff 3</t>
        </is>
      </c>
      <c r="B11739">
        <f>HYPERLINK("https://www.dofusbook.net/fr/equipement/943974-stuff-3/objets", "link")</f>
        <v/>
      </c>
      <c r="C11739" t="n">
        <v>0</v>
      </c>
      <c r="D11739" t="inlineStr">
        <is>
          <t>Arc corrompu; Collier Rophante; Anneau Toriété; Anneau de Nidas; Bouclier cubiste; Ceinture Séculaire; Casque Dragoeuf; Cape de Diondin; Tongues de Nidas; Remueur; Temporiseur majeur; Érudit majeur; Kramkram</t>
        </is>
      </c>
    </row>
    <row r="11740">
      <c r="A11740" t="inlineStr">
        <is>
          <t>Stuff 3</t>
        </is>
      </c>
      <c r="B11740">
        <f>HYPERLINK("https://www.dofusbook.net/fr/equipement/944006-stuff-3/objets", "link")</f>
        <v/>
      </c>
      <c r="C11740" t="n">
        <v>0</v>
      </c>
      <c r="D11740" t="inlineStr">
        <is>
          <t>Dagues Érhy; Amulette d'Otomaï; Anneau de Padgref; Bague Gloursonne; Ceinture Séculaire; Coiffe de Padgref; Voile d'encre; Pataugastrique; Dofus Turquoise; Dolmanax; Nomade; Remueur; Érudit majeur; Miraculé majeur; Croum</t>
        </is>
      </c>
    </row>
    <row r="11741">
      <c r="A11741" t="inlineStr">
        <is>
          <t>Stuff 1</t>
        </is>
      </c>
      <c r="B11741">
        <f>HYPERLINK("https://www.dofusbook.net/fr/equipement/943969-stuff-1/objets", "link")</f>
        <v/>
      </c>
      <c r="C11741" t="n">
        <v>1</v>
      </c>
      <c r="D11741" t="inlineStr">
        <is>
          <t>Arc Honte; Amulette de Pol Ouatnos; Anneau Tique; Anneau de Nidas; Ceinture de Gein; Chapeau de Gein; Voile d'encre; Pataugastrique; Temporiseur majeur; Déserteur majeur; Entraveur majeur; Vagabond majeur; Érudit majeur; Remueur; Croum</t>
        </is>
      </c>
    </row>
    <row r="11742">
      <c r="A11742" t="inlineStr">
        <is>
          <t>Stuff 3</t>
        </is>
      </c>
      <c r="B11742">
        <f>HYPERLINK("https://www.dofusbook.net/fr/equipement/944001-stuff-3/objets", "link")</f>
        <v/>
      </c>
      <c r="C11742" t="n">
        <v>2</v>
      </c>
      <c r="D11742" t="inlineStr">
        <is>
          <t>Rapière aux Glyphes; Talisman Glouti; Grésilanneau; Alliance Gloursonne; Ceinture du Barbétoal; Masque du Barbétoal; Cape du Sinistrofu; Pataugastrique; Déserteur majeur; Miraculé majeur; Carapace Feu majeur; Nomade; Chanceux majeur; Remueur; Croum</t>
        </is>
      </c>
    </row>
    <row r="11743">
      <c r="A11743" t="inlineStr">
        <is>
          <t>Stuff 2</t>
        </is>
      </c>
      <c r="B11743">
        <f>HYPERLINK("https://www.dofusbook.net/fr/equipement/943964-stuff-2/objets", "link")</f>
        <v/>
      </c>
      <c r="C11743" t="n">
        <v>0</v>
      </c>
      <c r="D11743" t="inlineStr">
        <is>
          <t>Arc Honte; Amulette du Strigide; Bracelet du Piloztère; Pikano; Ceintacé; Chapeau Lisson; Voile d'encre; Bottes du Strigide; Dofus Turquoise; Dokoko; Dolmanax; Dofus des Glaces; Remueur; Nomade</t>
        </is>
      </c>
    </row>
    <row r="11744">
      <c r="A11744" t="inlineStr">
        <is>
          <t>Stuff 2</t>
        </is>
      </c>
      <c r="B11744">
        <f>HYPERLINK("https://www.dofusbook.net/fr/equipement/943996-stuff-2/objets", "link")</f>
        <v/>
      </c>
      <c r="C11744" t="n">
        <v>0</v>
      </c>
      <c r="D11744" t="inlineStr">
        <is>
          <t>Bêche Asse; Amulette du Strigide; Bracelet du Piloztère; Pikano; Ceintacé; Casquipik; Cape au Logis; Bottes de Brouce; Dofus Ocre; Dofus Pourpre; Dofus Turquoise; Enragé majeur; Remueur; Temporiseur majeur; Croum</t>
        </is>
      </c>
    </row>
    <row r="11745">
      <c r="A11745" t="inlineStr">
        <is>
          <t>Stuff 3</t>
        </is>
      </c>
      <c r="B11745">
        <f>HYPERLINK("https://www.dofusbook.net/fr/equipement/943959-stuff-3/objets", "link")</f>
        <v/>
      </c>
      <c r="C11745" t="n">
        <v>0</v>
      </c>
      <c r="D11745" t="inlineStr">
        <is>
          <t>Plumeau Bil; Amulette d'Otomaï; Anneau de Nidas; Anneau Tique; Ceintrigue; Chapeau de Gein; Voile d'encre; Bottes Owesli; Dofus des Glaces; Dofus Ocre; Nomade; Érudit majeur; Remueur; Dévastateur Feu majeur; Bisouglours</t>
        </is>
      </c>
    </row>
    <row r="11746">
      <c r="A11746" t="inlineStr">
        <is>
          <t>Stuff 3</t>
        </is>
      </c>
      <c r="B11746">
        <f>HYPERLINK("https://www.dofusbook.net/fr/equipement/943991-stuff-3/objets", "link")</f>
        <v/>
      </c>
      <c r="C11746" t="n">
        <v>2</v>
      </c>
      <c r="D11746" t="inlineStr">
        <is>
          <t>Epée Gloursonne; Amulette Ementaire Deluxe; Bague Gloursonne; Alliance Gloursonne; Ceinture de la Cour Sombre; Chapeau Lisson; Cape de la Cour Sombre; Bottes de la Cour Sombre; Dofus Ocre; Dofus Pourpre; Dofus des Glaces; Dofus Vulbis; Dofus Nébuleux; Dofus Turquoise; Kramkram</t>
        </is>
      </c>
    </row>
    <row r="11747">
      <c r="A11747" t="inlineStr">
        <is>
          <t>Stuff 1</t>
        </is>
      </c>
      <c r="B11747">
        <f>HYPERLINK("https://www.dofusbook.net/fr/equipement/943954-stuff-1/objets", "link")</f>
        <v/>
      </c>
      <c r="C11747" t="n">
        <v>0</v>
      </c>
      <c r="D11747" t="inlineStr">
        <is>
          <t>Arc Nécrotique; Talisman Igans; Bracelet du Piloztère; Anneau Tique; Ceintrigue; Casqnoar; Voile d'encre; Pataugastrique; Dofus Pourpre; Dolmanax; Dofus Turquoise; Dofus des Glaces; Nomade; Remueur; Croum</t>
        </is>
      </c>
    </row>
    <row r="11748">
      <c r="A11748" t="inlineStr">
        <is>
          <t>Stuff 3</t>
        </is>
      </c>
      <c r="B11748">
        <f>HYPERLINK("https://www.dofusbook.net/fr/equipement/943986-stuff-3/objets", "link")</f>
        <v/>
      </c>
      <c r="C11748" t="n">
        <v>2</v>
      </c>
      <c r="D11748" t="inlineStr">
        <is>
          <t>Epée Loponèze; Talisman Glouti; Anneau de Pol Ouatnos; Alliance Gloursonne; Ceinture du Barbétoal; Dorabysses; Cape des Malveilleurs; Baleinabottes; Obstructeur majeur; Cascadeur majeur; Carapace Neutre majeur; Déserteur majeur; Miraculé majeur; Remueur</t>
        </is>
      </c>
    </row>
    <row r="11749">
      <c r="A11749" t="inlineStr">
        <is>
          <t>Stuff 1</t>
        </is>
      </c>
      <c r="B11749">
        <f>HYPERLINK("https://www.dofusbook.net/fr/equipement/944018-stuff-1/objets", "link")</f>
        <v/>
      </c>
      <c r="C11749" t="n">
        <v>0</v>
      </c>
      <c r="D11749" t="inlineStr">
        <is>
          <t>Arc en Racine d'Abraknyde; Talisman Igans; Alliance du Lévitrof; Bracelet du Piloztère; Ceintacé; Coiffe du Lévitrof; Voile d'encre; Pataugastrique; Dofus Turquoise; Dofus des Glaces; Dofus Pourpre; Miraculé majeur; Obstructeur majeur; Nomade; Kramkram</t>
        </is>
      </c>
    </row>
    <row r="11750">
      <c r="A11750" t="inlineStr">
        <is>
          <t>Stuff 2</t>
        </is>
      </c>
      <c r="B11750">
        <f>HYPERLINK("https://www.dofusbook.net/fr/equipement/943949-stuff-2/objets", "link")</f>
        <v/>
      </c>
      <c r="C11750" t="n">
        <v>0</v>
      </c>
      <c r="D11750" t="inlineStr">
        <is>
          <t>Pelle de la Cour Sombre; Amulette du Kamasterisk; Anneau de Pol Ouatnos; Alliance Gloursonne; Ceinture du Barbétoal; Dorabysses; Cape Matelassée; Bottes du Kamasterisk; Dolmanax; Déserteur majeur; Observateur; Cascadeur majeur; Remueur; Obstructeur majeur</t>
        </is>
      </c>
    </row>
    <row r="11751">
      <c r="A11751" t="inlineStr">
        <is>
          <t>Stuff 1</t>
        </is>
      </c>
      <c r="B11751">
        <f>HYPERLINK("https://www.dofusbook.net/fr/equipement/944013-stuff-1/objets", "link")</f>
        <v/>
      </c>
      <c r="C11751" t="n">
        <v>2</v>
      </c>
      <c r="D11751" t="inlineStr">
        <is>
          <t>Epée Gloursonne; Amulette du Strigide; Bague Gloursonne; Alliance Gloursonne; Ceinture du Strigide; Chapeau Lisson; Voile d'encre; Bottes du Strigide; Dofus des Glaces; Dofus Turquoise; Dofus Ocre; Dofus Pourpre; Dolmanax; Dofus Vulbis; Kramkram</t>
        </is>
      </c>
    </row>
    <row r="11752">
      <c r="A11752" t="inlineStr">
        <is>
          <t>Stuff 3</t>
        </is>
      </c>
      <c r="B11752">
        <f>HYPERLINK("https://www.dofusbook.net/fr/equipement/943944-stuff-3/objets", "link")</f>
        <v/>
      </c>
      <c r="C11752" t="n">
        <v>0</v>
      </c>
      <c r="D11752" t="inlineStr">
        <is>
          <t>Pelle de la Cour Sombre; Amulette Voldelor; Kralano; Alliance Gloursonne; Ceinture du Barbétoal; Dorabysses; Cape du Kamasterisk; Bottes Voldelor; Dofus Turquoise; Dolmanax; Dofus Ocre; Remueur; Nomade; Cascadeur majeur</t>
        </is>
      </c>
    </row>
    <row r="11753">
      <c r="A11753" t="inlineStr">
        <is>
          <t>Stuff 2</t>
        </is>
      </c>
      <c r="B11753">
        <f>HYPERLINK("https://www.dofusbook.net/fr/equipement/943976-stuff-2/objets", "link")</f>
        <v/>
      </c>
      <c r="C11753" t="n">
        <v>0</v>
      </c>
      <c r="D11753" t="inlineStr">
        <is>
          <t>Bâton Brageut; Amulette de Nileza; Anneau du Professeur Xa; Anneau Tique; Ceinture de Vortex; Coiffe du Lévitrof; Voile d'encre; Bottes du Lévitrof; Dofus Ocre; Érudit majeur; Déserteur majeur; Remueur; Étourdisseur majeur; Croum</t>
        </is>
      </c>
    </row>
    <row r="11754">
      <c r="A11754" t="inlineStr">
        <is>
          <t>Stuff 1</t>
        </is>
      </c>
      <c r="B11754">
        <f>HYPERLINK("https://www.dofusbook.net/fr/equipement/944008-stuff-1/objets", "link")</f>
        <v/>
      </c>
      <c r="C11754" t="n">
        <v>0</v>
      </c>
      <c r="D11754" t="inlineStr">
        <is>
          <t>Pelle de la Cour Sombre; Amibou; Bracelet du Piloztère; Alliance Gloursonne; Ceinture du Barbétoal; Dorabysses; Cape de Klime; Baleinabottes; Dofus Turquoise; Dofus Pourpre; Vigoureux majeur; Remueur; Nomade; Cascadeur majeur; Kramkram</t>
        </is>
      </c>
    </row>
    <row r="11755">
      <c r="A11755" t="inlineStr">
        <is>
          <t>Stuff 2</t>
        </is>
      </c>
      <c r="B11755">
        <f>HYPERLINK("https://www.dofusbook.net/fr/equipement/943979-stuff-2/objets", "link")</f>
        <v/>
      </c>
      <c r="C11755" t="n">
        <v>0</v>
      </c>
      <c r="D11755" t="inlineStr">
        <is>
          <t>Arc Hétype; Amulette de Nileza; Anneau du Professeur Xa; Anneau de Nidas; Ceinture Séculaire; Coiffe du Lévitrof; Voile d'encre; Bottes du Lévitrof; Dolmanax; Dofus Ocre; Érudit majeur; Vagabond majeur; Déserteur majeur; Remueur; Croum</t>
        </is>
      </c>
    </row>
    <row r="11756">
      <c r="A11756" t="inlineStr">
        <is>
          <t>Stuff 1</t>
        </is>
      </c>
      <c r="B11756">
        <f>HYPERLINK("https://www.dofusbook.net/fr/equipement/944011-stuff-1/objets", "link")</f>
        <v/>
      </c>
      <c r="C11756" t="n">
        <v>0</v>
      </c>
      <c r="D11756" t="inlineStr">
        <is>
          <t>Pelle de Nidas; Amulette du Strigide; Bracelet du Piloztère; Pikano; Ceintacé; Maskrobe; Cape Matelassée; Bottes du Strigide; Dofus Turquoise; Dofus Pourpre; Nomade; Cascadeur majeur; Vigoureux majeur; Kramkram</t>
        </is>
      </c>
    </row>
    <row r="11757">
      <c r="A11757" t="inlineStr">
        <is>
          <t>Stuff 3</t>
        </is>
      </c>
      <c r="B11757">
        <f>HYPERLINK("https://www.dofusbook.net/fr/equipement/943974-stuff-3/objets", "link")</f>
        <v/>
      </c>
      <c r="C11757" t="n">
        <v>0</v>
      </c>
      <c r="D11757" t="inlineStr">
        <is>
          <t>Arc corrompu; Collier Rophante; Anneau de Nidas; Anneau Toriété; Bouclier cubiste; Ceinture Séculaire; Casque Dragoeuf; Cape de Diondin; Tongues de Nidas; Temporiseur majeur; Érudit majeur; Remueur; Kramkram</t>
        </is>
      </c>
    </row>
    <row r="11758">
      <c r="A11758" t="inlineStr">
        <is>
          <t>Stuff 3</t>
        </is>
      </c>
      <c r="B11758">
        <f>HYPERLINK("https://www.dofusbook.net/fr/equipement/944006-stuff-3/objets", "link")</f>
        <v/>
      </c>
      <c r="C11758" t="n">
        <v>0</v>
      </c>
      <c r="D11758" t="inlineStr">
        <is>
          <t>Dagues Érhy; Amulette d'Otomaï; Bague Gloursonne; Anneau de Padgref; Ceinture Séculaire; Coiffe de Padgref; Voile d'encre; Pataugastrique; Dofus Turquoise; Dolmanax; Érudit majeur; Miraculé majeur; Nomade; Remueur; Croum</t>
        </is>
      </c>
    </row>
    <row r="11759">
      <c r="A11759" t="inlineStr">
        <is>
          <t>Stuff 1</t>
        </is>
      </c>
      <c r="B11759">
        <f>HYPERLINK("https://www.dofusbook.net/fr/equipement/943969-stuff-1/objets", "link")</f>
        <v/>
      </c>
      <c r="C11759" t="n">
        <v>1</v>
      </c>
      <c r="D11759" t="inlineStr">
        <is>
          <t>Arc Honte; Amulette de Pol Ouatnos; Anneau de Nidas; Anneau Tique; Ceinture de Gein; Chapeau de Gein; Voile d'encre; Pataugastrique; Entraveur majeur; Vagabond majeur; Érudit majeur; Remueur; Temporiseur majeur; Déserteur majeur; Croum</t>
        </is>
      </c>
    </row>
    <row r="11760">
      <c r="A11760" t="inlineStr">
        <is>
          <t>Stuff 3</t>
        </is>
      </c>
      <c r="B11760">
        <f>HYPERLINK("https://www.dofusbook.net/fr/equipement/944001-stuff-3/objets", "link")</f>
        <v/>
      </c>
      <c r="C11760" t="n">
        <v>2</v>
      </c>
      <c r="D11760" t="inlineStr">
        <is>
          <t>Rapière aux Glyphes; Talisman Glouti; Grésilanneau; Alliance Gloursonne; Ceinture du Barbétoal; Masque du Barbétoal; Cape du Sinistrofu; Pataugastrique; Carapace Feu majeur; Nomade; Chanceux majeur; Remueur; Déserteur majeur; Miraculé majeur; Croum</t>
        </is>
      </c>
    </row>
    <row r="11761">
      <c r="A11761" t="inlineStr">
        <is>
          <t>Stuff 2</t>
        </is>
      </c>
      <c r="B11761">
        <f>HYPERLINK("https://www.dofusbook.net/fr/equipement/943964-stuff-2/objets", "link")</f>
        <v/>
      </c>
      <c r="C11761" t="n">
        <v>0</v>
      </c>
      <c r="D11761" t="inlineStr">
        <is>
          <t>Arc Honte; Amulette du Strigide; Pikano; Bracelet du Piloztère; Ceintacé; Chapeau Lisson; Voile d'encre; Bottes du Strigide; Dokoko; Dolmanax; Dofus des Glaces; Dofus Turquoise; Nomade; Remueur</t>
        </is>
      </c>
    </row>
    <row r="11762">
      <c r="A11762" t="inlineStr">
        <is>
          <t>Stuff 2</t>
        </is>
      </c>
      <c r="B11762">
        <f>HYPERLINK("https://www.dofusbook.net/fr/equipement/943996-stuff-2/objets", "link")</f>
        <v/>
      </c>
      <c r="C11762" t="n">
        <v>0</v>
      </c>
      <c r="D11762" t="inlineStr">
        <is>
          <t>Bêche Asse; Amulette du Strigide; Bracelet du Piloztère; Pikano; Ceintacé; Casquipik; Cape au Logis; Bottes de Brouce; Dofus Pourpre; Dofus Turquoise; Dofus Ocre; Remueur; Temporiseur majeur; Enragé majeur; Croum</t>
        </is>
      </c>
    </row>
    <row r="11763">
      <c r="A11763" t="inlineStr">
        <is>
          <t>Stuff 3</t>
        </is>
      </c>
      <c r="B11763">
        <f>HYPERLINK("https://www.dofusbook.net/fr/equipement/943959-stuff-3/objets", "link")</f>
        <v/>
      </c>
      <c r="C11763" t="n">
        <v>0</v>
      </c>
      <c r="D11763" t="inlineStr">
        <is>
          <t>Plumeau Bil; Amulette d'Otomaï; Anneau Tique; Anneau de Nidas; Ceintrigue; Chapeau de Gein; Voile d'encre; Bottes Owesli; Dofus Ocre; Dofus des Glaces; Érudit majeur; Remueur; Dévastateur Feu majeur; Nomade; Bisouglours</t>
        </is>
      </c>
    </row>
    <row r="11764">
      <c r="A11764" t="inlineStr">
        <is>
          <t>Stuff 3</t>
        </is>
      </c>
      <c r="B11764">
        <f>HYPERLINK("https://www.dofusbook.net/fr/equipement/943991-stuff-3/objets", "link")</f>
        <v/>
      </c>
      <c r="C11764" t="n">
        <v>2</v>
      </c>
      <c r="D11764" t="inlineStr">
        <is>
          <t>Epée Gloursonne; Amulette Ementaire Deluxe; Bague Gloursonne; Alliance Gloursonne; Ceinture de la Cour Sombre; Chapeau Lisson; Cape de la Cour Sombre; Bottes de la Cour Sombre; Dofus des Glaces; Dofus Vulbis; Dofus Nébuleux; Dofus Turquoise; Dofus Ocre; Dofus Pourpre; Kramkram</t>
        </is>
      </c>
    </row>
    <row r="11765">
      <c r="A11765" t="inlineStr">
        <is>
          <t>Stuff 1</t>
        </is>
      </c>
      <c r="B11765">
        <f>HYPERLINK("https://www.dofusbook.net/fr/equipement/943954-stuff-1/objets", "link")</f>
        <v/>
      </c>
      <c r="C11765" t="n">
        <v>0</v>
      </c>
      <c r="D11765" t="inlineStr">
        <is>
          <t>Arc Nécrotique; Talisman Igans; Bracelet du Piloztère; Anneau Tique; Ceintrigue; Casqnoar; Voile d'encre; Pataugastrique; Dofus Turquoise; Dofus des Glaces; Dofus Pourpre; Dolmanax; Nomade; Remueur; Croum</t>
        </is>
      </c>
    </row>
    <row r="11766">
      <c r="A11766" t="inlineStr">
        <is>
          <t>Stuff 3</t>
        </is>
      </c>
      <c r="B11766">
        <f>HYPERLINK("https://www.dofusbook.net/fr/equipement/943986-stuff-3/objets", "link")</f>
        <v/>
      </c>
      <c r="C11766" t="n">
        <v>2</v>
      </c>
      <c r="D11766" t="inlineStr">
        <is>
          <t>Epée Loponèze; Talisman Glouti; Anneau de Pol Ouatnos; Alliance Gloursonne; Ceinture du Barbétoal; Dorabysses; Cape des Malveilleurs; Baleinabottes; Carapace Neutre majeur; Déserteur majeur; Miraculé majeur; Remueur; Obstructeur majeur; Cascadeur majeur</t>
        </is>
      </c>
    </row>
    <row r="11767">
      <c r="A11767" t="inlineStr">
        <is>
          <t>Stuff 1</t>
        </is>
      </c>
      <c r="B11767">
        <f>HYPERLINK("https://www.dofusbook.net/fr/equipement/944018-stuff-1/objets", "link")</f>
        <v/>
      </c>
      <c r="C11767" t="n">
        <v>0</v>
      </c>
      <c r="D11767" t="inlineStr">
        <is>
          <t>Arc en Racine d'Abraknyde; Talisman Igans; Bracelet du Piloztère; Alliance du Lévitrof; Ceintacé; Coiffe du Lévitrof; Voile d'encre; Pataugastrique; Dofus des Glaces; Dofus Pourpre; Dofus Turquoise; Obstructeur majeur; Nomade; Miraculé majeur; Kramkram</t>
        </is>
      </c>
    </row>
    <row r="11768">
      <c r="A11768" t="inlineStr">
        <is>
          <t>Stuff 2</t>
        </is>
      </c>
      <c r="B11768">
        <f>HYPERLINK("https://www.dofusbook.net/fr/equipement/943949-stuff-2/objets", "link")</f>
        <v/>
      </c>
      <c r="C11768" t="n">
        <v>0</v>
      </c>
      <c r="D11768" t="inlineStr">
        <is>
          <t>Pelle de la Cour Sombre; Amulette du Kamasterisk; Alliance Gloursonne; Anneau de Pol Ouatnos; Ceinture du Barbétoal; Dorabysses; Cape Matelassée; Bottes du Kamasterisk; Dolmanax; Cascadeur majeur; Remueur; Obstructeur majeur; Déserteur majeur; Observateur</t>
        </is>
      </c>
    </row>
    <row r="11769">
      <c r="A11769" t="inlineStr">
        <is>
          <t>Stuff 1</t>
        </is>
      </c>
      <c r="B11769">
        <f>HYPERLINK("https://www.dofusbook.net/fr/equipement/944013-stuff-1/objets", "link")</f>
        <v/>
      </c>
      <c r="C11769" t="n">
        <v>2</v>
      </c>
      <c r="D11769" t="inlineStr">
        <is>
          <t>Epée Gloursonne; Amulette du Strigide; Alliance Gloursonne; Bague Gloursonne; Ceinture du Strigide; Chapeau Lisson; Voile d'encre; Bottes du Strigide; Dofus Turquoise; Dofus Ocre; Dofus Pourpre; Dolmanax; Dofus Vulbis; Dofus des Glaces; Kramkram</t>
        </is>
      </c>
    </row>
    <row r="11770">
      <c r="A11770" t="inlineStr">
        <is>
          <t>Stuff 3</t>
        </is>
      </c>
      <c r="B11770">
        <f>HYPERLINK("https://www.dofusbook.net/fr/equipement/943944-stuff-3/objets", "link")</f>
        <v/>
      </c>
      <c r="C11770" t="n">
        <v>0</v>
      </c>
      <c r="D11770" t="inlineStr">
        <is>
          <t>Pelle de la Cour Sombre; Amulette Voldelor; Kralano; Alliance Gloursonne; Ceinture du Barbétoal; Dorabysses; Cape du Kamasterisk; Bottes Voldelor; Dolmanax; Dofus Ocre; Dofus Turquoise; Remueur; Nomade; Cascadeur majeur</t>
        </is>
      </c>
    </row>
    <row r="11771">
      <c r="A11771" t="inlineStr">
        <is>
          <t>Stuff 2</t>
        </is>
      </c>
      <c r="B11771">
        <f>HYPERLINK("https://www.dofusbook.net/fr/equipement/943976-stuff-2/objets", "link")</f>
        <v/>
      </c>
      <c r="C11771" t="n">
        <v>0</v>
      </c>
      <c r="D11771" t="inlineStr">
        <is>
          <t>Bâton Brageut; Amulette de Nileza; Anneau Tique; Anneau du Professeur Xa; Ceinture de Vortex; Coiffe du Lévitrof; Voile d'encre; Bottes du Lévitrof; Dofus Ocre; Déserteur majeur; Remueur; Étourdisseur majeur; Érudit majeur; Croum</t>
        </is>
      </c>
    </row>
    <row r="11772">
      <c r="A11772" t="inlineStr">
        <is>
          <t>Stuff 1</t>
        </is>
      </c>
      <c r="B11772">
        <f>HYPERLINK("https://www.dofusbook.net/fr/equipement/944008-stuff-1/objets", "link")</f>
        <v/>
      </c>
      <c r="C11772" t="n">
        <v>0</v>
      </c>
      <c r="D11772" t="inlineStr">
        <is>
          <t>Pelle de la Cour Sombre; Amibou; Alliance Gloursonne; Bracelet du Piloztère; Ceinture du Barbétoal; Dorabysses; Cape de Klime; Baleinabottes; Dofus Turquoise; Dofus Pourpre; Nomade; Cascadeur majeur; Vigoureux majeur; Remueur; Kramkram</t>
        </is>
      </c>
    </row>
    <row r="11773">
      <c r="A11773" t="inlineStr">
        <is>
          <t>Stuff 1</t>
        </is>
      </c>
      <c r="B11773">
        <f>HYPERLINK("https://www.dofusbook.net/fr/equipement/943939-stuff-1/objets", "link")</f>
        <v/>
      </c>
      <c r="C11773" t="n">
        <v>0</v>
      </c>
      <c r="D11773" t="inlineStr">
        <is>
          <t>Dagues Érhy; Amulette du Cycloïde; Bracelet Ming; Anneau du Comte Harebourg; Protopagne; Masque du Katcheur; Voile d'encre; Bottes du Katcheur; Dofus Ocre; Dofus Émeraude; Miraculé majeur; Survivant majeur; Remueur; Miraculé; Homlett</t>
        </is>
      </c>
    </row>
    <row r="11774">
      <c r="A11774" t="inlineStr">
        <is>
          <t>Stuff 2</t>
        </is>
      </c>
      <c r="B11774">
        <f>HYPERLINK("https://www.dofusbook.net/fr/equipement/943940-stuff-2/objets", "link")</f>
        <v/>
      </c>
      <c r="C11774" t="n">
        <v>0</v>
      </c>
      <c r="D11774" t="inlineStr">
        <is>
          <t>Epée Maudite du Saigneur Guerrier; Amulette du Strigide; Anneau Vicieux; Bracelet du Piloztère; Ceintacé; Chapeau Lisson; Voile d'encre; Bottes du Strigide; Dofus Pourpre; Dolmanax; Dofus Turquoise; Nomade; Vigoureux majeur; Remueur; Kramkram</t>
        </is>
      </c>
    </row>
    <row r="11775">
      <c r="A11775" t="inlineStr">
        <is>
          <t>Stuff 1</t>
        </is>
      </c>
      <c r="B11775">
        <f>HYPERLINK("https://www.dofusbook.net/fr/equipement/943942-stuff-1/objets", "link")</f>
        <v/>
      </c>
      <c r="C11775" t="n">
        <v>0</v>
      </c>
      <c r="D11775" t="inlineStr">
        <is>
          <t>Plumeau Bil; Amulette de Nileza; Anneau de Nidas; Anneau Tique; Ceinture de Vortex; Cagoule de Vortex; Voile d'encre; Pataugastrique; Dofus des Glaces; Remueur; Étourdisseur majeur</t>
        </is>
      </c>
    </row>
    <row r="11776">
      <c r="A11776" t="inlineStr">
        <is>
          <t>Stuff 1</t>
        </is>
      </c>
      <c r="B11776">
        <f>HYPERLINK("https://www.dofusbook.net/fr/equipement/943939-stuff-1/objets", "link")</f>
        <v/>
      </c>
      <c r="C11776" t="n">
        <v>0</v>
      </c>
      <c r="D11776" t="inlineStr">
        <is>
          <t>Dagues Érhy; Amulette du Cycloïde; Bracelet Ming; Anneau du Comte Harebourg; Protopagne; Masque du Katcheur; Voile d'encre; Bottes du Katcheur; Dofus Ocre; Dofus Émeraude; Survivant majeur; Remueur; Miraculé; Miraculé majeur; Homlett</t>
        </is>
      </c>
    </row>
    <row r="11777">
      <c r="A11777" t="inlineStr">
        <is>
          <t>Stuff 3</t>
        </is>
      </c>
      <c r="B11777">
        <f>HYPERLINK("https://www.dofusbook.net/fr/equipement/943941-stuff-3/objets", "link")</f>
        <v/>
      </c>
      <c r="C11777" t="n">
        <v>0</v>
      </c>
      <c r="D11777" t="inlineStr">
        <is>
          <t>Dagues de Srambad; Amulette du Piloztère; Bracelet du Piloztère; Alliance Gloursonne; Ceinture de la Reine des Voleurs; Coiffe de la Reine des Voleurs; Capchalot; Bottes de la Reine des Voleurs; Dofus des Glaces; Dofus Vulbis; Dofus Ocre; Dofus Émeraude; Dolmanax; Furibond majeur; Croum</t>
        </is>
      </c>
    </row>
    <row r="11778">
      <c r="A11778" t="inlineStr">
        <is>
          <t>Stuff 1</t>
        </is>
      </c>
      <c r="B11778">
        <f>HYPERLINK("https://www.dofusbook.net/fr/equipement/266506-stuff-1/objets", "link")</f>
        <v/>
      </c>
      <c r="C11778" t="n">
        <v>1</v>
      </c>
      <c r="D11778" t="inlineStr">
        <is>
          <t>Manthache; Collier du Valet Veinard; Alliance Gloursonne; Gant du Valet Veinard; Menoture; Casque des égarés; Cape Indescriptible; Palmes Trithons; Dofus Pourpre; Dofus des Glaces; Dolmanax; Cascadeur majeur; Nomade; Remueur; Siroko</t>
        </is>
      </c>
    </row>
    <row r="11779">
      <c r="A11779" t="inlineStr">
        <is>
          <t>Stuff 3</t>
        </is>
      </c>
      <c r="B11779">
        <f>HYPERLINK("https://www.dofusbook.net/fr/equipement/266501-stuff-3/objets", "link")</f>
        <v/>
      </c>
      <c r="C11779" t="n">
        <v>0</v>
      </c>
      <c r="D11779" t="inlineStr">
        <is>
          <t>Arc Hétype; Talisman Igans; Anneauræus; Bague Gloursonne; Ceinture de Vortex; Cagoule de Vortex; Voile d'encre; Pataugastrique; Dolmanax; Dofus Ocre; Étourdisseur majeur; Savant majeur; Érudit majeur; Carapace Neutre majeur; Muldo Ebène et Orchidée</t>
        </is>
      </c>
    </row>
    <row r="11780">
      <c r="A11780" t="inlineStr">
        <is>
          <t>Stuff 1</t>
        </is>
      </c>
      <c r="B11780">
        <f>HYPERLINK("https://www.dofusbook.net/fr/equipement/266503-stuff-1/objets", "link")</f>
        <v/>
      </c>
      <c r="C11780" t="n">
        <v>0</v>
      </c>
      <c r="D11780" t="inlineStr">
        <is>
          <t>Arc Hétype; Pendentif mignon de Koutoulou; Anneau Rifique; Alliance Boletée; Protopagne; Casque Dragoeuf; Cape de Diondin; Bottes Innommables; Savant majeur; Carapace Feu majeur; Carapace Neutre majeur; Remueur; Cavaleur majeur; Érudit majeur; Muldo Indigo et Orchidée</t>
        </is>
      </c>
    </row>
    <row r="11781">
      <c r="A11781" t="inlineStr">
        <is>
          <t>Stuff 3</t>
        </is>
      </c>
      <c r="B11781">
        <f>HYPERLINK("https://www.dofusbook.net/fr/equipement/266505-stuff-3/objets", "link")</f>
        <v/>
      </c>
      <c r="C11781" t="n">
        <v>0</v>
      </c>
      <c r="D11781" t="inlineStr">
        <is>
          <t>Arc Hétype; Amulette de Nileza; Anneau Rifique; Anneau Tique; Ceinture de Vortex; Cagoule de Vortex; Voile d'encre; Bottes Innommables; Dofus Ocre; Étourdisseur majeur; Remueur; Carapace Terre majeur; Érudit majeur; Guérisseur majeur; Muldo Ebène et Pourpre</t>
        </is>
      </c>
    </row>
    <row r="11782">
      <c r="A11782" t="inlineStr">
        <is>
          <t>Stuff 2</t>
        </is>
      </c>
      <c r="B11782">
        <f>HYPERLINK("https://www.dofusbook.net/fr/equipement/266500-stuff-2/objets", "link")</f>
        <v/>
      </c>
      <c r="C11782" t="n">
        <v>0</v>
      </c>
      <c r="D11782" t="inlineStr">
        <is>
          <t>Bêche Asse; Collier de Tourthon; Bracelet du Piloztère; Anneau Chevelu; Ceinture de la Cour Sombre; Masque de Koutoulou; Voile d'encre; Bottes de la Cour Sombre; Dofus des Glaces; Dofus Nébuleux; Dofus Pourpre; Dofus Abyssal; Enragé majeur; Remueur; Muldo Indigo et Pourpre</t>
        </is>
      </c>
    </row>
    <row r="11783">
      <c r="A11783" t="inlineStr">
        <is>
          <t>Stuff 1</t>
        </is>
      </c>
      <c r="B11783">
        <f>HYPERLINK("https://www.dofusbook.net/fr/equipement/266507-stuff-1/objets", "link")</f>
        <v/>
      </c>
      <c r="C11783" t="n">
        <v>1</v>
      </c>
      <c r="D11783" t="inlineStr">
        <is>
          <t>Arc Nécrotique; Amulette du Strigide; Alliance Gloursonne; Bracelet du Piloztère; Ceinture du Strigide; Kidibonnet; Voile d'encre; Pataugastrique; Dofus Turquoise; Dofus Pourpre; Érudit majeur; Nomade; Vigoureux majeur; Remueur; Muldo Doré et Indigo</t>
        </is>
      </c>
    </row>
    <row r="11784">
      <c r="A11784" t="inlineStr">
        <is>
          <t>Stuff 2</t>
        </is>
      </c>
      <c r="B11784">
        <f>HYPERLINK("https://www.dofusbook.net/fr/equipement/266504-stuff-2/objets", "link")</f>
        <v/>
      </c>
      <c r="C11784" t="n">
        <v>0</v>
      </c>
      <c r="D11784" t="inlineStr">
        <is>
          <t>Sabres d'Atcham; Amulette du Strigide; Alliance Gloursonne; Bracelet du Piloztère; Ceintacé; Chapeau des Malveilleurs; Voile d'encre; Bottes du Strigide; Dofus Pourpre; Dofus Turquoise; Dolmanax; Remueur; Vigoureux majeur; Étourdisseur majeur; Muldo Ebène et Indigo</t>
        </is>
      </c>
    </row>
    <row r="11785">
      <c r="A11785" t="inlineStr">
        <is>
          <t>Stuff 1</t>
        </is>
      </c>
      <c r="B11785">
        <f>HYPERLINK("https://www.dofusbook.net/fr/equipement/266499-stuff-1/objets", "link")</f>
        <v/>
      </c>
      <c r="C11785" t="n">
        <v>0</v>
      </c>
      <c r="D11785" t="inlineStr">
        <is>
          <t>Pelle de la Cour Sombre; Collier du Valet Veinard; Alliance Gloursonne; Anneau Tique; Menoture; Chapoulpe; Chevelure de Tal Kasha; Tentassons; Cascadeur majeur; Carapace Air majeur; Engourdisseur majeur; Carapace Eau majeur; Étourdisseur majeur; Remueur; Muldo Ebène et Orchidée</t>
        </is>
      </c>
    </row>
    <row r="11786">
      <c r="A11786" t="inlineStr">
        <is>
          <t>Crâ M 200</t>
        </is>
      </c>
      <c r="B11786">
        <f>HYPERLINK("https://www.dofusbook.net/fr/equipement/5851664-cra-m-200/objets", "link")</f>
        <v/>
      </c>
      <c r="C11786" t="n">
        <v>1</v>
      </c>
      <c r="D11786" t="inlineStr">
        <is>
          <t>Epée Gloursonne; Amulette du Strigide; Alliance Gloursonne; Bague Gloursonne; Quatre-feuilles; Ceinture du Strigide; Masque Vaudou Tam; Cape Reski; Bottes du Strigide; Dofus Ocre; Dofus Pourpre; Dofus Nébuleux; Dofus Turquoise; Forcené majeur; Astucieux majeur; Muldo Prune et Doré</t>
        </is>
      </c>
    </row>
    <row r="11787">
      <c r="A11787" t="inlineStr">
        <is>
          <t>Féca M 200</t>
        </is>
      </c>
      <c r="B11787">
        <f>HYPERLINK("https://www.dofusbook.net/fr/equipement/5733363-feca-m-200/objets", "link")</f>
        <v/>
      </c>
      <c r="C11787" t="n">
        <v>2</v>
      </c>
      <c r="D11787" t="inlineStr">
        <is>
          <t>Couteaux Sacrificiels; Amulette Volkorne; Alliance Gloursonne; Anneau Volkorne; Bouclier d'Ilyzaelle; Ceinture Volkorne; Masque Paztek; Cape Paztek; Pataugastrique; Dolmanax; Dofus Ocre; Dofus Pourpre; Dofus des Glaces; Dofus Émeraude; Fëanor</t>
        </is>
      </c>
    </row>
    <row r="11788">
      <c r="A11788" t="inlineStr">
        <is>
          <t>Ouginak M 200</t>
        </is>
      </c>
      <c r="B11788">
        <f>HYPERLINK("https://www.dofusbook.net/fr/equipement/5733373-ouginak-m-200/objets", "link")</f>
        <v/>
      </c>
      <c r="C11788" t="n">
        <v>0</v>
      </c>
      <c r="D11788" t="inlineStr">
        <is>
          <t>Karnak; Collier du Valet Veinard; Gant du Valet Veinard; Alliance Gloursonne; Bouclier d'Ilyzaelle; Menoture; Casque Dragoeuf; Cape de Crânonier; Baleinabottes; Dofus Pourpre; Dofus Abyssal; Dofus Ivoire; Dofus Émeraude; Dofus Nébuleux; Carapace Feu majeur; Bwak d'Air</t>
        </is>
      </c>
    </row>
    <row r="11789">
      <c r="A11789" t="inlineStr">
        <is>
          <t>Féca F 200</t>
        </is>
      </c>
      <c r="B11789">
        <f>HYPERLINK("https://www.dofusbook.net/fr/equipement/5729708-feca-f-200/objets", "link")</f>
        <v/>
      </c>
      <c r="C11789" t="n">
        <v>0</v>
      </c>
      <c r="D11789" t="inlineStr">
        <is>
          <t>Coiffe du Lévitrof</t>
        </is>
      </c>
    </row>
    <row r="11790">
      <c r="A11790" t="inlineStr">
        <is>
          <t>Iop M 200</t>
        </is>
      </c>
      <c r="B11790">
        <f>HYPERLINK("https://www.dofusbook.net/fr/equipement/4138764-iop-m-200/objets", "link")</f>
        <v/>
      </c>
      <c r="C11790" t="n">
        <v>0</v>
      </c>
      <c r="D11790" t="inlineStr"/>
    </row>
    <row r="11791">
      <c r="A11791" t="inlineStr">
        <is>
          <t>Stuff 1</t>
        </is>
      </c>
      <c r="B11791">
        <f>HYPERLINK("https://www.dofusbook.net/fr/equipement/104778-stuff-1/objets", "link")</f>
        <v/>
      </c>
      <c r="C11791" t="n">
        <v>2</v>
      </c>
      <c r="D11791" t="inlineStr">
        <is>
          <t>Hache du Chalœil; Amulette du Strigide; Anneau Volkorne; Grésilanneau; Bouclier du Stalak; Ceinture de l'Indicible; Le Dorado; Voile d'encre; Bottes du Strigide; Dofus Émeraude; Dofus Ocre; Dofus Abyssal; Dofus Pourpre; Dofus Ivoire; Vigoureux majeur; Muldo Prune et Doré</t>
        </is>
      </c>
    </row>
    <row r="11792">
      <c r="A11792" t="inlineStr">
        <is>
          <t>stuff 7000 vita</t>
        </is>
      </c>
      <c r="B11792">
        <f>HYPERLINK("https://www.dofusbook.net/fr/equipement/3424597-stuff-7000-vita/objets", "link")</f>
        <v/>
      </c>
      <c r="C11792" t="n">
        <v>1</v>
      </c>
      <c r="D11792" t="inlineStr">
        <is>
          <t>Rouleau à Pâtisserie d'Aermyne; Collier Rophante; Alliance Gloursonne; Anneau de Pol Ouatnos; Bouclier précieux; Ceinture de Kongoku; Masque d'Anerice; Cape d'Anerice; Pataugastrique; Dofus Émeraude; Dofus Ivoire; Miraculé majeur; Remueur</t>
        </is>
      </c>
    </row>
    <row r="11793">
      <c r="A11793" t="inlineStr">
        <is>
          <t>stuff tank</t>
        </is>
      </c>
      <c r="B11793">
        <f>HYPERLINK("https://www.dofusbook.net/fr/equipement/3421918-stuff-tank/objets", "link")</f>
        <v/>
      </c>
      <c r="C11793" t="n">
        <v>1</v>
      </c>
      <c r="D11793" t="inlineStr">
        <is>
          <t>Rouleau à Pâtisserie d'Aermyne; Collier Rophante; Alliance Gloursonne; Anneau Tique; Sept ans de malheur; Ceinture de Kongoku; Casque Dragoeuf; Cape d'Aermyne; Pataugastrique; Dofus Émeraude; Dofus Ivoire; Remueur; Obstructeur majeur; Fonceur majeur; Carapace Neutre majeur; Blokus</t>
        </is>
      </c>
    </row>
    <row r="11794">
      <c r="A11794" t="inlineStr">
        <is>
          <t>stuff vita</t>
        </is>
      </c>
      <c r="B11794">
        <f>HYPERLINK("https://www.dofusbook.net/fr/equipement/3421907-stuff-vita/objets", "link")</f>
        <v/>
      </c>
      <c r="C11794" t="n">
        <v>1</v>
      </c>
      <c r="D11794" t="inlineStr">
        <is>
          <t>Arc du Chalœil; Collier Rophante; Bague Trithon; Anneauræus; Bouclier précieux; Pagne du Rykaon; Masque d'Anerice; Cape d'Anerice; Pataugastrique; Dofus Émeraude; Survivant majeur; Bloqueur majeur; Miraculé majeur; Remueur; Obstructeur majeur; Péki</t>
        </is>
      </c>
    </row>
    <row r="11795">
      <c r="A11795" t="inlineStr">
        <is>
          <t>farm nidas</t>
        </is>
      </c>
      <c r="B11795">
        <f>HYPERLINK("https://www.dofusbook.net/fr/equipement/2800933-farm-nidas/objets", "link")</f>
        <v/>
      </c>
      <c r="C11795" t="n">
        <v>1</v>
      </c>
      <c r="D11795" t="inlineStr">
        <is>
          <t>Arc Ahique; Amulette du Strigide; Alliance Gloursonne; Bracelet du Piloztère; Quatre-feuilles; Ceintacé; Masque Vaudou Tam; Cape Reski; Bottes du Strigide; Dofus Pourpre; Dofus Turquoise; Dolmanax; Dofus Ocre; Nomade; Vigoureux majeur; Muldo Prune et Doré</t>
        </is>
      </c>
    </row>
    <row r="11796">
      <c r="A11796" t="inlineStr">
        <is>
          <t>stuff srafale</t>
        </is>
      </c>
      <c r="B11796">
        <f>HYPERLINK("https://www.dofusbook.net/fr/equipement/726286-stuff-srafale/objets", "link")</f>
        <v/>
      </c>
      <c r="C11796" t="n">
        <v>0</v>
      </c>
      <c r="D11796" t="inlineStr">
        <is>
          <t>Héqache; Amulette du Kamasterisk; Bracelet du Piloztère; Alliance Gloursonne; Bouclier du Captain Amakna; Ceintouse; Chapoulpe; Cape du Kamasterisk; Tentassons; Dofus Turquoise; Dofus Abyssal; Dofus Pourpre; Dofus Ocre; Dofus Émeraude; Dofus des Glaces; Muldo Ebène et Pourpre</t>
        </is>
      </c>
    </row>
    <row r="11797">
      <c r="A11797" t="inlineStr">
        <is>
          <t>Tacle res</t>
        </is>
      </c>
      <c r="B11797">
        <f>HYPERLINK("https://www.dofusbook.net/fr/equipement/104774-tacle-res/objets", "link")</f>
        <v/>
      </c>
      <c r="C11797" t="n">
        <v>1</v>
      </c>
      <c r="D11797" t="inlineStr">
        <is>
          <t>Rouleau à Pâtisserie d'Aermyne; Amulette du Glourséleste; Alliance Gloursonne; Anneau de XLII; Ceinture de XLII; Coiffe d'Aermyne; Cape d'Aermyne; Bottes de XLII; Dofus Émeraude; Dofus Ocre; Bloqueur; Bloqueur majeur; Tacleur majeur; Blokus</t>
        </is>
      </c>
    </row>
    <row r="11798">
      <c r="A11798" t="inlineStr">
        <is>
          <t>tacle</t>
        </is>
      </c>
      <c r="B11798">
        <f>HYPERLINK("https://www.dofusbook.net/fr/equipement/104775-tacle/objets", "link")</f>
        <v/>
      </c>
      <c r="C11798" t="n">
        <v>0</v>
      </c>
      <c r="D11798" t="inlineStr">
        <is>
          <t>Épée du Granduk; Amulette du Granduk; Anneau Tamie; Anneau de Pol Ouatnos; Sangle Ouare; Couronne d'Allister; Cape des Malveilleurs; Pataugastrique; Cascadeur majeur; Tacleur majeur; Bloqueur; Bloqueur majeur; Obstructeur; Obstructeur majeur; Blokus</t>
        </is>
      </c>
    </row>
    <row r="11799">
      <c r="A11799" t="inlineStr">
        <is>
          <t>Stuff eau</t>
        </is>
      </c>
      <c r="B11799">
        <f>HYPERLINK("https://www.dofusbook.net/fr/equipement/104773-stuff-eau/objets", "link")</f>
        <v/>
      </c>
      <c r="C11799" t="n">
        <v>0</v>
      </c>
      <c r="D11799" t="inlineStr">
        <is>
          <t>Rapière aux Glyphes; Amulette de Pol Ouatnos; Alliance Gloursonne; Bracelet des Fonds marins; Sangle Ouare; Kidibonnet; Voile d'encre; Pataugastrique; Dolmanax; Dofus Pourpre; Carapace Neutre majeur; Chanceux majeur; Vigoureux majeur; Carapace Terre majeur; Kramkram</t>
        </is>
      </c>
    </row>
    <row r="11800">
      <c r="A11800" t="inlineStr">
        <is>
          <t>Stuff 3</t>
        </is>
      </c>
      <c r="B11800">
        <f>HYPERLINK("https://www.dofusbook.net/fr/equipement/104787-stuff-3/objets", "link")</f>
        <v/>
      </c>
      <c r="C11800" t="n">
        <v>1</v>
      </c>
      <c r="D11800" t="inlineStr">
        <is>
          <t>Epée Kari; Amulette du Strigide; Bracelet du Piloztère; Alliance de Missiz Frizz; Ceintacé; Coiffe Ranshi; Bottes du Strigide; Dofus Nébuleux; Nomade; Vigoureux majeur; Chanceux majeur; Remueur; Enragé majeur; Muldo Doré et Amande; Cape de Guilde</t>
        </is>
      </c>
    </row>
    <row r="11801">
      <c r="A11801" t="inlineStr">
        <is>
          <t>Stuff 1</t>
        </is>
      </c>
      <c r="B11801">
        <f>HYPERLINK("https://www.dofusbook.net/fr/equipement/104781-stuff-1/objets", "link")</f>
        <v/>
      </c>
      <c r="C11801" t="n">
        <v>0</v>
      </c>
      <c r="D11801" t="inlineStr">
        <is>
          <t>Arc Hétype; Amulette de Nileza; Anneau de Nidas; Bague Gloursonne; Protopagne; Couronne de Nidas; Voile d'encre; Pataugastrique; Dolmanax; Érudit majeur; Remueur; Fonceur majeur; Temporiseur majeur; Déserteur majeur; El Scarador</t>
        </is>
      </c>
    </row>
    <row r="11802">
      <c r="A11802" t="inlineStr">
        <is>
          <t>Stuff 2</t>
        </is>
      </c>
      <c r="B11802">
        <f>HYPERLINK("https://www.dofusbook.net/fr/equipement/104776-stuff-2/objets", "link")</f>
        <v/>
      </c>
      <c r="C11802" t="n">
        <v>0</v>
      </c>
      <c r="D11802" t="inlineStr">
        <is>
          <t>Epée Gloursonne; Kralamansion; Bague Gloursonne; Alliance Gloursonne; Ceinture de Léthaline; Coiffe du Glourséleste; Cape de Léthaline; Bottes de Léthaline; Dofus Ocre; Dofus Pourpre; Dofus Turquoise; Fuyard majeur; Tacleur majeur; Survivant majeur</t>
        </is>
      </c>
    </row>
    <row r="11803">
      <c r="A11803" t="inlineStr">
        <is>
          <t>Stuff 2</t>
        </is>
      </c>
      <c r="B11803">
        <f>HYPERLINK("https://www.dofusbook.net/fr/equipement/104770-stuff-2/objets", "link")</f>
        <v/>
      </c>
      <c r="C11803" t="n">
        <v>0</v>
      </c>
      <c r="D11803" t="inlineStr">
        <is>
          <t>Manthache; Amulette du Granduk; Anneau d'Allister; Alliance Gloursonne; Menoture; Couronne d'Allister; Cape Indescriptible; Palmes Trithons; Vigoureux majeur; Cascadeur majeur; Acrobate majeur; Nomade; Equilibriste majeur; Remueur; Siroko</t>
        </is>
      </c>
    </row>
    <row r="11804">
      <c r="A11804" t="inlineStr">
        <is>
          <t>Stuff 1</t>
        </is>
      </c>
      <c r="B11804">
        <f>HYPERLINK("https://www.dofusbook.net/fr/equipement/104790-stuff-1/objets", "link")</f>
        <v/>
      </c>
      <c r="C11804" t="n">
        <v>0</v>
      </c>
      <c r="D11804" t="inlineStr">
        <is>
          <t>Sabres d'Atcham; Amulette du Strigide; Anneau de Pol Ouatnos; Alliance Gloursonne; Ceintacé; Cagoule de Vortex; Voile d'encre; Sandales  d'Atcham; Dofus Pourpre; Dolmanax; Dofus Turquoise; Remueur; Nomade; Étourdisseur majeur</t>
        </is>
      </c>
    </row>
    <row r="11805">
      <c r="A11805" t="inlineStr">
        <is>
          <t>Stuff 1</t>
        </is>
      </c>
      <c r="B11805">
        <f>HYPERLINK("https://www.dofusbook.net/fr/equipement/104785-stuff-1/objets", "link")</f>
        <v/>
      </c>
      <c r="C11805" t="n">
        <v>1</v>
      </c>
      <c r="D11805" t="inlineStr">
        <is>
          <t>Sabres d'Atcham; Amulette du Strigide; Bague Gloursonne; Anneau de Padgref; Ceinture du Strigide; Coiffe de Padgref; Cape d'Atcham; Sandales  d'Atcham; Dofus Nébuleux; Dofus Ocre; Dofus Vulbis; Dofus Turquoise; Dolmanax; Dofus Pourpre</t>
        </is>
      </c>
    </row>
    <row r="11806">
      <c r="A11806" t="inlineStr">
        <is>
          <t>Stuff 1</t>
        </is>
      </c>
      <c r="B11806">
        <f>HYPERLINK("https://www.dofusbook.net/fr/equipement/104769-stuff-1/objets", "link")</f>
        <v/>
      </c>
      <c r="C11806" t="n">
        <v>0</v>
      </c>
      <c r="D11806" t="inlineStr">
        <is>
          <t>Arc Hétype; Amulette Séculaire; Anneau Tamie; Anneau Tamie; Sangle Aise; Coiffe Séculaire; Cape de Nileza; Pantoufles Émar; Astucieux majeur; Remueur; Voyageur; Érudit majeur; Vigoureux majeur; Nomade; Brûlih</t>
        </is>
      </c>
    </row>
    <row r="11807">
      <c r="A11807" t="inlineStr">
        <is>
          <t>Stuff 1</t>
        </is>
      </c>
      <c r="B11807">
        <f>HYPERLINK("https://www.dofusbook.net/fr/equipement/104789-stuff-1/objets", "link")</f>
        <v/>
      </c>
      <c r="C11807" t="n">
        <v>0</v>
      </c>
      <c r="D11807" t="inlineStr">
        <is>
          <t>Epée Gloursonne; Amulette du Strigide; Bague Gloursonne; Alliance Gloursonne; Ceinture du Strigide; Coiffe de la Reine des Voleurs; Voile d'encre; Bottes du Strigide; Dofus des Glaces; Dofus Turquoise; Dofus Pourpre; Dolmanax; Dofus Ocre</t>
        </is>
      </c>
    </row>
    <row r="11808">
      <c r="A11808" t="inlineStr">
        <is>
          <t>Stuff 2</t>
        </is>
      </c>
      <c r="B11808">
        <f>HYPERLINK("https://www.dofusbook.net/fr/equipement/104782-stuff-2/objets", "link")</f>
        <v/>
      </c>
      <c r="C11808" t="n">
        <v>0</v>
      </c>
      <c r="D11808" t="inlineStr">
        <is>
          <t>Arc Hétype; Amulette d'Otomaï; Anneau de Nidas; Bague Gloursonne; Ceinture Séculaire; Couronne de Nidas; Voile d'encre; Pataugastrique; Miraculé majeur; Remueur; Observateur; Nomade; Érudit majeur</t>
        </is>
      </c>
    </row>
    <row r="11809">
      <c r="A11809" t="inlineStr">
        <is>
          <t>Stuff 3</t>
        </is>
      </c>
      <c r="B11809">
        <f>HYPERLINK("https://www.dofusbook.net/fr/equipement/104777-stuff-3/objets", "link")</f>
        <v/>
      </c>
      <c r="C11809" t="n">
        <v>0</v>
      </c>
      <c r="D11809" t="inlineStr">
        <is>
          <t>Sabres d'Atcham; Amulette du Strigide; Bracelet du Piloztère; Grésilanneau; Ceintacé; Chapeau des Malveilleurs; Dofusteuse; Bottes du Strigide; Dofus des Glaces; Dofus Émeraude; Dolmanax; Dofus Turquoise; Carapace Air majeur; Remueur</t>
        </is>
      </c>
    </row>
    <row r="11810">
      <c r="A11810" t="inlineStr">
        <is>
          <t>Stuff 3</t>
        </is>
      </c>
      <c r="B11810">
        <f>HYPERLINK("https://www.dofusbook.net/fr/equipement/104771-stuff-3/objets", "link")</f>
        <v/>
      </c>
      <c r="C11810" t="n">
        <v>0</v>
      </c>
      <c r="D11810" t="inlineStr">
        <is>
          <t>Amulette du Piou Vert; Anneau du Piou Vert; Anneau du Piou Jaune; Ceinture du Piou Vert; Chapeau du Piou Vert; Cape du Piou Vert; Sandales du Piou Vert; Dofus Ocre; Dofus Pourpre; Dofus Émeraude</t>
        </is>
      </c>
    </row>
    <row r="11811">
      <c r="A11811" t="inlineStr">
        <is>
          <t>Stuff 1</t>
        </is>
      </c>
      <c r="B11811">
        <f>HYPERLINK("https://www.dofusbook.net/fr/equipement/104766-stuff-1/objets", "link")</f>
        <v/>
      </c>
      <c r="C11811" t="n">
        <v>0</v>
      </c>
      <c r="D11811" t="inlineStr">
        <is>
          <t>Dagues Açantes; Amulette de Danathor; Alliance Gloursonne; Pikano; Sangle Ouare; Binocle Airvoyant; Cape Matelassée; Pikottes; Temporiseur majeur; Chanceux majeur; Entraveur majeur; Nomade; Taquin majeur; Remueur; Dehluge</t>
        </is>
      </c>
    </row>
    <row r="11812">
      <c r="A11812" t="inlineStr">
        <is>
          <t>Stuff 2</t>
        </is>
      </c>
      <c r="B11812">
        <f>HYPERLINK("https://www.dofusbook.net/fr/equipement/104791-stuff-2/objets", "link")</f>
        <v/>
      </c>
      <c r="C11812" t="n">
        <v>0</v>
      </c>
      <c r="D11812" t="inlineStr">
        <is>
          <t>Rouleau à Pâtisserie d'Aermyne; Amulette d'Oshimo; Anneau Tilus; Alliance Gloursonne; Protopagne; Chapeau Lisson; Cape d'Hel Munster; Pataugastrique; Étourdisseur; Remueur; Cavaleur majeur; Engourdisseur majeur; Nomade; Étourdisseur majeur; Bontique</t>
        </is>
      </c>
    </row>
    <row r="11813">
      <c r="A11813" t="inlineStr">
        <is>
          <t>Stuff 2</t>
        </is>
      </c>
      <c r="B11813">
        <f>HYPERLINK("https://www.dofusbook.net/fr/equipement/104786-stuff-2/objets", "link")</f>
        <v/>
      </c>
      <c r="C11813" t="n">
        <v>0</v>
      </c>
      <c r="D11813" t="inlineStr">
        <is>
          <t>Bâton des Rois; Amunite; Alliance Boletée; Anneau de Padgref; String Tue-Mouche; Coiffe de Padgref; Capignon; Getas de Padgref; Dofus Pourpre; Dofus Turquoise; Dofus Ocre; Astucieux majeur; Robuste majeur; Savant majeur; Brûlih</t>
        </is>
      </c>
    </row>
    <row r="11814">
      <c r="A11814" t="inlineStr">
        <is>
          <t>Stuff 3</t>
        </is>
      </c>
      <c r="B11814">
        <f>HYPERLINK("https://www.dofusbook.net/fr/equipement/104779-stuff-3/objets", "link")</f>
        <v/>
      </c>
      <c r="C11814" t="n">
        <v>2</v>
      </c>
      <c r="D11814" t="inlineStr">
        <is>
          <t>Epée Kari; Amulette du Strigide; Alliance Gloursonne; Bracelet du Piloztère; Ceintacé; Coiffe Ranshi; Voilamibe; Bottes du Strigide; Dofus Pourpre; Dofus Turquoise; Puissant majeur; Nomade; Vigoureux majeur; Remueur; Kramkram</t>
        </is>
      </c>
    </row>
    <row r="11815">
      <c r="A11815" t="inlineStr">
        <is>
          <t>Stuff 3</t>
        </is>
      </c>
      <c r="B11815">
        <f>HYPERLINK("https://www.dofusbook.net/fr/equipement/104768-stuff-3/objets", "link")</f>
        <v/>
      </c>
      <c r="C11815" t="n">
        <v>0</v>
      </c>
      <c r="D11815" t="inlineStr">
        <is>
          <t>Arc Hétype; Amulette du Glourséleste; Anneau Tamie; Anneau Tamie; Bouclier du Captain Amakna cassé; Ceinture Instable; Casquipik; Cape de Léthaline; Pantoufles Émar; Dofus Ocre; Fonceur majeur; Temporiseur majeur; Temporiseur; Ralentisseur majeur; Entraveur majeur; Dragoune Rose</t>
        </is>
      </c>
    </row>
    <row r="11816">
      <c r="A11816" t="inlineStr">
        <is>
          <t>Stuff 1</t>
        </is>
      </c>
      <c r="B11816">
        <f>HYPERLINK("https://www.dofusbook.net/fr/equipement/104788-stuff-1/objets", "link")</f>
        <v/>
      </c>
      <c r="C11816" t="n">
        <v>0</v>
      </c>
      <c r="D11816" t="inlineStr">
        <is>
          <t>Sabres d'Atcham; Amulette du Strigide; Bracelet du Piloztère; Alliance Gloursonne; Ceintacé; Chapeau des Malveilleurs; Voile d'encre; Sandales  d'Atcham; Dofus Turquoise; Dolmanax; Dofus des Glaces; Dofus Pourpre; Nomade; Remueur; Kramkram</t>
        </is>
      </c>
    </row>
    <row r="11817">
      <c r="A11817" t="inlineStr">
        <is>
          <t>Stuff 1</t>
        </is>
      </c>
      <c r="B11817">
        <f>HYPERLINK("https://www.dofusbook.net/fr/equipement/104781-stuff-1/objets", "link")</f>
        <v/>
      </c>
      <c r="C11817" t="n">
        <v>0</v>
      </c>
      <c r="D11817" t="inlineStr">
        <is>
          <t>Arc Hétype; Amulette de Nileza; Bague Gloursonne; Anneau de Nidas; Protopagne; Couronne de Nidas; Voile d'encre; Pataugastrique; Dolmanax; Déserteur majeur; Érudit majeur; Remueur; Fonceur majeur; Temporiseur majeur; El Scarador</t>
        </is>
      </c>
    </row>
    <row r="11818">
      <c r="A11818" t="inlineStr">
        <is>
          <t>Stuff 2</t>
        </is>
      </c>
      <c r="B11818">
        <f>HYPERLINK("https://www.dofusbook.net/fr/equipement/104776-stuff-2/objets", "link")</f>
        <v/>
      </c>
      <c r="C11818" t="n">
        <v>0</v>
      </c>
      <c r="D11818" t="inlineStr">
        <is>
          <t>Epée Gloursonne; Kralamansion; Alliance Gloursonne; Bague Gloursonne; Ceinture de Léthaline; Coiffe du Glourséleste; Cape de Léthaline; Bottes de Léthaline; Dofus Ocre; Dofus Pourpre; Dofus Turquoise; Fuyard majeur; Tacleur majeur; Survivant majeur</t>
        </is>
      </c>
    </row>
    <row r="11819">
      <c r="A11819" t="inlineStr">
        <is>
          <t>Stuff 2</t>
        </is>
      </c>
      <c r="B11819">
        <f>HYPERLINK("https://www.dofusbook.net/fr/equipement/104770-stuff-2/objets", "link")</f>
        <v/>
      </c>
      <c r="C11819" t="n">
        <v>0</v>
      </c>
      <c r="D11819" t="inlineStr">
        <is>
          <t>Manthache; Amulette du Granduk; Anneau d'Allister; Alliance Gloursonne; Menoture; Couronne d'Allister; Cape Indescriptible; Palmes Trithons; Remueur; Vigoureux majeur; Cascadeur majeur; Acrobate majeur; Nomade; Equilibriste majeur; Siroko</t>
        </is>
      </c>
    </row>
    <row r="11820">
      <c r="A11820" t="inlineStr">
        <is>
          <t>Iop M 200</t>
        </is>
      </c>
      <c r="B11820">
        <f>HYPERLINK("https://www.dofusbook.net/fr/equipement/4526631-iop-m-200/objets", "link")</f>
        <v/>
      </c>
      <c r="C11820" t="n">
        <v>1</v>
      </c>
      <c r="D11820" t="inlineStr">
        <is>
          <t>Dagues Érhy; Amulette Volkorne; Chevalière du Roi Joueur; Anneau Volkorne; Bouclier du Stalak; Ceinture Volkorne; Couronne du Roi Joueur; Cape de Diondin; Bottes du Roi Joueur; Dolmanax; Dofus Ocre; Dofus Kaliptus; Dofus des Glaces; Dofus Pourpre; Dofus Abyssal; Cromeugnon</t>
        </is>
      </c>
    </row>
    <row r="11821">
      <c r="A11821" t="inlineStr">
        <is>
          <t>Féca M 200</t>
        </is>
      </c>
      <c r="B11821">
        <f>HYPERLINK("https://www.dofusbook.net/fr/equipement/5869363-feca-m-200/objets", "link")</f>
        <v/>
      </c>
      <c r="C11821" t="n">
        <v>0</v>
      </c>
      <c r="D11821" t="inlineStr">
        <is>
          <t>Lav'Hache; Collier de Tourthon; Anneau Crustique; Anneau Crustique; Sept ans de malheur; Ceintouse; Masque de Koutoulou; Voile d'encre; Tentassons; Dofus Ocre; Dofus Ivoire; Dofus Émeraude; Nomade; Étourdisseur majeur; Obstructeur majeur; Muldo Roux et Pourpre</t>
        </is>
      </c>
    </row>
    <row r="11822">
      <c r="A11822" t="inlineStr">
        <is>
          <t>Féca M 200</t>
        </is>
      </c>
      <c r="B11822">
        <f>HYPERLINK("https://www.dofusbook.net/fr/equipement/5778034-feca-m-200/objets", "link")</f>
        <v/>
      </c>
      <c r="C11822" t="n">
        <v>0</v>
      </c>
      <c r="D11822" t="inlineStr">
        <is>
          <t>Baguette Hique; Amulette de Shokkoth; Anneau Volkorne; Alliance Gloursonne; Bouclier du Stalak; Pagne du Rykaon; Kidibonnet; Cape Hadosse; Bottes Antouche; Dolmanax; Dofus Vulbis; Dofus Ocre; Dofus Abyssal; Érudit majeur; Miraculé majeur; Muldo Doré et Amande</t>
        </is>
      </c>
    </row>
    <row r="11823">
      <c r="A11823" t="inlineStr">
        <is>
          <t>feca air</t>
        </is>
      </c>
      <c r="B11823">
        <f>HYPERLINK("https://www.dofusbook.net/fr/equipement/5600266-feca-air/objets", "link")</f>
        <v/>
      </c>
      <c r="C11823" t="n">
        <v>1</v>
      </c>
      <c r="D11823" t="inlineStr">
        <is>
          <t>Sceptre du Roi Joueur; Amulette de Shokkoth; Alliance Gloursonne; Anneau Volkorne; Bouclier du Captain Amakna; Pagne du Rykaon; Kidibonnet; Cape de la Dame du Hasard; Bottes de la Dame du Hasard; Dofus Ocre; Dofus des Veilleurs; Dofus des Glaces; Dofus Émeraude; Dofus Turquoise; Dokoko; Muldo Prune et Emeraude</t>
        </is>
      </c>
    </row>
    <row r="11824">
      <c r="A11824" t="inlineStr">
        <is>
          <t>Steamer F 200</t>
        </is>
      </c>
      <c r="B11824">
        <f>HYPERLINK("https://www.dofusbook.net/fr/equipement/4726535-steamer-f-200/objets", "link")</f>
        <v/>
      </c>
      <c r="C11824" t="n">
        <v>3</v>
      </c>
      <c r="D11824" t="inlineStr">
        <is>
          <t>Sceptre du Roi Joueur; Collier de la Dame du Hasard; Alliance Gloursonne; Anneau Volkorne; Bouclier du Captain Amakna; Pagne du Rykaon; Kidibonnet; Cape de la Dame du Hasard; Bottes de la Dame du Hasard; Dofus Émeraude; Dofus Turquoise; Dokoko; Dofus Ocre; Dofus des Veilleurs; Dofus des Glaces; Muldo Prune et Emeraude</t>
        </is>
      </c>
    </row>
    <row r="11825">
      <c r="A11825" t="inlineStr">
        <is>
          <t>Stuff 1</t>
        </is>
      </c>
      <c r="B11825">
        <f>HYPERLINK("https://www.dofusbook.net/fr/equipement/351622-stuff-1/objets", "link")</f>
        <v/>
      </c>
      <c r="C11825" t="n">
        <v>2</v>
      </c>
      <c r="D11825" t="inlineStr">
        <is>
          <t>Baguette de Malléfisk; Amulette d'Otomaï; Bague Gloursonne; Anneau de Nidas; Carapar; Ceinture de Vortex; Couronne de Nidas; Voile d'encre; Bottes Owesli; Dofus Ocre; Remueur; Miraculé majeur; Carapace Neutre majeur; Nomade; Guérisseur majeur; Kramkram</t>
        </is>
      </c>
    </row>
    <row r="11826">
      <c r="A11826" t="inlineStr">
        <is>
          <t>Steamer F 200</t>
        </is>
      </c>
      <c r="B11826">
        <f>HYPERLINK("https://www.dofusbook.net/fr/equipement/4722484-steamer-f-200/objets", "link")</f>
        <v/>
      </c>
      <c r="C11826" t="n">
        <v>3</v>
      </c>
      <c r="D11826" t="inlineStr">
        <is>
          <t>Hache du Chalœil; Amulette Volkorne; Anneau Volkorne; Bague Trithon; Bivalve; Ceinture Volkorne; Masque Trithon; Cape des Malveilleurs; Bottes Trithon; Dofus Ocre; Dofus Pourpre; Dofus des Glaces; Dofus Turquoise; Dolmanax; Dofus Émeraude; Volkorne Doré et Roux</t>
        </is>
      </c>
    </row>
    <row r="11827">
      <c r="A11827" t="inlineStr">
        <is>
          <t>Eca 200</t>
        </is>
      </c>
      <c r="B11827">
        <f>HYPERLINK("https://www.dofusbook.net/fr/equipement/4047724-eca-200/objets", "link")</f>
        <v/>
      </c>
      <c r="C11827" t="n">
        <v>1</v>
      </c>
      <c r="D11827" t="inlineStr">
        <is>
          <t>Arc du Chalœil; Amulette du Strigide; Anneau de Brouce; Bague Gloursonne; Bouclier d'Ilyzaelle; Ceinture Gence; Masque de Koutoulou; Cape au Logis; Bottes du Strigide; Nomade; Culbuteur majeur; Carapace Terre majeur; Enragé majeur; Remueur; Dévastateur Terre majeur; Dragodinde Ivoire et Pourpre</t>
        </is>
      </c>
    </row>
    <row r="11828">
      <c r="A11828" t="inlineStr">
        <is>
          <t>Enu koli 1</t>
        </is>
      </c>
      <c r="B11828">
        <f>HYPERLINK("https://www.dofusbook.net/fr/equipement/4038223-enu-koli-1/objets", "link")</f>
        <v/>
      </c>
      <c r="C11828" t="n">
        <v>38</v>
      </c>
      <c r="D11828" t="inlineStr">
        <is>
          <t>L'Épée Nice; Collier du Valet Veinard; Gant du Valet Veinard; Alliance Gloursonne; Cadran de Terre; Menoture; Couronne d'Allister; Cape d'Hel Munster; Palmes Trithons; Dofus Ocre; Dofus des Glaces; Miraculé majeur; Nomade; Cascadeur majeur; Étourdisseur majeur; Dragoune Rose</t>
        </is>
      </c>
    </row>
    <row r="11829">
      <c r="A11829" t="inlineStr">
        <is>
          <t>do pou</t>
        </is>
      </c>
      <c r="B11829">
        <f>HYPERLINK("https://www.dofusbook.net/fr/equipement/332638-do-pou/objets", "link")</f>
        <v/>
      </c>
      <c r="C11829" t="n">
        <v>6</v>
      </c>
      <c r="D11829" t="inlineStr">
        <is>
          <t>Rapière aux Glyphes; Amulette de l'Œil Attentif; Bracelet des Fonds marins; Anneau Volkorne; Quatre-feuilles; Ceinture Volkorne; Masque des Fonds marins; Cape de l'Œil Attentif; Sandales des Fonds marins; Dragodinde Emeraude et Ivoire</t>
        </is>
      </c>
    </row>
    <row r="11830">
      <c r="A11830" t="inlineStr">
        <is>
          <t>Ecaflip M 200</t>
        </is>
      </c>
      <c r="B11830">
        <f>HYPERLINK("https://www.dofusbook.net/fr/equipement/5944650-ecaflip-m-200/objets", "link")</f>
        <v/>
      </c>
      <c r="C11830" t="n">
        <v>1</v>
      </c>
      <c r="D11830" t="inlineStr">
        <is>
          <t>Arc corrompu; Amulette de Nileza; Anneau de Nidas; Chevalière du Roi Joueur; Quatre-feuilles; Croture; Heaume Oplate; Voile d'encre; Bottes du Roi Joueur; Dofus Ébène; Dofus Abyssal; Dofus Ivoire; Dofus Ocre; Nomade; Érudit majeur; Dragodinde Ivoire et Orchidée</t>
        </is>
      </c>
    </row>
    <row r="11831">
      <c r="A11831" t="inlineStr">
        <is>
          <t>Enu sky</t>
        </is>
      </c>
      <c r="B11831">
        <f>HYPERLINK("https://www.dofusbook.net/fr/equipement/238461-enu-sky/objets", "link")</f>
        <v/>
      </c>
      <c r="C11831" t="n">
        <v>4</v>
      </c>
      <c r="D11831" t="inlineStr">
        <is>
          <t>Marteau d'Henual; Amulette Volkorne; Anneau Volkorne; Chevalière du Roi Joueur; Cadran d'Eau; Ceinture Volkorne; Couronne du Roi Joueur; Voile d'encre; Bottes du Roi Joueur; Dofus Ocre; Dolmanax; Dofus Ébène; Dofus Pourpre; Dofus des Glaces; Dofus Émeraude; Bwak de Terre</t>
        </is>
      </c>
    </row>
    <row r="11832">
      <c r="A11832" t="inlineStr">
        <is>
          <t>Pandawa M 200</t>
        </is>
      </c>
      <c r="B11832">
        <f>HYPERLINK("https://www.dofusbook.net/fr/equipement/5841184-pandawa-m-200/objets", "link")</f>
        <v/>
      </c>
      <c r="C11832" t="n">
        <v>1</v>
      </c>
      <c r="D11832" t="inlineStr">
        <is>
          <t>Rapière aux Glyphes; Amulette du Sinistrofu; Anneau Volkorne; Alliance Gloursonne; Bouclier du Stalak; Ceinture Volkorne; Kidibonnet; Cape du Sinistrofu; Bottes du Sinistrofu; Dofus Ébène; Dolmanax; Dofus Pourpre; Dofus des Glaces; Dofus Ivoire; Voyageur; Dragodinde Indigo et Ivoire</t>
        </is>
      </c>
    </row>
    <row r="11833">
      <c r="A11833" t="inlineStr">
        <is>
          <t>Stuff 1</t>
        </is>
      </c>
      <c r="B11833">
        <f>HYPERLINK("https://www.dofusbook.net/fr/equipement/238463-stuff-1/objets", "link")</f>
        <v/>
      </c>
      <c r="C11833" t="n">
        <v>11</v>
      </c>
      <c r="D11833" t="inlineStr">
        <is>
          <t>Arc Hétype; Amulette de Nileza; Bague Gloursonne; Anneau Tique; Cadran de Feu; Croture; Heaume Oplate; Cape de Nileza; Bottes Innommables; Dofus Ébène; Dofus Ocre; Dofus Ivoire; Nomade; Érudit majeur; Dragodinde Ivoire et Orchidée</t>
        </is>
      </c>
    </row>
    <row r="11834">
      <c r="A11834" t="inlineStr">
        <is>
          <t>Stuff 2</t>
        </is>
      </c>
      <c r="B11834">
        <f>HYPERLINK("https://www.dofusbook.net/fr/equipement/238464-stuff-2/objets", "link")</f>
        <v/>
      </c>
      <c r="C11834" t="n">
        <v>4</v>
      </c>
      <c r="D11834" t="inlineStr">
        <is>
          <t>Marteau d'Henual; Amulette du Strigide; Bague Gloursonne; Chevalière du Roi Joueur; Cadran d'Eau; Ceinture du Strigide; Couronne du Roi Joueur; Cape au Logis; Bottes du Roi Joueur; Dofus Ocre; Dofus des Glaces; Dofus Pourpre; Dofus Ivoire; Dofus Turquoise; Dofus Ébène; Kokulte</t>
        </is>
      </c>
    </row>
    <row r="11835">
      <c r="A11835" t="inlineStr">
        <is>
          <t>Stuff 3</t>
        </is>
      </c>
      <c r="B11835">
        <f>HYPERLINK("https://www.dofusbook.net/fr/equipement/238465-stuff-3/objets", "link")</f>
        <v/>
      </c>
      <c r="C11835" t="n">
        <v>20</v>
      </c>
      <c r="D11835" t="inlineStr">
        <is>
          <t>L'Épée Nice; Collier du Valet Veinard; Alliance Gloursonne; Gant du Valet Veinard; Bouclier du Stalak; Menoture; Capuche de Moum-Ra; Cape Martegel; Palmes Trithons; Dofus Ivoire; Dofus Pourpre; Dofus Ébène; Dofus Ocre; Cascadeur majeur; Blérodoudou</t>
        </is>
      </c>
    </row>
    <row r="11836">
      <c r="A11836" t="inlineStr">
        <is>
          <t>fuite</t>
        </is>
      </c>
      <c r="B11836">
        <f>HYPERLINK("https://www.dofusbook.net/fr/equipement/1148256-fuite/objets", "link")</f>
        <v/>
      </c>
      <c r="C11836" t="n">
        <v>0</v>
      </c>
      <c r="D11836" t="inlineStr">
        <is>
          <t>L'Épée Nice; Collier du Valet Veinard; Alliance Gloursonne; Gant du Valet Veinard; Bouclier du Stalak; Menoture; Casque Cyclopéen; Cape Martegel; Palmes Trithons; Dofus Ivoire; Dofus Pourpre; Dofus Ébène; Dofus Ocre; Cascadeur majeur; Dragodinde Dorée et Ebène</t>
        </is>
      </c>
    </row>
    <row r="11837">
      <c r="A11837" t="inlineStr">
        <is>
          <t>eau air ret</t>
        </is>
      </c>
      <c r="B11837">
        <f>HYPERLINK("https://www.dofusbook.net/fr/equipement/1660974-eau-air-ret/objets", "link")</f>
        <v/>
      </c>
      <c r="C11837" t="n">
        <v>3</v>
      </c>
      <c r="D11837" t="inlineStr">
        <is>
          <t>Pyraguette; Amulette Volkorne; Alliance Gloursonne; Anneau Volkorne; Bouclier du Stalak; Ceinture de l'Esprit Salvateur; Masque de l'Esprit Salvateur; Voile d'encre; Bottes de l'Esprit Salvateur; Dofus Pourpre; Dofus Ébène; Dofus Ocre; Dofus des Glaces; Dofus Ivoire; Voyageur; Dragodinde Prune et Ivoire</t>
        </is>
      </c>
    </row>
    <row r="11838">
      <c r="A11838" t="inlineStr">
        <is>
          <t>Stuff 3</t>
        </is>
      </c>
      <c r="B11838">
        <f>HYPERLINK("https://www.dofusbook.net/fr/equipement/238460-stuff-3/objets", "link")</f>
        <v/>
      </c>
      <c r="C11838" t="n">
        <v>4</v>
      </c>
      <c r="D11838" t="inlineStr">
        <is>
          <t>Arc de Koutoulou; Amulette d'Ilyzaelle; Alliance Gloursonne; Anneau Volkorne; Bouclier d'Ilyzaelle; Ceinture Volkorne; Casque d'Ilyzaelle; Chevelure de Tal Kasha; Sandales de Tal Kasha; Dofus Ocre; Dofus des Glaces; Dofus Ivoire; Dofus Pourpre; Dofus Ébène; Voyageur; Bwak d'Air</t>
        </is>
      </c>
    </row>
    <row r="11839">
      <c r="A11839" t="inlineStr">
        <is>
          <t>de pou</t>
        </is>
      </c>
      <c r="B11839">
        <f>HYPERLINK("https://www.dofusbook.net/fr/equipement/238561-de-pou/objets", "link")</f>
        <v/>
      </c>
      <c r="C11839" t="n">
        <v>13</v>
      </c>
      <c r="D11839" t="inlineStr">
        <is>
          <t>Arc de Koutoulou; Amulette Volkorne; Alliance Gloursonne; Anneau Volkorne; Quatre-feuilles; Ceintacé; Casque Volkorne; Chevelure de Tal Kasha; Sandales de Tal Kasha; Dofus Pourpre; Dofus Ivoire; Dofus Turquoise; Dofus Ébène; Dofus des Glaces; Dofus Ocre; Kokulte</t>
        </is>
      </c>
    </row>
    <row r="11840">
      <c r="A11840" t="inlineStr">
        <is>
          <t>crit</t>
        </is>
      </c>
      <c r="B11840">
        <f>HYPERLINK("https://www.dofusbook.net/fr/equipement/1660244-crit/objets", "link")</f>
        <v/>
      </c>
      <c r="C11840" t="n">
        <v>9</v>
      </c>
      <c r="D11840" t="inlineStr">
        <is>
          <t>Manthache; Amulette d'Ilyzaelle; Gant du Valet Veinard; Alliance Gloursonne; Bouclier du Stalak; Menoture; Casque d'Ilyzaelle; Cape du Valet Veinard; Palmes Trithons; Dofus Ivoire; Dofus Pourpre; Dofus Ébène; Dofus Ocre; Voyageur; Bwak d'Air</t>
        </is>
      </c>
    </row>
    <row r="11841">
      <c r="A11841" t="inlineStr">
        <is>
          <t>agi</t>
        </is>
      </c>
      <c r="B11841">
        <f>HYPERLINK("https://www.dofusbook.net/fr/equipement/2896550-agi/objets", "link")</f>
        <v/>
      </c>
      <c r="C11841" t="n">
        <v>7</v>
      </c>
      <c r="D11841" t="inlineStr">
        <is>
          <t>Baguette de Torkélonia; Amulette du Strigide; Bague Gloursonne; Alliance Gloursonne; Quatre-feuilles; Ceinture du Strigide; Corne de Torkélonia; Carapace de Torkélonia; Bottes du Strigide; Dofus Ocre; Dofus Turquoise; Dofus Ivoire; Dofus Pourpre; Dofus Ébène; Kokulte</t>
        </is>
      </c>
    </row>
    <row r="11842">
      <c r="A11842" t="inlineStr">
        <is>
          <t>Stuff 1</t>
        </is>
      </c>
      <c r="B11842">
        <f>HYPERLINK("https://www.dofusbook.net/fr/equipement/238458-stuff-1/objets", "link")</f>
        <v/>
      </c>
      <c r="C11842" t="n">
        <v>4</v>
      </c>
      <c r="D11842" t="inlineStr">
        <is>
          <t>Arc de Koutoulou; Amulette d'Ilyzaelle; Alliance Gloursonne; Anneau Volkorne; Bouclier d'Ilyzaelle; Ceinture Volkorne; Casque d'Ilyzaelle; Chevelure de Tal Kasha; Sandales de Tal Kasha; Dofus Ocre; Dofus Émeraude; Dofus Ébène; Dofus Pourpre; Dofus des Glaces; Voyageur; Volkorne Améthyste</t>
        </is>
      </c>
    </row>
    <row r="11843">
      <c r="A11843" t="inlineStr">
        <is>
          <t>Zobal</t>
        </is>
      </c>
      <c r="B11843">
        <f>HYPERLINK("https://www.dofusbook.net/fr/equipement/4086677-zobal/objets", "link")</f>
        <v/>
      </c>
      <c r="C11843" t="n">
        <v>6</v>
      </c>
      <c r="D11843" t="inlineStr">
        <is>
          <t>Arc du Chalœil; Amulette du Cœur Saignant; Anneau Chevelu; Bracelet du Piloztère; Bouclier du Stalak; Ceinture Gence; Masque de Koutoulou; Cape au Logis; Bottes du Cœur Saignant; Dofus Ébène; Dofus Pourpre; Dofus Turquoise; Carapace Terre majeur; Forcené majeur; Enragé majeur; Dragodinde Ivoire et Pourpre</t>
        </is>
      </c>
    </row>
    <row r="11844">
      <c r="A11844" t="inlineStr">
        <is>
          <t>Zobal eau do pou</t>
        </is>
      </c>
      <c r="B11844">
        <f>HYPERLINK("https://www.dofusbook.net/fr/equipement/4170924-zobal-eau-do-pou/objets", "link")</f>
        <v/>
      </c>
      <c r="C11844" t="n">
        <v>1</v>
      </c>
      <c r="D11844" t="inlineStr">
        <is>
          <t>Arc du Chalœil; Amulette Luminescente; Alliance Gloursonne; Bague Trithon; Bouclier Taverne; Ceinture Luminescente; Masque Trithon; Cape Luminescente; Bottes Trithon; Dofus Turquoise; Dofus Ocre; Dofus Pourpre; Dofus des Glaces; Bousculeur majeur; Pousseur majeur; Balafreux</t>
        </is>
      </c>
    </row>
    <row r="11845">
      <c r="A11845" t="inlineStr">
        <is>
          <t>Cra Sky</t>
        </is>
      </c>
      <c r="B11845">
        <f>HYPERLINK("https://www.dofusbook.net/fr/equipement/1163366-cra-sky-/objets", "link")</f>
        <v/>
      </c>
      <c r="C11845" t="n">
        <v>3</v>
      </c>
      <c r="D11845" t="inlineStr">
        <is>
          <t>Amulette Luminescente; Anneau en Grithril; Goulano; Goulclier; Ceinture en Grithril; Casque en Grithril; Cape Luminescente; Goulbottes</t>
        </is>
      </c>
    </row>
    <row r="11846">
      <c r="A11846" t="inlineStr">
        <is>
          <t>full terre</t>
        </is>
      </c>
      <c r="B11846">
        <f>HYPERLINK("https://www.dofusbook.net/fr/equipement/2896636-full-terre/objets", "link")</f>
        <v/>
      </c>
      <c r="C11846" t="n">
        <v>2</v>
      </c>
      <c r="D11846" t="inlineStr">
        <is>
          <t>Sabres d'Atcham; Amulette du Strigide; Alliance Gloursonne; Bague Trithon; Bouclier du Stalak; Ceinture du Strigide; Le Dorado; Chevelure de Tal Kasha; Bottes Trithon; Dofus Turquoise; Dolmanax; Dofus Ocre; Dofus Pourpre; Dofus des Glaces; Voyageur; Chacha Angora</t>
        </is>
      </c>
    </row>
    <row r="11847">
      <c r="A11847" t="inlineStr">
        <is>
          <t>Stuff 2</t>
        </is>
      </c>
      <c r="B11847">
        <f>HYPERLINK("https://www.dofusbook.net/fr/equipement/238453-stuff-2/objets", "link")</f>
        <v/>
      </c>
      <c r="C11847" t="n">
        <v>0</v>
      </c>
      <c r="D11847" t="inlineStr">
        <is>
          <t>Talisman Igans; Ceintrigue; Bottes Owesli</t>
        </is>
      </c>
    </row>
    <row r="11848">
      <c r="A11848" t="inlineStr">
        <is>
          <t>Stuff 1</t>
        </is>
      </c>
      <c r="B11848">
        <f>HYPERLINK("https://www.dofusbook.net/fr/equipement/238452-stuff-1/objets", "link")</f>
        <v/>
      </c>
      <c r="C11848" t="n">
        <v>2</v>
      </c>
      <c r="D11848" t="inlineStr">
        <is>
          <t>Arc corrompu; Pendentif mignon de Koutoulou; Anneau Tique; Anneauræus; Bouclier du Stalak; Ceinture de Vortex; Heaume Oplate; Cape Ardente; Chaussures Ardentes; Remueur; Carapace Feu majeur; Nomade; Érudit majeur; Dragodinde Prune et Orchidée</t>
        </is>
      </c>
    </row>
    <row r="11849">
      <c r="A11849" t="inlineStr">
        <is>
          <t>Stuff 3</t>
        </is>
      </c>
      <c r="B11849">
        <f>HYPERLINK("https://www.dofusbook.net/fr/equipement/238454-stuff-3/objets", "link")</f>
        <v/>
      </c>
      <c r="C11849" t="n">
        <v>1</v>
      </c>
      <c r="D11849" t="inlineStr">
        <is>
          <t>Arc Hétype; Amulette d'Otomaï; Anneau Tique; Kralano; Bouclier du Stalak; Ceinture Séculaire; Coiffe Séculaire; Cape de Diondin; Pantoufles Émar; Savant majeur; Nomade; Guérisseur majeur; Érudit majeur; Miraculé majeur; Remueur; Muldo Doré</t>
        </is>
      </c>
    </row>
    <row r="11850">
      <c r="A11850" t="inlineStr">
        <is>
          <t>terreeau</t>
        </is>
      </c>
      <c r="B11850">
        <f>HYPERLINK("https://www.dofusbook.net/fr/equipement/2140768-terreeau/objets", "link")</f>
        <v/>
      </c>
      <c r="C11850" t="n">
        <v>5</v>
      </c>
      <c r="D11850" t="inlineStr">
        <is>
          <t>Dagoulinantes; Amulette de Pol Ouatnos; Alliance Gloursonne; Pikano; Cadran de Terre; Culotte de Bethel; Masque de Funespadon; Cape Luminescente; Bottes Honyme; Dolmanax; Dofus des Glaces; Dofus Pourpre; Dofus Ocre; Robuste majeur; Vigoureux majeur; Léopardo</t>
        </is>
      </c>
    </row>
    <row r="11851">
      <c r="A11851" t="inlineStr">
        <is>
          <t>esq PA</t>
        </is>
      </c>
      <c r="B11851">
        <f>HYPERLINK("https://www.dofusbook.net/fr/equipement/2896516-esq-pa/objets", "link")</f>
        <v/>
      </c>
      <c r="C11851" t="n">
        <v>2</v>
      </c>
      <c r="D11851" t="inlineStr">
        <is>
          <t>Sceptre du Roi Joueur; Amulette de l'Œil Attentif; Pikano; Alliance Gloursonne; Cadran d'Air; Sangle Ouare; Masque des Fonds marins; Cape de la Dame du Hasard; Sandales des Fonds marins; Dofus Pourpre; Dofus Turquoise; Dofus Ocre; Chanceux majeur; Meulourd</t>
        </is>
      </c>
    </row>
    <row r="11852">
      <c r="A11852" t="inlineStr">
        <is>
          <t>eau/air</t>
        </is>
      </c>
      <c r="B11852">
        <f>HYPERLINK("https://www.dofusbook.net/fr/equipement/238446-eau-air/objets", "link")</f>
        <v/>
      </c>
      <c r="C11852" t="n">
        <v>0</v>
      </c>
      <c r="D11852" t="inlineStr">
        <is>
          <t>Sceptre du Roi Joueur; Amulette du Strigide; Alliance Gloursonne; Bague Trithon; Cadran d'Air; Ceinture du Strigide; Masque Trithon; Chevelure de Tal Kasha; Sandales de Tal Kasha; Dofus Pourpre; Dofus des Glaces; Dofus Turquoise; Dofus Ocre; Robuste majeur; Voyageur; Sakochère</t>
        </is>
      </c>
    </row>
    <row r="11853">
      <c r="A11853" t="inlineStr">
        <is>
          <t>lumi/trithons</t>
        </is>
      </c>
      <c r="B11853">
        <f>HYPERLINK("https://www.dofusbook.net/fr/equipement/238448-lumi-trithons/objets", "link")</f>
        <v/>
      </c>
      <c r="C11853" t="n">
        <v>1</v>
      </c>
      <c r="D11853" t="inlineStr">
        <is>
          <t>Arc du Chalœil; Amulette Luminescente; Bague Trithon; Alliance Gloursonne; Bouclier du Stalak; Ceinture Luminescente; Masque Trithon; Cape Luminescente; Bottes Trithon; Dofus des Glaces; Dolmanax; Dofus Ocre; Dofus Pourpre; Robuste majeur; Voyageur; Chacha Angora</t>
        </is>
      </c>
    </row>
    <row r="11854">
      <c r="A11854" t="inlineStr">
        <is>
          <t>terre/eau</t>
        </is>
      </c>
      <c r="B11854">
        <f>HYPERLINK("https://www.dofusbook.net/fr/equipement/3230265-terre-eau/objets", "link")</f>
        <v/>
      </c>
      <c r="C11854" t="n">
        <v>1</v>
      </c>
      <c r="D11854" t="inlineStr">
        <is>
          <t>Arc du Chalœil; Amulette de Pol Ouatnos; Anneau Chevelu; Alliance Gloursonne; Bouclier du Stalak; Ceinture Luminescente; Masque Trithon; Cape Luminescente; Bottes Honyme; Dofus Pourpre; Dofus Ocre; Dolmanax; Dofus des Glaces; Robuste majeur; Vigoureux majeur; Bébé Pandawa</t>
        </is>
      </c>
    </row>
    <row r="11855">
      <c r="A11855" t="inlineStr">
        <is>
          <t>cc2</t>
        </is>
      </c>
      <c r="B11855">
        <f>HYPERLINK("https://www.dofusbook.net/fr/equipement/1163425-cc2/objets", "link")</f>
        <v/>
      </c>
      <c r="C11855" t="n">
        <v>0</v>
      </c>
      <c r="D11855" t="inlineStr">
        <is>
          <t>Epée Gloursonne; Amulette Luminescente; Alliance Gloursonne; Bague Gloursonne; Quatre-feuilles; Ceinture Luminescente; Coiffe de la Reine des Voleurs; Cape Luminescente; Bottes de la Reine des Voleurs; Dofus Turquoise; Dolmanax; Dofus Ocre; Dofus Pourpre; Dofus des Glaces; Muldo Ebène et Orchidée</t>
        </is>
      </c>
    </row>
    <row r="11856">
      <c r="A11856" t="inlineStr">
        <is>
          <t>tacl</t>
        </is>
      </c>
      <c r="B11856">
        <f>HYPERLINK("https://www.dofusbook.net/fr/equipement/1182452-tacl/objets", "link")</f>
        <v/>
      </c>
      <c r="C11856" t="n">
        <v>1</v>
      </c>
      <c r="D11856" t="inlineStr">
        <is>
          <t>Sabres d'Atcham; Pendentif mignon de Koutoulou; Alliance Gloursonne; Anneau Rifique; Quatre-feuilles; Ceinture de Vortex; Casque Cyclopéen; Cape d'Atcham; Sandales  d'Atcham; Dofus Pourpre; Dofus Turquoise; Dofus Ocre; Dolmanax; Dofus des Glaces; Muldo Ebène</t>
        </is>
      </c>
    </row>
    <row r="11857">
      <c r="A11857" t="inlineStr">
        <is>
          <t>feuair</t>
        </is>
      </c>
      <c r="B11857">
        <f>HYPERLINK("https://www.dofusbook.net/fr/equipement/2140641-feuair/objets", "link")</f>
        <v/>
      </c>
      <c r="C11857" t="n">
        <v>1</v>
      </c>
      <c r="D11857" t="inlineStr">
        <is>
          <t>Epée Gloursonne; Amulette de l'Œil Putride; Bague Gloursonne; Alliance Gloursonne; Bouclier du Stalak; Ceinture de l'Esprit Salvateur; Masque de l'Esprit Salvateur; Cape de l'Œil Putride; Bottes de l'Esprit Salvateur; Dolmanax; Dofus des Glaces; Dofus Pourpre; Dofus Ocre; Féroce majeur; Muldo Ebène et Orchidée</t>
        </is>
      </c>
    </row>
    <row r="11858">
      <c r="A11858" t="inlineStr">
        <is>
          <t>autre terre</t>
        </is>
      </c>
      <c r="B11858">
        <f>HYPERLINK("https://www.dofusbook.net/fr/equipement/238462-autre-terre/objets", "link")</f>
        <v/>
      </c>
      <c r="C11858" t="n">
        <v>0</v>
      </c>
      <c r="D11858" t="inlineStr">
        <is>
          <t>Marteau R'ture; Amulette Héroclite; Anneau Chevelu; Bracelet du Piloztère; Bouclier Taverne; Ceinture de Gein; Masque de Koutoulou; Cape du Cœur Saignant; Bottes du Cœur Saignant; Dofus Pourpre; Dokoko; Dofus Turquoise; Remueur; Enragé majeur; Vigoureux majeur; Muldo Indigo et Pourpre</t>
        </is>
      </c>
    </row>
    <row r="11859">
      <c r="A11859" t="inlineStr">
        <is>
          <t>terre marteau rture</t>
        </is>
      </c>
      <c r="B11859">
        <f>HYPERLINK("https://www.dofusbook.net/fr/equipement/2118384-terre-marteau-rture/objets", "link")</f>
        <v/>
      </c>
      <c r="C11859" t="n">
        <v>0</v>
      </c>
      <c r="D11859" t="inlineStr">
        <is>
          <t>Marteau R'ture; Amulette Héroclite; Anneau Chevelu; Bague Gloursonne; Bouclier Taverne; Ceinture de Gein; Masque de Koutoulou; Cape de la Cour Sombre; Bottes de la Cour Sombre; Dokoko; Dofus Turquoise; Dofus Pourpre; Obstructeur majeur; Enragé majeur; Remueur; Muldo Indigo et Pourpre</t>
        </is>
      </c>
    </row>
    <row r="11860">
      <c r="A11860" t="inlineStr">
        <is>
          <t>Stuff 1</t>
        </is>
      </c>
      <c r="B11860">
        <f>HYPERLINK("https://www.dofusbook.net/fr/equipement/238455-stuff-1/objets", "link")</f>
        <v/>
      </c>
      <c r="C11860" t="n">
        <v>0</v>
      </c>
      <c r="D11860" t="inlineStr">
        <is>
          <t>Lance corrompue; Amulette du Kamasterisk; Bague Gloursonne; Alliance Gloursonne; Bouclier Taverne; Ceinture de la Reine des Voleurs; Coiffe de la Reine des Voleurs; Cape du Kamasterisk; Bottes de la Reine des Voleurs; Dofus Émeraude; Dofus Ocre; Dolmanax; Dofus des Glaces; Dofus Pourpre; Muldo Ebène et Orchidée</t>
        </is>
      </c>
    </row>
    <row r="11861">
      <c r="A11861" t="inlineStr">
        <is>
          <t>Terre</t>
        </is>
      </c>
      <c r="B11861">
        <f>HYPERLINK("https://www.dofusbook.net/fr/equipement/2039009-terre/objets", "link")</f>
        <v/>
      </c>
      <c r="C11861" t="n">
        <v>0</v>
      </c>
      <c r="D11861" t="inlineStr">
        <is>
          <t>Dagues d'Ilyzaelle; Amulette du Cœur Saignant; Bague Trithon; Bague Gloursonne; Bouclier Pandawa; Ceintacé; Masque Trithon; Cape du Cœur Saignant; Bottes du Cœur Saignant; Dofus Pourpre; Dofus Turquoise; Dolmanax; Dofus des Glaces; Forcené majeur; Muldo Pourpre</t>
        </is>
      </c>
    </row>
    <row r="11862">
      <c r="A11862" t="inlineStr">
        <is>
          <t>Full terre</t>
        </is>
      </c>
      <c r="B11862">
        <f>HYPERLINK("https://www.dofusbook.net/fr/equipement/2038958-full-terre/objets", "link")</f>
        <v/>
      </c>
      <c r="C11862" t="n">
        <v>0</v>
      </c>
      <c r="D11862" t="inlineStr">
        <is>
          <t>Dagues d'Ilyzaelle; Amulette du Cœur Saignant; Bague Gloursonne; Anneau Chevelu; Bouclier Pandawa; Ceintacé; Masque de Koutoulou; Voile d'encre; Bottes du Cœur Saignant; Dofus des Glaces; Dofus Pourpre; Dofus Turquoise; Vigoureux majeur; Enragé majeur; Muldo Pourpre</t>
        </is>
      </c>
    </row>
    <row r="11863">
      <c r="A11863" t="inlineStr">
        <is>
          <t>Baton</t>
        </is>
      </c>
      <c r="B11863">
        <f>HYPERLINK("https://www.dofusbook.net/fr/equipement/2038809-baton/objets", "link")</f>
        <v/>
      </c>
      <c r="C11863" t="n">
        <v>0</v>
      </c>
      <c r="D11863" t="inlineStr">
        <is>
          <t>Lance corrompue; Amulette du Kamasterisk; Anneau Chevelu; Bague Gloursonne; Bouclier Pandawa; Ceintouse; Masque de Koutoulou; Cape du Kamasterisk; Baleinabottes; Dofus Pourpre; Dofus des Glaces; Dolmanax; Vigoureux majeur; Cascadeur majeur; Enragé majeur; Muldo Pourpre</t>
        </is>
      </c>
    </row>
    <row r="11864">
      <c r="A11864" t="inlineStr">
        <is>
          <t>trithon 12/6</t>
        </is>
      </c>
      <c r="B11864">
        <f>HYPERLINK("https://www.dofusbook.net/fr/equipement/1709789-trithon-12-6/objets", "link")</f>
        <v/>
      </c>
      <c r="C11864" t="n">
        <v>1</v>
      </c>
      <c r="D11864" t="inlineStr">
        <is>
          <t>Hache du Chalœil; Amulette du Strigide; Bague Trithon; Pikano; Quatre-feuilles; Ceinture du Strigide; Masque Trithon; Voile d'encre; Bottes Trithon; Dofus des Glaces; Dofus Pourpre; Dofus Ocre; Dofus Turquoise; Dolmanax; Ralentisseur majeur; Muldo Prune et Pourpre</t>
        </is>
      </c>
    </row>
    <row r="11865">
      <c r="A11865" t="inlineStr">
        <is>
          <t>Stuff 3</t>
        </is>
      </c>
      <c r="B11865">
        <f>HYPERLINK("https://www.dofusbook.net/fr/equipement/238451-stuff-3/objets", "link")</f>
        <v/>
      </c>
      <c r="C11865" t="n">
        <v>1</v>
      </c>
      <c r="D11865" t="inlineStr">
        <is>
          <t>Hache du Chalœil; Amulette Luminescente; Bague Gloursonne; Bague Trithon; Quatre-feuilles; Ceinture Luminescente; Masque Trithon; Cape Luminescente; Bottes Trithon; Dofus Émeraude; Dolmanax; Dofus des Glaces; Dofus Pourpre; Dofus Ocre; Dofus Turquoise; Muldo Prune et Emeraude</t>
        </is>
      </c>
    </row>
    <row r="11866">
      <c r="A11866" t="inlineStr">
        <is>
          <t>trithons</t>
        </is>
      </c>
      <c r="B11866">
        <f>HYPERLINK("https://www.dofusbook.net/fr/equipement/1709350-trithons/objets", "link")</f>
        <v/>
      </c>
      <c r="C11866" t="n">
        <v>0</v>
      </c>
      <c r="D11866" t="inlineStr">
        <is>
          <t>Héqache; Amulette du Strigide; Bague Gloursonne; Bague Trithon; Quatre-feuilles; Ceinture du Strigide; Masque Trithon; Voile d'encre; Bottes Trithon; Dofus Turquoise; Dofus des Glaces; Dofus Ocre; Dokoko; Dofus Pourpre; Dolmanax; Muldo Pourpre</t>
        </is>
      </c>
    </row>
    <row r="11867">
      <c r="A11867" t="inlineStr">
        <is>
          <t>noctu</t>
        </is>
      </c>
      <c r="B11867">
        <f>HYPERLINK("https://www.dofusbook.net/fr/equipement/1709189-noctu/objets", "link")</f>
        <v/>
      </c>
      <c r="C11867" t="n">
        <v>0</v>
      </c>
      <c r="D11867" t="inlineStr">
        <is>
          <t>Baguette Nolog; Amulette du Strigide; Bague Trithon; Bague Gloursonne; Quatre-feuilles; Ceinture du Strigide; Masque Trithon; Voile d'encre; Bottes Trithon; Dofus Turquoise; Dofus des Glaces; Dofus Ocre; Dofus Pourpre; Dolmanax; Muldo Prune et Pourpre</t>
        </is>
      </c>
    </row>
    <row r="11868">
      <c r="A11868" t="inlineStr">
        <is>
          <t>anti eni/sadi/enu</t>
        </is>
      </c>
      <c r="B11868">
        <f>HYPERLINK("https://www.dofusbook.net/fr/equipement/1662854-anti-eni-sadi-enu/objets", "link")</f>
        <v/>
      </c>
      <c r="C11868" t="n">
        <v>0</v>
      </c>
      <c r="D11868" t="inlineStr">
        <is>
          <t>Epée Gloursonne; Amulette du Strigide; Bague Gloursonne; Alliance Gloursonne; Ceintouse; Chapoulpe; Cape du Kamasterisk; Bottes du Strigide</t>
        </is>
      </c>
    </row>
    <row r="11869">
      <c r="A11869" t="inlineStr">
        <is>
          <t>arc chaloeil re pm</t>
        </is>
      </c>
      <c r="B11869">
        <f>HYPERLINK("https://www.dofusbook.net/fr/equipement/1628847-arc-chaloeil-re-pm/objets", "link")</f>
        <v/>
      </c>
      <c r="C11869" t="n">
        <v>0</v>
      </c>
      <c r="D11869" t="inlineStr">
        <is>
          <t>Arc du Chalœil; Amulette du Strigide; Bague Gloursonne; Anneau Chevelu; Bouclier du Stalak; Ceintacé; Masque de Koutoulou; Voile d'encre; Bottes du Strigide; Dofus Pourpre; Dofus Turquoise; Dokoko; Cavaleur majeur; Nomade; Enragé majeur; Kramkram</t>
        </is>
      </c>
    </row>
    <row r="11870">
      <c r="A11870" t="inlineStr">
        <is>
          <t>mode marteau chaloei</t>
        </is>
      </c>
      <c r="B11870">
        <f>HYPERLINK("https://www.dofusbook.net/fr/equipement/238450-mode-marteau-chaloei/objets", "link")</f>
        <v/>
      </c>
      <c r="C11870" t="n">
        <v>0</v>
      </c>
      <c r="D11870" t="inlineStr">
        <is>
          <t>Marteau de Katrepat; Amulette du Strigide; Bague Gloursonne; Anneau Chevelu; Bouclier Taverne; Ceintacé; Casque du Chalœil; Voile d'encre; Bottes du Chalœil; Dofus Pourpre; Dokoko; Dofus Turquoise; Dolmanax; Remueur; Muldo Ebène et Orchidée</t>
        </is>
      </c>
    </row>
    <row r="11871">
      <c r="A11871" t="inlineStr">
        <is>
          <t>anti cra 1vs1</t>
        </is>
      </c>
      <c r="B11871">
        <f>HYPERLINK("https://www.dofusbook.net/fr/equipement/238449-anti-cra-1vs1/objets", "link")</f>
        <v/>
      </c>
      <c r="C11871" t="n">
        <v>0</v>
      </c>
      <c r="D11871" t="inlineStr">
        <is>
          <t>Arc Ahique; Amulette de Pol Ouatnos; Pikano; Alliance Gloursonne; Bouclier du Stalak; Ceinture de la Reine des Voleurs; Coiffe de la Reine des Voleurs; Voile d'encre; Baleinabottes; Dolmanax; Dokoko; Dofus Pourpre; Sanguinaire majeur; Remueur; Carapace Air majeur; Kramkram</t>
        </is>
      </c>
    </row>
    <row r="11872">
      <c r="A11872" t="inlineStr">
        <is>
          <t>srambad arc</t>
        </is>
      </c>
      <c r="B11872">
        <f>HYPERLINK("https://www.dofusbook.net/fr/equipement/1608574-srambad-arc/objets", "link")</f>
        <v/>
      </c>
      <c r="C11872" t="n">
        <v>0</v>
      </c>
      <c r="D11872" t="inlineStr">
        <is>
          <t>Dagues de Srambad; Amulette de l'Indicible; Pikano; Alliance Gloursonne; Bouclier Pandawa; Ceinture de la Reine des Voleurs; Coiffe de la Reine des Voleurs; Voile d'encre; Baleinabottes; Dolmanax; Dofus Pourpre; Dokoko; Nomade; Chanceux majeur; Remueur; Kramkram</t>
        </is>
      </c>
    </row>
    <row r="11873">
      <c r="A11873" t="inlineStr">
        <is>
          <t>tacle</t>
        </is>
      </c>
      <c r="B11873">
        <f>HYPERLINK("https://www.dofusbook.net/fr/equipement/1577775-tacle/objets", "link")</f>
        <v/>
      </c>
      <c r="C11873" t="n">
        <v>0</v>
      </c>
      <c r="D11873" t="inlineStr">
        <is>
          <t>Sceptre du Roi Joueur; Amulette de Shokkoth; Alliance Gloursonne; Bracelet des Fonds marins; Bouclier du Sadida; Poulpagne; Kidibonnet; Cape de Mantaze; Sandales des Fonds marins; Dofus Pourpre; Dofus Turquoise; Dokoko; Chanceux majeur; Temporiseur majeur; Obstructeur majeur; Muldo Indigo et Amande</t>
        </is>
      </c>
    </row>
    <row r="11874">
      <c r="A11874" t="inlineStr">
        <is>
          <t>tjtj</t>
        </is>
      </c>
      <c r="B11874">
        <f>HYPERLINK("https://www.dofusbook.net/fr/equipement/1307263-tjtj/objets", "link")</f>
        <v/>
      </c>
      <c r="C11874" t="n">
        <v>1</v>
      </c>
      <c r="D11874" t="inlineStr">
        <is>
          <t>Dagues Érhy; Amulette du Cycloïde; Bague Gloursonne; Chevalière du Roi Joueur; Ceintacé; Chapeau de Gein; Voile d'encre; Bottes du Cycloïde; Dolmanax; Dofus Pourpre; Dofus des Glaces; Dofus Ocre; Nomade; Muldo Pourpre</t>
        </is>
      </c>
    </row>
    <row r="11875">
      <c r="A11875" t="inlineStr">
        <is>
          <t>Stuff 3</t>
        </is>
      </c>
      <c r="B11875">
        <f>HYPERLINK("https://www.dofusbook.net/fr/equipement/238457-stuff-3/objets", "link")</f>
        <v/>
      </c>
      <c r="C11875" t="n">
        <v>0</v>
      </c>
      <c r="D11875" t="inlineStr">
        <is>
          <t>Arc de Koutoulou; Amulette Voldelor; Gant du Valet Veinard; Alliance Gloursonne; Ftalmo; Ceinture Voldelor; Némès de Tal Kasha; Chevelure de Tal Kasha; Sandales de Tal Kasha; Dokoko; Dofus Émeraude; Dofus Pourpre; Dofus Ocre; Dofus des Glaces; Dolmanax; Muldo Ebène</t>
        </is>
      </c>
    </row>
    <row r="11876">
      <c r="A11876" t="inlineStr">
        <is>
          <t>Stuff 2</t>
        </is>
      </c>
      <c r="B11876">
        <f>HYPERLINK("https://www.dofusbook.net/fr/equipement/238459-stuff-2/objets", "link")</f>
        <v/>
      </c>
      <c r="C11876" t="n">
        <v>0</v>
      </c>
      <c r="D11876" t="inlineStr">
        <is>
          <t>Dagues Érhy; Amulette du Strigide; Chevalière du Roi Joueur; Bague Gloursonne; Ceinture du Strigide; Bonnet Ko; Voile d'encre; Bottes du Cycloïde; Dofus Pourpre; Dofus Ocre; Dofus des Glaces; Dofus Turquoise; Nomade; Remueur; Muldo Prune et Doré</t>
        </is>
      </c>
    </row>
    <row r="11877">
      <c r="A11877" t="inlineStr">
        <is>
          <t>Stuff 2</t>
        </is>
      </c>
      <c r="B11877">
        <f>HYPERLINK("https://www.dofusbook.net/fr/equipement/238456-stuff-2/objets", "link")</f>
        <v/>
      </c>
      <c r="C11877" t="n">
        <v>1</v>
      </c>
      <c r="D11877" t="inlineStr">
        <is>
          <t>Manthache; Collier du Valet Veinard; Alliance Gloursonne; Gant du Valet Veinard; Bouclier précieux; Menoture; Dorabysses; Cape Indescriptible; Palmes Trithons; Dofus Émeraude; Dofus Pourpre; Miraculé majeur; Cascadeur majeur; Remueur; Muldo Ebène et Indigo</t>
        </is>
      </c>
    </row>
    <row r="11878">
      <c r="A11878" t="inlineStr">
        <is>
          <t>Stuff 1.29</t>
        </is>
      </c>
      <c r="B11878">
        <f>HYPERLINK("https://www.dofusbook.net/fr/equipement/5780580-stuff-1-29/objets", "link")</f>
        <v/>
      </c>
      <c r="C11878" t="n">
        <v>0</v>
      </c>
      <c r="D11878" t="inlineStr">
        <is>
          <t>Bâton Champmanique; Kralamansion; Kralano; Annolamour; Bouclier du Captain Amakna; Ceinture Mycosine; Le Kim; Voile d'encre; Chaussons Pignons; Dofus Pourpre; Dofus Vulbis; Dofus Cawotte; Dofus Turquoise; Dofus Émeraude; Dofus Ocre; Bulbisou</t>
        </is>
      </c>
    </row>
    <row r="11879">
      <c r="A11879" t="inlineStr">
        <is>
          <t>Iop M 200</t>
        </is>
      </c>
      <c r="B11879">
        <f>HYPERLINK("https://www.dofusbook.net/fr/equipement/5954145-iop-m-200/objets", "link")</f>
        <v/>
      </c>
      <c r="C11879" t="n">
        <v>1</v>
      </c>
      <c r="D11879" t="inlineStr">
        <is>
          <t>Crocobur; Amulette du Nocturlabe; Anneau Crustique; Anneau Crustique; Bouclier du Captain Amakna; Ceinture Volkorne; Coiffe du Comte Harebourg; Cape au Logis; Bottes du Comte Harebourg; Dofus Vulbis; Dofus Nébuleux; Dofus Pourpre; Dofus Ébène; Enragé majeur; Forcené majeur; Bulbisou</t>
        </is>
      </c>
    </row>
    <row r="11880">
      <c r="A11880" t="inlineStr">
        <is>
          <t>Pandawa M 200</t>
        </is>
      </c>
      <c r="B11880">
        <f>HYPERLINK("https://www.dofusbook.net/fr/equipement/5708104-pandawa-m-200/objets", "link")</f>
        <v/>
      </c>
      <c r="C11880" t="n">
        <v>10</v>
      </c>
      <c r="D11880" t="inlineStr">
        <is>
          <t>Rouleau à Pâtisserie d'Aermyne; Collier Rophante; Alliance Gloursonne; Anneau de Pol Ouatnos; Bouclier précieux; Ceintacé; Masque d'Anerice; Cape d'Anerice; Baleinabottes; Dofus Ivoire; Dofus Émeraude; Miraculé majeur; Tacleur majeur; Bloqueur majeur; Obstructeur majeur; Givrefoux</t>
        </is>
      </c>
    </row>
    <row r="11881">
      <c r="A11881" t="inlineStr">
        <is>
          <t>Enutrof M 200</t>
        </is>
      </c>
      <c r="B11881">
        <f>HYPERLINK("https://www.dofusbook.net/fr/equipement/5901765-enutrof-m-200/objets", "link")</f>
        <v/>
      </c>
      <c r="C11881" t="n">
        <v>1</v>
      </c>
      <c r="D11881" t="inlineStr">
        <is>
          <t>Epée Kari; Amulette du Strigide; Bracelet du Piloztère; Grésilanneau; Quatre-feuilles; Ceintacé; Coiffe Ranshi; Voilamibe; Bottes du Strigide; Dofus Turquoise; Dofus Pourpre; Vigoureux majeur; Nomade; Puissant majeur; Remueur; Dragodinde Emeraude et Ivoire</t>
        </is>
      </c>
    </row>
    <row r="11882">
      <c r="A11882" t="inlineStr">
        <is>
          <t>Crâ M 200</t>
        </is>
      </c>
      <c r="B11882">
        <f>HYPERLINK("https://www.dofusbook.net/fr/equipement/5883103-cra-m-200/objets", "link")</f>
        <v/>
      </c>
      <c r="C11882" t="n">
        <v>0</v>
      </c>
      <c r="D11882" t="inlineStr">
        <is>
          <t>Rouleau à Pâtisserie d'Aermyne; Amulette du Strigide; Bracelet du Piloztère; Grésilanneau; Cadran de Feu; Ceintacé; Casque Dragoeuf; Cape d'Aermyne; Bottes de XLII; Dokoko; Dofus des Veilleurs; Remueur; Miraculé majeur; Nomade; Survivant majeur; Dragodinde Emeraude et Ivoire</t>
        </is>
      </c>
    </row>
    <row r="11883">
      <c r="A11883" t="inlineStr">
        <is>
          <t>Zobal M 200</t>
        </is>
      </c>
      <c r="B11883">
        <f>HYPERLINK("https://www.dofusbook.net/fr/equipement/5352982-zobal-m-200/objets", "link")</f>
        <v/>
      </c>
      <c r="C11883" t="n">
        <v>21</v>
      </c>
      <c r="D11883" t="inlineStr">
        <is>
          <t>Dagues d'Ilyzaelle; Amulette du Strigide; Bague Gloursonne; Bracelet du Piloztère; Bouclier du Captain Amakna; Ceintacé; Corne de Torkélonia; Cape au Logis; Bottes du Strigide; Dofus Ivoire; Dofus Turquoise; Dofus Pourpre; Enragé majeur; Remueur; Vigoureux majeur; Bulbisou</t>
        </is>
      </c>
    </row>
    <row r="11884">
      <c r="A11884" t="inlineStr">
        <is>
          <t>Eniripsa F 200</t>
        </is>
      </c>
      <c r="B11884">
        <f>HYPERLINK("https://www.dofusbook.net/fr/equipement/5675534-eniripsa-f-200/objets", "link")</f>
        <v/>
      </c>
      <c r="C11884" t="n">
        <v>8</v>
      </c>
      <c r="D11884" t="inlineStr">
        <is>
          <t>Plumeau Bil; Amulette Volkorne; Bague Gloursonne; Anneau Tique; Bouclier d'Ilyzaelle; Ceinture Séculaire; Coiffe Séculaire; Cape de Diondin; Bottes Innommables; Dofus Turquoise; Dofus Pourpre; Érudit majeur; Nomade; Guérisseur majeur; Remueur; Bisouglours</t>
        </is>
      </c>
    </row>
    <row r="11885">
      <c r="A11885" t="inlineStr">
        <is>
          <t>sram terre air 6po</t>
        </is>
      </c>
      <c r="B11885">
        <f>HYPERLINK("https://www.dofusbook.net/fr/equipement/2983151-sram-terre-air-6po/objets", "link")</f>
        <v/>
      </c>
      <c r="C11885" t="n">
        <v>5</v>
      </c>
      <c r="D11885" t="inlineStr">
        <is>
          <t>Lance corrompue; Amulette du Cœur Vaillant; Alliance Gloursonne; Bague Gloursonne; La Rondelle; Ceinture de la Reine des Voleurs; Coiffe de la Reine des Voleurs; Cape du Cœur Vaillant; Bottes du Cœur Vaillant; Dofus Pourpre; Dofus Ocre; Dokoko; Dofus des Glaces; Féroce majeur; Robuste majeur; Muldo Ebène</t>
        </is>
      </c>
    </row>
    <row r="11886">
      <c r="A11886" t="inlineStr">
        <is>
          <t>Steamer M 200</t>
        </is>
      </c>
      <c r="B11886">
        <f>HYPERLINK("https://www.dofusbook.net/fr/equipement/5827621-steamer-m-200/objets", "link")</f>
        <v/>
      </c>
      <c r="C11886" t="n">
        <v>1</v>
      </c>
      <c r="D11886" t="inlineStr">
        <is>
          <t>Crocobur; Amulette de l'Indicible; Bracelet du Piloztère; Anneau Volkorne; Bouclier du Captain Amakna; Ceinture de l'Indicible; Casque Volkorne; Cape du Chalœil; Bottes de l'Indicible; Dofus Ébène; Dofus Ocre; Dofus Pourpre; Dofus des Glaces; Dofus Ivoire; Dofus Vulbis; Fëanor</t>
        </is>
      </c>
    </row>
    <row r="11887">
      <c r="A11887" t="inlineStr">
        <is>
          <t>Féca M 200</t>
        </is>
      </c>
      <c r="B11887">
        <f>HYPERLINK("https://www.dofusbook.net/fr/equipement/5826693-feca-m-200/objets", "link")</f>
        <v/>
      </c>
      <c r="C11887" t="n">
        <v>0</v>
      </c>
      <c r="D11887" t="inlineStr">
        <is>
          <t>Rapière aux Glyphes; Amulette de Shokkoth; Anneau Glacial; Alliance Gloursonne; Cadran d'Air; Sangle Ouare; Kidibonnet; Cape Glaciale; Pataugastrique; Dofus Pourpre; Dofus Ivoire; Dofus Ébène; Dofus Ocre; Dofus Vulbis; Chanceux majeur; Kanigloups</t>
        </is>
      </c>
    </row>
    <row r="11888">
      <c r="A11888" t="inlineStr">
        <is>
          <t>Steamer M 200</t>
        </is>
      </c>
      <c r="B11888">
        <f>HYPERLINK("https://www.dofusbook.net/fr/equipement/5825052-steamer-m-200/objets", "link")</f>
        <v/>
      </c>
      <c r="C11888" t="n">
        <v>1</v>
      </c>
      <c r="D11888" t="inlineStr">
        <is>
          <t>Baguette de Torkélonia; Amulette du Strigide; Bague Gloursonne; Bracelet du Piloztère; Quatre-feuilles; Ceinture du Strigide; Corne de Torkélonia; Carapace de Torkélonia; Bottes du Strigide; Dofus Ocre; Dofus Ébène; Dofus Pourpre; Dofus des Glaces; Dofus Turquoise; Dofus Ivoire; Kokulte</t>
        </is>
      </c>
    </row>
    <row r="11889">
      <c r="A11889" t="inlineStr">
        <is>
          <t>Iop M 200</t>
        </is>
      </c>
      <c r="B11889">
        <f>HYPERLINK("https://www.dofusbook.net/fr/equipement/5821758-iop-m-200/objets", "link")</f>
        <v/>
      </c>
      <c r="C11889" t="n">
        <v>3</v>
      </c>
      <c r="D11889" t="inlineStr">
        <is>
          <t>Couteaux Sacrificiels; Amulette Volkorne; Anneau Volkorne; Crocanneau; Cadran d'Eau; Ceintrigue; Masque Paztek; Cape Paztek; Bottes Owesli; Dofus Ocre; Dofus Ébène; Dofus des Glaces; Dofus Pourpre; Dofus Vulbis; Dofus Ivoire; Walk</t>
        </is>
      </c>
    </row>
    <row r="11890">
      <c r="A11890" t="inlineStr">
        <is>
          <t>Iop M 200</t>
        </is>
      </c>
      <c r="B11890">
        <f>HYPERLINK("https://www.dofusbook.net/fr/equipement/5752967-iop-m-200/objets", "link")</f>
        <v/>
      </c>
      <c r="C11890" t="n">
        <v>4</v>
      </c>
      <c r="D11890" t="inlineStr">
        <is>
          <t>Dagues d'Ilyzaelle; Amulette du Strigide; Anneau Chevelu; Bague Gloursonne; Bouclier du Captain Amakna; Ceinture du Strigide; Masque de Koutoulou; Cape au Logis; Bottes du Roi Joueur; Dofus Pourpre; Dofus Ivoire; Dofus Turquoise; Enragé majeur; Vigoureux majeur; Remueur; Bulbisou</t>
        </is>
      </c>
    </row>
    <row r="11891">
      <c r="A11891" t="inlineStr">
        <is>
          <t>Steamer M 200</t>
        </is>
      </c>
      <c r="B11891">
        <f>HYPERLINK("https://www.dofusbook.net/fr/equipement/5661834-steamer-m-200/objets", "link")</f>
        <v/>
      </c>
      <c r="C11891" t="n">
        <v>1</v>
      </c>
      <c r="D11891" t="inlineStr">
        <is>
          <t>Baguette Iots; Amulette Volkorne; Bague Trithon; Anneau Volkorne; Quatre-feuilles; Ceinture Volkorne; Masque Trithon; Cape d'Atcham; Bottes Trithon; Dofus Turquoise; Dofus Ébène; Dofus Pourpre; Dofus Nébuleux; Dofus Ocre; Dofus des Glaces; Kokulte</t>
        </is>
      </c>
    </row>
    <row r="11892">
      <c r="A11892" t="inlineStr">
        <is>
          <t>Féca M 200</t>
        </is>
      </c>
      <c r="B11892">
        <f>HYPERLINK("https://www.dofusbook.net/fr/equipement/5675602-feca-m-200/objets", "link")</f>
        <v/>
      </c>
      <c r="C11892" t="n">
        <v>14</v>
      </c>
      <c r="D11892" t="inlineStr">
        <is>
          <t>Dagues d'Ilyzaelle; Amulette du Strigide; Bague Gloursonne; Bracelet du Piloztère; Bouclier du Captain Amakna; Ceintacé; Casque de Missiz Frizz; Cape au Logis; Bottes du Strigide; Dofus Abyssal; Dofus Ivoire; Dofus Pourpre; Dofus Turquoise; Enragé majeur; Remueur; Bulbisou</t>
        </is>
      </c>
    </row>
    <row r="11893">
      <c r="A11893" t="inlineStr">
        <is>
          <t>Ouginak M 200</t>
        </is>
      </c>
      <c r="B11893">
        <f>HYPERLINK("https://www.dofusbook.net/fr/equipement/5675585-ouginak-m-200/objets", "link")</f>
        <v/>
      </c>
      <c r="C11893" t="n">
        <v>5</v>
      </c>
      <c r="D11893" t="inlineStr">
        <is>
          <t>Manthache; Collier du Valet Veinard; Gant du Valet Veinard; Alliance Gloursonne; Bouclier d'Ilyzaelle; Menoture; Couronne d'Allister; Cape Indescriptible; Palmes Trithons; Dofus Pourpre; Dofus Émeraude; Dofus Ivoire; Cascadeur majeur; Nomade; Remueur; Siroko</t>
        </is>
      </c>
    </row>
    <row r="11894">
      <c r="A11894" t="inlineStr">
        <is>
          <t>Féca M 200</t>
        </is>
      </c>
      <c r="B11894">
        <f>HYPERLINK("https://www.dofusbook.net/fr/equipement/4940424-feca-m-200/objets", "link")</f>
        <v/>
      </c>
      <c r="C11894" t="n">
        <v>22</v>
      </c>
      <c r="D11894" t="inlineStr">
        <is>
          <t>Epée Kari; Amulette du Strigide; Bracelet du Piloztère; Grésilanneau; Quatre-feuilles; Ceintacé; Coiffe Ranshi; Voilamibe; Bottes du Strigide; Dofus Pourpre; Dofus Nébuleux; Dofus Turquoise; Remueur; Vigoureux majeur; Nomade; Dragodinde Emeraude et Ivoire</t>
        </is>
      </c>
    </row>
    <row r="11895">
      <c r="A11895" t="inlineStr">
        <is>
          <t>Crâ M 200</t>
        </is>
      </c>
      <c r="B11895">
        <f>HYPERLINK("https://www.dofusbook.net/fr/equipement/5544756-cra-m-200/objets", "link")</f>
        <v/>
      </c>
      <c r="C11895" t="n">
        <v>9</v>
      </c>
      <c r="D11895" t="inlineStr">
        <is>
          <t>Epée Kari; Amulette du Strigide; Bracelet du Piloztère; Grésilanneau; Quatre-feuilles; Ceintacé; Coiffe Ranshi; Voilamibe; Bottes du Strigide; Dofus Nébuleux; Dofus Pourpre; Dofus Turquoise; Remueur; Nomade; Vigoureux majeur; Dragodinde Emeraude et Ivoire</t>
        </is>
      </c>
    </row>
    <row r="11896">
      <c r="A11896" t="inlineStr">
        <is>
          <t>Zobal M 200</t>
        </is>
      </c>
      <c r="B11896">
        <f>HYPERLINK("https://www.dofusbook.net/fr/equipement/5603323-zobal-m-200/objets", "link")</f>
        <v/>
      </c>
      <c r="C11896" t="n">
        <v>1</v>
      </c>
      <c r="D11896" t="inlineStr">
        <is>
          <t>Dagues d'Ilyzaelle; Amulette du Strigide; Anneau de Brouce; Bague Gloursonne; Bouclier du Captain Amakna; Ceinture de la Cour Sombre; Casque de Missiz Frizz; Cape de la Cour Sombre; Bottes de la Cour Sombre; Dofus Ébène; Dofus Turquoise; Dofus Ivoire; Dofus Ocre; Dofus Vulbis; Dofus Pourpre; Volkorne Emeraude et Pourpre</t>
        </is>
      </c>
    </row>
    <row r="11897">
      <c r="A11897" t="inlineStr">
        <is>
          <t>Crâ M 200</t>
        </is>
      </c>
      <c r="B11897">
        <f>HYPERLINK("https://www.dofusbook.net/fr/equipement/5638261-cra-m-200/objets", "link")</f>
        <v/>
      </c>
      <c r="C11897" t="n">
        <v>0</v>
      </c>
      <c r="D11897" t="inlineStr">
        <is>
          <t>Dagues d'Ilyzaelle; Amulette Cryochrone; Bracelet du Piloztère; Anneau Cryochrone; Cadran de Terre; Ceinture de Vortex; Chapeau Lisson; Cape d'Atcham; Pataugastrique; Dofus Ivoire; Dofus Pourpre; Dofus Ébène; Dofus Vulbis; Dofus Ocre; Étourdisseur majeur; Koalak Sanguin</t>
        </is>
      </c>
    </row>
    <row r="11898">
      <c r="A11898" t="inlineStr">
        <is>
          <t>eca feu soin</t>
        </is>
      </c>
      <c r="B11898">
        <f>HYPERLINK("https://www.dofusbook.net/fr/equipement/3937812-eca-feu-soin/objets", "link")</f>
        <v/>
      </c>
      <c r="C11898" t="n">
        <v>9</v>
      </c>
      <c r="D11898" t="inlineStr">
        <is>
          <t>Arc Hétype; Amulette de Nileza; Anneau Tique; Bague Gloursonne; Cadran d'Air; Ceinture de Vortex; Heaume Oplate; Cape Ardente; Chaussures Ardentes; Dofus Ébène; Dofus Ivoire; Dofus Vulbis; Dofus Pourpre; Remueur; Érudit majeur; Bisouglours</t>
        </is>
      </c>
    </row>
    <row r="11899">
      <c r="A11899" t="inlineStr">
        <is>
          <t>Zobal M 200</t>
        </is>
      </c>
      <c r="B11899">
        <f>HYPERLINK("https://www.dofusbook.net/fr/equipement/5598200-zobal-m-200/objets", "link")</f>
        <v/>
      </c>
      <c r="C11899" t="n">
        <v>2</v>
      </c>
      <c r="D11899" t="inlineStr">
        <is>
          <t>Crocobur; Amulette du Strigide; Bague Trithon; Bracelet du Piloztère; Bouclier du Captain Amakna; Ceinture du Strigide; Masque Trithon; Cape du Chalœil; Bottes du Strigide; Dofus Pourpre; Dofus Turquoise; Dofus Ocre; Dofus Ivoire; Dofus Vulbis; Dofus Ébène; Kokulte</t>
        </is>
      </c>
    </row>
    <row r="11900">
      <c r="A11900" t="inlineStr">
        <is>
          <t>Enutrof M 200</t>
        </is>
      </c>
      <c r="B11900">
        <f>HYPERLINK("https://www.dofusbook.net/fr/equipement/5588774-enutrof-m-200/objets", "link")</f>
        <v/>
      </c>
      <c r="C11900" t="n">
        <v>0</v>
      </c>
      <c r="D11900" t="inlineStr">
        <is>
          <t>Marteau R'ture; Amulette Hale; Pikano; Bague Instable; Bouclier cubiste; Ceinture Instable; Coiffe Ranshi; Cape de Léthaline; Pantoufles Émar; Dofus Pourpre; Remueur; Temporiseur majeur; Entraveur majeur; Nomade; Ralentisseur majeur; Léopardo</t>
        </is>
      </c>
    </row>
    <row r="11901">
      <c r="A11901" t="inlineStr">
        <is>
          <t>Enutrof M 200</t>
        </is>
      </c>
      <c r="B11901">
        <f>HYPERLINK("https://www.dofusbook.net/fr/equipement/4600387-enutrof-m-200/objets", "link")</f>
        <v/>
      </c>
      <c r="C11901" t="n">
        <v>3</v>
      </c>
      <c r="D11901" t="inlineStr">
        <is>
          <t>Marteau des égarés; Amulette de l'Indicible; Anneau Volkorne; Bracelet du Piloztère; Bivalve; Ceinture de l'Indicible; Casque Volkorne; Dofusteuse; Bottes de l'Indicible; Dofus des Glaces; Dofus Pourpre; Dofus Ocre; Dofus Vulbis; Dofus Ébène; Dofus Abyssal; Fëanor</t>
        </is>
      </c>
    </row>
    <row r="11902">
      <c r="A11902" t="inlineStr">
        <is>
          <t>Sacrieur M 200</t>
        </is>
      </c>
      <c r="B11902">
        <f>HYPERLINK("https://www.dofusbook.net/fr/equipement/5563683-sacrieur-m-200/objets", "link")</f>
        <v/>
      </c>
      <c r="C11902" t="n">
        <v>9</v>
      </c>
      <c r="D11902" t="inlineStr">
        <is>
          <t>Crocobur; Amulette du Strigide; Crocanneau; Bracelet du Piloztère; Bouclier du Captain Amakna; Ceinture du Strigide; Casque du Chalœil; Cape du Chalœil; Bottes du Chalœil; Dofus Vulbis; Dofus Ébène; Dofus Turquoise; Dofus Ivoire; Dofus Pourpre; Dofus Nébuleux; Dragodinde Emeraude et Ivoire</t>
        </is>
      </c>
    </row>
    <row r="11903">
      <c r="A11903" t="inlineStr">
        <is>
          <t>Zobal M 200</t>
        </is>
      </c>
      <c r="B11903">
        <f>HYPERLINK("https://www.dofusbook.net/fr/equipement/5540447-zobal-m-200/objets", "link")</f>
        <v/>
      </c>
      <c r="C11903" t="n">
        <v>2</v>
      </c>
      <c r="D11903" t="inlineStr">
        <is>
          <t>Marteau R'ture; Amulette du Cœur Saignant; Bracelet du Piloztère; Anneau Chevelu; Cadran de Terre; Ceinture des Chocomanciens; Masque de Koutoulou; Cape au Logis; Sabots Taj; Dofus Ocre; Dofus Pourpre; Dofus Ivoire; Dofus Ébène; Temporiseur majeur; Observateur; Léopardo</t>
        </is>
      </c>
    </row>
    <row r="11904">
      <c r="A11904" t="inlineStr">
        <is>
          <t>Crâ M 200</t>
        </is>
      </c>
      <c r="B11904">
        <f>HYPERLINK("https://www.dofusbook.net/fr/equipement/5540332-cra-m-200/objets", "link")</f>
        <v/>
      </c>
      <c r="C11904" t="n">
        <v>1</v>
      </c>
      <c r="D11904" t="inlineStr">
        <is>
          <t>Sabres d'Atcham; Talisman Glouti; Bracelet du Piloztère; Anneau Tique; Cadran de Terre; Ceinture de Vortex; Dorabysses; Cape d'Atcham; Sandales  d'Atcham; Dofus Vulbis; Dofus Ivoire; Dofus Ocre; Dofus Ébène; Dofus Pourpre; Dofus Turquoise; Minimino</t>
        </is>
      </c>
    </row>
    <row r="11905">
      <c r="A11905" t="inlineStr">
        <is>
          <t>Enutrof M 200</t>
        </is>
      </c>
      <c r="B11905">
        <f>HYPERLINK("https://www.dofusbook.net/fr/equipement/5505484-enutrof-m-200/objets", "link")</f>
        <v/>
      </c>
      <c r="C11905" t="n">
        <v>1</v>
      </c>
      <c r="D11905" t="inlineStr">
        <is>
          <t>Arc du Chalœil; Amulette du Strigide; Anneau de Brouce; Bracelet du Piloztère; Quatre-feuilles; Ceintacé; Masque de Koutoulou; Cape au Logis; Bottes du Strigide; Dofus Pourpre; Dofus Turquoise; Dofus Nébuleux; Remueur; Enragé majeur; Nomade; Dragodinde Emeraude et Pourpre</t>
        </is>
      </c>
    </row>
    <row r="11906">
      <c r="A11906" t="inlineStr">
        <is>
          <t>Crâ M 200</t>
        </is>
      </c>
      <c r="B11906">
        <f>HYPERLINK("https://www.dofusbook.net/fr/equipement/5505495-cra-m-200/objets", "link")</f>
        <v/>
      </c>
      <c r="C11906" t="n">
        <v>1</v>
      </c>
      <c r="D11906" t="inlineStr">
        <is>
          <t>La Baguette des Limbes; Pendentif affamé; Anneau Tamie; Bague Gloursonne; Quatre-feuilles; Ceinture Séculaire; Coiffe Séculaire; Cape de Diondin; Bottes Innommables; Dofus Nébuleux; Dofus Pourpre; Dofus Turquoise; Remueur; Érudit majeur; Nomade; Brûlih</t>
        </is>
      </c>
    </row>
    <row r="11907">
      <c r="A11907" t="inlineStr">
        <is>
          <t>Eniripsa F 200</t>
        </is>
      </c>
      <c r="B11907">
        <f>HYPERLINK("https://www.dofusbook.net/fr/equipement/5461789-eniripsa-f-200/objets", "link")</f>
        <v/>
      </c>
      <c r="C11907" t="n">
        <v>6</v>
      </c>
      <c r="D11907" t="inlineStr">
        <is>
          <t>Marteau Phossile; Pendentif mignon de Koutoulou; Anneauræus; Anneau de Padgref; Bivalve; Ceinture Séculaire; Coiffe Séculaire; Cape Hiculteur; Pantoufles Émar; Dofus Pourpre; Dofus Turquoise; Érudit majeur; Remueur; Guérisseur majeur; Nomade; Willy le Relou</t>
        </is>
      </c>
    </row>
    <row r="11908">
      <c r="A11908" t="inlineStr">
        <is>
          <t>Eliotrope F 200</t>
        </is>
      </c>
      <c r="B11908">
        <f>HYPERLINK("https://www.dofusbook.net/fr/equipement/5450258-eliotrope-f-200/objets", "link")</f>
        <v/>
      </c>
      <c r="C11908" t="n">
        <v>0</v>
      </c>
      <c r="D11908" t="inlineStr">
        <is>
          <t>Arc du Chalœil; Amulette Volkorne; Bague Gloursonne; Anneau Chevelu; Cadran d'Air; Ceinture Volkorne; Chapeau de Gein; Cape au Logis; Baleinabottes; Dofus Ébène; Dofus Pourpre; Dokoko; Dofus Ivoire; Enragé majeur; Remueur; Bulbisou</t>
        </is>
      </c>
    </row>
    <row r="11909">
      <c r="A11909" t="inlineStr">
        <is>
          <t>Eliotrope M 200</t>
        </is>
      </c>
      <c r="B11909">
        <f>HYPERLINK("https://www.dofusbook.net/fr/equipement/5451599-eliotrope-m-200/objets", "link")</f>
        <v/>
      </c>
      <c r="C11909" t="n">
        <v>8</v>
      </c>
      <c r="D11909" t="inlineStr">
        <is>
          <t>Manthache; Collier du Valet Veinard; Alliance Gloursonne; Gant du Valet Veinard; Bouclier du Stalak; Menoture; Couronne d'Allister; Cape Indescriptible; Palmes Trithons; Dofus Pourpre; Dofus Ébène; Vigoureux majeur; Remueur; Cascadeur majeur; Nomade; Blérodoudou</t>
        </is>
      </c>
    </row>
    <row r="11910">
      <c r="A11910" t="inlineStr">
        <is>
          <t>Zobal M 200</t>
        </is>
      </c>
      <c r="B11910">
        <f>HYPERLINK("https://www.dofusbook.net/fr/equipement/5446345-zobal-m-200/objets", "link")</f>
        <v/>
      </c>
      <c r="C11910" t="n">
        <v>0</v>
      </c>
      <c r="D11910" t="inlineStr"/>
    </row>
    <row r="11911">
      <c r="A11911" t="inlineStr">
        <is>
          <t>Zobal M 200</t>
        </is>
      </c>
      <c r="B11911">
        <f>HYPERLINK("https://www.dofusbook.net/fr/equipement/5446304-zobal-m-200/objets", "link")</f>
        <v/>
      </c>
      <c r="C11911" t="n">
        <v>7</v>
      </c>
      <c r="D11911" t="inlineStr">
        <is>
          <t>Marteau des égarés; Amulette Volkorne; Bague Trithon; Anneau Volkorne; Bouclier d'Ilyzaelle; Ceinture Volkorne; Masque Trithon; Chevelure de Tal Kasha; Bottes Trithon; Dofus Ocre; Dofus des Glaces; Dofus Pourpre; Dofus Ébène; Dofus Turquoise; Dofus Ivoire; Kokulte</t>
        </is>
      </c>
    </row>
    <row r="11912">
      <c r="A11912" t="inlineStr">
        <is>
          <t>Crâ M 200</t>
        </is>
      </c>
      <c r="B11912">
        <f>HYPERLINK("https://www.dofusbook.net/fr/equipement/5429055-cra-m-200/objets", "link")</f>
        <v/>
      </c>
      <c r="C11912" t="n">
        <v>3</v>
      </c>
      <c r="D11912" t="inlineStr">
        <is>
          <t>Epée Maudite du Saigneur Guerrier; Amulette Volkorne; Anneau Volkorne; Bague Trithon; Bouclier du Captain Amakna; Ceinture Volkorne; Masque Trithon; Cape Reski; Bottes Trithon; Dofus Turquoise; Dofus Ocre; Dofus Vulbis; Dofus Nébuleux; Dofus Pourpre; Dofus Ébène; Kokulte</t>
        </is>
      </c>
    </row>
    <row r="11913">
      <c r="A11913" t="inlineStr">
        <is>
          <t>Crâ F 200</t>
        </is>
      </c>
      <c r="B11913">
        <f>HYPERLINK("https://www.dofusbook.net/fr/equipement/4955117-cra-f-200/objets", "link")</f>
        <v/>
      </c>
      <c r="C11913" t="n">
        <v>6</v>
      </c>
      <c r="D11913" t="inlineStr">
        <is>
          <t>La Baguette des Limbes; Amulette d'Otomaï; Anneau Tamie; Anneau Tamie; Quatre-feuilles; Ceinture Séculaire; Coiffe Séculaire; Cape de Diondin; Bottes Innommables; Dofus Ébène; Dofus Pourpre; Dofus Nébuleux; Érudit majeur; Astucieux majeur; Vigoureux majeur; Bisouglours</t>
        </is>
      </c>
    </row>
    <row r="11914">
      <c r="A11914" t="inlineStr">
        <is>
          <t>Pandawa M 200</t>
        </is>
      </c>
      <c r="B11914">
        <f>HYPERLINK("https://www.dofusbook.net/fr/equipement/5410438-pandawa-m-200/objets", "link")</f>
        <v/>
      </c>
      <c r="C11914" t="n">
        <v>2</v>
      </c>
      <c r="D11914" t="inlineStr">
        <is>
          <t>Rouleau à Pâtisserie d'Aermyne; Amulette de Pol Ouatnos; Anneau de Pol Ouatnos; Alliance Gloursonne; Bouclier précieux; Ceintacé; Casque Dragoeuf; Cape d'Anerice; Pataugastrique; Dofus Émeraude; Dofus Ivoire; Remueur; Miraculé majeur; Fonceur majeur; Obstructeur majeur; Platypus</t>
        </is>
      </c>
    </row>
    <row r="11915">
      <c r="A11915" t="inlineStr">
        <is>
          <t>air ret pm</t>
        </is>
      </c>
      <c r="B11915">
        <f>HYPERLINK("https://www.dofusbook.net/fr/equipement/5371317-air-ret-pm/objets", "link")</f>
        <v/>
      </c>
      <c r="C11915" t="n">
        <v>2</v>
      </c>
      <c r="D11915" t="inlineStr">
        <is>
          <t>Hachoirs de Viandargh; Collier du Valet Veinard; Gant du Valet Veinard; Anneau d'Allister; Bouclier cubiste; Ceinture Voldelor; Couronne d'Allister; Cape du Valet Veinard; Bottes Voldelor; Dofus Vulbis; Dofus Ébène; Dofus Abyssal; Dofus Ocre; Dofus Pourpre; Dofus Ivoire; Léopardo</t>
        </is>
      </c>
    </row>
    <row r="11916">
      <c r="A11916" t="inlineStr">
        <is>
          <t>Xélor F 200</t>
        </is>
      </c>
      <c r="B11916">
        <f>HYPERLINK("https://www.dofusbook.net/fr/equipement/5296719-xelor-f-200/objets", "link")</f>
        <v/>
      </c>
      <c r="C11916" t="n">
        <v>0</v>
      </c>
      <c r="D11916" t="inlineStr">
        <is>
          <t>Dagoulinantes; Talisman Glouti; Alliance Gloursonne; Anneau Volkorne; Cadran de Terre; Sangle Ouare; Masque du Barbétoal; Cape du Barbétoal; Pataugastrique; Dofus Ébène; Dofus Pourpre; Dofus Ivoire; Dofus Ocre; Étourdisseur majeur; Chanceux majeur; Koalak Sanguin</t>
        </is>
      </c>
    </row>
    <row r="11917">
      <c r="A11917" t="inlineStr">
        <is>
          <t>steam terre air do p</t>
        </is>
      </c>
      <c r="B11917">
        <f>HYPERLINK("https://www.dofusbook.net/fr/equipement/2428963-steam-terre-air-do-p/objets", "link")</f>
        <v/>
      </c>
      <c r="C11917" t="n">
        <v>3</v>
      </c>
      <c r="D11917" t="inlineStr">
        <is>
          <t>Amulette du Cœur Vaillant; Bracelet du Piloztère; Bague Trithon; Bouclier Taverne; Masque Trithon; Cape du Cœur Vaillant; Bottes Trithon; Dofus des Glaces; Dofus Ivoire; Dofus Pourpre; Dofus Abyssal; Dofus Ocre; Muldo Ebène et Pourpre</t>
        </is>
      </c>
    </row>
    <row r="11918">
      <c r="A11918" t="inlineStr">
        <is>
          <t>Féca M 200</t>
        </is>
      </c>
      <c r="B11918">
        <f>HYPERLINK("https://www.dofusbook.net/fr/equipement/5286404-feca-m-200/objets", "link")</f>
        <v/>
      </c>
      <c r="C11918" t="n">
        <v>0</v>
      </c>
      <c r="D11918" t="inlineStr">
        <is>
          <t>Amulette du Strigide; Bague Trithon; Bouclier du Captain Amakna; Ceinture du Strigide; Masque Trithon; Voilamibe; Bottes du Strigide; Dofus Nébuleux; Dofus Ivoire; Dofus Turquoise; Dofus Ocre; Dofus Ébène; Dofus Pourpre; Dragodinde Emeraude et Ivoire</t>
        </is>
      </c>
    </row>
    <row r="11919">
      <c r="A11919" t="inlineStr">
        <is>
          <t>Enutrof M 200</t>
        </is>
      </c>
      <c r="B11919">
        <f>HYPERLINK("https://www.dofusbook.net/fr/equipement/5273823-enutrof-m-200/objets", "link")</f>
        <v/>
      </c>
      <c r="C11919" t="n">
        <v>0</v>
      </c>
      <c r="D11919" t="inlineStr">
        <is>
          <t>Marteau R'ture; Amulette Hale; Anneau Instable; Bouclier cubiste; Ceinture Instable; Coiffe Ranshi; Cape de Léthaline; Pantoufles Émar; Ralentisseur majeur; Remueur; Entraveur; Entraveur majeur; Temporiseur majeur; Nomade</t>
        </is>
      </c>
    </row>
    <row r="11920">
      <c r="A11920" t="inlineStr">
        <is>
          <t>Ecaflip M 200</t>
        </is>
      </c>
      <c r="B11920">
        <f>HYPERLINK("https://www.dofusbook.net/fr/equipement/5272483-ecaflip-m-200/objets", "link")</f>
        <v/>
      </c>
      <c r="C11920" t="n">
        <v>0</v>
      </c>
      <c r="D11920" t="inlineStr">
        <is>
          <t>Pelle Fik; Amulette de Shokkoth; Alliance Gloursonne; Bracelet du Piloztère; Bouclier d'Ilyzaelle; Sangle Ouare; Kidibonnet; Cape du Sinistrofu; Bottes du Sinistrofu; Dofus Pourpre; Dofus Kaliptus; Dofus Ébène; Dofus Ocre; Dofus Ivoire; Chanceux majeur; Bloalak</t>
        </is>
      </c>
    </row>
    <row r="11921">
      <c r="A11921" t="inlineStr">
        <is>
          <t>Ecaflip M 200</t>
        </is>
      </c>
      <c r="B11921">
        <f>HYPERLINK("https://www.dofusbook.net/fr/equipement/5266231-ecaflip-m-200/objets", "link")</f>
        <v/>
      </c>
      <c r="C11921" t="n">
        <v>1</v>
      </c>
      <c r="D11921" t="inlineStr">
        <is>
          <t>Arc du Chalœil; Amulette du Strigide; Bague Gloursonne; Bracelet du Piloztère; Quatre-feuilles; Ceinture du Strigide; Masque de Koutoulou; Cape au Logis; Bottes du Cœur Saignant; Dofus Ivoire; Dofus Pourpre; Dofus Ébène; Dofus Turquoise; Remueur; Enragé majeur; Bulbisou</t>
        </is>
      </c>
    </row>
    <row r="11922">
      <c r="A11922" t="inlineStr">
        <is>
          <t>Ecaflip M 200</t>
        </is>
      </c>
      <c r="B11922">
        <f>HYPERLINK("https://www.dofusbook.net/fr/equipement/5266276-ecaflip-m-200/objets", "link")</f>
        <v/>
      </c>
      <c r="C11922" t="n">
        <v>1</v>
      </c>
      <c r="D11922" t="inlineStr">
        <is>
          <t>Arc du Chalœil; Amulette du Strigide; Anneau Volkorne; Anneau Chevelu; Cadran d'Air; Ceinture Volkorne; Masque de Koutoulou; Cape au Logis; Bottes du Strigide; Dofus Pourpre; Dofus Ébène; Dofus Turquoise; Dofus Ivoire; Bulbisou</t>
        </is>
      </c>
    </row>
    <row r="11923">
      <c r="A11923" t="inlineStr">
        <is>
          <t>Iop M 200</t>
        </is>
      </c>
      <c r="B11923">
        <f>HYPERLINK("https://www.dofusbook.net/fr/equipement/5256358-iop-m-200/objets", "link")</f>
        <v/>
      </c>
      <c r="C11923" t="n">
        <v>0</v>
      </c>
      <c r="D11923" t="inlineStr"/>
    </row>
    <row r="11924">
      <c r="A11924" t="inlineStr">
        <is>
          <t>Sacrieur M 200</t>
        </is>
      </c>
      <c r="B11924">
        <f>HYPERLINK("https://www.dofusbook.net/fr/equipement/5250273-sacrieur-m-200/objets", "link")</f>
        <v/>
      </c>
      <c r="C11924" t="n">
        <v>4</v>
      </c>
      <c r="D11924" t="inlineStr">
        <is>
          <t>Epée Maudite du Saigneur Guerrier; Amulette du Strigide; Bague Gloursonne; Bracelet du Piloztère; Bouclier du Captain Amakna; Ceinture du Strigide; Masque Trithon; Cape des Justiciers; Sandales  d'Atcham; Dofus Turquoise; Dofus des Glaces; Dofus Pourpre; Miraculé majeur; Nomade; Remueur; Kokulte</t>
        </is>
      </c>
    </row>
    <row r="11925">
      <c r="A11925" t="inlineStr">
        <is>
          <t>Osamodas F 200</t>
        </is>
      </c>
      <c r="B11925">
        <f>HYPERLINK("https://www.dofusbook.net/fr/equipement/5249038-osamodas-f-200/objets", "link")</f>
        <v/>
      </c>
      <c r="C11925" t="n">
        <v>1</v>
      </c>
      <c r="D11925" t="inlineStr">
        <is>
          <t>Marteau d'Hectaupe; Amulette du Granduk; Alliance Gloursonne; Bracelet du Piloztère; Ceintacé; Couronne d'Allister; Cape Tif; Bottes d'Allister</t>
        </is>
      </c>
    </row>
    <row r="11926">
      <c r="A11926" t="inlineStr">
        <is>
          <t>Pandawa F 200</t>
        </is>
      </c>
      <c r="B11926">
        <f>HYPERLINK("https://www.dofusbook.net/fr/equipement/5231132-pandawa-f-200/objets", "link")</f>
        <v/>
      </c>
      <c r="C11926" t="n">
        <v>5</v>
      </c>
      <c r="D11926" t="inlineStr">
        <is>
          <t>Rouleau à Pâtisserie d'Aermyne; Collier Rophante; Bague Gloursonne; Alliance Gloursonne; Bouclier d'Anerice; Sangle Huée; Masque d'Anerice; Cape Wéra; Getas Bernacle; Dofus Émeraude; Dofus Ocre; Dofus Abyssal; Bloqueur majeur; Survivant majeur; Tacleur majeur; Volkorne Jade et Saphir</t>
        </is>
      </c>
    </row>
    <row r="11927">
      <c r="A11927" t="inlineStr">
        <is>
          <t>Ecaflip M 200</t>
        </is>
      </c>
      <c r="B11927">
        <f>HYPERLINK("https://www.dofusbook.net/fr/equipement/5226422-ecaflip-m-200/objets", "link")</f>
        <v/>
      </c>
      <c r="C11927" t="n">
        <v>2</v>
      </c>
      <c r="D11927" t="inlineStr">
        <is>
          <t>Arc Hétype; Talisman Igans; Bague Gloursonne; Anneau Tique; Cadran de Feu; Ceintrigue; Masque Ardent; Cape Ardente; Chaussures Ardentes; Dofus Ocre; Dofus Pourpre; Dofus Vulbis; Dofus Ébène; Dolmanax; Dofus Ivoire; Bisouglours</t>
        </is>
      </c>
    </row>
    <row r="11928">
      <c r="A11928" t="inlineStr">
        <is>
          <t>Osamodas F 200</t>
        </is>
      </c>
      <c r="B11928">
        <f>HYPERLINK("https://www.dofusbook.net/fr/equipement/5209050-osamodas-f-200/objets", "link")</f>
        <v/>
      </c>
      <c r="C11928" t="n">
        <v>4</v>
      </c>
      <c r="D11928" t="inlineStr">
        <is>
          <t>Pelle Fik; Amulette de Shokkoth; Anneau Volkorne; Alliance Gloursonne; Cadran de Feu; Poulpagne; Casque d'Ilyzaelle; Cape du Sinistrofu; Bottes du Sinistrofu; Dokoko; Dofus Ivoire; Dofus Abyssal; Remueur; Chanceux majeur; Nomade; Dehluge</t>
        </is>
      </c>
    </row>
    <row r="11929">
      <c r="A11929" t="inlineStr">
        <is>
          <t>Sacrieur M 200</t>
        </is>
      </c>
      <c r="B11929">
        <f>HYPERLINK("https://www.dofusbook.net/fr/equipement/5208821-sacrieur-m-200/objets", "link")</f>
        <v/>
      </c>
      <c r="C11929" t="n">
        <v>5</v>
      </c>
      <c r="D11929" t="inlineStr">
        <is>
          <t>Arc Volkorne; Amulette du Strigide; Anneau du Père Fwetar; Bracelet du Piloztère; Bivalve; Ceintacé; Le Dorado; Capille; Bottes du Strigide; Dofus Turquoise; Dolmanax; Dofus Pourpre; Dofus Nébuleux; Vigoureux majeur; Nomade; Dragodinde Emeraude et Ivoire</t>
        </is>
      </c>
    </row>
    <row r="11930">
      <c r="A11930" t="inlineStr">
        <is>
          <t>Enutrof M 200</t>
        </is>
      </c>
      <c r="B11930">
        <f>HYPERLINK("https://www.dofusbook.net/fr/equipement/5039534-enutrof-m-200/objets", "link")</f>
        <v/>
      </c>
      <c r="C11930" t="n">
        <v>8</v>
      </c>
      <c r="D11930" t="inlineStr">
        <is>
          <t>Marteau R'ture; Amulette des Chocomanciens; Anneau Tamie; Anneau Instable; Bouclier cubiste; Ceinture Instable; Casquipik; Cape de Léthaline; Pantoufles Émar; Entraveur majeur; Miraculé majeur; Ralentisseur majeur; Remueur; Temporiseur; Temporiseur majeur; Léopardo</t>
        </is>
      </c>
    </row>
    <row r="11931">
      <c r="A11931" t="inlineStr">
        <is>
          <t>Iop M 200</t>
        </is>
      </c>
      <c r="B11931">
        <f>HYPERLINK("https://www.dofusbook.net/fr/equipement/5167716-iop-m-200/objets", "link")</f>
        <v/>
      </c>
      <c r="C11931" t="n">
        <v>0</v>
      </c>
      <c r="D11931" t="inlineStr">
        <is>
          <t>Arc de Guten Tak; Amulette de Pol Ouatnos; Goulano; Anneau en Grithril; Bouclier du Stalak; Ceinture de la Reine des Voleurs; Coiffe de la Reine des Voleurs; Cape au Logis; Baleinabottes; Dofus des Glaces; Dofus Ivoire; Dokoko; Dofus Pourpre; Remueur; Fortification majeure; Wabbit</t>
        </is>
      </c>
    </row>
    <row r="11932">
      <c r="A11932" t="inlineStr">
        <is>
          <t>Xélor F 200</t>
        </is>
      </c>
      <c r="B11932">
        <f>HYPERLINK("https://www.dofusbook.net/fr/equipement/5107011-xelor-f-200/objets", "link")</f>
        <v/>
      </c>
      <c r="C11932" t="n">
        <v>1</v>
      </c>
      <c r="D11932" t="inlineStr">
        <is>
          <t>Lav'Hache; Amulette du Strigide; Anneau Crustique; Anneau Chevelu; Bouclier d'Ilyzaelle; Ceinture Volkorne; Masque de Koutoulou; Cape au Logis; Bottes du Strigide; Dofus Nébuleux; Dofus Pourpre; Dofus Ivoire; Vigoureux majeur; Remueur; Enragé majeur; Koalak Sanguin</t>
        </is>
      </c>
    </row>
    <row r="11933">
      <c r="A11933" t="inlineStr">
        <is>
          <t>Xélor F 200</t>
        </is>
      </c>
      <c r="B11933">
        <f>HYPERLINK("https://www.dofusbook.net/fr/equipement/4885418-xelor-f-200/objets", "link")</f>
        <v/>
      </c>
      <c r="C11933" t="n">
        <v>4</v>
      </c>
      <c r="D11933" t="inlineStr">
        <is>
          <t>Arc Hétype; Amulette d'Otomaï; Gelano; Anneau Tamie; Cadran de Terre; Ceinture Séculaire; Couronne de Nidas; Cape de Nileza; Tongues de Nidas; Dofus Pourpre; Miraculé majeur; Remueur; Érudit majeur; Vigoureux majeur; Nomade; Brûlih</t>
        </is>
      </c>
    </row>
    <row r="11934">
      <c r="A11934" t="inlineStr">
        <is>
          <t>Iop M 200</t>
        </is>
      </c>
      <c r="B11934">
        <f>HYPERLINK("https://www.dofusbook.net/fr/equipement/5090815-iop-m-200/objets", "link")</f>
        <v/>
      </c>
      <c r="C11934" t="n">
        <v>3</v>
      </c>
      <c r="D11934" t="inlineStr">
        <is>
          <t>Dagues de Srambad; Amulette Luminescente; Anneau en Grithril; Bracelet du Piloztère; Bouclier d'Ilyzaelle; Ceintacé; Coiffe du Lévitrof; Cape Luminescente; Chaussons de Macrab; Dofus des Glaces; Dofus Émeraude; Dofus Pourpre; Remueur; Vigoureux majeur; Nomade; Bébé Pandawa</t>
        </is>
      </c>
    </row>
    <row r="11935">
      <c r="A11935" t="inlineStr">
        <is>
          <t>Iop F 200</t>
        </is>
      </c>
      <c r="B11935">
        <f>HYPERLINK("https://www.dofusbook.net/fr/equipement/5070619-iop-f-200/objets", "link")</f>
        <v/>
      </c>
      <c r="C11935" t="n">
        <v>2</v>
      </c>
      <c r="D11935" t="inlineStr">
        <is>
          <t>Arc de Laikteur; Amulette Voldelor; Bracelet du Piloztère; Gelano; Quatre-feuilles; Ceintrigue; Kidibonnet; Cape Glaciale; Bottes Voldelor; Dofus Turquoise; Dofus Pourpre; Remueur; Observateur; Chanceux majeur; Nomade; Kanigloups</t>
        </is>
      </c>
    </row>
    <row r="11936">
      <c r="A11936" t="inlineStr">
        <is>
          <t>Eniripsa F 200</t>
        </is>
      </c>
      <c r="B11936">
        <f>HYPERLINK("https://www.dofusbook.net/fr/equipement/5039472-eniripsa-f-200/objets", "link")</f>
        <v/>
      </c>
      <c r="C11936" t="n">
        <v>3</v>
      </c>
      <c r="D11936" t="inlineStr">
        <is>
          <t>Baguette Hernelle; Pendentif mignon de Koutoulou; Anneau de Padgref; Gelano; Bivalve; Ceinture Séculaire; Coiffe Séculaire; Cape Hiculteur; Pantoufles Émar; Dofus Nébuleux; Dofus Turquoise; Dofus Pourpre; Nomade; Érudit majeur; Remueur; Dragodinde Ebène et Orchidée</t>
        </is>
      </c>
    </row>
    <row r="11937">
      <c r="A11937" t="inlineStr">
        <is>
          <t>Sadida F 200</t>
        </is>
      </c>
      <c r="B11937">
        <f>HYPERLINK("https://www.dofusbook.net/fr/equipement/4984634-sadida-f-200/objets", "link")</f>
        <v/>
      </c>
      <c r="C11937" t="n">
        <v>1</v>
      </c>
      <c r="D11937" t="inlineStr">
        <is>
          <t>Bêche Asse; Amulette Héroclite; Anneau Chevelu; Anneau de Brouce; La Rondelle; Ceinture de Brouce; Masque de Koutoulou; Cape au Logis; Baleinabottes; Dofus Pourpre; Miraculé majeur; Nomade; Enragé majeur; Remueur; Vigoureux majeur; Dragodinde Ivoire et Pourpre</t>
        </is>
      </c>
    </row>
    <row r="11938">
      <c r="A11938" t="inlineStr">
        <is>
          <t>Pandawa M 200</t>
        </is>
      </c>
      <c r="B11938">
        <f>HYPERLINK("https://www.dofusbook.net/fr/equipement/4983469-pandawa-m-200/objets", "link")</f>
        <v/>
      </c>
      <c r="C11938" t="n">
        <v>2</v>
      </c>
      <c r="D11938" t="inlineStr">
        <is>
          <t>Crocobur; Collier de Tourthon; Anneau Chevelu; Bague Gloursonne; Bouclier d'Ilyzaelle; Ceinture Volkorne; Casque Dragoeuf; Cape au Logis; Baleinabottes; Dofus Pourpre; Dofus Abyssal; Dofus Émeraude; Dofus Ivoire; Enragé majeur; Remueur; Marcassin</t>
        </is>
      </c>
    </row>
    <row r="11939">
      <c r="A11939" t="inlineStr">
        <is>
          <t>Sadida F 200</t>
        </is>
      </c>
      <c r="B11939">
        <f>HYPERLINK("https://www.dofusbook.net/fr/equipement/4942337-sadida-f-200/objets", "link")</f>
        <v/>
      </c>
      <c r="C11939" t="n">
        <v>1</v>
      </c>
      <c r="D11939" t="inlineStr">
        <is>
          <t>Lance Horselé; Collier du Valet Veinard; Gelano; Gant du Valet Veinard; La Rondelle; Menoture; Couronne d'Allister; Cape Indescriptible; Palmes Trithons; Dofus Pourpre; Vigoureux majeur; Remueur; Acrobate majeur; Cascadeur majeur; Nomade; Dragodinde Ebène et Ivoire</t>
        </is>
      </c>
    </row>
    <row r="11940">
      <c r="A11940" t="inlineStr">
        <is>
          <t>Iop M 200</t>
        </is>
      </c>
      <c r="B11940">
        <f>HYPERLINK("https://www.dofusbook.net/fr/equipement/4940335-iop-m-200/objets", "link")</f>
        <v/>
      </c>
      <c r="C11940" t="n">
        <v>2</v>
      </c>
      <c r="D11940" t="inlineStr">
        <is>
          <t>Marteau R'ture; Amulette du Strigide; Anneau Crustique; Anneau Crustique; Bouclier d'Ilyzaelle; Ceinture Volkorne; Masque de Koutoulou; Cape au Logis; Bottes du Strigide; Dofus Nébuleux; Dofus Ivoire; Dofus Ocre; Dofus Pourpre; Vigoureux majeur; Enragé majeur; Dragodinde Ivoire et Pourpre</t>
        </is>
      </c>
    </row>
    <row r="11941">
      <c r="A11941" t="inlineStr">
        <is>
          <t>Huppermage M 200</t>
        </is>
      </c>
      <c r="B11941">
        <f>HYPERLINK("https://www.dofusbook.net/fr/equipement/4915384-huppermage-m-200/objets", "link")</f>
        <v/>
      </c>
      <c r="C11941" t="n">
        <v>1</v>
      </c>
      <c r="D11941" t="inlineStr">
        <is>
          <t>Pelle Vice; Talisman Igans; Anneau Tique; Alliance du Lévitrof; Cadran de Terre; Ceintrigue; Casquette de Meno; Cape d'Atcham; Pataugastrique; Dofus Abyssal; Dofus Ocre; Dofus Ivoire; Dofus Pourpre; Étourdisseur majeur; Nomade; Koalak Sanguin</t>
        </is>
      </c>
    </row>
    <row r="11942">
      <c r="A11942" t="inlineStr">
        <is>
          <t>Sram F 200</t>
        </is>
      </c>
      <c r="B11942">
        <f>HYPERLINK("https://www.dofusbook.net/fr/equipement/4887407-sram-f-200/objets", "link")</f>
        <v/>
      </c>
      <c r="C11942" t="n">
        <v>11</v>
      </c>
      <c r="D11942" t="inlineStr">
        <is>
          <t>Hache Ériphe; Amulette du Kamasterisk; Gelano; Bracelet du Piloztère; La Rondelle; Ceinture de Brouce; Coiffe de la Reine des Voleurs; Cape du Kamasterisk; Baleinabottes; Dofus Turquoise; Dofus Pourpre; Cascadeur majeur; Vigoureux majeur; Nomade; Remueur; Dragodinde Ebène et Pourpre</t>
        </is>
      </c>
    </row>
    <row r="11943">
      <c r="A11943" t="inlineStr">
        <is>
          <t>Xélor F 200</t>
        </is>
      </c>
      <c r="B11943">
        <f>HYPERLINK("https://www.dofusbook.net/fr/equipement/4885440-xelor-f-200/objets", "link")</f>
        <v/>
      </c>
      <c r="C11943" t="n">
        <v>2</v>
      </c>
      <c r="D11943" t="inlineStr">
        <is>
          <t>Pelle Fik; Amulette de Shokkoth; Bracelet du Piloztère; Alliance du Lévitrof; Cadran de Terre; Sangle Ouare; Masque du Barbétoal; Cape du Barbétoal; Pataugastrique; Dofus Pourpre; Nomade; Chanceux majeur; Remueur; Vigoureux majeur; Dehluge</t>
        </is>
      </c>
    </row>
    <row r="11944">
      <c r="A11944" t="inlineStr">
        <is>
          <t>Sadida F 200</t>
        </is>
      </c>
      <c r="B11944">
        <f>HYPERLINK("https://www.dofusbook.net/fr/equipement/4851437-sadida-f-200/objets", "link")</f>
        <v/>
      </c>
      <c r="C11944" t="n">
        <v>0</v>
      </c>
      <c r="D11944" t="inlineStr">
        <is>
          <t>La Racine Hagogue; Amulette Héroclite; Gelano; Anneau Chevelu; La Rondelle; Ceinture de Brouce; Masque de Koutoulou; Cape au Logis; Bottes de Brouce; Dofus Pourpre; Miraculé majeur; Vigoureux majeur; Nomade; Enragé majeur; Remueur; Dragodinde Ivoire et Pourpre</t>
        </is>
      </c>
    </row>
    <row r="11945">
      <c r="A11945" t="inlineStr">
        <is>
          <t>Huppermage F 200</t>
        </is>
      </c>
      <c r="B11945">
        <f>HYPERLINK("https://www.dofusbook.net/fr/equipement/4845756-huppermage-f-200/objets", "link")</f>
        <v/>
      </c>
      <c r="C11945" t="n">
        <v>0</v>
      </c>
      <c r="D11945" t="inlineStr"/>
    </row>
    <row r="11946">
      <c r="A11946" t="inlineStr">
        <is>
          <t>Huppermage F 200</t>
        </is>
      </c>
      <c r="B11946">
        <f>HYPERLINK("https://www.dofusbook.net/fr/equipement/4845757-huppermage-f-200/objets", "link")</f>
        <v/>
      </c>
      <c r="C11946" t="n">
        <v>0</v>
      </c>
      <c r="D11946" t="inlineStr"/>
    </row>
    <row r="11947">
      <c r="A11947" t="inlineStr">
        <is>
          <t>Ecaflip F 200</t>
        </is>
      </c>
      <c r="B11947">
        <f>HYPERLINK("https://www.dofusbook.net/fr/equipement/4845431-ecaflip-f-200/objets", "link")</f>
        <v/>
      </c>
      <c r="C11947" t="n">
        <v>0</v>
      </c>
      <c r="D11947" t="inlineStr"/>
    </row>
    <row r="11948">
      <c r="A11948" t="inlineStr">
        <is>
          <t>Eniripsa F 200</t>
        </is>
      </c>
      <c r="B11948">
        <f>HYPERLINK("https://www.dofusbook.net/fr/equipement/4843195-eniripsa-f-200/objets", "link")</f>
        <v/>
      </c>
      <c r="C11948" t="n">
        <v>0</v>
      </c>
      <c r="D11948" t="inlineStr"/>
    </row>
    <row r="11949">
      <c r="A11949" t="inlineStr">
        <is>
          <t>Enutrof M 200</t>
        </is>
      </c>
      <c r="B11949">
        <f>HYPERLINK("https://www.dofusbook.net/fr/equipement/4841047-enutrof-m-200/objets", "link")</f>
        <v/>
      </c>
      <c r="C11949" t="n">
        <v>8</v>
      </c>
      <c r="D11949" t="inlineStr">
        <is>
          <t>Marteau R'ture; Amulette des Chocomanciens; Pikano; Anneau de la Fuji Givrefoux; Bouclier cubiste; Ceinture des Chocomanciens; Maskrobe; Cape de Kongoku; Pantoufles Émar; Dofus Ocre; Dofus Pourpre; Entraveur majeur; Vigoureux majeur; Ralentisseur majeur; Temporiseur majeur; Gwo Tofu Ventripotent</t>
        </is>
      </c>
    </row>
    <row r="11950">
      <c r="A11950" t="inlineStr">
        <is>
          <t>Xélor F 200</t>
        </is>
      </c>
      <c r="B11950">
        <f>HYPERLINK("https://www.dofusbook.net/fr/equipement/4677417-xelor-f-200/objets", "link")</f>
        <v/>
      </c>
      <c r="C11950" t="n">
        <v>3</v>
      </c>
      <c r="D11950" t="inlineStr">
        <is>
          <t>Marteau des égarés; Amulette de l'Indicible; Anneau de la Fuji Givrefoux; Bracelet du Piloztère; Bouclier du Captain Amakna; Ceinture du Strigide; Le Dorado; Dofusteuse; Bottes de l'Indicible; Dofus Turquoise; Dofus Pourpre; Puissant majeur; Remueur; Vigoureux majeur; Nomade; Chacha</t>
        </is>
      </c>
    </row>
    <row r="11951">
      <c r="A11951" t="inlineStr">
        <is>
          <t>Enutrof M 200</t>
        </is>
      </c>
      <c r="B11951">
        <f>HYPERLINK("https://www.dofusbook.net/fr/equipement/4621873-enutrof-m-200/objets", "link")</f>
        <v/>
      </c>
      <c r="C11951" t="n">
        <v>0</v>
      </c>
      <c r="D11951" t="inlineStr">
        <is>
          <t>Epée Kari; Amulette de l'Indicible; Ceinture du Strigide; Maskrobe; Bottes du Strigide</t>
        </is>
      </c>
    </row>
    <row r="11952">
      <c r="A11952" t="inlineStr">
        <is>
          <t>enuroks</t>
        </is>
      </c>
      <c r="B11952">
        <f>HYPERLINK("https://www.dofusbook.net/fr/equipement/4057660-enuroks/objets", "link")</f>
        <v/>
      </c>
      <c r="C11952" t="n">
        <v>12</v>
      </c>
      <c r="D11952" t="inlineStr">
        <is>
          <t>Arc Volkorne; Amulette du Strigide; Bracelet du Piloztère; Anneau du Père Fwetar; Quatre-feuilles; Ceintacé; Maskrobe; Cape du Chalœil; Bottes du Strigide; Dolmanax; Dofus Turquoise; Dofus Pourpre; Remueur; Vigoureux majeur; Puissant majeur; Gwo Tofu Ventripotent</t>
        </is>
      </c>
    </row>
    <row r="11953">
      <c r="A11953" t="inlineStr">
        <is>
          <t>Crâ F 200</t>
        </is>
      </c>
      <c r="B11953">
        <f>HYPERLINK("https://www.dofusbook.net/fr/equipement/4358517-cra-f-200/objets", "link")</f>
        <v/>
      </c>
      <c r="C11953" t="n">
        <v>17</v>
      </c>
      <c r="D11953" t="inlineStr">
        <is>
          <t>Arc Volkorne; Amulette du Strigide; Bracelet du Piloztère; Anneau du Père Fwetar; Quatre-feuilles; Ceinture de l'Indicible; Maskrobe; Cape de Jahash Jurgen; Bottes du Strigide; Dofus Ocre; Dolmanax; Dofus Turquoise; Dofus Pourpre; Dofus Nébuleux; Vigoureux majeur; Fëanor</t>
        </is>
      </c>
    </row>
    <row r="11954">
      <c r="A11954" t="inlineStr">
        <is>
          <t>osa eau air</t>
        </is>
      </c>
      <c r="B11954">
        <f>HYPERLINK("https://www.dofusbook.net/fr/equipement/2506689-osa-eau-air-/objets", "link")</f>
        <v/>
      </c>
      <c r="C11954" t="n">
        <v>11</v>
      </c>
      <c r="D11954" t="inlineStr">
        <is>
          <t>Arc de Koutoulou; Amulette d'Ilyzaelle; Bracelet du Piloztère; Alliance Gloursonne; Cadran d'Air; Sangle Ouare; Casque d'Ilyzaelle; Cape du Barbétoal; Baleinabottes; Dofus Ocre; Dofus Abyssal; Dofus des Glaces; Dofus Ivoire; Dofus Pourpre; Vigoureux majeur; Mini Wa</t>
        </is>
      </c>
    </row>
    <row r="11955">
      <c r="A11955" t="inlineStr">
        <is>
          <t>elioair</t>
        </is>
      </c>
      <c r="B11955">
        <f>HYPERLINK("https://www.dofusbook.net/fr/equipement/4057619-elioair/objets", "link")</f>
        <v/>
      </c>
      <c r="C11955" t="n">
        <v>12</v>
      </c>
      <c r="D11955" t="inlineStr">
        <is>
          <t>Karnak; Collier du Valet Veinard; Alliance Gloursonne; Gant du Valet Veinard; Cadran d'Air; Menoture; Couronne d'Allister; Cape Matelassée; Palmes Trithons; Dofus Pourpre; Nomade; Cascadeur majeur; Remueur; Vigoureux majeur; Blérodoudou</t>
        </is>
      </c>
    </row>
    <row r="11956">
      <c r="A11956" t="inlineStr">
        <is>
          <t>enifeusoin</t>
        </is>
      </c>
      <c r="B11956">
        <f>HYPERLINK("https://www.dofusbook.net/fr/equipement/4057601-enifeusoin/objets", "link")</f>
        <v/>
      </c>
      <c r="C11956" t="n">
        <v>8</v>
      </c>
      <c r="D11956" t="inlineStr">
        <is>
          <t>Arc corrompu; Pendentif affamé; Anneau de Nidas; Bague Gloursonne; Bivalve; Ceinture Séculaire; Coiffe Séculaire; Cape de Diondin; Pantoufles Émar; Dofus Pourpre; Dofus Turquoise; Nomade; Guérisseur majeur; Remueur; Érudit majeur; Dragodinde Orchidée et Rousse</t>
        </is>
      </c>
    </row>
    <row r="11957">
      <c r="A11957" t="inlineStr">
        <is>
          <t>enuret</t>
        </is>
      </c>
      <c r="B11957">
        <f>HYPERLINK("https://www.dofusbook.net/fr/equipement/4057682-enuret/objets", "link")</f>
        <v/>
      </c>
      <c r="C11957" t="n">
        <v>12</v>
      </c>
      <c r="D11957" t="inlineStr">
        <is>
          <t>Arc Hétype; Amulette du Glourséleste; Anneau Instable; Anneau Tamie; Bouclier cubiste; Ceinture Instable; Coiffe Ranshi; Cape de Léthaline; Pantoufles Émar; Remueur; Temporiseur majeur; Entraveur; Entraveur majeur; Temporiseur; Ralentisseur majeur; Gwo Tofu Ventripotent</t>
        </is>
      </c>
    </row>
    <row r="11958">
      <c r="A11958" t="inlineStr">
        <is>
          <t>iopterre</t>
        </is>
      </c>
      <c r="B11958">
        <f>HYPERLINK("https://www.dofusbook.net/fr/equipement/4057640-iopterre/objets", "link")</f>
        <v/>
      </c>
      <c r="C11958" t="n">
        <v>7</v>
      </c>
      <c r="D11958" t="inlineStr">
        <is>
          <t>Arc du Chalœil; Collier de Tourthon; Bague Gloursonne; Bracelet du Piloztère; Quatre-feuilles; Ceinture de la Cour Sombre; Masque de Koutoulou; Cape au Logis; Bottes de la Cour Sombre; Dofus Turquoise; Dofus Pourpre; Remueur; Vigoureux majeur; Nomade; Enragé majeur; Bulbisou</t>
        </is>
      </c>
    </row>
    <row r="11959">
      <c r="A11959" t="inlineStr">
        <is>
          <t>sacri eau feu</t>
        </is>
      </c>
      <c r="B11959">
        <f>HYPERLINK("https://www.dofusbook.net/fr/equipement/3645378-sacri-eau-feu/objets", "link")</f>
        <v/>
      </c>
      <c r="C11959" t="n">
        <v>7</v>
      </c>
      <c r="D11959" t="inlineStr">
        <is>
          <t>Épée Brûlâme; Collier de la Dame du Hasard; Bracelet du Piloztère; Bracelet des Fonds marins; Cadran d'Eau; Sangle Ouare; Casque Dragoeuf; Cape de la Dame du Hasard; Pataugastrique; Dofus Ivoire; Dofus des Glaces; Dofus Turquoise; Dofus Pourpre; Vigoureux majeur; Remueur; Dragodinde Emeraude et Ivoire</t>
        </is>
      </c>
    </row>
    <row r="11960">
      <c r="A11960" t="inlineStr">
        <is>
          <t>gneurokstapé</t>
        </is>
      </c>
      <c r="B11960">
        <f>HYPERLINK("https://www.dofusbook.net/fr/equipement/3972616-gneurokstape/objets", "link")</f>
        <v/>
      </c>
      <c r="C11960" t="n">
        <v>4</v>
      </c>
      <c r="D11960" t="inlineStr">
        <is>
          <t>Lav'Hache; Collier de Tourthon; Anneau Crustique; Anneau Chevelu; Bouclier d'Ilyzaelle; Ceinture de la Cour Sombre; Masque de Koutoulou; Cape au Logis; Bottes de la Cour Sombre; Dofus Ocre; Dofus Ivoire; Dofus Nébuleux; Dofus Pourpre; Enragé majeur; Vigoureux majeur; Bulbisou</t>
        </is>
      </c>
    </row>
    <row r="11961">
      <c r="A11961" t="inlineStr">
        <is>
          <t>gneurokseau</t>
        </is>
      </c>
      <c r="B11961">
        <f>HYPERLINK("https://www.dofusbook.net/fr/equipement/3991856-gneurokseau/objets", "link")</f>
        <v/>
      </c>
      <c r="C11961" t="n">
        <v>2</v>
      </c>
      <c r="D11961" t="inlineStr">
        <is>
          <t>Dagoulinantes; Amulette de Shokkoth; Alliance Gloursonne; Anneau Volkorne; Cadran de Terre; Sangle Ouare; Kidibonnet; Cape du Sinistrofu; Bottes du Sinistrofu; Dofus Ivoire; Dofus des Glaces; Dofus Ocre; Dofus Pourpre; Vigoureux majeur; Chanceux majeur; Kanigloups</t>
        </is>
      </c>
    </row>
    <row r="11962">
      <c r="A11962" t="inlineStr">
        <is>
          <t>Sacri tank 200</t>
        </is>
      </c>
      <c r="B11962">
        <f>HYPERLINK("https://www.dofusbook.net/fr/equipement/1579898-sacri-tank-200/objets", "link")</f>
        <v/>
      </c>
      <c r="C11962" t="n">
        <v>15</v>
      </c>
      <c r="D11962" t="inlineStr">
        <is>
          <t>Rouleau à Pâtisserie d'Aermyne; Collier Rophante; Bracelet du Piloztère; Alliance Gloursonne; Bouclier d'Anerice; Menoture; Casque Dragoeuf; Cape d'Anerice; Sabots Volcaniques; Dofus Ivoire; Dofus Émeraude; Obstructeur majeur; Tacleur majeur; Miraculé majeur; Remueur; Platypus</t>
        </is>
      </c>
    </row>
    <row r="11963">
      <c r="A11963" t="inlineStr">
        <is>
          <t>tamerlaputexel</t>
        </is>
      </c>
      <c r="B11963">
        <f>HYPERLINK("https://www.dofusbook.net/fr/equipement/3968076-tamerlaputexel/objets", "link")</f>
        <v/>
      </c>
      <c r="C11963" t="n">
        <v>7</v>
      </c>
      <c r="D11963" t="inlineStr">
        <is>
          <t>Baguette de Malléfisk; Amulette Martegel; Anneauræus; Anneauræus; Cadran de Feu; Ceinture de Vortex; Masquegel; Cape de Diondin; Bottes d'Otomaï; Dofus Ivoire; Dofus Pourpre; Dofus Ocre; Évasif majeur; Nomade; Imprenable majeur; Atouin</t>
        </is>
      </c>
    </row>
    <row r="11964">
      <c r="A11964" t="inlineStr">
        <is>
          <t>ougi feusoin</t>
        </is>
      </c>
      <c r="B11964">
        <f>HYPERLINK("https://www.dofusbook.net/fr/equipement/3574650-ougi-feusoin/objets", "link")</f>
        <v/>
      </c>
      <c r="C11964" t="n">
        <v>3</v>
      </c>
      <c r="D11964" t="inlineStr">
        <is>
          <t>Baguette de Malléfisk; Amulette de Nileza; Anneau de Nidas; Anneau Tique; Bouclier d'Ilyzaelle; Ceinture de Vortex; Couronne de Nidas; Cape de Diondin; Bottes de l'Esprit Malsain; Dofus Ocre; Dofus Ivoire; Dofus des Glaces; Dofus Pourpre; Érudit majeur; Nomade; Bisouglours</t>
        </is>
      </c>
    </row>
    <row r="11965">
      <c r="A11965" t="inlineStr">
        <is>
          <t>gneugneukorri</t>
        </is>
      </c>
      <c r="B11965">
        <f>HYPERLINK("https://www.dofusbook.net/fr/equipement/3824355-gneugneukorri/objets", "link")</f>
        <v/>
      </c>
      <c r="C11965" t="n">
        <v>7</v>
      </c>
      <c r="D11965" t="inlineStr">
        <is>
          <t>Epée Kari; Amulette du Strigide; Alliance Gloursonne; Bracelet du Piloztère; Quatre-feuilles; Ceintacé; Maskrobe; Cape Reski; Bottes du Strigide; Enragé majeur; Puissant majeur; Nomade; Vigoureux majeur; Chanceux majeur; Remueur; Dragodinde Emeraude et Ivoire</t>
        </is>
      </c>
    </row>
    <row r="11966">
      <c r="A11966" t="inlineStr">
        <is>
          <t>zobal eau do pou</t>
        </is>
      </c>
      <c r="B11966">
        <f>HYPERLINK("https://www.dofusbook.net/fr/equipement/2069412-zobal-eau-do-pou/objets", "link")</f>
        <v/>
      </c>
      <c r="C11966" t="n">
        <v>34</v>
      </c>
      <c r="D11966" t="inlineStr">
        <is>
          <t>Dagoulinantes; Amulette du Sinistrofu; Pikano; Alliance Gloursonne; Bivalve; Sangle Ouare; Chapeau des Malveilleurs; Cape Solution; Bottes du Sinistrofu; Dofus Turquoise; Dofus Pourpre; Bousculeur majeur; Remueur; Culbuteur majeur; Chanceux majeur; Écumouth</t>
        </is>
      </c>
    </row>
    <row r="11967">
      <c r="A11967" t="inlineStr">
        <is>
          <t>répou</t>
        </is>
      </c>
      <c r="B11967">
        <f>HYPERLINK("https://www.dofusbook.net/fr/equipement/3786316-repou/objets", "link")</f>
        <v/>
      </c>
      <c r="C11967" t="n">
        <v>9</v>
      </c>
      <c r="D11967" t="inlineStr">
        <is>
          <t>Pelle de la Cour Sombre; Collier du Valet Veinard; Alliance Gloursonne; Gant du Valet Veinard; Bouclier de Solar; Ceintacé; Casque Volkorne; Cape de Crânonier; Bottes Voldelor; Dofus Ivoire; Dofus Pourpre; Dofus Forgelave; Dofus Ocre; Solide majeur; Nomade; Chacha Tigré</t>
        </is>
      </c>
    </row>
    <row r="11968">
      <c r="A11968" t="inlineStr">
        <is>
          <t>tamer</t>
        </is>
      </c>
      <c r="B11968">
        <f>HYPERLINK("https://www.dofusbook.net/fr/equipement/3763439-tamer/objets", "link")</f>
        <v/>
      </c>
      <c r="C11968" t="n">
        <v>4</v>
      </c>
      <c r="D11968" t="inlineStr">
        <is>
          <t>Epée Toche; Amulette du Strigide; Chevalière du Roi Joueur; Bague Gloursonne; Bouclier d'Ilyzaelle; Ceintacé; Casque du Chalœil; Cape au Logis; Bottes du Roi Joueur; Dofus Turquoise; Dofus Pourpre; Dofus des Glaces; Érudit majeur; Vigoureux majeur; Remueur; Dragodinde Emeraude et Ivoire</t>
        </is>
      </c>
    </row>
    <row r="11969">
      <c r="A11969" t="inlineStr">
        <is>
          <t>osa multi</t>
        </is>
      </c>
      <c r="B11969">
        <f>HYPERLINK("https://www.dofusbook.net/fr/equipement/3632221-osa-multi/objets", "link")</f>
        <v/>
      </c>
      <c r="C11969" t="n">
        <v>12</v>
      </c>
      <c r="D11969" t="inlineStr">
        <is>
          <t>Marteau des égarés; Amulette Ementaire Deluxe; Alliance du Lévitrof; Alliance Brûlâme; Bouclier d'Ilyzaelle; Ceinture de l'Indicible; Casque du Chalœil; Cape des Justiciers; Bottes de l'Indicible; Dolmanax; Dofus Ivoire; Dofus des Glaces; Dofus Ocre; Miraculé majeur; Nomade</t>
        </is>
      </c>
    </row>
    <row r="11970">
      <c r="A11970" t="inlineStr">
        <is>
          <t>Sram M 200</t>
        </is>
      </c>
      <c r="B11970">
        <f>HYPERLINK("https://www.dofusbook.net/fr/equipement/3745736-sram-m-200/objets", "link")</f>
        <v/>
      </c>
      <c r="C11970" t="n">
        <v>0</v>
      </c>
      <c r="D11970" t="inlineStr"/>
    </row>
    <row r="11971">
      <c r="A11971" t="inlineStr">
        <is>
          <t>enuretpmpauvre</t>
        </is>
      </c>
      <c r="B11971">
        <f>HYPERLINK("https://www.dofusbook.net/fr/equipement/3720583-enuretpmpauvre/objets", "link")</f>
        <v/>
      </c>
      <c r="C11971" t="n">
        <v>2</v>
      </c>
      <c r="D11971" t="inlineStr">
        <is>
          <t>Dagues Açantes; Amulette du Glourséleste; Anneau Tamie; Anneau Instable; Bouclier cubiste; Ceinture Instable; Coiffe Ranshi; Cape Tif; Pantoufles Émar; Remueur; Ralentisseur majeur; Chanceux majeur; Entraveur majeur; Temporiseur; Temporiseur majeur; Muldo Doré</t>
        </is>
      </c>
    </row>
    <row r="11972">
      <c r="A11972" t="inlineStr">
        <is>
          <t>pandaeaufeupauvre</t>
        </is>
      </c>
      <c r="B11972">
        <f>HYPERLINK("https://www.dofusbook.net/fr/equipement/3720504-pandaeaufeupauvre/objets", "link")</f>
        <v/>
      </c>
      <c r="C11972" t="n">
        <v>5</v>
      </c>
      <c r="D11972" t="inlineStr">
        <is>
          <t>Arc Nécrotique; Amulette Cryochrone; Bracelet du Piloztère; Anneau Cryochrone; Bouclier Taverne; Sangle Ouare; Kidibonnet; Cape de Meno; Pataugastrique; Dofus Turquoise; Dofus Pourpre; Nomade; Vigoureux majeur; Érudit majeur; Remueur; Dragodinde Emeraude et Ivoire</t>
        </is>
      </c>
    </row>
    <row r="11973">
      <c r="A11973" t="inlineStr">
        <is>
          <t>Sram M 200</t>
        </is>
      </c>
      <c r="B11973">
        <f>HYPERLINK("https://www.dofusbook.net/fr/equipement/3717186-sram-m-200/objets", "link")</f>
        <v/>
      </c>
      <c r="C11973" t="n">
        <v>5</v>
      </c>
      <c r="D11973" t="inlineStr">
        <is>
          <t>Dagues d'Ilyzaelle; Amulette Luminescente; Bracelet du Piloztère; Chevalière du Roi Joueur; Bouclier du Captain Amakna; Ceinture Luminescente; Couronne du Roi Joueur; Cape Luminescente; Bottes du Roi Joueur; Dofus Vulbis; Dofus Ocre; Dolmanax; Dofus des Glaces; Dofus Pourpre; Dofus Nébuleux; Dragodinde Amande et Pourpre</t>
        </is>
      </c>
    </row>
    <row r="11974">
      <c r="A11974" t="inlineStr">
        <is>
          <t>Sram M 200</t>
        </is>
      </c>
      <c r="B11974">
        <f>HYPERLINK("https://www.dofusbook.net/fr/equipement/3717159-sram-m-200/objets", "link")</f>
        <v/>
      </c>
      <c r="C11974" t="n">
        <v>4</v>
      </c>
      <c r="D11974" t="inlineStr">
        <is>
          <t>Dagues d'Ilyzaelle; Amulette du Cœur Saignant; Bracelet du Piloztère; Anneau en Grithril; Bouclier du Captain Amakna; Ceinture en Grithril; Casque en Grithril; Cape du Cœur Saignant; Bottes du Cœur Saignant; Dofus Vulbis; Dofus des Glaces; Dofus Pourpre; Dofus Ocre; Dofus Turquoise; Dofus Nébuleux; Dragodinde Prune et Pourpre</t>
        </is>
      </c>
    </row>
    <row r="11975">
      <c r="A11975" t="inlineStr">
        <is>
          <t>réseau</t>
        </is>
      </c>
      <c r="B11975">
        <f>HYPERLINK("https://www.dofusbook.net/fr/equipement/3710232-reseau/objets", "link")</f>
        <v/>
      </c>
      <c r="C11975" t="n">
        <v>5</v>
      </c>
      <c r="D11975" t="inlineStr">
        <is>
          <t>Dagues Eudin; Amulette de l'Indicible; Alliance Gloursonne; Bague Gloursonne; Bouclier du Stalak; Ceinture de l'Indicible; Masque de l'Esprit Salvateur; Voilamibe; Bottes de l'Indicible; Dofus Nébuleux; Dofus des Glaces; Dofus Pourpre; Dofus Ocre; Dofus Abyssal; Robuste majeur; Croum</t>
        </is>
      </c>
    </row>
    <row r="11976">
      <c r="A11976" t="inlineStr">
        <is>
          <t>gneutumutle</t>
        </is>
      </c>
      <c r="B11976">
        <f>HYPERLINK("https://www.dofusbook.net/fr/equipement/3697607-gneutumutle/objets", "link")</f>
        <v/>
      </c>
      <c r="C11976" t="n">
        <v>8</v>
      </c>
      <c r="D11976" t="inlineStr">
        <is>
          <t>Arc corrompu; Pendentif affamé; Anneau Tamie; Anneau Tamie; Quatre-feuilles; Ceinture Séculaire; Coiffe Séculaire; Cape de Diondin; Bottes Innommables; Dofus Turquoise; Dofus Nébuleux; Dofus Pourpre; Dofus Ocre; Nomade; Érudit majeur; Dragodinde Amande et Orchidée</t>
        </is>
      </c>
    </row>
    <row r="11977">
      <c r="A11977" t="inlineStr">
        <is>
          <t>Enutrof M 200</t>
        </is>
      </c>
      <c r="B11977">
        <f>HYPERLINK("https://www.dofusbook.net/fr/equipement/3689408-enutrof-m-200/objets", "link")</f>
        <v/>
      </c>
      <c r="C11977" t="n">
        <v>8</v>
      </c>
      <c r="D11977" t="inlineStr">
        <is>
          <t>Arc Hétype; Amulette du Glourséleste; Anneau Instable; Anneau des Prophètes; Bouclier cubiste; Ceinture Instable; Bonnet Ko; Cape de Léthaline; Pantoufles Émar; Dofus Ocre; Ralentisseur majeur; Entraveur; Entraveur majeur; Temporiseur; Temporiseur majeur; Muldo Turquoise et Emeraude</t>
        </is>
      </c>
    </row>
    <row r="11978">
      <c r="A11978" t="inlineStr">
        <is>
          <t>skin team</t>
        </is>
      </c>
      <c r="B11978">
        <f>HYPERLINK("https://www.dofusbook.net/fr/equipement/3684755-skin-team/objets", "link")</f>
        <v/>
      </c>
      <c r="C11978" t="n">
        <v>0</v>
      </c>
      <c r="D11978" t="inlineStr"/>
    </row>
    <row r="11979">
      <c r="A11979" t="inlineStr">
        <is>
          <t>feu</t>
        </is>
      </c>
      <c r="B11979">
        <f>HYPERLINK("https://www.dofusbook.net/fr/equipement/3461028-feu/objets", "link")</f>
        <v/>
      </c>
      <c r="C11979" t="n">
        <v>4</v>
      </c>
      <c r="D11979" t="inlineStr">
        <is>
          <t>Arc corrompu; Pendentif affamé; Alliance du Lévitrof; Bague Gloursonne; Quatre-feuilles; Ceinture Séculaire; Coiffe Séculaire; Cape de Diondin; Pataugastrique; Dofus Pourpre; Nomade; Érudit majeur; Remueur; Vigoureux majeur; Muldo Orchidée</t>
        </is>
      </c>
    </row>
    <row r="11980">
      <c r="A11980" t="inlineStr">
        <is>
          <t>Crâ M 200</t>
        </is>
      </c>
      <c r="B11980">
        <f>HYPERLINK("https://www.dofusbook.net/fr/equipement/3680822-cra-m-200/objets", "link")</f>
        <v/>
      </c>
      <c r="C11980" t="n">
        <v>3</v>
      </c>
      <c r="D11980" t="inlineStr">
        <is>
          <t>Epée Kari; Amulette du Strigide; Anneau de Padgref; Bracelet du Piloztère; Quatre-feuilles; Ceinture du Strigide; Coiffe de Padgref; Cape du Chalœil; Getas de Padgref; Dofus Pourpre; Dofus des Glaces; Dofus Ocre; Dofus Ivoire; Dofus Turquoise; Dofus Nébuleux; Muldo Doré</t>
        </is>
      </c>
    </row>
    <row r="11981">
      <c r="A11981" t="inlineStr">
        <is>
          <t>panda multi</t>
        </is>
      </c>
      <c r="B11981">
        <f>HYPERLINK("https://www.dofusbook.net/fr/equipement/3537681-panda-multi/objets", "link")</f>
        <v/>
      </c>
      <c r="C11981" t="n">
        <v>20</v>
      </c>
      <c r="D11981" t="inlineStr">
        <is>
          <t>Epée Toche; Amulette du Strigide; Bague Gloursonne; Bracelet du Piloztère; Quatre-feuilles; Ceinture du Strigide; Masque de Koutoulou; Cape au Logis; Bottes du Roi Joueur; Dofus Nébuleux; Dofus Turquoise; Dofus des Glaces; Dofus Pourpre; Dofus Ocre; Vigoureux majeur; Croum</t>
        </is>
      </c>
    </row>
    <row r="11982">
      <c r="A11982" t="inlineStr">
        <is>
          <t>full force megafort</t>
        </is>
      </c>
      <c r="B11982">
        <f>HYPERLINK("https://www.dofusbook.net/fr/equipement/3086554-full-force-megafort/objets", "link")</f>
        <v/>
      </c>
      <c r="C11982" t="n">
        <v>37</v>
      </c>
      <c r="D11982" t="inlineStr">
        <is>
          <t>Dagues d'Ilyzaelle; Amulette du Strigide; Anneau Crustique; Bracelet du Piloztère; Bouclier du Captain Amakna; Ceinture de la Cour Sombre; Masque de Koutoulou; Cape au Logis; Bottes de la Cour Sombre; Dofus Ocre; Dofus Pourpre; Dofus Nébuleux; Dofus Turquoise; Enragé majeur; Vigoureux majeur; Kompost</t>
        </is>
      </c>
    </row>
    <row r="11983">
      <c r="A11983" t="inlineStr">
        <is>
          <t>iop du pauvre</t>
        </is>
      </c>
      <c r="B11983">
        <f>HYPERLINK("https://www.dofusbook.net/fr/equipement/3660940-iop-du-pauvre/objets", "link")</f>
        <v/>
      </c>
      <c r="C11983" t="n">
        <v>3</v>
      </c>
      <c r="D11983" t="inlineStr">
        <is>
          <t>Arc Oleptik; Amulette de Pol Ouatnos; Alliance Brûlâme; Bracelet du Piloztère; Cadran d'Air; Ceintacé; Masque Brûlâme; Cape Hiculteur; Pantoufles Émar; Dofus Turquoise; Dofus Pourpre; Dofus des Glaces; Dofus Ocre; Vigoureux majeur; Nomade; Croum</t>
        </is>
      </c>
    </row>
    <row r="11984">
      <c r="A11984" t="inlineStr">
        <is>
          <t>panda eau</t>
        </is>
      </c>
      <c r="B11984">
        <f>HYPERLINK("https://www.dofusbook.net/fr/equipement/3644703-panda-eau/objets", "link")</f>
        <v/>
      </c>
      <c r="C11984" t="n">
        <v>6</v>
      </c>
      <c r="D11984" t="inlineStr">
        <is>
          <t>Baguette Héroclite; Amulette du Sinistrofu; Alliance Gloursonne; Bracelet des Fonds marins; Quatre-feuilles; Sangle Ouare; Kidibonnet; Cape Solution; Bottes du Sinistrofu; Dofus Émeraude; Dofus Ocre; Dofus Turquoise; Dofus Pourpre; Vigoureux majeur; Chanceux majeur; El Scarador</t>
        </is>
      </c>
    </row>
    <row r="11985">
      <c r="A11985" t="inlineStr">
        <is>
          <t>Pandawa M 200</t>
        </is>
      </c>
      <c r="B11985">
        <f>HYPERLINK("https://www.dofusbook.net/fr/equipement/3637021-pandawa-m-200/objets", "link")</f>
        <v/>
      </c>
      <c r="C11985" t="n">
        <v>0</v>
      </c>
      <c r="D11985" t="inlineStr">
        <is>
          <t>Ruskauffe; Toukancre; Colorivant 3; Colorivant 10</t>
        </is>
      </c>
    </row>
    <row r="11986">
      <c r="A11986" t="inlineStr">
        <is>
          <t>iop eau feu</t>
        </is>
      </c>
      <c r="B11986">
        <f>HYPERLINK("https://www.dofusbook.net/fr/equipement/3635917-iop-eau-feu/objets", "link")</f>
        <v/>
      </c>
      <c r="C11986" t="n">
        <v>3</v>
      </c>
      <c r="D11986" t="inlineStr">
        <is>
          <t>Dagues Cacterre; Amulette du Strigide; Alliance Gloursonne; Bracelet du Piloztère; Bouclier du Captain Amakna; Sangle Ouare; Casquette de Meno; Cape des Justiciers; Bottes du Strigide; Dofus Pourpre; Dofus Nébuleux; Dofus Ocre; Dofus Turquoise; Dofus des Glaces; Vigoureux majeur; Kramkram</t>
        </is>
      </c>
    </row>
    <row r="11987">
      <c r="A11987" t="inlineStr">
        <is>
          <t>feu malléfisk</t>
        </is>
      </c>
      <c r="B11987">
        <f>HYPERLINK("https://www.dofusbook.net/fr/equipement/3575152-feu-mallefisk/objets", "link")</f>
        <v/>
      </c>
      <c r="C11987" t="n">
        <v>1</v>
      </c>
      <c r="D11987" t="inlineStr">
        <is>
          <t>Arc Hétype; Amulette Séculaire; Anneau de Nidas; Anneau Tique; Cadran d'Air; Ceinture de Vortex; Couronne de Nidas; Cape de Diondin; Bottes Innommables; Dofus Nébuleux; Dofus Pourpre; Dofus Ocre; Dofus Ivoire; Érudit majeur; Nomade; Croum</t>
        </is>
      </c>
    </row>
    <row r="11988">
      <c r="A11988" t="inlineStr">
        <is>
          <t>ret pm</t>
        </is>
      </c>
      <c r="B11988">
        <f>HYPERLINK("https://www.dofusbook.net/fr/equipement/3614173-ret-pm/objets", "link")</f>
        <v/>
      </c>
      <c r="C11988" t="n">
        <v>1</v>
      </c>
      <c r="D11988" t="inlineStr">
        <is>
          <t>Dagues Açantes; Amulette Hale; Bague Instable; Alliance Gloursonne; Bouclier cubiste; Ceinture Instable; Chapeau Lisson; Cape de Léthaline; Pantoufles Émar; Dofus Ocre; Dofus Ivoire; Ralentisseur majeur; Temporiseur; Entraveur majeur; Temporiseur majeur; Dragoune Rose</t>
        </is>
      </c>
    </row>
    <row r="11989">
      <c r="A11989" t="inlineStr">
        <is>
          <t>Sram F 200</t>
        </is>
      </c>
      <c r="B11989">
        <f>HYPERLINK("https://www.dofusbook.net/fr/equipement/3631299-sram-f-200/objets", "link")</f>
        <v/>
      </c>
      <c r="C11989" t="n">
        <v>1</v>
      </c>
      <c r="D11989" t="inlineStr">
        <is>
          <t>Le Thanos; Amulette de Nileza; Bague Gloursonne; Anneau Tique; Cadran de Terre; Ceinture de Gein; Chapeau de Gein; Cape de Diondin; Chaussures Ardentes; Dofus Ocre; Dofus des Glaces; Dofus Pourpre; Érudit majeur; Nomade; Dévastateur Feu majeur; El Scarador</t>
        </is>
      </c>
    </row>
    <row r="11990">
      <c r="A11990" t="inlineStr">
        <is>
          <t>air 12pa</t>
        </is>
      </c>
      <c r="B11990">
        <f>HYPERLINK("https://www.dofusbook.net/fr/equipement/2916737-air-12pa/objets", "link")</f>
        <v/>
      </c>
      <c r="C11990" t="n">
        <v>12</v>
      </c>
      <c r="D11990" t="inlineStr">
        <is>
          <t>L'Épée Nice; Collier du Valet Veinard; Gant du Valet Veinard; Anneau d'Allister; Cadran d'Air; Ceinture du Barbétoal; Couronne d'Allister; Cape du Valet Veinard; Bottes d'Allister; Dofus Pourpre; Dofus Ivoire; Dokoko; Dofus des Glaces; Dofus Abyssal; Dofus Ocre; Croum</t>
        </is>
      </c>
    </row>
    <row r="11991">
      <c r="A11991" t="inlineStr">
        <is>
          <t>ré crit</t>
        </is>
      </c>
      <c r="B11991">
        <f>HYPERLINK("https://www.dofusbook.net/fr/equipement/3622822-re-crit/objets", "link")</f>
        <v/>
      </c>
      <c r="C11991" t="n">
        <v>2</v>
      </c>
      <c r="D11991" t="inlineStr">
        <is>
          <t>Arc de Koutoulou; Amulette Voldelor; Bracelet du Piloztère; Alliance Gloursonne; Bouclier du Stalak; Sangle Ouare; Casque du Chalœil; Cape du Chalœil; Baleinabottes; Dofus Pourpre; Dofus Abyssal; Dofus Ocre; Dofus Ivoire; Cavaleur majeur; Fortification majeure; Godron Brâkmarien</t>
        </is>
      </c>
    </row>
    <row r="11992">
      <c r="A11992" t="inlineStr">
        <is>
          <t>sacri eau air modeaz</t>
        </is>
      </c>
      <c r="B11992">
        <f>HYPERLINK("https://www.dofusbook.net/fr/equipement/1815533-sacri-eau-air-modeaz/objets", "link")</f>
        <v/>
      </c>
      <c r="C11992" t="n">
        <v>12</v>
      </c>
      <c r="D11992" t="inlineStr">
        <is>
          <t>Dague Adou; Amulette du Strigide; Alliance Gloursonne; Bague Gloursonne; Bouclier du Captain Amakna; Ceinture du Strigide; Némès de Tal Kasha; Chevelure de Tal Kasha; Sandales de Tal Kasha; Dofus Nébuleux; Dofus Ocre; Dofus Pourpre; Dofus des Glaces; Dolmanax; Dofus Turquoise; Muldo Indigo et Emeraude</t>
        </is>
      </c>
    </row>
    <row r="11993">
      <c r="A11993" t="inlineStr">
        <is>
          <t>Sacrieur F 200</t>
        </is>
      </c>
      <c r="B11993">
        <f>HYPERLINK("https://www.dofusbook.net/fr/equipement/3606783-sacrieur-f-200/objets", "link")</f>
        <v/>
      </c>
      <c r="C11993" t="n">
        <v>2</v>
      </c>
      <c r="D11993" t="inlineStr">
        <is>
          <t>Baguette Héroclite; Amulette du Sinistrofu; Alliance Gloursonne; Bracelet des Fonds marins; Quatre-feuilles; Sangle Ouare; Kidibonnet; Cape Solution; Bottes du Sinistrofu; Dofus Turquoise; Dofus Pourpre; Joueur majeur; Vigoureux majeur; Nomade; Chanceux majeur; El Scarador</t>
        </is>
      </c>
    </row>
    <row r="11994">
      <c r="A11994" t="inlineStr">
        <is>
          <t>enueaukikoo</t>
        </is>
      </c>
      <c r="B11994">
        <f>HYPERLINK("https://www.dofusbook.net/fr/equipement/3600024-enueaukikoo/objets", "link")</f>
        <v/>
      </c>
      <c r="C11994" t="n">
        <v>0</v>
      </c>
      <c r="D11994" t="inlineStr">
        <is>
          <t>Le Thanos; Amulette de Shokkoth; Alliance Gloursonne; Bracelet des Fonds marins; Cadran d'Air; Sangle Ouare; Kidibonnet; Cape Solution; Sandales des Fonds marins; Dofus des Glaces; Dofus Pourpre; Dofus Ivoire; Dofus Ocre; Chanceux majeur; Dévastateur Eau majeur; Croum</t>
        </is>
      </c>
    </row>
    <row r="11995">
      <c r="A11995" t="inlineStr">
        <is>
          <t>Sadida M 200</t>
        </is>
      </c>
      <c r="B11995">
        <f>HYPERLINK("https://www.dofusbook.net/fr/equipement/3315667-sadida-m-200/objets", "link")</f>
        <v/>
      </c>
      <c r="C11995" t="n">
        <v>10</v>
      </c>
      <c r="D11995" t="inlineStr">
        <is>
          <t>Dagues Érhy; Amulette du Cycloïde; Anneau Rifique; Anneau Tique; Bouclier cubiste; Ceinture Séculaire; Capuche de l'Œil Putride; Cape de l'Œil Putride; Pantoufles Émar; Dofus Pourpre; Dofus Ocre; Dofus Ivoire; Dofus des Glaces; Temporiseur majeur; Nomade; Croum</t>
        </is>
      </c>
    </row>
    <row r="11996">
      <c r="A11996" t="inlineStr">
        <is>
          <t>air pvp</t>
        </is>
      </c>
      <c r="B11996">
        <f>HYPERLINK("https://www.dofusbook.net/fr/equipement/2526801-air-pvp/objets", "link")</f>
        <v/>
      </c>
      <c r="C11996" t="n">
        <v>2</v>
      </c>
      <c r="D11996" t="inlineStr">
        <is>
          <t>Manthache; Collier du Valet Veinard; Alliance Gloursonne; Gant du Valet Veinard; Cadran de Terre; Menoture; Dorabysses; Cape Indescriptible; Palmes Trithons; Dofus des Glaces; Dofus Ocre; Dokoko; Dofus Ivoire; Dofus Pourpre; Cascadeur majeur; Muldo Ebène</t>
        </is>
      </c>
    </row>
    <row r="11997">
      <c r="A11997" t="inlineStr">
        <is>
          <t>air invo 200</t>
        </is>
      </c>
      <c r="B11997">
        <f>HYPERLINK("https://www.dofusbook.net/fr/equipement/2720286-air-invo-200/objets", "link")</f>
        <v/>
      </c>
      <c r="C11997" t="n">
        <v>1</v>
      </c>
      <c r="D11997" t="inlineStr">
        <is>
          <t>Manthache; Collier du Valet Veinard; Alliance Gloursonne; Gant du Valet Veinard; Cadran de Feu; Menoture; Ruskauffe; Cape d'Anerice; Palmes Trithons; Dofus des Glaces; Dokoko; Dofus Ivoire; Dofus Ocre; Cascadeur majeur; Miraculé majeur; Muldo Ebène</t>
        </is>
      </c>
    </row>
    <row r="11998">
      <c r="A11998" t="inlineStr">
        <is>
          <t>air ret pa</t>
        </is>
      </c>
      <c r="B11998">
        <f>HYPERLINK("https://www.dofusbook.net/fr/equipement/2997804-air-ret-pa/objets", "link")</f>
        <v/>
      </c>
      <c r="C11998" t="n">
        <v>7</v>
      </c>
      <c r="D11998" t="inlineStr">
        <is>
          <t>L'Épée Nice; Collier du Valet Veinard; Gant du Valet Veinard; Alliance Gloursonne; Cadran de Terre; Menoture; Cagoule de Vortex; Chevelure de Tal Kasha; Palmes Trithons; Dofus Pourpre; Dofus Ocre; Dofus Ivoire; Étourdisseur majeur; Cascadeur majeur; Engourdisseur majeur; El Scarador</t>
        </is>
      </c>
    </row>
    <row r="11999">
      <c r="A11999" t="inlineStr">
        <is>
          <t>skin enu</t>
        </is>
      </c>
      <c r="B11999">
        <f>HYPERLINK("https://www.dofusbook.net/fr/equipement/3584355-skin-enu/objets", "link")</f>
        <v/>
      </c>
      <c r="C11999" t="n">
        <v>1</v>
      </c>
      <c r="D11999" t="inlineStr">
        <is>
          <t>Chaperlipopette; Colorivant 10; Colorivant 7; Colorivant 3</t>
        </is>
      </c>
    </row>
    <row r="12000">
      <c r="A12000" t="inlineStr">
        <is>
          <t>Xélor F 200</t>
        </is>
      </c>
      <c r="B12000">
        <f>HYPERLINK("https://www.dofusbook.net/fr/equipement/3498338-xelor-f-200/objets", "link")</f>
        <v/>
      </c>
      <c r="C12000" t="n">
        <v>1</v>
      </c>
      <c r="D12000" t="inlineStr">
        <is>
          <t>Sabres d'Atcham; Amulette de Pol Ouatnos; Alliance Gloursonne; Anneau Tique; Cadran de Terre; Ceinture de Vortex; Casque Dragoeuf; Cape d'Atcham; Pataugastrique; Dofus Ivoire; Dofus Ocre; Dofus des Glaces; Étourdisseur majeur; Sanguinaire majeur; Engourdisseur majeur; El Scarador</t>
        </is>
      </c>
    </row>
    <row r="12001">
      <c r="A12001" t="inlineStr">
        <is>
          <t>Sadida M 200</t>
        </is>
      </c>
      <c r="B12001">
        <f>HYPERLINK("https://www.dofusbook.net/fr/equipement/3471061-sadida-m-200/objets", "link")</f>
        <v/>
      </c>
      <c r="C12001" t="n">
        <v>4</v>
      </c>
      <c r="D12001" t="inlineStr">
        <is>
          <t>Pyraguette; Talisman Igans; Anneau Tique; Alliance du Lévitrof; Bouclier cubiste; Sangle Ouare; Capuche de l'Œil Putride; Cape de l'Œil Putride; Pataugastrique; Dofus Ivoire; Dofus Pourpre; Dofus des Glaces; Remueur; Sanguinaire majeur; Temporiseur majeur; El Scarador</t>
        </is>
      </c>
    </row>
    <row r="12002">
      <c r="A12002" t="inlineStr">
        <is>
          <t>ougi eau</t>
        </is>
      </c>
      <c r="B12002">
        <f>HYPERLINK("https://www.dofusbook.net/fr/equipement/3574614-ougi-eau/objets", "link")</f>
        <v/>
      </c>
      <c r="C12002" t="n">
        <v>2</v>
      </c>
      <c r="D12002" t="inlineStr">
        <is>
          <t>Dagoulinantes; Amulette de Shokkoth; Alliance Gloursonne; Bracelet des Fonds marins; Bouclier du Stalak; Sangle Ouare; Kidibonnet; Cape Solution; Sandales des Fonds marins; Dofus Abyssal; Dofus des Glaces; Dofus Ivoire; Dofus Pourpre; Chanceux majeur; Dévastateur Eau majeur; El Scarador</t>
        </is>
      </c>
    </row>
    <row r="12003">
      <c r="A12003" t="inlineStr">
        <is>
          <t>multi</t>
        </is>
      </c>
      <c r="B12003">
        <f>HYPERLINK("https://www.dofusbook.net/fr/equipement/3574609-multi/objets", "link")</f>
        <v/>
      </c>
      <c r="C12003" t="n">
        <v>0</v>
      </c>
      <c r="D12003" t="inlineStr">
        <is>
          <t>Maskrobe</t>
        </is>
      </c>
    </row>
    <row r="12004">
      <c r="A12004" t="inlineStr">
        <is>
          <t>feu soin</t>
        </is>
      </c>
      <c r="B12004">
        <f>HYPERLINK("https://www.dofusbook.net/fr/equipement/3574567-feu-soin/objets", "link")</f>
        <v/>
      </c>
      <c r="C12004" t="n">
        <v>2</v>
      </c>
      <c r="D12004" t="inlineStr">
        <is>
          <t>Arc corrompu; Pendentif affamé; Bague Gloursonne; Anneau Tique; Cadran de Terre; Ceinture de Gein; Masque Ardent; Cape de Diondin; Chaussures Ardentes; Dofus Pourpre; Dofus Ivoire; Dofus Ocre; Dofus Turquoise; Nomade; Érudit majeur; El Scarador</t>
        </is>
      </c>
    </row>
    <row r="12005">
      <c r="A12005" t="inlineStr">
        <is>
          <t>terre air do pou</t>
        </is>
      </c>
      <c r="B12005">
        <f>HYPERLINK("https://www.dofusbook.net/fr/equipement/3574541-terre-air-do-pou/objets", "link")</f>
        <v/>
      </c>
      <c r="C12005" t="n">
        <v>6</v>
      </c>
      <c r="D12005" t="inlineStr">
        <is>
          <t>Arc du Chalœil; Amulette du Cœur Vaillant; Bracelet du Piloztère; Bague Trithon; Bouclier d'Ilyzaelle; Ceinture du Strigide; Masque Trithon; Cape au Logis; Baleinabottes; Dofus Ocre; Dofus Turquoise; Dofus des Glaces; Dofus Pourpre; Dofus Ivoire; Culbuteur majeur; El Scarador</t>
        </is>
      </c>
    </row>
    <row r="12006">
      <c r="A12006" t="inlineStr">
        <is>
          <t>eau feu ret pa fdp</t>
        </is>
      </c>
      <c r="B12006">
        <f>HYPERLINK("https://www.dofusbook.net/fr/equipement/3574482-eau-feu-ret-pa-fdp/objets", "link")</f>
        <v/>
      </c>
      <c r="C12006" t="n">
        <v>2</v>
      </c>
      <c r="D12006" t="inlineStr">
        <is>
          <t>Masse Ossiale; Amulette de l'Œil Putride; Bracelet du Piloztère; Bracelet des Fonds marins; Cadran de Terre; Sangle Ouare; Capuche de l'Œil Putride; Cape d'Atcham; Pataugastrique; Dofus des Glaces; Dofus Ivoire; Dofus Pourpre; Dofus Ocre; Vigoureux majeur; Étourdisseur majeur; El Scarador</t>
        </is>
      </c>
    </row>
    <row r="12007">
      <c r="A12007" t="inlineStr">
        <is>
          <t>skin sacri</t>
        </is>
      </c>
      <c r="B12007">
        <f>HYPERLINK("https://www.dofusbook.net/fr/equipement/3574414-skin-sacri/objets", "link")</f>
        <v/>
      </c>
      <c r="C12007" t="n">
        <v>1</v>
      </c>
      <c r="D12007" t="inlineStr">
        <is>
          <t>Bouclier à hélice; Dorabysses; Cape Parition; Mékrabe</t>
        </is>
      </c>
    </row>
    <row r="12008">
      <c r="A12008" t="inlineStr">
        <is>
          <t>eau feu réseau</t>
        </is>
      </c>
      <c r="B12008">
        <f>HYPERLINK("https://www.dofusbook.net/fr/equipement/3573775-eau-feu-reseau/objets", "link")</f>
        <v/>
      </c>
      <c r="C12008" t="n">
        <v>0</v>
      </c>
      <c r="D12008" t="inlineStr">
        <is>
          <t>Pyraguette; Talisman Igans; Bracelet des Fonds marins; Anneau Tique; Cadran de Terre; Ceintrigue; Casquette de Meno; Cape de la Dame du Hasard; Pataugastrique; Dofus Pourpre; Dofus Ivoire; Dofus Abyssal; Dofus Ocre; Dofus des Glaces; Nomade; Croum</t>
        </is>
      </c>
    </row>
    <row r="12009">
      <c r="A12009" t="inlineStr">
        <is>
          <t>eau air no crit</t>
        </is>
      </c>
      <c r="B12009">
        <f>HYPERLINK("https://www.dofusbook.net/fr/equipement/3569162-eau-air-no-crit/objets", "link")</f>
        <v/>
      </c>
      <c r="C12009" t="n">
        <v>4</v>
      </c>
      <c r="D12009" t="inlineStr">
        <is>
          <t>Hache du Korriandre; Amulette d'Ilyzaelle; Bracelet du Piloztère; Alliance Gloursonne; Bouclier cubiste; Sangle Ouare; Capuche de l'Œil Putride; Cape de l'Œil Putride; Pataugastrique; Dofus Ocre; Dofus des Glaces; Dofus Pourpre; Dofus Ivoire; Sanguinaire majeur; Temporiseur majeur; Croum</t>
        </is>
      </c>
    </row>
    <row r="12010">
      <c r="A12010" t="inlineStr">
        <is>
          <t>roub feu</t>
        </is>
      </c>
      <c r="B12010">
        <f>HYPERLINK("https://www.dofusbook.net/fr/equipement/3566925-roub-feu/objets", "link")</f>
        <v/>
      </c>
      <c r="C12010" t="n">
        <v>3</v>
      </c>
      <c r="D12010" t="inlineStr">
        <is>
          <t>Le Thanos; Pendentif affamé; Anneau Tique; Bague Gloursonne; Bouclier du Stalak; Ceinture de Gein; Masque Ardent; Cape de Diondin; Chaussures Ardentes; Dofus des Glaces; Dofus Ocre; Dofus Pourpre; Dévastateur Feu majeur; Vigoureux majeur; Érudit majeur; Muldo Indigo et Orchidée</t>
        </is>
      </c>
    </row>
    <row r="12011">
      <c r="A12011" t="inlineStr">
        <is>
          <t>terre feu</t>
        </is>
      </c>
      <c r="B12011">
        <f>HYPERLINK("https://www.dofusbook.net/fr/equipement/3537773-terre-feu-/objets", "link")</f>
        <v/>
      </c>
      <c r="C12011" t="n">
        <v>5</v>
      </c>
      <c r="D12011" t="inlineStr">
        <is>
          <t>Epée Toche; Amulette du Strigide; Bracelet du Piloztère; Bague Gloursonne; Bouclier Taverne; Ceinture du Strigide; Masque de Koutoulou; Cape au Logis; Bottes du Roi Joueur; Dofus Turquoise; Dofus Pourpre; Remueur; Érudit majeur; Puissant majeur; Vigoureux majeur; El Scarador</t>
        </is>
      </c>
    </row>
    <row r="12012">
      <c r="A12012" t="inlineStr">
        <is>
          <t>skin team</t>
        </is>
      </c>
      <c r="B12012">
        <f>HYPERLINK("https://www.dofusbook.net/fr/equipement/3512755-skin-team/objets", "link")</f>
        <v/>
      </c>
      <c r="C12012" t="n">
        <v>1</v>
      </c>
      <c r="D12012" t="inlineStr">
        <is>
          <t>Tirubim; Colorivant 10; Colorivant 7; Colorivant 3</t>
        </is>
      </c>
    </row>
    <row r="12013">
      <c r="A12013" t="inlineStr">
        <is>
          <t>panda feu</t>
        </is>
      </c>
      <c r="B12013">
        <f>HYPERLINK("https://www.dofusbook.net/fr/equipement/3552095-panda-feu/objets", "link")</f>
        <v/>
      </c>
      <c r="C12013" t="n">
        <v>0</v>
      </c>
      <c r="D12013" t="inlineStr">
        <is>
          <t>Arc Hétype; Pendentif affamé; Anneau de Nidas; Anneau Tique; Quatre-feuilles; Ceinture Séculaire; Coiffe Séculaire; Voile d'encre; Pataugastrique; Dofus Pourpre; Dofus Ocre; Dofus Turquoise; Dofus Ivoire; Érudit majeur; Nomade; El Scarador</t>
        </is>
      </c>
    </row>
    <row r="12014">
      <c r="A12014" t="inlineStr">
        <is>
          <t>skin</t>
        </is>
      </c>
      <c r="B12014">
        <f>HYPERLINK("https://www.dofusbook.net/fr/equipement/3511814-skin/objets", "link")</f>
        <v/>
      </c>
      <c r="C12014" t="n">
        <v>0</v>
      </c>
      <c r="D12014" t="inlineStr">
        <is>
          <t>Colorivant 10; Rolivan 12; Rolivan 12</t>
        </is>
      </c>
    </row>
    <row r="12015">
      <c r="A12015" t="inlineStr">
        <is>
          <t>steam terre</t>
        </is>
      </c>
      <c r="B12015">
        <f>HYPERLINK("https://www.dofusbook.net/fr/equipement/3485747-steam-terre/objets", "link")</f>
        <v/>
      </c>
      <c r="C12015" t="n">
        <v>2</v>
      </c>
      <c r="D12015" t="inlineStr">
        <is>
          <t>Arc du Chalœil; Amulette du Strigide; Bracelet du Piloztère; Bague Gloursonne; Quatre-feuilles; Ceinture Gence; Masque de Koutoulou; Cape au Logis; Bottes du Strigide; Dofus Pourpre; Dofus Turquoise; Enragé majeur; Remueur; Puissant majeur; Vigoureux majeur; El Scarador</t>
        </is>
      </c>
    </row>
    <row r="12016">
      <c r="A12016" t="inlineStr">
        <is>
          <t>eaufeucrit</t>
        </is>
      </c>
      <c r="B12016">
        <f>HYPERLINK("https://www.dofusbook.net/fr/equipement/2316946-eaufeucrit/objets", "link")</f>
        <v/>
      </c>
      <c r="C12016" t="n">
        <v>9</v>
      </c>
      <c r="D12016" t="inlineStr">
        <is>
          <t>Arc Nécrotique; Amulette du Strigide; Bracelet du Piloztère; Anneau Cryochrone; Quatre-feuilles; Ceinture du Strigide; Casquette de Meno; Cape de Meno; Bottes de Meno; Dofus Ocre; Dofus Pourpre; Dofus des Glaces; Dofus Nébuleux; Dofus Turquoise; Dolmanax; Muldo Indigo et Orchidée</t>
        </is>
      </c>
    </row>
    <row r="12017">
      <c r="A12017" t="inlineStr">
        <is>
          <t>eau air crit</t>
        </is>
      </c>
      <c r="B12017">
        <f>HYPERLINK("https://www.dofusbook.net/fr/equipement/2559246-eau-air-crit/objets", "link")</f>
        <v/>
      </c>
      <c r="C12017" t="n">
        <v>4</v>
      </c>
      <c r="D12017" t="inlineStr">
        <is>
          <t>Arc de Koutoulou; Amulette du Strigide; Bracelet du Piloztère; Alliance Gloursonne; Quatre-feuilles; Ceintacé; Maskrobe; Chevelure de Tal Kasha; Sandales de Tal Kasha; Dofus Turquoise; Dofus Pourpre; Chanceux majeur; Vigoureux majeur; Cascadeur majeur; Remueur; Croum</t>
        </is>
      </c>
    </row>
    <row r="12018">
      <c r="A12018" t="inlineStr">
        <is>
          <t>stuff du iop terre</t>
        </is>
      </c>
      <c r="B12018">
        <f>HYPERLINK("https://www.dofusbook.net/fr/equipement/3023455-stuff-du-iop-terre/objets", "link")</f>
        <v/>
      </c>
      <c r="C12018" t="n">
        <v>1</v>
      </c>
      <c r="D12018" t="inlineStr">
        <is>
          <t>Arc du Chalœil; Amulette du Strigide; Bague Gloursonne; Bracelet du Piloztère; Quatre-feuilles; Ceinture Gence; Masque de Koutoulou; Cape au Logis; Bottes du Strigide; Dofus Pourpre; Dofus Turquoise; Culbuteur majeur; Enragé majeur; Remueur; Vigoureux majeur; Croum</t>
        </is>
      </c>
    </row>
    <row r="12019">
      <c r="A12019" t="inlineStr">
        <is>
          <t>Enutrof M 200</t>
        </is>
      </c>
      <c r="B12019">
        <f>HYPERLINK("https://www.dofusbook.net/fr/equipement/3324405-enutrof-m-200/objets", "link")</f>
        <v/>
      </c>
      <c r="C12019" t="n">
        <v>5</v>
      </c>
      <c r="D12019" t="inlineStr">
        <is>
          <t>Marteau R'ture; Collier de Tourthon; Anneau de Brouce; Bracelet du Piloztère; Bouclier du Captain Amakna; Ceinture du Strigide; Masque de Koutoulou; Cape au Logis; Baleinabottes; Dofus Turquoise; Dofus Pourpre; Forcené majeur; Enragé majeur; Remueur; Vigoureux majeur; Kompost</t>
        </is>
      </c>
    </row>
    <row r="12020">
      <c r="A12020" t="inlineStr">
        <is>
          <t>Osamodas F 200</t>
        </is>
      </c>
      <c r="B12020">
        <f>HYPERLINK("https://www.dofusbook.net/fr/equipement/3413416-osamodas-f-200/objets", "link")</f>
        <v/>
      </c>
      <c r="C12020" t="n">
        <v>9</v>
      </c>
      <c r="D12020" t="inlineStr">
        <is>
          <t>Rapière aux Glyphes; Amulette du Sinistrofu; Alliance Gloursonne; Alliance du Lévitrof; Cadran de Feu; Sangle Ouare; Kidibonnet; Cape Solution; Bottes du Sinistrofu; Dokoko; Miraculé majeur; Remueur; Taquin majeur; Dévastateur Eau majeur; Chanceux majeur; Muldo Indigo</t>
        </is>
      </c>
    </row>
    <row r="12021">
      <c r="A12021" t="inlineStr">
        <is>
          <t>sadi eau pvm</t>
        </is>
      </c>
      <c r="B12021">
        <f>HYPERLINK("https://www.dofusbook.net/fr/equipement/3431473-sadi-eau-pvm/objets", "link")</f>
        <v/>
      </c>
      <c r="C12021" t="n">
        <v>1</v>
      </c>
      <c r="D12021" t="inlineStr">
        <is>
          <t>Rapière aux Glyphes; Amulette de Shokkoth; Alliance Gloursonne; Bracelet du Piloztère; Bivalve; Poulpagne; Kidibonnet; Cape du Sinistrofu; Bottes du Sinistrofu; Dofus Pourpre; Joueur majeur; Chanceux majeur; Remueur; Vigoureux majeur; Nomade; Muldo Doré et Indigo</t>
        </is>
      </c>
    </row>
    <row r="12022">
      <c r="A12022" t="inlineStr">
        <is>
          <t>elio air</t>
        </is>
      </c>
      <c r="B12022">
        <f>HYPERLINK("https://www.dofusbook.net/fr/equipement/2340896-elio-air/objets", "link")</f>
        <v/>
      </c>
      <c r="C12022" t="n">
        <v>5</v>
      </c>
      <c r="D12022" t="inlineStr">
        <is>
          <t>Manthache; Amulette du Granduk; Anneau d'Allister; Alliance Gloursonne; Quatre-feuilles; Ceinture Billonnante; Couronne d'Allister; Cape Indescriptible; Baleinabottes; Dofus Ocre; Dofus Nébuleux; Dofus Pourpre; Cascadeur majeur; Equilibriste majeur; Vigoureux majeur; Muldo Doré</t>
        </is>
      </c>
    </row>
    <row r="12023">
      <c r="A12023" t="inlineStr">
        <is>
          <t>eni air feu</t>
        </is>
      </c>
      <c r="B12023">
        <f>HYPERLINK("https://www.dofusbook.net/fr/equipement/2080740-eni-air-feu/objets", "link")</f>
        <v/>
      </c>
      <c r="C12023" t="n">
        <v>3</v>
      </c>
      <c r="D12023" t="inlineStr">
        <is>
          <t>Baguette Hernelle; Amulette Séculaire; Bracelet du Piloztère; Anneau de Padgref; Quatre-feuilles; Ceinture Séculaire; Coiffe Séculaire; Cape d'Atcham; Getas de Padgref; Dolmanax; Dofus Ocre; Dofus Pourpre; Dofus des Glaces; Dofus Turquoise; Dofus Nébuleux; Muldo Ebène et Orchidée</t>
        </is>
      </c>
    </row>
    <row r="12024">
      <c r="A12024" t="inlineStr">
        <is>
          <t>Sadida M 200</t>
        </is>
      </c>
      <c r="B12024">
        <f>HYPERLINK("https://www.dofusbook.net/fr/equipement/3332219-sadida-m-200/objets", "link")</f>
        <v/>
      </c>
      <c r="C12024" t="n">
        <v>2</v>
      </c>
      <c r="D12024" t="inlineStr">
        <is>
          <t>Manthache; Collier du Valet Veinard; Gant du Valet Veinard; Alliance Gloursonne; Bouclier du Stalak; Menoture; Couronne d'Allister; Cape Indescriptible; Pantoufles Émar; Acrobate majeur; Vigoureux majeur; Equilibriste majeur; Remueur; Cascadeur majeur; Nomade; Muldo Ebène et Indigo</t>
        </is>
      </c>
    </row>
    <row r="12025">
      <c r="A12025" t="inlineStr">
        <is>
          <t>Enutrof M 200</t>
        </is>
      </c>
      <c r="B12025">
        <f>HYPERLINK("https://www.dofusbook.net/fr/equipement/3363242-enutrof-m-200/objets", "link")</f>
        <v/>
      </c>
      <c r="C12025" t="n">
        <v>1</v>
      </c>
      <c r="D12025" t="inlineStr">
        <is>
          <t>Arc Hétype; Amulette Volcanique; Anneau Tamie; Anneau de Nidas; Bouclier cubiste; Ceinture Instable; Couronne de Nidas; Cape de la Dame du Hasard; Pantoufles Émar; Temporiseur; Temporiseur majeur; Ralentisseur majeur; Remueur; Érudit majeur; Entraveur majeur; Muldo Indigo et Orchidée</t>
        </is>
      </c>
    </row>
    <row r="12026">
      <c r="A12026" t="inlineStr">
        <is>
          <t>Crâ M 200</t>
        </is>
      </c>
      <c r="B12026">
        <f>HYPERLINK("https://www.dofusbook.net/fr/equipement/3362206-cra-m-200/objets", "link")</f>
        <v/>
      </c>
      <c r="C12026" t="n">
        <v>6</v>
      </c>
      <c r="D12026" t="inlineStr">
        <is>
          <t>Epée Kari; Amulette du Strigide; Bracelet du Piloztère; Anneau du Père Fwetar; Quatre-feuilles; Ceintacé; Maskrobe; Cape Reski; Bottes du Strigide; Dofus Ocre; Dofus Pourpre; Dofus des Glaces; Dofus Turquoise; Dofus Nébuleux; Vigoureux majeur; Muldo Prune et Emeraude</t>
        </is>
      </c>
    </row>
    <row r="12027">
      <c r="A12027" t="inlineStr">
        <is>
          <t>Sadida M 200</t>
        </is>
      </c>
      <c r="B12027">
        <f>HYPERLINK("https://www.dofusbook.net/fr/equipement/3332234-sadida-m-200/objets", "link")</f>
        <v/>
      </c>
      <c r="C12027" t="n">
        <v>2</v>
      </c>
      <c r="D12027" t="inlineStr">
        <is>
          <t>Arc corrompu; Pendentif affamé; Anneau Tique; Anneau Rifique; Bouclier du Stalak; Ceintrigue; Couronne de Nidas; Cape de Diondin; Bottes Owesli; Dofus des Glaces; Érudit majeur; Sanguinaire majeur; Dévastateur Feu majeur; Astucieux majeur; Remueur; Muldo Indigo et Orchidée</t>
        </is>
      </c>
    </row>
    <row r="12028">
      <c r="A12028" t="inlineStr">
        <is>
          <t>Sadida M 200</t>
        </is>
      </c>
      <c r="B12028">
        <f>HYPERLINK("https://www.dofusbook.net/fr/equipement/3333344-sadida-m-200/objets", "link")</f>
        <v/>
      </c>
      <c r="C12028" t="n">
        <v>0</v>
      </c>
      <c r="D12028" t="inlineStr">
        <is>
          <t>Collier du Valet Veinard; Anneau d'Allister; Alliance Gloursonne; Menoture; Couronne d'Allister; Cape de Klime</t>
        </is>
      </c>
    </row>
    <row r="12029">
      <c r="A12029" t="inlineStr">
        <is>
          <t>Osamodas F 200</t>
        </is>
      </c>
      <c r="B12029">
        <f>HYPERLINK("https://www.dofusbook.net/fr/equipement/3331452-osamodas-f-200/objets", "link")</f>
        <v/>
      </c>
      <c r="C12029" t="n">
        <v>0</v>
      </c>
      <c r="D12029" t="inlineStr">
        <is>
          <t>Dagoulinantes; Amulette de Shokkoth; Alliance Gloursonne; Bracelet des Fonds marins; Bouclier d'Ilyzaelle; Sangle Ouare; Casque d'Ilyzaelle; Cape Solution; Pataugastrique; Dofus des Glaces; Sanguinaire majeur; Remueur; Taquin majeur; Miraculé majeur; Chanceux majeur; Pioute bleu</t>
        </is>
      </c>
    </row>
    <row r="12030">
      <c r="A12030" t="inlineStr">
        <is>
          <t>Osamodas F 200</t>
        </is>
      </c>
      <c r="B12030">
        <f>HYPERLINK("https://www.dofusbook.net/fr/equipement/3331472-osamodas-f-200/objets", "link")</f>
        <v/>
      </c>
      <c r="C12030" t="n">
        <v>2</v>
      </c>
      <c r="D12030" t="inlineStr">
        <is>
          <t>Lance Horselé; Collier du Valet Veinard; Alliance Gloursonne; Gant du Valet Veinard; Cadran d'Air; Menoture; Couronne d'Allister; Cape Indescriptible; Baleinabottes; Dofus des Glaces; Remueur; Miraculé majeur; Nomade; Cascadeur majeur; Equilibriste majeur; Pioute jaune</t>
        </is>
      </c>
    </row>
    <row r="12031">
      <c r="A12031" t="inlineStr">
        <is>
          <t>enuterre200</t>
        </is>
      </c>
      <c r="B12031">
        <f>HYPERLINK("https://www.dofusbook.net/fr/equipement/3323964-enuterre200/objets", "link")</f>
        <v/>
      </c>
      <c r="C12031" t="n">
        <v>1</v>
      </c>
      <c r="D12031" t="inlineStr">
        <is>
          <t>Bêche Asse; Amulette Héroclite; Anneau de Brouce; Bracelet du Piloztère; Bivalve; Ceinture de Brouce; Le Kim; Cape au Logis; Sabots Minables; Dofus Pourpre; Vigoureux majeur; Furibond majeur; Forcené majeur; Remueur; Enragé majeur; Kompost</t>
        </is>
      </c>
    </row>
    <row r="12032">
      <c r="A12032" t="inlineStr">
        <is>
          <t>Enutrof M 200</t>
        </is>
      </c>
      <c r="B12032">
        <f>HYPERLINK("https://www.dofusbook.net/fr/equipement/3306762-enutrof-m-200/objets", "link")</f>
        <v/>
      </c>
      <c r="C12032" t="n">
        <v>1</v>
      </c>
      <c r="D12032" t="inlineStr">
        <is>
          <t>Hache à Lamelles; Collier du Minotot; Anneau Moutheur; Bracelet du Minotot; Bouclier du Bawbawe; Tranche des Sous-bois; Doro le Blak; Cape du Minotot; Bottes Hoktone; Dofus Kaliptus; Taquin mineur; Joueur; Taquin; Vilain Petit Corbac</t>
        </is>
      </c>
    </row>
    <row r="12033">
      <c r="A12033" t="inlineStr">
        <is>
          <t>Enutrof M 200</t>
        </is>
      </c>
      <c r="B12033">
        <f>HYPERLINK("https://www.dofusbook.net/fr/equipement/3301723-enutrof-m-200/objets", "link")</f>
        <v/>
      </c>
      <c r="C12033" t="n">
        <v>0</v>
      </c>
      <c r="D12033" t="inlineStr">
        <is>
          <t>Epée Kari; Amulette du Strigide; Alliance Gloursonne; Bracelet du Piloztère; Bivalve; Ceintacé; Maskrobe; Capille; Bottes du Strigide; Dofus Ivoire; Dofus Turquoise; Dofus Nébuleux; Dofus Pourpre; Vigoureux majeur; Remueur; Muldo Doré et Ebène</t>
        </is>
      </c>
    </row>
    <row r="12034">
      <c r="A12034" t="inlineStr">
        <is>
          <t>Enutrof F 200</t>
        </is>
      </c>
      <c r="B12034">
        <f>HYPERLINK("https://www.dofusbook.net/fr/equipement/3297448-enutrof-f-200/objets", "link")</f>
        <v/>
      </c>
      <c r="C12034" t="n">
        <v>0</v>
      </c>
      <c r="D12034" t="inlineStr">
        <is>
          <t>Dagues Açantes; Amulette du Glourséleste; Gelano; Pikano; Bouclier cubiste; Ceinture Instable; Bonnet Ko; Cape de Léthaline; Pantoufles Émar; Dofus Cawotte; Entraveur; Temporiseur majeur; Ralentisseur majeur; Temporiseur; Entraveur majeur; Muldo Indigo et Pourpre</t>
        </is>
      </c>
    </row>
    <row r="12035">
      <c r="A12035" t="inlineStr">
        <is>
          <t>Féca M 200</t>
        </is>
      </c>
      <c r="B12035">
        <f>HYPERLINK("https://www.dofusbook.net/fr/equipement/3294004-feca-m-200/objets", "link")</f>
        <v/>
      </c>
      <c r="C12035" t="n">
        <v>0</v>
      </c>
      <c r="D12035" t="inlineStr">
        <is>
          <t>Ceinture du Tot</t>
        </is>
      </c>
    </row>
    <row r="12036">
      <c r="A12036" t="inlineStr">
        <is>
          <t>Steamer M 200</t>
        </is>
      </c>
      <c r="B12036">
        <f>HYPERLINK("https://www.dofusbook.net/fr/equipement/3263747-steamer-m-200/objets", "link")</f>
        <v/>
      </c>
      <c r="C12036" t="n">
        <v>0</v>
      </c>
      <c r="D12036" t="inlineStr">
        <is>
          <t>Arc corrompu; Pendentif affamé; Anneau Tique; Bague Gloursonne; Quatre-feuilles; Ceinture de Gein; Chapeau de Gein; Voile d'encre; Pataugastrique; Dofus Pourpre; Dofus Ivoire; Dofus Turquoise; Dofus des Glaces; Remueur; Érudit majeur; Muldo Orchidée et Pourpre</t>
        </is>
      </c>
    </row>
    <row r="12037">
      <c r="A12037" t="inlineStr">
        <is>
          <t>stuff multi steam</t>
        </is>
      </c>
      <c r="B12037">
        <f>HYPERLINK("https://www.dofusbook.net/fr/equipement/2438921-stuff-multi-steam/objets", "link")</f>
        <v/>
      </c>
      <c r="C12037" t="n">
        <v>1</v>
      </c>
      <c r="D12037" t="inlineStr">
        <is>
          <t>Marteau de Katrepat; Amulette du Cœur Vaillant; Bracelet du Piloztère; Alliance Gloursonne; Quatre-feuilles; Ceintacé; Casque du Chalœil; Voile d'encre; Bottes du Strigide; Dofus Turquoise; Dofus Ivoire; Dokoko; Dofus Ocre; Dofus Pourpre; Dofus des Glaces</t>
        </is>
      </c>
    </row>
    <row r="12038">
      <c r="A12038" t="inlineStr">
        <is>
          <t>steam terre</t>
        </is>
      </c>
      <c r="B12038">
        <f>HYPERLINK("https://www.dofusbook.net/fr/equipement/2933990-steam-terre/objets", "link")</f>
        <v/>
      </c>
      <c r="C12038" t="n">
        <v>1</v>
      </c>
      <c r="D12038" t="inlineStr">
        <is>
          <t>Arc du Chalœil; Torquistik; Bague Gloursonne; Bracelet du Piloztère; Bivalve; Ceinture Luminescente; Masque de Koutoulou; Cape du Cœur Vaillant; Bottistik; Dofus Pourpre; Dofus Ocre; Dofus des Glaces; Bousculeur majeur; Culbuteur majeur; Enragé majeur; Muldo Pourpre</t>
        </is>
      </c>
    </row>
    <row r="12039">
      <c r="A12039" t="inlineStr">
        <is>
          <t>steam do pou</t>
        </is>
      </c>
      <c r="B12039">
        <f>HYPERLINK("https://www.dofusbook.net/fr/equipement/2520400-steam-do-pou/objets", "link")</f>
        <v/>
      </c>
      <c r="C12039" t="n">
        <v>4</v>
      </c>
      <c r="D12039" t="inlineStr">
        <is>
          <t>Arc du Chalœil; Amulette Luminescente; Bracelet du Piloztère; Bague Trithon; Bivalve; Ceinture Luminescente; Masque Trithon; Cape Luminescente; Bottes Trithon; Dofus des Glaces; Dofus Pourpre; Dofus Ivoire; Dolmanax; Dofus Ocre; Bousculeur majeur; Muldo Ebène et Orchidée</t>
        </is>
      </c>
    </row>
    <row r="12040">
      <c r="A12040" t="inlineStr">
        <is>
          <t>steam air vs féca</t>
        </is>
      </c>
      <c r="B12040">
        <f>HYPERLINK("https://www.dofusbook.net/fr/equipement/2438831-steam-air-vs-feca/objets", "link")</f>
        <v/>
      </c>
      <c r="C12040" t="n">
        <v>1</v>
      </c>
      <c r="D12040" t="inlineStr">
        <is>
          <t>Manthache; Amulette du Kamasterisk; Gant du Valet Veinard; Alliance Gloursonne; Écorce de Brouce; Menoture; Dorabysses; Cape du Kamasterisk; Palmes Trithons; Dokoko; Dofus des Glaces; Dofus Pourpre; Dofus Ivoire; Dofus Ocre; Évasif majeur; Muldo Ebène et Orchidée</t>
        </is>
      </c>
    </row>
    <row r="12041">
      <c r="A12041" t="inlineStr">
        <is>
          <t>steam multi no crit</t>
        </is>
      </c>
      <c r="B12041">
        <f>HYPERLINK("https://www.dofusbook.net/fr/equipement/2456791-steam-multi-no-crit/objets", "link")</f>
        <v/>
      </c>
      <c r="C12041" t="n">
        <v>0</v>
      </c>
      <c r="D12041" t="inlineStr">
        <is>
          <t>Dagues de Srambad; Amulette Luminescente; Alliance Gloursonne; Bague Gloursonne; Bivalve; Ceinture de la Reine des Voleurs; Coiffe de la Reine des Voleurs; Cape Luminescente; Bottes de la Reine des Voleurs; Dofus Ocre; Dokoko; Dofus des Glaces; Dofus Pourpre; Dofus Ivoire; Féroce majeur; Muldo Ebène et Orchidée</t>
        </is>
      </c>
    </row>
    <row r="12042">
      <c r="A12042" t="inlineStr">
        <is>
          <t>skin sram air 16x</t>
        </is>
      </c>
      <c r="B12042">
        <f>HYPERLINK("https://www.dofusbook.net/fr/equipement/3233162-skin-sram-air-16x/objets", "link")</f>
        <v/>
      </c>
      <c r="C12042" t="n">
        <v>5</v>
      </c>
      <c r="D12042" t="inlineStr">
        <is>
          <t>Muldo Prune et Doré; Colorivant 6; Colorivant 10; Colorivant 7</t>
        </is>
      </c>
    </row>
    <row r="12043">
      <c r="A12043" t="inlineStr">
        <is>
          <t>pandafeu199</t>
        </is>
      </c>
      <c r="B12043">
        <f>HYPERLINK("https://www.dofusbook.net/fr/equipement/3199387-pandafeu199/objets", "link")</f>
        <v/>
      </c>
      <c r="C12043" t="n">
        <v>0</v>
      </c>
      <c r="D12043" t="inlineStr">
        <is>
          <t>Épée d'Otomaï; Amulette de Nileza; Gelano; Bague Gloursonne; Cadran de Terre; Ceinture du Comte Razof; Casqnoar; Cape de Nileza; Pantoufles Émar; Dofus Pourpre; Dokoko; Érudit majeur; Remueur; Vigoureux majeur; Miraculé majeur; Muldo Indigo et Orchidée</t>
        </is>
      </c>
    </row>
    <row r="12044">
      <c r="A12044" t="inlineStr">
        <is>
          <t>skin</t>
        </is>
      </c>
      <c r="B12044">
        <f>HYPERLINK("https://www.dofusbook.net/fr/equipement/3024461-skin/objets", "link")</f>
        <v/>
      </c>
      <c r="C12044" t="n">
        <v>0</v>
      </c>
      <c r="D12044" t="inlineStr">
        <is>
          <t>Bouclier d'Ilyzaelle; Bulbouture; Colorivant 2; Colorivant 7</t>
        </is>
      </c>
    </row>
    <row r="12045">
      <c r="A12045" t="inlineStr">
        <is>
          <t>stuff panda tank</t>
        </is>
      </c>
      <c r="B12045">
        <f>HYPERLINK("https://www.dofusbook.net/fr/equipement/3023514-stuff-panda-tank/objets", "link")</f>
        <v/>
      </c>
      <c r="C12045" t="n">
        <v>0</v>
      </c>
      <c r="D12045" t="inlineStr">
        <is>
          <t>Rouleau à Pâtisserie d'Aermyne; Amulette du Strigide; Bague Gloursonne; Bracelet du Piloztère; Bouclier précieux; Ceintacé; Masque d'Anerice; Cape d'Anerice; Baleinabottes; Dofus Émeraude; Enragé majeur; Nomade; Obstructeur majeur; Remueur; Miraculé majeur; Muldo Roux et Orchidée</t>
        </is>
      </c>
    </row>
    <row r="12046">
      <c r="A12046" t="inlineStr">
        <is>
          <t>stuff enu ret pm</t>
        </is>
      </c>
      <c r="B12046">
        <f>HYPERLINK("https://www.dofusbook.net/fr/equipement/3023484-stuff-enu-ret-pm/objets", "link")</f>
        <v/>
      </c>
      <c r="C12046" t="n">
        <v>9</v>
      </c>
      <c r="D12046" t="inlineStr">
        <is>
          <t>Dagues Açantes; Amulette du Glourséleste; Pikano; Anneau Instable; Bouclier cubiste; Ceinture Instable; Coiffe Ranshi; Cape Tif; Pantoufles Émar; Chanceux majeur; Remueur; Temporiseur; Entraveur majeur; Ralentisseur majeur; Temporiseur majeur; Muldo Indigo</t>
        </is>
      </c>
    </row>
    <row r="12047">
      <c r="A12047" t="inlineStr">
        <is>
          <t>stuff eni feu</t>
        </is>
      </c>
      <c r="B12047">
        <f>HYPERLINK("https://www.dofusbook.net/fr/equipement/3023471-stuff-eni-feu/objets", "link")</f>
        <v/>
      </c>
      <c r="C12047" t="n">
        <v>0</v>
      </c>
      <c r="D12047" t="inlineStr">
        <is>
          <t>Plumeau Bil; Amulette de Nileza; Anneau de Nidas; Bague Gloursonne; Bivalve; Ceinture Séculaire; Coiffe Séculaire; Cape de Diondin; Pantoufles Émar; Dofus Turquoise; Dofus Pourpre; Guérisseur majeur; Remueur; Érudit majeur; Nomade; Muldo Prune et Emeraude</t>
        </is>
      </c>
    </row>
    <row r="12048">
      <c r="A12048" t="inlineStr">
        <is>
          <t>Stuff 1</t>
        </is>
      </c>
      <c r="B12048">
        <f>HYPERLINK("https://www.dofusbook.net/fr/equipement/79337-stuff-1/objets", "link")</f>
        <v/>
      </c>
      <c r="C12048" t="n">
        <v>0</v>
      </c>
      <c r="D12048" t="inlineStr">
        <is>
          <t>Epée Gloursonne; Amulette du Strigide; Bague Gloursonne; Alliance Gloursonne; Bouclier d'Anerice; Ceinture du Strigide; Masque d'Anerice; Cape d'Anerice; Bottes du Strigide; Dofus Turquoise; Dofus Nébuleux; Dokoko; Dofus Ocre; Dofus Pourpre; Dofus des Glaces; Muldo Prune et Emeraude</t>
        </is>
      </c>
    </row>
    <row r="12049">
      <c r="A12049" t="inlineStr">
        <is>
          <t>ougi 200</t>
        </is>
      </c>
      <c r="B12049">
        <f>HYPERLINK("https://www.dofusbook.net/fr/equipement/1018691-ougi-200/objets", "link")</f>
        <v/>
      </c>
      <c r="C12049" t="n">
        <v>0</v>
      </c>
      <c r="D12049" t="inlineStr">
        <is>
          <t>Arc de Koutoulou; Amulette du Strigide; Alliance Gloursonne; Bracelet du Piloztère; Bouclier du Captain Amakna; Ceintacé; Némès de Tal Kasha; Cape d'Atcham; Sandales  d'Atcham; Dofus Pourpre; Dofus Turquoise; Dofus Émeraude; Dofus Nébuleux; Dofus Ocre; Vigoureux majeur; Muldo Ebène et Indigo</t>
        </is>
      </c>
    </row>
    <row r="12050">
      <c r="A12050" t="inlineStr">
        <is>
          <t>iop 130</t>
        </is>
      </c>
      <c r="B12050">
        <f>HYPERLINK("https://www.dofusbook.net/fr/equipement/1000895-iop-130/objets", "link")</f>
        <v/>
      </c>
      <c r="C12050" t="n">
        <v>1</v>
      </c>
      <c r="D12050" t="inlineStr">
        <is>
          <t>La Baguette des Limbes; Amulette du Wabbit Céphale; Gelano; Anneau du Wabbit Céphale; Derma Tho; Ceinture du Meulou; Chapeau Truche; Cape Xélomorphe; Bottes de Styx; Dofus Turquoise; Dofus Cawotte; Dofus Émeraude; Dofus Ocre; Temporiseur; Entraveur; Koalak Sanguin</t>
        </is>
      </c>
    </row>
    <row r="12051">
      <c r="A12051" t="inlineStr">
        <is>
          <t>panda 130</t>
        </is>
      </c>
      <c r="B12051">
        <f>HYPERLINK("https://www.dofusbook.net/fr/equipement/1000897-panda-130/objets", "link")</f>
        <v/>
      </c>
      <c r="C12051" t="n">
        <v>0</v>
      </c>
      <c r="D12051" t="inlineStr">
        <is>
          <t>Baguette Rhon; Amulette du Royalmouth; Alliance des Forestiers; Gelano; Ceinture du Royalmouth; Billréole; Cape des Ecaflipuces; Getas Bernacle; Dofus Turquoise; Dofus Pourpre; Dofus Ocre; Dofus Émeraude; Nomade; Remueur; Brûlih</t>
        </is>
      </c>
    </row>
    <row r="12052">
      <c r="A12052" t="inlineStr">
        <is>
          <t>enu 130</t>
        </is>
      </c>
      <c r="B12052">
        <f>HYPERLINK("https://www.dofusbook.net/fr/equipement/1000898-enu-130/objets", "link")</f>
        <v/>
      </c>
      <c r="C12052" t="n">
        <v>0</v>
      </c>
      <c r="D12052" t="inlineStr">
        <is>
          <t>La Baguette des Limbes; Amulette du Dragoeuf; Anneau du Dragoeuf; Gelano; Bouclier d'Asse; Cacture; Cascterre; Capterre; Gruchaussures; Dofus Pourpre; Dofus Ocre; Dofus Émeraude; Dofus des Glaces; Dofus Turquoise; Dofus Nébuleux; Muldo Doré</t>
        </is>
      </c>
    </row>
    <row r="12053">
      <c r="A12053" t="inlineStr">
        <is>
          <t>elio 130</t>
        </is>
      </c>
      <c r="B12053">
        <f>HYPERLINK("https://www.dofusbook.net/fr/equipement/1000893-elio-130/objets", "link")</f>
        <v/>
      </c>
      <c r="C12053" t="n">
        <v>0</v>
      </c>
      <c r="D12053" t="inlineStr">
        <is>
          <t>La Baguette des Limbes; Amulette d'El Piko; Anneau du Dragoeuf; Gelano; Bouclier d'Asse; Ceinture Billonnante; Sombrero d'El Piko; Cape Ricieuse; Gruchaussures; Dofus Turquoise; Dofus Nébuleux; Dofus Pourpre; Dofus Ocre; Dofus Émeraude; Dofus des Glaces; Muldo Doré</t>
        </is>
      </c>
    </row>
    <row r="12054">
      <c r="A12054" t="inlineStr">
        <is>
          <t>fullresi</t>
        </is>
      </c>
      <c r="B12054">
        <f>HYPERLINK("https://www.dofusbook.net/fr/equipement/998517-fullresi/objets", "link")</f>
        <v/>
      </c>
      <c r="C12054" t="n">
        <v>0</v>
      </c>
      <c r="D12054" t="inlineStr">
        <is>
          <t>Hache Harnée; Amulette Ementaire; Anneau du Chêne Mou; Alliance d'Elya Wood; Bouclier Ventaille; Ceinture Claire en Abrakleur; Casque Dragoeuf; Caracape Minotoris; Bottes de Grozilla; Dofus Pourpre; Dofus Émeraude; Dofus Ocre; Remueur; Survivant majeur; Miraculé majeur; Muldo Ebène et Indigo</t>
        </is>
      </c>
    </row>
    <row r="12055">
      <c r="A12055" t="inlineStr">
        <is>
          <t>iop 110</t>
        </is>
      </c>
      <c r="B12055">
        <f>HYPERLINK("https://www.dofusbook.net/fr/equipement/980417-iop-110/objets", "link")</f>
        <v/>
      </c>
      <c r="C12055" t="n">
        <v>0</v>
      </c>
      <c r="D12055" t="inlineStr">
        <is>
          <t>La Baguette des Limbes; Amublop Multicolore Royale; Bracelet Tmotiv; Gelano; Bouclier d'Asse; Gaine Nyée; Kabuto; Caparak; Sabots de Redolphe; Dofus Pourpre; Dofus Ocre; Dofus Émeraude; Dofus des Glaces; Dofus Turquoise; Dofus Nébuleux; Muldo Doré</t>
        </is>
      </c>
    </row>
    <row r="12056">
      <c r="A12056" t="inlineStr">
        <is>
          <t>enu 110</t>
        </is>
      </c>
      <c r="B12056">
        <f>HYPERLINK("https://www.dofusbook.net/fr/equipement/980419-enu-110/objets", "link")</f>
        <v/>
      </c>
      <c r="C12056" t="n">
        <v>0</v>
      </c>
      <c r="D12056" t="inlineStr">
        <is>
          <t>La Baguette des Limbes; Amulette du Gorgouille; Gelano; Gantelet du Gorgouille; Derma Tho; Ceinture Dracochoune; Coiffe de la Néfileuse; Capitrouille; Bloptes Indigo Royales; Dofus Cawotte; Dofus Émeraude; Dofus Ocre; Nomade; Temporiseur; Entraveur; Koalak Sanguin</t>
        </is>
      </c>
    </row>
    <row r="12057">
      <c r="A12057" t="inlineStr">
        <is>
          <t>panda 110</t>
        </is>
      </c>
      <c r="B12057">
        <f>HYPERLINK("https://www.dofusbook.net/fr/equipement/980420-panda-110/objets", "link")</f>
        <v/>
      </c>
      <c r="C12057" t="n">
        <v>0</v>
      </c>
      <c r="D12057" t="inlineStr">
        <is>
          <t>Baguette Rhon; Alliance des Forestiers; Gelano; Ceinture du Berserkoffre; Billréole; Capitrouille; Getas Bernacle; Dofus Pourpre; Dofus Ocre; Dofus Émeraude; Dofus Turquoise; Remueur; Nomade; Brûlih</t>
        </is>
      </c>
    </row>
    <row r="12058">
      <c r="A12058" t="inlineStr">
        <is>
          <t>elio 110</t>
        </is>
      </c>
      <c r="B12058">
        <f>HYPERLINK("https://www.dofusbook.net/fr/equipement/980418-elio-110/objets", "link")</f>
        <v/>
      </c>
      <c r="C12058" t="n">
        <v>0</v>
      </c>
      <c r="D12058" t="inlineStr">
        <is>
          <t>La Baguette des Limbes; Licol de Redolphe; Bracelet Tmotiv; Gelano; Bouclier d'Asse; Blopture Multicolore Royale; Kabuto; Capitrouille; Sabots de Redolphe; Dofus Émeraude; Dofus des Glaces; Dofus Turquoise; Dofus Nébuleux; Dofus Pourpre; Dofus Ocre; Muldo Doré</t>
        </is>
      </c>
    </row>
    <row r="12059">
      <c r="A12059" t="inlineStr">
        <is>
          <t>enu</t>
        </is>
      </c>
      <c r="B12059">
        <f>HYPERLINK("https://www.dofusbook.net/fr/equipement/959992-enu/objets", "link")</f>
        <v/>
      </c>
      <c r="C12059" t="n">
        <v>0</v>
      </c>
      <c r="D12059" t="inlineStr">
        <is>
          <t>Dagues Eurfolles; Le Flan des Étoiles; Gelano; Blopanneau Reinette; Derma Tho; Ceinture du Rat; Caracoiffe; Scaracape Dorée; Sandales Koliques; Dofus Pourpre; Dofus Cawotte; Dofus Émeraude; Dofus Ocre; Dofus Turquoise; Temporiseur mineur; Minikrone</t>
        </is>
      </c>
    </row>
    <row r="12060">
      <c r="A12060" t="inlineStr">
        <is>
          <t>rtghyju</t>
        </is>
      </c>
      <c r="B12060">
        <f>HYPERLINK("https://www.dofusbook.net/fr/equipement/959563-rtghyju/objets", "link")</f>
        <v/>
      </c>
      <c r="C12060" t="n">
        <v>0</v>
      </c>
      <c r="D12060" t="inlineStr">
        <is>
          <t>Baguette du Scarabosse Doré; Le Flan des Étoiles; Blopanneau Griotte; Gelano; Bouclier du Bûcheron; Ceinture Tortue Rouge; Boufcoiffe Royale; Justobottes; Dofus Émeraude; Dofus Turquoise; Dofus Pourpre; Dofus Ocre; Érudit mineur; Observateur; Brûlih; Cape Dragocourse</t>
        </is>
      </c>
    </row>
    <row r="12061">
      <c r="A12061" t="inlineStr">
        <is>
          <t>panda team 1</t>
        </is>
      </c>
      <c r="B12061">
        <f>HYPERLINK("https://www.dofusbook.net/fr/equipement/376944-panda-team-1/objets", "link")</f>
        <v/>
      </c>
      <c r="C12061" t="n">
        <v>0</v>
      </c>
      <c r="D12061" t="inlineStr"/>
    </row>
    <row r="12062">
      <c r="A12062" t="inlineStr">
        <is>
          <t>zefv</t>
        </is>
      </c>
      <c r="B12062">
        <f>HYPERLINK("https://www.dofusbook.net/fr/equipement/276139-zefv/objets", "link")</f>
        <v/>
      </c>
      <c r="C12062" t="n">
        <v>1</v>
      </c>
      <c r="D12062" t="inlineStr">
        <is>
          <t>Dague Adou; Amulette du Strigide; Alliance Gloursonne; Bracelet du Piloztère; Ceintacé; Chapeau des Malveilleurs; Cape d'Atcham; Sandales  d'Atcham; Dofus Pourpre; Dofus Ocre; Dofus Émeraude; Dofus Turquoise; Vigoureux majeur; Muldo Prune et Emeraude</t>
        </is>
      </c>
    </row>
    <row r="12063">
      <c r="A12063" t="inlineStr">
        <is>
          <t>Stuff 1</t>
        </is>
      </c>
      <c r="B12063">
        <f>HYPERLINK("https://www.dofusbook.net/fr/equipement/79300-stuff-1/objets", "link")</f>
        <v/>
      </c>
      <c r="C12063" t="n">
        <v>3</v>
      </c>
      <c r="D12063" t="inlineStr">
        <is>
          <t>Marteau Phossile; Amulette du Cycloïde; Bague Gloursonne; Alliance Gloursonne; Frimature; Cagoule de Vortex; Cape des Malveilleurs; Pantoufles Émar; Dofus Pourpre; Dofus des Glaces; Remueur; Sanguinaire majeur; Féroce majeur; Nomade; Bilby</t>
        </is>
      </c>
    </row>
    <row r="12064">
      <c r="A12064" t="inlineStr">
        <is>
          <t>Stuff 1</t>
        </is>
      </c>
      <c r="B12064">
        <f>HYPERLINK("https://www.dofusbook.net/fr/equipement/79286-stuff-1/objets", "link")</f>
        <v/>
      </c>
      <c r="C12064" t="n">
        <v>2</v>
      </c>
      <c r="D12064" t="inlineStr">
        <is>
          <t>Marteau d'Henual; Talisman Glouti; Anneau d'Henual; Anneau Tique; Ceinture d'Henual; Dorabysses; Cape Matelassée; Bottes du Strigide; Dokoko; Dofus Ocre; Dolmanax; Dofus Turquoise; Dofus Émeraude; Dofus Pourpre; Kramkram</t>
        </is>
      </c>
    </row>
    <row r="12065">
      <c r="A12065" t="inlineStr">
        <is>
          <t>Stuff 1</t>
        </is>
      </c>
      <c r="B12065">
        <f>HYPERLINK("https://www.dofusbook.net/fr/equipement/79346-stuff-1/objets", "link")</f>
        <v/>
      </c>
      <c r="C12065" t="n">
        <v>3</v>
      </c>
      <c r="D12065" t="inlineStr">
        <is>
          <t>Pelle de la Cour Sombre; Amulette du Kamasterisk; Alliance Gloursonne; Anneau des égarés; Ceinture du Barbétoal; Dorabysses; Cape du Kamasterisk; Baleinabottes; Acrobate majeur; Remueur; Carapace Air majeur; Nomade; Cascadeur majeur; Blokus</t>
        </is>
      </c>
    </row>
    <row r="12066">
      <c r="A12066" t="inlineStr">
        <is>
          <t>Stuff 2</t>
        </is>
      </c>
      <c r="B12066">
        <f>HYPERLINK("https://www.dofusbook.net/fr/equipement/79338-stuff-2/objets", "link")</f>
        <v/>
      </c>
      <c r="C12066" t="n">
        <v>0</v>
      </c>
      <c r="D12066" t="inlineStr">
        <is>
          <t>Dagues Ricol; Phylactère Mic; Bague Gloursonne; Anneau d'Henual; Ceinture Hyolite; Casque de Missiz Frizz; Cape au Logis; Sabots Minables; Dofus Pourpre; Dofus Turquoise; Vigoureux majeur; Nomade; Remueur; Miraculé majeur; Kramkram</t>
        </is>
      </c>
    </row>
    <row r="12067">
      <c r="A12067" t="inlineStr">
        <is>
          <t>Stuff 3</t>
        </is>
      </c>
      <c r="B12067">
        <f>HYPERLINK("https://www.dofusbook.net/fr/equipement/79344-stuff-3/objets", "link")</f>
        <v/>
      </c>
      <c r="C12067" t="n">
        <v>2</v>
      </c>
      <c r="D12067" t="inlineStr">
        <is>
          <t>Epée Kari; Amulette du Strigide; Gelano; Bracelet du Piloztère; Ceintacé; Casque de Missiz Frizz; Cape Reski; Bottes du Strigide; Dofus Pourpre; Dofus Turquoise; Temporiseur majeur; Vigoureux majeur; Remueur; Nomade; Kramkram</t>
        </is>
      </c>
    </row>
    <row r="12068">
      <c r="A12068" t="inlineStr">
        <is>
          <t>Stuff 1</t>
        </is>
      </c>
      <c r="B12068">
        <f>HYPERLINK("https://www.dofusbook.net/fr/equipement/79413-stuff-1/objets", "link")</f>
        <v/>
      </c>
      <c r="C12068" t="n">
        <v>2</v>
      </c>
      <c r="D12068" t="inlineStr">
        <is>
          <t>Bêche Asse; Amulette du Strigide; Anneau Chevelu; Anneau de Brouce; Ceinture de Brouce; Casque de Missiz Frizz; Cape au Logis; Baleinabottes; Dofus Turquoise; Dofus Nébuleux; Dofus Pourpre; Remueur; Nomade; Enragé majeur; Kompost</t>
        </is>
      </c>
    </row>
    <row r="12069">
      <c r="A12069" t="inlineStr">
        <is>
          <t>Stuff 1</t>
        </is>
      </c>
      <c r="B12069">
        <f>HYPERLINK("https://www.dofusbook.net/fr/equipement/79325-stuff-1/objets", "link")</f>
        <v/>
      </c>
      <c r="C12069" t="n">
        <v>2</v>
      </c>
      <c r="D12069" t="inlineStr">
        <is>
          <t>Dagues de Srambad; Talisman Glouti; Bracelet du Piloztère; Gelano; Ceinture de la Reine des Voleurs; Coiffe du Lévitrof; Cape Ovri; Pantoufles du Piloztère; Dofus Ocre; Chanceux majeur; Vigoureux majeur; Nomade; Enragé majeur; Remueur; Kramkram</t>
        </is>
      </c>
    </row>
    <row r="12070">
      <c r="A12070" t="inlineStr">
        <is>
          <t>Stuff 1</t>
        </is>
      </c>
      <c r="B12070">
        <f>HYPERLINK("https://www.dofusbook.net/fr/equipement/79395-stuff-1/objets", "link")</f>
        <v/>
      </c>
      <c r="C12070" t="n">
        <v>0</v>
      </c>
      <c r="D12070" t="inlineStr">
        <is>
          <t>Talisman Igans; Gelano; Alliance de Missiz Frizz; Ceintrigue; Coiffe Cryochrone; Cape de Nileza; Pataugastrique; Robuste majeur; Remueur; Chanceux majeur; Nomade; Érudit majeur; Vigoureux majeur; Kramkram</t>
        </is>
      </c>
    </row>
    <row r="12071">
      <c r="A12071" t="inlineStr">
        <is>
          <t>Stuff 2</t>
        </is>
      </c>
      <c r="B12071">
        <f>HYPERLINK("https://www.dofusbook.net/fr/equipement/79302-stuff-2/objets", "link")</f>
        <v/>
      </c>
      <c r="C12071" t="n">
        <v>2</v>
      </c>
      <c r="D12071" t="inlineStr">
        <is>
          <t>Baguette Hernelle; Kralamansion; Gelano; Anneau de Padgref; Frimature; Frimacoiffe; Cape Hiculteur; Pantoufles Émar; Féroce majeur; Nomade; Vigoureux majeur; Sanguinaire majeur; Miraculé majeur; Remueur; Pioute violet</t>
        </is>
      </c>
    </row>
    <row r="12072">
      <c r="A12072" t="inlineStr">
        <is>
          <t>Stuff 2</t>
        </is>
      </c>
      <c r="B12072">
        <f>HYPERLINK("https://www.dofusbook.net/fr/equipement/79288-stuff-2/objets", "link")</f>
        <v/>
      </c>
      <c r="C12072" t="n">
        <v>2</v>
      </c>
      <c r="D12072" t="inlineStr">
        <is>
          <t>Epée Kari; Amulette du Strigide; Bracelet du Minotoboule; Bracelet du Piloztère; Protopagne; Coiffe du Comte Harebourg; Cape au Logis; Bottes du Comte Harebourg; Dokoko; Dofus Ocre; Dofus Émeraude; Survivant majeur; Miraculé majeur; Remueur; Homlett</t>
        </is>
      </c>
    </row>
    <row r="12073">
      <c r="A12073" t="inlineStr">
        <is>
          <t>Stuff 1</t>
        </is>
      </c>
      <c r="B12073">
        <f>HYPERLINK("https://www.dofusbook.net/fr/equipement/79365-stuff-1/objets", "link")</f>
        <v/>
      </c>
      <c r="C12073" t="n">
        <v>1</v>
      </c>
      <c r="D12073" t="inlineStr">
        <is>
          <t>Arc Hétype; Amulette Séculaire; Anneau de Nidas; Anneau Tique; Ceinture de Gein; Couronne de Nidas; Voile d'encre; Pataugastrique; Dofus Pourpre; Érudit majeur; Nomade; Miraculé majeur; Remueur; Savant majeur; Kramkram</t>
        </is>
      </c>
    </row>
    <row r="12074">
      <c r="A12074" t="inlineStr">
        <is>
          <t>Stuff 1</t>
        </is>
      </c>
      <c r="B12074">
        <f>HYPERLINK("https://www.dofusbook.net/fr/equipement/79350-stuff-1/objets", "link")</f>
        <v/>
      </c>
      <c r="C12074" t="n">
        <v>0</v>
      </c>
      <c r="D12074" t="inlineStr">
        <is>
          <t>Épée d'Otomaï; Amulette de Nileza; Anneau Tamie; Gelano; Ceinture du K.O.; Casqnoar; Cape de Nileza; Pantoufles Émar; Dofus Nébuleux; Dofus Turquoise; Miraculé majeur; Nomade; Érudit majeur; Remueur; Brûlih</t>
        </is>
      </c>
    </row>
    <row r="12075">
      <c r="A12075" t="inlineStr">
        <is>
          <t>Stuff 1</t>
        </is>
      </c>
      <c r="B12075">
        <f>HYPERLINK("https://www.dofusbook.net/fr/equipement/79277-stuff-1/objets", "link")</f>
        <v/>
      </c>
      <c r="C12075" t="n">
        <v>2</v>
      </c>
      <c r="D12075" t="inlineStr">
        <is>
          <t>Baguette des égarés; Talisman Songe; Alliance du Lévitrof; Bracelet du Piloztère; Ceinture de la Reine des Voleurs; Kidibonnet; Voile d'encre; Pantoufles du Piloztère; Dofus des Glaces; Dofus Pourpre; Carapace Terre majeur; Remueur; Miraculé majeur; Nomade; Kramkram</t>
        </is>
      </c>
    </row>
    <row r="12076">
      <c r="A12076" t="inlineStr">
        <is>
          <t>Stuff 3</t>
        </is>
      </c>
      <c r="B12076">
        <f>HYPERLINK("https://www.dofusbook.net/fr/equipement/79340-stuff-3/objets", "link")</f>
        <v/>
      </c>
      <c r="C12076" t="n">
        <v>0</v>
      </c>
      <c r="D12076" t="inlineStr">
        <is>
          <t>Plumeau Bil; Amulette de Nileza; Anneau Tamie; Anneau Tamie; Ceinture Séculaire; Coiffe Séculaire; Voile d'encre; Pataugastrique; Dofus Turquoise; Dofus Pourpre; Dofus Nébuleux; Érudit majeur; Remueur; Nomade; Brûlih</t>
        </is>
      </c>
    </row>
    <row r="12077">
      <c r="A12077" t="inlineStr">
        <is>
          <t>Stuff 3</t>
        </is>
      </c>
      <c r="B12077">
        <f>HYPERLINK("https://www.dofusbook.net/fr/equipement/79269-stuff-3/objets", "link")</f>
        <v/>
      </c>
      <c r="C12077" t="n">
        <v>0</v>
      </c>
      <c r="D12077" t="inlineStr">
        <is>
          <t>Dagues Açantes; Amulette de Danathor; Alliance Gloursonne; Gelano; Ceinture Glaciale; Coiffe de Danathor; Cape Matelassée; Getas Bernacle; Chanceux majeur; Nomade; Joueur majeur; Vigoureux majeur; Miraculé majeur; Remueur; Dehluge</t>
        </is>
      </c>
    </row>
    <row r="12078">
      <c r="A12078" t="inlineStr">
        <is>
          <t>Stuff 3</t>
        </is>
      </c>
      <c r="B12078">
        <f>HYPERLINK("https://www.dofusbook.net/fr/equipement/79329-stuff-3/objets", "link")</f>
        <v/>
      </c>
      <c r="C12078" t="n">
        <v>0</v>
      </c>
      <c r="D12078" t="inlineStr">
        <is>
          <t>Dagues Açantes; Amulette du Sinistrofu; Gelano; Anneau Glacial; Ceinture du Barbétoal; Coiffe de Danathor; Cape du Sinistrofu; Pantoufles du Piloztère; Dofus Ocre; Dofus Turquoise; Chanceux majeur; Remueur; Miraculé majeur; Nomade; Kramkram</t>
        </is>
      </c>
    </row>
    <row r="12079">
      <c r="A12079" t="inlineStr">
        <is>
          <t>Stuff 3</t>
        </is>
      </c>
      <c r="B12079">
        <f>HYPERLINK("https://www.dofusbook.net/fr/equipement/79344-stuff-3/objets", "link")</f>
        <v/>
      </c>
      <c r="C12079" t="n">
        <v>2</v>
      </c>
      <c r="D12079" t="inlineStr">
        <is>
          <t>Epée Kari; Amulette du Strigide; Gelano; Bracelet du Piloztère; Ceintacé; Casque de Missiz Frizz; Cape Reski; Bottes du Strigide; Dofus Turquoise; Dofus Pourpre; Nomade; Temporiseur majeur; Vigoureux majeur; Remueur; Kramkram</t>
        </is>
      </c>
    </row>
    <row r="12080">
      <c r="A12080" t="inlineStr">
        <is>
          <t>Stuff 1</t>
        </is>
      </c>
      <c r="B12080">
        <f>HYPERLINK("https://www.dofusbook.net/fr/equipement/79413-stuff-1/objets", "link")</f>
        <v/>
      </c>
      <c r="C12080" t="n">
        <v>2</v>
      </c>
      <c r="D12080" t="inlineStr">
        <is>
          <t>Bêche Asse; Amulette du Strigide; Anneau Chevelu; Anneau de Brouce; Ceinture de Brouce; Casque de Missiz Frizz; Cape au Logis; Baleinabottes; Dofus Turquoise; Dofus Nébuleux; Dofus Pourpre; Remueur; Nomade; Enragé majeur; Kompost</t>
        </is>
      </c>
    </row>
    <row r="12081">
      <c r="A12081" t="inlineStr">
        <is>
          <t>Stuff 1</t>
        </is>
      </c>
      <c r="B12081">
        <f>HYPERLINK("https://www.dofusbook.net/fr/equipement/79325-stuff-1/objets", "link")</f>
        <v/>
      </c>
      <c r="C12081" t="n">
        <v>2</v>
      </c>
      <c r="D12081" t="inlineStr">
        <is>
          <t>Dagues de Srambad; Talisman Glouti; Gelano; Bracelet du Piloztère; Ceinture de la Reine des Voleurs; Coiffe du Lévitrof; Cape Ovri; Pantoufles du Piloztère; Dofus Ocre; Enragé majeur; Remueur; Chanceux majeur; Vigoureux majeur; Nomade; Kramkram</t>
        </is>
      </c>
    </row>
    <row r="12082">
      <c r="A12082" t="inlineStr">
        <is>
          <t>Stuff 1</t>
        </is>
      </c>
      <c r="B12082">
        <f>HYPERLINK("https://www.dofusbook.net/fr/equipement/79395-stuff-1/objets", "link")</f>
        <v/>
      </c>
      <c r="C12082" t="n">
        <v>0</v>
      </c>
      <c r="D12082" t="inlineStr">
        <is>
          <t>Talisman Igans; Gelano; Alliance de Missiz Frizz; Ceintrigue; Coiffe Cryochrone; Cape de Nileza; Pataugastrique; Chanceux majeur; Nomade; Érudit majeur; Vigoureux majeur; Robuste majeur; Remueur; Kramkram</t>
        </is>
      </c>
    </row>
    <row r="12083">
      <c r="A12083" t="inlineStr">
        <is>
          <t>Stuff 2</t>
        </is>
      </c>
      <c r="B12083">
        <f>HYPERLINK("https://www.dofusbook.net/fr/equipement/79302-stuff-2/objets", "link")</f>
        <v/>
      </c>
      <c r="C12083" t="n">
        <v>2</v>
      </c>
      <c r="D12083" t="inlineStr">
        <is>
          <t>Baguette Hernelle; Kralamansion; Gelano; Anneau de Padgref; Frimature; Frimacoiffe; Cape Hiculteur; Pantoufles Émar; Miraculé majeur; Remueur; Féroce majeur; Nomade; Vigoureux majeur; Sanguinaire majeur; Pioute violet</t>
        </is>
      </c>
    </row>
    <row r="12084">
      <c r="A12084" t="inlineStr">
        <is>
          <t>Stuff 2</t>
        </is>
      </c>
      <c r="B12084">
        <f>HYPERLINK("https://www.dofusbook.net/fr/equipement/79288-stuff-2/objets", "link")</f>
        <v/>
      </c>
      <c r="C12084" t="n">
        <v>2</v>
      </c>
      <c r="D12084" t="inlineStr">
        <is>
          <t>Epée Kari; Amulette du Strigide; Bracelet du Minotoboule; Bracelet du Piloztère; Protopagne; Coiffe du Comte Harebourg; Cape au Logis; Bottes du Comte Harebourg; Dokoko; Dofus Ocre; Dofus Émeraude; Miraculé majeur; Remueur; Survivant majeur; Homlett</t>
        </is>
      </c>
    </row>
    <row r="12085">
      <c r="A12085" t="inlineStr">
        <is>
          <t>Stuff 1</t>
        </is>
      </c>
      <c r="B12085">
        <f>HYPERLINK("https://www.dofusbook.net/fr/equipement/79365-stuff-1/objets", "link")</f>
        <v/>
      </c>
      <c r="C12085" t="n">
        <v>1</v>
      </c>
      <c r="D12085" t="inlineStr">
        <is>
          <t>Arc Hétype; Amulette Séculaire; Anneau de Nidas; Anneau Tique; Ceinture de Gein; Couronne de Nidas; Voile d'encre; Pataugastrique; Dofus Pourpre; Remueur; Savant majeur; Érudit majeur; Nomade; Miraculé majeur; Kramkram</t>
        </is>
      </c>
    </row>
    <row r="12086">
      <c r="A12086" t="inlineStr">
        <is>
          <t>Stuff 1</t>
        </is>
      </c>
      <c r="B12086">
        <f>HYPERLINK("https://www.dofusbook.net/fr/equipement/79277-stuff-1/objets", "link")</f>
        <v/>
      </c>
      <c r="C12086" t="n">
        <v>2</v>
      </c>
      <c r="D12086" t="inlineStr">
        <is>
          <t>Baguette des égarés; Talisman Songe; Alliance du Lévitrof; Bracelet du Piloztère; Ceinture de la Reine des Voleurs; Kidibonnet; Voile d'encre; Pantoufles du Piloztère; Dofus des Glaces; Dofus Pourpre; Carapace Terre majeur; Remueur; Miraculé majeur; Nomade; Kramkram</t>
        </is>
      </c>
    </row>
    <row r="12087">
      <c r="A12087" t="inlineStr">
        <is>
          <t>Stuff 1</t>
        </is>
      </c>
      <c r="B12087">
        <f>HYPERLINK("https://www.dofusbook.net/fr/equipement/79350-stuff-1/objets", "link")</f>
        <v/>
      </c>
      <c r="C12087" t="n">
        <v>0</v>
      </c>
      <c r="D12087" t="inlineStr">
        <is>
          <t>Épée d'Otomaï; Amulette de Nileza; Anneau Tamie; Gelano; Ceinture du K.O.; Casqnoar; Cape de Nileza; Pantoufles Émar; Dofus Turquoise; Dofus Nébuleux; Remueur; Miraculé majeur; Nomade; Érudit majeur; Brûlih</t>
        </is>
      </c>
    </row>
    <row r="12088">
      <c r="A12088" t="inlineStr">
        <is>
          <t>Stuff 3</t>
        </is>
      </c>
      <c r="B12088">
        <f>HYPERLINK("https://www.dofusbook.net/fr/equipement/79269-stuff-3/objets", "link")</f>
        <v/>
      </c>
      <c r="C12088" t="n">
        <v>0</v>
      </c>
      <c r="D12088" t="inlineStr">
        <is>
          <t>Dagues Açantes; Amulette de Danathor; Gelano; Alliance Gloursonne; Ceinture Glaciale; Coiffe de Danathor; Cape Matelassée; Getas Bernacle; Miraculé majeur; Remueur; Chanceux majeur; Nomade; Joueur majeur; Vigoureux majeur; Dehluge</t>
        </is>
      </c>
    </row>
    <row r="12089">
      <c r="A12089" t="inlineStr">
        <is>
          <t>Stuff 3</t>
        </is>
      </c>
      <c r="B12089">
        <f>HYPERLINK("https://www.dofusbook.net/fr/equipement/79340-stuff-3/objets", "link")</f>
        <v/>
      </c>
      <c r="C12089" t="n">
        <v>0</v>
      </c>
      <c r="D12089" t="inlineStr">
        <is>
          <t>Plumeau Bil; Amulette de Nileza; Anneau Tamie; Anneau Tamie; Ceinture Séculaire; Coiffe Séculaire; Voile d'encre; Pataugastrique; Dofus Nébuleux; Dofus Turquoise; Dofus Pourpre; Érudit majeur; Remueur; Nomade; Brûlih</t>
        </is>
      </c>
    </row>
    <row r="12090">
      <c r="A12090" t="inlineStr">
        <is>
          <t>Stuff 3</t>
        </is>
      </c>
      <c r="B12090">
        <f>HYPERLINK("https://www.dofusbook.net/fr/equipement/79329-stuff-3/objets", "link")</f>
        <v/>
      </c>
      <c r="C12090" t="n">
        <v>0</v>
      </c>
      <c r="D12090" t="inlineStr">
        <is>
          <t>Dagues Açantes; Amulette du Sinistrofu; Anneau Glacial; Gelano; Ceinture du Barbétoal; Coiffe de Danathor; Cape du Sinistrofu; Pantoufles du Piloztère; Dofus Turquoise; Dofus Ocre; Nomade; Chanceux majeur; Remueur; Miraculé majeur; Kramkram</t>
        </is>
      </c>
    </row>
    <row r="12091">
      <c r="A12091" t="inlineStr">
        <is>
          <t>Stuff 2</t>
        </is>
      </c>
      <c r="B12091">
        <f>HYPERLINK("https://www.dofusbook.net/fr/equipement/79385-stuff-2/objets", "link")</f>
        <v/>
      </c>
      <c r="C12091" t="n">
        <v>0</v>
      </c>
      <c r="D12091" t="inlineStr">
        <is>
          <t>Pelle de la Cour Sombre; Amulette du Granduk; Anneau du Cycloïde; Alliance Gloursonne; Ceinture de Klime; Couronne d'Allister; Cape de Klime; Baleinabottes; Dofus Pourpre; Equilibriste majeur; Remueur; Cascadeur majeur; Vigoureux majeur; Nomade</t>
        </is>
      </c>
    </row>
    <row r="12092">
      <c r="A12092" t="inlineStr">
        <is>
          <t>Stuff 3</t>
        </is>
      </c>
      <c r="B12092">
        <f>HYPERLINK("https://www.dofusbook.net/fr/equipement/79294-stuff-3/objets", "link")</f>
        <v/>
      </c>
      <c r="C12092" t="n">
        <v>1</v>
      </c>
      <c r="D12092" t="inlineStr">
        <is>
          <t>Couteaux à Champignons; Frimamulette; Alliance Gloursonne; Anneau de Padgref; Ceinture de Klime; Couronne d'Allister; Cape de Klime; Pantoufles Émar; Dofus Turquoise; Dofus Pourpre; Remueur; Nomade; Vigoureux majeur; Cascadeur majeur; Siroko</t>
        </is>
      </c>
    </row>
    <row r="12093">
      <c r="A12093" t="inlineStr">
        <is>
          <t>Stuff 3</t>
        </is>
      </c>
      <c r="B12093">
        <f>HYPERLINK("https://www.dofusbook.net/fr/equipement/79344-stuff-3/objets", "link")</f>
        <v/>
      </c>
      <c r="C12093" t="n">
        <v>2</v>
      </c>
      <c r="D12093" t="inlineStr">
        <is>
          <t>Epée Kari; Amulette du Strigide; Gelano; Bracelet du Piloztère; Ceintacé; Casque de Missiz Frizz; Cape Reski; Bottes du Strigide; Dofus Turquoise; Dofus Pourpre; Nomade; Temporiseur majeur; Vigoureux majeur; Remueur; Kramkram</t>
        </is>
      </c>
    </row>
    <row r="12094">
      <c r="A12094" t="inlineStr">
        <is>
          <t>Stuff 1</t>
        </is>
      </c>
      <c r="B12094">
        <f>HYPERLINK("https://www.dofusbook.net/fr/equipement/79413-stuff-1/objets", "link")</f>
        <v/>
      </c>
      <c r="C12094" t="n">
        <v>2</v>
      </c>
      <c r="D12094" t="inlineStr">
        <is>
          <t>Bêche Asse; Amulette du Strigide; Anneau Chevelu; Anneau de Brouce; Ceinture de Brouce; Casque de Missiz Frizz; Cape au Logis; Baleinabottes; Dofus Nébuleux; Dofus Pourpre; Dofus Turquoise; Nomade; Enragé majeur; Remueur; Kompost</t>
        </is>
      </c>
    </row>
    <row r="12095">
      <c r="A12095" t="inlineStr">
        <is>
          <t>Stuff 1</t>
        </is>
      </c>
      <c r="B12095">
        <f>HYPERLINK("https://www.dofusbook.net/fr/equipement/79325-stuff-1/objets", "link")</f>
        <v/>
      </c>
      <c r="C12095" t="n">
        <v>2</v>
      </c>
      <c r="D12095" t="inlineStr">
        <is>
          <t>Dagues de Srambad; Talisman Glouti; Gelano; Bracelet du Piloztère; Ceinture de la Reine des Voleurs; Coiffe du Lévitrof; Cape Ovri; Pantoufles du Piloztère; Dofus Ocre; Chanceux majeur; Vigoureux majeur; Nomade; Enragé majeur; Remueur; Kramkram</t>
        </is>
      </c>
    </row>
    <row r="12096">
      <c r="A12096" t="inlineStr">
        <is>
          <t>Stuff 1</t>
        </is>
      </c>
      <c r="B12096">
        <f>HYPERLINK("https://www.dofusbook.net/fr/equipement/79395-stuff-1/objets", "link")</f>
        <v/>
      </c>
      <c r="C12096" t="n">
        <v>0</v>
      </c>
      <c r="D12096" t="inlineStr">
        <is>
          <t>Talisman Igans; Alliance de Missiz Frizz; Gelano; Ceintrigue; Coiffe Cryochrone; Cape de Nileza; Pataugastrique; Chanceux majeur; Nomade; Érudit majeur; Vigoureux majeur; Robuste majeur; Remueur; Kramkram</t>
        </is>
      </c>
    </row>
    <row r="12097">
      <c r="A12097" t="inlineStr">
        <is>
          <t>Stuff 2</t>
        </is>
      </c>
      <c r="B12097">
        <f>HYPERLINK("https://www.dofusbook.net/fr/equipement/79302-stuff-2/objets", "link")</f>
        <v/>
      </c>
      <c r="C12097" t="n">
        <v>2</v>
      </c>
      <c r="D12097" t="inlineStr">
        <is>
          <t>Baguette Hernelle; Kralamansion; Anneau de Padgref; Gelano; Frimature; Frimacoiffe; Cape Hiculteur; Pantoufles Émar; Nomade; Vigoureux majeur; Sanguinaire majeur; Miraculé majeur; Remueur; Féroce majeur; Pioute violet</t>
        </is>
      </c>
    </row>
    <row r="12098">
      <c r="A12098" t="inlineStr">
        <is>
          <t>Stuff 1</t>
        </is>
      </c>
      <c r="B12098">
        <f>HYPERLINK("https://www.dofusbook.net/fr/equipement/79152-stuff-1/objets", "link")</f>
        <v/>
      </c>
      <c r="C12098" t="n">
        <v>0</v>
      </c>
      <c r="D12098" t="inlineStr">
        <is>
          <t>Arc Hétype; Amulette Séculaire; Chevalière du Roi Joueur; Anneau Tique; Ceinture Séculaire; Couronne de Nidas; Cape de la Dame du Hasard; Pataugastrique; Dofus Turquoise; Dofus Pourpre; Nomade; Miraculé majeur; Remueur; Érudit majeur</t>
        </is>
      </c>
    </row>
    <row r="12099">
      <c r="A12099" t="inlineStr">
        <is>
          <t>Stuff 3</t>
        </is>
      </c>
      <c r="B12099">
        <f>HYPERLINK("https://www.dofusbook.net/fr/equipement/79196-stuff-3/objets", "link")</f>
        <v/>
      </c>
      <c r="C12099" t="n">
        <v>1</v>
      </c>
      <c r="D12099" t="inlineStr">
        <is>
          <t>Épée de la Reine des Voleurs; Amulette du Strigide; Anneau du Cycloïde; Anneau des égarés; Ceinture du Strigide; Coiffe de la Reine des Voleurs; Cape du Kamasterisk; Baleinabottes; Dofus Pourpre; Tacleur majeur; Remueur; Bloqueur majeur; Cascadeur majeur; Obstructeur majeur; Blokus</t>
        </is>
      </c>
    </row>
    <row r="12100">
      <c r="A12100" t="inlineStr">
        <is>
          <t>Stuff 3</t>
        </is>
      </c>
      <c r="B12100">
        <f>HYPERLINK("https://www.dofusbook.net/fr/equipement/79162-stuff-3/objets", "link")</f>
        <v/>
      </c>
      <c r="C12100" t="n">
        <v>2</v>
      </c>
      <c r="D12100" t="inlineStr">
        <is>
          <t>Arc de Guten Tak; Amulette du Strigide; Bracelet du Piloztère; Pikano; Ceinture de la Reine des Voleurs; Kidibonnet; Voile d'encre; Pantoufles du Piloztère; Dofus Pourpre; Dokoko; Dofus Nébuleux; Nomade; Vigoureux majeur; Remueur; Kramkram</t>
        </is>
      </c>
    </row>
    <row r="12101">
      <c r="A12101" t="inlineStr">
        <is>
          <t>Stuff 1</t>
        </is>
      </c>
      <c r="B12101">
        <f>HYPERLINK("https://www.dofusbook.net/fr/equipement/79243-stuff-1/objets", "link")</f>
        <v/>
      </c>
      <c r="C12101" t="n">
        <v>1</v>
      </c>
      <c r="D12101" t="inlineStr">
        <is>
          <t>Epée Maudite du Saigneur Guerrier; Amulette du Strigide; Bracelet du Piloztère; Bague Gloursonne; Ceintacé; Coiffe de la Reine des Voleurs; Voile d'encre; Bottes du Strigide; Dofus des Glaces; Dofus Pourpre; Dofus Turquoise; Nomade; Miraculé majeur; Remueur; El Scarador</t>
        </is>
      </c>
    </row>
    <row r="12102">
      <c r="A12102" t="inlineStr">
        <is>
          <t>Stuff 1</t>
        </is>
      </c>
      <c r="B12102">
        <f>HYPERLINK("https://www.dofusbook.net/fr/equipement/79157-stuff-1/objets", "link")</f>
        <v/>
      </c>
      <c r="C12102" t="n">
        <v>1</v>
      </c>
      <c r="D12102" t="inlineStr">
        <is>
          <t>Arc Hétype; Amulette d'Otomaï; Bague Gloursonne; Anneau Tique; Ceinture Séculaire; Coiffe Séculaire; Voile d'encre; Pataugastrique; Érudit majeur; Nomade; Carapace Feu majeur; Miraculé majeur; Savant majeur; Remueur; El Scarador</t>
        </is>
      </c>
    </row>
    <row r="12103">
      <c r="A12103" t="inlineStr">
        <is>
          <t>Stuff 1</t>
        </is>
      </c>
      <c r="B12103">
        <f>HYPERLINK("https://www.dofusbook.net/fr/equipement/79234-stuff-1/objets", "link")</f>
        <v/>
      </c>
      <c r="C12103" t="n">
        <v>0</v>
      </c>
      <c r="D12103" t="inlineStr">
        <is>
          <t>L'Épée Nice; Amulette du Strigide; Bague Gloursonne; Anneau Chevelu; Ceintacé; Chapeau de Gein; Voile d'encre; Bottes du Strigide; Dofus Pourpre; Dofus Turquoise; Dofus des Glaces; Dokoko; Vigoureux majeur; Remueur; Kramkram</t>
        </is>
      </c>
    </row>
    <row r="12104">
      <c r="A12104" t="inlineStr">
        <is>
          <t>Stuff 1</t>
        </is>
      </c>
      <c r="B12104">
        <f>HYPERLINK("https://www.dofusbook.net/fr/equipement/79152-stuff-1/objets", "link")</f>
        <v/>
      </c>
      <c r="C12104" t="n">
        <v>0</v>
      </c>
      <c r="D12104" t="inlineStr">
        <is>
          <t>Arc Hétype; Amulette Séculaire; Chevalière du Roi Joueur; Anneau Tique; Ceinture Séculaire; Couronne de Nidas; Cape de la Dame du Hasard; Pataugastrique; Dofus Pourpre; Dofus Turquoise; Miraculé majeur; Remueur; Érudit majeur; Nomade</t>
        </is>
      </c>
    </row>
    <row r="12105">
      <c r="A12105" t="inlineStr">
        <is>
          <t>Stuff 3</t>
        </is>
      </c>
      <c r="B12105">
        <f>HYPERLINK("https://www.dofusbook.net/fr/equipement/79196-stuff-3/objets", "link")</f>
        <v/>
      </c>
      <c r="C12105" t="n">
        <v>1</v>
      </c>
      <c r="D12105" t="inlineStr">
        <is>
          <t>Épée de la Reine des Voleurs; Amulette du Strigide; Anneau du Cycloïde; Anneau des égarés; Ceinture du Strigide; Coiffe de la Reine des Voleurs; Cape du Kamasterisk; Baleinabottes; Dofus Pourpre; Tacleur majeur; Remueur; Bloqueur majeur; Cascadeur majeur; Obstructeur majeur; Blokus</t>
        </is>
      </c>
    </row>
    <row r="12106">
      <c r="A12106" t="inlineStr">
        <is>
          <t>Stuff 2</t>
        </is>
      </c>
      <c r="B12106">
        <f>HYPERLINK("https://www.dofusbook.net/fr/equipement/79164-stuff-2/objets", "link")</f>
        <v/>
      </c>
      <c r="C12106" t="n">
        <v>0</v>
      </c>
      <c r="D12106" t="inlineStr">
        <is>
          <t>Arc Nécrotique; Amulette de Pol Ouatnos; Bracelet du Piloztère; Anneau Cryochrone; Ceinture de Danathor; Coiffe Cryochrone; Voile d'encre; Pataugastrique; Vigoureux majeur; Remueur; Engourdisseur majeur; Nomade; Paralyseur majeur; Étourdisseur majeur; Kramkram</t>
        </is>
      </c>
    </row>
    <row r="12107">
      <c r="A12107" t="inlineStr">
        <is>
          <t>Stuff 1</t>
        </is>
      </c>
      <c r="B12107">
        <f>HYPERLINK("https://www.dofusbook.net/fr/equipement/79245-stuff-1/objets", "link")</f>
        <v/>
      </c>
      <c r="C12107" t="n">
        <v>0</v>
      </c>
      <c r="D12107" t="inlineStr">
        <is>
          <t>Marteau des Anciens Steamers; Amulette du Strigide; Alliance Gloursonne; Bracelet du Piloztère; Ceintacé; Masque du Barbétoal; Cape du Barbétoal; Bottes de la Reine des Voleurs; Dofus Pourpre; Dofus Turquoise; Remueur; Carapace Feu majeur; Nomade; Vigoureux majeur; El Scarador</t>
        </is>
      </c>
    </row>
    <row r="12108">
      <c r="A12108" t="inlineStr">
        <is>
          <t>Stuff 3</t>
        </is>
      </c>
      <c r="B12108">
        <f>HYPERLINK("https://www.dofusbook.net/fr/equipement/79159-stuff-3/objets", "link")</f>
        <v/>
      </c>
      <c r="C12108" t="n">
        <v>0</v>
      </c>
      <c r="D12108" t="inlineStr">
        <is>
          <t>Pelle de la Cour Sombre; Amibou; Anneau d'Allister; Alliance Gloursonne; Ceinture du Barbétoal; Couronne d'Allister; Cape de Klime; Baleinabottes; Dofus Turquoise; Nomade; Acrobate majeur; Cascadeur majeur; Miraculé majeur; Remueur; Kramkram</t>
        </is>
      </c>
    </row>
    <row r="12109">
      <c r="A12109" t="inlineStr">
        <is>
          <t>Stuff 3</t>
        </is>
      </c>
      <c r="B12109">
        <f>HYPERLINK("https://www.dofusbook.net/fr/equipement/79162-stuff-3/objets", "link")</f>
        <v/>
      </c>
      <c r="C12109" t="n">
        <v>2</v>
      </c>
      <c r="D12109" t="inlineStr">
        <is>
          <t>Arc de Guten Tak; Amulette du Strigide; Pikano; Bracelet du Piloztère; Ceinture de la Reine des Voleurs; Kidibonnet; Voile d'encre; Pantoufles du Piloztère; Dokoko; Dofus Nébuleux; Dofus Pourpre; Vigoureux majeur; Remueur; Nomade; Kramkram</t>
        </is>
      </c>
    </row>
    <row r="12110">
      <c r="A12110" t="inlineStr">
        <is>
          <t>Stuff 1</t>
        </is>
      </c>
      <c r="B12110">
        <f>HYPERLINK("https://www.dofusbook.net/fr/equipement/79243-stuff-1/objets", "link")</f>
        <v/>
      </c>
      <c r="C12110" t="n">
        <v>1</v>
      </c>
      <c r="D12110" t="inlineStr">
        <is>
          <t>Epée Maudite du Saigneur Guerrier; Amulette du Strigide; Bague Gloursonne; Bracelet du Piloztère; Ceintacé; Coiffe de la Reine des Voleurs; Voile d'encre; Bottes du Strigide; Dofus Pourpre; Dofus Turquoise; Dofus des Glaces; Miraculé majeur; Remueur; Nomade; El Scarador</t>
        </is>
      </c>
    </row>
    <row r="12111">
      <c r="A12111" t="inlineStr">
        <is>
          <t>Stuff 1</t>
        </is>
      </c>
      <c r="B12111">
        <f>HYPERLINK("https://www.dofusbook.net/fr/equipement/79157-stuff-1/objets", "link")</f>
        <v/>
      </c>
      <c r="C12111" t="n">
        <v>1</v>
      </c>
      <c r="D12111" t="inlineStr">
        <is>
          <t>Arc Hétype; Amulette d'Otomaï; Bague Gloursonne; Anneau Tique; Ceinture Séculaire; Coiffe Séculaire; Voile d'encre; Pataugastrique; Carapace Feu majeur; Miraculé majeur; Savant majeur; Remueur; Érudit majeur; Nomade; El Scarador</t>
        </is>
      </c>
    </row>
    <row r="12112">
      <c r="A12112" t="inlineStr">
        <is>
          <t>Stuff 1</t>
        </is>
      </c>
      <c r="B12112">
        <f>HYPERLINK("https://www.dofusbook.net/fr/equipement/79234-stuff-1/objets", "link")</f>
        <v/>
      </c>
      <c r="C12112" t="n">
        <v>0</v>
      </c>
      <c r="D12112" t="inlineStr">
        <is>
          <t>L'Épée Nice; Amulette du Strigide; Anneau Chevelu; Bague Gloursonne; Ceintacé; Chapeau de Gein; Voile d'encre; Bottes du Strigide; Dofus Turquoise; Dofus des Glaces; Dokoko; Dofus Pourpre; Remueur; Vigoureux majeur; Kramkram</t>
        </is>
      </c>
    </row>
    <row r="12113">
      <c r="A12113" t="inlineStr">
        <is>
          <t>Stuff 1</t>
        </is>
      </c>
      <c r="B12113">
        <f>HYPERLINK("https://www.dofusbook.net/fr/equipement/79152-stuff-1/objets", "link")</f>
        <v/>
      </c>
      <c r="C12113" t="n">
        <v>0</v>
      </c>
      <c r="D12113" t="inlineStr">
        <is>
          <t>Arc Hétype; Amulette Séculaire; Chevalière du Roi Joueur; Anneau Tique; Ceinture Séculaire; Couronne de Nidas; Cape de la Dame du Hasard; Pataugastrique; Dofus Turquoise; Dofus Pourpre; Nomade; Miraculé majeur; Remueur; Érudit majeur</t>
        </is>
      </c>
    </row>
    <row r="12114">
      <c r="A12114" t="inlineStr">
        <is>
          <t>Stuff 3</t>
        </is>
      </c>
      <c r="B12114">
        <f>HYPERLINK("https://www.dofusbook.net/fr/equipement/79196-stuff-3/objets", "link")</f>
        <v/>
      </c>
      <c r="C12114" t="n">
        <v>1</v>
      </c>
      <c r="D12114" t="inlineStr">
        <is>
          <t>Épée de la Reine des Voleurs; Amulette du Strigide; Anneau des égarés; Anneau du Cycloïde; Ceinture du Strigide; Coiffe de la Reine des Voleurs; Cape du Kamasterisk; Baleinabottes; Dofus Pourpre; Remueur; Bloqueur majeur; Cascadeur majeur; Obstructeur majeur; Tacleur majeur; Blokus</t>
        </is>
      </c>
    </row>
    <row r="12115">
      <c r="A12115" t="inlineStr">
        <is>
          <t>Stuff 2</t>
        </is>
      </c>
      <c r="B12115">
        <f>HYPERLINK("https://www.dofusbook.net/fr/equipement/79164-stuff-2/objets", "link")</f>
        <v/>
      </c>
      <c r="C12115" t="n">
        <v>0</v>
      </c>
      <c r="D12115" t="inlineStr">
        <is>
          <t>Arc Nécrotique; Amulette de Pol Ouatnos; Anneau Cryochrone; Bracelet du Piloztère; Ceinture de Danathor; Coiffe Cryochrone; Voile d'encre; Pataugastrique; Nomade; Paralyseur majeur; Étourdisseur majeur; Vigoureux majeur; Remueur; Engourdisseur majeur; Kramkram</t>
        </is>
      </c>
    </row>
    <row r="12116">
      <c r="A12116" t="inlineStr">
        <is>
          <t>Stuff 1</t>
        </is>
      </c>
      <c r="B12116">
        <f>HYPERLINK("https://www.dofusbook.net/fr/equipement/79245-stuff-1/objets", "link")</f>
        <v/>
      </c>
      <c r="C12116" t="n">
        <v>0</v>
      </c>
      <c r="D12116" t="inlineStr">
        <is>
          <t>Marteau des Anciens Steamers; Amulette du Strigide; Bracelet du Piloztère; Alliance Gloursonne; Ceintacé; Masque du Barbétoal; Cape du Barbétoal; Bottes de la Reine des Voleurs; Dofus Turquoise; Dofus Pourpre; Nomade; Vigoureux majeur; Remueur; Carapace Feu majeur; El Scarador</t>
        </is>
      </c>
    </row>
    <row r="12117">
      <c r="A12117" t="inlineStr">
        <is>
          <t>Stuff 3</t>
        </is>
      </c>
      <c r="B12117">
        <f>HYPERLINK("https://www.dofusbook.net/fr/equipement/79159-stuff-3/objets", "link")</f>
        <v/>
      </c>
      <c r="C12117" t="n">
        <v>0</v>
      </c>
      <c r="D12117" t="inlineStr">
        <is>
          <t>Pelle de la Cour Sombre; Amibou; Anneau d'Allister; Alliance Gloursonne; Ceinture du Barbétoal; Couronne d'Allister; Cape de Klime; Baleinabottes; Dofus Turquoise; Miraculé majeur; Remueur; Nomade; Acrobate majeur; Cascadeur majeur; Kramkram</t>
        </is>
      </c>
    </row>
    <row r="12118">
      <c r="A12118" t="inlineStr">
        <is>
          <t>Stuff 3</t>
        </is>
      </c>
      <c r="B12118">
        <f>HYPERLINK("https://www.dofusbook.net/fr/equipement/79151-stuff-3/objets", "link")</f>
        <v/>
      </c>
      <c r="C12118" t="n">
        <v>0</v>
      </c>
      <c r="D12118" t="inlineStr">
        <is>
          <t>Amulette du Cycloïde; Alliance Gloursonne; Anneau d'Allister; Ceinture du Barbétoal; Couronne d'Allister; Cape du Kamasterisk; Baleinabottes; Dokoko; Dofus Nébuleux; Dofus Turquoise; Cascadeur majeur; Nomade; Remueur; Pioute jaune</t>
        </is>
      </c>
    </row>
    <row r="12119">
      <c r="A12119" t="inlineStr">
        <is>
          <t>Stuff 2</t>
        </is>
      </c>
      <c r="B12119">
        <f>HYPERLINK("https://www.dofusbook.net/fr/equipement/79193-stuff-2/objets", "link")</f>
        <v/>
      </c>
      <c r="C12119" t="n">
        <v>0</v>
      </c>
      <c r="D12119" t="inlineStr">
        <is>
          <t>Dagues Lassay; Amulette du Granduk; Bracelet du Piloztère; Alliance Gloursonne; Ceinture de Klime; Couronne d'Allister; Cape de Klime; Baleinabottes; Obstructeur majeur; Remueur; Miraculé majeur; Cascadeur majeur; Acrobate majeur; Nomade; Pioute jaune</t>
        </is>
      </c>
    </row>
    <row r="12120">
      <c r="A12120" t="inlineStr">
        <is>
          <t>Stuff 2</t>
        </is>
      </c>
      <c r="B12120">
        <f>HYPERLINK("https://www.dofusbook.net/fr/equipement/79267-stuff-2/objets", "link")</f>
        <v/>
      </c>
      <c r="C12120" t="n">
        <v>0</v>
      </c>
      <c r="D12120" t="inlineStr">
        <is>
          <t>Bêche Asse; Amulette du Strigide; Gelano; Anneau de Brouce; Ceinture de Brouce; Casque de Missiz Frizz; Cape au Logis; Sabots Minables; Dofus Turquoise; Vigoureux majeur; Remueur; Enragé majeur; Nomade; Miraculé majeur; Kompost</t>
        </is>
      </c>
    </row>
    <row r="12121">
      <c r="A12121" t="inlineStr">
        <is>
          <t>Stuff 2</t>
        </is>
      </c>
      <c r="B12121">
        <f>HYPERLINK("https://www.dofusbook.net/fr/equipement/79183-stuff-2/objets", "link")</f>
        <v/>
      </c>
      <c r="C12121" t="n">
        <v>1</v>
      </c>
      <c r="D12121" t="inlineStr">
        <is>
          <t>Dagues de Srambad; Amulette du Strigide; Bracelet du Piloztère; Alliance du Lévitrof; Ceinture de la Reine des Voleurs; Coiffe du Lévitrof; Voile d'encre; Pataugastrique; Dofus des Glaces; Dofus Pourpre; Temporiseur majeur; Vigoureux majeur; Nomade; Remueur; Kramkram</t>
        </is>
      </c>
    </row>
    <row r="12122">
      <c r="A12122" t="inlineStr">
        <is>
          <t>Stuff 1</t>
        </is>
      </c>
      <c r="B12122">
        <f>HYPERLINK("https://www.dofusbook.net/fr/equipement/79252-stuff-1/objets", "link")</f>
        <v/>
      </c>
      <c r="C12122" t="n">
        <v>0</v>
      </c>
      <c r="D12122" t="inlineStr">
        <is>
          <t>Dagues de Srambad; Talisman Glouti; Anneau du Cycloïde; Alliance Gloursonne; Ceinture de la Reine des Voleurs; Coiffe de la Reine des Voleurs; Voile d'encre; Pataugastrique; Dofus Pourpre; Dofus des Glaces; Vigoureux majeur; Nomade; Miraculé majeur; Remueur; Croum</t>
        </is>
      </c>
    </row>
    <row r="12123">
      <c r="A12123" t="inlineStr">
        <is>
          <t>Stuff 3</t>
        </is>
      </c>
      <c r="B12123">
        <f>HYPERLINK("https://www.dofusbook.net/fr/equipement/79172-stuff-3/objets", "link")</f>
        <v/>
      </c>
      <c r="C12123" t="n">
        <v>0</v>
      </c>
      <c r="D12123" t="inlineStr">
        <is>
          <t>Baguette Hernelle; Amulette du Strigide; Anneau de Brouce; Bracelet du Piloztère; Ceinture de Brouce; Coiffe de la Reine des Voleurs; Voile d'encre; Baleinabottes; Dofus Pourpre; Dofus Turquoise; Remueur; Vigoureux majeur; Nomade; Enragé majeur; Kompost</t>
        </is>
      </c>
    </row>
    <row r="12124">
      <c r="A12124" t="inlineStr">
        <is>
          <t>Stuff 1</t>
        </is>
      </c>
      <c r="B12124">
        <f>HYPERLINK("https://www.dofusbook.net/fr/equipement/79163-stuff-1/objets", "link")</f>
        <v/>
      </c>
      <c r="C12124" t="n">
        <v>1</v>
      </c>
      <c r="D12124" t="inlineStr">
        <is>
          <t>Epée Loponèze; Talisman Glouti; Alliance Gloursonne; Bracelet du Piloztère; Ceinture du Barbétoal; Masque du Barbétoal; Cape Matelassée; Bottes de la Reine des Voleurs; Vigoureux majeur; Remueur; Paralyseur majeur; Nomade; Étourdisseur; Étourdisseur majeur; Kramkram</t>
        </is>
      </c>
    </row>
    <row r="12125">
      <c r="A12125" t="inlineStr">
        <is>
          <t>Stuff 2</t>
        </is>
      </c>
      <c r="B12125">
        <f>HYPERLINK("https://www.dofusbook.net/fr/equipement/79244-stuff-2/objets", "link")</f>
        <v/>
      </c>
      <c r="C12125" t="n">
        <v>1</v>
      </c>
      <c r="D12125" t="inlineStr">
        <is>
          <t>Bêche Asse; Amulette Héroclite; Gelano; Anneau de Brouce; Ceinture de Brouce; Casque de Missiz Frizz; Cape au Logis; Sabots Minables; Dofus Turquoise; Enragé majeur; Remueur; Miraculé majeur; Carapace Terre majeur; Nomade</t>
        </is>
      </c>
    </row>
    <row r="12126">
      <c r="A12126" t="inlineStr">
        <is>
          <t>Stuff 2</t>
        </is>
      </c>
      <c r="B12126">
        <f>HYPERLINK("https://www.dofusbook.net/fr/equipement/79158-stuff-2/objets", "link")</f>
        <v/>
      </c>
      <c r="C12126" t="n">
        <v>0</v>
      </c>
      <c r="D12126" t="inlineStr">
        <is>
          <t>Epée Loponèze; Talisman Glouti; Alliance du Lévitrof; Alliance Gloursonne; Ceinture du Barbétoal; Masque du Barbétoal; Cape du Sinistrofu; Pataugastrique; Dofus Pourpre; Vigoureux majeur; Nomade; Remueur; Miraculé majeur; Chanceux majeur; El Scarador</t>
        </is>
      </c>
    </row>
    <row r="12127">
      <c r="A12127" t="inlineStr">
        <is>
          <t>Stuff 2</t>
        </is>
      </c>
      <c r="B12127">
        <f>HYPERLINK("https://www.dofusbook.net/fr/equipement/79236-stuff-2/objets", "link")</f>
        <v/>
      </c>
      <c r="C12127" t="n">
        <v>0</v>
      </c>
      <c r="D12127" t="inlineStr">
        <is>
          <t>L'Épée Nice; Amulette du Strigide; Anneau Tique; Anneau Chevelu; Ceintacé; Couronne de Nidas; Voile d'encre; Tongues de Nidas; Dokoko; Dofus Pourpre; Carapace Feu majeur; Vigoureux majeur; Temporiseur majeur; Remueur; Kramkram</t>
        </is>
      </c>
    </row>
    <row r="12128">
      <c r="A12128" t="inlineStr">
        <is>
          <t>Stuff 2</t>
        </is>
      </c>
      <c r="B12128">
        <f>HYPERLINK("https://www.dofusbook.net/fr/equipement/79153-stuff-2/objets", "link")</f>
        <v/>
      </c>
      <c r="C12128" t="n">
        <v>0</v>
      </c>
      <c r="D12128" t="inlineStr">
        <is>
          <t>Arc du Chalœil; Collier de Tourthon; Anneau Chevelu; Chevalière du Roi Joueur; Ceinture de la Reine des Voleurs; Masque de Koutoulou; Cape au Logis; Bottes du Roi Joueur; Dofus Turquoise; Dofus Pourpre; Miraculé majeur; Nomade; Enragé majeur; Remueur; Kramkram</t>
        </is>
      </c>
    </row>
    <row r="12129">
      <c r="A12129" t="inlineStr">
        <is>
          <t>Stuff 1</t>
        </is>
      </c>
      <c r="B12129">
        <f>HYPERLINK("https://www.dofusbook.net/fr/equipement/79212-stuff-1/objets", "link")</f>
        <v/>
      </c>
      <c r="C12129" t="n">
        <v>1</v>
      </c>
      <c r="D12129" t="inlineStr">
        <is>
          <t>Pelle de la Cour Sombre; Amulette du Strigide; Bracelet du Piloztère; Alliance Gloursonne; Ceintacé; Coiffe de la Reine des Voleurs; Voile d'encre; Bottes de la Reine des Voleurs; Dofus Nébuleux; Dofus Pourpre; Dokoko; Nomade; Vigoureux majeur; Remueur; El Scarador</t>
        </is>
      </c>
    </row>
    <row r="12130">
      <c r="A12130" t="inlineStr">
        <is>
          <t>Stuff 3</t>
        </is>
      </c>
      <c r="B12130">
        <f>HYPERLINK("https://www.dofusbook.net/fr/equipement/79196-stuff-3/objets", "link")</f>
        <v/>
      </c>
      <c r="C12130" t="n">
        <v>1</v>
      </c>
      <c r="D12130" t="inlineStr">
        <is>
          <t>Épée de la Reine des Voleurs; Amulette du Strigide; Anneau du Cycloïde; Anneau des égarés; Ceinture du Strigide; Coiffe de la Reine des Voleurs; Cape du Kamasterisk; Baleinabottes; Dofus Pourpre; Remueur; Bloqueur majeur; Cascadeur majeur; Obstructeur majeur; Tacleur majeur; Blokus</t>
        </is>
      </c>
    </row>
    <row r="12131">
      <c r="A12131" t="inlineStr">
        <is>
          <t>Stuff 2</t>
        </is>
      </c>
      <c r="B12131">
        <f>HYPERLINK("https://www.dofusbook.net/fr/equipement/79164-stuff-2/objets", "link")</f>
        <v/>
      </c>
      <c r="C12131" t="n">
        <v>0</v>
      </c>
      <c r="D12131" t="inlineStr">
        <is>
          <t>Arc Nécrotique; Amulette de Pol Ouatnos; Anneau Cryochrone; Bracelet du Piloztère; Ceinture de Danathor; Coiffe Cryochrone; Voile d'encre; Pataugastrique; Engourdisseur majeur; Nomade; Paralyseur majeur; Étourdisseur majeur; Vigoureux majeur; Remueur; Kramkram</t>
        </is>
      </c>
    </row>
    <row r="12132">
      <c r="A12132" t="inlineStr">
        <is>
          <t>Stuff 1</t>
        </is>
      </c>
      <c r="B12132">
        <f>HYPERLINK("https://www.dofusbook.net/fr/equipement/79245-stuff-1/objets", "link")</f>
        <v/>
      </c>
      <c r="C12132" t="n">
        <v>0</v>
      </c>
      <c r="D12132" t="inlineStr">
        <is>
          <t>Marteau des Anciens Steamers; Amulette du Strigide; Bracelet du Piloztère; Alliance Gloursonne; Ceintacé; Masque du Barbétoal; Cape du Barbétoal; Bottes de la Reine des Voleurs; Dofus Turquoise; Dofus Pourpre; Nomade; Vigoureux majeur; Remueur; Carapace Feu majeur; El Scarador</t>
        </is>
      </c>
    </row>
    <row r="12133">
      <c r="A12133" t="inlineStr">
        <is>
          <t>Stuff 3</t>
        </is>
      </c>
      <c r="B12133">
        <f>HYPERLINK("https://www.dofusbook.net/fr/equipement/79159-stuff-3/objets", "link")</f>
        <v/>
      </c>
      <c r="C12133" t="n">
        <v>0</v>
      </c>
      <c r="D12133" t="inlineStr">
        <is>
          <t>Pelle de la Cour Sombre; Amibou; Alliance Gloursonne; Anneau d'Allister; Ceinture du Barbétoal; Couronne d'Allister; Cape de Klime; Baleinabottes; Dofus Turquoise; Miraculé majeur; Remueur; Nomade; Acrobate majeur; Cascadeur majeur; Kramkram</t>
        </is>
      </c>
    </row>
    <row r="12134">
      <c r="A12134" t="inlineStr">
        <is>
          <t>Stuff 1</t>
        </is>
      </c>
      <c r="B12134">
        <f>HYPERLINK("https://www.dofusbook.net/fr/equipement/79238-stuff-1/objets", "link")</f>
        <v/>
      </c>
      <c r="C12134" t="n">
        <v>0</v>
      </c>
      <c r="D12134" t="inlineStr">
        <is>
          <t>Hache Ériphe; Amulette du Kamasterisk; Anneau du Cycloïde; Anneau de Brouce; Ceinture de la Reine des Voleurs; Coiffe de la Reine des Voleurs; Voile d'encre; Baleinabottes; Dofus des Glaces; Dofus Pourpre; Vigoureux majeur; Remueur; Carapace Feu majeur; Nomade; El Scarador</t>
        </is>
      </c>
    </row>
    <row r="12135">
      <c r="A12135" t="inlineStr">
        <is>
          <t>Stuff 1</t>
        </is>
      </c>
      <c r="B12135">
        <f>HYPERLINK("https://www.dofusbook.net/fr/equipement/79154-stuff-1/objets", "link")</f>
        <v/>
      </c>
      <c r="C12135" t="n">
        <v>0</v>
      </c>
      <c r="D12135" t="inlineStr">
        <is>
          <t>Epée Kari; Amulette du Strigide; Anneau Tique; Bracelet du Piloztère; Ceintacé; Coiffe de la Reine des Voleurs; Voile d'encre; Bottes du Strigide; Dofus des Glaces; Dofus Turquoise; Dofus Pourpre; Vigoureux majeur; Remueur; Nomade; El Scarador</t>
        </is>
      </c>
    </row>
    <row r="12136">
      <c r="A12136" t="inlineStr">
        <is>
          <t>Stuff 1</t>
        </is>
      </c>
      <c r="B12136">
        <f>HYPERLINK("https://www.dofusbook.net/fr/equipement/79226-stuff-1/objets", "link")</f>
        <v/>
      </c>
      <c r="C12136" t="n">
        <v>2</v>
      </c>
      <c r="D12136" t="inlineStr">
        <is>
          <t>Pelle de la Cour Sombre; Amulette du Cycloïde; Alliance Gloursonne; Anneau d'Allister; Ceinture de Klime; Dorabysses; Cape de Klime; Baleinabottes; Dokoko; Nomade; Acrobate majeur; Cascadeur majeur; Remueur; Carapace Air majeur; El Scarador</t>
        </is>
      </c>
    </row>
    <row r="12137">
      <c r="A12137" t="inlineStr">
        <is>
          <t>Stuff 2</t>
        </is>
      </c>
      <c r="B12137">
        <f>HYPERLINK("https://www.dofusbook.net/fr/equipement/79214-stuff-2/objets", "link")</f>
        <v/>
      </c>
      <c r="C12137" t="n">
        <v>1</v>
      </c>
      <c r="D12137" t="inlineStr">
        <is>
          <t>Epée Maudite du Saigneur Guerrier; Amulette du Strigide; Bracelet du Piloztère; Alliance Gloursonne; Ceintacé; Coiffe de la Reine des Voleurs; Voile d'encre; Bottes du Strigide; Dofus Turquoise; Dokoko; Dofus Pourpre; Remueur; Nomade; Miraculé majeur; Kramkram</t>
        </is>
      </c>
    </row>
    <row r="12138">
      <c r="A12138" t="inlineStr">
        <is>
          <t>Stuff 1</t>
        </is>
      </c>
      <c r="B12138">
        <f>HYPERLINK("https://www.dofusbook.net/fr/equipement/79149-stuff-1/objets", "link")</f>
        <v/>
      </c>
      <c r="C12138" t="n">
        <v>0</v>
      </c>
      <c r="D12138" t="inlineStr">
        <is>
          <t>Couteaux à Champignons; Frimamulette; Anneau d'Allister; Gelano; Ceinture Billonnante; Couronne d'Allister; Cape de Klime; Pantoufles Émar; Acrobate majeur; Remueur; Equilibriste majeur; Nomade; Miraculé majeur; Cascadeur majeur</t>
        </is>
      </c>
    </row>
    <row r="12139">
      <c r="A12139" t="inlineStr">
        <is>
          <t>Stuff 3</t>
        </is>
      </c>
      <c r="B12139">
        <f>HYPERLINK("https://www.dofusbook.net/fr/equipement/79103-stuff-3/objets", "link")</f>
        <v/>
      </c>
      <c r="C12139" t="n">
        <v>0</v>
      </c>
      <c r="D12139" t="inlineStr">
        <is>
          <t>Sabres d'Atcham; Amulette du Strigide; Chevalière du Roi Joueur; Alliance Gloursonne; Ceintacé; Casque du Chalœil; Cape d'Atcham; Bottes du Père Fwetar; Dofus Nébuleux; Dofus Turquoise; Dofus Pourpre; Remueur; Nomade; Vigoureux majeur; Kramkram</t>
        </is>
      </c>
    </row>
    <row r="12140">
      <c r="A12140" t="inlineStr">
        <is>
          <t>Stuff 1</t>
        </is>
      </c>
      <c r="B12140">
        <f>HYPERLINK("https://www.dofusbook.net/fr/equipement/79107-stuff-1/objets", "link")</f>
        <v/>
      </c>
      <c r="C12140" t="n">
        <v>0</v>
      </c>
      <c r="D12140" t="inlineStr">
        <is>
          <t>Arc du Chalœil; Amulette Héroclite; Bague Instable; Bague Gloursonne; Ceinture Luminescente; Masque Trithon; Cape Luminescente; Baleinabottes; Dofus Turquoise; Dofus Ocre; Pousseur majeur; Enragé majeur; Culbuteur majeur; Culbuteur</t>
        </is>
      </c>
    </row>
    <row r="12141">
      <c r="A12141" t="inlineStr">
        <is>
          <t>Stuff 2</t>
        </is>
      </c>
      <c r="B12141">
        <f>HYPERLINK("https://www.dofusbook.net/fr/equipement/79102-stuff-2/objets", "link")</f>
        <v/>
      </c>
      <c r="C12141" t="n">
        <v>0</v>
      </c>
      <c r="D12141" t="inlineStr">
        <is>
          <t>Sabres d'Atcham; Amulette du Strigide; Alliance du Lévitrof; Anneau de Padgref; Ceinture du Strigide; Coiffe de Padgref; Cape d'Atcham; Getas de Padgref; Dofus des Glaces; Dofus Turquoise; Dofus Ocre; Dofus Pourpre; Dolmanax; Dokoko</t>
        </is>
      </c>
    </row>
    <row r="12142">
      <c r="A12142" t="inlineStr">
        <is>
          <t>Stuff 3</t>
        </is>
      </c>
      <c r="B12142">
        <f>HYPERLINK("https://www.dofusbook.net/fr/equipement/79109-stuff-3/objets", "link")</f>
        <v/>
      </c>
      <c r="C12142" t="n">
        <v>0</v>
      </c>
      <c r="D12142" t="inlineStr">
        <is>
          <t>Bêche Asse; Amulette Héroclite; Anneau de Brouce; Gelano; Ceinture de Brouce; Casque de Missiz Frizz; Cape au Logis; Sabots Minables; Dofus Turquoise; Dofus Ocre; Dofus Pourpre; Enragé majeur; Nomade; Vigoureux majeur; Kompost</t>
        </is>
      </c>
    </row>
    <row r="12143">
      <c r="A12143" t="inlineStr">
        <is>
          <t>Stuff 1</t>
        </is>
      </c>
      <c r="B12143">
        <f>HYPERLINK("https://www.dofusbook.net/fr/equipement/79101-stuff-1/objets", "link")</f>
        <v/>
      </c>
      <c r="C12143" t="n">
        <v>1</v>
      </c>
      <c r="D12143" t="inlineStr">
        <is>
          <t>Baguette Hernelle; Amulette d'Otomaï; Anneau de Padgref; Gelano; Ceinture Séculaire; Coiffe de Padgref; Cape de Nileza; Pantoufles Émar; Dofus Turquoise; Dofus Pourpre; Astucieux majeur; Remueur; Nomade; Érudit majeur</t>
        </is>
      </c>
    </row>
    <row r="12144">
      <c r="A12144" t="inlineStr">
        <is>
          <t>Stuff 2</t>
        </is>
      </c>
      <c r="B12144">
        <f>HYPERLINK("https://www.dofusbook.net/fr/equipement/79108-stuff-2/objets", "link")</f>
        <v/>
      </c>
      <c r="C12144" t="n">
        <v>0</v>
      </c>
      <c r="D12144" t="inlineStr">
        <is>
          <t>Épée du Granduk; Amulette du Granduk; Alliance Gloursonne; Gelano; Ceinture du Barbétoal; Couronne d'Allister; Cape de Klime; Pantoufles Émar; Remueur; Acrobate majeur; Nomade; Vigoureux majeur; Cascadeur majeur; Miraculé majeur; Siroko</t>
        </is>
      </c>
    </row>
    <row r="12145">
      <c r="A12145" t="inlineStr">
        <is>
          <t>Huppermage M 200</t>
        </is>
      </c>
      <c r="B12145">
        <f>HYPERLINK("https://www.dofusbook.net/fr/equipement/5838169-huppermage-m-200/objets", "link")</f>
        <v/>
      </c>
      <c r="C12145" t="n">
        <v>0</v>
      </c>
      <c r="D12145" t="inlineStr">
        <is>
          <t>Crocobur; Collier Lunaire; Crocanneau; Bracelet du Piloztère; Quatre-feuilles; Ceinture du Strigide; Maskrobe; Dofusteuse; Bottes du Strigide; Dofus Pourpre; Dofus des Glaces; Dofus Turquoise; Dolmanax; Vigoureux majeur; Remueur; Kokulte</t>
        </is>
      </c>
    </row>
    <row r="12146">
      <c r="A12146" t="inlineStr">
        <is>
          <t>Eniripsa M 199</t>
        </is>
      </c>
      <c r="B12146">
        <f>HYPERLINK("https://www.dofusbook.net/fr/equipement/5832780-eniripsa-m-199/objets", "link")</f>
        <v/>
      </c>
      <c r="C12146" t="n">
        <v>0</v>
      </c>
      <c r="D12146" t="inlineStr">
        <is>
          <t>Arc du Chalœil; Amulette du Cœur Saignant; Anneau Crustique; Anneau Crustique; Bouclier du Stalak; Ceinture Gence; Casque des égarés; Cape au Logis; Baleinabottes; Dofus Pourpre; Dofus Abyssal; Dofus Nébuleux; Dofus Émeraude; Dofus Turquoise; Enragé majeur; Bulbisou</t>
        </is>
      </c>
    </row>
    <row r="12147">
      <c r="A12147" t="inlineStr">
        <is>
          <t>Sadida M 199</t>
        </is>
      </c>
      <c r="B12147">
        <f>HYPERLINK("https://www.dofusbook.net/fr/equipement/5803726-sadida-m-199/objets", "link")</f>
        <v/>
      </c>
      <c r="C12147" t="n">
        <v>3</v>
      </c>
      <c r="D12147" t="inlineStr">
        <is>
          <t>Epée Gloursonne; Amulette du Kamasterisk; Alliance Gloursonne; Bague Gloursonne; Bouclier cubiste; Ceintouse; Corne de Torkélonia; Cape du Kamasterisk; Bottes du Kamasterisk; Dofus des Glaces; Dofus Pourpre; Dolmanax; Dofus Émeraude; Voyageur; Robuste majeur; Fëanor</t>
        </is>
      </c>
    </row>
    <row r="12148">
      <c r="A12148" t="inlineStr">
        <is>
          <t>Stuff 1</t>
        </is>
      </c>
      <c r="B12148">
        <f>HYPERLINK("https://www.dofusbook.net/fr/equipement/192681-stuff-1/objets", "link")</f>
        <v/>
      </c>
      <c r="C12148" t="n">
        <v>6</v>
      </c>
      <c r="D12148" t="inlineStr">
        <is>
          <t>Hache du Korriandre; Amulette d'Ilyzaelle; Alliance Gloursonne; Anneau Toriété; Bouclier d'Ilyzaelle; Ceinture de la Reine des Voleurs; Casque d'Ilyzaelle; Cape Matelassée; Bottes de la Reine des Voleurs; Dofus Pourpre; Dofus Ivoire; Dofus des Glaces; Dofus Ébène; Dofus Émeraude; Dofus Abyssal; Bwak d'Air</t>
        </is>
      </c>
    </row>
    <row r="12149">
      <c r="A12149" t="inlineStr">
        <is>
          <t>Sram F 200</t>
        </is>
      </c>
      <c r="B12149">
        <f>HYPERLINK("https://www.dofusbook.net/fr/equipement/5488000-sram-f-200/objets", "link")</f>
        <v/>
      </c>
      <c r="C12149" t="n">
        <v>4</v>
      </c>
      <c r="D12149" t="inlineStr">
        <is>
          <t>Karnak; Collier du Valet Veinard; Gant du Valet Veinard; Alliance Gloursonne; Ceinture de la Reine des Voleurs; Coiffe de la Reine des Voleurs; Cape du Valet Veinard; Bottes de la Reine des Voleurs; Dofus Abyssal; Dokoko; Dofus Pourpre; Equilibriste majeur; Voyageur; Robuste majeur; Volkorne Ebène</t>
        </is>
      </c>
    </row>
    <row r="12150">
      <c r="A12150" t="inlineStr">
        <is>
          <t>nextt</t>
        </is>
      </c>
      <c r="B12150">
        <f>HYPERLINK("https://www.dofusbook.net/fr/equipement/4267848-nextt/objets", "link")</f>
        <v/>
      </c>
      <c r="C12150" t="n">
        <v>3</v>
      </c>
      <c r="D12150" t="inlineStr">
        <is>
          <t>La Baguette des Limbes; Amulette du Strigide; Anneau Toriété; Anneau de Padgref; Bouclier Abraknyde; Ceinture du Strigide; Coiffe de Padgref; Cape d'Atcham; Getas de Padgref; Dofus Pourpre; Dofus des Glaces; Dofus Turquoise; Dofus Abyssal; Puissant; Puissant majeur; Kokulte</t>
        </is>
      </c>
    </row>
    <row r="12151">
      <c r="A12151" t="inlineStr">
        <is>
          <t>Sadida F 200</t>
        </is>
      </c>
      <c r="B12151">
        <f>HYPERLINK("https://www.dofusbook.net/fr/equipement/5275475-sadida-f-200/objets", "link")</f>
        <v/>
      </c>
      <c r="C12151" t="n">
        <v>0</v>
      </c>
      <c r="D12151" t="inlineStr"/>
    </row>
    <row r="12152">
      <c r="A12152" t="inlineStr">
        <is>
          <t>Sram M 200</t>
        </is>
      </c>
      <c r="B12152">
        <f>HYPERLINK("https://www.dofusbook.net/fr/equipement/5194527-sram-m-200/objets", "link")</f>
        <v/>
      </c>
      <c r="C12152" t="n">
        <v>2</v>
      </c>
      <c r="D12152" t="inlineStr">
        <is>
          <t>Plume de Buhorado; Collier du Valet Veinard; Alliance Gloursonne; Gant du Valet Veinard; Bouclier du Stalak; Menoture; Couronne d'Allister; Cape Routh; Palmes Trithons; Dofus Ocre; Dofus Ivoire; Dofus Ébène; Dofus Pourpre; Dofus Abyssal; Cascadeur majeur; Blérodoudou</t>
        </is>
      </c>
    </row>
    <row r="12153">
      <c r="A12153" t="inlineStr">
        <is>
          <t>Sadida F 200</t>
        </is>
      </c>
      <c r="B12153">
        <f>HYPERLINK("https://www.dofusbook.net/fr/equipement/5194361-sadida-f-200/objets", "link")</f>
        <v/>
      </c>
      <c r="C12153" t="n">
        <v>0</v>
      </c>
      <c r="D12153" t="inlineStr">
        <is>
          <t>Arc corrompu; Amulette Volkorne; Anneauræus; Anneauræus; Bouclier du Stalak; Ceinture Volkorne; Heaume Oplate; Cape de Diondin; Bottes Innommables; Dofus des Glaces; Dofus Ivoire; Dofus Abyssal; Dofus Pourpre; Dofus Ébène; Dofus Émeraude; Dragodinde Dorée et Orchidée</t>
        </is>
      </c>
    </row>
    <row r="12154">
      <c r="A12154" t="inlineStr">
        <is>
          <t>Zobal M 200</t>
        </is>
      </c>
      <c r="B12154">
        <f>HYPERLINK("https://www.dofusbook.net/fr/equipement/5194330-zobal-m-200/objets", "link")</f>
        <v/>
      </c>
      <c r="C12154" t="n">
        <v>2</v>
      </c>
      <c r="D12154" t="inlineStr">
        <is>
          <t>Dagoulinantes; Amulette d'Ilyzaelle; Anneau Toriété; Alliance Gloursonne; Bouclier d'Ilyzaelle; Ceinture de la Reine des Voleurs; Casque d'Ilyzaelle; Cape Solution; Bottes de la Reine des Voleurs; Dofus des Glaces; Dofus Ivoire; Dofus Émeraude; Dofus Ébène; Dofus Pourpre; Dofus Abyssal; Kramkram</t>
        </is>
      </c>
    </row>
    <row r="12155">
      <c r="A12155" t="inlineStr">
        <is>
          <t>Ouginak F 200</t>
        </is>
      </c>
      <c r="B12155">
        <f>HYPERLINK("https://www.dofusbook.net/fr/equipement/5194038-ouginak-f-200/objets", "link")</f>
        <v/>
      </c>
      <c r="C12155" t="n">
        <v>0</v>
      </c>
      <c r="D12155" t="inlineStr">
        <is>
          <t>Karnak; Collier du Valet Veinard; Alliance Gloursonne; Gant du Valet Veinard; Trompe-la-Mort; Menoture; Dorabysses; Cape Indescriptible; Palmes Trithons; Dofus Ébène; Dofus Ocre; Dofus Abyssal; Dofus Émeraude; Dofus Ivoire; Dofus Pourpre; Kramkram</t>
        </is>
      </c>
    </row>
    <row r="12156">
      <c r="A12156" t="inlineStr">
        <is>
          <t>Eliotrope M 200</t>
        </is>
      </c>
      <c r="B12156">
        <f>HYPERLINK("https://www.dofusbook.net/fr/equipement/5191122-eliotrope-m-200/objets", "link")</f>
        <v/>
      </c>
      <c r="C12156" t="n">
        <v>0</v>
      </c>
      <c r="D12156" t="inlineStr">
        <is>
          <t>Crocobur; Amulette de Shokkoth; Alliance Gloursonne; Anneau Toriété; Bouclier du Captain Amakna; Ceinture de la Reine des Voleurs; Kidibonnet; Cape Solution; Bottes de la Reine des Voleurs; Dofus Ivoire; Dofus Ébène; Dofus Pourpre; Dofus Abyssal; Vigoureux majeur; Chanceux majeur; Kanigloups</t>
        </is>
      </c>
    </row>
    <row r="12157">
      <c r="A12157" t="inlineStr">
        <is>
          <t>Xélor M 200</t>
        </is>
      </c>
      <c r="B12157">
        <f>HYPERLINK("https://www.dofusbook.net/fr/equipement/5029323-xelor-m-200/objets", "link")</f>
        <v/>
      </c>
      <c r="C12157" t="n">
        <v>2</v>
      </c>
      <c r="D12157" t="inlineStr">
        <is>
          <t>Pioche de Grizou; Amulette de Shokkoth; Alliance Gloursonne; Anneau Toriété; Bouclier du Stalak; Ceinture de la Reine des Voleurs; Kidibonnet; Cape Solution; Bottes de la Reine des Voleurs; Dofus Ébène; Dofus Abyssal; Dofus Pourpre; Taquin majeur; Chanceux majeur; Vigoureux majeur; Kanigloups</t>
        </is>
      </c>
    </row>
    <row r="12158">
      <c r="A12158" t="inlineStr">
        <is>
          <t>Xélor M 200</t>
        </is>
      </c>
      <c r="B12158">
        <f>HYPERLINK("https://www.dofusbook.net/fr/equipement/4848564-xelor-m-200/objets", "link")</f>
        <v/>
      </c>
      <c r="C12158" t="n">
        <v>1</v>
      </c>
      <c r="D12158" t="inlineStr"/>
    </row>
    <row r="12159">
      <c r="A12159" t="inlineStr">
        <is>
          <t>Xélor M 200</t>
        </is>
      </c>
      <c r="B12159">
        <f>HYPERLINK("https://www.dofusbook.net/fr/equipement/4845289-xelor-m-200/objets", "link")</f>
        <v/>
      </c>
      <c r="C12159" t="n">
        <v>1</v>
      </c>
      <c r="D12159" t="inlineStr"/>
    </row>
    <row r="12160">
      <c r="A12160" t="inlineStr">
        <is>
          <t>Eniripsa F 200</t>
        </is>
      </c>
      <c r="B12160">
        <f>HYPERLINK("https://www.dofusbook.net/fr/equipement/4800373-eniripsa-f-200/objets", "link")</f>
        <v/>
      </c>
      <c r="C12160" t="n">
        <v>0</v>
      </c>
      <c r="D12160" t="inlineStr"/>
    </row>
    <row r="12161">
      <c r="A12161" t="inlineStr">
        <is>
          <t>item classe</t>
        </is>
      </c>
      <c r="B12161">
        <f>HYPERLINK("https://www.dofusbook.net/fr/equipement/2348398-item-classe/objets", "link")</f>
        <v/>
      </c>
      <c r="C12161" t="n">
        <v>1</v>
      </c>
      <c r="D12161" t="inlineStr">
        <is>
          <t>Baguette Rikiki; Amulette du Strigide; Anneau Toriété; Anneau Volkorne; Quatre-feuilles; Ceinture du Strigide; Chevelure de Tal Kasha; Sandales de Tal Kasha; Dofus Pourpre; Dofus Ocre; Dofus Ébène; Dofus Ivoire; Dofus Turquoise; Dofus Abyssal; Kokulte</t>
        </is>
      </c>
    </row>
    <row r="12162">
      <c r="A12162" t="inlineStr">
        <is>
          <t>CH-eni</t>
        </is>
      </c>
      <c r="B12162">
        <f>HYPERLINK("https://www.dofusbook.net/fr/equipement/3673474-ch-eni/objets", "link")</f>
        <v/>
      </c>
      <c r="C12162" t="n">
        <v>7</v>
      </c>
      <c r="D12162" t="inlineStr">
        <is>
          <t>Arc corrompu; Amulette Volkorne; Anneau Toriété; Anneauræus; Quatre-feuilles; Ceinture Volkorne; Casque Volkorne; Bottes Innommables; Dofus Pourpre; Dofus des Glaces; Dofus Abyssal; Dofus Turquoise; Remueur; Érudit majeur; Bisouglours</t>
        </is>
      </c>
    </row>
    <row r="12163">
      <c r="A12163" t="inlineStr">
        <is>
          <t>feu</t>
        </is>
      </c>
      <c r="B12163">
        <f>HYPERLINK("https://www.dofusbook.net/fr/equipement/1732381-feu/objets", "link")</f>
        <v/>
      </c>
      <c r="C12163" t="n">
        <v>3</v>
      </c>
      <c r="D12163" t="inlineStr">
        <is>
          <t>Harpelle; Amulette du Strigide; Anneau de Padgref; Anneau Toriété; Bouclier du Captain Amakna; Ceinture du Strigide; Coiffe de Padgref; Cape de Diondin; Getas de Padgref; Dofus Émeraude; Dofus des Glaces; Dofus Abyssal; Dofus Pourpre; Dofus Turquoise; Savant majeur; Kokulte</t>
        </is>
      </c>
    </row>
    <row r="12164">
      <c r="A12164" t="inlineStr">
        <is>
          <t>Iop F 200</t>
        </is>
      </c>
      <c r="B12164">
        <f>HYPERLINK("https://www.dofusbook.net/fr/equipement/4310605-iop-f-200/objets", "link")</f>
        <v/>
      </c>
      <c r="C12164" t="n">
        <v>3</v>
      </c>
      <c r="D12164" t="inlineStr">
        <is>
          <t>Dagues Érhy; Amulette de Pol Ouatnos; Baguistik; Goulano; Bouclier Bontarien; Ceinture de la Reine des Voleurs; Coiffe de la Reine des Voleurs; Capchalot; Baleinabottes; Dofus Ivoire; Dofus Pourpre; Dofus Abyssal; Bastion majeur; Fortification; Fortification majeure; Wabbit</t>
        </is>
      </c>
    </row>
    <row r="12165">
      <c r="A12165" t="inlineStr">
        <is>
          <t>osa air</t>
        </is>
      </c>
      <c r="B12165">
        <f>HYPERLINK("https://www.dofusbook.net/fr/equipement/4276044-osa-air/objets", "link")</f>
        <v/>
      </c>
      <c r="C12165" t="n">
        <v>3</v>
      </c>
      <c r="D12165" t="inlineStr">
        <is>
          <t>Arc Ahique; Collier du Valet Veinard; Gant du Valet Veinard; Alliance Gloursonne; Bouclier du Stalak; Ceinture de la Reine des Voleurs; Coiffe de la Reine des Voleurs; Cape du Valet Veinard; Bottes de la Reine des Voleurs; Dofus Pourpre; Dofus Abyssal; Dofus Ocre; Dofus des Glaces; Robuste majeur; Voyageur; Blérodoudou</t>
        </is>
      </c>
    </row>
    <row r="12166">
      <c r="A12166" t="inlineStr">
        <is>
          <t>feu ret</t>
        </is>
      </c>
      <c r="B12166">
        <f>HYPERLINK("https://www.dofusbook.net/fr/equipement/1466280-feu-ret/objets", "link")</f>
        <v/>
      </c>
      <c r="C12166" t="n">
        <v>2</v>
      </c>
      <c r="D12166" t="inlineStr">
        <is>
          <t>Sabres d'Atcham; Amulette du Strigide; Anneau de Padgref; Anneau Toriété; Quatre-feuilles; Ceinture du Strigide; Coiffe de Padgref; Cape d'Atcham; Getas de Padgref; Dofus Turquoise; Dofus Abyssal; Dofus Ocre; Dofus Pourpre; Dofus des Glaces; Kokulte</t>
        </is>
      </c>
    </row>
    <row r="12167">
      <c r="A12167" t="inlineStr">
        <is>
          <t>ret</t>
        </is>
      </c>
      <c r="B12167">
        <f>HYPERLINK("https://www.dofusbook.net/fr/equipement/2837463-ret/objets", "link")</f>
        <v/>
      </c>
      <c r="C12167" t="n">
        <v>0</v>
      </c>
      <c r="D12167" t="inlineStr">
        <is>
          <t>Bâtonnet Ronien; Amulette du Glourséleste; Pikano; Anneau Toriété; Bouclier cubiste; Ceinture Glaciale; Casquipik; Cape de Kongoku; Pantoufles Émar; Dofus Cawotte; Temporiseur; Temporiseur majeur; Remueur; Ralentisseur majeur; Entraveur majeur; Léopardo</t>
        </is>
      </c>
    </row>
    <row r="12168">
      <c r="A12168" t="inlineStr">
        <is>
          <t>Enutrof F 200</t>
        </is>
      </c>
      <c r="B12168">
        <f>HYPERLINK("https://www.dofusbook.net/fr/equipement/4182578-enutrof-f-200/objets", "link")</f>
        <v/>
      </c>
      <c r="C12168" t="n">
        <v>2</v>
      </c>
      <c r="D12168" t="inlineStr">
        <is>
          <t>Bâtonnet Ronien; Amulette du Glourséleste; Alliance Gloursonne; Pikano; Bouclier cubiste; Ceinture Glaciale; Casquipik; Cape de Kongoku; Pantoufles Émar; Dofus Abyssal; Dofus Ocre; Entraveur majeur; Ralentisseur majeur; Temporiseur majeur; Temporiseur; Muldo Pourpre</t>
        </is>
      </c>
    </row>
    <row r="12169">
      <c r="A12169" t="inlineStr">
        <is>
          <t>Xélor M 200</t>
        </is>
      </c>
      <c r="B12169">
        <f>HYPERLINK("https://www.dofusbook.net/fr/equipement/4064580-xelor-m-200/objets", "link")</f>
        <v/>
      </c>
      <c r="C12169" t="n">
        <v>0</v>
      </c>
      <c r="D12169" t="inlineStr">
        <is>
          <t>Massier; Amulette Volkorne; Anneau de Padgref; Anneau Toriété; Quatre-feuilles; Ceinture Volkorne; Coiffe de Padgref; Voile d'encre; Getas de Padgref; Dofus Turquoise; Dofus Ivoire; Dokoko; Dofus Ocre; Dofus Pourpre; Dofus Abyssal; Kokulte</t>
        </is>
      </c>
    </row>
    <row r="12170">
      <c r="A12170" t="inlineStr">
        <is>
          <t>gggg</t>
        </is>
      </c>
      <c r="B12170">
        <f>HYPERLINK("https://www.dofusbook.net/fr/equipement/3097190-gggg/objets", "link")</f>
        <v/>
      </c>
      <c r="C12170" t="n">
        <v>0</v>
      </c>
      <c r="D12170" t="inlineStr">
        <is>
          <t>Epée Gloursonne; Amulette d'Ilyzaelle; Bague Gloursonne; Alliance Gloursonne; Bouclier d'Ilyzaelle; Ceinture de la Reine des Voleurs; Bottes de la Reine des Voleurs; Dofus des Glaces; Dofus Pourpre; Dofus Abyssal; Dofus Ocre; Dofus Émeraude; Muldo Caméléon</t>
        </is>
      </c>
    </row>
    <row r="12171">
      <c r="A12171" t="inlineStr">
        <is>
          <t>nina</t>
        </is>
      </c>
      <c r="B12171">
        <f>HYPERLINK("https://www.dofusbook.net/fr/equipement/2567178-nina/objets", "link")</f>
        <v/>
      </c>
      <c r="C12171" t="n">
        <v>4</v>
      </c>
      <c r="D12171" t="inlineStr">
        <is>
          <t>Amulette de l'Œil Putride; Anneau du Comte Harebourg; Anneau Toriété; Bouclier d'Ilyzaelle; Ceinture en Grithril; Casque en Grithril; Cape de l'Œil Putride; Bottes du Comte Harebourg; Dofus Ocre; Dofus Émeraude; Dofus Abyssal; Dofus Pourpre; Dofus Ivoire; Dragodinde Ebène et Pourpre</t>
        </is>
      </c>
    </row>
    <row r="12172">
      <c r="A12172" t="inlineStr">
        <is>
          <t>feuuu</t>
        </is>
      </c>
      <c r="B12172">
        <f>HYPERLINK("https://www.dofusbook.net/fr/equipement/2029491-feuuu/objets", "link")</f>
        <v/>
      </c>
      <c r="C12172" t="n">
        <v>1</v>
      </c>
      <c r="D12172" t="inlineStr">
        <is>
          <t>Sabres d'Atcham; Amulette du Strigide; Anneau Toriété; Anneau de Padgref; Quatre-feuilles; Ceinture du Strigide; Coiffe de Padgref; Cape d'Atcham; Getas de Padgref; Dofus Pourpre; Dofus des Glaces; Dofus Turquoise; Dofus Abyssal; Dofus Ocre; Kokulte</t>
        </is>
      </c>
    </row>
    <row r="12173">
      <c r="A12173" t="inlineStr">
        <is>
          <t>clem</t>
        </is>
      </c>
      <c r="B12173">
        <f>HYPERLINK("https://www.dofusbook.net/fr/equipement/3970808-clem/objets", "link")</f>
        <v/>
      </c>
      <c r="C12173" t="n">
        <v>3</v>
      </c>
      <c r="D12173" t="inlineStr">
        <is>
          <t>Epée Loponèze; Amulette d'Ilyzaelle; Anneau Toriété; Alliance Gloursonne; Bouclier du Stalak; Menoture; Casque d'Ilyzaelle; Cape Matelassée; Sandales de Tal Kasha; Dokoko; Cascadeur majeur; Remueur; Vigoureux majeur; Étourdisseur majeur; Nomade; Dragodinde Ebène et Ivoire</t>
        </is>
      </c>
    </row>
    <row r="12174">
      <c r="A12174" t="inlineStr">
        <is>
          <t>pas cher</t>
        </is>
      </c>
      <c r="B12174">
        <f>HYPERLINK("https://www.dofusbook.net/fr/equipement/2783356-pas-cher/objets", "link")</f>
        <v/>
      </c>
      <c r="C12174" t="n">
        <v>1</v>
      </c>
      <c r="D12174" t="inlineStr">
        <is>
          <t>La Baguette des Limbes; Amulette du Strigide; Alliance Gloursonne; Anneau de Padgref; Quatre-feuilles; Ceinture du Strigide; Coiffe de Padgref; Cape de Diondin; Getas de Padgref; Dofus Turquoise; Voyageur; Puissant majeur; Savant majeur; Saccageur Feu majeur; Astucieux majeur; Kokulte</t>
        </is>
      </c>
    </row>
    <row r="12175">
      <c r="A12175" t="inlineStr">
        <is>
          <t>koli zobal</t>
        </is>
      </c>
      <c r="B12175">
        <f>HYPERLINK("https://www.dofusbook.net/fr/equipement/3944045-koli-zobal/objets", "link")</f>
        <v/>
      </c>
      <c r="C12175" t="n">
        <v>0</v>
      </c>
      <c r="D12175" t="inlineStr">
        <is>
          <t>Lav'Hache; Collier de Tourthon; Anneau Chevelu; Alliance Brûlâme; Bouclier du Stalak; Ceinture de l'Esprit Salvateur; Masque de l'Esprit Salvateur; Cape au Logis; Bottes de l'Esprit Salvateur; Dofus Pourpre; Dofus Ivoire; Dofus des Glaces; Dofus Ocre; Dokoko; Dofus Abyssal; Bulbisou</t>
        </is>
      </c>
    </row>
    <row r="12176">
      <c r="A12176" t="inlineStr">
        <is>
          <t>ret</t>
        </is>
      </c>
      <c r="B12176">
        <f>HYPERLINK("https://www.dofusbook.net/fr/equipement/1458620-ret/objets", "link")</f>
        <v/>
      </c>
      <c r="C12176" t="n">
        <v>3</v>
      </c>
      <c r="D12176" t="inlineStr">
        <is>
          <t>Bâtonnet Ronien; Amulette du Glourséleste; Alliance Gloursonne; Pikano; Bouclier cubiste; Ceinture Glaciale; Casquipik; Cape de Kongoku; Pantoufles Émar; Dofus Abyssal; Dofus Cawotte; Ralentisseur majeur; Entraveur majeur; Temporiseur; Temporiseur majeur; Volkorne Jade et Turquoise</t>
        </is>
      </c>
    </row>
    <row r="12177">
      <c r="A12177" t="inlineStr">
        <is>
          <t>Sacrieur F 200</t>
        </is>
      </c>
      <c r="B12177">
        <f>HYPERLINK("https://www.dofusbook.net/fr/equipement/3703737-sacrieur-f-200/objets", "link")</f>
        <v/>
      </c>
      <c r="C12177" t="n">
        <v>6</v>
      </c>
      <c r="D12177" t="inlineStr">
        <is>
          <t>Karnak; Collier du Valet Veinard; Alliance Gloursonne; Gant du Valet Veinard; Bouclier d'Ilyzaelle; Menoture; Casque Dragoeuf; Cape Indescriptible; Palmes Trithons; Dofus Abyssal; Dofus Émeraude; Dofus Ivoire; Dofus Pourpre; Cascadeur majeur; Miraculé majeur; Dragodinde Ebène et Ivoire</t>
        </is>
      </c>
    </row>
    <row r="12178">
      <c r="A12178" t="inlineStr">
        <is>
          <t>CH-panda</t>
        </is>
      </c>
      <c r="B12178">
        <f>HYPERLINK("https://www.dofusbook.net/fr/equipement/3673193-ch-panda/objets", "link")</f>
        <v/>
      </c>
      <c r="C12178" t="n">
        <v>4</v>
      </c>
      <c r="D12178" t="inlineStr">
        <is>
          <t>Marteau R'ture; Amulette du Strigide; Anneau Crustique; Anneau Crustique; Bouclier du Captain Amakna; Ceinture du Strigide; Masque de Koutoulou; Cape au Logis; Sabots Minables; Dofus Pourpre; Dofus Turquoise; Dofus Abyssal; Dofus des Glaces; Enragé majeur; Vigoureux majeur; Muldo Prune et Doré</t>
        </is>
      </c>
    </row>
    <row r="12179">
      <c r="A12179" t="inlineStr">
        <is>
          <t>CH-panda</t>
        </is>
      </c>
      <c r="B12179">
        <f>HYPERLINK("https://www.dofusbook.net/fr/equipement/3681134-ch-panda/objets", "link")</f>
        <v/>
      </c>
      <c r="C12179" t="n">
        <v>0</v>
      </c>
      <c r="D12179" t="inlineStr"/>
    </row>
    <row r="12180">
      <c r="A12180" t="inlineStr">
        <is>
          <t>Huppermage F 200</t>
        </is>
      </c>
      <c r="B12180">
        <f>HYPERLINK("https://www.dofusbook.net/fr/equipement/3424890-huppermage-f-200/objets", "link")</f>
        <v/>
      </c>
      <c r="C12180" t="n">
        <v>3</v>
      </c>
      <c r="D12180" t="inlineStr">
        <is>
          <t>Manthache; Collier du Valet Veinard; Alliance Gloursonne; Gant du Valet Veinard; Bouclier du Stalak; Menoture; Cape Indescriptible; Palmes Trithons; Dofus Ivoire; Dofus Ocre; Dofus Abyssal; Dofus Pourpre; Dokoko; Dofus des Glaces; Muldo Turquoise et Ivoire</t>
        </is>
      </c>
    </row>
    <row r="12181">
      <c r="A12181" t="inlineStr">
        <is>
          <t>Huppermage M 200</t>
        </is>
      </c>
      <c r="B12181">
        <f>HYPERLINK("https://www.dofusbook.net/fr/equipement/3424870-huppermage-m-200/objets", "link")</f>
        <v/>
      </c>
      <c r="C12181" t="n">
        <v>3</v>
      </c>
      <c r="D12181" t="inlineStr">
        <is>
          <t>Hache du Korriandre; Amulette du Strigide; Bague Gloursonne; Alliance Gloursonne; Bouclier du Captain Amakna; Ceinture du Strigide; Némès de Tal Kasha; Chevelure de Tal Kasha; Sandales de Tal Kasha; Dofus Turquoise; Dofus Abyssal; Dolmanax; Dofus Ocre; Dofus Pourpre; Dofus des Glaces; Muldo Prune et Emeraude</t>
        </is>
      </c>
    </row>
    <row r="12182">
      <c r="A12182" t="inlineStr">
        <is>
          <t>dragnir</t>
        </is>
      </c>
      <c r="B12182">
        <f>HYPERLINK("https://www.dofusbook.net/fr/equipement/3185105-dragnir/objets", "link")</f>
        <v/>
      </c>
      <c r="C12182" t="n">
        <v>0</v>
      </c>
      <c r="D12182" t="inlineStr">
        <is>
          <t>Baguette de Frigostine; Amulette Ementaire Deluxe; Anneau Tique; Alliance Gloursonne; Cadran de Terre; Ceinture de la Reine des Voleurs; Le Dorado; Cape d'Atcham; Bottes de la Reine des Voleurs; Dofus Ocre; Dofus des Glaces; Dofus Abyssal; Dofus Pourpre; Dofus Ivoire; Nomade; Kramkram</t>
        </is>
      </c>
    </row>
    <row r="12183">
      <c r="A12183" t="inlineStr">
        <is>
          <t>Crâ M 200</t>
        </is>
      </c>
      <c r="B12183">
        <f>HYPERLINK("https://www.dofusbook.net/fr/equipement/3250683-cra-m-200/objets", "link")</f>
        <v/>
      </c>
      <c r="C12183" t="n">
        <v>6</v>
      </c>
      <c r="D12183" t="inlineStr">
        <is>
          <t>Marteau des égarés; Amulette du Strigide; Alliance Gloursonne; Bracelet du Piloztère; Quatre-feuilles; Ceinture du Strigide; Kidibonnet; Voile d'encre; Pataugastrique; Dolmanax; Dofus Turquoise; Dofus Pourpre; Dofus des Glaces; Nomade; Vigoureux majeur; Kramkram</t>
        </is>
      </c>
    </row>
    <row r="12184">
      <c r="A12184" t="inlineStr">
        <is>
          <t>eaupou</t>
        </is>
      </c>
      <c r="B12184">
        <f>HYPERLINK("https://www.dofusbook.net/fr/equipement/3198017-eaupou/objets", "link")</f>
        <v/>
      </c>
      <c r="C12184" t="n">
        <v>6</v>
      </c>
      <c r="D12184" t="inlineStr">
        <is>
          <t>Dagoulinantes; Collier Rophante; Bague Instable; Bague Trithon; Bouclier précieux; Ceinture Luminescente; Casque Dragoeuf; Cape Solution; Bottes Trithon; Dofus Émeraude; Dofus Abyssal; Remueur; Culbuteur majeur; Miraculé majeur; Bousculeur majeur; Kramkram</t>
        </is>
      </c>
    </row>
    <row r="12185">
      <c r="A12185" t="inlineStr">
        <is>
          <t>dragnir</t>
        </is>
      </c>
      <c r="B12185">
        <f>HYPERLINK("https://www.dofusbook.net/fr/equipement/3192372-dragnir/objets", "link")</f>
        <v/>
      </c>
      <c r="C12185" t="n">
        <v>0</v>
      </c>
      <c r="D12185" t="inlineStr">
        <is>
          <t>Arc corrompu; Amulette du Professeur Xa; Anneau Crustique; Anneau Crustique; Sept ans de malheur; Menoture; Heaume Oplate; Cape Ardente; Chaussures Ardentes; Dofus Abyssal; Dofus Ivoire; Étourdisseur; Étourdisseur majeur; Engourdisseur majeur; Remueur; Muldo Orchidée</t>
        </is>
      </c>
    </row>
    <row r="12186">
      <c r="A12186" t="inlineStr">
        <is>
          <t>air</t>
        </is>
      </c>
      <c r="B12186">
        <f>HYPERLINK("https://www.dofusbook.net/fr/equipement/3114358-air/objets", "link")</f>
        <v/>
      </c>
      <c r="C12186" t="n">
        <v>5</v>
      </c>
      <c r="D12186" t="inlineStr">
        <is>
          <t>Hachoirs de Viandargh; Amibou; Bague Trithon; Bague Instable; Bouclier précieux; Ceinture du Nocturlabe; Chapibou; Cape du Cœur Vaillant; Baleinabottes; Dofus Abyssal; Dofus Ivoire; Culbuteur; Bousculeur majeur; Culbuteur majeur; Remueur</t>
        </is>
      </c>
    </row>
    <row r="12187">
      <c r="A12187" t="inlineStr">
        <is>
          <t>fhg</t>
        </is>
      </c>
      <c r="B12187">
        <f>HYPERLINK("https://www.dofusbook.net/fr/equipement/3106873-fhg/objets", "link")</f>
        <v/>
      </c>
      <c r="C12187" t="n">
        <v>2</v>
      </c>
      <c r="D12187" t="inlineStr">
        <is>
          <t>Arc du Chalœil; Torquistik; Baguistik; Bague Trithon; Bouclier Taverne; Ceinture Gence; Masque de Koutoulou; Cape au Logis; Bottes du Cœur Vaillant; Dofus Ivoire; Dofus Abyssal; Culbuteur majeur; Remueur; Bousculeur majeur; Muldo Pourpre</t>
        </is>
      </c>
    </row>
    <row r="12188">
      <c r="A12188" t="inlineStr">
        <is>
          <t>terre</t>
        </is>
      </c>
      <c r="B12188">
        <f>HYPERLINK("https://www.dofusbook.net/fr/equipement/3052756-terre/objets", "link")</f>
        <v/>
      </c>
      <c r="C12188" t="n">
        <v>0</v>
      </c>
      <c r="D12188" t="inlineStr"/>
    </row>
    <row r="12189">
      <c r="A12189" t="inlineStr">
        <is>
          <t>crit</t>
        </is>
      </c>
      <c r="B12189">
        <f>HYPERLINK("https://www.dofusbook.net/fr/equipement/3052602-crit/objets", "link")</f>
        <v/>
      </c>
      <c r="C12189" t="n">
        <v>2</v>
      </c>
      <c r="D12189" t="inlineStr">
        <is>
          <t>Marteau R'ture; Amulette du Strigide; Anneau Crustique; Anneau Crustique; Bouclier du Captain Amakna; Ceinture du Strigide; Masque de Koutoulou; Cape au Logis; Sabots Minables; Dofus Pourpre; Dofus Turquoise; Dofus Nébuleux; Enragé majeur; Vigoureux majeur; Kramkram</t>
        </is>
      </c>
    </row>
    <row r="12190">
      <c r="A12190" t="inlineStr">
        <is>
          <t>bii</t>
        </is>
      </c>
      <c r="B12190">
        <f>HYPERLINK("https://www.dofusbook.net/fr/equipement/3049784-bii/objets", "link")</f>
        <v/>
      </c>
      <c r="C12190" t="n">
        <v>1</v>
      </c>
      <c r="D12190" t="inlineStr"/>
    </row>
    <row r="12191">
      <c r="A12191" t="inlineStr">
        <is>
          <t>hhhh</t>
        </is>
      </c>
      <c r="B12191">
        <f>HYPERLINK("https://www.dofusbook.net/fr/equipement/2953249-hhhh/objets", "link")</f>
        <v/>
      </c>
      <c r="C12191" t="n">
        <v>2</v>
      </c>
      <c r="D12191" t="inlineStr">
        <is>
          <t>Lav'Hache; Collier de Tourthon; Anneau Chevelu; Alliance Gloursonne; Bouclier alvéolé; Ceintouse; Masque de Koutoulou; Cape au Logis; Tentassons; Dofus Ocre; Dofus Ivoire; Dokoko; Dofus des Glaces; Dofus Pourpre; Dofus Abyssal; Kramkram</t>
        </is>
      </c>
    </row>
    <row r="12192">
      <c r="A12192" t="inlineStr">
        <is>
          <t>pvpsucces</t>
        </is>
      </c>
      <c r="B12192">
        <f>HYPERLINK("https://www.dofusbook.net/fr/equipement/2942521-pvpsucces/objets", "link")</f>
        <v/>
      </c>
      <c r="C12192" t="n">
        <v>0</v>
      </c>
      <c r="D12192" t="inlineStr">
        <is>
          <t>Marteau des Anciens Steamers; Amulette du Strigide; Bague Gloursonne; Alliance Gloursonne; Quatre-feuilles; Ceinture du Strigide; Némès de Tal Kasha; Chevelure de Tal Kasha; Sandales de Tal Kasha; Dofus Pourpre; Dofus des Glaces; Dofus Turquoise; Dofus Nébuleux; Dofus Ocre; Dofus Abyssal; Muldo Prune et Emeraude</t>
        </is>
      </c>
    </row>
    <row r="12193">
      <c r="A12193" t="inlineStr">
        <is>
          <t>eaukoli</t>
        </is>
      </c>
      <c r="B12193">
        <f>HYPERLINK("https://www.dofusbook.net/fr/equipement/2896473-eaukoli/objets", "link")</f>
        <v/>
      </c>
      <c r="C12193" t="n">
        <v>3</v>
      </c>
      <c r="D12193" t="inlineStr">
        <is>
          <t>Dagoulinantes; Amulette de l'Œil Attentif; Bracelet des Fonds marins; Alliance Gloursonne; Bouclier du Stalak; Ceinture de la Reine des Voleurs; Capuche de l'Œil Attentif; Cape de l'Œil Attentif; Bottes de la Reine des Voleurs; Dofus Ocre; Dofus Ivoire; Dokoko; Dofus des Glaces; Dofus Pourpre; Dofus Abyssal; Muldo Ebène et Indigo</t>
        </is>
      </c>
    </row>
    <row r="12194">
      <c r="A12194" t="inlineStr">
        <is>
          <t>wazook</t>
        </is>
      </c>
      <c r="B12194">
        <f>HYPERLINK("https://www.dofusbook.net/fr/equipement/2878439-wazook/objets", "link")</f>
        <v/>
      </c>
      <c r="C12194" t="n">
        <v>3</v>
      </c>
      <c r="D12194" t="inlineStr">
        <is>
          <t>Marteau des Anciens Steamers; Amulette du Strigide; Pikano; Alliance Gloursonne; Bouclier Taverne; Ceinture du Strigide; Coiffe d'Ogivol; Cape Matelassée; Pantoufles Émar; Dofus Émeraude; Vigoureux; Vigoureux majeur; Miraculé majeur; Nomade; Remueur; Muldo Doré</t>
        </is>
      </c>
    </row>
    <row r="12195">
      <c r="A12195" t="inlineStr">
        <is>
          <t>sencondaire</t>
        </is>
      </c>
      <c r="B12195">
        <f>HYPERLINK("https://www.dofusbook.net/fr/equipement/2867851-sencondaire/objets", "link")</f>
        <v/>
      </c>
      <c r="C12195" t="n">
        <v>2</v>
      </c>
      <c r="D12195" t="inlineStr">
        <is>
          <t>Épée d'Otomaï; Amulette du Strigide; Anneau de Padgref; Bracelet du Piloztère; Quatre-feuilles; Ceintacé; Coiffe de Padgref; Cape Reski; Pataugastrique; Dofus Turquoise; Puissant majeur; Remueur; Vigoureux majeur; Érudit majeur; Nomade; Muldo Prune et Emeraude</t>
        </is>
      </c>
    </row>
    <row r="12196">
      <c r="A12196" t="inlineStr">
        <is>
          <t>talka</t>
        </is>
      </c>
      <c r="B12196">
        <f>HYPERLINK("https://www.dofusbook.net/fr/equipement/2839203-talka/objets", "link")</f>
        <v/>
      </c>
      <c r="C12196" t="n">
        <v>0</v>
      </c>
      <c r="D12196" t="inlineStr">
        <is>
          <t>Bâtonnet Ronien; Amulette du Strigide; Bague Gloursonne; Alliance Gloursonne; Quatre-feuilles; Ceinture du Strigide; Némès de Tal Kasha; Chevelure de Tal Kasha; Sandales de Tal Kasha; Dofus Pourpre; Dofus des Glaces; Dofus Turquoise; Dofus Abyssal; Dolmanax; Dofus Ocre; Muldo Prune et Emeraude</t>
        </is>
      </c>
    </row>
    <row r="12197">
      <c r="A12197" t="inlineStr">
        <is>
          <t>eau air</t>
        </is>
      </c>
      <c r="B12197">
        <f>HYPERLINK("https://www.dofusbook.net/fr/equipement/2819387-eau-air/objets", "link")</f>
        <v/>
      </c>
      <c r="C12197" t="n">
        <v>3</v>
      </c>
      <c r="D12197" t="inlineStr">
        <is>
          <t>Bâtonnet Ronien; Kralamansion; Annolamour; Kralano; Quatre-feuilles; Ceinture du Barbétoal; Némès de Tal Kasha; Chevelure de Tal Kasha; Sandales de Tal Kasha; Dokoko; Dofus Ocre; Dofus Pourpre; Dofus des Glaces; Dofus Turquoise; Dofus Abyssal</t>
        </is>
      </c>
    </row>
    <row r="12198">
      <c r="A12198" t="inlineStr">
        <is>
          <t>air</t>
        </is>
      </c>
      <c r="B12198">
        <f>HYPERLINK("https://www.dofusbook.net/fr/equipement/2646668-air/objets", "link")</f>
        <v/>
      </c>
      <c r="C12198" t="n">
        <v>0</v>
      </c>
      <c r="D12198" t="inlineStr">
        <is>
          <t>Arc Ahique; Collier du Valet Veinard; Gant du Valet Veinard; Alliance Gloursonne; Bouclier du Stalak; Ceinture de la Reine des Voleurs; Coiffe de la Reine des Voleurs; Cape du Valet Veinard; Bottes de la Reine des Voleurs; Dolmanax; Dofus Pourpre; Dofus Ocre; Dofus des Glaces; Dokoko; Dofus Abyssal</t>
        </is>
      </c>
    </row>
    <row r="12199">
      <c r="A12199" t="inlineStr">
        <is>
          <t>air autre</t>
        </is>
      </c>
      <c r="B12199">
        <f>HYPERLINK("https://www.dofusbook.net/fr/equipement/2623297-air-autre/objets", "link")</f>
        <v/>
      </c>
      <c r="C12199" t="n">
        <v>0</v>
      </c>
      <c r="D12199" t="inlineStr">
        <is>
          <t>Amulette du Strigide; Bague Trithon; Alliance Gloursonne; Ceinture du Strigide; Masque Trithon; Capchalot; Bottes Trithon</t>
        </is>
      </c>
    </row>
    <row r="12200">
      <c r="A12200" t="inlineStr">
        <is>
          <t>terre pvp</t>
        </is>
      </c>
      <c r="B12200">
        <f>HYPERLINK("https://www.dofusbook.net/fr/equipement/2181701-terre-pvp/objets", "link")</f>
        <v/>
      </c>
      <c r="C12200" t="n">
        <v>0</v>
      </c>
      <c r="D12200" t="inlineStr">
        <is>
          <t>Dagues d'Ilyzaelle; Amulette du Strigide; Anneau Crustique; Anneau Crustique; Bouclier du Captain Amakna; Ceinture du Strigide; Masque de Koutoulou; Cape au Logis; Baleinabottes; Dofus Nébuleux; Dofus des Glaces; Dofus Pourpre; Dofus Turquoise; Enragé majeur; Vigoureux majeur; Kompost</t>
        </is>
      </c>
    </row>
    <row r="12201">
      <c r="A12201" t="inlineStr">
        <is>
          <t>pvm</t>
        </is>
      </c>
      <c r="B12201">
        <f>HYPERLINK("https://www.dofusbook.net/fr/equipement/2567317-pvm/objets", "link")</f>
        <v/>
      </c>
      <c r="C12201" t="n">
        <v>0</v>
      </c>
      <c r="D12201" t="inlineStr">
        <is>
          <t>Marteau des égarés; Amulette du Strigide; Alliance Gloursonne; Bracelet du Piloztère; Ceinture du Strigide; Kidibonnet; Voile d'encre; Pataugastrique; Dolmanax; Dofus Pourpre; Dofus Turquoise; Dofus des Glaces; Vigoureux majeur; Cascadeur majeur; Muldo Caméléon</t>
        </is>
      </c>
    </row>
    <row r="12202">
      <c r="A12202" t="inlineStr">
        <is>
          <t>skin</t>
        </is>
      </c>
      <c r="B12202">
        <f>HYPERLINK("https://www.dofusbook.net/fr/equipement/2535978-skin/objets", "link")</f>
        <v/>
      </c>
      <c r="C12202" t="n">
        <v>0</v>
      </c>
      <c r="D12202" t="inlineStr">
        <is>
          <t>Capuche de l'Œil Attentif; Voile d'encre; Muldo Caméléon</t>
        </is>
      </c>
    </row>
    <row r="12203">
      <c r="A12203" t="inlineStr">
        <is>
          <t>feu terre</t>
        </is>
      </c>
      <c r="B12203">
        <f>HYPERLINK("https://www.dofusbook.net/fr/equipement/2535211-feu-terre/objets", "link")</f>
        <v/>
      </c>
      <c r="C12203" t="n">
        <v>0</v>
      </c>
      <c r="D12203" t="inlineStr">
        <is>
          <t>Arc Hétype; Torquistik; Chevalière du Roi Joueur; Alliance Brûlâme; Bouclier cubiste; Ceinture de Kongoku; Masque de Koutoulou; Voile d'encre; Baleinabottes; Muldo Pourpre</t>
        </is>
      </c>
    </row>
    <row r="12204">
      <c r="A12204" t="inlineStr">
        <is>
          <t>terre feu</t>
        </is>
      </c>
      <c r="B12204">
        <f>HYPERLINK("https://www.dofusbook.net/fr/equipement/2535110-terre-feu/objets", "link")</f>
        <v/>
      </c>
      <c r="C12204" t="n">
        <v>2</v>
      </c>
      <c r="D12204" t="inlineStr">
        <is>
          <t>Arc Ahique; Amulette Ementaire Deluxe; Pikano; Alliance Gloursonne; Bouclier du Stalak; Ceinture de la Reine des Voleurs; Coiffe de la Reine des Voleurs; Voile d'encre; Baleinabottes; Dofus des Glaces; Dofus Abyssal; Dokoko; Dolmanax; Dofus Pourpre; Remueur; Muldo Ebène et Indigo</t>
        </is>
      </c>
    </row>
    <row r="12205">
      <c r="A12205" t="inlineStr">
        <is>
          <t>skin</t>
        </is>
      </c>
      <c r="B12205">
        <f>HYPERLINK("https://www.dofusbook.net/fr/equipement/2522701-skin/objets", "link")</f>
        <v/>
      </c>
      <c r="C12205" t="n">
        <v>2</v>
      </c>
      <c r="D12205" t="inlineStr">
        <is>
          <t>Masque Tromatisant; Cape Rimordiale</t>
        </is>
      </c>
    </row>
    <row r="12206">
      <c r="A12206" t="inlineStr">
        <is>
          <t>bloc</t>
        </is>
      </c>
      <c r="B12206">
        <f>HYPERLINK("https://www.dofusbook.net/fr/equipement/1117988-bloc/objets", "link")</f>
        <v/>
      </c>
      <c r="C12206" t="n">
        <v>4</v>
      </c>
      <c r="D12206" t="inlineStr">
        <is>
          <t>Dagues de Srambad; Amulette Ementaire Deluxe; Alliance Gloursonne; Anneau Chevelu; Bouclier précieux; Ceinture de la Reine des Voleurs; Coiffe de la Reine des Voleurs; Voile d'encre; Bottes de la Reine des Voleurs; Dofus Ocre; Dofus Ivoire; Dofus Pourpre; Dofus des Glaces; Dofus Émeraude; Dokoko; Muldo Ebène et Indigo</t>
        </is>
      </c>
    </row>
    <row r="12207">
      <c r="A12207" t="inlineStr">
        <is>
          <t>Stuff 3</t>
        </is>
      </c>
      <c r="B12207">
        <f>HYPERLINK("https://www.dofusbook.net/fr/equipement/192687-stuff-3/objets", "link")</f>
        <v/>
      </c>
      <c r="C12207" t="n">
        <v>1</v>
      </c>
      <c r="D12207" t="inlineStr">
        <is>
          <t>Manthache; Collier du Valet Veinard; Gant du Valet Veinard; Alliance Gloursonne; Bouclier du Stalak; Menoture; Casque Dragoeuf; Cape Indescriptible; Palmes Trithons; Dolmanax; Dofus Émeraude; Dofus des Glaces; Dokoko; Dofus Pourpre; Remueur; Muldo Ebène</t>
        </is>
      </c>
    </row>
    <row r="12208">
      <c r="A12208" t="inlineStr">
        <is>
          <t>top1</t>
        </is>
      </c>
      <c r="B12208">
        <f>HYPERLINK("https://www.dofusbook.net/fr/equipement/2503253-top1/objets", "link")</f>
        <v/>
      </c>
      <c r="C12208" t="n">
        <v>1</v>
      </c>
      <c r="D12208" t="inlineStr">
        <is>
          <t>Arc Hétype; Amulette Ementaire Deluxe; Alliance Gloursonne; Anneau de Nidas; Bouclier cubiste; Ceinture de Vortex; Couronne de Nidas; Voile d'encre; Pataugastrique; Dofus Pourpre; Dofus Émeraude; Dokoko; Temporiseur majeur; Érudit majeur; Remueur; Muldo Ebène et Indigo</t>
        </is>
      </c>
    </row>
    <row r="12209">
      <c r="A12209" t="inlineStr">
        <is>
          <t>vita</t>
        </is>
      </c>
      <c r="B12209">
        <f>HYPERLINK("https://www.dofusbook.net/fr/equipement/1633642-vita/objets", "link")</f>
        <v/>
      </c>
      <c r="C12209" t="n">
        <v>0</v>
      </c>
      <c r="D12209" t="inlineStr">
        <is>
          <t>Manthache; Collier du Valet Veinard; Gant du Valet Veinard; Alliance Gloursonne; Bouclier du Stalak; Menoture; Casque Dragoeuf; Cape Indescriptible; Palmes Trithons; Dokoko; Dofus Ocre; Dofus Abyssal; Dofus Ivoire; Dofus Pourpre; Dofus Émeraude; Muldo Ebène</t>
        </is>
      </c>
    </row>
    <row r="12210">
      <c r="A12210" t="inlineStr">
        <is>
          <t>promenade de santé</t>
        </is>
      </c>
      <c r="B12210">
        <f>HYPERLINK("https://www.dofusbook.net/fr/equipement/2348810-promenade-de-sante/objets", "link")</f>
        <v/>
      </c>
      <c r="C12210" t="n">
        <v>0</v>
      </c>
      <c r="D12210" t="inlineStr">
        <is>
          <t>Arc Ahique; Collier du Valet Veinard; Gant du Valet Veinard; Alliance Gloursonne; Bouclier du Stalak; Ceinture de la Reine des Voleurs; Coiffe de la Reine des Voleurs; Cape du Valet Veinard; Bottes de la Reine des Voleurs; Dofus Ocre; Dofus Ivoire; Dokoko; Dofus des Glaces; Dofus Pourpre; Dofus Abyssal; Muldo Ebène</t>
        </is>
      </c>
    </row>
    <row r="12211">
      <c r="A12211" t="inlineStr">
        <is>
          <t>air tacle</t>
        </is>
      </c>
      <c r="B12211">
        <f>HYPERLINK("https://www.dofusbook.net/fr/equipement/2266855-air-tacle/objets", "link")</f>
        <v/>
      </c>
      <c r="C12211" t="n">
        <v>0</v>
      </c>
      <c r="D12211" t="inlineStr">
        <is>
          <t>Lance corrompue; Amulette du Strigide; Bague Gloursonne; Alliance Gloursonne; Bouclier alvéolé; Ceinture de la Reine des Voleurs; Coiffe de la Reine des Voleurs; Cape au Logis; Baleinabottes; Dofus des Glaces; Dofus Pourpre; Dofus Abyssal; Dofus Ocre; Dofus Ivoire; Dofus Émeraude; Muldo Ebène et Pourpre</t>
        </is>
      </c>
    </row>
    <row r="12212">
      <c r="A12212" t="inlineStr">
        <is>
          <t>kolizeum distance</t>
        </is>
      </c>
      <c r="B12212">
        <f>HYPERLINK("https://www.dofusbook.net/fr/equipement/2130271-kolizeum-distance/objets", "link")</f>
        <v/>
      </c>
      <c r="C12212" t="n">
        <v>0</v>
      </c>
      <c r="D12212" t="inlineStr">
        <is>
          <t>Arc du Chalœil; Amulette du Piloztère; Goulano; Bracelet du Piloztère; Goulclier; Ceinture de la Reine des Voleurs; Coiffe de la Reine des Voleurs; Capchalot; Goulbottes; Dofus Ivoire; Dokoko; Dofus Ocre; Dofus Abyssal; Dofus Pourpre; Dofus des Glaces; Muldo Ebène et Pourpre</t>
        </is>
      </c>
    </row>
    <row r="12213">
      <c r="A12213" t="inlineStr">
        <is>
          <t>ret rox</t>
        </is>
      </c>
      <c r="B12213">
        <f>HYPERLINK("https://www.dofusbook.net/fr/equipement/2125042-ret-rox/objets", "link")</f>
        <v/>
      </c>
      <c r="C12213" t="n">
        <v>1</v>
      </c>
      <c r="D12213" t="inlineStr">
        <is>
          <t>Marteau R'ture; Amulette du Cœur Saignant; Pikano; Chevalière du Roi Joueur; Bouclier cubiste; Ceinture de Kongoku; Couronne du Roi Joueur; Cape du Cœur Saignant; Bottes du Cœur Saignant; Dofus Ocre; Dofus Abyssal; Dofus Turquoise; Dofus Pourpre; Ralentisseur majeur; Entraveur majeur</t>
        </is>
      </c>
    </row>
    <row r="12214">
      <c r="A12214" t="inlineStr">
        <is>
          <t>kolizeum</t>
        </is>
      </c>
      <c r="B12214">
        <f>HYPERLINK("https://www.dofusbook.net/fr/equipement/2118735-kolizeum/objets", "link")</f>
        <v/>
      </c>
      <c r="C12214" t="n">
        <v>0</v>
      </c>
      <c r="D12214" t="inlineStr">
        <is>
          <t>Dagues de Srambad; Amulette du Piloztère; Bracelet du Piloztère; Pikano; Bouclier alvéolé; Ceinture de la Reine des Voleurs; Coiffe de la Reine des Voleurs; Capchalot; Pantoufles du Piloztère; Dofus Ocre; Dofus Ivoire; Dokoko; Dofus des Glaces; Dofus Pourpre; Dofus Abyssal; Muldo Ebène et Pourpre</t>
        </is>
      </c>
    </row>
    <row r="12215">
      <c r="A12215" t="inlineStr">
        <is>
          <t>bou</t>
        </is>
      </c>
      <c r="B12215">
        <f>HYPERLINK("https://www.dofusbook.net/fr/equipement/1633551-bou/objets", "link")</f>
        <v/>
      </c>
      <c r="C12215" t="n">
        <v>0</v>
      </c>
      <c r="D12215" t="inlineStr">
        <is>
          <t>Arc Ahique; Amulette d'Ilyzaelle; Bracelet du Piloztère; Alliance Gloursonne; Bouclier du Stalak; Ceinture de la Reine des Voleurs; Casque d'Ilyzaelle; Cape Matelassée; Bottes de la Reine des Voleurs; Dokoko; Dofus des Glaces; Dofus Pourpre; Dofus Abyssal; Dofus Ocre; Dofus Ivoire; Muldo Ebène</t>
        </is>
      </c>
    </row>
    <row r="12216">
      <c r="A12216" t="inlineStr">
        <is>
          <t>vita</t>
        </is>
      </c>
      <c r="B12216">
        <f>HYPERLINK("https://www.dofusbook.net/fr/equipement/1638273-vita/objets", "link")</f>
        <v/>
      </c>
      <c r="C12216" t="n">
        <v>3</v>
      </c>
      <c r="D12216" t="inlineStr">
        <is>
          <t>Manthache; Collier du Valet Veinard; Gant du Valet Veinard; Alliance Gloursonne; Bouclier du Stalak; Menoture; Casque Dragoeuf; Cape Indescriptible; Palmes Trithons; Dofus Ocre; Dokoko; Dofus Émeraude; Dofus Pourpre; Dofus Abyssal; Dofus Ivoire; Muldo Ebène</t>
        </is>
      </c>
    </row>
    <row r="12217">
      <c r="A12217" t="inlineStr">
        <is>
          <t>ploup</t>
        </is>
      </c>
      <c r="B12217">
        <f>HYPERLINK("https://www.dofusbook.net/fr/equipement/965737-ploup/objets", "link")</f>
        <v/>
      </c>
      <c r="C12217" t="n">
        <v>0</v>
      </c>
      <c r="D12217" t="inlineStr">
        <is>
          <t>Manthache; Collier du Valet Veinard; Gant du Valet Veinard; Alliance Gloursonne; Bouclier du Stalak; Menoture; Cape Indescriptible; Palmes Trithons; Dofus Émeraude; Dokoko; Dofus Abyssal; Dofus Ivoire; Dofus Pourpre; Dofus Ocre; Muldo Ebène</t>
        </is>
      </c>
    </row>
    <row r="12218">
      <c r="A12218" t="inlineStr">
        <is>
          <t>tft</t>
        </is>
      </c>
      <c r="B12218">
        <f>HYPERLINK("https://www.dofusbook.net/fr/equipement/1940472-tft/objets", "link")</f>
        <v/>
      </c>
      <c r="C12218" t="n">
        <v>0</v>
      </c>
      <c r="D12218" t="inlineStr">
        <is>
          <t>Dagoulinantes; Amulette de l'Œil Attentif; Alliance Gloursonne; Bouclier d'Ilyzaelle; Ceinture de la Reine des Voleurs; Capuche de l'Œil Attentif; Cape de l'Œil Attentif; Bottes de la Reine des Voleurs</t>
        </is>
      </c>
    </row>
    <row r="12219">
      <c r="A12219" t="inlineStr">
        <is>
          <t>divine</t>
        </is>
      </c>
      <c r="B12219">
        <f>HYPERLINK("https://www.dofusbook.net/fr/equipement/1876097-divine/objets", "link")</f>
        <v/>
      </c>
      <c r="C12219" t="n">
        <v>2</v>
      </c>
      <c r="D12219" t="inlineStr">
        <is>
          <t>Sabres d'Atcham; Amulette du Strigide; Alliance Gloursonne; Anneau de Padgref; Quatre-feuilles; Ceinture du Strigide; Coiffe de Padgref; Cape d'Atcham; Getas de Padgref; Dofus Turquoise; Dofus Nébuleux; Dolmanax; Dofus Ocre; Dofus Pourpre; Dofus des Glaces; Muldo Prune et Emeraude</t>
        </is>
      </c>
    </row>
    <row r="12220">
      <c r="A12220" t="inlineStr">
        <is>
          <t>ponnnni</t>
        </is>
      </c>
      <c r="B12220">
        <f>HYPERLINK("https://www.dofusbook.net/fr/equipement/1822225-ponnnni/objets", "link")</f>
        <v/>
      </c>
      <c r="C12220" t="n">
        <v>0</v>
      </c>
      <c r="D12220" t="inlineStr">
        <is>
          <t>Harpelle; Amulette Séculaire; Bague Gloursonne; Anneau de Padgref; Quatre-feuilles; Ceinture Séculaire; Coiffe de Padgref; Cape de Diondin; Getas de Padgref; Dofus Abyssal; Dofus Pourpre; Dofus Turquoise; Dofus Émeraude; Savant majeur; Astucieux majeur; Muldo Prune et Emeraude</t>
        </is>
      </c>
    </row>
    <row r="12221">
      <c r="A12221" t="inlineStr">
        <is>
          <t>poni</t>
        </is>
      </c>
      <c r="B12221">
        <f>HYPERLINK("https://www.dofusbook.net/fr/equipement/1638268-poni/objets", "link")</f>
        <v/>
      </c>
      <c r="C12221" t="n">
        <v>0</v>
      </c>
      <c r="D12221" t="inlineStr">
        <is>
          <t>Marteau R'ture; Collier de Tourthon; Anneau de Brouce; Bague Gloursonne; Quatre-feuilles; Ceinture de la Reine des Voleurs; Coiffe de la Reine des Voleurs; Cape au Logis; Baleinabottes; Remueur; Vigoureux majeur; Nomade; Forcené majeur; Furibond majeur; Enragé majeur; Kompost</t>
        </is>
      </c>
    </row>
    <row r="12222">
      <c r="A12222" t="inlineStr">
        <is>
          <t>test</t>
        </is>
      </c>
      <c r="B12222">
        <f>HYPERLINK("https://www.dofusbook.net/fr/equipement/1750789-test/objets", "link")</f>
        <v/>
      </c>
      <c r="C12222" t="n">
        <v>3</v>
      </c>
      <c r="D12222" t="inlineStr">
        <is>
          <t>Harpelle; Pendentif affamé; Baguistik; Bague Gloursonne; Quatre-feuilles; Ceinture Séculaire; Coiffe Séculaire; Cape de Diondin; Bottes Innommables; Dofus Pourpre; Dofus Turquoise; Vigoureux majeur; Remueur; Nomade; Érudit majeur; Brûlih</t>
        </is>
      </c>
    </row>
    <row r="12223">
      <c r="A12223" t="inlineStr">
        <is>
          <t>pixar2</t>
        </is>
      </c>
      <c r="B12223">
        <f>HYPERLINK("https://www.dofusbook.net/fr/equipement/1748845-pixar2/objets", "link")</f>
        <v/>
      </c>
      <c r="C12223" t="n">
        <v>0</v>
      </c>
      <c r="D12223" t="inlineStr">
        <is>
          <t>Epée Gloursonne; Amulette du Strigide; Bague Gloursonne; Alliance Gloursonne; Quatre-feuilles; Ceinture du Strigide; Le Dorado; Cape au Logis; Bottes du Strigide; Dofus Pourpre; Dofus Émeraude; Dofus Turquoise; Joueur majeur; Furibond majeur; Puissant majeur; Muldo Prune et Emeraude</t>
        </is>
      </c>
    </row>
    <row r="12224">
      <c r="A12224" t="inlineStr">
        <is>
          <t>pixar</t>
        </is>
      </c>
      <c r="B12224">
        <f>HYPERLINK("https://www.dofusbook.net/fr/equipement/1748686-pixar/objets", "link")</f>
        <v/>
      </c>
      <c r="C12224" t="n">
        <v>1</v>
      </c>
      <c r="D12224" t="inlineStr">
        <is>
          <t>Hache du Chalœil; Amulette du Strigide; Alliance Gloursonne; Bracelet du Piloztère; Quatre-feuilles; Ceinture du Strigide; Masque de Koutoulou; Voile d'encre; Pantoufles du Piloztère; Dofus Turquoise; Dofus Pourpre; Remueur; Vigoureux majeur; Nomade; Miraculé majeur; Muldo Prune et Emeraude</t>
        </is>
      </c>
    </row>
    <row r="12225">
      <c r="A12225" t="inlineStr">
        <is>
          <t>terredouzepa</t>
        </is>
      </c>
      <c r="B12225">
        <f>HYPERLINK("https://www.dofusbook.net/fr/equipement/1723440-terredouzepa/objets", "link")</f>
        <v/>
      </c>
      <c r="C12225" t="n">
        <v>0</v>
      </c>
      <c r="D12225" t="inlineStr">
        <is>
          <t>Dagues Érhy; Amulette du Strigide; Bague Gloursonne; Alliance de Missiz Frizz; Bouclier du Captain Amakna; Ceinture du Strigide; Casque de Missiz Frizz; Cape au Logis; Bottes du Strigide; Dofus Ocre; Dofus Pourpre; Dofus Abyssal; Dofus Turquoise; Dofus Nébuleux; Dofus des Glaces; Muldo Prune et Emeraude</t>
        </is>
      </c>
    </row>
    <row r="12226">
      <c r="A12226" t="inlineStr">
        <is>
          <t>eau</t>
        </is>
      </c>
      <c r="B12226">
        <f>HYPERLINK("https://www.dofusbook.net/fr/equipement/1638580-eau/objets", "link")</f>
        <v/>
      </c>
      <c r="C12226" t="n">
        <v>0</v>
      </c>
      <c r="D12226" t="inlineStr">
        <is>
          <t>Arc de Koutoulou; Amulette du Strigide; Bague Gloursonne; Alliance Gloursonne; Quatre-feuilles; Ceinture du Strigide; Némès de Tal Kasha; Chevelure de Tal Kasha; Sandales de Tal Kasha; Dofus Pourpre; Dofus Abyssal; Dofus Turquoise; Dofus des Glaces; Dofus Ocre; Dolmanax; Muldo Prune et Emeraude</t>
        </is>
      </c>
    </row>
    <row r="12227">
      <c r="A12227" t="inlineStr">
        <is>
          <t>vita</t>
        </is>
      </c>
      <c r="B12227">
        <f>HYPERLINK("https://www.dofusbook.net/fr/equipement/1543397-vita/objets", "link")</f>
        <v/>
      </c>
      <c r="C12227" t="n">
        <v>0</v>
      </c>
      <c r="D12227" t="inlineStr">
        <is>
          <t>Manthache; Amulette du Strigide; Alliance Gloursonne; Gant du Valet Veinard; Carapar; Menoture; Capuche de Moum-Ra; Cape Indescriptible; Bottes du Strigide; Dofus Abyssal; Dokoko; Dofus Émeraude; Remueur; Nomade; Miraculé majeur; Homlett</t>
        </is>
      </c>
    </row>
    <row r="12228">
      <c r="A12228" t="inlineStr">
        <is>
          <t>feu soin</t>
        </is>
      </c>
      <c r="B12228">
        <f>HYPERLINK("https://www.dofusbook.net/fr/equipement/1611290-feu-soin/objets", "link")</f>
        <v/>
      </c>
      <c r="C12228" t="n">
        <v>0</v>
      </c>
      <c r="D12228" t="inlineStr">
        <is>
          <t>Talisman Igans; Goulano; Alliance Gloursonne; Goulclier; Ceintrigue; Kidibonnet; Cape de Diondin; Bottes Owesli; Dofus Pourpre; Dofus des Glaces; Dofus Turquoise; Dofus Nébuleux; Dofus Ocre; Dofus Abyssal</t>
        </is>
      </c>
    </row>
    <row r="12229">
      <c r="A12229" t="inlineStr">
        <is>
          <t>dfg</t>
        </is>
      </c>
      <c r="B12229">
        <f>HYPERLINK("https://www.dofusbook.net/fr/equipement/1179852-dfg/objets", "link")</f>
        <v/>
      </c>
      <c r="C12229" t="n">
        <v>0</v>
      </c>
      <c r="D12229" t="inlineStr">
        <is>
          <t>Arc de Koutoulou; Amulette du Strigide; Bracelet du Piloztère; Alliance Gloursonne; Quatre-feuilles; Ceinture du Strigide; Némès de Tal Kasha; Chevelure de Tal Kasha; Sandales de Tal Kasha; Dokoko; Dofus Turquoise; Dofus Pourpre; Dofus Ocre; Dofus Émeraude; Dofus des Glaces; Muldo Ebène et Pourpre</t>
        </is>
      </c>
    </row>
    <row r="12230">
      <c r="A12230" t="inlineStr">
        <is>
          <t>gvgh</t>
        </is>
      </c>
      <c r="B12230">
        <f>HYPERLINK("https://www.dofusbook.net/fr/equipement/1143851-gvgh/objets", "link")</f>
        <v/>
      </c>
      <c r="C12230" t="n">
        <v>1</v>
      </c>
      <c r="D12230" t="inlineStr">
        <is>
          <t>Manthache; Collier du Valet Veinard; Gant du Valet Veinard; Alliance Gloursonne; Bouclier d'Ilyzaelle; Menoture; Casque Dragoeuf; Cape Indescriptible; Palmes Trithons; Dofus Pourpre; Dofus des Glaces; Dofus Émeraude; Dokoko; Dofus Ocre; Dofus Abyssal; Muldo Ebène</t>
        </is>
      </c>
    </row>
    <row r="12231">
      <c r="A12231" t="inlineStr">
        <is>
          <t>rdv</t>
        </is>
      </c>
      <c r="B12231">
        <f>HYPERLINK("https://www.dofusbook.net/fr/equipement/1126201-rdv/objets", "link")</f>
        <v/>
      </c>
      <c r="C12231" t="n">
        <v>0</v>
      </c>
      <c r="D12231" t="inlineStr">
        <is>
          <t>Arc Ahique; Amulette du Piloztère; Gelano; Bracelet du Piloztère; Bouclier du Stalak; Ceinture de la Reine des Voleurs; Coiffe de la Reine des Voleurs; Cape au Logis; Pantoufles du Piloztère; Dofus Émeraude; Dokoko; Dofus Ocre; Dofus Abyssal; Dofus Pourpre; Dofus des Glaces; Kramkram</t>
        </is>
      </c>
    </row>
    <row r="12232">
      <c r="A12232" t="inlineStr">
        <is>
          <t>feu</t>
        </is>
      </c>
      <c r="B12232">
        <f>HYPERLINK("https://www.dofusbook.net/fr/equipement/1054648-feu/objets", "link")</f>
        <v/>
      </c>
      <c r="C12232" t="n">
        <v>1</v>
      </c>
      <c r="D12232" t="inlineStr">
        <is>
          <t>Plumeau Bil; Amulette Ementaire Deluxe; Anneau de Nidas; Anneau Rifique; Ceinture Séculaire; Casque Cyclopéen; Voile d'encre; Pataugastrique; Dofus Pourpre; Dofus des Glaces; Dofus Émeraude; Dokoko; Dofus Ocre; Dofus Abyssal; Muldo Pourpre</t>
        </is>
      </c>
    </row>
    <row r="12233">
      <c r="A12233" t="inlineStr">
        <is>
          <t>ploup</t>
        </is>
      </c>
      <c r="B12233">
        <f>HYPERLINK("https://www.dofusbook.net/fr/equipement/1052940-ploup/objets", "link")</f>
        <v/>
      </c>
      <c r="C12233" t="n">
        <v>0</v>
      </c>
      <c r="D12233" t="inlineStr">
        <is>
          <t>Dagues de Srambad; Amulette Ementaire Deluxe; Pikano; Alliance Gloursonne; Ceinture de la Reine des Voleurs; Coiffe de la Reine des Voleurs; Voile d'encre; Pataugastrique; Dofus Ocre; Dofus Abyssal; Dofus Pourpre; Dofus des Glaces; Dofus Émeraude; Dokoko; Muldo Indigo et Pourpre</t>
        </is>
      </c>
    </row>
    <row r="12234">
      <c r="A12234" t="inlineStr">
        <is>
          <t>nidas</t>
        </is>
      </c>
      <c r="B12234">
        <f>HYPERLINK("https://www.dofusbook.net/fr/equipement/1026422-nidas/objets", "link")</f>
        <v/>
      </c>
      <c r="C12234" t="n">
        <v>1</v>
      </c>
      <c r="D12234" t="inlineStr">
        <is>
          <t>Dagues Érhy; Amulette Ementaire Deluxe; Anneau Tique; Anneau de Nidas; Bouclier du Stalak; Ceinture Séculaire; Couronne de Nidas; Voile d'encre; Pataugastrique; Dofus Pourpre; Dokoko; Dofus des Glaces; Dofus Émeraude; Dofus Ocre; Temporiseur majeur; Muldo Orchidée</t>
        </is>
      </c>
    </row>
    <row r="12235">
      <c r="A12235" t="inlineStr">
        <is>
          <t>full feu</t>
        </is>
      </c>
      <c r="B12235">
        <f>HYPERLINK("https://www.dofusbook.net/fr/equipement/1026334-full-feu/objets", "link")</f>
        <v/>
      </c>
      <c r="C12235" t="n">
        <v>0</v>
      </c>
      <c r="D12235" t="inlineStr">
        <is>
          <t>Marteau Phossile; Amulette Ementaire Deluxe; Anneauræus; Anneau Rifique; Bouclier du Stalak; Slip du Roi de Bonta; Casque Cyclopéen; Voile d'encre; Pataugastrique; Dofus Pourpre; Dofus des Glaces; Dofus Émeraude; Dokoko; Dofus Ocre; Dofus Abyssal; Muldo Pourpre</t>
        </is>
      </c>
    </row>
    <row r="12236">
      <c r="A12236" t="inlineStr">
        <is>
          <t>fire</t>
        </is>
      </c>
      <c r="B12236">
        <f>HYPERLINK("https://www.dofusbook.net/fr/equipement/983809-fire/objets", "link")</f>
        <v/>
      </c>
      <c r="C12236" t="n">
        <v>0</v>
      </c>
      <c r="D12236" t="inlineStr">
        <is>
          <t>Arc Nécrotique; Collier de la Dame du Hasard; Anneau Tique; Alliance Gloursonne; Bouclier du Stalak; Ceintrigue; Cape de la Dame du Hasard; Pataugastrique; Dofus Ocre; Dofus Abyssal; Dofus Pourpre; Dofus des Glaces; Dofus Émeraude; Dokoko; Muldo Pourpre</t>
        </is>
      </c>
    </row>
    <row r="12237">
      <c r="A12237" t="inlineStr">
        <is>
          <t>Stuff 3</t>
        </is>
      </c>
      <c r="B12237">
        <f>HYPERLINK("https://www.dofusbook.net/fr/equipement/192680-stuff-3/objets", "link")</f>
        <v/>
      </c>
      <c r="C12237" t="n">
        <v>0</v>
      </c>
      <c r="D12237" t="inlineStr">
        <is>
          <t>Hache du Korriandre; Amulette de l'Indicible; Alliance Gloursonne; Gant du Valet Veinard; Sept ans de malheur; Menoture; Masque du Barbétoal; Cape du Barbétoal; Pataugastrique; Dofus Émeraude; Dokoko; Étourdisseur; Paralyseur majeur; Étourdisseur majeur; Engourdisseur majeur; Muldo Ebène</t>
        </is>
      </c>
    </row>
    <row r="12238">
      <c r="A12238" t="inlineStr">
        <is>
          <t>multit</t>
        </is>
      </c>
      <c r="B12238">
        <f>HYPERLINK("https://www.dofusbook.net/fr/equipement/868832-multit/objets", "link")</f>
        <v/>
      </c>
      <c r="C12238" t="n">
        <v>0</v>
      </c>
      <c r="D12238" t="inlineStr">
        <is>
          <t>Épée Brûlâme; Amulette du Strigide; Bracelet du Piloztère; Alliance Gloursonne; Bouclier Taverne; Ceinture du Strigide; Kidibonnet; Voile d'encre; Pataugastrique; Dofus Pourpre; Dofus des Glaces; Dofus Émeraude; Dolmanax; Dofus Turquoise; Nomade; Kramkram</t>
        </is>
      </c>
    </row>
    <row r="12239">
      <c r="A12239" t="inlineStr">
        <is>
          <t>air</t>
        </is>
      </c>
      <c r="B12239">
        <f>HYPERLINK("https://www.dofusbook.net/fr/equipement/868829-air/objets", "link")</f>
        <v/>
      </c>
      <c r="C12239" t="n">
        <v>0</v>
      </c>
      <c r="D12239" t="inlineStr">
        <is>
          <t>Manthache; Collier du Valet Veinard; Gant du Valet Veinard; Alliance Gloursonne; Bouclier Taverne; Menoture; Casque Dragoeuf; Cape Indescriptible; Palmes Trithons; Dofus Pourpre; Dofus des Glaces; Dofus Émeraude; Dokoko; Dofus Ocre; Dofus Abyssal; Muldo Ebène</t>
        </is>
      </c>
    </row>
    <row r="12240">
      <c r="A12240" t="inlineStr">
        <is>
          <t>FEuu</t>
        </is>
      </c>
      <c r="B12240">
        <f>HYPERLINK("https://www.dofusbook.net/fr/equipement/584001-feuu/objets", "link")</f>
        <v/>
      </c>
      <c r="C12240" t="n">
        <v>0</v>
      </c>
      <c r="D12240" t="inlineStr">
        <is>
          <t>Dagues de Srambad; Amulette Ementaire Deluxe; Alliance Gloursonne; Pikano; Ceinture de la Reine des Voleurs; Coiffe de la Reine des Voleurs; Voile d'encre; Pataugastrique; Dokoko; Dofus Émeraude; Dofus Abyssal; Dofus Ocre; Dofus des Glaces; Nomade; Kramkram</t>
        </is>
      </c>
    </row>
    <row r="12241">
      <c r="A12241" t="inlineStr">
        <is>
          <t>FEU</t>
        </is>
      </c>
      <c r="B12241">
        <f>HYPERLINK("https://www.dofusbook.net/fr/equipement/579958-feu/objets", "link")</f>
        <v/>
      </c>
      <c r="C12241" t="n">
        <v>0</v>
      </c>
      <c r="D12241" t="inlineStr">
        <is>
          <t>Dagoulinantes; Amulette de Shokkoth; Anneau Crustique; Alliance Gloursonne; Menoture; Masque du Barbétoal; Cape Matelassée; Sandales de Tal Kasha; Dofus Pourpre; Dokoko; Dofus Émeraude; Dofus Abyssal; Paralyseur majeur; Étourdisseur majeur; Muldo Roux et Amande</t>
        </is>
      </c>
    </row>
    <row r="12242">
      <c r="A12242" t="inlineStr">
        <is>
          <t>Stuff 3</t>
        </is>
      </c>
      <c r="B12242">
        <f>HYPERLINK("https://www.dofusbook.net/fr/equipement/192690-stuff-3/objets", "link")</f>
        <v/>
      </c>
      <c r="C12242" t="n">
        <v>0</v>
      </c>
      <c r="D12242" t="inlineStr">
        <is>
          <t>Dagoulinantes; Amulette de Shokkoth; Bracelet des Fonds marins; Alliance Gloursonne; Sept ans de malheur; Menoture; Kidibonnet; Chevelure de Tal Kasha; Sandales de Tal Kasha; Dofus des Glaces; Dofus Émeraude; Dofus Turquoise; Dofus Pourpre; Carapace Eau majeur; Carapace Air majeur; Muldo Indigo et Pourpre</t>
        </is>
      </c>
    </row>
    <row r="12243">
      <c r="A12243" t="inlineStr">
        <is>
          <t>Stuff 1</t>
        </is>
      </c>
      <c r="B12243">
        <f>HYPERLINK("https://www.dofusbook.net/fr/equipement/192685-stuff-1/objets", "link")</f>
        <v/>
      </c>
      <c r="C12243" t="n">
        <v>0</v>
      </c>
      <c r="D12243" t="inlineStr">
        <is>
          <t>Dagoulinantes; Amulette de Shokkoth; Alliance Gloursonne; Bracelet des Fonds marins; Poulpagne; Kidibonnet; Chevelure de Tal Kasha; Sandales des Fonds marins; Dofus Émeraude; Dofus Pourpre; Dofus des Glaces; Dofus Turquoise; Carapace Air majeur; Carapace Terre majeur; Muldo Ebène et Indigo</t>
        </is>
      </c>
    </row>
    <row r="12244">
      <c r="A12244" t="inlineStr">
        <is>
          <t>Stuff 2</t>
        </is>
      </c>
      <c r="B12244">
        <f>HYPERLINK("https://www.dofusbook.net/fr/equipement/192679-stuff-2/objets", "link")</f>
        <v/>
      </c>
      <c r="C12244" t="n">
        <v>0</v>
      </c>
      <c r="D12244" t="inlineStr">
        <is>
          <t>Dagues Érhy; Amulette du Strigide; Bague Gloursonne; Bracelet du Piloztère; Ceinture du Strigide; Coiffe de la Reine des Voleurs; Cape au Logis; Sabots Minables; Dolmanax; Dofus Turquoise; Dofus Pourpre; Dofus des Glaces; Remueur; Vigoureux majeur; Kramkram</t>
        </is>
      </c>
    </row>
    <row r="12245">
      <c r="A12245" t="inlineStr">
        <is>
          <t>Stuff 2</t>
        </is>
      </c>
      <c r="B12245">
        <f>HYPERLINK("https://www.dofusbook.net/fr/equipement/192692-stuff-2/objets", "link")</f>
        <v/>
      </c>
      <c r="C12245" t="n">
        <v>2</v>
      </c>
      <c r="D12245" t="inlineStr">
        <is>
          <t>Epée Gloursonne; Amulette du Sinistrofu; Bague Gloursonne; Alliance Gloursonne; Ceinture de la Reine des Voleurs; Coiffe de la Reine des Voleurs; Cape du Sinistrofu; Bottes du Sinistrofu; Dolmanax; Dofus Turquoise; Dofus des Glaces; Dofus Émeraude; Dofus Ocre; Dofus Pourpre; Muldo Ebène et Pourpre</t>
        </is>
      </c>
    </row>
    <row r="12246">
      <c r="A12246" t="inlineStr">
        <is>
          <t>Stuff 2</t>
        </is>
      </c>
      <c r="B12246">
        <f>HYPERLINK("https://www.dofusbook.net/fr/equipement/192689-stuff-2/objets", "link")</f>
        <v/>
      </c>
      <c r="C12246" t="n">
        <v>0</v>
      </c>
      <c r="D12246" t="inlineStr">
        <is>
          <t>Dagoulinantes; Amulette du Sinistrofu; Alliance Gloursonne; Bracelet du Piloztère; Poulpagne; Casque Dragoeuf; Cape Matelassée; Bottes du Sinistrofu; Dofus Émeraude; Dofus Pourpre; Dofus des Glaces; Carapace Eau majeur; Cavaleur majeur; Étourdisseur majeur; Muldo Ebène et Indigo</t>
        </is>
      </c>
    </row>
    <row r="12247">
      <c r="A12247" t="inlineStr">
        <is>
          <t>Stuff 1</t>
        </is>
      </c>
      <c r="B12247">
        <f>HYPERLINK("https://www.dofusbook.net/fr/equipement/192684-stuff-1/objets", "link")</f>
        <v/>
      </c>
      <c r="C12247" t="n">
        <v>2</v>
      </c>
      <c r="D12247" t="inlineStr">
        <is>
          <t>Dagues Érhy; Amulette du Strigide; Bague Gloursonne; Anneau de Brouce; Ceinture du Strigide; Casque de Missiz Frizz; Cape au Logis; Sabots Minables; Dofus Turquoise; Remueur; Miraculé majeur; Nomade; Vigoureux majeur; Enragé majeur; Kramkram</t>
        </is>
      </c>
    </row>
    <row r="12248">
      <c r="A12248" t="inlineStr">
        <is>
          <t>Stuff 1</t>
        </is>
      </c>
      <c r="B12248">
        <f>HYPERLINK("https://www.dofusbook.net/fr/equipement/192678-stuff-1/objets", "link")</f>
        <v/>
      </c>
      <c r="C12248" t="n">
        <v>0</v>
      </c>
      <c r="D12248" t="inlineStr">
        <is>
          <t>Marteau des égarés; Amulette du Strigide; Bracelet du Piloztère; Alliance Gloursonne; Bouclier du Captain Amakna; Ceinture du Strigide; Kidibonnet; Voile d'encre; Pataugastrique; Dofus Pourpre; Dofus des Glaces; Dolmanax; Dofus Turquoise; Vigoureux majeur; Cascadeur majeur; Muldo Roux et Amande</t>
        </is>
      </c>
    </row>
    <row r="12249">
      <c r="A12249" t="inlineStr">
        <is>
          <t>Stuff 1</t>
        </is>
      </c>
      <c r="B12249">
        <f>HYPERLINK("https://www.dofusbook.net/fr/equipement/192685-stuff-1/objets", "link")</f>
        <v/>
      </c>
      <c r="C12249" t="n">
        <v>0</v>
      </c>
      <c r="D12249" t="inlineStr">
        <is>
          <t>Dagoulinantes; Amulette de Shokkoth; Alliance Gloursonne; Bracelet des Fonds marins; Poulpagne; Kidibonnet; Chevelure de Tal Kasha; Sandales des Fonds marins; Dofus Émeraude; Dofus Pourpre; Dofus des Glaces; Dofus Turquoise; Carapace Air majeur; Carapace Terre majeur; Muldo Ebène et Indigo</t>
        </is>
      </c>
    </row>
    <row r="12250">
      <c r="A12250" t="inlineStr">
        <is>
          <t>Stuff 2</t>
        </is>
      </c>
      <c r="B12250">
        <f>HYPERLINK("https://www.dofusbook.net/fr/equipement/192679-stuff-2/objets", "link")</f>
        <v/>
      </c>
      <c r="C12250" t="n">
        <v>0</v>
      </c>
      <c r="D12250" t="inlineStr">
        <is>
          <t>Dagues Érhy; Amulette du Strigide; Bracelet du Piloztère; Bague Gloursonne; Ceinture du Strigide; Coiffe de la Reine des Voleurs; Cape au Logis; Sabots Minables; Dofus Turquoise; Dofus Pourpre; Dofus des Glaces; Dolmanax; Remueur; Vigoureux majeur; Kramkram</t>
        </is>
      </c>
    </row>
    <row r="12251">
      <c r="A12251" t="inlineStr">
        <is>
          <t>Stuff 2</t>
        </is>
      </c>
      <c r="B12251">
        <f>HYPERLINK("https://www.dofusbook.net/fr/equipement/192692-stuff-2/objets", "link")</f>
        <v/>
      </c>
      <c r="C12251" t="n">
        <v>2</v>
      </c>
      <c r="D12251" t="inlineStr">
        <is>
          <t>Epée Gloursonne; Amulette du Sinistrofu; Bague Gloursonne; Alliance Gloursonne; Ceinture de la Reine des Voleurs; Coiffe de la Reine des Voleurs; Cape du Sinistrofu; Bottes du Sinistrofu; Dofus Ocre; Dofus Pourpre; Dolmanax; Dofus Turquoise; Dofus des Glaces; Dofus Émeraude; Muldo Ebène et Pourpre</t>
        </is>
      </c>
    </row>
    <row r="12252">
      <c r="A12252" t="inlineStr">
        <is>
          <t>Stuff 2</t>
        </is>
      </c>
      <c r="B12252">
        <f>HYPERLINK("https://www.dofusbook.net/fr/equipement/192689-stuff-2/objets", "link")</f>
        <v/>
      </c>
      <c r="C12252" t="n">
        <v>0</v>
      </c>
      <c r="D12252" t="inlineStr">
        <is>
          <t>Dagoulinantes; Amulette du Sinistrofu; Alliance Gloursonne; Bracelet du Piloztère; Poulpagne; Casque Dragoeuf; Cape Matelassée; Bottes du Sinistrofu; Dofus Pourpre; Dofus des Glaces; Dofus Émeraude; Cavaleur majeur; Étourdisseur majeur; Carapace Eau majeur; Muldo Ebène et Indigo</t>
        </is>
      </c>
    </row>
    <row r="12253">
      <c r="A12253" t="inlineStr">
        <is>
          <t>Stuff 1</t>
        </is>
      </c>
      <c r="B12253">
        <f>HYPERLINK("https://www.dofusbook.net/fr/equipement/192684-stuff-1/objets", "link")</f>
        <v/>
      </c>
      <c r="C12253" t="n">
        <v>2</v>
      </c>
      <c r="D12253" t="inlineStr">
        <is>
          <t>Dagues Érhy; Amulette du Strigide; Bague Gloursonne; Anneau de Brouce; Ceinture du Strigide; Casque de Missiz Frizz; Cape au Logis; Sabots Minables; Dofus Turquoise; Miraculé majeur; Nomade; Vigoureux majeur; Enragé majeur; Remueur; Kramkram</t>
        </is>
      </c>
    </row>
    <row r="12254">
      <c r="A12254" t="inlineStr">
        <is>
          <t>Stuff 1</t>
        </is>
      </c>
      <c r="B12254">
        <f>HYPERLINK("https://www.dofusbook.net/fr/equipement/192678-stuff-1/objets", "link")</f>
        <v/>
      </c>
      <c r="C12254" t="n">
        <v>0</v>
      </c>
      <c r="D12254" t="inlineStr">
        <is>
          <t>Marteau des égarés; Amulette du Strigide; Alliance Gloursonne; Bracelet du Piloztère; Bouclier du Captain Amakna; Ceinture du Strigide; Kidibonnet; Voile d'encre; Pataugastrique; Dofus Turquoise; Dofus Pourpre; Dofus des Glaces; Dolmanax; Cascadeur majeur; Vigoureux majeur; Muldo Roux et Amande</t>
        </is>
      </c>
    </row>
    <row r="12255">
      <c r="A12255" t="inlineStr">
        <is>
          <t>toucheee</t>
        </is>
      </c>
      <c r="B12255">
        <f>HYPERLINK("https://www.dofusbook.net/fr/equipement/2272606-toucheee/objets", "link")</f>
        <v/>
      </c>
      <c r="C12255" t="n">
        <v>0</v>
      </c>
      <c r="D12255" t="inlineStr"/>
    </row>
    <row r="12256">
      <c r="A12256" t="inlineStr">
        <is>
          <t>sqdqf</t>
        </is>
      </c>
      <c r="B12256">
        <f>HYPERLINK("https://www.dofusbook.net/fr/equipement/1689193-sqdqf/objets", "link")</f>
        <v/>
      </c>
      <c r="C12256" t="n">
        <v>0</v>
      </c>
      <c r="D12256" t="inlineStr">
        <is>
          <t>Epée Kari; Amulette Cætera; Anneau Chevelu; Anneau Bliteré; Ceinture Toré; Casque Harnage; Voile d'encre; Bottes Répané</t>
        </is>
      </c>
    </row>
    <row r="12257">
      <c r="A12257" t="inlineStr">
        <is>
          <t>Stuff 1</t>
        </is>
      </c>
      <c r="B12257">
        <f>HYPERLINK("https://www.dofusbook.net/fr/equipement/1347785-stuff-1/objets", "link")</f>
        <v/>
      </c>
      <c r="C12257" t="n">
        <v>0</v>
      </c>
      <c r="D12257" t="inlineStr">
        <is>
          <t>Sabres d'Atcham; Amulette du Strigide; Alliance Gloursonne; Anneau de Pol Ouatnos; Ceintacé; Dorabysses; Cape d'Atcham; Pataugastrique; Dofus des Glaces; Dofus Turquoise; Remueur; Étourdisseur majeur; Obstructeur majeur; Kramkram</t>
        </is>
      </c>
    </row>
    <row r="12258">
      <c r="A12258" t="inlineStr">
        <is>
          <t>Stuff 3</t>
        </is>
      </c>
      <c r="B12258">
        <f>HYPERLINK("https://www.dofusbook.net/fr/equipement/1347774-stuff-3/objets", "link")</f>
        <v/>
      </c>
      <c r="C12258" t="n">
        <v>2</v>
      </c>
      <c r="D12258" t="inlineStr">
        <is>
          <t>Marteau Phossile; Amulette du Strigide; Anneau Rifique; Alliance Gloursonne; Ceintacé; Cagoule de Vortex; Voile d'encre; Sabots de Vortex; Dofus Turquoise; Dofus Pourpre; Étourdisseur majeur; Remueur; Nomade; Vigoureux majeur; Dragodinde en armure</t>
        </is>
      </c>
    </row>
    <row r="12259">
      <c r="A12259" t="inlineStr">
        <is>
          <t>Stuff 1</t>
        </is>
      </c>
      <c r="B12259">
        <f>HYPERLINK("https://www.dofusbook.net/fr/equipement/1347787-stuff-1/objets", "link")</f>
        <v/>
      </c>
      <c r="C12259" t="n">
        <v>0</v>
      </c>
      <c r="D12259" t="inlineStr">
        <is>
          <t>Arc Nécrotique; Amulette du Strigide; Bague Gloursonne; Kralano; Ceinture du Strigide; Casqnoar; Voile d'encre; Pataugastrique; Dofus Turquoise; Nomade; Chanceux majeur; Remueur; Érudit majeur; Vigoureux majeur; Dragodinde Prune et Emeraude</t>
        </is>
      </c>
    </row>
    <row r="12260">
      <c r="A12260" t="inlineStr">
        <is>
          <t>Stuff 1</t>
        </is>
      </c>
      <c r="B12260">
        <f>HYPERLINK("https://www.dofusbook.net/fr/equipement/1347782-stuff-1/objets", "link")</f>
        <v/>
      </c>
      <c r="C12260" t="n">
        <v>1</v>
      </c>
      <c r="D12260" t="inlineStr">
        <is>
          <t>Marteau des Anciens Steamers; Amulette d'Hel Munster; Bracelet du Piloztère; Alliance Gloursonne; Ceintacé; Coiffe d'Hel Munster; Cape du Chalœil; Bottes Voldelor; Dofus Pourpre; Dévastateur Air majeur; Nomade; Vigoureux majeur; Dévastateur Eau majeur; Remueur; Kramkram</t>
        </is>
      </c>
    </row>
    <row r="12261">
      <c r="A12261" t="inlineStr">
        <is>
          <t>Stuff 2</t>
        </is>
      </c>
      <c r="B12261">
        <f>HYPERLINK("https://www.dofusbook.net/fr/equipement/1347784-stuff-2/objets", "link")</f>
        <v/>
      </c>
      <c r="C12261" t="n">
        <v>0</v>
      </c>
      <c r="D12261" t="inlineStr">
        <is>
          <t>Rapière aux Glyphes; Amulette Voldelor; Alliance Gloursonne; Bracelet des Fonds marins; Sangle Ouare; Kidibonnet; Cape du Sinistrofu; Pataugastrique; Chanceux majeur; Nomade; Entraveur majeur; Remueur; Observateur; Temporiseur majeur; Kramkram</t>
        </is>
      </c>
    </row>
    <row r="12262">
      <c r="A12262" t="inlineStr">
        <is>
          <t>Stuff 2</t>
        </is>
      </c>
      <c r="B12262">
        <f>HYPERLINK("https://www.dofusbook.net/fr/equipement/1347786-stuff-2/objets", "link")</f>
        <v/>
      </c>
      <c r="C12262" t="n">
        <v>5</v>
      </c>
      <c r="D12262" t="inlineStr">
        <is>
          <t>Sabres d'Atcham; Amulette Ementaire Deluxe; Alliance Gloursonne; Bracelet du Piloztère; Ceintacé; Casque Dragoeuf; Voile d'encre; Sandales  d'Atcham; Obstructeur majeur; Remueur; Étourdisseur majeur; Carapace Terre majeur; Carapace Air majeur; Nomade; Dragodinde en armure</t>
        </is>
      </c>
    </row>
    <row r="12263">
      <c r="A12263" t="inlineStr">
        <is>
          <t>Stuff 1</t>
        </is>
      </c>
      <c r="B12263">
        <f>HYPERLINK("https://www.dofusbook.net/fr/equipement/1347788-stuff-1/objets", "link")</f>
        <v/>
      </c>
      <c r="C12263" t="n">
        <v>1</v>
      </c>
      <c r="D12263" t="inlineStr">
        <is>
          <t>Karnak; Amulette du Granduk; Gant du Valet Veinard; Alliance Gloursonne; Ceinture Rasboulaire du Rasboul; Masque du Granduk; Cape de Klime; Baleinabottes; Dofus Turquoise; Dofus Pourpre; Nomade; Cascadeur majeur; Vigoureux majeur; Remueur; Kramkram</t>
        </is>
      </c>
    </row>
    <row r="12264">
      <c r="A12264" t="inlineStr">
        <is>
          <t>Stuff 1</t>
        </is>
      </c>
      <c r="B12264">
        <f>HYPERLINK("https://www.dofusbook.net/fr/equipement/1347783-stuff-1/objets", "link")</f>
        <v/>
      </c>
      <c r="C12264" t="n">
        <v>0</v>
      </c>
      <c r="D12264" t="inlineStr">
        <is>
          <t>Baguette Hique; Amulette Cryochrone; Alliance du Lévitrof; Bracelet du Piloztère; Ceinture du Glourséleste; Masque du Glourséleste; Voilamibe; Pataugastrique; Entraveur majeur; Nomade; Temporiseur majeur; Remueur; Vigoureux majeur; Chanceux majeur; Kramkram</t>
        </is>
      </c>
    </row>
    <row r="12265">
      <c r="A12265" t="inlineStr">
        <is>
          <t>Stuff 2</t>
        </is>
      </c>
      <c r="B12265">
        <f>HYPERLINK("https://www.dofusbook.net/fr/equipement/1347769-stuff-2/objets", "link")</f>
        <v/>
      </c>
      <c r="C12265" t="n">
        <v>0</v>
      </c>
      <c r="D12265" t="inlineStr">
        <is>
          <t>Pelle Vice; Talisman Igans; Alliance Gloursonne; Anneau Kturne; Ceintrigue; Coiffe Cryochrone; Cape des Justiciers; Pataugastrique; Dofus Pourpre; Féroce majeur; Robuste majeur; Nomade; Remueur; Vigoureux majeur; Dragodinde en armure</t>
        </is>
      </c>
    </row>
    <row r="12266">
      <c r="A12266" t="inlineStr">
        <is>
          <t>Stuff 1</t>
        </is>
      </c>
      <c r="B12266">
        <f>HYPERLINK("https://www.dofusbook.net/fr/equipement/1347771-stuff-1/objets", "link")</f>
        <v/>
      </c>
      <c r="C12266" t="n">
        <v>0</v>
      </c>
      <c r="D12266" t="inlineStr">
        <is>
          <t>Rapière aux Glyphes; Amulette de Danathor; Anneau Glacial; Alliance Gloursonne; Poulpagne; Coiffe de Danathor; Cape Matelassée; Sandales Circulaires du Kimbo; Dofus Pourpre; Dévastateur Eau majeur; Nomade; Chanceux majeur; Remueur; Vigoureux majeur; Kramkram</t>
        </is>
      </c>
    </row>
    <row r="12267">
      <c r="A12267" t="inlineStr">
        <is>
          <t>Stuff 2</t>
        </is>
      </c>
      <c r="B12267">
        <f>HYPERLINK("https://www.dofusbook.net/fr/equipement/1347763-stuff-2/objets", "link")</f>
        <v/>
      </c>
      <c r="C12267" t="n">
        <v>2</v>
      </c>
      <c r="D12267" t="inlineStr">
        <is>
          <t>Rapière aux Glyphes; Amulette du Sinistrofu; Bracelet du Piloztère; Alliance Gloursonne; Sangle Cible; Coiffe de Danathor; Cape du Sinistrofu; Pataugastrique; Dofus Turquoise; Vigoureux majeur; Chanceux majeur; Remueur; Taquin majeur; Nomade; Kramkram</t>
        </is>
      </c>
    </row>
    <row r="12268">
      <c r="A12268" t="inlineStr">
        <is>
          <t>Stuff 2</t>
        </is>
      </c>
      <c r="B12268">
        <f>HYPERLINK("https://www.dofusbook.net/fr/equipement/1347773-stuff-2/objets", "link")</f>
        <v/>
      </c>
      <c r="C12268" t="n">
        <v>1</v>
      </c>
      <c r="D12268" t="inlineStr">
        <is>
          <t>Pelle de la Cour Sombre; Collier du Valet Veinard; Anneau de Pol Ouatnos; Alliance Gloursonne; Menoture; Cagoule de Vortex; Cape du Valet Veinard; Palmes Trithons; Dolmanax; Étourdisseur majeur; Obstructeur majeur; Cascadeur majeur; Carapace Air majeur; Remueur; Dragodinde en armure</t>
        </is>
      </c>
    </row>
    <row r="12269">
      <c r="A12269" t="inlineStr">
        <is>
          <t>Stuff 1</t>
        </is>
      </c>
      <c r="B12269">
        <f>HYPERLINK("https://www.dofusbook.net/fr/equipement/1347768-stuff-1/objets", "link")</f>
        <v/>
      </c>
      <c r="C12269" t="n">
        <v>0</v>
      </c>
      <c r="D12269" t="inlineStr">
        <is>
          <t>Pelle Vice; Amulette Cryochrone; Alliance Gloursonne; Alliance du Lévitrof; Ceintrigue; Coiffe Cryochrone; Cape Matelassée; Bottes de Théodoran Ax; Dofus Pourpre; Dofus des Glaces; Érudit majeur; Vigoureux majeur; Remueur; Nomade; Kramkram</t>
        </is>
      </c>
    </row>
    <row r="12270">
      <c r="A12270" t="inlineStr">
        <is>
          <t>Stuff 3</t>
        </is>
      </c>
      <c r="B12270">
        <f>HYPERLINK("https://www.dofusbook.net/fr/equipement/1347770-stuff-3/objets", "link")</f>
        <v/>
      </c>
      <c r="C12270" t="n">
        <v>0</v>
      </c>
      <c r="D12270" t="inlineStr">
        <is>
          <t>Arc Nécrotique; Talisman Igans; Anneau Cryochrone; Anneau Kturne; Ceintrigue; Chapeau des Malveilleurs; Cape des Justiciers; Pataugastrique; Vigoureux majeur; Nomade; Robuste majeur; Féroce majeur; Voyageur; Remueur; Kramkram</t>
        </is>
      </c>
    </row>
    <row r="12271">
      <c r="A12271" t="inlineStr">
        <is>
          <t>Stuff 1</t>
        </is>
      </c>
      <c r="B12271">
        <f>HYPERLINK("https://www.dofusbook.net/fr/equipement/1347762-stuff-1/objets", "link")</f>
        <v/>
      </c>
      <c r="C12271" t="n">
        <v>1</v>
      </c>
      <c r="D12271" t="inlineStr">
        <is>
          <t>Dagues Ricol; Amulette d'Otomaï; Anneau de Padgref; Bague Gloursonne; Ceinture Séculaire; Bonnet Ko; Voile d'encre; Bottes d'Otomaï; Dofus Pourpre; Érudit majeur; Voyageur; Nomade; Remueur; Astucieux majeur; Dragodinde Prune et Emeraude</t>
        </is>
      </c>
    </row>
    <row r="12272">
      <c r="A12272" t="inlineStr">
        <is>
          <t>Stuff 1</t>
        </is>
      </c>
      <c r="B12272">
        <f>HYPERLINK("https://www.dofusbook.net/fr/equipement/1347772-stuff-1/objets", "link")</f>
        <v/>
      </c>
      <c r="C12272" t="n">
        <v>1</v>
      </c>
      <c r="D12272" t="inlineStr">
        <is>
          <t>Dagues Érhy; Collier de Tourthon; Anneau Crustique; Anneau Chevelu; Ceintouse; Masque de Koutoulou; Cape au Logis; Tentassons; Dofus Pourpre; Remueur; Carapace Terre majeur; Obstructeur majeur; Étourdisseur majeur; Enragé majeur; Dragodinde en armure</t>
        </is>
      </c>
    </row>
    <row r="12273">
      <c r="A12273" t="inlineStr">
        <is>
          <t>Stuff 1</t>
        </is>
      </c>
      <c r="B12273">
        <f>HYPERLINK("https://www.dofusbook.net/fr/equipement/1347768-stuff-1/objets", "link")</f>
        <v/>
      </c>
      <c r="C12273" t="n">
        <v>0</v>
      </c>
      <c r="D12273" t="inlineStr">
        <is>
          <t>Pelle Vice; Amulette Cryochrone; Alliance du Lévitrof; Alliance Gloursonne; Ceintrigue; Coiffe Cryochrone; Cape Matelassée; Bottes de Théodoran Ax; Dofus Pourpre; Dofus des Glaces; Érudit majeur; Vigoureux majeur; Remueur; Nomade; Kramkram</t>
        </is>
      </c>
    </row>
    <row r="12274">
      <c r="A12274" t="inlineStr">
        <is>
          <t>Ouginak M 200</t>
        </is>
      </c>
      <c r="B12274">
        <f>HYPERLINK("https://www.dofusbook.net/fr/equipement/4452696-ouginak-m-200/objets", "link")</f>
        <v/>
      </c>
      <c r="C12274" t="n">
        <v>0</v>
      </c>
      <c r="D12274" t="inlineStr">
        <is>
          <t>Rouleau à Pâtisserie d'Aermyne; Collier Rophante; Alliance Gloursonne; Anneau de Pol Ouatnos; Sept ans de malheur; Ceintacé; Casque Dragoeuf; Cape d'Aermyne; Pataugastrique; Fonceur majeur; Miraculé majeur; Carapace Eau majeur; Remueur; Carapace Feu majeur; Obstructeur majeur; Givrefoux</t>
        </is>
      </c>
    </row>
    <row r="12275">
      <c r="A12275" t="inlineStr">
        <is>
          <t>ggg</t>
        </is>
      </c>
      <c r="B12275">
        <f>HYPERLINK("https://www.dofusbook.net/fr/equipement/2357236-ggg/objets", "link")</f>
        <v/>
      </c>
      <c r="C12275" t="n">
        <v>4</v>
      </c>
      <c r="D12275" t="inlineStr">
        <is>
          <t>Arc corrompu; Amulette de Nileza; Anneauræus; Anneauræus; Bouclier du Cycloïde; Croture; Heaume Oplate; Cape de Nileza; Bottes Innommables; Érudit majeur; Nomade; Docteur majeur; Remueur; Astucieux majeur; Guérisseur majeur; Bisouglours</t>
        </is>
      </c>
    </row>
    <row r="12276">
      <c r="A12276" t="inlineStr">
        <is>
          <t>Sram M 200</t>
        </is>
      </c>
      <c r="B12276">
        <f>HYPERLINK("https://www.dofusbook.net/fr/equipement/5213833-sram-m-200/objets", "link")</f>
        <v/>
      </c>
      <c r="C12276" t="n">
        <v>0</v>
      </c>
      <c r="D12276" t="inlineStr">
        <is>
          <t>Dagues d'Ilyzaelle; Amulette du Strigide; Bague Gloursonne; Anneau Crustique; Bouclier du Captain Amakna; Ceinture de Brouce; Masque de Koutoulou; Cape au Logis; Bottes de Brouce; Dofus Turquoise; Dofus Pourpre; Forcené majeur; Remueur; Carapace Terre majeur; Enragé majeur; Pioute vert</t>
        </is>
      </c>
    </row>
    <row r="12277">
      <c r="A12277" t="inlineStr">
        <is>
          <t>Ecaflip M 200</t>
        </is>
      </c>
      <c r="B12277">
        <f>HYPERLINK("https://www.dofusbook.net/fr/equipement/4285636-ecaflip-m-200/objets", "link")</f>
        <v/>
      </c>
      <c r="C12277" t="n">
        <v>1</v>
      </c>
      <c r="D12277" t="inlineStr"/>
    </row>
    <row r="12278">
      <c r="A12278" t="inlineStr">
        <is>
          <t>Iop M 200</t>
        </is>
      </c>
      <c r="B12278">
        <f>HYPERLINK("https://www.dofusbook.net/fr/equipement/4928896-iop-m-200/objets", "link")</f>
        <v/>
      </c>
      <c r="C12278" t="n">
        <v>0</v>
      </c>
      <c r="D12278" t="inlineStr"/>
    </row>
    <row r="12279">
      <c r="A12279" t="inlineStr">
        <is>
          <t>Iop M 200</t>
        </is>
      </c>
      <c r="B12279">
        <f>HYPERLINK("https://www.dofusbook.net/fr/equipement/4317174-iop-m-200/objets", "link")</f>
        <v/>
      </c>
      <c r="C12279" t="n">
        <v>1</v>
      </c>
      <c r="D12279" t="inlineStr">
        <is>
          <t>Dagues d'Ilyzaelle; Amulette du Strigide; Anneau Chevelu; Bague Gloursonne; Bouclier du Captain Amakna; Ceinture du Strigide; Chapoulpe; Cape au Logis; Baleinabottes; Dofus Turquoise; Dofus Pourpre; Dofus des Glaces; Nomade; Vigoureux majeur; Remueur; Kokulte</t>
        </is>
      </c>
    </row>
    <row r="12280">
      <c r="A12280" t="inlineStr">
        <is>
          <t>Eau</t>
        </is>
      </c>
      <c r="B12280">
        <f>HYPERLINK("https://www.dofusbook.net/fr/equipement/3259787-eau/objets", "link")</f>
        <v/>
      </c>
      <c r="C12280" t="n">
        <v>0</v>
      </c>
      <c r="D12280" t="inlineStr">
        <is>
          <t>Baguette Héroclite; Amulette de l'Œil Attentif; Bracelet des Fonds marins; Alliance Gloursonne; Bouclier d'Ilyzaelle; Poulpagne; Capuche de l'Œil Attentif; Cape de l'Œil Attentif; Sandales des Fonds marins; Dofus Pourpre; Dofus Abyssal; Dofus Turquoise; Dofus Ivoire; Dofus Ocre; Dofus des Glaces</t>
        </is>
      </c>
    </row>
    <row r="12281">
      <c r="A12281" t="inlineStr">
        <is>
          <t>Terre ret pm dritias</t>
        </is>
      </c>
      <c r="B12281">
        <f>HYPERLINK("https://www.dofusbook.net/fr/equipement/3166320-terre-ret-pm-dritias/objets", "link")</f>
        <v/>
      </c>
      <c r="C12281" t="n">
        <v>10</v>
      </c>
      <c r="D12281" t="inlineStr">
        <is>
          <t>Dagues d'Ilyzaelle; Amulette du Strigide; Pikano; Chevalière du Roi Joueur; Quatre-feuilles; Ceintacé; Casquipik; Voile d'encre; Bottes du Cœur Saignant; Dofus Turquoise; Dofus Ivoire; Dofus Pourpre; Dofus des Glaces; Enragé majeur; Remueur; Muldo Pourpre</t>
        </is>
      </c>
    </row>
    <row r="12282">
      <c r="A12282" t="inlineStr">
        <is>
          <t>terre ret pm</t>
        </is>
      </c>
      <c r="B12282">
        <f>HYPERLINK("https://www.dofusbook.net/fr/equipement/3159418-terre-ret-pm/objets", "link")</f>
        <v/>
      </c>
      <c r="C12282" t="n">
        <v>1</v>
      </c>
      <c r="D12282" t="inlineStr">
        <is>
          <t>Arc du Chalœil; Amulette du Cœur Saignant; Anneau Chevelu; Chevalière du Roi Joueur; Quatre-feuilles; Culotte de Bethel; Couronne du Roi Joueur; Cape du Cœur Saignant; Bottes du Cœur Saignant; Dofus Pourpre; Dofus des Glaces; Dofus Turquoise; Dofus Ivoire; Dofus Ocre; Dofus Nébuleux; Muldo Indigo et Pourpre</t>
        </is>
      </c>
    </row>
    <row r="12283">
      <c r="A12283" t="inlineStr">
        <is>
          <t>Eau/Feu/ret pm</t>
        </is>
      </c>
      <c r="B12283">
        <f>HYPERLINK("https://www.dofusbook.net/fr/equipement/3157652-eau-feu-ret-pm/objets", "link")</f>
        <v/>
      </c>
      <c r="C12283" t="n">
        <v>2</v>
      </c>
      <c r="D12283" t="inlineStr">
        <is>
          <t>Arc Nécrotique; Amulette du Strigide; Anneau Tique; Alliance Gloursonne; Bouclier cubiste; Ceinture du Strigide; Casquette de Meno; Cape de Meno; Bottes de Meno; Dofus Ocre; Dofus Ivoire; Dofus Pourpre; Dofus des Glaces; Dofus Turquoise; Dolmanax; Muldo Prune et Orchidée</t>
        </is>
      </c>
    </row>
    <row r="12284">
      <c r="A12284" t="inlineStr">
        <is>
          <t>Feur/air</t>
        </is>
      </c>
      <c r="B12284">
        <f>HYPERLINK("https://www.dofusbook.net/fr/equipement/3157638-feur-air/objets", "link")</f>
        <v/>
      </c>
      <c r="C12284" t="n">
        <v>0</v>
      </c>
      <c r="D12284" t="inlineStr">
        <is>
          <t>Pendentif mignon de Koutoulou; Anneau Rifique; Casque Cyclopéen</t>
        </is>
      </c>
    </row>
    <row r="12285">
      <c r="A12285" t="inlineStr">
        <is>
          <t>Eau pvp</t>
        </is>
      </c>
      <c r="B12285">
        <f>HYPERLINK("https://www.dofusbook.net/fr/equipement/2966599-eau-pvp/objets", "link")</f>
        <v/>
      </c>
      <c r="C12285" t="n">
        <v>0</v>
      </c>
      <c r="D12285" t="inlineStr">
        <is>
          <t>Rapière aux Glyphes; Amulette de l'Œil Attentif; Bracelet des Fonds marins; Alliance Gloursonne; Sept ans de malheur; Poulpagne; Casque Dragoeuf; Chevelure de Tal Kasha; Sandales de Tal Kasha; Dofus Turquoise; Dofus Pourpre; Dofus Ivoire; Remueur; Chanceux majeur; Étourdisseur majeur; Muldo Ebène et Indigo</t>
        </is>
      </c>
    </row>
    <row r="12286">
      <c r="A12286" t="inlineStr">
        <is>
          <t>Eau Air</t>
        </is>
      </c>
      <c r="B12286">
        <f>HYPERLINK("https://www.dofusbook.net/fr/equipement/2966505-eau-air/objets", "link")</f>
        <v/>
      </c>
      <c r="C12286" t="n">
        <v>0</v>
      </c>
      <c r="D12286" t="inlineStr">
        <is>
          <t>Arc de Koutoulou; Amulette du Strigide; Alliance Gloursonne; Anneau Toriété; Quatre-feuilles; Ceinture du Barbétoal; Némès de Tal Kasha; Chevelure de Tal Kasha; Pataugastrique; Dofus Pourpre; Dofus des Glaces; Dofus Turquoise; Dofus Abyssal; Dofus Ocre; Dofus Ivoire</t>
        </is>
      </c>
    </row>
    <row r="12287">
      <c r="A12287" t="inlineStr">
        <is>
          <t>Air</t>
        </is>
      </c>
      <c r="B12287">
        <f>HYPERLINK("https://www.dofusbook.net/fr/equipement/2895245-air/objets", "link")</f>
        <v/>
      </c>
      <c r="C12287" t="n">
        <v>0</v>
      </c>
      <c r="D12287" t="inlineStr">
        <is>
          <t>Héqache; Collier du Valet Veinard; Alliance Gloursonne; Gant du Valet Veinard; Bouclier du Stalak; Menoture; Casque Dragoeuf; Cape du Kamasterisk; Palmes Trithons; Dofus Pourpre; Dofus des Glaces; Dofus Ivoire; Remueur; Vigoureux majeur; Cascadeur majeur; Muldo Ebène</t>
        </is>
      </c>
    </row>
    <row r="12288">
      <c r="A12288" t="inlineStr">
        <is>
          <t>Air</t>
        </is>
      </c>
      <c r="B12288">
        <f>HYPERLINK("https://www.dofusbook.net/fr/equipement/2890242-air/objets", "link")</f>
        <v/>
      </c>
      <c r="C12288" t="n">
        <v>0</v>
      </c>
      <c r="D12288" t="inlineStr">
        <is>
          <t>Manthache; Collier du Valet Veinard; Alliance Gloursonne; Gant du Valet Veinard; Bouclier du Stalak; Menoture; Casque Dragoeuf; Cape Indescriptible; Palmes Trithons; Dofus des Glaces; Dofus Ivoire; Dofus Pourpre; Cascadeur majeur; Remueur; Vigoureux majeur; Muldo Ebène</t>
        </is>
      </c>
    </row>
    <row r="12289">
      <c r="A12289" t="inlineStr">
        <is>
          <t>terre</t>
        </is>
      </c>
      <c r="B12289">
        <f>HYPERLINK("https://www.dofusbook.net/fr/equipement/2887498-terre/objets", "link")</f>
        <v/>
      </c>
      <c r="C12289" t="n">
        <v>49</v>
      </c>
      <c r="D12289" t="inlineStr">
        <is>
          <t>Marteau R'ture; Amulette du Strigide; Bague Gloursonne; Anneau Chevelu; Bouclier d'Ilyzaelle; Ceinture de la Cour Sombre; Masque de Koutoulou; Cape au Logis; Bottes de la Cour Sombre; Dofus Pourpre; Dofus Ivoire; Dofus Abyssal; Dofus Turquoise; Enragé majeur; Remueur; Croum</t>
        </is>
      </c>
    </row>
    <row r="12290">
      <c r="A12290" t="inlineStr">
        <is>
          <t>eau feu</t>
        </is>
      </c>
      <c r="B12290">
        <f>HYPERLINK("https://www.dofusbook.net/fr/equipement/2846405-eau-feu/objets", "link")</f>
        <v/>
      </c>
      <c r="C12290" t="n">
        <v>2</v>
      </c>
      <c r="D12290" t="inlineStr">
        <is>
          <t>Arc Nécrotique; Amulette du Strigide; Alliance Gloursonne; Bague Gloursonne; Quatre-feuilles; Ceinture du Strigide; Kidibonnet; Cape de la Dame du Hasard; Bottes de la Dame du Hasard; Dofus des Glaces; Dofus Turquoise; Dolmanax; Dofus Pourpre; Dofus Ivoire; Dofus Ocre; Muldo Indigo et Orchidée</t>
        </is>
      </c>
    </row>
    <row r="12291">
      <c r="A12291" t="inlineStr">
        <is>
          <t>Terre/Eau</t>
        </is>
      </c>
      <c r="B12291">
        <f>HYPERLINK("https://www.dofusbook.net/fr/equipement/2846327-terre-eau/objets", "link")</f>
        <v/>
      </c>
      <c r="C12291" t="n">
        <v>0</v>
      </c>
      <c r="D12291" t="inlineStr">
        <is>
          <t>Épouvante; Amulette Luminescente; Bague Gloursonne; Alliance Gloursonne; Bouclier d'Ilyzaelle; Ceinture Luminescente; Masque de Funespadon; Cape Luminescente; Chaussons de Macrab; Dofus Abyssal; Dofus Turquoise; Dofus Ivoire; Dofus Pourpre; Dofus Émeraude; Dofus Ocre; Muldo Ebène et Pourpre</t>
        </is>
      </c>
    </row>
    <row r="12292">
      <c r="A12292" t="inlineStr">
        <is>
          <t>Air</t>
        </is>
      </c>
      <c r="B12292">
        <f>HYPERLINK("https://www.dofusbook.net/fr/equipement/2742934-air/objets", "link")</f>
        <v/>
      </c>
      <c r="C12292" t="n">
        <v>0</v>
      </c>
      <c r="D12292" t="inlineStr">
        <is>
          <t>Lance Horselé; Amulette du Cœur Vaillant; Alliance Gloursonne; Bouclier du Stalak; Menoture; Némès de Tal Kasha; Chevelure de Tal Kasha; Sandales de Tal Kasha; Dofus des Glaces; Dofus Turquoise; Dofus Ocre; Dofus Abyssal; Dofus Pourpre; Dofus Ivoire; Muldo Ebène</t>
        </is>
      </c>
    </row>
    <row r="12293">
      <c r="A12293" t="inlineStr">
        <is>
          <t>Feu/eau/air</t>
        </is>
      </c>
      <c r="B12293">
        <f>HYPERLINK("https://www.dofusbook.net/fr/equipement/2151407-feu-eau-air/objets", "link")</f>
        <v/>
      </c>
      <c r="C12293" t="n">
        <v>2</v>
      </c>
      <c r="D12293" t="inlineStr">
        <is>
          <t>Baguette Range; Amulette du Strigide; Alliance Gloursonne; Anneau de Padgref; Quatre-feuilles; Ceinture du Strigide; Coiffe de Padgref; Voile d'encre; Getas de Padgref; Dofus Pourpre; Dofus des Glaces; Dofus Turquoise; Dofus Ivoire; Dolmanax; Dofus Ocre; Muldo Prune et Emeraude</t>
        </is>
      </c>
    </row>
    <row r="12294">
      <c r="A12294" t="inlineStr">
        <is>
          <t>Terre</t>
        </is>
      </c>
      <c r="B12294">
        <f>HYPERLINK("https://www.dofusbook.net/fr/equipement/2618342-terre/objets", "link")</f>
        <v/>
      </c>
      <c r="C12294" t="n">
        <v>1</v>
      </c>
      <c r="D12294" t="inlineStr">
        <is>
          <t>Héqache; Amulette du Cœur Saignant; Anneau Crustique; Bague Gloursonne; Quatre-feuilles; Ceinture Luminescente; Coiffe de la Reine des Voleurs; Cape du Cœur Saignant; Baleinabottes; Dofus des Glaces; Dolmanax; Dofus Pourpre; Dofus Turquoise; Remueur; Enragé majeur; Muldo Orchidée et Pourpre</t>
        </is>
      </c>
    </row>
    <row r="12295">
      <c r="A12295" t="inlineStr">
        <is>
          <t>Feu soutien</t>
        </is>
      </c>
      <c r="B12295">
        <f>HYPERLINK("https://www.dofusbook.net/fr/equipement/2617908-feu-soutien/objets", "link")</f>
        <v/>
      </c>
      <c r="C12295" t="n">
        <v>1</v>
      </c>
      <c r="D12295" t="inlineStr">
        <is>
          <t>Arc Hétype; Pendentif mignon de Koutoulou; Anneauræus; Anneauræus; Quatre-feuilles; Ceinture de Vortex; Casque Cyclopéen; Voile d'encre; Pataugastrique; Dofus Ivoire; Dofus Abyssal; Dofus Pourpre; Dofus Turquoise; Remueur; Érudit majeur; Muldo Orchidée et Pourpre</t>
        </is>
      </c>
    </row>
    <row r="12296">
      <c r="A12296" t="inlineStr">
        <is>
          <t>terre-air corrompu</t>
        </is>
      </c>
      <c r="B12296">
        <f>HYPERLINK("https://www.dofusbook.net/fr/equipement/2611716-terre-air-corrompu/objets", "link")</f>
        <v/>
      </c>
      <c r="C12296" t="n">
        <v>0</v>
      </c>
      <c r="D12296" t="inlineStr">
        <is>
          <t>Lance corrompue; Amulette du Kamasterisk; Alliance Gloursonne; Bague Gloursonne; Bouclier d'Ilyzaelle; Ceinture de la Reine des Voleurs; Coiffe de la Reine des Voleurs; Cape du Kamasterisk; Bottes du Kamasterisk; Dofus Ocre; Dofus Abyssal; Dolmanax; Dofus Émeraude; Dofus Pourpre; Dofus des Glaces; Muldo Ebène</t>
        </is>
      </c>
    </row>
    <row r="12297">
      <c r="A12297" t="inlineStr">
        <is>
          <t>Terre pvp</t>
        </is>
      </c>
      <c r="B12297">
        <f>HYPERLINK("https://www.dofusbook.net/fr/equipement/2574598-terre-pvp/objets", "link")</f>
        <v/>
      </c>
      <c r="C12297" t="n">
        <v>0</v>
      </c>
      <c r="D12297" t="inlineStr">
        <is>
          <t>Lance corrompue; Amulette du Kamasterisk; Alliance Gloursonne; Bague Gloursonne; Bouclier d'Ilyzaelle; Ceinture de la Reine des Voleurs; Coiffe de la Reine des Voleurs; Cape du Kamasterisk; Bottes du Kamasterisk; Dofus des Glaces; Dofus Ocre; Dolmanax; Dofus Abyssal; Dofus Pourpre; Muldo Ebène</t>
        </is>
      </c>
    </row>
    <row r="12298">
      <c r="A12298" t="inlineStr">
        <is>
          <t>Terre pvp</t>
        </is>
      </c>
      <c r="B12298">
        <f>HYPERLINK("https://www.dofusbook.net/fr/equipement/2427875-terre-pvp/objets", "link")</f>
        <v/>
      </c>
      <c r="C12298" t="n">
        <v>0</v>
      </c>
      <c r="D12298" t="inlineStr">
        <is>
          <t>Lav'Hache; Amulette du Strigide; Anneau Crustique; Alliance Gloursonne; Bouclier d'Ilyzaelle; Menoture; Chapoulpe; Voile d'encre; Tentassons; Dofus Émeraude; Dofus Ivoire; Étourdisseur majeur; Miraculé majeur; Remueur; Carapace Eau majeur; Muldo Ebène</t>
        </is>
      </c>
    </row>
    <row r="12299">
      <c r="A12299" t="inlineStr">
        <is>
          <t>terre-air corrompu</t>
        </is>
      </c>
      <c r="B12299">
        <f>HYPERLINK("https://www.dofusbook.net/fr/equipement/2562757-terre-air-corrompu/objets", "link")</f>
        <v/>
      </c>
      <c r="C12299" t="n">
        <v>0</v>
      </c>
      <c r="D12299" t="inlineStr">
        <is>
          <t>Lance corrompue; Amulette du Kamasterisk; Bague Gloursonne; Alliance Gloursonne; Bouclier alvéolé; Ceinture de la Reine des Voleurs; Coiffe de la Reine des Voleurs; Cape du Kamasterisk; Bottes du Kamasterisk; Dofus Émeraude; Dofus Pourpre; Dofus des Glaces; Dofus Ocre; Dofus Abyssal; Dofus Ivoire; Muldo Ebène</t>
        </is>
      </c>
    </row>
    <row r="12300">
      <c r="A12300" t="inlineStr">
        <is>
          <t>Feu d équa</t>
        </is>
      </c>
      <c r="B12300">
        <f>HYPERLINK("https://www.dofusbook.net/fr/equipement/2556578-feu-d-equa/objets", "link")</f>
        <v/>
      </c>
      <c r="C12300" t="n">
        <v>18</v>
      </c>
      <c r="D12300" t="inlineStr">
        <is>
          <t>Arc corrompu; Pendentif mignon de Koutoulou; Anneauræus; Anneauræus; Quatre-feuilles; Ceinture de Vortex; Casque Cyclopéen; Voile d'encre; Pataugastrique; Dofus Ivoire; Dofus Pourpre; Dofus Turquoise; Remueur; Étourdisseur majeur; Érudit majeur; Muldo Orchidée et Pourpre</t>
        </is>
      </c>
    </row>
    <row r="12301">
      <c r="A12301" t="inlineStr">
        <is>
          <t>Air CC</t>
        </is>
      </c>
      <c r="B12301">
        <f>HYPERLINK("https://www.dofusbook.net/fr/equipement/2556139-air-cc/objets", "link")</f>
        <v/>
      </c>
      <c r="C12301" t="n">
        <v>0</v>
      </c>
      <c r="D12301" t="inlineStr">
        <is>
          <t>Héqache; Amibou; Alliance Gloursonne; Gant du Valet Veinard; Quatre-feuilles; Menoture; Casque Dragoeuf; Capibou; Palmes Trithons; Dofus Ivoire; Dofus Pourpre; Dofus Turquoise; Vigoureux majeur; Cascadeur majeur; Remueur; Muldo Ebène</t>
        </is>
      </c>
    </row>
    <row r="12302">
      <c r="A12302" t="inlineStr">
        <is>
          <t>Air</t>
        </is>
      </c>
      <c r="B12302">
        <f>HYPERLINK("https://www.dofusbook.net/fr/equipement/2552915-air/objets", "link")</f>
        <v/>
      </c>
      <c r="C12302" t="n">
        <v>2</v>
      </c>
      <c r="D12302" t="inlineStr">
        <is>
          <t>Manthache; Collier du Valet Veinard; Alliance Gloursonne; Gant du Valet Veinard; Bouclier du Stalak; Menoture; Casque Dragoeuf; Cape Indescriptible; Palmes Trithons; Dofus des Glaces; Dofus Ivoire; Dofus Pourpre; Cascadeur majeur; Remueur; Vigoureux majeur; Muldo Ebène</t>
        </is>
      </c>
    </row>
    <row r="12303">
      <c r="A12303" t="inlineStr">
        <is>
          <t>Do crit</t>
        </is>
      </c>
      <c r="B12303">
        <f>HYPERLINK("https://www.dofusbook.net/fr/equipement/2151344-do-crit/objets", "link")</f>
        <v/>
      </c>
      <c r="C12303" t="n">
        <v>1</v>
      </c>
      <c r="D12303" t="inlineStr">
        <is>
          <t>Sabres d'Atcham; Amulette du Strigide; Anneau de Padgref; Alliance Gloursonne; Quatre-feuilles; Ceinture du Strigide; Coiffe de Padgref; Voile d'encre; Getas de Padgref; Dofus Turquoise; Dolmanax; Dofus Ocre; Dofus Pourpre; Dofus des Glaces; Muldo Prune et Emeraude</t>
        </is>
      </c>
    </row>
    <row r="12304">
      <c r="A12304" t="inlineStr">
        <is>
          <t>Terre distance arc</t>
        </is>
      </c>
      <c r="B12304">
        <f>HYPERLINK("https://www.dofusbook.net/fr/equipement/2553342-terre-distance-arc/objets", "link")</f>
        <v/>
      </c>
      <c r="C12304" t="n">
        <v>0</v>
      </c>
      <c r="D12304" t="inlineStr">
        <is>
          <t>Lav'Hache; Amulette de Gein; Anneau Crustique; Anneau Chevelu; Quatre-feuilles; Ceinture Gence; Chapeau de Gein; Voile d'encre; Bottes de la Cour Sombre; Dofus des Glaces; Dofus Pourpre; Dofus Turquoise; Nomade; Remueur; Enragé majeur; Kramkram</t>
        </is>
      </c>
    </row>
    <row r="12305">
      <c r="A12305" t="inlineStr">
        <is>
          <t>pvp</t>
        </is>
      </c>
      <c r="B12305">
        <f>HYPERLINK("https://www.dofusbook.net/fr/equipement/2254072-pvp/objets", "link")</f>
        <v/>
      </c>
      <c r="C12305" t="n">
        <v>0</v>
      </c>
      <c r="D12305" t="inlineStr">
        <is>
          <t>Arc corrompu; Pendentif mignon de Koutoulou; Anneauræus; Anneauræus; Quatre-feuilles; Ceinture de Vortex; Casque Cyclopéen; Voile d'encre; Pataugastrique; Dofus des Glaces; Dofus Pourpre; Dofus Turquoise; Dofus Ivoire; Érudit majeur; Remueur; Muldo Orchidée et Pourpre</t>
        </is>
      </c>
    </row>
    <row r="12306">
      <c r="A12306" t="inlineStr">
        <is>
          <t>terre/air</t>
        </is>
      </c>
      <c r="B12306">
        <f>HYPERLINK("https://www.dofusbook.net/fr/equipement/2427167-terre-air/objets", "link")</f>
        <v/>
      </c>
      <c r="C12306" t="n">
        <v>0</v>
      </c>
      <c r="D12306" t="inlineStr">
        <is>
          <t>Héqache; Amulette du Strigide; Alliance Gloursonne; Anneau Crustique; Bouclier d'Ilyzaelle; Menoture; Chapoulpe; Voile d'encre; Tentassons; Dofus Émeraude; Dofus Abyssal; Dofus Pourpre; Dofus Turquoise; Dofus des Glaces; Remueur; Muldo Ebène</t>
        </is>
      </c>
    </row>
    <row r="12307">
      <c r="A12307" t="inlineStr">
        <is>
          <t>Terre full pano</t>
        </is>
      </c>
      <c r="B12307">
        <f>HYPERLINK("https://www.dofusbook.net/fr/equipement/2142993-terre-full-pano/objets", "link")</f>
        <v/>
      </c>
      <c r="C12307" t="n">
        <v>1</v>
      </c>
      <c r="D12307" t="inlineStr">
        <is>
          <t>Héqache; Amulette du Cœur Saignant; Anneau Crustique; Anneau Crustique; Quatre-feuilles; Ceinture de la Cour Sombre; Casque Dragoeuf; Cape de la Cour Sombre; Bottes de la Cour Sombre; Dofus Turquoise; Dofus Abyssal; Dofus Ocre; Dofus Ivoire; Dofus Pourpre; Dofus des Glaces; Muldo Pourpre</t>
        </is>
      </c>
    </row>
    <row r="12308">
      <c r="A12308" t="inlineStr">
        <is>
          <t>Eau/feu</t>
        </is>
      </c>
      <c r="B12308">
        <f>HYPERLINK("https://www.dofusbook.net/fr/equipement/2143130-eau-feu/objets", "link")</f>
        <v/>
      </c>
      <c r="C12308" t="n">
        <v>0</v>
      </c>
      <c r="D12308" t="inlineStr">
        <is>
          <t>Épée Brûlâme; Amulette Cryochrone; Pataugastrique</t>
        </is>
      </c>
    </row>
    <row r="12309">
      <c r="A12309" t="inlineStr">
        <is>
          <t>Eau trophee</t>
        </is>
      </c>
      <c r="B12309">
        <f>HYPERLINK("https://www.dofusbook.net/fr/equipement/178133-eau-trophee/objets", "link")</f>
        <v/>
      </c>
      <c r="C12309" t="n">
        <v>0</v>
      </c>
      <c r="D12309" t="inlineStr">
        <is>
          <t>Baguette Héroclite; Amulette du Strigide; Alliance Gloursonne; Bracelet des Fonds marins; Bouclier Taverne; Poulpagne; Casque Dragoeuf; Cape de Mantaze; Sandales des Fonds marins; Dofus Abyssal; Dofus Turquoise; Dofus Pourpre; Dofus Émeraude; Chanceux majeur; Remueur; Muldo Indigo</t>
        </is>
      </c>
    </row>
    <row r="12310">
      <c r="A12310" t="inlineStr">
        <is>
          <t>Terre</t>
        </is>
      </c>
      <c r="B12310">
        <f>HYPERLINK("https://www.dofusbook.net/fr/equipement/178131-terre/objets", "link")</f>
        <v/>
      </c>
      <c r="C12310" t="n">
        <v>3</v>
      </c>
      <c r="D12310" t="inlineStr">
        <is>
          <t>Héqache; Amulette du Strigide; Bague Gloursonne; Anneau Crustique; Quatre-feuilles; Ceinture de la Cour Sombre; Casque Dragoeuf; Cape de la Cour Sombre; Baleinabottes; Dofus Pourpre; Dolmanax; Dofus Abyssal; Dofus Turquoise; Remueur; Enragé majeur; Muldo Orchidée et Pourpre</t>
        </is>
      </c>
    </row>
    <row r="12311">
      <c r="A12311" t="inlineStr">
        <is>
          <t>bielem</t>
        </is>
      </c>
      <c r="B12311">
        <f>HYPERLINK("https://www.dofusbook.net/fr/equipement/1941144-bielem/objets", "link")</f>
        <v/>
      </c>
      <c r="C12311" t="n">
        <v>0</v>
      </c>
      <c r="D12311" t="inlineStr">
        <is>
          <t>Lance corrompue; Amulette de Nevark; Anneau des égarés; Alliance Gloursonne; Bouclier alvéolé; Ceinture de Nevark; Casque des égarés; Cape de Nevark; Bottes des égarés; Dofus Abyssal; Dofus Pourpre; Dofus des Glaces; Dofus Ocre; Dofus Ivoire; Robuste majeur; Muldo Ebène et Pourpre</t>
        </is>
      </c>
    </row>
    <row r="12312">
      <c r="A12312" t="inlineStr">
        <is>
          <t>Feu PVM</t>
        </is>
      </c>
      <c r="B12312">
        <f>HYPERLINK("https://www.dofusbook.net/fr/equipement/1636147-feu-pvm/objets", "link")</f>
        <v/>
      </c>
      <c r="C12312" t="n">
        <v>0</v>
      </c>
      <c r="D12312" t="inlineStr">
        <is>
          <t>Arc corrompu; Amulette d'Otomaï; Baguistik; Anneauræus; Quatre-feuilles; Ceinture Séculaire; Coiffe Séculaire; Voile d'encre; Pataugastrique; Dofus Pourpre; Dolmanax; Dofus Turquoise; Érudit majeur; Remueur; Astucieux majeur; Muldo Orchidée</t>
        </is>
      </c>
    </row>
    <row r="12313">
      <c r="A12313" t="inlineStr">
        <is>
          <t>Stuff 1</t>
        </is>
      </c>
      <c r="B12313">
        <f>HYPERLINK("https://www.dofusbook.net/fr/equipement/1164046-stuff-1/objets", "link")</f>
        <v/>
      </c>
      <c r="C12313" t="n">
        <v>0</v>
      </c>
      <c r="D12313" t="inlineStr">
        <is>
          <t>Rapière aux Glyphes; Amulette du Strigide; Bracelet des Fonds marins; Alliance Gloursonne; Bouclier Taverne; Poulpagne; Casque Dragoeuf; Cape de Mantaze; Sandales des Fonds marins; Dofus Émeraude; Dolmanax; Dofus Turquoise; Chanceux majeur; Miraculé majeur; Remueur; Muldo Indigo</t>
        </is>
      </c>
    </row>
    <row r="12314">
      <c r="A12314" t="inlineStr">
        <is>
          <t>Psy</t>
        </is>
      </c>
      <c r="B12314">
        <f>HYPERLINK("https://www.dofusbook.net/fr/equipement/1164022-psy/objets", "link")</f>
        <v/>
      </c>
      <c r="C12314" t="n">
        <v>0</v>
      </c>
      <c r="D12314" t="inlineStr"/>
    </row>
    <row r="12315">
      <c r="A12315" t="inlineStr">
        <is>
          <t>Naishe</t>
        </is>
      </c>
      <c r="B12315">
        <f>HYPERLINK("https://www.dofusbook.net/fr/equipement/1157037-naishe/objets", "link")</f>
        <v/>
      </c>
      <c r="C12315" t="n">
        <v>0</v>
      </c>
      <c r="D12315" t="inlineStr">
        <is>
          <t>Héqache; Collier du Valet Veinard; Gant du Valet Veinard; Alliance Gloursonne; Bouclier du Stalak; Menoture; Masque d'Anerice; Cape Indescriptible; Palmes Trithons; Dofus Abyssal; Dofus Pourpre; Dofus Ocre; Cascadeur majeur; Carapace Neutre majeur; Muldo Ebène</t>
        </is>
      </c>
    </row>
    <row r="12316">
      <c r="A12316" t="inlineStr">
        <is>
          <t>eau/air</t>
        </is>
      </c>
      <c r="B12316">
        <f>HYPERLINK("https://www.dofusbook.net/fr/equipement/918965-eau-air/objets", "link")</f>
        <v/>
      </c>
      <c r="C12316" t="n">
        <v>1</v>
      </c>
      <c r="D12316" t="inlineStr">
        <is>
          <t>Arc de Koutoulou; Amulette du Strigide; Pikano; Alliance Gloursonne; Quatre-feuilles; Ceinture Voldelor; Kidibonnet; Chevelure de Tal Kasha; Bottes Voldelor; Dofus Turquoise; Dofus des Glaces; Dolmanax; Dofus Pourpre; Remueur; Nomade; Muldo Ebène et Indigo</t>
        </is>
      </c>
    </row>
    <row r="12317">
      <c r="A12317" t="inlineStr">
        <is>
          <t>PvM</t>
        </is>
      </c>
      <c r="B12317">
        <f>HYPERLINK("https://www.dofusbook.net/fr/equipement/814232-pvm/objets", "link")</f>
        <v/>
      </c>
      <c r="C12317" t="n">
        <v>0</v>
      </c>
      <c r="D12317" t="inlineStr">
        <is>
          <t>Sabres d'Atcham; Amulette du Strigide; Anneau Tique; Alliance Gloursonne; Quatre-feuilles; Ceintacé; Chapeau des Malveilleurs; Voile d'encre; Bottes du Strigide; Dofus Turquoise; Dolmanax; Dofus Ocre; Dofus Pourpre; Dofus des Glaces; Nomade; Muldo Prune et Emeraude</t>
        </is>
      </c>
    </row>
    <row r="12318">
      <c r="A12318" t="inlineStr">
        <is>
          <t>Feu/air</t>
        </is>
      </c>
      <c r="B12318">
        <f>HYPERLINK("https://www.dofusbook.net/fr/equipement/684818-feu-air/objets", "link")</f>
        <v/>
      </c>
      <c r="C12318" t="n">
        <v>0</v>
      </c>
      <c r="D12318" t="inlineStr">
        <is>
          <t>Canne Harr; Amulette du Strigide; Alliance Gloursonne; Anneau de Padgref; Quatre-feuilles; Ceinture du Strigide; Coiffe de Padgref; Voile d'encre; Getas de Padgref; Dofus Ocre; Dolmanax; Dofus Pourpre; Dofus des Glaces; Dofus Abyssal; Dofus Turquoise; Muldo Ebène et Indigo</t>
        </is>
      </c>
    </row>
    <row r="12319">
      <c r="A12319" t="inlineStr">
        <is>
          <t>Air</t>
        </is>
      </c>
      <c r="B12319">
        <f>HYPERLINK("https://www.dofusbook.net/fr/equipement/670633-air/objets", "link")</f>
        <v/>
      </c>
      <c r="C12319" t="n">
        <v>6</v>
      </c>
      <c r="D12319" t="inlineStr">
        <is>
          <t>Manthache; Collier du Valet Veinard; Gant du Valet Veinard; Alliance Gloursonne; Bouclier d'Ilyzaelle; Menoture; Casque Dragoeuf; Cape Indescriptible; Palmes Trithons; Dofus Pourpre; Dofus Ivoire; Dofus Émeraude; Dofus Abyssal; Cascadeur majeur; Remueur; Muldo Ebène</t>
        </is>
      </c>
    </row>
    <row r="12320">
      <c r="A12320" t="inlineStr">
        <is>
          <t>Sagesse</t>
        </is>
      </c>
      <c r="B12320">
        <f>HYPERLINK("https://www.dofusbook.net/fr/equipement/499232-sagesse/objets", "link")</f>
        <v/>
      </c>
      <c r="C12320" t="n">
        <v>0</v>
      </c>
      <c r="D12320" t="inlineStr">
        <is>
          <t>Arc Hétype; Amulette du Glourséleste; Anneau Instable; Anneau Tamie; Bouclier cubiste; Ceinture Instable; Maskrobe; Cape Matelassée; Pantoufles Émar; Remueur; Temporiseur; Ralentisseur majeur; Temporiseur majeur; Entraveur; Entraveur majeur; Gwo Tofu Ventripotent</t>
        </is>
      </c>
    </row>
    <row r="12321">
      <c r="A12321" t="inlineStr">
        <is>
          <t>Stuff 3</t>
        </is>
      </c>
      <c r="B12321">
        <f>HYPERLINK("https://www.dofusbook.net/fr/equipement/178140-stuff-3/objets", "link")</f>
        <v/>
      </c>
      <c r="C12321" t="n">
        <v>2</v>
      </c>
      <c r="D12321" t="inlineStr">
        <is>
          <t>Manthache; Collier du Valet Veinard; Alliance Gloursonne; Gant du Valet Veinard; Bouclier Taverne; Menoture; Casque Dragoeuf; Cape Indescriptible; Baleinabottes; Dofus Émeraude; Dofus Abyssal; Dofus Pourpre; Cascadeur majeur; Nomade; Carapace Neutre majeur; Muldo Ebène</t>
        </is>
      </c>
    </row>
    <row r="12322">
      <c r="A12322" t="inlineStr">
        <is>
          <t>Stuff 2</t>
        </is>
      </c>
      <c r="B12322">
        <f>HYPERLINK("https://www.dofusbook.net/fr/equipement/178136-stuff-2/objets", "link")</f>
        <v/>
      </c>
      <c r="C12322" t="n">
        <v>0</v>
      </c>
      <c r="D12322" t="inlineStr">
        <is>
          <t>Baguette de Malléfisk; Amulette d'Otomaï; Anneau Tique; Anneau de Nidas; Ougature; Couronne de Nidas; Cape de Diondin; Bottes Innommables; Dolmanax; Érudit majeur; Remueur; Carapace Feu majeur; Guérisseur majeur; Carapace Eau majeur; Muldo Orchidée et Pourpre</t>
        </is>
      </c>
    </row>
    <row r="12323">
      <c r="A12323" t="inlineStr">
        <is>
          <t>Stuff 2</t>
        </is>
      </c>
      <c r="B12323">
        <f>HYPERLINK("https://www.dofusbook.net/fr/equipement/178127-stuff-2/objets", "link")</f>
        <v/>
      </c>
      <c r="C12323" t="n">
        <v>0</v>
      </c>
      <c r="D12323" t="inlineStr">
        <is>
          <t>Hache du Chalœil; Amulette du Strigide; Alliance Gloursonne; Anneau Chevelu; Ceinture du Strigide; Masque de Koutoulou; Voile d'encre; Bottes du Roi Joueur; Dofus Turquoise; Dofus des Glaces; Dolmanax; Dofus Pourpre; Remueur; Nomade; Kramkram</t>
        </is>
      </c>
    </row>
    <row r="12324">
      <c r="A12324" t="inlineStr">
        <is>
          <t>Stuff 2</t>
        </is>
      </c>
      <c r="B12324">
        <f>HYPERLINK("https://www.dofusbook.net/fr/equipement/178139-stuff-2/objets", "link")</f>
        <v/>
      </c>
      <c r="C12324" t="n">
        <v>2</v>
      </c>
      <c r="D12324" t="inlineStr">
        <is>
          <t>Pelle de la Cour Sombre; Amulette Voldelor; Gant du Valet Veinard; Alliance Gloursonne; Menoture; Casque Dragoeuf; Cape du Valet Veinard; Palmes Trithons; Dofus Pourpre; Dofus Émeraude; Dofus Abyssal; Nomade; Remueur; Cascadeur majeur; Muldo Ebène et Orchidée</t>
        </is>
      </c>
    </row>
    <row r="12325">
      <c r="A12325" t="inlineStr">
        <is>
          <t>Stuff 1</t>
        </is>
      </c>
      <c r="B12325">
        <f>HYPERLINK("https://www.dofusbook.net/fr/equipement/178135-stuff-1/objets", "link")</f>
        <v/>
      </c>
      <c r="C12325" t="n">
        <v>0</v>
      </c>
      <c r="D12325" t="inlineStr">
        <is>
          <t>Baguette de Malléfisk; Amulette d'Otomaï; Anneau de Nidas; Anneau Tique; Quatre-feuilles; Ougature; Couronne de Nidas; Cape de Diondin; Bottes Innommables; Dofus Turquoise; Dolmanax; Dofus Ivoire; Dofus Pourpre; Érudit majeur; Remueur; Muldo Orchidée et Pourpre</t>
        </is>
      </c>
    </row>
    <row r="12326">
      <c r="A12326" t="inlineStr">
        <is>
          <t>Stuff 1</t>
        </is>
      </c>
      <c r="B12326">
        <f>HYPERLINK("https://www.dofusbook.net/fr/equipement/178126-stuff-1/objets", "link")</f>
        <v/>
      </c>
      <c r="C12326" t="n">
        <v>0</v>
      </c>
      <c r="D12326" t="inlineStr">
        <is>
          <t>Épouvante; Amulette Luminescente; Pikano; Alliance Gloursonne; Ceinture de la Reine des Voleurs; Coiffe d'Ogivol; Cape Luminescente; Baleinabottes; Dofus Turquoise; Dolmanax; Dofus Pourpre; Remueur; Nomade; Vigoureux majeur; Kramkram</t>
        </is>
      </c>
    </row>
    <row r="12327">
      <c r="A12327" t="inlineStr">
        <is>
          <t>Stuff 3</t>
        </is>
      </c>
      <c r="B12327">
        <f>HYPERLINK("https://www.dofusbook.net/fr/equipement/178137-stuff-3/objets", "link")</f>
        <v/>
      </c>
      <c r="C12327" t="n">
        <v>0</v>
      </c>
      <c r="D12327" t="inlineStr">
        <is>
          <t>Baguette de Malléfisk; Pendentif mignon de Koutoulou; Anneau de Nidas; Bague Gloursonne; Carapar; Ceinture de Vortex; Casque Cyclopéen; Cape de Diondin; Bottes Dogues; Dolmanax; Astucieux majeur; Érudit majeur; Érudit; Remueur; Savant majeur; Kramkram</t>
        </is>
      </c>
    </row>
    <row r="12328">
      <c r="A12328" t="inlineStr">
        <is>
          <t>Stuff 3</t>
        </is>
      </c>
      <c r="B12328">
        <f>HYPERLINK("https://www.dofusbook.net/fr/equipement/178128-stuff-3/objets", "link")</f>
        <v/>
      </c>
      <c r="C12328" t="n">
        <v>0</v>
      </c>
      <c r="D12328" t="inlineStr">
        <is>
          <t>Baguette des égarés; Amulette du Strigide; Pikano; Bracelet du Piloztère; Ceinture de la Reine des Voleurs; Coiffe de la Reine des Voleurs; Cape Ovri; Baleinabottes; Dolmanax; Dofus Pourpre; Dofus Turquoise; Nomade; Vigoureux majeur; Remueur; Kramkram</t>
        </is>
      </c>
    </row>
    <row r="12329">
      <c r="A12329" t="inlineStr">
        <is>
          <t>Eliotrope M</t>
        </is>
      </c>
      <c r="B12329">
        <f>HYPERLINK("https://www.dofusbook.net/fr/equipement/4007799-eliotrope-m-/objets", "link")</f>
        <v/>
      </c>
      <c r="C12329" t="n">
        <v>0</v>
      </c>
      <c r="D12329" t="inlineStr"/>
    </row>
    <row r="12330">
      <c r="A12330" t="inlineStr">
        <is>
          <t>Ouginak F</t>
        </is>
      </c>
      <c r="B12330">
        <f>HYPERLINK("https://www.dofusbook.net/fr/equipement/4007763-ouginak-f/objets", "link")</f>
        <v/>
      </c>
      <c r="C12330" t="n">
        <v>1</v>
      </c>
      <c r="D12330" t="inlineStr">
        <is>
          <t>Arc de Koutoulou; Amulette du Strigide; Gant du Valet Veinard; Alliance Gloursonne; Bouclier Taverne; Ceinture Voldelor; Némès de Tal Kasha; Chevelure de Tal Kasha; Pataugastrique; Dofus Pourpre; Dofus Turquoise; Dofus des Glaces; Dofus Ocre; Nomade; Vigoureux majeur; Chacha Angora</t>
        </is>
      </c>
    </row>
    <row r="12331">
      <c r="A12331" t="inlineStr">
        <is>
          <t>Enutrof M 200</t>
        </is>
      </c>
      <c r="B12331">
        <f>HYPERLINK("https://www.dofusbook.net/fr/equipement/4006272-enutrof-m-200/objets", "link")</f>
        <v/>
      </c>
      <c r="C12331" t="n">
        <v>0</v>
      </c>
      <c r="D12331" t="inlineStr">
        <is>
          <t>Baguette Hique; Collier de la Dame du Hasard; Alliance Gloursonne; Anneau Tamie; Bouclier cubiste; Ceinture de Kongoku; Kidibonnet; Cape de la Dame du Hasard; Bottes de Meno; Dofus Pourpre; Dofus Turquoise; Dofus des Glaces; Temporiseur majeur; Nomade; Remueur; Gwo Tofu Ventripotent</t>
        </is>
      </c>
    </row>
    <row r="12332">
      <c r="A12332" t="inlineStr">
        <is>
          <t>Pandawa M 200</t>
        </is>
      </c>
      <c r="B12332">
        <f>HYPERLINK("https://www.dofusbook.net/fr/equipement/4002960-pandawa-m-200/objets", "link")</f>
        <v/>
      </c>
      <c r="C12332" t="n">
        <v>1</v>
      </c>
      <c r="D12332" t="inlineStr">
        <is>
          <t>Baguette Hique; Collier de la Dame du Hasard; Anneau Cryochrone; Alliance Gloursonne; Quatre-feuilles; Ceinture de Kongoku; Kidibonnet; Cape de la Dame du Hasard; Bottes de Meno; Dolmanax; Dofus Ocre; Dofus Pourpre; Dofus des Glaces; Dofus Turquoise; Nomade; Chacha Angora</t>
        </is>
      </c>
    </row>
    <row r="12333">
      <c r="A12333" t="inlineStr">
        <is>
          <t>opti</t>
        </is>
      </c>
      <c r="B12333">
        <f>HYPERLINK("https://www.dofusbook.net/fr/equipement/3980625-opti/objets", "link")</f>
        <v/>
      </c>
      <c r="C12333" t="n">
        <v>1</v>
      </c>
      <c r="D12333" t="inlineStr">
        <is>
          <t>Arc corrompu; Amulette Volkorne; Anneauræus; Alliance Gloursonne; Bouclier du Cycloïde; Ceinture de Vortex; Casque Volkorne; Cape de Diondin; Bottes Innommables; Dofus Pourpre; Dofus des Glaces; Dofus Turquoise; Dofus Ocre; Carapace Terre majeur; Nomade; Pioute rouge</t>
        </is>
      </c>
    </row>
    <row r="12334">
      <c r="A12334" t="inlineStr">
        <is>
          <t>Iop F 200</t>
        </is>
      </c>
      <c r="B12334">
        <f>HYPERLINK("https://www.dofusbook.net/fr/equipement/4050223-iop-f-200/objets", "link")</f>
        <v/>
      </c>
      <c r="C12334" t="n">
        <v>1</v>
      </c>
      <c r="D12334" t="inlineStr">
        <is>
          <t>Arc du Chalœil; Amulette du Strigide; Bague Gloursonne; Goulano; Quatre-feuilles; Ceinture du Strigide; Masque Brûlâme; Voile d'encre; Baleinabottes; Dofus des Glaces; Dofus Ocre; Dofus Turquoise; Dofus Pourpre; Nomade; Vigoureux majeur; Pioute vert</t>
        </is>
      </c>
    </row>
    <row r="12335">
      <c r="A12335" t="inlineStr">
        <is>
          <t>Steamer M 200</t>
        </is>
      </c>
      <c r="B12335">
        <f>HYPERLINK("https://www.dofusbook.net/fr/equipement/4638054-steamer-m-200/objets", "link")</f>
        <v/>
      </c>
      <c r="C12335" t="n">
        <v>0</v>
      </c>
      <c r="D12335" t="inlineStr">
        <is>
          <t>Sabres d'Atcham; Amulette Volkorne; Anneau Volkorne; Anneau de Padgref; Quatre-feuilles; Ceinture Volkorne; Coiffe de Padgref; Cape d'Atcham; Getas de Padgref; Dofus Ocre; Dofus Abyssal; Dofus des Glaces; Dofus Ivoire; Dofus Turquoise; Dofus Pourpre; Kokulte</t>
        </is>
      </c>
    </row>
    <row r="12336">
      <c r="A12336" t="inlineStr">
        <is>
          <t>Iop M 200</t>
        </is>
      </c>
      <c r="B12336">
        <f>HYPERLINK("https://www.dofusbook.net/fr/equipement/5837410-iop-m-200/objets", "link")</f>
        <v/>
      </c>
      <c r="C12336" t="n">
        <v>0</v>
      </c>
      <c r="D12336" t="inlineStr">
        <is>
          <t>Marteau R'ture; Amulette du Strigide; Anneau Chevelu; Bague Gloursonne; Cadran d'Eau; Ceinture du Strigide; Masque de Koutoulou; Cape au Logis; Bottes de la Cour Sombre; Dofus Pourpre; Dofus Ébène; Dofus Ocre; Dofus Ivoire; Dofus Turquoise; Dofus Abyssal; Dragodinde Emeraude et Pourpre</t>
        </is>
      </c>
    </row>
    <row r="12337">
      <c r="A12337" t="inlineStr">
        <is>
          <t>Eniripsa F 200</t>
        </is>
      </c>
      <c r="B12337">
        <f>HYPERLINK("https://www.dofusbook.net/fr/equipement/5966032-eniripsa-f-200/objets", "link")</f>
        <v/>
      </c>
      <c r="C12337" t="n">
        <v>1</v>
      </c>
      <c r="D12337" t="inlineStr">
        <is>
          <t>Arc corrompu; Amulette de Nileza; Bague Gloursonne; Anneauræus; Cadran de Terre; Ceinture de Vortex; Heaume Oplate; Cape de Nileza; Pataugastrique; Dofus Abyssal; Dofus Ivoire; Dofus Ébène; Nomade; Étourdisseur majeur; Érudit majeur; Dragoune Rose</t>
        </is>
      </c>
    </row>
    <row r="12338">
      <c r="A12338" t="inlineStr">
        <is>
          <t>Eniripsa F 200</t>
        </is>
      </c>
      <c r="B12338">
        <f>HYPERLINK("https://www.dofusbook.net/fr/equipement/4072424-eniripsa-f-200/objets", "link")</f>
        <v/>
      </c>
      <c r="C12338" t="n">
        <v>4</v>
      </c>
      <c r="D12338" t="inlineStr">
        <is>
          <t>Arc corrompu; Amulette Volkorne; Bague Gloursonne; Anneauræus; Cadran de Terre; Ceinture de Vortex; Cagoule de Vortex; Cape de Diondin; Bottes Innommables; Dofus Ocre; Dofus Ébène; Dofus Abyssal; Dofus Ivoire; Érudit majeur; Nomade; Dragoune Rose</t>
        </is>
      </c>
    </row>
    <row r="12339">
      <c r="A12339" t="inlineStr">
        <is>
          <t>Zobal M 200</t>
        </is>
      </c>
      <c r="B12339">
        <f>HYPERLINK("https://www.dofusbook.net/fr/equipement/4286005-zobal-m-200/objets", "link")</f>
        <v/>
      </c>
      <c r="C12339" t="n">
        <v>6</v>
      </c>
      <c r="D12339" t="inlineStr">
        <is>
          <t>Marteau R'ture; Amulette Volkorne; Anneau Chevelu; Bague Gloursonne; Cadran d'Eau; Ceinture Volkorne; Masque de Koutoulou; Cape au Logis; Bottes de la Cour Sombre; Dofus Ocre; Dofus Turquoise; Dofus Ébène; Dofus Abyssal; Dofus Ivoire; Dofus Pourpre; Dragodinde Emeraude et Pourpre</t>
        </is>
      </c>
    </row>
    <row r="12340">
      <c r="A12340" t="inlineStr">
        <is>
          <t>Crâ M 200</t>
        </is>
      </c>
      <c r="B12340">
        <f>HYPERLINK("https://www.dofusbook.net/fr/equipement/5687330-cra-m-200/objets", "link")</f>
        <v/>
      </c>
      <c r="C12340" t="n">
        <v>0</v>
      </c>
      <c r="D12340" t="inlineStr">
        <is>
          <t>Arc du Chalœil; Amulette Volkorne; Chevalière du Roi Joueur; Bague Gloursonne; Quatre-feuilles; Ceinture Volkorne; Couronne du Roi Joueur; Cape au Logis; Bottes du Roi Joueur; Dofus Nébuleux; Dofus Ébène; Dofus Turquoise; Dofus Pourpre; Dofus Ocre; Dofus Ivoire; Pioute vert</t>
        </is>
      </c>
    </row>
    <row r="12341">
      <c r="A12341" t="inlineStr">
        <is>
          <t>Pandawa M 200</t>
        </is>
      </c>
      <c r="B12341">
        <f>HYPERLINK("https://www.dofusbook.net/fr/equipement/5650117-pandawa-m-200/objets", "link")</f>
        <v/>
      </c>
      <c r="C12341" t="n">
        <v>0</v>
      </c>
      <c r="D12341" t="inlineStr">
        <is>
          <t>Arc du Chalœil; Collier de Tourthon; Pikano; Anneau de Brouce; Bouclier du Stalak; Ceinture de la Reine des Voleurs; Coiffe de la Reine des Voleurs; Cape au Logis; Baleinabottes; Dofus des Veilleurs; Dofus Émeraude; Remueur; Miraculé majeur; Enragé majeur; Vigoureux majeur; Dragodinde Ivoire et Pourpre</t>
        </is>
      </c>
    </row>
    <row r="12342">
      <c r="A12342" t="inlineStr">
        <is>
          <t>Steamer M 200</t>
        </is>
      </c>
      <c r="B12342">
        <f>HYPERLINK("https://www.dofusbook.net/fr/equipement/4458808-steamer-m-200/objets", "link")</f>
        <v/>
      </c>
      <c r="C12342" t="n">
        <v>4</v>
      </c>
      <c r="D12342" t="inlineStr">
        <is>
          <t>Arc corrompu; Amulette Volkorne; Anneauræus; Bague Gloursonne; Bouclier du Stalak; Ceinture Volkorne; Heaume Oplate; Voile d'encre; Bottes Innommables; Dofus Ébène; Dofus Ivoire; Dofus Ocre; Dofus Abyssal; Nomade; Érudit majeur; Bisouglours</t>
        </is>
      </c>
    </row>
    <row r="12343">
      <c r="A12343" t="inlineStr">
        <is>
          <t>Steamer M 200</t>
        </is>
      </c>
      <c r="B12343">
        <f>HYPERLINK("https://www.dofusbook.net/fr/equipement/4789517-steamer-m-200/objets", "link")</f>
        <v/>
      </c>
      <c r="C12343" t="n">
        <v>1</v>
      </c>
      <c r="D12343" t="inlineStr">
        <is>
          <t>Sabres d'Atcham; Amulette Volkorne; Anneau Volkorne; Anneau de Padgref; Quatre-feuilles; Ceinture Volkorne; Coiffe de Padgref; Cape d'Atcham; Getas de Padgref; Dofus Ocre; Dofus des Glaces; Dofus Turquoise; Dofus Ivoire; Dofus Pourpre; Dofus Ébène; Kokulte</t>
        </is>
      </c>
    </row>
    <row r="12344">
      <c r="A12344" t="inlineStr">
        <is>
          <t>Crâ M 200</t>
        </is>
      </c>
      <c r="B12344">
        <f>HYPERLINK("https://www.dofusbook.net/fr/equipement/4806204-cra-m-200/objets", "link")</f>
        <v/>
      </c>
      <c r="C12344" t="n">
        <v>0</v>
      </c>
      <c r="D12344" t="inlineStr">
        <is>
          <t>Sabres d'Atcham; Amulette de Pol Ouatnos; Pikano; Alliance Gloursonne; Cadran de Terre; Ceintacé; Chapeau Lisson; Cape d'Atcham; Pataugastrique; Dofus des Glaces; Dofus Ivoire; Dofus Pourpre; Dofus Turquoise; Dofus Abyssal; Étourdisseur majeur; Boskito</t>
        </is>
      </c>
    </row>
    <row r="12345">
      <c r="A12345" t="inlineStr">
        <is>
          <t>Steamer M 200</t>
        </is>
      </c>
      <c r="B12345">
        <f>HYPERLINK("https://www.dofusbook.net/fr/equipement/4659754-steamer-m-200/objets", "link")</f>
        <v/>
      </c>
      <c r="C12345" t="n">
        <v>3</v>
      </c>
      <c r="D12345" t="inlineStr">
        <is>
          <t>Arc du Chalœil; Torquistik; Bague Trithon; Bague Instable; Bouclier précieux; Ceinture Gence; Casque Dragoeuf; Cape Solution; Bottistik; Dofus Ivoire; Dofus Abyssal; Culbuteur majeur; Pousseur majeur; Culbuteur; Bousculeur majeur; Balafreux</t>
        </is>
      </c>
    </row>
    <row r="12346">
      <c r="A12346" t="inlineStr">
        <is>
          <t>Steamer M 200</t>
        </is>
      </c>
      <c r="B12346">
        <f>HYPERLINK("https://www.dofusbook.net/fr/equipement/3947916-steamer-m-200/objets", "link")</f>
        <v/>
      </c>
      <c r="C12346" t="n">
        <v>5</v>
      </c>
      <c r="D12346" t="inlineStr">
        <is>
          <t>Arc corrompu; Amulette Séculaire; Anneauræus; Anneauræus; Cadran de Feu; Ceinture Séculaire; Casque Dragoeuf; Cape de Diondin; Bottes Innommables; Dofus Pourpre; Dofus Ivoire; Dofus Ocre; Dofus Abyssal; Nomade; Érudit majeur; Dragodinde Prune et Rousse</t>
        </is>
      </c>
    </row>
    <row r="12347">
      <c r="A12347" t="inlineStr">
        <is>
          <t>Osamodas M 200</t>
        </is>
      </c>
      <c r="B12347">
        <f>HYPERLINK("https://www.dofusbook.net/fr/equipement/4139144-osamodas-m-200/objets", "link")</f>
        <v/>
      </c>
      <c r="C12347" t="n">
        <v>1</v>
      </c>
      <c r="D12347" t="inlineStr">
        <is>
          <t>Dagues Érhy; Amulette du Strigide; Bague Gloursonne; Anneau de Brouce; Cadran de Feu; Ceinture de la Reine des Voleurs; Coiffe de la Reine des Voleurs; Cape au Logis; Sabots Minables; Dofus Ivoire; Dofus Abyssal; Dofus Émeraude; Dofus Ocre; Dofus des Glaces; Enragé majeur; Dragodinde Dorée et Pourpre</t>
        </is>
      </c>
    </row>
    <row r="12348">
      <c r="A12348" t="inlineStr">
        <is>
          <t>eau cancer</t>
        </is>
      </c>
      <c r="B12348">
        <f>HYPERLINK("https://www.dofusbook.net/fr/equipement/4070265-eau-cancer/objets", "link")</f>
        <v/>
      </c>
      <c r="C12348" t="n">
        <v>2</v>
      </c>
      <c r="D12348" t="inlineStr">
        <is>
          <t>Dagoulinantes; Amulette de l'Œil Attentif; Alliance Gloursonne; Anneau Volkorne; Cadran de Terre; Culotte de Bethel; Capuche de l'Œil Attentif; Cape de l'Œil Attentif; Chaussons de Macrab; Dofus Pourpre; Dofus Abyssal; Dofus des Glaces; Dofus Ivoire; Dofus Ocre; Boskito</t>
        </is>
      </c>
    </row>
    <row r="12349">
      <c r="A12349" t="inlineStr">
        <is>
          <t>eauair</t>
        </is>
      </c>
      <c r="B12349">
        <f>HYPERLINK("https://www.dofusbook.net/fr/equipement/3915336-eauair/objets", "link")</f>
        <v/>
      </c>
      <c r="C12349" t="n">
        <v>16</v>
      </c>
      <c r="D12349" t="inlineStr">
        <is>
          <t>Arc de Koutoulou; Collier du Valet Veinard; Gant du Valet Veinard; Alliance Gloursonne; Cadran de Terre; Culotte de Bethel; Masque de Funespadon; Cape du Valet Veinard; Chaussons de Macrab; Dolmanax; Dofus Ivoire; Dofus Pourpre; Dofus Ocre; Dofus des Glaces; Dofus Abyssal; Muldo Ebène</t>
        </is>
      </c>
    </row>
    <row r="12350">
      <c r="A12350" t="inlineStr">
        <is>
          <t>Sram F 200</t>
        </is>
      </c>
      <c r="B12350">
        <f>HYPERLINK("https://www.dofusbook.net/fr/equipement/5831459-sram-f-200/objets", "link")</f>
        <v/>
      </c>
      <c r="C12350" t="n">
        <v>0</v>
      </c>
      <c r="D12350" t="inlineStr">
        <is>
          <t>Pelle de la Cour Sombre; Collier du Valet Veinard; Anneau Tique; Alliance Gloursonne; Cadran de Feu; Menoture; Chapibou; Capibou; Bottes du Cycloïde; Dofus Ébène; Dofus Ocre; Dofus des Glaces; Dofus Ivoire; Dofus Abyssal; Crocodaille</t>
        </is>
      </c>
    </row>
    <row r="12351">
      <c r="A12351" t="inlineStr">
        <is>
          <t>Eniripsa F 200</t>
        </is>
      </c>
      <c r="B12351">
        <f>HYPERLINK("https://www.dofusbook.net/fr/equipement/5633475-eniripsa-f-200/objets", "link")</f>
        <v/>
      </c>
      <c r="C12351" t="n">
        <v>5</v>
      </c>
      <c r="D12351" t="inlineStr">
        <is>
          <t>Arc corrompu; Amulette Volkorne; Anneauræus; Anneau Volkorne; Bouclier du Stalak; Croture; Heaume Oplate; Cape Martegel; Bottes Innommables; Dofus Ocre; Nomade; Érudit majeur; Savant majeur; Astucieux majeur; Guérisseur majeur; Dragodinde Orchidée et Rousse</t>
        </is>
      </c>
    </row>
    <row r="12352">
      <c r="A12352" t="inlineStr">
        <is>
          <t>Zobal M 200</t>
        </is>
      </c>
      <c r="B12352">
        <f>HYPERLINK("https://www.dofusbook.net/fr/equipement/5623390-zobal-m-200/objets", "link")</f>
        <v/>
      </c>
      <c r="C12352" t="n">
        <v>1</v>
      </c>
      <c r="D12352" t="inlineStr">
        <is>
          <t>Marteau R'ture; Amulette du Strigide; Anneau Volkorne; Anneau Chevelu; Bouclier d'Ilyzaelle; Ceinture Volkorne; Masque de Koutoulou; Cape au Logis; Bottes du Cœur Saignant; Dofus Pourpre; Dofus Ocre; Dofus Turquoise; Dofus Émeraude; Dofus Abyssal; Enragé majeur; Kokulte</t>
        </is>
      </c>
    </row>
    <row r="12353">
      <c r="A12353" t="inlineStr">
        <is>
          <t>Prospection</t>
        </is>
      </c>
      <c r="B12353">
        <f>HYPERLINK("https://www.dofusbook.net/fr/equipement/5418758-prospection/objets", "link")</f>
        <v/>
      </c>
      <c r="C12353" t="n">
        <v>1</v>
      </c>
      <c r="D12353" t="inlineStr">
        <is>
          <t>Pelle Emélaka; Amulette du Sinistrofu; Anneau du Professeur Xa; Alliance Gloursonne; Bouclier du Stalak; Tranche des Sous-bois; Casque Harnage; Cape du Sinistrofu; Bottes du Sinistrofu; Dolmanax; Dofus Ocre; Dokille; Dofus Kaliptus; Joueur majeur; Taquin majeur; Bloalak</t>
        </is>
      </c>
    </row>
    <row r="12354">
      <c r="A12354" t="inlineStr">
        <is>
          <t>Sram F 200</t>
        </is>
      </c>
      <c r="B12354">
        <f>HYPERLINK("https://www.dofusbook.net/fr/equipement/5501745-sram-f-200/objets", "link")</f>
        <v/>
      </c>
      <c r="C12354" t="n">
        <v>0</v>
      </c>
      <c r="D12354" t="inlineStr">
        <is>
          <t>Arc Honte; Amulette Volkorne; Anneau Tique; Anneau Volkorne; Bouclier du Stalak; Croture; Heaume Oplate; Cape Ardente; Bottes Innommables; Dofus Abyssal; Dofus Ocre; Nomade; Savant majeur; Érudit majeur; Bisouglours</t>
        </is>
      </c>
    </row>
    <row r="12355">
      <c r="A12355" t="inlineStr">
        <is>
          <t>Zobal M 200</t>
        </is>
      </c>
      <c r="B12355">
        <f>HYPERLINK("https://www.dofusbook.net/fr/equipement/5471143-zobal-m-200/objets", "link")</f>
        <v/>
      </c>
      <c r="C12355" t="n">
        <v>2</v>
      </c>
      <c r="D12355" t="inlineStr">
        <is>
          <t>Hache du Chalœil; Amulette Volkorne; Bague Trithon; Alliance Gloursonne; Bouclier du Captain Amakna; Ceinture Volkorne; Masque Trithon; Voile d'encre; Bottes Trithon; Dofus Pourpre; Dofus Ocre; Dofus Turquoise; Dofus Abyssal; Dofus des Glaces; Bouflux</t>
        </is>
      </c>
    </row>
    <row r="12356">
      <c r="A12356" t="inlineStr">
        <is>
          <t>Multi ini</t>
        </is>
      </c>
      <c r="B12356">
        <f>HYPERLINK("https://www.dofusbook.net/fr/equipement/2218469-multi-ini/objets", "link")</f>
        <v/>
      </c>
      <c r="C12356" t="n">
        <v>4</v>
      </c>
      <c r="D12356" t="inlineStr">
        <is>
          <t>Arc Volkorne; Amulette Volkorne; Anneau Volkorne; Bague Trithon; Bouclier du Stalak; Ceinture Volkorne; Masque Trithon; Dofusteuse; Bottes Trithon; Dofus des Glaces; Dofus Ivoire; Dofus Ébène; Dofus Ocre; Dofus Pourpre; Dofus Turquoise; El Scarador</t>
        </is>
      </c>
    </row>
    <row r="12357">
      <c r="A12357" t="inlineStr">
        <is>
          <t>Stuff 3</t>
        </is>
      </c>
      <c r="B12357">
        <f>HYPERLINK("https://www.dofusbook.net/fr/equipement/299563-stuff-3/objets", "link")</f>
        <v/>
      </c>
      <c r="C12357" t="n">
        <v>2</v>
      </c>
      <c r="D12357" t="inlineStr">
        <is>
          <t>Marteau des égarés; Amulette Volkorne; Anneau Volkorne; Bague Trithon; Bouclier du Captain Amakna; Ceinture Volkorne; Masque Trithon; Cape Indescriptible; Bottes Trithon; Dofus Pourpre; Dofus Ébène; Dofus Ivoire; Dofus Ocre; Dofus Turquoise; Dofus des Glaces; El Scarador</t>
        </is>
      </c>
    </row>
    <row r="12358">
      <c r="A12358" t="inlineStr">
        <is>
          <t>stuff srambad</t>
        </is>
      </c>
      <c r="B12358">
        <f>HYPERLINK("https://www.dofusbook.net/fr/equipement/299542-stuff-srambad/objets", "link")</f>
        <v/>
      </c>
      <c r="C12358" t="n">
        <v>33</v>
      </c>
      <c r="D12358" t="inlineStr">
        <is>
          <t>Epée Loponèze; Amulette Volkorne; Alliance Gloursonne; Anneau Volkorne; Bouclier du Stalak; Ceinture Volkorne; Casque du Chalœil; Cape du Chalœil; Bottes du Chalœil; Dofus Pourpre; Dofus Ébène; Dofus Ivoire; Dofus Ocre; Dofus Turquoise; Dofus des Glaces; El Scarador</t>
        </is>
      </c>
    </row>
    <row r="12359">
      <c r="A12359" t="inlineStr">
        <is>
          <t>Ecaflip F 200</t>
        </is>
      </c>
      <c r="B12359">
        <f>HYPERLINK("https://www.dofusbook.net/fr/equipement/3257146-ecaflip-f-200/objets", "link")</f>
        <v/>
      </c>
      <c r="C12359" t="n">
        <v>5</v>
      </c>
      <c r="D12359" t="inlineStr">
        <is>
          <t>Sabres d'Atcham; Amulette Volkorne; Anneau Toriété; Anneau Volkorne; Bouclier du Stalak; Ceinture Séculaire; Coiffe Séculaire; Cape d'Atcham; Sandales  d'Atcham; Dofus Ébène; Dofus des Glaces; Dofus Ivoire; Dofus Pourpre; Dofus Abyssal; Dofus Ocre; El Scarador</t>
        </is>
      </c>
    </row>
    <row r="12360">
      <c r="A12360" t="inlineStr">
        <is>
          <t>full puissance</t>
        </is>
      </c>
      <c r="B12360">
        <f>HYPERLINK("https://www.dofusbook.net/fr/equipement/3225923-full-puissance/objets", "link")</f>
        <v/>
      </c>
      <c r="C12360" t="n">
        <v>14</v>
      </c>
      <c r="D12360" t="inlineStr">
        <is>
          <t>Marteau R'ture; Amulette des Chocomanciens; Anneau Tamie; Pikano; Bouclier cubiste; Ceinture des Chocomanciens; Capuche de l'Œil Putride; Cape de Léthaline; Pantoufles Émar; Ralentisseur; Ralentisseur majeur; Temporiseur; Temporiseur majeur; Entraveur; Entraveur majeur; Volkorne Turquoise</t>
        </is>
      </c>
    </row>
    <row r="12361">
      <c r="A12361" t="inlineStr">
        <is>
          <t>Zobal F 200</t>
        </is>
      </c>
      <c r="B12361">
        <f>HYPERLINK("https://www.dofusbook.net/fr/equipement/4737284-zobal-f-200/objets", "link")</f>
        <v/>
      </c>
      <c r="C12361" t="n">
        <v>4</v>
      </c>
      <c r="D12361" t="inlineStr">
        <is>
          <t>Arc du Chalœil; Talisman Igans; Bague Trithon; Anneau Volkorne; Bouclier Taverne; Ceintrigue; Masque Paztek; Cape Paztek; Sandales Paztek; Dofus Ivoire; Dofus Ocre; Dofus Abyssal; Bousculeur majeur; Bousculeur; Pousseur majeur; Volkorne Rubis et Roux</t>
        </is>
      </c>
    </row>
    <row r="12362">
      <c r="A12362" t="inlineStr">
        <is>
          <t>feu</t>
        </is>
      </c>
      <c r="B12362">
        <f>HYPERLINK("https://www.dofusbook.net/fr/equipement/299544-feu/objets", "link")</f>
        <v/>
      </c>
      <c r="C12362" t="n">
        <v>13</v>
      </c>
      <c r="D12362" t="inlineStr">
        <is>
          <t>Amulette Volkorne; Anneauræus; Anneauræus; Quatre-feuilles; Ceinture Volkorne; Coiffe Séculaire; Cape Ardente; Bottes Innommables; Dofus Pourpre; Dofus Ocre; Dofus des Glaces; Vigoureux majeur; Érudit majeur; Dévastateur Feu majeur; Bisouglours</t>
        </is>
      </c>
    </row>
    <row r="12363">
      <c r="A12363" t="inlineStr">
        <is>
          <t>Stuff 1</t>
        </is>
      </c>
      <c r="B12363">
        <f>HYPERLINK("https://www.dofusbook.net/fr/equipement/299555-stuff-1/objets", "link")</f>
        <v/>
      </c>
      <c r="C12363" t="n">
        <v>1</v>
      </c>
      <c r="D12363" t="inlineStr">
        <is>
          <t>Arc Nécrotique; Amulette Volkorne; Anneau de Nidas; Anneau Volkorne; Bouclier du Cycloïde; Sangle Ouare; Casque Dragoeuf; Cape de l'Œil Putride; Pataugastrique; Volkorne Jade et Rubis</t>
        </is>
      </c>
    </row>
    <row r="12364">
      <c r="A12364" t="inlineStr">
        <is>
          <t>Stuff 2</t>
        </is>
      </c>
      <c r="B12364">
        <f>HYPERLINK("https://www.dofusbook.net/fr/equipement/299546-stuff-2/objets", "link")</f>
        <v/>
      </c>
      <c r="C12364" t="n">
        <v>0</v>
      </c>
      <c r="D12364" t="inlineStr">
        <is>
          <t>Sceptre du Roi Joueur; Amulette Ementaire Deluxe; Alliance du Lévitrof; Ceinture de Kongoku; Coiffe du Lévitrof; Cape de Kongoku; Bottes du Lévitrof</t>
        </is>
      </c>
    </row>
    <row r="12365">
      <c r="A12365" t="inlineStr">
        <is>
          <t>Eau</t>
        </is>
      </c>
      <c r="B12365">
        <f>HYPERLINK("https://www.dofusbook.net/fr/equipement/707501-eau/objets", "link")</f>
        <v/>
      </c>
      <c r="C12365" t="n">
        <v>0</v>
      </c>
      <c r="D12365" t="inlineStr">
        <is>
          <t>Dagoulinantes; Amulette de Shokkoth; Bracelet des Fonds marins; Alliance Gloursonne; Bouclier d'Ilyzaelle; Sangle Ouare; Masque des Fonds marins; Cape de l'Œil Attentif; Sandales des Fonds marins; Dofus Abyssal; Dofus Ocre; Dofus Pourpre; Dofus des Glaces; Dofus Ivoire; Dofus Turquoise; Kramkram</t>
        </is>
      </c>
    </row>
    <row r="12366">
      <c r="A12366" t="inlineStr">
        <is>
          <t>Eliotrope F 200</t>
        </is>
      </c>
      <c r="B12366">
        <f>HYPERLINK("https://www.dofusbook.net/fr/equipement/3354382-eliotrope-f-200/objets", "link")</f>
        <v/>
      </c>
      <c r="C12366" t="n">
        <v>0</v>
      </c>
      <c r="D12366" t="inlineStr">
        <is>
          <t>Talisman Igans; Bouclier d'Anerice; Ceintrigue; Masque d'Anerice; Cape d'Anerice; Bottes Owesli</t>
        </is>
      </c>
    </row>
    <row r="12367">
      <c r="A12367" t="inlineStr">
        <is>
          <t>Stuff 1</t>
        </is>
      </c>
      <c r="B12367">
        <f>HYPERLINK("https://www.dofusbook.net/fr/equipement/299567-stuff-1/objets", "link")</f>
        <v/>
      </c>
      <c r="C12367" t="n">
        <v>9</v>
      </c>
      <c r="D12367" t="inlineStr">
        <is>
          <t>Epée Gloursonne; Amulette Ementaire Deluxe; Alliance Gloursonne; Bague Gloursonne; Bouclier d'Anerice; Ceinture de l'Indicible; Masque d'Anerice; Cape d'Anerice; Bottes de l'Indicible; Dokoko; Dofus Ivoire; Dofus Émeraude; Dofus Vulbis; Dofus Abyssal; Dofus Ocre; Bouloute</t>
        </is>
      </c>
    </row>
    <row r="12368">
      <c r="A12368" t="inlineStr">
        <is>
          <t>agi</t>
        </is>
      </c>
      <c r="B12368">
        <f>HYPERLINK("https://www.dofusbook.net/fr/equipement/299543-agi/objets", "link")</f>
        <v/>
      </c>
      <c r="C12368" t="n">
        <v>0</v>
      </c>
      <c r="D12368" t="inlineStr">
        <is>
          <t>Arc de Koutoulou; Amulette de l'Indicible; Alliance Gloursonne; Pikano; Bouclier alvéolé; Ceinture de la Reine des Voleurs; Coiffe de la Reine des Voleurs; Cape du Cœur Vaillant; Bottes de la Reine des Voleurs; Dofus Ivoire; Dofus Nébuleux; Dofus Vulbis; Dofus Ocre; Dofus Abyssal; Dofus des Glaces; Volkorne Saphir et Améthyste</t>
        </is>
      </c>
    </row>
    <row r="12369">
      <c r="A12369" t="inlineStr">
        <is>
          <t>terre/air</t>
        </is>
      </c>
      <c r="B12369">
        <f>HYPERLINK("https://www.dofusbook.net/fr/equipement/3154894-terre-air/objets", "link")</f>
        <v/>
      </c>
      <c r="C12369" t="n">
        <v>1</v>
      </c>
      <c r="D12369" t="inlineStr">
        <is>
          <t>Epée Gloursonne; Amulette de l'Indicible; Bague Gloursonne; Alliance Gloursonne; Ceinture de l'Indicible; Casque du Chalœil; Cape du Chalœil; Bottes de l'Indicible</t>
        </is>
      </c>
    </row>
    <row r="12370">
      <c r="A12370" t="inlineStr">
        <is>
          <t>Terre/eau</t>
        </is>
      </c>
      <c r="B12370">
        <f>HYPERLINK("https://www.dofusbook.net/fr/equipement/3356925-terre-eau/objets", "link")</f>
        <v/>
      </c>
      <c r="C12370" t="n">
        <v>5</v>
      </c>
      <c r="D12370" t="inlineStr">
        <is>
          <t>Dagues Érhy; Collier de Tourthon; Bague Gloursonne; Anneau Chevelu; Bouclier d'Ilyzaelle; Ceinture Gence; Casque Dragoeuf; Cape de la Cour Sombre; Bottes de la Cour Sombre; Dofus Émeraude; Dofus Nébuleux; Dofus des Glaces; Remueur; Miraculé majeur; Enragé majeur</t>
        </is>
      </c>
    </row>
    <row r="12371">
      <c r="A12371" t="inlineStr">
        <is>
          <t>iop eau</t>
        </is>
      </c>
      <c r="B12371">
        <f>HYPERLINK("https://www.dofusbook.net/fr/equipement/3355806-iop-eau/objets", "link")</f>
        <v/>
      </c>
      <c r="C12371" t="n">
        <v>10</v>
      </c>
      <c r="D12371" t="inlineStr">
        <is>
          <t>Sceptre du Roi Joueur; Amulette de l'Œil Attentif; Alliance Gloursonne; Pikano; Bouclier d'Ilyzaelle; Poulpagne; Casque Dragoeuf; Cape de l'Œil Attentif; Bottes du Sinistrofu; Dofus Émeraude; Dofus Ivoire; Miraculé majeur; Remueur; Chanceux majeur</t>
        </is>
      </c>
    </row>
    <row r="12372">
      <c r="A12372" t="inlineStr">
        <is>
          <t>Iop F 200</t>
        </is>
      </c>
      <c r="B12372">
        <f>HYPERLINK("https://www.dofusbook.net/fr/equipement/3341940-iop-f-200/objets", "link")</f>
        <v/>
      </c>
      <c r="C12372" t="n">
        <v>3</v>
      </c>
      <c r="D12372" t="inlineStr">
        <is>
          <t>Manthache; Amulette de Pol Ouatnos; Alliance Gloursonne; Anneau des égarés; Bouclier du Stalak; Menoture; Casque des égarés; Cape Indescriptible; Palmes Trithons; Dofus des Glaces; Dofus Émeraude; Dofus Nébuleux; Remueur; Kramkram</t>
        </is>
      </c>
    </row>
    <row r="12373">
      <c r="A12373" t="inlineStr">
        <is>
          <t>Stuff 1</t>
        </is>
      </c>
      <c r="B12373">
        <f>HYPERLINK("https://www.dofusbook.net/fr/equipement/299551-stuff-1/objets", "link")</f>
        <v/>
      </c>
      <c r="C12373" t="n">
        <v>2</v>
      </c>
      <c r="D12373" t="inlineStr"/>
    </row>
    <row r="12374">
      <c r="A12374" t="inlineStr">
        <is>
          <t>Iop F 200</t>
        </is>
      </c>
      <c r="B12374">
        <f>HYPERLINK("https://www.dofusbook.net/fr/equipement/3338227-iop-f-200/objets", "link")</f>
        <v/>
      </c>
      <c r="C12374" t="n">
        <v>0</v>
      </c>
      <c r="D12374" t="inlineStr">
        <is>
          <t>Marteau R'ture; Collier de Tourthon; Anneau Chevelu; Anneau de Brouce; Ceinture de la Reine des Voleurs; Masque de Koutoulou; Cape au Logis; Bottes de Brouce; Dofus des Glaces; Dofus Nébuleux; Dévastateur Terre majeur; Remueur; Enragé majeur; Kramkram</t>
        </is>
      </c>
    </row>
    <row r="12375">
      <c r="A12375" t="inlineStr">
        <is>
          <t>Full ret</t>
        </is>
      </c>
      <c r="B12375">
        <f>HYPERLINK("https://www.dofusbook.net/fr/equipement/3247621-full-ret/objets", "link")</f>
        <v/>
      </c>
      <c r="C12375" t="n">
        <v>5</v>
      </c>
      <c r="D12375" t="inlineStr"/>
    </row>
    <row r="12376">
      <c r="A12376" t="inlineStr">
        <is>
          <t>air/do pou</t>
        </is>
      </c>
      <c r="B12376">
        <f>HYPERLINK("https://www.dofusbook.net/fr/equipement/2331853-air-do-pou/objets", "link")</f>
        <v/>
      </c>
      <c r="C12376" t="n">
        <v>0</v>
      </c>
      <c r="D12376" t="inlineStr">
        <is>
          <t>Hachoirs de Viandargh; Amibou; Bouclier Taverne; Chapibou; Capibou; Palmes Trithons; Dofus Turquoise; Dofus Ocre; Dofus Pourpre; Dofus des Glaces; Pousseur majeur; Bousculeur majeur; Kramkram</t>
        </is>
      </c>
    </row>
    <row r="12377">
      <c r="A12377" t="inlineStr">
        <is>
          <t>jsaispas</t>
        </is>
      </c>
      <c r="B12377">
        <f>HYPERLINK("https://www.dofusbook.net/fr/equipement/3078251-jsaispas/objets", "link")</f>
        <v/>
      </c>
      <c r="C12377" t="n">
        <v>0</v>
      </c>
      <c r="D12377" t="inlineStr">
        <is>
          <t>Marteau d'Henual; Amulette Volcanique; Anneau d'Henual; Chevalière du Roi Joueur; Ceinture d'Henual; Couronne du Roi Joueur; Voile d'encre; Bottes du Roi Joueur; Dofus Émeraude; Dofus Nébuleux; Dofus Ocre; Dofus Abyssal; Dofus des Glaces; Dofus Ivoire; Kramkram</t>
        </is>
      </c>
    </row>
    <row r="12378">
      <c r="A12378" t="inlineStr">
        <is>
          <t>feu/eau</t>
        </is>
      </c>
      <c r="B12378">
        <f>HYPERLINK("https://www.dofusbook.net/fr/equipement/3049915-feu-eau/objets", "link")</f>
        <v/>
      </c>
      <c r="C12378" t="n">
        <v>2</v>
      </c>
      <c r="D12378" t="inlineStr">
        <is>
          <t>Epée Gloursonne; Amulette de l'Œil Putride; Alliance Gloursonne; Bague Gloursonne; Ceinture de l'Esprit Malsain; Masque de l'Esprit Malsain; Cape de l'Œil Putride; Bottes de l'Esprit Malsain; Dofus Ocre; Dofus Ivoire; Dofus des Glaces; Dofus Pourpre; Dofus Abyssal</t>
        </is>
      </c>
    </row>
    <row r="12379">
      <c r="A12379" t="inlineStr">
        <is>
          <t>Feu/air</t>
        </is>
      </c>
      <c r="B12379">
        <f>HYPERLINK("https://www.dofusbook.net/fr/equipement/3043527-feu-air/objets", "link")</f>
        <v/>
      </c>
      <c r="C12379" t="n">
        <v>1</v>
      </c>
      <c r="D12379" t="inlineStr">
        <is>
          <t>Marteau Phossile; Amulette Ikête; Anneau Instable; Bague Instable; Ceinture Instable; Bandeau Culaire; Cape Parition; Bottes de l'Indicible; Dofus Ocre; Dokoko; Dofus des Glaces; Dofus Émeraude; Dofus Ivoire</t>
        </is>
      </c>
    </row>
    <row r="12380">
      <c r="A12380" t="inlineStr">
        <is>
          <t>stuff 1</t>
        </is>
      </c>
      <c r="B12380">
        <f>HYPERLINK("https://www.dofusbook.net/fr/equipement/2656206-stuff-1/objets", "link")</f>
        <v/>
      </c>
      <c r="C12380" t="n">
        <v>0</v>
      </c>
      <c r="D12380" t="inlineStr">
        <is>
          <t>Bâton Brelle; Frimamulette; Anneau d'Allister; Alliance Gloursonne; Ceinture de Klime; Couronne d'Allister; Cape Matelassée; Pantoufles Émar</t>
        </is>
      </c>
    </row>
    <row r="12381">
      <c r="A12381" t="inlineStr">
        <is>
          <t>Stuff 1</t>
        </is>
      </c>
      <c r="B12381">
        <f>HYPERLINK("https://www.dofusbook.net/fr/equipement/299570-stuff-1/objets", "link")</f>
        <v/>
      </c>
      <c r="C12381" t="n">
        <v>0</v>
      </c>
      <c r="D12381" t="inlineStr">
        <is>
          <t>Sabres d'Atcham; Amulette du Strigide; Bracelet du Piloztère; Anneau de Padgref; Bouclier cubiste; Ceinture du Strigide; Coiffe de Padgref; Cape d'Atcham; Getas de Padgref; Muldo Prune et Emeraude</t>
        </is>
      </c>
    </row>
    <row r="12382">
      <c r="A12382" t="inlineStr">
        <is>
          <t>Stuff 3</t>
        </is>
      </c>
      <c r="B12382">
        <f>HYPERLINK("https://www.dofusbook.net/fr/equipement/299573-stuff-3/objets", "link")</f>
        <v/>
      </c>
      <c r="C12382" t="n">
        <v>0</v>
      </c>
      <c r="D12382" t="inlineStr">
        <is>
          <t>Arc Hétype; Amulette du Glourséleste; Pikano; Anneau Instable; Ceinture Instable; Couronne de Nidas; Cape de Léthaline; Pantoufles Émar; Ralentisseur majeur; Entraveur majeur; Temporiseur majeur</t>
        </is>
      </c>
    </row>
    <row r="12383">
      <c r="A12383" t="inlineStr">
        <is>
          <t>Stuff 3</t>
        </is>
      </c>
      <c r="B12383">
        <f>HYPERLINK("https://www.dofusbook.net/fr/equipement/299553-stuff-3/objets", "link")</f>
        <v/>
      </c>
      <c r="C12383" t="n">
        <v>0</v>
      </c>
      <c r="D12383" t="inlineStr">
        <is>
          <t>Epée Gloursonne; Amulette du Strigide; Bague Gloursonne; Alliance Gloursonne; Ceinture du Strigide; Capuche de l'Œil Putride; Cape de l'Œil Putride; Bottes du Strigide</t>
        </is>
      </c>
    </row>
    <row r="12384">
      <c r="A12384" t="inlineStr">
        <is>
          <t>Stuff 1</t>
        </is>
      </c>
      <c r="B12384">
        <f>HYPERLINK("https://www.dofusbook.net/fr/equipement/299571-stuff-1/objets", "link")</f>
        <v/>
      </c>
      <c r="C12384" t="n">
        <v>0</v>
      </c>
      <c r="D12384" t="inlineStr">
        <is>
          <t>Dagues Açantes; Amulette Hale; Alliance Gloursonne; Pikano; Bouclier cubiste; Ceinture Instable; Casquipik; Cape Matelassée; Bottes de la Dame du Hasard; Temporiseur majeur; Remueur; Miraculé majeur; Entraveur majeur; Dévastateur Eau majeur; Nomade; Dragoune Rose</t>
        </is>
      </c>
    </row>
    <row r="12385">
      <c r="A12385" t="inlineStr">
        <is>
          <t>CRETIN</t>
        </is>
      </c>
      <c r="B12385">
        <f>HYPERLINK("https://www.dofusbook.net/fr/equipement/2411913-cretin/objets", "link")</f>
        <v/>
      </c>
      <c r="C12385" t="n">
        <v>0</v>
      </c>
      <c r="D12385" t="inlineStr">
        <is>
          <t>Epée Kari; Amulette du Strigide; Bracelet du Piloztère; Anneau du Père Fwetar; Quatre-feuilles; Ceintacé; Chapeau Potin; Cape Reski; Bottes du Strigide; Nomade; Vigoureux majeur; Remueur; Muldo Prune et Emeraude</t>
        </is>
      </c>
    </row>
    <row r="12386">
      <c r="A12386" t="inlineStr">
        <is>
          <t>Stuff 1</t>
        </is>
      </c>
      <c r="B12386">
        <f>HYPERLINK("https://www.dofusbook.net/fr/equipement/2691069-stuff-1/objets", "link")</f>
        <v/>
      </c>
      <c r="C12386" t="n">
        <v>0</v>
      </c>
      <c r="D12386" t="inlineStr">
        <is>
          <t>Lance Horselé; Collier du Valet Veinard; Gant du Valet Veinard; Alliance Gloursonne; Bouclier alvéolé; Ceintouse; Chapoulpe; Cape du Valet Veinard; Tentassons; Dofus Pourpre; Dofus Ivoire; Dofus Ocre; Dofus Abyssal; Muldo Ebène et Pourpre</t>
        </is>
      </c>
    </row>
    <row r="12387">
      <c r="A12387" t="inlineStr">
        <is>
          <t>Stuff 3</t>
        </is>
      </c>
      <c r="B12387">
        <f>HYPERLINK("https://www.dofusbook.net/fr/equipement/299569-stuff-3/objets", "link")</f>
        <v/>
      </c>
      <c r="C12387" t="n">
        <v>0</v>
      </c>
      <c r="D12387" t="inlineStr">
        <is>
          <t>Dagoulinantes; Amulette du Strigide; Alliance Gloursonne; Bague Trithon; Bouclier du Stalak; Ceinture du Strigide; Kidibonnet; Chevelure de Tal Kasha; Pataugastrique; Nomade; Vigoureux majeur; Dévastateur Eau majeur; Chanceux majeur; Remueur; Fonceur majeur; Muldo Prune et Emeraude</t>
        </is>
      </c>
    </row>
    <row r="12388">
      <c r="A12388" t="inlineStr">
        <is>
          <t>steamcheat</t>
        </is>
      </c>
      <c r="B12388">
        <f>HYPERLINK("https://www.dofusbook.net/fr/equipement/2412275-steamcheat/objets", "link")</f>
        <v/>
      </c>
      <c r="C12388" t="n">
        <v>1</v>
      </c>
      <c r="D12388" t="inlineStr"/>
    </row>
    <row r="12389">
      <c r="A12389" t="inlineStr">
        <is>
          <t>Stuff 2</t>
        </is>
      </c>
      <c r="B12389">
        <f>HYPERLINK("https://www.dofusbook.net/fr/equipement/2320115-stuff-2/objets", "link")</f>
        <v/>
      </c>
      <c r="C12389" t="n">
        <v>1</v>
      </c>
      <c r="D12389" t="inlineStr">
        <is>
          <t>Lance Horselé; Collier du Valet Veinard; Gant du Valet Veinard; Anneau d'Allister; Ceinture de Kongoku; Couronne d'Allister; Cape du Valet Veinard; Bottes d'Allister; Dofus des Glaces; Dofus Ocre; Muldo Ebène et Pourpre</t>
        </is>
      </c>
    </row>
    <row r="12390">
      <c r="A12390" t="inlineStr">
        <is>
          <t>Stuff 2</t>
        </is>
      </c>
      <c r="B12390">
        <f>HYPERLINK("https://www.dofusbook.net/fr/equipement/299572-stuff-2/objets", "link")</f>
        <v/>
      </c>
      <c r="C12390" t="n">
        <v>0</v>
      </c>
      <c r="D12390" t="inlineStr">
        <is>
          <t>Epée Gloursonne; Amulette de l'Œil Attentif; Anneau Instable; Bague Instable; Goulclier; Ceinture Instable; Capuche de l'Œil Attentif; Cape de l'Œil Attentif; Goulbottes; Dofus Émeraude; Dofus des Glaces; Dofus Pourpre; Dofus Ocre; Dofus Turquoise; Kramkram</t>
        </is>
      </c>
    </row>
    <row r="12391">
      <c r="A12391" t="inlineStr">
        <is>
          <t>Stuff 3</t>
        </is>
      </c>
      <c r="B12391">
        <f>HYPERLINK("https://www.dofusbook.net/fr/equipement/299560-stuff-3/objets", "link")</f>
        <v/>
      </c>
      <c r="C12391" t="n">
        <v>1</v>
      </c>
      <c r="D12391" t="inlineStr">
        <is>
          <t>Epée Gloursonne; Amulette Ementaire Deluxe; Anneau Instable; Bague Instable; Bouclier d'Anerice; Ceinture Instable; Masque d'Anerice; Cape d'Anerice; Bottes du Katcheur; Dofus Ocre; Dofus Émeraude; Dofus Cawotte; Dofus Turquoise; Dokoko; Kramkram</t>
        </is>
      </c>
    </row>
    <row r="12392">
      <c r="A12392" t="inlineStr">
        <is>
          <t>Stuff 3</t>
        </is>
      </c>
      <c r="B12392">
        <f>HYPERLINK("https://www.dofusbook.net/fr/equipement/299557-stuff-3/objets", "link")</f>
        <v/>
      </c>
      <c r="C12392" t="n">
        <v>1</v>
      </c>
      <c r="D12392" t="inlineStr">
        <is>
          <t>Plumeau Bil; Amulette d'Otomaï; Anneau Tamie; Anneau Tamie; Ceintrigue; Coiffe Séculaire; Cape de Diondin; Pataugastrique; Dofus Cawotte; Dokoko; Nomade; Remueur; Guérisseur majeur; Érudit majeur; Dragodinde Emeraude et Orchidée</t>
        </is>
      </c>
    </row>
    <row r="12393">
      <c r="A12393" t="inlineStr">
        <is>
          <t>Stuff 2</t>
        </is>
      </c>
      <c r="B12393">
        <f>HYPERLINK("https://www.dofusbook.net/fr/equipement/299552-stuff-2/objets", "link")</f>
        <v/>
      </c>
      <c r="C12393" t="n">
        <v>0</v>
      </c>
      <c r="D12393" t="inlineStr">
        <is>
          <t>Marteau Reine; Amulette de Nevark; Anneau Aimgéroks; Anneau de la Fuji Givrefoux; Ceinture de Nevark; Coiffe de la Fuji Givrefoux; Cape de la Fuji Givrefoux; Bottes de la Fuji Givrefoux; Dofus des Glaces; Dofus Émeraude; Dofus Pourpre; Saccageur Terre majeur; Saccageur Neutre majeur; Robuste majeur; Muldo Doré</t>
        </is>
      </c>
    </row>
    <row r="12394">
      <c r="A12394" t="inlineStr">
        <is>
          <t>Stuff 1</t>
        </is>
      </c>
      <c r="B12394">
        <f>HYPERLINK("https://www.dofusbook.net/fr/equipement/299564-stuff-1/objets", "link")</f>
        <v/>
      </c>
      <c r="C12394" t="n">
        <v>1</v>
      </c>
      <c r="D12394" t="inlineStr">
        <is>
          <t>Arc Nécrotique; Talisman Igans; Anneau Tique; Bague Trithon; Poulpagne; Casquette de Meno; Voile d'encre; Bottes Owesli; Dofus Turquoise; Dofus des Glaces; Dofus Émeraude; Remueur; Nomade; Kramkram</t>
        </is>
      </c>
    </row>
    <row r="12395">
      <c r="A12395" t="inlineStr">
        <is>
          <t>Stuff 3</t>
        </is>
      </c>
      <c r="B12395">
        <f>HYPERLINK("https://www.dofusbook.net/fr/equipement/299566-stuff-3/objets", "link")</f>
        <v/>
      </c>
      <c r="C12395" t="n">
        <v>0</v>
      </c>
      <c r="D12395" t="inlineStr">
        <is>
          <t>Sabres d'Atcham; Amulette de Pol Ouatnos; Anneau Tique; Alliance Gloursonne; Ceinture du Barbétoal; Chapeau des Malveilleurs; Cape d'Atcham; Sandales  d'Atcham; Dofus des Glaces; Dofus Ocre; Dofus Pourpre; Dofus Turquoise; Croum</t>
        </is>
      </c>
    </row>
    <row r="12396">
      <c r="A12396" t="inlineStr">
        <is>
          <t>eau/air</t>
        </is>
      </c>
      <c r="B12396">
        <f>HYPERLINK("https://www.dofusbook.net/fr/equipement/1691399-eau-air/objets", "link")</f>
        <v/>
      </c>
      <c r="C12396" t="n">
        <v>1</v>
      </c>
      <c r="D12396" t="inlineStr">
        <is>
          <t>Manthache; Amulette du Kamasterisk; Alliance Gloursonne; Gant du Valet Veinard; Ceintouse; Dorabysses; Cape du Kamasterisk; Baleinabottes; Dofus Ocre; Dofus des Glaces; Dofus Émeraude; Kramkram</t>
        </is>
      </c>
    </row>
    <row r="12397">
      <c r="A12397" t="inlineStr">
        <is>
          <t>panda199</t>
        </is>
      </c>
      <c r="B12397">
        <f>HYPERLINK("https://www.dofusbook.net/fr/equipement/424643-panda199/objets", "link")</f>
        <v/>
      </c>
      <c r="C12397" t="n">
        <v>1</v>
      </c>
      <c r="D12397" t="inlineStr">
        <is>
          <t>Epée Gloursonne; Amulette du Glourséleste; Bague Gloursonne; Alliance Gloursonne; Ceinture du Glourséleste; Masque du Glourséleste; Cape du Glourséleste; Bottes du Glourséleste</t>
        </is>
      </c>
    </row>
    <row r="12398">
      <c r="A12398" t="inlineStr">
        <is>
          <t>eau/air</t>
        </is>
      </c>
      <c r="B12398">
        <f>HYPERLINK("https://www.dofusbook.net/fr/equipement/495264-eau-air/objets", "link")</f>
        <v/>
      </c>
      <c r="C12398" t="n">
        <v>1</v>
      </c>
      <c r="D12398" t="inlineStr">
        <is>
          <t>Lance corrompue; Amulette de l'Indicible; Anneau des égarés; Alliance Gloursonne; Ceintacé; Coiffe de la Reine des Voleurs; Cape du Cœur Vaillant; Bottes de la Reine des Voleurs; Dofus des Glaces; Dofus Abyssal; Dofus Ivoire; Nomade; Remueur; Kramkram</t>
        </is>
      </c>
    </row>
    <row r="12399">
      <c r="A12399" t="inlineStr">
        <is>
          <t>Stuff 2</t>
        </is>
      </c>
      <c r="B12399">
        <f>HYPERLINK("https://www.dofusbook.net/fr/equipement/299562-stuff-2/objets", "link")</f>
        <v/>
      </c>
      <c r="C12399" t="n">
        <v>0</v>
      </c>
      <c r="D12399" t="inlineStr">
        <is>
          <t>Epée Gloursonne; Amulette du Strigide; Bague Gloursonne; Alliance Gloursonne; Ceinture du Strigide; Coiffe du Lévitrof; Cape de la Cour Sombre; Bottes du Strigide; Dofus des Glaces; Dofus Pourpre; Dofus Turquoise; Dofus Émeraude; Muldo Prune et Emeraude</t>
        </is>
      </c>
    </row>
    <row r="12400">
      <c r="A12400" t="inlineStr">
        <is>
          <t>Stuff 3</t>
        </is>
      </c>
      <c r="B12400">
        <f>HYPERLINK("https://www.dofusbook.net/fr/equipement/299547-stuff-3/objets", "link")</f>
        <v/>
      </c>
      <c r="C12400" t="n">
        <v>0</v>
      </c>
      <c r="D12400" t="inlineStr">
        <is>
          <t>Amibou; Alliance Gloursonne; Protopagne; Couronne d'Allister; Capibou; Dofus Turquoise; Dofus Ocre; Kramkram</t>
        </is>
      </c>
    </row>
    <row r="12401">
      <c r="A12401" t="inlineStr">
        <is>
          <t>Stuff 1</t>
        </is>
      </c>
      <c r="B12401">
        <f>HYPERLINK("https://www.dofusbook.net/fr/equipement/299574-stuff-1/objets", "link")</f>
        <v/>
      </c>
      <c r="C12401" t="n">
        <v>1</v>
      </c>
      <c r="D12401" t="inlineStr">
        <is>
          <t>Epée Gloursonne; Amulette du Strigide; Alliance Gloursonne; Bague Gloursonne; Ceinture du Strigide; Casque du Chalœil; Cape du Chalœil; Bottes du Chalœil; Dofus des Glaces; Dofus Pourpre; Dokoko; Dofus Ocre; Dofus Émeraude; Dofus Turquoise; Kramkram</t>
        </is>
      </c>
    </row>
    <row r="12402">
      <c r="A12402" t="inlineStr">
        <is>
          <t>Stuff 2</t>
        </is>
      </c>
      <c r="B12402">
        <f>HYPERLINK("https://www.dofusbook.net/fr/equipement/299559-stuff-2/objets", "link")</f>
        <v/>
      </c>
      <c r="C12402" t="n">
        <v>2</v>
      </c>
      <c r="D12402" t="inlineStr">
        <is>
          <t>Lance Horselé; Amulette Ementaire Deluxe; Bague Instable; Anneau Instable; Bouclier d'Anerice; Ceinture Instable; Masque d'Anerice; Cape d'Anerice; Bottes du Chalœil; Dofus Émeraude; Dofus Ivoire; Dofus Ocre; Dokoko; Dofus Abyssal; Kramkram</t>
        </is>
      </c>
    </row>
    <row r="12403">
      <c r="A12403" t="inlineStr">
        <is>
          <t>Stuff 1</t>
        </is>
      </c>
      <c r="B12403">
        <f>HYPERLINK("https://www.dofusbook.net/fr/equipement/299554-stuff-1/objets", "link")</f>
        <v/>
      </c>
      <c r="C12403" t="n">
        <v>1</v>
      </c>
      <c r="D12403" t="inlineStr">
        <is>
          <t>Pelle de la Cour Sombre; Collier du Valet Veinard; Alliance Gloursonne; Gant du Valet Veinard; Menoture; Couronne d'Allister; Cape Indescriptible; Baleinabottes; Saccageur Air majeur; Remueur; Dévastateur Air majeur; Nomade; Cascadeur majeur; Siroko</t>
        </is>
      </c>
    </row>
    <row r="12404">
      <c r="A12404" t="inlineStr">
        <is>
          <t>Stuff 2</t>
        </is>
      </c>
      <c r="B12404">
        <f>HYPERLINK("https://www.dofusbook.net/fr/equipement/299549-stuff-2/objets", "link")</f>
        <v/>
      </c>
      <c r="C12404" t="n">
        <v>0</v>
      </c>
      <c r="D12404" t="inlineStr">
        <is>
          <t>Dagues Lassay; Frimamulette; Anneau d'Allister; Alliance Gloursonne; Ceinture de Klime; Couronne d'Allister; Cape Matelassée; Pantoufles Émar; Miraculé majeur; Remueur; Dévastateur Air majeur; Nomade; Equilibriste majeur; Cascadeur majeur; Siroko</t>
        </is>
      </c>
    </row>
    <row r="12405">
      <c r="A12405" t="inlineStr">
        <is>
          <t>Stuff 1</t>
        </is>
      </c>
      <c r="B12405">
        <f>HYPERLINK("https://www.dofusbook.net/fr/equipement/299561-stuff-1/objets", "link")</f>
        <v/>
      </c>
      <c r="C12405" t="n">
        <v>0</v>
      </c>
      <c r="D12405" t="inlineStr">
        <is>
          <t>Arc de Guten Tak; Amulette Ementaire Deluxe; Alliance de Guten Tak; Anneau de Guten Tak; Ceinture de Soissanth; Coiffe de Soissanth; Cape des Matougarous; Pantoufles de Soissanth; Dofus Pourpre; Dofus Ocre; Dokoko; Dolmanax; Dofus Émeraude; Dofus des Glaces; Kramkram</t>
        </is>
      </c>
    </row>
    <row r="12406">
      <c r="A12406" t="inlineStr">
        <is>
          <t>Stuff 2</t>
        </is>
      </c>
      <c r="B12406">
        <f>HYPERLINK("https://www.dofusbook.net/fr/equipement/299556-stuff-2/objets", "link")</f>
        <v/>
      </c>
      <c r="C12406" t="n">
        <v>0</v>
      </c>
      <c r="D12406" t="inlineStr">
        <is>
          <t>Marteau des Anciens Steamers; Amulette Voldelor; Anneau de Pol Ouatnos; Alliance Gloursonne; Ceinture Voldelor; Kidibonnet; Cape des Malveilleurs; Bottes de la Reine des Voleurs; Dofus Pourpre; Dofus des Glaces; Dofus Turquoise; Déserteur majeur; Remueur; Nomade; Kramkram</t>
        </is>
      </c>
    </row>
    <row r="12407">
      <c r="A12407" t="inlineStr">
        <is>
          <t>Stuff 2</t>
        </is>
      </c>
      <c r="B12407">
        <f>HYPERLINK("https://www.dofusbook.net/fr/equipement/299568-stuff-2/objets", "link")</f>
        <v/>
      </c>
      <c r="C12407" t="n">
        <v>1</v>
      </c>
      <c r="D12407" t="inlineStr">
        <is>
          <t>Epée Gloursonne; Amulette Ementaire Deluxe; Alliance Gloursonne; Bague Gloursonne; Ceinture de Kongoku; Casque du Chalœil; Cape du Chalœil; Bottes du Chalœil; Dofus Émeraude; Dofus des Glaces; Dokoko; Dofus Pourpre; Dofus Turquoise; Dofus Ocre; Muldo Ebène et Indigo</t>
        </is>
      </c>
    </row>
    <row r="12408">
      <c r="A12408" t="inlineStr">
        <is>
          <t>Stuff 1</t>
        </is>
      </c>
      <c r="B12408">
        <f>HYPERLINK("https://www.dofusbook.net/fr/equipement/299558-stuff-1/objets", "link")</f>
        <v/>
      </c>
      <c r="C12408" t="n">
        <v>1</v>
      </c>
      <c r="D12408" t="inlineStr">
        <is>
          <t>Arc de Guten Tak; Amulette de Guten Tak; Anneau de Guten Tak; Alliance de Guten Tak; Ceinture de Soissanth; Coiffe de Soissanth; Cape des Matougarous; Pantoufles de Soissanth; Dofus Turquoise; Dofus Ocre; Dofus des Glaces; Dofus Pourpre; Dofus Émeraude; Ralentisseur majeur; Dragodinde Amande et Emeraude</t>
        </is>
      </c>
    </row>
    <row r="12409">
      <c r="A12409" t="inlineStr">
        <is>
          <t>Stuff 1</t>
        </is>
      </c>
      <c r="B12409">
        <f>HYPERLINK("https://www.dofusbook.net/fr/equipement/299548-stuff-1/objets", "link")</f>
        <v/>
      </c>
      <c r="C12409" t="n">
        <v>0</v>
      </c>
      <c r="D12409" t="inlineStr">
        <is>
          <t>Bêche Asse; Amulette Héroclite; Anneau de Brouce; Gelano; Ceinture de Brouce; Le Kim; Cape au Logis; Sabots Minables; Remueur; Nomade; Enragé majeur; Dragodinde Prune et Pourpre</t>
        </is>
      </c>
    </row>
    <row r="12410">
      <c r="A12410" t="inlineStr">
        <is>
          <t>Stuff 2</t>
        </is>
      </c>
      <c r="B12410">
        <f>HYPERLINK("https://www.dofusbook.net/fr/equipement/299565-stuff-2/objets", "link")</f>
        <v/>
      </c>
      <c r="C12410" t="n">
        <v>0</v>
      </c>
      <c r="D12410" t="inlineStr">
        <is>
          <t>Sceptre du Roi Joueur; Amulette Luminescente; Bracelet des Fonds marins; Pikano; Ceinture Luminescente; Masque des Fonds marins; Cape Luminescente; Sandales des Fonds marins; Dofus Ocre; Dofus Pourpre; Dofus Turquoise; Dofus des Glaces; Dofus Vulbis; Dofus Émeraude; Kramkram</t>
        </is>
      </c>
    </row>
    <row r="12411">
      <c r="A12411" t="inlineStr">
        <is>
          <t>Stuff 3</t>
        </is>
      </c>
      <c r="B12411">
        <f>HYPERLINK("https://www.dofusbook.net/fr/equipement/299550-stuff-3/objets", "link")</f>
        <v/>
      </c>
      <c r="C12411" t="n">
        <v>0</v>
      </c>
      <c r="D12411" t="inlineStr">
        <is>
          <t>Arc Hétype; Pendentif affamé; Anneau de Nidas; Bague Gloursonne; Sangle Ouare; Couronne de Nidas; Voile d'encre; Pataugastrique</t>
        </is>
      </c>
    </row>
    <row r="12412">
      <c r="A12412" t="inlineStr">
        <is>
          <t>Stuff 1</t>
        </is>
      </c>
      <c r="B12412">
        <f>HYPERLINK("https://www.dofusbook.net/fr/equipement/299545-stuff-1/objets", "link")</f>
        <v/>
      </c>
      <c r="C12412" t="n">
        <v>0</v>
      </c>
      <c r="D12412" t="inlineStr">
        <is>
          <t>Epée Gloursonne; Amulette Ementaire Deluxe; Alliance Gloursonne; Bague Gloursonne; Ceinture de Kongoku; Casque du Chalœil; Cape du Chalœil; Bottes du Chalœil; Dofus Émeraude; Dofus des Glaces; Dokoko; Dofus Pourpre; Dofus Turquoise; Dofus Ocre; Muldo Ebène et Indigo</t>
        </is>
      </c>
    </row>
    <row r="12413">
      <c r="A12413" t="inlineStr">
        <is>
          <t>Huppermage F 200</t>
        </is>
      </c>
      <c r="B12413">
        <f>HYPERLINK("https://www.dofusbook.net/fr/equipement/5302212-huppermage-f-200/objets", "link")</f>
        <v/>
      </c>
      <c r="C12413" t="n">
        <v>0</v>
      </c>
      <c r="D12413" t="inlineStr"/>
    </row>
    <row r="12414">
      <c r="A12414" t="inlineStr">
        <is>
          <t>Iop FO ini</t>
        </is>
      </c>
      <c r="B12414">
        <f>HYPERLINK("https://www.dofusbook.net/fr/equipement/4687208-iop-fo-ini/objets", "link")</f>
        <v/>
      </c>
      <c r="C12414" t="n">
        <v>5</v>
      </c>
      <c r="D12414" t="inlineStr">
        <is>
          <t>Marteau R'ture; Collier de Tourthon; Anneau Crustique; Anneau Chevelu; Cadran d'Eau; Ceinture de la Cour Sombre; Masque de Koutoulou; Cape au Logis; Bottes de la Cour Sombre; Dofus Abyssal; Dofus Ocre; Dofus Nébuleux; Dofus Ébène; Dofus Ivoire; Dofus Turquoise; Dragodinde Emeraude et Pourpre</t>
        </is>
      </c>
    </row>
    <row r="12415">
      <c r="A12415" t="inlineStr">
        <is>
          <t>Iop Air-Terre Dis</t>
        </is>
      </c>
      <c r="B12415">
        <f>HYPERLINK("https://www.dofusbook.net/fr/equipement/2438143-iop-air-terre-dis/objets", "link")</f>
        <v/>
      </c>
      <c r="C12415" t="n">
        <v>8</v>
      </c>
      <c r="D12415" t="inlineStr">
        <is>
          <t>Baguette de Torkélonia; Amulette du Strigide; Bague Gloursonne; Alliance Gloursonne; Quatre-feuilles; Ceinture du Strigide; Corne de Torkélonia; Carapace de Torkélonia; Bottes du Strigide; Dofus Nébuleux; Dofus Ivoire; Dofus Turquoise; Dofus Ébène; Dofus Ocre; Dofus Abyssal; Mékrabe</t>
        </is>
      </c>
    </row>
    <row r="12416">
      <c r="A12416" t="inlineStr">
        <is>
          <t>Iop M 200</t>
        </is>
      </c>
      <c r="B12416">
        <f>HYPERLINK("https://www.dofusbook.net/fr/equipement/5276481-iop-m-200/objets", "link")</f>
        <v/>
      </c>
      <c r="C12416" t="n">
        <v>0</v>
      </c>
      <c r="D12416" t="inlineStr">
        <is>
          <t>Marteau R'ture; Amulette Volkorne; Chevalière du Roi Joueur; Anneau Chevelu; Cadran d'Eau; Ceinture Volkorne; Couronne du Roi Joueur; Voile d'encre; Bottes du Roi Joueur; Dofus Nébuleux; Dofus Ivoire; Dofus Ocre; Dofus Abyssal; Dofus Vulbis; Dofus Ébène; Volkorne Emeraude et Pourpre</t>
        </is>
      </c>
    </row>
    <row r="12417">
      <c r="A12417" t="inlineStr">
        <is>
          <t>Ougi Légenbabe</t>
        </is>
      </c>
      <c r="B12417">
        <f>HYPERLINK("https://www.dofusbook.net/fr/equipement/5085292-ougi-legenbabe/objets", "link")</f>
        <v/>
      </c>
      <c r="C12417" t="n">
        <v>1</v>
      </c>
      <c r="D12417" t="inlineStr">
        <is>
          <t>Marteau R'ture; Collier de Tourthon; Anneau Crustique; Anneau Chevelu; Droiture de Fallanster; Ceinture de la Cour Sombre; Casque Dragoeuf; Bravoure de Rykke Errel; Bottes de la Cour Sombre; Dofus Ocre; Dofus Abyssal; Dofus Ébène; Dofus Ivoire; Nomade; Remueur; Dragodinde Ivoire et Pourpre</t>
        </is>
      </c>
    </row>
    <row r="12418">
      <c r="A12418" t="inlineStr">
        <is>
          <t>Eau/Air lv 200</t>
        </is>
      </c>
      <c r="B12418">
        <f>HYPERLINK("https://www.dofusbook.net/fr/equipement/940626-eau-air-lv-200/objets", "link")</f>
        <v/>
      </c>
      <c r="C12418" t="n">
        <v>0</v>
      </c>
      <c r="D12418" t="inlineStr">
        <is>
          <t>Arc corrompu; Frimamulette; Alliance Gloursonne; Anneau Rifique; Cadran de Terre; Ceinture de Vortex; Masque Brûlâme; Cape Martegel; Sabots de Vortex; Dofus Ivoire; Dofus Abyssal; Dofus Ébène; Dofus Ocre; Remueur; Nomade; Minimino</t>
        </is>
      </c>
    </row>
    <row r="12419">
      <c r="A12419" t="inlineStr">
        <is>
          <t>Iop Do Crit</t>
        </is>
      </c>
      <c r="B12419">
        <f>HYPERLINK("https://www.dofusbook.net/fr/equipement/4899152-iop-do-crit/objets", "link")</f>
        <v/>
      </c>
      <c r="C12419" t="n">
        <v>0</v>
      </c>
      <c r="D12419" t="inlineStr">
        <is>
          <t>Hache Téroïde; Amulette Volkorne; Bague Trithon; Anneau Volkorne; Cadran d'Eau; Ceinture Volkorne; Masque Trithon; Voile d'encre; Bottes Trithon; Dofus Nébuleux; Dofus Abyssal; Dofus Ocre; Dofus Ivoire; Dofus Turquoise; Dofus Ébène; Kokulte</t>
        </is>
      </c>
    </row>
    <row r="12420">
      <c r="A12420" t="inlineStr">
        <is>
          <t>Full Feu 200</t>
        </is>
      </c>
      <c r="B12420">
        <f>HYPERLINK("https://www.dofusbook.net/fr/equipement/1331453-full-feu-200/objets", "link")</f>
        <v/>
      </c>
      <c r="C12420" t="n">
        <v>0</v>
      </c>
      <c r="D12420" t="inlineStr">
        <is>
          <t>Le Thanos; Amulette Volkorne; Anneau Rifique; Anneau de Nidas; Bouclier du Stalak; Ceinture de Vortex; Heaume Oplate; Voile d'encre; Sabots de Vortex; Dofus Ocre; Dofus Ébène; Dofus Ivoire; Érudit majeur; Étourdisseur majeur; Remueur</t>
        </is>
      </c>
    </row>
    <row r="12421">
      <c r="A12421" t="inlineStr">
        <is>
          <t>Iop Ré Crit</t>
        </is>
      </c>
      <c r="B12421">
        <f>HYPERLINK("https://www.dofusbook.net/fr/equipement/5031243-iop-re-crit/objets", "link")</f>
        <v/>
      </c>
      <c r="C12421" t="n">
        <v>0</v>
      </c>
      <c r="D12421" t="inlineStr">
        <is>
          <t>Marteau R'ture; Collier de Tourthon; Anneau Chevelu; Anneau de Brouce; Bouclier d'Ilyzaelle; Ceinture de la Reine des Voleurs; Coiffe de la Reine des Voleurs; Cape au Logis; Bottes de la Cour Sombre; Dofus Ébène; Dofus Ivoire; Dofus Ocre; Dofus Nébuleux; Enragé majeur; Remueur; Wabbit</t>
        </is>
      </c>
    </row>
    <row r="12422">
      <c r="A12422" t="inlineStr">
        <is>
          <t>Full Feu</t>
        </is>
      </c>
      <c r="B12422">
        <f>HYPERLINK("https://www.dofusbook.net/fr/equipement/4778177-full-feu/objets", "link")</f>
        <v/>
      </c>
      <c r="C12422" t="n">
        <v>0</v>
      </c>
      <c r="D12422" t="inlineStr">
        <is>
          <t>Arc corrompu; Pendentif affamé; Anneauræus; Anneau Rifique; Quatre-feuilles; Ceinture Séculaire; Coiffe Séculaire; Voile d'encre; Bottes Innommables; Dofus Nébuleux; Dofus Ocre; Dofus Ébène; Dofus Ivoire; Nomade; Remueur; Dragodinde Amande et Orchidée</t>
        </is>
      </c>
    </row>
    <row r="12423">
      <c r="A12423" t="inlineStr">
        <is>
          <t>Iop Terre-Air</t>
        </is>
      </c>
      <c r="B12423">
        <f>HYPERLINK("https://www.dofusbook.net/fr/equipement/4837108-iop-terre-air/objets", "link")</f>
        <v/>
      </c>
      <c r="C12423" t="n">
        <v>0</v>
      </c>
      <c r="D12423" t="inlineStr"/>
    </row>
    <row r="12424">
      <c r="A12424" t="inlineStr">
        <is>
          <t>Féca F 200</t>
        </is>
      </c>
      <c r="B12424">
        <f>HYPERLINK("https://www.dofusbook.net/fr/equipement/4824258-feca-f-200/objets", "link")</f>
        <v/>
      </c>
      <c r="C12424" t="n">
        <v>0</v>
      </c>
      <c r="D12424" t="inlineStr"/>
    </row>
    <row r="12425">
      <c r="A12425" t="inlineStr">
        <is>
          <t>Sadida F 200</t>
        </is>
      </c>
      <c r="B12425">
        <f>HYPERLINK("https://www.dofusbook.net/fr/equipement/4110471-sadida-f-200/objets", "link")</f>
        <v/>
      </c>
      <c r="C12425" t="n">
        <v>3</v>
      </c>
      <c r="D12425" t="inlineStr">
        <is>
          <t>Arc du Chalœil; Amulette Héroclite; Anneau Chevelu; Chevalière du Roi Joueur; Bouclier cubiste; Ceinture Volkorne; Masque de Koutoulou; Cape au Logis; Bottes du Roi Joueur; Dofus Pourpre; Dofus Ivoire; Dofus Ocre; Dofus Ébène; Temporiseur majeur; Enragé majeur; Gwo Tofu Ventripotent</t>
        </is>
      </c>
    </row>
    <row r="12426">
      <c r="A12426" t="inlineStr">
        <is>
          <t>Iop M 200</t>
        </is>
      </c>
      <c r="B12426">
        <f>HYPERLINK("https://www.dofusbook.net/fr/equipement/4120420-iop-m-200/objets", "link")</f>
        <v/>
      </c>
      <c r="C12426" t="n">
        <v>0</v>
      </c>
      <c r="D12426" t="inlineStr">
        <is>
          <t>Voile d'encre</t>
        </is>
      </c>
    </row>
    <row r="12427">
      <c r="A12427" t="inlineStr">
        <is>
          <t>Sadida F 200</t>
        </is>
      </c>
      <c r="B12427">
        <f>HYPERLINK("https://www.dofusbook.net/fr/equipement/4687147-sadida-f-200/objets", "link")</f>
        <v/>
      </c>
      <c r="C12427" t="n">
        <v>0</v>
      </c>
      <c r="D12427" t="inlineStr">
        <is>
          <t>Marteau R'ture; Amulette Volcanique; Anneau Chevelu; Chevalière du Roi Joueur; Bouclier cubiste; Ceinture Volkorne; Chapeau de Gein; Cape au Logis; Bottes du Roi Joueur; Dofus Ocre; Dofus Ivoire; Dofus Ébène; Dofus Pourpre; Enragé majeur; Temporiseur majeur; Volkorne Améthyste et Turquoise</t>
        </is>
      </c>
    </row>
    <row r="12428">
      <c r="A12428" t="inlineStr">
        <is>
          <t>Air-Feu Ret PA</t>
        </is>
      </c>
      <c r="B12428">
        <f>HYPERLINK("https://www.dofusbook.net/fr/equipement/2940452-air-feu-ret-pa/objets", "link")</f>
        <v/>
      </c>
      <c r="C12428" t="n">
        <v>0</v>
      </c>
      <c r="D12428" t="inlineStr">
        <is>
          <t>Arc corrompu; Pendentif mignon de Koutoulou; Alliance Gloursonne; Anneau Rifique; Bouclier du Stalak; Ceinture de Vortex; Casque Cyclopéen; Cape Martegel; Sabots de Vortex; Dofus Ivoire; Dofus Vulbis; Dofus Pourpre; Dofus Nébuleux; Dofus Ébène; Dofus Ocre; Koalak Sanguin</t>
        </is>
      </c>
    </row>
    <row r="12429">
      <c r="A12429" t="inlineStr">
        <is>
          <t>Zobal Eau-Do Pou</t>
        </is>
      </c>
      <c r="B12429">
        <f>HYPERLINK("https://www.dofusbook.net/fr/equipement/4127601-zobal-eau-do-pou/objets", "link")</f>
        <v/>
      </c>
      <c r="C12429" t="n">
        <v>0</v>
      </c>
      <c r="D12429" t="inlineStr">
        <is>
          <t>Sceptre du Roi Joueur; Amulette de Shokkoth; Bracelet des Fonds marins; Alliance Gloursonne; Bouclier Taverne; Ceinture Glaciale; Masque d'Anerice; Cape d'Anerice; Bottes Owesli; Dofus Ocre; Dofus des Veilleurs; Chanceux majeur; Nomade; Culbuteur majeur; Remueur; Écumouth</t>
        </is>
      </c>
    </row>
    <row r="12430">
      <c r="A12430" t="inlineStr">
        <is>
          <t>Ecaflip Eau Do Pou</t>
        </is>
      </c>
      <c r="B12430">
        <f>HYPERLINK("https://www.dofusbook.net/fr/equipement/4170393-ecaflip-eau-do-pou/objets", "link")</f>
        <v/>
      </c>
      <c r="C12430" t="n">
        <v>2</v>
      </c>
      <c r="D12430" t="inlineStr">
        <is>
          <t>Sceptre du Roi Joueur; Amulette de Shokkoth; Alliance Gloursonne; Bracelet des Fonds marins; Bivalve; Ceinture Glaciale; Masque d'Anerice; Cape d'Anerice; Bottes Owesli; Dofus Ivoire; Dofus Nébuleux; Dofus Ocre; Chanceux majeur; Remueur; Nomade; Écumouth</t>
        </is>
      </c>
    </row>
    <row r="12431">
      <c r="A12431" t="inlineStr">
        <is>
          <t>Ecaflip Terre Do 200</t>
        </is>
      </c>
      <c r="B12431">
        <f>HYPERLINK("https://www.dofusbook.net/fr/equipement/4169676-ecaflip-terre-do--200/objets", "link")</f>
        <v/>
      </c>
      <c r="C12431" t="n">
        <v>3</v>
      </c>
      <c r="D12431" t="inlineStr">
        <is>
          <t>Lav'Hache; Amulette de Gein; Anneau de Brouce; Goulano; Goulclier; Ceinture Volkorne; Masque de Koutoulou; Cape au Logis; Bottes du Cœur Vaillant; Dofus Ocre; Dofus Nébuleux; Dofus Ivoire; Dofus Pourpre; Enragé majeur; Culbuteur majeur; Black Tiwabbit</t>
        </is>
      </c>
    </row>
    <row r="12432">
      <c r="A12432" t="inlineStr">
        <is>
          <t>Do Pou</t>
        </is>
      </c>
      <c r="B12432">
        <f>HYPERLINK("https://www.dofusbook.net/fr/equipement/202605-do-pou/objets", "link")</f>
        <v/>
      </c>
      <c r="C12432" t="n">
        <v>3</v>
      </c>
      <c r="D12432" t="inlineStr">
        <is>
          <t>Lav'Hache; Torquistik; Alliance Gloursonne; Bague Trithon; Bouclier précieux; Ceinture Gence; Casque Dragoeuf; Cape d'Anerice; Bottistik; Dofus Ivoire; Dofus Ocre; Pousseur majeur; Bousculeur majeur; Nomade; Culbuteur majeur; Tatouf</t>
        </is>
      </c>
    </row>
    <row r="12433">
      <c r="A12433" t="inlineStr">
        <is>
          <t>Iop Do Pou</t>
        </is>
      </c>
      <c r="B12433">
        <f>HYPERLINK("https://www.dofusbook.net/fr/equipement/4158975-iop-do-pou/objets", "link")</f>
        <v/>
      </c>
      <c r="C12433" t="n">
        <v>0</v>
      </c>
      <c r="D12433" t="inlineStr">
        <is>
          <t>Lav'Hache; Amulette Luminescente; Bague Trithon; Bague Instable; Bouclier précieux; Ceinture Gence; Masque d'Anerice; Cape d'Anerice; Bottes Owesli; Dofus Ocre; Dofus Ivoire; Bousculeur majeur; Nomade; Culbuteur majeur; Pousseur majeur; Tatouf</t>
        </is>
      </c>
    </row>
    <row r="12434">
      <c r="A12434" t="inlineStr">
        <is>
          <t>Full terre Tanky</t>
        </is>
      </c>
      <c r="B12434">
        <f>HYPERLINK("https://www.dofusbook.net/fr/equipement/2950983-full-terre-tanky/objets", "link")</f>
        <v/>
      </c>
      <c r="C12434" t="n">
        <v>2</v>
      </c>
      <c r="D12434" t="inlineStr">
        <is>
          <t>Lav'Hache; Collier de Tourthon; Goulano; Anneau Chevelu; Goulclier; Ceinture Gence; Masque de Koutoulou; Cape au Logis; Bottes de la Cour Sombre; Dofus Ivoire; Dofus Nébuleux; Dokoko; Dofus Pourpre; Enragé majeur; Culbuteur majeur; Black Tiwabbit</t>
        </is>
      </c>
    </row>
    <row r="12435">
      <c r="A12435" t="inlineStr">
        <is>
          <t>Full Agi-Crit</t>
        </is>
      </c>
      <c r="B12435">
        <f>HYPERLINK("https://www.dofusbook.net/fr/equipement/202604-full-agi-crit/objets", "link")</f>
        <v/>
      </c>
      <c r="C12435" t="n">
        <v>0</v>
      </c>
      <c r="D12435" t="inlineStr">
        <is>
          <t>Manthache; Amibou; Kralano; Alliance Gloursonne; Quatre-feuilles; Menoture; Casque des égarés; Capibou; Sabots de Vortex; Dofus Turquoise; Dofus Pourpre; Dofus Émeraude; Dofus Ocre; Carapace Air majeur; Cascadeur majeur; Muldo Orchidée et Pourpre</t>
        </is>
      </c>
    </row>
    <row r="12436">
      <c r="A12436" t="inlineStr">
        <is>
          <t>Sadida Terre Ret 200</t>
        </is>
      </c>
      <c r="B12436">
        <f>HYPERLINK("https://www.dofusbook.net/fr/equipement/4066695-sadida-terre-ret--200/objets", "link")</f>
        <v/>
      </c>
      <c r="C12436" t="n">
        <v>2</v>
      </c>
      <c r="D12436" t="inlineStr">
        <is>
          <t>Arc du Chalœil; Amulette Héroclite; Anneau Chevelu; Anneau de Brouce; Bouclier du Stalak; Ceinture Volkorne; Coiffe du Lévitrof; Voile d'encre; Bottes du Lévitrof; Dofus Ocre; Dofus Nébuleux; Dofus Ivoire; Déserteur majeur; Remueur; Enragé majeur; Muldo Ebène et Amande</t>
        </is>
      </c>
    </row>
    <row r="12437">
      <c r="A12437" t="inlineStr">
        <is>
          <t>Iop Full Feu 200</t>
        </is>
      </c>
      <c r="B12437">
        <f>HYPERLINK("https://www.dofusbook.net/fr/equipement/4080930-iop-full-feu-200/objets", "link")</f>
        <v/>
      </c>
      <c r="C12437" t="n">
        <v>1</v>
      </c>
      <c r="D12437" t="inlineStr">
        <is>
          <t>Arc corrompu; Pendentif mignon de Koutoulou; Goulano; Anneau Rifique; Bouclier du Stalak; Ceinture Séculaire; Masque Brûlâme; Voile d'encre; Bottes Innommables; Dofus Pourpre; Dofus Ocre; Dofus Ivoire; Déserteur majeur; Érudit majeur; Remueur; Muldo Orchidée et Amande</t>
        </is>
      </c>
    </row>
    <row r="12438">
      <c r="A12438" t="inlineStr">
        <is>
          <t>Sadida Eau/Feu 200</t>
        </is>
      </c>
      <c r="B12438">
        <f>HYPERLINK("https://www.dofusbook.net/fr/equipement/4051099-sadida-eau-feu-200/objets", "link")</f>
        <v/>
      </c>
      <c r="C12438" t="n">
        <v>1</v>
      </c>
      <c r="D12438" t="inlineStr">
        <is>
          <t>Épée Brûlâme; Collier de la Dame du Hasard; Bracelet des Fonds marins; Alliance Gloursonne; Bouclier cubiste; Ceinture Glaciale; Coiffe d'Ogivol; Cape de la Dame du Hasard; Bottes de Meno; Dofus Ocre; Dofus Turquoise; Remueur; Déserteur majeur; Temporiseur; Temporiseur majeur; Muldo Ebène et Amande</t>
        </is>
      </c>
    </row>
    <row r="12439">
      <c r="A12439" t="inlineStr">
        <is>
          <t>Iop Terre ré pou</t>
        </is>
      </c>
      <c r="B12439">
        <f>HYPERLINK("https://www.dofusbook.net/fr/equipement/2955010-iop-terre-re-pou/objets", "link")</f>
        <v/>
      </c>
      <c r="C12439" t="n">
        <v>1</v>
      </c>
      <c r="D12439" t="inlineStr">
        <is>
          <t>Collier de Tourthon; Anneau Chevelu; Goulano; Bouclier de Solar; Ceinture de la Cour Sombre; Maskrobe; Voile d'encre; Goulbottes; Dofus Ocre; Dofus Abyssal; Dofus Pourpre; Dofus Forgelave; Dofus Nébuleux; Dofus Ivoire</t>
        </is>
      </c>
    </row>
    <row r="12440">
      <c r="A12440" t="inlineStr">
        <is>
          <t>Sadida F 200</t>
        </is>
      </c>
      <c r="B12440">
        <f>HYPERLINK("https://www.dofusbook.net/fr/equipement/3283808-sadida-f-200/objets", "link")</f>
        <v/>
      </c>
      <c r="C12440" t="n">
        <v>0</v>
      </c>
      <c r="D12440" t="inlineStr">
        <is>
          <t>Dagoulinantes; Amulette de l'Œil Putride; Alliance Gloursonne; Bouclier cubiste; Ceinture Glaciale; Capuche de l'Œil Putride; Cape de Meno; Bottes de la Dame du Hasard; Dofus Ivoire; Dofus Ocre; Chanceux majeur; Remueur; Temporiseur majeur; Déserteur majeur; Muldo Indigo et Amande</t>
        </is>
      </c>
    </row>
    <row r="12441">
      <c r="A12441" t="inlineStr">
        <is>
          <t>Terre-Air 200</t>
        </is>
      </c>
      <c r="B12441">
        <f>HYPERLINK("https://www.dofusbook.net/fr/equipement/3069632-terre-air-200/objets", "link")</f>
        <v/>
      </c>
      <c r="C12441" t="n">
        <v>2</v>
      </c>
      <c r="D12441" t="inlineStr">
        <is>
          <t>Hache Ériphe; Amulette du Kamasterisk; Alliance Brûlâme; Bracelet du Piloztère; Quatre-feuilles; Ceinture Gence; Chapoulpe; Cape du Kamasterisk; Bottes du Cœur Vaillant; Dofus Pourpre; Dofus Nébuleux; Dofus Turquoise; Dofus Ocre; Enragé majeur; Vigoureux majeur; Muldo Orchidée et Pourpre</t>
        </is>
      </c>
    </row>
    <row r="12442">
      <c r="A12442" t="inlineStr">
        <is>
          <t>Iop Terre Esq. PM</t>
        </is>
      </c>
      <c r="B12442">
        <f>HYPERLINK("https://www.dofusbook.net/fr/equipement/2955086-iop-terre-esq--pm/objets", "link")</f>
        <v/>
      </c>
      <c r="C12442" t="n">
        <v>0</v>
      </c>
      <c r="D12442" t="inlineStr">
        <is>
          <t>Arc du Chalœil; Collier de Tourthon; Goulano; Anneau des égarés; Bouclier d'Ilyzaelle; Ceinture de la Reine des Voleurs; Masque de Koutoulou; Voile d'encre; Goulbottes; Dofus Nébuleux; Dofus Pourpre; Dofus Abyssal; Dofus Ocre; Dofus Ivoire; Cavaleur majeur; Muldo Pourpre</t>
        </is>
      </c>
    </row>
    <row r="12443">
      <c r="A12443" t="inlineStr">
        <is>
          <t>Full Eau</t>
        </is>
      </c>
      <c r="B12443">
        <f>HYPERLINK("https://www.dofusbook.net/fr/equipement/2921030-full-eau/objets", "link")</f>
        <v/>
      </c>
      <c r="C12443" t="n">
        <v>1</v>
      </c>
      <c r="D12443" t="inlineStr">
        <is>
          <t>Sceptre du Roi Joueur; Amulette de Shokkoth; Alliance Gloursonne; Bracelet des Fonds marins; Bouclier d'Ilyzaelle; Poulpagne; Capuche de l'Œil Attentif; Cape de l'Œil Attentif; Bottes du Sinistrofu; Dofus Émeraude; Dofus Abyssal; Dofus Ocre; Dofus Ivoire; Dofus Pourpre; Dofus des Glaces; Muldo Indigo</t>
        </is>
      </c>
    </row>
    <row r="12444">
      <c r="A12444" t="inlineStr">
        <is>
          <t>Full Terre Esq PA</t>
        </is>
      </c>
      <c r="B12444">
        <f>HYPERLINK("https://www.dofusbook.net/fr/equipement/2920860-full-terre-esq-pa/objets", "link")</f>
        <v/>
      </c>
      <c r="C12444" t="n">
        <v>1</v>
      </c>
      <c r="D12444" t="inlineStr">
        <is>
          <t>Marteau R'ture; Amulette du Kamasterisk; Anneau Chevelu; Écorce de Brouce; Ceinture de la Reine des Voleurs; Masque de Koutoulou; Cape du Kamasterisk; Pantoufles du Piloztère; Dofus Ivoire; Dofus Pourpre; Dofus Nébuleux; Dofus Ocre; Dofus Abyssal; Évasif majeur; Muldo Orchidée et Pourpre</t>
        </is>
      </c>
    </row>
    <row r="12445">
      <c r="A12445" t="inlineStr">
        <is>
          <t>Full Eau ret PA</t>
        </is>
      </c>
      <c r="B12445">
        <f>HYPERLINK("https://www.dofusbook.net/fr/equipement/2680666-full-eau-ret-pa/objets", "link")</f>
        <v/>
      </c>
      <c r="C12445" t="n">
        <v>0</v>
      </c>
      <c r="D12445" t="inlineStr">
        <is>
          <t>Dagoulinantes; Amulette de Shokkoth; Bracelet des Fonds marins; Alliance Gloursonne; Cadran de Terre; Culotte de Bethel; Capuche de l'Œil Attentif; Cape du Sinistrofu; Bottes du Sinistrofu; Dofus Pourpre; Dofus Ocre; Remueur; Étourdisseur majeur; Miraculé majeur; Chanceux majeur; Muldo Ebène et Orchidée</t>
        </is>
      </c>
    </row>
    <row r="12446">
      <c r="A12446" t="inlineStr">
        <is>
          <t>veinard</t>
        </is>
      </c>
      <c r="B12446">
        <f>HYPERLINK("https://www.dofusbook.net/fr/equipement/2691895-veinard/objets", "link")</f>
        <v/>
      </c>
      <c r="C12446" t="n">
        <v>0</v>
      </c>
      <c r="D12446" t="inlineStr">
        <is>
          <t>Hache Ériphe; Amulette du Cœur Vaillant; Alliance Brûlâme; Ceintouse; Casque des égarés; Cape du Cœur Vaillant; Bottes du Cœur Vaillant; Dofus Pourpre; Dofus Ocre; Dofus Turquoise; Vigoureux majeur</t>
        </is>
      </c>
    </row>
    <row r="12447">
      <c r="A12447" t="inlineStr">
        <is>
          <t>Feu 200 ré crit</t>
        </is>
      </c>
      <c r="B12447">
        <f>HYPERLINK("https://www.dofusbook.net/fr/equipement/2623441-feu-200-re-crit/objets", "link")</f>
        <v/>
      </c>
      <c r="C12447" t="n">
        <v>0</v>
      </c>
      <c r="D12447" t="inlineStr">
        <is>
          <t>Massier; Pendentif mignon de Koutoulou; Baguistik; Chevalière du Roi Joueur; Bouclier du Stalak; Ceintrigue; Casque Cyclopéen; Voile d'encre; Bottes Innommables; Dofus Ocre; Dofus des Glaces; Dofus Pourpre; Érudit majeur; Miraculé majeur; Remueur; Muldo Orchidée et Pourpre</t>
        </is>
      </c>
    </row>
    <row r="12448">
      <c r="A12448" t="inlineStr">
        <is>
          <t>Full Feu 200</t>
        </is>
      </c>
      <c r="B12448">
        <f>HYPERLINK("https://www.dofusbook.net/fr/equipement/2586982-full-feu-200/objets", "link")</f>
        <v/>
      </c>
      <c r="C12448" t="n">
        <v>0</v>
      </c>
      <c r="D12448" t="inlineStr">
        <is>
          <t>Arc corrompu; Pendentif affamé; Anneau Rifique; Anneau Tique; Bouclier du Stalak; Ceinture Séculaire; Casque Cyclopéen; Voile d'encre; Bottes de Meno; Dofus Émeraude; Dofus Pourpre; Dofus Ocre; Remueur; Miraculé majeur; Érudit majeur; Muldo Orchidée et Pourpre</t>
        </is>
      </c>
    </row>
    <row r="12449">
      <c r="A12449" t="inlineStr">
        <is>
          <t>Air 200 Ret PM</t>
        </is>
      </c>
      <c r="B12449">
        <f>HYPERLINK("https://www.dofusbook.net/fr/equipement/2583081-air-200-ret-pm/objets", "link")</f>
        <v/>
      </c>
      <c r="C12449" t="n">
        <v>0</v>
      </c>
      <c r="D12449" t="inlineStr">
        <is>
          <t>Manthache; Amibou; Alliance Gloursonne; Gant du Valet Veinard; Bouclier du Stalak; Sangle Oriole; Chapibou; Cape du Barbétoal; Bottes du Kamasterisk; Dofus des Glaces; Dofus Ocre; Cascadeur majeur; Temporiseur majeur; Remueur; Miraculé majeur; Muldo Ebène et Indigo</t>
        </is>
      </c>
    </row>
    <row r="12450">
      <c r="A12450" t="inlineStr">
        <is>
          <t>Air 200 ancien</t>
        </is>
      </c>
      <c r="B12450">
        <f>HYPERLINK("https://www.dofusbook.net/fr/equipement/202578-air-200-ancien/objets", "link")</f>
        <v/>
      </c>
      <c r="C12450" t="n">
        <v>0</v>
      </c>
      <c r="D12450" t="inlineStr">
        <is>
          <t>Pelle de la Cour Sombre; Amulette du Kamasterisk; Anneau Tique; Alliance Gloursonne; Ceinture du Barbétoal; Dorabysses; Cape du Kamasterisk; Bottes du Kamasterisk; Dofus Émeraude; Dolmanax; Dofus Ocre; Dofus Turquoise; Acrobate majeur; Equilibriste majeur; Dragodinde Prune et Emeraude</t>
        </is>
      </c>
    </row>
    <row r="12451">
      <c r="A12451" t="inlineStr">
        <is>
          <t>Terre-Air 2</t>
        </is>
      </c>
      <c r="B12451">
        <f>HYPERLINK("https://www.dofusbook.net/fr/equipement/2445342-terre-air-2/objets", "link")</f>
        <v/>
      </c>
      <c r="C12451" t="n">
        <v>0</v>
      </c>
      <c r="D12451" t="inlineStr">
        <is>
          <t>Héqache; Amulette du Kamasterisk; Bague Gloursonne; Alliance Gloursonne; Bouclier Taverne; Ceintouse; Chapoulpe; Cape du Kamasterisk; Tentassons; Dokoko; Dofus Turquoise; Dolmanax; Dofus Ocre; Dofus Pourpre; Dofus des Glaces; Muldo Indigo et Pourpre</t>
        </is>
      </c>
    </row>
    <row r="12452">
      <c r="A12452" t="inlineStr">
        <is>
          <t>Terre-Feu 200</t>
        </is>
      </c>
      <c r="B12452">
        <f>HYPERLINK("https://www.dofusbook.net/fr/equipement/2440178-terre-feu-200/objets", "link")</f>
        <v/>
      </c>
      <c r="C12452" t="n">
        <v>0</v>
      </c>
      <c r="D12452" t="inlineStr">
        <is>
          <t>Bâthon; Amulette de Gein; Bague Gloursonne; Baguistik; Bivalve; Ceinture du Comte Razof; Chapeau de Gein; Voile d'encre; Pompes Funèbres; Dofus Pourpre; Dofus Ivoire; Dofus Ocre; Dofus Turquoise; Dofus des Glaces; Remueur; Muldo Orchidée et Pourpre</t>
        </is>
      </c>
    </row>
    <row r="12453">
      <c r="A12453" t="inlineStr">
        <is>
          <t>Eau-Air Ret PA</t>
        </is>
      </c>
      <c r="B12453">
        <f>HYPERLINK("https://www.dofusbook.net/fr/equipement/1592973-eau-air-ret-pa/objets", "link")</f>
        <v/>
      </c>
      <c r="C12453" t="n">
        <v>0</v>
      </c>
      <c r="D12453" t="inlineStr">
        <is>
          <t>Arc de Koutoulou; Amulette Voldelor; Bracelet des Fonds marins; Alliance Gloursonne; Sept ans de malheur; Menoture; Masque du Barbétoal; Cape du Barbétoal; Sandales  d'Atcham; Dofus Pourpre; Dofus Ocre; Dofus des Glaces; Déserteur majeur; Remueur; Étourdisseur majeur; Muldo Ebène et Indigo</t>
        </is>
      </c>
    </row>
    <row r="12454">
      <c r="A12454" t="inlineStr">
        <is>
          <t>Eau-Air-Terre 200</t>
        </is>
      </c>
      <c r="B12454">
        <f>HYPERLINK("https://www.dofusbook.net/fr/equipement/847851-eau-air-terre-200/objets", "link")</f>
        <v/>
      </c>
      <c r="C12454" t="n">
        <v>0</v>
      </c>
      <c r="D12454" t="inlineStr">
        <is>
          <t>Pelle de Nidas; Amulette de l'Indicible; Bracelet des Fonds marins; Anneau Chevelu; Sept ans de malheur; Ceintouse; Coiffe de la Reine des Voleurs; Cape des Malveilleurs; Bottes de la Reine des Voleurs; Dofus Ocre; Dofus des Glaces; Dofus Pourpre; Fortification majeure; Étourdisseur majeur; Remueur; Muldo Indigo et Amande</t>
        </is>
      </c>
    </row>
    <row r="12455">
      <c r="A12455" t="inlineStr">
        <is>
          <t>Eau/Agi lv 199</t>
        </is>
      </c>
      <c r="B12455">
        <f>HYPERLINK("https://www.dofusbook.net/fr/equipement/905319-eau-agi-lv-199/objets", "link")</f>
        <v/>
      </c>
      <c r="C12455" t="n">
        <v>0</v>
      </c>
      <c r="D12455" t="inlineStr">
        <is>
          <t>Marteau des Anciens Steamers; Amulette Hale; Alliance Gloursonne; Grésilanneau; Ougature; Coiffe d'Ogivol; Cape Tif; Chaussures Face; Dofus Pourpre; Dofus des Glaces; Dofus Turquoise; Dofus Émeraude; Dolmanax; Dofus Ocre; Muldo Ebène et Indigo</t>
        </is>
      </c>
    </row>
    <row r="12456">
      <c r="A12456" t="inlineStr">
        <is>
          <t>Multi-element 200</t>
        </is>
      </c>
      <c r="B12456">
        <f>HYPERLINK("https://www.dofusbook.net/fr/equipement/903776-multi-element-200/objets", "link")</f>
        <v/>
      </c>
      <c r="C12456" t="n">
        <v>1</v>
      </c>
      <c r="D12456" t="inlineStr">
        <is>
          <t>Epée Maudite du Saigneur Guerrier; Amulette de l'Indicible; Alliance Gloursonne; Grésilanneau; Ceinture de l'Indicible; Le Dorado; Dofusteuse; Bottes du Chalœil; Dofus Émeraude; Dofus Turquoise; Dofus Pourpre; Dofus des Glaces; Nomade; Remueur; Kramkram</t>
        </is>
      </c>
    </row>
    <row r="12457">
      <c r="A12457" t="inlineStr">
        <is>
          <t>new 2</t>
        </is>
      </c>
      <c r="B12457">
        <f>HYPERLINK("https://www.dofusbook.net/fr/equipement/2616542-new-2/objets", "link")</f>
        <v/>
      </c>
      <c r="C12457" t="n">
        <v>0</v>
      </c>
      <c r="D12457" t="inlineStr">
        <is>
          <t>Bâthon; Amulette du Strigide; Gelano; Bague Gloursonne; Bouclier du Captain Amakna; Ceinture du Strigide; Couronne du Roi Joueur; Cape du Professeur Xa; Bottes du Chalœil; Dofus Pourpre; Vigoureux majeur; Remueur; Enragé majeur; Érudit majeur; Nomade; Tifoux Tigré</t>
        </is>
      </c>
    </row>
    <row r="12458">
      <c r="A12458" t="inlineStr">
        <is>
          <t>pvm 6</t>
        </is>
      </c>
      <c r="B12458">
        <f>HYPERLINK("https://www.dofusbook.net/fr/equipement/2614993-pvm-6/objets", "link")</f>
        <v/>
      </c>
      <c r="C12458" t="n">
        <v>1</v>
      </c>
      <c r="D12458" t="inlineStr">
        <is>
          <t>Bâton Beau; Amulette de Pol Ouatnos; Chevalière du Roi Joueur; Bracelet du Piloztère; Bouclier du Captain Amakna; Ceinture du Strigide; Masque de Koutoulou; Cape des Justiciers; Bottes du Strigide; Enragé majeur; Nomade; Miraculé majeur; Vigoureux majeur; Érudit majeur; Remueur; Péki</t>
        </is>
      </c>
    </row>
    <row r="12459">
      <c r="A12459" t="inlineStr">
        <is>
          <t>pvm</t>
        </is>
      </c>
      <c r="B12459">
        <f>HYPERLINK("https://www.dofusbook.net/fr/equipement/2595184-pvm/objets", "link")</f>
        <v/>
      </c>
      <c r="C12459" t="n">
        <v>0</v>
      </c>
      <c r="D12459" t="inlineStr">
        <is>
          <t>Marteau de Katrepat; Amulette du Strigide; Bracelet du Piloztère; Kralano; Bouclier du Captain Amakna; Ceinture du Strigide; Le Dorado; Cape des Justiciers; Bottes du Chalœil; Remueur; Érudit majeur; Nomade; Cascadeur majeur; Enragé majeur; Vigoureux majeur; Muldo Prune et Doré</t>
        </is>
      </c>
    </row>
    <row r="12460">
      <c r="A12460" t="inlineStr">
        <is>
          <t>new pvm</t>
        </is>
      </c>
      <c r="B12460">
        <f>HYPERLINK("https://www.dofusbook.net/fr/equipement/2569891-new-pvm/objets", "link")</f>
        <v/>
      </c>
      <c r="C12460" t="n">
        <v>0</v>
      </c>
      <c r="D12460" t="inlineStr">
        <is>
          <t>Arc du Chalœil; Amulette du Strigide; Bracelet du Piloztère; Anneau du Katcheur; Bouclier du Captain Amakna; Ceintacé; Coiffe Ranshi; Cape du Chalœil; Bottes du Chalœil; Chanceux majeur; Nomade; Fonceur majeur; Remueur; Enragé majeur; Initiateur majeur; Dragodinde Amande et Emeraude</t>
        </is>
      </c>
    </row>
    <row r="12461">
      <c r="A12461" t="inlineStr">
        <is>
          <t>new2</t>
        </is>
      </c>
      <c r="B12461">
        <f>HYPERLINK("https://www.dofusbook.net/fr/equipement/2535809-new2/objets", "link")</f>
        <v/>
      </c>
      <c r="C12461" t="n">
        <v>0</v>
      </c>
      <c r="D12461" t="inlineStr">
        <is>
          <t>Marteau de Katrepat; Amulette du Strigide; Chevalière du Roi Joueur; Bracelet du Piloztère; Bouclier du Captain Amakna; Ceinture de l'Indicible; Masque Brûlâme; Cape des Justiciers; Pompes Funèbres; Dofus Turquoise; Dofus Émeraude; Miraculé majeur; Vigoureux majeur; Nomade; Remueur; Muldo Prune et Emeraude</t>
        </is>
      </c>
    </row>
    <row r="12462">
      <c r="A12462" t="inlineStr">
        <is>
          <t>new2</t>
        </is>
      </c>
      <c r="B12462">
        <f>HYPERLINK("https://www.dofusbook.net/fr/equipement/2515796-new2/objets", "link")</f>
        <v/>
      </c>
      <c r="C12462" t="n">
        <v>0</v>
      </c>
      <c r="D12462" t="inlineStr">
        <is>
          <t>Epée Toche; Amulette du Strigide; Pikano; Bracelet du Piloztère; Bouclier du Captain Amakna; Ceinture du Strigide; Masque du Glourséleste; Cape de Léthaline; Pataugastrique; Temporiseur; Entraveur majeur; Nomade; Temporiseur majeur; Remueur; Ralentisseur majeur; Pioute vert</t>
        </is>
      </c>
    </row>
    <row r="12463">
      <c r="A12463" t="inlineStr">
        <is>
          <t>New</t>
        </is>
      </c>
      <c r="B12463">
        <f>HYPERLINK("https://www.dofusbook.net/fr/equipement/2485129-new/objets", "link")</f>
        <v/>
      </c>
      <c r="C12463" t="n">
        <v>0</v>
      </c>
      <c r="D12463" t="inlineStr">
        <is>
          <t>Marteau de Katrepat; Amulette du Strigide; Bracelet du Piloztère; Alliance du Lévitrof; Le Karde Cœur; Ceinture du Strigide; Le Dorado; Cape des Justiciers; Bottes du Chalœil; Ralentisseur majeur; Enragé majeur; Entraveur majeur; Nomade; Temporiseur majeur; Remueur; Muldo Prune et Doré</t>
        </is>
      </c>
    </row>
    <row r="12464">
      <c r="A12464" t="inlineStr">
        <is>
          <t>new</t>
        </is>
      </c>
      <c r="B12464">
        <f>HYPERLINK("https://www.dofusbook.net/fr/equipement/2478266-new/objets", "link")</f>
        <v/>
      </c>
      <c r="C12464" t="n">
        <v>0</v>
      </c>
      <c r="D12464" t="inlineStr">
        <is>
          <t>Bâthon; Amulette de Pol Ouatnos; Bague Gloursonne; Bracelet du Piloztère; Ambrouclier; Ceinture de l'Esprit Salvateur; Masque de l'Esprit Salvateur; Voile d'encre; Bottes de l'Indicible; Dofus Ocre; Dofus Pourpre; Temporiseur majeur; Nomade; Remueur; Entraveur majeur; Kramkram</t>
        </is>
      </c>
    </row>
    <row r="12465">
      <c r="A12465" t="inlineStr">
        <is>
          <t>New</t>
        </is>
      </c>
      <c r="B12465">
        <f>HYPERLINK("https://www.dofusbook.net/fr/equipement/2386635-new/objets", "link")</f>
        <v/>
      </c>
      <c r="C12465" t="n">
        <v>0</v>
      </c>
      <c r="D12465" t="inlineStr">
        <is>
          <t>Amulette du Strigide; Ceinture du Strigide; Casque du Chalœil; Cape du Professeur Xa</t>
        </is>
      </c>
    </row>
    <row r="12466">
      <c r="A12466" t="inlineStr">
        <is>
          <t>new</t>
        </is>
      </c>
      <c r="B12466">
        <f>HYPERLINK("https://www.dofusbook.net/fr/equipement/2383920-new/objets", "link")</f>
        <v/>
      </c>
      <c r="C12466" t="n">
        <v>0</v>
      </c>
      <c r="D12466" t="inlineStr">
        <is>
          <t>Épouvante; Amulette Luminescente; Grésilanneau; Bracelet du Piloztère; Bouclier du Captain Amakna; Ceinture de l'Indicible; Masque de Koutoulou; Cape Luminescente; Bottes du Chalœil; Miraculé majeur; Vigoureux majeur; Enragé majeur; Nomade; Chanceux majeur; Remueur; Muldo Prune et Doré</t>
        </is>
      </c>
    </row>
    <row r="12467">
      <c r="A12467" t="inlineStr">
        <is>
          <t>new</t>
        </is>
      </c>
      <c r="B12467">
        <f>HYPERLINK("https://www.dofusbook.net/fr/equipement/2383946-new/objets", "link")</f>
        <v/>
      </c>
      <c r="C12467" t="n">
        <v>0</v>
      </c>
      <c r="D12467" t="inlineStr">
        <is>
          <t>Héqache; Amulette de l'Indicible; Anneau du Katcheur; Bracelet du Piloztère; Bouclier du Captain Amakna; Ceintouse; Masque Brûlâme; Cape des Justiciers; Bottes de l'Indicible; Miraculé majeur; Vigoureux majeur; Remueur; Enragé majeur; Nomade; Cascadeur majeur; Muldo Prune et Doré</t>
        </is>
      </c>
    </row>
    <row r="12468">
      <c r="A12468" t="inlineStr">
        <is>
          <t>new</t>
        </is>
      </c>
      <c r="B12468">
        <f>HYPERLINK("https://www.dofusbook.net/fr/equipement/1334607-new/objets", "link")</f>
        <v/>
      </c>
      <c r="C12468" t="n">
        <v>0</v>
      </c>
      <c r="D12468" t="inlineStr">
        <is>
          <t>Hache Ériphe; Amulette de Pol Ouatnos; Anneau du Comte Harebourg; Bracelet du Piloztère; Bouclier du Sadida; Ceintouse; Chapoulpe; Cape du Chalœil; Baleinabottes; Dofus Turquoise; Cascadeur majeur; Remueur; Vigoureux majeur; Enragé majeur; Nomade; Kramkram</t>
        </is>
      </c>
    </row>
    <row r="12469">
      <c r="A12469" t="inlineStr">
        <is>
          <t>new</t>
        </is>
      </c>
      <c r="B12469">
        <f>HYPERLINK("https://www.dofusbook.net/fr/equipement/2365754-new/objets", "link")</f>
        <v/>
      </c>
      <c r="C12469" t="n">
        <v>0</v>
      </c>
      <c r="D12469" t="inlineStr">
        <is>
          <t>Pelle de Katrepat; Talisman Igans; Anneau Cryochrone; Pikano; Bouclier du Captain Amakna; Ceintacé; Le Dorado; Cape de Meno; Bottes de Meno; Nomade; Temporiseur majeur; Remueur; Érudit majeur; Entraveur majeur; Chanceux majeur; Tifoux Tigré</t>
        </is>
      </c>
    </row>
    <row r="12470">
      <c r="A12470" t="inlineStr">
        <is>
          <t>shima</t>
        </is>
      </c>
      <c r="B12470">
        <f>HYPERLINK("https://www.dofusbook.net/fr/equipement/2288683-shima/objets", "link")</f>
        <v/>
      </c>
      <c r="C12470" t="n">
        <v>0</v>
      </c>
      <c r="D12470" t="inlineStr"/>
    </row>
    <row r="12471">
      <c r="A12471" t="inlineStr">
        <is>
          <t>Pvpm</t>
        </is>
      </c>
      <c r="B12471">
        <f>HYPERLINK("https://www.dofusbook.net/fr/equipement/1731627-pvpm/objets", "link")</f>
        <v/>
      </c>
      <c r="C12471" t="n">
        <v>31</v>
      </c>
      <c r="D12471" t="inlineStr"/>
    </row>
    <row r="12472">
      <c r="A12472" t="inlineStr">
        <is>
          <t>pvm agi</t>
        </is>
      </c>
      <c r="B12472">
        <f>HYPERLINK("https://www.dofusbook.net/fr/equipement/1549368-pvm-agi/objets", "link")</f>
        <v/>
      </c>
      <c r="C12472" t="n">
        <v>0</v>
      </c>
      <c r="D12472" t="inlineStr">
        <is>
          <t>Manthache; Collier du Valet Veinard; Gelano; Gant du Valet Veinard; Bouclier du Captain Amakna; Menoture; Capuche de Moum-Ra; Cape Indescriptible; Palmes Trithons; Dévastateur Air majeur; Vigoureux majeur; Remueur; Cascadeur majeur; Nomade; Kramkram</t>
        </is>
      </c>
    </row>
    <row r="12473">
      <c r="A12473" t="inlineStr">
        <is>
          <t>pvm feu/air</t>
        </is>
      </c>
      <c r="B12473">
        <f>HYPERLINK("https://www.dofusbook.net/fr/equipement/1545256-pvm-feu-air/objets", "link")</f>
        <v/>
      </c>
      <c r="C12473" t="n">
        <v>0</v>
      </c>
      <c r="D12473" t="inlineStr">
        <is>
          <t>Baguette Range; Amulette du Strigide; Kralano; Anneau Rifique; Ceintacé; Casque Cyclopéen; Cape de Diondin; Bottes du Cycloïde; Vigoureux majeur; Cascadeur majeur; Nomade; Érudit majeur; Remueur; Dragodinde Prune et Emeraude</t>
        </is>
      </c>
    </row>
    <row r="12474">
      <c r="A12474" t="inlineStr">
        <is>
          <t>Pvm</t>
        </is>
      </c>
      <c r="B12474">
        <f>HYPERLINK("https://www.dofusbook.net/fr/equipement/1530646-pvm/objets", "link")</f>
        <v/>
      </c>
      <c r="C12474" t="n">
        <v>0</v>
      </c>
      <c r="D12474" t="inlineStr">
        <is>
          <t>Hache du Chalœil; Amulette de Pol Ouatnos; Bracelet du Piloztère; Bague Gloursonne; Bouclier Pandawa; Ceinture du Strigide; Casque du Chalœil; Cape Ovri; Bottes du Chalœil; Dofus Ocre; Dofus Turquoise; Dofus Pourpre; Enragé majeur; Remueur; Érudit majeur; Kramkram</t>
        </is>
      </c>
    </row>
    <row r="12475">
      <c r="A12475" t="inlineStr">
        <is>
          <t>Eni pvm</t>
        </is>
      </c>
      <c r="B12475">
        <f>HYPERLINK("https://www.dofusbook.net/fr/equipement/1263510-eni-pvm/objets", "link")</f>
        <v/>
      </c>
      <c r="C12475" t="n">
        <v>0</v>
      </c>
      <c r="D12475" t="inlineStr">
        <is>
          <t>Sabres d'Atcham; Amulette Cryochrone; Alliance Gloursonne; Anneau de Padgref; Ceintacé; Coiffe de Padgref; Cape des Malveilleurs; Pataugastrique; Dolmanax; Dofus Turquoise; Nomade; Érudit majeur; Remueur; Vigoureux majeur; Nomoon</t>
        </is>
      </c>
    </row>
    <row r="12476">
      <c r="A12476" t="inlineStr">
        <is>
          <t>Stuff 2</t>
        </is>
      </c>
      <c r="B12476">
        <f>HYPERLINK("https://www.dofusbook.net/fr/equipement/1263490-stuff-2/objets", "link")</f>
        <v/>
      </c>
      <c r="C12476" t="n">
        <v>0</v>
      </c>
      <c r="D12476" t="inlineStr">
        <is>
          <t>Epée Gloursonne; Collier de la Dame du Hasard; Alliance Gloursonne; Bague Gloursonne; Ceintacé; Casquette de Meno; Cape de Meno; Bottes de Meno; Ralentisseur majeur; Entraveur majeur; Dragodinde Prune et Emeraude</t>
        </is>
      </c>
    </row>
    <row r="12477">
      <c r="A12477" t="inlineStr">
        <is>
          <t>Stuff 3</t>
        </is>
      </c>
      <c r="B12477">
        <f>HYPERLINK("https://www.dofusbook.net/fr/equipement/1263502-stuff-3/objets", "link")</f>
        <v/>
      </c>
      <c r="C12477" t="n">
        <v>0</v>
      </c>
      <c r="D12477" t="inlineStr">
        <is>
          <t>Hache Ériphe; Amulette du Kamasterisk; Bracelet du Piloztère; Anneau du Cycloïde; Ceintacé; Coiffe de la Reine des Voleurs; Voilamibe; Bottes de la Reine des Voleurs; Dofus Ocre; Enragé majeur; Remueur; Miraculé majeur; Cascadeur majeur; Nomade; Péki</t>
        </is>
      </c>
    </row>
    <row r="12478">
      <c r="A12478" t="inlineStr">
        <is>
          <t>Stuff 1</t>
        </is>
      </c>
      <c r="B12478">
        <f>HYPERLINK("https://www.dofusbook.net/fr/equipement/1263497-stuff-1/objets", "link")</f>
        <v/>
      </c>
      <c r="C12478" t="n">
        <v>0</v>
      </c>
      <c r="D12478" t="inlineStr">
        <is>
          <t>Dagues Érhy; Pendentif affamé; Anneau du Katcheur; Anneau Rifique; Sangle Aise; Coiffe de Padgref; Cape de Diondin; Getas de Padgref; Dofus Turquoise; Vigoureux majeur; Érudit majeur; Nomade; Cascadeur majeur; Remueur; Dragodinde Prune et Emeraude</t>
        </is>
      </c>
    </row>
    <row r="12479">
      <c r="A12479" t="inlineStr">
        <is>
          <t>Stuff 2</t>
        </is>
      </c>
      <c r="B12479">
        <f>HYPERLINK("https://www.dofusbook.net/fr/equipement/1263492-stuff-2/objets", "link")</f>
        <v/>
      </c>
      <c r="C12479" t="n">
        <v>0</v>
      </c>
      <c r="D12479" t="inlineStr">
        <is>
          <t>Baguette de Malléfisk; Pendentif affamé; Bague Gloursonne; Anneau de Nidas; Protopagne; Couronne de Nidas; Voile d'encre; Pataugastrique; Érudit majeur; Remueur; Carapace Eau majeur; Carapace Feu majeur; Temporiseur majeur; Nomade; Kramkram</t>
        </is>
      </c>
    </row>
    <row r="12480">
      <c r="A12480" t="inlineStr">
        <is>
          <t>Stuff 2</t>
        </is>
      </c>
      <c r="B12480">
        <f>HYPERLINK("https://www.dofusbook.net/fr/equipement/1263487-stuff-2/objets", "link")</f>
        <v/>
      </c>
      <c r="C12480" t="n">
        <v>1</v>
      </c>
      <c r="D12480" t="inlineStr">
        <is>
          <t>Dagues Érhy; Amulette du Strigide; Gelano; Bague Gloursonne; Ceinture du Strigide; Couronne du Roi Joueur; Cape du Professeur Xa; Bottes de la Cour Sombre; Dofus Turquoise; Nomade; Enragé majeur; Érudit majeur; Remueur; Vigoureux majeur; Kompost</t>
        </is>
      </c>
    </row>
    <row r="12481">
      <c r="A12481" t="inlineStr">
        <is>
          <t>Stuff 3</t>
        </is>
      </c>
      <c r="B12481">
        <f>HYPERLINK("https://www.dofusbook.net/fr/equipement/1263499-stuff-3/objets", "link")</f>
        <v/>
      </c>
      <c r="C12481" t="n">
        <v>0</v>
      </c>
      <c r="D12481" t="inlineStr">
        <is>
          <t>Sabres d'Atcham; Amulette du Strigide; Anneau de Padgref; Alliance Gloursonne; Ceinture du Strigide; Coiffe de Padgref; Cape du Glourséleste; Getas de Padgref</t>
        </is>
      </c>
    </row>
    <row r="12482">
      <c r="A12482" t="inlineStr">
        <is>
          <t>Stuff 1</t>
        </is>
      </c>
      <c r="B12482">
        <f>HYPERLINK("https://www.dofusbook.net/fr/equipement/1263494-stuff-1/objets", "link")</f>
        <v/>
      </c>
      <c r="C12482" t="n">
        <v>1</v>
      </c>
      <c r="D12482" t="inlineStr">
        <is>
          <t>Epée Gloursonne; Amulette de Pol Ouatnos; Alliance Gloursonne; Bague Gloursonne; Ceinture de la Reine des Voleurs; Coiffe de la Reine des Voleurs; Voilamibe; Bottes de la Reine des Voleurs; Dofus Pourpre; Dofus Ocre; Ralentisseur majeur; Entraveur majeur; Entraveur; Kramkram</t>
        </is>
      </c>
    </row>
    <row r="12483">
      <c r="A12483" t="inlineStr">
        <is>
          <t>Stuff 1</t>
        </is>
      </c>
      <c r="B12483">
        <f>HYPERLINK("https://www.dofusbook.net/fr/equipement/1263489-stuff-1/objets", "link")</f>
        <v/>
      </c>
      <c r="C12483" t="n">
        <v>0</v>
      </c>
      <c r="D12483" t="inlineStr">
        <is>
          <t>Arc Hétype; Talisman Igans; Bague Gloursonne; Bracelet du Piloztère; Ceintacé; Cagoule de Vortex; Voile d'encre; Bottes Owesli; Dofus Pourpre; Vigoureux majeur; Nomade; Carapace Feu majeur; Remueur; Érudit majeur; Kramkram</t>
        </is>
      </c>
    </row>
    <row r="12484">
      <c r="A12484" t="inlineStr">
        <is>
          <t>Stuff 2</t>
        </is>
      </c>
      <c r="B12484">
        <f>HYPERLINK("https://www.dofusbook.net/fr/equipement/1263501-stuff-2/objets", "link")</f>
        <v/>
      </c>
      <c r="C12484" t="n">
        <v>0</v>
      </c>
      <c r="D12484" t="inlineStr">
        <is>
          <t>Arc de Koutoulou; Amulette de l'Indicible; Alliance Gloursonne; Bracelet du Piloztère; Ceinture de l'Indicible; Coiffe Ranshi; Voilamibe; Bottes de la Reine des Voleurs; Dofus Ocre; Cascadeur majeur; Nomade; Miraculé majeur; Chanceux majeur; Remueur; Kramkram</t>
        </is>
      </c>
    </row>
    <row r="12485">
      <c r="A12485" t="inlineStr">
        <is>
          <t>Stuff 3</t>
        </is>
      </c>
      <c r="B12485">
        <f>HYPERLINK("https://www.dofusbook.net/fr/equipement/1263496-stuff-3/objets", "link")</f>
        <v/>
      </c>
      <c r="C12485" t="n">
        <v>0</v>
      </c>
      <c r="D12485" t="inlineStr">
        <is>
          <t>La Baguette des Limbes; Amulette de Nileza; Anneau de Padgref; Anneau Tamie; Ceinture Hanium; Coiffe de Padgref; Cape de Nileza; Getas de Padgref; Dofus Ocre; Savant majeur; Turbulent; Astucieux majeur; Brûlih</t>
        </is>
      </c>
    </row>
    <row r="12486">
      <c r="A12486" t="inlineStr">
        <is>
          <t>Stuff 1</t>
        </is>
      </c>
      <c r="B12486">
        <f>HYPERLINK("https://www.dofusbook.net/fr/equipement/1263491-stuff-1/objets", "link")</f>
        <v/>
      </c>
      <c r="C12486" t="n">
        <v>0</v>
      </c>
      <c r="D12486" t="inlineStr">
        <is>
          <t>Marteau R'ture; Collier de Tourthon; Bracelet du Piloztère; Chevalière du Roi Joueur; Ceinture de la Cour Sombre; Masque de Koutoulou; Voile d'encre; Bottes de la Cour Sombre; Dofus Ocre; Dofus Turquoise; Remueur; Temporiseur; Temporiseur majeur; Nomade; Dragodinde Prune et Emeraude</t>
        </is>
      </c>
    </row>
    <row r="12487">
      <c r="A12487" t="inlineStr">
        <is>
          <t>Stuff 1</t>
        </is>
      </c>
      <c r="B12487">
        <f>HYPERLINK("https://www.dofusbook.net/fr/equipement/1263486-stuff-1/objets", "link")</f>
        <v/>
      </c>
      <c r="C12487" t="n">
        <v>1</v>
      </c>
      <c r="D12487" t="inlineStr">
        <is>
          <t>Bêche Asse; Collier de Tourthon; Gelano; Anneau de Brouce; Sangle de Sylargh; Capuche de Sylargh; Ankhape; Bottes du Comte Harebourg; Dofus Ocre; Dofus Pourpre; Enragé majeur; Nomade; Vigoureux majeur; Remueur; Kompost</t>
        </is>
      </c>
    </row>
    <row r="12488">
      <c r="A12488" t="inlineStr">
        <is>
          <t>Stuff 1</t>
        </is>
      </c>
      <c r="B12488">
        <f>HYPERLINK("https://www.dofusbook.net/fr/equipement/1263503-stuff-1/objets", "link")</f>
        <v/>
      </c>
      <c r="C12488" t="n">
        <v>0</v>
      </c>
      <c r="D12488" t="inlineStr">
        <is>
          <t>Hache du Chalœil; Amulette du Strigide; Bague Gloursonne; Bracelet du Piloztère; Ceinture de la Reine des Voleurs; Chapeau de Gein; Voile d'encre; Bottes de la Reine des Voleurs; Dofus Pourpre; Dofus Ocre; Nomade; Enragé majeur; Remueur; Vigoureux majeur; Kramkram</t>
        </is>
      </c>
    </row>
    <row r="12489">
      <c r="A12489" t="inlineStr">
        <is>
          <t>Stuff 2</t>
        </is>
      </c>
      <c r="B12489">
        <f>HYPERLINK("https://www.dofusbook.net/fr/equipement/1263498-stuff-2/objets", "link")</f>
        <v/>
      </c>
      <c r="C12489" t="n">
        <v>0</v>
      </c>
      <c r="D12489" t="inlineStr">
        <is>
          <t>Sabres d'Atcham; Collier de la Dame du Hasard; Kralano; Bracelet du Piloztère; Ceinture du Strigide; Chapeau des Malveilleurs; Cape du Glourséleste; Bottes des Malveilleurs; Dofus Turquoise; Dofus Ocre; Érudit majeur; Nomade; Remueur; Cascadeur majeur; Dragodinde Prune et Emeraude</t>
        </is>
      </c>
    </row>
    <row r="12490">
      <c r="A12490" t="inlineStr">
        <is>
          <t>Stuff 3</t>
        </is>
      </c>
      <c r="B12490">
        <f>HYPERLINK("https://www.dofusbook.net/fr/equipement/1263493-stuff-3/objets", "link")</f>
        <v/>
      </c>
      <c r="C12490" t="n">
        <v>0</v>
      </c>
      <c r="D12490" t="inlineStr"/>
    </row>
    <row r="12491">
      <c r="A12491" t="inlineStr">
        <is>
          <t>Stuff 3</t>
        </is>
      </c>
      <c r="B12491">
        <f>HYPERLINK("https://www.dofusbook.net/fr/equipement/1263488-stuff-3/objets", "link")</f>
        <v/>
      </c>
      <c r="C12491" t="n">
        <v>0</v>
      </c>
      <c r="D12491" t="inlineStr">
        <is>
          <t>Dagues Érhy; Amulette du Strigide; Alliance de Missiz Frizz; Bague Gloursonne; Ceinture de Gein; Chapeau de Gein; Cape du Professeur Xa; Bottes du Cycloïde; Dofus Ocre; Dofus Turquoise; Dofus Pourpre; Érudit majeur; Remueur; Enragé majeur; Dragodinde Emeraude et Rousse</t>
        </is>
      </c>
    </row>
    <row r="12492">
      <c r="A12492" t="inlineStr">
        <is>
          <t>Stuff 1</t>
        </is>
      </c>
      <c r="B12492">
        <f>HYPERLINK("https://www.dofusbook.net/fr/equipement/1263500-stuff-1/objets", "link")</f>
        <v/>
      </c>
      <c r="C12492" t="n">
        <v>0</v>
      </c>
      <c r="D12492" t="inlineStr">
        <is>
          <t>Marteau R'ture; Collier de Tourthon; Alliance de Missiz Frizz; Anneau Chevelu; Ceinture de Brouce; Masque de Koutoulou; Cape au Logis; Bottes de Brouce; Dolmanax; Enragé majeur; Miraculé majeur; Nomade; Vigoureux majeur; Remueur; Kompost</t>
        </is>
      </c>
    </row>
    <row r="12493">
      <c r="A12493" t="inlineStr">
        <is>
          <t>Stuff 2</t>
        </is>
      </c>
      <c r="B12493">
        <f>HYPERLINK("https://www.dofusbook.net/fr/equipement/1263495-stuff-2/objets", "link")</f>
        <v/>
      </c>
      <c r="C12493" t="n">
        <v>0</v>
      </c>
      <c r="D12493" t="inlineStr">
        <is>
          <t>Hache du Guerrier Zoth; Amulette d'Otomaï; Anneau Tamie; Anneau Tamie; Ceinture Séculaire; Coiffe de Padgref; Cape de Nileza; Getas de Padgref; Dofus Ocre; Astucieux majeur; Remueur; Érudit majeur; Turbulent; Nomade; Brûlih</t>
        </is>
      </c>
    </row>
    <row r="12494">
      <c r="A12494" t="inlineStr">
        <is>
          <t>Stuff 3</t>
        </is>
      </c>
      <c r="B12494">
        <f>HYPERLINK("https://www.dofusbook.net/fr/equipement/1263485-stuff-3/objets", "link")</f>
        <v/>
      </c>
      <c r="C12494" t="n">
        <v>0</v>
      </c>
      <c r="D12494" t="inlineStr">
        <is>
          <t>Épée du Granduk; Amulette du Kamasterisk; Anneau d'Allister; Alliance Gloursonne; Ceinture Rasboulaire du Rasboul; Couronne d'Allister; Cape de Klime; Baleinabottes; Temporiseur majeur; Remueur; Vigoureux majeur; Cascadeur majeur; Obstructeur majeur; Nomade; Dragodinde Prune et Emeraude</t>
        </is>
      </c>
    </row>
    <row r="12495">
      <c r="A12495" t="inlineStr">
        <is>
          <t>Stuff 1</t>
        </is>
      </c>
      <c r="B12495">
        <f>HYPERLINK("https://www.dofusbook.net/fr/equipement/1263477-stuff-1/objets", "link")</f>
        <v/>
      </c>
      <c r="C12495" t="n">
        <v>0</v>
      </c>
      <c r="D12495" t="inlineStr">
        <is>
          <t>Dagues de Srambad; Amulette Ementaire Deluxe; Alliance Gloursonne; Bague Gloursonne; Ceinture de la Reine des Voleurs; Coiffe de la Reine des Voleurs; Voilamibe; Bottes de la Reine des Voleurs; Dofus Cawotte; Dofus Pourpre; Dofus Ocre; Fugitif majeur; Ralentisseur majeur; Insaisissable majeur; Kramkram</t>
        </is>
      </c>
    </row>
    <row r="12496">
      <c r="A12496" t="inlineStr">
        <is>
          <t>Stuff 2</t>
        </is>
      </c>
      <c r="B12496">
        <f>HYPERLINK("https://www.dofusbook.net/fr/equipement/1263472-stuff-2/objets", "link")</f>
        <v/>
      </c>
      <c r="C12496" t="n">
        <v>0</v>
      </c>
      <c r="D12496" t="inlineStr"/>
    </row>
    <row r="12497">
      <c r="A12497" t="inlineStr">
        <is>
          <t>Stuff 2</t>
        </is>
      </c>
      <c r="B12497">
        <f>HYPERLINK("https://www.dofusbook.net/fr/equipement/1263484-stuff-2/objets", "link")</f>
        <v/>
      </c>
      <c r="C12497" t="n">
        <v>0</v>
      </c>
      <c r="D12497" t="inlineStr">
        <is>
          <t>Bêche Asse; Amulette du Nocturlabe; Anneau de Brouce; Anneau du Comte Harebourg; Ceinture de la Reine des Voleurs; Masque de Koutoulou; Cape au Logis; Baleinabottes; Forcené majeur; Nomade; Enragé majeur; Vigoureux majeur; Remueur; Kompost</t>
        </is>
      </c>
    </row>
    <row r="12498">
      <c r="A12498" t="inlineStr">
        <is>
          <t>Stuff 3</t>
        </is>
      </c>
      <c r="B12498">
        <f>HYPERLINK("https://www.dofusbook.net/fr/equipement/1263479-stuff-3/objets", "link")</f>
        <v/>
      </c>
      <c r="C12498" t="n">
        <v>0</v>
      </c>
      <c r="D12498" t="inlineStr">
        <is>
          <t>Arc Hétype; Talisman Igans; Bracelet du Piloztère; Bague Gloursonne; Ceintacé; Cagoule de Vortex; Voile d'encre; Bottes Owesli; Dofus Pourpre; Érudit majeur; Vigoureux majeur; Nomade; Carapace Feu majeur; Remueur; Kramkram</t>
        </is>
      </c>
    </row>
    <row r="12499">
      <c r="A12499" t="inlineStr">
        <is>
          <t>Stuff 1</t>
        </is>
      </c>
      <c r="B12499">
        <f>HYPERLINK("https://www.dofusbook.net/fr/equipement/1263474-stuff-1/objets", "link")</f>
        <v/>
      </c>
      <c r="C12499" t="n">
        <v>0</v>
      </c>
      <c r="D12499" t="inlineStr">
        <is>
          <t>Épée du Granduk; Amulette du Granduk; Gelano; Anneau d'Allister; Ceinture de Klime; Couronne d'Allister; Cape de Klime; Bottes d'Allister; Dofus Pourpre; Dofus Émeraude; Ravageur Air majeur; Survivant majeur; Acrobate majeur; Kwaltess</t>
        </is>
      </c>
    </row>
    <row r="12500">
      <c r="A12500" t="inlineStr">
        <is>
          <t>Stuff 2</t>
        </is>
      </c>
      <c r="B12500">
        <f>HYPERLINK("https://www.dofusbook.net/fr/equipement/1263469-stuff-2/objets", "link")</f>
        <v/>
      </c>
      <c r="C12500" t="n">
        <v>0</v>
      </c>
      <c r="D12500" t="inlineStr">
        <is>
          <t>Dagues de Srambad; Amulette de Pol Ouatnos; Alliance Gloursonne; Gelano; Ceintacé; Coiffe du Lévitrof; Cape Ovri; Bottes du Lévitrof; Chanceux majeur; Fonceur majeur; Enragé majeur; Remueur; Observateur; Nomade; Nomoon</t>
        </is>
      </c>
    </row>
    <row r="12501">
      <c r="A12501" t="inlineStr">
        <is>
          <t>Stuff 2</t>
        </is>
      </c>
      <c r="B12501">
        <f>HYPERLINK("https://www.dofusbook.net/fr/equipement/1263481-stuff-2/objets", "link")</f>
        <v/>
      </c>
      <c r="C12501" t="n">
        <v>0</v>
      </c>
      <c r="D12501" t="inlineStr">
        <is>
          <t>Hache du Chalœil; Amulette Ementaire Deluxe; Bague Gloursonne; Alliance Gloursonne; Protopagne; Coiffe du Lévitrof; Voile d'encre; Bottes du Chalœil; Dofus Pourpre; Dofus Ocre; Temporiseur majeur; Remueur; Déserteur majeur; Nomade; Kramkram</t>
        </is>
      </c>
    </row>
    <row r="12502">
      <c r="A12502" t="inlineStr">
        <is>
          <t>Stuff 3</t>
        </is>
      </c>
      <c r="B12502">
        <f>HYPERLINK("https://www.dofusbook.net/fr/equipement/1263476-stuff-3/objets", "link")</f>
        <v/>
      </c>
      <c r="C12502" t="n">
        <v>0</v>
      </c>
      <c r="D12502" t="inlineStr">
        <is>
          <t>Arc Hétype; Amulette Séculaire; Anneau Tamie; Anneau Tamie; Sangle Aise; Coiffe Séculaire; Voile d'encre; Pataugastrique; Dofus Pourpre; Remueur; Astucieux majeur; Vigoureux majeur; Érudit majeur; Nomade; Kramkram</t>
        </is>
      </c>
    </row>
    <row r="12503">
      <c r="A12503" t="inlineStr">
        <is>
          <t>Stuff 1</t>
        </is>
      </c>
      <c r="B12503">
        <f>HYPERLINK("https://www.dofusbook.net/fr/equipement/1263471-stuff-1/objets", "link")</f>
        <v/>
      </c>
      <c r="C12503" t="n">
        <v>0</v>
      </c>
      <c r="D12503" t="inlineStr">
        <is>
          <t>Dagues Érhy; Amulette Ementaire Deluxe; Bague Gloursonne; Anneau Chevelu; Ceinture de Gein; Chapeau de Gein; Voile d'encre; Pataugastrique; Dofus Pourpre; Dofus Turquoise; Dolmanax; Nomade; Miraculé majeur; Remueur; Kramkram</t>
        </is>
      </c>
    </row>
    <row r="12504">
      <c r="A12504" t="inlineStr">
        <is>
          <t>Stuff 1</t>
        </is>
      </c>
      <c r="B12504">
        <f>HYPERLINK("https://www.dofusbook.net/fr/equipement/1263483-stuff-1/objets", "link")</f>
        <v/>
      </c>
      <c r="C12504" t="n">
        <v>0</v>
      </c>
      <c r="D12504" t="inlineStr">
        <is>
          <t>Hache Ériphe; Amulette du Kamasterisk; Alliance Gloursonne; Anneau d'Allister; Ceintouse; Chapoulpe; Cape au Logis; Baleinabottes; Nomade; Enragé majeur; Remueur; Dévastateur Air majeur; Cascadeur majeur; Dévastateur Terre majeur; Pioute vert</t>
        </is>
      </c>
    </row>
    <row r="12505">
      <c r="A12505" t="inlineStr">
        <is>
          <t>Stuff 2</t>
        </is>
      </c>
      <c r="B12505">
        <f>HYPERLINK("https://www.dofusbook.net/fr/equipement/1263478-stuff-2/objets", "link")</f>
        <v/>
      </c>
      <c r="C12505" t="n">
        <v>0</v>
      </c>
      <c r="D12505" t="inlineStr">
        <is>
          <t>Bâthon; Amulette Ementaire Deluxe; Chevalière du Roi Joueur; Bague Gloursonne; Ceinture de l'Indicible; Casque du Chalœil; Voile d'encre; Bottes de l'Indicible; Dofus Ocre; Carapace Neutre majeur; Nomade; Carapace Eau majeur; Remueur; Carapace Terre majeur; Kramkram</t>
        </is>
      </c>
    </row>
    <row r="12506">
      <c r="A12506" t="inlineStr">
        <is>
          <t>Stuff 3</t>
        </is>
      </c>
      <c r="B12506">
        <f>HYPERLINK("https://www.dofusbook.net/fr/equipement/1263473-stuff-3/objets", "link")</f>
        <v/>
      </c>
      <c r="C12506" t="n">
        <v>0</v>
      </c>
      <c r="D12506" t="inlineStr">
        <is>
          <t>Sabres d'Atcham; Amulette du Strigide; Anneau de Padgref; Bague Gloursonne; Ceinture du Strigide; Coiffe de Padgref; Voile d'encre; Getas de Padgref; Dofus Pourpre; Dofus Turquoise; Dofus des Glaces; Dofus Ocre; Joueur majeur; Acrobate majeur; Dragodinde Prune et Emeraude</t>
        </is>
      </c>
    </row>
    <row r="12507">
      <c r="A12507" t="inlineStr">
        <is>
          <t>Stuff 1</t>
        </is>
      </c>
      <c r="B12507">
        <f>HYPERLINK("https://www.dofusbook.net/fr/equipement/1263468-stuff-1/objets", "link")</f>
        <v/>
      </c>
      <c r="C12507" t="n">
        <v>0</v>
      </c>
      <c r="D12507" t="inlineStr">
        <is>
          <t>Arc Nécrotique; Amulette Cryochrone; Anneau de Nidas; Bracelet du Piloztère; Ceinture Glaciale; Coiffe Cryochrone; Cape des Justiciers; Pataugastrique; Dofus Turquoise; Remueur; Vigoureux majeur; Érudit majeur; Nomade; Chanceux majeur; Dehluge</t>
        </is>
      </c>
    </row>
    <row r="12508">
      <c r="A12508" t="inlineStr">
        <is>
          <t>Stuff 3</t>
        </is>
      </c>
      <c r="B12508">
        <f>HYPERLINK("https://www.dofusbook.net/fr/equipement/1263485-stuff-3/objets", "link")</f>
        <v/>
      </c>
      <c r="C12508" t="n">
        <v>0</v>
      </c>
      <c r="D12508" t="inlineStr">
        <is>
          <t>Épée du Granduk; Amulette du Kamasterisk; Alliance Gloursonne; Anneau d'Allister; Ceinture Rasboulaire du Rasboul; Couronne d'Allister; Cape de Klime; Baleinabottes; Obstructeur majeur; Nomade; Temporiseur majeur; Remueur; Vigoureux majeur; Cascadeur majeur; Dragodinde Prune et Emeraude</t>
        </is>
      </c>
    </row>
    <row r="12509">
      <c r="A12509" t="inlineStr">
        <is>
          <t>Stuff 1</t>
        </is>
      </c>
      <c r="B12509">
        <f>HYPERLINK("https://www.dofusbook.net/fr/equipement/1263480-stuff-1/objets", "link")</f>
        <v/>
      </c>
      <c r="C12509" t="n">
        <v>0</v>
      </c>
      <c r="D12509" t="inlineStr">
        <is>
          <t>Hache du Chalœil; Amulette de Pol Ouatnos; Alliance Gloursonne; Bague Gloursonne; Ceintacé; Chapeau de Gein; Voile d'encre; Pataugastrique; Dofus Turquoise; Dofus Pourpre; Enragé majeur; Nomade; Miraculé majeur; Chanceux majeur; Kramkram</t>
        </is>
      </c>
    </row>
    <row r="12510">
      <c r="A12510" t="inlineStr">
        <is>
          <t>Stuff 2</t>
        </is>
      </c>
      <c r="B12510">
        <f>HYPERLINK("https://www.dofusbook.net/fr/equipement/1263475-stuff-2/objets", "link")</f>
        <v/>
      </c>
      <c r="C12510" t="n">
        <v>0</v>
      </c>
      <c r="D12510" t="inlineStr">
        <is>
          <t>Arc Hétype; Amulette Séculaire; Bague Gloursonne; Anneau Tamie; Ceintacé; Coiffe Séculaire; Voile d'encre; Pataugastrique; Remueur; Nomade; Érudit majeur; Brûlih</t>
        </is>
      </c>
    </row>
    <row r="12511">
      <c r="A12511" t="inlineStr">
        <is>
          <t>Stuff 3</t>
        </is>
      </c>
      <c r="B12511">
        <f>HYPERLINK("https://www.dofusbook.net/fr/equipement/1263470-stuff-3/objets", "link")</f>
        <v/>
      </c>
      <c r="C12511" t="n">
        <v>0</v>
      </c>
      <c r="D12511" t="inlineStr">
        <is>
          <t>Épouvante; Amulette Luminescente; Bague Gloursonne; Alliance Gloursonne; Ceinture Luminescente; Masque du Barbétoal; Cape Luminescente; Getas Bernacle; Dofus Ocre; Dofus Pourpre; Dofus Émeraude; Dofus Turquoise; Survivant majeur; Initiateur mineur; Dragodinde Prune et Emeraude</t>
        </is>
      </c>
    </row>
    <row r="12512">
      <c r="A12512" t="inlineStr">
        <is>
          <t>Crâ M 200</t>
        </is>
      </c>
      <c r="B12512">
        <f>HYPERLINK("https://www.dofusbook.net/fr/equipement/4209347-cra-m-200/objets", "link")</f>
        <v/>
      </c>
      <c r="C12512" t="n">
        <v>0</v>
      </c>
      <c r="D12512" t="inlineStr">
        <is>
          <t>Amulette du Strigide; Anneau de Padgref; Bracelet du Piloztère; Ceintacé; Cape Hiculteur; Getas de Padgref</t>
        </is>
      </c>
    </row>
    <row r="12513">
      <c r="A12513" t="inlineStr">
        <is>
          <t>panda ed</t>
        </is>
      </c>
      <c r="B12513">
        <f>HYPERLINK("https://www.dofusbook.net/fr/equipement/4102346-panda-ed/objets", "link")</f>
        <v/>
      </c>
      <c r="C12513" t="n">
        <v>29</v>
      </c>
      <c r="D12513" t="inlineStr">
        <is>
          <t>Hache Rot; Amulette de Danathor; Bracelet du Piloztère; Alliance Gloursonne; Bouclier du Stalak; Sangle Ouare; Coiffe de Danathor; Cape Matelassée; Bottes du Sinistrofu; Nomade; Chanceux majeur; Remueur; Joueur majeur; Fonceur majeur; Miraculé majeur; Volkorne Indigo</t>
        </is>
      </c>
    </row>
    <row r="12514">
      <c r="A12514" t="inlineStr">
        <is>
          <t>Féca M 200</t>
        </is>
      </c>
      <c r="B12514">
        <f>HYPERLINK("https://www.dofusbook.net/fr/equipement/4148428-feca-m-200/objets", "link")</f>
        <v/>
      </c>
      <c r="C12514" t="n">
        <v>0</v>
      </c>
      <c r="D12514" t="inlineStr"/>
    </row>
    <row r="12515">
      <c r="A12515" t="inlineStr">
        <is>
          <t>Féca M 200</t>
        </is>
      </c>
      <c r="B12515">
        <f>HYPERLINK("https://www.dofusbook.net/fr/equipement/4148215-feca-m-200/objets", "link")</f>
        <v/>
      </c>
      <c r="C12515" t="n">
        <v>3</v>
      </c>
      <c r="D12515" t="inlineStr">
        <is>
          <t>Marteau R'ture; Amulette du Strigide; Alliance Gloursonne; Anneau Crustique; Sept ans de malheur; Menoture; Chapoulpe; Voile d'encre; Tentassons; Dofus Pourpre; Dolmanax; Carapace Eau majeur; Étourdisseur majeur; Nomade; Remueur; Drakopin</t>
        </is>
      </c>
    </row>
    <row r="12516">
      <c r="A12516" t="inlineStr">
        <is>
          <t>eni ed</t>
        </is>
      </c>
      <c r="B12516">
        <f>HYPERLINK("https://www.dofusbook.net/fr/equipement/4102289-eni-ed/objets", "link")</f>
        <v/>
      </c>
      <c r="C12516" t="n">
        <v>17</v>
      </c>
      <c r="D12516" t="inlineStr">
        <is>
          <t>Baguette Hernelle; Amulette d'Otomaï; Anneau de Padgref; Bague Gloursonne; Cadran d'Air; Sangle Aise; Coiffe de Padgref; Cape Hiculteur; Pantoufles Émar; Miraculé majeur; Nomade; Savant majeur; Érudit majeur; Remueur; Vigoureux majeur; Muldo Doré</t>
        </is>
      </c>
    </row>
    <row r="12517">
      <c r="A12517" t="inlineStr">
        <is>
          <t>Enutrof M 200</t>
        </is>
      </c>
      <c r="B12517">
        <f>HYPERLINK("https://www.dofusbook.net/fr/equipement/4102398-enutrof-m-200/objets", "link")</f>
        <v/>
      </c>
      <c r="C12517" t="n">
        <v>12</v>
      </c>
      <c r="D12517" t="inlineStr">
        <is>
          <t>Arc Ontanporin; Amulette de Danathor; Pikano; Alliance Gloursonne; Bouclier cubiste; Ceinture du Glourséleste; Maskrobe; Cape Matelassée; Pikottes; Temporiseur; Temporiseur majeur; Ralentisseur majeur; Remueur; Entraveur majeur; Nomade; Volkorne Indigo</t>
        </is>
      </c>
    </row>
    <row r="12518">
      <c r="A12518" t="inlineStr">
        <is>
          <t>iop pvm</t>
        </is>
      </c>
      <c r="B12518">
        <f>HYPERLINK("https://www.dofusbook.net/fr/equipement/4102259-iop-pvm/objets", "link")</f>
        <v/>
      </c>
      <c r="C12518" t="n">
        <v>8</v>
      </c>
      <c r="D12518" t="inlineStr">
        <is>
          <t>Epée Toche; Amulette du Strigide; Bague Gloursonne; Anneau Chevelu; Bouclier du Captain Amakna; Ceintacé; Casque de Missiz Frizz; Cape au Logis; Bottes de la Cour Sombre; Vigoureux; Nomade; Enragé majeur; Vigoureux majeur; Furibond majeur; Remueur; Kramkram</t>
        </is>
      </c>
    </row>
    <row r="12519">
      <c r="A12519" t="inlineStr">
        <is>
          <t>Iop M 200</t>
        </is>
      </c>
      <c r="B12519">
        <f>HYPERLINK("https://www.dofusbook.net/fr/equipement/4102254-iop-m-200/objets", "link")</f>
        <v/>
      </c>
      <c r="C12519" t="n">
        <v>0</v>
      </c>
      <c r="D12519" t="inlineStr"/>
    </row>
    <row r="12520">
      <c r="A12520" t="inlineStr">
        <is>
          <t>Stuff 3</t>
        </is>
      </c>
      <c r="B12520">
        <f>HYPERLINK("https://www.dofusbook.net/fr/equipement/1124100-stuff-3/objets", "link")</f>
        <v/>
      </c>
      <c r="C12520" t="n">
        <v>0</v>
      </c>
      <c r="D12520" t="inlineStr">
        <is>
          <t>Dagues de Srambad; Amulette de Pol Ouatnos; Pikano; Alliance Gloursonne; Ceinture de la Reine des Voleurs; Coiffe de la Reine des Voleurs; Voile d'encre; Baleinabottes; Dokoko; Dolmanax; Dofus Pourpre; Vigoureux majeur; Carapace Air majeur; Remueur; Kramkram</t>
        </is>
      </c>
    </row>
    <row r="12521">
      <c r="A12521" t="inlineStr">
        <is>
          <t>Stuff 2</t>
        </is>
      </c>
      <c r="B12521">
        <f>HYPERLINK("https://www.dofusbook.net/fr/equipement/1124132-stuff-2/objets", "link")</f>
        <v/>
      </c>
      <c r="C12521" t="n">
        <v>0</v>
      </c>
      <c r="D12521" t="inlineStr">
        <is>
          <t>Dagoulinantes; Amulette de Shokkoth; Bracelet des Fonds marins; Alliance Gloursonne; Sangle Ouare; Kidibonnet; Cape du Sinistrofu; Bottes du Sinistrofu; Dofus Turquoise; Dofus Pourpre; Dofus Émeraude; Évasif majeur; Chanceux majeur; Remueur; Kramkram</t>
        </is>
      </c>
    </row>
    <row r="12522">
      <c r="A12522" t="inlineStr">
        <is>
          <t>Stuff 2</t>
        </is>
      </c>
      <c r="B12522">
        <f>HYPERLINK("https://www.dofusbook.net/fr/equipement/1124127-stuff-2/objets", "link")</f>
        <v/>
      </c>
      <c r="C12522" t="n">
        <v>1</v>
      </c>
      <c r="D12522" t="inlineStr">
        <is>
          <t>Baguette Range; Pendentif affamé; Bague Gloursonne; Anneau de Padgref; Ceintacé; Coiffe de Padgref; Cape Hiculteur; Bottes Innommables; Dolmanax; Dofus Pourpre; Dofus Turquoise; Remueur; Vigoureux majeur; Nomade; Kramkram</t>
        </is>
      </c>
    </row>
    <row r="12523">
      <c r="A12523" t="inlineStr">
        <is>
          <t>Stuff 1</t>
        </is>
      </c>
      <c r="B12523">
        <f>HYPERLINK("https://www.dofusbook.net/fr/equipement/1124095-stuff-1/objets", "link")</f>
        <v/>
      </c>
      <c r="C12523" t="n">
        <v>0</v>
      </c>
      <c r="D12523" t="inlineStr">
        <is>
          <t>L'Épée Nice; Amulette du Strigide; Alliance Gloursonne; Bracelet du Piloztère; Ceintacé; Coiffe de la Reine des Voleurs; Voile d'encre; Bottes de la Reine des Voleurs; Dofus Turquoise; Dofus des Glaces; Carapace Terre majeur; Carapace Air majeur; Remueur; Carapace Feu majeur; Kramkram</t>
        </is>
      </c>
    </row>
    <row r="12524">
      <c r="A12524" t="inlineStr">
        <is>
          <t>Stuff 2</t>
        </is>
      </c>
      <c r="B12524">
        <f>HYPERLINK("https://www.dofusbook.net/fr/equipement/1124122-stuff-2/objets", "link")</f>
        <v/>
      </c>
      <c r="C12524" t="n">
        <v>0</v>
      </c>
      <c r="D12524" t="inlineStr">
        <is>
          <t>Hache Ériphe; Amulette du Strigide; Anneau des égarés; Alliance Gloursonne; Ceinture du Barbétoal; Casque des égarés; Voile d'encre; Baleinabottes; Dofus Turquoise; Dofus Pourpre; Carapace Terre majeur; Nomade; Vigoureux majeur; Remueur; Kramkram</t>
        </is>
      </c>
    </row>
    <row r="12525">
      <c r="A12525" t="inlineStr">
        <is>
          <t>Stuff 1</t>
        </is>
      </c>
      <c r="B12525">
        <f>HYPERLINK("https://www.dofusbook.net/fr/equipement/1124090-stuff-1/objets", "link")</f>
        <v/>
      </c>
      <c r="C12525" t="n">
        <v>0</v>
      </c>
      <c r="D12525" t="inlineStr">
        <is>
          <t>Dagues Érhy; Amulette du Strigide; Alliance Gloursonne; Anneau Tique; Ceintacé; Couronne du Roi Joueur; Voile d'encre; Bottes du Strigide; Dolmanax; Dofus Pourpre; Vigoureux majeur; Remueur; Nomade; Carapace Terre majeur; Kramkram</t>
        </is>
      </c>
    </row>
    <row r="12526">
      <c r="A12526" t="inlineStr">
        <is>
          <t>Stuff 2</t>
        </is>
      </c>
      <c r="B12526">
        <f>HYPERLINK("https://www.dofusbook.net/fr/equipement/1124117-stuff-2/objets", "link")</f>
        <v/>
      </c>
      <c r="C12526" t="n">
        <v>0</v>
      </c>
      <c r="D12526" t="inlineStr">
        <is>
          <t>Baguette Hernelle; Amulette d'Otomaï; Bague Gloursonne; Anneau de Padgref; Ceinture Séculaire; Coiffe de Padgref; Cape Hiculteur; Pataugastrique; Dofus Pourpre; Dofus des Glaces; Dofus Turquoise; Vigoureux majeur; Remueur; Nomade; Brûlih</t>
        </is>
      </c>
    </row>
    <row r="12527">
      <c r="A12527" t="inlineStr">
        <is>
          <t>Stuff 2</t>
        </is>
      </c>
      <c r="B12527">
        <f>HYPERLINK("https://www.dofusbook.net/fr/equipement/1124085-stuff-2/objets", "link")</f>
        <v/>
      </c>
      <c r="C12527" t="n">
        <v>0</v>
      </c>
      <c r="D12527" t="inlineStr">
        <is>
          <t>Pelle de Nidas; Amulette du Strigide; Pikano; Alliance Gloursonne; Ceintacé; Chapeau des Malveilleurs; Voile d'encre; Bottes des Malveilleurs; Dofus des Glaces; Dofus Pourpre; Vigoureux majeur; Miraculé majeur; Remueur; Nomade; Kramkram</t>
        </is>
      </c>
    </row>
    <row r="12528">
      <c r="A12528" t="inlineStr">
        <is>
          <t>Stuff 1</t>
        </is>
      </c>
      <c r="B12528">
        <f>HYPERLINK("https://www.dofusbook.net/fr/equipement/1124112-stuff-1/objets", "link")</f>
        <v/>
      </c>
      <c r="C12528" t="n">
        <v>1</v>
      </c>
      <c r="D12528" t="inlineStr">
        <is>
          <t>Plumeau Bil; Amulette de Nileza; Anneau de Nidas; Anneau Tique; Ceinture de Gein; Couronne de Nidas; Voile d'encre; Pataugastrique; Évasif majeur; Remueur; Carapace Eau majeur; Nomade; Déserteur majeur; Étourdisseur majeur; Kramkram</t>
        </is>
      </c>
    </row>
    <row r="12529">
      <c r="A12529" t="inlineStr">
        <is>
          <t>Stuff 2</t>
        </is>
      </c>
      <c r="B12529">
        <f>HYPERLINK("https://www.dofusbook.net/fr/equipement/1124080-stuff-2/objets", "link")</f>
        <v/>
      </c>
      <c r="C12529" t="n">
        <v>0</v>
      </c>
      <c r="D12529" t="inlineStr">
        <is>
          <t>Sabres d'Atcham; Amulette Ementaire Deluxe; Anneau Tique; Alliance Gloursonne; Ceintacé; Casque du Chalœil; Voile d'encre; Bottes du Chalœil; Dofus Pourpre; Remueur; Nomade; Carapace Terre majeur; Miraculé majeur; Kramkram</t>
        </is>
      </c>
    </row>
    <row r="12530">
      <c r="A12530" t="inlineStr">
        <is>
          <t>Stuff 1</t>
        </is>
      </c>
      <c r="B12530">
        <f>HYPERLINK("https://www.dofusbook.net/fr/equipement/1124107-stuff-1/objets", "link")</f>
        <v/>
      </c>
      <c r="C12530" t="n">
        <v>0</v>
      </c>
      <c r="D12530" t="inlineStr">
        <is>
          <t>Arc Hétype; Amulette d'Otomaï; Bague Gloursonne; Anneau Tique; Ceinture de Gein; Chapeau de Gein; Voile d'encre; Pataugastrique; Carapace Terre majeur; Remueur; Nomade; Érudit majeur; Kramkram</t>
        </is>
      </c>
    </row>
    <row r="12531">
      <c r="A12531" t="inlineStr">
        <is>
          <t>Stuff 1</t>
        </is>
      </c>
      <c r="B12531">
        <f>HYPERLINK("https://www.dofusbook.net/fr/equipement/1124102-stuff-1/objets", "link")</f>
        <v/>
      </c>
      <c r="C12531" t="n">
        <v>0</v>
      </c>
      <c r="D12531" t="inlineStr">
        <is>
          <t>Sabres d'Atcham; Amulette du Strigide; Alliance Gloursonne; Pikano; Bouclier du Survivant; Ceinture du Strigide; Coiffe de Padgref; Cape de la Dame du Hasard; Baleinabottes; Dofus Pourpre; Dofus Turquoise; Vigoureux majeur; Carapace Eau majeur; Remueur; Nomade; Dragodinde en armure</t>
        </is>
      </c>
    </row>
    <row r="12532">
      <c r="A12532" t="inlineStr">
        <is>
          <t>Stuff 1</t>
        </is>
      </c>
      <c r="B12532">
        <f>HYPERLINK("https://www.dofusbook.net/fr/equipement/1124134-stuff-1/objets", "link")</f>
        <v/>
      </c>
      <c r="C12532" t="n">
        <v>0</v>
      </c>
      <c r="D12532" t="inlineStr">
        <is>
          <t>Dagoulinantes; Amulette de Shokkoth; Alliance Gloursonne; Bracelet des Fonds marins; Poulpagne; Casque Dragoeuf; Cape du Sinistrofu; Bottes du Sinistrofu; Dofus Turquoise; Dofus Pourpre; Dofus Émeraude; Remueur; Évasif majeur; Nomade; Kramkram</t>
        </is>
      </c>
    </row>
    <row r="12533">
      <c r="A12533" t="inlineStr">
        <is>
          <t>Stuff 3</t>
        </is>
      </c>
      <c r="B12533">
        <f>HYPERLINK("https://www.dofusbook.net/fr/equipement/1124097-stuff-3/objets", "link")</f>
        <v/>
      </c>
      <c r="C12533" t="n">
        <v>1</v>
      </c>
      <c r="D12533" t="inlineStr">
        <is>
          <t>Hache du Chalœil; Talisman Igans; Alliance Gloursonne; Anneau Tique; Ceintacé; Casque du Chalœil; Voile d'encre; Bottes du Chalœil; Dofus des Glaces; Dofus Pourpre; Dofus Turquoise; Remueur; Nomade; Vigoureux majeur; Kramkram</t>
        </is>
      </c>
    </row>
    <row r="12534">
      <c r="A12534" t="inlineStr">
        <is>
          <t>Stuff 2</t>
        </is>
      </c>
      <c r="B12534">
        <f>HYPERLINK("https://www.dofusbook.net/fr/equipement/1124129-stuff-2/objets", "link")</f>
        <v/>
      </c>
      <c r="C12534" t="n">
        <v>0</v>
      </c>
      <c r="D12534" t="inlineStr">
        <is>
          <t>Manthache; Collier du Valet Veinard; Alliance Gloursonne; Gant du Valet Veinard; Menoture; Casque Dragoeuf; Cape Indescriptible; Palmes Trithons; Dofus Émeraude; Dofus Pourpre; Vigoureux majeur; Remueur; Évasif majeur; Cascadeur majeur; Muldo Ebène</t>
        </is>
      </c>
    </row>
    <row r="12535">
      <c r="A12535" t="inlineStr">
        <is>
          <t>Stuff 1</t>
        </is>
      </c>
      <c r="B12535">
        <f>HYPERLINK("https://www.dofusbook.net/fr/equipement/1124092-stuff-1/objets", "link")</f>
        <v/>
      </c>
      <c r="C12535" t="n">
        <v>3</v>
      </c>
      <c r="D12535" t="inlineStr">
        <is>
          <t>Epée Kari; Amulette du Nocturlabe; Annolamour; Bague Gloursonne; Ceinture de Brouce; Coiffe du Comte Harebourg; Cape au Logis; Bottes du Comte Harebourg; Dofus Pourpre; Furibond majeur; Forcené majeur; Vigoureux majeur; Robuste majeur; Enragé majeur; Kompost</t>
        </is>
      </c>
    </row>
    <row r="12536">
      <c r="A12536" t="inlineStr">
        <is>
          <t>Stuff 1</t>
        </is>
      </c>
      <c r="B12536">
        <f>HYPERLINK("https://www.dofusbook.net/fr/equipement/1124124-stuff-1/objets", "link")</f>
        <v/>
      </c>
      <c r="C12536" t="n">
        <v>2</v>
      </c>
      <c r="D12536" t="inlineStr">
        <is>
          <t>Manthache; Collier du Valet Veinard; Alliance Gloursonne; Gant du Valet Veinard; Menoture; Couronne d'Allister; Voile d'encre; Palmes Trithons; Dofus Pourpre; Cascadeur majeur; Carapace Air majeur; Vigoureux majeur; Remueur; Nomade; Kramkram</t>
        </is>
      </c>
    </row>
    <row r="12537">
      <c r="A12537" t="inlineStr">
        <is>
          <t>Stuff 1</t>
        </is>
      </c>
      <c r="B12537">
        <f>HYPERLINK("https://www.dofusbook.net/fr/equipement/1124087-stuff-1/objets", "link")</f>
        <v/>
      </c>
      <c r="C12537" t="n">
        <v>2</v>
      </c>
      <c r="D12537" t="inlineStr">
        <is>
          <t>Sceptre du Roi Joueur; Talisman Igans; Alliance Gloursonne; Anneau Tique; Ceinture du Barbétoal; Kidibonnet; Voile d'encre; Bottes Owesli; Chanceux majeur; Nomade; Carapace Eau majeur; Carapace Air majeur; Remueur; Kramkram</t>
        </is>
      </c>
    </row>
    <row r="12538">
      <c r="A12538" t="inlineStr">
        <is>
          <t>Stuff 1</t>
        </is>
      </c>
      <c r="B12538">
        <f>HYPERLINK("https://www.dofusbook.net/fr/equipement/1124119-stuff-1/objets", "link")</f>
        <v/>
      </c>
      <c r="C12538" t="n">
        <v>0</v>
      </c>
      <c r="D12538" t="inlineStr">
        <is>
          <t>Rapière aux Glyphes; Talisman Glouti; Pikano; Alliance Gloursonne; Ceinture du Barbétoal; Kidibonnet; Cape du Sinistrofu; Bottes du Sinistrofu; Remueur; Carapace Eau majeur; Nomade; Miraculé majeur; Chanceux majeur; Bontique</t>
        </is>
      </c>
    </row>
    <row r="12539">
      <c r="A12539" t="inlineStr">
        <is>
          <t>Stuff 1</t>
        </is>
      </c>
      <c r="B12539">
        <f>HYPERLINK("https://www.dofusbook.net/fr/equipement/1124082-stuff-1/objets", "link")</f>
        <v/>
      </c>
      <c r="C12539" t="n">
        <v>2</v>
      </c>
      <c r="D12539" t="inlineStr">
        <is>
          <t>Sabres d'Atcham; Amulette du Strigide; Anneau Tique; Alliance Gloursonne; Ceintacé; Chapeau des Malveilleurs; Voile d'encre; Bottes des Malveilleurs; Dofus des Glaces; Dofus Turquoise; Dofus Pourpre; Nomade; Remueur; Vigoureux majeur; Kramkram</t>
        </is>
      </c>
    </row>
    <row r="12540">
      <c r="A12540" t="inlineStr">
        <is>
          <t>Stuff 3</t>
        </is>
      </c>
      <c r="B12540">
        <f>HYPERLINK("https://www.dofusbook.net/fr/equipement/1124114-stuff-3/objets", "link")</f>
        <v/>
      </c>
      <c r="C12540" t="n">
        <v>3</v>
      </c>
      <c r="D12540" t="inlineStr">
        <is>
          <t>Harpelle; Pendentif affamé; Anneau Tique; Anneau de Nidas; Ceinture Séculaire; Coiffe Séculaire; Voile d'encre; Bottes Innommables; Dolmanax; Dofus Ocre; Érudit majeur; Nomade; Carapace Terre majeur; Remueur; Croum</t>
        </is>
      </c>
    </row>
    <row r="12541">
      <c r="A12541" t="inlineStr">
        <is>
          <t>Stuff 3</t>
        </is>
      </c>
      <c r="B12541">
        <f>HYPERLINK("https://www.dofusbook.net/fr/equipement/1124104-stuff-3/objets", "link")</f>
        <v/>
      </c>
      <c r="C12541" t="n">
        <v>0</v>
      </c>
      <c r="D12541" t="inlineStr">
        <is>
          <t>Pelle de la Cour Sombre; Collier du Valet Veinard; Gant du Valet Veinard; Alliance Gloursonne; Ceinture du Barbétoal; Dorabysses; Voile d'encre; Baleinabottes; Dofus Pourpre; Nomade; Cascadeur majeur; Carapace Air majeur; Vigoureux majeur; Remueur; Kramkram</t>
        </is>
      </c>
    </row>
    <row r="12542">
      <c r="A12542" t="inlineStr">
        <is>
          <t>Stuff 2</t>
        </is>
      </c>
      <c r="B12542">
        <f>HYPERLINK("https://www.dofusbook.net/fr/equipement/1124099-stuff-2/objets", "link")</f>
        <v/>
      </c>
      <c r="C12542" t="n">
        <v>1</v>
      </c>
      <c r="D12542" t="inlineStr">
        <is>
          <t>Hache Ériphe; Amulette de Pol Ouatnos; Pikano; Alliance Gloursonne; Ceinture de la Reine des Voleurs; Coiffe de la Reine des Voleurs; Voile d'encre; Baleinabottes; Dofus Pourpre; Remueur; Cavaleur majeur; Vigoureux majeur; Évasif majeur; Kramkram</t>
        </is>
      </c>
    </row>
    <row r="12543">
      <c r="A12543" t="inlineStr">
        <is>
          <t>Stuff 1</t>
        </is>
      </c>
      <c r="B12543">
        <f>HYPERLINK("https://www.dofusbook.net/fr/equipement/1124131-stuff-1/objets", "link")</f>
        <v/>
      </c>
      <c r="C12543" t="n">
        <v>0</v>
      </c>
      <c r="D12543" t="inlineStr">
        <is>
          <t>Dagoulinantes; Amulette de Shokkoth; Bracelet des Fonds marins; Alliance Gloursonne; Poulpagne; Casque Dragoeuf; Cape du Sinistrofu; Bottes du Sinistrofu; Dofus Turquoise; Dofus Pourpre; Dofus Émeraude; Remueur; Évasif majeur; Nomade; Kramkram</t>
        </is>
      </c>
    </row>
    <row r="12544">
      <c r="A12544" t="inlineStr">
        <is>
          <t>Stuff 3</t>
        </is>
      </c>
      <c r="B12544">
        <f>HYPERLINK("https://www.dofusbook.net/fr/equipement/1124094-stuff-3/objets", "link")</f>
        <v/>
      </c>
      <c r="C12544" t="n">
        <v>0</v>
      </c>
      <c r="D12544" t="inlineStr">
        <is>
          <t>Epée Kari; Amulette d'Otomaï; Anneau Tamie; Anneau Tamie; Ceinture Séculaire; Coiffe Séculaire; Cape Reski; Bottes Refois; Brûlih</t>
        </is>
      </c>
    </row>
    <row r="12545">
      <c r="A12545" t="inlineStr">
        <is>
          <t>Stuff 1</t>
        </is>
      </c>
      <c r="B12545">
        <f>HYPERLINK("https://www.dofusbook.net/fr/equipement/1124126-stuff-1/objets", "link")</f>
        <v/>
      </c>
      <c r="C12545" t="n">
        <v>1</v>
      </c>
      <c r="D12545" t="inlineStr">
        <is>
          <t>Hache du Guerrier Zoth; Amulette Cætera; Gelano; Anneau Nobstant; Ceinture Phossile; Bonnet Ko; Pèlerine d'Augilol; Bottes Phossiles; Dofus Pourpre; Dofus Turquoise; Turbulent; Vigoureux majeur; Remueur; Nomade; Kramkram</t>
        </is>
      </c>
    </row>
    <row r="12546">
      <c r="A12546" t="inlineStr">
        <is>
          <t>Stuff 1</t>
        </is>
      </c>
      <c r="B12546">
        <f>HYPERLINK("https://www.dofusbook.net/fr/equipement/1124089-stuff-1/objets", "link")</f>
        <v/>
      </c>
      <c r="C12546" t="n">
        <v>0</v>
      </c>
      <c r="D12546" t="inlineStr">
        <is>
          <t>Bêche Asse; Amulette du Nocturlabe; Alliance de Missiz Frizz; Bague Gloursonne; Ceinture de Brouce; Coiffe du Comte Harebourg; Cape au Logis; Bottes du Comte Harebourg; Kompost</t>
        </is>
      </c>
    </row>
    <row r="12547">
      <c r="A12547" t="inlineStr">
        <is>
          <t>Stuff 1</t>
        </is>
      </c>
      <c r="B12547">
        <f>HYPERLINK("https://www.dofusbook.net/fr/equipement/1124121-stuff-1/objets", "link")</f>
        <v/>
      </c>
      <c r="C12547" t="n">
        <v>0</v>
      </c>
      <c r="D12547" t="inlineStr">
        <is>
          <t>Pelle de la Cour Sombre; Collier du Valet Veinard; Gant du Valet Veinard; Alliance Gloursonne; Ceintouse; Chapoulpe; Cape du Valet Veinard; Tentassons; Dofus des Glaces; Dofus Pourpre; Dofus Vulbis; Dolmanax; Dofus Ocre; Robuste majeur; Kramkram</t>
        </is>
      </c>
    </row>
    <row r="12548">
      <c r="A12548" t="inlineStr">
        <is>
          <t>Stuff 1</t>
        </is>
      </c>
      <c r="B12548">
        <f>HYPERLINK("https://www.dofusbook.net/fr/equipement/1124084-stuff-1/objets", "link")</f>
        <v/>
      </c>
      <c r="C12548" t="n">
        <v>2</v>
      </c>
      <c r="D12548" t="inlineStr">
        <is>
          <t>Hache du Chalœil; Amulette Ementaire Deluxe; Alliance Gloursonne; Anneau Tique; Ceintacé; Casque du Chalœil; Voile d'encre; Bottes du Chalœil; Dolmanax; Dofus Pourpre; Remueur; Nomade; Carapace Neutre majeur; Miraculé majeur; Kramkram</t>
        </is>
      </c>
    </row>
    <row r="12549">
      <c r="A12549" t="inlineStr">
        <is>
          <t>Stuff 1</t>
        </is>
      </c>
      <c r="B12549">
        <f>HYPERLINK("https://www.dofusbook.net/fr/equipement/1124116-stuff-1/objets", "link")</f>
        <v/>
      </c>
      <c r="C12549" t="n">
        <v>2</v>
      </c>
      <c r="D12549" t="inlineStr">
        <is>
          <t>Marteau Phossile; Amulette du Strigide; Anneau Rifique; Anneau de Padgref; Menoture; Coiffe de Padgref; Voile d'encre; Sandales  d'Atcham; Dofus Turquoise; Vigoureux majeur; Remueur; Carapace Feu majeur; Nomade; Kramkram</t>
        </is>
      </c>
    </row>
    <row r="12550">
      <c r="A12550" t="inlineStr">
        <is>
          <t>Stuff 1</t>
        </is>
      </c>
      <c r="B12550">
        <f>HYPERLINK("https://www.dofusbook.net/fr/equipement/1124111-stuff-1/objets", "link")</f>
        <v/>
      </c>
      <c r="C12550" t="n">
        <v>0</v>
      </c>
      <c r="D12550" t="inlineStr">
        <is>
          <t>Rapière aux Glyphes; Amulette du Piloztère; Alliance Gloursonne; Bracelet des Fonds marins; Protopagne; Kidibonnet; Capchalot; Sandales des Fonds marins; Dolmanax; Évasif majeur; Remueur; Carapace Air majeur; Chanceux majeur; Cavaleur majeur; El Scarador</t>
        </is>
      </c>
    </row>
    <row r="12551">
      <c r="A12551" t="inlineStr">
        <is>
          <t>Stuff 1</t>
        </is>
      </c>
      <c r="B12551">
        <f>HYPERLINK("https://www.dofusbook.net/fr/equipement/1124128-stuff-1/objets", "link")</f>
        <v/>
      </c>
      <c r="C12551" t="n">
        <v>0</v>
      </c>
      <c r="D12551" t="inlineStr">
        <is>
          <t>Dagoulinantes; Amulette de Shokkoth; Alliance Gloursonne; Bracelet des Fonds marins; Poulpagne; Casque Dragoeuf; Cape du Sinistrofu; Bottes du Sinistrofu; Dofus Pourpre; Dofus Émeraude; Dofus Turquoise; Évasif majeur; Nomade; Remueur; Kramkram</t>
        </is>
      </c>
    </row>
    <row r="12552">
      <c r="A12552" t="inlineStr">
        <is>
          <t>Stuff 2</t>
        </is>
      </c>
      <c r="B12552">
        <f>HYPERLINK("https://www.dofusbook.net/fr/equipement/1124091-stuff-2/objets", "link")</f>
        <v/>
      </c>
      <c r="C12552" t="n">
        <v>0</v>
      </c>
      <c r="D12552" t="inlineStr">
        <is>
          <t>Arc Hétype; Amulette Cryochrone; Bague Gloursonne; Anneau Tique; Sangle Aise; Chapeau des Malveilleurs; Cape de Nileza; Bottes des Malveilleurs; Nomade; Obstructeur majeur; Savant majeur; Érudit majeur; Remueur; Bloqueur majeur; Blokus</t>
        </is>
      </c>
    </row>
    <row r="12553">
      <c r="A12553" t="inlineStr">
        <is>
          <t>Stuff 1</t>
        </is>
      </c>
      <c r="B12553">
        <f>HYPERLINK("https://www.dofusbook.net/fr/equipement/1124123-stuff-1/objets", "link")</f>
        <v/>
      </c>
      <c r="C12553" t="n">
        <v>0</v>
      </c>
      <c r="D12553" t="inlineStr">
        <is>
          <t>Dagues Érhy; Amulette du Strigide; Anneau Chevelu; Bague Gloursonne; Ceintacé; Chapeau de Gein; Voile d'encre; Bottes du Strigide; Dofus des Glaces; Dofus Turquoise; Dofus Pourpre; Remueur; Nomade; Vigoureux majeur; Kramkram</t>
        </is>
      </c>
    </row>
    <row r="12554">
      <c r="A12554" t="inlineStr">
        <is>
          <t>Stuff 3</t>
        </is>
      </c>
      <c r="B12554">
        <f>HYPERLINK("https://www.dofusbook.net/fr/equipement/1124086-stuff-3/objets", "link")</f>
        <v/>
      </c>
      <c r="C12554" t="n">
        <v>1</v>
      </c>
      <c r="D12554" t="inlineStr">
        <is>
          <t>Hache du Chalœil; Talisman Igans; Anneau Tique; Alliance Gloursonne; Ceintacé; Casque du Chalœil; Voile d'encre; Bottes du Chalœil; Dofus Pourpre; Nomade; Enragé majeur; Miraculé majeur; Vigoureux majeur; Remueur; Kramkram</t>
        </is>
      </c>
    </row>
    <row r="12555">
      <c r="A12555" t="inlineStr">
        <is>
          <t>Stuff 3</t>
        </is>
      </c>
      <c r="B12555">
        <f>HYPERLINK("https://www.dofusbook.net/fr/equipement/1124118-stuff-3/objets", "link")</f>
        <v/>
      </c>
      <c r="C12555" t="n">
        <v>1</v>
      </c>
      <c r="D12555" t="inlineStr">
        <is>
          <t>Baguette de Malléfisk; Amulette Séculaire; Anneau de Nidas; Anneau Tique; Protopagne; Coiffe Séculaire; Voile d'encre; Pataugastrique; Érudit majeur; Guérisseur majeur; Remueur; Kramkram</t>
        </is>
      </c>
    </row>
    <row r="12556">
      <c r="A12556" t="inlineStr">
        <is>
          <t>Stuff 3</t>
        </is>
      </c>
      <c r="B12556">
        <f>HYPERLINK("https://www.dofusbook.net/fr/equipement/1124081-stuff-3/objets", "link")</f>
        <v/>
      </c>
      <c r="C12556" t="n">
        <v>0</v>
      </c>
      <c r="D12556" t="inlineStr">
        <is>
          <t>Hache du Chalœil; Amulette Ementaire Deluxe; Alliance Gloursonne; Anneau Tique; Ceintacé; Casque du Chalœil; Voile d'encre; Bottes du Chalœil; Dolmanax; Dofus Pourpre; Remueur; Nomade; Carapace Neutre majeur; Miraculé majeur; Kramkram</t>
        </is>
      </c>
    </row>
    <row r="12557">
      <c r="A12557" t="inlineStr">
        <is>
          <t>Stuff 2</t>
        </is>
      </c>
      <c r="B12557">
        <f>HYPERLINK("https://www.dofusbook.net/fr/equipement/1124113-stuff-2/objets", "link")</f>
        <v/>
      </c>
      <c r="C12557" t="n">
        <v>0</v>
      </c>
      <c r="D12557" t="inlineStr">
        <is>
          <t>Sabres d'Atcham; Amulette du Strigide; Alliance Gloursonne; Anneau Tique; Ceintacé; Chapeau des Malveilleurs; Voile d'encre; Sandales  d'Atcham; Dolmanax; Remueur; Étourdisseur majeur; Évasif majeur; Nomade; Carapace Air majeur; Kramkram</t>
        </is>
      </c>
    </row>
    <row r="12558">
      <c r="A12558" t="inlineStr">
        <is>
          <t>Stuff 2</t>
        </is>
      </c>
      <c r="B12558">
        <f>HYPERLINK("https://www.dofusbook.net/fr/equipement/1124103-stuff-2/objets", "link")</f>
        <v/>
      </c>
      <c r="C12558" t="n">
        <v>0</v>
      </c>
      <c r="D12558" t="inlineStr">
        <is>
          <t>Dagues de Srambad; Amulette de Pol Ouatnos; Alliance Gloursonne; Pikano; Ceinture de la Reine des Voleurs; Coiffe de la Reine des Voleurs; Voile d'encre; Baleinabottes; Dokoko; Dolmanax; Dofus Pourpre; Vigoureux majeur; Carapace Air majeur; Remueur; Kramkram</t>
        </is>
      </c>
    </row>
    <row r="12559">
      <c r="A12559" t="inlineStr">
        <is>
          <t>Stuff 1</t>
        </is>
      </c>
      <c r="B12559">
        <f>HYPERLINK("https://www.dofusbook.net/fr/equipement/1124098-stuff-1/objets", "link")</f>
        <v/>
      </c>
      <c r="C12559" t="n">
        <v>0</v>
      </c>
      <c r="D12559" t="inlineStr">
        <is>
          <t>Sabres d'Atcham; Amulette Ementaire Deluxe; Bracelet du Piloztère; Alliance Gloursonne; Ceintacé; Chapeau des Malveilleurs; Voile d'encre; Bottes des Malveilleurs; Kramkram</t>
        </is>
      </c>
    </row>
    <row r="12560">
      <c r="A12560" t="inlineStr">
        <is>
          <t>Stuff 3</t>
        </is>
      </c>
      <c r="B12560">
        <f>HYPERLINK("https://www.dofusbook.net/fr/equipement/1124130-stuff-3/objets", "link")</f>
        <v/>
      </c>
      <c r="C12560" t="n">
        <v>2</v>
      </c>
      <c r="D12560" t="inlineStr">
        <is>
          <t>Dagues Érhy; Amulette du Strigide; Bague Gloursonne; Anneau Chevelu; Ceinture de Gein; Chapeau de Gein; Voile d'encre; Sabots Minables; Dofus Émeraude; Dofus Pourpre; Dofus Turquoise; Nomade; Remueur; Évasif majeur; Kramkram</t>
        </is>
      </c>
    </row>
    <row r="12561">
      <c r="A12561" t="inlineStr">
        <is>
          <t>Stuff 2</t>
        </is>
      </c>
      <c r="B12561">
        <f>HYPERLINK("https://www.dofusbook.net/fr/equipement/1124093-stuff-2/objets", "link")</f>
        <v/>
      </c>
      <c r="C12561" t="n">
        <v>0</v>
      </c>
      <c r="D12561" t="inlineStr">
        <is>
          <t>Ceinture Rasboulaire du Rasboul; Couronne d'Allister; Cape Reski; Bottes d'Allister</t>
        </is>
      </c>
    </row>
    <row r="12562">
      <c r="A12562" t="inlineStr">
        <is>
          <t>Stuff 3</t>
        </is>
      </c>
      <c r="B12562">
        <f>HYPERLINK("https://www.dofusbook.net/fr/equipement/1124088-stuff-3/objets", "link")</f>
        <v/>
      </c>
      <c r="C12562" t="n">
        <v>0</v>
      </c>
      <c r="D12562" t="inlineStr">
        <is>
          <t>Rapière aux Glyphes; Talisman Igans; Anneau Tique; Alliance Gloursonne; Ceinture du Barbétoal; Kidibonnet; Voile d'encre; Bottes Owesli; Carapace Eau majeur; Nomade; Évasif majeur; Miraculé majeur; Chanceux majeur; Remueur; Kramkram</t>
        </is>
      </c>
    </row>
    <row r="12563">
      <c r="A12563" t="inlineStr">
        <is>
          <t>Stuff 2</t>
        </is>
      </c>
      <c r="B12563">
        <f>HYPERLINK("https://www.dofusbook.net/fr/equipement/1124120-stuff-2/objets", "link")</f>
        <v/>
      </c>
      <c r="C12563" t="n">
        <v>1</v>
      </c>
      <c r="D12563" t="inlineStr">
        <is>
          <t>Pelle de Nidas; Amulette du Strigide; Alliance Gloursonne; Bague Trithon; Sangle Ouare; Masque Trithon; Voile d'encre; Pataugastrique; Dofus Turquoise; Dolmanax; Miraculé majeur; Culbuteur majeur; Carapace Terre majeur; Remueur; Bontique</t>
        </is>
      </c>
    </row>
    <row r="12564">
      <c r="A12564" t="inlineStr">
        <is>
          <t>Stuff 2</t>
        </is>
      </c>
      <c r="B12564">
        <f>HYPERLINK("https://www.dofusbook.net/fr/equipement/1124083-stuff-2/objets", "link")</f>
        <v/>
      </c>
      <c r="C12564" t="n">
        <v>0</v>
      </c>
      <c r="D12564" t="inlineStr">
        <is>
          <t>Hache du Chalœil; Talisman Igans; Anneau Tique; Alliance Gloursonne; Ceintacé; Casque du Chalœil; Voile d'encre; Bottes du Chalœil; Dofus Turquoise; Dofus des Glaces; Dofus Pourpre; Vigoureux majeur; Remueur; Nomade; Kramkram</t>
        </is>
      </c>
    </row>
    <row r="12565">
      <c r="A12565" t="inlineStr">
        <is>
          <t>Stuff 1</t>
        </is>
      </c>
      <c r="B12565">
        <f>HYPERLINK("https://www.dofusbook.net/fr/equipement/1124115-stuff-1/objets", "link")</f>
        <v/>
      </c>
      <c r="C12565" t="n">
        <v>1</v>
      </c>
      <c r="D12565" t="inlineStr">
        <is>
          <t>Hache du Chalœil; Talisman Igans; Alliance Gloursonne; Anneau Tique; Ceintacé; Casque du Chalœil; Voile d'encre; Bottes du Chalœil; Dofus Turquoise; Dofus Pourpre; Dofus des Glaces; Vigoureux majeur; Remueur; Nomade; Kramkram</t>
        </is>
      </c>
    </row>
    <row r="12566">
      <c r="A12566" t="inlineStr">
        <is>
          <t>Stuff 1</t>
        </is>
      </c>
      <c r="B12566">
        <f>HYPERLINK("https://www.dofusbook.net/fr/equipement/1124105-stuff-1/objets", "link")</f>
        <v/>
      </c>
      <c r="C12566" t="n">
        <v>3</v>
      </c>
      <c r="D12566" t="inlineStr">
        <is>
          <t>Hache du Guerrier Zoth; Amulette de Danathor; Alliance Gloursonne; Grésilanneau; Slip Iholo; Coiffe de Danathor; Cape Matelassée; Getas Bernacle; Dofus Cawotte; Miraculé majeur; Chanceux majeur; Remueur; Nomade; Gwo Tofu Ventripotent</t>
        </is>
      </c>
    </row>
    <row r="12567">
      <c r="A12567" t="inlineStr">
        <is>
          <t>Stuff 3</t>
        </is>
      </c>
      <c r="B12567">
        <f>HYPERLINK("https://www.dofusbook.net/fr/equipement/1124100-stuff-3/objets", "link")</f>
        <v/>
      </c>
      <c r="C12567" t="n">
        <v>0</v>
      </c>
      <c r="D12567" t="inlineStr">
        <is>
          <t>Dagues de Srambad; Amulette de Pol Ouatnos; Pikano; Alliance Gloursonne; Ceinture de la Reine des Voleurs; Coiffe de la Reine des Voleurs; Voile d'encre; Baleinabottes; Dokoko; Dolmanax; Dofus Pourpre; Vigoureux majeur; Carapace Air majeur; Remueur; Kramkram</t>
        </is>
      </c>
    </row>
    <row r="12568">
      <c r="A12568" t="inlineStr">
        <is>
          <t>Stuff 3</t>
        </is>
      </c>
      <c r="B12568">
        <f>HYPERLINK("https://www.dofusbook.net/fr/equipement/1124094-stuff-3/objets", "link")</f>
        <v/>
      </c>
      <c r="C12568" t="n">
        <v>0</v>
      </c>
      <c r="D12568" t="inlineStr">
        <is>
          <t>Epée Kari; Amulette d'Otomaï; Anneau Tamie; Anneau Tamie; Ceinture Séculaire; Coiffe Séculaire; Cape Reski; Bottes Refois; Brûlih</t>
        </is>
      </c>
    </row>
    <row r="12569">
      <c r="A12569" t="inlineStr">
        <is>
          <t>Stuff 1</t>
        </is>
      </c>
      <c r="B12569">
        <f>HYPERLINK("https://www.dofusbook.net/fr/equipement/1124121-stuff-1/objets", "link")</f>
        <v/>
      </c>
      <c r="C12569" t="n">
        <v>0</v>
      </c>
      <c r="D12569" t="inlineStr">
        <is>
          <t>Pelle de la Cour Sombre; Collier du Valet Veinard; Alliance Gloursonne; Gant du Valet Veinard; Ceintouse; Chapoulpe; Cape du Valet Veinard; Tentassons; Dofus Vulbis; Dolmanax; Dofus Ocre; Dofus des Glaces; Dofus Pourpre; Robuste majeur; Kramkram</t>
        </is>
      </c>
    </row>
    <row r="12570">
      <c r="A12570" t="inlineStr">
        <is>
          <t>Stuff 1</t>
        </is>
      </c>
      <c r="B12570">
        <f>HYPERLINK("https://www.dofusbook.net/fr/equipement/1124089-stuff-1/objets", "link")</f>
        <v/>
      </c>
      <c r="C12570" t="n">
        <v>0</v>
      </c>
      <c r="D12570" t="inlineStr">
        <is>
          <t>Bêche Asse; Amulette du Nocturlabe; Alliance de Missiz Frizz; Bague Gloursonne; Ceinture de Brouce; Coiffe du Comte Harebourg; Cape au Logis; Bottes du Comte Harebourg; Kompost</t>
        </is>
      </c>
    </row>
    <row r="12571">
      <c r="A12571" t="inlineStr">
        <is>
          <t>Stuff 1</t>
        </is>
      </c>
      <c r="B12571">
        <f>HYPERLINK("https://www.dofusbook.net/fr/equipement/1124020-stuff-1/objets", "link")</f>
        <v/>
      </c>
      <c r="C12571" t="n">
        <v>0</v>
      </c>
      <c r="D12571" t="inlineStr">
        <is>
          <t>Sabres d'Atcham; Amulette du Strigide; Alliance Gloursonne; Anneau de Padgref; Ceinture du Strigide; Coiffe de Padgref; Cape d'Atcham; Getas de Padgref; Dofus Nébuleux; Dofus Ocre; Dofus des Glaces; Dolmanax; Dofus Turquoise; Dofus Pourpre; Muldo Ebène et Orchidée</t>
        </is>
      </c>
    </row>
    <row r="12572">
      <c r="A12572" t="inlineStr">
        <is>
          <t>Stuff 3</t>
        </is>
      </c>
      <c r="B12572">
        <f>HYPERLINK("https://www.dofusbook.net/fr/equipement/1124052-stuff-3/objets", "link")</f>
        <v/>
      </c>
      <c r="C12572" t="n">
        <v>0</v>
      </c>
      <c r="D12572" t="inlineStr">
        <is>
          <t>Sabres d'Atcham; Amulette Ementaire Deluxe; Bracelet du Piloztère; Bague Gloursonne; Ceinture du Barbétoal; Chapeau des Malveilleurs; Voile d'encre; Bottes des Malveilleurs; Dofus Turquoise; Dofus Pourpre; Dofus Ocre; Nomade; Vigoureux majeur; Remueur; Kramkram</t>
        </is>
      </c>
    </row>
    <row r="12573">
      <c r="A12573" t="inlineStr">
        <is>
          <t>Stuff 2</t>
        </is>
      </c>
      <c r="B12573">
        <f>HYPERLINK("https://www.dofusbook.net/fr/equipement/1124015-stuff-2/objets", "link")</f>
        <v/>
      </c>
      <c r="C12573" t="n">
        <v>1</v>
      </c>
      <c r="D12573" t="inlineStr">
        <is>
          <t>Epée Loponèze; Amulette de Pol Ouatnos; Pikano; Alliance Gloursonne; Ceinture du Barbétoal; Masque des Fonds marins; Voile d'encre; Sandales des Fonds marins; Dofus Ocre; Évasif majeur; Remueur; Carapace Terre majeur; Carapace Neutre majeur; Chanceux majeur; El Scarador</t>
        </is>
      </c>
    </row>
    <row r="12574">
      <c r="A12574" t="inlineStr">
        <is>
          <t>Stuff 2</t>
        </is>
      </c>
      <c r="B12574">
        <f>HYPERLINK("https://www.dofusbook.net/fr/equipement/1124047-stuff-2/objets", "link")</f>
        <v/>
      </c>
      <c r="C12574" t="n">
        <v>0</v>
      </c>
      <c r="D12574" t="inlineStr">
        <is>
          <t>Dagues Érhy; Amulette de Pol Ouatnos; Anneau de Padgref; Bague Gloursonne; Ceinture Séculaire; Coiffe de Padgref; Cape Hiculteur; Pantoufles Émar; Dofus Turquoise; Dofus Pourpre; Érudit majeur; Remueur; Vigoureux majeur; Nomade; Brûlih</t>
        </is>
      </c>
    </row>
    <row r="12575">
      <c r="A12575" t="inlineStr">
        <is>
          <t>Stuff 1</t>
        </is>
      </c>
      <c r="B12575">
        <f>HYPERLINK("https://www.dofusbook.net/fr/equipement/1124079-stuff-1/objets", "link")</f>
        <v/>
      </c>
      <c r="C12575" t="n">
        <v>0</v>
      </c>
      <c r="D12575" t="inlineStr">
        <is>
          <t>Hache du Chalœil; Amulule; Alliance Gloursonne; Anneau Tique; Ceintacé; Casque du Chalœil; Voile d'encre; Bottes du Chalœil; Dofus Pourpre; Carapace Terre majeur; Miraculé majeur; Vigoureux majeur; Remueur; Nomade; Kramkram</t>
        </is>
      </c>
    </row>
    <row r="12576">
      <c r="A12576" t="inlineStr">
        <is>
          <t>Stuff 3</t>
        </is>
      </c>
      <c r="B12576">
        <f>HYPERLINK("https://www.dofusbook.net/fr/equipement/1124010-stuff-3/objets", "link")</f>
        <v/>
      </c>
      <c r="C12576" t="n">
        <v>0</v>
      </c>
      <c r="D12576" t="inlineStr">
        <is>
          <t>Hache Ériphe; Amulette de Pol Ouatnos; Anneau des égarés; Alliance Gloursonne; Ceinture du Barbétoal; Casque des égarés; Voile d'encre; Baleinabottes; Carapace Terre majeur; Remueur; Nomade; Observateur; Évasif majeur; Cavaleur majeur; Croum</t>
        </is>
      </c>
    </row>
    <row r="12577">
      <c r="A12577" t="inlineStr">
        <is>
          <t>Stuff 3</t>
        </is>
      </c>
      <c r="B12577">
        <f>HYPERLINK("https://www.dofusbook.net/fr/equipement/1124042-stuff-3/objets", "link")</f>
        <v/>
      </c>
      <c r="C12577" t="n">
        <v>2</v>
      </c>
      <c r="D12577" t="inlineStr">
        <is>
          <t>Baguette de Malléfisk; Amulette de Nileza; Anneau Tique; Anneau de Nidas; Ceinture de Gein; Couronne de Nidas; Voile d'encre; Pataugastrique; Remueur; Cavaleur majeur; Nomade; Évasif majeur; Déserteur majeur; Érudit majeur; El Scarador</t>
        </is>
      </c>
    </row>
    <row r="12578">
      <c r="A12578" t="inlineStr">
        <is>
          <t>Stuff 2</t>
        </is>
      </c>
      <c r="B12578">
        <f>HYPERLINK("https://www.dofusbook.net/fr/equipement/1124074-stuff-2/objets", "link")</f>
        <v/>
      </c>
      <c r="C12578" t="n">
        <v>0</v>
      </c>
      <c r="D12578" t="inlineStr">
        <is>
          <t>Baguette de Malléfisk; Talisman Igans; Alliance Gloursonne; Anneau Tique; Protopagne; Kidibonnet; Voile d'encre; Bottes Owesli; Guérisseur majeur; Évasif majeur; Remueur; Culbuteur majeur; Miraculé majeur; Kramkram</t>
        </is>
      </c>
    </row>
    <row r="12579">
      <c r="A12579" t="inlineStr">
        <is>
          <t>Stuff 1</t>
        </is>
      </c>
      <c r="B12579">
        <f>HYPERLINK("https://www.dofusbook.net/fr/equipement/1124005-stuff-1/objets", "link")</f>
        <v/>
      </c>
      <c r="C12579" t="n">
        <v>0</v>
      </c>
      <c r="D12579" t="inlineStr">
        <is>
          <t>Marteau des Anciens Steamers; Amulette de Pol Ouatnos; Alliance Gloursonne; Pikano; Ceinture du Barbétoal; Masque du Barbétoal; Cape Matelassée; Bottes de la Reine des Voleurs; Dofus Pourpre; Dofus Turquoise; Vigoureux majeur; Cavaleur majeur; Remueur; Croum</t>
        </is>
      </c>
    </row>
    <row r="12580">
      <c r="A12580" t="inlineStr">
        <is>
          <t>Stuff 1</t>
        </is>
      </c>
      <c r="B12580">
        <f>HYPERLINK("https://www.dofusbook.net/fr/equipement/1124037-stuff-1/objets", "link")</f>
        <v/>
      </c>
      <c r="C12580" t="n">
        <v>0</v>
      </c>
      <c r="D12580" t="inlineStr">
        <is>
          <t>Dagues Érhy; Amulette du Strigide; Alliance de Missiz Frizz; Bague Gloursonne; Ceinture du Strigide; Casque de Missiz Frizz; Cape du Professeur Xa; Bottes du Strigide; Dolmanax; Dofus Pourpre; Dofus Turquoise; Dofus Ocre; Furibond majeur; Forcené majeur; Kompost</t>
        </is>
      </c>
    </row>
    <row r="12581">
      <c r="A12581" t="inlineStr">
        <is>
          <t>Stuff 1</t>
        </is>
      </c>
      <c r="B12581">
        <f>HYPERLINK("https://www.dofusbook.net/fr/equipement/1124069-stuff-1/objets", "link")</f>
        <v/>
      </c>
      <c r="C12581" t="n">
        <v>0</v>
      </c>
      <c r="D12581" t="inlineStr">
        <is>
          <t>Sabres d'Atcham; Amulette du Strigide; Alliance Gloursonne; Bracelet du Piloztère; Ceinture du Strigide; Coiffe de Padgref; Cape du Chalœil; Pataugastrique; Dofus Pourpre; Dofus des Glaces; Dofus Turquoise; Remueur; Nomade; Vigoureux majeur; Kramkram</t>
        </is>
      </c>
    </row>
    <row r="12582">
      <c r="A12582" t="inlineStr">
        <is>
          <t>Stuff 2</t>
        </is>
      </c>
      <c r="B12582">
        <f>HYPERLINK("https://www.dofusbook.net/fr/equipement/1124000-stuff-2/objets", "link")</f>
        <v/>
      </c>
      <c r="C12582" t="n">
        <v>0</v>
      </c>
      <c r="D12582" t="inlineStr">
        <is>
          <t>Arc Hétype; Amulette d'Otomaï; Anneau Tique; Bague Gloursonne; Ceinture Séculaire; Coiffe Séculaire; Voile d'encre; Pataugastrique; Carapace Neutre majeur; Nomade; Carapace Feu majeur; Érudit majeur; Carapace Terre majeur; Remueur; Croum</t>
        </is>
      </c>
    </row>
    <row r="12583">
      <c r="A12583" t="inlineStr">
        <is>
          <t>Stuff 2</t>
        </is>
      </c>
      <c r="B12583">
        <f>HYPERLINK("https://www.dofusbook.net/fr/equipement/1124032-stuff-2/objets", "link")</f>
        <v/>
      </c>
      <c r="C12583" t="n">
        <v>0</v>
      </c>
      <c r="D12583" t="inlineStr">
        <is>
          <t>Baguette Hernelle; Amulette de Pol Ouatnos; Bague Gloursonne; Anneau de Padgref; Ceinture Séculaire; Coiffe de Padgref; Voile d'encre; Pantoufles Émar; Dofus Kaliptus; Dofus Pourpre; Dofus Turquoise; Vigoureux majeur; Nomade; Remueur; Hurledent</t>
        </is>
      </c>
    </row>
    <row r="12584">
      <c r="A12584" t="inlineStr">
        <is>
          <t>Stuff 2</t>
        </is>
      </c>
      <c r="B12584">
        <f>HYPERLINK("https://www.dofusbook.net/fr/equipement/1124064-stuff-2/objets", "link")</f>
        <v/>
      </c>
      <c r="C12584" t="n">
        <v>1</v>
      </c>
      <c r="D12584" t="inlineStr">
        <is>
          <t>Arc Hétype; Amulette de Nileza; Kralano; Anneau Tique; Ceinture de Gein; Chapeau de Gein; Voile d'encre; Pataugastrique; Cavaleur majeur; Nomade; Fonceur majeur; Érudit majeur; Évasif majeur; Remueur; Croum</t>
        </is>
      </c>
    </row>
    <row r="12585">
      <c r="A12585" t="inlineStr">
        <is>
          <t>Stuff 2</t>
        </is>
      </c>
      <c r="B12585">
        <f>HYPERLINK("https://www.dofusbook.net/fr/equipement/1124027-stuff-2/objets", "link")</f>
        <v/>
      </c>
      <c r="C12585" t="n">
        <v>0</v>
      </c>
      <c r="D12585" t="inlineStr">
        <is>
          <t>Epée Gloursonne; Amulette de Danathor; Bague Gloursonne; Alliance Gloursonne; Ceinture de Danathor; Coiffe de Danathor; Cape Glaciale; Getas Bernacle; Dofus Kaliptus; Dofus Turquoise; Dofus Vulbis; Dofus Émeraude; Dofus Pourpre; Dofus Ocre; Hurledent</t>
        </is>
      </c>
    </row>
    <row r="12586">
      <c r="A12586" t="inlineStr">
        <is>
          <t>Stuff 3</t>
        </is>
      </c>
      <c r="B12586">
        <f>HYPERLINK("https://www.dofusbook.net/fr/equipement/1123995-stuff-3/objets", "link")</f>
        <v/>
      </c>
      <c r="C12586" t="n">
        <v>0</v>
      </c>
      <c r="D12586" t="inlineStr">
        <is>
          <t>Amulette du Strigide; Pikano; Alliance Gloursonne; Ceintacé; Chapeau Lisson; Voile d'encre; Bottes du Strigide; Dofus Turquoise; Dofus Pourpre; Remueur; Nomade; Kramkram</t>
        </is>
      </c>
    </row>
    <row r="12587">
      <c r="A12587" t="inlineStr">
        <is>
          <t>Stuff 2</t>
        </is>
      </c>
      <c r="B12587">
        <f>HYPERLINK("https://www.dofusbook.net/fr/equipement/1124038-stuff-2/objets", "link")</f>
        <v/>
      </c>
      <c r="C12587" t="n">
        <v>0</v>
      </c>
      <c r="D12587" t="inlineStr">
        <is>
          <t>Dagues Érhy; Amulette du Strigide; Alliance de Missiz Frizz; Bague Gloursonne; Ceinture du Strigide; Casque de Missiz Frizz; Cape du Professeur Xa; Bottes du Strigide; Dofus Kaliptus; Dolmanax; Dofus Pourpre; Dofus Turquoise; Dofus Ocre; Forcené majeur; Hurledent</t>
        </is>
      </c>
    </row>
    <row r="12588">
      <c r="A12588" t="inlineStr">
        <is>
          <t>Stuff 1</t>
        </is>
      </c>
      <c r="B12588">
        <f>HYPERLINK("https://www.dofusbook.net/fr/equipement/1124070-stuff-1/objets", "link")</f>
        <v/>
      </c>
      <c r="C12588" t="n">
        <v>0</v>
      </c>
      <c r="D12588" t="inlineStr">
        <is>
          <t>Sceptre du Roi Joueur; Amulette du Strigide; Alliance Gloursonne; Pikano; Ceinture du Strigide; Chapeau Lisson; Voile d'encre; Pataugastrique; Dofus Turquoise; Dofus Pourpre; Carapace Eau majeur; Miraculé majeur; Nomade; Remueur; Kramkram</t>
        </is>
      </c>
    </row>
    <row r="12589">
      <c r="A12589" t="inlineStr">
        <is>
          <t>Stuff 3</t>
        </is>
      </c>
      <c r="B12589">
        <f>HYPERLINK("https://www.dofusbook.net/fr/equipement/1124001-stuff-3/objets", "link")</f>
        <v/>
      </c>
      <c r="C12589" t="n">
        <v>1</v>
      </c>
      <c r="D12589" t="inlineStr">
        <is>
          <t>Pelle de la Cour Sombre; Amulette de Pol Ouatnos; Alliance Gloursonne; Anneau des égarés; Ceinture du Barbétoal; Casque des égarés; Voile d'encre; Baleinabottes; Dofus Pourpre; Évasif majeur; Obstructeur majeur; Carapace Air majeur; Remueur; Cavaleur majeur; Croum</t>
        </is>
      </c>
    </row>
    <row r="12590">
      <c r="A12590" t="inlineStr">
        <is>
          <t>Stuff 1</t>
        </is>
      </c>
      <c r="B12590">
        <f>HYPERLINK("https://www.dofusbook.net/fr/equipement/1124033-stuff-1/objets", "link")</f>
        <v/>
      </c>
      <c r="C12590" t="n">
        <v>0</v>
      </c>
      <c r="D12590" t="inlineStr">
        <is>
          <t>Dagues Érhy; Amulette d'Otomaï; Anneau de Padgref; Bague Gloursonne; Ceinture Séculaire; Coiffe de Padgref; Cape Hiculteur; Pantoufles Émar; Dofus Turquoise; Dofus Pourpre; Astucieux majeur; Nomade; Remueur; Érudit majeur; Brûlih</t>
        </is>
      </c>
    </row>
    <row r="12591">
      <c r="A12591" t="inlineStr">
        <is>
          <t>Stuff 3</t>
        </is>
      </c>
      <c r="B12591">
        <f>HYPERLINK("https://www.dofusbook.net/fr/equipement/1124065-stuff-3/objets", "link")</f>
        <v/>
      </c>
      <c r="C12591" t="n">
        <v>1</v>
      </c>
      <c r="D12591" t="inlineStr">
        <is>
          <t>Epée Kari; Amulette du Strigide; Grésilanneau; Bracelet du Piloztère; Ceintacé; Maskrobe; Cape Reski; Bottes du Strigide; Dofus Pourpre; Puissant majeur; Vigoureux majeur; Robuste majeur; Nomade; Remueur; Kramkram</t>
        </is>
      </c>
    </row>
    <row r="12592">
      <c r="A12592" t="inlineStr">
        <is>
          <t>Stuff 1</t>
        </is>
      </c>
      <c r="B12592">
        <f>HYPERLINK("https://www.dofusbook.net/fr/equipement/1123996-stuff-1/objets", "link")</f>
        <v/>
      </c>
      <c r="C12592" t="n">
        <v>0</v>
      </c>
      <c r="D12592" t="inlineStr">
        <is>
          <t>Rapière aux Glyphes; Amulette de Pol Ouatnos; Alliance Gloursonne; Bracelet des Fonds marins; Ceinture du Barbétoal; Masque des Fonds marins; Cape Matelassée; Bottes du Sinistrofu; Évasif majeur; Remueur; Chanceux majeur; Carapace Air majeur; Nomade; Carapace Eau majeur; Croum</t>
        </is>
      </c>
    </row>
    <row r="12593">
      <c r="A12593" t="inlineStr">
        <is>
          <t>Stuff 3</t>
        </is>
      </c>
      <c r="B12593">
        <f>HYPERLINK("https://www.dofusbook.net/fr/equipement/1124028-stuff-3/objets", "link")</f>
        <v/>
      </c>
      <c r="C12593" t="n">
        <v>0</v>
      </c>
      <c r="D12593" t="inlineStr">
        <is>
          <t>Hache du Chalœil; Kralamansion; Alliance Gloursonne; Chevalière du Roi Joueur; Ceintacé; Couronne du Roi Joueur; Voile d'encre; Getas Bernacle; Dofus Turquoise; Dofus Pourpre; Carapace Terre majeur; Remueur; Vigoureux majeur; Nomade; Kramkram</t>
        </is>
      </c>
    </row>
    <row r="12594">
      <c r="A12594" t="inlineStr">
        <is>
          <t>Stuff 2</t>
        </is>
      </c>
      <c r="B12594">
        <f>HYPERLINK("https://www.dofusbook.net/fr/equipement/1123991-stuff-2/objets", "link")</f>
        <v/>
      </c>
      <c r="C12594" t="n">
        <v>0</v>
      </c>
      <c r="D12594" t="inlineStr">
        <is>
          <t>Dagues Érhy; Amulette de Pol Ouatnos; Anneau de Padgref; Kralano; Ceinture Séculaire; Coiffe Séculaire; Voile d'encre; Pantoufles Émar; Carapace Feu majeur; Remueur; Carapace Terre majeur; Nomade; Vigoureux majeur; Cascadeur majeur</t>
        </is>
      </c>
    </row>
    <row r="12595">
      <c r="A12595" t="inlineStr">
        <is>
          <t>Stuff 1</t>
        </is>
      </c>
      <c r="B12595">
        <f>HYPERLINK("https://www.dofusbook.net/fr/equipement/1124023-stuff-1/objets", "link")</f>
        <v/>
      </c>
      <c r="C12595" t="n">
        <v>0</v>
      </c>
      <c r="D12595" t="inlineStr">
        <is>
          <t>Pelle de la Cour Sombre; Amulette de Pol Ouatnos; Alliance Gloursonne; Anneau d'Allister; Ceinture du Barbétoal; Couronne d'Allister; Cape du Kamasterisk; Baleinabottes; Dofus Pourpre; Cascadeur majeur; Equilibriste majeur; Remueur; Vigoureux majeur; Nomade; Siroko</t>
        </is>
      </c>
    </row>
    <row r="12596">
      <c r="A12596" t="inlineStr">
        <is>
          <t>Stuff 2</t>
        </is>
      </c>
      <c r="B12596">
        <f>HYPERLINK("https://www.dofusbook.net/fr/equipement/1124018-stuff-2/objets", "link")</f>
        <v/>
      </c>
      <c r="C12596" t="n">
        <v>0</v>
      </c>
      <c r="D12596" t="inlineStr">
        <is>
          <t>Dagues de Srambad; Amulette Ementaire Deluxe; Alliance Gloursonne; Bracelet du Piloztère; Ceinture de la Reine des Voleurs; Coiffe de la Reine des Voleurs; Voile d'encre; Pataugastrique; Dofus des Glaces; Dofus Pourpre; Dokoko; Remueur; Nomade; Dragodinde en armure</t>
        </is>
      </c>
    </row>
    <row r="12597">
      <c r="A12597" t="inlineStr">
        <is>
          <t>Stuff 1</t>
        </is>
      </c>
      <c r="B12597">
        <f>HYPERLINK("https://www.dofusbook.net/fr/equipement/1124050-stuff-1/objets", "link")</f>
        <v/>
      </c>
      <c r="C12597" t="n">
        <v>0</v>
      </c>
      <c r="D12597" t="inlineStr">
        <is>
          <t>Pelle de la Cour Sombre; Collier du Valet Veinard; Gant du Valet Veinard; Alliance Gloursonne; Ceinture du Barbétoal; Casque des égarés; Voile d'encre; Baleinabottes; Nomade; Carapace Air majeur; Remueur; Cascadeur majeur; Kramkram</t>
        </is>
      </c>
    </row>
    <row r="12598">
      <c r="A12598" t="inlineStr">
        <is>
          <t>Stuff 3</t>
        </is>
      </c>
      <c r="B12598">
        <f>HYPERLINK("https://www.dofusbook.net/fr/equipement/1124013-stuff-3/objets", "link")</f>
        <v/>
      </c>
      <c r="C12598" t="n">
        <v>0</v>
      </c>
      <c r="D12598" t="inlineStr">
        <is>
          <t>Arc Hétype; Amulette Séculaire; Anneau Tique; Anneau de Pol Ouatnos; Ceinture de Vortex; Cagoule de Vortex; Voile d'encre; Pataugastrique; Étourdisseur majeur; Temporiseur majeur; Remueur; Cavaleur majeur; Évasif majeur; Érudit majeur; Croum</t>
        </is>
      </c>
    </row>
    <row r="12599">
      <c r="A12599" t="inlineStr">
        <is>
          <t>Stuff 3</t>
        </is>
      </c>
      <c r="B12599">
        <f>HYPERLINK("https://www.dofusbook.net/fr/equipement/1124045-stuff-3/objets", "link")</f>
        <v/>
      </c>
      <c r="C12599" t="n">
        <v>0</v>
      </c>
      <c r="D12599" t="inlineStr">
        <is>
          <t>Baguette Hique; Amulette de Danathor; Pikano; Alliance Gloursonne; Ceinture du Glourséleste; Casquipik; Cape Matelassée; Pataugastrique; Remueur; Ralentisseur majeur; Entraveur majeur; Nomade; Temporiseur majeur; Chanceux majeur; Dehluge</t>
        </is>
      </c>
    </row>
    <row r="12600">
      <c r="A12600" t="inlineStr">
        <is>
          <t>Stuff 2</t>
        </is>
      </c>
      <c r="B12600">
        <f>HYPERLINK("https://www.dofusbook.net/fr/equipement/1124077-stuff-2/objets", "link")</f>
        <v/>
      </c>
      <c r="C12600" t="n">
        <v>2</v>
      </c>
      <c r="D12600" t="inlineStr">
        <is>
          <t>Hache du Chalœil; Talisman Igans; Anneau Tique; Alliance Gloursonne; Ceintacé; Casque du Chalœil; Voile d'encre; Bottes du Chalœil; Dofus Pourpre; Enragé majeur; Nomade; Chanceux majeur; Vigoureux majeur; Remueur; Kramkram</t>
        </is>
      </c>
    </row>
    <row r="12601">
      <c r="A12601" t="inlineStr">
        <is>
          <t>Stuff 1</t>
        </is>
      </c>
      <c r="B12601">
        <f>HYPERLINK("https://www.dofusbook.net/fr/equipement/1124008-stuff-1/objets", "link")</f>
        <v/>
      </c>
      <c r="C12601" t="n">
        <v>0</v>
      </c>
      <c r="D12601" t="inlineStr">
        <is>
          <t>Rapière aux Glyphes; Amulette de Pol Ouatnos; Alliance Gloursonne; Bracelet des Fonds marins; Ceinture du Barbétoal; Masque des Fonds marins; Voile d'encre; Bottes du Sinistrofu; Dofus Ocre; Remueur; Chanceux majeur; Cavaleur majeur; Nomade; Évasif majeur; Croum</t>
        </is>
      </c>
    </row>
    <row r="12602">
      <c r="A12602" t="inlineStr">
        <is>
          <t>Stuff 1</t>
        </is>
      </c>
      <c r="B12602">
        <f>HYPERLINK("https://www.dofusbook.net/fr/equipement/1124040-stuff-1/objets", "link")</f>
        <v/>
      </c>
      <c r="C12602" t="n">
        <v>2</v>
      </c>
      <c r="D12602" t="inlineStr">
        <is>
          <t>Baguette Hernelle; Amulette d'Otomaï; Anneau de Padgref; Kralano; Ceinture Séculaire; Coiffe de Padgref; Cape Hiculteur; Pantoufles Émar; Dofus Turquoise; Dofus Pourpre; Remueur; Érudit majeur; Voyageur; Nomade; Brûlih</t>
        </is>
      </c>
    </row>
    <row r="12603">
      <c r="A12603" t="inlineStr">
        <is>
          <t>Stuff 3</t>
        </is>
      </c>
      <c r="B12603">
        <f>HYPERLINK("https://www.dofusbook.net/fr/equipement/1124072-stuff-3/objets", "link")</f>
        <v/>
      </c>
      <c r="C12603" t="n">
        <v>0</v>
      </c>
      <c r="D12603" t="inlineStr">
        <is>
          <t>Rapière aux Glyphes; Amulette de Pol Ouatnos; Alliance Gloursonne; Bracelet des Fonds marins; Ceinture du Barbétoal; Masque des Fonds marins; Cape Matelassée; Bottes du Sinistrofu; Chanceux majeur; Carapace Air majeur; Remueur; Carapace Eau majeur; Miraculé majeur; Nomade; Croum</t>
        </is>
      </c>
    </row>
    <row r="12604">
      <c r="A12604" t="inlineStr">
        <is>
          <t>Stuff 2</t>
        </is>
      </c>
      <c r="B12604">
        <f>HYPERLINK("https://www.dofusbook.net/fr/equipement/1124003-stuff-2/objets", "link")</f>
        <v/>
      </c>
      <c r="C12604" t="n">
        <v>0</v>
      </c>
      <c r="D12604" t="inlineStr">
        <is>
          <t>Arc de Guten Tak; Amulette de Pol Ouatnos; Bague Gloursonne; Bracelet du Piloztère; Ceinture de la Reine des Voleurs; Coiffe de la Reine des Voleurs; Voile d'encre; Baleinabottes; Carapace Feu majeur; Carapace Air majeur; Remueur; Carapace Neutre majeur; Carapace Terre majeur; El Scarador</t>
        </is>
      </c>
    </row>
    <row r="12605">
      <c r="A12605" t="inlineStr">
        <is>
          <t>Stuff 1</t>
        </is>
      </c>
      <c r="B12605">
        <f>HYPERLINK("https://www.dofusbook.net/fr/equipement/1124035-stuff-1/objets", "link")</f>
        <v/>
      </c>
      <c r="C12605" t="n">
        <v>0</v>
      </c>
      <c r="D12605" t="inlineStr">
        <is>
          <t>Marteau Reine; Amulette du Strigide; Bague Gloursonne; Bracelet du Piloztère; Ceintacé; Casque de Missiz Frizz; Cape au Logis; Bottes du Strigide; Dofus Pourpre; Dofus Turquoise; Nomade; Enragé majeur; Vigoureux majeur; Remueur; Kompost</t>
        </is>
      </c>
    </row>
    <row r="12606">
      <c r="A12606" t="inlineStr">
        <is>
          <t>Stuff 2</t>
        </is>
      </c>
      <c r="B12606">
        <f>HYPERLINK("https://www.dofusbook.net/fr/equipement/1124067-stuff-2/objets", "link")</f>
        <v/>
      </c>
      <c r="C12606" t="n">
        <v>2</v>
      </c>
      <c r="D12606" t="inlineStr">
        <is>
          <t>Rapière aux Glyphes; Talisman Igans; Anneau de Nidas; Alliance Gloursonne; Sangle Ouare; Chapeau Lisson; Voile d'encre; Bottes Owesli; Dofus Ocre; Évasif majeur; Carapace Neutre majeur; Cavaleur majeur; Déserteur majeur; Remueur; El Scarador</t>
        </is>
      </c>
    </row>
    <row r="12607">
      <c r="A12607" t="inlineStr">
        <is>
          <t>Stuff 3</t>
        </is>
      </c>
      <c r="B12607">
        <f>HYPERLINK("https://www.dofusbook.net/fr/equipement/1123998-stuff-3/objets", "link")</f>
        <v/>
      </c>
      <c r="C12607" t="n">
        <v>0</v>
      </c>
      <c r="D12607" t="inlineStr">
        <is>
          <t>Dagues de Srambad; Amulette Ementaire Deluxe; Bracelet du Piloztère; Alliance Gloursonne; Ceinture de la Reine des Voleurs; Coiffe de la Reine des Voleurs; Voile d'encre; Pataugastrique; Cavaleur majeur; Chanceux majeur; Carapace Air majeur; Remueur; Enragé majeur; Nomade; Croum</t>
        </is>
      </c>
    </row>
    <row r="12608">
      <c r="A12608" t="inlineStr">
        <is>
          <t>Stuff 2</t>
        </is>
      </c>
      <c r="B12608">
        <f>HYPERLINK("https://www.dofusbook.net/fr/equipement/1124030-stuff-2/objets", "link")</f>
        <v/>
      </c>
      <c r="C12608" t="n">
        <v>1</v>
      </c>
      <c r="D12608" t="inlineStr">
        <is>
          <t>Dagues de Srambad; Amulette du Piloztère; Alliance Gloursonne; Pikano; Ceinture de la Reine des Voleurs; Coiffe de la Reine des Voleurs; Cape des Justiciers; Baleinabottes; Dofus Kaliptus; Enragé majeur; Remueur; Chanceux majeur; Nomade; Voyageur; Hurledent</t>
        </is>
      </c>
    </row>
    <row r="12609">
      <c r="A12609" t="inlineStr">
        <is>
          <t>Stuff 1</t>
        </is>
      </c>
      <c r="B12609">
        <f>HYPERLINK("https://www.dofusbook.net/fr/equipement/1124062-stuff-1/objets", "link")</f>
        <v/>
      </c>
      <c r="C12609" t="n">
        <v>1</v>
      </c>
      <c r="D12609" t="inlineStr">
        <is>
          <t>Hache du Chalœil; Talisman Glouti; Chevalière du Roi Joueur; Alliance Gloursonne; Ceinture de Gein; Chapeau de Gein; Voile d'encre; Pataugastrique; Nomade; Carapace Eau majeur; Remueur; Chanceux majeur; Croum</t>
        </is>
      </c>
    </row>
    <row r="12610">
      <c r="A12610" t="inlineStr">
        <is>
          <t>Stuff 1</t>
        </is>
      </c>
      <c r="B12610">
        <f>HYPERLINK("https://www.dofusbook.net/fr/equipement/1123993-stuff-1/objets", "link")</f>
        <v/>
      </c>
      <c r="C12610" t="n">
        <v>0</v>
      </c>
      <c r="D12610" t="inlineStr">
        <is>
          <t>Hache Ériphe; Amulette de Pol Ouatnos; Anneau des égarés; Alliance Gloursonne; Ceinture du Barbétoal; Casque des égarés; Voile d'encre; Baleinabottes; Dofus Turquoise; Dofus Pourpre; Nomade; Carapace Air majeur; Remueur; Carapace Terre majeur; El Scarador</t>
        </is>
      </c>
    </row>
    <row r="12611">
      <c r="A12611" t="inlineStr">
        <is>
          <t>Stuff 2</t>
        </is>
      </c>
      <c r="B12611">
        <f>HYPERLINK("https://www.dofusbook.net/fr/equipement/1124025-stuff-2/objets", "link")</f>
        <v/>
      </c>
      <c r="C12611" t="n">
        <v>0</v>
      </c>
      <c r="D12611" t="inlineStr">
        <is>
          <t>Arc Hétype; Amulette de Nileza; Kralano; Anneau Tique; Ceinture Séculaire; Couronne de Nidas; Cape de Nileza; Pataugastrique; Érudit majeur; Carapace Feu majeur; Remueur; Déserteur majeur; Nomade; Croum</t>
        </is>
      </c>
    </row>
    <row r="12612">
      <c r="A12612" t="inlineStr">
        <is>
          <t>Stuff 2</t>
        </is>
      </c>
      <c r="B12612">
        <f>HYPERLINK("https://www.dofusbook.net/fr/equipement/1124057-stuff-2/objets", "link")</f>
        <v/>
      </c>
      <c r="C12612" t="n">
        <v>0</v>
      </c>
      <c r="D12612" t="inlineStr">
        <is>
          <t>Marteau Minokers; Amunite; Alliance Boletée; Gelano; String Tue-Mouche; Casque Harnage; Capignon; Sandales du Minotot</t>
        </is>
      </c>
    </row>
    <row r="12613">
      <c r="A12613" t="inlineStr">
        <is>
          <t>Stuff 1</t>
        </is>
      </c>
      <c r="B12613">
        <f>HYPERLINK("https://www.dofusbook.net/fr/equipement/1124020-stuff-1/objets", "link")</f>
        <v/>
      </c>
      <c r="C12613" t="n">
        <v>0</v>
      </c>
      <c r="D12613" t="inlineStr">
        <is>
          <t>Sabres d'Atcham; Amulette du Strigide; Anneau de Padgref; Alliance Gloursonne; Ceinture du Strigide; Coiffe de Padgref; Cape d'Atcham; Getas de Padgref; Dofus Pourpre; Dofus Nébuleux; Dofus Ocre; Dofus des Glaces; Dolmanax; Dofus Turquoise; Muldo Ebène et Orchidée</t>
        </is>
      </c>
    </row>
    <row r="12614">
      <c r="A12614" t="inlineStr">
        <is>
          <t>Stuff 3</t>
        </is>
      </c>
      <c r="B12614">
        <f>HYPERLINK("https://www.dofusbook.net/fr/equipement/1124052-stuff-3/objets", "link")</f>
        <v/>
      </c>
      <c r="C12614" t="n">
        <v>0</v>
      </c>
      <c r="D12614" t="inlineStr">
        <is>
          <t>Sabres d'Atcham; Amulette Ementaire Deluxe; Bracelet du Piloztère; Bague Gloursonne; Ceinture du Barbétoal; Chapeau des Malveilleurs; Voile d'encre; Bottes des Malveilleurs; Dofus Ocre; Dofus Turquoise; Dofus Pourpre; Remueur; Nomade; Vigoureux majeur; Kramkram</t>
        </is>
      </c>
    </row>
    <row r="12615">
      <c r="A12615" t="inlineStr">
        <is>
          <t>Stuff 1</t>
        </is>
      </c>
      <c r="B12615">
        <f>HYPERLINK("https://www.dofusbook.net/fr/equipement/1124079-stuff-1/objets", "link")</f>
        <v/>
      </c>
      <c r="C12615" t="n">
        <v>0</v>
      </c>
      <c r="D12615" t="inlineStr">
        <is>
          <t>Hache du Chalœil; Amulule; Alliance Gloursonne; Anneau Tique; Ceintacé; Casque du Chalœil; Voile d'encre; Bottes du Chalœil; Dofus Pourpre; Carapace Terre majeur; Miraculé majeur; Vigoureux majeur; Remueur; Nomade; Kramkram</t>
        </is>
      </c>
    </row>
    <row r="12616">
      <c r="A12616" t="inlineStr">
        <is>
          <t>Stuff 2</t>
        </is>
      </c>
      <c r="B12616">
        <f>HYPERLINK("https://www.dofusbook.net/fr/equipement/1124015-stuff-2/objets", "link")</f>
        <v/>
      </c>
      <c r="C12616" t="n">
        <v>1</v>
      </c>
      <c r="D12616" t="inlineStr">
        <is>
          <t>Epée Loponèze; Amulette de Pol Ouatnos; Alliance Gloursonne; Pikano; Ceinture du Barbétoal; Masque des Fonds marins; Voile d'encre; Sandales des Fonds marins; Dofus Ocre; Carapace Neutre majeur; Chanceux majeur; Évasif majeur; Remueur; Carapace Terre majeur; El Scarador</t>
        </is>
      </c>
    </row>
    <row r="12617">
      <c r="A12617" t="inlineStr">
        <is>
          <t>Stuff 2</t>
        </is>
      </c>
      <c r="B12617">
        <f>HYPERLINK("https://www.dofusbook.net/fr/equipement/1124047-stuff-2/objets", "link")</f>
        <v/>
      </c>
      <c r="C12617" t="n">
        <v>0</v>
      </c>
      <c r="D12617" t="inlineStr">
        <is>
          <t>Dagues Érhy; Amulette de Pol Ouatnos; Bague Gloursonne; Anneau de Padgref; Ceinture Séculaire; Coiffe de Padgref; Cape Hiculteur; Pantoufles Émar; Dofus Turquoise; Dofus Pourpre; Vigoureux majeur; Nomade; Érudit majeur; Remueur; Brûlih</t>
        </is>
      </c>
    </row>
    <row r="12618">
      <c r="A12618" t="inlineStr">
        <is>
          <t>Stuff 3</t>
        </is>
      </c>
      <c r="B12618">
        <f>HYPERLINK("https://www.dofusbook.net/fr/equipement/1124010-stuff-3/objets", "link")</f>
        <v/>
      </c>
      <c r="C12618" t="n">
        <v>0</v>
      </c>
      <c r="D12618" t="inlineStr">
        <is>
          <t>Hache Ériphe; Amulette de Pol Ouatnos; Alliance Gloursonne; Anneau des égarés; Ceinture du Barbétoal; Casque des égarés; Voile d'encre; Baleinabottes; Cavaleur majeur; Carapace Terre majeur; Remueur; Nomade; Observateur; Évasif majeur; Croum</t>
        </is>
      </c>
    </row>
    <row r="12619">
      <c r="A12619" t="inlineStr">
        <is>
          <t>Stuff 3</t>
        </is>
      </c>
      <c r="B12619">
        <f>HYPERLINK("https://www.dofusbook.net/fr/equipement/1124042-stuff-3/objets", "link")</f>
        <v/>
      </c>
      <c r="C12619" t="n">
        <v>2</v>
      </c>
      <c r="D12619" t="inlineStr">
        <is>
          <t>Baguette de Malléfisk; Amulette de Nileza; Anneau de Nidas; Anneau Tique; Ceinture de Gein; Couronne de Nidas; Voile d'encre; Pataugastrique; Déserteur majeur; Érudit majeur; Remueur; Cavaleur majeur; Nomade; Évasif majeur; El Scarador</t>
        </is>
      </c>
    </row>
    <row r="12620">
      <c r="A12620" t="inlineStr">
        <is>
          <t>Stuff 2</t>
        </is>
      </c>
      <c r="B12620">
        <f>HYPERLINK("https://www.dofusbook.net/fr/equipement/1124074-stuff-2/objets", "link")</f>
        <v/>
      </c>
      <c r="C12620" t="n">
        <v>0</v>
      </c>
      <c r="D12620" t="inlineStr">
        <is>
          <t>Baguette de Malléfisk; Talisman Igans; Alliance Gloursonne; Anneau Tique; Protopagne; Kidibonnet; Voile d'encre; Bottes Owesli; Guérisseur majeur; Évasif majeur; Remueur; Culbuteur majeur; Miraculé majeur; Kramkram</t>
        </is>
      </c>
    </row>
    <row r="12621">
      <c r="A12621" t="inlineStr">
        <is>
          <t>Stuff 1</t>
        </is>
      </c>
      <c r="B12621">
        <f>HYPERLINK("https://www.dofusbook.net/fr/equipement/1124005-stuff-1/objets", "link")</f>
        <v/>
      </c>
      <c r="C12621" t="n">
        <v>0</v>
      </c>
      <c r="D12621" t="inlineStr">
        <is>
          <t>Marteau des Anciens Steamers; Amulette de Pol Ouatnos; Pikano; Alliance Gloursonne; Ceinture du Barbétoal; Masque du Barbétoal; Cape Matelassée; Bottes de la Reine des Voleurs; Dofus Turquoise; Dofus Pourpre; Remueur; Vigoureux majeur; Cavaleur majeur; Croum</t>
        </is>
      </c>
    </row>
    <row r="12622">
      <c r="A12622" t="inlineStr">
        <is>
          <t>Stuff 1</t>
        </is>
      </c>
      <c r="B12622">
        <f>HYPERLINK("https://www.dofusbook.net/fr/equipement/1124037-stuff-1/objets", "link")</f>
        <v/>
      </c>
      <c r="C12622" t="n">
        <v>0</v>
      </c>
      <c r="D12622" t="inlineStr">
        <is>
          <t>Dagues Érhy; Amulette du Strigide; Bague Gloursonne; Alliance de Missiz Frizz; Ceinture du Strigide; Casque de Missiz Frizz; Cape du Professeur Xa; Bottes du Strigide; Dofus Pourpre; Dofus Turquoise; Dofus Ocre; Dolmanax; Forcené majeur; Furibond majeur; Kompost</t>
        </is>
      </c>
    </row>
    <row r="12623">
      <c r="A12623" t="inlineStr">
        <is>
          <t>Stuff 1</t>
        </is>
      </c>
      <c r="B12623">
        <f>HYPERLINK("https://www.dofusbook.net/fr/equipement/1124069-stuff-1/objets", "link")</f>
        <v/>
      </c>
      <c r="C12623" t="n">
        <v>0</v>
      </c>
      <c r="D12623" t="inlineStr">
        <is>
          <t>Sabres d'Atcham; Amulette du Strigide; Alliance Gloursonne; Bracelet du Piloztère; Ceinture du Strigide; Coiffe de Padgref; Cape du Chalœil; Pataugastrique; Dofus Pourpre; Dofus des Glaces; Dofus Turquoise; Remueur; Nomade; Vigoureux majeur; Kramkram</t>
        </is>
      </c>
    </row>
    <row r="12624">
      <c r="A12624" t="inlineStr">
        <is>
          <t>Stuff 2</t>
        </is>
      </c>
      <c r="B12624">
        <f>HYPERLINK("https://www.dofusbook.net/fr/equipement/1124000-stuff-2/objets", "link")</f>
        <v/>
      </c>
      <c r="C12624" t="n">
        <v>0</v>
      </c>
      <c r="D12624" t="inlineStr">
        <is>
          <t>Arc Hétype; Amulette d'Otomaï; Bague Gloursonne; Anneau Tique; Ceinture Séculaire; Coiffe Séculaire; Voile d'encre; Pataugastrique; Carapace Terre majeur; Remueur; Carapace Neutre majeur; Nomade; Carapace Feu majeur; Érudit majeur; Croum</t>
        </is>
      </c>
    </row>
    <row r="12625">
      <c r="A12625" t="inlineStr">
        <is>
          <t>Stuff 1</t>
        </is>
      </c>
      <c r="B12625">
        <f>HYPERLINK("https://www.dofusbook.net/fr/equipement/1124008-stuff-1/objets", "link")</f>
        <v/>
      </c>
      <c r="C12625" t="n">
        <v>0</v>
      </c>
      <c r="D12625" t="inlineStr">
        <is>
          <t>Rapière aux Glyphes; Amulette de Pol Ouatnos; Alliance Gloursonne; Bracelet des Fonds marins; Ceinture du Barbétoal; Masque des Fonds marins; Voile d'encre; Bottes du Sinistrofu; Dofus Ocre; Évasif majeur; Remueur; Chanceux majeur; Cavaleur majeur; Nomade; Croum</t>
        </is>
      </c>
    </row>
    <row r="12626">
      <c r="A12626" t="inlineStr">
        <is>
          <t>Stuff 1</t>
        </is>
      </c>
      <c r="B12626">
        <f>HYPERLINK("https://www.dofusbook.net/fr/equipement/1124040-stuff-1/objets", "link")</f>
        <v/>
      </c>
      <c r="C12626" t="n">
        <v>2</v>
      </c>
      <c r="D12626" t="inlineStr">
        <is>
          <t>Baguette Hernelle; Amulette d'Otomaï; Anneau de Padgref; Kralano; Ceinture Séculaire; Coiffe de Padgref; Cape Hiculteur; Pantoufles Émar; Dofus Turquoise; Dofus Pourpre; Remueur; Érudit majeur; Voyageur; Nomade; Brûlih</t>
        </is>
      </c>
    </row>
    <row r="12627">
      <c r="A12627" t="inlineStr">
        <is>
          <t>Stuff 2</t>
        </is>
      </c>
      <c r="B12627">
        <f>HYPERLINK("https://www.dofusbook.net/fr/equipement/1124067-stuff-2/objets", "link")</f>
        <v/>
      </c>
      <c r="C12627" t="n">
        <v>2</v>
      </c>
      <c r="D12627" t="inlineStr">
        <is>
          <t>Rapière aux Glyphes; Talisman Igans; Alliance Gloursonne; Anneau de Nidas; Sangle Ouare; Chapeau Lisson; Voile d'encre; Bottes Owesli; Dofus Ocre; Déserteur majeur; Remueur; Évasif majeur; Carapace Neutre majeur; Cavaleur majeur; El Scarador</t>
        </is>
      </c>
    </row>
    <row r="12628">
      <c r="A12628" t="inlineStr">
        <is>
          <t>Stuff 2</t>
        </is>
      </c>
      <c r="B12628">
        <f>HYPERLINK("https://www.dofusbook.net/fr/equipement/1124003-stuff-2/objets", "link")</f>
        <v/>
      </c>
      <c r="C12628" t="n">
        <v>0</v>
      </c>
      <c r="D12628" t="inlineStr">
        <is>
          <t>Arc de Guten Tak; Amulette de Pol Ouatnos; Bague Gloursonne; Bracelet du Piloztère; Ceinture de la Reine des Voleurs; Coiffe de la Reine des Voleurs; Voile d'encre; Baleinabottes; Carapace Feu majeur; Carapace Air majeur; Remueur; Carapace Neutre majeur; Carapace Terre majeur; El Scarador</t>
        </is>
      </c>
    </row>
    <row r="12629">
      <c r="A12629" t="inlineStr">
        <is>
          <t>Stuff 1</t>
        </is>
      </c>
      <c r="B12629">
        <f>HYPERLINK("https://www.dofusbook.net/fr/equipement/1124035-stuff-1/objets", "link")</f>
        <v/>
      </c>
      <c r="C12629" t="n">
        <v>0</v>
      </c>
      <c r="D12629" t="inlineStr">
        <is>
          <t>Marteau Reine; Amulette du Strigide; Bracelet du Piloztère; Bague Gloursonne; Ceintacé; Casque de Missiz Frizz; Cape au Logis; Bottes du Strigide; Dofus Turquoise; Dofus Pourpre; Remueur; Nomade; Enragé majeur; Vigoureux majeur; Kompost</t>
        </is>
      </c>
    </row>
    <row r="12630">
      <c r="A12630" t="inlineStr">
        <is>
          <t>Stuff 1</t>
        </is>
      </c>
      <c r="B12630">
        <f>HYPERLINK("https://www.dofusbook.net/fr/equipement/1124062-stuff-1/objets", "link")</f>
        <v/>
      </c>
      <c r="C12630" t="n">
        <v>1</v>
      </c>
      <c r="D12630" t="inlineStr">
        <is>
          <t>Hache du Chalœil; Talisman Glouti; Chevalière du Roi Joueur; Alliance Gloursonne; Ceinture de Gein; Chapeau de Gein; Voile d'encre; Pataugastrique; Nomade; Carapace Eau majeur; Remueur; Chanceux majeur; Croum</t>
        </is>
      </c>
    </row>
    <row r="12631">
      <c r="A12631" t="inlineStr">
        <is>
          <t>Stuff 3</t>
        </is>
      </c>
      <c r="B12631">
        <f>HYPERLINK("https://www.dofusbook.net/fr/equipement/1123998-stuff-3/objets", "link")</f>
        <v/>
      </c>
      <c r="C12631" t="n">
        <v>0</v>
      </c>
      <c r="D12631" t="inlineStr">
        <is>
          <t>Dagues de Srambad; Amulette Ementaire Deluxe; Bracelet du Piloztère; Alliance Gloursonne; Ceinture de la Reine des Voleurs; Coiffe de la Reine des Voleurs; Voile d'encre; Pataugastrique; Enragé majeur; Nomade; Cavaleur majeur; Chanceux majeur; Carapace Air majeur; Remueur; Croum</t>
        </is>
      </c>
    </row>
    <row r="12632">
      <c r="A12632" t="inlineStr">
        <is>
          <t>Stuff 2</t>
        </is>
      </c>
      <c r="B12632">
        <f>HYPERLINK("https://www.dofusbook.net/fr/equipement/1124030-stuff-2/objets", "link")</f>
        <v/>
      </c>
      <c r="C12632" t="n">
        <v>1</v>
      </c>
      <c r="D12632" t="inlineStr">
        <is>
          <t>Dagues de Srambad; Amulette du Piloztère; Pikano; Alliance Gloursonne; Ceinture de la Reine des Voleurs; Coiffe de la Reine des Voleurs; Cape des Justiciers; Baleinabottes; Dofus Kaliptus; Enragé majeur; Remueur; Chanceux majeur; Nomade; Voyageur; Hurledent</t>
        </is>
      </c>
    </row>
    <row r="12633">
      <c r="A12633" t="inlineStr">
        <is>
          <t>Stuff 2</t>
        </is>
      </c>
      <c r="B12633">
        <f>HYPERLINK("https://www.dofusbook.net/fr/equipement/1124057-stuff-2/objets", "link")</f>
        <v/>
      </c>
      <c r="C12633" t="n">
        <v>0</v>
      </c>
      <c r="D12633" t="inlineStr">
        <is>
          <t>Marteau Minokers; Amunite; Gelano; Alliance Boletée; String Tue-Mouche; Casque Harnage; Capignon; Sandales du Minotot</t>
        </is>
      </c>
    </row>
    <row r="12634">
      <c r="A12634" t="inlineStr">
        <is>
          <t>Stuff 1</t>
        </is>
      </c>
      <c r="B12634">
        <f>HYPERLINK("https://www.dofusbook.net/fr/equipement/1123993-stuff-1/objets", "link")</f>
        <v/>
      </c>
      <c r="C12634" t="n">
        <v>0</v>
      </c>
      <c r="D12634" t="inlineStr">
        <is>
          <t>Hache Ériphe; Amulette de Pol Ouatnos; Anneau des égarés; Alliance Gloursonne; Ceinture du Barbétoal; Casque des égarés; Voile d'encre; Baleinabottes; Dofus Pourpre; Dofus Turquoise; Carapace Terre majeur; Nomade; Carapace Air majeur; Remueur; El Scarador</t>
        </is>
      </c>
    </row>
    <row r="12635">
      <c r="A12635" t="inlineStr">
        <is>
          <t>Stuff 2</t>
        </is>
      </c>
      <c r="B12635">
        <f>HYPERLINK("https://www.dofusbook.net/fr/equipement/1124025-stuff-2/objets", "link")</f>
        <v/>
      </c>
      <c r="C12635" t="n">
        <v>0</v>
      </c>
      <c r="D12635" t="inlineStr">
        <is>
          <t>Arc Hétype; Amulette de Nileza; Anneau Tique; Kralano; Ceinture Séculaire; Couronne de Nidas; Cape de Nileza; Pataugastrique; Déserteur majeur; Nomade; Érudit majeur; Carapace Feu majeur; Remueur; Croum</t>
        </is>
      </c>
    </row>
    <row r="12636">
      <c r="A12636" t="inlineStr">
        <is>
          <t>Stuff 1</t>
        </is>
      </c>
      <c r="B12636">
        <f>HYPERLINK("https://www.dofusbook.net/fr/equipement/1124020-stuff-1/objets", "link")</f>
        <v/>
      </c>
      <c r="C12636" t="n">
        <v>0</v>
      </c>
      <c r="D12636" t="inlineStr">
        <is>
          <t>Sabres d'Atcham; Amulette du Strigide; Alliance Gloursonne; Anneau de Padgref; Ceinture du Strigide; Coiffe de Padgref; Cape d'Atcham; Getas de Padgref; Dofus Turquoise; Dofus Pourpre; Dofus Nébuleux; Dofus Ocre; Dofus des Glaces; Dolmanax; Muldo Ebène et Orchidée</t>
        </is>
      </c>
    </row>
    <row r="12637">
      <c r="A12637" t="inlineStr">
        <is>
          <t>Stuff 3</t>
        </is>
      </c>
      <c r="B12637">
        <f>HYPERLINK("https://www.dofusbook.net/fr/equipement/1124052-stuff-3/objets", "link")</f>
        <v/>
      </c>
      <c r="C12637" t="n">
        <v>0</v>
      </c>
      <c r="D12637" t="inlineStr">
        <is>
          <t>Sabres d'Atcham; Amulette Ementaire Deluxe; Bracelet du Piloztère; Bague Gloursonne; Ceinture du Barbétoal; Chapeau des Malveilleurs; Voile d'encre; Bottes des Malveilleurs; Dofus Pourpre; Dofus Ocre; Dofus Turquoise; Vigoureux majeur; Remueur; Nomade; Kramkram</t>
        </is>
      </c>
    </row>
    <row r="12638">
      <c r="A12638" t="inlineStr">
        <is>
          <t>Stuff 1</t>
        </is>
      </c>
      <c r="B12638">
        <f>HYPERLINK("https://www.dofusbook.net/fr/equipement/1124079-stuff-1/objets", "link")</f>
        <v/>
      </c>
      <c r="C12638" t="n">
        <v>0</v>
      </c>
      <c r="D12638" t="inlineStr">
        <is>
          <t>Hache du Chalœil; Amulule; Anneau Tique; Alliance Gloursonne; Ceintacé; Casque du Chalœil; Voile d'encre; Bottes du Chalœil; Dofus Pourpre; Nomade; Carapace Terre majeur; Miraculé majeur; Vigoureux majeur; Remueur; Kramkram</t>
        </is>
      </c>
    </row>
    <row r="12639">
      <c r="A12639" t="inlineStr">
        <is>
          <t>Stuff 2</t>
        </is>
      </c>
      <c r="B12639">
        <f>HYPERLINK("https://www.dofusbook.net/fr/equipement/1124015-stuff-2/objets", "link")</f>
        <v/>
      </c>
      <c r="C12639" t="n">
        <v>1</v>
      </c>
      <c r="D12639" t="inlineStr">
        <is>
          <t>Epée Loponèze; Amulette de Pol Ouatnos; Pikano; Alliance Gloursonne; Ceinture du Barbétoal; Masque des Fonds marins; Voile d'encre; Sandales des Fonds marins; Dofus Ocre; Carapace Terre majeur; Carapace Neutre majeur; Chanceux majeur; Évasif majeur; Remueur; El Scarador</t>
        </is>
      </c>
    </row>
    <row r="12640">
      <c r="A12640" t="inlineStr">
        <is>
          <t>Stuff 2</t>
        </is>
      </c>
      <c r="B12640">
        <f>HYPERLINK("https://www.dofusbook.net/fr/equipement/1124047-stuff-2/objets", "link")</f>
        <v/>
      </c>
      <c r="C12640" t="n">
        <v>0</v>
      </c>
      <c r="D12640" t="inlineStr">
        <is>
          <t>Dagues Érhy; Amulette de Pol Ouatnos; Bague Gloursonne; Anneau de Padgref; Ceinture Séculaire; Coiffe de Padgref; Cape Hiculteur; Pantoufles Émar; Dofus Turquoise; Dofus Pourpre; Remueur; Vigoureux majeur; Nomade; Érudit majeur; Brûlih</t>
        </is>
      </c>
    </row>
    <row r="12641">
      <c r="A12641" t="inlineStr">
        <is>
          <t>Stuff 2</t>
        </is>
      </c>
      <c r="B12641">
        <f>HYPERLINK("https://www.dofusbook.net/fr/equipement/1124074-stuff-2/objets", "link")</f>
        <v/>
      </c>
      <c r="C12641" t="n">
        <v>0</v>
      </c>
      <c r="D12641" t="inlineStr">
        <is>
          <t>Baguette de Malléfisk; Talisman Igans; Alliance Gloursonne; Anneau Tique; Protopagne; Kidibonnet; Voile d'encre; Bottes Owesli; Culbuteur majeur; Miraculé majeur; Guérisseur majeur; Évasif majeur; Remueur; Kramkram</t>
        </is>
      </c>
    </row>
    <row r="12642">
      <c r="A12642" t="inlineStr">
        <is>
          <t>Stuff 3</t>
        </is>
      </c>
      <c r="B12642">
        <f>HYPERLINK("https://www.dofusbook.net/fr/equipement/1124010-stuff-3/objets", "link")</f>
        <v/>
      </c>
      <c r="C12642" t="n">
        <v>0</v>
      </c>
      <c r="D12642" t="inlineStr">
        <is>
          <t>Hache Ériphe; Amulette de Pol Ouatnos; Alliance Gloursonne; Anneau des égarés; Ceinture du Barbétoal; Casque des égarés; Voile d'encre; Baleinabottes; Observateur; Évasif majeur; Cavaleur majeur; Carapace Terre majeur; Remueur; Nomade; Croum</t>
        </is>
      </c>
    </row>
    <row r="12643">
      <c r="A12643" t="inlineStr">
        <is>
          <t>Stuff 3</t>
        </is>
      </c>
      <c r="B12643">
        <f>HYPERLINK("https://www.dofusbook.net/fr/equipement/1124042-stuff-3/objets", "link")</f>
        <v/>
      </c>
      <c r="C12643" t="n">
        <v>2</v>
      </c>
      <c r="D12643" t="inlineStr">
        <is>
          <t>Baguette de Malléfisk; Amulette de Nileza; Anneau de Nidas; Anneau Tique; Ceinture de Gein; Couronne de Nidas; Voile d'encre; Pataugastrique; Nomade; Évasif majeur; Déserteur majeur; Érudit majeur; Remueur; Cavaleur majeur; El Scarador</t>
        </is>
      </c>
    </row>
    <row r="12644">
      <c r="A12644" t="inlineStr">
        <is>
          <t>Stuff 1</t>
        </is>
      </c>
      <c r="B12644">
        <f>HYPERLINK("https://www.dofusbook.net/fr/equipement/1124069-stuff-1/objets", "link")</f>
        <v/>
      </c>
      <c r="C12644" t="n">
        <v>0</v>
      </c>
      <c r="D12644" t="inlineStr">
        <is>
          <t>Sabres d'Atcham; Amulette du Strigide; Bracelet du Piloztère; Alliance Gloursonne; Ceinture du Strigide; Coiffe de Padgref; Cape du Chalœil; Pataugastrique; Dofus Pourpre; Dofus des Glaces; Dofus Turquoise; Remueur; Nomade; Vigoureux majeur; Kramkram</t>
        </is>
      </c>
    </row>
    <row r="12645">
      <c r="A12645" t="inlineStr">
        <is>
          <t>Stuff 2</t>
        </is>
      </c>
      <c r="B12645">
        <f>HYPERLINK("https://www.dofusbook.net/fr/equipement/1124051-stuff-2/objets", "link")</f>
        <v/>
      </c>
      <c r="C12645" t="n">
        <v>0</v>
      </c>
      <c r="D12645" t="inlineStr">
        <is>
          <t>Sabres d'Atcham; Amulette Ementaire Deluxe; Alliance Gloursonne; Pikano; Ceintacé; Casque du Chalœil; Voile d'encre; Bottes du Chalœil; Dofus Pourpre; Dofus Turquoise; Dolmanax; Nomade; Vigoureux majeur; Remueur; Kramkram</t>
        </is>
      </c>
    </row>
    <row r="12646">
      <c r="A12646" t="inlineStr">
        <is>
          <t>Stuff 1</t>
        </is>
      </c>
      <c r="B12646">
        <f>HYPERLINK("https://www.dofusbook.net/fr/equipement/1124014-stuff-1/objets", "link")</f>
        <v/>
      </c>
      <c r="C12646" t="n">
        <v>1</v>
      </c>
      <c r="D12646" t="inlineStr">
        <is>
          <t>Arc Hétype; Amulette de Nileza; Bague Gloursonne; Anneau Tique; Ceinture de Gein; Chapeau de Gein; Voile d'encre; Pataugastrique; Nomade; Enragé majeur; Remueur; Érudit majeur; El Scarador</t>
        </is>
      </c>
    </row>
    <row r="12647">
      <c r="A12647" t="inlineStr">
        <is>
          <t>Stuff 1</t>
        </is>
      </c>
      <c r="B12647">
        <f>HYPERLINK("https://www.dofusbook.net/fr/equipement/1124046-stuff-1/objets", "link")</f>
        <v/>
      </c>
      <c r="C12647" t="n">
        <v>0</v>
      </c>
      <c r="D12647" t="inlineStr">
        <is>
          <t>Epée Kari; Amulette du Strigide; Bracelet du Piloztère; Bague Gloursonne; Ceintacé; Maskrobe; Cape Reski; Bottes du Strigide; Dofus Turquoise; Dofus Pourpre; Dofus des Glaces; Nomade; Remueur; Vigoureux majeur; Kramkram</t>
        </is>
      </c>
    </row>
    <row r="12648">
      <c r="A12648" t="inlineStr">
        <is>
          <t>Stuff 3</t>
        </is>
      </c>
      <c r="B12648">
        <f>HYPERLINK("https://www.dofusbook.net/fr/equipement/1124078-stuff-3/objets", "link")</f>
        <v/>
      </c>
      <c r="C12648" t="n">
        <v>0</v>
      </c>
      <c r="D12648" t="inlineStr">
        <is>
          <t>Epée Gloursonne; Amulette du Strigide; Bague Gloursonne; Alliance Gloursonne; Ceinture du Strigide; Casque du Chalœil; Voile d'encre; Bottes du Strigide</t>
        </is>
      </c>
    </row>
    <row r="12649">
      <c r="A12649" t="inlineStr">
        <is>
          <t>Stuff 2</t>
        </is>
      </c>
      <c r="B12649">
        <f>HYPERLINK("https://www.dofusbook.net/fr/equipement/1124009-stuff-2/objets", "link")</f>
        <v/>
      </c>
      <c r="C12649" t="n">
        <v>0</v>
      </c>
      <c r="D12649" t="inlineStr">
        <is>
          <t>Rapière aux Glyphes; Amulette de Pol Ouatnos; Bracelet des Fonds marins; Alliance Gloursonne; Ceinture du Barbétoal; Masque des Fonds marins; Cape Matelassée; Bottes du Sinistrofu; Nomade; Cavaleur majeur; Évasif majeur; Remueur; Observateur; Carapace Air majeur; Croum</t>
        </is>
      </c>
    </row>
    <row r="12650">
      <c r="A12650" t="inlineStr">
        <is>
          <t>Stuff 2</t>
        </is>
      </c>
      <c r="B12650">
        <f>HYPERLINK("https://www.dofusbook.net/fr/equipement/1124041-stuff-2/objets", "link")</f>
        <v/>
      </c>
      <c r="C12650" t="n">
        <v>0</v>
      </c>
      <c r="D12650" t="inlineStr">
        <is>
          <t>Baguette Hernelle; Amulette d'Otomaï; Kralano; Anneau de Padgref; Ceinture Séculaire; Coiffe de Padgref; Cape Hiculteur; Pantoufles Émar; Dofus Turquoise; Dofus Kaliptus; Voyageur; Nomade; Remueur; Érudit majeur; Hurledent</t>
        </is>
      </c>
    </row>
    <row r="12651">
      <c r="A12651" t="inlineStr">
        <is>
          <t>Stuff 1</t>
        </is>
      </c>
      <c r="B12651">
        <f>HYPERLINK("https://www.dofusbook.net/fr/equipement/1124073-stuff-1/objets", "link")</f>
        <v/>
      </c>
      <c r="C12651" t="n">
        <v>0</v>
      </c>
      <c r="D12651" t="inlineStr">
        <is>
          <t>Rapière aux Glyphes; Amulette du Strigide; Alliance Gloursonne; Pikano; Ceinture du Strigide; Chapeau Lisson; Voile d'encre; Pataugastrique; Chanceux majeur; Miraculé majeur; Nomade; Remueur; Évasif majeur; El Scarador</t>
        </is>
      </c>
    </row>
    <row r="12652">
      <c r="A12652" t="inlineStr">
        <is>
          <t>Stuff 3</t>
        </is>
      </c>
      <c r="B12652">
        <f>HYPERLINK("https://www.dofusbook.net/fr/equipement/1124004-stuff-3/objets", "link")</f>
        <v/>
      </c>
      <c r="C12652" t="n">
        <v>0</v>
      </c>
      <c r="D12652" t="inlineStr">
        <is>
          <t>Arc Nécrotique; Amulette de Pol Ouatnos; Anneau Kturne; Alliance Gloursonne; Ceinture Séculaire; Casqnoar; Voile d'encre; Pataugastrique; Cavaleur majeur; Carapace Terre majeur; Chanceux majeur; Nomade; Érudit majeur; Remueur; Croum</t>
        </is>
      </c>
    </row>
    <row r="12653">
      <c r="A12653" t="inlineStr">
        <is>
          <t>Stuff 2</t>
        </is>
      </c>
      <c r="B12653">
        <f>HYPERLINK("https://www.dofusbook.net/fr/equipement/1124036-stuff-2/objets", "link")</f>
        <v/>
      </c>
      <c r="C12653" t="n">
        <v>0</v>
      </c>
      <c r="D12653" t="inlineStr">
        <is>
          <t>Marteau Reine; Amulette du Strigide; Bague Gloursonne; Bracelet du Piloztère; Ceintacé; Casque de Missiz Frizz; Cape au Logis; Bottes du Strigide; Dofus Kaliptus; Dofus Turquoise; Dofus Pourpre; Vigoureux majeur; Remueur; Nomade; Hurledent</t>
        </is>
      </c>
    </row>
    <row r="12654">
      <c r="A12654" t="inlineStr">
        <is>
          <t>Stuff 3</t>
        </is>
      </c>
      <c r="B12654">
        <f>HYPERLINK("https://www.dofusbook.net/fr/equipement/1124068-stuff-3/objets", "link")</f>
        <v/>
      </c>
      <c r="C12654" t="n">
        <v>0</v>
      </c>
      <c r="D12654" t="inlineStr">
        <is>
          <t>Arc Nécrotique; Talisman Igans; Bracelet du Piloztère; Alliance Gloursonne; Sangle Ouare; Chapeau Lisson; Voile d'encre; Bottes Owesli; Dofus Ocre; Carapace Terre majeur; Cavaleur majeur; Déserteur majeur; Remueur; Évasif majeur; El Scarador</t>
        </is>
      </c>
    </row>
    <row r="12655">
      <c r="A12655" t="inlineStr">
        <is>
          <t>Stuff 1</t>
        </is>
      </c>
      <c r="B12655">
        <f>HYPERLINK("https://www.dofusbook.net/fr/equipement/1123999-stuff-1/objets", "link")</f>
        <v/>
      </c>
      <c r="C12655" t="n">
        <v>0</v>
      </c>
      <c r="D12655" t="inlineStr">
        <is>
          <t>Marteau des Anciens Steamers; Amulette de Pol Ouatnos; Bracelet du Piloztère; Alliance Gloursonne; Ceinture du Barbétoal; Masque du Barbétoal; Voile d'encre; Bottes Voldelor; Dofus Ocre; Évasif majeur; Carapace Eau majeur; Cavaleur majeur; Carapace Air majeur; Remueur; El Scarador</t>
        </is>
      </c>
    </row>
    <row r="12656">
      <c r="A12656" t="inlineStr">
        <is>
          <t>Stuff 1</t>
        </is>
      </c>
      <c r="B12656">
        <f>HYPERLINK("https://www.dofusbook.net/fr/equipement/1124031-stuff-1/objets", "link")</f>
        <v/>
      </c>
      <c r="C12656" t="n">
        <v>0</v>
      </c>
      <c r="D12656" t="inlineStr">
        <is>
          <t>Baguette Hernelle; Amulette de Pol Ouatnos; Bague Gloursonne; Anneau de Padgref; Ceinture Séculaire; Coiffe de Padgref; Voile d'encre; Pantoufles Émar; Dofus Pourpre; Dofus Turquoise; Érudit majeur; Vigoureux majeur; Nomade; Remueur; Brûlih</t>
        </is>
      </c>
    </row>
    <row r="12657">
      <c r="A12657" t="inlineStr">
        <is>
          <t>Stuff 1</t>
        </is>
      </c>
      <c r="B12657">
        <f>HYPERLINK("https://www.dofusbook.net/fr/equipement/1124063-stuff-1/objets", "link")</f>
        <v/>
      </c>
      <c r="C12657" t="n">
        <v>0</v>
      </c>
      <c r="D12657" t="inlineStr">
        <is>
          <t>Dagues Érhy; Amulette de Pol Ouatnos; Bracelet du Piloztère; Bague Gloursonne; Ceinture de Gein; Chapeau de Gein; Voile d'encre; Pataugastrique; Dofus Nébuleux; Dofus Pourpre; Vigoureux majeur; Remueur; Évasif majeur; Cavaleur majeur; Kramkram</t>
        </is>
      </c>
    </row>
    <row r="12658">
      <c r="A12658" t="inlineStr">
        <is>
          <t>Xélor F 200</t>
        </is>
      </c>
      <c r="B12658">
        <f>HYPERLINK("https://www.dofusbook.net/fr/equipement/5538557-xelor-f-200/objets", "link")</f>
        <v/>
      </c>
      <c r="C12658" t="n">
        <v>0</v>
      </c>
      <c r="D12658" t="inlineStr"/>
    </row>
    <row r="12659">
      <c r="A12659" t="inlineStr">
        <is>
          <t>Freeze</t>
        </is>
      </c>
      <c r="B12659">
        <f>HYPERLINK("https://www.dofusbook.net/fr/equipement/5011041-freeze/objets", "link")</f>
        <v/>
      </c>
      <c r="C12659" t="n">
        <v>1</v>
      </c>
      <c r="D12659" t="inlineStr">
        <is>
          <t>Manthache; Collier du Valet Veinard; Alliance Brûlâme; Gant du Valet Veinard; Bouclier du Captain Amakna; Menoture; Casque Dragoeuf; Cape Indescriptible; Pantoufles Émar; Dofus Pourpre; Dofus Ivoire; Dofus Ébène; Dokoko; Dofus Vulbis; Cascadeur majeur; Siroko</t>
        </is>
      </c>
    </row>
    <row r="12660">
      <c r="A12660" t="inlineStr">
        <is>
          <t>roub terre</t>
        </is>
      </c>
      <c r="B12660">
        <f>HYPERLINK("https://www.dofusbook.net/fr/equipement/4825587-roub-terre/objets", "link")</f>
        <v/>
      </c>
      <c r="C12660" t="n">
        <v>6</v>
      </c>
      <c r="D12660" t="inlineStr">
        <is>
          <t>Baguette des égarés; Collier de Tourthon; Anneau Crustique; Anneau Volkorne; Bouclier du Stalak; Ceinture Volkorne; Masque de Koutoulou; Cape au Logis; Bottes de la Cour Sombre; Dofus Ébène; Dofus des Glaces; Dofus Abyssal; Dofus Ocre; Dévastateur Terre majeur; Enragé majeur; Bulbisou</t>
        </is>
      </c>
    </row>
    <row r="12661">
      <c r="A12661" t="inlineStr">
        <is>
          <t>multi</t>
        </is>
      </c>
      <c r="B12661">
        <f>HYPERLINK("https://www.dofusbook.net/fr/equipement/3772695-multi/objets", "link")</f>
        <v/>
      </c>
      <c r="C12661" t="n">
        <v>1</v>
      </c>
      <c r="D12661" t="inlineStr">
        <is>
          <t>Lav'Hache; Amulette Luminescente; Bracelet du Piloztère; Anneau en Grithril; Quatre-feuilles; Ceinture Luminescente; Casque en Grithril; Cape Luminescente; Bottes Honyme; Dofus Nébuleux; Dofus Ivoire; Dolmanax; Dofus Ocre; Dofus Pourpre; Dofus Abyssal; Muldo Orchidée et Pourpre</t>
        </is>
      </c>
    </row>
    <row r="12662">
      <c r="A12662" t="inlineStr">
        <is>
          <t>Full ine</t>
        </is>
      </c>
      <c r="B12662">
        <f>HYPERLINK("https://www.dofusbook.net/fr/equipement/3568559-full-ine/objets", "link")</f>
        <v/>
      </c>
      <c r="C12662" t="n">
        <v>10</v>
      </c>
      <c r="D12662" t="inlineStr">
        <is>
          <t>Pyraguette; Talisman Igans; Anneau Tamie; Anneau Tamie; Bouclier du Stalak; Ceintrigue; Heaume Oplate; Cape de Diondin; Bottes Innommables; Dofus Abyssal; Dofus des Glaces; Érudit majeur; Astucieux majeur; Nomade; Dévastateur Feu majeur; Bisouglours</t>
        </is>
      </c>
    </row>
    <row r="12663">
      <c r="A12663" t="inlineStr">
        <is>
          <t>agi</t>
        </is>
      </c>
      <c r="B12663">
        <f>HYPERLINK("https://www.dofusbook.net/fr/equipement/1639874-agi/objets", "link")</f>
        <v/>
      </c>
      <c r="C12663" t="n">
        <v>6</v>
      </c>
      <c r="D12663" t="inlineStr">
        <is>
          <t>Manthache; Collier du Valet Veinard; Gant du Valet Veinard; Alliance Gloursonne; Bouclier du Stalak; Menoture; Couronne d'Allister; Cape Martegel; Palmes Trithons; Dofus Abyssal; Dofus des Glaces; Dofus Ivoire; Dofus Ocre; Dévastateur Air majeur; Cascadeur majeur; Blérodoudou</t>
        </is>
      </c>
    </row>
    <row r="12664">
      <c r="A12664" t="inlineStr">
        <is>
          <t>ini</t>
        </is>
      </c>
      <c r="B12664">
        <f>HYPERLINK("https://www.dofusbook.net/fr/equipement/5867632-ini/objets", "link")</f>
        <v/>
      </c>
      <c r="C12664" t="n">
        <v>2</v>
      </c>
      <c r="D12664" t="inlineStr">
        <is>
          <t>Epée Loponèze; Collier du Tanukouï San; Anneau du Cycloïde; Alliance Gloursonne; Ceinture de Kongoku; Kanistère; Capignon; Bottes de Léthaline; Fonceur; Fonceur majeur; Initiateur; Initiateur majeur; Précurseur; Précurseur majeur; Tofu Givré</t>
        </is>
      </c>
    </row>
    <row r="12665">
      <c r="A12665" t="inlineStr">
        <is>
          <t>Roublard F 200</t>
        </is>
      </c>
      <c r="B12665">
        <f>HYPERLINK("https://www.dofusbook.net/fr/equipement/5867108-roublard-f-200/objets", "link")</f>
        <v/>
      </c>
      <c r="C12665" t="n">
        <v>0</v>
      </c>
      <c r="D12665" t="inlineStr"/>
    </row>
    <row r="12666">
      <c r="A12666" t="inlineStr">
        <is>
          <t>do crit cra</t>
        </is>
      </c>
      <c r="B12666">
        <f>HYPERLINK("https://www.dofusbook.net/fr/equipement/4525482-do-crit-cra-/objets", "link")</f>
        <v/>
      </c>
      <c r="C12666" t="n">
        <v>6</v>
      </c>
      <c r="D12666" t="inlineStr">
        <is>
          <t>Hache du Chalœil; Amulette du Strigide; Bague Gloursonne; Bracelet du Piloztère; Quatre-feuilles; Ceinture du Strigide; Le Dorado; Cape du Chalœil; Bottes du Roi Joueur; Dofus Pourpre; Dofus Turquoise; Dolmanax; Dofus des Glaces; Remueur; Vigoureux majeur; Muldo Prune et Emeraude</t>
        </is>
      </c>
    </row>
    <row r="12667">
      <c r="A12667" t="inlineStr">
        <is>
          <t>12 fo</t>
        </is>
      </c>
      <c r="B12667">
        <f>HYPERLINK("https://www.dofusbook.net/fr/equipement/5780155-12-fo/objets", "link")</f>
        <v/>
      </c>
      <c r="C12667" t="n">
        <v>0</v>
      </c>
      <c r="D12667" t="inlineStr">
        <is>
          <t>Dagues d'Ilyzaelle; Amulette du Cœur Saignant; Anneau Chevelu; Anneau Volkorne; Bouclier d'Ilyzaelle; Ceinture Volkorne; Masque de Funespadon; Cape du Cœur Saignant; Bottes du Cœur Saignant; Dofus Ivoire; Dofus Pourpre; Dofus Abyssal; Dolmanax; Dofus Ocre; Dofus Turquoise; Volkorne Pourpre</t>
        </is>
      </c>
    </row>
    <row r="12668">
      <c r="A12668" t="inlineStr">
        <is>
          <t>intel</t>
        </is>
      </c>
      <c r="B12668">
        <f>HYPERLINK("https://www.dofusbook.net/fr/equipement/5733512-intel/objets", "link")</f>
        <v/>
      </c>
      <c r="C12668" t="n">
        <v>8</v>
      </c>
      <c r="D12668" t="inlineStr">
        <is>
          <t>Arc corrompu; Pendentif affamé; Anneauræus; Anneau Tique; Bouclier du Cycloïde; Ceinture de Vortex; Cagoule de Vortex; Cape de Diondin; Bottes Innommables; Dofus Ivoire; Guérisseur majeur; Érudit majeur; Nomade; Fonceur majeur; Remueur; Muldo Indigo et Pourpre</t>
        </is>
      </c>
    </row>
    <row r="12669">
      <c r="A12669" t="inlineStr">
        <is>
          <t>Chance</t>
        </is>
      </c>
      <c r="B12669">
        <f>HYPERLINK("https://www.dofusbook.net/fr/equipement/2709907-chance/objets", "link")</f>
        <v/>
      </c>
      <c r="C12669" t="n">
        <v>19</v>
      </c>
      <c r="D12669" t="inlineStr">
        <is>
          <t>Dagoulinantes; Amulette de Shokkoth; Anneau Volkorne; Alliance Gloursonne; Bouclier du Stalak; Ceinture de la Reine des Voleurs; Kidibonnet; Cape Luminescente; Bottes de la Reine des Voleurs; Dofus des Glaces; Dofus Ocre; Dofus Abyssal; Dévastateur Eau majeur; Nomade; Chanceux majeur; Kanigloups</t>
        </is>
      </c>
    </row>
    <row r="12670">
      <c r="A12670" t="inlineStr">
        <is>
          <t>Stuff 3</t>
        </is>
      </c>
      <c r="B12670">
        <f>HYPERLINK("https://www.dofusbook.net/fr/equipement/176550-stuff-3/objets", "link")</f>
        <v/>
      </c>
      <c r="C12670" t="n">
        <v>18</v>
      </c>
      <c r="D12670" t="inlineStr">
        <is>
          <t>Arc corrompu; Pendentif affamé; Anneau Tamie; Anneau Rifique; Bivalve; Ceinture Séculaire; Coiffe Séculaire; Cape de Diondin; Bottes Innommables; Dofus Pourpre; Nomade; Guérisseur majeur; Astucieux majeur; Remueur; Érudit majeur; Bisouglours</t>
        </is>
      </c>
    </row>
    <row r="12671">
      <c r="A12671" t="inlineStr">
        <is>
          <t>Agi/tacle</t>
        </is>
      </c>
      <c r="B12671">
        <f>HYPERLINK("https://www.dofusbook.net/fr/equipement/5688856-agi-tacle/objets", "link")</f>
        <v/>
      </c>
      <c r="C12671" t="n">
        <v>4</v>
      </c>
      <c r="D12671" t="inlineStr">
        <is>
          <t>Héqache; Collier du Valet Veinard; Gant du Valet Veinard; Alliance Gloursonne; Cadran d'Air; Menoture; Dorabysses; Cape Martegel; Palmes Trithons; Dofus Émeraude; Dofus Ivoire; Dolmanax; Remueur; Miraculé majeur; Obstructeur majeur; Muldo Ebène et Indigo</t>
        </is>
      </c>
    </row>
    <row r="12672">
      <c r="A12672" t="inlineStr">
        <is>
          <t>eau</t>
        </is>
      </c>
      <c r="B12672">
        <f>HYPERLINK("https://www.dofusbook.net/fr/equipement/5619954-eau/objets", "link")</f>
        <v/>
      </c>
      <c r="C12672" t="n">
        <v>2</v>
      </c>
      <c r="D12672" t="inlineStr">
        <is>
          <t>Dagoulinantes; Amulette de Shokkoth; Alliance Gloursonne; Anneau Volkorne; Bouclier d'Ilyzaelle; Ceinture Volkorne; Capuche de l'Œil Attentif; Cape Solution; Bottes du Sinistrofu; Kanigloups</t>
        </is>
      </c>
    </row>
    <row r="12673">
      <c r="A12673" t="inlineStr">
        <is>
          <t>ine-res</t>
        </is>
      </c>
      <c r="B12673">
        <f>HYPERLINK("https://www.dofusbook.net/fr/equipement/5470322-ine-res/objets", "link")</f>
        <v/>
      </c>
      <c r="C12673" t="n">
        <v>1</v>
      </c>
      <c r="D12673" t="inlineStr">
        <is>
          <t>Plumeau Bil; Amulette de Nileza; Anneau Tique; Anneau Rifique; Bivalve; Ceinture de Vortex; Heaume Oplate; Cape de Nileza; Chaussures Ardentes; Dofus Ocre; Dofus Abyssal; Dofus des Glaces; Dofus Ivoire; Érudit majeur; Dévastateur Feu majeur; Muldo Indigo et Orchidée</t>
        </is>
      </c>
    </row>
    <row r="12674">
      <c r="A12674" t="inlineStr">
        <is>
          <t>eau intel</t>
        </is>
      </c>
      <c r="B12674">
        <f>HYPERLINK("https://www.dofusbook.net/fr/equipement/3585204-eau-intel/objets", "link")</f>
        <v/>
      </c>
      <c r="C12674" t="n">
        <v>1</v>
      </c>
      <c r="D12674" t="inlineStr">
        <is>
          <t>Arc Nécrotique; Talisman Igans; Alliance Gloursonne; Anneau Cryochrone; Bivalve; Ceintrigue; Casque Cyclopéen; Voile d'encre; Pataugastrique; Dofus Ocre; Dofus Abyssal; Dofus Pourpre; Érudit majeur; Chanceux majeur; Miraculé majeur; Muldo Indigo et Orchidée</t>
        </is>
      </c>
    </row>
    <row r="12675">
      <c r="A12675" t="inlineStr">
        <is>
          <t>vdv re crit</t>
        </is>
      </c>
      <c r="B12675">
        <f>HYPERLINK("https://www.dofusbook.net/fr/equipement/5622567-vdv-re-crit/objets", "link")</f>
        <v/>
      </c>
      <c r="C12675" t="n">
        <v>0</v>
      </c>
      <c r="D12675" t="inlineStr">
        <is>
          <t>Héqache; Amulette du Strigide; Alliance Gloursonne; Bracelet du Piloztère; Quatre-feuilles; Ceinture du Strigide; Coiffe de la Reine des Voleurs; Cape au Logis; Baleinabottes; Dofus Turquoise; Dofus Ivoire; Dofus Pourpre; Dofus des Glaces; Dokoko; Dofus Ocre; Bulbisou</t>
        </is>
      </c>
    </row>
    <row r="12676">
      <c r="A12676" t="inlineStr">
        <is>
          <t>Roublard F 200</t>
        </is>
      </c>
      <c r="B12676">
        <f>HYPERLINK("https://www.dofusbook.net/fr/equipement/5589159-roublard-f-200/objets", "link")</f>
        <v/>
      </c>
      <c r="C12676" t="n">
        <v>3</v>
      </c>
      <c r="D12676" t="inlineStr">
        <is>
          <t>Arc Hétype; Amulette d'Otomaï; Anneau Tamie; Anneau Tamie; Bouclier du Stalak; Ceinture Séculaire; Heaume Oplate; Cape de Diondin; Bottes d'Otomaï</t>
        </is>
      </c>
    </row>
    <row r="12677">
      <c r="A12677" t="inlineStr">
        <is>
          <t>tank</t>
        </is>
      </c>
      <c r="B12677">
        <f>HYPERLINK("https://www.dofusbook.net/fr/equipement/5547756-tank/objets", "link")</f>
        <v/>
      </c>
      <c r="C12677" t="n">
        <v>8</v>
      </c>
      <c r="D12677" t="inlineStr">
        <is>
          <t>Rouleau à Pâtisserie d'Aermyne; Collier Rophante; Alliance Gloursonne; Bague Trithon; Bouclier précieux; Croture; Masque d'Anerice; Cape d'Anerice; Pataugastrique; Dofus Abyssal; Dofus Ivoire; Dofus Émeraude; Obstructeur majeur; Remueur; Obstructeur; Givrefoux</t>
        </is>
      </c>
    </row>
    <row r="12678">
      <c r="A12678" t="inlineStr">
        <is>
          <t>ret pm</t>
        </is>
      </c>
      <c r="B12678">
        <f>HYPERLINK("https://www.dofusbook.net/fr/equipement/5528149-ret-pm/objets", "link")</f>
        <v/>
      </c>
      <c r="C12678" t="n">
        <v>1</v>
      </c>
      <c r="D12678" t="inlineStr">
        <is>
          <t>Baguette Hique; Collier de la Dame du Hasard; Pikano; Alliance Gloursonne; Bouclier cubiste; Ceinture Instable; Casquette de Meno; Cape de la Dame du Hasard; Pantoufles Émar; Temporiseur; Remueur; Entraveur majeur; Temporiseur majeur; Fonceur majeur; Nomade; Blokus</t>
        </is>
      </c>
    </row>
    <row r="12679">
      <c r="A12679" t="inlineStr">
        <is>
          <t>soin res</t>
        </is>
      </c>
      <c r="B12679">
        <f>HYPERLINK("https://www.dofusbook.net/fr/equipement/5520600-soin-res/objets", "link")</f>
        <v/>
      </c>
      <c r="C12679" t="n">
        <v>1</v>
      </c>
      <c r="D12679" t="inlineStr">
        <is>
          <t>Arc Hétype; Amulette Séculaire; Anneau Rifique; Anneau Tique; Bivalve; Ceinture Séculaire; Casque Dragoeuf; Cape de Diondin; Chaussures Ardentes; Dolmanax; Dofus Émeraude; Dofus Ivoire; Miraculé majeur; Remueur; Érudit majeur; Muldo Indigo et Orchidée</t>
        </is>
      </c>
    </row>
    <row r="12680">
      <c r="A12680" t="inlineStr">
        <is>
          <t>allistair</t>
        </is>
      </c>
      <c r="B12680">
        <f>HYPERLINK("https://www.dofusbook.net/fr/equipement/5320266-allistair/objets", "link")</f>
        <v/>
      </c>
      <c r="C12680" t="n">
        <v>1</v>
      </c>
      <c r="D12680" t="inlineStr">
        <is>
          <t>Manthache; Collier du Valet Veinard; Gant du Valet Veinard; Anneau d'Allister; Bouclier du Stalak; Ceinture de Nevark; Couronne d'Allister; Cape du Valet Veinard; Bottes d'Allister</t>
        </is>
      </c>
    </row>
    <row r="12681">
      <c r="A12681" t="inlineStr">
        <is>
          <t>Pandawa F 200</t>
        </is>
      </c>
      <c r="B12681">
        <f>HYPERLINK("https://www.dofusbook.net/fr/equipement/5373435-pandawa-f-200/objets", "link")</f>
        <v/>
      </c>
      <c r="C12681" t="n">
        <v>0</v>
      </c>
      <c r="D12681" t="inlineStr">
        <is>
          <t>Arc Nécrotique; Amulette du Strigide; Alliance Gloursonne; Bracelet du Piloztère; Quatre-feuilles; Ceinture du Strigide; Casque Dragoeuf; Cape de la Dame du Hasard; Pataugastrique; Muldo Indigo et Orchidée</t>
        </is>
      </c>
    </row>
    <row r="12682">
      <c r="A12682" t="inlineStr">
        <is>
          <t>eau/air</t>
        </is>
      </c>
      <c r="B12682">
        <f>HYPERLINK("https://www.dofusbook.net/fr/equipement/5416882-eau-air/objets", "link")</f>
        <v/>
      </c>
      <c r="C12682" t="n">
        <v>1</v>
      </c>
      <c r="D12682" t="inlineStr">
        <is>
          <t>Arc de Koutoulou; Amulette d'Ilyzaelle; Alliance Gloursonne; Anneau Volkorne; Bouclier du Stalak; Poulpagne; Casque d'Ilyzaelle; Chevelure de Tal Kasha; Bottes de la Reine des Voleurs; Dofus Turquoise; Dofus Abyssal; Dofus Ocre; Dofus Ivoire; Dofus Pourpre; Dofus des Glaces; Muldo Prune et Emeraude</t>
        </is>
      </c>
    </row>
    <row r="12683">
      <c r="A12683" t="inlineStr">
        <is>
          <t>Roublard F 200</t>
        </is>
      </c>
      <c r="B12683">
        <f>HYPERLINK("https://www.dofusbook.net/fr/equipement/5390774-roublard-f-200/objets", "link")</f>
        <v/>
      </c>
      <c r="C12683" t="n">
        <v>2</v>
      </c>
      <c r="D12683" t="inlineStr">
        <is>
          <t>Pyraguette; Pendentif affamé; Anneau Tamie; Anneau Tamie; Bouclier du Stalak; Ceintrigue; Coiffe Séculaire; Cape de Diondin; Bottes Owesli; Dofus Ocre; Dofus des Glaces; Dofus Abyssal; Érudit majeur; Dévastateur Feu majeur; Nomade; Bisouglours</t>
        </is>
      </c>
    </row>
    <row r="12684">
      <c r="A12684" t="inlineStr">
        <is>
          <t>Panda12 6</t>
        </is>
      </c>
      <c r="B12684">
        <f>HYPERLINK("https://www.dofusbook.net/fr/equipement/587002-panda12-6/objets", "link")</f>
        <v/>
      </c>
      <c r="C12684" t="n">
        <v>11</v>
      </c>
      <c r="D12684" t="inlineStr">
        <is>
          <t>Arc Nécrotique; Talisman Igans; Bracelet du Piloztère; Alliance Gloursonne; Bouclier du Stalak; Ceintrigue; Bonnet Ko; Voile d'encre; Bottes du Lévitrof; Dofus Ocre; Dofus Turquoise; Nomade; Érudit majeur; Remueur; Chanceux majeur; Muldo Indigo et Orchidée</t>
        </is>
      </c>
    </row>
    <row r="12685">
      <c r="A12685" t="inlineStr">
        <is>
          <t>terre-chance ret pm</t>
        </is>
      </c>
      <c r="B12685">
        <f>HYPERLINK("https://www.dofusbook.net/fr/equipement/2978446-terre-chance-ret-pm/objets", "link")</f>
        <v/>
      </c>
      <c r="C12685" t="n">
        <v>7</v>
      </c>
      <c r="D12685" t="inlineStr">
        <is>
          <t>Marteau R'ture; Amulette Luminescente; Chevalière du Roi Joueur; Pikano; Bouclier cubiste; Ceinture Luminescente; Casquipik; Cape Luminescente; Pikottes; Dofus Pourpre; Dofus Abyssal; Dofus Vulbis; Dofus Ocre; Dokoko; Dofus Turquoise; Gwo Tofu Ventripotent</t>
        </is>
      </c>
    </row>
    <row r="12686">
      <c r="A12686" t="inlineStr">
        <is>
          <t>eau ret pm</t>
        </is>
      </c>
      <c r="B12686">
        <f>HYPERLINK("https://www.dofusbook.net/fr/equipement/2988190-eau-ret-pm/objets", "link")</f>
        <v/>
      </c>
      <c r="C12686" t="n">
        <v>21</v>
      </c>
      <c r="D12686" t="inlineStr">
        <is>
          <t>Baguette Hique; Amulette de Shokkoth; Pikano; Alliance Gloursonne; Bouclier cubiste; Ceinture Glaciale; Kidibonnet; Cape de Meno; Bottes de Meno; Temporiseur; Chanceux majeur; Ralentisseur majeur; Temporiseur majeur; Entraveur majeur; Remueur; Muldo Indigo et Pourpre</t>
        </is>
      </c>
    </row>
    <row r="12687">
      <c r="A12687" t="inlineStr">
        <is>
          <t>Pandawa F 200</t>
        </is>
      </c>
      <c r="B12687">
        <f>HYPERLINK("https://www.dofusbook.net/fr/equipement/5288212-pandawa-f-200/objets", "link")</f>
        <v/>
      </c>
      <c r="C12687" t="n">
        <v>3</v>
      </c>
      <c r="D12687" t="inlineStr">
        <is>
          <t>Dagues Érhy; Amulette de Pol Ouatnos; Goulano; Anneau du Comte Harebourg; Bouclier d'Ilyzaelle; Ceinture de la Reine des Voleurs; Coiffe de la Reine des Voleurs; Cape au Logis; Baleinabottes; Dofus Ocre; Dofus Abyssal; Dofus Pourpre; Dofus Ivoire; Dofus Émeraude; Dofus des Glaces; Volkorne Pourpre</t>
        </is>
      </c>
    </row>
    <row r="12688">
      <c r="A12688" t="inlineStr">
        <is>
          <t>Roublard F 200</t>
        </is>
      </c>
      <c r="B12688">
        <f>HYPERLINK("https://www.dofusbook.net/fr/equipement/5288311-roublard-f-200/objets", "link")</f>
        <v/>
      </c>
      <c r="C12688" t="n">
        <v>0</v>
      </c>
      <c r="D12688" t="inlineStr">
        <is>
          <t>Sceptre du Roi Joueur; Amulette de Pol Ouatnos; Anneau Glacial; Goulano; Bouclier d'Ilyzaelle; Ceinture de la Reine des Voleurs; Casque en Grithril; Cape Solution; Bottes de la Reine des Voleurs; Dofus Ocre</t>
        </is>
      </c>
    </row>
    <row r="12689">
      <c r="A12689" t="inlineStr">
        <is>
          <t>necrotique</t>
        </is>
      </c>
      <c r="B12689">
        <f>HYPERLINK("https://www.dofusbook.net/fr/equipement/4934268-necrotique/objets", "link")</f>
        <v/>
      </c>
      <c r="C12689" t="n">
        <v>10</v>
      </c>
      <c r="D12689" t="inlineStr">
        <is>
          <t>Arc Volkorne; Amulette Volkorne; Anneau Volkorne; Bague Trithon; Bouclier du Stalak; Ceinture Volkorne; Masque Trithon; Voile d'encre; Bottes Trithon; Dofus Émeraude; Dofus Ivoire; Dofus Pourpre; Dofus Abyssal; Dolmanax; Dofus Ocre; Volkorne Jade et Améthyste</t>
        </is>
      </c>
    </row>
    <row r="12690">
      <c r="A12690" t="inlineStr">
        <is>
          <t>Roublard F 200</t>
        </is>
      </c>
      <c r="B12690">
        <f>HYPERLINK("https://www.dofusbook.net/fr/equipement/5248038-roublard-f-200/objets", "link")</f>
        <v/>
      </c>
      <c r="C12690" t="n">
        <v>0</v>
      </c>
      <c r="D12690" t="inlineStr">
        <is>
          <t>Arc Nécrotique; Amulette Cryochrone; Alliance Gloursonne; Anneau Cryochrone; Bouclier du Stalak; Ceintrigue; Coiffe du Lévitrof; Voile d'encre; Pataugastrique; Dofus Ocre; Dofus Ivoire; Dofus Pourpre; Dofus Abyssal; Dolmanax; Fonceur majeur; Muldo Amande</t>
        </is>
      </c>
    </row>
    <row r="12691">
      <c r="A12691" t="inlineStr">
        <is>
          <t>Sram M 200</t>
        </is>
      </c>
      <c r="B12691">
        <f>HYPERLINK("https://www.dofusbook.net/fr/equipement/5233782-sram-m-200/objets", "link")</f>
        <v/>
      </c>
      <c r="C12691" t="n">
        <v>0</v>
      </c>
      <c r="D12691" t="inlineStr">
        <is>
          <t>Amulette du Strigide; Bracelet du Piloztère; Alliance Gloursonne; Ceinture du Strigide; Chapeau de Gein; Voile d'encre; Baleinabottes; Remueur</t>
        </is>
      </c>
    </row>
    <row r="12692">
      <c r="A12692" t="inlineStr">
        <is>
          <t>Sram F 200</t>
        </is>
      </c>
      <c r="B12692">
        <f>HYPERLINK("https://www.dofusbook.net/fr/equipement/5127692-sram-f-200/objets", "link")</f>
        <v/>
      </c>
      <c r="C12692" t="n">
        <v>0</v>
      </c>
      <c r="D12692" t="inlineStr">
        <is>
          <t>Epée Kari; Collier de Tourthon; Alliance de Missiz Frizz; Anneau de Brouce; Bouclier d'Ilyzaelle; Ceinture de Brouce; Casque de Missiz Frizz; Cape au Logis; Bottes de Brouce; Dolmanax; Dofus Ivoire; Dofus Turquoise; Dofus Abyssal; Dofus Pourpre; Dofus Ocre; Kompost</t>
        </is>
      </c>
    </row>
    <row r="12693">
      <c r="A12693" t="inlineStr">
        <is>
          <t>agi soin</t>
        </is>
      </c>
      <c r="B12693">
        <f>HYPERLINK("https://www.dofusbook.net/fr/equipement/5106964-agi-soin/objets", "link")</f>
        <v/>
      </c>
      <c r="C12693" t="n">
        <v>1</v>
      </c>
      <c r="D12693" t="inlineStr">
        <is>
          <t>Baguette de Malléfisk; Amulette d'Ilyzaelle; Anneau Rifique; Alliance Gloursonne; Bivalve; Menoture; Casque d'Ilyzaelle; Cape Martegel; Sabots de Vortex; Dofus Ocre; Dofus Ivoire; Dofus Pourpre; Guérisseur majeur; Nomade; Miraculé majeur; Blérodoudou</t>
        </is>
      </c>
    </row>
    <row r="12694">
      <c r="A12694" t="inlineStr">
        <is>
          <t>Eau/intel/agi</t>
        </is>
      </c>
      <c r="B12694">
        <f>HYPERLINK("https://www.dofusbook.net/fr/equipement/5072368-eau-intel-agi/objets", "link")</f>
        <v/>
      </c>
      <c r="C12694" t="n">
        <v>3</v>
      </c>
      <c r="D12694" t="inlineStr">
        <is>
          <t>Arc Nécrotique; Amulette Volkorne; Anneau Volkorne; Anneau Tique; Bouclier du Cycloïde; Ceinture de l'Esprit Malsain; Cagoule de Vortex; Cape des Malveilleurs; Pataugastrique; Dofus Pourpre; Dofus Abyssal; Guérisseur majeur; Érudit majeur; Nomade; Remueur; Muldo Orchidée et Pourpre</t>
        </is>
      </c>
    </row>
    <row r="12695">
      <c r="A12695" t="inlineStr">
        <is>
          <t>Iop M 200</t>
        </is>
      </c>
      <c r="B12695">
        <f>HYPERLINK("https://www.dofusbook.net/fr/equipement/5039663-iop-m-200/objets", "link")</f>
        <v/>
      </c>
      <c r="C12695" t="n">
        <v>1</v>
      </c>
      <c r="D12695" t="inlineStr">
        <is>
          <t>Epée Gloursonne; Amulette du Strigide; Bague Gloursonne; Alliance Gloursonne; Quatre-feuilles; Ceinture du Strigide; Casque du Chalœil; Cape du Chalœil; Bottes du Strigide; Dofus Ocre; Dofus des Glaces; Dofus Turquoise; Dofus Abyssal; Dofus Pourpre; Dolmanax; Volkorne Pourpre et Orchidée</t>
        </is>
      </c>
    </row>
    <row r="12696">
      <c r="A12696" t="inlineStr">
        <is>
          <t>Féca F 200</t>
        </is>
      </c>
      <c r="B12696">
        <f>HYPERLINK("https://www.dofusbook.net/fr/equipement/5036782-feca-f-200/objets", "link")</f>
        <v/>
      </c>
      <c r="C12696" t="n">
        <v>0</v>
      </c>
      <c r="D12696" t="inlineStr">
        <is>
          <t>Arc de Koutoulou; Amulette de Shokkoth; Alliance Gloursonne; Anneau Volkorne; Quatre-feuilles; Poulpagne; Casque Volkorne; Chevelure de Tal Kasha; Sandales de Tal Kasha; Dofus Ocre; Dofus des Glaces; Dofus Pourpre; Dofus Abyssal; Dolmanax; Dofus Ivoire</t>
        </is>
      </c>
    </row>
    <row r="12697">
      <c r="A12697" t="inlineStr">
        <is>
          <t>Pandawa M 200</t>
        </is>
      </c>
      <c r="B12697">
        <f>HYPERLINK("https://www.dofusbook.net/fr/equipement/5030791-pandawa-m-200/objets", "link")</f>
        <v/>
      </c>
      <c r="C12697" t="n">
        <v>0</v>
      </c>
      <c r="D12697" t="inlineStr">
        <is>
          <t>Rod Gerse; Collier Rophante; Anneau Tique; Alliance Gloursonne; Bouclier d'Anerice; Ceintacé; Casque Dragoeuf; Cape d'Anerice; Getas Bernacle; Dolmanax; Dofus Abyssal; Dofus Émeraude; Dofus Ivoire; Fonceur majeur; Remueur; Titard</t>
        </is>
      </c>
    </row>
    <row r="12698">
      <c r="A12698" t="inlineStr">
        <is>
          <t>Eni intel/agi</t>
        </is>
      </c>
      <c r="B12698">
        <f>HYPERLINK("https://www.dofusbook.net/fr/equipement/1080229-eni-intel-agi/objets", "link")</f>
        <v/>
      </c>
      <c r="C12698" t="n">
        <v>4</v>
      </c>
      <c r="D12698" t="inlineStr">
        <is>
          <t>Baguette Range; Pendentif mignon de Koutoulou; Anneau Rifique; Anneau de Padgref; Bouclier du Cycloïde; Ceinture de Vortex; Cagoule de Vortex; Cape des Malveilleurs; Sabots de Vortex; Dofus Pourpre; Dofus Abyssal; Dofus des Glaces; Dofus Ivoire; Dofus Turquoise; Dofus Ocre; Muldo Ebène et Orchidée</t>
        </is>
      </c>
    </row>
    <row r="12699">
      <c r="A12699" t="inlineStr">
        <is>
          <t>Ecaflip F 200</t>
        </is>
      </c>
      <c r="B12699">
        <f>HYPERLINK("https://www.dofusbook.net/fr/equipement/4936476-ecaflip-f-200/objets", "link")</f>
        <v/>
      </c>
      <c r="C12699" t="n">
        <v>8</v>
      </c>
      <c r="D12699" t="inlineStr">
        <is>
          <t>Arc Volkorne; Amulette du Strigide; Anneau de Padgref; Bague Trithon; Quatre-feuilles; Ceinture du Strigide; Masque Trithon; Cape d'Atcham; Bottes Trithon; Dofus Nébuleux; Dofus Turquoise; Dolmanax; Dofus Ivoire; Dofus Émeraude; Dofus Ocre; Muldo Prune et Emeraude</t>
        </is>
      </c>
    </row>
    <row r="12700">
      <c r="A12700" t="inlineStr">
        <is>
          <t>Terre pvp</t>
        </is>
      </c>
      <c r="B12700">
        <f>HYPERLINK("https://www.dofusbook.net/fr/equipement/4930489-terre-pvp/objets", "link")</f>
        <v/>
      </c>
      <c r="C12700" t="n">
        <v>5</v>
      </c>
      <c r="D12700" t="inlineStr">
        <is>
          <t>Arc du Chalœil; Collier de Tourthon; Anneau Volkorne; Anneau Crustique; Bouclier du Stalak; Ceinture Volkorne; Masque de Koutoulou; Voile d'encre; Tentassons; Dofus Ocre; Dofus Abyssal; Dofus Ivoire; Dofus Pourpre; Dofus des Glaces; Dévastateur Terre majeur; Muldo Orchidée et Pourpre</t>
        </is>
      </c>
    </row>
    <row r="12701">
      <c r="A12701" t="inlineStr">
        <is>
          <t>Eniripsa F 200</t>
        </is>
      </c>
      <c r="B12701">
        <f>HYPERLINK("https://www.dofusbook.net/fr/equipement/4897798-eniripsa-f-200/objets", "link")</f>
        <v/>
      </c>
      <c r="C12701" t="n">
        <v>1</v>
      </c>
      <c r="D12701" t="inlineStr">
        <is>
          <t>Sabres d'Atcham; Amulette de Nileza; Anneau Tique; Alliance Gloursonne; Bivalve; Ceinture de Vortex; Cagoule de Vortex; Voile d'encre; Pataugastrique; Dofus Ivoire; Dofus Ocre; Dofus Abyssal; Érudit majeur; Étourdisseur majeur; Chanceux majeur; Muldo Pourpre</t>
        </is>
      </c>
    </row>
    <row r="12702">
      <c r="A12702" t="inlineStr">
        <is>
          <t>Féca F 200</t>
        </is>
      </c>
      <c r="B12702">
        <f>HYPERLINK("https://www.dofusbook.net/fr/equipement/4895671-feca-f-200/objets", "link")</f>
        <v/>
      </c>
      <c r="C12702" t="n">
        <v>1</v>
      </c>
      <c r="D12702" t="inlineStr">
        <is>
          <t>Spatule Tranche-Gourmands; Amulette du Strigide; Alliance Gloursonne; Bracelet du Piloztère; Cadran d'Air; Ceintacé; Chapoulpe; Cape du Kamasterisk; Tentassons; Dofus Émeraude; Dofus Ivoire; Dofus Pourpre; Dofus des Glaces; Dofus Ocre; Dofus Abyssal; Muldo Indigo et Orchidée</t>
        </is>
      </c>
    </row>
    <row r="12703">
      <c r="A12703" t="inlineStr">
        <is>
          <t>panda tacle res</t>
        </is>
      </c>
      <c r="B12703">
        <f>HYPERLINK("https://www.dofusbook.net/fr/equipement/4014974-panda-tacle-res/objets", "link")</f>
        <v/>
      </c>
      <c r="C12703" t="n">
        <v>12</v>
      </c>
      <c r="D12703" t="inlineStr">
        <is>
          <t>Rouleau à Pâtisserie d'Aermyne; Amulette du Cycloïde; Anneau de Pol Ouatnos; Alliance Gloursonne; Sept ans de malheur; Ceinture de Kongoku; Dorabysses; Cape d'Aermyne; Pataugastrique; Nomade; Obstructeur majeur; Remueur; Miraculé majeur; Fonceur majeur; Bloqueur majeur; Kramkram</t>
        </is>
      </c>
    </row>
    <row r="12704">
      <c r="A12704" t="inlineStr">
        <is>
          <t>Tank</t>
        </is>
      </c>
      <c r="B12704">
        <f>HYPERLINK("https://www.dofusbook.net/fr/equipement/4835714-tank/objets", "link")</f>
        <v/>
      </c>
      <c r="C12704" t="n">
        <v>4</v>
      </c>
      <c r="D12704" t="inlineStr">
        <is>
          <t>Rod Gerse; Collier Rophante; Anneau Tique; Alliance Gloursonne; Bouclier d'Anerice; Ceinture de Kongoku; Casque Dragoeuf; Cape d'Anerice; Pataugastrique; Dofus Émeraude; Dofus Abyssal; Dofus Ivoire; Obstructeur majeur; Remueur; Fonceur majeur; Titard</t>
        </is>
      </c>
    </row>
    <row r="12705">
      <c r="A12705" t="inlineStr">
        <is>
          <t>Roublard F 200</t>
        </is>
      </c>
      <c r="B12705">
        <f>HYPERLINK("https://www.dofusbook.net/fr/equipement/4855778-roublard-f-200/objets", "link")</f>
        <v/>
      </c>
      <c r="C12705" t="n">
        <v>7</v>
      </c>
      <c r="D12705" t="inlineStr">
        <is>
          <t>Épée Brûlâme; Collier de la Dame du Hasard; Anneau Kturne; Anneau Cryochrone; Bouclier du Captain Amakna; Ceinture du Strigide; Kidibonnet; Cape de Meno; Bottes de la Dame du Hasard; Dofus Ocre; Dofus Turquoise; Dofus Pourpre; Dolmanax; Dofus des Glaces; Chanceux majeur; Kokulte</t>
        </is>
      </c>
    </row>
    <row r="12706">
      <c r="A12706" t="inlineStr">
        <is>
          <t>Roublard F 200</t>
        </is>
      </c>
      <c r="B12706">
        <f>HYPERLINK("https://www.dofusbook.net/fr/equipement/4826046-roublard-f-200/objets", "link")</f>
        <v/>
      </c>
      <c r="C12706" t="n">
        <v>0</v>
      </c>
      <c r="D12706" t="inlineStr">
        <is>
          <t>Arc du Chalœil; Collier de Tourthon; Anneau Crustique; Anneau Volkorne; Bouclier du Stalak; Ceinture Volkorne; Masque de Koutoulou; Cape au Logis; Baleinabottes; Dofus Abyssal; Dofus des Glaces; Dofus Ocre; Dévastateur Terre majeur; Enragé majeur; Saccageur Terre majeur; Bulbisou</t>
        </is>
      </c>
    </row>
    <row r="12707">
      <c r="A12707" t="inlineStr">
        <is>
          <t>Enutrof M 200</t>
        </is>
      </c>
      <c r="B12707">
        <f>HYPERLINK("https://www.dofusbook.net/fr/equipement/4793244-enutrof-m-200/objets", "link")</f>
        <v/>
      </c>
      <c r="C12707" t="n">
        <v>0</v>
      </c>
      <c r="D12707" t="inlineStr">
        <is>
          <t>Arc Hétype; Collier de la Dame du Hasard; Anneau Tamie; Anneau Tamie; Bouclier cubiste; Ceinture de Kongoku; Casquette de Meno; Cape de Meno; Pantoufles Émar; Érudit majeur; Temporiseur majeur; Entraveur majeur; Remueur; Temporiseur; Nomade; Bisouglours</t>
        </is>
      </c>
    </row>
    <row r="12708">
      <c r="A12708" t="inlineStr">
        <is>
          <t>Xélor F 200</t>
        </is>
      </c>
      <c r="B12708">
        <f>HYPERLINK("https://www.dofusbook.net/fr/equipement/4757664-xelor-f-200/objets", "link")</f>
        <v/>
      </c>
      <c r="C12708" t="n">
        <v>0</v>
      </c>
      <c r="D12708" t="inlineStr">
        <is>
          <t>Héqache; Amulette du Kamasterisk; Anneau Toriété; Bracelet du Piloztère; Quatre-feuilles; Ceintacé; Masque Brûlâme; Cape du Cœur Vaillant; Bottes du Cœur Vaillant; Dofus Pourpre; Dofus des Glaces; Dofus Ocre; Dofus Turquoise; Dofus Abyssal; Vigoureux majeur; Mékrabe</t>
        </is>
      </c>
    </row>
    <row r="12709">
      <c r="A12709" t="inlineStr">
        <is>
          <t>Pandawa F 200</t>
        </is>
      </c>
      <c r="B12709">
        <f>HYPERLINK("https://www.dofusbook.net/fr/equipement/4746210-pandawa-f-200/objets", "link")</f>
        <v/>
      </c>
      <c r="C12709" t="n">
        <v>1</v>
      </c>
      <c r="D12709" t="inlineStr">
        <is>
          <t>Épée du Granduk; Collier Rophante; Alliance Gloursonne; Anneau Tique; Sept ans de malheur; Ceinture du Barbétoal; Masque d'Anerice; Cape d'Anerice; Pataugastrique; Dofus Ivoire; Dofus Abyssal; Fonceur majeur; Miraculé majeur; Remueur; Obstructeur majeur; Muldo Roux et Indigo</t>
        </is>
      </c>
    </row>
    <row r="12710">
      <c r="A12710" t="inlineStr">
        <is>
          <t>Féca M 200</t>
        </is>
      </c>
      <c r="B12710">
        <f>HYPERLINK("https://www.dofusbook.net/fr/equipement/4746154-feca-m-200/objets", "link")</f>
        <v/>
      </c>
      <c r="C12710" t="n">
        <v>0</v>
      </c>
      <c r="D12710" t="inlineStr">
        <is>
          <t>Rouleau à Pâtisserie d'Aermyne; Collier Rophante; Anneau Tique; Alliance Gloursonne; Sept ans de malheur; Ceinture de Kongoku; Casque Dragoeuf; Cape d'Aermyne; Pataugastrique; Dofus Émeraude; Obstructeur majeur; Miraculé majeur; Bloqueur majeur; Fonceur majeur; Remueur; Muldo Roux</t>
        </is>
      </c>
    </row>
    <row r="12711">
      <c r="A12711" t="inlineStr">
        <is>
          <t>sram tacle</t>
        </is>
      </c>
      <c r="B12711">
        <f>HYPERLINK("https://www.dofusbook.net/fr/equipement/3998818-sram-tacle/objets", "link")</f>
        <v/>
      </c>
      <c r="C12711" t="n">
        <v>2</v>
      </c>
      <c r="D12711" t="inlineStr">
        <is>
          <t>Épée du Granduk; Amulette du Granduk; Gant du Valet Veinard; Alliance Gloursonne; Sept ans de malheur; Menoture; Dorabysses; Cape de Kongoku; Palmes Trithons; Dofus Abyssal; Dofus Ocre; Bloqueur majeur; Nomade; Obstructeur majeur; Carapace Eau majeur; Blokus</t>
        </is>
      </c>
    </row>
    <row r="12712">
      <c r="A12712" t="inlineStr">
        <is>
          <t>Tacle 2</t>
        </is>
      </c>
      <c r="B12712">
        <f>HYPERLINK("https://www.dofusbook.net/fr/equipement/755099-tacle-2/objets", "link")</f>
        <v/>
      </c>
      <c r="C12712" t="n">
        <v>1</v>
      </c>
      <c r="D12712" t="inlineStr">
        <is>
          <t>Dague Hirr; Amulette du Cycloïde; Alliance Gloursonne; Anneau de XLII; Sept ans de malheur; Ceinture de XLII; Dorabysses; Cape de Kongoku; Baleinabottes; Obstructeur majeur; Remueur; Miraculé majeur; Bloqueur majeur; Carapace Terre majeur; Nomade; Muldo Roux</t>
        </is>
      </c>
    </row>
    <row r="12713">
      <c r="A12713" t="inlineStr">
        <is>
          <t>eau agi</t>
        </is>
      </c>
      <c r="B12713">
        <f>HYPERLINK("https://www.dofusbook.net/fr/equipement/4273854-eau-agi/objets", "link")</f>
        <v/>
      </c>
      <c r="C12713" t="n">
        <v>10</v>
      </c>
      <c r="D12713" t="inlineStr">
        <is>
          <t>Arc de Koutoulou; Amulette d'Ilyzaelle; Anneau Volkorne; Alliance Gloursonne; Bouclier d'Ilyzaelle; Poulpagne; Casque Volkorne; Chevelure de Tal Kasha; Sandales de Tal Kasha; Dofus Pourpre; Dofus Ocre; Dofus des Glaces; Dofus Abyssal; Dofus Ivoire; Dolmanax; Muldo Ebène et Pourpre</t>
        </is>
      </c>
    </row>
    <row r="12714">
      <c r="A12714" t="inlineStr">
        <is>
          <t>Pano 12PA</t>
        </is>
      </c>
      <c r="B12714">
        <f>HYPERLINK("https://www.dofusbook.net/fr/equipement/1449357-pano-12pa/objets", "link")</f>
        <v/>
      </c>
      <c r="C12714" t="n">
        <v>0</v>
      </c>
      <c r="D12714" t="inlineStr">
        <is>
          <t>Epée Gloursonne; Amulette de Gein; Bague Gloursonne; Alliance Gloursonne; Bouclier du Stalak; Ceinture de Gein; Chapeau de Gein; Voile d'encre; Bottes du Roi Joueur; Dofus Ocre; Dokoko; Dofus Pourpre; Dofus des Glaces; Dofus Turquoise; Dolmanax; Muldo Ebène et Pourpre</t>
        </is>
      </c>
    </row>
    <row r="12715">
      <c r="A12715" t="inlineStr">
        <is>
          <t>katrepat</t>
        </is>
      </c>
      <c r="B12715">
        <f>HYPERLINK("https://www.dofusbook.net/fr/equipement/1908511-katrepat/objets", "link")</f>
        <v/>
      </c>
      <c r="C12715" t="n">
        <v>5</v>
      </c>
      <c r="D12715" t="inlineStr">
        <is>
          <t>Marteau de Katrepat; Amulette du Strigide; Alliance Gloursonne; Chevalière du Roi Joueur; Bouclier Taverne; Ceinture du Strigide; Masque Brûlâme; Voile d'encre; Bottes du Strigide; Dofus Ivoire; Dofus Abyssal; Dofus Ocre; Dofus Pourpre; Dofus des Glaces; Dolmanax</t>
        </is>
      </c>
    </row>
    <row r="12716">
      <c r="A12716" t="inlineStr">
        <is>
          <t>Pandawa F 200</t>
        </is>
      </c>
      <c r="B12716">
        <f>HYPERLINK("https://www.dofusbook.net/fr/equipement/4724834-pandawa-f-200/objets", "link")</f>
        <v/>
      </c>
      <c r="C12716" t="n">
        <v>3</v>
      </c>
      <c r="D12716" t="inlineStr">
        <is>
          <t>Arc Volkorne; Amulette Volkorne; Bague Trithon; Anneau Volkorne; Quatre-feuilles; Ceinture Volkorne; Masque Trithon; Voile d'encre; Bottes Trithon; Dofus Ébène; Dofus Ocre; Dofus Pourpre; Dofus des Glaces; Dofus Turquoise; Dofus Abyssal; Volkorne Doré et Emeraude</t>
        </is>
      </c>
    </row>
    <row r="12717">
      <c r="A12717" t="inlineStr">
        <is>
          <t>Crâ M 200</t>
        </is>
      </c>
      <c r="B12717">
        <f>HYPERLINK("https://www.dofusbook.net/fr/equipement/4688285-cra-m-200/objets", "link")</f>
        <v/>
      </c>
      <c r="C12717" t="n">
        <v>0</v>
      </c>
      <c r="D12717" t="inlineStr"/>
    </row>
    <row r="12718">
      <c r="A12718" t="inlineStr">
        <is>
          <t>Pandawa F 200</t>
        </is>
      </c>
      <c r="B12718">
        <f>HYPERLINK("https://www.dofusbook.net/fr/equipement/4685667-pandawa-f-200/objets", "link")</f>
        <v/>
      </c>
      <c r="C12718" t="n">
        <v>8</v>
      </c>
      <c r="D12718" t="inlineStr">
        <is>
          <t>Hache du Chalœil; Amulette du Strigide; Bracelet du Piloztère; Alliance Gloursonne; Quatre-feuilles; Ceinture du Strigide; Casque du Chalœil; Cape du Chalœil; Bottes du Strigide; Dolmanax; Dofus Ocre; Dofus Pourpre; Dofus Abyssal; Dofus Turquoise; Voyageur; Volkorne Pourpre et Indigo</t>
        </is>
      </c>
    </row>
    <row r="12719">
      <c r="A12719" t="inlineStr">
        <is>
          <t>Pandawa F 200</t>
        </is>
      </c>
      <c r="B12719">
        <f>HYPERLINK("https://www.dofusbook.net/fr/equipement/4685050-pandawa-f-200/objets", "link")</f>
        <v/>
      </c>
      <c r="C12719" t="n">
        <v>2</v>
      </c>
      <c r="D12719" t="inlineStr">
        <is>
          <t>Rod Gerse; Amulette Ementaire Deluxe; Anneau Tique; Alliance Gloursonne; Sept ans de malheur; Ceinture de Kongoku; Masque d'Anerice; Cape d'Anerice; Pataugastrique; Dolmanax; Dofus Ocre; Dofus Abyssal; Dofus Émeraude; Dofus Ivoire; Carapace Neutre majeur; Muldo Orchidée</t>
        </is>
      </c>
    </row>
    <row r="12720">
      <c r="A12720" t="inlineStr">
        <is>
          <t>Roublard F 200</t>
        </is>
      </c>
      <c r="B12720">
        <f>HYPERLINK("https://www.dofusbook.net/fr/equipement/4681477-roublard-f-200/objets", "link")</f>
        <v/>
      </c>
      <c r="C12720" t="n">
        <v>0</v>
      </c>
      <c r="D12720" t="inlineStr">
        <is>
          <t>Manthache; Collier du Valet Veinard; Anneau d'Allister; Gant du Valet Veinard; Bouclier du Stalak; Sangle Oriole; Couronne d'Allister; Cape du Valet Veinard; Bottes d'Allister; Dofus Pourpre; Dofus Abyssal; Dofus des Glaces; Dofus Vulbis; Dofus Ocre; Saccageur Air majeur; Blérodoudou</t>
        </is>
      </c>
    </row>
    <row r="12721">
      <c r="A12721" t="inlineStr">
        <is>
          <t>Stuff 2</t>
        </is>
      </c>
      <c r="B12721">
        <f>HYPERLINK("https://www.dofusbook.net/fr/equipement/176542-stuff-2/objets", "link")</f>
        <v/>
      </c>
      <c r="C12721" t="n">
        <v>15</v>
      </c>
      <c r="D12721" t="inlineStr">
        <is>
          <t>Manthache; Collier du Valet Veinard; Alliance Gloursonne; Gant du Valet Veinard; Bouclier du Stalak; Menoture; Couronne d'Allister; Cape Indescriptible; Palmes Trithons; Dofus des Glaces; Dévastateur Air majeur; Nomade; Remueur; Equilibriste majeur; Cascadeur majeur; Blérodoudou</t>
        </is>
      </c>
    </row>
    <row r="12722">
      <c r="A12722" t="inlineStr">
        <is>
          <t>Féca F 200</t>
        </is>
      </c>
      <c r="B12722">
        <f>HYPERLINK("https://www.dofusbook.net/fr/equipement/4673314-feca-f-200/objets", "link")</f>
        <v/>
      </c>
      <c r="C12722" t="n">
        <v>1</v>
      </c>
      <c r="D12722" t="inlineStr">
        <is>
          <t>Hache du Korriandre; Amulette du Strigide; Bracelet du Piloztère; Bague Trithon; Bouclier Taverne; Ceinture du Strigide; Némès de Tal Kasha; Chevelure de Tal Kasha; Bottes du Strigide; Dofus Pourpre; Dofus Abyssal; Dofus Turquoise; Dofus des Glaces; Dofus Ocre; Dofus Ivoire; Muldo Prune et Emeraude</t>
        </is>
      </c>
    </row>
    <row r="12723">
      <c r="A12723" t="inlineStr">
        <is>
          <t>terre</t>
        </is>
      </c>
      <c r="B12723">
        <f>HYPERLINK("https://www.dofusbook.net/fr/equipement/4462495-terre/objets", "link")</f>
        <v/>
      </c>
      <c r="C12723" t="n">
        <v>0</v>
      </c>
      <c r="D12723" t="inlineStr">
        <is>
          <t>Arc du Chalœil; Collier de Tourthon; Anneau de Brouce; Bracelet du Piloztère; Bouclier du Stalak; Ceinture de la Cour Sombre; Masque de Koutoulou; Voile d'encre; Bottes de la Cour Sombre</t>
        </is>
      </c>
    </row>
    <row r="12724">
      <c r="A12724" t="inlineStr">
        <is>
          <t>intel</t>
        </is>
      </c>
      <c r="B12724">
        <f>HYPERLINK("https://www.dofusbook.net/fr/equipement/4637527-intel/objets", "link")</f>
        <v/>
      </c>
      <c r="C12724" t="n">
        <v>2</v>
      </c>
      <c r="D12724" t="inlineStr">
        <is>
          <t>Pyraguette; Amulette Volkorne; Anneau Tamie; Anneau Volkorne; Bouclier du Stalak; Ceintrigue; Heaume Oplate; Cape de Diondin; Bottes Innommables; Dofus Abyssal; Dofus des Glaces; Dofus Ocre; Dévastateur Feu majeur; Nomade; Érudit majeur; Bisouglours</t>
        </is>
      </c>
    </row>
    <row r="12725">
      <c r="A12725" t="inlineStr">
        <is>
          <t>agi</t>
        </is>
      </c>
      <c r="B12725">
        <f>HYPERLINK("https://www.dofusbook.net/fr/equipement/2078725-agi/objets", "link")</f>
        <v/>
      </c>
      <c r="C12725" t="n">
        <v>1</v>
      </c>
      <c r="D12725" t="inlineStr">
        <is>
          <t>Manthache; Collier du Valet Veinard; Alliance Gloursonne; Gant du Valet Veinard; Quatre-feuilles; Ceinture Billonnante; Masque du Granduk; Cape Matelassée; Baleinabottes; Dofus des Veilleurs; Miraculé majeur; Remueur; Cascadeur majeur; Equilibriste majeur; Nomade; Muldo Ebène</t>
        </is>
      </c>
    </row>
    <row r="12726">
      <c r="A12726" t="inlineStr">
        <is>
          <t>Roublard F 200</t>
        </is>
      </c>
      <c r="B12726">
        <f>HYPERLINK("https://www.dofusbook.net/fr/equipement/4564658-roublard-f-200/objets", "link")</f>
        <v/>
      </c>
      <c r="C12726" t="n">
        <v>2</v>
      </c>
      <c r="D12726" t="inlineStr">
        <is>
          <t>Dagues Lassay; Amulette Hendart; Alliance Gloursonne; Anneau d'Allister; Quatre-feuilles; Ceinture de Nevark; Couronne d'Allister; Cape de Klime; Pantoufles Émar; Saccageur Air majeur; Cascadeur majeur; Equilibriste majeur; Remueur; Dévastateur Air majeur; Nomade; Fëanor</t>
        </is>
      </c>
    </row>
    <row r="12727">
      <c r="A12727" t="inlineStr">
        <is>
          <t>terre/intel</t>
        </is>
      </c>
      <c r="B12727">
        <f>HYPERLINK("https://www.dofusbook.net/fr/equipement/3900967-terre-intel/objets", "link")</f>
        <v/>
      </c>
      <c r="C12727" t="n">
        <v>3</v>
      </c>
      <c r="D12727" t="inlineStr">
        <is>
          <t>Hache Téroïde; Amulette du Strigide; Chevalière du Roi Joueur; Alliance Brûlâme; Quatre-feuilles; Ceintacé; Chapeau de Gein; Voile d'encre; Bottes du Roi Joueur; Dofus Pourpre; Dofus Ivoire; Dofus Turquoise; Remueur; Vigoureux majeur; Enragé majeur; Muldo Orchidée et Pourpre</t>
        </is>
      </c>
    </row>
    <row r="12728">
      <c r="A12728" t="inlineStr">
        <is>
          <t>Zobal F 200</t>
        </is>
      </c>
      <c r="B12728">
        <f>HYPERLINK("https://www.dofusbook.net/fr/equipement/4554486-zobal-f-200/objets", "link")</f>
        <v/>
      </c>
      <c r="C12728" t="n">
        <v>3</v>
      </c>
      <c r="D12728" t="inlineStr">
        <is>
          <t>Hache Téroïde; Amulette du Strigide; Bracelet du Piloztère; Bague Gloursonne; Bouclier d'Ilyzaelle; Ceintacé; Couronne du Roi Joueur; Cape des Justiciers; Bottes du Roi Joueur; Dofus Turquoise; Dofus Pourpre; Remueur; Miraculé majeur; Nomade; Vigoureux majeur; Muldo Orchidée et Pourpre</t>
        </is>
      </c>
    </row>
    <row r="12729">
      <c r="A12729" t="inlineStr">
        <is>
          <t>Féca M 200</t>
        </is>
      </c>
      <c r="B12729">
        <f>HYPERLINK("https://www.dofusbook.net/fr/equipement/4550149-feca-m-200/objets", "link")</f>
        <v/>
      </c>
      <c r="C12729" t="n">
        <v>3</v>
      </c>
      <c r="D12729" t="inlineStr">
        <is>
          <t>Arc Hétype; Amulette de Nileza; Bague Gloursonne; Anneau Tique; Bouclier d'Ilyzaelle; Ceinture de Vortex; Cagoule de Vortex; Voile d'encre; Pataugastrique; Dofus Ocre; Dofus Ivoire; Temporiseur majeur; Érudit majeur; Obstructeur majeur; Nomade; Blokus</t>
        </is>
      </c>
    </row>
    <row r="12730">
      <c r="A12730" t="inlineStr">
        <is>
          <t>Eau</t>
        </is>
      </c>
      <c r="B12730">
        <f>HYPERLINK("https://www.dofusbook.net/fr/equipement/2833183-eau/objets", "link")</f>
        <v/>
      </c>
      <c r="C12730" t="n">
        <v>6</v>
      </c>
      <c r="D12730" t="inlineStr">
        <is>
          <t>Dagoulinantes; Amulette de Shokkoth; Anneau Kturne; Alliance Gloursonne; Bouclier du Stalak; Ceinture de la Reine des Voleurs; Kidibonnet; Cape Luminescente; Bottes de la Reine des Voleurs; Dofus des Glaces; Dofus Abyssal; Miraculé majeur; Chanceux majeur; Dévastateur Eau majeur; Remueur; Kanigloups</t>
        </is>
      </c>
    </row>
    <row r="12731">
      <c r="A12731" t="inlineStr">
        <is>
          <t>Roublard F 200</t>
        </is>
      </c>
      <c r="B12731">
        <f>HYPERLINK("https://www.dofusbook.net/fr/equipement/3863444-roublard-f-200/objets", "link")</f>
        <v/>
      </c>
      <c r="C12731" t="n">
        <v>7</v>
      </c>
      <c r="D12731" t="inlineStr">
        <is>
          <t>Dagoulinantes; Amulette de Shokkoth; Bracelet des Fonds marins; Alliance Gloursonne; Bouclier du Stalak; Ceinture de la Reine des Voleurs; Kidibonnet; Cape de l'Œil Attentif; Bottes de la Reine des Voleurs; Dofus des Glaces; Dofus Ocre; Dofus Abyssal; Dévastateur Eau majeur; Nomade; Chanceux majeur; Kanigloups</t>
        </is>
      </c>
    </row>
    <row r="12732">
      <c r="A12732" t="inlineStr">
        <is>
          <t>Xélor F 200</t>
        </is>
      </c>
      <c r="B12732">
        <f>HYPERLINK("https://www.dofusbook.net/fr/equipement/4523724-xelor-f-200/objets", "link")</f>
        <v/>
      </c>
      <c r="C12732" t="n">
        <v>0</v>
      </c>
      <c r="D12732" t="inlineStr">
        <is>
          <t>Manthache; Collier du Valet Veinard; Gant du Valet Veinard; Alliance Gloursonne; Cadran d'Air; Menoture; Dorabysses; Cape Indescriptible; Baleinabottes; Dofus Abyssal; Dofus Pourpre; Nomade; Vigoureux majeur; Cascadeur majeur; Remueur; Blérodoudou</t>
        </is>
      </c>
    </row>
    <row r="12733">
      <c r="A12733" t="inlineStr">
        <is>
          <t>Enutrof M 200</t>
        </is>
      </c>
      <c r="B12733">
        <f>HYPERLINK("https://www.dofusbook.net/fr/equipement/4504105-enutrof-m-200/objets", "link")</f>
        <v/>
      </c>
      <c r="C12733" t="n">
        <v>0</v>
      </c>
      <c r="D12733" t="inlineStr">
        <is>
          <t>Hache à Lamelles; Collier du Minotot; Bracelet du Minotot; Anneau Tique; Tranche des Sous-bois; Casque Harnage; Cape du Minotot; Bottines des sous-bois; Dolmanax; Dokille; Dofus Kaliptus; Joueur majeur; Taquin; Taquin majeur; Glub</t>
        </is>
      </c>
    </row>
    <row r="12734">
      <c r="A12734" t="inlineStr">
        <is>
          <t>Test</t>
        </is>
      </c>
      <c r="B12734">
        <f>HYPERLINK("https://www.dofusbook.net/fr/equipement/4497150-test/objets", "link")</f>
        <v/>
      </c>
      <c r="C12734" t="n">
        <v>2</v>
      </c>
      <c r="D12734" t="inlineStr">
        <is>
          <t>Arc du Chalœil; Amulette du Strigide; Bague Gloursonne; Bracelet du Piloztère; Quatre-feuilles; Ceintacé; Masque Brûlâme; Cape Luminescente; Bottes du Strigide; Dofus Abyssal; Dofus Pourpre; Dofus Turquoise; Vigoureux majeur; Nomade; Remueur; Muldo Prune et Emeraude</t>
        </is>
      </c>
    </row>
    <row r="12735">
      <c r="A12735" t="inlineStr">
        <is>
          <t>terre eau do crit</t>
        </is>
      </c>
      <c r="B12735">
        <f>HYPERLINK("https://www.dofusbook.net/fr/equipement/4487505-terre-eau-do-crit/objets", "link")</f>
        <v/>
      </c>
      <c r="C12735" t="n">
        <v>1</v>
      </c>
      <c r="D12735" t="inlineStr">
        <is>
          <t>Hache du Chalœil; Amulette du Strigide; Bracelet du Piloztère; Bague Gloursonne; Quatre-feuilles; Ceinture du Strigide; Le Dorado; Cape Luminescente; Sandales de Tal Kasha; Dofus Pourpre; Dofus Turquoise; Remueur; Nomade; Enragé majeur; Vigoureux majeur; Kokulte</t>
        </is>
      </c>
    </row>
    <row r="12736">
      <c r="A12736" t="inlineStr">
        <is>
          <t>Agi allistair</t>
        </is>
      </c>
      <c r="B12736">
        <f>HYPERLINK("https://www.dofusbook.net/fr/equipement/4448565-agi-allistair/objets", "link")</f>
        <v/>
      </c>
      <c r="C12736" t="n">
        <v>2</v>
      </c>
      <c r="D12736" t="inlineStr">
        <is>
          <t>Manthache; Collier du Valet Veinard; Gant du Valet Veinard; Anneau d'Allister; Bouclier cubiste; Ceinture du Nocturlabe; Couronne d'Allister; Cape du Valet Veinard; Bottes d'Allister; Dofus Abyssal; Dofus Pourpre; Dofus Ocre; Dofus Vulbis; Dofus des Glaces; Saccageur Air majeur; Blérodoudou</t>
        </is>
      </c>
    </row>
    <row r="12737">
      <c r="A12737" t="inlineStr">
        <is>
          <t>ine ini</t>
        </is>
      </c>
      <c r="B12737">
        <f>HYPERLINK("https://www.dofusbook.net/fr/equipement/4429245-ine-ini/objets", "link")</f>
        <v/>
      </c>
      <c r="C12737" t="n">
        <v>2</v>
      </c>
      <c r="D12737" t="inlineStr">
        <is>
          <t>Plumeau Bil; Talisman Igans; Anneau Tamie; Anneau Tamie; Bouclier du Stalak; Ceinture Séculaire; Heaume Oplate; Cape de Diondin; Bottes Owesli; Dofus des Glaces; Dofus Abyssal; Dévastateur Feu majeur; Nomade; Astucieux majeur; Érudit majeur; Bisouglours</t>
        </is>
      </c>
    </row>
    <row r="12738">
      <c r="A12738" t="inlineStr">
        <is>
          <t>veinard full</t>
        </is>
      </c>
      <c r="B12738">
        <f>HYPERLINK("https://www.dofusbook.net/fr/equipement/1484938-veinard-full/objets", "link")</f>
        <v/>
      </c>
      <c r="C12738" t="n">
        <v>0</v>
      </c>
      <c r="D12738" t="inlineStr">
        <is>
          <t>Manthache; Collier du Valet Veinard; Gant du Valet Veinard; Alliance Gloursonne; Bouclier du Stalak; Ceinture de la Reine des Voleurs; Coiffe de la Reine des Voleurs; Cape du Valet Veinard; Bottes de la Reine des Voleurs; Dofus Ocre; Dofus Abyssal; Dofus Pourpre; Dofus des Glaces; Equilibriste majeur; Saccageur Air majeur; Muldo Doré et Ebène</t>
        </is>
      </c>
    </row>
    <row r="12739">
      <c r="A12739" t="inlineStr">
        <is>
          <t>terre-eau</t>
        </is>
      </c>
      <c r="B12739">
        <f>HYPERLINK("https://www.dofusbook.net/fr/equipement/4424912-terre-eau/objets", "link")</f>
        <v/>
      </c>
      <c r="C12739" t="n">
        <v>3</v>
      </c>
      <c r="D12739" t="inlineStr">
        <is>
          <t>Arc du Chalœil; Amulette du Strigide; Bague Gloursonne; Bracelet du Piloztère; Bouclier du Stalak; Ceinture Luminescente; Le Dorado; Cape Luminescente; Bottes du Lévitrof; Dofus Pourpre; Dofus Abyssal; Dolmanax; Fonceur majeur; Remueur</t>
        </is>
      </c>
    </row>
    <row r="12740">
      <c r="A12740" t="inlineStr">
        <is>
          <t>eau-agi</t>
        </is>
      </c>
      <c r="B12740">
        <f>HYPERLINK("https://www.dofusbook.net/fr/equipement/4422917-eau-agi/objets", "link")</f>
        <v/>
      </c>
      <c r="C12740" t="n">
        <v>4</v>
      </c>
      <c r="D12740" t="inlineStr">
        <is>
          <t>Arc de Koutoulou; Amulette d'Ilyzaelle; Alliance Gloursonne; Gant du Valet Veinard; Bouclier d'Ilyzaelle; Ceinture du Barbétoal; Casque d'Ilyzaelle; Chevelure de Tal Kasha; Sandales de Tal Kasha; Dofus Pourpre; Dofus Ivoire; Dolmanax; Dofus Ocre; Dofus Émeraude; Dofus Abyssal; Muldo Ebène et Indigo</t>
        </is>
      </c>
    </row>
    <row r="12741">
      <c r="A12741" t="inlineStr">
        <is>
          <t>Osamodas F 200</t>
        </is>
      </c>
      <c r="B12741">
        <f>HYPERLINK("https://www.dofusbook.net/fr/equipement/4392601-osamodas-f-200/objets", "link")</f>
        <v/>
      </c>
      <c r="C12741" t="n">
        <v>0</v>
      </c>
      <c r="D12741" t="inlineStr">
        <is>
          <t>Menoture; Coiffe de la Reine des Voleurs; Baleinabottes</t>
        </is>
      </c>
    </row>
    <row r="12742">
      <c r="A12742" t="inlineStr">
        <is>
          <t>Roublard F 200</t>
        </is>
      </c>
      <c r="B12742">
        <f>HYPERLINK("https://www.dofusbook.net/fr/equipement/4370678-roublard-f-200/objets", "link")</f>
        <v/>
      </c>
      <c r="C12742" t="n">
        <v>0</v>
      </c>
      <c r="D12742" t="inlineStr">
        <is>
          <t>Manthache; Collier du Valet Veinard; Alliance Gloursonne; Gant du Valet Veinard; Bouclier du Stalak; Ceintouse; Chapoulpe; Cape du Valet Veinard; Tentassons; Dofus des Glaces; Dofus Pourpre; Dofus Abyssal; Dofus Ocre; Saccageur Air majeur; Equilibriste majeur; Muldo Doré et Amande</t>
        </is>
      </c>
    </row>
    <row r="12743">
      <c r="A12743" t="inlineStr">
        <is>
          <t>terre agi</t>
        </is>
      </c>
      <c r="B12743">
        <f>HYPERLINK("https://www.dofusbook.net/fr/equipement/3578708-terre-agi/objets", "link")</f>
        <v/>
      </c>
      <c r="C12743" t="n">
        <v>9</v>
      </c>
      <c r="D12743" t="inlineStr">
        <is>
          <t>Héqache; Amulette du Strigide; Anneau Crustique; Bracelet du Piloztère; Quatre-feuilles; Ceinture du Strigide; Chapoulpe; Cape du Kamasterisk; Bottes du Cœur Vaillant; Dofus Turquoise; Dofus Pourpre; Dofus Ocre; Dofus Nébuleux; Nomade; Remueur; Volkorne Emeraude et Pourpre</t>
        </is>
      </c>
    </row>
    <row r="12744">
      <c r="A12744" t="inlineStr">
        <is>
          <t>Test</t>
        </is>
      </c>
      <c r="B12744">
        <f>HYPERLINK("https://www.dofusbook.net/fr/equipement/4348369-test/objets", "link")</f>
        <v/>
      </c>
      <c r="C12744" t="n">
        <v>3</v>
      </c>
      <c r="D12744" t="inlineStr">
        <is>
          <t>Héqache; Amulette du Kamasterisk; Anneau Crustique; Anneau des égarés; Quatre-feuilles; Ceinture Volkorne; Chapoulpe; Cape du Cœur Vaillant; Tentassons; Dofus Abyssal; Dofus Ocre; Dofus Pourpre; Dofus Nébuleux; Remueur; Nomade; Volkorne Emeraude et Pourpre</t>
        </is>
      </c>
    </row>
    <row r="12745">
      <c r="A12745" t="inlineStr">
        <is>
          <t>Roublard F 200</t>
        </is>
      </c>
      <c r="B12745">
        <f>HYPERLINK("https://www.dofusbook.net/fr/equipement/4224477-roublard-f-200/objets", "link")</f>
        <v/>
      </c>
      <c r="C12745" t="n">
        <v>0</v>
      </c>
      <c r="D12745" t="inlineStr">
        <is>
          <t>Dagoulinantes; Amulette Volkorne; Alliance Gloursonne; Anneau Volkorne; Bouclier du Stalak; Ceinture de la Reine des Voleurs; Coiffe de la Reine des Voleurs; Cape de l'Œil Attentif; Bottes de la Reine des Voleurs; Dofus Pourpre; Dofus des Glaces; Dofus Ocre; Dolmanax; Sanguinaire majeur; Dévastateur Eau majeur; Volkorne Indigo</t>
        </is>
      </c>
    </row>
    <row r="12746">
      <c r="A12746" t="inlineStr">
        <is>
          <t>Terre / agi heqache</t>
        </is>
      </c>
      <c r="B12746">
        <f>HYPERLINK("https://www.dofusbook.net/fr/equipement/3725499-terre---agi-heqache/objets", "link")</f>
        <v/>
      </c>
      <c r="C12746" t="n">
        <v>0</v>
      </c>
      <c r="D12746" t="inlineStr">
        <is>
          <t>Héqache; Amulette du Strigide; Alliance Gloursonne; Chevalière du Roi Joueur; Bouclier d'Ilyzaelle; Ceintacé; Chapoulpe; Cape du Kamasterisk; Tentassons; Dolmanax; Dofus Abyssal; Dofus Ivoire; Dofus Pourpre; Dofus Ocre; Observateur; Muldo Ebène et Indigo</t>
        </is>
      </c>
    </row>
    <row r="12747">
      <c r="A12747" t="inlineStr">
        <is>
          <t>force</t>
        </is>
      </c>
      <c r="B12747">
        <f>HYPERLINK("https://www.dofusbook.net/fr/equipement/2934175-force/objets", "link")</f>
        <v/>
      </c>
      <c r="C12747" t="n">
        <v>0</v>
      </c>
      <c r="D12747" t="inlineStr">
        <is>
          <t>Arc du Chalœil; Amulette du Strigide; Bracelet du Piloztère; Anneau Crustique; Quatre-feuilles; Ceinture du Strigide; Chapoulpe; Cape au Logis; Baleinabottes; Dofus Ivoire; Dofus Ocre; Dofus Abyssal; Dofus Pourpre; Vigoureux majeur; Enragé majeur; Bulbisou</t>
        </is>
      </c>
    </row>
    <row r="12748">
      <c r="A12748" t="inlineStr">
        <is>
          <t>terre/intel ret pm</t>
        </is>
      </c>
      <c r="B12748">
        <f>HYPERLINK("https://www.dofusbook.net/fr/equipement/4042956-terre-intel-ret-pm/objets", "link")</f>
        <v/>
      </c>
      <c r="C12748" t="n">
        <v>3</v>
      </c>
      <c r="D12748" t="inlineStr">
        <is>
          <t>Hache Téroïde; Amulette du Strigide; Chevalière du Roi Joueur; Alliance Brûlâme; Quatre-feuilles; Ceinture du Strigide; Couronne du Roi Joueur; Voile d'encre; Bottes du Roi Joueur; Dofus Turquoise; Dofus Ivoire; Dofus Ocre; Dofus Pourpre; Dofus Abyssal; Initiateur majeur; Muldo Orchidée et Pourpre</t>
        </is>
      </c>
    </row>
    <row r="12749">
      <c r="A12749" t="inlineStr">
        <is>
          <t>terre/feu</t>
        </is>
      </c>
      <c r="B12749">
        <f>HYPERLINK("https://www.dofusbook.net/fr/equipement/4121432-terre-feu/objets", "link")</f>
        <v/>
      </c>
      <c r="C12749" t="n">
        <v>3</v>
      </c>
      <c r="D12749" t="inlineStr">
        <is>
          <t>Hache Téroïde; Amulette du Strigide; Bague Trithon; Bague Gloursonne; Bouclier Taverne; Ceinture du Strigide; Masque Trithon; Cape au Logis; Bottes Trithon; Dofus Ocre; Dofus Ivoire; Dofus Turquoise; Dofus des Glaces; Dofus Pourpre; Dofus Abyssal; Kramkram</t>
        </is>
      </c>
    </row>
    <row r="12750">
      <c r="A12750" t="inlineStr">
        <is>
          <t>agi bis</t>
        </is>
      </c>
      <c r="B12750">
        <f>HYPERLINK("https://www.dofusbook.net/fr/equipement/4078782-agi-bis/objets", "link")</f>
        <v/>
      </c>
      <c r="C12750" t="n">
        <v>1</v>
      </c>
      <c r="D12750" t="inlineStr">
        <is>
          <t>Manthache; Amulette d'Ilyzaelle; Alliance Gloursonne; Gant du Valet Veinard; Bouclier du Stalak; Menoture; Casque d'Ilyzaelle; Cape Indescriptible; Palmes Trithons; Dofus des Glaces; Dofus Ocre; Equilibriste majeur; Cascadeur majeur; Nomade; Dévastateur Air majeur; Blérodoudou</t>
        </is>
      </c>
    </row>
    <row r="12751">
      <c r="A12751" t="inlineStr">
        <is>
          <t>Intel</t>
        </is>
      </c>
      <c r="B12751">
        <f>HYPERLINK("https://www.dofusbook.net/fr/equipement/1018658-intel/objets", "link")</f>
        <v/>
      </c>
      <c r="C12751" t="n">
        <v>1</v>
      </c>
      <c r="D12751" t="inlineStr">
        <is>
          <t>Arc Hétype; Pendentif affamé; Anneau Tique; Anneau Rifique; Bouclier du Stalak; Ceinture Séculaire; Casque Cyclopéen; Cape de Diondin; Bottes Innommables; Dofus Abyssal; Dolmanax; Dofus des Glaces; Remueur; Nomade; Érudit majeur; Bisouglours</t>
        </is>
      </c>
    </row>
    <row r="12752">
      <c r="A12752" t="inlineStr">
        <is>
          <t>PVM</t>
        </is>
      </c>
      <c r="B12752">
        <f>HYPERLINK("https://www.dofusbook.net/fr/equipement/1885214-pvm/objets", "link")</f>
        <v/>
      </c>
      <c r="C12752" t="n">
        <v>4</v>
      </c>
      <c r="D12752" t="inlineStr">
        <is>
          <t>Marteau R'ture; Amulette Luminescente; Pikano; Chevalière du Roi Joueur; Bouclier cubiste; Ceinture Luminescente; Casquipik; Cape Luminescente; Pikottes; Dofus Abyssal; Dofus Turquoise; Dofus des Glaces; Dofus Pourpre; Dofus Ocre; Entraveur majeur; Muldo Indigo et Pourpre</t>
        </is>
      </c>
    </row>
    <row r="12753">
      <c r="A12753" t="inlineStr">
        <is>
          <t>tacle-chaloeuil</t>
        </is>
      </c>
      <c r="B12753">
        <f>HYPERLINK("https://www.dofusbook.net/fr/equipement/3998891-tacle-chaloeuil/objets", "link")</f>
        <v/>
      </c>
      <c r="C12753" t="n">
        <v>5</v>
      </c>
      <c r="D12753" t="inlineStr">
        <is>
          <t>Sabres d'Atcham; Amulette du Strigide; Anneau Tique; Alliance Gloursonne; Sept ans de malheur; Ceinture de Kongoku; Chapeau des Malveilleurs; Cape des Malveilleurs; Bottes des Malveilleurs; Dolmanax; Dofus Ocre; Dofus Pourpre; Dofus Abyssal; Dofus Émeraude; Dofus des Glaces; Muldo Indigo</t>
        </is>
      </c>
    </row>
    <row r="12754">
      <c r="A12754" t="inlineStr">
        <is>
          <t>Pandawa M 200</t>
        </is>
      </c>
      <c r="B12754">
        <f>HYPERLINK("https://www.dofusbook.net/fr/equipement/3967455-pandawa-m-200/objets", "link")</f>
        <v/>
      </c>
      <c r="C12754" t="n">
        <v>4</v>
      </c>
      <c r="D12754" t="inlineStr">
        <is>
          <t>Arc Nécrotique; Amulette du Strigide; Alliance Gloursonne; Bracelet du Piloztère; Quatre-feuilles; Ceinture du Strigide; Chapeau des Malveilleurs; Voile d'encre; Pataugastrique; Dofus Pourpre; Dofus Ocre; Dofus Turquoise; Dofus des Glaces; Dolmanax; Dofus Abyssal; Muldo Indigo et Orchidée</t>
        </is>
      </c>
    </row>
    <row r="12755">
      <c r="A12755" t="inlineStr">
        <is>
          <t>Roublard F 200</t>
        </is>
      </c>
      <c r="B12755">
        <f>HYPERLINK("https://www.dofusbook.net/fr/equipement/3939317-roublard-f-200/objets", "link")</f>
        <v/>
      </c>
      <c r="C12755" t="n">
        <v>1</v>
      </c>
      <c r="D12755" t="inlineStr">
        <is>
          <t>Baguette des égarés; Amulette de l'Indicible; Anneau Volkorne; Alliance Gloursonne; Bouclier du Stalak; Ceinture de la Reine des Voleurs; Kidibonnet; Voilamibe; Bottes de la Reine des Voleurs; Dofus des Glaces; Dofus Pourpre; Dofus Abyssal; Dofus Ocre; Dévastateur Eau majeur; Dévastateur Terre majeur; Kanigloups</t>
        </is>
      </c>
    </row>
    <row r="12756">
      <c r="A12756" t="inlineStr">
        <is>
          <t>Tank</t>
        </is>
      </c>
      <c r="B12756">
        <f>HYPERLINK("https://www.dofusbook.net/fr/equipement/3894125-tank/objets", "link")</f>
        <v/>
      </c>
      <c r="C12756" t="n">
        <v>0</v>
      </c>
      <c r="D12756" t="inlineStr">
        <is>
          <t>Rod Gerse; Amulette de Pol Ouatnos; Alliance Gloursonne; Anneau Tique; Bouclier précieux; Ceinture de Kongoku; Masque d'Anerice; Cape d'Anerice; Pataugastrique; Eliôme</t>
        </is>
      </c>
    </row>
    <row r="12757">
      <c r="A12757" t="inlineStr">
        <is>
          <t>test eni intel/chance</t>
        </is>
      </c>
      <c r="B12757">
        <f>HYPERLINK("https://www.dofusbook.net/fr/equipement/3869802-test-eni-intel-chance/objets", "link")</f>
        <v/>
      </c>
      <c r="C12757" t="n">
        <v>3</v>
      </c>
      <c r="D12757" t="inlineStr">
        <is>
          <t>Pyraguette; Talisman Igans; Anneau Tique; Anneau Rifique; Cadran d'Air; Ceinture de l'Esprit Malsain; Heaume Oplate; Cape de l'Œil Putride; Bottes Owesli; Dofus Pourpre; Dofus Ocre; Dofus Abyssal; Nomade; Chanceux majeur; Vigoureux majeur; Péki</t>
        </is>
      </c>
    </row>
    <row r="12758">
      <c r="A12758" t="inlineStr">
        <is>
          <t>intel bis</t>
        </is>
      </c>
      <c r="B12758">
        <f>HYPERLINK("https://www.dofusbook.net/fr/equipement/3264802-intel-bis/objets", "link")</f>
        <v/>
      </c>
      <c r="C12758" t="n">
        <v>2</v>
      </c>
      <c r="D12758" t="inlineStr">
        <is>
          <t>Arc corrompu; Pendentif mignon de Koutoulou; Anneau Rifique; Anneau Tique; Bouclier du Stalak; Ceinture de l'Esprit Malsain; Heaume Oplate; Cape de Diondin; Bottes Innommables; Dofus des Glaces; Dofus Abyssal; Érudit majeur; Nomade; Astucieux majeur; Dévastateur Feu majeur; Bisouglours</t>
        </is>
      </c>
    </row>
    <row r="12759">
      <c r="A12759" t="inlineStr">
        <is>
          <t>Annerice 2</t>
        </is>
      </c>
      <c r="B12759">
        <f>HYPERLINK("https://www.dofusbook.net/fr/equipement/3220240-annerice-2/objets", "link")</f>
        <v/>
      </c>
      <c r="C12759" t="n">
        <v>13</v>
      </c>
      <c r="D12759" t="inlineStr">
        <is>
          <t>Rouleau à Pâtisserie d'Aermyne; Amulette de Pol Ouatnos; Anneau Tique; Alliance Gloursonne; Bouclier précieux; Ceinture du Barbétoal; Masque d'Anerice; Cape d'Anerice; Pataugastrique; Dofus Émeraude; Miraculé majeur; Miraculé; Carapace Neutre majeur; Remueur; Survivant majeur; Kramkram</t>
        </is>
      </c>
    </row>
    <row r="12760">
      <c r="A12760" t="inlineStr">
        <is>
          <t>eau agi</t>
        </is>
      </c>
      <c r="B12760">
        <f>HYPERLINK("https://www.dofusbook.net/fr/equipement/3352527-eau-agi/objets", "link")</f>
        <v/>
      </c>
      <c r="C12760" t="n">
        <v>5</v>
      </c>
      <c r="D12760" t="inlineStr">
        <is>
          <t>Arc de Koutoulou; Amulette d'Ilyzaelle; Gant du Valet Veinard; Alliance Gloursonne; Cadran d'Air; Poulpagne; Casque d'Ilyzaelle; Chevelure de Tal Kasha; Bottes de la Reine des Voleurs; Dofus Abyssal; Carapace Air majeur; Remueur; Miraculé majeur; Carapace Eau majeur; Nomade; Muldo Ebène et Indigo</t>
        </is>
      </c>
    </row>
    <row r="12761">
      <c r="A12761" t="inlineStr">
        <is>
          <t>eau</t>
        </is>
      </c>
      <c r="B12761">
        <f>HYPERLINK("https://www.dofusbook.net/fr/equipement/3827389-eau/objets", "link")</f>
        <v/>
      </c>
      <c r="C12761" t="n">
        <v>0</v>
      </c>
      <c r="D12761" t="inlineStr">
        <is>
          <t>Dagoulinantes; Amulette d'Ilyzaelle; Anneau Cryochrone; Anneau Kturne; Bouclier du Stalak; Poulpagne; Casque d'Ilyzaelle; Cape du Sinistrofu; Bottes Owesli; Dofus Ocre; Dofus des Glaces; Dofus Abyssal; Dofus Pourpre; Chanceux majeur; Dévastateur Eau majeur; Muldo Prune et Ebène</t>
        </is>
      </c>
    </row>
    <row r="12762">
      <c r="A12762" t="inlineStr">
        <is>
          <t>Intel-Chance</t>
        </is>
      </c>
      <c r="B12762">
        <f>HYPERLINK("https://www.dofusbook.net/fr/equipement/2234923-intel-chance/objets", "link")</f>
        <v/>
      </c>
      <c r="C12762" t="n">
        <v>14</v>
      </c>
      <c r="D12762" t="inlineStr">
        <is>
          <t>Pyraguette; Talisman Igans; Alliance Gloursonne; Anneau Tique; Bouclier cubiste; Ceinture de l'Esprit Malsain; Heaume Oplate; Cape de l'Œil Putride; Bottes Owesli; Dofus Ivoire; Dofus Ocre; Dofus Abyssal; Dofus Pourpre; Dofus des Glaces; Sanguinaire majeur; Muldo Indigo et Pourpre</t>
        </is>
      </c>
    </row>
    <row r="12763">
      <c r="A12763" t="inlineStr">
        <is>
          <t>Chaton</t>
        </is>
      </c>
      <c r="B12763">
        <f>HYPERLINK("https://www.dofusbook.net/fr/equipement/3773115-chaton/objets", "link")</f>
        <v/>
      </c>
      <c r="C12763" t="n">
        <v>1</v>
      </c>
      <c r="D12763" t="inlineStr">
        <is>
          <t>Arc du Chalœil; Amulette du Strigide; Bague Trithon; Alliance Gloursonne; Bouclier du Stalak; Ceinture du Strigide; Masque Trithon; Dofusteuse; Bottes Trithon; Dofus Ocre; Dofus Ivoire; Dolmanax; Dofus des Glaces; Dofus Pourpre; Dofus Abyssal; Muldo Ebène et Indigo</t>
        </is>
      </c>
    </row>
    <row r="12764">
      <c r="A12764" t="inlineStr">
        <is>
          <t>Terre eau agi</t>
        </is>
      </c>
      <c r="B12764">
        <f>HYPERLINK("https://www.dofusbook.net/fr/equipement/3341163-terre-eau-agi/objets", "link")</f>
        <v/>
      </c>
      <c r="C12764" t="n">
        <v>11</v>
      </c>
      <c r="D12764" t="inlineStr">
        <is>
          <t>Arc de Koutoulou; Amulette Luminescente; Bracelet du Piloztère; Alliance Brûlâme; Bouclier du Stalak; Ceinture Luminescente; Casque d'Ilyzaelle; Dofusteuse; Bottes du Cœur Vaillant; Dofus Ocre; Dofus Pourpre; Remueur; Robuste majeur; Nomade; Vigoureux majeur; Kwaltess</t>
        </is>
      </c>
    </row>
    <row r="12765">
      <c r="A12765" t="inlineStr">
        <is>
          <t>Terre Chance</t>
        </is>
      </c>
      <c r="B12765">
        <f>HYPERLINK("https://www.dofusbook.net/fr/equipement/3732646-terre-chance/objets", "link")</f>
        <v/>
      </c>
      <c r="C12765" t="n">
        <v>7</v>
      </c>
      <c r="D12765" t="inlineStr">
        <is>
          <t>Arc du Chalœil; Amulette Luminescente; Bracelet du Piloztère; Alliance Gloursonne; Bouclier du Stalak; Ceinture Luminescente; Masque de Funespadon; Dofusteuse; Bottes Honyme; Dolmanax; Dofus Abyssal; Dofus Pourpre; Dofus Ivoire; Dofus Turquoise; Dofus Ocre; Muldo Indigo et Pourpre</t>
        </is>
      </c>
    </row>
    <row r="12766">
      <c r="A12766" t="inlineStr">
        <is>
          <t>ine - ret pm</t>
        </is>
      </c>
      <c r="B12766">
        <f>HYPERLINK("https://www.dofusbook.net/fr/equipement/2721880-ine---ret-pm/objets", "link")</f>
        <v/>
      </c>
      <c r="C12766" t="n">
        <v>2</v>
      </c>
      <c r="D12766" t="inlineStr">
        <is>
          <t>Baguette Hique; Amulette du Glourséleste; Anneau Tamie; Pikano; Bouclier cubiste; Ceinture Instable; Casquipik; Cape de Léthaline; Pantoufles Émar; Temporiseur; Remueur; Ralentisseur majeur; Temporiseur majeur; Entraveur majeur; Fonceur majeur; Muldo Orchidée et Emeraude</t>
        </is>
      </c>
    </row>
    <row r="12767">
      <c r="A12767" t="inlineStr">
        <is>
          <t>Roublard F 200</t>
        </is>
      </c>
      <c r="B12767">
        <f>HYPERLINK("https://www.dofusbook.net/fr/equipement/3690339-roublard-f-200/objets", "link")</f>
        <v/>
      </c>
      <c r="C12767" t="n">
        <v>1</v>
      </c>
      <c r="D12767" t="inlineStr">
        <is>
          <t>Sabres d'Atcham; Amulette du Strigide; Anneau de Padgref; Chevalière du Roi Joueur; Quatre-feuilles; Ceinture du Strigide; Coiffe de Padgref; Cape d'Atcham; Getas de Padgref; Dolmanax; Dofus des Glaces; Dofus Abyssal; Dofus Pourpre; Dofus Nébuleux; Dofus Ocre; Dragodinde Ivoire et Orchidée</t>
        </is>
      </c>
    </row>
    <row r="12768">
      <c r="A12768" t="inlineStr">
        <is>
          <t>Ecaflip M 200</t>
        </is>
      </c>
      <c r="B12768">
        <f>HYPERLINK("https://www.dofusbook.net/fr/equipement/3686335-ecaflip-m-200/objets", "link")</f>
        <v/>
      </c>
      <c r="C12768" t="n">
        <v>0</v>
      </c>
      <c r="D12768" t="inlineStr">
        <is>
          <t>Masque de Koutoulou</t>
        </is>
      </c>
    </row>
    <row r="12769">
      <c r="A12769" t="inlineStr">
        <is>
          <t>ine agi bis</t>
        </is>
      </c>
      <c r="B12769">
        <f>HYPERLINK("https://www.dofusbook.net/fr/equipement/3655753-ine-agi-bis/objets", "link")</f>
        <v/>
      </c>
      <c r="C12769" t="n">
        <v>0</v>
      </c>
      <c r="D12769" t="inlineStr">
        <is>
          <t>Baguette Range; Amulette de Pol Ouatnos; Anneau Tique; Anneau de Padgref; Ceinture du Strigide; Coiffe de Padgref; Voile d'encre; Pantoufles Émar; Dolmanax; Dofus des Glaces; Dofus Émeraude; Dofus Abyssal; Dofus Pourpre; Remueur; Muldo Orchidée et Pourpre</t>
        </is>
      </c>
    </row>
    <row r="12770">
      <c r="A12770" t="inlineStr">
        <is>
          <t>Eniripsa F 200</t>
        </is>
      </c>
      <c r="B12770">
        <f>HYPERLINK("https://www.dofusbook.net/fr/equipement/3682045-eniripsa-f-200/objets", "link")</f>
        <v/>
      </c>
      <c r="C12770" t="n">
        <v>0</v>
      </c>
      <c r="D12770" t="inlineStr"/>
    </row>
    <row r="12771">
      <c r="A12771" t="inlineStr">
        <is>
          <t>koutou</t>
        </is>
      </c>
      <c r="B12771">
        <f>HYPERLINK("https://www.dofusbook.net/fr/equipement/3555205-koutou/objets", "link")</f>
        <v/>
      </c>
      <c r="C12771" t="n">
        <v>1</v>
      </c>
      <c r="D12771" t="inlineStr">
        <is>
          <t>Arc de Koutoulou; Amulette d'Ilyzaelle; Bague Gloursonne; Alliance Gloursonne; Bouclier du Stalak; Ceinture de la Reine des Voleurs; Casque d'Ilyzaelle; Cape Solution; Bottes de la Reine des Voleurs; Dofus des Glaces; Dofus Pourpre; Dofus Abyssal; Dofus Ocre; Dofus Ivoire; Dokoko; Muldo Ebène</t>
        </is>
      </c>
    </row>
    <row r="12772">
      <c r="A12772" t="inlineStr">
        <is>
          <t>eau- agi</t>
        </is>
      </c>
      <c r="B12772">
        <f>HYPERLINK("https://www.dofusbook.net/fr/equipement/2235133-eau--agi/objets", "link")</f>
        <v/>
      </c>
      <c r="C12772" t="n">
        <v>5</v>
      </c>
      <c r="D12772" t="inlineStr">
        <is>
          <t>Arc de Koutoulou; Amulette d'Ilyzaelle; Alliance Gloursonne; Gant du Valet Veinard; Bouclier du Stalak; Poulpagne; Casque d'Ilyzaelle; Cape du Barbétoal; Bottes de la Reine des Voleurs; Dofus Abyssal; Dofus des Glaces; Dofus Ocre; Dofus Pourpre; Cascadeur majeur; Miraculé majeur; Muldo Ebène et Indigo</t>
        </is>
      </c>
    </row>
    <row r="12773">
      <c r="A12773" t="inlineStr">
        <is>
          <t>11/6 opti</t>
        </is>
      </c>
      <c r="B12773">
        <f>HYPERLINK("https://www.dofusbook.net/fr/equipement/3343995-11-6-opti/objets", "link")</f>
        <v/>
      </c>
      <c r="C12773" t="n">
        <v>18</v>
      </c>
      <c r="D12773" t="inlineStr">
        <is>
          <t>Arc de Koutoulou; Amulette Luminescente; Bracelet du Piloztère; Alliance Brûlâme; Bouclier du Stalak; Ceinture Luminescente; Casque d'Ilyzaelle; Cape Luminescente; Bottes du Cœur Vaillant; Dofus Nébuleux; Dofus Pourpre; Dofus Abyssal; Dofus Ocre; Dofus Ivoire; Dolmanax; Muldo Ebène et Pourpre</t>
        </is>
      </c>
    </row>
    <row r="12774">
      <c r="A12774" t="inlineStr">
        <is>
          <t>eau feu</t>
        </is>
      </c>
      <c r="B12774">
        <f>HYPERLINK("https://www.dofusbook.net/fr/equipement/3633026-eau-feu/objets", "link")</f>
        <v/>
      </c>
      <c r="C12774" t="n">
        <v>2</v>
      </c>
      <c r="D12774" t="inlineStr">
        <is>
          <t>Pyraguette; Talisman Igans; Alliance Gloursonne; Bague Gloursonne; Cadran de Feu; Ceintrigue; Coiffe Cryochrone; Voilamibe; Pataugastrique; Dofus Ocre; Dofus Ivoire; Dolmanax; Dofus Abyssal; Dofus Pourpre; Dofus des Glaces; Kramkram</t>
        </is>
      </c>
    </row>
    <row r="12775">
      <c r="A12775" t="inlineStr">
        <is>
          <t>ine age</t>
        </is>
      </c>
      <c r="B12775">
        <f>HYPERLINK("https://www.dofusbook.net/fr/equipement/3603296-ine-age/objets", "link")</f>
        <v/>
      </c>
      <c r="C12775" t="n">
        <v>1</v>
      </c>
      <c r="D12775" t="inlineStr">
        <is>
          <t>Baguette Range; Amulette du Strigide; Anneau Tique; Anneau de Padgref; Quatre-feuilles; Ceinture du Strigide; Coiffe de Padgref; Voile d'encre; Bottes du Strigide; Dolmanax; Dofus Ivoire; Dofus des Glaces; Dofus Ocre; Dofus Émeraude; Dofus Abyssal; Muldo Orchidée et Pourpre</t>
        </is>
      </c>
    </row>
    <row r="12776">
      <c r="A12776" t="inlineStr">
        <is>
          <t>Kirikou</t>
        </is>
      </c>
      <c r="B12776">
        <f>HYPERLINK("https://www.dofusbook.net/fr/equipement/1676068-kirikou/objets", "link")</f>
        <v/>
      </c>
      <c r="C12776" t="n">
        <v>7</v>
      </c>
      <c r="D12776" t="inlineStr">
        <is>
          <t>Bêche Asse; Amulette du Strigide; Bague Gloursonne; Anneau de Brouce; Bouclier Taverne; Ceintacé; Casque de Missiz Frizz; Cape au Logis; Bottes de Brouce; Dofus Pourpre; Nomade; Vigoureux majeur; Remueur; Miraculé majeur; Enragé majeur</t>
        </is>
      </c>
    </row>
    <row r="12777">
      <c r="A12777" t="inlineStr">
        <is>
          <t>full fo</t>
        </is>
      </c>
      <c r="B12777">
        <f>HYPERLINK("https://www.dofusbook.net/fr/equipement/3572924-full-fo/objets", "link")</f>
        <v/>
      </c>
      <c r="C12777" t="n">
        <v>0</v>
      </c>
      <c r="D12777" t="inlineStr">
        <is>
          <t>Arc du Chalœil; Collier de Tourthon; Anneau de Brouce; Anneau Crustique; Bouclier du Captain Amakna; Ceinture du Strigide; Masque de Koutoulou; Cape au Logis; Bottes de Brouce; Dofus Ocre; Dofus Nébuleux; Dofus Pourpre; Enragé majeur; Vigoureux majeur; Forcené majeur; Kompost</t>
        </is>
      </c>
    </row>
    <row r="12778">
      <c r="A12778" t="inlineStr">
        <is>
          <t>tank</t>
        </is>
      </c>
      <c r="B12778">
        <f>HYPERLINK("https://www.dofusbook.net/fr/equipement/3565865-tank/objets", "link")</f>
        <v/>
      </c>
      <c r="C12778" t="n">
        <v>0</v>
      </c>
      <c r="D12778" t="inlineStr">
        <is>
          <t>Rod Gerse; Amulette de Pol Ouatnos; Alliance Gloursonne; Anneau Tique; Bouclier précieux; Ceinture du Barbétoal; Masque d'Anerice; Cape d'Anerice; Pataugastrique; Dofus Émeraude; Érudit majeur; Miraculé majeur; Nomade; Remueur; Dragodinde Prune et Orchidée</t>
        </is>
      </c>
    </row>
    <row r="12779">
      <c r="A12779" t="inlineStr">
        <is>
          <t>Sacrieur F 200</t>
        </is>
      </c>
      <c r="B12779">
        <f>HYPERLINK("https://www.dofusbook.net/fr/equipement/3558537-sacrieur-f-200/objets", "link")</f>
        <v/>
      </c>
      <c r="C12779" t="n">
        <v>2</v>
      </c>
      <c r="D12779" t="inlineStr">
        <is>
          <t>Dagues Lassay; Collier du Valet Veinard; Anneau d'Allister; Gant du Valet Veinard; Bouclier Taverne; Ceinture de Klime; Couronne d'Allister; Cape du Valet Veinard; Bottes d'Allister; Dofus Émeraude; Dofus Turquoise; Dofus Abyssal; Equilibriste majeur; Furibond majeur; Acrobate majeur; Kwaltess</t>
        </is>
      </c>
    </row>
    <row r="12780">
      <c r="A12780" t="inlineStr">
        <is>
          <t>cra korri chaloeuil</t>
        </is>
      </c>
      <c r="B12780">
        <f>HYPERLINK("https://www.dofusbook.net/fr/equipement/3525301-cra-korri-chaloeuil/objets", "link")</f>
        <v/>
      </c>
      <c r="C12780" t="n">
        <v>2</v>
      </c>
      <c r="D12780" t="inlineStr">
        <is>
          <t>Hache du Chalœil; Amulette du Strigide; Bracelet du Piloztère; Alliance Gloursonne; Quatre-feuilles; Ceintacé; Coiffe du Lévitrof; Voile d'encre; Bottes du Strigide; Dofus Turquoise; Dofus Ocre; Dolmanax; Dofus Pourpre; Nomade; Vigoureux majeur; Kramkram</t>
        </is>
      </c>
    </row>
    <row r="12781">
      <c r="A12781" t="inlineStr">
        <is>
          <t>farm korri</t>
        </is>
      </c>
      <c r="B12781">
        <f>HYPERLINK("https://www.dofusbook.net/fr/equipement/3525261-farm-korri/objets", "link")</f>
        <v/>
      </c>
      <c r="C12781" t="n">
        <v>3</v>
      </c>
      <c r="D12781" t="inlineStr">
        <is>
          <t>Sabres d'Atcham; Amulette du Strigide; Bracelet du Piloztère; Alliance Gloursonne; Quatre-feuilles; Ceintacé; Chapeau des Malveilleurs; Voile d'encre; Bottes du Strigide; Dofus Pourpre; Dofus Ocre; Dolmanax; Nomade; Vigoureux majeur; Enragé majeur; Kramkram</t>
        </is>
      </c>
    </row>
    <row r="12782">
      <c r="A12782" t="inlineStr">
        <is>
          <t>agi-ret pa</t>
        </is>
      </c>
      <c r="B12782">
        <f>HYPERLINK("https://www.dofusbook.net/fr/equipement/3504617-agi-ret-pa/objets", "link")</f>
        <v/>
      </c>
      <c r="C12782" t="n">
        <v>5</v>
      </c>
      <c r="D12782" t="inlineStr">
        <is>
          <t>Manthache; Collier du Valet Veinard; Anneau Crustique; Alliance Gloursonne; Bouclier du Mont Kipou; Menoture; Masque d'Anerice; Cape d'Anerice; Sandales de Tal Kasha; Dofus Abyssal; Dofus Ocre; Dolmanax; Étourdisseur majeur; Miraculé majeur; Engourdisseur majeur; Muldo Ebène</t>
        </is>
      </c>
    </row>
    <row r="12783">
      <c r="A12783" t="inlineStr">
        <is>
          <t>copie elise</t>
        </is>
      </c>
      <c r="B12783">
        <f>HYPERLINK("https://www.dofusbook.net/fr/equipement/3509610-copie-elise/objets", "link")</f>
        <v/>
      </c>
      <c r="C12783" t="n">
        <v>0</v>
      </c>
      <c r="D12783" t="inlineStr">
        <is>
          <t>Héqache; Amulette du Strigide; Anneau du Cycloïde; Alliance Brûlâme; Bouclier Taverne; Ceintouse; Coiffe de la Reine des Voleurs; Cape du Kamasterisk; Bottes du Strigide; Dofus Pourpre; Dofus Ocre; Enragé majeur; Vigoureux majeur; Remueur; Nomade</t>
        </is>
      </c>
    </row>
    <row r="12784">
      <c r="A12784" t="inlineStr">
        <is>
          <t>Ecaflip M 200</t>
        </is>
      </c>
      <c r="B12784">
        <f>HYPERLINK("https://www.dofusbook.net/fr/equipement/3509188-ecaflip-m-200/objets", "link")</f>
        <v/>
      </c>
      <c r="C12784" t="n">
        <v>2</v>
      </c>
      <c r="D12784" t="inlineStr">
        <is>
          <t>Arc de Koutoulou; Amulette Volkorne; Bracelet du Piloztère; Anneau Volkorne; Bouclier du Stalak; Ceinture Volkorne; Casque Volkorne; Dofusteuse; Bottes du Strigide; Dofus Ocre; Dofus Ivoire; Dolmanax; Dofus Nébuleux; Dofus Pourpre; Dofus Abyssal; Volkorne Pourpre et Ebène</t>
        </is>
      </c>
    </row>
    <row r="12785">
      <c r="A12785" t="inlineStr">
        <is>
          <t>agi</t>
        </is>
      </c>
      <c r="B12785">
        <f>HYPERLINK("https://www.dofusbook.net/fr/equipement/3504747-agi/objets", "link")</f>
        <v/>
      </c>
      <c r="C12785" t="n">
        <v>1</v>
      </c>
      <c r="D12785" t="inlineStr">
        <is>
          <t>Manthache; Collier du Valet Veinard; Alliance Gloursonne; Gant du Valet Veinard; Bouclier du Mont Kipou; Menoture; Casque Dragoeuf; Cape du Barbétoal; Palmes Trithons; Miraculé majeur; Nomade; Carapace Feu majeur; Paralyseur majeur; Remueur; Étourdisseur majeur; Croum</t>
        </is>
      </c>
    </row>
    <row r="12786">
      <c r="A12786" t="inlineStr">
        <is>
          <t>eau agi</t>
        </is>
      </c>
      <c r="B12786">
        <f>HYPERLINK("https://www.dofusbook.net/fr/equipement/2764295-eau-agi/objets", "link")</f>
        <v/>
      </c>
      <c r="C12786" t="n">
        <v>2</v>
      </c>
      <c r="D12786" t="inlineStr">
        <is>
          <t>Arc de Koutoulou; Amulette d'Ilyzaelle; Anneau Tique; Alliance Gloursonne; Sept ans de malheur; Ceinture du Barbétoal; Casque d'Ilyzaelle; Chevelure de Tal Kasha; Bottes de la Reine des Voleurs; Dofus Ocre; Dofus Abyssal; Carapace Air majeur; Étourdisseur majeur; Remueur; Carapace Eau majeur; Muldo Ebène et Indigo</t>
        </is>
      </c>
    </row>
    <row r="12787">
      <c r="A12787" t="inlineStr">
        <is>
          <t>Eau-agi - bis</t>
        </is>
      </c>
      <c r="B12787">
        <f>HYPERLINK("https://www.dofusbook.net/fr/equipement/3504173-eau-agi---bis/objets", "link")</f>
        <v/>
      </c>
      <c r="C12787" t="n">
        <v>1</v>
      </c>
      <c r="D12787" t="inlineStr">
        <is>
          <t>Arc Nécrotique; Talisman Igans; Anneau Tique; Alliance Gloursonne; Bouclier cubiste; Ceintrigue; Kidibonnet; Cape de la Dame du Hasard; Sabots de Vortex; Dofus Abyssal; Dofus des Glaces; Cavaleur majeur; Sanguinaire majeur; Remueur; Miraculé majeur; Muldo Orchidée et Pourpre</t>
        </is>
      </c>
    </row>
    <row r="12788">
      <c r="A12788" t="inlineStr">
        <is>
          <t>eau/agi</t>
        </is>
      </c>
      <c r="B12788">
        <f>HYPERLINK("https://www.dofusbook.net/fr/equipement/3475765-eau-agi/objets", "link")</f>
        <v/>
      </c>
      <c r="C12788" t="n">
        <v>0</v>
      </c>
      <c r="D12788" t="inlineStr">
        <is>
          <t>Arc de Koutoulou; Amulette Luminescente; Alliance Brûlâme; Alliance Gloursonne; Bouclier du Stalak; Ceinture du Barbétoal; Masque du Barbétoal; Cape du Barbétoal; Bottes des Malveilleurs; Dofus Pourpre; Dofus Abyssal; Dofus Ocre; Dofus Émeraude; Dofus des Glaces; Robuste majeur; Muldo Ebène et Indigo</t>
        </is>
      </c>
    </row>
    <row r="12789">
      <c r="A12789" t="inlineStr">
        <is>
          <t>Eniripsa F 200</t>
        </is>
      </c>
      <c r="B12789">
        <f>HYPERLINK("https://www.dofusbook.net/fr/equipement/3469111-eniripsa-f-200/objets", "link")</f>
        <v/>
      </c>
      <c r="C12789" t="n">
        <v>3</v>
      </c>
      <c r="D12789" t="inlineStr">
        <is>
          <t>Arc Nécrotique; Amulette Cryochrone; Anneau Cryochrone; Anneau Kturne; Ceintrigue; Coiffe Cryochrone; Cape de Théodoran Ax; Bottes Owesli; Dofus Turquoise; Dofus Ocre; Dofus Pourpre</t>
        </is>
      </c>
    </row>
    <row r="12790">
      <c r="A12790" t="inlineStr">
        <is>
          <t>Roublard F 200</t>
        </is>
      </c>
      <c r="B12790">
        <f>HYPERLINK("https://www.dofusbook.net/fr/equipement/3467353-roublard-f-200/objets", "link")</f>
        <v/>
      </c>
      <c r="C12790" t="n">
        <v>3</v>
      </c>
      <c r="D12790" t="inlineStr">
        <is>
          <t>Mourtheau; Amulette du Royalmouth; Bague Moutheuze; Anneau Moutheur; Ceinture du Royalmouth; Coiffe du Royalmouth; Cape Mouthante; Bottes du Royalmouth; Dofus Cawotte; Givrefoux</t>
        </is>
      </c>
    </row>
    <row r="12791">
      <c r="A12791" t="inlineStr">
        <is>
          <t>stuff 2.45</t>
        </is>
      </c>
      <c r="B12791">
        <f>HYPERLINK("https://www.dofusbook.net/fr/equipement/2555048-stuff-2-45/objets", "link")</f>
        <v/>
      </c>
      <c r="C12791" t="n">
        <v>3</v>
      </c>
      <c r="D12791" t="inlineStr">
        <is>
          <t>Héqache; Amulette du Strigide; Alliance Gloursonne; Bracelet du Piloztère; Quatre-feuilles; Ceinture du Strigide; Chapoulpe; Cape du Kamasterisk; Baleinabottes; Dofus Ocre; Dofus Turquoise; Dofus Pourpre; Enragé majeur; Vigoureux majeur; Cascadeur majeur; Muldo Ebène et Indigo</t>
        </is>
      </c>
    </row>
    <row r="12792">
      <c r="A12792" t="inlineStr">
        <is>
          <t>ine/agi</t>
        </is>
      </c>
      <c r="B12792">
        <f>HYPERLINK("https://www.dofusbook.net/fr/equipement/1867021-ine-agi/objets", "link")</f>
        <v/>
      </c>
      <c r="C12792" t="n">
        <v>3</v>
      </c>
      <c r="D12792" t="inlineStr">
        <is>
          <t>Baguette Range; Amulette du Strigide; Anneau de Padgref; Anneau Rifique; Quatre-feuilles; Ceinture du Strigide; Coiffe de Padgref; Cape des Malveilleurs; Getas de Padgref; Dofus Pourpre; Dofus Abyssal; Dofus Ocre; Dofus Ivoire; Dofus Turquoise; Dofus des Glaces; Muldo Indigo et Pourpre</t>
        </is>
      </c>
    </row>
    <row r="12793">
      <c r="A12793" t="inlineStr">
        <is>
          <t>allist air</t>
        </is>
      </c>
      <c r="B12793">
        <f>HYPERLINK("https://www.dofusbook.net/fr/equipement/3334060-allist-air/objets", "link")</f>
        <v/>
      </c>
      <c r="C12793" t="n">
        <v>9</v>
      </c>
      <c r="D12793" t="inlineStr">
        <is>
          <t>Manthache; Collier du Valet Veinard; Anneau d'Allister; Gant du Valet Veinard; Cadran d'Air; Ceinture de Klime; Couronne d'Allister; Cape du Valet Veinard; Bottes d'Allister; Dofus Abyssal; Dofus Émeraude; Dofus Ocre; Dolmanax; Dofus des Glaces; Dofus Pourpre; Muldo Orchidée et Pourpre</t>
        </is>
      </c>
    </row>
    <row r="12794">
      <c r="A12794" t="inlineStr">
        <is>
          <t>Ecaflip M 200</t>
        </is>
      </c>
      <c r="B12794">
        <f>HYPERLINK("https://www.dofusbook.net/fr/equipement/3414561-ecaflip-m-200/objets", "link")</f>
        <v/>
      </c>
      <c r="C12794" t="n">
        <v>1</v>
      </c>
      <c r="D12794" t="inlineStr">
        <is>
          <t>Arc de Koutoulou; Amulette du Strigide; Bracelet du Piloztère; Alliance Brûlâme; Bouclier du Stalak; Ceinture du Strigide; Casque d'Ilyzaelle; Cape Luminescente; Bottes du Strigide; Dofus Ivoire; Dolmanax; Dofus Nébuleux; Dofus Pourpre; Dofus Abyssal; Dofus Ocre; Muldo Ebène et Indigo</t>
        </is>
      </c>
    </row>
    <row r="12795">
      <c r="A12795" t="inlineStr">
        <is>
          <t>cancer</t>
        </is>
      </c>
      <c r="B12795">
        <f>HYPERLINK("https://www.dofusbook.net/fr/equipement/3373266-cancer/objets", "link")</f>
        <v/>
      </c>
      <c r="C12795" t="n">
        <v>5</v>
      </c>
      <c r="D12795" t="inlineStr">
        <is>
          <t>Plumeau Bil; Amulette de Nileza; Bague Gloursonne; Anneau Tique; Sept ans de malheur; Ceinture de Vortex; Coiffe Séculaire; Cape de Nileza; Pataugastrique; Dofus Ivoire; Érudit majeur; Carapace Neutre majeur; Temporiseur majeur; Remueur; Étourdisseur majeur; Muldo Orchidée et Pourpre</t>
        </is>
      </c>
    </row>
    <row r="12796">
      <c r="A12796" t="inlineStr">
        <is>
          <t>Malve</t>
        </is>
      </c>
      <c r="B12796">
        <f>HYPERLINK("https://www.dofusbook.net/fr/equipement/3364810-malve/objets", "link")</f>
        <v/>
      </c>
      <c r="C12796" t="n">
        <v>2</v>
      </c>
      <c r="D12796" t="inlineStr">
        <is>
          <t>Arc Nécrotique; Amulette de l'Œil Putride; Anneau Tique; Alliance Gloursonne; Quatre-feuilles; Ceintacé; Chapeau des Malveilleurs; Cape des Malveilleurs; Bottes des Malveilleurs; Dofus Ivoire; Dolmanax; Dofus des Glaces; Dofus Pourpre; Dofus Abyssal; Dofus Ocre; Muldo Orchidée</t>
        </is>
      </c>
    </row>
    <row r="12797">
      <c r="A12797" t="inlineStr">
        <is>
          <t>test 1</t>
        </is>
      </c>
      <c r="B12797">
        <f>HYPERLINK("https://www.dofusbook.net/fr/equipement/3346079-test-1/objets", "link")</f>
        <v/>
      </c>
      <c r="C12797" t="n">
        <v>2</v>
      </c>
      <c r="D12797" t="inlineStr">
        <is>
          <t>Arc de Koutoulou; Amulette du Strigide; Bracelet du Piloztère; Alliance Gloursonne; Bouclier du Stalak; Ceinture Luminescente; Masque du Barbétoal; Cape Luminescente; Bottes du Cycloïde; Dofus Pourpre; Dofus Ocre; Vigoureux majeur; Nomade; Robuste majeur; Remueur; Kwaltess</t>
        </is>
      </c>
    </row>
    <row r="12798">
      <c r="A12798" t="inlineStr">
        <is>
          <t>chaloeuil</t>
        </is>
      </c>
      <c r="B12798">
        <f>HYPERLINK("https://www.dofusbook.net/fr/equipement/2186773-chaloeuil/objets", "link")</f>
        <v/>
      </c>
      <c r="C12798" t="n">
        <v>10</v>
      </c>
      <c r="D12798" t="inlineStr">
        <is>
          <t>Hache du Chalœil; Amulette du Strigide; Bracelet du Piloztère; Alliance Gloursonne; Bouclier du Stalak; Ceintacé; Coiffe du Lévitrof; Voile d'encre; Bottes du Lévitrof; Dofus Abyssal; Dolmanax; Dofus Pourpre; Miraculé majeur; Nomade; Remueur; Muldo Indigo et Orchidée</t>
        </is>
      </c>
    </row>
    <row r="12799">
      <c r="A12799" t="inlineStr">
        <is>
          <t>eau agi</t>
        </is>
      </c>
      <c r="B12799">
        <f>HYPERLINK("https://www.dofusbook.net/fr/equipement/3319000-eau-agi/objets", "link")</f>
        <v/>
      </c>
      <c r="C12799" t="n">
        <v>3</v>
      </c>
      <c r="D12799" t="inlineStr">
        <is>
          <t>Arc de Koutoulou; Amulette du Strigide; Anneau de Padgref; Alliance Gloursonne; Quatre-feuilles; Ceinture du Strigide; Némès de Tal Kasha; Chevelure de Tal Kasha; Sandales de Tal Kasha; Dofus Ivoire; Dofus Abyssal; Dofus Nébuleux; Dofus des Glaces; Dolmanax; Dofus Ocre; Muldo Prune et Emeraude</t>
        </is>
      </c>
    </row>
    <row r="12800">
      <c r="A12800" t="inlineStr">
        <is>
          <t>eau-agi barbé</t>
        </is>
      </c>
      <c r="B12800">
        <f>HYPERLINK("https://www.dofusbook.net/fr/equipement/3329767-eau-agi-barbe/objets", "link")</f>
        <v/>
      </c>
      <c r="C12800" t="n">
        <v>0</v>
      </c>
      <c r="D12800" t="inlineStr">
        <is>
          <t>Arc de Koutoulou; Gant du Valet Veinard; Alliance Gloursonne; Bouclier du Stalak; Menoture; Cape du Barbétoal; Bottes de la Reine des Voleurs; Dofus Pourpre; Dofus des Glaces; Cascadeur majeur; Vigoureux majeur; Chanceux majeur; Remueur; Muldo Ebène et Orchidée</t>
        </is>
      </c>
    </row>
    <row r="12801">
      <c r="A12801" t="inlineStr">
        <is>
          <t>Roublard F 200</t>
        </is>
      </c>
      <c r="B12801">
        <f>HYPERLINK("https://www.dofusbook.net/fr/equipement/3322420-roublard-f-200/objets", "link")</f>
        <v/>
      </c>
      <c r="C12801" t="n">
        <v>2</v>
      </c>
      <c r="D12801" t="inlineStr">
        <is>
          <t>Manthache; Collier du Valet Veinard; Gant du Valet Veinard; Anneau d'Allister; Bouclier du Stalak; Menoture; Couronne d'Allister; Cape du Valet Veinard; Bottes d'Allister; Dofus des Glaces; Dolmanax; Dofus Pourpre; Dofus Abyssal; Dofus Ocre; Equilibriste majeur; Muldo Ebène et Orchidée</t>
        </is>
      </c>
    </row>
    <row r="12802">
      <c r="A12802" t="inlineStr">
        <is>
          <t>Force Intel 11/6</t>
        </is>
      </c>
      <c r="B12802">
        <f>HYPERLINK("https://www.dofusbook.net/fr/equipement/2296444-force-intel-11-6/objets", "link")</f>
        <v/>
      </c>
      <c r="C12802" t="n">
        <v>1</v>
      </c>
      <c r="D12802" t="inlineStr">
        <is>
          <t>Arc du Chalœil; Amulette du Strigide; Bague Gloursonne; Anneau Crustique; Bouclier du Captain Amakna; Ceintacé; Casque de Missiz Frizz; Cape au Logis; Bottes du Strigide; Dofus Turquoise; Dofus Ocre; Dofus Pourpre; Forcené majeur; Vigoureux majeur; Enragé majeur; Kompost</t>
        </is>
      </c>
    </row>
    <row r="12803">
      <c r="A12803" t="inlineStr">
        <is>
          <t>terre feu</t>
        </is>
      </c>
      <c r="B12803">
        <f>HYPERLINK("https://www.dofusbook.net/fr/equipement/2765098-terre-feu/objets", "link")</f>
        <v/>
      </c>
      <c r="C12803" t="n">
        <v>1</v>
      </c>
      <c r="D12803" t="inlineStr">
        <is>
          <t>Marteau R'ture; Collier de Tourthon; Anneau Crustique; Anneau de Brouce; Bouclier du Captain Amakna; Ceinture de Brouce; Chapoulpe; Voile d'encre; Bottes de Brouce; Dofus Nébuleux; Dofus Turquoise; Dolmanax; Dofus Ocre; Dofus Abyssal; Dofus Pourpre; Kwaltess</t>
        </is>
      </c>
    </row>
    <row r="12804">
      <c r="A12804" t="inlineStr">
        <is>
          <t>Enutrof M 200</t>
        </is>
      </c>
      <c r="B12804">
        <f>HYPERLINK("https://www.dofusbook.net/fr/equipement/3275473-enutrof-m-200/objets", "link")</f>
        <v/>
      </c>
      <c r="C12804" t="n">
        <v>1</v>
      </c>
      <c r="D12804" t="inlineStr">
        <is>
          <t>Baguette Hique; Amulette de Shokkoth; Alliance Gloursonne; Pikano; Bouclier cubiste; Ceinture Glaciale; Kidibonnet; Cape de Meno; Bottes de Meno; Temporiseur; Remueur; Entraveur; Temporiseur majeur; Entraveur majeur; Ralentisseur majeur; Muldo Prune et Emeraude</t>
        </is>
      </c>
    </row>
    <row r="12805">
      <c r="A12805" t="inlineStr">
        <is>
          <t>anerice</t>
        </is>
      </c>
      <c r="B12805">
        <f>HYPERLINK("https://www.dofusbook.net/fr/equipement/3185776-anerice/objets", "link")</f>
        <v/>
      </c>
      <c r="C12805" t="n">
        <v>0</v>
      </c>
      <c r="D12805" t="inlineStr">
        <is>
          <t>Arc corrompu; Amulette de Pol Ouatnos; Alliance Gloursonne; Bracelet du Piloztère; Ceintacé; Masque d'Anerice; Cape d'Anerice; Bottes de l'Indicible</t>
        </is>
      </c>
    </row>
    <row r="12806">
      <c r="A12806" t="inlineStr">
        <is>
          <t>ert</t>
        </is>
      </c>
      <c r="B12806">
        <f>HYPERLINK("https://www.dofusbook.net/fr/equipement/2564389-ert/objets", "link")</f>
        <v/>
      </c>
      <c r="C12806" t="n">
        <v>1</v>
      </c>
      <c r="D12806" t="inlineStr">
        <is>
          <t>Epée Gloursonne; Amulette du Strigide; Bague Gloursonne; Alliance Gloursonne; Ceinture du Strigide; Coiffe de la Reine des Voleurs; Cape du Kamasterisk; Bottes du Strigide; Dofus Turquoise; Dofus Émeraude; Dofus Pourpre; Muldo Doré</t>
        </is>
      </c>
    </row>
    <row r="12807">
      <c r="A12807" t="inlineStr">
        <is>
          <t>requine</t>
        </is>
      </c>
      <c r="B12807">
        <f>HYPERLINK("https://www.dofusbook.net/fr/equipement/3126892-requine/objets", "link")</f>
        <v/>
      </c>
      <c r="C12807" t="n">
        <v>1</v>
      </c>
      <c r="D12807" t="inlineStr">
        <is>
          <t>Epée Gloursonne; Amulette du Strigide; Bague Gloursonne; Alliance Gloursonne; Quatre-feuilles; Ceinture du Strigide; Casque de Missiz Frizz; Cape du Professeur Xa; Bottes du Strigide; Dofus Pourpre; Dofus Turquoise; Dofus Émeraude; Puissant majeur; Furibond majeur; Savant majeur; Muldo Prune et Emeraude</t>
        </is>
      </c>
    </row>
    <row r="12808">
      <c r="A12808" t="inlineStr">
        <is>
          <t>terre/agi</t>
        </is>
      </c>
      <c r="B12808">
        <f>HYPERLINK("https://www.dofusbook.net/fr/equipement/3125972-terre-agi/objets", "link")</f>
        <v/>
      </c>
      <c r="C12808" t="n">
        <v>0</v>
      </c>
      <c r="D12808" t="inlineStr">
        <is>
          <t>Ceintouse; Chapoulpe; Tentassons</t>
        </is>
      </c>
    </row>
    <row r="12809">
      <c r="A12809" t="inlineStr">
        <is>
          <t>terre - eau</t>
        </is>
      </c>
      <c r="B12809">
        <f>HYPERLINK("https://www.dofusbook.net/fr/equipement/2770963-terre---eau/objets", "link")</f>
        <v/>
      </c>
      <c r="C12809" t="n">
        <v>1</v>
      </c>
      <c r="D12809" t="inlineStr">
        <is>
          <t>Dagues Açantes; Amulette Luminescente; Pikano; Alliance Gloursonne; Bouclier cubiste; Ceinture Luminescente; Casquipik; Cape Luminescente; Pikottes; Dofus Ocre; Dofus Pourpre; Entraveur majeur; Taquin majeur; Entraveur; Ralentisseur majeur; Muldo Indigo</t>
        </is>
      </c>
    </row>
    <row r="12810">
      <c r="A12810" t="inlineStr">
        <is>
          <t>atcham</t>
        </is>
      </c>
      <c r="B12810">
        <f>HYPERLINK("https://www.dofusbook.net/fr/equipement/2895457-atcham/objets", "link")</f>
        <v/>
      </c>
      <c r="C12810" t="n">
        <v>1</v>
      </c>
      <c r="D12810" t="inlineStr">
        <is>
          <t>Sabres d'Atcham; Amulette du Strigide; Bracelet du Piloztère; Alliance Gloursonne; Bouclier du Stalak; Ceinture de Vortex; Chapeau des Malveilleurs; Cape d'Atcham; Pataugastrique; Dofus des Glaces; Dofus Abyssal; Dolmanax; Dofus Pourpre; Nomade; Remueur; Kramkram</t>
        </is>
      </c>
    </row>
    <row r="12811">
      <c r="A12811" t="inlineStr">
        <is>
          <t>Stuff 1</t>
        </is>
      </c>
      <c r="B12811">
        <f>HYPERLINK("https://www.dofusbook.net/fr/equipement/176552-stuff-1/objets", "link")</f>
        <v/>
      </c>
      <c r="C12811" t="n">
        <v>0</v>
      </c>
      <c r="D12811" t="inlineStr">
        <is>
          <t>Arc de Koutoulou; Amulette du Strigide; Bracelet du Piloztère; Alliance Brûlâme; Ceinture du Strigide; Casque d'Ilyzaelle; Cape Luminescente; Bottes de la Reine des Voleurs; Dofus des Glaces; Dofus Pourpre; Dofus Ocre; Nomade; Vigoureux majeur; Remueur; Kwaltess</t>
        </is>
      </c>
    </row>
    <row r="12812">
      <c r="A12812" t="inlineStr">
        <is>
          <t>eau intel terre</t>
        </is>
      </c>
      <c r="B12812">
        <f>HYPERLINK("https://www.dofusbook.net/fr/equipement/2836129-eau-intel-terre/objets", "link")</f>
        <v/>
      </c>
      <c r="C12812" t="n">
        <v>0</v>
      </c>
      <c r="D12812" t="inlineStr">
        <is>
          <t>Hache du Chalœil; Amulette du Strigide; Alliance Gloursonne; Bracelet du Piloztère; Quatre-feuilles; Ceinture de l'Esprit Salvateur; Coiffe du Lévitrof; Voile d'encre; Bottes du Lévitrof; Dofus Ocre; Dofus des Glaces; Dofus Pourpre; Vigoureux majeur; Nomade; Remueur; Kwaltess</t>
        </is>
      </c>
    </row>
    <row r="12813">
      <c r="A12813" t="inlineStr">
        <is>
          <t>terre eau intel</t>
        </is>
      </c>
      <c r="B12813">
        <f>HYPERLINK("https://www.dofusbook.net/fr/equipement/2836008-terre-eau-intel/objets", "link")</f>
        <v/>
      </c>
      <c r="C12813" t="n">
        <v>0</v>
      </c>
      <c r="D12813" t="inlineStr">
        <is>
          <t>Hache du Chalœil; Amulette du Strigide; Chevalière du Roi Joueur; Alliance du Lévitrof; Bouclier du Stalak; Ceinture du Strigide; Masque Brûlâme; Cape Luminescente; Chaussons de Macrab; Dofus Ocre; Dolmanax; Dofus Pourpre; Vigoureux majeur; Nomade; Remueur; Kwaltess</t>
        </is>
      </c>
    </row>
    <row r="12814">
      <c r="A12814" t="inlineStr">
        <is>
          <t>eau intel</t>
        </is>
      </c>
      <c r="B12814">
        <f>HYPERLINK("https://www.dofusbook.net/fr/equipement/2774565-eau-intel/objets", "link")</f>
        <v/>
      </c>
      <c r="C12814" t="n">
        <v>3</v>
      </c>
      <c r="D12814" t="inlineStr">
        <is>
          <t>Arc Nécrotique; Talisman Igans; Anneau Toriété; Alliance Gloursonne; Bouclier du Stalak; Ceintrigue; Capuche de l'Œil Putride; Cape de la Dame du Hasard; Pataugastrique; Dofus Turquoise; Dofus Pourpre; Érudit majeur; Vigoureux majeur; Remueur; Chanceux majeur; Muldo Indigo et Orchidée</t>
        </is>
      </c>
    </row>
    <row r="12815">
      <c r="A12815" t="inlineStr">
        <is>
          <t>terre feu</t>
        </is>
      </c>
      <c r="B12815">
        <f>HYPERLINK("https://www.dofusbook.net/fr/equipement/2765097-terre-feu/objets", "link")</f>
        <v/>
      </c>
      <c r="C12815" t="n">
        <v>1</v>
      </c>
      <c r="D12815" t="inlineStr">
        <is>
          <t>Dagues Érhy; Amulette du Strigide; Bague Gloursonne; Anneau de Brouce; Ceinture du Strigide; Casque de Missiz Frizz; Cape du Professeur Xa; Bottes du Cycloïde; Dofus Turquoise; Dofus Pourpre; Dolmanax; Remueur; Vigoureux majeur; Nomade; Kwaltess</t>
        </is>
      </c>
    </row>
    <row r="12816">
      <c r="A12816" t="inlineStr">
        <is>
          <t>force</t>
        </is>
      </c>
      <c r="B12816">
        <f>HYPERLINK("https://www.dofusbook.net/fr/equipement/2753852-force/objets", "link")</f>
        <v/>
      </c>
      <c r="C12816" t="n">
        <v>0</v>
      </c>
      <c r="D12816" t="inlineStr">
        <is>
          <t>Marteau R'ture; Amulette Volcanique; Pikano; Chevalière du Roi Joueur; Bouclier cubiste; Ceintacé; Coiffe de la Fuji Givrefoux; Cape du Cœur Saignant; Bottes du Roi Joueur; Dofus Turquoise; Temporiseur; Remueur; Temporiseur majeur; Ralentisseur majeur; Entraveur majeur; Muldo Pourpre</t>
        </is>
      </c>
    </row>
    <row r="12817">
      <c r="A12817" t="inlineStr">
        <is>
          <t>ret pm</t>
        </is>
      </c>
      <c r="B12817">
        <f>HYPERLINK("https://www.dofusbook.net/fr/equipement/2747852-ret-pm/objets", "link")</f>
        <v/>
      </c>
      <c r="C12817" t="n">
        <v>4</v>
      </c>
      <c r="D12817" t="inlineStr">
        <is>
          <t>Marteau R'ture; Amulette du Strigide; Chevalière du Roi Joueur; Pikano; Bouclier cubiste; Ceinture Glaciale; Casquipik; Cape Matelassée; Pantoufles Émar; Fonceur majeur; Temporiseur majeur; Entraveur majeur; Nomade; Temporiseur; Remueur; Muldo Indigo et Pourpre</t>
        </is>
      </c>
    </row>
    <row r="12818">
      <c r="A12818" t="inlineStr">
        <is>
          <t>Terre</t>
        </is>
      </c>
      <c r="B12818">
        <f>HYPERLINK("https://www.dofusbook.net/fr/equipement/2740316-terre/objets", "link")</f>
        <v/>
      </c>
      <c r="C12818" t="n">
        <v>0</v>
      </c>
      <c r="D12818" t="inlineStr">
        <is>
          <t>Marteau R'ture; Collier de Tourthon; Bague Gloursonne; Anneau Crustique; Quatre-feuilles; Ceinture du Strigide; Masque Brûlâme; Voile d'encre; Bottes du Strigide; Dofus Pourpre; Dofus Ocre; Remueur; Enragé majeur; Vigoureux majeur; Nomade; Kwaltess</t>
        </is>
      </c>
    </row>
    <row r="12819">
      <c r="A12819" t="inlineStr">
        <is>
          <t>ine-cha</t>
        </is>
      </c>
      <c r="B12819">
        <f>HYPERLINK("https://www.dofusbook.net/fr/equipement/2732476-ine-cha/objets", "link")</f>
        <v/>
      </c>
      <c r="C12819" t="n">
        <v>0</v>
      </c>
      <c r="D12819" t="inlineStr">
        <is>
          <t>Arc Nécrotique; Talisman Igans; Anneau Cryochrone; Alliance Gloursonne; Bouclier du Stalak; Ceintrigue; Casqnoar; Cape de Théodoran Ax; Pataugastrique; Dofus Pourpre; Dofus Turquoise; Chanceux majeur; Nomade; Vigoureux majeur; Remueur; Muldo Indigo et Orchidée</t>
        </is>
      </c>
    </row>
    <row r="12820">
      <c r="A12820" t="inlineStr">
        <is>
          <t>eau agi intel</t>
        </is>
      </c>
      <c r="B12820">
        <f>HYPERLINK("https://www.dofusbook.net/fr/equipement/2685790-eau-agi-intel/objets", "link")</f>
        <v/>
      </c>
      <c r="C12820" t="n">
        <v>0</v>
      </c>
      <c r="D12820" t="inlineStr">
        <is>
          <t>Sabres d'Atcham; Amulette du Strigide; Bracelet du Piloztère; Alliance Gloursonne; Bouclier Taverne; Ceinture du Barbétoal; Casque du Chalœil; Cape des Malveilleurs; Sandales  d'Atcham; Dofus Pourpre; Dofus Ocre; Vigoureux majeur; Nomade; Miraculé majeur; Remueur; Kwaltess</t>
        </is>
      </c>
    </row>
    <row r="12821">
      <c r="A12821" t="inlineStr">
        <is>
          <t>res</t>
        </is>
      </c>
      <c r="B12821">
        <f>HYPERLINK("https://www.dofusbook.net/fr/equipement/2648374-res/objets", "link")</f>
        <v/>
      </c>
      <c r="C12821" t="n">
        <v>2</v>
      </c>
      <c r="D12821" t="inlineStr">
        <is>
          <t>Rod Gerse; Amulette de Nileza; Anneau de XLII; Alliance Gloursonne; Ceinture de XLII; Coiffe d'Aermyne; Voile d'encre; Pantoufles Émar; Chanceux majeur; Miraculé majeur; Enragé majeur; Nomade; Cascadeur majeur; Remueur; Muldo Indigo et Pourpre</t>
        </is>
      </c>
    </row>
    <row r="12822">
      <c r="A12822" t="inlineStr">
        <is>
          <t>Ret pm</t>
        </is>
      </c>
      <c r="B12822">
        <f>HYPERLINK("https://www.dofusbook.net/fr/equipement/641497-ret-pm/objets", "link")</f>
        <v/>
      </c>
      <c r="C12822" t="n">
        <v>0</v>
      </c>
      <c r="D12822" t="inlineStr">
        <is>
          <t>Arc Hétype; Amulette Volcanique; Anneau Tamie; Anneau Tamie; Bouclier cubiste; Ceinture de Kongoku; Capuche de l'Œil Putride; Cape de l'Œil Putride; Pantoufles Émar; Entraveur majeur; Remueur; Ralentisseur majeur; Temporiseur; Entraveur; Temporiseur majeur; Muldo Ebène et Pourpre</t>
        </is>
      </c>
    </row>
    <row r="12823">
      <c r="A12823" t="inlineStr">
        <is>
          <t>test 2.45</t>
        </is>
      </c>
      <c r="B12823">
        <f>HYPERLINK("https://www.dofusbook.net/fr/equipement/2492243-test-2-45/objets", "link")</f>
        <v/>
      </c>
      <c r="C12823" t="n">
        <v>0</v>
      </c>
      <c r="D12823" t="inlineStr">
        <is>
          <t>Héqache; Amulette du Strigide; Anneau des égarés; Bracelet du Piloztère; Bouclier du Captain Amakna; Ceintouse; Coiffe de la Reine des Voleurs; Cape du Kamasterisk; Bottes du Strigide; Dofus Turquoise; Dofus Pourpre; Dofus Ocre; Remueur; Vigoureux majeur; Nomade; Kwaltess</t>
        </is>
      </c>
    </row>
    <row r="12824">
      <c r="A12824" t="inlineStr">
        <is>
          <t>terre agi</t>
        </is>
      </c>
      <c r="B12824">
        <f>HYPERLINK("https://www.dofusbook.net/fr/equipement/2485332-terre-agi/objets", "link")</f>
        <v/>
      </c>
      <c r="C12824" t="n">
        <v>0</v>
      </c>
      <c r="D12824" t="inlineStr">
        <is>
          <t>Epée Gloursonne; Amulette du Kamasterisk; Bague Gloursonne; Alliance Gloursonne; Bouclier Taverne; Ceintouse; Chapoulpe; Cape du Kamasterisk; Tentassons; Dolmanax; Dofus Turquoise; Dofus des Glaces; Dofus Ocre; Dofus Émeraude; Dofus Pourpre; Muldo Indigo et Pourpre</t>
        </is>
      </c>
    </row>
    <row r="12825">
      <c r="A12825" t="inlineStr">
        <is>
          <t>eauAgi</t>
        </is>
      </c>
      <c r="B12825">
        <f>HYPERLINK("https://www.dofusbook.net/fr/equipement/2432772-eauagi/objets", "link")</f>
        <v/>
      </c>
      <c r="C12825" t="n">
        <v>0</v>
      </c>
      <c r="D12825" t="inlineStr">
        <is>
          <t>Marteau des Anciens Steamers; Pendentif Oton; Grésilanneau; Alliance Gloursonne; Ceinture Rasboulaire du Rasboul; Chapeau Potin; Cape Matelassée; Sandales Circulaires du Kimbo</t>
        </is>
      </c>
    </row>
    <row r="12826">
      <c r="A12826" t="inlineStr">
        <is>
          <t>kiri</t>
        </is>
      </c>
      <c r="B12826">
        <f>HYPERLINK("https://www.dofusbook.net/fr/equipement/2428161-kiri/objets", "link")</f>
        <v/>
      </c>
      <c r="C12826" t="n">
        <v>0</v>
      </c>
      <c r="D12826" t="inlineStr">
        <is>
          <t>Marteau Reine; Amulette Hendart; Bague Gloursonne; Gelano; Ceinture d'Ogivol; Coiffe d'Ogivol; Voile d'encre; Bottes de la Fuji Givrefoux; Dofus Turquoise; Vigoureux majeur; Miraculé majeur; Nomade; Enragé majeur; Remueur; Kwaltess</t>
        </is>
      </c>
    </row>
    <row r="12827">
      <c r="A12827" t="inlineStr">
        <is>
          <t>terre agi</t>
        </is>
      </c>
      <c r="B12827">
        <f>HYPERLINK("https://www.dofusbook.net/fr/equipement/2385574-terre-agi/objets", "link")</f>
        <v/>
      </c>
      <c r="C12827" t="n">
        <v>0</v>
      </c>
      <c r="D12827" t="inlineStr">
        <is>
          <t>Epée Gloursonne; Amulette du Strigide; Alliance Gloursonne; Bague Gloursonne; Quatre-feuilles; Ceintouse; Chapoulpe; Cape du Cœur Vaillant; Tentassons; Dofus des Glaces; Dofus Turquoise; Dolmanax; Dofus Ocre; Dofus Pourpre; Dofus Abyssal; Muldo Ebène et Pourpre</t>
        </is>
      </c>
    </row>
    <row r="12828">
      <c r="A12828" t="inlineStr">
        <is>
          <t>chaloeuil</t>
        </is>
      </c>
      <c r="B12828">
        <f>HYPERLINK("https://www.dofusbook.net/fr/equipement/2187053-chaloeuil/objets", "link")</f>
        <v/>
      </c>
      <c r="C12828" t="n">
        <v>0</v>
      </c>
      <c r="D12828" t="inlineStr">
        <is>
          <t>Hache du Chalœil; Amulette du Strigide; Alliance du Lévitrof; Alliance Gloursonne; Bouclier du Stalak; Ceintacé; Casque du Chalœil; Voile d'encre; Bottes du Chalœil; Dolmanax; Dofus Pourpre; Dofus Abyssal; Nomade; Remueur; Miraculé majeur; Muldo Indigo et Pourpre</t>
        </is>
      </c>
    </row>
    <row r="12829">
      <c r="A12829" t="inlineStr">
        <is>
          <t>test</t>
        </is>
      </c>
      <c r="B12829">
        <f>HYPERLINK("https://www.dofusbook.net/fr/equipement/1798741-test/objets", "link")</f>
        <v/>
      </c>
      <c r="C12829" t="n">
        <v>0</v>
      </c>
      <c r="D12829" t="inlineStr">
        <is>
          <t>Sabres d'Atcham; Amulette de l'Œil Putride; Bracelet du Piloztère; Alliance Gloursonne; Quatre-feuilles; Ceintrigue; Chapeau des Malveilleurs; Cape des Malveilleurs; Pataugastrique; Dofus Turquoise; Miraculé majeur; Nomade; Érudit majeur; Remueur; Chanceux majeur; Muldo Indigo et Orchidée</t>
        </is>
      </c>
    </row>
    <row r="12830">
      <c r="A12830" t="inlineStr">
        <is>
          <t>agi low cost</t>
        </is>
      </c>
      <c r="B12830">
        <f>HYPERLINK("https://www.dofusbook.net/fr/equipement/2078752-agi-low-cost/objets", "link")</f>
        <v/>
      </c>
      <c r="C12830" t="n">
        <v>0</v>
      </c>
      <c r="D12830" t="inlineStr">
        <is>
          <t>Pelle de la Cour Sombre; Amulette du Granduk; Anneau d'Allister; Alliance Gloursonne; Ceinture du Barbétoal; Couronne d'Allister; Cape Matelassée; Baleinabottes; Dofus Pourpre; Nomade; Fonceur majeur; Remueur; Miraculé majeur; Cascadeur majeur; Muldo Ebène</t>
        </is>
      </c>
    </row>
    <row r="12831">
      <c r="A12831" t="inlineStr">
        <is>
          <t>swak-noob</t>
        </is>
      </c>
      <c r="B12831">
        <f>HYPERLINK("https://www.dofusbook.net/fr/equipement/2069287-swak-noob/objets", "link")</f>
        <v/>
      </c>
      <c r="C12831" t="n">
        <v>1</v>
      </c>
      <c r="D12831" t="inlineStr">
        <is>
          <t>Baguette Hique; Amulette du Glourséleste; Anneau Tamie; Pikano; Ceinture Glaciale; Casquipik; Cape Matelassée; Pantoufles Émar; Miraculé majeur; Nomade; Temporiseur; Entraveur majeur; Remueur; Temporiseur majeur; Dragodinde Prune</t>
        </is>
      </c>
    </row>
    <row r="12832">
      <c r="A12832" t="inlineStr">
        <is>
          <t>terre/agi 11 pa ocre</t>
        </is>
      </c>
      <c r="B12832">
        <f>HYPERLINK("https://www.dofusbook.net/fr/equipement/1894562-terre-agi-11-pa-ocre/objets", "link")</f>
        <v/>
      </c>
      <c r="C12832" t="n">
        <v>2</v>
      </c>
      <c r="D12832" t="inlineStr">
        <is>
          <t>Héqache; Amulette du Strigide; Alliance Gloursonne; Bracelet du Piloztère; Quatre-feuilles; Ceinture du Strigide; Coiffe de la Reine des Voleurs; Cape du Kamasterisk; Baleinabottes; Dofus Ocre; Dolmanax; Dofus Nébuleux; Dofus Turquoise; Cascadeur majeur; Enragé majeur; Muldo Indigo et Orchidée</t>
        </is>
      </c>
    </row>
    <row r="12833">
      <c r="A12833" t="inlineStr">
        <is>
          <t>Xelor terre</t>
        </is>
      </c>
      <c r="B12833">
        <f>HYPERLINK("https://www.dofusbook.net/fr/equipement/325781-xelor-terre/objets", "link")</f>
        <v/>
      </c>
      <c r="C12833" t="n">
        <v>1</v>
      </c>
      <c r="D12833" t="inlineStr">
        <is>
          <t>Héqache; Amulette du Strigide; Alliance Gloursonne; Bracelet du Piloztère; Cadran d'Air; Ceinture du Strigide; Chapoulpe; Voile d'encre; Baleinabottes; Dofus Turquoise; Dofus Pourpre; Remueur; Carapace Terre majeur; Enragé majeur; Nomade; Kramkram</t>
        </is>
      </c>
    </row>
    <row r="12834">
      <c r="A12834" t="inlineStr">
        <is>
          <t>Stuff 3</t>
        </is>
      </c>
      <c r="B12834">
        <f>HYPERLINK("https://www.dofusbook.net/fr/equipement/559683-stuff-3/objets", "link")</f>
        <v/>
      </c>
      <c r="C12834" t="n">
        <v>0</v>
      </c>
      <c r="D12834" t="inlineStr">
        <is>
          <t>Héqache; Amulette du Strigide; Bracelet du Piloztère; Alliance Gloursonne; Bouclier du Stalak; Ceinture du Strigide; Coiffe de la Reine des Voleurs; Cape du Kamasterisk; Baleinabottes; Dofus Turquoise; Dofus Pourpre; Vigoureux majeur; Nomade; Remueur; Enragé majeur; Kramkram</t>
        </is>
      </c>
    </row>
    <row r="12835">
      <c r="A12835" t="inlineStr">
        <is>
          <t>Agi</t>
        </is>
      </c>
      <c r="B12835">
        <f>HYPERLINK("https://www.dofusbook.net/fr/equipement/1626076-agi/objets", "link")</f>
        <v/>
      </c>
      <c r="C12835" t="n">
        <v>7</v>
      </c>
      <c r="D12835" t="inlineStr">
        <is>
          <t>Manthache; Collier du Valet Veinard; Gant du Valet Veinard; Alliance Gloursonne; Bouclier du Stalak; Ceintouse; Chapoulpe; Cape du Valet Veinard; Tentassons; Dofus Pourpre; Dolmanax; Dofus Abyssal; Dofus Émeraude; Dofus des Glaces; Dofus Ocre; Muldo Ebène et Pourpre</t>
        </is>
      </c>
    </row>
    <row r="12836">
      <c r="A12836" t="inlineStr">
        <is>
          <t>zara-papy</t>
        </is>
      </c>
      <c r="B12836">
        <f>HYPERLINK("https://www.dofusbook.net/fr/equipement/1628557-zara-papy/objets", "link")</f>
        <v/>
      </c>
      <c r="C12836" t="n">
        <v>0</v>
      </c>
      <c r="D12836" t="inlineStr">
        <is>
          <t>Baguette Hique; Collier de la Dame du Hasard; Anneau de Nidas; Anneau Tamie; Ceinture Glaciale; Casquette de Meno; Cape de Meno; Pantoufles Émar; Dofus Pourpre; Remueur; Vigoureux majeur; Temporiseur; Temporiseur majeur; Entraveur majeur; Muldo Orchidée et Pourpre</t>
        </is>
      </c>
    </row>
    <row r="12837">
      <c r="A12837" t="inlineStr">
        <is>
          <t>pano classe</t>
        </is>
      </c>
      <c r="B12837">
        <f>HYPERLINK("https://www.dofusbook.net/fr/equipement/1675675-pano-classe/objets", "link")</f>
        <v/>
      </c>
      <c r="C12837" t="n">
        <v>0</v>
      </c>
      <c r="D12837" t="inlineStr">
        <is>
          <t>Pelle de la Cour Sombre; Amulette de Pol Ouatnos; Bague Gloursonne; Anneau Hell; Sangle Glinglin; Chapeau Grave; Cape Routh; Bottes Hox; Dokoko; Dofus des Glaces; Dofus Pourpre; Dofus Émeraude; Dofus Turquoise; Dofus Ocre; Muldo Ebène et Orchidée</t>
        </is>
      </c>
    </row>
    <row r="12838">
      <c r="A12838" t="inlineStr">
        <is>
          <t>tengu</t>
        </is>
      </c>
      <c r="B12838">
        <f>HYPERLINK("https://www.dofusbook.net/fr/equipement/1489863-tengu/objets", "link")</f>
        <v/>
      </c>
      <c r="C12838" t="n">
        <v>0</v>
      </c>
      <c r="D12838" t="inlineStr">
        <is>
          <t>Baguette Hernelle; Amulette de l'Obsidiantre; Gelano; Alliance Boletée; Ceinture de Soissanth; Coiffe de Tengu Givrefoux; Cape de Tengu Givrefoux; Bottes d'Otomaï; Dofus Cawotte; Nomade; Turbulent; Remueur; Vigoureux majeur; Érudit majeur; Dragodinde Prune et Emeraude</t>
        </is>
      </c>
    </row>
    <row r="12839">
      <c r="A12839" t="inlineStr">
        <is>
          <t>test</t>
        </is>
      </c>
      <c r="B12839">
        <f>HYPERLINK("https://www.dofusbook.net/fr/equipement/1348487-test/objets", "link")</f>
        <v/>
      </c>
      <c r="C12839" t="n">
        <v>3</v>
      </c>
      <c r="D12839" t="inlineStr">
        <is>
          <t>Marteau de Katrepat; Amulette du Strigide; Bracelet du Piloztère; Alliance Gloursonne; Bouclier du Stalak; Ceinture du Strigide; Casque du Chalœil; Voile d'encre; Baleinabottes; Dofus Turquoise; Dofus Pourpre; Enragé majeur; Vigoureux majeur; Nomade; Remueur; Muldo Doré</t>
        </is>
      </c>
    </row>
    <row r="12840">
      <c r="A12840" t="inlineStr">
        <is>
          <t>Zara</t>
        </is>
      </c>
      <c r="B12840">
        <f>HYPERLINK("https://www.dofusbook.net/fr/equipement/1182286-zara/objets", "link")</f>
        <v/>
      </c>
      <c r="C12840" t="n">
        <v>0</v>
      </c>
      <c r="D12840" t="inlineStr">
        <is>
          <t>Epée Toche; Amulette du Strigide; Bague Gloursonne; Bracelet du Piloztère; Ceinture du Strigide; Casque de Missiz Frizz; Cape du Professeur Xa; Bottes du Cycloïde; Dofus Pourpre; Dofus Turquoise; Nomade; Remueur; Vigoureux majeur; Enragé majeur; Kwaltess</t>
        </is>
      </c>
    </row>
    <row r="12841">
      <c r="A12841" t="inlineStr">
        <is>
          <t>Eau/agi</t>
        </is>
      </c>
      <c r="B12841">
        <f>HYPERLINK("https://www.dofusbook.net/fr/equipement/1080497-eau-agi/objets", "link")</f>
        <v/>
      </c>
      <c r="C12841" t="n">
        <v>2</v>
      </c>
      <c r="D12841" t="inlineStr">
        <is>
          <t>Marteau des Anciens Steamers; Amulette d'Hel Munster; Alliance Gloursonne; Bracelet du Piloztère; Ceinture du Barbétoal; Coiffe d'Hel Munster; Cape Matelassée; Baleinabottes; Dofus Pourpre; Chanceux majeur; Nomade; Cascadeur majeur; Remueur; Vigoureux majeur; Muldo Ebène et Indigo</t>
        </is>
      </c>
    </row>
    <row r="12842">
      <c r="A12842" t="inlineStr">
        <is>
          <t>eau</t>
        </is>
      </c>
      <c r="B12842">
        <f>HYPERLINK("https://www.dofusbook.net/fr/equipement/1080387-eau/objets", "link")</f>
        <v/>
      </c>
      <c r="C12842" t="n">
        <v>1</v>
      </c>
      <c r="D12842" t="inlineStr">
        <is>
          <t>Rapière aux Glyphes; Amulette de Danathor; Alliance Gloursonne; Alliance de Missiz Frizz; Ceinture Glaciale; Coiffe de Danathor; Cape Matelassée; Pantoufles Émar; Dofus Émeraude; Vigoureux majeur; Miraculé majeur; Nomade; Chanceux majeur; Remueur; Dragodinde Prune et Emeraude</t>
        </is>
      </c>
    </row>
    <row r="12843">
      <c r="A12843" t="inlineStr">
        <is>
          <t>eni eau/chance</t>
        </is>
      </c>
      <c r="B12843">
        <f>HYPERLINK("https://www.dofusbook.net/fr/equipement/1080319-eni-eau-chance/objets", "link")</f>
        <v/>
      </c>
      <c r="C12843" t="n">
        <v>0</v>
      </c>
      <c r="D12843" t="inlineStr">
        <is>
          <t>Masse Ossiale; Amulette Cryochrone; Bague Gloursonne; Anneau Cryochrone; Sangle Aise; Coiffe Séculaire; Cape de Théodoran Ax; Pantoufles Émar; Dofus Pourpre; Érudit majeur; Miraculé majeur; Nomade; Chanceux majeur; Remueur; Muldo Indigo et Orchidée</t>
        </is>
      </c>
    </row>
    <row r="12844">
      <c r="A12844" t="inlineStr">
        <is>
          <t>Intel</t>
        </is>
      </c>
      <c r="B12844">
        <f>HYPERLINK("https://www.dofusbook.net/fr/equipement/1072522-intel/objets", "link")</f>
        <v/>
      </c>
      <c r="C12844" t="n">
        <v>0</v>
      </c>
      <c r="D12844" t="inlineStr">
        <is>
          <t>Plumeau Bil; Pendentif mignon de Koutoulou; Anneau Tique; Bague Gloursonne; Ceinture Séculaire; Coiffe Séculaire; Cape de Nileza; Pataugastrique; Dofus Émeraude; Miraculé majeur; Remueur; Carapace Terre majeur; Érudit majeur; Nomade; Muldo Ebène et Pourpre</t>
        </is>
      </c>
    </row>
    <row r="12845">
      <c r="A12845" t="inlineStr">
        <is>
          <t>Stuff 1</t>
        </is>
      </c>
      <c r="B12845">
        <f>HYPERLINK("https://www.dofusbook.net/fr/equipement/176551-stuff-1/objets", "link")</f>
        <v/>
      </c>
      <c r="C12845" t="n">
        <v>4</v>
      </c>
      <c r="D12845" t="inlineStr">
        <is>
          <t>Pelle de la Cour Sombre; Amibou; Anneau de XLII; Alliance Gloursonne; Ceinture de XLII; Dorabysses; Cape Ortail; Baleinabottes; Dofus Turquoise; Nomade; Cascadeur majeur; Déserteur majeur; Remueur; Miraculé majeur; Muldo Ebène et Orchidée</t>
        </is>
      </c>
    </row>
    <row r="12846">
      <c r="A12846" t="inlineStr">
        <is>
          <t>sasa</t>
        </is>
      </c>
      <c r="B12846">
        <f>HYPERLINK("https://www.dofusbook.net/fr/equipement/555611-sasa/objets", "link")</f>
        <v/>
      </c>
      <c r="C12846" t="n">
        <v>1</v>
      </c>
      <c r="D12846" t="inlineStr">
        <is>
          <t>Hache du Minotoror; Collier du Minotoror; Anneau du Dragon Cochon; Anneau du Minotoror; Ceinture du Minotoror; Abracaska Ancestral; Cape du Minotoror; Bottes du Minotoror; Dragodinde Dorée</t>
        </is>
      </c>
    </row>
    <row r="12847">
      <c r="A12847" t="inlineStr">
        <is>
          <t>Panda Tacle</t>
        </is>
      </c>
      <c r="B12847">
        <f>HYPERLINK("https://www.dofusbook.net/fr/equipement/495112-panda-tacle/objets", "link")</f>
        <v/>
      </c>
      <c r="C12847" t="n">
        <v>1</v>
      </c>
      <c r="D12847" t="inlineStr">
        <is>
          <t>Épée d'Otomaï; Amulette du Strigide; Alliance Gloursonne; Anneau de Pol Ouatnos; Sangle Ouare; Chapeau des Malveilleurs; Cape des Malveilleurs; Bottarpille; Dofus Ocre; Obstructeur; Remueur; Bloqueur majeur; Obstructeur majeur; Tacleur majeur; Blokus</t>
        </is>
      </c>
    </row>
    <row r="12848">
      <c r="A12848" t="inlineStr">
        <is>
          <t>Test</t>
        </is>
      </c>
      <c r="B12848">
        <f>HYPERLINK("https://www.dofusbook.net/fr/equipement/425808-test/objets", "link")</f>
        <v/>
      </c>
      <c r="C12848" t="n">
        <v>3</v>
      </c>
      <c r="D12848" t="inlineStr">
        <is>
          <t>Dagues Érhy; Amulette du Strigide; Alliance Gloursonne; Bracelet du Piloztère; Ceinture du Strigide; Coiffe de la Reine des Voleurs; Cape au Logis; Baleinabottes; Dofus Pourpre; Dofus Émeraude; Vigoureux majeur; Remueur; Miraculé majeur; Nomade; Kramkram</t>
        </is>
      </c>
    </row>
    <row r="12849">
      <c r="A12849" t="inlineStr">
        <is>
          <t>Stuff 1</t>
        </is>
      </c>
      <c r="B12849">
        <f>HYPERLINK("https://www.dofusbook.net/fr/equipement/176539-stuff-1/objets", "link")</f>
        <v/>
      </c>
      <c r="C12849" t="n">
        <v>1</v>
      </c>
      <c r="D12849" t="inlineStr">
        <is>
          <t>Epée Gloursonne; Amulette du Strigide; Anneau Tique; Bracelet des Fonds marins; Ceintacé; Chapeau des Malveilleurs; Cape des Malveilleurs; Bottes de la Reine des Voleurs; Obstructeur; Nomade; Miraculé majeur; Remueur; Bloqueur majeur; Obstructeur majeur; Muldo Roux</t>
        </is>
      </c>
    </row>
    <row r="12850">
      <c r="A12850" t="inlineStr">
        <is>
          <t>Stuff 2</t>
        </is>
      </c>
      <c r="B12850">
        <f>HYPERLINK("https://www.dofusbook.net/fr/equipement/176549-stuff-2/objets", "link")</f>
        <v/>
      </c>
      <c r="C12850" t="n">
        <v>0</v>
      </c>
      <c r="D12850" t="inlineStr">
        <is>
          <t>Harpelle; Pendentif mignon de Koutoulou; Anneau Tique; Bague Gloursonne; Ceinture de Vortex; Casque Cyclopéen; Cape de Diondin; Bottes Innommables; Dofus Turquoise; Nomade; Carapace Terre majeur; Remueur; Astucieux majeur; Érudit majeur; Kramkram</t>
        </is>
      </c>
    </row>
    <row r="12851">
      <c r="A12851" t="inlineStr">
        <is>
          <t>Stuff 1</t>
        </is>
      </c>
      <c r="B12851">
        <f>HYPERLINK("https://www.dofusbook.net/fr/equipement/176544-stuff-1/objets", "link")</f>
        <v/>
      </c>
      <c r="C12851" t="n">
        <v>2</v>
      </c>
      <c r="D12851" t="inlineStr">
        <is>
          <t>Arc Hétype; Collier de la Dame du Hasard; Anneau Tamie; Anneau Tamie; Bouclier cubiste; Ceinture de Kongoku; Casquette de Meno; Cape de Meno; Pantoufles Émar; Fonceur majeur; Entraveur majeur; Temporiseur; Nomade; Temporiseur majeur; Remueur; Muldo Orchidée et Pourpre</t>
        </is>
      </c>
    </row>
    <row r="12852">
      <c r="A12852" t="inlineStr">
        <is>
          <t>Stuff 2</t>
        </is>
      </c>
      <c r="B12852">
        <f>HYPERLINK("https://www.dofusbook.net/fr/equipement/176546-stuff-2/objets", "link")</f>
        <v/>
      </c>
      <c r="C12852" t="n">
        <v>0</v>
      </c>
      <c r="D12852" t="inlineStr">
        <is>
          <t>Marteau Reine; Amulette du Strigide; Alliance Gloursonne; Bracelet du Piloztère; Ceintacé; Coiffe de la Reine des Voleurs; Voile d'encre; Bottes du Strigide; Dofus Turquoise; Dofus Pourpre; Vigoureux majeur; Nomade; Cascadeur majeur; Remueur; Muldo Ebène et Pourpre</t>
        </is>
      </c>
    </row>
    <row r="12853">
      <c r="A12853" t="inlineStr">
        <is>
          <t>Stuff 1</t>
        </is>
      </c>
      <c r="B12853">
        <f>HYPERLINK("https://www.dofusbook.net/fr/equipement/176541-stuff-1/objets", "link")</f>
        <v/>
      </c>
      <c r="C12853" t="n">
        <v>0</v>
      </c>
      <c r="D12853" t="inlineStr">
        <is>
          <t>Arc Hétype; Amulette Séculaire; Anneau Tamie; Bague Gloursonne; Sangle Aise; Coiffe Séculaire; Cape de Diondin; Bottes Innommables; Dofus des Glaces; Miraculé majeur; Érudit majeur; Dévastateur Feu majeur; Nomade; Remueur; Brûlih</t>
        </is>
      </c>
    </row>
    <row r="12854">
      <c r="A12854" t="inlineStr">
        <is>
          <t>Stuff 2</t>
        </is>
      </c>
      <c r="B12854">
        <f>HYPERLINK("https://www.dofusbook.net/fr/equipement/176553-stuff-2/objets", "link")</f>
        <v/>
      </c>
      <c r="C12854" t="n">
        <v>0</v>
      </c>
      <c r="D12854" t="inlineStr">
        <is>
          <t>Dague Adou; Amulette du Strigide; Alliance Gloursonne; Anneau de Brouce; Ceinture du Barbétoal; Masque du Barbétoal; Cape d'Hel Munster; Baleinabottes; Dofus Pourpre; Dofus Turquoise; Vigoureux majeur; Nomade; Enragé majeur; Remueur; Kramkram</t>
        </is>
      </c>
    </row>
    <row r="12855">
      <c r="A12855" t="inlineStr">
        <is>
          <t>Stuff 1</t>
        </is>
      </c>
      <c r="B12855">
        <f>HYPERLINK("https://www.dofusbook.net/fr/equipement/176548-stuff-1/objets", "link")</f>
        <v/>
      </c>
      <c r="C12855" t="n">
        <v>0</v>
      </c>
      <c r="D12855" t="inlineStr">
        <is>
          <t>Dagues Érhy; Amulette d'Otomaï; Gelano; Anneau de Padgref; Ceinture Séculaire; Coiffe Séculaire; Cape Hiculteur; Pantoufles Émar; Dofus Pourpre; Dofus Turquoise; Remueur; Miraculé majeur; Nomade; Érudit majeur; Brûlih</t>
        </is>
      </c>
    </row>
    <row r="12856">
      <c r="A12856" t="inlineStr">
        <is>
          <t>Stuff 3</t>
        </is>
      </c>
      <c r="B12856">
        <f>HYPERLINK("https://www.dofusbook.net/fr/equipement/176543-stuff-3/objets", "link")</f>
        <v/>
      </c>
      <c r="C12856" t="n">
        <v>0</v>
      </c>
      <c r="D12856" t="inlineStr">
        <is>
          <t>Arc Hétype; Pendentif affamé; Bague Gloursonne; Anneau Rifique; Ceinture Séculaire; Casque Cyclopéen; Cape de Diondin; Bottes Innommables; Dofus des Glaces; Dofus Pourpre; Dévastateur Feu majeur; Érudit majeur; Nomade; Remueur; Brûlih</t>
        </is>
      </c>
    </row>
    <row r="12857">
      <c r="A12857" t="inlineStr">
        <is>
          <t>Stuff 1</t>
        </is>
      </c>
      <c r="B12857">
        <f>HYPERLINK("https://www.dofusbook.net/fr/equipement/176545-stuff-1/objets", "link")</f>
        <v/>
      </c>
      <c r="C12857" t="n">
        <v>0</v>
      </c>
      <c r="D12857" t="inlineStr">
        <is>
          <t>Dagues Érhy; Amulette du Strigide; Bague Gloursonne; Bracelet du Piloztère; Ceintacé; Chapeau de Gein; Cape au Logis; Bottes du Strigide; Dofus Turquoise; Dofus Pourpre; Enragé majeur; Vigoureux majeur; Remueur; Érudit majeur; Muldo Orchidée et Pourpre</t>
        </is>
      </c>
    </row>
    <row r="12858">
      <c r="A12858" t="inlineStr">
        <is>
          <t>Stuff 3</t>
        </is>
      </c>
      <c r="B12858">
        <f>HYPERLINK("https://www.dofusbook.net/fr/equipement/176540-stuff-3/objets", "link")</f>
        <v/>
      </c>
      <c r="C12858" t="n">
        <v>1</v>
      </c>
      <c r="D12858" t="inlineStr">
        <is>
          <t>Hache du Chalœil; Amulette du Strigide; Alliance Gloursonne; Ceinture du Strigide; Casque du Chalœil; Voile d'encre; Pataugastrique; Dofus Ocre; Dofus Pourpre; Vigoureux majeur</t>
        </is>
      </c>
    </row>
    <row r="12859">
      <c r="A12859" t="inlineStr">
        <is>
          <t>Stuff 1</t>
        </is>
      </c>
      <c r="B12859">
        <f>HYPERLINK("https://www.dofusbook.net/fr/equipement/176547-stuff-1/objets", "link")</f>
        <v/>
      </c>
      <c r="C12859" t="n">
        <v>0</v>
      </c>
      <c r="D12859" t="inlineStr">
        <is>
          <t>Epée Toche; Amulette du Strigide; Anneau Chevelu; Bague Gloursonne; Ceinture du Strigide; Chapeau de Gein; Bottes du Roi Joueur; Dofus Pourpre; Dofus Turquoise; Vigoureux majeur; Nomade; Remueur; Kwaltess</t>
        </is>
      </c>
    </row>
    <row r="12860">
      <c r="A12860" t="inlineStr">
        <is>
          <t>Nul</t>
        </is>
      </c>
      <c r="B12860">
        <f>HYPERLINK("https://www.dofusbook.net/fr/equipement/6012038-nul/objets", "link")</f>
        <v/>
      </c>
      <c r="C12860" t="n">
        <v>1</v>
      </c>
      <c r="D12860" t="inlineStr">
        <is>
          <t>Marteau R'ture; Amulette du Strigide; Anneau Volkorne; Bague Gloursonne; Bouclier du Captain Amakna; Ceinture Volkorne; Masque de Koutoulou; Cape de Jahash Jurgen; Bottes du Cœur Saignant; Dofus Turquoise; Dofus Ocre; Dofus Vulbis; Dofus Pourpre; Dofus Ébène; Enragé majeur; Kokulte</t>
        </is>
      </c>
    </row>
    <row r="12861">
      <c r="A12861" t="inlineStr">
        <is>
          <t>Sacritique</t>
        </is>
      </c>
      <c r="B12861">
        <f>HYPERLINK("https://www.dofusbook.net/fr/equipement/5425500-sacritique-/objets", "link")</f>
        <v/>
      </c>
      <c r="C12861" t="n">
        <v>180</v>
      </c>
      <c r="D12861" t="inlineStr">
        <is>
          <t>Marteau R'ture; Amulette du Cœur Saignant; Anneau Volkorne; Anneau Crustique; Bouclier du Captain Amakna; Ceinture Volkorne; Masque de Koutoulou; Cape de Jahash Jurgen; Bottes Honyme; Dofus Vulbis; Dofus Pourpre; Dofus Ébène; Dofus Turquoise; Vigoureux majeur; Enragé majeur; Kokulte</t>
        </is>
      </c>
    </row>
    <row r="12862">
      <c r="A12862" t="inlineStr">
        <is>
          <t>Eau air /ret pa</t>
        </is>
      </c>
      <c r="B12862">
        <f>HYPERLINK("https://www.dofusbook.net/fr/equipement/4110320-eau-air--ret-pa/objets", "link")</f>
        <v/>
      </c>
      <c r="C12862" t="n">
        <v>20</v>
      </c>
      <c r="D12862" t="inlineStr">
        <is>
          <t>Arc de Koutoulou; Amulette du Strigide; Alliance Gloursonne; Anneau Volkorne; Quatre-feuilles; Ceintacé; Casque Volkorne; Chevelure de Tal Kasha; Sandales de Tal Kasha; Dofus Ivoire; Dofus Ébène; Dofus Turquoise; Dofus des Glaces; Kokulte</t>
        </is>
      </c>
    </row>
    <row r="12863">
      <c r="A12863" t="inlineStr">
        <is>
          <t>Feu low pvm</t>
        </is>
      </c>
      <c r="B12863">
        <f>HYPERLINK("https://www.dofusbook.net/fr/equipement/6005255-feu-low-pvm/objets", "link")</f>
        <v/>
      </c>
      <c r="C12863" t="n">
        <v>5</v>
      </c>
      <c r="D12863" t="inlineStr">
        <is>
          <t>Arc Hétype; Amulette d'Otomaï; Anneau Tamie; Anneau Tamie; Bouclier du Stalak; Sangle Aise; Coiffe Séculaire; Cape de Diondin; Pataugastrique; Astucieux majeur; Nomade; Dévastateur Feu majeur; Vigoureux majeur; Savant majeur; Érudit majeur; Muldo Doré</t>
        </is>
      </c>
    </row>
    <row r="12864">
      <c r="A12864" t="inlineStr">
        <is>
          <t>Eaulow</t>
        </is>
      </c>
      <c r="B12864">
        <f>HYPERLINK("https://www.dofusbook.net/fr/equipement/3608702-eaulow/objets", "link")</f>
        <v/>
      </c>
      <c r="C12864" t="n">
        <v>20</v>
      </c>
      <c r="D12864" t="inlineStr">
        <is>
          <t>Baguette Hique; Collier de la Dame du Hasard; Alliance Gloursonne; Pikano; Quatre-feuilles; Sangle Ouare; Kidibonnet; Cape de la Dame du Hasard; Pataugastrique; Temporiseur majeur; Observateur; Nomade; Entraveur majeur; Remueur; Chanceux majeur; Gwo Tofu Ventripotent</t>
        </is>
      </c>
    </row>
    <row r="12865">
      <c r="A12865" t="inlineStr">
        <is>
          <t>feu low</t>
        </is>
      </c>
      <c r="B12865">
        <f>HYPERLINK("https://www.dofusbook.net/fr/equipement/5127393-feu-low/objets", "link")</f>
        <v/>
      </c>
      <c r="C12865" t="n">
        <v>35</v>
      </c>
      <c r="D12865" t="inlineStr">
        <is>
          <t>Arc Hétype; Amulette d'Otomaï; Bague Gloursonne; Anneau de Nidas; Cadran de Terre; Ceintacé; Coiffe Séculaire; Voile d'encre; Pataugastrique; Remueur; Nomade; Dévastateur Feu majeur; Vigoureux majeur; Savant majeur; Érudit majeur; Muldo Orchidée</t>
        </is>
      </c>
    </row>
    <row r="12866">
      <c r="A12866" t="inlineStr">
        <is>
          <t>Roub tank</t>
        </is>
      </c>
      <c r="B12866">
        <f>HYPERLINK("https://www.dofusbook.net/fr/equipement/6004742-roub-tank/objets", "link")</f>
        <v/>
      </c>
      <c r="C12866" t="n">
        <v>0</v>
      </c>
      <c r="D12866" t="inlineStr">
        <is>
          <t>Arc corrompu; Amulette Volkorne; Anneauræus; Anneauræus; Droiture de Fallanster; Croture; Casque Dragoeuf; Bravoure de Rykke Errel; Pataugastrique; Dofus Ébène; Dofus Ivoire; Dofus Vulbis; Dofus des Glaces; Dofus Ocre; Érudit majeur; Dragodinde Ivoire et Orchidée</t>
        </is>
      </c>
    </row>
    <row r="12867">
      <c r="A12867" t="inlineStr">
        <is>
          <t>Roub intuable</t>
        </is>
      </c>
      <c r="B12867">
        <f>HYPERLINK("https://www.dofusbook.net/fr/equipement/6004733-roub-intuable-/objets", "link")</f>
        <v/>
      </c>
      <c r="C12867" t="n">
        <v>0</v>
      </c>
      <c r="D12867" t="inlineStr">
        <is>
          <t>Arc corrompu; Amulette Volkorne; Anneauræus; Anneau Tique; Droiture de Fallanster; Croture; Casque Dragoeuf; Voile d'encre; Pataugastrique; Dofus des Glaces; Dofus Ocre; Dofus Ébène; Dofus Ivoire; Dofus Vulbis; Érudit majeur; Bisouglours</t>
        </is>
      </c>
    </row>
    <row r="12868">
      <c r="A12868" t="inlineStr">
        <is>
          <t>Roub os</t>
        </is>
      </c>
      <c r="B12868">
        <f>HYPERLINK("https://www.dofusbook.net/fr/equipement/4530141-roub-os/objets", "link")</f>
        <v/>
      </c>
      <c r="C12868" t="n">
        <v>20</v>
      </c>
      <c r="D12868" t="inlineStr">
        <is>
          <t>Massier; Amulette Volkorne; Anneau Tamie; Anneau Tamie; Bouclier du Stalak; Croture; Heaume Oplate; Cape de Diondin; Bottes Innommables; Dofus Pourpre; Dofus des Glaces; Vigoureux majeur; Nomade; Dévastateur Feu majeur; Érudit majeur; Bisouglours</t>
        </is>
      </c>
    </row>
    <row r="12869">
      <c r="A12869" t="inlineStr">
        <is>
          <t>Chaloeil low</t>
        </is>
      </c>
      <c r="B12869">
        <f>HYPERLINK("https://www.dofusbook.net/fr/equipement/5433720-chaloeil-low/objets", "link")</f>
        <v/>
      </c>
      <c r="C12869" t="n">
        <v>0</v>
      </c>
      <c r="D12869" t="inlineStr">
        <is>
          <t>Arc du Chalœil; Amulette de Gein; Anneau de Brouce; Anneau Crustique; Quatre-feuilles; Ceinture Gence; Masque de Koutoulou; Cape au Logis; Bottes Honyme; Dofus Turquoise; Vigoureux majeur; Nomade; Carapace Terre majeur; Enragé majeur; Dragodinde Amande et Emeraude</t>
        </is>
      </c>
    </row>
    <row r="12870">
      <c r="A12870" t="inlineStr">
        <is>
          <t>Test eau</t>
        </is>
      </c>
      <c r="B12870">
        <f>HYPERLINK("https://www.dofusbook.net/fr/equipement/5903405-test-eau/objets", "link")</f>
        <v/>
      </c>
      <c r="C12870" t="n">
        <v>1</v>
      </c>
      <c r="D12870" t="inlineStr">
        <is>
          <t>Rapière aux Glyphes; Amulette du Sinistrofu; Anneau Volkorne; Bracelet des Fonds marins; Bouclier d'Ilyzaelle; Ceinture Volkorne; Masque des Fonds marins; Cape du Sinistrofu; Bottes du Sinistrofu</t>
        </is>
      </c>
    </row>
    <row r="12871">
      <c r="A12871" t="inlineStr">
        <is>
          <t>Eau resi</t>
        </is>
      </c>
      <c r="B12871">
        <f>HYPERLINK("https://www.dofusbook.net/fr/equipement/4943343-eau-resi/objets", "link")</f>
        <v/>
      </c>
      <c r="C12871" t="n">
        <v>14</v>
      </c>
      <c r="D12871" t="inlineStr">
        <is>
          <t>Sceptre du Roi Joueur; Amulette Voldelor; Alliance Gloursonne; Bracelet des Fonds marins; Droiture de Fallanster; Ceinture de Dame Jhessica; Casque Dragoeuf; Cape de l'Œil Attentif; Pataugastrique; Dofus Ébène; Dofus Vulbis; Dofus Ivoire; Dofus Argenté; Remueur; Chanceux majeur; Wabbit</t>
        </is>
      </c>
    </row>
    <row r="12872">
      <c r="A12872" t="inlineStr">
        <is>
          <t>Osa feu</t>
        </is>
      </c>
      <c r="B12872">
        <f>HYPERLINK("https://www.dofusbook.net/fr/equipement/4068209-osa-feu/objets", "link")</f>
        <v/>
      </c>
      <c r="C12872" t="n">
        <v>15</v>
      </c>
      <c r="D12872" t="inlineStr">
        <is>
          <t>Couteaux Sacrificiels; Amulette Volkorne; Anneauræus; Anneau de Pol Ouatnos; Droiture de Fallanster; Croture; Casque Dragoeuf; Cape de Diondin; Bottes Honyme; Dofus Argenté; Dofus Ébène; Dofus des Glaces; Dofus Ivoire; Miraculé majeur; Érudit majeur; Bisouglours</t>
        </is>
      </c>
    </row>
    <row r="12873">
      <c r="A12873" t="inlineStr">
        <is>
          <t>Air esq pa</t>
        </is>
      </c>
      <c r="B12873">
        <f>HYPERLINK("https://www.dofusbook.net/fr/equipement/5895544-air-esq-pa/objets", "link")</f>
        <v/>
      </c>
      <c r="C12873" t="n">
        <v>7</v>
      </c>
      <c r="D12873" t="inlineStr">
        <is>
          <t>Lance Horselé; Collier du Valet Veinard; Anneau Toriété; Gant du Valet Veinard; Cadran d'Air; Sangle Oriole; Dorabysses; Cape du Kamasterisk; Baleinabottes; Dofus Argenté; Dofus Ivoire; Dofus Abyssal; Dofus Ébène; Évasif majeur; Imprenable majeur; Chienchien Tigré</t>
        </is>
      </c>
    </row>
    <row r="12874">
      <c r="A12874" t="inlineStr">
        <is>
          <t>Feu esq pa</t>
        </is>
      </c>
      <c r="B12874">
        <f>HYPERLINK("https://www.dofusbook.net/fr/equipement/5895421-feu-esq-pa/objets", "link")</f>
        <v/>
      </c>
      <c r="C12874" t="n">
        <v>7</v>
      </c>
      <c r="D12874" t="inlineStr">
        <is>
          <t>Massier; Amulette Martegel; Chevalière du Roi Joueur; Alliance du Lévitrof; Bouclier du Stalak; Croture; Heaume Oplate; Voile d'encre; Chaussures Ardentes; Dofus Ivoire; Dofus Ébène; Dofus Vulbis; Dofus Abyssal; Dofus Argenté; Évasif majeur; Chienchien Tigré</t>
        </is>
      </c>
    </row>
    <row r="12875">
      <c r="A12875" t="inlineStr">
        <is>
          <t>Best terrefeu ever</t>
        </is>
      </c>
      <c r="B12875">
        <f>HYPERLINK("https://www.dofusbook.net/fr/equipement/4903410-best-terrefeu-ever/objets", "link")</f>
        <v/>
      </c>
      <c r="C12875" t="n">
        <v>5</v>
      </c>
      <c r="D12875" t="inlineStr">
        <is>
          <t>Dagues Ricol; Amulette Volkorne; Anneau Volkorne; Chevalière du Roi Joueur; Bouclier du Captain Amakna; Ceinture Volkorne; Couronne du Roi Joueur; Voile d'encre; Bottes du Roi Joueur; Dofus Turquoise; Dofus Abyssal; Dofus Argenté; Dofus Ocre; Dofus Ivoire; Dofus Ébène; Kokulte</t>
        </is>
      </c>
    </row>
    <row r="12876">
      <c r="A12876" t="inlineStr">
        <is>
          <t>Docri resi</t>
        </is>
      </c>
      <c r="B12876">
        <f>HYPERLINK("https://www.dofusbook.net/fr/equipement/5888149-docri-resi/objets", "link")</f>
        <v/>
      </c>
      <c r="C12876" t="n">
        <v>2</v>
      </c>
      <c r="D12876" t="inlineStr">
        <is>
          <t>Hache du Chalœil; Amulette du Strigide; Crocanneau; Bague Trithon; Quatre-feuilles; Ceinture du Strigide; Masque d'Anerice; Cape d'Anerice; Bottes Trithon; Dofus Ocre; Dolmanax; Dofus des Glaces; Dofus Vulbis; Dofus Turquoise; Dofus Ivoire; Kokulte</t>
        </is>
      </c>
    </row>
    <row r="12877">
      <c r="A12877" t="inlineStr">
        <is>
          <t>Necro full dofus</t>
        </is>
      </c>
      <c r="B12877">
        <f>HYPERLINK("https://www.dofusbook.net/fr/equipement/5888135-necro-full-dofus/objets", "link")</f>
        <v/>
      </c>
      <c r="C12877" t="n">
        <v>0</v>
      </c>
      <c r="D12877" t="inlineStr">
        <is>
          <t>Arc Nécrotique; Amulette Volkorne; Anneau Volkorne; Anneau Toriété; Quatre-feuilles; Ceintacé; Casque Dragoeuf; Cape de la Dame du Hasard; Pataugastrique; Dofus des Glaces; Dofus Turquoise; Dokoko; Dofus Ébène; Dofus Argenté; Dofus Ivoire; Kokulte</t>
        </is>
      </c>
    </row>
    <row r="12878">
      <c r="A12878" t="inlineStr">
        <is>
          <t>Steam elonia</t>
        </is>
      </c>
      <c r="B12878">
        <f>HYPERLINK("https://www.dofusbook.net/fr/equipement/5854561-steam-elonia/objets", "link")</f>
        <v/>
      </c>
      <c r="C12878" t="n">
        <v>6</v>
      </c>
      <c r="D12878" t="inlineStr">
        <is>
          <t>Baguette de Torkélonia; Amulette du Strigide; Pikano; Bague Trithon; Quatre-feuilles; Ceinture du Strigide; Masque Trithon; Carapace de Torkélonia; Bottes Trithon; Dofus Argenté; Dofus Vulbis; Dofus Ocre; Dofus Turquoise; Dokoko; Dofus Ivoire; Kokulte</t>
        </is>
      </c>
    </row>
    <row r="12879">
      <c r="A12879" t="inlineStr">
        <is>
          <t>Maxdopou</t>
        </is>
      </c>
      <c r="B12879">
        <f>HYPERLINK("https://www.dofusbook.net/fr/equipement/3719250-maxdopou/objets", "link")</f>
        <v/>
      </c>
      <c r="C12879" t="n">
        <v>18</v>
      </c>
      <c r="D12879" t="inlineStr">
        <is>
          <t>Arc du Chalœil; Torquistik; Bague Trithon; Bague Instable; Bouclier précieux; Sangle Ouare; Casque Dragoeuf; Cape Solution; Bottistik; Dofus Abyssal; Dofus Ivoire; Dokoko; Bousculeur majeur; Remueur; Culbuteur majeur; Tatouf</t>
        </is>
      </c>
    </row>
    <row r="12880">
      <c r="A12880" t="inlineStr">
        <is>
          <t>Chaloeil Best tournoi</t>
        </is>
      </c>
      <c r="B12880">
        <f>HYPERLINK("https://www.dofusbook.net/fr/equipement/4659116-chaloeil-best-tournoi/objets", "link")</f>
        <v/>
      </c>
      <c r="C12880" t="n">
        <v>9</v>
      </c>
      <c r="D12880" t="inlineStr">
        <is>
          <t>Arc du Chalœil; Amulette du Strigide; Bague Trithon; Bague Gloursonne; Quatre-feuilles; Ceintacé; Masque de Koutoulou; Cape au Logis; Bottes du Strigide; Dofus Abyssal; Dofus des Glaces; Dofus Turquoise; Dofus Ébène; Dofus Argenté; Dofus Ivoire; Kokulte</t>
        </is>
      </c>
    </row>
    <row r="12881">
      <c r="A12881" t="inlineStr">
        <is>
          <t>Terre dopou tournois</t>
        </is>
      </c>
      <c r="B12881">
        <f>HYPERLINK("https://www.dofusbook.net/fr/equipement/5602330-terre-dopou-tournois/objets", "link")</f>
        <v/>
      </c>
      <c r="C12881" t="n">
        <v>7</v>
      </c>
      <c r="D12881" t="inlineStr">
        <is>
          <t>Arc du Chalœil; Amulette Ementaire Deluxe; Bague Trithon; Crocanneau; Bouclier Taverne; Ceinture Gence; Casque Dragoeuf; Cape au Logis; Bottes Trithon; Dofus Pourpre; Dofus Abyssal; Dofus Ivoire; Dofus Ébène; Bousculeur majeur; Culbuteur majeur; Black Tiwabbit</t>
        </is>
      </c>
    </row>
    <row r="12882">
      <c r="A12882" t="inlineStr">
        <is>
          <t>100cc all</t>
        </is>
      </c>
      <c r="B12882">
        <f>HYPERLINK("https://www.dofusbook.net/fr/equipement/5887725-100cc-all/objets", "link")</f>
        <v/>
      </c>
      <c r="C12882" t="n">
        <v>0</v>
      </c>
      <c r="D12882" t="inlineStr">
        <is>
          <t>Baguette de Torkélonia; Amulette du Strigide; Pikano; Anneau de Padgref; Quatre-feuilles; Ceinture du Strigide; Coiffe de Padgref; Carapace de Torkélonia; Getas de Padgref; Dofus Pourpre; Dofus Vulbis; Dofus Ocre; Dofus Turquoise; Dofus des Glaces; Dofus Ivoire; Kokulte</t>
        </is>
      </c>
    </row>
    <row r="12883">
      <c r="A12883" t="inlineStr">
        <is>
          <t>Do feu air</t>
        </is>
      </c>
      <c r="B12883">
        <f>HYPERLINK("https://www.dofusbook.net/fr/equipement/5887423-do-feu-air/objets", "link")</f>
        <v/>
      </c>
      <c r="C12883" t="n">
        <v>0</v>
      </c>
      <c r="D12883" t="inlineStr">
        <is>
          <t>Arc Honte; Pendentif mignon de Koutoulou; Alliance Brûlâme; Anneau Tique; Cadran de Terre; Sangle Aise; Casque Cyclopéen; Cape Martegel; Sabots de Vortex; Dofus Ébène; Dofus Vulbis; Dofus des Glaces; Dofus Ivoire; Dofus Abyssal; Bwak de Feu</t>
        </is>
      </c>
    </row>
    <row r="12884">
      <c r="A12884" t="inlineStr">
        <is>
          <t>Test air 12pa</t>
        </is>
      </c>
      <c r="B12884">
        <f>HYPERLINK("https://www.dofusbook.net/fr/equipement/4386892-test-air-12pa/objets", "link")</f>
        <v/>
      </c>
      <c r="C12884" t="n">
        <v>3</v>
      </c>
      <c r="D12884" t="inlineStr">
        <is>
          <t>Lance Horselé; Collier du Valet Veinard; Alliance Gloursonne; Gant du Valet Veinard; Cadran d'Air; Ceinture du Barbétoal; Dorabysses; Cape Martegel; Palmes Trithons; Dofus Ivoire; Dofus des Glaces; Dofus Ocre; Cascadeur majeur; Remueur; Nomade; Volkorne Ebène</t>
        </is>
      </c>
    </row>
    <row r="12885">
      <c r="A12885" t="inlineStr">
        <is>
          <t>Best elio126 test</t>
        </is>
      </c>
      <c r="B12885">
        <f>HYPERLINK("https://www.dofusbook.net/fr/equipement/5036505-best-elio126-test/objets", "link")</f>
        <v/>
      </c>
      <c r="C12885" t="n">
        <v>5</v>
      </c>
      <c r="D12885" t="inlineStr">
        <is>
          <t>Arc du Chalœil; Amulette du Cœur Saignant; Anneau Crustique; Anneau en Grithril; Quatre-feuilles; Ceinture en Grithril; Casque en Grithril; Cape du Cœur Saignant; Bottes du Cœur Saignant; Dofus Vulbis; Dofus Ivoire; Dofus Turquoise; Dofus des Glaces; Dofus Ébène; Dofus Ocre; Pioute vert</t>
        </is>
      </c>
    </row>
    <row r="12886">
      <c r="A12886" t="inlineStr">
        <is>
          <t>TerrePO</t>
        </is>
      </c>
      <c r="B12886">
        <f>HYPERLINK("https://www.dofusbook.net/fr/equipement/3098019-terrepo/objets", "link")</f>
        <v/>
      </c>
      <c r="C12886" t="n">
        <v>30</v>
      </c>
      <c r="D12886" t="inlineStr">
        <is>
          <t>Arc du Chalœil; Collier de Tourthon; Bague Gloursonne; Anneau de Brouce; Quatre-feuilles; Ceinture de Brouce; Masque de Koutoulou; Cape de Jahash Jurgen; Baleinabottes; Dofus Ivoire; Dofus Abyssal; Dofus Ébène; Dofus Turquoise; Nomade; Enragé majeur; Bwak de Terre</t>
        </is>
      </c>
    </row>
    <row r="12887">
      <c r="A12887" t="inlineStr">
        <is>
          <t>Ano classe</t>
        </is>
      </c>
      <c r="B12887">
        <f>HYPERLINK("https://www.dofusbook.net/fr/equipement/4659363-ano-classe/objets", "link")</f>
        <v/>
      </c>
      <c r="C12887" t="n">
        <v>11</v>
      </c>
      <c r="D12887" t="inlineStr">
        <is>
          <t>Arc du Chalœil; Torquistik; Bracelet Jande; Baguistik; Bouclier précieux; Sangle Ouare; Casque Dragoeuf; Cape Solution; Bottes Trithon; Dofus Ivoire; Bousculeur majeur; Remueur; Culbuteur; Bousculeur; Culbuteur majeur; Tatouf</t>
        </is>
      </c>
    </row>
    <row r="12888">
      <c r="A12888" t="inlineStr">
        <is>
          <t>Heqache</t>
        </is>
      </c>
      <c r="B12888">
        <f>HYPERLINK("https://www.dofusbook.net/fr/equipement/5865812-heqache/objets", "link")</f>
        <v/>
      </c>
      <c r="C12888" t="n">
        <v>2</v>
      </c>
      <c r="D12888" t="inlineStr">
        <is>
          <t>Héqache; Amulette du Strigide; Pikano; Anneau de Pol Ouatnos; Cadran d'Eau; Ceintacé; Corne de Torkélonia; Carapace de Torkélonia; Baleinabottes; Dofus Argenté; Dofus Ébène; Dofus Turquoise; Dofus des Glaces; Dofus Ivoire; Dofus Abyssal; Kokulte</t>
        </is>
      </c>
    </row>
    <row r="12889">
      <c r="A12889" t="inlineStr">
        <is>
          <t>Anti steam</t>
        </is>
      </c>
      <c r="B12889">
        <f>HYPERLINK("https://www.dofusbook.net/fr/equipement/5852900-anti-steam/objets", "link")</f>
        <v/>
      </c>
      <c r="C12889" t="n">
        <v>5</v>
      </c>
      <c r="D12889" t="inlineStr">
        <is>
          <t>Arc du Chalœil; Torquistik; Goulano; Baguistik; Bouclier du Stalak; Ceinture de la Reine des Voleurs; Coiffe de la Reine des Voleurs; Cape au Logis; Bottistik; Dofus des Glaces; Dofus Pourpre; Dofus Abyssal; Dofus Ébène; Dofus Ocre; Dofus Ivoire; Wabbit</t>
        </is>
      </c>
    </row>
    <row r="12890">
      <c r="A12890" t="inlineStr">
        <is>
          <t>Terre air resi</t>
        </is>
      </c>
      <c r="B12890">
        <f>HYPERLINK("https://www.dofusbook.net/fr/equipement/5669250-terre-air-resi/objets", "link")</f>
        <v/>
      </c>
      <c r="C12890" t="n">
        <v>3</v>
      </c>
      <c r="D12890" t="inlineStr">
        <is>
          <t>Héqache; Amulette du Strigide; Crocanneau; Bague Trithon; Droiture de Fallanster; Ceinture du Strigide; Masque d'Anerice; Cape d'Anerice; Bottes Trithon; Dofus des Glaces; Dofus Vulbis; Dofus Turquoise; Dofus Ivoire; Dofus Ocre; Dofus Argenté; Kokulte</t>
        </is>
      </c>
    </row>
    <row r="12891">
      <c r="A12891" t="inlineStr">
        <is>
          <t>Rtur best</t>
        </is>
      </c>
      <c r="B12891">
        <f>HYPERLINK("https://www.dofusbook.net/fr/equipement/5555916-rtur-best/objets", "link")</f>
        <v/>
      </c>
      <c r="C12891" t="n">
        <v>5</v>
      </c>
      <c r="D12891" t="inlineStr">
        <is>
          <t>Marteau R'ture; Amulette du Cœur Saignant; Anneau Chevelu; Bague Trithon; Cadran d'Eau; Ceintacé; Masque de Koutoulou; Cape au Logis; Bottes du Cœur Saignant; Dofus Argenté; Dofus Ivoire; Dofus Abyssal; Dofus Turquoise; Dofus Ébène; Obstructeur majeur; Kokulte</t>
        </is>
      </c>
    </row>
    <row r="12892">
      <c r="A12892" t="inlineStr">
        <is>
          <t>Eau dopou Tournois</t>
        </is>
      </c>
      <c r="B12892">
        <f>HYPERLINK("https://www.dofusbook.net/fr/equipement/4659484-eau-dopou-tournois/objets", "link")</f>
        <v/>
      </c>
      <c r="C12892" t="n">
        <v>16</v>
      </c>
      <c r="D12892" t="inlineStr">
        <is>
          <t>Masse Ossiale; Amulette du Sinistrofu; Alliance Gloursonne; Anneau Volkorne; Bouclier Taverne; Sangle Ouare; Masque Paztek; Cape Solution; Sandales Paztek; Dofus Ocre; Dofus Ébène; Dofus Ivoire; Bousculeur majeur; Culbuteur majeur; Écumouth</t>
        </is>
      </c>
    </row>
    <row r="12893">
      <c r="A12893" t="inlineStr">
        <is>
          <t>Feu osa</t>
        </is>
      </c>
      <c r="B12893">
        <f>HYPERLINK("https://www.dofusbook.net/fr/equipement/5863295-feu-osa/objets", "link")</f>
        <v/>
      </c>
      <c r="C12893" t="n">
        <v>13</v>
      </c>
      <c r="D12893" t="inlineStr">
        <is>
          <t>Arc Hétype; Amulette Volkorne; Anneau Tique; Anneauræus; Bouclier du Stalak; Ceinture Volkorne; Heaume Oplate; Voile d'encre; Pataugastrique; Dofus Abyssal; Dofus Ivoire; Dofus Ébène; Dofus Argenté; Dofus des Glaces; Érudit majeur; Chachyène</t>
        </is>
      </c>
    </row>
    <row r="12894">
      <c r="A12894" t="inlineStr">
        <is>
          <t>osa air 2.51</t>
        </is>
      </c>
      <c r="B12894">
        <f>HYPERLINK("https://www.dofusbook.net/fr/equipement/4895003-osa-air-2-51/objets", "link")</f>
        <v/>
      </c>
      <c r="C12894" t="n">
        <v>3</v>
      </c>
      <c r="D12894" t="inlineStr">
        <is>
          <t>Lance Horselé; Collier du Valet Veinard; Alliance Gloursonne; Gant du Valet Veinard; Cadran d'Air; Menoture; Dorabysses; Cape du Kamasterisk; Baleinabottes; Dofus Pourpre; Dofus Ivoire; Dofus des Glaces; Dofus Ébène; Nomade; Cascadeur majeur; Blérodoudou</t>
        </is>
      </c>
    </row>
    <row r="12895">
      <c r="A12895" t="inlineStr">
        <is>
          <t>eau vita</t>
        </is>
      </c>
      <c r="B12895">
        <f>HYPERLINK("https://www.dofusbook.net/fr/equipement/5477458-eau-vita/objets", "link")</f>
        <v/>
      </c>
      <c r="C12895" t="n">
        <v>9</v>
      </c>
      <c r="D12895" t="inlineStr">
        <is>
          <t>Baguette Héroclite; Amulette Volkorne; Anneau Volkorne; Alliance Gloursonne; Bouclier du Stalak; Pagne du Rykaon; Casque Dragoeuf; Cape Solution; Bottes Honyme; Dofus des Glaces; Dofus Ébène; Dofus Ivoire; Nomade; Chanceux majeur; Miraculé majeur; Dragodinde Indigo et Ivoire</t>
        </is>
      </c>
    </row>
    <row r="12896">
      <c r="A12896" t="inlineStr">
        <is>
          <t>Dofix terre Ebene</t>
        </is>
      </c>
      <c r="B12896">
        <f>HYPERLINK("https://www.dofusbook.net/fr/equipement/5836830-dofix-terre-ebene-/objets", "link")</f>
        <v/>
      </c>
      <c r="C12896" t="n">
        <v>1</v>
      </c>
      <c r="D12896" t="inlineStr">
        <is>
          <t>Arc du Chalœil; Collier de Tourthon; Anneau Chevelu; Anneau de Brouce; Cadran d'Air; Ceinture de la Reine des Voleurs; Coiffe de la Reine des Voleurs; Cape au Logis; Baleinabottes; Dofus des Glaces; Dofus Pourpre; Dofus Ébène; Dofus Ivoire; Enragé majeur; Remueur; Wabbit</t>
        </is>
      </c>
    </row>
    <row r="12897">
      <c r="A12897" t="inlineStr">
        <is>
          <t>Dopou ini tournois</t>
        </is>
      </c>
      <c r="B12897">
        <f>HYPERLINK("https://www.dofusbook.net/fr/equipement/5842998-dopou-ini-tournois/objets", "link")</f>
        <v/>
      </c>
      <c r="C12897" t="n">
        <v>4</v>
      </c>
      <c r="D12897" t="inlineStr">
        <is>
          <t>Plume de Buhorado; Torquistik; Bague Instable; Anneau Instable; Bouclier précieux; Ceinture Gence; Casque Dragoeuf; Cape Solution; Bottes du Cul Botté; Dofus Ivoire; Pousseur majeur; Bousculeur majeur; Bousculeur; Culbuteur majeur; Culbuteur; Tatouf</t>
        </is>
      </c>
    </row>
    <row r="12898">
      <c r="A12898" t="inlineStr">
        <is>
          <t>Feca ret pa tournois</t>
        </is>
      </c>
      <c r="B12898">
        <f>HYPERLINK("https://www.dofusbook.net/fr/equipement/3525638-feca-ret-pa-tournois/objets", "link")</f>
        <v/>
      </c>
      <c r="C12898" t="n">
        <v>45</v>
      </c>
      <c r="D12898" t="inlineStr">
        <is>
          <t>Marteau R'ture; Amulette Luminescente; Anneau Crustique; Anneau Crustique; Bouclier alvéolé; Ceintouse; Masque de Koutoulou; Cape au Logis; Tentassons; Dofus Ivoire; Dofus Ébène; Dofus Abyssal; Obstructeur majeur; Paralyseur majeur; Étourdisseur majeur; Volkorne Jade</t>
        </is>
      </c>
    </row>
    <row r="12899">
      <c r="A12899" t="inlineStr">
        <is>
          <t>Feu ret pa tournois</t>
        </is>
      </c>
      <c r="B12899">
        <f>HYPERLINK("https://www.dofusbook.net/fr/equipement/4104096-feu-ret-pa-tournois/objets", "link")</f>
        <v/>
      </c>
      <c r="C12899" t="n">
        <v>12</v>
      </c>
      <c r="D12899" t="inlineStr">
        <is>
          <t>Arc corrompu; Amulette Volkorne; Anneauræus; Anneau Tique; Cadran de Terre; Croture; Heaume Oplate; Voile d'encre; Pataugastrique; Dofus Ivoire; Dofus Ébène; Dofus Argenté; Étourdisseur majeur; Érudit majeur; Nomade; Boskito</t>
        </is>
      </c>
    </row>
    <row r="12900">
      <c r="A12900" t="inlineStr">
        <is>
          <t>Hupper eau croco</t>
        </is>
      </c>
      <c r="B12900">
        <f>HYPERLINK("https://www.dofusbook.net/fr/equipement/5839605-hupper-eau-croco/objets", "link")</f>
        <v/>
      </c>
      <c r="C12900" t="n">
        <v>1</v>
      </c>
      <c r="D12900" t="inlineStr">
        <is>
          <t>Crocobur; Amulette de Shokkoth; Anneau Toriété; Alliance Gloursonne; Bouclier d'Ilyzaelle; Poulpagne; Casque d'Ilyzaelle; Cape Solution; Bottes du Sinistrofu; Dofus Émeraude; Dofus Ivoire; Dofus des Glaces; Dofus Ébène; Dofus Abyssal; Dofus Argenté; Bwak d'Eau</t>
        </is>
      </c>
    </row>
    <row r="12901">
      <c r="A12901" t="inlineStr">
        <is>
          <t>air ret pa2</t>
        </is>
      </c>
      <c r="B12901">
        <f>HYPERLINK("https://www.dofusbook.net/fr/equipement/4425026-air-ret-pa2/objets", "link")</f>
        <v/>
      </c>
      <c r="C12901" t="n">
        <v>14</v>
      </c>
      <c r="D12901" t="inlineStr">
        <is>
          <t>Lance Horselé; Amulette du Cœur Vaillant; Anneau de Padgref; Alliance Gloursonne; Cadran de Terre; Menoture; Casque Volkorne; Cape du Cœur Vaillant; Tentassons; Dofus Ébène; Dofus des Glaces; Dofus Ivoire; Nomade; Carapace Air majeur; Remueur; Boskito</t>
        </is>
      </c>
    </row>
    <row r="12902">
      <c r="A12902" t="inlineStr">
        <is>
          <t>Feu recri</t>
        </is>
      </c>
      <c r="B12902">
        <f>HYPERLINK("https://www.dofusbook.net/fr/equipement/5623521-feu-recri/objets", "link")</f>
        <v/>
      </c>
      <c r="C12902" t="n">
        <v>2</v>
      </c>
      <c r="D12902" t="inlineStr">
        <is>
          <t>Arc Hétype; Amulette Volkorne; Alliance Brûlâme; Baguistik; Droiture de Fallanster; Croture; Masque Brûlâme; Voile d'encre; Pompes Funèbres; Dofus Argenté; Dofus Ivoire; Dofus Pourpre; Dofus Ébène; Dofus Vulbis; Wabbit</t>
        </is>
      </c>
    </row>
    <row r="12903">
      <c r="A12903" t="inlineStr">
        <is>
          <t>eau dofix zozo</t>
        </is>
      </c>
      <c r="B12903">
        <f>HYPERLINK("https://www.dofusbook.net/fr/equipement/5614372-eau-dofix-zozo/objets", "link")</f>
        <v/>
      </c>
      <c r="C12903" t="n">
        <v>3</v>
      </c>
      <c r="D12903" t="inlineStr">
        <is>
          <t>Sceptre du Roi Joueur; Amulette de Shokkoth; Anneau Toriété; Alliance Gloursonne; Droiture de Fallanster; Ceinture de la Reine des Voleurs; Casque Dragoeuf; Cape Solution; Bottes de la Reine des Voleurs; Dofus des Glaces; Dofus Abyssal; Dofus Ocre; Dokoko; Dofus Ébène; Dofus Ivoire; Kanigloups</t>
        </is>
      </c>
    </row>
    <row r="12904">
      <c r="A12904" t="inlineStr">
        <is>
          <t>Air best</t>
        </is>
      </c>
      <c r="B12904">
        <f>HYPERLINK("https://www.dofusbook.net/fr/equipement/1289929-air-best/objets", "link")</f>
        <v/>
      </c>
      <c r="C12904" t="n">
        <v>79</v>
      </c>
      <c r="D12904" t="inlineStr">
        <is>
          <t>Karnak; Collier du Valet Veinard; Alliance Gloursonne; Gant du Valet Veinard; Cadran d'Air; Menoture; Dorabysses; Cape Martegel; Baleinabottes; Dofus Abyssal; Dofus Pourpre; Dofus Ivoire; Dofus Ébène; Cascadeur majeur; Blérodoudou</t>
        </is>
      </c>
    </row>
    <row r="12905">
      <c r="A12905" t="inlineStr">
        <is>
          <t>Air Tournois</t>
        </is>
      </c>
      <c r="B12905">
        <f>HYPERLINK("https://www.dofusbook.net/fr/equipement/5833910-air-tournois/objets", "link")</f>
        <v/>
      </c>
      <c r="C12905" t="n">
        <v>3</v>
      </c>
      <c r="D12905" t="inlineStr">
        <is>
          <t>Lance Horselé; Collier du Valet Veinard; Alliance Gloursonne; Gant du Valet Veinard; Bouclier du Stalak; Menoture; Dorabysses; Cape de Crânonier; Baleinabottes; Dofus Ivoire; Dofus des Glaces; Dofus Pourpre; Dofus Ébène; Cascadeur majeur; Nomade; Bwak d'Air</t>
        </is>
      </c>
    </row>
    <row r="12906">
      <c r="A12906" t="inlineStr">
        <is>
          <t>Feu Hétype Tournois</t>
        </is>
      </c>
      <c r="B12906">
        <f>HYPERLINK("https://www.dofusbook.net/fr/equipement/5681907-feu-hetype-tournois/objets", "link")</f>
        <v/>
      </c>
      <c r="C12906" t="n">
        <v>3</v>
      </c>
      <c r="D12906" t="inlineStr">
        <is>
          <t>Arc Hétype; Amulette de Nileza; Anneau Tique; Anneauræus; Bouclier du Stalak; Croture; Heaume Oplate; Cape de Nileza; Pataugastrique; Dofus Ivoire; Dofus Ébène; Dofus Argenté; Dofus Pourpre; Dofus Vulbis; Érudit majeur; Bwak de Feu</t>
        </is>
      </c>
    </row>
    <row r="12907">
      <c r="A12907" t="inlineStr">
        <is>
          <t>best eau pvm</t>
        </is>
      </c>
      <c r="B12907">
        <f>HYPERLINK("https://www.dofusbook.net/fr/equipement/5190153-best-eau-pvm/objets", "link")</f>
        <v/>
      </c>
      <c r="C12907" t="n">
        <v>43</v>
      </c>
      <c r="D12907" t="inlineStr">
        <is>
          <t>Dagoulinantes; Amulette de Shokkoth; Anneau Volkorne; Anneau Kturne; Bouclier du Stalak; Poulpagne; Kidibonnet; Cape du Sinistrofu; Bottes du Sinistrofu; Dofus Pourpre; Dofus des Glaces; Nomade; Taquin majeur; Vigoureux majeur; Chanceux majeur; Kanigloups</t>
        </is>
      </c>
    </row>
    <row r="12908">
      <c r="A12908" t="inlineStr">
        <is>
          <t>Ini2 viable</t>
        </is>
      </c>
      <c r="B12908">
        <f>HYPERLINK("https://www.dofusbook.net/fr/equipement/5138326-ini2-viable/objets", "link")</f>
        <v/>
      </c>
      <c r="C12908" t="n">
        <v>2</v>
      </c>
      <c r="D12908" t="inlineStr">
        <is>
          <t>Baguette de Malléfisk; Amulette de l'Œil Putride; Bague Instable; Alliance du Lévitrof; Quatre-feuilles; Ceinture Instable; Masquegel; Cape Martegel; Bottes du Katcheur; Dofus Vulbis; Dofus Nébuleux; Dofus Ocre; Dolmanax; Dofus Pourpre; Astucieux majeur; Kougnard</t>
        </is>
      </c>
    </row>
    <row r="12909">
      <c r="A12909" t="inlineStr">
        <is>
          <t>Anti sadi3</t>
        </is>
      </c>
      <c r="B12909">
        <f>HYPERLINK("https://www.dofusbook.net/fr/equipement/5811802-anti-sadi3/objets", "link")</f>
        <v/>
      </c>
      <c r="C12909" t="n">
        <v>4</v>
      </c>
      <c r="D12909" t="inlineStr">
        <is>
          <t>Arc du Chalœil; Torquistik; Bague Instable; Bague Trithon; Bouclier précieux; Ceinture Gence; Casque Dragoeuf; Bravoure de Rykke Errel; Bottistik; Dokoko; Dofus Ivoire; Dofus Abyssal; Culbuteur majeur; Bousculeur majeur; Remueur; Balafreux</t>
        </is>
      </c>
    </row>
    <row r="12910">
      <c r="A12910" t="inlineStr">
        <is>
          <t>Anti Sadi2</t>
        </is>
      </c>
      <c r="B12910">
        <f>HYPERLINK("https://www.dofusbook.net/fr/equipement/5811730-anti-sadi2/objets", "link")</f>
        <v/>
      </c>
      <c r="C12910" t="n">
        <v>0</v>
      </c>
      <c r="D12910" t="inlineStr">
        <is>
          <t>Marteau R'ture; Collier de Tourthon; Anneau des égarés; Anneau de Brouce; Bouclier d'Ilyzaelle; Ceinture Gence; Casque Dragoeuf; Bravoure de Rykke Errel; Sabots Minables; Dofus Ivoire; Dofus Abyssal; Dofus Ébène; Dokoko; Carapace Terre majeur; Nomade; Tanuk</t>
        </is>
      </c>
    </row>
    <row r="12911">
      <c r="A12911" t="inlineStr">
        <is>
          <t>Best feu surcharge do</t>
        </is>
      </c>
      <c r="B12911">
        <f>HYPERLINK("https://www.dofusbook.net/fr/equipement/5560351-best-feu-surcharge-do/objets", "link")</f>
        <v/>
      </c>
      <c r="C12911" t="n">
        <v>10</v>
      </c>
      <c r="D12911" t="inlineStr">
        <is>
          <t>Arc corrompu; Amulette de Nileza; Anneauræus; Anneauræus; Bouclier du Stalak; Croture; Heaume Oplate; Cape de Nileza; Pataugastrique; Dofus Ivoire; Dofus Ébène; Dofus des Glaces; Dofus Pourpre; Nomade; Érudit majeur; Bisouglours</t>
        </is>
      </c>
    </row>
    <row r="12912">
      <c r="A12912" t="inlineStr">
        <is>
          <t>Best terre distance</t>
        </is>
      </c>
      <c r="B12912">
        <f>HYPERLINK("https://www.dofusbook.net/fr/equipement/5799465-best-terre-distance/objets", "link")</f>
        <v/>
      </c>
      <c r="C12912" t="n">
        <v>4</v>
      </c>
      <c r="D12912" t="inlineStr">
        <is>
          <t>Arc du Chalœil; Amulette du Cœur Saignant; Anneau Volkorne; Chevalière du Roi Joueur; Quatre-feuilles; Ceinture Volkorne; Couronne du Roi Joueur; Cape du Cœur Saignant; Bottes du Cœur Saignant; Dofus Ivoire; Dofus Vulbis; Dofus Ébène; Dofus Ocre; Dofus Nébuleux; Dofus Turquoise; Pioute vert</t>
        </is>
      </c>
    </row>
    <row r="12913">
      <c r="A12913" t="inlineStr">
        <is>
          <t>Best cra</t>
        </is>
      </c>
      <c r="B12913">
        <f>HYPERLINK("https://www.dofusbook.net/fr/equipement/5713308-best-cra/objets", "link")</f>
        <v/>
      </c>
      <c r="C12913" t="n">
        <v>11</v>
      </c>
      <c r="D12913" t="inlineStr">
        <is>
          <t>Arc du Chalœil; Amulette du Cœur Saignant; Anneau Crustique; Anneau de Brouce; Quatre-feuilles; Ceintacé; Masque de Koutoulou; Cape de Jahash Jurgen; Bottes du Cœur Saignant; Dofus Ébène; Dofus Nébuleux; Dofus Ivoire; Dofus Argenté; Dofus Pourpre; Nomade; Bwak de Terre</t>
        </is>
      </c>
    </row>
    <row r="12914">
      <c r="A12914" t="inlineStr">
        <is>
          <t>épée reine</t>
        </is>
      </c>
      <c r="B12914">
        <f>HYPERLINK("https://www.dofusbook.net/fr/equipement/4671199-epee-reine/objets", "link")</f>
        <v/>
      </c>
      <c r="C12914" t="n">
        <v>40</v>
      </c>
      <c r="D12914" t="inlineStr">
        <is>
          <t>Épée de la Reine des Voleurs; Collier de Tourthon; Alliance Gloursonne; Bague Gloursonne; Cadran d'Eau; Ceinture de la Reine des Voleurs; Coiffe de la Reine des Voleurs; Cape au Logis; Sabots Minables; Dofus Ivoire; Dofus des Glaces; Dokoko; Dofus Ébène; Dofus Abyssal; Dofus Argenté; Fëanor</t>
        </is>
      </c>
    </row>
    <row r="12915">
      <c r="A12915" t="inlineStr">
        <is>
          <t>Feu eau ret pa</t>
        </is>
      </c>
      <c r="B12915">
        <f>HYPERLINK("https://www.dofusbook.net/fr/equipement/4040913-feu-eau-ret-pa-/objets", "link")</f>
        <v/>
      </c>
      <c r="C12915" t="n">
        <v>6</v>
      </c>
      <c r="D12915" t="inlineStr">
        <is>
          <t>Arc Nécrotique; Talisman Igans; Lavanneau; Anneau Toriété; Cadran de Terre; Ceintacé; Casqnoar; Cape de la Dame du Hasard; Pataugastrique; Dofus des Glaces; Dofus Pourpre; Dofus Ébène; Dofus Ivoire; Étourdisseur majeur; Carapace Feu majeur; Boskito</t>
        </is>
      </c>
    </row>
    <row r="12916">
      <c r="A12916" t="inlineStr">
        <is>
          <t>test glour</t>
        </is>
      </c>
      <c r="B12916">
        <f>HYPERLINK("https://www.dofusbook.net/fr/equipement/5773162-test-glour/objets", "link")</f>
        <v/>
      </c>
      <c r="C12916" t="n">
        <v>0</v>
      </c>
      <c r="D12916" t="inlineStr">
        <is>
          <t>Epée Gloursonne; Collier de Tourthon; Bague Gloursonne; Alliance Gloursonne; Cadran d'Eau; Ceinture de la Reine des Voleurs; Coiffe de la Reine des Voleurs; Cape au Logis; Sabots Minables; Dofus des Glaces; Dofus Ébène; Dofus Abyssal; Dofus Argenté; Dofus Ivoire; Saccageur Neutre majeur; El Scarador</t>
        </is>
      </c>
    </row>
    <row r="12917">
      <c r="A12917" t="inlineStr">
        <is>
          <t>Lolendaire</t>
        </is>
      </c>
      <c r="B12917">
        <f>HYPERLINK("https://www.dofusbook.net/fr/equipement/5765664-lolendaire/objets", "link")</f>
        <v/>
      </c>
      <c r="C12917" t="n">
        <v>2</v>
      </c>
      <c r="D12917" t="inlineStr">
        <is>
          <t>Crocobur; Amulette de l'Indicible; Anneau en Grithril; Pikano; Droiture de Fallanster; Ceinture de Dame Jhessica; Diadème de Ganymède; Cape de Jahash Jurgen; Bottes de Mille Lieues; Dofus Ébène; Dofus Argenté; Dofus Abyssal; Dofus Forgelave; Dofus Ivoire; Dofus Vulbis; Fëanor</t>
        </is>
      </c>
    </row>
    <row r="12918">
      <c r="A12918" t="inlineStr">
        <is>
          <t>Tarta steam</t>
        </is>
      </c>
      <c r="B12918">
        <f>HYPERLINK("https://www.dofusbook.net/fr/equipement/5762843-tarta-steam/objets", "link")</f>
        <v/>
      </c>
      <c r="C12918" t="n">
        <v>0</v>
      </c>
      <c r="D12918" t="inlineStr">
        <is>
          <t>Arc du Chalœil; Amulette du Cœur Saignant; Bague Gloursonne; Bague Trithon; Quatre-feuilles; Ceintacé; Masque de Koutoulou; Cape au Logis; Bottes du Cœur Saignant; Dofus Turquoise; Dofus Ébène; Dofus Pourpre; Dofus Ivoire; Dofus Abyssal; Dofus des Glaces; Kokulte</t>
        </is>
      </c>
    </row>
    <row r="12919">
      <c r="A12919" t="inlineStr">
        <is>
          <t>Dofeu</t>
        </is>
      </c>
      <c r="B12919">
        <f>HYPERLINK("https://www.dofusbook.net/fr/equipement/4562896-dofeu/objets", "link")</f>
        <v/>
      </c>
      <c r="C12919" t="n">
        <v>5</v>
      </c>
      <c r="D12919" t="inlineStr">
        <is>
          <t>Massier; Amulette Volkorne; Anneau Tamie; Anneau Tamie; Bouclier du Stalak; Croture; Heaume Oplate; Voilamibe; Pataugastrique; Dofus des Glaces; Dévastateur Feu majeur; Saccageur Feu majeur; Sanguinaire majeur; Astucieux majeur; Érudit majeur; Bisouglours</t>
        </is>
      </c>
    </row>
    <row r="12920">
      <c r="A12920" t="inlineStr">
        <is>
          <t>Impossible</t>
        </is>
      </c>
      <c r="B12920">
        <f>HYPERLINK("https://www.dofusbook.net/fr/equipement/5735567-impossible/objets", "link")</f>
        <v/>
      </c>
      <c r="C12920" t="n">
        <v>3</v>
      </c>
      <c r="D12920" t="inlineStr">
        <is>
          <t>Plume de Buhorado; Torquistik; Bague Instable; Baguistik; Bouclier précieux; Ceinture Gence; Casque Dragoeuf; Cape Solution; Bottes du Cul Botté; Dofus Ivoire; Culbuteur; Pousseur majeur; Bousculeur majeur; Bousculeur; Culbuteur majeur; Tatouf</t>
        </is>
      </c>
    </row>
    <row r="12921">
      <c r="A12921" t="inlineStr">
        <is>
          <t>Spooky</t>
        </is>
      </c>
      <c r="B12921">
        <f>HYPERLINK("https://www.dofusbook.net/fr/equipement/5734818-spooky/objets", "link")</f>
        <v/>
      </c>
      <c r="C12921" t="n">
        <v>2</v>
      </c>
      <c r="D12921" t="inlineStr">
        <is>
          <t>Arc du Chalœil; Collier de Tourthon; Anneau des égarés; Anneau de Brouce; Cadran d'Air; Ceinture Volkorne; Casque Dragoeuf; Bravoure de Rykke Errel; Bottes de Brouce; Dofus Ébène; Dofus Vulbis; Dofus Ivoire; Carapace Terre majeur; Remueur; Évasif majeur; Chienchien Tigré</t>
        </is>
      </c>
    </row>
    <row r="12922">
      <c r="A12922" t="inlineStr">
        <is>
          <t>Crocoburn dofix</t>
        </is>
      </c>
      <c r="B12922">
        <f>HYPERLINK("https://www.dofusbook.net/fr/equipement/5646414-crocoburn-dofix/objets", "link")</f>
        <v/>
      </c>
      <c r="C12922" t="n">
        <v>16</v>
      </c>
      <c r="D12922" t="inlineStr">
        <is>
          <t>Crocobur; Collier de Tourthon; Anneau Chevelu; Anneau Volkorne; Droiture de Fallanster; Ceinture Volkorne; Casque Dragoeuf; Cape au Logis; Sabots Minables; Dofus Ébène; Dofus Émeraude; Dofus des Glaces; Dofus Abyssal; Dofus Ivoire; Dokoko; Volkorne Jade et Rubis</t>
        </is>
      </c>
    </row>
    <row r="12923">
      <c r="A12923" t="inlineStr">
        <is>
          <t>Test air docri</t>
        </is>
      </c>
      <c r="B12923">
        <f>HYPERLINK("https://www.dofusbook.net/fr/equipement/5711135-test-air-docri/objets", "link")</f>
        <v/>
      </c>
      <c r="C12923" t="n">
        <v>44</v>
      </c>
      <c r="D12923" t="inlineStr">
        <is>
          <t>Baguette de Torkélonia; Amulette du Strigide; Crocanneau; Alliance Gloursonne; Quatre-feuilles; Sangle Oriole; Dorabysses; Carapace de Torkélonia; Bottes du Strigide; Dofus Ocre; Dofus Ivoire; Dofus Vulbis; Dofus Ébène; Dofus des Glaces; Dofus Turquoise; Kokulte</t>
        </is>
      </c>
    </row>
    <row r="12924">
      <c r="A12924" t="inlineStr">
        <is>
          <t>Feu air test y</t>
        </is>
      </c>
      <c r="B12924">
        <f>HYPERLINK("https://www.dofusbook.net/fr/equipement/5662542-feu-air-test-y/objets", "link")</f>
        <v/>
      </c>
      <c r="C12924" t="n">
        <v>1</v>
      </c>
      <c r="D12924" t="inlineStr">
        <is>
          <t>Canne Harr; Amulette du Strigide; Anneau de Padgref; Anneau Toriété; Droiture de Fallanster; Ceintacé; Casque Dragoeuf; Cape d'Atcham; Bottes du Strigide; Dofus Pourpre; Dofus Ébène; Dofus des Glaces; Dofus Ocre; Dofus Turquoise; Dofus Ivoire; Kokulte</t>
        </is>
      </c>
    </row>
    <row r="12925">
      <c r="A12925" t="inlineStr">
        <is>
          <t>Terre tacle asfuck</t>
        </is>
      </c>
      <c r="B12925">
        <f>HYPERLINK("https://www.dofusbook.net/fr/equipement/5715787-terre-tacle-asfuck/objets", "link")</f>
        <v/>
      </c>
      <c r="C12925" t="n">
        <v>0</v>
      </c>
      <c r="D12925" t="inlineStr">
        <is>
          <t>Crocobur; Collier de Tourthon; Anneau Crustique; Anneau Volkorne; La Rondelle; Ceinture Volkorne; Masque de Koutoulou; Cape du Cœur Saignant; Bottes du Cœur Saignant; Dofus Ébène; Dofus Ivoire; Dofus Pourpre; Dofus des Glaces; Enragé majeur; Muldo Roux et Doré</t>
        </is>
      </c>
    </row>
    <row r="12926">
      <c r="A12926" t="inlineStr">
        <is>
          <t>Puissance cri</t>
        </is>
      </c>
      <c r="B12926">
        <f>HYPERLINK("https://www.dofusbook.net/fr/equipement/5391133-puissance-cri/objets", "link")</f>
        <v/>
      </c>
      <c r="C12926" t="n">
        <v>27</v>
      </c>
      <c r="D12926" t="inlineStr">
        <is>
          <t>Arc Volkorne; Amulette du Strigide; Crocanneau; Anneau Volkorne; Quatre-feuilles; Ceinture Volkorne; Casque Dragoeuf; Cape de Jahash Jurgen; Bottes du Strigide; Dofus Ocre; Dolmanax; Dofus Vulbis; Dofus Pourpre; Dofus Turquoise; Puissant majeur; Kokulte</t>
        </is>
      </c>
    </row>
    <row r="12927">
      <c r="A12927" t="inlineStr">
        <is>
          <t>Terre 1500</t>
        </is>
      </c>
      <c r="B12927">
        <f>HYPERLINK("https://www.dofusbook.net/fr/equipement/5400428-terre-1500/objets", "link")</f>
        <v/>
      </c>
      <c r="C12927" t="n">
        <v>10</v>
      </c>
      <c r="D12927" t="inlineStr">
        <is>
          <t>Arc du Chalœil; Collier de Tourthon; Anneau Crustique; Anneau de Brouce; Quatre-feuilles; Ceintacé; Masque de Koutoulou; Cape de Jahash Jurgen; Bottes de Brouce; Dofus Ivoire; Dofus Pourpre; Dofus Ébène; Dofus des Glaces; Enragé majeur; Nomade; Bwak de Terre</t>
        </is>
      </c>
    </row>
    <row r="12928">
      <c r="A12928" t="inlineStr">
        <is>
          <t>Best cra pvm</t>
        </is>
      </c>
      <c r="B12928">
        <f>HYPERLINK("https://www.dofusbook.net/fr/equipement/5705780-best-cra-pvm/objets", "link")</f>
        <v/>
      </c>
      <c r="C12928" t="n">
        <v>9</v>
      </c>
      <c r="D12928" t="inlineStr">
        <is>
          <t>Arc Volkorne; Amulette du Strigide; Bracelet du Piloztère; Anneau de Padgref; Quatre-feuilles; Ceinture du Strigide; Coiffe de Padgref; Cape de Jahash Jurgen; Getas de Padgref; Dofus des Glaces; Dofus Turquoise; Dofus Vulbis; Dofus Ocre; Dofus Nébuleux; Dofus Pourpre; Sakochère</t>
        </is>
      </c>
    </row>
    <row r="12929">
      <c r="A12929" t="inlineStr">
        <is>
          <t>Couteau 12pa</t>
        </is>
      </c>
      <c r="B12929">
        <f>HYPERLINK("https://www.dofusbook.net/fr/equipement/5664598-couteau-12pa/objets", "link")</f>
        <v/>
      </c>
      <c r="C12929" t="n">
        <v>2</v>
      </c>
      <c r="D12929" t="inlineStr">
        <is>
          <t>Couteaux Sacrificiels; Amulette Volkorne; Anneau Bliteré; Anneau Volkorne; Droiture de Fallanster; Ceintrigue; Casque Dragoeuf; Cape du Professeur Xa; Bottes de la Dame du Hasard; Dofus des Glaces; Dofus Ivoire; Dofus Abyssal; Dofus Ébène; Remueur; Volkorne Rubis et Saphir</t>
        </is>
      </c>
    </row>
    <row r="12930">
      <c r="A12930" t="inlineStr">
        <is>
          <t>Best sram reso</t>
        </is>
      </c>
      <c r="B12930">
        <f>HYPERLINK("https://www.dofusbook.net/fr/equipement/3018847-best-sram-reso-/objets", "link")</f>
        <v/>
      </c>
      <c r="C12930" t="n">
        <v>27</v>
      </c>
      <c r="D12930" t="inlineStr">
        <is>
          <t>Dagues Eudin; Amulette de Gein; Anneau du Katcheur; Alliance Brûlâme; Bouclier du Stalak; Ceinture de Gein; Masque Brûlâme; Cape de Jahash Jurgen; Pompes Funèbres; Dofus des Glaces; Dofus Ocre; Dofus Vulbis; Dofus Nébuleux; Dofus Abyssal; Dofus Pourpre; Dragodinde Ivoire et Pourpre</t>
        </is>
      </c>
    </row>
    <row r="12931">
      <c r="A12931" t="inlineStr">
        <is>
          <t>Eau docri lol</t>
        </is>
      </c>
      <c r="B12931">
        <f>HYPERLINK("https://www.dofusbook.net/fr/equipement/5029108-eau-docri-lol/objets", "link")</f>
        <v/>
      </c>
      <c r="C12931" t="n">
        <v>5</v>
      </c>
      <c r="D12931" t="inlineStr">
        <is>
          <t>Sceptre du Roi Joueur; Collier de la Dame du Hasard; Crocanneau; Anneau Toriété; Droiture de Fallanster; Ceintacé; Némès de Tal Kasha; Cape de la Dame du Hasard; Sandales de Tal Kasha; Dokoko; Dofus Abyssal; Dofus des Glaces; Dofus Turquoise; Dofus Ivoire; Dofus Ébène; Kokulte</t>
        </is>
      </c>
    </row>
    <row r="12932">
      <c r="A12932" t="inlineStr">
        <is>
          <t>Feu resi ricole</t>
        </is>
      </c>
      <c r="B12932">
        <f>HYPERLINK("https://www.dofusbook.net/fr/equipement/5676158-feu-resi-ricole-/objets", "link")</f>
        <v/>
      </c>
      <c r="C12932" t="n">
        <v>0</v>
      </c>
      <c r="D12932" t="inlineStr">
        <is>
          <t>Dagues Ricol; Amulette du Strigide; Anneau Tique; Anneau de Padgref; Droiture de Fallanster; Ceinture du Strigide; Coiffe de Padgref; Voile d'encre; Getas de Padgref; Dofus Turquoise; Dofus Vulbis; Dofus Ocre; Dofus Ivoire; Dofus Ébène; Dofus des Glaces; Kokulte</t>
        </is>
      </c>
    </row>
    <row r="12933">
      <c r="A12933" t="inlineStr">
        <is>
          <t>Eca anti ougi</t>
        </is>
      </c>
      <c r="B12933">
        <f>HYPERLINK("https://www.dofusbook.net/fr/equipement/5607715-eca-anti-ougi/objets", "link")</f>
        <v/>
      </c>
      <c r="C12933" t="n">
        <v>2</v>
      </c>
      <c r="D12933" t="inlineStr">
        <is>
          <t>Pelle de la Cour Sombre; Collier du Valet Veinard; Gant du Valet Veinard; Alliance Gloursonne; Cadran d'Air; Menoture; Dorabysses; Cape de Crânonier; Baleinabottes; Dofus Ébène; Dokoko; Dofus Pourpre; Dofus Ivoire; Nomade; Cascadeur majeur; Bwak d'Air</t>
        </is>
      </c>
    </row>
    <row r="12934">
      <c r="A12934" t="inlineStr">
        <is>
          <t>Torke best terre air</t>
        </is>
      </c>
      <c r="B12934">
        <f>HYPERLINK("https://www.dofusbook.net/fr/equipement/5671246-torke-best-terre-air/objets", "link")</f>
        <v/>
      </c>
      <c r="C12934" t="n">
        <v>6</v>
      </c>
      <c r="D12934" t="inlineStr">
        <is>
          <t>Baguette de Torkélonia; Amulette du Strigide; Bague Trithon; Alliance Gloursonne; Droiture de Fallanster; Ceinture du Strigide; Corne de Torkélonia; Carapace de Torkélonia; Bottes Trithon; Dofus Turquoise; Dofus Ivoire; Dofus Ocre; Dofus Argenté; Dofus des Glaces; Dofus Pourpre; Sakochère</t>
        </is>
      </c>
    </row>
    <row r="12935">
      <c r="A12935" t="inlineStr">
        <is>
          <t>Test ruik Best zozo 1</t>
        </is>
      </c>
      <c r="B12935">
        <f>HYPERLINK("https://www.dofusbook.net/fr/equipement/5654307-test-ruik-best-zozo-1/objets", "link")</f>
        <v/>
      </c>
      <c r="C12935" t="n">
        <v>6</v>
      </c>
      <c r="D12935" t="inlineStr">
        <is>
          <t>Dagues Ruik; Amulette du Cœur Saignant; Anneau Volkorne; Anneau Chevelu; Droiture de Fallanster; Ceinture Volkorne; Masque de Koutoulou; Cape du Cœur Saignant; Bottes du Cœur Saignant; Dofus Pourpre; Dofus Ébène; Dofus des Glaces; Dofus Abyssal; Dofus Vulbis; Dofus Ivoire; Kokulte</t>
        </is>
      </c>
    </row>
    <row r="12936">
      <c r="A12936" t="inlineStr">
        <is>
          <t>Terre cac low</t>
        </is>
      </c>
      <c r="B12936">
        <f>HYPERLINK("https://www.dofusbook.net/fr/equipement/4389975-terre-cac-low/objets", "link")</f>
        <v/>
      </c>
      <c r="C12936" t="n">
        <v>126</v>
      </c>
      <c r="D12936" t="inlineStr">
        <is>
          <t>Dagues Eudin; Amulette du Strigide; Anneau de Brouce; Anneau Chevelu; Bouclier du Captain Amakna; Ceinture du Strigide; Masque de Koutoulou; Cape au Logis; Bottes Honyme; Dofus Turquoise; Enragé majeur; Remueur; Vigoureux majeur; Nomade; Carapace Eau majeur; Kokulte</t>
        </is>
      </c>
    </row>
    <row r="12937">
      <c r="A12937" t="inlineStr">
        <is>
          <t>Couteaux cancericiel</t>
        </is>
      </c>
      <c r="B12937">
        <f>HYPERLINK("https://www.dofusbook.net/fr/equipement/5663334-couteaux-cancericiel/objets", "link")</f>
        <v/>
      </c>
      <c r="C12937" t="n">
        <v>7</v>
      </c>
      <c r="D12937" t="inlineStr">
        <is>
          <t>Couteaux Sacrificiels; Amulette Volkorne; Anneau Toriété; Anneau Volkorne; Droiture de Fallanster; Ceintrigue; Casque Dragoeuf; Cape Paztek; Pataugastrique; Dokoko; Dofus des Glaces; Dofus Ivoire; Dofus Abyssal; Dofus Pourpre; Dofus Ébène; Fëanor</t>
        </is>
      </c>
    </row>
    <row r="12938">
      <c r="A12938" t="inlineStr">
        <is>
          <t>Crocoburn2</t>
        </is>
      </c>
      <c r="B12938">
        <f>HYPERLINK("https://www.dofusbook.net/fr/equipement/5655110-crocoburn2/objets", "link")</f>
        <v/>
      </c>
      <c r="C12938" t="n">
        <v>18</v>
      </c>
      <c r="D12938" t="inlineStr">
        <is>
          <t>Crocobur; Amulette du Cœur Saignant; Anneau Chevelu; Anneau Volkorne; Cadran d'Eau; Ceinture Volkorne; Masque de Koutoulou; Cape du Cœur Saignant; Bottes du Cœur Saignant; Dofus Turquoise; Dofus des Glaces; Dofus Vulbis; Dofus Ivoire; Dofus Pourpre; Dofus Ébène; Kokulte</t>
        </is>
      </c>
    </row>
    <row r="12939">
      <c r="A12939" t="inlineStr">
        <is>
          <t>Cra multi low</t>
        </is>
      </c>
      <c r="B12939">
        <f>HYPERLINK("https://www.dofusbook.net/fr/equipement/4382365-cra-multi-low/objets", "link")</f>
        <v/>
      </c>
      <c r="C12939" t="n">
        <v>50</v>
      </c>
      <c r="D12939" t="inlineStr">
        <is>
          <t>Épée de la Reine des Voleurs; Amulette du Strigide; Anneau Vicieux; Anneau de Padgref; Quatre-feuilles; Ceintacé; Coiffe de Padgref; Cape Matelassée; Pataugastrique; Dofus Turquoise; Enragé majeur; Sanguinaire majeur; Nomade; Érudit majeur; Vigoureux majeur; Kokulte</t>
        </is>
      </c>
    </row>
    <row r="12940">
      <c r="A12940" t="inlineStr">
        <is>
          <t>Hupper dopou</t>
        </is>
      </c>
      <c r="B12940">
        <f>HYPERLINK("https://www.dofusbook.net/fr/equipement/4139429-hupper-dopou/objets", "link")</f>
        <v/>
      </c>
      <c r="C12940" t="n">
        <v>28</v>
      </c>
      <c r="D12940" t="inlineStr">
        <is>
          <t>Arc du Chalœil; Torquistik; Baguistik; Bague Instable; Bouclier précieux; L'Élémenture; Casque Dragoeuf; Cape Solution; Bottes du Cœur Vaillant; Dofus Ocre; Dofus Ivoire; Culbuteur majeur; Culbuteur; Pousseur majeur; Bousculeur majeur; Balafreux</t>
        </is>
      </c>
    </row>
    <row r="12941">
      <c r="A12941" t="inlineStr">
        <is>
          <t>Eau feu soin low</t>
        </is>
      </c>
      <c r="B12941">
        <f>HYPERLINK("https://www.dofusbook.net/fr/equipement/2788762-eau-feu-soin-low/objets", "link")</f>
        <v/>
      </c>
      <c r="C12941" t="n">
        <v>52</v>
      </c>
      <c r="D12941" t="inlineStr">
        <is>
          <t>Épée Brûlâme; Talisman Igans; Lavanneau; Goulano; Bouclier du Cycloïde; Ceintrigue; Kidibonnet; Cape de Diondin; Pataugastrique; Vigoureux majeur; Guérisseur majeur; Chanceux majeur; Érudit majeur; Carapace Eau majeur; Nomade; Muldo Indigo et Orchidée</t>
        </is>
      </c>
    </row>
    <row r="12942">
      <c r="A12942" t="inlineStr">
        <is>
          <t>Eau low</t>
        </is>
      </c>
      <c r="B12942">
        <f>HYPERLINK("https://www.dofusbook.net/fr/equipement/5650376-eau-low/objets", "link")</f>
        <v/>
      </c>
      <c r="C12942" t="n">
        <v>52</v>
      </c>
      <c r="D12942" t="inlineStr">
        <is>
          <t>Rapière aux Glyphes; Amulette Cryochrone; Alliance Gloursonne; Pikano; Cadran de Terre; Sangle Ouare; Kidibonnet; Cape Matelassée; Sandales Circulaires du Kimbo; Dévastateur Eau majeur; Remueur; Observateur; Vigoureux majeur; Nomade; Chanceux majeur; Dragodinde Indigo et Ivoire</t>
        </is>
      </c>
    </row>
    <row r="12943">
      <c r="A12943" t="inlineStr">
        <is>
          <t>Terre feu low</t>
        </is>
      </c>
      <c r="B12943">
        <f>HYPERLINK("https://www.dofusbook.net/fr/equipement/5576622-terre-feu-low/objets", "link")</f>
        <v/>
      </c>
      <c r="C12943" t="n">
        <v>6</v>
      </c>
      <c r="D12943" t="inlineStr">
        <is>
          <t>Hache Téroïde; Amulette du Strigide; Bague Trithon; Bague Gloursonne; Bouclier du Captain Amakna; Ceintacé; Masque de Koutoulou; Cape au Logis; Bottes du Strigide; Dofus Pourpre; Dofus Turquoise; Vigoureux majeur; Remueur; Carapace Terre majeur; Nomade; Kokulte</t>
        </is>
      </c>
    </row>
    <row r="12944">
      <c r="A12944" t="inlineStr">
        <is>
          <t>multiAneris</t>
        </is>
      </c>
      <c r="B12944">
        <f>HYPERLINK("https://www.dofusbook.net/fr/equipement/2863976-multianeris/objets", "link")</f>
        <v/>
      </c>
      <c r="C12944" t="n">
        <v>9</v>
      </c>
      <c r="D12944" t="inlineStr">
        <is>
          <t>Hache du Chalœil; Amulette du Strigide; Bague Trithon; Alliance Gloursonne; Droiture de Fallanster; Ceinture du Strigide; Masque d'Anerice; Cape d'Anerice; Bottes Trithon; Dofus Turquoise; Dofus Ivoire; Dofus Ocre; Dofus Argenté; Dolmanax; Dofus Vulbis; Sakochère</t>
        </is>
      </c>
    </row>
    <row r="12945">
      <c r="A12945" t="inlineStr">
        <is>
          <t>Max docri</t>
        </is>
      </c>
      <c r="B12945">
        <f>HYPERLINK("https://www.dofusbook.net/fr/equipement/4601658-max-docri/objets", "link")</f>
        <v/>
      </c>
      <c r="C12945" t="n">
        <v>14</v>
      </c>
      <c r="D12945" t="inlineStr">
        <is>
          <t>Baguette de Torkélonia; Amulette du Strigide; Anneau de Padgref; Bague Trithon; Quatre-feuilles; Ceinture du Strigide; Némès de Tal Kasha; Chevelure de Tal Kasha; Bottes Trithon; Dofus Pourpre; Dofus des Glaces; Dofus Ocre; Dofus Nébuleux; Dofus Vulbis; Dofus Turquoise; Sakochère</t>
        </is>
      </c>
    </row>
    <row r="12946">
      <c r="A12946" t="inlineStr">
        <is>
          <t>Best eau ever</t>
        </is>
      </c>
      <c r="B12946">
        <f>HYPERLINK("https://www.dofusbook.net/fr/equipement/3673008-best-eau-ever/objets", "link")</f>
        <v/>
      </c>
      <c r="C12946" t="n">
        <v>51</v>
      </c>
      <c r="D12946" t="inlineStr">
        <is>
          <t>Rapière aux Glyphes; Amulette de Shokkoth; Bracelet des Fonds marins; Alliance Gloursonne; Cadran d'Eau; Poulpagne; Capuche de l'Œil Attentif; Cape de l'Œil Attentif; Bottes du Sinistrofu; Dofus Ocre; Dofus Ébène; Dofus Argenté; Dofus Pourpre; Dofus Ivoire; Nomade; Bwak d'Eau</t>
        </is>
      </c>
    </row>
    <row r="12947">
      <c r="A12947" t="inlineStr">
        <is>
          <t>Reine 2</t>
        </is>
      </c>
      <c r="B12947">
        <f>HYPERLINK("https://www.dofusbook.net/fr/equipement/5614625-reine-2/objets", "link")</f>
        <v/>
      </c>
      <c r="C12947" t="n">
        <v>5</v>
      </c>
      <c r="D12947" t="inlineStr">
        <is>
          <t>Épée de la Reine des Voleurs; Collier de Tourthon; Anneau Volkorne; Alliance Gloursonne; Cadran d'Eau; Ceinture Volkorne; Masque de Koutoulou; Cape du Cœur Saignant; Sabots Minables; Dofus Ébène; Dofus Abyssal; Dofus Argenté; Dofus Ivoire; Dofus des Glaces; Dokoko; El Scarador</t>
        </is>
      </c>
    </row>
    <row r="12948">
      <c r="A12948" t="inlineStr">
        <is>
          <t>Lol</t>
        </is>
      </c>
      <c r="B12948">
        <f>HYPERLINK("https://www.dofusbook.net/fr/equipement/5428541-lol/objets", "link")</f>
        <v/>
      </c>
      <c r="C12948" t="n">
        <v>73</v>
      </c>
      <c r="D12948" t="inlineStr">
        <is>
          <t>Marteau R'ture; Amulette du Cœur Saignant; Anneau de Brouce; Alliance de Missiz Frizz; Bouclier du Captain Amakna; Ceinture de Brouce; Casque de Missiz Frizz; Cape du Cœur Saignant; Bottes du Cœur Saignant; Dofus Pourpre; Dofus des Glaces; Dofus Ocre; Dofus Vulbis; Dofus Turquoise; Forcené majeur; Kokulte</t>
        </is>
      </c>
    </row>
    <row r="12949">
      <c r="A12949" t="inlineStr">
        <is>
          <t>Air recri</t>
        </is>
      </c>
      <c r="B12949">
        <f>HYPERLINK("https://www.dofusbook.net/fr/equipement/5623374-air-recri/objets", "link")</f>
        <v/>
      </c>
      <c r="C12949" t="n">
        <v>1</v>
      </c>
      <c r="D12949" t="inlineStr">
        <is>
          <t>Manthache; Collier du Valet Veinard; Alliance Brûlâme; Alliance Gloursonne; Droiture de Fallanster; Menoture; Coiffe de la Reine des Voleurs; Cape des Justiciers; Bottes de la Reine des Voleurs; Dofus Argenté; Dofus Ivoire; Dofus Pourpre; Dofus Ébène; Dofus Vulbis; Carapace Feu majeur; Wabbit</t>
        </is>
      </c>
    </row>
    <row r="12950">
      <c r="A12950" t="inlineStr">
        <is>
          <t>Terre recri</t>
        </is>
      </c>
      <c r="B12950">
        <f>HYPERLINK("https://www.dofusbook.net/fr/equipement/2836218-terre-recri/objets", "link")</f>
        <v/>
      </c>
      <c r="C12950" t="n">
        <v>8</v>
      </c>
      <c r="D12950" t="inlineStr">
        <is>
          <t>Lav'Hache; Collier de Tourthon; Bague Gloursonne; Anneau Chevelu; Droiture de Fallanster; Ceinture de la Reine des Voleurs; Coiffe de la Reine des Voleurs; Cape au Logis; Sabots Minables; Dofus Abyssal; Dofus Pourpre; Dofus Ivoire; Dofus Ébène; Dofus Argenté; Remueur; Wabbit</t>
        </is>
      </c>
    </row>
    <row r="12951">
      <c r="A12951" t="inlineStr">
        <is>
          <t>Eau recri</t>
        </is>
      </c>
      <c r="B12951">
        <f>HYPERLINK("https://www.dofusbook.net/fr/equipement/5623253-eau-recri/objets", "link")</f>
        <v/>
      </c>
      <c r="C12951" t="n">
        <v>7</v>
      </c>
      <c r="D12951" t="inlineStr">
        <is>
          <t>Epée Loponèze; Amulette Voldelor; Alliance Gloursonne; Pikano; Droiture de Fallanster; Ceinture de la Reine des Voleurs; Kidibonnet; Cape Solution; Bottes de la Reine des Voleurs; Dofus Vulbis; Dofus des Glaces; Dofus Ivoire; Dofus Pourpre; Dofus Ébène; Miraculé majeur; Wabbit</t>
        </is>
      </c>
    </row>
    <row r="12952">
      <c r="A12952" t="inlineStr">
        <is>
          <t>Lance</t>
        </is>
      </c>
      <c r="B12952">
        <f>HYPERLINK("https://www.dofusbook.net/fr/equipement/2773022-lance/objets", "link")</f>
        <v/>
      </c>
      <c r="C12952" t="n">
        <v>9</v>
      </c>
      <c r="D12952" t="inlineStr">
        <is>
          <t>Lance corrompue; Amulette de Nevark; Anneau des égarés; Alliance Brûlâme; Cadran d'Eau; Ceinture de l'Esprit Salvateur; Casque Dragoeuf; Cape de Nevark; Baleinabottes; Dofus Abyssal; Dofus des Glaces; Dokoko; Dofus Émeraude; Miraculé majeur; Remueur; Muldo Ebène et Pourpre</t>
        </is>
      </c>
    </row>
    <row r="12953">
      <c r="A12953" t="inlineStr">
        <is>
          <t>Srambad full dofus</t>
        </is>
      </c>
      <c r="B12953">
        <f>HYPERLINK("https://www.dofusbook.net/fr/equipement/5558796-srambad-full-dofus/objets", "link")</f>
        <v/>
      </c>
      <c r="C12953" t="n">
        <v>8</v>
      </c>
      <c r="D12953" t="inlineStr">
        <is>
          <t>Dagues de Srambad; Amulette Ementaire Deluxe; Bague Gloursonne; Alliance Gloursonne; Cadran d'Eau; Ceinture de la Reine des Voleurs; Coiffe de la Reine des Voleurs; Cape au Logis; Sabots Minables; Dofus Ébène; Dokoko; Dofus Argenté; Dofus Ivoire; Dofus des Glaces; Dofus Pourpre; Fëanor</t>
        </is>
      </c>
    </row>
    <row r="12954">
      <c r="A12954" t="inlineStr">
        <is>
          <t>Best feu</t>
        </is>
      </c>
      <c r="B12954">
        <f>HYPERLINK("https://www.dofusbook.net/fr/equipement/5460454-best-feu-/objets", "link")</f>
        <v/>
      </c>
      <c r="C12954" t="n">
        <v>9</v>
      </c>
      <c r="D12954" t="inlineStr">
        <is>
          <t>Arc corrompu; Amulette de Nileza; Anneauræus; Anneauræus; Bouclier du Stalak; Croture; Casque Dragoeuf; Cape de Nileza; Pataugastrique; Dofus Pourpre; Dofus Ivoire; Dofus Ébène; Dofus Ocre; Nomade; Érudit majeur; Bwak de Feu</t>
        </is>
      </c>
    </row>
    <row r="12955">
      <c r="A12955" t="inlineStr">
        <is>
          <t>Sacri Air wtf</t>
        </is>
      </c>
      <c r="B12955">
        <f>HYPERLINK("https://www.dofusbook.net/fr/equipement/5512953-sacri-air-wtf/objets", "link")</f>
        <v/>
      </c>
      <c r="C12955" t="n">
        <v>10</v>
      </c>
      <c r="D12955" t="inlineStr">
        <is>
          <t>Pelle de la Cour Sombre; Collier du Valet Veinard; Alliance Gloursonne; Gant du Valet Veinard; Bouclier d'Ilyzaelle; Menoture; Dorabysses; Cape Ytale; Pantoufles Émar; Dofus Ébène; Dofus Ivoire; Dofus Abyssal; Dofus Pourpre; Cascadeur majeur; Nomade; La Chose</t>
        </is>
      </c>
    </row>
    <row r="12956">
      <c r="A12956" t="inlineStr">
        <is>
          <t>Best air cac</t>
        </is>
      </c>
      <c r="B12956">
        <f>HYPERLINK("https://www.dofusbook.net/fr/equipement/3807016-best-air-cac/objets", "link")</f>
        <v/>
      </c>
      <c r="C12956" t="n">
        <v>19</v>
      </c>
      <c r="D12956" t="inlineStr">
        <is>
          <t>Lance Horselé; Collier du Valet Veinard; Alliance Gloursonne; Gant du Valet Veinard; Bouclier d'Ilyzaelle; Menoture; Casque Dragoeuf; Cape de Crânonier; Palmes Trithons; Dofus Ivoire; Dofus des Glaces; Dofus Pourpre; Remueur; Cascadeur majeur; Nomade; Bwak d'Air</t>
        </is>
      </c>
    </row>
    <row r="12957">
      <c r="A12957" t="inlineStr">
        <is>
          <t>Feu best V</t>
        </is>
      </c>
      <c r="B12957">
        <f>HYPERLINK("https://www.dofusbook.net/fr/equipement/5341044-feu-best-v/objets", "link")</f>
        <v/>
      </c>
      <c r="C12957" t="n">
        <v>2</v>
      </c>
      <c r="D12957" t="inlineStr">
        <is>
          <t>Arc corrompu; Amulette Volkorne; Anneau Tique; Anneauræus; Droiture de Fallanster; Ceinture Volkorne; Casque Dragoeuf; Voile d'encre; Pataugastrique; Dofus Ivoire; Dofus Pourpre; Dofus Ébène; Dofus Argenté; Dofus Ocre; Nomade; Bisouglours</t>
        </is>
      </c>
    </row>
    <row r="12958">
      <c r="A12958" t="inlineStr">
        <is>
          <t>Maxdopou</t>
        </is>
      </c>
      <c r="B12958">
        <f>HYPERLINK("https://www.dofusbook.net/fr/equipement/4572396-maxdopou/objets", "link")</f>
        <v/>
      </c>
      <c r="C12958" t="n">
        <v>18</v>
      </c>
      <c r="D12958" t="inlineStr">
        <is>
          <t>Plume de Buhorado; Torquistik; Baguistik; Bague Instable; Bouclier précieux; Ceinture Gence; Casque Dragoeuf; Cape Solution; Bottes du Cul Botté; Dofus Ivoire; Bousculeur; Culbuteur majeur; Culbuteur; Pousseur majeur; Bousculeur majeur; Tatouf</t>
        </is>
      </c>
    </row>
    <row r="12959">
      <c r="A12959" t="inlineStr">
        <is>
          <t>Lol</t>
        </is>
      </c>
      <c r="B12959">
        <f>HYPERLINK("https://www.dofusbook.net/fr/equipement/5174259-lol/objets", "link")</f>
        <v/>
      </c>
      <c r="C12959" t="n">
        <v>10</v>
      </c>
      <c r="D12959" t="inlineStr">
        <is>
          <t>Arc Honte; Amulette Volkorne; Anneauræus; Anneau Volkorne; Bouclier du Stalak; Sangle Aise; Heaume Oplate; Cape de Jahash Jurgen; Bottes Innommables; Dofus Pourpre; Vigoureux majeur; Nomade; Érudit majeur; Robuste majeur; Astucieux majeur; Bwak de Terre</t>
        </is>
      </c>
    </row>
    <row r="12960">
      <c r="A12960" t="inlineStr">
        <is>
          <t>Test feu lol</t>
        </is>
      </c>
      <c r="B12960">
        <f>HYPERLINK("https://www.dofusbook.net/fr/equipement/5416914-test-feu-lol/objets", "link")</f>
        <v/>
      </c>
      <c r="C12960" t="n">
        <v>1</v>
      </c>
      <c r="D12960" t="inlineStr">
        <is>
          <t>Arc Honte; Amulette Volkorne; Anneau Volkorne; Anneau Tique; Bouclier du Stalak; Sangle Aise; Casque Dragoeuf; Cape de Diondin; Bottes Innommables; Dofus Pourpre; Robuste majeur; Astucieux majeur; Vigoureux majeur; Nomade; Érudit majeur; Bwak de Terre</t>
        </is>
      </c>
    </row>
    <row r="12961">
      <c r="A12961" t="inlineStr">
        <is>
          <t>Eau ret pa best</t>
        </is>
      </c>
      <c r="B12961">
        <f>HYPERLINK("https://www.dofusbook.net/fr/equipement/4168395-eau-ret-pa-best/objets", "link")</f>
        <v/>
      </c>
      <c r="C12961" t="n">
        <v>34</v>
      </c>
      <c r="D12961" t="inlineStr">
        <is>
          <t>Dagoulinantes; Amulette de Shokkoth; Alliance Gloursonne; Anneau Volkorne; Cadran de Terre; Pagne du Rykaon; Capuche de l'Œil Attentif; Cape de l'Œil Attentif; Pataugastrique; Dofus Ocre; Dofus Ivoire; Chanceux majeur; Étourdisseur majeur; Nomade; Paralyseur majeur; Boskito</t>
        </is>
      </c>
    </row>
    <row r="12962">
      <c r="A12962" t="inlineStr">
        <is>
          <t>test dopou 12/6</t>
        </is>
      </c>
      <c r="B12962">
        <f>HYPERLINK("https://www.dofusbook.net/fr/equipement/5410894-test-dopou-12-6/objets", "link")</f>
        <v/>
      </c>
      <c r="C12962" t="n">
        <v>3</v>
      </c>
      <c r="D12962" t="inlineStr">
        <is>
          <t>Arc du Chalœil; Torquistik; Baguistik; Bague Instable; Bouclier précieux; Ceinture Luminescente; Casque Dragoeuf; Cape Luminescente; Bottistik; Dofus Ivoire; Dofus Vulbis; Dofus Ocre; Pousseur majeur; Bousculeur majeur; Bousculeur; Volkorne Roux</t>
        </is>
      </c>
    </row>
    <row r="12963">
      <c r="A12963" t="inlineStr">
        <is>
          <t>Eau docri</t>
        </is>
      </c>
      <c r="B12963">
        <f>HYPERLINK("https://www.dofusbook.net/fr/equipement/4029119-eau-docri/objets", "link")</f>
        <v/>
      </c>
      <c r="C12963" t="n">
        <v>31</v>
      </c>
      <c r="D12963" t="inlineStr">
        <is>
          <t>Baguette Hique; Amulette de Shokkoth; Anneau Volkorne; Alliance Gloursonne; Quatre-feuilles; Ceintacé; Casque Dragoeuf; Cape de la Dame du Hasard; Bottes de la Dame du Hasard; Dofus des Glaces; Dofus Turquoise; Chanceux majeur; Remueur; Dévastateur Eau majeur; Nomade; Kokulte</t>
        </is>
      </c>
    </row>
    <row r="12964">
      <c r="A12964" t="inlineStr">
        <is>
          <t>Test puissance</t>
        </is>
      </c>
      <c r="B12964">
        <f>HYPERLINK("https://www.dofusbook.net/fr/equipement/5390172-test-puissance/objets", "link")</f>
        <v/>
      </c>
      <c r="C12964" t="n">
        <v>18</v>
      </c>
      <c r="D12964" t="inlineStr">
        <is>
          <t>Bâton Beau; Amulette du Strigide; Anneau Volkorne; Crocanneau; Bouclier du Stalak; Ceinture Volkorne; Casque Dragoeuf; Cape de Jahash Jurgen; Bottes du Strigide; Dofus Pourpre; Dofus Ocre; Dolmanax; Dofus Vulbis; Robuste majeur; Puissant majeur; Chacha Angora</t>
        </is>
      </c>
    </row>
    <row r="12965">
      <c r="A12965" t="inlineStr">
        <is>
          <t>Feu vita roub</t>
        </is>
      </c>
      <c r="B12965">
        <f>HYPERLINK("https://www.dofusbook.net/fr/equipement/5356527-feu-vita-roub/objets", "link")</f>
        <v/>
      </c>
      <c r="C12965" t="n">
        <v>7</v>
      </c>
      <c r="D12965" t="inlineStr">
        <is>
          <t>Arc corrompu; Amulette Volkorne; Anneauræus; Anneauræus; Bouclier du Stalak; Ceinture Volkorne; Heaume Oplate; Cape de Diondin; Bottes Innommables; Dofus Pourpre; Dofus des Glaces; Dofus Ivoire; Nomade; Miraculé majeur; Érudit majeur; Dragodinde Ivoire et Orchidée</t>
        </is>
      </c>
    </row>
    <row r="12966">
      <c r="A12966" t="inlineStr">
        <is>
          <t>Terre cri</t>
        </is>
      </c>
      <c r="B12966">
        <f>HYPERLINK("https://www.dofusbook.net/fr/equipement/4606414-terre-cri/objets", "link")</f>
        <v/>
      </c>
      <c r="C12966" t="n">
        <v>52</v>
      </c>
      <c r="D12966" t="inlineStr">
        <is>
          <t>Arc du Chalœil; Amulette du Cœur Saignant; Anneau Volkorne; Pikano; Quatre-feuilles; Ceinture Volkorne; Masque de Koutoulou; Cape au Logis; Bottes du Roi Joueur; Dofus Ocre; Dofus Pourpre; Dofus Ivoire; Dofus Turquoise; Vigoureux majeur; Enragé majeur; Kokulte</t>
        </is>
      </c>
    </row>
    <row r="12967">
      <c r="A12967" t="inlineStr">
        <is>
          <t>test eau feu 12 6</t>
        </is>
      </c>
      <c r="B12967">
        <f>HYPERLINK("https://www.dofusbook.net/fr/equipement/5272290-test-eau-feu-12-6/objets", "link")</f>
        <v/>
      </c>
      <c r="C12967" t="n">
        <v>5</v>
      </c>
      <c r="D12967" t="inlineStr">
        <is>
          <t>Arc Nécrotique; Collier de la Dame du Hasard; Anneau Cryochrone; Anneau Volkorne; Quatre-feuilles; Ceinture Volkorne; Casque Dragoeuf; Cape de la Dame du Hasard; Bottes de la Dame du Hasard; Dofus Ébène; Dofus Vulbis; Dofus Ivoire; Dofus Ocre; Dofus des Glaces; Dofus Turquoise; Sakochère</t>
        </is>
      </c>
    </row>
    <row r="12968">
      <c r="A12968" t="inlineStr">
        <is>
          <t>Necro classique</t>
        </is>
      </c>
      <c r="B12968">
        <f>HYPERLINK("https://www.dofusbook.net/fr/equipement/4548311-necro-classique/objets", "link")</f>
        <v/>
      </c>
      <c r="C12968" t="n">
        <v>13</v>
      </c>
      <c r="D12968" t="inlineStr">
        <is>
          <t>Arc Nécrotique; Amulette Volkorne; Anneau Volkorne; Bague Trithon; Quatre-feuilles; Ceintacé; Masque Trithon; Cape de la Dame du Hasard; Bottes de la Dame du Hasard; Dofus des Glaces; Dofus Turquoise; Dofus Pourpre; Dofus Vulbis; Dofus Ocre; Dofus Ivoire; Kokulte</t>
        </is>
      </c>
    </row>
    <row r="12969">
      <c r="A12969" t="inlineStr">
        <is>
          <t>ricole cri</t>
        </is>
      </c>
      <c r="B12969">
        <f>HYPERLINK("https://www.dofusbook.net/fr/equipement/5335295-ricole-cri/objets", "link")</f>
        <v/>
      </c>
      <c r="C12969" t="n">
        <v>4</v>
      </c>
      <c r="D12969" t="inlineStr">
        <is>
          <t>Dagues Ricol; Amulette Volkorne; Anneauræus; Anneau Volkorne; Bouclier du Captain Amakna; Ceintacé; Heaume Oplate; Cape de la Dame du Hasard; Bottes de la Dame du Hasard; Dofus Nébuleux; Dofus Ivoire; Dofus Turquoise; Dofus Pourpre; Dofus Ébène; Voyageur; Kokulte</t>
        </is>
      </c>
    </row>
    <row r="12970">
      <c r="A12970" t="inlineStr">
        <is>
          <t>Terre feu low</t>
        </is>
      </c>
      <c r="B12970">
        <f>HYPERLINK("https://www.dofusbook.net/fr/equipement/5324906-terre-feu-low/objets", "link")</f>
        <v/>
      </c>
      <c r="C12970" t="n">
        <v>1</v>
      </c>
      <c r="D12970" t="inlineStr">
        <is>
          <t>Dagues Érhy; Amulette de Gein; Bague Gloursonne; Chevalière du Roi Joueur; Bivalve; Ceintacé; Chapeau de Gein; Cape au Logis; Bottes Honyme; Dofus Pourpre; Vigoureux majeur; Nomade; Enragé majeur; Remueur; Érudit majeur; Cromeugnon</t>
        </is>
      </c>
    </row>
    <row r="12971">
      <c r="A12971" t="inlineStr">
        <is>
          <t>Terre gneu 1600</t>
        </is>
      </c>
      <c r="B12971">
        <f>HYPERLINK("https://www.dofusbook.net/fr/equipement/4312839-terre-gneu-1600/objets", "link")</f>
        <v/>
      </c>
      <c r="C12971" t="n">
        <v>37</v>
      </c>
      <c r="D12971" t="inlineStr">
        <is>
          <t>Arc du Chalœil; Collier de Tourthon; Anneau de Brouce; Anneau Crustique; Quatre-feuilles; Ceintacé; Masque de Koutoulou; Cape de Jahash Jurgen; Bottes de Brouce; Dofus Pourpre; Dofus Ivoire; Dofus Ébène; Vigoureux majeur; Nomade; Enragé majeur; Bwak de Terre</t>
        </is>
      </c>
    </row>
    <row r="12972">
      <c r="A12972" t="inlineStr">
        <is>
          <t>Test</t>
        </is>
      </c>
      <c r="B12972">
        <f>HYPERLINK("https://www.dofusbook.net/fr/equipement/5319240-test/objets", "link")</f>
        <v/>
      </c>
      <c r="C12972" t="n">
        <v>7</v>
      </c>
      <c r="D12972" t="inlineStr">
        <is>
          <t>Arc du Chalœil; Collier de Tourthon; Anneau Volkorne; Anneau de Brouce; Bouclier d'Ilyzaelle; Ceinture Volkorne; Casque Dragoeuf; Voile d'encre; Bottes du Cœur Saignant; Dofus Pourpre; Dofus Ivoire; Dofus Ébène; Dofus Vulbis; Enragé majeur; Remueur</t>
        </is>
      </c>
    </row>
    <row r="12973">
      <c r="A12973" t="inlineStr">
        <is>
          <t>eca anti TP2</t>
        </is>
      </c>
      <c r="B12973">
        <f>HYPERLINK("https://www.dofusbook.net/fr/equipement/5301736-eca-anti-tp2/objets", "link")</f>
        <v/>
      </c>
      <c r="C12973" t="n">
        <v>11</v>
      </c>
      <c r="D12973" t="inlineStr">
        <is>
          <t>Arc du Chalœil; Torquistik; Baguistik; Bague Trithon; Bouclier précieux; Ceinture Gence; Casque Dragoeuf; Cape Aillé; Sabots Minables; Dofus Ébène; Dofus Ivoire; Dofus Pourpre; Bousculeur majeur; Culbuteur majeur; Nomade; Petit Chacha Blanc</t>
        </is>
      </c>
    </row>
    <row r="12974">
      <c r="A12974" t="inlineStr">
        <is>
          <t>Dopou cape classe</t>
        </is>
      </c>
      <c r="B12974">
        <f>HYPERLINK("https://www.dofusbook.net/fr/equipement/4659336-dopou-cape-classe/objets", "link")</f>
        <v/>
      </c>
      <c r="C12974" t="n">
        <v>4</v>
      </c>
      <c r="D12974" t="inlineStr">
        <is>
          <t>Arc du Chalœil; Torquistik; Bague Instable; Bague Trithon; Bouclier précieux; Sangle Ouare; Casque Dragoeuf; Cape Aillé; Bottistik; Dofus Abyssal; Dofus Ocre; Dofus Ivoire; Remueur; Culbuteur majeur; Bousculeur majeur; Tatouf</t>
        </is>
      </c>
    </row>
    <row r="12975">
      <c r="A12975" t="inlineStr">
        <is>
          <t>Roub feu</t>
        </is>
      </c>
      <c r="B12975">
        <f>HYPERLINK("https://www.dofusbook.net/fr/equipement/5107797-roub-feu-/objets", "link")</f>
        <v/>
      </c>
      <c r="C12975" t="n">
        <v>39</v>
      </c>
      <c r="D12975" t="inlineStr">
        <is>
          <t>Arc corrompu; Amulette Volkorne; Anneauræus; Anneau Tique; Bouclier du Stalak; Ceinture Volkorne; Heaume Oplate; Cape de Jahash Jurgen; Bottes Owesli; Dofus des Glaces; Dofus Ocre; Saccageur Feu majeur; Érudit majeur; Dévastateur Feu majeur; Nomade; Bisouglours</t>
        </is>
      </c>
    </row>
    <row r="12976">
      <c r="A12976" t="inlineStr">
        <is>
          <t>Terreau</t>
        </is>
      </c>
      <c r="B12976">
        <f>HYPERLINK("https://www.dofusbook.net/fr/equipement/3054516-terreau/objets", "link")</f>
        <v/>
      </c>
      <c r="C12976" t="n">
        <v>14</v>
      </c>
      <c r="D12976" t="inlineStr">
        <is>
          <t>Dagues de Srambad; Amulette Luminescente; Bracelet du Piloztère; Anneau Volkorne; Quatre-feuilles; Ceinture Volkorne; Masque de Funespadon; Cape au Logis; Bottes Honyme; Dofus Ocre; Dofus Pourpre; Dofus Ivoire; Dofus Ébène; Dofus Nébuleux; Carapace Air majeur; Bébé Pandawa</t>
        </is>
      </c>
    </row>
    <row r="12977">
      <c r="A12977" t="inlineStr">
        <is>
          <t>test</t>
        </is>
      </c>
      <c r="B12977">
        <f>HYPERLINK("https://www.dofusbook.net/fr/equipement/5277448-test/objets", "link")</f>
        <v/>
      </c>
      <c r="C12977" t="n">
        <v>1</v>
      </c>
      <c r="D12977" t="inlineStr">
        <is>
          <t>Arc du Chalœil; Amulette du Cœur Saignant; Anneau Crustique; Anneau de Brouce; Quatre-feuilles; Ceintacé; Masque de Koutoulou; Cape au Logis; Bottes du Cœur Saignant; Dofus Ébène; Dofus Turquoise; Dofus Pourpre; Dofus Ivoire; Enragé majeur; Vigoureux majeur; Bwak de Terre</t>
        </is>
      </c>
    </row>
    <row r="12978">
      <c r="A12978" t="inlineStr">
        <is>
          <t>dopou tournois</t>
        </is>
      </c>
      <c r="B12978">
        <f>HYPERLINK("https://www.dofusbook.net/fr/equipement/4846690-dopou-tournois/objets", "link")</f>
        <v/>
      </c>
      <c r="C12978" t="n">
        <v>9</v>
      </c>
      <c r="D12978" t="inlineStr">
        <is>
          <t>Lav'Hache; Amulette du Nocturlabe; Bague Trithon; Anneau de Brouce; Bivalve; Ceinture Gence; Masque de Koutoulou; Cape au Logis; Bottes Trithon; Dofus Abyssal; Dofus Ivoire; Dofus Pourpre; Bousculeur majeur; Culbuteur majeur; Enragé majeur; Black Tiwabbit</t>
        </is>
      </c>
    </row>
    <row r="12979">
      <c r="A12979" t="inlineStr">
        <is>
          <t>panda test</t>
        </is>
      </c>
      <c r="B12979">
        <f>HYPERLINK("https://www.dofusbook.net/fr/equipement/5271270-panda-test/objets", "link")</f>
        <v/>
      </c>
      <c r="C12979" t="n">
        <v>8</v>
      </c>
      <c r="D12979" t="inlineStr">
        <is>
          <t>Arc corrompu; Amulette Volkorne; Chevalière du Roi Joueur; Anneau Tique; Bouclier du Stalak; Ceinture Volkorne; Chapeau Lithique; Bravoure de Rykke Errel; Bottes Honyme; Dofus Ivoire; Dofus Pourpre; Vigoureux majeur; Remueur; Érudit majeur; Nomade; Kramkram</t>
        </is>
      </c>
    </row>
    <row r="12980">
      <c r="A12980" t="inlineStr">
        <is>
          <t>Olow</t>
        </is>
      </c>
      <c r="B12980">
        <f>HYPERLINK("https://www.dofusbook.net/fr/equipement/3732386-olow/objets", "link")</f>
        <v/>
      </c>
      <c r="C12980" t="n">
        <v>61</v>
      </c>
      <c r="D12980" t="inlineStr">
        <is>
          <t>Rapière aux Glyphes; Amulette de Shokkoth; Alliance Gloursonne; Bracelet des Fonds marins; Quatre-feuilles; Ceinture Voldelor; Kidibonnet; Cape Solution; Pataugastrique; Dofus Pourpre; Carapace Eau majeur; Nomade; Dévastateur Eau majeur; Chanceux majeur; Vigoureux majeur; Muldo Indigo et Pourpre</t>
        </is>
      </c>
    </row>
    <row r="12981">
      <c r="A12981" t="inlineStr">
        <is>
          <t>100cc feu ricole</t>
        </is>
      </c>
      <c r="B12981">
        <f>HYPERLINK("https://www.dofusbook.net/fr/equipement/4736633-100cc-feu-ricole/objets", "link")</f>
        <v/>
      </c>
      <c r="C12981" t="n">
        <v>5</v>
      </c>
      <c r="D12981" t="inlineStr">
        <is>
          <t>Dagues Ricol; Amulette du Strigide; Anneau Tique; Anneau de Padgref; Bouclier du Captain Amakna; Ceinture du Strigide; Coiffe de Padgref; Bravoure de Rykke Errel; Getas de Padgref; Dofus des Glaces; Dofus Turquoise; Dofus Vulbis; Dofus Ocre; Dofus Ivoire; Dofus Ébène; Kokulte</t>
        </is>
      </c>
    </row>
    <row r="12982">
      <c r="A12982" t="inlineStr">
        <is>
          <t>vita</t>
        </is>
      </c>
      <c r="B12982">
        <f>HYPERLINK("https://www.dofusbook.net/fr/equipement/4883101-vita/objets", "link")</f>
        <v/>
      </c>
      <c r="C12982" t="n">
        <v>6</v>
      </c>
      <c r="D12982" t="inlineStr">
        <is>
          <t>Crocobur; Collier de Tourthon; Anneau du Katcheur; Bague Trithon; Détourné; Pagne du Rykaon; Masque du Katcheur; Bravoure de Rykke Errel; Bottes Innommables; Dofus Émeraude; Miraculé; Survivant; Survivant majeur; Remueur; Miraculé majeur; Péki</t>
        </is>
      </c>
    </row>
    <row r="12983">
      <c r="A12983" t="inlineStr">
        <is>
          <t>Test ses</t>
        </is>
      </c>
      <c r="B12983">
        <f>HYPERLINK("https://www.dofusbook.net/fr/equipement/5121214-test-ses/objets", "link")</f>
        <v/>
      </c>
      <c r="C12983" t="n">
        <v>8</v>
      </c>
      <c r="D12983" t="inlineStr">
        <is>
          <t>Pelle de la Cour Sombre; Collier du Valet Veinard; Alliance Gloursonne; Gant du Valet Veinard; Droiture de Fallanster; Ceinture du Barbétoal; Dorabysses; Bravoure de Rykke Errel; Palmes Trithons; Dofus Ocre; Dofus Ivoire; Dofus Ébène; Cascadeur majeur; Remueur; Nomade; Volkorne Ebène</t>
        </is>
      </c>
    </row>
    <row r="12984">
      <c r="A12984" t="inlineStr">
        <is>
          <t>feu docri low</t>
        </is>
      </c>
      <c r="B12984">
        <f>HYPERLINK("https://www.dofusbook.net/fr/equipement/5188738-feu-docri-low/objets", "link")</f>
        <v/>
      </c>
      <c r="C12984" t="n">
        <v>12</v>
      </c>
      <c r="D12984" t="inlineStr">
        <is>
          <t>Arc corrompu; Amulette Volkorne; Anneau Volkorne; Anneau Toriété; Quatre-feuilles; Ceintacé; Heaume Oplate; Cape de la Dame du Hasard; Pataugastrique; Dofus Turquoise; Dévastateur Feu majeur; Vigoureux majeur; Érudit majeur; Nomade; Astucieux majeur; Kokulte</t>
        </is>
      </c>
    </row>
    <row r="12985">
      <c r="A12985" t="inlineStr">
        <is>
          <t>Test</t>
        </is>
      </c>
      <c r="B12985">
        <f>HYPERLINK("https://www.dofusbook.net/fr/equipement/5172965-test/objets", "link")</f>
        <v/>
      </c>
      <c r="C12985" t="n">
        <v>2</v>
      </c>
      <c r="D12985" t="inlineStr">
        <is>
          <t>Hache du Korriandre; Amulette du Strigide; Anneau Volkorne; Alliance Gloursonne; Quatre-feuilles; Ceintacé; Casque Volkorne; Cape Matelassée; Sandales de Tal Kasha; Dofus des Glaces; Dofus Turquoise; Dofus Ivoire; Dofus Ébène; Carapace Eau majeur; Nomade; Kokulte</t>
        </is>
      </c>
    </row>
    <row r="12986">
      <c r="A12986" t="inlineStr">
        <is>
          <t>terre air rykke</t>
        </is>
      </c>
      <c r="B12986">
        <f>HYPERLINK("https://www.dofusbook.net/fr/equipement/5141845-terre-air-rykke/objets", "link")</f>
        <v/>
      </c>
      <c r="C12986" t="n">
        <v>0</v>
      </c>
      <c r="D12986" t="inlineStr">
        <is>
          <t>Héqache; Amulette du Strigide; Bague Gloursonne; Anneau des égarés; Bouclier du Captain Amakna; Ceintacé; Casque Dragoeuf; Bravoure de Rykke Errel; Bottes du Strigide; Dofus Ébène; Dofus Pourpre; Dofus Ivoire; Dofus Turquoise; Dofus Ocre; Nomade; Kokulte</t>
        </is>
      </c>
    </row>
    <row r="12987">
      <c r="A12987" t="inlineStr">
        <is>
          <t>RYKKE terre</t>
        </is>
      </c>
      <c r="B12987">
        <f>HYPERLINK("https://www.dofusbook.net/fr/equipement/4900341-rykke-terre/objets", "link")</f>
        <v/>
      </c>
      <c r="C12987" t="n">
        <v>18</v>
      </c>
      <c r="D12987" t="inlineStr">
        <is>
          <t>Marteau R'ture; Amulette de Gein; Bague Gloursonne; Anneau Volkorne; Droiture de Fallanster; Ceinture Volkorne; Masque de Koutoulou; Bravoure de Rykke Errel; Bottes du Cœur Saignant; Dofus Ocre; Dofus Ébène; Dofus Abyssal; Dofus Turquoise; Dofus Ivoire; Nomade; Bwak de Terre</t>
        </is>
      </c>
    </row>
    <row r="12988">
      <c r="A12988" t="inlineStr">
        <is>
          <t>trompes de Fallope</t>
        </is>
      </c>
      <c r="B12988">
        <f>HYPERLINK("https://www.dofusbook.net/fr/equipement/5141553-trompes-de-fallope/objets", "link")</f>
        <v/>
      </c>
      <c r="C12988" t="n">
        <v>4</v>
      </c>
      <c r="D12988" t="inlineStr">
        <is>
          <t>Marteau R'ture; Collier de Tourthon; Anneau de Brouce; Anneau Crustique; Droiture de Fallanster; Ceintacé; Masque de Koutoulou; Bravoure de Rykke Errel; Bottes de Brouce; Dofus Pourpre; Dofus Ivoire; Dofus Turquoise; Dofus Ébène; Nomade; Enragé majeur; Bwak de Terre</t>
        </is>
      </c>
    </row>
    <row r="12989">
      <c r="A12989" t="inlineStr">
        <is>
          <t>XelOS</t>
        </is>
      </c>
      <c r="B12989">
        <f>HYPERLINK("https://www.dofusbook.net/fr/equipement/3252619-xelos/objets", "link")</f>
        <v/>
      </c>
      <c r="C12989" t="n">
        <v>14</v>
      </c>
      <c r="D12989" t="inlineStr">
        <is>
          <t>Marteau R'ture; Collier de Tourthon; Anneau Chevelu; Anneau Crustique; Droiture de Fallanster; Ceinture de la Cour Sombre; Masque de Koutoulou; Bravoure de Rykke Errel; Bottes de la Cour Sombre; Dofus Pourpre; Dofus Ivoire; Dofus Turquoise; Enragé majeur; Carapace Eau majeur; Volkorne Emeraude et Pourpre</t>
        </is>
      </c>
    </row>
    <row r="12990">
      <c r="A12990" t="inlineStr">
        <is>
          <t>test ret pa ryk</t>
        </is>
      </c>
      <c r="B12990">
        <f>HYPERLINK("https://www.dofusbook.net/fr/equipement/5140958-test-ret-pa-ryk/objets", "link")</f>
        <v/>
      </c>
      <c r="C12990" t="n">
        <v>7</v>
      </c>
      <c r="D12990" t="inlineStr">
        <is>
          <t>Hache Ériphe; Amulette du Cœur Vaillant; Chevalière du Roi Joueur; Anneau Crustique; Droiture de Fallanster; Ceinture Volkorne; Casque Dragoeuf; Bravoure de Rykke Errel; Bottes du Cœur Vaillant; Dofus Ocre; Dofus Ébène; Enragé majeur; Remueur; Étourdisseur majeur; Nomade; Koalak Sanguin</t>
        </is>
      </c>
    </row>
    <row r="12991">
      <c r="A12991" t="inlineStr">
        <is>
          <t>Best feu soutien</t>
        </is>
      </c>
      <c r="B12991">
        <f>HYPERLINK("https://www.dofusbook.net/fr/equipement/4799713-best-feu-soutien/objets", "link")</f>
        <v/>
      </c>
      <c r="C12991" t="n">
        <v>17</v>
      </c>
      <c r="D12991" t="inlineStr">
        <is>
          <t>Arc corrompu; Amulette Volkorne; Anneau Tique; Anneauræus; Droiture de Fallanster; Ceinture Volkorne; Casque Dragoeuf; Bravoure de Rykke Errel; Pataugastrique; Dofus Pourpre; Dofus Ébène; Dofus Ivoire; Remueur; Érudit majeur; Nomade; Bisouglours</t>
        </is>
      </c>
    </row>
    <row r="12992">
      <c r="A12992" t="inlineStr">
        <is>
          <t>Eau</t>
        </is>
      </c>
      <c r="B12992">
        <f>HYPERLINK("https://www.dofusbook.net/fr/equipement/4131284-eau/objets", "link")</f>
        <v/>
      </c>
      <c r="C12992" t="n">
        <v>16</v>
      </c>
      <c r="D12992" t="inlineStr">
        <is>
          <t>Dagoulinantes; Amulette de Shokkoth; Alliance Gloursonne; Anneau Volkorne; Quatre-feuilles; Ceinture Volkorne; Casque Dragoeuf; Cape Solution; Pataugastrique; Dofus des Glaces; Dofus Pourpre; Dofus Ébène; Dofus Ivoire; Nomade; Chanceux majeur; Kanigloups</t>
        </is>
      </c>
    </row>
    <row r="12993">
      <c r="A12993" t="inlineStr">
        <is>
          <t>Eca dopou Rykke</t>
        </is>
      </c>
      <c r="B12993">
        <f>HYPERLINK("https://www.dofusbook.net/fr/equipement/5133550-eca-dopou-rykke/objets", "link")</f>
        <v/>
      </c>
      <c r="C12993" t="n">
        <v>1</v>
      </c>
      <c r="D12993" t="inlineStr">
        <is>
          <t>Arc du Chalœil; Amulette Ementaire Deluxe; Anneau de Pol Ouatnos; Bague Trithon; Bouclier Taverne; Ceinture Gence; Casque Dragoeuf; Bravoure de Rykke Errel; Bottes Trithon; Dofus Ocre; Dofus Ébène; Dofus Ivoire; Dofus Abyssal; Bousculeur majeur; Culbuteur majeur; Black Tiwabbit</t>
        </is>
      </c>
    </row>
    <row r="12994">
      <c r="A12994" t="inlineStr">
        <is>
          <t>Feca OS</t>
        </is>
      </c>
      <c r="B12994">
        <f>HYPERLINK("https://www.dofusbook.net/fr/equipement/5050490-feca-os/objets", "link")</f>
        <v/>
      </c>
      <c r="C12994" t="n">
        <v>42</v>
      </c>
      <c r="D12994" t="inlineStr">
        <is>
          <t>Epée Maudite du Saigneur Guerrier; Amulette Volkorne; Anneau Volkorne; Bague Trithon; Bouclier du Captain Amakna; Ceinture Gence; Casque Dragoeuf; Bravoure de Rykke Errel; Bottes Trithon; Dofus Pourpre; Dofus Ivoire; Dofus Turquoise; Dofus des Glaces; Dofus Vulbis; Dofus Ocre; Kokulte</t>
        </is>
      </c>
    </row>
    <row r="12995">
      <c r="A12995" t="inlineStr">
        <is>
          <t>Sram soin Feu tacle</t>
        </is>
      </c>
      <c r="B12995">
        <f>HYPERLINK("https://www.dofusbook.net/fr/equipement/5104713-sram-soin-feu-tacle/objets", "link")</f>
        <v/>
      </c>
      <c r="C12995" t="n">
        <v>7</v>
      </c>
      <c r="D12995" t="inlineStr">
        <is>
          <t>Arc Hétype; Amulette Volkorne; Alliance Brûlâme; Anneau Tique; Bouclier du Stalak; Ceinture Volkorne; Dorabysses; Bravoure de Rykke Errel; Pompes Funèbres; Dolmanax; Dofus Ocre; Dofus Vulbis; Dofus Ivoire; Dofus Pourpre; Dofus Ébène; Volkorne Orchidée et Ebène</t>
        </is>
      </c>
    </row>
    <row r="12996">
      <c r="A12996" t="inlineStr">
        <is>
          <t>Test</t>
        </is>
      </c>
      <c r="B12996">
        <f>HYPERLINK("https://www.dofusbook.net/fr/equipement/5092692-test/objets", "link")</f>
        <v/>
      </c>
      <c r="C12996" t="n">
        <v>2</v>
      </c>
      <c r="D12996" t="inlineStr">
        <is>
          <t>Marteau R'ture; Amulette du Cœur Vaillant; Anneau Crustique; Anneau du Chêne Mou; Bouclier d'Ilyzaelle; Ceinture Gence; Masque de Koutoulou; Bravoure de Rykke Errel; Bottes du Cœur Vaillant; Dofus Ivoire; Dofus Pourpre; Dofus Ébène; Nomade; Carapace Terre majeur; Étourdisseur majeur; Drakopin</t>
        </is>
      </c>
    </row>
    <row r="12997">
      <c r="A12997" t="inlineStr">
        <is>
          <t>sup</t>
        </is>
      </c>
      <c r="B12997">
        <f>HYPERLINK("https://www.dofusbook.net/fr/equipement/5055547-sup/objets", "link")</f>
        <v/>
      </c>
      <c r="C12997" t="n">
        <v>1</v>
      </c>
      <c r="D12997" t="inlineStr">
        <is>
          <t>Arc Volkorne; Amulette du Strigide; Bague Trithon; Alliance Brûlâme; Quatre-feuilles; Ceinture du Strigide; Masque d'Anerice; Cape d'Anerice; Bottes Trithon; Dofus des Glaces; Dofus Turquoise; Dofus Ivoire; Dolmanax; Dofus Vulbis; Dofus Ocre; Fëanor</t>
        </is>
      </c>
    </row>
    <row r="12998">
      <c r="A12998" t="inlineStr">
        <is>
          <t>Osa Soin</t>
        </is>
      </c>
      <c r="B12998">
        <f>HYPERLINK("https://www.dofusbook.net/fr/equipement/2168446-osa-soin/objets", "link")</f>
        <v/>
      </c>
      <c r="C12998" t="n">
        <v>4</v>
      </c>
      <c r="D12998" t="inlineStr">
        <is>
          <t>Baguette de Malléfisk; Amulette Ementaire Deluxe; Anneau Rifique; Chevalière du Roi Joueur; Droiture de Fallanster; Ceinture de Vortex; Cagoule de Vortex; Cape de Diondin; Bottes Innommables; Dofus Ivoire; Obstructeur majeur; Remueur; Miraculé majeur; Guérisseur majeur; Nomade; Kramkram</t>
        </is>
      </c>
    </row>
    <row r="12999">
      <c r="A12999" t="inlineStr">
        <is>
          <t>Elio low</t>
        </is>
      </c>
      <c r="B12999">
        <f>HYPERLINK("https://www.dofusbook.net/fr/equipement/4382478-elio-low/objets", "link")</f>
        <v/>
      </c>
      <c r="C12999" t="n">
        <v>33</v>
      </c>
      <c r="D12999" t="inlineStr">
        <is>
          <t>Arc du Chalœil; Amulette de Gein; Anneau Chevelu; Anneau de Brouce; Quatre-feuilles; Ceinture de Brouce; Masque de Koutoulou; Cape au Logis; Bottes Honyme; Vigoureux majeur; Remueur; Enragé majeur; Carapace Terre majeur; Carapace Eau majeur; Nomade; Bulbisou</t>
        </is>
      </c>
    </row>
    <row r="13000">
      <c r="A13000" t="inlineStr">
        <is>
          <t>Feca Antisacri</t>
        </is>
      </c>
      <c r="B13000">
        <f>HYPERLINK("https://www.dofusbook.net/fr/equipement/5041228-feca-antisacri/objets", "link")</f>
        <v/>
      </c>
      <c r="C13000" t="n">
        <v>3</v>
      </c>
      <c r="D13000" t="inlineStr">
        <is>
          <t>Pelle de la Cour Sombre; Collier du Valet Veinard; Gant du Valet Veinard; Alliance Gloursonne; Bouclier du Captain Amakna; Ceintouse; Dorabysses; Cape Martegel; Pantoufles Émar; Dofus Émeraude; Dokoko; Dofus Ivoire; Remueur; Cascadeur majeur; Muraille Air majeure; Tiwabbit Kiafin</t>
        </is>
      </c>
    </row>
    <row r="13001">
      <c r="A13001" t="inlineStr">
        <is>
          <t>Timtoornois hup</t>
        </is>
      </c>
      <c r="B13001">
        <f>HYPERLINK("https://www.dofusbook.net/fr/equipement/4999943-timtoornois-hup/objets", "link")</f>
        <v/>
      </c>
      <c r="C13001" t="n">
        <v>13</v>
      </c>
      <c r="D13001" t="inlineStr">
        <is>
          <t>Arc corrompu; Amulette Volkorne; Anneau Tique; Anneauræus; Bouclier d'Ilyzaelle; Ceinture Volkorne; Casque Dragoeuf; Bravoure de Rykke Errel; Pataugastrique; Dofus Ivoire; Dofus Ébène; Dofus Ocre; Érudit majeur; Observateur; Nomade; Bisouglours</t>
        </is>
      </c>
    </row>
    <row r="13002">
      <c r="A13002" t="inlineStr">
        <is>
          <t>Eau air midlow</t>
        </is>
      </c>
      <c r="B13002">
        <f>HYPERLINK("https://www.dofusbook.net/fr/equipement/5008775-eau-air-midlow/objets", "link")</f>
        <v/>
      </c>
      <c r="C13002" t="n">
        <v>9</v>
      </c>
      <c r="D13002" t="inlineStr">
        <is>
          <t>Arc de Koutoulou; Amulette Voldelor; Bracelet des Fonds marins; Alliance Gloursonne; Quatre-feuilles; Ceinture Voldelor; Masque du Barbétoal; Cape Matelassée; Pantoufles Émar; Dofus Pourpre; Dofus des Glaces; Voyageur; Nomade; Vigoureux majeur; Remueur; Mini Wa</t>
        </is>
      </c>
    </row>
    <row r="13003">
      <c r="A13003" t="inlineStr">
        <is>
          <t>Ougi esq pm PA tourno</t>
        </is>
      </c>
      <c r="B13003">
        <f>HYPERLINK("https://www.dofusbook.net/fr/equipement/4953026-ougi-esq-pm-pa-tourno/objets", "link")</f>
        <v/>
      </c>
      <c r="C13003" t="n">
        <v>6</v>
      </c>
      <c r="D13003" t="inlineStr">
        <is>
          <t>Arc du Chalœil; Collier de Tourthon; Anneau des égarés; Anneau de Brouce; Bouclier d'Ilyzaelle; Ceinture Volkorne; Casque Dragoeuf; Bravoure de Rykke Errel; Bottes de Brouce; Dofus Pourpre; Dofus Ivoire; Dofus Ébène; Dofus Vulbis; Enragé majeur; Remueur; Chienchien Tigré</t>
        </is>
      </c>
    </row>
    <row r="13004">
      <c r="A13004" t="inlineStr">
        <is>
          <t>Feu resi tournois</t>
        </is>
      </c>
      <c r="B13004">
        <f>HYPERLINK("https://www.dofusbook.net/fr/equipement/4631445-feu-resi-tournois/objets", "link")</f>
        <v/>
      </c>
      <c r="C13004" t="n">
        <v>10</v>
      </c>
      <c r="D13004" t="inlineStr">
        <is>
          <t>Arc corrompu; Amulette Volkorne; Anneauræus; Anneau Tique; Cadran de Terre; Ceinture Volkorne; Casque Dragoeuf; Bravoure de Rykke Errel; Pataugastrique; Dofus Ivoire; Dofus Vulbis; Dofus Pourpre; Dofus Ocre; Dofus Ébène; Érudit majeur; Bisouglours</t>
        </is>
      </c>
    </row>
    <row r="13005">
      <c r="A13005" t="inlineStr">
        <is>
          <t>Best terre koli</t>
        </is>
      </c>
      <c r="B13005">
        <f>HYPERLINK("https://www.dofusbook.net/fr/equipement/4993402-best-terre-koli/objets", "link")</f>
        <v/>
      </c>
      <c r="C13005" t="n">
        <v>12</v>
      </c>
      <c r="D13005" t="inlineStr">
        <is>
          <t>Marteau R'ture; Collier de Tourthon; Anneau Crustique; Anneau de Brouce; Bouclier d'Ilyzaelle; Ceinture Gence; Masque de Koutoulou; Bravoure de Rykke Errel; Bottes de Brouce; Dofus Ivoire; Dofus Pourpre; Dofus Ébène; Nomade; Enragé majeur; Vigoureux majeur; Bwak de Terre</t>
        </is>
      </c>
    </row>
    <row r="13006">
      <c r="A13006" t="inlineStr">
        <is>
          <t>sadi fourbe low</t>
        </is>
      </c>
      <c r="B13006">
        <f>HYPERLINK("https://www.dofusbook.net/fr/equipement/4895786-sadi-fourbe-low/objets", "link")</f>
        <v/>
      </c>
      <c r="C13006" t="n">
        <v>4</v>
      </c>
      <c r="D13006" t="inlineStr">
        <is>
          <t>Arc Honte; Amulette de l'Indicible; Alliance Gloursonne; Anneau Tique; Bouclier du Stalak; Ougature; Le Dorado; Voilamibe; Bottes de l'Indicible; Dofus des Glaces; Temporiseur majeur; Remueur; Entraveur majeur; Vigoureux majeur; Nomade; Volkorne Turquoise</t>
        </is>
      </c>
    </row>
    <row r="13007">
      <c r="A13007" t="inlineStr">
        <is>
          <t>multi OMG2</t>
        </is>
      </c>
      <c r="B13007">
        <f>HYPERLINK("https://www.dofusbook.net/fr/equipement/2864003-multi-omg2/objets", "link")</f>
        <v/>
      </c>
      <c r="C13007" t="n">
        <v>37</v>
      </c>
      <c r="D13007" t="inlineStr">
        <is>
          <t>Arc Volkorne; Amulette du Strigide; Bracelet du Piloztère; Alliance Gloursonne; Quatre-feuilles; Ceintacé; Casque Dragoeuf; Voile d'encre; Bottes du Strigide; Dofus des Glaces; Dofus Turquoise; Dofus Nébuleux; Dofus Ocre; Dolmanax; Nomade; Kokulte</t>
        </is>
      </c>
    </row>
    <row r="13008">
      <c r="A13008" t="inlineStr">
        <is>
          <t>Feu air canne</t>
        </is>
      </c>
      <c r="B13008">
        <f>HYPERLINK("https://www.dofusbook.net/fr/equipement/4955901-feu-air-canne/objets", "link")</f>
        <v/>
      </c>
      <c r="C13008" t="n">
        <v>7</v>
      </c>
      <c r="D13008" t="inlineStr">
        <is>
          <t>Canne Harr; Amulette du Strigide; Anneau de Padgref; Anneau Toriété; Bouclier du Captain Amakna; Ceintacé; Casque Cyclopéen; Cape d'Atcham; Bottes du Strigide; Dofus des Glaces; Dofus Ocre; Dofus Turquoise; Dofus Ivoire; Dofus Pourpre; Dofus Ébène; Kokulte</t>
        </is>
      </c>
    </row>
    <row r="13009">
      <c r="A13009" t="inlineStr">
        <is>
          <t>Nexus-s</t>
        </is>
      </c>
      <c r="B13009">
        <f>HYPERLINK("https://www.dofusbook.net/fr/equipement/4953719-nexus-s/objets", "link")</f>
        <v/>
      </c>
      <c r="C13009" t="n">
        <v>3</v>
      </c>
      <c r="D13009" t="inlineStr">
        <is>
          <t>Dagues de Srambad; Amulette Ementaire Deluxe; Alliance Brûlâme; Bague Gloursonne; Bouclier Taverne; Ceinture de la Reine des Voleurs; Coiffe de la Reine des Voleurs; Voile d'encre; Baleinabottes; Dokoko; Dofus Nébuleux; Dofus Pourpre; Dofus Ocre; Nomade; Vigoureux majeur</t>
        </is>
      </c>
    </row>
    <row r="13010">
      <c r="A13010" t="inlineStr">
        <is>
          <t>Ougi roxx tank</t>
        </is>
      </c>
      <c r="B13010">
        <f>HYPERLINK("https://www.dofusbook.net/fr/equipement/4931367-ougi-roxx-tank/objets", "link")</f>
        <v/>
      </c>
      <c r="C13010" t="n">
        <v>3</v>
      </c>
      <c r="D13010" t="inlineStr">
        <is>
          <t>Arc du Chalœil; Collier de Tourthon; Anneau Chevelu; Anneau des égarés; Bouclier d'Ilyzaelle; Ceintacé; Casque Dragoeuf; Bravoure de Rykke Errel; Bottes de Brouce; Dofus Ébène; Dofus Vulbis; Dofus Pourpre; Dofus Ivoire; Carapace Terre majeur; Remueur; Bulbisou</t>
        </is>
      </c>
    </row>
    <row r="13011">
      <c r="A13011" t="inlineStr">
        <is>
          <t>Feca 1c3</t>
        </is>
      </c>
      <c r="B13011">
        <f>HYPERLINK("https://www.dofusbook.net/fr/equipement/3879720-feca-1c3/objets", "link")</f>
        <v/>
      </c>
      <c r="C13011" t="n">
        <v>19</v>
      </c>
      <c r="D13011" t="inlineStr">
        <is>
          <t>Arc corrompu; Pendentif mignon de Koutoulou; Anneau Rifique; Baguistik; Bouclier du Stalak; Ceinture de Gein; Heaume Oplate; Voile d'encre; Pompes Funèbres; Dofus Pourpre; Dofus Turquoise; Nomade; Érudit majeur; Carapace Terre majeur; Remueur; Wabbit</t>
        </is>
      </c>
    </row>
    <row r="13012">
      <c r="A13012" t="inlineStr">
        <is>
          <t>Sadi terre feu</t>
        </is>
      </c>
      <c r="B13012">
        <f>HYPERLINK("https://www.dofusbook.net/fr/equipement/4605346-sadi-terre-feu/objets", "link")</f>
        <v/>
      </c>
      <c r="C13012" t="n">
        <v>3</v>
      </c>
      <c r="D13012" t="inlineStr">
        <is>
          <t>Arc Hétype; Amulette Volkorne; Anneau Toriété; Chevalière du Roi Joueur; Quatre-feuilles; Ceinture Volkorne; Chapeau de Gein; Bravoure de Rykke Errel; Bottes Honyme; Dofus Ivoire; Dofus des Glaces; Dofus Ébène; Dofus Pourpre; Dofus Ocre; Déserteur majeur; Bwak d'Eau</t>
        </is>
      </c>
    </row>
    <row r="13013">
      <c r="A13013" t="inlineStr">
        <is>
          <t>Terre esq PA</t>
        </is>
      </c>
      <c r="B13013">
        <f>HYPERLINK("https://www.dofusbook.net/fr/equipement/4930411-terre-esq-pa/objets", "link")</f>
        <v/>
      </c>
      <c r="C13013" t="n">
        <v>1</v>
      </c>
      <c r="D13013" t="inlineStr">
        <is>
          <t>Marteau R'ture; Collier de Tourthon; Anneau des égarés; Anneau de Brouce; Bouclier d'Ilyzaelle; Ceinture Volkorne; Casque Dragoeuf; Bravoure de Rykke Errel; Bottes de Brouce; Dofus Ivoire; Dofus Ébène; Dofus Vulbis; Évasif majeur; Carapace Terre majeur; Remueur; Chienchien Tigré</t>
        </is>
      </c>
    </row>
    <row r="13014">
      <c r="A13014" t="inlineStr">
        <is>
          <t>Airdopou</t>
        </is>
      </c>
      <c r="B13014">
        <f>HYPERLINK("https://www.dofusbook.net/fr/equipement/3596046-airdopou/objets", "link")</f>
        <v/>
      </c>
      <c r="C13014" t="n">
        <v>8</v>
      </c>
      <c r="D13014" t="inlineStr">
        <is>
          <t>Hachoirs de Viandargh; Amibou; Bague Instable; Bague Trithon; Bouclier précieux; Ceinture Gence; Casque Dragoeuf; Capibou; Bottes du Cœur Vaillant; Dofus Ivoire; Pousseur majeur; Bousculeur majeur; Remueur; Culbuteur majeur; Culbuteur; Balafreux</t>
        </is>
      </c>
    </row>
    <row r="13015">
      <c r="A13015" t="inlineStr">
        <is>
          <t>Eau ret 2</t>
        </is>
      </c>
      <c r="B13015">
        <f>HYPERLINK("https://www.dofusbook.net/fr/equipement/4927386-eau-ret-2/objets", "link")</f>
        <v/>
      </c>
      <c r="C13015" t="n">
        <v>2</v>
      </c>
      <c r="D13015" t="inlineStr">
        <is>
          <t>Dagoulinantes; Amulette de Shokkoth; Alliance Gloursonne; Anneau Volkorne; Cadran de Terre; Pagne du Rykaon; Capuche de l'Œil Attentif; Cape de l'Œil Attentif; Pataugastrique; Dofus Ocre; Dofus Pourpre; Dofus Ivoire; Dofus Ébène; Chanceux majeur; Nomade; Kanigloups</t>
        </is>
      </c>
    </row>
    <row r="13016">
      <c r="A13016" t="inlineStr">
        <is>
          <t>terre res</t>
        </is>
      </c>
      <c r="B13016">
        <f>HYPERLINK("https://www.dofusbook.net/fr/equipement/4768992-terre-res/objets", "link")</f>
        <v/>
      </c>
      <c r="C13016" t="n">
        <v>3</v>
      </c>
      <c r="D13016" t="inlineStr">
        <is>
          <t>Arc du Chalœil; Amulette du Cœur Saignant; Bague Gloursonne; Anneau Volkorne; Bouclier d'Ilyzaelle; Ceinture Volkorne; Masque de Koutoulou; Voile d'encre; Dofus Turquoise; Dofus Ivoire; Dofus Vulbis; Dofus Ocre; Dofus Pourpre; Dofus Abyssal; Bwak de Terre</t>
        </is>
      </c>
    </row>
    <row r="13017">
      <c r="A13017" t="inlineStr">
        <is>
          <t>Terre Rykke noCC</t>
        </is>
      </c>
      <c r="B13017">
        <f>HYPERLINK("https://www.dofusbook.net/fr/equipement/4920817-terre-rykke-nocc/objets", "link")</f>
        <v/>
      </c>
      <c r="C13017" t="n">
        <v>6</v>
      </c>
      <c r="D13017" t="inlineStr">
        <is>
          <t>Lav'Hache; Collier de Tourthon; Anneau Chevelu; Bague Gloursonne; Bouclier d'Ilyzaelle; Ceinture de la Reine des Voleurs; Coiffe de la Reine des Voleurs; Bravoure de Rykke Errel; Sabots Minables; Dofus Pourpre; Dofus Vulbis; Dofus Ébène; Dofus Ivoire; Remueur; Enragé majeur; Bwak de Feu</t>
        </is>
      </c>
    </row>
    <row r="13018">
      <c r="A13018" t="inlineStr">
        <is>
          <t>Eu air 12 6</t>
        </is>
      </c>
      <c r="B13018">
        <f>HYPERLINK("https://www.dofusbook.net/fr/equipement/4903437-eu-air-12-6/objets", "link")</f>
        <v/>
      </c>
      <c r="C13018" t="n">
        <v>7</v>
      </c>
      <c r="D13018" t="inlineStr">
        <is>
          <t>Sabres d'Atcham; Amulette d'Ilyzaelle; Alliance Gloursonne; Anneau Volkorne; Bouclier d'Ilyzaelle; Ceinture Volkorne; Casque d'Ilyzaelle; Cape d'Atcham; Sandales  d'Atcham; Dofus Ivoire; Dofus Ocre; Dofus Vulbis; Dofus Pourpre; Dofus Ébène; Dolmanax; Bwak d'Air</t>
        </is>
      </c>
    </row>
    <row r="13019">
      <c r="A13019" t="inlineStr">
        <is>
          <t>Terre docri</t>
        </is>
      </c>
      <c r="B13019">
        <f>HYPERLINK("https://www.dofusbook.net/fr/equipement/4737801-terre-docri/objets", "link")</f>
        <v/>
      </c>
      <c r="C13019" t="n">
        <v>11</v>
      </c>
      <c r="D13019" t="inlineStr">
        <is>
          <t>Marteau R'ture; Amulette du Strigide; Bague Trithon; Anneau Toriété; Cadran d'Eau; Ceintacé; Masque de Koutoulou; Bravoure de Rykke Errel; Bottes du Strigide; Dofus des Glaces; Dofus Ébène; Dofus Pourpre; Dofus Turquoise; Dofus Ivoire; Carapace Terre majeur; Kokulte</t>
        </is>
      </c>
    </row>
    <row r="13020">
      <c r="A13020" t="inlineStr">
        <is>
          <t>Feca/hup/ecafeu docri</t>
        </is>
      </c>
      <c r="B13020">
        <f>HYPERLINK("https://www.dofusbook.net/fr/equipement/4803551-feca-hup-ecafeu-docri/objets", "link")</f>
        <v/>
      </c>
      <c r="C13020" t="n">
        <v>13</v>
      </c>
      <c r="D13020" t="inlineStr">
        <is>
          <t>Arc corrompu; Amulette Volkorne; Anneau Volkorne; Anneauræus; Quatre-feuilles; Ceintacé; Heaume Oplate; Cape de la Dame du Hasard; Bottes de la Dame du Hasard; Dofus des Glaces; Dofus Turquoise; Dofus Pourpre; Dofus Vulbis; Dofus Ivoire; Astucieux majeur; Kokulte</t>
        </is>
      </c>
    </row>
    <row r="13021">
      <c r="A13021" t="inlineStr">
        <is>
          <t>Ecaodocri</t>
        </is>
      </c>
      <c r="B13021">
        <f>HYPERLINK("https://www.dofusbook.net/fr/equipement/3992034-ecaodocri/objets", "link")</f>
        <v/>
      </c>
      <c r="C13021" t="n">
        <v>16</v>
      </c>
      <c r="D13021" t="inlineStr">
        <is>
          <t>Sceptre du Roi Joueur; Collier de la Dame du Hasard; Anneau Volkorne; Alliance Gloursonne; Bouclier du Stalak; Sangle Ouare; Casque Dragoeuf; Cape de la Dame du Hasard; Pataugastrique; Dofus Ivoire; Dofus Turquoise; Dofus Ocre; Dofus Pourpre; Vigoureux majeur; Chanceux majeur; Pioute bleu</t>
        </is>
      </c>
    </row>
    <row r="13022">
      <c r="A13022" t="inlineStr">
        <is>
          <t>EAU 50</t>
        </is>
      </c>
      <c r="B13022">
        <f>HYPERLINK("https://www.dofusbook.net/fr/equipement/2277505-eau-50/objets", "link")</f>
        <v/>
      </c>
      <c r="C13022" t="n">
        <v>9</v>
      </c>
      <c r="D13022" t="inlineStr">
        <is>
          <t>Sceptre du Roi Joueur; Amulette Voldelor; Bracelet des Fonds marins; Alliance Gloursonne; Bouclier d'Ilyzaelle; Ceintacé; Casque Dragoeuf; Cape de l'Œil Attentif; Sandales des Fonds marins; Dofus Émeraude; Dofus Pourpre; Dofus Ivoire; Remueur; Carapace Air majeur; Miraculé majeur; Muldo Ebène et Indigo</t>
        </is>
      </c>
    </row>
    <row r="13023">
      <c r="A13023" t="inlineStr">
        <is>
          <t>Osram</t>
        </is>
      </c>
      <c r="B13023">
        <f>HYPERLINK("https://www.dofusbook.net/fr/equipement/4685475-osram/objets", "link")</f>
        <v/>
      </c>
      <c r="C13023" t="n">
        <v>4</v>
      </c>
      <c r="D13023" t="inlineStr">
        <is>
          <t>Crocobur; Amulette du Cœur Saignant; Anneau Volkorne; Anneau Chevelu; Bouclier du Captain Amakna; Ceinture Volkorne; Masque de Koutoulou; Cape de Jahash Jurgen; Bottes de Brouce; Dofus Turquoise; Dofus Vulbis; Dofus Nébuleux; Dofus Ocre; Forcené majeur; Enragé majeur; Pioute vert</t>
        </is>
      </c>
    </row>
    <row r="13024">
      <c r="A13024" t="inlineStr">
        <is>
          <t>Best elio</t>
        </is>
      </c>
      <c r="B13024">
        <f>HYPERLINK("https://www.dofusbook.net/fr/equipement/4441984-best-elio/objets", "link")</f>
        <v/>
      </c>
      <c r="C13024" t="n">
        <v>8</v>
      </c>
      <c r="D13024" t="inlineStr">
        <is>
          <t>Arc du Chalœil; Amulette de Gein; Anneau Volkorne; Anneau Chevelu; Quatre-feuilles; Ceinture Volkorne; Masque de Koutoulou; Cape au Logis; Bottes Honyme; Dofus Nébuleux; Dofus des Glaces; Dofus Pourpre; Dofus Ébène; Dofus Ivoire; Enragé majeur; Pioute vert</t>
        </is>
      </c>
    </row>
    <row r="13025">
      <c r="A13025" t="inlineStr">
        <is>
          <t>rési air AF</t>
        </is>
      </c>
      <c r="B13025">
        <f>HYPERLINK("https://www.dofusbook.net/fr/equipement/4865970-resi-air-af/objets", "link")</f>
        <v/>
      </c>
      <c r="C13025" t="n">
        <v>1</v>
      </c>
      <c r="D13025" t="inlineStr">
        <is>
          <t>Arc du Chalœil; Amulette du Strigide; Anneau Chevelu; Bague Gloursonne; Cadran d'Air; Ceinture du Strigide; Masque de Funespadon; Cape au Logis; Bottes du Cœur Saignant; Dofus Turquoise; Dofus Ocre; Dofus Ivoire; Dofus Ébène; Remueur; Muraille Air majeure; Tiwabbit Kiafin</t>
        </is>
      </c>
    </row>
    <row r="13026">
      <c r="A13026" t="inlineStr">
        <is>
          <t>Feu Jerem</t>
        </is>
      </c>
      <c r="B13026">
        <f>HYPERLINK("https://www.dofusbook.net/fr/equipement/4862719-feu-jerem/objets", "link")</f>
        <v/>
      </c>
      <c r="C13026" t="n">
        <v>6</v>
      </c>
      <c r="D13026" t="inlineStr">
        <is>
          <t>Arc corrompu; Amulette Volkorne; Anneau Tique; Anneauræus; Quatre-feuilles; Ceinture Volkorne; Heaume Oplate; Voile d'encre; Bottes Owesli; Dofus Pourpre; Dofus Ocre; Évasif majeur; Nomade; Cavaleur majeur; Érudit majeur; Bisouglours</t>
        </is>
      </c>
    </row>
    <row r="13027">
      <c r="A13027" t="inlineStr">
        <is>
          <t>sadi terre low</t>
        </is>
      </c>
      <c r="B13027">
        <f>HYPERLINK("https://www.dofusbook.net/fr/equipement/4858538-sadi-terre-low/objets", "link")</f>
        <v/>
      </c>
      <c r="C13027" t="n">
        <v>10</v>
      </c>
      <c r="D13027" t="inlineStr">
        <is>
          <t>Arc du Chalœil; Amulette Héroclite; Anneau Crustique; Anneau de Brouce; Quatre-feuilles; Ceinture Gence; Masque de Koutoulou; Cape au Logis; Bottes Honyme; Carapace Terre majeur; Enragé majeur; Forcené majeur; Vigoureux majeur; Nomade; Bwak de Terre</t>
        </is>
      </c>
    </row>
    <row r="13028">
      <c r="A13028" t="inlineStr">
        <is>
          <t>Sadi Low</t>
        </is>
      </c>
      <c r="B13028">
        <f>HYPERLINK("https://www.dofusbook.net/fr/equipement/4858249-sadi-low/objets", "link")</f>
        <v/>
      </c>
      <c r="C13028" t="n">
        <v>4</v>
      </c>
      <c r="D13028" t="inlineStr">
        <is>
          <t>Dagoulinantes; Collier de la Dame du Hasard; Alliance Gloursonne; Bracelet des Fonds marins; Quatre-feuilles; Sangle Ouare; Chapeau Tyron; Cape de la Dame du Hasard; Bottes Honyme; Dofus Turquoise; Nomade; Vigoureux majeur; Carapace Eau majeur; Chanceux majeur; Remueur; Kanigloups</t>
        </is>
      </c>
    </row>
    <row r="13029">
      <c r="A13029" t="inlineStr">
        <is>
          <t>Eca dopou terre</t>
        </is>
      </c>
      <c r="B13029">
        <f>HYPERLINK("https://www.dofusbook.net/fr/equipement/4572786-eca-dopou-terre/objets", "link")</f>
        <v/>
      </c>
      <c r="C13029" t="n">
        <v>9</v>
      </c>
      <c r="D13029" t="inlineStr">
        <is>
          <t>Arc du Chalœil; Amulette Luminescente; Bague Trithon; Anneau Crustique; Bivalve; Ceinture Gence; Masque de Koutoulou; Cape du Cœur Vaillant; Bottes Trithon; Dofus Pourpre; Dofus Abyssal; Dofus Ivoire; Bousculeur majeur; Nomade; Culbuteur majeur; Black Tiwabbit</t>
        </is>
      </c>
    </row>
    <row r="13030">
      <c r="A13030" t="inlineStr">
        <is>
          <t>Test feu2</t>
        </is>
      </c>
      <c r="B13030">
        <f>HYPERLINK("https://www.dofusbook.net/fr/equipement/4736908-test-feu2/objets", "link")</f>
        <v/>
      </c>
      <c r="C13030" t="n">
        <v>0</v>
      </c>
      <c r="D13030" t="inlineStr">
        <is>
          <t>Dagues Ricol; Amulette Volkorne; Anneau Volkorne; Anneau Toriété; Bouclier du Captain Amakna; Ceintacé; Casque Dragoeuf; Cape de la Dame du Hasard; Bottes de la Dame du Hasard; Dofus des Glaces; Dofus Turquoise; Dofus Pourpre; Dofus Ébène; Dofus Ivoire; Kokulte</t>
        </is>
      </c>
    </row>
    <row r="13031">
      <c r="A13031" t="inlineStr">
        <is>
          <t>Feca NEXT GEN</t>
        </is>
      </c>
      <c r="B13031">
        <f>HYPERLINK("https://www.dofusbook.net/fr/equipement/4753908-feca-next-gen/objets", "link")</f>
        <v/>
      </c>
      <c r="C13031" t="n">
        <v>3</v>
      </c>
      <c r="D13031" t="inlineStr">
        <is>
          <t>Lav'Hache; Amulette Volkorne; Baguistik; Alliance Brûlâme; Droiture de Fallanster; Ceinture Volkorne; Heaume Oplate; Bravoure de Rykke Errel; Bottes Honyme; Dofus Ivoire; Dofus Émeraude; Dofus Abyssal; Étourdisseur majeur; Nomade; Obstructeur majeur; Drakopin</t>
        </is>
      </c>
    </row>
    <row r="13032">
      <c r="A13032" t="inlineStr">
        <is>
          <t>Test</t>
        </is>
      </c>
      <c r="B13032">
        <f>HYPERLINK("https://www.dofusbook.net/fr/equipement/4743632-test/objets", "link")</f>
        <v/>
      </c>
      <c r="C13032" t="n">
        <v>4</v>
      </c>
      <c r="D13032" t="inlineStr">
        <is>
          <t>Baguette Hique; Collier de la Dame du Hasard; Alliance Gloursonne; Anneau Volkorne; Quatre-feuilles; Pagne du Rykaon; Kidibonnet; Cape de la Dame du Hasard; Bottes Antouche; Dofus Turquoise; Dofus Pourpre; Dofus des Glaces; Remueur; Chanceux majeur; Nomade; Kokulte</t>
        </is>
      </c>
    </row>
    <row r="13033">
      <c r="A13033" t="inlineStr">
        <is>
          <t>Ses Top1</t>
        </is>
      </c>
      <c r="B13033">
        <f>HYPERLINK("https://www.dofusbook.net/fr/equipement/4742825-ses-top1/objets", "link")</f>
        <v/>
      </c>
      <c r="C13033" t="n">
        <v>3</v>
      </c>
      <c r="D13033" t="inlineStr">
        <is>
          <t>Baguette Hique; Amulette Volkorne; Alliance Gloursonne; Anneau Volkorne; Quatre-feuilles; Ceintacé; Casque Dragoeuf; Cape des Malveilleurs; Bottes Antouche; Dofus Turquoise; Dofus des Glaces; Dofus Pourpre; Remueur; Nomade; Observateur; Kokulte</t>
        </is>
      </c>
    </row>
    <row r="13034">
      <c r="A13034" t="inlineStr">
        <is>
          <t>ONE SHOT</t>
        </is>
      </c>
      <c r="B13034">
        <f>HYPERLINK("https://www.dofusbook.net/fr/equipement/1528946-one-shot/objets", "link")</f>
        <v/>
      </c>
      <c r="C13034" t="n">
        <v>41</v>
      </c>
      <c r="D13034" t="inlineStr">
        <is>
          <t>Faux Maudite du Saigneur Guerrier; Amulette du Strigide; Anneau de Padgref; Bracelet du Piloztère; Bouclier du Captain Amakna; Ceinture du Strigide; Coiffe de Padgref; Bravoure de Rykke Errel; Getas de Padgref; Dofus Ocre; Dofus Ivoire; Dofus Pourpre; Dofus des Glaces; Dofus Turquoise; Dofus Vulbis; Kokulte</t>
        </is>
      </c>
    </row>
    <row r="13035">
      <c r="A13035" t="inlineStr">
        <is>
          <t>Zobal feu</t>
        </is>
      </c>
      <c r="B13035">
        <f>HYPERLINK("https://www.dofusbook.net/fr/equipement/4572468-zobal-feu/objets", "link")</f>
        <v/>
      </c>
      <c r="C13035" t="n">
        <v>9</v>
      </c>
      <c r="D13035" t="inlineStr">
        <is>
          <t>Dagues Ricol; Amulette Volkorne; Anneau Tique; Anneauræus; Cadran d'Eau; Ceinture Volkorne; Heaume Oplate; Cape de la Dame du Hasard; Bottes de la Dame du Hasard; Dofus Ocre; Dofus Ivoire; Dofus Vulbis; Dofus Pourpre; Dofus Turquoise; Dofus des Glaces; Kokulte</t>
        </is>
      </c>
    </row>
    <row r="13036">
      <c r="A13036" t="inlineStr">
        <is>
          <t>JustStrongterre</t>
        </is>
      </c>
      <c r="B13036">
        <f>HYPERLINK("https://www.dofusbook.net/fr/equipement/2274688-juststrongterre/objets", "link")</f>
        <v/>
      </c>
      <c r="C13036" t="n">
        <v>9</v>
      </c>
      <c r="D13036" t="inlineStr">
        <is>
          <t>Arc du Chalœil; Collier de Tourthon; Anneau Volkorne; Anneau de Brouce; Quatre-feuilles; Ceinture Volkorne; Masque de Koutoulou; Cape au Logis; Baleinabottes; Dofus Turquoise; Dofus Ivoire; Dofus Pourpre; Enragé majeur; Vigoureux majeur; Carapace Eau majeur; Bulbisou</t>
        </is>
      </c>
    </row>
    <row r="13037">
      <c r="A13037" t="inlineStr">
        <is>
          <t>Test</t>
        </is>
      </c>
      <c r="B13037">
        <f>HYPERLINK("https://www.dofusbook.net/fr/equipement/4727155-test/objets", "link")</f>
        <v/>
      </c>
      <c r="C13037" t="n">
        <v>4</v>
      </c>
      <c r="D13037" t="inlineStr">
        <is>
          <t>Epée Gloursonne; Amulette du Strigide; Bague Gloursonne; Alliance Gloursonne; Bouclier du Captain Amakna; Ceinture du Strigide; Coiffe de la Reine des Voleurs; Voile d'encre; Bottes de la Reine des Voleurs; Dofus Turquoise; Dofus Ivoire; Dofus Ocre; Dofus Ébène; Dofus Vulbis; Dofus des Glaces; Kokulte</t>
        </is>
      </c>
    </row>
    <row r="13038">
      <c r="A13038" t="inlineStr">
        <is>
          <t>Eau</t>
        </is>
      </c>
      <c r="B13038">
        <f>HYPERLINK("https://www.dofusbook.net/fr/equipement/4390501-eau/objets", "link")</f>
        <v/>
      </c>
      <c r="C13038" t="n">
        <v>3</v>
      </c>
      <c r="D13038" t="inlineStr">
        <is>
          <t>Pelle Emélaka; Amulette de Shokkoth; Alliance Gloursonne; Anneau Volkorne; Bouclier alvéolé; Ceinture de la Reine des Voleurs; Casque Dragoeuf; Cape Solution; Bottes de la Reine des Voleurs; Dofus Ébène; Dofus des Glaces; Dofus Pourpre; Nomade; Chanceux majeur; Remueur; Kanigloups</t>
        </is>
      </c>
    </row>
    <row r="13039">
      <c r="A13039" t="inlineStr">
        <is>
          <t>Eau air lowcost</t>
        </is>
      </c>
      <c r="B13039">
        <f>HYPERLINK("https://www.dofusbook.net/fr/equipement/2573818-eau-air-lowcost/objets", "link")</f>
        <v/>
      </c>
      <c r="C13039" t="n">
        <v>19</v>
      </c>
      <c r="D13039" t="inlineStr">
        <is>
          <t>Arc de Koutoulou; Amulette Voldelor; Bracelet des Fonds marins; Alliance Gloursonne; Quatre-feuilles; Ceinture Voldelor; Masque du Barbétoal; Cape Matelassée; Pantoufles Émar; Dokoko; Miraculé majeur; Nomade; Vigoureux majeur; Remueur; Carapace Air majeur; Muldo Ebène et Indigo</t>
        </is>
      </c>
    </row>
    <row r="13040">
      <c r="A13040" t="inlineStr">
        <is>
          <t>Pandacle</t>
        </is>
      </c>
      <c r="B13040">
        <f>HYPERLINK("https://www.dofusbook.net/fr/equipement/3815213-pandacle/objets", "link")</f>
        <v/>
      </c>
      <c r="C13040" t="n">
        <v>7</v>
      </c>
      <c r="D13040" t="inlineStr">
        <is>
          <t>Rouleau à Pâtisserie d'Aermyne; Collier Rophante; Bague Trithon; Alliance Gloursonne; Bouclier précieux; Ceintacé; Masque d'Anerice; Cape d'Anerice; Pataugastrique; Dofus Ivoire; Dofus Émeraude; Carapace Terre majeur; Bloqueur majeur; Obstructeur majeur; Platypus</t>
        </is>
      </c>
    </row>
    <row r="13041">
      <c r="A13041" t="inlineStr">
        <is>
          <t>12 6 sadi</t>
        </is>
      </c>
      <c r="B13041">
        <f>HYPERLINK("https://www.dofusbook.net/fr/equipement/4675342-12-6-sadi-/objets", "link")</f>
        <v/>
      </c>
      <c r="C13041" t="n">
        <v>2</v>
      </c>
      <c r="D13041" t="inlineStr">
        <is>
          <t>Arc du Chalœil; Amulette Héroclite; Anneau Crustique; Anneau de Brouce; Quatre-feuilles; Ceinture Volkorne; Casque Dragoeuf; Cape de la Fuji Givrefoux; Bottes de Brouce; Dofus Ocre; Dofus Ivoire; Dofus Pourpre; Vigoureux majeur; Enragé majeur; Remueur; Volkorne Jade et Rubis</t>
        </is>
      </c>
    </row>
    <row r="13042">
      <c r="A13042" t="inlineStr">
        <is>
          <t>Rtur2</t>
        </is>
      </c>
      <c r="B13042">
        <f>HYPERLINK("https://www.dofusbook.net/fr/equipement/4659254-rtur2/objets", "link")</f>
        <v/>
      </c>
      <c r="C13042" t="n">
        <v>1</v>
      </c>
      <c r="D13042" t="inlineStr">
        <is>
          <t>Marteau R'ture; Collier de Tourthon; Anneau de Brouce; Anneau Volkorne; Cadran d'Eau; Ceinture Volkorne; Masque de Koutoulou; Cape au Logis; Baleinabottes; Dofus Ivoire; Dofus Pourpre; Dofus Abyssal; Dofus Turquoise; Dofus Ébène; Enragé majeur; Kokulte</t>
        </is>
      </c>
    </row>
    <row r="13043">
      <c r="A13043" t="inlineStr">
        <is>
          <t>Best soin ever</t>
        </is>
      </c>
      <c r="B13043">
        <f>HYPERLINK("https://www.dofusbook.net/fr/equipement/4202697-best-soin-ever/objets", "link")</f>
        <v/>
      </c>
      <c r="C13043" t="n">
        <v>13</v>
      </c>
      <c r="D13043" t="inlineStr">
        <is>
          <t>Baguette de Malléfisk; Amulette Volkorne; Anneau Tique; Anneauræus; Quatre-feuilles; Ceinture Volkorne; Heaume Oplate; Voile d'encre; Bottes Owesli; Dofus Turquoise; Dofus Ocre; Érudit majeur; Nomade; Savant majeur; Guérisseur majeur; Bisouglours</t>
        </is>
      </c>
    </row>
    <row r="13044">
      <c r="A13044" t="inlineStr">
        <is>
          <t>Ini</t>
        </is>
      </c>
      <c r="B13044">
        <f>HYPERLINK("https://www.dofusbook.net/fr/equipement/4549985-ini/objets", "link")</f>
        <v/>
      </c>
      <c r="C13044" t="n">
        <v>160</v>
      </c>
      <c r="D13044" t="inlineStr">
        <is>
          <t>Baguette de Malléfisk; Amulette de l'Œil Putride; Bague Instable; Alliance du Lévitrof; Quatre-feuilles; Ceinture Instable; Masquegel; Cape Martegel; Bottes du Katcheur; Dolmanax; Dofus Vulbis; Dofus Ocre; Précurseur; Initiateur majeur; Précurseur majeur; Kougnard</t>
        </is>
      </c>
    </row>
    <row r="13045">
      <c r="A13045" t="inlineStr">
        <is>
          <t>Stri âne glour</t>
        </is>
      </c>
      <c r="B13045">
        <f>HYPERLINK("https://www.dofusbook.net/fr/equipement/4601708-stri-ane-glour/objets", "link")</f>
        <v/>
      </c>
      <c r="C13045" t="n">
        <v>2</v>
      </c>
      <c r="D13045" t="inlineStr">
        <is>
          <t>Epée Gloursonne; Amulette du Strigide; Bague Gloursonne; Alliance Gloursonne; Bouclier du Captain Amakna; Ceinture du Strigide; Masque d'Anerice; Cape d'Anerice; Bottes du Strigide; Dofus Vulbis; Dofus des Glaces; Dofus Pourpre; Dofus Nébuleux; Dofus Ocre; Dofus Ivoire; Kokulte</t>
        </is>
      </c>
    </row>
    <row r="13046">
      <c r="A13046" t="inlineStr">
        <is>
          <t>Terre air</t>
        </is>
      </c>
      <c r="B13046">
        <f>HYPERLINK("https://www.dofusbook.net/fr/equipement/4592718-terre-air/objets", "link")</f>
        <v/>
      </c>
      <c r="C13046" t="n">
        <v>3</v>
      </c>
      <c r="D13046" t="inlineStr">
        <is>
          <t>Héqache; Amulette du Strigide; Bague Gloursonne; Anneau des égarés; Bouclier du Captain Amakna; Ceintacé; Casque Dragoeuf; Cape du Kamasterisk; Bottes du Strigide; Dofus Pourpre; Dofus Ivoire; Dofus Turquoise; Dofus Ocre; Dofus des Glaces; Nomade; Kokulte</t>
        </is>
      </c>
    </row>
    <row r="13047">
      <c r="A13047" t="inlineStr">
        <is>
          <t>Heqache</t>
        </is>
      </c>
      <c r="B13047">
        <f>HYPERLINK("https://www.dofusbook.net/fr/equipement/4514244-heqache/objets", "link")</f>
        <v/>
      </c>
      <c r="C13047" t="n">
        <v>3</v>
      </c>
      <c r="D13047" t="inlineStr">
        <is>
          <t>Héqache; Amulette du Strigide; Bague Gloursonne; Anneau Crustique; Bouclier du Captain Amakna; Ceintacé; Casque Dragoeuf; Cape au Logis; Bottes du Strigide; Dofus Ocre; Dofus des Glaces; Dofus Pourpre; Dofus Ivoire; Dofus Turquoise; Enragé majeur; Kokulte</t>
        </is>
      </c>
    </row>
    <row r="13048">
      <c r="A13048" t="inlineStr">
        <is>
          <t>feu air retPA</t>
        </is>
      </c>
      <c r="B13048">
        <f>HYPERLINK("https://www.dofusbook.net/fr/equipement/2242121-feu-air-retpa/objets", "link")</f>
        <v/>
      </c>
      <c r="C13048" t="n">
        <v>1</v>
      </c>
      <c r="D13048" t="inlineStr">
        <is>
          <t>Sabres d'Atcham; Amulette du Cœur Vaillant; Bracelet du Piloztère; Alliance Brûlâme; Cadran de Terre; Ceinture de Vortex; Coiffe de Padgref; Cape d'Atcham; Pataugastrique; Dofus Pourpre; Dofus Ivoire; Dofus Turquoise; Remueur; Étourdisseur majeur; Nomade; Koalak Sanguin</t>
        </is>
      </c>
    </row>
    <row r="13049">
      <c r="A13049" t="inlineStr">
        <is>
          <t>Roub os</t>
        </is>
      </c>
      <c r="B13049">
        <f>HYPERLINK("https://www.dofusbook.net/fr/equipement/4554187-roub-os/objets", "link")</f>
        <v/>
      </c>
      <c r="C13049" t="n">
        <v>8</v>
      </c>
      <c r="D13049" t="inlineStr">
        <is>
          <t>Lav'Hache; Collier de Tourthon; Bague Gloursonne; Anneau Chevelu; Bouclier du Stalak; Ceinture de la Reine des Voleurs; Coiffe de la Reine des Voleurs; Cape au Logis; Bottes Honyme; Dofus Ivoire; Dofus des Glaces; Remueur; Observateur; Carapace Feu majeur; Dévastateur Terre majeur; Bulbisou</t>
        </is>
      </c>
    </row>
    <row r="13050">
      <c r="A13050" t="inlineStr">
        <is>
          <t>Sail</t>
        </is>
      </c>
      <c r="B13050">
        <f>HYPERLINK("https://www.dofusbook.net/fr/equipement/4529187-sail/objets", "link")</f>
        <v/>
      </c>
      <c r="C13050" t="n">
        <v>5</v>
      </c>
      <c r="D13050" t="inlineStr">
        <is>
          <t>Marteau R'ture; Collier de Tourthon; Anneau Crustique; Anneau Volkorne; Cadran d'Eau; Ceinture Volkorne; Masque de Koutoulou; Cape au Logis; Bottes du Cœur Saignant; Dokoko; Dofus Ocre; Dofus Pourpre; Dofus Ivoire; Dofus Émeraude; Enragé majeur; Dragodinde Amande et Pourpre</t>
        </is>
      </c>
    </row>
    <row r="13051">
      <c r="A13051" t="inlineStr">
        <is>
          <t>Terre gneu 2</t>
        </is>
      </c>
      <c r="B13051">
        <f>HYPERLINK("https://www.dofusbook.net/fr/equipement/4521642-terre-gneu-2/objets", "link")</f>
        <v/>
      </c>
      <c r="C13051" t="n">
        <v>7</v>
      </c>
      <c r="D13051" t="inlineStr">
        <is>
          <t>Marteau R'ture; Collier de Tourthon; Anneau Crustique; Anneau Volkorne; Cadran d'Eau; Ceinture Volkorne; Masque de Koutoulou; Cape au Logis; Bottes du Cœur Saignant; Dokoko; Dofus Pourpre; Dofus Ivoire; Dofus Émeraude; Enragé majeur; Carapace Terre majeur; Kougnard</t>
        </is>
      </c>
    </row>
    <row r="13052">
      <c r="A13052" t="inlineStr">
        <is>
          <t>Terre esq</t>
        </is>
      </c>
      <c r="B13052">
        <f>HYPERLINK("https://www.dofusbook.net/fr/equipement/4528699-terre-esq/objets", "link")</f>
        <v/>
      </c>
      <c r="C13052" t="n">
        <v>5</v>
      </c>
      <c r="D13052" t="inlineStr">
        <is>
          <t>Arc du Chalœil; Collier de Tourthon; Anneau Crustique; Anneau de Brouce; Bouclier d'Ilyzaelle; Ceinture Volkorne; Casque Dragoeuf; Cape de la Fuji Givrefoux; Bottes de Brouce; Dofus Ocre; Dofus Ivoire; Dofus Pourpre; Cavaleur majeur; Enragé majeur; Remueur; Chienchien Tigré</t>
        </is>
      </c>
    </row>
    <row r="13053">
      <c r="A13053" t="inlineStr">
        <is>
          <t>Eca pvm</t>
        </is>
      </c>
      <c r="B13053">
        <f>HYPERLINK("https://www.dofusbook.net/fr/equipement/4443386-eca-pvm/objets", "link")</f>
        <v/>
      </c>
      <c r="C13053" t="n">
        <v>8</v>
      </c>
      <c r="D13053" t="inlineStr">
        <is>
          <t>Sceptre du Roi Joueur; Amulette de Shokkoth; Alliance Gloursonne; Bracelet du Piloztère; Bouclier du Stalak; Sangle Ouare; Casque Dragoeuf; Chevelure de Tal Kasha; Pataugastrique; Dofus Pourpre; Dofus Turquoise; Vigoureux majeur; Robuste majeur; Chanceux majeur; Pioute bleu</t>
        </is>
      </c>
    </row>
    <row r="13054">
      <c r="A13054" t="inlineStr">
        <is>
          <t>Test feuair</t>
        </is>
      </c>
      <c r="B13054">
        <f>HYPERLINK("https://www.dofusbook.net/fr/equipement/4518368-test-feuair/objets", "link")</f>
        <v/>
      </c>
      <c r="C13054" t="n">
        <v>2</v>
      </c>
      <c r="D13054" t="inlineStr">
        <is>
          <t>Sabres d'Atcham; Amulette du Strigide; Anneau de Padgref; Alliance Brûlâme; Cadran de Terre; Ceinture de Vortex; Cagoule de Vortex; Cape d'Atcham; Pataugastrique; Dofus des Glaces; Dofus Ocre; Dofus Pourpre; Dofus Ivoire; Dofus Vulbis; Dofus Turquoise; Koalak Sanguin</t>
        </is>
      </c>
    </row>
    <row r="13055">
      <c r="A13055" t="inlineStr">
        <is>
          <t>feu air retPA</t>
        </is>
      </c>
      <c r="B13055">
        <f>HYPERLINK("https://www.dofusbook.net/fr/equipement/2864314-feu-air-retpa/objets", "link")</f>
        <v/>
      </c>
      <c r="C13055" t="n">
        <v>6</v>
      </c>
      <c r="D13055" t="inlineStr">
        <is>
          <t>Sabres d'Atcham; Alliance Brûlâme; Cadran de Terre; Ceinture de Vortex; Cagoule de Vortex; Cape d'Atcham; Sabots de Vortex; Dolmanax; Dofus Turquoise; Dofus Nébuleux; Dofus Ocre; Dofus Pourpre; Dofus Ivoire; Muldo Ebène</t>
        </is>
      </c>
    </row>
    <row r="13056">
      <c r="A13056" t="inlineStr">
        <is>
          <t>Enutrof M 200</t>
        </is>
      </c>
      <c r="B13056">
        <f>HYPERLINK("https://www.dofusbook.net/fr/equipement/3964137-enutrof-m-200/objets", "link")</f>
        <v/>
      </c>
      <c r="C13056" t="n">
        <v>2</v>
      </c>
      <c r="D13056" t="inlineStr">
        <is>
          <t>Baguette Hique; Collier de la Dame du Hasard; Alliance Gloursonne; Pikano; Quatre-feuilles; Sangle Ouare; Casquette de Meno; Cape de la Dame du Hasard; Bottes Honyme; Dofus Turquoise; Dofus Nébuleux; Remueur; Temporiseur majeur; Carapace Feu majeur; Chanceux majeur; Gwo Tofu Ventripotent</t>
        </is>
      </c>
    </row>
    <row r="13057">
      <c r="A13057" t="inlineStr">
        <is>
          <t>Test</t>
        </is>
      </c>
      <c r="B13057">
        <f>HYPERLINK("https://www.dofusbook.net/fr/equipement/2630575-test/objets", "link")</f>
        <v/>
      </c>
      <c r="C13057" t="n">
        <v>8</v>
      </c>
      <c r="D13057" t="inlineStr">
        <is>
          <t>Arc Honte; Amulette de l'Indicible; Alliance Gloursonne; Anneau Volkorne; Bouclier du Stalak; Ceinture Volkorne; Masque de l'Esprit Salvateur; Cape de l'Œil Putride; Bottes de l'Indicible; Dofus Vulbis; Dofus Ébène; Dofus Ocre; Dofus Pourpre; Dofus des Glaces; Robuste majeur; Fëanor</t>
        </is>
      </c>
    </row>
    <row r="13058">
      <c r="A13058" t="inlineStr">
        <is>
          <t>Best slot</t>
        </is>
      </c>
      <c r="B13058">
        <f>HYPERLINK("https://www.dofusbook.net/fr/equipement/4494408-best-slot/objets", "link")</f>
        <v/>
      </c>
      <c r="C13058" t="n">
        <v>3</v>
      </c>
      <c r="D13058" t="inlineStr">
        <is>
          <t>Pelle Emélaka; Amulette de Shokkoth; Anneau Volkorne; Alliance Gloursonne; Cadran d'Eau; Sangle Ouare; Casque d'Ilyzaelle; Cape Solution; Pataugastrique; Dofus Émeraude; Dofus des Glaces; Dofus Abyssal; Dokoko; Dofus Ivoire; Chanceux majeur; Kanigloups</t>
        </is>
      </c>
    </row>
    <row r="13059">
      <c r="A13059" t="inlineStr">
        <is>
          <t>Héquace</t>
        </is>
      </c>
      <c r="B13059">
        <f>HYPERLINK("https://www.dofusbook.net/fr/equipement/4492918-hequace/objets", "link")</f>
        <v/>
      </c>
      <c r="C13059" t="n">
        <v>0</v>
      </c>
      <c r="D13059" t="inlineStr">
        <is>
          <t>Héqache; Amulette du Cœur Vaillant; Anneau Chevelu; Anneau de XLII; Bouclier du Captain Amakna; Ceinture de XLII; Casque Dragoeuf; Cape au Logis; Baleinabottes; Dofus Turquoise; Dofus Ivoire; Dofus des Glaces; Dofus Pourpre; Dofus Abyssal; Kokulte</t>
        </is>
      </c>
    </row>
    <row r="13060">
      <c r="A13060" t="inlineStr">
        <is>
          <t>Air lowcost</t>
        </is>
      </c>
      <c r="B13060">
        <f>HYPERLINK("https://www.dofusbook.net/fr/equipement/2622915-air-lowcost/objets", "link")</f>
        <v/>
      </c>
      <c r="C13060" t="n">
        <v>205</v>
      </c>
      <c r="D13060" t="inlineStr">
        <is>
          <t>L'Épée Nice; Collier du Valet Veinard; Anneau Colerette; Alliance Gloursonne; Cadran d'Air; Menoture; Couronne d'Allister; Cape Indescriptible; Baleinabottes; Dokoko; Acrobate majeur; Cascadeur majeur; Remueur; Dévastateur Air majeur; Vigoureux majeur; Muldo Ebène et Pourpre</t>
        </is>
      </c>
    </row>
    <row r="13061">
      <c r="A13061" t="inlineStr">
        <is>
          <t>12 6 terre</t>
        </is>
      </c>
      <c r="B13061">
        <f>HYPERLINK("https://www.dofusbook.net/fr/equipement/4483554-12-6-terre/objets", "link")</f>
        <v/>
      </c>
      <c r="C13061" t="n">
        <v>0</v>
      </c>
      <c r="D13061" t="inlineStr">
        <is>
          <t>Arc du Chalœil; Collier de Tourthon; Anneau Crustique; Anneau de Brouce; Bouclier d'Ilyzaelle; Ceinture Volkorne; Casque Dragoeuf; Cape de la Fuji Givrefoux; Bottes de Brouce; Dofus Ivoire; Dofus Pourpre; Dofus Ocre; Enragé majeur; Remueur; Vigoureux majeur; Volkorne Jade et Rubis</t>
        </is>
      </c>
    </row>
    <row r="13062">
      <c r="A13062" t="inlineStr">
        <is>
          <t>Eau air nocc2</t>
        </is>
      </c>
      <c r="B13062">
        <f>HYPERLINK("https://www.dofusbook.net/fr/equipement/4475525-eau-air-nocc2/objets", "link")</f>
        <v/>
      </c>
      <c r="C13062" t="n">
        <v>3</v>
      </c>
      <c r="D13062" t="inlineStr">
        <is>
          <t>Arc de Koutoulou; Amulette d'Ilyzaelle; Alliance Gloursonne; Anneau Volkorne; Cadran d'Air; Ceinture Voldelor; Casque Volkorne; Cape Matelassée; Bottes de la Reine des Voleurs; Dofus Pourpre; Dofus Ivoire; Dofus Ocre; Dofus des Glaces; Nomade; Vigoureux majeur; Mini Wa</t>
        </is>
      </c>
    </row>
    <row r="13063">
      <c r="A13063" t="inlineStr">
        <is>
          <t>Osa low</t>
        </is>
      </c>
      <c r="B13063">
        <f>HYPERLINK("https://www.dofusbook.net/fr/equipement/4452817-osa-low/objets", "link")</f>
        <v/>
      </c>
      <c r="C13063" t="n">
        <v>46</v>
      </c>
      <c r="D13063" t="inlineStr">
        <is>
          <t>Pelle Aigante; Amulette Cryochrone; Anneau Kturne; Anneau des Prophètes; Cadran de Feu; Sangle Ouare; Casqnoar; Cape de Meno; Bottes Honyme; Dokoko; Chanceux majeur; Miraculé majeur; Nomade; Érudit majeur; Remueur; Volkorne Jade et Rubis</t>
        </is>
      </c>
    </row>
    <row r="13064">
      <c r="A13064" t="inlineStr">
        <is>
          <t>sadi terre mcgiver</t>
        </is>
      </c>
      <c r="B13064">
        <f>HYPERLINK("https://www.dofusbook.net/fr/equipement/4456332-sadi-terre-mcgiver/objets", "link")</f>
        <v/>
      </c>
      <c r="C13064" t="n">
        <v>0</v>
      </c>
      <c r="D13064" t="inlineStr">
        <is>
          <t>Arc du Chalœil; Amulette Héroclite; Anneau Chevelu; Bague Trithon; Quatre-feuilles; Ceintacé; Masque de Koutoulou; Cape au Logis; Bottes Trithon; Dofus Pourpre; Dofus Ivoire; Dofus Abyssal; Vigoureux majeur; Enragé majeur; Carapace Air majeur; Pioute vert</t>
        </is>
      </c>
    </row>
    <row r="13065">
      <c r="A13065" t="inlineStr">
        <is>
          <t>Sadi force</t>
        </is>
      </c>
      <c r="B13065">
        <f>HYPERLINK("https://www.dofusbook.net/fr/equipement/4452407-sadi-force/objets", "link")</f>
        <v/>
      </c>
      <c r="C13065" t="n">
        <v>0</v>
      </c>
      <c r="D13065" t="inlineStr">
        <is>
          <t>Arc du Chalœil; Amulette Héroclite; Bague Gloursonne; Anneau de Brouce; Quatre-feuilles; Ceinture de Brouce; Masque de Koutoulou; Voile d'encre; Baleinabottes; Dofus Ivoire; Dofus Abyssal; Nomade; Vigoureux majeur; Enragé majeur; Carapace Terre majeur; Shushu de Rushu</t>
        </is>
      </c>
    </row>
    <row r="13066">
      <c r="A13066" t="inlineStr">
        <is>
          <t>Eau dopou TOURNOIS</t>
        </is>
      </c>
      <c r="B13066">
        <f>HYPERLINK("https://www.dofusbook.net/fr/equipement/2809820-eau-dopou-tournois/objets", "link")</f>
        <v/>
      </c>
      <c r="C13066" t="n">
        <v>7</v>
      </c>
      <c r="D13066" t="inlineStr">
        <is>
          <t>Sceptre du Roi Joueur; Amulette du Strigide; Alliance Gloursonne; Bague Trithon; Bouclier précieux; Sangle Ouare; Kidibonnet; Cape des Malveilleurs; Bottes Trithon; Dofus Abyssal; Dofus Émeraude; Dofus Ivoire; Culbuteur majeur; Remueur; Miraculé majeur; Bontique</t>
        </is>
      </c>
    </row>
    <row r="13067">
      <c r="A13067" t="inlineStr">
        <is>
          <t>Multi omg3</t>
        </is>
      </c>
      <c r="B13067">
        <f>HYPERLINK("https://www.dofusbook.net/fr/equipement/4444011-multi-omg3/objets", "link")</f>
        <v/>
      </c>
      <c r="C13067" t="n">
        <v>5</v>
      </c>
      <c r="D13067" t="inlineStr">
        <is>
          <t>Hache du Chalœil; Amulette Volkorne; Anneau Toriété; Alliance Gloursonne; Quatre-feuilles; Sangle Oriole; Casque Volkorne; Dofusteuse; Bottes Honyme; Dofus Ocre; Dofus Pourpre; Dofus des Glaces; Dofus Turquoise; Nomade; Kokulte</t>
        </is>
      </c>
    </row>
    <row r="13068">
      <c r="A13068" t="inlineStr">
        <is>
          <t>Bistouille xelorium</t>
        </is>
      </c>
      <c r="B13068">
        <f>HYPERLINK("https://www.dofusbook.net/fr/equipement/4352400-bistouille-xelorium/objets", "link")</f>
        <v/>
      </c>
      <c r="C13068" t="n">
        <v>44</v>
      </c>
      <c r="D13068" t="inlineStr">
        <is>
          <t>Héqache; Collier de Tourthon; Anneau Chevelu; Goulano; Bouclier d'Ilyzaelle; Ceintouse; Masque de Koutoulou; Cape au Logis; Baleinabottes; Dofus Émeraude; Dofus Pourpre; Dofus Ivoire; Enragé majeur; Bloqueur majeur; Obstructeur majeur; Bulbisou</t>
        </is>
      </c>
    </row>
    <row r="13069">
      <c r="A13069" t="inlineStr">
        <is>
          <t>Recri</t>
        </is>
      </c>
      <c r="B13069">
        <f>HYPERLINK("https://www.dofusbook.net/fr/equipement/4434512-recri/objets", "link")</f>
        <v/>
      </c>
      <c r="C13069" t="n">
        <v>0</v>
      </c>
      <c r="D13069" t="inlineStr">
        <is>
          <t>Dagues de Srambad; Collier de Tourthon; Alliance Gloursonne; Baguistik; Cadran d'Eau; Ceinture de la Reine des Voleurs; Coiffe de la Reine des Voleurs; Cape au Logis; Goulbottes; Dofus des Glaces; Dofus Émeraude; Dofus Ivoire; Dofus Ocre; Remueur; Carapace Eau majeur; Wabbit</t>
        </is>
      </c>
    </row>
    <row r="13070">
      <c r="A13070" t="inlineStr">
        <is>
          <t>air ret pa</t>
        </is>
      </c>
      <c r="B13070">
        <f>HYPERLINK("https://www.dofusbook.net/fr/equipement/2238773-air-ret-pa/objets", "link")</f>
        <v/>
      </c>
      <c r="C13070" t="n">
        <v>1</v>
      </c>
      <c r="D13070" t="inlineStr">
        <is>
          <t>Manthache; Collier du Valet Veinard; Gant du Valet Veinard; Alliance Gloursonne; Cadran de Terre; Ceintouse; Chapoulpe; Cape du Valet Veinard; Tentassons; Dofus Abyssal; Dofus Pourpre; Dolmanax; Dofus des Glaces; Paralyseur majeur; Robuste majeur; Muldo Ebène</t>
        </is>
      </c>
    </row>
    <row r="13071">
      <c r="A13071" t="inlineStr">
        <is>
          <t>Terre feu 12 6</t>
        </is>
      </c>
      <c r="B13071">
        <f>HYPERLINK("https://www.dofusbook.net/fr/equipement/3969603-terre-feu-12-6/objets", "link")</f>
        <v/>
      </c>
      <c r="C13071" t="n">
        <v>9</v>
      </c>
      <c r="D13071" t="inlineStr">
        <is>
          <t>Dagues du Dragoeuf; Amulette Volkorne; Anneauræus; Bague Gloursonne; Bivalve; Ceinture Volkorne; Chapeau du Comte Razof; Voile d'encre; Bottes du Strigide; Dofus Pourpre; Dofus Nébuleux; Dofus Ivoire; Vigoureux majeur; Remueur; Nomade; Volkorne Améthyste</t>
        </is>
      </c>
    </row>
    <row r="13072">
      <c r="A13072" t="inlineStr">
        <is>
          <t>Terre iop</t>
        </is>
      </c>
      <c r="B13072">
        <f>HYPERLINK("https://www.dofusbook.net/fr/equipement/4200640-terre-iop/objets", "link")</f>
        <v/>
      </c>
      <c r="C13072" t="n">
        <v>5</v>
      </c>
      <c r="D13072" t="inlineStr">
        <is>
          <t>Marteau R'ture; Collier de Tourthon; Anneau Chevelu; Anneau Volkorne; Cadran d'Eau; Ceinture Volkorne; Masque de Koutoulou; Cape au Logis; Sabots Minables; Dofus Pourpre; Dofus Turquoise; Dofus Émeraude; Dofus Abyssal; Enragé majeur; Carapace Feu majeur; Bwak de Terre</t>
        </is>
      </c>
    </row>
    <row r="13073">
      <c r="A13073" t="inlineStr">
        <is>
          <t>Elio terre</t>
        </is>
      </c>
      <c r="B13073">
        <f>HYPERLINK("https://www.dofusbook.net/fr/equipement/4382704-elio-terre/objets", "link")</f>
        <v/>
      </c>
      <c r="C13073" t="n">
        <v>1</v>
      </c>
      <c r="D13073" t="inlineStr">
        <is>
          <t>Arc du Chalœil; Amulette de Gein; Anneau Chevelu; Anneau de Brouce; Quatre-feuilles; Ceinture de Brouce; Masque de Koutoulou; Cape au Logis; Bottes Honyme; Dofus des Glaces; Dofus Pourpre; Carapace Eau majeur; Dévastateur Terre majeur; Enragé majeur; Carapace Terre majeur; Bulbisou</t>
        </is>
      </c>
    </row>
    <row r="13074">
      <c r="A13074" t="inlineStr">
        <is>
          <t>Eau feu low</t>
        </is>
      </c>
      <c r="B13074">
        <f>HYPERLINK("https://www.dofusbook.net/fr/equipement/3796425-eau-feu-low/objets", "link")</f>
        <v/>
      </c>
      <c r="C13074" t="n">
        <v>9</v>
      </c>
      <c r="D13074" t="inlineStr">
        <is>
          <t>Arc Nécrotique; Collier de la Dame du Hasard; Anneau Tique; Alliance Gloursonne; Quatre-feuilles; Ceintacé; Le Dorado; Cape de la Dame du Hasard; Pataugastrique; Dofus des Glaces; Dofus Pourpre; Dofus Turquoise; Vigoureux majeur; Carapace Feu majeur; Nomade; Kokulte</t>
        </is>
      </c>
    </row>
    <row r="13075">
      <c r="A13075" t="inlineStr">
        <is>
          <t>Ret pa best2</t>
        </is>
      </c>
      <c r="B13075">
        <f>HYPERLINK("https://www.dofusbook.net/fr/equipement/4300615-ret-pa-best2/objets", "link")</f>
        <v/>
      </c>
      <c r="C13075" t="n">
        <v>2</v>
      </c>
      <c r="D13075" t="inlineStr">
        <is>
          <t>Dagoulinantes; Amulette de Shokkoth; Anneau Volkorne; Alliance Gloursonne; Cadran de Terre; Ceinture de la Reine des Voleurs; Masque des Fonds marins; Cape Solution; Bottes de la Reine des Voleurs; Dofus Ocre; Dofus Pourpre; Nomade; Paralyseur majeur; Chanceux majeur; Étourdisseur majeur; Boskito</t>
        </is>
      </c>
    </row>
    <row r="13076">
      <c r="A13076" t="inlineStr">
        <is>
          <t>Test</t>
        </is>
      </c>
      <c r="B13076">
        <f>HYPERLINK("https://www.dofusbook.net/fr/equipement/4390384-test/objets", "link")</f>
        <v/>
      </c>
      <c r="C13076" t="n">
        <v>1</v>
      </c>
      <c r="D13076" t="inlineStr">
        <is>
          <t>Pelle Emélaka; Amulette de Shokkoth; Bracelet des Fonds marins; Alliance Gloursonne; Bouclier alvéolé; Poulpagne; Capuche de l'Œil Attentif; Cape de l'Œil Attentif; Bottes du Sinistrofu; Dofus Pourpre; Dofus Ivoire; Dofus des Glaces; Nomade; Remueur; Chanceux majeur; Bwak d'Eau</t>
        </is>
      </c>
    </row>
    <row r="13077">
      <c r="A13077" t="inlineStr">
        <is>
          <t>eau feu low</t>
        </is>
      </c>
      <c r="B13077">
        <f>HYPERLINK("https://www.dofusbook.net/fr/equipement/2312755-eau-feu-low/objets", "link")</f>
        <v/>
      </c>
      <c r="C13077" t="n">
        <v>31</v>
      </c>
      <c r="D13077" t="inlineStr">
        <is>
          <t>Arc Nécrotique; Talisman Igans; Alliance Gloursonne; Anneau Tique; Quatre-feuilles; Poulpagne; Kidibonnet; Cape de la Dame du Hasard; Pataugastrique; Dofus Turquoise; Nomade; Chanceux majeur; Observateur; Carapace Eau majeur; Vigoureux majeur; Kokulte</t>
        </is>
      </c>
    </row>
    <row r="13078">
      <c r="A13078" t="inlineStr">
        <is>
          <t>Terrolow</t>
        </is>
      </c>
      <c r="B13078">
        <f>HYPERLINK("https://www.dofusbook.net/fr/equipement/3738583-terrolow/objets", "link")</f>
        <v/>
      </c>
      <c r="C13078" t="n">
        <v>24</v>
      </c>
      <c r="D13078" t="inlineStr">
        <is>
          <t>Dagues de Srambad; Amulette de Pol Ouatnos; Bracelet du Piloztère; Alliance Gloursonne; Bouclier du Stalak; Ceinture de la Reine des Voleurs; Masque de Koutoulou; Cape Solution; Bottes de la Reine des Voleurs; Dofus Pourpre; Enragé majeur; Vigoureux majeur; Nomade; Carapace Air majeur; Remueur; Wabbit</t>
        </is>
      </c>
    </row>
    <row r="13079">
      <c r="A13079" t="inlineStr">
        <is>
          <t>Teret pa</t>
        </is>
      </c>
      <c r="B13079">
        <f>HYPERLINK("https://www.dofusbook.net/fr/equipement/4351816-teret-pa/objets", "link")</f>
        <v/>
      </c>
      <c r="C13079" t="n">
        <v>7</v>
      </c>
      <c r="D13079" t="inlineStr">
        <is>
          <t>Lav'Hache; Amulette du Cœur Vaillant; Anneau Crustique; Anneau Crustique; Cadran de Terre; Ceintouse; Chapeau du Comte Razof; Cape du Cœur Vaillant; Tentassons; Dofus Vulbis; Dofus Ocre; Dofus Pourpre; Engourdisseur majeur; Paralyseur majeur; Robuste majeur; Volkorne Ivoire</t>
        </is>
      </c>
    </row>
    <row r="13080">
      <c r="A13080" t="inlineStr">
        <is>
          <t>retpa</t>
        </is>
      </c>
      <c r="B13080">
        <f>HYPERLINK("https://www.dofusbook.net/fr/equipement/1901728-retpa/objets", "link")</f>
        <v/>
      </c>
      <c r="C13080" t="n">
        <v>1</v>
      </c>
      <c r="D13080" t="inlineStr">
        <is>
          <t>Dagoulinantes; Amulette du Cœur Vaillant; Anneau Crustique; Anneau Crustique; Sept ans de malheur; Menoture; Masque Ardent; Cape du Cœur Vaillant; Sandales de Tal Kasha; Paralyseur; Engourdisseur majeur; Étourdisseur; Étourdisseur majeur; Nomade; Paralyseur majeur; Volkorne Ivoire</t>
        </is>
      </c>
    </row>
    <row r="13081">
      <c r="A13081" t="inlineStr">
        <is>
          <t>Sadi force</t>
        </is>
      </c>
      <c r="B13081">
        <f>HYPERLINK("https://www.dofusbook.net/fr/equipement/3504315-sadi-force/objets", "link")</f>
        <v/>
      </c>
      <c r="C13081" t="n">
        <v>2</v>
      </c>
      <c r="D13081" t="inlineStr">
        <is>
          <t>Arc du Chalœil; Amulette Héroclite; Anneau de Brouce; Anneau Chevelu; Quatre-feuilles; Ceinture de Brouce; Masque de Koutoulou; Cape au Logis; Bottes de la Cour Sombre; Dofus Pourpre; Dofus Ivoire; Vigoureux majeur; Enragé majeur; Carapace Terre majeur; Remueur; Shushu de Rushu</t>
        </is>
      </c>
    </row>
    <row r="13082">
      <c r="A13082" t="inlineStr">
        <is>
          <t>Test</t>
        </is>
      </c>
      <c r="B13082">
        <f>HYPERLINK("https://www.dofusbook.net/fr/equipement/4351719-test/objets", "link")</f>
        <v/>
      </c>
      <c r="C13082" t="n">
        <v>0</v>
      </c>
      <c r="D13082" t="inlineStr">
        <is>
          <t>Arc corrompu; Amulette Volkorne; Anneauræus; Anneau Tique; Quatre-feuilles; Ceinture Volkorne; Casque Dragoeuf; Voile d'encre; Bottes Owesli; Dofus Turquoise; Dofus Ocre; Dofus Pourpre; Érudit majeur; Nomade; Remueur; Bisouglours</t>
        </is>
      </c>
    </row>
    <row r="13083">
      <c r="A13083" t="inlineStr">
        <is>
          <t>Test multi 12 6</t>
        </is>
      </c>
      <c r="B13083">
        <f>HYPERLINK("https://www.dofusbook.net/fr/equipement/4311699-test-multi-12-6/objets", "link")</f>
        <v/>
      </c>
      <c r="C13083" t="n">
        <v>2</v>
      </c>
      <c r="D13083" t="inlineStr">
        <is>
          <t>Hache du Chalœil; Amulette du Strigide; Bracelet du Piloztère; Alliance Gloursonne; Quatre-feuilles; Ceinture de l'Esprit Malsain; Casque Dragoeuf; Voile d'encre; Bottes du Strigide; Dofus Turquoise; Dofus des Glaces; Dofus Ocre; Dofus Pourpre; Remueur; Nomade; Volkorne Emeraude</t>
        </is>
      </c>
    </row>
    <row r="13084">
      <c r="A13084" t="inlineStr">
        <is>
          <t>eau feu necro PO</t>
        </is>
      </c>
      <c r="B13084">
        <f>HYPERLINK("https://www.dofusbook.net/fr/equipement/2777352-eau-feu-necro-po/objets", "link")</f>
        <v/>
      </c>
      <c r="C13084" t="n">
        <v>42</v>
      </c>
      <c r="D13084" t="inlineStr">
        <is>
          <t>Arc Nécrotique; Amulette du Strigide; Bracelet du Piloztère; Alliance Gloursonne; Quatre-feuilles; Ceintacé; Le Dorado; Cape de la Dame du Hasard; Bottes de la Dame du Hasard; Dofus Turquoise; Dofus Pourpre; Dofus des Glaces; Carapace Feu majeur; Carapace Eau majeur; Nomade; Kokulte</t>
        </is>
      </c>
    </row>
    <row r="13085">
      <c r="A13085" t="inlineStr">
        <is>
          <t>Panda coiffe</t>
        </is>
      </c>
      <c r="B13085">
        <f>HYPERLINK("https://www.dofusbook.net/fr/equipement/3584074-panda-coiffe/objets", "link")</f>
        <v/>
      </c>
      <c r="C13085" t="n">
        <v>23</v>
      </c>
      <c r="D13085" t="inlineStr">
        <is>
          <t>Arc corrompu; Amulette Volkorne; Anneau Tique; Anneauræus; Quatre-feuilles; Ceinture Volkorne; Chapeau Lithique; Voile d'encre; Bottes Honyme; Dofus Ivoire; Dofus Pourpre; Érudit majeur; Nomade; Vigoureux majeur; Remueur; Bwak de Terre</t>
        </is>
      </c>
    </row>
    <row r="13086">
      <c r="A13086" t="inlineStr">
        <is>
          <t>Test dopoutacle</t>
        </is>
      </c>
      <c r="B13086">
        <f>HYPERLINK("https://www.dofusbook.net/fr/equipement/4295937-test-dopoutacle/objets", "link")</f>
        <v/>
      </c>
      <c r="C13086" t="n">
        <v>2</v>
      </c>
      <c r="D13086" t="inlineStr">
        <is>
          <t>Lav'Hache; Torquistik; Bague Trithon; Bague Instable; Bouclier précieux; Sangle Ouare; Casque Dragoeuf; Cape Solution; Bottistik; Dofus Ivoire; Observateur; Culbuteur majeur; Culbuteur; Pousseur majeur; Bousculeur majeur; Volkorne Roux</t>
        </is>
      </c>
    </row>
    <row r="13087">
      <c r="A13087" t="inlineStr">
        <is>
          <t>Test spécial</t>
        </is>
      </c>
      <c r="B13087">
        <f>HYPERLINK("https://www.dofusbook.net/fr/equipement/4289881-test-special-/objets", "link")</f>
        <v/>
      </c>
      <c r="C13087" t="n">
        <v>4</v>
      </c>
      <c r="D13087" t="inlineStr">
        <is>
          <t>Arc du Chalœil; Torquistik; Bague Trithon; Bague Instable; Bouclier Bontarien; Sangle Ouare; Casque Dragoeuf; Cape Aircussion; Bottistik; Dofus Ocre; Dofus Abyssal; Culbuteur; Bousculeur majeur; Remueur; Culbuteur majeur; Tatouf</t>
        </is>
      </c>
    </row>
    <row r="13088">
      <c r="A13088" t="inlineStr">
        <is>
          <t>Air</t>
        </is>
      </c>
      <c r="B13088">
        <f>HYPERLINK("https://www.dofusbook.net/fr/equipement/2283809-air/objets", "link")</f>
        <v/>
      </c>
      <c r="C13088" t="n">
        <v>5</v>
      </c>
      <c r="D13088" t="inlineStr">
        <is>
          <t>Épée du Bretteur Céleste; Amulette de Nileza; Anneau de Padgref; Anneau Vicieux; Quatre-feuilles; Ceinture de Klime; Koinkoiffe Rose; Cape Matelassée; Getas de Padgref; Dolmanax; Dofus des Glaces; Dofus Pourpre; Dofus Turquoise; Remueur; Vigoureux majeur; Muldo Prune et Emeraude</t>
        </is>
      </c>
    </row>
    <row r="13089">
      <c r="A13089" t="inlineStr">
        <is>
          <t>Rtur repou</t>
        </is>
      </c>
      <c r="B13089">
        <f>HYPERLINK("https://www.dofusbook.net/fr/equipement/4280815-rtur-repou/objets", "link")</f>
        <v/>
      </c>
      <c r="C13089" t="n">
        <v>2</v>
      </c>
      <c r="D13089" t="inlineStr">
        <is>
          <t>Marteau R'ture; Amulette du Strigide; Bague Gloursonne; Anneau Chevelu; Cadran d'Eau; Ceintacé; Masque de Koutoulou; Cape au Logis; Bottes du Strigide; Dofus Pourpre; Dofus Forgelave; Dofus Turquoise; Inflexible majeur; Solide majeur; Carapace Terre majeur; Pioute vert</t>
        </is>
      </c>
    </row>
    <row r="13090">
      <c r="A13090" t="inlineStr">
        <is>
          <t>Terre repou</t>
        </is>
      </c>
      <c r="B13090">
        <f>HYPERLINK("https://www.dofusbook.net/fr/equipement/3296206-terre-repou/objets", "link")</f>
        <v/>
      </c>
      <c r="C13090" t="n">
        <v>2</v>
      </c>
      <c r="D13090" t="inlineStr">
        <is>
          <t>Marteau R'ture; Amulette Volcanique; Goulano; Anneau Chevelu; Bouclier de Solar; Ceintacé; Masque de Koutoulou; Voile d'encre; Sabots Volcaniques; Dokoko; Dofus Pourpre; Dofus Forgelave; Inflexible majeur; Solide majeur; Enragé majeur; Muldo Orchidée et Pourpre</t>
        </is>
      </c>
    </row>
    <row r="13091">
      <c r="A13091" t="inlineStr">
        <is>
          <t>Les petits test lol</t>
        </is>
      </c>
      <c r="B13091">
        <f>HYPERLINK("https://www.dofusbook.net/fr/equipement/4102757-les-petits-test-lol/objets", "link")</f>
        <v/>
      </c>
      <c r="C13091" t="n">
        <v>10</v>
      </c>
      <c r="D13091" t="inlineStr">
        <is>
          <t>Arc corrompu; Amulette Volkorne; Anneauræus; Anneau Tique; Quatre-feuilles; Ceinture Volkorne; Heaume Oplate; Cape Haharnum; Bottes Owesli; Dofus Pourpre; Dofus Turquoise; Vigoureux majeur; Érudit majeur; Remueur; Nomade; Bwak de Feu</t>
        </is>
      </c>
    </row>
    <row r="13092">
      <c r="A13092" t="inlineStr">
        <is>
          <t>Terre air</t>
        </is>
      </c>
      <c r="B13092">
        <f>HYPERLINK("https://www.dofusbook.net/fr/equipement/2129220-terre-air/objets", "link")</f>
        <v/>
      </c>
      <c r="C13092" t="n">
        <v>2</v>
      </c>
      <c r="D13092" t="inlineStr">
        <is>
          <t>Hache Ériphe; Amulette du Strigide; Bracelet du Piloztère; Alliance Brûlâme; Quatre-feuilles; Ceintouse; Casque Dragoeuf; Cape du Cœur Vaillant; Pompes Funèbres; Dofus Ivoire; Dofus des Glaces; Dofus Ocre; Dofus Pourpre; Nomade; Remueur; Mékrabe</t>
        </is>
      </c>
    </row>
    <row r="13093">
      <c r="A13093" t="inlineStr">
        <is>
          <t>Air docri</t>
        </is>
      </c>
      <c r="B13093">
        <f>HYPERLINK("https://www.dofusbook.net/fr/equipement/4226071-air-docri/objets", "link")</f>
        <v/>
      </c>
      <c r="C13093" t="n">
        <v>7</v>
      </c>
      <c r="D13093" t="inlineStr">
        <is>
          <t>Hachoirs de Viandargh; Amulette de l'Œil Putride; Alliance Gloursonne; Anneau de Padgref; Bouclier du Captain Amakna; Sangle Oriole; Dorabysses; Cape Matelassée; Getas de Padgref; Dofus des Glaces; Dofus Turquoise; Dofus Ivoire; Nomade; Carapace Air majeur; Remueur; Kokulte</t>
        </is>
      </c>
    </row>
    <row r="13094">
      <c r="A13094" t="inlineStr">
        <is>
          <t>Multilow</t>
        </is>
      </c>
      <c r="B13094">
        <f>HYPERLINK("https://www.dofusbook.net/fr/equipement/4210233-multilow/objets", "link")</f>
        <v/>
      </c>
      <c r="C13094" t="n">
        <v>21</v>
      </c>
      <c r="D13094" t="inlineStr">
        <is>
          <t>Épée de la Reine des Voleurs; Amulette du Strigide; Anneau de Padgref; Anneau Vicieux; Quatre-feuilles; Ceinture du Strigide; Le Dorado; Cape Matelassée; Bottes Honyme; Dofus Turquoise; Puissant majeur; Érudit majeur; Nomade; Enragé majeur; Vigoureux majeur; Kokulte</t>
        </is>
      </c>
    </row>
    <row r="13095">
      <c r="A13095" t="inlineStr">
        <is>
          <t>Eau ret pm</t>
        </is>
      </c>
      <c r="B13095">
        <f>HYPERLINK("https://www.dofusbook.net/fr/equipement/4185423-eau-ret-pm/objets", "link")</f>
        <v/>
      </c>
      <c r="C13095" t="n">
        <v>6</v>
      </c>
      <c r="D13095" t="inlineStr">
        <is>
          <t>Baguette Hique; Amulette de Shokkoth; Anneau Toriété; Alliance Gloursonne; Bouclier cubiste; Ceinture Glaciale; Masque de Funespadon; Cape Solution; Bottes Honyme; Dofus Ivoire; Dofus Pourpre; Entraveur majeur; Chanceux majeur; Temporiseur majeur; Ralentisseur majeur; Gwo Tofu Ventripotent</t>
        </is>
      </c>
    </row>
    <row r="13096">
      <c r="A13096" t="inlineStr">
        <is>
          <t>OSA feu</t>
        </is>
      </c>
      <c r="B13096">
        <f>HYPERLINK("https://www.dofusbook.net/fr/equipement/2864642-osa-feu-/objets", "link")</f>
        <v/>
      </c>
      <c r="C13096" t="n">
        <v>13</v>
      </c>
      <c r="D13096" t="inlineStr">
        <is>
          <t>Le Thanos; Amulette Ementaire Deluxe; Alliance Boletée; Anneau de Nidas; Carapar; Ceinture de Vortex; Couronne de Nidas; Voile d'encre; Pataugastrique; Dofus Ivoire; Dolmanax; Guérisseur majeur; Remueur; Érudit majeur; Miraculé majeur; Muldo Indigo et Orchidée</t>
        </is>
      </c>
    </row>
    <row r="13097">
      <c r="A13097" t="inlineStr">
        <is>
          <t>RoiJoueur</t>
        </is>
      </c>
      <c r="B13097">
        <f>HYPERLINK("https://www.dofusbook.net/fr/equipement/3530653-roijoueur/objets", "link")</f>
        <v/>
      </c>
      <c r="C13097" t="n">
        <v>6</v>
      </c>
      <c r="D13097" t="inlineStr">
        <is>
          <t>Sceptre du Roi Joueur; Amulette de Shokkoth; Anneau Volkorne; Alliance Gloursonne; Bouclier du Stalak; Ceinture de la Reine des Voleurs; Casque d'Ilyzaelle; Cape de Mantaze; Bottes de la Reine des Voleurs; Dofus Ivoire; Dokille; Dofus Ocre; Dofus des Glaces; Remueur; Nomade; Volkorne Rubis</t>
        </is>
      </c>
    </row>
    <row r="13098">
      <c r="A13098" t="inlineStr">
        <is>
          <t>feca brul</t>
        </is>
      </c>
      <c r="B13098">
        <f>HYPERLINK("https://www.dofusbook.net/fr/equipement/3880690-feca-brul/objets", "link")</f>
        <v/>
      </c>
      <c r="C13098" t="n">
        <v>10</v>
      </c>
      <c r="D13098" t="inlineStr">
        <is>
          <t>Épée Brûlâme; Amulette du Strigide; Anneau Toriété; Bracelet des Fonds marins; Bouclier du Captain Amakna; Ceintacé; Heaume Oplate; Cape de la Dame du Hasard; Bottes de la Dame du Hasard; Dofus Turquoise; Dofus des Glaces; Dofus Ivoire; Dofus Nébuleux; Dofus Pourpre; Carapace Feu majeur; Wabbit</t>
        </is>
      </c>
    </row>
    <row r="13099">
      <c r="A13099" t="inlineStr">
        <is>
          <t>Gneugneu</t>
        </is>
      </c>
      <c r="B13099">
        <f>HYPERLINK("https://www.dofusbook.net/fr/equipement/4106494-gneugneu/objets", "link")</f>
        <v/>
      </c>
      <c r="C13099" t="n">
        <v>17</v>
      </c>
      <c r="D13099" t="inlineStr">
        <is>
          <t>Hache du Chalœil; Amulette du Strigide; Anneau Toriété; Anneau Volkorne; Bouclier du Stalak; Ceintacé; Casque Volkorne; Cape Reski; Bottes du Strigide; Dofus des Glaces; Dofus Pourpre; Dolmanax; Dofus Ivoire; Dofus Turquoise; Robuste majeur; Sakochère</t>
        </is>
      </c>
    </row>
    <row r="13100">
      <c r="A13100" t="inlineStr">
        <is>
          <t>Crâ M 200</t>
        </is>
      </c>
      <c r="B13100">
        <f>HYPERLINK("https://www.dofusbook.net/fr/equipement/4133676-cra-m-200/objets", "link")</f>
        <v/>
      </c>
      <c r="C13100" t="n">
        <v>6</v>
      </c>
      <c r="D13100" t="inlineStr">
        <is>
          <t>Rapière aux Glyphes; Amulette Voldelor; Anneau Volkorne; Alliance Gloursonne; Cadran de Terre; Poulpagne; Casque Volkorne; Cape de l'Œil Attentif; Pataugastrique; Dofus Vulbis; Dofus Pourpre; Dofus des Glaces; Dévastateur Eau majeur; Chanceux majeur; Étourdisseur majeur; Kanigloups</t>
        </is>
      </c>
    </row>
    <row r="13101">
      <c r="A13101" t="inlineStr">
        <is>
          <t>test2</t>
        </is>
      </c>
      <c r="B13101">
        <f>HYPERLINK("https://www.dofusbook.net/fr/equipement/3628627-test2/objets", "link")</f>
        <v/>
      </c>
      <c r="C13101" t="n">
        <v>12</v>
      </c>
      <c r="D13101" t="inlineStr">
        <is>
          <t>Epée Maudite du Saigneur Guerrier; Amulette du Strigide; Anneau de Padgref; Pikano; Quatre-feuilles; Ceintacé; Casque Dragoeuf; Chevelure de Tal Kasha; Sandales de Tal Kasha; Dofus des Glaces; Dofus Ivoire; Dofus Turquoise; Dofus Pourpre; Nomade; Remueur; Kokulte</t>
        </is>
      </c>
    </row>
    <row r="13102">
      <c r="A13102" t="inlineStr">
        <is>
          <t>Feu ret pa soin</t>
        </is>
      </c>
      <c r="B13102">
        <f>HYPERLINK("https://www.dofusbook.net/fr/equipement/4092974-feu-ret-pa-soin/objets", "link")</f>
        <v/>
      </c>
      <c r="C13102" t="n">
        <v>10</v>
      </c>
      <c r="D13102" t="inlineStr">
        <is>
          <t>Arc corrompu; Amulette Volkorne; Anneau Tique; Anneauræus; Cadran de Terre; Ceinture Volkorne; Heaume Oplate; Voile d'encre; Bottes Owesli; Dofus Ocre; Dofus Ivoire; Nomade; Guérisseur majeur; Étourdisseur majeur; Érudit majeur; Ross</t>
        </is>
      </c>
    </row>
    <row r="13103">
      <c r="A13103" t="inlineStr">
        <is>
          <t>Steam 2.48</t>
        </is>
      </c>
      <c r="B13103">
        <f>HYPERLINK("https://www.dofusbook.net/fr/equipement/3875828-steam-2-48/objets", "link")</f>
        <v/>
      </c>
      <c r="C13103" t="n">
        <v>23</v>
      </c>
      <c r="D13103" t="inlineStr">
        <is>
          <t>Hache du Chalœil; Amulette Volkorne; Anneau Volkorne; Bague Trithon; Quatre-feuilles; Ceinture Volkorne; Masque de Koutoulou; Voile d'encre; Bottes Trithon; Dofus Turquoise; Dofus Ivoire; Dofus Pourpre; Dofus des Glaces; Dofus Ocre; Dofus Nébuleux; Kokulte</t>
        </is>
      </c>
    </row>
    <row r="13104">
      <c r="A13104" t="inlineStr">
        <is>
          <t>BEST FEU TERRE EVER</t>
        </is>
      </c>
      <c r="B13104">
        <f>HYPERLINK("https://www.dofusbook.net/fr/equipement/3971043-best-feu-terre-ever/objets", "link")</f>
        <v/>
      </c>
      <c r="C13104" t="n">
        <v>19</v>
      </c>
      <c r="D13104" t="inlineStr">
        <is>
          <t>Dagues Ricol; Amulette du Strigide; Bague Gloursonne; Chevalière du Roi Joueur; Bivalve; Ceintacé; Chapeau de Gein; Voile d'encre; Bottes du Strigide; Dofus des Glaces; Dofus Pourpre; Dofus Ivoire; Nomade; Remueur; Vigoureux majeur; Cromeugnon</t>
        </is>
      </c>
    </row>
    <row r="13105">
      <c r="A13105" t="inlineStr">
        <is>
          <t>Eau retpalow</t>
        </is>
      </c>
      <c r="B13105">
        <f>HYPERLINK("https://www.dofusbook.net/fr/equipement/3614591-eau-retpalow/objets", "link")</f>
        <v/>
      </c>
      <c r="C13105" t="n">
        <v>23</v>
      </c>
      <c r="D13105" t="inlineStr">
        <is>
          <t>Dagoulinantes; Amulette de Shokkoth; Bracelet des Fonds marins; Alliance Gloursonne; Cadran de Terre; Culotte de Bethel; Casque Dragoeuf; Cape Matelassée; Pataugastrique; Dofus des Glaces; Dofus Pourpre; Vigoureux majeur; Remueur; Chanceux majeur; Nomade; Muldo Indigo</t>
        </is>
      </c>
    </row>
    <row r="13106">
      <c r="A13106" t="inlineStr">
        <is>
          <t>Feu dopou</t>
        </is>
      </c>
      <c r="B13106">
        <f>HYPERLINK("https://www.dofusbook.net/fr/equipement/3551858-feu-dopou/objets", "link")</f>
        <v/>
      </c>
      <c r="C13106" t="n">
        <v>20</v>
      </c>
      <c r="D13106" t="inlineStr">
        <is>
          <t>Massier; Torquistik; Anneauræus; Anneauræus; Bouclier précieux; Ceintrigue; Casque Dragoeuf; Cape de Diondin; Bottistik; Dofus Ivoire; Érudit majeur; Bousculeur majeur; Remueur; Culbuteur majeur; Nomade; Tatouf</t>
        </is>
      </c>
    </row>
    <row r="13107">
      <c r="A13107" t="inlineStr">
        <is>
          <t>Dofus tueuse multi</t>
        </is>
      </c>
      <c r="B13107">
        <f>HYPERLINK("https://www.dofusbook.net/fr/equipement/2862553-dofus-tueuse-multi/objets", "link")</f>
        <v/>
      </c>
      <c r="C13107" t="n">
        <v>11</v>
      </c>
      <c r="D13107" t="inlineStr">
        <is>
          <t>Pelle de Nidas; Amulette Ementaire Deluxe; Alliance Brûlâme; Alliance Gloursonne; Bouclier d'Ilyzaelle; Ceinture de la Reine des Voleurs; Coiffe de la Reine des Voleurs; Dofusteuse; Bottes de la Reine des Voleurs; Dofus Ocre; Dofus Abyssal; Dofus Ivoire; Dofus Pourpre; Dofus Émeraude; Dofus des Glaces; Muldo Ebène et Orchidée</t>
        </is>
      </c>
    </row>
    <row r="13108">
      <c r="A13108" t="inlineStr">
        <is>
          <t>Air2</t>
        </is>
      </c>
      <c r="B13108">
        <f>HYPERLINK("https://www.dofusbook.net/fr/equipement/3543368-air2/objets", "link")</f>
        <v/>
      </c>
      <c r="C13108" t="n">
        <v>13</v>
      </c>
      <c r="D13108" t="inlineStr">
        <is>
          <t>Manthache; Collier du Valet Veinard; Gant du Valet Veinard; Alliance Gloursonne; Cadran d'Air; Menoture; Dorabysses; Cape du Kamasterisk; Baleinabottes; Dofus Abyssal; Dokoko; Dofus Ivoire; Dofus Pourpre; Nomade; Cascadeur majeur; Kramkram</t>
        </is>
      </c>
    </row>
    <row r="13109">
      <c r="A13109" t="inlineStr">
        <is>
          <t>Pyraguette</t>
        </is>
      </c>
      <c r="B13109">
        <f>HYPERLINK("https://www.dofusbook.net/fr/equipement/2973890-pyraguette/objets", "link")</f>
        <v/>
      </c>
      <c r="C13109" t="n">
        <v>1</v>
      </c>
      <c r="D13109" t="inlineStr">
        <is>
          <t>Pyraguette; Amulette de l'Indicible; Alliance Brûlâme; Alliance Gloursonne; Bouclier du Stalak; Ceinture de l'Indicible; Casque du Chalœil; Voile d'encre; Bottes du Strigide; Dofus Abyssal; Dofus Pourpre; Dofus des Glaces; Dofus Ivoire; Dofus Ocre; Remueur; Muldo Indigo</t>
        </is>
      </c>
    </row>
    <row r="13110">
      <c r="A13110" t="inlineStr">
        <is>
          <t>Féca M 200</t>
        </is>
      </c>
      <c r="B13110">
        <f>HYPERLINK("https://www.dofusbook.net/fr/equipement/3880894-feca-m-200/objets", "link")</f>
        <v/>
      </c>
      <c r="C13110" t="n">
        <v>3</v>
      </c>
      <c r="D13110" t="inlineStr">
        <is>
          <t>Dagues Érhy; Amulette Ementaire Deluxe; Anneau Toriété; Alliance Brûlâme; Bouclier du Stalak; Ceintacé; Masque Brûlâme; Cape du Chalœil; Pompes Funèbres; Dokoko; Dofus Pourpre; Dolmanax; Dofus des Glaces; Dofus Émeraude; Dofus Ivoire; Wabbit</t>
        </is>
      </c>
    </row>
    <row r="13111">
      <c r="A13111" t="inlineStr">
        <is>
          <t>Feucc</t>
        </is>
      </c>
      <c r="B13111">
        <f>HYPERLINK("https://www.dofusbook.net/fr/equipement/3968190-feucc/objets", "link")</f>
        <v/>
      </c>
      <c r="C13111" t="n">
        <v>5</v>
      </c>
      <c r="D13111" t="inlineStr">
        <is>
          <t>Collier de la Dame du Hasard; Anneau de Nidas; Bague Gloursonne; Quatre-feuilles; Ceinture de Vortex; Heaume Oplate; Cape de la Dame du Hasard; Pataugastrique; Dofus Turquoise; Dofus Pourpre; Dofus Ivoire; Érudit majeur; Nomade; Carapace Feu majeur; Kokulte</t>
        </is>
      </c>
    </row>
    <row r="13112">
      <c r="A13112" t="inlineStr">
        <is>
          <t>Terre dopou Po</t>
        </is>
      </c>
      <c r="B13112">
        <f>HYPERLINK("https://www.dofusbook.net/fr/equipement/2864063-terre-dopou-po/objets", "link")</f>
        <v/>
      </c>
      <c r="C13112" t="n">
        <v>10</v>
      </c>
      <c r="D13112" t="inlineStr">
        <is>
          <t>Arc du Chalœil; Torquistik; Anneau de Brouce; Bague Trithon; Bivalve; Ceinture Gence; Casque Dragoeuf; Cape Luminescente; Bottes Trithon; Dofus Pourpre; Dofus Ivoire; Remueur; Carapace Terre majeur; Culbuteur majeur; Bousculeur majeur; Balafreux</t>
        </is>
      </c>
    </row>
    <row r="13113">
      <c r="A13113" t="inlineStr">
        <is>
          <t>Terrelow</t>
        </is>
      </c>
      <c r="B13113">
        <f>HYPERLINK("https://www.dofusbook.net/fr/equipement/3920593-terrelow/objets", "link")</f>
        <v/>
      </c>
      <c r="C13113" t="n">
        <v>71</v>
      </c>
      <c r="D13113" t="inlineStr">
        <is>
          <t>Arc du Chalœil; Amulette de Gein; Anneau Crustique; Anneau de Brouce; Quatre-feuilles; Ceinture Gence; Masque de Koutoulou; Cape au Logis; Bottes Honyme; Carapace Terre majeur; Enragé majeur; Forcené majeur; Vigoureux majeur; Observateur; Nomade; Bwak de Terre</t>
        </is>
      </c>
    </row>
    <row r="13114">
      <c r="A13114" t="inlineStr">
        <is>
          <t>Lavhache</t>
        </is>
      </c>
      <c r="B13114">
        <f>HYPERLINK("https://www.dofusbook.net/fr/equipement/2797722-lavhache/objets", "link")</f>
        <v/>
      </c>
      <c r="C13114" t="n">
        <v>1</v>
      </c>
      <c r="D13114" t="inlineStr">
        <is>
          <t>Lav'Hache; Collier de Tourthon; Anneau de Brouce; Anneau Chevelu; Bouclier d'Ilyzaelle; Ceinture de la Reine des Voleurs; Coiffe de la Reine des Voleurs; Cape au Logis; Sabots Minables; Dofus des Glaces; Dofus Émeraude; Dofus Ivoire; Dofus Pourpre; Enragé majeur; Remueur; Bulbisou</t>
        </is>
      </c>
    </row>
    <row r="13115">
      <c r="A13115" t="inlineStr">
        <is>
          <t>Terre feu</t>
        </is>
      </c>
      <c r="B13115">
        <f>HYPERLINK("https://www.dofusbook.net/fr/equipement/3967815-terre-feu/objets", "link")</f>
        <v/>
      </c>
      <c r="C13115" t="n">
        <v>14</v>
      </c>
      <c r="D13115" t="inlineStr">
        <is>
          <t>Epée Toche; Amulette Ementaire Deluxe; Chevalière du Roi Joueur; Bague Gloursonne; Bivalve; Ceintacé; Chapeau du Comte Razof; Voile d'encre; Bottes Honyme; Dofus des Glaces; Dofus Ivoire; Dofus Pourpre; Miraculé majeur; Nomade; Vigoureux majeur; Wabbit</t>
        </is>
      </c>
    </row>
    <row r="13116">
      <c r="A13116" t="inlineStr">
        <is>
          <t>Hcha2</t>
        </is>
      </c>
      <c r="B13116">
        <f>HYPERLINK("https://www.dofusbook.net/fr/equipement/3884817-hcha2/objets", "link")</f>
        <v/>
      </c>
      <c r="C13116" t="n">
        <v>7</v>
      </c>
      <c r="D13116" t="inlineStr">
        <is>
          <t>Hache du Chalœil; Amulette du Strigide; Anneau Toriété; Bague Gloursonne; Bouclier du Captain Amakna; Ceintacé; Masque d'Anerice; Cape d'Anerice; Bottes du Strigide; Dofus Turquoise; Dofus Nébuleux; Dofus Ivoire; Dofus Ocre; Dolmanax; Dofus des Glaces; Kokulte</t>
        </is>
      </c>
    </row>
    <row r="13117">
      <c r="A13117" t="inlineStr">
        <is>
          <t>Eau air nocc</t>
        </is>
      </c>
      <c r="B13117">
        <f>HYPERLINK("https://www.dofusbook.net/fr/equipement/3711214-eau-air-nocc/objets", "link")</f>
        <v/>
      </c>
      <c r="C13117" t="n">
        <v>14</v>
      </c>
      <c r="D13117" t="inlineStr">
        <is>
          <t>Arc de Koutoulou; Amulette d'Ilyzaelle; Bague Gloursonne; Alliance Gloursonne; Cadran d'Air; Ceinture de la Reine des Voleurs; Casque d'Ilyzaelle; Cape Solution; Bottes de la Reine des Voleurs; Dofus Abyssal; Dofus des Glaces; Dofus Pourpre; Dofus Ivoire; Dolmanax; Dofus Ocre; Muldo Ebène et Indigo</t>
        </is>
      </c>
    </row>
    <row r="13118">
      <c r="A13118" t="inlineStr">
        <is>
          <t>Eaudocri low</t>
        </is>
      </c>
      <c r="B13118">
        <f>HYPERLINK("https://www.dofusbook.net/fr/equipement/3923590-eaudocri-low/objets", "link")</f>
        <v/>
      </c>
      <c r="C13118" t="n">
        <v>10</v>
      </c>
      <c r="D13118" t="inlineStr">
        <is>
          <t>Sceptre du Roi Joueur; Collier de la Dame du Hasard; Bracelet des Fonds marins; Alliance Gloursonne; Bouclier du Stalak; Sangle Ouare; Casquette de Meno; Cape Matelassée; Pataugastrique; Dofus Turquoise; Robuste majeur; Chanceux majeur; Remueur; Vigoureux majeur; Nomade; Pioute bleu</t>
        </is>
      </c>
    </row>
    <row r="13119">
      <c r="A13119" t="inlineStr">
        <is>
          <t>Hchat</t>
        </is>
      </c>
      <c r="B13119">
        <f>HYPERLINK("https://www.dofusbook.net/fr/equipement/2906029-hchat/objets", "link")</f>
        <v/>
      </c>
      <c r="C13119" t="n">
        <v>7</v>
      </c>
      <c r="D13119" t="inlineStr">
        <is>
          <t>Hache du Chalœil; Amulette de Pol Ouatnos; Bague Trithon; Bague Gloursonne; Quatre-feuilles; Ceintacé; Masque d'Anerice; Cape d'Anerice; Bottes Trithon; Dofus Turquoise; Dofus Nébuleux; Dofus Ivoire; Dofus Ocre; Dolmanax; Dofus des Glaces; Kokulte</t>
        </is>
      </c>
    </row>
    <row r="13120">
      <c r="A13120" t="inlineStr">
        <is>
          <t>Feuter</t>
        </is>
      </c>
      <c r="B13120">
        <f>HYPERLINK("https://www.dofusbook.net/fr/equipement/2769123-feuter/objets", "link")</f>
        <v/>
      </c>
      <c r="C13120" t="n">
        <v>4</v>
      </c>
      <c r="D13120" t="inlineStr">
        <is>
          <t>Arc à Lamelles; Amulette du Strigide; Bague Gloursonne; Chevalière du Roi Joueur; Quatre-feuilles; Ceintacé; Masque Brûlâme; Voile d'encre; Bottes du Strigide; Dofus Ivoire; Dofus des Glaces; Dofus Pourpre; Dofus Turquoise; Nomade; Remueur; Wabbit</t>
        </is>
      </c>
    </row>
    <row r="13121">
      <c r="A13121" t="inlineStr">
        <is>
          <t>equache</t>
        </is>
      </c>
      <c r="B13121">
        <f>HYPERLINK("https://www.dofusbook.net/fr/equipement/2423682-equache/objets", "link")</f>
        <v/>
      </c>
      <c r="C13121" t="n">
        <v>2</v>
      </c>
      <c r="D13121" t="inlineStr">
        <is>
          <t>Héqache; Amulette du Strigide; Anneau Chevelu; Bague Gloursonne; Bouclier du Captain Amakna; Ceintacé; Casque Dragoeuf; Cape au Logis; Bottes du Strigide; Dofus Pourpre; Dofus Turquoise; Dofus Émeraude; Dofus des Glaces; Dofus Ivoire; Remueur; Pioute vert</t>
        </is>
      </c>
    </row>
    <row r="13122">
      <c r="A13122" t="inlineStr">
        <is>
          <t>Roub feu</t>
        </is>
      </c>
      <c r="B13122">
        <f>HYPERLINK("https://www.dofusbook.net/fr/equipement/3459510-roub-feu/objets", "link")</f>
        <v/>
      </c>
      <c r="C13122" t="n">
        <v>16</v>
      </c>
      <c r="D13122" t="inlineStr">
        <is>
          <t>Baguette de Malléfisk; Amulette Volkorne; Anneauræus; Chevalière du Roi Joueur; Cadran de Terre; Ceintrigue; Heaume Oplate; Cape de Diondin; Bottes Owesli; Dofus Pourpre; Dofus Ivoire; Dofus des Glaces; Savant majeur; Érudit majeur; Nomade; Dragodinde Ivoire et Orchidée</t>
        </is>
      </c>
    </row>
    <row r="13123">
      <c r="A13123" t="inlineStr">
        <is>
          <t>Justerre</t>
        </is>
      </c>
      <c r="B13123">
        <f>HYPERLINK("https://www.dofusbook.net/fr/equipement/2875766-justerre/objets", "link")</f>
        <v/>
      </c>
      <c r="C13123" t="n">
        <v>13</v>
      </c>
      <c r="D13123" t="inlineStr">
        <is>
          <t>Arc du Chalœil; Collier de Tourthon; Mitaine Aibre; Anneau de Brouce; Bouclier du Stalak; Ceinture de la Reine des Voleurs; Coiffe de la Reine des Voleurs; Cape au Logis; Baleinabottes; Dofus Ivoire; Dofus des Glaces; Dofus Pourpre; Observateur; Remueur; Enragé majeur; Bulbisou</t>
        </is>
      </c>
    </row>
    <row r="13124">
      <c r="A13124" t="inlineStr">
        <is>
          <t>Antisadi</t>
        </is>
      </c>
      <c r="B13124">
        <f>HYPERLINK("https://www.dofusbook.net/fr/equipement/3747247-antisadi/objets", "link")</f>
        <v/>
      </c>
      <c r="C13124" t="n">
        <v>6</v>
      </c>
      <c r="D13124" t="inlineStr">
        <is>
          <t>Manthache; Collier du Valet Veinard; Alliance Gloursonne; Gant du Valet Veinard; Cadran d'Air; Menoture; Casque des égarés; Cape du Kamasterisk; Palmes Trithons; Dofus Abyssal; Dofus Cawotte; Dofus Ivoire; Dokoko; Remueur; Cavaleur majeur; Muldo Orchidée et Pourpre</t>
        </is>
      </c>
    </row>
    <row r="13125">
      <c r="A13125" t="inlineStr">
        <is>
          <t>Enu soin</t>
        </is>
      </c>
      <c r="B13125">
        <f>HYPERLINK("https://www.dofusbook.net/fr/equipement/2168177-enu-soin/objets", "link")</f>
        <v/>
      </c>
      <c r="C13125" t="n">
        <v>0</v>
      </c>
      <c r="D13125" t="inlineStr">
        <is>
          <t>Baguette de Malléfisk; Talisman Igans; Chevalière du Roi Joueur; Anneau de Nidas; Bouclier cubiste; Ceinture de Gein; Couronne de Nidas; Cape de Diondin; Pataugastrique; Dokoko; Érudit majeur; Carapace Air majeur; Temporiseur majeur; Savant majeur; Carapace Eau majeur; Muldo Indigo et Pourpre</t>
        </is>
      </c>
    </row>
    <row r="13126">
      <c r="A13126" t="inlineStr">
        <is>
          <t>Terreau roub</t>
        </is>
      </c>
      <c r="B13126">
        <f>HYPERLINK("https://www.dofusbook.net/fr/equipement/2883735-terreau-roub/objets", "link")</f>
        <v/>
      </c>
      <c r="C13126" t="n">
        <v>5</v>
      </c>
      <c r="D13126" t="inlineStr">
        <is>
          <t>Dagues de Srambad; Amulette de Shokkoth; Alliance Gloursonne; Anneau Crustique; Cadran de Terre; Ceinture de la Cour Sombre; Masque de Funespadon; Cape de la Cour Sombre; Sabots Minables; Dofus des Glaces; Dofus Pourpre; Vigoureux majeur; Carapace Terre majeur; Remueur; Étourdisseur majeur; Muldo Indigo et Pourpre</t>
        </is>
      </c>
    </row>
    <row r="13127">
      <c r="A13127" t="inlineStr">
        <is>
          <t>Feu soin low</t>
        </is>
      </c>
      <c r="B13127">
        <f>HYPERLINK("https://www.dofusbook.net/fr/equipement/3735036-feu-soin-low/objets", "link")</f>
        <v/>
      </c>
      <c r="C13127" t="n">
        <v>13</v>
      </c>
      <c r="D13127" t="inlineStr">
        <is>
          <t>Arc corrompu; Pendentif mignon de Koutoulou; Anneauræus; Anneauræus; Bivalve; Ceintacé; Heaume Oplate; Voile d'encre; Pataugastrique; Guérisseur majeur; Nomade; Carapace Terre majeur; Dévastateur Feu majeur; Astucieux majeur; Érudit majeur; Muldo Orchidée</t>
        </is>
      </c>
    </row>
    <row r="13128">
      <c r="A13128" t="inlineStr">
        <is>
          <t>Pyrate</t>
        </is>
      </c>
      <c r="B13128">
        <f>HYPERLINK("https://www.dofusbook.net/fr/equipement/3720434-pyrate/objets", "link")</f>
        <v/>
      </c>
      <c r="C13128" t="n">
        <v>2</v>
      </c>
      <c r="D13128" t="inlineStr">
        <is>
          <t>Pyraguette; Talisman Igans; Anneau des Prophètes; Alliance du Lévitrof; Bouclier du Stalak; Ceintrigue; Casque Dragoeuf; Voilamibe; Pataugastrique; Dofus Pourpre; Dofus des Glaces; Vigoureux majeur; Remueur; Dévastateur Feu majeur; Carapace Feu majeur; Croum</t>
        </is>
      </c>
    </row>
    <row r="13129">
      <c r="A13129" t="inlineStr">
        <is>
          <t>terre ret pa</t>
        </is>
      </c>
      <c r="B13129">
        <f>HYPERLINK("https://www.dofusbook.net/fr/equipement/2257655-terre-ret-pa/objets", "link")</f>
        <v/>
      </c>
      <c r="C13129" t="n">
        <v>0</v>
      </c>
      <c r="D13129" t="inlineStr">
        <is>
          <t>Héqache; Amulette du Cœur Vaillant; Anneau Crustique; Anneau Chevelu; Cadran de Terre; Ceinture de la Cour Sombre; Casque Dragoeuf; Cape de la Cour Sombre; Sabots Minables; Dofus Ivoire; Dofus Pourpre; Étourdisseur majeur; Remueur; Paralyseur majeur; Nomade; Kramkram</t>
        </is>
      </c>
    </row>
    <row r="13130">
      <c r="A13130" t="inlineStr">
        <is>
          <t>Feu lowpti</t>
        </is>
      </c>
      <c r="B13130">
        <f>HYPERLINK("https://www.dofusbook.net/fr/equipement/3685479-feu-lowpti/objets", "link")</f>
        <v/>
      </c>
      <c r="C13130" t="n">
        <v>5</v>
      </c>
      <c r="D13130" t="inlineStr">
        <is>
          <t>Arc corrompu; Pendentif mignon de Koutoulou; Anneauræus; Anneauræus; Cadran de Terre; Ceintacé; Heaume Oplate; Voile d'encre; Pataugastrique; Dofus Pourpre; Dofus des Glaces; Dofus Ivoire; Dokoko; Dofus Abyssal; Érudit majeur; Muldo Orchidée</t>
        </is>
      </c>
    </row>
    <row r="13131">
      <c r="A13131" t="inlineStr">
        <is>
          <t>Topone</t>
        </is>
      </c>
      <c r="B13131">
        <f>HYPERLINK("https://www.dofusbook.net/fr/equipement/2921514-topone/objets", "link")</f>
        <v/>
      </c>
      <c r="C13131" t="n">
        <v>13</v>
      </c>
      <c r="D13131" t="inlineStr">
        <is>
          <t>Manthache; Collier du Valet Veinard; Alliance Gloursonne; Gant du Valet Veinard; Bouclier d'Ilyzaelle; Ceintouse; Bandeau Culaire; Cape Parition; Baleinabottes; Dofus Ocre; Dofus Ivoire; Dofus Pourpre; Dofus des Glaces; Dofus Émeraude; Robuste majeur; Muldo Ebène et Pourpre</t>
        </is>
      </c>
    </row>
    <row r="13132">
      <c r="A13132" t="inlineStr">
        <is>
          <t>Air ret pm</t>
        </is>
      </c>
      <c r="B13132">
        <f>HYPERLINK("https://www.dofusbook.net/fr/equipement/3093622-air-ret-pm/objets", "link")</f>
        <v/>
      </c>
      <c r="C13132" t="n">
        <v>2</v>
      </c>
      <c r="D13132" t="inlineStr">
        <is>
          <t>Hachoirs de Viandargh; Amibou; Gant du Valet Veinard; Alliance Gloursonne; Bouclier cubiste; Menoture; Chapibou; Cape de l'Œil Putride; Pantoufles Émar; Dofus des Glaces; Dokoko; Dofus Ivoire; Dofus Pourpre; Dofus Abyssal; Miraculé majeur; Muldo Ebène</t>
        </is>
      </c>
    </row>
    <row r="13133">
      <c r="A13133" t="inlineStr">
        <is>
          <t>eau feu</t>
        </is>
      </c>
      <c r="B13133">
        <f>HYPERLINK("https://www.dofusbook.net/fr/equipement/3226014-eau-feu/objets", "link")</f>
        <v/>
      </c>
      <c r="C13133" t="n">
        <v>8</v>
      </c>
      <c r="D13133" t="inlineStr">
        <is>
          <t>Arc Nécrotique; Amulette Ementaire Deluxe; Anneau Tique; Alliance Gloursonne; Quatre-feuilles; Poulpagne; Kidibonnet; Cape de la Dame du Hasard; Bottes de la Dame du Hasard; Dofus Turquoise; Dofus des Glaces; Dokoko; Dofus Pourpre; Carapace Terre majeur; Vigoureux majeur; Muldo Prune et Indigo</t>
        </is>
      </c>
    </row>
    <row r="13134">
      <c r="A13134" t="inlineStr">
        <is>
          <t>EAU roub</t>
        </is>
      </c>
      <c r="B13134">
        <f>HYPERLINK("https://www.dofusbook.net/fr/equipement/2958086-eau-roub/objets", "link")</f>
        <v/>
      </c>
      <c r="C13134" t="n">
        <v>1</v>
      </c>
      <c r="D13134" t="inlineStr">
        <is>
          <t>Baguette Héroclite; Amulette de Shokkoth; Alliance Gloursonne; Bracelet des Fonds marins; Cadran de Terre; Poulpagne; Capuche de l'Œil Attentif; Cape de l'Œil Attentif; Bottes du Sinistrofu; Dofus des Glaces; Dofus Pourpre; Dofus Ivoire; Remueur; Étourdisseur majeur; Miraculé majeur; Muldo Indigo</t>
        </is>
      </c>
    </row>
    <row r="13135">
      <c r="A13135" t="inlineStr">
        <is>
          <t>Korri</t>
        </is>
      </c>
      <c r="B13135">
        <f>HYPERLINK("https://www.dofusbook.net/fr/equipement/2286601-korri/objets", "link")</f>
        <v/>
      </c>
      <c r="C13135" t="n">
        <v>2</v>
      </c>
      <c r="D13135" t="inlineStr">
        <is>
          <t>Hache du Korriandre; Amulette du Strigide; Bague Trithon; Alliance Gloursonne; Cadran d'Eau; Ceintacé; Casque Dragoeuf; Chevelure de Tal Kasha; Sandales de Tal Kasha; Dofus Abyssal; Dofus des Glaces; Dofus Émeraude; Dofus Turquoise; Dofus Nébuleux; Remueur; Muldo Prune et Ebène</t>
        </is>
      </c>
    </row>
    <row r="13136">
      <c r="A13136" t="inlineStr">
        <is>
          <t>Dopou touch</t>
        </is>
      </c>
      <c r="B13136">
        <f>HYPERLINK("https://www.dofusbook.net/fr/equipement/2897631-dopou-touch/objets", "link")</f>
        <v/>
      </c>
      <c r="C13136" t="n">
        <v>0</v>
      </c>
      <c r="D13136" t="inlineStr">
        <is>
          <t>La Baguette des Limbes; Amulette du Gorgouille; Gelano; Gantelet du Gorgouille; Ceinture du Royalmouth; Solomonk; Cape du Gorgouille; Bottes du Gorgouille; Pousseur mineur; Bousculeur; Saccageur Neutre; Bousculeur mineur; Féroce; Pousseur; Kafarce</t>
        </is>
      </c>
    </row>
    <row r="13137">
      <c r="A13137" t="inlineStr">
        <is>
          <t>oneshot</t>
        </is>
      </c>
      <c r="B13137">
        <f>HYPERLINK("https://www.dofusbook.net/fr/equipement/2880061-oneshot/objets", "link")</f>
        <v/>
      </c>
      <c r="C13137" t="n">
        <v>2</v>
      </c>
      <c r="D13137" t="inlineStr">
        <is>
          <t>Hache du Korriandre; Amulette du Strigide; Alliance Gloursonne; Anneau de Padgref; Bouclier du Captain Amakna; Ceinture du Strigide; Coiffe de Padgref; Chevelure de Tal Kasha; Getas de Padgref; Dofus Pourpre; Dofus des Glaces; Dofus Ocre; Dofus Abyssal; Dofus Turquoise; Dofus Ivoire; Muldo Prune et Emeraude</t>
        </is>
      </c>
    </row>
    <row r="13138">
      <c r="A13138" t="inlineStr">
        <is>
          <t>OSA air</t>
        </is>
      </c>
      <c r="B13138">
        <f>HYPERLINK("https://www.dofusbook.net/fr/equipement/2872242-osa-air/objets", "link")</f>
        <v/>
      </c>
      <c r="C13138" t="n">
        <v>1</v>
      </c>
      <c r="D13138" t="inlineStr">
        <is>
          <t>Manthache; Amulette Ementaire Deluxe; Alliance Gloursonne; Gant du Valet Veinard; Cadran d'Air; Ceinture du Barbétoal; Couronne d'Allister; Cape du Valet Veinard; Baleinabottes; Dofus Abyssal; Dofus Ivoire; Dolmanax; Dofus Forgelave; Remueur; Miraculé majeur; Muldo Ebène et Orchidée</t>
        </is>
      </c>
    </row>
    <row r="13139">
      <c r="A13139" t="inlineStr">
        <is>
          <t>JustDO</t>
        </is>
      </c>
      <c r="B13139">
        <f>HYPERLINK("https://www.dofusbook.net/fr/equipement/2804495-justdo/objets", "link")</f>
        <v/>
      </c>
      <c r="C13139" t="n">
        <v>0</v>
      </c>
      <c r="D13139" t="inlineStr">
        <is>
          <t>Lance corrompue; Amulette de Nevark; Anneau de la Fuji Givrefoux; Anneau des égarés; Bouclier alvéolé; Ceinture de Nevark; Coiffe de la Reine des Voleurs; Cape de Nevark; Baleinabottes; Dolmanax; Dofus Pourpre; Dofus Ocre; Dofus des Glaces; Robuste majeur; Féroce majeur; Bulbisou</t>
        </is>
      </c>
    </row>
    <row r="13140">
      <c r="A13140" t="inlineStr">
        <is>
          <t>EAU roub</t>
        </is>
      </c>
      <c r="B13140">
        <f>HYPERLINK("https://www.dofusbook.net/fr/equipement/2209958-eau-roub/objets", "link")</f>
        <v/>
      </c>
      <c r="C13140" t="n">
        <v>0</v>
      </c>
      <c r="D13140" t="inlineStr">
        <is>
          <t>Sceptre du Roi Joueur; Amulette Voldelor; Alliance Gloursonne; Pikano; Cadran d'Air; Poulpagne; Capuche de l'Œil Attentif; Cape de l'Œil Attentif; Sandales des Fonds marins; Dofus Pourpre; Observateur; Remueur; Carapace Eau majeur; Étourdisseur majeur; Chanceux majeur; Muldo Ebène et Indigo</t>
        </is>
      </c>
    </row>
    <row r="13141">
      <c r="A13141" t="inlineStr">
        <is>
          <t>Osa eau</t>
        </is>
      </c>
      <c r="B13141">
        <f>HYPERLINK("https://www.dofusbook.net/fr/equipement/2787085-osa-eau/objets", "link")</f>
        <v/>
      </c>
      <c r="C13141" t="n">
        <v>0</v>
      </c>
      <c r="D13141" t="inlineStr">
        <is>
          <t>Sceptre du Roi Joueur; Amulette de Shokkoth; Alliance Gloursonne; Alliance du Lévitrof; Bouclier d'Ilyzaelle; Culotte de Bethel; Casque Dragoeuf; Cape Solution; Chaussons de Macrab; Dofus Ivoire; Dokoko; Remueur; Chanceux majeur; Miraculé majeur; Muldo Ebène et Indigo</t>
        </is>
      </c>
    </row>
    <row r="13142">
      <c r="A13142" t="inlineStr">
        <is>
          <t>Lance</t>
        </is>
      </c>
      <c r="B13142">
        <f>HYPERLINK("https://www.dofusbook.net/fr/equipement/2306484-lance/objets", "link")</f>
        <v/>
      </c>
      <c r="C13142" t="n">
        <v>0</v>
      </c>
      <c r="D13142" t="inlineStr">
        <is>
          <t>Lance corrompue; Amulette de Nevark; Alliance Brûlâme; Anneau des égarés; Cadran d'Eau; Ceinture de l'Esprit Salvateur; Casque Dragoeuf; Cape de Nevark; Baleinabottes; Dokoko; Dofus Émeraude; Dofus Abyssal; Dofus des Glaces; Carapace Terre majeur; Remueur; Muldo Ebène</t>
        </is>
      </c>
    </row>
    <row r="13143">
      <c r="A13143" t="inlineStr">
        <is>
          <t>Talklassic</t>
        </is>
      </c>
      <c r="B13143">
        <f>HYPERLINK("https://www.dofusbook.net/fr/equipement/2763105-talklassic/objets", "link")</f>
        <v/>
      </c>
      <c r="C13143" t="n">
        <v>2</v>
      </c>
      <c r="D13143" t="inlineStr">
        <is>
          <t>Hache du Korriandre; Amulette du Strigide; Bague Trithon; Alliance Gloursonne; Quatre-feuilles; Sangle Ouare; Casque Dragoeuf; Chevelure de Tal Kasha; Sandales de Tal Kasha; Dofus Turquoise; Dofus Pourpre; Dofus Ocre; Dofus des Glaces; Remueur; Observateur; Muldo Prune et Orchidée</t>
        </is>
      </c>
    </row>
    <row r="13144">
      <c r="A13144" t="inlineStr">
        <is>
          <t>redocri</t>
        </is>
      </c>
      <c r="B13144">
        <f>HYPERLINK("https://www.dofusbook.net/fr/equipement/2302949-redocri/objets", "link")</f>
        <v/>
      </c>
      <c r="C13144" t="n">
        <v>1</v>
      </c>
      <c r="D13144" t="inlineStr">
        <is>
          <t>Épouvante; Amulette du Strigide; Bague Trithon; Goulano; Bouclier Bontarien; Ceintacé; Masque Trithon; Cape du Chalœil; Bottes du Chalœil; Dofus Pourpre; Dofus Nébuleux; Dofus Ocre; Dofus Turquoise; Dofus Émeraude; Dofus des Glaces; Muldo Ebène et Indigo</t>
        </is>
      </c>
    </row>
    <row r="13145">
      <c r="A13145" t="inlineStr">
        <is>
          <t>EAU</t>
        </is>
      </c>
      <c r="B13145">
        <f>HYPERLINK("https://www.dofusbook.net/fr/equipement/2221972-eau-/objets", "link")</f>
        <v/>
      </c>
      <c r="C13145" t="n">
        <v>2</v>
      </c>
      <c r="D13145" t="inlineStr">
        <is>
          <t>Sceptre du Roi Joueur; Amulette Voldelor; Pikano; Alliance Gloursonne; Bouclier d'Ilyzaelle; Poulpagne; Capuche de l'Œil Attentif; Cape de l'Œil Attentif; Sandales des Fonds marins; Dofus Ivoire; Dofus Abyssal; Dofus Pourpre; Chanceux majeur; Remueur; Carapace Eau majeur; Muldo Ebène</t>
        </is>
      </c>
    </row>
    <row r="13146">
      <c r="A13146" t="inlineStr">
        <is>
          <t>Topone</t>
        </is>
      </c>
      <c r="B13146">
        <f>HYPERLINK("https://www.dofusbook.net/fr/equipement/2661241-topone/objets", "link")</f>
        <v/>
      </c>
      <c r="C13146" t="n">
        <v>0</v>
      </c>
      <c r="D13146" t="inlineStr">
        <is>
          <t>Manthache; Collier du Valet Veinard; Gant du Valet Veinard; Alliance Gloursonne; Bouclier d'Ilyzaelle; Ceintouse; Bandeau Culaire; Cape Parition; Baleinabottes; Dofus Émeraude; Dofus Ocre; Dofus Ivoire; Dofus des Glaces; Dofus Pourpre; Robuste majeur; Muldo Ebène et Pourpre</t>
        </is>
      </c>
    </row>
    <row r="13147">
      <c r="A13147" t="inlineStr">
        <is>
          <t>Thibault</t>
        </is>
      </c>
      <c r="B13147">
        <f>HYPERLINK("https://www.dofusbook.net/fr/equipement/2638272-thibault/objets", "link")</f>
        <v/>
      </c>
      <c r="C13147" t="n">
        <v>1</v>
      </c>
      <c r="D13147" t="inlineStr">
        <is>
          <t>Dagues du Dragoeuf; Amulette de l'Obsidiantre; Anneau Nobstant; Anneau du Chêne Mou; Bouclier Taverne; Slip Iholo; Bonnet Ko; Cape Phossile; Bottes Phossiles; Dokoko; Nomade; Puissant majeur; Remueur; Vigoureux; Vigoureux majeur; Muldo Ebène et Indigo</t>
        </is>
      </c>
    </row>
    <row r="13148">
      <c r="A13148" t="inlineStr">
        <is>
          <t>Dopou soin</t>
        </is>
      </c>
      <c r="B13148">
        <f>HYPERLINK("https://www.dofusbook.net/fr/equipement/1958282-dopou-soin/objets", "link")</f>
        <v/>
      </c>
      <c r="C13148" t="n">
        <v>1</v>
      </c>
      <c r="D13148" t="inlineStr">
        <is>
          <t>Baguette de Malléfisk; Talisman Igans; Bague Trithon; Alliance du Lévitrof; Carapar; Ceintrigue; Casque Dragoeuf; Cape de la Dame du Hasard; Pataugastrique; Dofus Émeraude; Remueur; Guérisseur majeur; Bousculeur majeur; Culbuteur majeur; Carapace Feu majeur; Muldo Indigo et Orchidée</t>
        </is>
      </c>
    </row>
    <row r="13149">
      <c r="A13149" t="inlineStr">
        <is>
          <t>multi OMG2</t>
        </is>
      </c>
      <c r="B13149">
        <f>HYPERLINK("https://www.dofusbook.net/fr/equipement/2564250-multi-omg2/objets", "link")</f>
        <v/>
      </c>
      <c r="C13149" t="n">
        <v>1</v>
      </c>
      <c r="D13149" t="inlineStr">
        <is>
          <t>Hache du Chalœil; Amulette du Strigide; Alliance Gloursonne; Bracelet du Piloztère; Bouclier du Captain Amakna; Ceintacé; Casque Dragoeuf; Dofusteuse; Bottes du Strigide; Dofus Ocre; Dofus Pourpre; Dolmanax; Dofus Turquoise; Dofus Émeraude; Dofus des Glaces; Muldo Indigo et Pourpre</t>
        </is>
      </c>
    </row>
    <row r="13150">
      <c r="A13150" t="inlineStr">
        <is>
          <t>Ahique BASE</t>
        </is>
      </c>
      <c r="B13150">
        <f>HYPERLINK("https://www.dofusbook.net/fr/equipement/2426842-ahique-base/objets", "link")</f>
        <v/>
      </c>
      <c r="C13150" t="n">
        <v>2</v>
      </c>
      <c r="D13150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Abyssal; Dofus Ocre; Dofus Ivoire; Dokoko; Dofus des Glaces; Muldo Ebène</t>
        </is>
      </c>
    </row>
    <row r="13151">
      <c r="A13151" t="inlineStr">
        <is>
          <t>Arc Ahique</t>
        </is>
      </c>
      <c r="B13151">
        <f>HYPERLINK("https://www.dofusbook.net/fr/equipement/2417071-arc-ahique/objets", "link")</f>
        <v/>
      </c>
      <c r="C13151" t="n">
        <v>0</v>
      </c>
      <c r="D13151" t="inlineStr">
        <is>
          <t>Arc Ahique; Amulette de Pol Ouatnos; Anneau Chevelu; Alliance Gloursonne; Bouclier du Stalak; Ceinture de la Reine des Voleurs; Coiffe de la Reine des Voleurs; Voile d'encre; Sabots Minables; Dofus des Glaces; Dofus Abyssal; Dokoko; Dofus Ivoire; Remueur; Carapace Feu majeur; Muldo Ebène et Orchidée</t>
        </is>
      </c>
    </row>
    <row r="13152">
      <c r="A13152" t="inlineStr">
        <is>
          <t>Retpm</t>
        </is>
      </c>
      <c r="B13152">
        <f>HYPERLINK("https://www.dofusbook.net/fr/equipement/2362047-retpm/objets", "link")</f>
        <v/>
      </c>
      <c r="C13152" t="n">
        <v>3</v>
      </c>
      <c r="D13152" t="inlineStr">
        <is>
          <t>La Baguette des Limbes; Amulette Hale; Anneau des Matougarous; Pikano; Bouclier cubiste; Ceinture des Matougarous; Casquipik; Cape des Matougarous; Pikottes; Dofus Pourpre; Puissant majeur; Entraveur majeur; Entraveur; Ralentisseur majeur; Robuste majeur; Muldo Doré</t>
        </is>
      </c>
    </row>
    <row r="13153">
      <c r="A13153" t="inlineStr">
        <is>
          <t>répoucri</t>
        </is>
      </c>
      <c r="B13153">
        <f>HYPERLINK("https://www.dofusbook.net/fr/equipement/2320840-repoucri/objets", "link")</f>
        <v/>
      </c>
      <c r="C13153" t="n">
        <v>1</v>
      </c>
      <c r="D13153" t="inlineStr">
        <is>
          <t>Sabres d'Atcham; Amulette de l'Œil Putride; Anneau Rifique; Bague Trithon; Bouclier d'Ilyzaelle; Ceintacé; Bandeau Culaire; Cape Parition; Bottes de la Reine des Voleurs; Dolmanax; Dofus Turquoise; Dofus Émeraude; Dofus Pourpre; Dofus des Glaces; Remueur; Muldo Ebène et Orchidée</t>
        </is>
      </c>
    </row>
    <row r="13154">
      <c r="A13154" t="inlineStr">
        <is>
          <t>pdvmulti</t>
        </is>
      </c>
      <c r="B13154">
        <f>HYPERLINK("https://www.dofusbook.net/fr/equipement/2321651-pdvmulti/objets", "link")</f>
        <v/>
      </c>
      <c r="C13154" t="n">
        <v>1</v>
      </c>
      <c r="D13154" t="inlineStr">
        <is>
          <t>Sabres d'Atcham; Amulette de l'Œil Putride; Anneau Tique; Alliance Gloursonne; Bouclier d'Ilyzaelle; Ceintacé; Capuche de l'Œil Putride; Chevelure de Tal Kasha; Bottes du Chalœil; Dofus Émeraude; Dofus Pourpre; Dokoko; Dofus Turquoise; Remueur; Miraculé majeur; Muldo Ebène et Pourpre</t>
        </is>
      </c>
    </row>
    <row r="13155">
      <c r="A13155" t="inlineStr">
        <is>
          <t>Best Sram</t>
        </is>
      </c>
      <c r="B13155">
        <f>HYPERLINK("https://www.dofusbook.net/fr/equipement/2316722-best-sram/objets", "link")</f>
        <v/>
      </c>
      <c r="C13155" t="n">
        <v>2</v>
      </c>
      <c r="D13155" t="inlineStr">
        <is>
          <t>Dagues Érhy; Amulette de l'Indicible; Alliance Brûlâme; Bague Gloursonne; Bouclier du Captain Amakna; Ceinture de l'Esprit Salvateur; Masque Brûlâme; Voile d'encre; Bottes du Strigide; Dofus Pourpre; Dofus Ocre; Dofus des Glaces; Carapace Feu majeur; Vigoureux majeur; Remueur; Muldo Pourpre</t>
        </is>
      </c>
    </row>
    <row r="13156">
      <c r="A13156" t="inlineStr">
        <is>
          <t>Best Sram</t>
        </is>
      </c>
      <c r="B13156">
        <f>HYPERLINK("https://www.dofusbook.net/fr/equipement/2312804-best-sram/objets", "link")</f>
        <v/>
      </c>
      <c r="C13156" t="n">
        <v>8</v>
      </c>
      <c r="D13156" t="inlineStr">
        <is>
          <t>Dagues Érhy; Amulette du Strigide; Alliance Gloursonne; Alliance Brûlâme; Quatre-feuilles; Ceinture du Strigide; Masque Brûlâme; Voile d'encre; Pompes Funèbres; Dofus Abyssal; Dofus Ocre; Dofus Vulbis; Dofus des Glaces; Dolmanax; Dofus Pourpre; El Scarador</t>
        </is>
      </c>
    </row>
    <row r="13157">
      <c r="A13157" t="inlineStr">
        <is>
          <t>Air</t>
        </is>
      </c>
      <c r="B13157">
        <f>HYPERLINK("https://www.dofusbook.net/fr/equipement/2284087-air/objets", "link")</f>
        <v/>
      </c>
      <c r="C13157" t="n">
        <v>0</v>
      </c>
      <c r="D13157" t="inlineStr">
        <is>
          <t>Épée de Ush; Collier Cérémonial du Seigneur des Rats; Alliance Hestrale; Gelano; Cadran d'Air; Ceinture du Tengu Givrefoux; Chapeau de Ben le Ripate; Cape Phossile; Bottes Phossiles; Dofus Turquoise; Dofus Pourpre; Dofus Ocre; Remueur; Observateur; Vigoureux majeur; Muldo Prune et Emeraude</t>
        </is>
      </c>
    </row>
    <row r="13158">
      <c r="A13158" t="inlineStr">
        <is>
          <t>Air</t>
        </is>
      </c>
      <c r="B13158">
        <f>HYPERLINK("https://www.dofusbook.net/fr/equipement/2283813-air/objets", "link")</f>
        <v/>
      </c>
      <c r="C13158" t="n">
        <v>1</v>
      </c>
      <c r="D13158" t="inlineStr">
        <is>
          <t>Épée de Ush; Collier Cérémonial du Seigneur des Rats; Gelano; Alliance Hestrale; Cadran d'Air; Ceinture du Tengu Givrefoux; Chapeau de Ben le Ripate; Cape Phossile; Bottes Phossiles; Fonceur majeur; Remueur; Observateur; Vigoureux majeur; Puissant majeur; Nomade; Muldo Prune et Emeraude</t>
        </is>
      </c>
    </row>
    <row r="13159">
      <c r="A13159" t="inlineStr">
        <is>
          <t>Sb neutre</t>
        </is>
      </c>
      <c r="B13159">
        <f>HYPERLINK("https://www.dofusbook.net/fr/equipement/2278501-sb-neutre/objets", "link")</f>
        <v/>
      </c>
      <c r="C13159" t="n">
        <v>2</v>
      </c>
      <c r="D13159" t="inlineStr">
        <is>
          <t>Dagues de Srambad; Torquistik; Anneau Chevelu; Bague Gloursonne; Cadran d'Eau; Ceinture de la Reine des Voleurs; Casque Dragoeuf; Voile d'encre; Bottes de la Reine des Voleurs; Dolmanax; Dofus des Glaces; Dofus Ocre; Dofus Ivoire; Dofus Émeraude; Remueur; Muldo Ebène et Pourpre</t>
        </is>
      </c>
    </row>
    <row r="13160">
      <c r="A13160" t="inlineStr">
        <is>
          <t>EAU sb</t>
        </is>
      </c>
      <c r="B13160">
        <f>HYPERLINK("https://www.dofusbook.net/fr/equipement/2256845-eau-sb/objets", "link")</f>
        <v/>
      </c>
      <c r="C13160" t="n">
        <v>1</v>
      </c>
      <c r="D13160" t="inlineStr">
        <is>
          <t>Sceptre du Roi Joueur; Amulette Voldelor; Alliance Gloursonne; Pikano; Cadran d'Eau; Ceinture de la Reine des Voleurs; Masque des Fonds marins; Cape de l'Œil Attentif; Bottes de la Reine des Voleurs; Dofus Abyssal; Dofus Pourpre; Dofus Émeraude; Dofus Ocre; Remueur; Carapace Air majeur; Muldo Indigo et Pourpre</t>
        </is>
      </c>
    </row>
    <row r="13161">
      <c r="A13161" t="inlineStr">
        <is>
          <t>Soin</t>
        </is>
      </c>
      <c r="B13161">
        <f>HYPERLINK("https://www.dofusbook.net/fr/equipement/2220385-soin/objets", "link")</f>
        <v/>
      </c>
      <c r="C13161" t="n">
        <v>2</v>
      </c>
      <c r="D13161" t="inlineStr">
        <is>
          <t>Baguette de Malléfisk; Pendentif affamé; Chevalière du Roi Joueur; Anneau de Nidas; Bouclier cubiste; Ceinture Séculaire; Couronne de Nidas; Voile d'encre; Bottes Honyme; Temporiseur majeur; Carapace Eau majeur; Remueur; Guérisseur majeur; Érudit majeur; Déserteur majeur; Muldo Indigo et Pourpre</t>
        </is>
      </c>
    </row>
    <row r="13162">
      <c r="A13162" t="inlineStr">
        <is>
          <t>terre</t>
        </is>
      </c>
      <c r="B13162">
        <f>HYPERLINK("https://www.dofusbook.net/fr/equipement/2030733-terre/objets", "link")</f>
        <v/>
      </c>
      <c r="C13162" t="n">
        <v>2</v>
      </c>
      <c r="D13162" t="inlineStr">
        <is>
          <t>Marteau R'ture; Amulette du Cœur Saignant; Anneau Crustique; Alliance de Missiz Frizz; Bivalve; Ceinture Volkorne; Casque de Missiz Frizz; Cape du Cœur Saignant; Bottes du Cœur Saignant; Dofus Ébène; Dofus Vulbis; Dofus Pourpre; Dofus Ocre; Dofus Ivoire; Dofus Turquoise; Volkorne Pourpre</t>
        </is>
      </c>
    </row>
    <row r="13163">
      <c r="A13163" t="inlineStr">
        <is>
          <t>Ougi air 200 1</t>
        </is>
      </c>
      <c r="B13163">
        <f>HYPERLINK("https://www.dofusbook.net/fr/equipement/5621685-ougi-air-200-1/objets", "link")</f>
        <v/>
      </c>
      <c r="C13163" t="n">
        <v>0</v>
      </c>
      <c r="D13163" t="inlineStr">
        <is>
          <t>Manthache; Collier du Valet Veinard; Alliance Gloursonne; Gant du Valet Veinard; Bouclier d'Ilyzaelle; Menoture; Casque Volkorne; Cape Indescriptible; Palmes Trithons; Dofus Ocre; Dofus Émeraude; Dofus Pourpre; Nomade; Vigoureux majeur; Cascadeur majeur; Blérodoudou</t>
        </is>
      </c>
    </row>
    <row r="13164">
      <c r="A13164" t="inlineStr">
        <is>
          <t>Eniripsa M 200</t>
        </is>
      </c>
      <c r="B13164">
        <f>HYPERLINK("https://www.dofusbook.net/fr/equipement/5497768-eniripsa-m-200/objets", "link")</f>
        <v/>
      </c>
      <c r="C13164" t="n">
        <v>1</v>
      </c>
      <c r="D13164" t="inlineStr">
        <is>
          <t>Arc corrompu; Amulette Volkorne; Anneauræus; Anneauræus; Bouclier du Cycloïde; Ceinture Volkorne; Heaume Oplate; Cape de Diondin; Bottes Innommables; Dofus Turquoise; Dofus des Veilleurs; Nomade; Érudit majeur; Vigoureux majeur; Astucieux majeur; Brûlih</t>
        </is>
      </c>
    </row>
    <row r="13165">
      <c r="A13165" t="inlineStr">
        <is>
          <t>full intel</t>
        </is>
      </c>
      <c r="B13165">
        <f>HYPERLINK("https://www.dofusbook.net/fr/equipement/2097487-full-intel/objets", "link")</f>
        <v/>
      </c>
      <c r="C13165" t="n">
        <v>13</v>
      </c>
      <c r="D13165" t="inlineStr">
        <is>
          <t>Arc corrompu; Amulette d'Otomaï; Anneau de Padgref; Bague Gloursonne; Bouclier du Cycloïde; Ceinture Séculaire; Coiffe Séculaire; Cape de Diondin; Pataugastrique; Dofus Turquoise; Nomade; Voyageur; Astucieux majeur; Remueur; Érudit majeur; Brûlih</t>
        </is>
      </c>
    </row>
    <row r="13166">
      <c r="A13166" t="inlineStr">
        <is>
          <t>Iop M 200</t>
        </is>
      </c>
      <c r="B13166">
        <f>HYPERLINK("https://www.dofusbook.net/fr/equipement/5375379-iop-m-200/objets", "link")</f>
        <v/>
      </c>
      <c r="C13166" t="n">
        <v>0</v>
      </c>
      <c r="D13166" t="inlineStr">
        <is>
          <t>Manthache; Collier du Valet Veinard; Alliance Gloursonne; Gant du Valet Veinard; Bouclier du Stalak; Menoture; Dorabysses; Cape Martegel; Palmes Trithons; Dofus Pourpre; Dofus Ébène; Dofus Ivoire; Dofus Ocre; Cascadeur majeur; Nomade; Dragodinde Ebène et Ivoire</t>
        </is>
      </c>
    </row>
    <row r="13167">
      <c r="A13167" t="inlineStr">
        <is>
          <t>eca pvm</t>
        </is>
      </c>
      <c r="B13167">
        <f>HYPERLINK("https://www.dofusbook.net/fr/equipement/5256161-eca-pvm/objets", "link")</f>
        <v/>
      </c>
      <c r="C13167" t="n">
        <v>0</v>
      </c>
      <c r="D13167" t="inlineStr">
        <is>
          <t>Dagues de Srambad; Amulette du Strigide; Alliance Gloursonne; Anneau Volkorne; Bivalve; Ceinture du Strigide; Masque de Funespadon; Cape des Justiciers; Pantoufles du Piloztère; Dofus Turquoise; Nomade; Chanceux majeur; Remueur; Vigoureux majeur; Chacha Angora</t>
        </is>
      </c>
    </row>
    <row r="13168">
      <c r="A13168" t="inlineStr">
        <is>
          <t>test cra terre eau</t>
        </is>
      </c>
      <c r="B13168">
        <f>HYPERLINK("https://www.dofusbook.net/fr/equipement/3644762-test-cra-terre-eau/objets", "link")</f>
        <v/>
      </c>
      <c r="C13168" t="n">
        <v>13</v>
      </c>
      <c r="D13168" t="inlineStr">
        <is>
          <t>Dagues de Srambad; Amulette du Strigide; Anneau Volkorne; Bracelet du Piloztère; Quatre-feuilles; Ceinture Volkorne; Masque de Funespadon; Cape des Justiciers; Bottes du Strigide; Dofus Ocre; Dofus Pourpre; Dofus Ivoire; Dofus Turquoise; Dofus Ébène; Voyageur; Kramkram</t>
        </is>
      </c>
    </row>
    <row r="13169">
      <c r="A13169" t="inlineStr">
        <is>
          <t>stri-glours</t>
        </is>
      </c>
      <c r="B13169">
        <f>HYPERLINK("https://www.dofusbook.net/fr/equipement/361027-stri-glours/objets", "link")</f>
        <v/>
      </c>
      <c r="C13169" t="n">
        <v>3</v>
      </c>
      <c r="D13169" t="inlineStr">
        <is>
          <t>Epée Gloursonne; Amulette du Strigide; Alliance Gloursonne; Bague Gloursonne; Quatre-feuilles; Ceinture du Strigide; Casquipik; Voile d'encre; Bottes du Strigide; Dofus Ivoire; Dofus Ocre; Dofus Abyssal; Dofus Pourpre; Dofus Ébène; Dofus Turquoise; Muldo Indigo et Pourpre</t>
        </is>
      </c>
    </row>
    <row r="13170">
      <c r="A13170" t="inlineStr">
        <is>
          <t>test arc</t>
        </is>
      </c>
      <c r="B13170">
        <f>HYPERLINK("https://www.dofusbook.net/fr/equipement/5008432-test-arc/objets", "link")</f>
        <v/>
      </c>
      <c r="C13170" t="n">
        <v>3</v>
      </c>
      <c r="D13170" t="inlineStr">
        <is>
          <t>Arc Volkorne; Amulette du Strigide; Bracelet du Piloztère; Anneau de Padgref; Quatre-feuilles; Ceinture du Strigide; Coiffe de Padgref; Chevelure de Tal Kasha; Getas de Padgref; Dofus Abyssal; Dofus Ocre; Dofus Pourpre; Dofus des Glaces; Dofus Turquoise; Voyageur; Sakochère</t>
        </is>
      </c>
    </row>
    <row r="13171">
      <c r="A13171" t="inlineStr">
        <is>
          <t>guildeux</t>
        </is>
      </c>
      <c r="B13171">
        <f>HYPERLINK("https://www.dofusbook.net/fr/equipement/5116329-guildeux/objets", "link")</f>
        <v/>
      </c>
      <c r="C13171" t="n">
        <v>5</v>
      </c>
      <c r="D13171" t="inlineStr">
        <is>
          <t>Arc Volkorne; Amulette du Strigide; Bracelet du Piloztère; Bague Gloursonne; Quatre-feuilles; Ceinture du Strigide; Capuche de l'Œil Putride; Cape des Justiciers; Pataugastrique; Érudit majeur; Remueur; Enragé majeur; Cascadeur majeur; Vigoureux majeur; Nomade; Muldo Prune et Emeraude</t>
        </is>
      </c>
    </row>
    <row r="13172">
      <c r="A13172" t="inlineStr">
        <is>
          <t>stuff pvm 2</t>
        </is>
      </c>
      <c r="B13172">
        <f>HYPERLINK("https://www.dofusbook.net/fr/equipement/361034-stuff-pvm-2/objets", "link")</f>
        <v/>
      </c>
      <c r="C13172" t="n">
        <v>7</v>
      </c>
      <c r="D13172" t="inlineStr">
        <is>
          <t>Arc Volkorne; Amulette du Strigide; Alliance Gloursonne; Bracelet du Piloztère; Quatre-feuilles; Ceintacé; Coiffe de Padgref; Chevelure de Tal Kasha; Bottes du Strigide; Dofus Turquoise; Dofus Pourpre; Enragé majeur; Nomade; Vigoureux majeur; Remueur; Kokulte</t>
        </is>
      </c>
    </row>
    <row r="13173">
      <c r="A13173" t="inlineStr">
        <is>
          <t>Stuff 3</t>
        </is>
      </c>
      <c r="B13173">
        <f>HYPERLINK("https://www.dofusbook.net/fr/equipement/360968-stuff-3/objets", "link")</f>
        <v/>
      </c>
      <c r="C13173" t="n">
        <v>3</v>
      </c>
      <c r="D13173" t="inlineStr">
        <is>
          <t>Bâthon; Amulette du Strigide; Bracelet du Piloztère; Bague Gloursonne; Quatre-feuilles; Ceinture du Strigide; Couronne du Roi Joueur; Voile d'encre; Bottes Honyme; Dofus Pourpre; Dofus Turquoise; Fonceur majeur; Vigoureux majeur; Remueur; Nomade; Cromeugnon</t>
        </is>
      </c>
    </row>
    <row r="13174">
      <c r="A13174" t="inlineStr">
        <is>
          <t>Stuff 2</t>
        </is>
      </c>
      <c r="B13174">
        <f>HYPERLINK("https://www.dofusbook.net/fr/equipement/361020-stuff-2/objets", "link")</f>
        <v/>
      </c>
      <c r="C13174" t="n">
        <v>1</v>
      </c>
      <c r="D13174" t="inlineStr">
        <is>
          <t>Dagues Açantes; Amulette de Shokkoth; Pikano; Alliance Gloursonne; Bouclier cubiste; Ceinture Glaciale; Kidibonnet; Cape de Léthaline; Pikottes; Temporiseur majeur; Remueur; Entraveur majeur; Chanceux majeur; Ralentisseur majeur; Nomade; Gwo Tofu Ventripotent</t>
        </is>
      </c>
    </row>
    <row r="13175">
      <c r="A13175" t="inlineStr">
        <is>
          <t>stuff pvm darkfeu</t>
        </is>
      </c>
      <c r="B13175">
        <f>HYPERLINK("https://www.dofusbook.net/fr/equipement/360970-stuff-pvm-darkfeu/objets", "link")</f>
        <v/>
      </c>
      <c r="C13175" t="n">
        <v>13</v>
      </c>
      <c r="D13175" t="inlineStr">
        <is>
          <t>Dagues du Dragoeuf; Amulette Volkorne; Bague Gloursonne; Chevalière du Roi Joueur; Bivalve; Ceinture Volkorne; Couronne du Roi Joueur; Voile d'encre; Bottes du Roi Joueur; Dofus Ébène; Dofus Turquoise; Dofus Ocre; Dofus Abyssal; Dofus Pourpre; Voyageur; Cromeugnon</t>
        </is>
      </c>
    </row>
    <row r="13176">
      <c r="A13176" t="inlineStr">
        <is>
          <t>Stuff 2</t>
        </is>
      </c>
      <c r="B13176">
        <f>HYPERLINK("https://www.dofusbook.net/fr/equipement/360950-stuff-2/objets", "link")</f>
        <v/>
      </c>
      <c r="C13176" t="n">
        <v>0</v>
      </c>
      <c r="D13176" t="inlineStr">
        <is>
          <t>Hache du Chalœil; Amulette du Strigide; Anneau Chevelu; Alliance Gloursonne; Quatre-feuilles; Ceintacé; Chapeau de Gein; Voile d'encre; Bottes du Strigide; Dofus Nébuleux; Dofus Ocre; Dolmanax; Dofus Turquoise; Dofus Pourpre; Nomade; Kramkram</t>
        </is>
      </c>
    </row>
    <row r="13177">
      <c r="A13177" t="inlineStr">
        <is>
          <t>eau k</t>
        </is>
      </c>
      <c r="B13177">
        <f>HYPERLINK("https://www.dofusbook.net/fr/equipement/361026-eau-k/objets", "link")</f>
        <v/>
      </c>
      <c r="C13177" t="n">
        <v>2</v>
      </c>
      <c r="D13177" t="inlineStr">
        <is>
          <t>Sceptre du Roi Joueur; Amulette de Shokkoth; Alliance Gloursonne; Anneau Volkorne; Cadran de Terre; Ceinture Glaciale; Capuche de l'Œil Attentif; Cape Glaciale; Pataugastrique; Dofus Pourpre; Nomade; Chanceux majeur; Remueur; Vigoureux majeur; Étourdisseur majeur; Kanigloups</t>
        </is>
      </c>
    </row>
    <row r="13178">
      <c r="A13178" t="inlineStr">
        <is>
          <t>Iop pvm</t>
        </is>
      </c>
      <c r="B13178">
        <f>HYPERLINK("https://www.dofusbook.net/fr/equipement/4994685-iop-pvm/objets", "link")</f>
        <v/>
      </c>
      <c r="C13178" t="n">
        <v>8</v>
      </c>
      <c r="D13178" t="inlineStr">
        <is>
          <t>Arc du Chalœil; Amulette du Strigide; Chevalière du Roi Joueur; Bague Gloursonne; Bivalve; Ceinture du Strigide; Chapeau de Gein; Voile d'encre; Bottes Honyme; Dofus Pourpre; Dofus Turquoise; Vigoureux majeur; Nomade; Érudit majeur; Remueur; Cromeugnon</t>
        </is>
      </c>
    </row>
    <row r="13179">
      <c r="A13179" t="inlineStr">
        <is>
          <t>panda tank</t>
        </is>
      </c>
      <c r="B13179">
        <f>HYPERLINK("https://www.dofusbook.net/fr/equipement/361022-panda-tank/objets", "link")</f>
        <v/>
      </c>
      <c r="C13179" t="n">
        <v>5</v>
      </c>
      <c r="D13179" t="inlineStr">
        <is>
          <t>Rouleau à Pâtisserie d'Aermyne; Collier Rophante; Alliance Gloursonne; Bague Trithon; Sept ans de malheur; Ceinture de Kongoku; Masque d'Anerice; Cape d'Anerice; Pataugastrique; Dofus Émeraude; Dofus Ivoire; Bloqueur majeur; Obstructeur majeur; Remueur; Miraculé majeur; Muldo Roux et Indigo</t>
        </is>
      </c>
    </row>
    <row r="13180">
      <c r="A13180" t="inlineStr">
        <is>
          <t>pvm 12/6 volk</t>
        </is>
      </c>
      <c r="B13180">
        <f>HYPERLINK("https://www.dofusbook.net/fr/equipement/361031-pvm-12-6-volk/objets", "link")</f>
        <v/>
      </c>
      <c r="C13180" t="n">
        <v>6</v>
      </c>
      <c r="D13180" t="inlineStr">
        <is>
          <t>Arc Volkorne; Amulette Volkorne; Anneau Volkorne; Anneau de Padgref; Quatre-feuilles; Ceinture du Strigide; Coiffe de Padgref; Chevelure de Tal Kasha; Getas de Padgref; Dofus Abyssal; Dofus Ocre; Dofus Pourpre; Dofus des Glaces; Dofus Turquoise; Voyageur; Sakochère</t>
        </is>
      </c>
    </row>
    <row r="13181">
      <c r="A13181" t="inlineStr">
        <is>
          <t>Iop M 200</t>
        </is>
      </c>
      <c r="B13181">
        <f>HYPERLINK("https://www.dofusbook.net/fr/equipement/5006532-iop-m-200/objets", "link")</f>
        <v/>
      </c>
      <c r="C13181" t="n">
        <v>0</v>
      </c>
      <c r="D13181" t="inlineStr">
        <is>
          <t>Epée Gloursonne; Amulette du Strigide; Alliance Gloursonne; Bague Gloursonne; Bivalve; Ceinture du Strigide; Couronne du Roi Joueur; Voile d'encre; Bottes du Strigide; Dofus Pourpre; Dofus Ébène; Dofus Turquoise; Dofus Abyssal; Dofus Ocre; Voyageur; Cromeugnon</t>
        </is>
      </c>
    </row>
    <row r="13182">
      <c r="A13182" t="inlineStr">
        <is>
          <t>cra test pvpm1</t>
        </is>
      </c>
      <c r="B13182">
        <f>HYPERLINK("https://www.dofusbook.net/fr/equipement/4460418-cra-test-pvpm1/objets", "link")</f>
        <v/>
      </c>
      <c r="C13182" t="n">
        <v>5</v>
      </c>
      <c r="D13182" t="inlineStr">
        <is>
          <t>Arc Volkorne; Amulette Volkorne; Bague Trithon; Anneau Volkorne; Quatre-feuilles; Ceinture Volkorne; Masque Trithon; Voile d'encre; Bottes Trithon; Dofus Ocre; Dofus Ivoire; Dofus Pourpre; Dofus Ébène; Dofus Turquoise; Dofus des Glaces; Kokulte</t>
        </is>
      </c>
    </row>
    <row r="13183">
      <c r="A13183" t="inlineStr">
        <is>
          <t>stuff pvm 1</t>
        </is>
      </c>
      <c r="B13183">
        <f>HYPERLINK("https://www.dofusbook.net/fr/equipement/361025-stuff-pvm-1/objets", "link")</f>
        <v/>
      </c>
      <c r="C13183" t="n">
        <v>4</v>
      </c>
      <c r="D13183" t="inlineStr">
        <is>
          <t>Arc Volkorne; Amulette Volkorne; Anneau Volkorne; Bracelet du Piloztère; Quatre-feuilles; Ceinture Volkorne; Casque du Chalœil; Cape du Chalœil; Bottes du Chalœil; Dofus Ocre; Dofus Turquoise; Dofus Abyssal; Dofus des Glaces; Dolmanax; Dofus Pourpre; Sakochère</t>
        </is>
      </c>
    </row>
    <row r="13184">
      <c r="A13184" t="inlineStr">
        <is>
          <t>stuff 4 feu</t>
        </is>
      </c>
      <c r="B13184">
        <f>HYPERLINK("https://www.dofusbook.net/fr/equipement/4205564-stuff-4-feu-/objets", "link")</f>
        <v/>
      </c>
      <c r="C13184" t="n">
        <v>4</v>
      </c>
      <c r="D13184" t="inlineStr">
        <is>
          <t>Arc corrompu; Amulette Volkorne; Anneauræus; Anneauræus; Bouclier du Stalak; Ceinture Volkorne; Heaume Oplate; Voile d'encre; Bottes Innommables; Dofus Ivoire; Dofus Pourpre; Érudit majeur; Nomade; Vigoureux majeur; Remueur; Brûlih</t>
        </is>
      </c>
    </row>
    <row r="13185">
      <c r="A13185" t="inlineStr">
        <is>
          <t>cra terre</t>
        </is>
      </c>
      <c r="B13185">
        <f>HYPERLINK("https://www.dofusbook.net/fr/equipement/4438740-cra-terre/objets", "link")</f>
        <v/>
      </c>
      <c r="C13185" t="n">
        <v>6</v>
      </c>
      <c r="D13185" t="inlineStr">
        <is>
          <t>Arc du Chalœil; Amulette du Cœur Saignant; Anneau Volkorne; Anneau Chevelu; Quatre-feuilles; Ceinture Volkorne; Masque de Koutoulou; Cape au Logis; Bottes du Cœur Saignant; Dofus Turquoise; Dofus Ébène; Dofus Ocre; Dofus Nébuleux; Dofus Pourpre; Dofus Ivoire; Pioute vert</t>
        </is>
      </c>
    </row>
    <row r="13186">
      <c r="A13186" t="inlineStr">
        <is>
          <t>pvpm volk</t>
        </is>
      </c>
      <c r="B13186">
        <f>HYPERLINK("https://www.dofusbook.net/fr/equipement/3644758-pvpm-volk/objets", "link")</f>
        <v/>
      </c>
      <c r="C13186" t="n">
        <v>4</v>
      </c>
      <c r="D13186" t="inlineStr">
        <is>
          <t>Hache du Chalœil; Amulette du Strigide; Anneau Volkorne; Alliance Gloursonne; Quatre-feuilles; Ceinture Volkorne; Kidibonnet; Voile d'encre; Bottes du Strigide; Dofus Turquoise; Dofus Abyssal; Dofus Pourpre; Dofus Ivoire; Dofus des Glaces; Dofus Ocre; Muldo Prune et Doré</t>
        </is>
      </c>
    </row>
    <row r="13187">
      <c r="A13187" t="inlineStr">
        <is>
          <t>Stuff 1</t>
        </is>
      </c>
      <c r="B13187">
        <f>HYPERLINK("https://www.dofusbook.net/fr/equipement/361018-stuff-1/objets", "link")</f>
        <v/>
      </c>
      <c r="C13187" t="n">
        <v>1</v>
      </c>
      <c r="D13187" t="inlineStr">
        <is>
          <t>Baguette Hique; Amulette des Chocomanciens; Anneau Tamie; Anneau Tamie; Bouclier du serrurier; Ceinture des Chocomanciens; Capuche de l'Œil Putride; Cape de Léthaline; Pataugastrique; Temporiseur; Remueur; Entraveur majeur; Ralentisseur majeur; Temporiseur majeur; Gwo Tofu Ventripotent</t>
        </is>
      </c>
    </row>
    <row r="13188">
      <c r="A13188" t="inlineStr">
        <is>
          <t>stuff feu 2</t>
        </is>
      </c>
      <c r="B13188">
        <f>HYPERLINK("https://www.dofusbook.net/fr/equipement/360971-stuff-feu-2/objets", "link")</f>
        <v/>
      </c>
      <c r="C13188" t="n">
        <v>11</v>
      </c>
      <c r="D13188" t="inlineStr">
        <is>
          <t>Arc corrompu; Amulette de Nileza; Anneauræus; Anneauræus; Bouclier du Stalak; Ceinture de Vortex; Heaume Oplate; Cape de Nileza; Bottes Innommables; Dofus Pourpre; Dofus Ivoire; Nomade; Remueur; Érudit majeur; Vigoureux majeur; Brûlih</t>
        </is>
      </c>
    </row>
    <row r="13189">
      <c r="A13189" t="inlineStr">
        <is>
          <t>Osamodas M 200</t>
        </is>
      </c>
      <c r="B13189">
        <f>HYPERLINK("https://www.dofusbook.net/fr/equipement/4731625-osamodas-m-200/objets", "link")</f>
        <v/>
      </c>
      <c r="C13189" t="n">
        <v>8</v>
      </c>
      <c r="D13189" t="inlineStr">
        <is>
          <t>Lance Horselé; Collier du Valet Veinard; Gant du Valet Veinard; Alliance Gloursonne; Cadran d'Air; Menoture; Masquegel; Cape du Kamasterisk; Palmes Trithons; Dofus Ocre; Dofus Ivoire; Dofus des Glaces; Nomade; Cascadeur majeur; Carapace Air majeur; Blérodoudou</t>
        </is>
      </c>
    </row>
    <row r="13190">
      <c r="A13190" t="inlineStr">
        <is>
          <t>Sacrieur F 200</t>
        </is>
      </c>
      <c r="B13190">
        <f>HYPERLINK("https://www.dofusbook.net/fr/equipement/4786074-sacrieur-f-200/objets", "link")</f>
        <v/>
      </c>
      <c r="C13190" t="n">
        <v>0</v>
      </c>
      <c r="D13190" t="inlineStr">
        <is>
          <t>Bêche Asse; Amulette du Cœur Saignant; Anneau de XLII; Anneau Chevelu; Droiture de Fallanster; Ceintacé; Casque Dragoeuf; Bravoure de Rykke Errel; Bottes de XLII; Dokoko; Dofus Émeraude; Dofus Ébène; Dofus Ivoire; Nomade; Remueur; La Chose</t>
        </is>
      </c>
    </row>
    <row r="13191">
      <c r="A13191" t="inlineStr">
        <is>
          <t>pvm roxx</t>
        </is>
      </c>
      <c r="B13191">
        <f>HYPERLINK("https://www.dofusbook.net/fr/equipement/2244928-pvm-roxx/objets", "link")</f>
        <v/>
      </c>
      <c r="C13191" t="n">
        <v>9</v>
      </c>
      <c r="D13191" t="inlineStr">
        <is>
          <t>Manthache; Collier du Valet Veinard; Alliance Gloursonne; Gant du Valet Veinard; Bouclier d'Ilyzaelle; Menoture; Casque Volkorne; Cape Indescriptible; Palmes Trithons; Dofus Émeraude; Dofus Pourpre; Nomade; Cascadeur majeur; Remueur; Vigoureux majeur; Dragodinde Ebène et Ivoire</t>
        </is>
      </c>
    </row>
    <row r="13192">
      <c r="A13192" t="inlineStr">
        <is>
          <t>pvpm air</t>
        </is>
      </c>
      <c r="B13192">
        <f>HYPERLINK("https://www.dofusbook.net/fr/equipement/4579522-pvpm-air/objets", "link")</f>
        <v/>
      </c>
      <c r="C13192" t="n">
        <v>8</v>
      </c>
      <c r="D13192" t="inlineStr">
        <is>
          <t>Manthache; Collier du Valet Veinard; Alliance Gloursonne; Gant du Valet Veinard; Bouclier d'Ilyzaelle; Menoture; Casque Dragoeuf; Cape Indescriptible; Palmes Trithons; Dofus Émeraude; Dofus Pourpre; Nomade; Cascadeur majeur; Remueur; Vigoureux majeur; Dragodinde Ebène et Ivoire</t>
        </is>
      </c>
    </row>
    <row r="13193">
      <c r="A13193" t="inlineStr">
        <is>
          <t>eca multi bro</t>
        </is>
      </c>
      <c r="B13193">
        <f>HYPERLINK("https://www.dofusbook.net/fr/equipement/4538010-eca-multi-bro/objets", "link")</f>
        <v/>
      </c>
      <c r="C13193" t="n">
        <v>7</v>
      </c>
      <c r="D13193" t="inlineStr">
        <is>
          <t>Baguette des égarés; Amulette du Strigide; Bracelet du Piloztère; Alliance Gloursonne; Cadran d'Air; Ceintacé; Casquipik; Cape Matelassée; Bottes du Strigide; Enragé majeur; Vigoureux majeur; Sanguinaire majeur; Nomade; Chanceux majeur; Remueur; Muldo Doré et Emeraude</t>
        </is>
      </c>
    </row>
    <row r="13194">
      <c r="A13194" t="inlineStr">
        <is>
          <t>eca eau koli</t>
        </is>
      </c>
      <c r="B13194">
        <f>HYPERLINK("https://www.dofusbook.net/fr/equipement/3640180-eca-eau-koli/objets", "link")</f>
        <v/>
      </c>
      <c r="C13194" t="n">
        <v>7</v>
      </c>
      <c r="D13194" t="inlineStr">
        <is>
          <t>Dagoulinantes; Collier de la Dame du Hasard; Anneau Volkorne; Alliance Gloursonne; Bouclier du Stalak; Sangle Ouare; Capuche de l'Œil Attentif; Cape Solution; Bottes de la Dame du Hasard; Dofus Pourpre; Chanceux majeur; Remueur; Carapace Feu majeur; Dévastateur Eau majeur; Vigoureux majeur; Pioute bleu</t>
        </is>
      </c>
    </row>
    <row r="13195">
      <c r="A13195" t="inlineStr">
        <is>
          <t>terre</t>
        </is>
      </c>
      <c r="B13195">
        <f>HYPERLINK("https://www.dofusbook.net/fr/equipement/360972-terre/objets", "link")</f>
        <v/>
      </c>
      <c r="C13195" t="n">
        <v>2</v>
      </c>
      <c r="D13195" t="inlineStr">
        <is>
          <t>Arc du Chalœil; Amulette du Strigide; Anneau Crustique; Bague Gloursonne; Bouclier du Stalak; Ceinture du Strigide; Casque de Missiz Frizz; Cape au Logis; Bottes Honyme; Dofus Turquoise; Dofus Pourpre; Vigoureux majeur; Enragé majeur; Remueur; Nomade; Pioute vert</t>
        </is>
      </c>
    </row>
    <row r="13196">
      <c r="A13196" t="inlineStr">
        <is>
          <t>Stuff 1</t>
        </is>
      </c>
      <c r="B13196">
        <f>HYPERLINK("https://www.dofusbook.net/fr/equipement/360964-stuff-1/objets", "link")</f>
        <v/>
      </c>
      <c r="C13196" t="n">
        <v>3</v>
      </c>
      <c r="D13196" t="inlineStr">
        <is>
          <t>Dagoulinantes; Talisman Igans; Alliance Gloursonne; Anneau Volkorne; Cadran de Terre; Ceinture Glaciale; Kidibonnet; Cape Glaciale; Pataugastrique; Remueur; Observateur; Chanceux majeur; Nomade; Fonceur majeur; Carapace Air majeur; Muldo Prune et Indigo</t>
        </is>
      </c>
    </row>
    <row r="13197">
      <c r="A13197" t="inlineStr">
        <is>
          <t>Stuff 2</t>
        </is>
      </c>
      <c r="B13197">
        <f>HYPERLINK("https://www.dofusbook.net/fr/equipement/360961-stuff-2/objets", "link")</f>
        <v/>
      </c>
      <c r="C13197" t="n">
        <v>2</v>
      </c>
      <c r="D13197" t="inlineStr">
        <is>
          <t>Épée du Granduk; Amulette du Granduk; Anneau d'Allister; Alliance Gloursonne; Ceinture de Klime; Masque du Granduk; Cape Matelassée; Pantoufles Émar; Survivant majeur; Robuste majeur; Acrobate majeur; Voyageur; Equilibriste majeur; Siroko</t>
        </is>
      </c>
    </row>
    <row r="13198">
      <c r="A13198" t="inlineStr">
        <is>
          <t>pvm abysse</t>
        </is>
      </c>
      <c r="B13198">
        <f>HYPERLINK("https://www.dofusbook.net/fr/equipement/2025667-pvm-abysse/objets", "link")</f>
        <v/>
      </c>
      <c r="C13198" t="n">
        <v>9</v>
      </c>
      <c r="D13198" t="inlineStr">
        <is>
          <t>Arc du Chalœil; Amulette du Cœur Saignant; Anneau Volkorne; Alliance de Missiz Frizz; Quatre-feuilles; Ceinture Volkorne; Casque de Missiz Frizz; Cape du Cœur Saignant; Bottes du Cœur Saignant; Dofus Vulbis; Dofus Ocre; Dofus Turquoise; Dofus des Glaces; Dofus Pourpre; Dofus Abyssal; Pioute vert</t>
        </is>
      </c>
    </row>
    <row r="13199">
      <c r="A13199" t="inlineStr">
        <is>
          <t>Sram M 200</t>
        </is>
      </c>
      <c r="B13199">
        <f>HYPERLINK("https://www.dofusbook.net/fr/equipement/4058616-sram-m-200/objets", "link")</f>
        <v/>
      </c>
      <c r="C13199" t="n">
        <v>10</v>
      </c>
      <c r="D13199" t="inlineStr">
        <is>
          <t>Arc du Chalœil; Amulette du Strigide; Bracelet du Piloztère; Anneau de Brouce; Quatre-feuilles; Ceinture du Strigide; Masque de Koutoulou; Cape au Logis; Sabots Minables; Dofus Turquoise; Remueur; Enragé majeur; Nomade; Forcené majeur; Vigoureux majeur; Pioute vert</t>
        </is>
      </c>
    </row>
    <row r="13200">
      <c r="A13200" t="inlineStr">
        <is>
          <t>stuff pvm multi ret</t>
        </is>
      </c>
      <c r="B13200">
        <f>HYPERLINK("https://www.dofusbook.net/fr/equipement/361039-stuff-pvm-multi-ret/objets", "link")</f>
        <v/>
      </c>
      <c r="C13200" t="n">
        <v>1</v>
      </c>
      <c r="D13200" t="inlineStr">
        <is>
          <t>Baguette Hique; Amulette du Glourséleste; Anneau Tamie; Lavanneau; Bouclier cubiste; Ceintrigue; Capuche de l'Œil Putride; Cape de l'Œil Putride; Pantoufles Émar; Dofus Pourpre; Entraveur majeur; Nomade; Temporiseur majeur; Remueur; Vigoureux majeur; Volkorne Turquoise</t>
        </is>
      </c>
    </row>
    <row r="13201">
      <c r="A13201" t="inlineStr">
        <is>
          <t>Steamer M 200</t>
        </is>
      </c>
      <c r="B13201">
        <f>HYPERLINK("https://www.dofusbook.net/fr/equipement/4331439-steamer-m-200/objets", "link")</f>
        <v/>
      </c>
      <c r="C13201" t="n">
        <v>10</v>
      </c>
      <c r="D13201" t="inlineStr">
        <is>
          <t>Arc Nécrotique; Amulette du Strigide; Anneau Toriété; Bracelet du Piloztère; Quatre-feuilles; Ceinture du Strigide; Casquette de Meno; Cape de la Dame du Hasard; Pataugastrique; Dofus Pourpre; Dofus Turquoise; Remueur; Vigoureux majeur; Carapace Feu majeur; Nomade; Kramkram</t>
        </is>
      </c>
    </row>
    <row r="13202">
      <c r="A13202" t="inlineStr">
        <is>
          <t>Stuff 3</t>
        </is>
      </c>
      <c r="B13202">
        <f>HYPERLINK("https://www.dofusbook.net/fr/equipement/361043-stuff-3/objets", "link")</f>
        <v/>
      </c>
      <c r="C13202" t="n">
        <v>0</v>
      </c>
      <c r="D13202" t="inlineStr">
        <is>
          <t>Hache du Guerrier Zoth; Amulette du Glourséleste; Anneau Tamie; Pikano; Bouclier du serrurier; Ceinture Glaciale; Casquipik; Cape de Léthaline; Pantoufles Émar; Entraveur majeur; Remueur; Entraveur; Ralentisseur majeur; Temporiseur; Temporiseur majeur; Blokus</t>
        </is>
      </c>
    </row>
    <row r="13203">
      <c r="A13203" t="inlineStr">
        <is>
          <t>Eniripsa F 200</t>
        </is>
      </c>
      <c r="B13203">
        <f>HYPERLINK("https://www.dofusbook.net/fr/equipement/4288609-eniripsa-f-200/objets", "link")</f>
        <v/>
      </c>
      <c r="C13203" t="n">
        <v>2</v>
      </c>
      <c r="D13203" t="inlineStr">
        <is>
          <t>Arc corrompu; Amulette Séculaire; Anneau Tamie; Anneau Tamie; Bouclier du Cycloïde; Sangle Aise; Coiffe Séculaire; Cape de Diondin; Bottes Innommables; Nomade; Guérisseur majeur; Remueur; Érudit majeur; Astucieux majeur; Vigoureux majeur; Brûlih</t>
        </is>
      </c>
    </row>
    <row r="13204">
      <c r="A13204" t="inlineStr">
        <is>
          <t>Stuff 1</t>
        </is>
      </c>
      <c r="B13204">
        <f>HYPERLINK("https://www.dofusbook.net/fr/equipement/360974-stuff-1/objets", "link")</f>
        <v/>
      </c>
      <c r="C13204" t="n">
        <v>16</v>
      </c>
      <c r="D13204" t="inlineStr">
        <is>
          <t>Arc corrompu; Amulette Séculaire; Anneau Tamie; Anneauræus; Bouclier du Stalak; Ceinture Séculaire; Heaume Oplate; Voile d'encre; Bottes Innommables; Dofus Pourpre; Nomade; Carapace Terre majeur; Dévastateur Feu majeur; Remueur; Érudit majeur; Dragodinde Ivoire et Orchidée</t>
        </is>
      </c>
    </row>
    <row r="13205">
      <c r="A13205" t="inlineStr">
        <is>
          <t>Stuff 3</t>
        </is>
      </c>
      <c r="B13205">
        <f>HYPERLINK("https://www.dofusbook.net/fr/equipement/360946-stuff-3/objets", "link")</f>
        <v/>
      </c>
      <c r="C13205" t="n">
        <v>1</v>
      </c>
      <c r="D13205" t="inlineStr">
        <is>
          <t>Sceptre du Roi Joueur; Collier de la Dame du Hasard; Alliance Gloursonne; Anneau Volkorne; Bouclier du Stalak; Sangle Ouare; Kidibonnet; Cape de Mantaze; Bottes de la Dame du Hasard; Dofus Pourpre; Vigoureux majeur; Remueur; Dévastateur Eau majeur; Chanceux majeur; Dehluge</t>
        </is>
      </c>
    </row>
    <row r="13206">
      <c r="A13206" t="inlineStr">
        <is>
          <t>stuff eau 1</t>
        </is>
      </c>
      <c r="B13206">
        <f>HYPERLINK("https://www.dofusbook.net/fr/equipement/360944-stuff-eau-1/objets", "link")</f>
        <v/>
      </c>
      <c r="C13206" t="n">
        <v>1</v>
      </c>
      <c r="D13206" t="inlineStr">
        <is>
          <t>Sceptre du Roi Joueur; Amulette de Shokkoth; Alliance Gloursonne; Anneau Volkorne; Bouclier du Stalak; Ceinture Glaciale; Capuche de l'Œil Attentif; Cape Glaciale; Pataugastrique; Dofus Pourpre; Dofus Abyssal; Chanceux majeur; Nomade; Vigoureux majeur; Remueur; Kanigloups</t>
        </is>
      </c>
    </row>
    <row r="13207">
      <c r="A13207" t="inlineStr">
        <is>
          <t>stuff mic 2</t>
        </is>
      </c>
      <c r="B13207">
        <f>HYPERLINK("https://www.dofusbook.net/fr/equipement/1956503-stuff-mic-2/objets", "link")</f>
        <v/>
      </c>
      <c r="C13207" t="n">
        <v>21</v>
      </c>
      <c r="D13207" t="inlineStr">
        <is>
          <t>Arc corrompu; Amulette de Nileza; Anneau Tamie; Bague Gloursonne; Bouclier du Stalak; Ceinture Séculaire; Coiffe Séculaire; Cape de Diondin; Bottes Innommables; Dofus Pourpre; Érudit majeur; Nomade; Vigoureux majeur; Remueur; Dévastateur Feu majeur; Muldo Orchidée et Pourpre</t>
        </is>
      </c>
    </row>
    <row r="13208">
      <c r="A13208" t="inlineStr">
        <is>
          <t>eau air arc</t>
        </is>
      </c>
      <c r="B13208">
        <f>HYPERLINK("https://www.dofusbook.net/fr/equipement/2112301-eau-air-arc/objets", "link")</f>
        <v/>
      </c>
      <c r="C13208" t="n">
        <v>1</v>
      </c>
      <c r="D13208" t="inlineStr">
        <is>
          <t>Rapière aux Glyphes; Amulette de Shokkoth; Alliance Gloursonne; Bracelet des Fonds marins; Bouclier du Captain Amakna; Poulpagne; Capuche de l'Œil Attentif; Cape du Sinistrofu; Bottes du Sinistrofu; Dofus Turquoise; Dofus Abyssal; Dofus Pourpre; Dofus Nébuleux; Chanceux majeur; Remueur</t>
        </is>
      </c>
    </row>
    <row r="13209">
      <c r="A13209" t="inlineStr">
        <is>
          <t>Stuff 1</t>
        </is>
      </c>
      <c r="B13209">
        <f>HYPERLINK("https://www.dofusbook.net/fr/equipement/361001-stuff-1/objets", "link")</f>
        <v/>
      </c>
      <c r="C13209" t="n">
        <v>0</v>
      </c>
      <c r="D13209" t="inlineStr">
        <is>
          <t>Arc de Koutoulou; Amulette d'Ilyzaelle; Gant du Valet Veinard; Alliance Gloursonne; Bouclier du Stalak; Menoture; Casque d'Ilyzaelle; Cape du Valet Veinard; Bottes de la Reine des Voleurs; Dokoko; Dofus des Glaces; Dofus Pourpre; Dofus Abyssal; Dolmanax; Dofus Ocre; Muldo Ebène</t>
        </is>
      </c>
    </row>
    <row r="13210">
      <c r="A13210" t="inlineStr">
        <is>
          <t>eau-feu</t>
        </is>
      </c>
      <c r="B13210">
        <f>HYPERLINK("https://www.dofusbook.net/fr/equipement/360989-eau-feu/objets", "link")</f>
        <v/>
      </c>
      <c r="C13210" t="n">
        <v>2</v>
      </c>
      <c r="D13210" t="inlineStr">
        <is>
          <t>Épée Brûlâme; Talisman Igans; Alliance Gloursonne; Anneau Tique; Bouclier du Captain Amakna; Ceintacé; Casquette de Meno; Cape de la Dame du Hasard; Bottes de la Dame du Hasard; Dofus Émeraude; Dofus des Glaces; Dofus Pourpre; Dofus Abyssal; Dofus Turquoise; Remueur; Muldo Orchidée</t>
        </is>
      </c>
    </row>
    <row r="13211">
      <c r="A13211" t="inlineStr">
        <is>
          <t>arcaique</t>
        </is>
      </c>
      <c r="B13211">
        <f>HYPERLINK("https://www.dofusbook.net/fr/equipement/361032-arcaique/objets", "link")</f>
        <v/>
      </c>
      <c r="C13211" t="n">
        <v>1</v>
      </c>
      <c r="D13211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Nébuleux; Dofus Ocre; Dofus Abyssal; Dolmanax; Dofus des Glaces; Muldo Ebène</t>
        </is>
      </c>
    </row>
    <row r="13212">
      <c r="A13212" t="inlineStr">
        <is>
          <t>multi dofusteuse</t>
        </is>
      </c>
      <c r="B13212">
        <f>HYPERLINK("https://www.dofusbook.net/fr/equipement/2112370-multi-dofusteuse/objets", "link")</f>
        <v/>
      </c>
      <c r="C13212" t="n">
        <v>1</v>
      </c>
      <c r="D13212" t="inlineStr">
        <is>
          <t>Hache du Chalœil; Amulette du Strigide; Bracelet du Piloztère; Baguistik; Bouclier du Captain Amakna; Ceintacé; Le Dorado; Dofusteuse; Bottes du Strigide; Dokoko; Dofus Turquoise; Dofus Émeraude; Dofus Abyssal; Dofus Pourpre; Dolmanax; Muldo Orchidée et Pourpre</t>
        </is>
      </c>
    </row>
    <row r="13213">
      <c r="A13213" t="inlineStr">
        <is>
          <t>air</t>
        </is>
      </c>
      <c r="B13213">
        <f>HYPERLINK("https://www.dofusbook.net/fr/equipement/2204632-air/objets", "link")</f>
        <v/>
      </c>
      <c r="C13213" t="n">
        <v>3</v>
      </c>
      <c r="D13213" t="inlineStr">
        <is>
          <t>Manthache; Collier du Valet Veinard; Alliance Gloursonne; Gant du Valet Veinard; Bouclier Taverne; Menoture; Casque Dragoeuf; Cape Indescriptible; Palmes Trithons; Dofus Abyssal; Dofus Émeraude; Dofus Ocre; Dofus Pourpre; Dofus Nébuleux; Cascadeur majeur; Muldo Ebène</t>
        </is>
      </c>
    </row>
    <row r="13214">
      <c r="A13214" t="inlineStr">
        <is>
          <t>eau</t>
        </is>
      </c>
      <c r="B13214">
        <f>HYPERLINK("https://www.dofusbook.net/fr/equipement/360986-eau/objets", "link")</f>
        <v/>
      </c>
      <c r="C13214" t="n">
        <v>0</v>
      </c>
      <c r="D13214" t="inlineStr">
        <is>
          <t>Sceptre du Roi Joueur; Amulette de Shokkoth; Bracelet des Fonds marins; Alliance Gloursonne; Bouclier d'Ilyzaelle; Ceinture Glaciale; Kidibonnet; Cape du Sinistrofu; Bottes du Sinistrofu; Dofus Abyssal; Dofus Émeraude; Dofus Turquoise; Remueur; Nomade; Chanceux majeur; Kramkram</t>
        </is>
      </c>
    </row>
    <row r="13215">
      <c r="A13215" t="inlineStr">
        <is>
          <t>roxx feu</t>
        </is>
      </c>
      <c r="B13215">
        <f>HYPERLINK("https://www.dofusbook.net/fr/equipement/2198499-roxx-feu/objets", "link")</f>
        <v/>
      </c>
      <c r="C13215" t="n">
        <v>2</v>
      </c>
      <c r="D13215" t="inlineStr">
        <is>
          <t>Arc corrompu; Pendentif mignon de Koutoulou; Anneau Tique; Anneau Rifique; Quatre-feuilles; Ceinture de Vortex; Casque Dragoeuf; Voile d'encre; Bottes Innommables; Dofus Pourpre; Dofus Turquoise; Dofus Abyssal; Érudit majeur; Remueur</t>
        </is>
      </c>
    </row>
    <row r="13216">
      <c r="A13216" t="inlineStr">
        <is>
          <t>roxx feu eau arc</t>
        </is>
      </c>
      <c r="B13216">
        <f>HYPERLINK("https://www.dofusbook.net/fr/equipement/2178344-roxx-feu-eau-arc/objets", "link")</f>
        <v/>
      </c>
      <c r="C13216" t="n">
        <v>1</v>
      </c>
      <c r="D13216" t="inlineStr">
        <is>
          <t>Arc Nécrotique; Talisman Igans; Bracelet du Piloztère; Alliance Gloursonne; Quatre-feuilles; Ceintrigue; Casquette de Meno; Cape de Meno; Bottes de Meno; Dofus Pourpre; Dofus Abyssal; Dofus Émeraude; Dofus Turquoise; Dofus Ocre; Dofus des Glaces</t>
        </is>
      </c>
    </row>
    <row r="13217">
      <c r="A13217" t="inlineStr">
        <is>
          <t>feu</t>
        </is>
      </c>
      <c r="B13217">
        <f>HYPERLINK("https://www.dofusbook.net/fr/equipement/360993-feu/objets", "link")</f>
        <v/>
      </c>
      <c r="C13217" t="n">
        <v>1</v>
      </c>
      <c r="D13217" t="inlineStr">
        <is>
          <t>Baguette de Malléfisk; Amulette de Nileza; Anneau Rifique; Anneau Tique; Sept ans de malheur; Ceinture de Vortex; Casque Cyclopéen; Voile d'encre; Bottes Innommables; Dofus Ocre; Dofus Émeraude; Dofus Abyssal; Remueur; Érudit majeur; Nomade; Croum</t>
        </is>
      </c>
    </row>
    <row r="13218">
      <c r="A13218" t="inlineStr">
        <is>
          <t>Stuff 1</t>
        </is>
      </c>
      <c r="B13218">
        <f>HYPERLINK("https://www.dofusbook.net/fr/equipement/360959-stuff-1/objets", "link")</f>
        <v/>
      </c>
      <c r="C13218" t="n">
        <v>0</v>
      </c>
      <c r="D13218" t="inlineStr">
        <is>
          <t>Pelle de la Cour Sombre; Amulette du Strigide; Anneau d'Allister; Alliance Gloursonne; Quatre-feuilles; Ceintacé; Dorabysses; Cape du Kamasterisk; Bottes du Strigide; Dofus Turquoise; Dofus Ocre; Dofus Pourpre; Remueur; Cascadeur majeur; Nomade; Muldo Prune et Doré</t>
        </is>
      </c>
    </row>
    <row r="13219">
      <c r="A13219" t="inlineStr">
        <is>
          <t>Stuff 1</t>
        </is>
      </c>
      <c r="B13219">
        <f>HYPERLINK("https://www.dofusbook.net/fr/equipement/361007-stuff-1/objets", "link")</f>
        <v/>
      </c>
      <c r="C13219" t="n">
        <v>1</v>
      </c>
      <c r="D13219" t="inlineStr">
        <is>
          <t>Az'tech; Amulette du Strigide; Alliance Gloursonne; Bague Trithon; Bouclier du Captain Amakna; Ceinture du Strigide; Némès de Tal Kasha; Chevelure de Tal Kasha; Sandales de Tal Kasha; Dofus Émeraude; Dofus Ocre; Dofus Abyssal; Dofus Pourpre; Dolmanax; Dofus Turquoise; Muldo Ebène et Indigo</t>
        </is>
      </c>
    </row>
    <row r="13220">
      <c r="A13220" t="inlineStr">
        <is>
          <t>feukikoo</t>
        </is>
      </c>
      <c r="B13220">
        <f>HYPERLINK("https://www.dofusbook.net/fr/equipement/1917461-feukikoo/objets", "link")</f>
        <v/>
      </c>
      <c r="C13220" t="n">
        <v>0</v>
      </c>
      <c r="D13220" t="inlineStr">
        <is>
          <t>Épée d'Otomaï; Amulette de Nileza; Anneau Tamie; Anneau Tamie; Bouclier du Stalak; Ceinture Séculaire; Coiffe Séculaire; Cape de Diondin; Pataugastrique; Dévastateur Feu majeur; Nomade; Vigoureux majeur; Érudit majeur; Savant majeur; Remueur; Muldo Orchidée et Pourpre</t>
        </is>
      </c>
    </row>
    <row r="13221">
      <c r="A13221" t="inlineStr">
        <is>
          <t>kekette feu</t>
        </is>
      </c>
      <c r="B13221">
        <f>HYPERLINK("https://www.dofusbook.net/fr/equipement/1897787-kekette-feu/objets", "link")</f>
        <v/>
      </c>
      <c r="C13221" t="n">
        <v>0</v>
      </c>
      <c r="D13221" t="inlineStr">
        <is>
          <t>Plumeau Bil; Pendentif affamé; Anneau Tique; Anneau Rifique; Bouclier du Stalak; Coiffe Séculaire; Voile d'encre; Bottes Innommables; Dofus des Glaces; Dofus Abyssal; Nomade; Érudit majeur; Remueur; Dévastateur Feu majeur</t>
        </is>
      </c>
    </row>
    <row r="13222">
      <c r="A13222" t="inlineStr">
        <is>
          <t>Stuff 3</t>
        </is>
      </c>
      <c r="B13222">
        <f>HYPERLINK("https://www.dofusbook.net/fr/equipement/360977-stuff-3/objets", "link")</f>
        <v/>
      </c>
      <c r="C13222" t="n">
        <v>0</v>
      </c>
      <c r="D13222" t="inlineStr">
        <is>
          <t>Le Thanos; Amulette de Nileza; Bague Gloursonne; Anneau Tique; Bouclier du Stalak; Ceinture Séculaire; Coiffe Séculaire; Cape de Nileza; Pataugastrique; Vigoureux majeur; Remueur; Dévastateur Feu majeur; Carapace Feu majeur; Érudit majeur; Nomade; Muldo Orchidée et Pourpre</t>
        </is>
      </c>
    </row>
    <row r="13223">
      <c r="A13223" t="inlineStr">
        <is>
          <t>Stuff 1</t>
        </is>
      </c>
      <c r="B13223">
        <f>HYPERLINK("https://www.dofusbook.net/fr/equipement/360978-stuff-1/objets", "link")</f>
        <v/>
      </c>
      <c r="C13223" t="n">
        <v>1</v>
      </c>
      <c r="D13223" t="inlineStr">
        <is>
          <t>Epée Gloursonne; Amulette du Strigide; Bague Gloursonne; Alliance Gloursonne; Bouclier d'Anerice; Ceinture du Strigide; Masque d'Anerice; Cape d'Anerice; Bottes du Strigide; Dolmanax; Dofus Émeraude; Dofus Vulbis; Dofus Pourpre; Dofus des Glaces; Dofus Turquoise; Kramkram</t>
        </is>
      </c>
    </row>
    <row r="13224">
      <c r="A13224" t="inlineStr">
        <is>
          <t>Stuff 1</t>
        </is>
      </c>
      <c r="B13224">
        <f>HYPERLINK("https://www.dofusbook.net/fr/equipement/360942-stuff-1/objets", "link")</f>
        <v/>
      </c>
      <c r="C13224" t="n">
        <v>1</v>
      </c>
      <c r="D13224" t="inlineStr">
        <is>
          <t>Arc de Koutoulou; Amulette du Strigide; Alliance Gloursonne; Bague Trithon; Quatre-feuilles; Ceinture du Strigide; Némès de Tal Kasha; Chevelure de Tal Kasha; Sandales de Tal Kasha; Dofus des Glaces; Dofus Turquoise; Dolmanax; Dofus Ocre; Dofus Émeraude; Dofus Pourpre; Muldo Ebène et Indigo</t>
        </is>
      </c>
    </row>
    <row r="13225">
      <c r="A13225" t="inlineStr">
        <is>
          <t>Stuff 2</t>
        </is>
      </c>
      <c r="B13225">
        <f>HYPERLINK("https://www.dofusbook.net/fr/equipement/361003-stuff-2/objets", "link")</f>
        <v/>
      </c>
      <c r="C13225" t="n">
        <v>0</v>
      </c>
      <c r="D13225" t="inlineStr">
        <is>
          <t>Marteau R'ture; Collier de Tourthon; Anneau Chevelu; Anneau Crustique; Bouclier du Captain Amakna; Ceinture du Strigide; Masque de Koutoulou; Voile d'encre; Bottes du Strigide; Dofus Pourpre; Dofus Ocre; Dofus Émeraude; Dofus Nébuleux; Dofus Turquoise; Dofus Abyssal</t>
        </is>
      </c>
    </row>
    <row r="13226">
      <c r="A13226" t="inlineStr">
        <is>
          <t>Stuff 3</t>
        </is>
      </c>
      <c r="B13226">
        <f>HYPERLINK("https://www.dofusbook.net/fr/equipement/361010-stuff-3/objets", "link")</f>
        <v/>
      </c>
      <c r="C13226" t="n">
        <v>0</v>
      </c>
      <c r="D13226" t="inlineStr">
        <is>
          <t>Harpelle; Pendentif affamé; Anneauræus; Bague Gloursonne; Bouclier Taverne; Ceinture Séculaire; Coiffe Séculaire; Cape de Diondin; Bottes Innommables; Dofus Abyssal; Dofus Ocre; Dofus Émeraude; Dofus Pourpre; Dofus Nébuleux; Dofus Turquoise; Muldo Orchidée</t>
        </is>
      </c>
    </row>
    <row r="13227">
      <c r="A13227" t="inlineStr">
        <is>
          <t>zerf</t>
        </is>
      </c>
      <c r="B13227">
        <f>HYPERLINK("https://www.dofusbook.net/fr/equipement/1173079-zerf/objets", "link")</f>
        <v/>
      </c>
      <c r="C13227" t="n">
        <v>0</v>
      </c>
      <c r="D13227" t="inlineStr">
        <is>
          <t>Epée Loponèze; Amulette du Strigide; Anneau de Pol Ouatnos; Alliance Gloursonne; Bouclier du Captain Amakna; Ceinture du Strigide; Némès de Tal Kasha; Chevelure de Tal Kasha; Sandales de Tal Kasha; Dofus Émeraude; Dofus des Glaces; Dofus Turquoise; Dofus Ocre; Dofus Pourpre; Dolmanax; El Scarador</t>
        </is>
      </c>
    </row>
    <row r="13228">
      <c r="A13228" t="inlineStr">
        <is>
          <t>ophiria</t>
        </is>
      </c>
      <c r="B13228">
        <f>HYPERLINK("https://www.dofusbook.net/fr/equipement/1172132-ophiria/objets", "link")</f>
        <v/>
      </c>
      <c r="C13228" t="n">
        <v>0</v>
      </c>
      <c r="D13228" t="inlineStr">
        <is>
          <t>Dagoulinantes; Amulette de Shokkoth; Bracelet des Fonds marins; Alliance Gloursonne; Bouclier Taverne; Sangle Ouare; Kidibonnet; Cape du Sinistrofu; Sandales des Fonds marins; Dofus Émeraude; Dofus Turquoise; Dofus Pourpre; Chanceux majeur; Remueur; Miraculé majeur; Kramkram</t>
        </is>
      </c>
    </row>
    <row r="13229">
      <c r="A13229" t="inlineStr">
        <is>
          <t>Stuff 1</t>
        </is>
      </c>
      <c r="B13229">
        <f>HYPERLINK("https://www.dofusbook.net/fr/equipement/361045-stuff-1/objets", "link")</f>
        <v/>
      </c>
      <c r="C13229" t="n">
        <v>0</v>
      </c>
      <c r="D13229" t="inlineStr">
        <is>
          <t>Héqache; Amulette du Strigide; Bracelet du Piloztère; Anneau de XLII; Ceinture de XLII; Chapoulpe; Voile d'encre; Baleinabottes; Dofus Abyssal; Dofus Turquoise; Dofus Pourpre; Dofus des Glaces; Nomade; Remueur; Kramkram</t>
        </is>
      </c>
    </row>
    <row r="13230">
      <c r="A13230" t="inlineStr">
        <is>
          <t>Stuff 3</t>
        </is>
      </c>
      <c r="B13230">
        <f>HYPERLINK("https://www.dofusbook.net/fr/equipement/361024-stuff-3/objets", "link")</f>
        <v/>
      </c>
      <c r="C13230" t="n">
        <v>3</v>
      </c>
      <c r="D13230" t="inlineStr">
        <is>
          <t>Marteau des égarés; Amulette du Strigide; Bracelet du Piloztère; Alliance Gloursonne; Ceinture du Strigide; Coiffe d'Ogivol; Voile d'encre; Pataugastrique; Dofus Pourpre; Dofus Turquoise; Dolmanax; Nomade; Vigoureux majeur; Remueur; Kramkram</t>
        </is>
      </c>
    </row>
    <row r="13231">
      <c r="A13231" t="inlineStr">
        <is>
          <t>Stuff 3</t>
        </is>
      </c>
      <c r="B13231">
        <f>HYPERLINK("https://www.dofusbook.net/fr/equipement/361016-stuff-3/objets", "link")</f>
        <v/>
      </c>
      <c r="C13231" t="n">
        <v>1</v>
      </c>
      <c r="D13231" t="inlineStr">
        <is>
          <t>Sabres d'Atcham; Amulette du Strigide; Anneau de Pol Ouatnos; Alliance Gloursonne; Ceintacé; Chapeau des Malveilleurs; Voile d'encre; Sandales  d'Atcham; Dofus des Glaces; Dofus Turquoise; Dolmanax; Dofus Pourpre; Remueur; Vigoureux majeur; Kramkram</t>
        </is>
      </c>
    </row>
    <row r="13232">
      <c r="A13232" t="inlineStr">
        <is>
          <t>Stuff 3</t>
        </is>
      </c>
      <c r="B13232">
        <f>HYPERLINK("https://www.dofusbook.net/fr/equipement/361049-stuff-3/objets", "link")</f>
        <v/>
      </c>
      <c r="C13232" t="n">
        <v>1</v>
      </c>
      <c r="D13232" t="inlineStr">
        <is>
          <t>Pelle de la Cour Sombre; Amulette de Pol Ouatnos; Gant du Valet Veinard; Alliance Gloursonne; Ceintouse; Chapoulpe; Cape du Kamasterisk; Baleinabottes; Étourdisseur majeur; Miraculé majeur; Cascadeur majeur; Obstructeur majeur; Remueur; Carapace Air majeur; Kramkram</t>
        </is>
      </c>
    </row>
    <row r="13233">
      <c r="A13233" t="inlineStr">
        <is>
          <t>Stuff 1</t>
        </is>
      </c>
      <c r="B13233">
        <f>HYPERLINK("https://www.dofusbook.net/fr/equipement/361036-stuff-1/objets", "link")</f>
        <v/>
      </c>
      <c r="C13233" t="n">
        <v>0</v>
      </c>
      <c r="D13233" t="inlineStr">
        <is>
          <t>Baguette Hique; Collier de la Dame du Hasard; Bracelet du Piloztère; Pikano; Ceintrigue; Casquette de Meno; Cape de Meno; Pataugastrique; Dofus Pourpre; Dofus Turquoise; Remueur; Entraveur majeur; Temporiseur majeur; Nomade; Kramkram</t>
        </is>
      </c>
    </row>
    <row r="13234">
      <c r="A13234" t="inlineStr">
        <is>
          <t>Stuff 2</t>
        </is>
      </c>
      <c r="B13234">
        <f>HYPERLINK("https://www.dofusbook.net/fr/equipement/361023-stuff-2/objets", "link")</f>
        <v/>
      </c>
      <c r="C13234" t="n">
        <v>0</v>
      </c>
      <c r="D13234" t="inlineStr">
        <is>
          <t>Rapière aux Glyphes; Amulette du Strigide; Bracelet du Piloztère; Alliance Gloursonne; Ceinture du Strigide; Coiffe Cryochrone; Cape Glaciale; Pataugastrique; Dolmanax; Dofus Pourpre; Dofus Turquoise; Nomade; Remueur; Chanceux majeur; Dragodinde en armure</t>
        </is>
      </c>
    </row>
    <row r="13235">
      <c r="A13235" t="inlineStr">
        <is>
          <t>Stuff 2</t>
        </is>
      </c>
      <c r="B13235">
        <f>HYPERLINK("https://www.dofusbook.net/fr/equipement/361015-stuff-2/objets", "link")</f>
        <v/>
      </c>
      <c r="C13235" t="n">
        <v>0</v>
      </c>
      <c r="D13235" t="inlineStr">
        <is>
          <t>Marteau des Anciens Steamers; Amulette du Strigide; Bracelet du Piloztère; Alliance Gloursonne; Ceintacé; Chapeau des Malveilleurs; Cape du Barbétoal; Bottes du Strigide; Dolmanax; Dofus Turquoise; Dofus Pourpre; Vigoureux majeur; Nomade; Remueur; Dragodinde en armure</t>
        </is>
      </c>
    </row>
    <row r="13236">
      <c r="A13236" t="inlineStr">
        <is>
          <t>Stuff 3</t>
        </is>
      </c>
      <c r="B13236">
        <f>HYPERLINK("https://www.dofusbook.net/fr/equipement/361005-stuff-3/objets", "link")</f>
        <v/>
      </c>
      <c r="C13236" t="n">
        <v>0</v>
      </c>
      <c r="D13236" t="inlineStr">
        <is>
          <t>Marteau des Anciens Steamers; Amulette du Strigide; Anneau de Padgref; Alliance Gloursonne; Ceinture du Strigide; Némès de Tal Kasha; Chevelure de Tal Kasha; Sandales de Tal Kasha; Dofus Nébuleux; Dofus Ocre; Dofus des Glaces; Dofus Turquoise; Dofus Émeraude; Dofus Abyssal; Muldo Ebène et Indigo</t>
        </is>
      </c>
    </row>
    <row r="13237">
      <c r="A13237" t="inlineStr">
        <is>
          <t>Stuff 2</t>
        </is>
      </c>
      <c r="B13237">
        <f>HYPERLINK("https://www.dofusbook.net/fr/equipement/361047-stuff-2/objets", "link")</f>
        <v/>
      </c>
      <c r="C13237" t="n">
        <v>0</v>
      </c>
      <c r="D13237" t="inlineStr">
        <is>
          <t>Marteau R'ture; Amulette de Pol Ouatnos; Anneau Crustique; Anneau Chevelu; Ceintouse; Chapoulpe; Voile d'encre; Baleinabottes; Dofus Turquoise; Dolmanax; Étourdisseur majeur; Obstructeur majeur; Carapace Terre majeur; Remueur; Kramkram</t>
        </is>
      </c>
    </row>
    <row r="13238">
      <c r="A13238" t="inlineStr">
        <is>
          <t>Stuff 2</t>
        </is>
      </c>
      <c r="B13238">
        <f>HYPERLINK("https://www.dofusbook.net/fr/equipement/361008-stuff-2/objets", "link")</f>
        <v/>
      </c>
      <c r="C13238" t="n">
        <v>1</v>
      </c>
      <c r="D13238" t="inlineStr">
        <is>
          <t>Hachoirs de Viandargh; Collier du Valet Veinard; Gant du Valet Veinard; Alliance Gloursonne; Bouclier du Captain Amakna; Menoture; Capuche de Moum-Ra; Cape Indescriptible; Palmes Trithons; Dofus Pourpre; Dofus Abyssal; Dofus Émeraude; Dofus Turquoise; Dofus Ocre; Cascadeur majeur; Muldo Prune et Emeraude</t>
        </is>
      </c>
    </row>
    <row r="13239">
      <c r="A13239" t="inlineStr">
        <is>
          <t>Stuff 1</t>
        </is>
      </c>
      <c r="B13239">
        <f>HYPERLINK("https://www.dofusbook.net/fr/equipement/361053-stuff-1/objets", "link")</f>
        <v/>
      </c>
      <c r="C13239" t="n">
        <v>0</v>
      </c>
      <c r="D13239" t="inlineStr">
        <is>
          <t>Héqache; Amulette du Strigide; Anneau Chevelu; Alliance Gloursonne; Bouclier du Captain Amakna; Ceinture du Strigide; Casque des égarés; Voile d'encre; Baleinabottes; Dofus Turquoise; Dofus Abyssal; Dofus Pourpre; Dofus Émeraude; Remueur; Nomade; Kramkram</t>
        </is>
      </c>
    </row>
    <row r="13240">
      <c r="A13240" t="inlineStr">
        <is>
          <t>Stuff 1</t>
        </is>
      </c>
      <c r="B13240">
        <f>HYPERLINK("https://www.dofusbook.net/fr/equipement/361013-stuff-1/objets", "link")</f>
        <v/>
      </c>
      <c r="C13240" t="n">
        <v>0</v>
      </c>
      <c r="D13240" t="inlineStr">
        <is>
          <t>Manthache; Collier du Valet Veinard; Gant du Valet Veinard; Alliance Gloursonne; Menoture; Couronne d'Allister; Cape Indescriptible; Palmes Trithons; Dofus Émeraude; Dofus Abyssal; Dofus Pourpre; Dofus Nébuleux; Dofus Ocre; Cascadeur majeur; Muldo Doré et Ebène</t>
        </is>
      </c>
    </row>
    <row r="13241">
      <c r="A13241" t="inlineStr">
        <is>
          <t>Stuff 3</t>
        </is>
      </c>
      <c r="B13241">
        <f>HYPERLINK("https://www.dofusbook.net/fr/equipement/360952-stuff-3/objets", "link")</f>
        <v/>
      </c>
      <c r="C13241" t="n">
        <v>2</v>
      </c>
      <c r="D13241" t="inlineStr">
        <is>
          <t>Marteau R'ture; Amulette du Strigide; Anneau Chevelu; Bague Gloursonne; Ceinture du Strigide; Masque de Koutoulou; Cape au Logis; Bottes de la Cour Sombre; Dofus des Glaces; Dofus Turquoise; Dofus Nébuleux; Dofus Ocre; Dofus Pourpre; Kramkram</t>
        </is>
      </c>
    </row>
    <row r="13242">
      <c r="A13242" t="inlineStr">
        <is>
          <t>Stuff 2</t>
        </is>
      </c>
      <c r="B13242">
        <f>HYPERLINK("https://www.dofusbook.net/fr/equipement/360982-stuff-2/objets", "link")</f>
        <v/>
      </c>
      <c r="C13242" t="n">
        <v>1</v>
      </c>
      <c r="D13242" t="inlineStr">
        <is>
          <t>Rapière aux Glyphes; Amulette du Sinistrofu; Alliance Gloursonne; Bracelet des Fonds marins; Sangle Ouare; Kidibonnet; Cape des Malveilleurs; Bottes des Malveilleurs; Culbuteur majeur; Miraculé majeur; Carapace Terre majeur; Remueur; Carapace Eau majeur; Cavaleur majeur; Kramkram</t>
        </is>
      </c>
    </row>
    <row r="13243">
      <c r="A13243" t="inlineStr">
        <is>
          <t>Stuff 2</t>
        </is>
      </c>
      <c r="B13243">
        <f>HYPERLINK("https://www.dofusbook.net/fr/equipement/360976-stuff-2/objets", "link")</f>
        <v/>
      </c>
      <c r="C13243" t="n">
        <v>1</v>
      </c>
      <c r="D13243" t="inlineStr">
        <is>
          <t>Pelle de la Cour Sombre; Collier du Valet Veinard; Gant du Valet Veinard; Alliance Gloursonne; Ceintacé; Couronne d'Allister; Cape du Kamasterisk; Bottes de la Reine des Voleurs; Dofus des Glaces; Dofus Pourpre; Cascadeur majeur; Évasif majeur; Remueur; Nomade; Croum</t>
        </is>
      </c>
    </row>
    <row r="13244">
      <c r="A13244" t="inlineStr">
        <is>
          <t>Stuff 3</t>
        </is>
      </c>
      <c r="B13244">
        <f>HYPERLINK("https://www.dofusbook.net/fr/equipement/360952-stuff-3/objets", "link")</f>
        <v/>
      </c>
      <c r="C13244" t="n">
        <v>2</v>
      </c>
      <c r="D13244" t="inlineStr">
        <is>
          <t>Marteau R'ture; Amulette du Strigide; Anneau Chevelu; Bague Gloursonne; Ceinture du Strigide; Masque de Koutoulou; Cape au Logis; Bottes de la Cour Sombre; Dofus Nébuleux; Dofus Ocre; Dofus Pourpre; Dofus des Glaces; Dofus Turquoise; Kramkram</t>
        </is>
      </c>
    </row>
    <row r="13245">
      <c r="A13245" t="inlineStr">
        <is>
          <t>Stuff 2</t>
        </is>
      </c>
      <c r="B13245">
        <f>HYPERLINK("https://www.dofusbook.net/fr/equipement/360982-stuff-2/objets", "link")</f>
        <v/>
      </c>
      <c r="C13245" t="n">
        <v>1</v>
      </c>
      <c r="D13245" t="inlineStr">
        <is>
          <t>Rapière aux Glyphes; Amulette du Sinistrofu; Alliance Gloursonne; Bracelet des Fonds marins; Sangle Ouare; Kidibonnet; Cape des Malveilleurs; Bottes des Malveilleurs; Miraculé majeur; Carapace Terre majeur; Remueur; Carapace Eau majeur; Cavaleur majeur; Culbuteur majeur; Kramkram</t>
        </is>
      </c>
    </row>
    <row r="13246">
      <c r="A13246" t="inlineStr">
        <is>
          <t>Stuff 2</t>
        </is>
      </c>
      <c r="B13246">
        <f>HYPERLINK("https://www.dofusbook.net/fr/equipement/360976-stuff-2/objets", "link")</f>
        <v/>
      </c>
      <c r="C13246" t="n">
        <v>1</v>
      </c>
      <c r="D13246" t="inlineStr">
        <is>
          <t>Pelle de la Cour Sombre; Collier du Valet Veinard; Gant du Valet Veinard; Alliance Gloursonne; Ceintacé; Couronne d'Allister; Cape du Kamasterisk; Bottes de la Reine des Voleurs; Dofus des Glaces; Dofus Pourpre; Cascadeur majeur; Évasif majeur; Remueur; Nomade; Croum</t>
        </is>
      </c>
    </row>
    <row r="13247">
      <c r="A13247" t="inlineStr">
        <is>
          <t>air</t>
        </is>
      </c>
      <c r="B13247">
        <f>HYPERLINK("https://www.dofusbook.net/fr/equipement/3068535-air/objets", "link")</f>
        <v/>
      </c>
      <c r="C13247" t="n">
        <v>1</v>
      </c>
      <c r="D13247" t="inlineStr">
        <is>
          <t>Arc de Koutoulou; Collier du Valet Veinard; Alliance Gloursonne; Gant du Valet Veinard; Bouclier du Stalak; Ceinture de la Reine des Voleurs; Coiffe de la Reine des Voleurs; Cape du Valet Veinard; Bottes de la Reine des Voleurs; Dofus Ocre; Dofus des Glaces; Dofus Abyssal; Dofus Pourpre; Dofus Ivoire; Dofus Émeraude; Muldo Ebène</t>
        </is>
      </c>
    </row>
    <row r="13248">
      <c r="A13248" t="inlineStr">
        <is>
          <t>eau air</t>
        </is>
      </c>
      <c r="B13248">
        <f>HYPERLINK("https://www.dofusbook.net/fr/equipement/3057181-eau-air/objets", "link")</f>
        <v/>
      </c>
      <c r="C13248" t="n">
        <v>1</v>
      </c>
      <c r="D13248" t="inlineStr">
        <is>
          <t>Arc de Koutoulou; Amulette du Strigide; Bracelet des Fonds marins; Alliance Gloursonne; Ceinture du Barbétoal; Némès de Tal Kasha; Cape Matelassée; Sandales de Tal Kasha; Dofus Ivoire; Dofus Ocre; Dofus Émeraude; Dofus Abyssal; Dofus Pourpre</t>
        </is>
      </c>
    </row>
    <row r="13249">
      <c r="A13249" t="inlineStr">
        <is>
          <t>Feu</t>
        </is>
      </c>
      <c r="B13249">
        <f>HYPERLINK("https://www.dofusbook.net/fr/equipement/3058663-feu/objets", "link")</f>
        <v/>
      </c>
      <c r="C13249" t="n">
        <v>3</v>
      </c>
      <c r="D13249" t="inlineStr">
        <is>
          <t>Arc corrompu; Pendentif mignon de Koutoulou; Anneauræus; Anneau Tique; Bouclier à hélice; Ceinture de Vortex; Casque Cyclopéen; Cape de Diondin; Chaussures Ardentes; Dofus Ivoire; Dofus Pourpre; Dofus Abyssal; Érudit majeur; Remueur; Miraculé majeur; Muldo Orchidée et Pourpre</t>
        </is>
      </c>
    </row>
    <row r="13250">
      <c r="A13250" t="inlineStr">
        <is>
          <t>AIR soin</t>
        </is>
      </c>
      <c r="B13250">
        <f>HYPERLINK("https://www.dofusbook.net/fr/equipement/2953068-air-soin/objets", "link")</f>
        <v/>
      </c>
      <c r="C13250" t="n">
        <v>0</v>
      </c>
      <c r="D13250" t="inlineStr">
        <is>
          <t>Le Thanos; Cape Parition</t>
        </is>
      </c>
    </row>
    <row r="13251">
      <c r="A13251" t="inlineStr">
        <is>
          <t>stuff eau</t>
        </is>
      </c>
      <c r="B13251">
        <f>HYPERLINK("https://www.dofusbook.net/fr/equipement/2665284-stuff-eau-/objets", "link")</f>
        <v/>
      </c>
      <c r="C13251" t="n">
        <v>0</v>
      </c>
      <c r="D13251" t="inlineStr">
        <is>
          <t>Baguette Héroclite; Amulette de l'Œil Attentif; Bracelet des Fonds marins; Alliance Gloursonne; Bouclier d'Ilyzaelle; Poulpagne; Masque des Fonds marins; Bottes du Sinistrofu; Dofus Abyssal; Dofus Ivoire; Dofus Cawotte; Muraille Eau majeure; Remueur; Évasif majeur</t>
        </is>
      </c>
    </row>
    <row r="13252">
      <c r="A13252" t="inlineStr">
        <is>
          <t>feu</t>
        </is>
      </c>
      <c r="B13252">
        <f>HYPERLINK("https://www.dofusbook.net/fr/equipement/2874836-feu/objets", "link")</f>
        <v/>
      </c>
      <c r="C13252" t="n">
        <v>0</v>
      </c>
      <c r="D13252" t="inlineStr">
        <is>
          <t>Massier; Amulette Volcanique; Anneauræus; Bague Gloursonne; Bouclier d'Ilyzaelle; Ceinture de l'Esprit Malsain; Heaume Oplate; Cape de Nileza; Sabots Volcaniques; Dofus Abyssal; Dofus Ivoire; Dofus Pourpre; Temporiseur majeur; Remueur; Érudit majeur</t>
        </is>
      </c>
    </row>
    <row r="13253">
      <c r="A13253" t="inlineStr">
        <is>
          <t>stuff air</t>
        </is>
      </c>
      <c r="B13253">
        <f>HYPERLINK("https://www.dofusbook.net/fr/equipement/2664167-stuff-air/objets", "link")</f>
        <v/>
      </c>
      <c r="C13253" t="n">
        <v>1</v>
      </c>
      <c r="D13253" t="inlineStr">
        <is>
          <t>Manthache; Collier du Valet Veinard; Gant du Valet Veinard; Alliance Gloursonne; Cadran de Feu; Menoture; Capuche de Moum-Ra; Cape de Crânonier; Palmes Trithons; Dofus Ivoire; Dofus Abyssal; Remueur; Muraille Eau majeure; Évasif majeur; Muldo Ebène et Orchidée</t>
        </is>
      </c>
    </row>
    <row r="13254">
      <c r="A13254" t="inlineStr">
        <is>
          <t>terre</t>
        </is>
      </c>
      <c r="B13254">
        <f>HYPERLINK("https://www.dofusbook.net/fr/equipement/2859842-terre-/objets", "link")</f>
        <v/>
      </c>
      <c r="C13254" t="n">
        <v>0</v>
      </c>
      <c r="D13254" t="inlineStr">
        <is>
          <t>Lav'Hache; Collier de Tourthon; Pikano; Anneau Chevelu; Ceinture de Gein; Chapeau de Gein; Cape du Kamasterisk; Sabots Minables</t>
        </is>
      </c>
    </row>
    <row r="13255">
      <c r="A13255" t="inlineStr">
        <is>
          <t>feu</t>
        </is>
      </c>
      <c r="B13255">
        <f>HYPERLINK("https://www.dofusbook.net/fr/equipement/2812551-feu-/objets", "link")</f>
        <v/>
      </c>
      <c r="C13255" t="n">
        <v>0</v>
      </c>
      <c r="D13255" t="inlineStr">
        <is>
          <t>Arc corrompu; Pendentif affamé; Anneau Tique; Anneau de Nidas; Ceinture de Vortex; Cagoule de Vortex; Cape de Diondin; Bottes Innommables</t>
        </is>
      </c>
    </row>
    <row r="13256">
      <c r="A13256" t="inlineStr">
        <is>
          <t>Eau feu</t>
        </is>
      </c>
      <c r="B13256">
        <f>HYPERLINK("https://www.dofusbook.net/fr/equipement/1911683-eau-feu-/objets", "link")</f>
        <v/>
      </c>
      <c r="C13256" t="n">
        <v>0</v>
      </c>
      <c r="D13256" t="inlineStr">
        <is>
          <t>Arc Nécrotique; Collier de la Dame du Hasard; Alliance Gloursonne; Anneau Tique; Quatre-feuilles; Poulpagne; Casqnoar; Cape de la Dame du Hasard; Bottes de Meno; Dofus Turquoise; Dolmanax; Dofus Pourpre; Temporiseur majeur; Remueur; Déserteur majeur; Muldo Prune et Orchidée</t>
        </is>
      </c>
    </row>
    <row r="13257">
      <c r="A13257" t="inlineStr">
        <is>
          <t>Stuff 1</t>
        </is>
      </c>
      <c r="B13257">
        <f>HYPERLINK("https://www.dofusbook.net/fr/equipement/188669-stuff-1/objets", "link")</f>
        <v/>
      </c>
      <c r="C13257" t="n">
        <v>0</v>
      </c>
      <c r="D13257" t="inlineStr">
        <is>
          <t>Arc du Chalœil; Alliance Gloursonne; Bague Trithon; Bouclier précieux; Pagne du Rykaon; Masque d'Anerice; Cape d'Anerice; Pataugastrique; Dofus Turquoise; Dofus Émeraude; Remueur; Miraculé majeur; Bousculeur majeur; Culbuteur majeur; Péki</t>
        </is>
      </c>
    </row>
    <row r="13258">
      <c r="A13258" t="inlineStr">
        <is>
          <t>Soin</t>
        </is>
      </c>
      <c r="B13258">
        <f>HYPERLINK("https://www.dofusbook.net/fr/equipement/1927605-soin/objets", "link")</f>
        <v/>
      </c>
      <c r="C13258" t="n">
        <v>0</v>
      </c>
      <c r="D13258" t="inlineStr">
        <is>
          <t>Baguette de Malléfisk; Pendentif affamé; Anneau Tique; Anneau de Nidas; Bouclier cubiste; Ceinture Séculaire; Couronne de Nidas; Cape de Diondin; Bottes de Meno; Érudit majeur; Déserteur majeur; Remueur; Temporiseur majeur; Muldo Indigo et Orchidée</t>
        </is>
      </c>
    </row>
    <row r="13259">
      <c r="A13259" t="inlineStr">
        <is>
          <t>Soin</t>
        </is>
      </c>
      <c r="B13259">
        <f>HYPERLINK("https://www.dofusbook.net/fr/equipement/1909615-soin/objets", "link")</f>
        <v/>
      </c>
      <c r="C13259" t="n">
        <v>0</v>
      </c>
      <c r="D13259" t="inlineStr">
        <is>
          <t>Arc Hétype; Pendentif affamé; Anneau de Nidas; Anneau Tique; Bouclier cubiste; Ceinture de Vortex; Couronne de Nidas; Cape de Diondin; Bottes Innommables; Remueur; Temporiseur majeur; Érudit majeur; Déserteur majeur; Muldo Indigo et Orchidée</t>
        </is>
      </c>
    </row>
    <row r="13260">
      <c r="A13260" t="inlineStr">
        <is>
          <t>Stuff 2</t>
        </is>
      </c>
      <c r="B13260">
        <f>HYPERLINK("https://www.dofusbook.net/fr/equipement/188670-stuff-2/objets", "link")</f>
        <v/>
      </c>
      <c r="C13260" t="n">
        <v>0</v>
      </c>
      <c r="D13260" t="inlineStr">
        <is>
          <t>Épouvante; Amulette Luminescente; Bague Trithon; Alliance Gloursonne; Ceinture Luminescente; Masque Trithon; Cape Luminescente; Bottes Trithon; Dofus Turquoise</t>
        </is>
      </c>
    </row>
    <row r="13261">
      <c r="A13261" t="inlineStr">
        <is>
          <t>Stuff 2</t>
        </is>
      </c>
      <c r="B13261">
        <f>HYPERLINK("https://www.dofusbook.net/fr/equipement/188679-stuff-2/objets", "link")</f>
        <v/>
      </c>
      <c r="C13261" t="n">
        <v>0</v>
      </c>
      <c r="D13261" t="inlineStr">
        <is>
          <t>Marteau des Anciens Steamers; Amulette Voldelor; Anneau de Pol Ouatnos; Alliance Gloursonne; Ceinture du Barbétoal; Masque du Barbétoal; Cape des Justiciers; Bottes de la Reine des Voleurs; Dolmanax; Dofus Turquoise; Remueur; Miraculé majeur; Croum</t>
        </is>
      </c>
    </row>
    <row r="13262">
      <c r="A13262" t="inlineStr">
        <is>
          <t>Stuff 3</t>
        </is>
      </c>
      <c r="B13262">
        <f>HYPERLINK("https://www.dofusbook.net/fr/equipement/188668-stuff-3/objets", "link")</f>
        <v/>
      </c>
      <c r="C13262" t="n">
        <v>0</v>
      </c>
      <c r="D13262" t="inlineStr">
        <is>
          <t>Dagues Érhy; Amulette du Strigide; Anneau Chevelu; Bague Gloursonne; Ceintacé; Chapeau de Gein; Voile d'encre; Bottes du Strigide; Dofus Turquoise; Dofus Pourpre; Carapace Terre majeur; Remueur; Vigoureux majeur; Nomade; Dragodinde en armure</t>
        </is>
      </c>
    </row>
    <row r="13263">
      <c r="A13263" t="inlineStr">
        <is>
          <t>Stuff 1</t>
        </is>
      </c>
      <c r="B13263">
        <f>HYPERLINK("https://www.dofusbook.net/fr/equipement/188681-stuff-1/objets", "link")</f>
        <v/>
      </c>
      <c r="C13263" t="n">
        <v>0</v>
      </c>
      <c r="D13263" t="inlineStr">
        <is>
          <t>Hache du Chalœil; Amulette du Strigide; Bague Gloursonne; Anneau Chevelu; Bouclier d'Asse cassé; Ceintacé; Coiffe du Lévitrof; Voile d'encre; Bottes du Strigide; Dofus des Glaces; Dofus Turquoise; Dofus Pourpre; Vigoureux majeur; Remueur; Nomade; Dragodinde en armure</t>
        </is>
      </c>
    </row>
    <row r="13264">
      <c r="A13264" t="inlineStr">
        <is>
          <t>Stuff 3</t>
        </is>
      </c>
      <c r="B13264">
        <f>HYPERLINK("https://www.dofusbook.net/fr/equipement/188683-stuff-3/objets", "link")</f>
        <v/>
      </c>
      <c r="C13264" t="n">
        <v>0</v>
      </c>
      <c r="D13264" t="inlineStr">
        <is>
          <t>Massier; Amulette du Piloztère; Alliance Gloursonne; Anneau Chevelu; Bouclier de Solar; Ceinture Luminescente; Heaume Oplate; Bottes du Lévitrof; Dolmanax; Dofus Ocre; Culbuteur majeur; Remueur; Nomade; Dragodinde en armure</t>
        </is>
      </c>
    </row>
    <row r="13265">
      <c r="A13265" t="inlineStr">
        <is>
          <t>Stuff 1</t>
        </is>
      </c>
      <c r="B13265">
        <f>HYPERLINK("https://www.dofusbook.net/fr/equipement/188678-stuff-1/objets", "link")</f>
        <v/>
      </c>
      <c r="C13265" t="n">
        <v>0</v>
      </c>
      <c r="D13265" t="inlineStr">
        <is>
          <t>Baguette de Malléfisk; Collier de la Dame du Hasard; Anneau Tique; Alliance Gloursonne; Protopagne; Kidibonnet; Cape de la Dame du Hasard; Pataugastrique</t>
        </is>
      </c>
    </row>
    <row r="13266">
      <c r="A13266" t="inlineStr">
        <is>
          <t>Stuff 2</t>
        </is>
      </c>
      <c r="B13266">
        <f>HYPERLINK("https://www.dofusbook.net/fr/equipement/188667-stuff-2/objets", "link")</f>
        <v/>
      </c>
      <c r="C13266" t="n">
        <v>2</v>
      </c>
      <c r="D13266" t="inlineStr">
        <is>
          <t>Arc du Chalœil; Torquistik; Anneau Chevelu; Bague Trithon; Ceinture Luminescente; Casque Dragoeuf; Cape au Logis; Bottistik; Pousseur majeur; Culbuteur majeur; Déserteur majeur; Bousculeur majeur; Remueur; Kafarce</t>
        </is>
      </c>
    </row>
    <row r="13267">
      <c r="A13267" t="inlineStr">
        <is>
          <t>Stuff 2</t>
        </is>
      </c>
      <c r="B13267">
        <f>HYPERLINK("https://www.dofusbook.net/fr/equipement/188682-stuff-2/objets", "link")</f>
        <v/>
      </c>
      <c r="C13267" t="n">
        <v>0</v>
      </c>
      <c r="D13267" t="inlineStr">
        <is>
          <t>Dagues de Srambad; Amulette Luminescente; Anneau Chevelu; Alliance Gloursonne; Bouclier d'Asse cassé; Ceinture de la Reine des Voleurs; Masque de Koutoulou; Cape Luminescente; Pantoufles du Piloztère; Dolmanax; Culbuteur majeur; Remueur; Carapace Eau majeur; Vigoureux majeur; Nomade; Dragodinde en armure</t>
        </is>
      </c>
    </row>
    <row r="13268">
      <c r="A13268" t="inlineStr">
        <is>
          <t>Stuff 3</t>
        </is>
      </c>
      <c r="B13268">
        <f>HYPERLINK("https://www.dofusbook.net/fr/equipement/188671-stuff-3/objets", "link")</f>
        <v/>
      </c>
      <c r="C13268" t="n">
        <v>0</v>
      </c>
      <c r="D13268" t="inlineStr">
        <is>
          <t>Baguette de Malléfisk; Talisman Igans; Alliance Gloursonne; Anneau Tique; Protopagne; Kidibonnet; Cape des Malveilleurs; Bottes Owesli; Dofus Turquoise; Culbuteur majeur; Chanceux majeur; Bousculeur majeur; Remueur; El Scarador</t>
        </is>
      </c>
    </row>
    <row r="13269">
      <c r="A13269" t="inlineStr">
        <is>
          <t>Stuff 1</t>
        </is>
      </c>
      <c r="B13269">
        <f>HYPERLINK("https://www.dofusbook.net/fr/equipement/188666-stuff-1/objets", "link")</f>
        <v/>
      </c>
      <c r="C13269" t="n">
        <v>1</v>
      </c>
      <c r="D13269" t="inlineStr">
        <is>
          <t>Arc du Chalœil; Torquistik; Anneau Chevelu; Bague Trithon; Ceinture Luminescente; Masque de Koutoulou; Cape au Logis; Bottistik; Pousseur majeur; Culbuteur majeur; Bousculeur majeur; Carapace Eau majeur; Enragé majeur; Remueur; Muldo Pourpre et Amande</t>
        </is>
      </c>
    </row>
    <row r="13270">
      <c r="A13270" t="inlineStr">
        <is>
          <t>Stuff 2</t>
        </is>
      </c>
      <c r="B13270">
        <f>HYPERLINK("https://www.dofusbook.net/fr/equipement/188679-stuff-2/objets", "link")</f>
        <v/>
      </c>
      <c r="C13270" t="n">
        <v>0</v>
      </c>
      <c r="D13270" t="inlineStr">
        <is>
          <t>Marteau des Anciens Steamers; Amulette Voldelor; Anneau de Pol Ouatnos; Alliance Gloursonne; Ceinture du Barbétoal; Masque du Barbétoal; Cape des Justiciers; Bottes de la Reine des Voleurs; Dolmanax; Dofus Turquoise; Remueur; Miraculé majeur; Croum</t>
        </is>
      </c>
    </row>
    <row r="13271">
      <c r="A13271" t="inlineStr">
        <is>
          <t>Stuff pauvre</t>
        </is>
      </c>
      <c r="B13271">
        <f>HYPERLINK("https://www.dofusbook.net/fr/equipement/5762652-stuff-pauvre/objets", "link")</f>
        <v/>
      </c>
      <c r="C13271" t="n">
        <v>0</v>
      </c>
      <c r="D13271" t="inlineStr">
        <is>
          <t>Bâton Beau; Amulette du Strigide; Alliance Gloursonne; Bracelet du Piloztère; Quatre-feuilles; Ceinture du Strigide; Le Dorado; Cape Reski; Getas de Padgref; Dofus Pourpre; Dofus Turquoise; Remueur; Vigoureux majeur; Enragé majeur; Nomade; Sakochère</t>
        </is>
      </c>
    </row>
    <row r="13272">
      <c r="A13272" t="inlineStr">
        <is>
          <t>Stuff pauvre</t>
        </is>
      </c>
      <c r="B13272">
        <f>HYPERLINK("https://www.dofusbook.net/fr/equipement/5762636-stuff-pauvre/objets", "link")</f>
        <v/>
      </c>
      <c r="C13272" t="n">
        <v>0</v>
      </c>
      <c r="D13272" t="inlineStr">
        <is>
          <t>Rapière aux Glyphes; Amulette de Danathor; Anneau Glacial; Alliance Gloursonne; Quatre-feuilles; Sangle Ouare; Coiffe de Danathor; Cape Matelassée; Pataugastrique; Nomade; Joueur majeur; Taquin majeur; Chanceux majeur; Remueur; Miraculé majeur; Dragodinde Prune et Indigo</t>
        </is>
      </c>
    </row>
    <row r="13273">
      <c r="A13273" t="inlineStr">
        <is>
          <t>Stuff opti</t>
        </is>
      </c>
      <c r="B13273">
        <f>HYPERLINK("https://www.dofusbook.net/fr/equipement/5762606-stuff-opti/objets", "link")</f>
        <v/>
      </c>
      <c r="C13273" t="n">
        <v>0</v>
      </c>
      <c r="D13273" t="inlineStr">
        <is>
          <t>Arc du Chalœil; Amulette du Strigide; Bague Gloursonne; Anneau Chevelu; Quatre-feuilles; Ceinture Volkorne; Masque de Koutoulou; Cape au Logis; Bottes du Strigide; Dofus Turquoise; Dofus Abyssal; Dofus Ocre; Dofus Ivoire; Dofus Pourpre; Dofus Ébène; Pioute vert</t>
        </is>
      </c>
    </row>
    <row r="13274">
      <c r="A13274" t="inlineStr">
        <is>
          <t>Stuff pauvre</t>
        </is>
      </c>
      <c r="B13274">
        <f>HYPERLINK("https://www.dofusbook.net/fr/equipement/5762647-stuff-pauvre/objets", "link")</f>
        <v/>
      </c>
      <c r="C13274" t="n">
        <v>0</v>
      </c>
      <c r="D13274" t="inlineStr">
        <is>
          <t>Arc corrompu; Amulette Séculaire; Anneau de Padgref; Bague Gloursonne; Bouclier du Cycloïde; Sangle Aise; Coiffe Séculaire; Cape de Nileza; Pantoufles Émar; Nomade; Érudit majeur; Savant majeur; Astucieux majeur; Remueur; Miraculé majeur; Dragodinde Orchidée et Rousse</t>
        </is>
      </c>
    </row>
    <row r="13275">
      <c r="A13275" t="inlineStr">
        <is>
          <t>Stuff pauvre</t>
        </is>
      </c>
      <c r="B13275">
        <f>HYPERLINK("https://www.dofusbook.net/fr/equipement/5762604-stuff-pauvre/objets", "link")</f>
        <v/>
      </c>
      <c r="C13275" t="n">
        <v>0</v>
      </c>
      <c r="D13275" t="inlineStr">
        <is>
          <t>Arc du Chalœil; Phylactère Mic; Anneau de Brouce; Alliance de Missiz Frizz; Quatre-feuilles; Ceinture de Brouce; Masque de Koutoulou; Cape au Logis; Sabots Minables; Nomade; Forcené majeur; Miraculé majeur; Enragé majeur; Remueur; Furibond majeur; Dragodinde Ivoire et Pourpre</t>
        </is>
      </c>
    </row>
    <row r="13276">
      <c r="A13276" t="inlineStr">
        <is>
          <t>Stuff opti</t>
        </is>
      </c>
      <c r="B13276">
        <f>HYPERLINK("https://www.dofusbook.net/fr/equipement/5762656-stuff-opti/objets", "link")</f>
        <v/>
      </c>
      <c r="C13276" t="n">
        <v>0</v>
      </c>
      <c r="D13276" t="inlineStr">
        <is>
          <t>Arc Volkorne; Amulette du Strigide; Bracelet du Piloztère; Anneau de Padgref; Quatre-feuilles; Ceinture du Strigide; Coiffe de Padgref; Chevelure de Tal Kasha; Getas de Padgref; Dofus Pourpre; Dofus des Glaces; Dofus Ocre; Dofus Turquoise; Dofus Nébuleux; Dofus Vulbis; Kokulte</t>
        </is>
      </c>
    </row>
    <row r="13277">
      <c r="A13277" t="inlineStr">
        <is>
          <t>Stuff opti</t>
        </is>
      </c>
      <c r="B13277">
        <f>HYPERLINK("https://www.dofusbook.net/fr/equipement/5762649-stuff-opti/objets", "link")</f>
        <v/>
      </c>
      <c r="C13277" t="n">
        <v>0</v>
      </c>
      <c r="D13277" t="inlineStr">
        <is>
          <t>Arc corrompu; Amulette Volkorne; Anneauræus; Anneauræus; Quatre-feuilles; Ceinture Volkorne; Heaume Oplate; Voile d'encre; Bottes Innommables; Dofus Ocre; Dofus Vulbis; Dofus Ivoire; Dofus Turquoise; Dofus Ébène; Érudit majeur; Pioute rouge</t>
        </is>
      </c>
    </row>
    <row r="13278">
      <c r="A13278" t="inlineStr">
        <is>
          <t>Stuff opti</t>
        </is>
      </c>
      <c r="B13278">
        <f>HYPERLINK("https://www.dofusbook.net/fr/equipement/5762639-stuff-opti/objets", "link")</f>
        <v/>
      </c>
      <c r="C13278" t="n">
        <v>0</v>
      </c>
      <c r="D13278" t="inlineStr">
        <is>
          <t>Dagoulinantes; Amulette de Shokkoth; Anneau Volkorne; Alliance Gloursonne; Bouclier du Stalak; Sangle Ouare; Masque d'Anerice; Cape d'Anerice; Pataugastrique; Dofus Turquoise; Dofus Abyssal; Dofus Ocre; Dofus Ivoire; Dofus Ébène; Chanceux majeur; Titard</t>
        </is>
      </c>
    </row>
    <row r="13279">
      <c r="A13279" t="inlineStr">
        <is>
          <t>Stuff opti</t>
        </is>
      </c>
      <c r="B13279">
        <f>HYPERLINK("https://www.dofusbook.net/fr/equipement/5762631-stuff-opti/objets", "link")</f>
        <v/>
      </c>
      <c r="C13279" t="n">
        <v>0</v>
      </c>
      <c r="D13279" t="inlineStr"/>
    </row>
    <row r="13280">
      <c r="A13280" t="inlineStr">
        <is>
          <t>Stuff pauvre</t>
        </is>
      </c>
      <c r="B13280">
        <f>HYPERLINK("https://www.dofusbook.net/fr/equipement/5762628-stuff-pauvre/objets", "link")</f>
        <v/>
      </c>
      <c r="C13280" t="n">
        <v>0</v>
      </c>
      <c r="D13280" t="inlineStr"/>
    </row>
    <row r="13281">
      <c r="A13281" t="inlineStr">
        <is>
          <t>eaulol</t>
        </is>
      </c>
      <c r="B13281">
        <f>HYPERLINK("https://www.dofusbook.net/fr/equipement/5854056-eaulol/objets", "link")</f>
        <v/>
      </c>
      <c r="C13281" t="n">
        <v>0</v>
      </c>
      <c r="D13281" t="inlineStr">
        <is>
          <t>Baguette Héroclite; Amulette de Shokkoth; Anneau Volkorne; Bracelet des Fonds marins; Quatre-feuilles; Poulpagne; Cape du Sinistrofu; Bottes du Sinistrofu; Dofus Vulbis; Dofus Ébène; Dofus Pourpre; Dofus des Glaces; Taquin majeur; Chanceux majeur; Kanigloups</t>
        </is>
      </c>
    </row>
    <row r="13282">
      <c r="A13282" t="inlineStr">
        <is>
          <t>Iop F 200</t>
        </is>
      </c>
      <c r="B13282">
        <f>HYPERLINK("https://www.dofusbook.net/fr/equipement/5906597-iop-f-200/objets", "link")</f>
        <v/>
      </c>
      <c r="C13282" t="n">
        <v>0</v>
      </c>
      <c r="D13282" t="inlineStr">
        <is>
          <t>Amulette Luminescente; Alliance de Missiz Frizz; Quatre-feuilles; Ceinture Luminescente; Casque de Missiz Frizz; Cape Luminescente; Bottes de Missiz Frizz; Dolmanax; Dofus Ocre; Dofus Turquoise; Dofus des Glaces; Dofus Pourpre</t>
        </is>
      </c>
    </row>
    <row r="13283">
      <c r="A13283" t="inlineStr">
        <is>
          <t>Eniripsa M 200</t>
        </is>
      </c>
      <c r="B13283">
        <f>HYPERLINK("https://www.dofusbook.net/fr/equipement/5366494-eniripsa-m-200/objets", "link")</f>
        <v/>
      </c>
      <c r="C13283" t="n">
        <v>1</v>
      </c>
      <c r="D13283" t="inlineStr">
        <is>
          <t>Héqache; Amulette du Strigide; Anneau de Padgref; Alliance Gloursonne; Bouclier du Captain Amakna; Ceinture du Strigide; Némès de Tal Kasha; Chevelure de Tal Kasha; Sandales de Tal Kasha; Dofus Vulbis; Dofus Turquoise; Dofus Pourpre; Dofus Nébuleux; Dofus Ocre; Dofus des Glaces; Kokulte</t>
        </is>
      </c>
    </row>
    <row r="13284">
      <c r="A13284" t="inlineStr">
        <is>
          <t>Enutrof M 200</t>
        </is>
      </c>
      <c r="B13284">
        <f>HYPERLINK("https://www.dofusbook.net/fr/equipement/5710956-enutrof-m-200/objets", "link")</f>
        <v/>
      </c>
      <c r="C13284" t="n">
        <v>3</v>
      </c>
      <c r="D13284" t="inlineStr">
        <is>
          <t>Baguette Hique; Talisman Igans; Alliance Gloursonne; Pikano; Bouclier du Stalak; Ceinture Glaciale; Casquipik; Cape de la Dame du Hasard; Pataugastrique; Dofus Vulbis; Dofus Pourpre; Dofus Ocre; Entraveur majeur; Chanceux majeur; Temporiseur majeur; Léopardo</t>
        </is>
      </c>
    </row>
    <row r="13285">
      <c r="A13285" t="inlineStr">
        <is>
          <t>Enutrof F 200</t>
        </is>
      </c>
      <c r="B13285">
        <f>HYPERLINK("https://www.dofusbook.net/fr/equipement/5750304-enutrof-f-200/objets", "link")</f>
        <v/>
      </c>
      <c r="C13285" t="n">
        <v>2</v>
      </c>
      <c r="D13285" t="inlineStr">
        <is>
          <t>Baguette Hique; Amulette Luminescente; Pikano; Alliance Gloursonne; Bouclier du Stalak; Ceinture Luminescente; Casquipik; Cape Luminescente; Pikottes; Dofus Vulbis; Dofus des Glaces; Dofus Pourpre; Dofus Ocre; Entraveur majeur; Ralentisseur majeur; Léopardo</t>
        </is>
      </c>
    </row>
    <row r="13286">
      <c r="A13286" t="inlineStr">
        <is>
          <t>DOC FEU</t>
        </is>
      </c>
      <c r="B13286">
        <f>HYPERLINK("https://www.dofusbook.net/fr/equipement/3344484-doc-feu/objets", "link")</f>
        <v/>
      </c>
      <c r="C13286" t="n">
        <v>8</v>
      </c>
      <c r="D13286" t="inlineStr">
        <is>
          <t>Arc corrompu; Amulette Volkorne; Anneau de Padgref; Anneauræus; Quatre-feuilles; Ceinture Séculaire; Coiffe Séculaire; Cape de Diondin; Bottes Innommables; Dofus Ocre; Dofus des Glaces; Dofus Turquoise; Dofus Vulbis; Astucieux majeur; Érudit majeur; Bisouglours</t>
        </is>
      </c>
    </row>
    <row r="13287">
      <c r="A13287" t="inlineStr">
        <is>
          <t>full terre</t>
        </is>
      </c>
      <c r="B13287">
        <f>HYPERLINK("https://www.dofusbook.net/fr/equipement/4632640-full-terre/objets", "link")</f>
        <v/>
      </c>
      <c r="C13287" t="n">
        <v>3</v>
      </c>
      <c r="D13287" t="inlineStr">
        <is>
          <t>Lav'Hache; Collier de Tourthon; Bague Gloursonne; Anneau Volkorne; Sept ans de malheur; Ceinture Volkorne; Masque de Koutoulou; Cape au Logis; Baleinabottes; Dofus Nébuleux; Dofus Turquoise; Dofus Pourpre; Dofus des Glaces; Enragé majeur; Vigoureux majeur; Bulbisou</t>
        </is>
      </c>
    </row>
    <row r="13288">
      <c r="A13288" t="inlineStr">
        <is>
          <t>Crâ F 200</t>
        </is>
      </c>
      <c r="B13288">
        <f>HYPERLINK("https://www.dofusbook.net/fr/equipement/5712787-cra-f-200/objets", "link")</f>
        <v/>
      </c>
      <c r="C13288" t="n">
        <v>2</v>
      </c>
      <c r="D13288" t="inlineStr">
        <is>
          <t>Epée Gloursonne; Amulette du Strigide; Alliance Gloursonne; Bague Gloursonne; Quatre-feuilles; Ceinture du Strigide; Masque Vaudou Tam; Cape Reski; Bottes du Strigide; Dofus Turquoise; Dofus Vulbis; Dofus Pourpre; Dofus Ocre; Dofus des Glaces; Dofus Nébuleux; Kokulte</t>
        </is>
      </c>
    </row>
    <row r="13289">
      <c r="A13289" t="inlineStr">
        <is>
          <t>Féca F 200</t>
        </is>
      </c>
      <c r="B13289">
        <f>HYPERLINK("https://www.dofusbook.net/fr/equipement/5706877-feca-f-200/objets", "link")</f>
        <v/>
      </c>
      <c r="C13289" t="n">
        <v>2</v>
      </c>
      <c r="D13289" t="inlineStr">
        <is>
          <t>Hachoirs de Viandargh; Collier du Valet Veinard; Gant du Valet Veinard; Anneau d'Allister; Bouclier du Stalak; Ceinture de l'Orfélin; Couronne d'Allister; Cape du Valet Veinard; Bottes d'Allister; Dofus Abyssal; Dofus Ocre; Dofus Vulbis; Entraveur; Ralentisseur majeur; Entraveur majeur; Léopardo</t>
        </is>
      </c>
    </row>
    <row r="13290">
      <c r="A13290" t="inlineStr">
        <is>
          <t>Féca F 200</t>
        </is>
      </c>
      <c r="B13290">
        <f>HYPERLINK("https://www.dofusbook.net/fr/equipement/5714165-feca-f-200/objets", "link")</f>
        <v/>
      </c>
      <c r="C13290" t="n">
        <v>0</v>
      </c>
      <c r="D13290" t="inlineStr">
        <is>
          <t>Baguette de Malléfisk; Amulette de Nileza; Anneauræus; Anneauræus; Droiture de Fallanster; Croture; Heaume Oplate; Cape de Nileza; Chaussures Ardentes; Dofus Émeraude; Dofus Vulbis; Dofus Pourpre; Dofus Abyssal; Dofus Ocre; Carapace Feu majeur; Bwak de Feu</t>
        </is>
      </c>
    </row>
    <row r="13291">
      <c r="A13291" t="inlineStr">
        <is>
          <t>Osamodas M 200</t>
        </is>
      </c>
      <c r="B13291">
        <f>HYPERLINK("https://www.dofusbook.net/fr/equipement/5084181-osamodas-m-200/objets", "link")</f>
        <v/>
      </c>
      <c r="C13291" t="n">
        <v>1</v>
      </c>
      <c r="D13291" t="inlineStr">
        <is>
          <t>Hachoirs de Viandargh; Collier du Valet Veinard; Gant du Valet Veinard; Anneau d'Allister; Droiture de Fallanster; Ceintouse; Couronne d'Allister; Cape du Valet Veinard; Bottes d'Allister; Dofus Ocre; Dofus Ébène; Dofus Émeraude; Dofus des Glaces; Dofus Vulbis; Dofus Ivoire; Blokus</t>
        </is>
      </c>
    </row>
    <row r="13292">
      <c r="A13292" t="inlineStr">
        <is>
          <t>Féca F 200</t>
        </is>
      </c>
      <c r="B13292">
        <f>HYPERLINK("https://www.dofusbook.net/fr/equipement/5695311-feca-f-200/objets", "link")</f>
        <v/>
      </c>
      <c r="C13292" t="n">
        <v>0</v>
      </c>
      <c r="D13292" t="inlineStr">
        <is>
          <t>Manthache; Collier du Valet Veinard; Anneau d'Allister; Gant du Valet Veinard; Bouclier cubiste; Sangle Oriole; Couronne d'Allister; Cape du Valet Veinard; Bottes d'Allister; Dofus des Glaces; Dofus Vulbis; Dofus Abyssal; Dofus Pourpre; Dofus Ocre; Entraveur majeur; Léopardo</t>
        </is>
      </c>
    </row>
    <row r="13293">
      <c r="A13293" t="inlineStr">
        <is>
          <t>Pandawa M 200</t>
        </is>
      </c>
      <c r="B13293">
        <f>HYPERLINK("https://www.dofusbook.net/fr/equipement/5696400-pandawa-m-200/objets", "link")</f>
        <v/>
      </c>
      <c r="C13293" t="n">
        <v>0</v>
      </c>
      <c r="D13293" t="inlineStr">
        <is>
          <t>Rouleau à Pâtisserie d'Aermyne; Amulette de Pol Ouatnos; Anneau de XLII; Sept ans de malheur; Ceinture de XLII; Coiffe d'Aermyne; Cape d'Aermyne; Bottes de XLII; Dofus Ivoire; Dofus Ocre; Dofus Abyssal; Dofus Émeraude; Dofus Vulbis; Bloqueur majeur; Givrefoux</t>
        </is>
      </c>
    </row>
    <row r="13294">
      <c r="A13294" t="inlineStr">
        <is>
          <t>Osamodas M 200</t>
        </is>
      </c>
      <c r="B13294">
        <f>HYPERLINK("https://www.dofusbook.net/fr/equipement/5661361-osamodas-m-200/objets", "link")</f>
        <v/>
      </c>
      <c r="C13294" t="n">
        <v>1</v>
      </c>
      <c r="D13294" t="inlineStr">
        <is>
          <t>Lav'Hache; Amulette du Cycloïde; Bague Gloursonne; Anneau Volkorne; Droiture de Fallanster; Ceinture Volkorne; Masque de Koutoulou; Cape du Cœur Saignant; Bottes de la Cour Sombre; Dofus Vulbis; Dofus Abyssal; Dofus Ivoire; Dofus Ébène; Dofus Ocre; Dofus Argenté; Bulbisou</t>
        </is>
      </c>
    </row>
    <row r="13295">
      <c r="A13295" t="inlineStr">
        <is>
          <t>Sram M 200</t>
        </is>
      </c>
      <c r="B13295">
        <f>HYPERLINK("https://www.dofusbook.net/fr/equipement/5348906-sram-m-200/objets", "link")</f>
        <v/>
      </c>
      <c r="C13295" t="n">
        <v>2</v>
      </c>
      <c r="D13295" t="inlineStr">
        <is>
          <t>Crocobur; Amulette du Strigide; Bracelet du Piloztère; Anneau de Padgref; Bouclier du Captain Amakna; Ceinture du Strigide; Corne de Torkélonia; Carapace de Torkélonia; Bottes du Strigide; Dofus Vulbis; Dofus Turquoise; Dofus Pourpre; Dofus des Glaces; Dofus Nébuleux; Dofus Ocre; Kokulte</t>
        </is>
      </c>
    </row>
    <row r="13296">
      <c r="A13296" t="inlineStr">
        <is>
          <t>Xélor M 200</t>
        </is>
      </c>
      <c r="B13296">
        <f>HYPERLINK("https://www.dofusbook.net/fr/equipement/5589401-xelor-m-200/objets", "link")</f>
        <v/>
      </c>
      <c r="C13296" t="n">
        <v>0</v>
      </c>
      <c r="D13296" t="inlineStr">
        <is>
          <t>Manthache; Amulette de Nevark; Anneau d'Allister; Alliance Gloursonne; Bouclier du Stalak; Ceinture de Nevark; Couronne d'Allister; Cape de Nevark; Bottes d'Allister; Dofus Pourpre; Dofus Ocre; Dofus Abyssal; Equilibriste majeur; Blérodoudou</t>
        </is>
      </c>
    </row>
    <row r="13297">
      <c r="A13297" t="inlineStr">
        <is>
          <t>Xélor F 200</t>
        </is>
      </c>
      <c r="B13297">
        <f>HYPERLINK("https://www.dofusbook.net/fr/equipement/5589340-xelor-f-200/objets", "link")</f>
        <v/>
      </c>
      <c r="C13297" t="n">
        <v>0</v>
      </c>
      <c r="D13297" t="inlineStr">
        <is>
          <t>Manthache; Collier du Valet Veinard; Alliance Gloursonne; Gant du Valet Veinard; Bouclier du Stalak; Menoture; Couronne d'Allister; Cape Indescriptible; Palmes Trithons; Dofus Ocre; Dofus Abyssal; Dofus Pourpre; Cascadeur majeur; Nomade; Dévastateur Air majeur; Blérodoudou</t>
        </is>
      </c>
    </row>
    <row r="13298">
      <c r="A13298" t="inlineStr">
        <is>
          <t>Huppermage F 200</t>
        </is>
      </c>
      <c r="B13298">
        <f>HYPERLINK("https://www.dofusbook.net/fr/equipement/5232672-huppermage-f-200/objets", "link")</f>
        <v/>
      </c>
      <c r="C13298" t="n">
        <v>2</v>
      </c>
      <c r="D13298" t="inlineStr">
        <is>
          <t>Baguette Hique; Amulette du Strigide; Alliance Gloursonne; Anneau de Padgref; Quatre-feuilles; Ceinture du Strigide; Chapeau des Malveilleurs; Cape des Malveilleurs; Bottes des Malveilleurs; Dofus Ocre; Dofus Vulbis; Dofus Turquoise; Dofus Abyssal; Dofus Pourpre; Dofus des Glaces; Volkorne Emeraude et Indigo</t>
        </is>
      </c>
    </row>
    <row r="13299">
      <c r="A13299" t="inlineStr">
        <is>
          <t>sram terre</t>
        </is>
      </c>
      <c r="B13299">
        <f>HYPERLINK("https://www.dofusbook.net/fr/equipement/5240395-sram-terre/objets", "link")</f>
        <v/>
      </c>
      <c r="C13299" t="n">
        <v>0</v>
      </c>
      <c r="D13299" t="inlineStr">
        <is>
          <t>Arc du Chalœil; Amulette Luminescente; Bague Gloursonne; Chevalière du Roi Joueur; Quatre-feuilles; Ceinture Luminescente; Couronne du Roi Joueur; Cape Luminescente; Bottes du Roi Joueur; Dofus Turquoise; Dofus des Glaces; Dofus Ocre; Dofus Abyssal; Dofus Pourpre; Dofus Nébuleux; Bulbisou</t>
        </is>
      </c>
    </row>
    <row r="13300">
      <c r="A13300" t="inlineStr">
        <is>
          <t>Pandawa M 200</t>
        </is>
      </c>
      <c r="B13300">
        <f>HYPERLINK("https://www.dofusbook.net/fr/equipement/5241367-pandawa-m-200/objets", "link")</f>
        <v/>
      </c>
      <c r="C13300" t="n">
        <v>0</v>
      </c>
      <c r="D13300" t="inlineStr">
        <is>
          <t>Epée Gloursonne; Amulette du Strigide; Alliance Gloursonne; Bague Gloursonne; Quatre-feuilles; Ceinture du Strigide; Chapeau des Malveilleurs; Cape des Malveilleurs; Bottes des Malveilleurs; Dofus Turquoise; Dofus Nébuleux; Dofus Pourpre; Dofus des Glaces; Dofus Ocre; Dofus Vulbis; Kokulte</t>
        </is>
      </c>
    </row>
    <row r="13301">
      <c r="A13301" t="inlineStr">
        <is>
          <t>Pandawa M 200</t>
        </is>
      </c>
      <c r="B13301">
        <f>HYPERLINK("https://www.dofusbook.net/fr/equipement/5240423-pandawa-m-200/objets", "link")</f>
        <v/>
      </c>
      <c r="C13301" t="n">
        <v>0</v>
      </c>
      <c r="D13301" t="inlineStr">
        <is>
          <t>Baguette Hique; Amulette Luminescente; Bracelet du Piloztère; Bracelet des Fonds marins; Quatre-feuilles; Ceinture Luminescente; Masque des Fonds marins; Cape Luminescente; Dofus Ocre; Dofus Abyssal; Dolmanax; Dofus Pourpre; Dofus Turquoise; Dofus des Glaces; Kanigloups</t>
        </is>
      </c>
    </row>
    <row r="13302">
      <c r="A13302" t="inlineStr">
        <is>
          <t>Osamodas M 200</t>
        </is>
      </c>
      <c r="B13302">
        <f>HYPERLINK("https://www.dofusbook.net/fr/equipement/5186577-osamodas-m-200/objets", "link")</f>
        <v/>
      </c>
      <c r="C13302" t="n">
        <v>2</v>
      </c>
      <c r="D13302" t="inlineStr">
        <is>
          <t>Crocobur; Collier du Valet Veinard; Alliance Gloursonne; Gant du Valet Veinard; Bouclier du Captain Amakna; Ceinture du Barbétoal; Couronne d'Allister; Cape Indescriptible; Baleinabottes; Dofus Ocre; Dofus des Glaces; Dolmanax; Dofus Nébuleux; Dofus Ébène; Cascadeur majeur; Blérodoudou</t>
        </is>
      </c>
    </row>
    <row r="13303">
      <c r="A13303" t="inlineStr">
        <is>
          <t>Osamodas M 200</t>
        </is>
      </c>
      <c r="B13303">
        <f>HYPERLINK("https://www.dofusbook.net/fr/equipement/5060188-osamodas-m-200/objets", "link")</f>
        <v/>
      </c>
      <c r="C13303" t="n">
        <v>0</v>
      </c>
      <c r="D13303" t="inlineStr">
        <is>
          <t>Arc corrompu; Amulette Séculaire; Anneau de Padgref; Anneauræus; Quatre-feuilles; Ceinture Séculaire; Coiffe de Padgref; Cape de Meno; Getas de Padgref; Dofus Pourpre; Dofus Nébuleux; Dofus Turquoise; Dofus Ébène; Dofus Ocre; Dofus des Glaces; Bisouglours</t>
        </is>
      </c>
    </row>
    <row r="13304">
      <c r="A13304" t="inlineStr">
        <is>
          <t>Enutrof M 200</t>
        </is>
      </c>
      <c r="B13304">
        <f>HYPERLINK("https://www.dofusbook.net/fr/equipement/4567275-enutrof-m-200/objets", "link")</f>
        <v/>
      </c>
      <c r="C13304" t="n">
        <v>1</v>
      </c>
      <c r="D13304" t="inlineStr">
        <is>
          <t>Baguette Hique; Amulette Hale; Pikano; Alliance Gloursonne; Bouclier cubiste; Ceinture Glaciale; Casquipik; Cape de la Dame du Hasard; Pataugastrique; Dofus Ocre; Ralentisseur majeur; Nomade; Entraveur majeur; Temporiseur; Temporiseur majeur; Léopardo</t>
        </is>
      </c>
    </row>
    <row r="13305">
      <c r="A13305" t="inlineStr">
        <is>
          <t>Sram F 200</t>
        </is>
      </c>
      <c r="B13305">
        <f>HYPERLINK("https://www.dofusbook.net/fr/equipement/4286175-sram-f-200/objets", "link")</f>
        <v/>
      </c>
      <c r="C13305" t="n">
        <v>1</v>
      </c>
      <c r="D13305" t="inlineStr">
        <is>
          <t>Manthache; Collier du Valet Veinard; Gant du Valet Veinard; Anneau d'Allister; Quatre-feuilles; Ceinture du Barbétoal; Couronne d'Allister; Cape du Valet Veinard; Bottes d'Allister; Dofus Pourpre; Dofus des Glaces; Dofus Ébène; Dofus Ocre; Dofus Abyssal; Equilibriste majeur; Blérodoudou</t>
        </is>
      </c>
    </row>
    <row r="13306">
      <c r="A13306" t="inlineStr">
        <is>
          <t>EAU AIR CC</t>
        </is>
      </c>
      <c r="B13306">
        <f>HYPERLINK("https://www.dofusbook.net/fr/equipement/4144983-eau-air-cc-/objets", "link")</f>
        <v/>
      </c>
      <c r="C13306" t="n">
        <v>2</v>
      </c>
      <c r="D13306" t="inlineStr">
        <is>
          <t>Baguette de Frigostine; Amulette du Strigide; Alliance Gloursonne; Anneau de Padgref; Quatre-feuilles; Ceinture du Strigide; Némès de Tal Kasha; Chevelure de Tal Kasha; Sandales de Tal Kasha; Dofus Ocre; Dofus Pourpre; Dofus Nébuleux; Dofus Turquoise; Dofus des Glaces; Saccageur Air majeur; Kokulte</t>
        </is>
      </c>
    </row>
    <row r="13307">
      <c r="A13307" t="inlineStr">
        <is>
          <t>Pandawa M 200</t>
        </is>
      </c>
      <c r="B13307">
        <f>HYPERLINK("https://www.dofusbook.net/fr/equipement/4275020-pandawa-m-200/objets", "link")</f>
        <v/>
      </c>
      <c r="C13307" t="n">
        <v>4</v>
      </c>
      <c r="D13307" t="inlineStr">
        <is>
          <t>Arc du Chalœil; Amulette Luminescente; Chevalière du Roi Joueur; Anneau Crustique; Quatre-feuilles; Ceinture Luminescente; Couronne du Roi Joueur; Cape Luminescente; Bottes du Roi Joueur; Dofus Ocre; Dofus Abyssal; Dofus Pourpre; Dofus Turquoise; Furibond majeur; Forcené majeur; Bulbisou</t>
        </is>
      </c>
    </row>
    <row r="13308">
      <c r="A13308" t="inlineStr">
        <is>
          <t>WAT EAU</t>
        </is>
      </c>
      <c r="B13308">
        <f>HYPERLINK("https://www.dofusbook.net/fr/equipement/4145020-wat-eau/objets", "link")</f>
        <v/>
      </c>
      <c r="C13308" t="n">
        <v>0</v>
      </c>
      <c r="D13308" t="inlineStr">
        <is>
          <t>Epée Gloursonne; Amulette de Danathor; Bague Gloursonne; Alliance Gloursonne; Quatre-feuilles; Ceinture de Danathor; Coiffe de Danathor; Cape du Sinistrofu; Bottes du Sinistrofu; Dofus Abyssal; Dofus Ocre; Dofus Turquoise; Dofus Nébuleux; Dofus Pourpre; Dofus des Glaces; Pioute bleu</t>
        </is>
      </c>
    </row>
    <row r="13309">
      <c r="A13309" t="inlineStr">
        <is>
          <t>WAT TACLE</t>
        </is>
      </c>
      <c r="B13309">
        <f>HYPERLINK("https://www.dofusbook.net/fr/equipement/4145005-wat-tacle/objets", "link")</f>
        <v/>
      </c>
      <c r="C13309" t="n">
        <v>0</v>
      </c>
      <c r="D13309" t="inlineStr">
        <is>
          <t>Epée Gloursonne; Amulette du Strigide; Alliance Gloursonne; Bague Gloursonne; Bouclier précieux; Ceinture du Strigide; Chapeau des Malveilleurs; Cape des Malveilleurs; Bottes des Malveilleurs; Dofus Émeraude; Dofus Turquoise; Dofus Ocre; Dofus des Glaces; Dofus Abyssal; Bloqueur majeur; Marcassin</t>
        </is>
      </c>
    </row>
    <row r="13310">
      <c r="A13310" t="inlineStr">
        <is>
          <t>VOC - rdv/vei</t>
        </is>
      </c>
      <c r="B13310">
        <f>HYPERLINK("https://www.dofusbook.net/fr/equipement/1103541-voc---rdv-vei/objets", "link")</f>
        <v/>
      </c>
      <c r="C13310" t="n">
        <v>0</v>
      </c>
      <c r="D13310" t="inlineStr">
        <is>
          <t>Arc Ahique; Collier du Valet Veinard; Gant du Valet Veinard; Alliance Gloursonne; Bouclier du Stalak; Ceinture de la Reine des Voleurs; Coiffe de la Reine des Voleurs; Cape du Valet Veinard; Bottes de la Reine des Voleurs; Dofus Ocre; Dofus des Glaces; Dofus Nébuleux; Dofus Ivoire; Dolmanax; Dofus Abyssal; Blérodoudou</t>
        </is>
      </c>
    </row>
    <row r="13311">
      <c r="A13311" t="inlineStr">
        <is>
          <t>NOC ret Pm</t>
        </is>
      </c>
      <c r="B13311">
        <f>HYPERLINK("https://www.dofusbook.net/fr/equipement/3478890-noc-ret-pm/objets", "link")</f>
        <v/>
      </c>
      <c r="C13311" t="n">
        <v>1</v>
      </c>
      <c r="D13311" t="inlineStr">
        <is>
          <t>Arc du Chalœil; Amulette Luminescente; Chevalière du Roi Joueur; Anneau Crustique; Bouclier cubiste; Ceinture Luminescente; Couronne du Roi Joueur; Cape Luminescente; Bottes du Roi Joueur; Dofus Ocre; Dofus Abyssal; Dofus Pourpre; Dofus Turquoise; Ralentisseur majeur; Entraveur majeur; Léopardo</t>
        </is>
      </c>
    </row>
    <row r="13312">
      <c r="A13312" t="inlineStr">
        <is>
          <t>NOC terre</t>
        </is>
      </c>
      <c r="B13312">
        <f>HYPERLINK("https://www.dofusbook.net/fr/equipement/3776550-noc-terre/objets", "link")</f>
        <v/>
      </c>
      <c r="C13312" t="n">
        <v>1</v>
      </c>
      <c r="D13312" t="inlineStr">
        <is>
          <t>Arc du Chalœil; Amulette du Strigide; Chevalière du Roi Joueur; Bague Gloursonne; Quatre-feuilles; Ceinture du Strigide; Chapeau de Gein; Cape au Logis; Baleinabottes; Dofus Turquoise; Dofus Pourpre; Dofus des Glaces; Remueur; Enragé majeur; Vigoureux majeur; Pioute vert</t>
        </is>
      </c>
    </row>
    <row r="13313">
      <c r="A13313" t="inlineStr">
        <is>
          <t>Sram F 200</t>
        </is>
      </c>
      <c r="B13313">
        <f>HYPERLINK("https://www.dofusbook.net/fr/equipement/3776614-sram-f-200/objets", "link")</f>
        <v/>
      </c>
      <c r="C13313" t="n">
        <v>2</v>
      </c>
      <c r="D13313" t="inlineStr">
        <is>
          <t>Arc du Chalœil; Amulette du Strigide; Chevalière du Roi Joueur; Bague Gloursonne; Quatre-feuilles; Ceinture du Strigide; Couronne du Roi Joueur; Voile d'encre; Bottes du Roi Joueur; Dofus Ocre; Dofus Abyssal; Dofus Turquoise; Dofus Nébuleux; Dofus Pourpre; Dofus des Glaces; Chacha Angora</t>
        </is>
      </c>
    </row>
    <row r="13314">
      <c r="A13314" t="inlineStr">
        <is>
          <t>Eau/multi tacle 12/6</t>
        </is>
      </c>
      <c r="B13314">
        <f>HYPERLINK("https://www.dofusbook.net/fr/equipement/158160-eau-multi-tacle-12-6/objets", "link")</f>
        <v/>
      </c>
      <c r="C13314" t="n">
        <v>4</v>
      </c>
      <c r="D13314" t="inlineStr">
        <is>
          <t>Epée Gloursonne; Amulette du Strigide; Alliance Gloursonne; Bague Gloursonne; Quatre-feuilles; Ceinture du Strigide; Chapeau des Malveilleurs; Cape des Malveilleurs; Bottes du Strigide; Dofus Pourpre; Dofus Turquoise; Dofus Ocre; Dofus des Glaces; Dofus Nébuleux; Dofus Abyssal; Chacha Angora</t>
        </is>
      </c>
    </row>
    <row r="13315">
      <c r="A13315" t="inlineStr">
        <is>
          <t>Enutrof F 200</t>
        </is>
      </c>
      <c r="B13315">
        <f>HYPERLINK("https://www.dofusbook.net/fr/equipement/4628961-enutrof-f-200/objets", "link")</f>
        <v/>
      </c>
      <c r="C13315" t="n">
        <v>1</v>
      </c>
      <c r="D13315" t="inlineStr">
        <is>
          <t>Sceptre du Roi Joueur; Amulette de Shokkoth; Alliance Gloursonne; Anneau Volkorne; Bouclier du Stalak; Sangle Ouare; Kidibonnet; Cape du Sinistrofu; Bottes du Sinistrofu; Dofus Argenté; Dofus Ébène; Dofus Pourpre; Dofus Abyssal; Dokoko; Dofus Ivoire; Kanigloups</t>
        </is>
      </c>
    </row>
    <row r="13316">
      <c r="A13316" t="inlineStr">
        <is>
          <t>Roublard M 200</t>
        </is>
      </c>
      <c r="B13316">
        <f>HYPERLINK("https://www.dofusbook.net/fr/equipement/5037406-roublard-m-200/objets", "link")</f>
        <v/>
      </c>
      <c r="C13316" t="n">
        <v>8</v>
      </c>
      <c r="D13316" t="inlineStr">
        <is>
          <t>Canne Harr; Amulette Volkorne; Anneau de Padgref; Anneau Volkorne; Bouclier du Captain Amakna; Ceinture Séculaire; Coiffe de Padgref; Cape de la Dame du Hasard; Getas de Padgref; Dofus Pourpre; Dofus Ébène; Dofus des Glaces; Dofus Turquoise; Dofus Ocre; Dofus Ivoire; Pioute rouge</t>
        </is>
      </c>
    </row>
    <row r="13317">
      <c r="A13317" t="inlineStr">
        <is>
          <t>Pandawa M 200</t>
        </is>
      </c>
      <c r="B13317">
        <f>HYPERLINK("https://www.dofusbook.net/fr/equipement/3719796-pandawa-m-200/objets", "link")</f>
        <v/>
      </c>
      <c r="C13317" t="n">
        <v>23</v>
      </c>
      <c r="D13317" t="inlineStr">
        <is>
          <t>Hache du Chalœil; Amulette Volkorne; Anneau Volkorne; Bague Trithon; Bouclier d'Ilyzaelle; Ceinture Volkorne; Masque Trithon; Voile d'encre; Bottes Trithon; Dofus Turquoise; Dofus Ébène; Dofus Ocre; Dofus Pourpre; Dofus des Glaces</t>
        </is>
      </c>
    </row>
    <row r="13318">
      <c r="A13318" t="inlineStr">
        <is>
          <t>Enutrof M 200</t>
        </is>
      </c>
      <c r="B13318">
        <f>HYPERLINK("https://www.dofusbook.net/fr/equipement/4611415-enutrof-m-200/objets", "link")</f>
        <v/>
      </c>
      <c r="C13318" t="n">
        <v>8</v>
      </c>
      <c r="D13318" t="inlineStr">
        <is>
          <t>Hache du Korriandre; Amulette d'Ilyzaelle; Anneau Volkorne; Alliance Gloursonne; Bouclier d'Ilyzaelle; Ceinture de la Reine des Voleurs; Casque Volkorne; Cape Matelassée; Bottes de la Reine des Voleurs; Dofus des Glaces; Dofus Vulbis; Dofus Pourpre; Dofus Ivoire; Dofus Ocre; Dofus Ébène; Fëanor</t>
        </is>
      </c>
    </row>
    <row r="13319">
      <c r="A13319" t="inlineStr">
        <is>
          <t>Roublard F 200</t>
        </is>
      </c>
      <c r="B13319">
        <f>HYPERLINK("https://www.dofusbook.net/fr/equipement/4550199-roublard-f-200/objets", "link")</f>
        <v/>
      </c>
      <c r="C13319" t="n">
        <v>10</v>
      </c>
      <c r="D13319" t="inlineStr">
        <is>
          <t>Arc Honte; Amulette Volkorne; Anneau Volkorne; Alliance Gloursonne; Bouclier du Stalak; Ceinture de l'Esprit Salvateur; Masque de l'Esprit Salvateur; Cape de la Dame du Hasard; Bottes de l'Esprit Salvateur; Dofus Pourpre; Dofus Ébène; Dofus Vulbis; Dofus Ocre; Dofus des Glaces; Dofus Ivoire; Gwo Tofu Ventripotent</t>
        </is>
      </c>
    </row>
    <row r="13320">
      <c r="A13320" t="inlineStr">
        <is>
          <t>Ouginak F 200</t>
        </is>
      </c>
      <c r="B13320">
        <f>HYPERLINK("https://www.dofusbook.net/fr/equipement/4495275-ouginak-f-200/objets", "link")</f>
        <v/>
      </c>
      <c r="C13320" t="n">
        <v>3</v>
      </c>
      <c r="D13320" t="inlineStr">
        <is>
          <t>Arc corrompu; Amulette Volkorne; Anneauræus; Anneauræus; Bouclier du Stalak; Ceinture Volkorne; Heaume Oplate; Cape de Jahash Jurgen; Bottes Innommables; Dofus Ocre; Dofus Ébène; Dofus Vulbis; Dofus des Glaces; Dofus Pourpre; Dofus Ivoire; Bisouglours</t>
        </is>
      </c>
    </row>
    <row r="13321">
      <c r="A13321" t="inlineStr">
        <is>
          <t>Enutrof M 200</t>
        </is>
      </c>
      <c r="B13321">
        <f>HYPERLINK("https://www.dofusbook.net/fr/equipement/4559479-enutrof-m-200/objets", "link")</f>
        <v/>
      </c>
      <c r="C13321" t="n">
        <v>4</v>
      </c>
      <c r="D13321" t="inlineStr">
        <is>
          <t>Arc du Chalœil; Amulette du Cœur Saignant; Anneau Volkorne; Alliance de Missiz Frizz; Bouclier du Stalak; Ceinture Volkorne; Casque de Missiz Frizz; Cape du Cœur Saignant; Bottes du Cœur Saignant; Dofus Turquoise; Dofus Ivoire; Dofus Ocre; Dofus Ébène; Dofus Vulbis; Dofus Pourpre; Pioute vert</t>
        </is>
      </c>
    </row>
    <row r="13322">
      <c r="A13322" t="inlineStr">
        <is>
          <t>Roublard F 200</t>
        </is>
      </c>
      <c r="B13322">
        <f>HYPERLINK("https://www.dofusbook.net/fr/equipement/4527490-roublard-f-200/objets", "link")</f>
        <v/>
      </c>
      <c r="C13322" t="n">
        <v>18</v>
      </c>
      <c r="D13322" t="inlineStr">
        <is>
          <t>Arc du Chalœil; Amulette Volkorne; Bague Gloursonne; Chevalière du Roi Joueur; Bouclier du Stalak; Ceinture Volkorne; Couronne du Roi Joueur; Bravoure de Rykke Errel; Bottes du Roi Joueur; Dokoko; Dofus des Glaces; Dofus Vulbis; Dofus Ivoire; Dofus Ocre; Dofus Pourpre; Cromeugnon</t>
        </is>
      </c>
    </row>
    <row r="13323">
      <c r="A13323" t="inlineStr">
        <is>
          <t>Roublard F 200</t>
        </is>
      </c>
      <c r="B13323">
        <f>HYPERLINK("https://www.dofusbook.net/fr/equipement/4527353-roublard-f-200/objets", "link")</f>
        <v/>
      </c>
      <c r="C13323" t="n">
        <v>14</v>
      </c>
      <c r="D13323" t="inlineStr">
        <is>
          <t>Arc du Chalœil; Amulette du Cœur Saignant; Alliance de Missiz Frizz; Anneau Volkorne; Bouclier du Stalak; Ceinture Volkorne; Casque de Missiz Frizz; Cape du Cœur Saignant; Bottes du Cœur Saignant; Dofus Pourpre; Dofus Vulbis; Dofus des Glaces; Dofus Ocre; Dofus Ivoire; Bulbisou</t>
        </is>
      </c>
    </row>
    <row r="13324">
      <c r="A13324" t="inlineStr">
        <is>
          <t>Roublard F 200</t>
        </is>
      </c>
      <c r="B13324">
        <f>HYPERLINK("https://www.dofusbook.net/fr/equipement/4526232-roublard-f-200/objets", "link")</f>
        <v/>
      </c>
      <c r="C13324" t="n">
        <v>19</v>
      </c>
      <c r="D13324" t="inlineStr">
        <is>
          <t>Arc corrompu; Amulette Cryochrone; Anneau Tique; Anneauræus; Bouclier Bontarien; Ceinture de l'Esprit Malsain; Heaume Oplate; Bravoure de Rykke Errel; Chaussures Ardentes; Dofus Ocre; Dofus Ivoire; Dofus Émeraude; Dofus Abyssal; Dokoko; Dofus Forgelave; Titard</t>
        </is>
      </c>
    </row>
    <row r="13325">
      <c r="A13325" t="inlineStr">
        <is>
          <t>Mode feu 2.5</t>
        </is>
      </c>
      <c r="B13325">
        <f>HYPERLINK("https://www.dofusbook.net/fr/equipement/4525165-mode-feu-2-5/objets", "link")</f>
        <v/>
      </c>
      <c r="C13325" t="n">
        <v>22</v>
      </c>
      <c r="D13325" t="inlineStr">
        <is>
          <t>Arc corrompu; Talisman Igans; Anneau Tamie; Anneau Tamie; Bouclier du Stalak; Ceintrigue; Heaume Oplate; Bravoure de Rykke Errel; Bottes Innommables; Dofus Ocre; Dofus Vulbis; Dofus Ivoire; Dofus des Glaces; Dofus Ébène; Dokoko; Bisouglours</t>
        </is>
      </c>
    </row>
    <row r="13326">
      <c r="A13326" t="inlineStr">
        <is>
          <t>ffff</t>
        </is>
      </c>
      <c r="B13326">
        <f>HYPERLINK("https://www.dofusbook.net/fr/equipement/2752703-ffff/objets", "link")</f>
        <v/>
      </c>
      <c r="C13326" t="n">
        <v>7</v>
      </c>
      <c r="D13326" t="inlineStr">
        <is>
          <t>Arc du Chalœil; Amulette du Strigide; Bracelet du Piloztère; Anneau Volkorne; Bouclier du Stalak; Ceinture Volkorne; Masque de Koutoulou; Cape au Logis; Bottes du Strigide; Dofus Pourpre; Dofus Ébène; Dofus Turquoise; Dofus des Glaces; Dofus Ivoire; Dofus Ocre; Dragodinde en armure</t>
        </is>
      </c>
    </row>
    <row r="13327">
      <c r="A13327" t="inlineStr">
        <is>
          <t>Eau 2.45</t>
        </is>
      </c>
      <c r="B13327">
        <f>HYPERLINK("https://www.dofusbook.net/fr/equipement/2878367-eau-2-45/objets", "link")</f>
        <v/>
      </c>
      <c r="C13327" t="n">
        <v>22</v>
      </c>
      <c r="D13327" t="inlineStr">
        <is>
          <t>Baguette Héroclite; Amulette de Shokkoth; Bracelet des Fonds marins; Anneau Glacial; Bouclier du Stalak; Ceinture de la Reine des Voleurs; Kidibonnet; Cape de l'Œil Attentif; Bottes de la Reine des Voleurs; Dofus Ocre; Dofus des Glaces; Dévastateur Eau majeur; Chanceux majeur; Nomade; Saccageur Eau majeur; Pioute bleu</t>
        </is>
      </c>
    </row>
    <row r="13328">
      <c r="A13328" t="inlineStr">
        <is>
          <t>Roublard F 200</t>
        </is>
      </c>
      <c r="B13328">
        <f>HYPERLINK("https://www.dofusbook.net/fr/equipement/4487784-roublard-f-200/objets", "link")</f>
        <v/>
      </c>
      <c r="C13328" t="n">
        <v>12</v>
      </c>
      <c r="D13328" t="inlineStr">
        <is>
          <t>Arc du Chalœil; Collier de Tourthon; Chevalière du Roi Joueur; Anneau de Brouce; Bouclier du Stalak; Ceinture Gence; Coiffe du Comte Harebourg; Cape de Jahash Jurgen; Bottes de Brouce; Dofus Pourpre; Dofus des Glaces; Dofus Ocre; Dofus Nébuleux; Vigoureux majeur; Enragé majeur; Bulbisou</t>
        </is>
      </c>
    </row>
    <row r="13329">
      <c r="A13329" t="inlineStr">
        <is>
          <t>Huppermage M 200</t>
        </is>
      </c>
      <c r="B13329">
        <f>HYPERLINK("https://www.dofusbook.net/fr/equipement/4262624-huppermage-m-200/objets", "link")</f>
        <v/>
      </c>
      <c r="C13329" t="n">
        <v>8</v>
      </c>
      <c r="D13329" t="inlineStr">
        <is>
          <t>Plume de Buhorado; Amibou; Alliance Gloursonne; Gant du Valet Veinard; Bouclier du Stalak; Menoture; Chapibou; Cape du Cœur Vaillant; Bottes du Cœur Vaillant; Dofus Pourpre; Dofus Turquoise; Dofus Ivoire; Bousculeur majeur; Pousseur majeur; Tofoudre</t>
        </is>
      </c>
    </row>
    <row r="13330">
      <c r="A13330" t="inlineStr">
        <is>
          <t>Roublard M 200</t>
        </is>
      </c>
      <c r="B13330">
        <f>HYPERLINK("https://www.dofusbook.net/fr/equipement/4455934-roublard-m-200/objets", "link")</f>
        <v/>
      </c>
      <c r="C13330" t="n">
        <v>9</v>
      </c>
      <c r="D13330" t="inlineStr">
        <is>
          <t>Arc corrompu; Amulette Volkorne; Anneau Tamie; Anneau Tamie; Bouclier du Stalak; Ceinture Volkorne; Heaume Oplate; Cape de Jahash Jurgen; Bottes Innommables; Dofus Ocre; Dofus Ébène; Dokoko; Dofus Abyssal; Dofus Vulbis; Dofus Ivoire; Bisouglours</t>
        </is>
      </c>
    </row>
    <row r="13331">
      <c r="A13331" t="inlineStr">
        <is>
          <t>terre</t>
        </is>
      </c>
      <c r="B13331">
        <f>HYPERLINK("https://www.dofusbook.net/fr/equipement/2942269-terre-/objets", "link")</f>
        <v/>
      </c>
      <c r="C13331" t="n">
        <v>11</v>
      </c>
      <c r="D13331" t="inlineStr">
        <is>
          <t>Arc du Chalœil; Collier de Tourthon; Anneau de Brouce; Anneau Crustique; Bouclier du Stalak; Ceinture de Brouce; Masque de Koutoulou; Cape au Logis; Baleinabottes; Dofus Turquoise; Remueur; Forcené majeur; Nomade; Enragé majeur; Vigoureux majeur; Kompost</t>
        </is>
      </c>
    </row>
    <row r="13332">
      <c r="A13332" t="inlineStr">
        <is>
          <t>Crâ M 200</t>
        </is>
      </c>
      <c r="B13332">
        <f>HYPERLINK("https://www.dofusbook.net/fr/equipement/4274758-cra-m-200/objets", "link")</f>
        <v/>
      </c>
      <c r="C13332" t="n">
        <v>1</v>
      </c>
      <c r="D13332" t="inlineStr">
        <is>
          <t>Arc du Chalœil; Collier de Tourthon; Anneau de Brouce; Anneau Crustique; Bouclier du Stalak; Ceinture de Brouce; Masque de Koutoulou; Cape au Logis; Baleinabottes; Dofus Turquoise; Vigoureux majeur; Remueur; Forcené majeur; Nomade; Enragé majeur; Kompost</t>
        </is>
      </c>
    </row>
    <row r="13333">
      <c r="A13333" t="inlineStr">
        <is>
          <t>Multi</t>
        </is>
      </c>
      <c r="B13333">
        <f>HYPERLINK("https://www.dofusbook.net/fr/equipement/4142336-multi/objets", "link")</f>
        <v/>
      </c>
      <c r="C13333" t="n">
        <v>2</v>
      </c>
      <c r="D13333" t="inlineStr">
        <is>
          <t>Arc du Chalœil; Collier de Tourthon; Anneau de Brouce; Anneau Crustique; Bouclier du Stalak; Ceinture de Brouce; Masque de Koutoulou; Cape au Logis; Baleinabottes; Dofus Pourpre; Forcené majeur; Nomade; Enragé majeur; Vigoureux majeur; Remueur; Kompost</t>
        </is>
      </c>
    </row>
    <row r="13334">
      <c r="A13334" t="inlineStr">
        <is>
          <t>Huppermage M 200</t>
        </is>
      </c>
      <c r="B13334">
        <f>HYPERLINK("https://www.dofusbook.net/fr/equipement/4227701-huppermage-m-200/objets", "link")</f>
        <v/>
      </c>
      <c r="C13334" t="n">
        <v>2</v>
      </c>
      <c r="D13334" t="inlineStr">
        <is>
          <t>Hache du Chalœil; Amulette Volkorne; Bague Trithon; Anneau Volkorne; Quatre-feuilles; Ceinture Volkorne; Masque Trithon; Dofusteuse; Bottes Trithon; Dofus Ocre; Dofus des Glaces; Dofus Turquoise; Dofus Ivoire; Dofus Pourpre; Dofus Ébène; Sakochère</t>
        </is>
      </c>
    </row>
    <row r="13335">
      <c r="A13335" t="inlineStr">
        <is>
          <t>Huppermage M 200</t>
        </is>
      </c>
      <c r="B13335">
        <f>HYPERLINK("https://www.dofusbook.net/fr/equipement/4227649-huppermage-m-200/objets", "link")</f>
        <v/>
      </c>
      <c r="C13335" t="n">
        <v>2</v>
      </c>
      <c r="D13335" t="inlineStr">
        <is>
          <t>Sceptre du Roi Joueur; Amulette de Shokkoth; Anneau Volkorne; Alliance Gloursonne; Bouclier d'Ilyzaelle; Sangle Ouare; Kidibonnet; Cape du Sinistrofu; Bottes du Sinistrofu; Dofus Ivoire; Dofus Pourpre; Dofus Ocre; Taquin majeur; Vigoureux majeur; Chanceux majeur; Kanigloups</t>
        </is>
      </c>
    </row>
    <row r="13336">
      <c r="A13336" t="inlineStr">
        <is>
          <t>Huppermage M 200</t>
        </is>
      </c>
      <c r="B13336">
        <f>HYPERLINK("https://www.dofusbook.net/fr/equipement/4225901-huppermage-m-200/objets", "link")</f>
        <v/>
      </c>
      <c r="C13336" t="n">
        <v>1</v>
      </c>
      <c r="D13336" t="inlineStr">
        <is>
          <t>Épée Brûlâme; Amulette Volkorne; Bague Trithon; Anneau Volkorne; Bouclier du Captain Amakna; Ceintacé; Masque Trithon; Cape de la Dame du Hasard; Bottes de la Dame du Hasard; Dofus Ocre; Dofus Ébène; Dofus Turquoise; Dofus Ivoire; Dofus Pourpre; Dofus des Glaces; Chacha Angora</t>
        </is>
      </c>
    </row>
    <row r="13337">
      <c r="A13337" t="inlineStr">
        <is>
          <t>Enutrof M 200</t>
        </is>
      </c>
      <c r="B13337">
        <f>HYPERLINK("https://www.dofusbook.net/fr/equipement/4221636-enutrof-m-200/objets", "link")</f>
        <v/>
      </c>
      <c r="C13337" t="n">
        <v>1</v>
      </c>
      <c r="D13337" t="inlineStr">
        <is>
          <t>Baguette Hique; Amulette de Shokkoth; Anneau Volkorne; Alliance Gloursonne; Bouclier cubiste; Pagne du Rykaon; Kidibonnet; Cape de la Dame du Hasard; Bottes de la Dame du Hasard; Dofus Pourpre; Dofus Ivoire; Dofus Turquoise; Dofus Ocre; Chanceux majeur; Nomade; Gwo Tofu Ventripotent</t>
        </is>
      </c>
    </row>
    <row r="13338">
      <c r="A13338" t="inlineStr">
        <is>
          <t>eau/air</t>
        </is>
      </c>
      <c r="B13338">
        <f>HYPERLINK("https://www.dofusbook.net/fr/equipement/2901898-eau-air/objets", "link")</f>
        <v/>
      </c>
      <c r="C13338" t="n">
        <v>5</v>
      </c>
      <c r="D13338" t="inlineStr">
        <is>
          <t>Dofus Ivoire; Dofus des Glaces; Dofus Pourpre; Dofus Abyssal; Dofus Ocre</t>
        </is>
      </c>
    </row>
    <row r="13339">
      <c r="A13339" t="inlineStr">
        <is>
          <t>cra</t>
        </is>
      </c>
      <c r="B13339">
        <f>HYPERLINK("https://www.dofusbook.net/fr/equipement/3640415-cra/objets", "link")</f>
        <v/>
      </c>
      <c r="C13339" t="n">
        <v>2</v>
      </c>
      <c r="D13339" t="inlineStr">
        <is>
          <t>Dofus Ivoire; Dofus Pourpre; Dofus Ocre; Dofus Turquoise; Robuste majeur; Chanceux majeur</t>
        </is>
      </c>
    </row>
    <row r="13340">
      <c r="A13340" t="inlineStr">
        <is>
          <t>Pandawa M 200</t>
        </is>
      </c>
      <c r="B13340">
        <f>HYPERLINK("https://www.dofusbook.net/fr/equipement/3833050-pandawa-m-200/objets", "link")</f>
        <v/>
      </c>
      <c r="C13340" t="n">
        <v>8</v>
      </c>
      <c r="D13340" t="inlineStr">
        <is>
          <t>Hache du Chalœil; Amulette du Strigide; Anneau Volkorne; Ceinture Volkorne; Casque du Chalœil; Cape du Chalœil; Bottes du Strigide; Dofus Nébuleux; Dofus Pourpre; Furibond majeur; Forcené majeur; Enragé majeur; Vigoureux majeur</t>
        </is>
      </c>
    </row>
    <row r="13341">
      <c r="A13341" t="inlineStr">
        <is>
          <t>Roublard F 200</t>
        </is>
      </c>
      <c r="B13341">
        <f>HYPERLINK("https://www.dofusbook.net/fr/equipement/3965971-roublard-f-200/objets", "link")</f>
        <v/>
      </c>
      <c r="C13341" t="n">
        <v>11</v>
      </c>
      <c r="D13341" t="inlineStr">
        <is>
          <t>Hachoirs de Viandargh; Amulette Hale; Grésilanneau; Alliance Gloursonne; Cadran d'Air; Ceinture Rasboulaire du Rasboul; Couronne d'Allister; Cape de Klime; Pantoufles Émar; Cascadeur majeur; Dévastateur Air majeur; Nomade; Blérodoudou</t>
        </is>
      </c>
    </row>
    <row r="13342">
      <c r="A13342" t="inlineStr">
        <is>
          <t>Anti SRAM air</t>
        </is>
      </c>
      <c r="B13342">
        <f>HYPERLINK("https://www.dofusbook.net/fr/equipement/3943845-anti-sram-air/objets", "link")</f>
        <v/>
      </c>
      <c r="C13342" t="n">
        <v>21</v>
      </c>
      <c r="D13342" t="inlineStr">
        <is>
          <t>Arc corrompu; Amulette Volkorne; Anneau Tamie; Anneau Tamie; Cadran d'Air; Sangle Ouare; Cape de Diondin; Bottes Innommables; Dokoko; Dofus Ivoire; Dofus Abyssal; Dofus Pourpre; Dofus des Glaces; Érudit majeur; Tiwabbit Kiafin</t>
        </is>
      </c>
    </row>
    <row r="13343">
      <c r="A13343" t="inlineStr">
        <is>
          <t>sram multi 2.48</t>
        </is>
      </c>
      <c r="B13343">
        <f>HYPERLINK("https://www.dofusbook.net/fr/equipement/3923818-sram-multi-2-48/objets", "link")</f>
        <v/>
      </c>
      <c r="C13343" t="n">
        <v>6</v>
      </c>
      <c r="D13343" t="inlineStr">
        <is>
          <t>Arc Honte; Amulette Volkorne; Alliance Gloursonne; Anneau Volkorne; Bouclier du Stalak; Ceinture de l'Esprit Salvateur; Masque de l'Esprit Salvateur; Cape de l'Œil Putride; Bottes de l'Esprit Salvateur; Dokoko; Dofus Ivoire; Dofus Vulbis; Dofus Ocre; Dofus des Glaces; Dofus Abyssal; Fëanor</t>
        </is>
      </c>
    </row>
    <row r="13344">
      <c r="A13344" t="inlineStr">
        <is>
          <t>Anti osa air 2.48</t>
        </is>
      </c>
      <c r="B13344">
        <f>HYPERLINK("https://www.dofusbook.net/fr/equipement/3893644-anti-osa-air-2-48/objets", "link")</f>
        <v/>
      </c>
      <c r="C13344" t="n">
        <v>21</v>
      </c>
      <c r="D13344" t="inlineStr">
        <is>
          <t>Manthache; Collier du Valet Veinard; Anneau Toriété; Anneau d'Allister; Cadran d'Air; Menoture; Couronne d'Allister; Cape du Valet Veinard; Bottes d'Allister; Dofus Abyssal; Dofus des Glaces; Dofus Ocre; Dofus Ivoire; Cuirassé Air majeur; Muraille Air majeure; Tiwabbit Kiafin</t>
        </is>
      </c>
    </row>
    <row r="13345">
      <c r="A13345" t="inlineStr">
        <is>
          <t>Anti osa air 2.45</t>
        </is>
      </c>
      <c r="B13345">
        <f>HYPERLINK("https://www.dofusbook.net/fr/equipement/2920530-anti-osa-air-2-45/objets", "link")</f>
        <v/>
      </c>
      <c r="C13345" t="n">
        <v>14</v>
      </c>
      <c r="D13345" t="inlineStr">
        <is>
          <t>Arc corrompu; Anneau Tamie; Anneau Tique; Bouclier du Stalak; Heaume Oplate; Cape de Diondin; Bottes Innommables; Dofus Ivoire; Dokoko; Dofus Abyssal; Cuirassé Air majeur; Nomade; La Chose</t>
        </is>
      </c>
    </row>
    <row r="13346">
      <c r="A13346" t="inlineStr">
        <is>
          <t>Terre regene 2.48</t>
        </is>
      </c>
      <c r="B13346">
        <f>HYPERLINK("https://www.dofusbook.net/fr/equipement/3864065-terre-regene-2-48/objets", "link")</f>
        <v/>
      </c>
      <c r="C13346" t="n">
        <v>26</v>
      </c>
      <c r="D13346" t="inlineStr">
        <is>
          <t>Marteau des égarés; Amulette Volkorne; Anneau Volkorne; Chevalière du Roi Joueur; Bouclier du Stalak; Ceinture de la Reine des Voleurs; Coiffe de la Reine des Voleurs; Cape au Logis; Baleinabottes; Dofus des Glaces; Dofus Ivoire; Dokoko; Dofus Ocre; Dofus Pourpre; Dofus Abyssal; Bulbisou</t>
        </is>
      </c>
    </row>
    <row r="13347">
      <c r="A13347" t="inlineStr">
        <is>
          <t>Feu bag houf 2.48</t>
        </is>
      </c>
      <c r="B13347">
        <f>HYPERLINK("https://www.dofusbook.net/fr/equipement/3816658-feu-bag-houf-2-48/objets", "link")</f>
        <v/>
      </c>
      <c r="C13347" t="n">
        <v>14</v>
      </c>
      <c r="D13347" t="inlineStr">
        <is>
          <t>Baguette Houffe-Craitien; Collier de la Dame du Hasard; Anneau de Padgref; Anneau Tamie; Quatre-feuilles; Ceinture de Gein; Coiffe de Padgref; Cape de la Dame du Hasard; Getas de Padgref; Dofus Abyssal; Dofus Ocre; Dofus Nébuleux; Dofus des Glaces; Dofus Turquoise; Dofus Vulbis; Kokulte</t>
        </is>
      </c>
    </row>
    <row r="13348">
      <c r="A13348" t="inlineStr">
        <is>
          <t>Air tank 6300 vie</t>
        </is>
      </c>
      <c r="B13348">
        <f>HYPERLINK("https://www.dofusbook.net/fr/equipement/1980948-air-tank-6300-vie/objets", "link")</f>
        <v/>
      </c>
      <c r="C13348" t="n">
        <v>31</v>
      </c>
      <c r="D13348" t="inlineStr">
        <is>
          <t>Pelle de la Cour Sombre; Collier du Valet Veinard; Alliance Gloursonne; Gant du Valet Veinard; Bouclier d'Ilyzaelle; Ceinture du Barbétoal; Casque Dragoeuf; Cape Indescriptible; Baleinabottes; Dofus Ivoire; Dofus des Glaces; Dokoko; Carapace Air majeur; Remueur; Cascadeur majeur; Muldo Ebène</t>
        </is>
      </c>
    </row>
    <row r="13349">
      <c r="A13349" t="inlineStr">
        <is>
          <t>Pandawa F 200</t>
        </is>
      </c>
      <c r="B13349">
        <f>HYPERLINK("https://www.dofusbook.net/fr/equipement/3720694-pandawa-f-200/objets", "link")</f>
        <v/>
      </c>
      <c r="C13349" t="n">
        <v>5</v>
      </c>
      <c r="D13349" t="inlineStr">
        <is>
          <t>Pyraguette; Talisman Igans; Alliance Gloursonne; Bague Gloursonne; Quatre-feuilles; Ceintrigue; Casqnoar; Cape de la Dame du Hasard; Bottes Owesli; Dofus des Glaces; Dofus Turquoise; Dofus Ivoire; Dofus Ocre; Dofus Pourpre</t>
        </is>
      </c>
    </row>
    <row r="13350">
      <c r="A13350" t="inlineStr">
        <is>
          <t>Pandawa F 200</t>
        </is>
      </c>
      <c r="B13350">
        <f>HYPERLINK("https://www.dofusbook.net/fr/equipement/3725321-pandawa-f-200/objets", "link")</f>
        <v/>
      </c>
      <c r="C13350" t="n">
        <v>7</v>
      </c>
      <c r="D13350" t="inlineStr">
        <is>
          <t>Baguette Héroclite; Amulette de Shokkoth; Alliance Gloursonne; Anneau Volkorne; Bouclier du Stalak; Ceinture de la Reine des Voleurs; Capuche de l'Œil Attentif; Cape Solution; Bottes de la Reine des Voleurs; Dofus Turquoise; Dofus Vulbis; Dofus Ocre; Dofus Pourpre; Chanceux majeur; Dragodinde Indigo et Ivoire</t>
        </is>
      </c>
    </row>
    <row r="13351">
      <c r="A13351" t="inlineStr">
        <is>
          <t>Anti osa test</t>
        </is>
      </c>
      <c r="B13351">
        <f>HYPERLINK("https://www.dofusbook.net/fr/equipement/3721432-anti-osa-test/objets", "link")</f>
        <v/>
      </c>
      <c r="C13351" t="n">
        <v>12</v>
      </c>
      <c r="D13351" t="inlineStr">
        <is>
          <t>Manthache; Collier du Valet Veinard; Gant du Valet Veinard; Anneau Volkorne; Bouclier du Stalak; Menoture; Casque Volkorne; Cape du Valet Veinard; Dokoko; Dofus des Glaces; Dofus Abyssal; Dofus Pourpre; Dofus Ivoire; Saccageur Air majeur; Dragodinde Amande et Ivoire</t>
        </is>
      </c>
    </row>
    <row r="13352">
      <c r="A13352" t="inlineStr">
        <is>
          <t>Pandawa M 200</t>
        </is>
      </c>
      <c r="B13352">
        <f>HYPERLINK("https://www.dofusbook.net/fr/equipement/3719551-pandawa-m-200/objets", "link")</f>
        <v/>
      </c>
      <c r="C13352" t="n">
        <v>2</v>
      </c>
      <c r="D13352" t="inlineStr">
        <is>
          <t>Baguette Héroclite; Amulette de Shokkoth; Anneau Volkorne; Alliance Gloursonne; Bouclier du Stalak; Poulpagne; Capuche de l'Œil Attentif; Cape du Sinistrofu; Bottes du Sinistrofu; Dofus Turquoise; Dofus Pourpre; Dofus Ivoire; Dofus Ocre; Dofus Vulbis; Chanceux majeur; Dragodinde Indigo et Ivoire</t>
        </is>
      </c>
    </row>
    <row r="13353">
      <c r="A13353" t="inlineStr">
        <is>
          <t>Pandawa M 200</t>
        </is>
      </c>
      <c r="B13353">
        <f>HYPERLINK("https://www.dofusbook.net/fr/equipement/3708837-pandawa-m-200/objets", "link")</f>
        <v/>
      </c>
      <c r="C13353" t="n">
        <v>6</v>
      </c>
      <c r="D13353" t="inlineStr">
        <is>
          <t>Arc du Chalœil; Amulette Volkorne; Anneau de Brouce; Anneau Crustique; Bouclier du Stalak; Ceinture Volkorne; Masque de Koutoulou; Cape au Logis; Bottes du Cœur Saignant; Dofus Pourpre; Dofus Ivoire; Dofus Turquoise; Dofus Ocre; Enragé majeur; Vigoureux majeur; Dragodinde Ivoire et Pourpre</t>
        </is>
      </c>
    </row>
    <row r="13354">
      <c r="A13354" t="inlineStr">
        <is>
          <t>Stuff interdit feu</t>
        </is>
      </c>
      <c r="B13354">
        <f>HYPERLINK("https://www.dofusbook.net/fr/equipement/1257636-stuff-interdit-feu/objets", "link")</f>
        <v/>
      </c>
      <c r="C13354" t="n">
        <v>29</v>
      </c>
      <c r="D13354" t="inlineStr">
        <is>
          <t>Massier; Talisman Igans; Anneau Tamie; Anneau Tamie; Bouclier du Stalak; Ceintrigue; Heaume Oplate; Cape de Diondin; Bottes Innommables; Dofus Pourpre; Dofus des Glaces; Dofus Vulbis; Dévastateur Feu majeur; Érudit majeur; Vigoureux majeur; Pioute rouge</t>
        </is>
      </c>
    </row>
    <row r="13355">
      <c r="A13355" t="inlineStr">
        <is>
          <t>Air feu</t>
        </is>
      </c>
      <c r="B13355">
        <f>HYPERLINK("https://www.dofusbook.net/fr/equipement/3693689-air-feu/objets", "link")</f>
        <v/>
      </c>
      <c r="C13355" t="n">
        <v>7</v>
      </c>
      <c r="D13355" t="inlineStr">
        <is>
          <t>Baguette Range; Pendentif mignon de Koutoulou; Anneau Rifique; Anneau Volkorne; Bouclier du Stalak; Ceinture de Vortex; Casque Volkorne; Voilamibe; Sabots de Vortex; Dofus des Glaces; Dofus Ocre; Dofus Abyssal; Dokoko; Dofus Ivoire; Dofus Pourpre; Volkorne Orchidée et Ebène</t>
        </is>
      </c>
    </row>
    <row r="13356">
      <c r="A13356" t="inlineStr">
        <is>
          <t>Pandawa M 200</t>
        </is>
      </c>
      <c r="B13356">
        <f>HYPERLINK("https://www.dofusbook.net/fr/equipement/3679330-pandawa-m-200/objets", "link")</f>
        <v/>
      </c>
      <c r="C13356" t="n">
        <v>1</v>
      </c>
      <c r="D13356" t="inlineStr">
        <is>
          <t>Marteau des égarés; Amulette du Strigide; Bracelet du Piloztère; Anneau de Padgref; Bouclier du Captain Amakna; Ceinture du Strigide; Coiffe de Padgref; Chevelure de Tal Kasha; Getas de Padgref; Dofus des Glaces; Dofus Ocre; Dofus Ivoire; Dofus Pourpre; Dofus Émeraude; Dofus Turquoise; Muldo Prune et Emeraude</t>
        </is>
      </c>
    </row>
    <row r="13357">
      <c r="A13357" t="inlineStr">
        <is>
          <t>mode feu terre 2.48</t>
        </is>
      </c>
      <c r="B13357">
        <f>HYPERLINK("https://www.dofusbook.net/fr/equipement/3644664-mode-feu-terre-2-48/objets", "link")</f>
        <v/>
      </c>
      <c r="C13357" t="n">
        <v>48</v>
      </c>
      <c r="D13357" t="inlineStr">
        <is>
          <t>Pyraguette; Amulette Volkorne; Anneau Volkorne; Alliance Gloursonne; Bouclier du Stalak; Ceintrigue; Capuche de l'Œil Putride; Cape de l'Œil Putride; Bottes Owesli; Dofus Ocre; Dofus Ivoire; Dokoko; Dofus des Glaces; Dofus Vulbis; Dofus Abyssal; Volkorne Orchidée et Indigo</t>
        </is>
      </c>
    </row>
    <row r="13358">
      <c r="A13358" t="inlineStr">
        <is>
          <t>Sram M 200</t>
        </is>
      </c>
      <c r="B13358">
        <f>HYPERLINK("https://www.dofusbook.net/fr/equipement/3636194-sram-m-200/objets", "link")</f>
        <v/>
      </c>
      <c r="C13358" t="n">
        <v>37</v>
      </c>
      <c r="D13358" t="inlineStr">
        <is>
          <t>Pyraguette; Talisman Igans; Alliance Gloursonne; Bague Gloursonne; Bouclier du Stalak; Ceintrigue; Casqnoar; Cape de Diondin; Bottes Owesli; Dofus Ocre; Dofus Ivoire; Dokoko; Dofus des Glaces; Dofus Vulbis; Dofus Abyssal</t>
        </is>
      </c>
    </row>
    <row r="13359">
      <c r="A13359" t="inlineStr">
        <is>
          <t>Air arc 2</t>
        </is>
      </c>
      <c r="B13359">
        <f>HYPERLINK("https://www.dofusbook.net/fr/equipement/2228606-air-arc-2/objets", "link")</f>
        <v/>
      </c>
      <c r="C13359" t="n">
        <v>14</v>
      </c>
      <c r="D13359" t="inlineStr">
        <is>
          <t>Manthache; Collier du Valet Veinard; Gant du Valet Veinard; Anneau d'Allister; Bouclier du Stalak; Sangle Oriole; Couronne d'Allister; Cape du Valet Veinard; Bottes d'Allister; Dofus Vulbis; Dofus des Glaces; Dolmanax; Dofus Abyssal; Dofus Pourpre; Dofus Ocre; Pioute jaune</t>
        </is>
      </c>
    </row>
    <row r="13360">
      <c r="A13360" t="inlineStr">
        <is>
          <t>Anti osa terre 2.45</t>
        </is>
      </c>
      <c r="B13360">
        <f>HYPERLINK("https://www.dofusbook.net/fr/equipement/3011568-anti-osa-terre-2-45-/objets", "link")</f>
        <v/>
      </c>
      <c r="C13360" t="n">
        <v>4</v>
      </c>
      <c r="D13360" t="inlineStr">
        <is>
          <t>Lav'Hache; Amulette Luminescente; Anneau Crustique; Bague Gloursonne; Bivalve; Ceinture Gence; Masque de Koutoulou; Cape du Cœur Vaillant; Bottes du Cœur Vaillant; Pousseur majeur; Culbuteur majeur; Culbuteur; Muldo Indigo et Pourpre</t>
        </is>
      </c>
    </row>
    <row r="13361">
      <c r="A13361" t="inlineStr">
        <is>
          <t>Feu 2.45 rox</t>
        </is>
      </c>
      <c r="B13361">
        <f>HYPERLINK("https://www.dofusbook.net/fr/equipement/2494032-feu-2-45-rox/objets", "link")</f>
        <v/>
      </c>
      <c r="C13361" t="n">
        <v>25</v>
      </c>
      <c r="D13361" t="inlineStr">
        <is>
          <t>Arc corrompu; Amulette de l'Œil Putride; Anneau Tamie; Anneau Tamie; Bouclier du Stalak; Ceintrigue; Capuche de l'Œil Putride; Cape de l'Œil Putride; Bottes Owesli; Dofus Abyssal; Dokoko; Dofus Vulbis; Dofus Ivoire; Dofus Ocre; Dofus des Glaces; Dragodinde Ivoire et Orchidée</t>
        </is>
      </c>
    </row>
    <row r="13362">
      <c r="A13362" t="inlineStr">
        <is>
          <t>Roublard F 200</t>
        </is>
      </c>
      <c r="B13362">
        <f>HYPERLINK("https://www.dofusbook.net/fr/equipement/3592926-roublard-f-200/objets", "link")</f>
        <v/>
      </c>
      <c r="C13362" t="n">
        <v>8</v>
      </c>
      <c r="D13362" t="inlineStr">
        <is>
          <t>Manthache; Collier du Valet Veinard; Alliance Gloursonne; Gant du Valet Veinard; Bouclier du Stalak; Sangle Oriole; Chapeau de Tournoyé; Cape de Crânonier; Palmes Trithons; Dokoko; Dofus des Glaces; Dofus Vulbis; Dofus Abyssal; Dofus Ocre; Dofus Ivoire; Dragodinde Ebène et Ivoire</t>
        </is>
      </c>
    </row>
    <row r="13363">
      <c r="A13363" t="inlineStr">
        <is>
          <t>Roublard F 200</t>
        </is>
      </c>
      <c r="B13363">
        <f>HYPERLINK("https://www.dofusbook.net/fr/equipement/3559858-roublard-f-200/objets", "link")</f>
        <v/>
      </c>
      <c r="C13363" t="n">
        <v>12</v>
      </c>
      <c r="D13363" t="inlineStr">
        <is>
          <t>Épée d'Otomaï; Amulette d'Otomaï; Anneau Tamie; Anneau Tamie; Quatre-feuilles; Ceinture Séculaire; Coiffe Séculaire; Cape de Diondin; Bottes d'Otomaï; Dofus Pourpre; Dofus Ivoire; Dofus Vulbis; Dofus des Glaces; Dokoko; Dofus Abyssal; Dragodinde Ivoire et Orchidée</t>
        </is>
      </c>
    </row>
    <row r="13364">
      <c r="A13364" t="inlineStr">
        <is>
          <t>Air do crit</t>
        </is>
      </c>
      <c r="B13364">
        <f>HYPERLINK("https://www.dofusbook.net/fr/equipement/2767595-air-do-crit/objets", "link")</f>
        <v/>
      </c>
      <c r="C13364" t="n">
        <v>13</v>
      </c>
      <c r="D13364" t="inlineStr">
        <is>
          <t>Baguette Hernelle; Amulette du Strigide; Anneau de Padgref; Gant du Valet Veinard; Quatre-feuilles; Ceinture du Strigide; Coiffe de Padgref; Cape Indescriptible; Getas de Padgref; Dofus Turquoise; Dofus des Glaces; Dofus Vulbis; Dofus Pourpre; Dofus Nébuleux; Dofus Ocre; Pioute jaune</t>
        </is>
      </c>
    </row>
    <row r="13365">
      <c r="A13365" t="inlineStr">
        <is>
          <t>Megabomb</t>
        </is>
      </c>
      <c r="B13365">
        <f>HYPERLINK("https://www.dofusbook.net/fr/equipement/2706226-megabomb/objets", "link")</f>
        <v/>
      </c>
      <c r="C13365" t="n">
        <v>28</v>
      </c>
      <c r="D13365" t="inlineStr">
        <is>
          <t>Rouleau à Pâtisserie d'Aermyne; Talisman Glouti; Bague Trithon; Alliance Gloursonne; Bouclier Bontarien; Sangle Ouare; Masque d'Anerice; Cape d'Anerice; Pataugastrique; Dofus Ivoire; Dokoko; Dofus Émeraude; Étourdisseur majeur; Remueur; Miraculé majeur; Péki</t>
        </is>
      </c>
    </row>
    <row r="13366">
      <c r="A13366" t="inlineStr">
        <is>
          <t>Mode égaré</t>
        </is>
      </c>
      <c r="B13366">
        <f>HYPERLINK("https://www.dofusbook.net/fr/equipement/2920716-mode-egare/objets", "link")</f>
        <v/>
      </c>
      <c r="C13366" t="n">
        <v>6</v>
      </c>
      <c r="D13366" t="inlineStr">
        <is>
          <t>Pelle Fik; Amulette du Strigide; Anneau Volkorne; Alliance Gloursonne; Bouclier du Captain Amakna; Pagne du Rykaon; Coiffe de Danathor; Chevelure de Tal Kasha; Bottes du Strigide; Dofus Pourpre</t>
        </is>
      </c>
    </row>
    <row r="13367">
      <c r="A13367" t="inlineStr">
        <is>
          <t>Roublard F 200</t>
        </is>
      </c>
      <c r="B13367">
        <f>HYPERLINK("https://www.dofusbook.net/fr/equipement/3482685-roublard-f-200/objets", "link")</f>
        <v/>
      </c>
      <c r="C13367" t="n">
        <v>1</v>
      </c>
      <c r="D13367" t="inlineStr">
        <is>
          <t>Arc Volkorne; Amulette Volkorne; Anneau Volkorne; Ceinture Volkorne; Casque Volkorne; Voilamibe; Bottes de l'Indicible</t>
        </is>
      </c>
    </row>
    <row r="13368">
      <c r="A13368" t="inlineStr">
        <is>
          <t>Roublard F 200</t>
        </is>
      </c>
      <c r="B13368">
        <f>HYPERLINK("https://www.dofusbook.net/fr/equipement/3482610-roublard-f-200/objets", "link")</f>
        <v/>
      </c>
      <c r="C13368" t="n">
        <v>23</v>
      </c>
      <c r="D13368" t="inlineStr">
        <is>
          <t>Marteau Phossile; Amulette Martegel; Anneau du Katcheur; Anneau Rifique; Bouclier du Stalak; Ceinture de Vortex; Masquegel; Cape Martegel; Sabots de Vortex; Dofus Ocre; Dofus Ivoire; Dofus Vulbis; Dofus des Glaces; Dofus Pourpre; Dofus Abyssal; Dragodinde Ivoire et Orchidée</t>
        </is>
      </c>
    </row>
    <row r="13369">
      <c r="A13369" t="inlineStr">
        <is>
          <t>Roublard F 200</t>
        </is>
      </c>
      <c r="B13369">
        <f>HYPERLINK("https://www.dofusbook.net/fr/equipement/3443271-roublard-f-200/objets", "link")</f>
        <v/>
      </c>
      <c r="C13369" t="n">
        <v>27</v>
      </c>
      <c r="D13369" t="inlineStr">
        <is>
          <t>Arc corrompu; Amulette Volkorne; Anneau Tamie; Anneau Tamie; Quatre-feuilles; Ceinture Séculaire; Coiffe Séculaire; Cape de Diondin; Bottes Innommables; Dofus Ocre; Dofus Ivoire; Dofus des Glaces; Dofus Vulbis; Dofus Abyssal; Érudit majeur; Dragodinde Ivoire et Orchidée</t>
        </is>
      </c>
    </row>
    <row r="13370">
      <c r="A13370" t="inlineStr">
        <is>
          <t>Roublard F 200</t>
        </is>
      </c>
      <c r="B13370">
        <f>HYPERLINK("https://www.dofusbook.net/fr/equipement/3429067-roublard-f-200/objets", "link")</f>
        <v/>
      </c>
      <c r="C13370" t="n">
        <v>17</v>
      </c>
      <c r="D13370" t="inlineStr">
        <is>
          <t>Harpelle; Amulette de Nileza; Anneau Rifique; Anneau Tique; Bouclier du Stalak; Ceinture Séculaire; Heaume Oplate; Cape de Diondin; Bottes Innommables; Dofus des Glaces; Dofus Forgelave; Dofus Abyssal; Dofus Ocre; Dofus Ivoire; Miraculé majeur; Brûlih</t>
        </is>
      </c>
    </row>
    <row r="13371">
      <c r="A13371" t="inlineStr">
        <is>
          <t>Roublard F 200</t>
        </is>
      </c>
      <c r="B13371">
        <f>HYPERLINK("https://www.dofusbook.net/fr/equipement/3398587-roublard-f-200/objets", "link")</f>
        <v/>
      </c>
      <c r="C13371" t="n">
        <v>1</v>
      </c>
      <c r="D13371" t="inlineStr"/>
    </row>
    <row r="13372">
      <c r="A13372" t="inlineStr">
        <is>
          <t>Anti iop do pou 2.45</t>
        </is>
      </c>
      <c r="B13372">
        <f>HYPERLINK("https://www.dofusbook.net/fr/equipement/2914503-anti-iop-do-pou-2-45/objets", "link")</f>
        <v/>
      </c>
      <c r="C13372" t="n">
        <v>20</v>
      </c>
      <c r="D13372" t="inlineStr">
        <is>
          <t>Massier; Pendentif affamé; Bracelet du Piloztère; Anneau de Nidas; Bouclier de Solar; Ceintacé; Heaume Oplate; Cape Ardente; Tongues de Nidas; Dofus Forgelave; Érudit majeur; Inflexible majeur; Carapace Terre majeur; Solide majeur; Nomade; Pioute rouge</t>
        </is>
      </c>
    </row>
    <row r="13373">
      <c r="A13373" t="inlineStr">
        <is>
          <t>Feu 2.45 res</t>
        </is>
      </c>
      <c r="B13373">
        <f>HYPERLINK("https://www.dofusbook.net/fr/equipement/3154261-feu-2-45-res/objets", "link")</f>
        <v/>
      </c>
      <c r="C13373" t="n">
        <v>35</v>
      </c>
      <c r="D13373" t="inlineStr">
        <is>
          <t>Arc corrompu; Pendentif mignon de Koutoulou; Anneau Tique; Chevalière du Roi Joueur; Bouclier du Stalak; Ceinture de Vortex; Casque Cyclopéen; Voile d'encre; Pataugastrique; Dofus des Glaces; Dofus Ivoire; Érudit majeur; Carapace Terre majeur; Remueur; Carapace Feu majeur; Muldo Pourpre</t>
        </is>
      </c>
    </row>
    <row r="13374">
      <c r="A13374" t="inlineStr">
        <is>
          <t>Multitude element</t>
        </is>
      </c>
      <c r="B13374">
        <f>HYPERLINK("https://www.dofusbook.net/fr/equipement/3154160-multitude-element/objets", "link")</f>
        <v/>
      </c>
      <c r="C13374" t="n">
        <v>15</v>
      </c>
      <c r="D13374" t="inlineStr">
        <is>
          <t>Marteau des égarés; Amulette Ementaire Deluxe; Alliance Gloursonne; Bague Gloursonne; Bouclier du Stalak; Ceinture de l'Esprit Salvateur; Masque de l'Esprit Salvateur; Dofusteuse; Bottes de l'Esprit Salvateur; Dofus Ocre; Dofus Ivoire; Dolmanax; Dofus des Glaces; Dofus Pourpre; Dofus Abyssal; Muldo Indigo et Orchidée</t>
        </is>
      </c>
    </row>
    <row r="13375">
      <c r="A13375" t="inlineStr">
        <is>
          <t>Feu 2.45 rox / tank</t>
        </is>
      </c>
      <c r="B13375">
        <f>HYPERLINK("https://www.dofusbook.net/fr/equipement/2936668-feu-2-45-rox---tank/objets", "link")</f>
        <v/>
      </c>
      <c r="C13375" t="n">
        <v>25</v>
      </c>
      <c r="D13375" t="inlineStr">
        <is>
          <t>Arc corrompu; Pendentif affamé; Chevalière du Roi Joueur; Anneauræus; Bouclier du Stalak; Ceinture de Vortex; Heaume Oplate; Voile d'encre; Chaussures Ardentes; Dofus des Glaces; Dofus Ivoire; Dokoko; Érudit majeur; Remueur; Nomade; Kramkram</t>
        </is>
      </c>
    </row>
    <row r="13376">
      <c r="A13376" t="inlineStr">
        <is>
          <t>Anti cra 2.45</t>
        </is>
      </c>
      <c r="B13376">
        <f>HYPERLINK("https://www.dofusbook.net/fr/equipement/1416089-anti-cra-2-45/objets", "link")</f>
        <v/>
      </c>
      <c r="C13376" t="n">
        <v>12</v>
      </c>
      <c r="D13376" t="inlineStr">
        <is>
          <t>Arc corrompu; Pendentif mignon de Koutoulou; Goulano; Baguistik; Bouclier du Stalak; Protopagne; Masque Brûlâme; Cape de Diondin; Goulbottes; Dofus Ivoire; Dofus Abyssal; Érudit majeur; Remueur; Fortification majeure; Bastion majeur; Pioute rouge</t>
        </is>
      </c>
    </row>
    <row r="13377">
      <c r="A13377" t="inlineStr">
        <is>
          <t>Terre anti CRA 2</t>
        </is>
      </c>
      <c r="B13377">
        <f>HYPERLINK("https://www.dofusbook.net/fr/equipement/3089600-terre-anti-cra-2/objets", "link")</f>
        <v/>
      </c>
      <c r="C13377" t="n">
        <v>7</v>
      </c>
      <c r="D13377" t="inlineStr">
        <is>
          <t>Arc du Chalœil; Torquistik; Chevalière du Roi Joueur; Baguistik; Bouclier du Stalak; Ceinture de la Reine des Voleurs; Coiffe de la Reine des Voleurs; Cape au Logis; Bottistik; Dofus Émeraude; Dofus Abyssal; Dofus Argenté; Dofus Ivoire; Dofus Ocre; Dofus des Glaces; Croum</t>
        </is>
      </c>
    </row>
    <row r="13378">
      <c r="A13378" t="inlineStr">
        <is>
          <t>Terre anti cra</t>
        </is>
      </c>
      <c r="B13378">
        <f>HYPERLINK("https://www.dofusbook.net/fr/equipement/3089580-terre-anti-cra/objets", "link")</f>
        <v/>
      </c>
      <c r="C13378" t="n">
        <v>9</v>
      </c>
      <c r="D13378" t="inlineStr">
        <is>
          <t>Arc du Chalœil; Torquistik; Goulano; Baguistik; Bouclier du Stalak; Ceinture de la Reine des Voleurs; Masque de Koutoulou; Cape au Logis; Bottes de la Cour Sombre; Dofus des Glaces; Dofus Ivoire; Dofus Pourpre; Carapace Air majeur; Remueur; Carapace Terre majeur; Kramkram</t>
        </is>
      </c>
    </row>
    <row r="13379">
      <c r="A13379" t="inlineStr">
        <is>
          <t>Terre 2.45 rox/res</t>
        </is>
      </c>
      <c r="B13379">
        <f>HYPERLINK("https://www.dofusbook.net/fr/equipement/3076251-terre-2-45-rox-res/objets", "link")</f>
        <v/>
      </c>
      <c r="C13379" t="n">
        <v>17</v>
      </c>
      <c r="D13379" t="inlineStr">
        <is>
          <t>Lav'Hache; Collier de Tourthon; Chevalière du Roi Joueur; Bague Gloursonne; Bouclier du Stalak; Ceintouse; Casque Dragoeuf; Voile d'encre; Baleinabottes; Dofus des Glaces; Miraculé majeur; Enragé majeur; Carapace Terre majeur; Remueur; Dévastateur Terre majeur; Muldo Pourpre</t>
        </is>
      </c>
    </row>
    <row r="13380">
      <c r="A13380" t="inlineStr">
        <is>
          <t>Feu 2.45 bon rox/res</t>
        </is>
      </c>
      <c r="B13380">
        <f>HYPERLINK("https://www.dofusbook.net/fr/equipement/3076229-feu-2-45-bon-rox-res/objets", "link")</f>
        <v/>
      </c>
      <c r="C13380" t="n">
        <v>33</v>
      </c>
      <c r="D13380" t="inlineStr">
        <is>
          <t>Arc corrompu; Amulette de Nileza; Anneau Tique; Anneauræus; Bouclier du Stalak; Ceinture de Vortex; Heaume Oplate; Cape de Nileza; Chaussures Ardentes; Dofus Pourpre; Dofus des Glaces; Remueur; Carapace Terre majeur; Érudit majeur; Carapace Feu majeur; Muldo Orchidée et Pourpre</t>
        </is>
      </c>
    </row>
    <row r="13381">
      <c r="A13381" t="inlineStr">
        <is>
          <t>Gjgvj</t>
        </is>
      </c>
      <c r="B13381">
        <f>HYPERLINK("https://www.dofusbook.net/fr/equipement/2956139-gjgvj/objets", "link")</f>
        <v/>
      </c>
      <c r="C13381" t="n">
        <v>0</v>
      </c>
      <c r="D13381" t="inlineStr">
        <is>
          <t>Hache du Chalœil; Amulette du Strigide; Alliance Gloursonne; Bague Trithon; Ceinture du Strigide; Masque Trithon; Bottes du Strigide</t>
        </is>
      </c>
    </row>
    <row r="13382">
      <c r="A13382" t="inlineStr">
        <is>
          <t>Feu rox res correct</t>
        </is>
      </c>
      <c r="B13382">
        <f>HYPERLINK("https://www.dofusbook.net/fr/equipement/2937317-feu-rox-res-correct/objets", "link")</f>
        <v/>
      </c>
      <c r="C13382" t="n">
        <v>2</v>
      </c>
      <c r="D13382" t="inlineStr">
        <is>
          <t>Amulette de Nileza; Ceinture de Vortex; Chapeau de Gein; Cape de Nileza; Pataugastrique</t>
        </is>
      </c>
    </row>
    <row r="13383">
      <c r="A13383" t="inlineStr">
        <is>
          <t>Terre tank megabombe</t>
        </is>
      </c>
      <c r="B13383">
        <f>HYPERLINK("https://www.dofusbook.net/fr/equipement/2920623-terre-tank-megabombe/objets", "link")</f>
        <v/>
      </c>
      <c r="C13383" t="n">
        <v>6</v>
      </c>
      <c r="D13383" t="inlineStr">
        <is>
          <t>Lav'Hache; Collier de Tourthon; Bague Gloursonne; Goulano; Sept ans de malheur; Ceinture de la Cour Sombre; Masque de Koutoulou; Voile d'encre; Bottes de la Cour Sombre; Dofus Ivoire; Dofus des Glaces; Miraculé majeur; Remueur; Carapace Eau majeur; Carapace Air majeur; Muldo Pourpre</t>
        </is>
      </c>
    </row>
    <row r="13384">
      <c r="A13384" t="inlineStr">
        <is>
          <t>Anti osa terre 2.45</t>
        </is>
      </c>
      <c r="B13384">
        <f>HYPERLINK("https://www.dofusbook.net/fr/equipement/2911069-anti-osa-terre-2-45/objets", "link")</f>
        <v/>
      </c>
      <c r="C13384" t="n">
        <v>4</v>
      </c>
      <c r="D13384" t="inlineStr">
        <is>
          <t>Massier; Talisman Igans; Anneau Tamie; Anneau Rifique; Bouclier Brâkmarien; Ceintrigue; Heaume Oplate; Cape Ardente; Bottes Innommables; Dofus Ivoire; Dofus Pourpre; Dokoko; Dofus des Glaces; Nomade; Remueur; Pioute rouge</t>
        </is>
      </c>
    </row>
    <row r="13385">
      <c r="A13385" t="inlineStr">
        <is>
          <t>Terre full dommage</t>
        </is>
      </c>
      <c r="B13385">
        <f>HYPERLINK("https://www.dofusbook.net/fr/equipement/2822986-terre-full-dommage/objets", "link")</f>
        <v/>
      </c>
      <c r="C13385" t="n">
        <v>0</v>
      </c>
      <c r="D13385" t="inlineStr">
        <is>
          <t>Lance corrompue; Amulette de Nevark; Ceinture de la Reine des Voleurs; Coiffe de la Reine des Voleurs; Bottes de la Cour Sombre</t>
        </is>
      </c>
    </row>
    <row r="13386">
      <c r="A13386" t="inlineStr">
        <is>
          <t>Terre feu</t>
        </is>
      </c>
      <c r="B13386">
        <f>HYPERLINK("https://www.dofusbook.net/fr/equipement/2429584-terre-feu/objets", "link")</f>
        <v/>
      </c>
      <c r="C13386" t="n">
        <v>6</v>
      </c>
      <c r="D13386" t="inlineStr">
        <is>
          <t>Bâthon; Phylactère Mic; Bague Gloursonne; Chevalière du Roi Joueur; Bouclier du Stalak; Ceinture Hyolite; Calotte Spot; Voile d'encre; Bottes du Roi Joueur; Dofus Pourpre; Dofus Vulbis; Dofus des Glaces; Dofus Ocre; Féroce majeur; Robuste majeur; Chacha Angora</t>
        </is>
      </c>
    </row>
    <row r="13387">
      <c r="A13387" t="inlineStr">
        <is>
          <t>Terre/feu trofus</t>
        </is>
      </c>
      <c r="B13387">
        <f>HYPERLINK("https://www.dofusbook.net/fr/equipement/2820522-terre-feu-trofus/objets", "link")</f>
        <v/>
      </c>
      <c r="C13387" t="n">
        <v>6</v>
      </c>
      <c r="D13387" t="inlineStr">
        <is>
          <t>Epée Toche; Phylactère Mic; Bague Gloursonne; Goulano; Bouclier du Stalak; Ceinture Hyolite; Chapeau de Gein; Voile d'encre; Bottes du Roi Joueur; Robuste majeur; Remueur; Vigoureux majeur; Féroce majeur; Sanguinaire majeur; Nomade; Pioute violet</t>
        </is>
      </c>
    </row>
    <row r="13388">
      <c r="A13388" t="inlineStr">
        <is>
          <t>Feu eau 2.45</t>
        </is>
      </c>
      <c r="B13388">
        <f>HYPERLINK("https://www.dofusbook.net/fr/equipement/2810140-feu-eau-2-45/objets", "link")</f>
        <v/>
      </c>
      <c r="C13388" t="n">
        <v>5</v>
      </c>
      <c r="D13388" t="inlineStr">
        <is>
          <t>Pyraguette; Talisman Igans; Anneau Cryochrone; Lavanneau; Bouclier du Stalak; Ceintrigue; Casqnoar; Voilamibe; Pataugastrique; Dokoko; Dofus des Glaces; Dofus Pourpre; Dofus Ocre; Robuste majeur; Vigoureux majeur; Dragodinde en armure</t>
        </is>
      </c>
    </row>
    <row r="13389">
      <c r="A13389" t="inlineStr">
        <is>
          <t>Multi terre/eau/air</t>
        </is>
      </c>
      <c r="B13389">
        <f>HYPERLINK("https://www.dofusbook.net/fr/equipement/2771473-multi-terre-eau-air/objets", "link")</f>
        <v/>
      </c>
      <c r="C13389" t="n">
        <v>5</v>
      </c>
      <c r="D13389" t="inlineStr">
        <is>
          <t>Epée Gloursonne; Amulette du Nocturlabe; Bague Gloursonne; Alliance Gloursonne; Ceinture de la Reine des Voleurs; Coiffe de la Reine des Voleurs; Voilamibe; Bottes du Nocturlabe; Dofus Ocre; Dofus Pourpre; Dofus des Glaces; Dolmanax; Robuste majeur; Féroce majeur; Pioute violet</t>
        </is>
      </c>
    </row>
    <row r="13390">
      <c r="A13390" t="inlineStr">
        <is>
          <t>Full air rox pvm</t>
        </is>
      </c>
      <c r="B13390">
        <f>HYPERLINK("https://www.dofusbook.net/fr/equipement/2767440-full-air-rox-pvm/objets", "link")</f>
        <v/>
      </c>
      <c r="C13390" t="n">
        <v>9</v>
      </c>
      <c r="D13390" t="inlineStr">
        <is>
          <t>Épée du Granduk; Amulette du Granduk; Anneau d'Allister; Gant du Valet Veinard; Bouclier du Stalak; Menoture; Coiffe de la Reine des Voleurs; Cape du Valet Veinard; Bottes de la Reine des Voleurs; Dofus Nébuleux; Dofus Pourpre; Dofus des Glaces; Equilibriste majeur; Acrobate majeur; Saccageur Air majeur; Pioute jaune</t>
        </is>
      </c>
    </row>
    <row r="13391">
      <c r="A13391" t="inlineStr">
        <is>
          <t>multi3</t>
        </is>
      </c>
      <c r="B13391">
        <f>HYPERLINK("https://www.dofusbook.net/fr/equipement/2764692-multi3/objets", "link")</f>
        <v/>
      </c>
      <c r="C13391" t="n">
        <v>0</v>
      </c>
      <c r="D13391" t="inlineStr"/>
    </row>
    <row r="13392">
      <c r="A13392" t="inlineStr">
        <is>
          <t>Multi 1</t>
        </is>
      </c>
      <c r="B13392">
        <f>HYPERLINK("https://www.dofusbook.net/fr/equipement/2728213-multi-1/objets", "link")</f>
        <v/>
      </c>
      <c r="C13392" t="n">
        <v>1</v>
      </c>
      <c r="D13392" t="inlineStr">
        <is>
          <t>Hache du Guerrier Zoth; Amulette du Strigide; Bague Gloursonne; Alliance Gloursonne; Quatre-feuilles; Ceinture du Strigide; Casque du Chalœil; Cape du Chalœil; Bottes du Chalœil; Dofus Pourpre; Dofus Abyssal; Dofus Émeraude; Dofus Ocre; Dofus Turquoise; Dofus des Glaces; Muldo Ebène et Indigo</t>
        </is>
      </c>
    </row>
    <row r="13393">
      <c r="A13393" t="inlineStr">
        <is>
          <t>multi 2</t>
        </is>
      </c>
      <c r="B13393">
        <f>HYPERLINK("https://www.dofusbook.net/fr/equipement/2764360-multi-2/objets", "link")</f>
        <v/>
      </c>
      <c r="C13393" t="n">
        <v>1</v>
      </c>
      <c r="D13393" t="inlineStr">
        <is>
          <t>Hache du Guerrier Zoth; Amulette du Strigide; Bracelet du Piloztère; Bague Trithon; Quatre-feuilles; Ceinture du Strigide; Masque Trithon; Voile d'encre; Bottes Trithon; Dofus Émeraude; Dofus Ocre; Dofus Pourpre; Dofus des Glaces; Dofus Turquoise; Dofus Abyssal; Muldo Ebène et Pourpre</t>
        </is>
      </c>
    </row>
    <row r="13394">
      <c r="A13394" t="inlineStr">
        <is>
          <t>Terre/Air</t>
        </is>
      </c>
      <c r="B13394">
        <f>HYPERLINK("https://www.dofusbook.net/fr/equipement/1263821-terre-air/objets", "link")</f>
        <v/>
      </c>
      <c r="C13394" t="n">
        <v>4</v>
      </c>
      <c r="D13394" t="inlineStr">
        <is>
          <t>Lance corrompue; Amulette de Nevark; Alliance Gloursonne; Bague Gloursonne; Bouclier cubiste; Ceinture de la Reine des Voleurs; Coiffe de la Reine des Voleurs; Cape de Nevark; Baleinabottes; Dofus Émeraude; Dofus des Glaces; Dofus Abyssal; Dofus Pourpre; Dolmanax; Dofus Ocre; Muldo Ebène</t>
        </is>
      </c>
    </row>
    <row r="13395">
      <c r="A13395" t="inlineStr">
        <is>
          <t>Terre air feu</t>
        </is>
      </c>
      <c r="B13395">
        <f>HYPERLINK("https://www.dofusbook.net/fr/equipement/2733252-terre-air-feu/objets", "link")</f>
        <v/>
      </c>
      <c r="C13395" t="n">
        <v>0</v>
      </c>
      <c r="D13395" t="inlineStr">
        <is>
          <t>Lance corrompue; Amulette Ementaire Deluxe; Alliance Brûlâme; Bague Gloursonne; Bouclier Bontarien; Ceinture de l'Esprit Salvateur; Masque Brûlâme; Voile d'encre; Pompes Funèbres; Dofus Ocre; Dofus Ivoire; Dokoko; Dofus des Glaces; Dofus Pourpre; Dofus Abyssal; Muldo Ebène et Pourpre</t>
        </is>
      </c>
    </row>
    <row r="13396">
      <c r="A13396" t="inlineStr">
        <is>
          <t>Eau/air 2.45</t>
        </is>
      </c>
      <c r="B13396">
        <f>HYPERLINK("https://www.dofusbook.net/fr/equipement/2733191-eau-air-2-45/objets", "link")</f>
        <v/>
      </c>
      <c r="C13396" t="n">
        <v>3</v>
      </c>
      <c r="D13396" t="inlineStr">
        <is>
          <t>Epée Gloursonne; Amulette d'Ilyzaelle; Bague Gloursonne; Alliance Gloursonne; Bouclier du Stalak; Ceinture de la Reine des Voleurs; Casque d'Ilyzaelle; Cape Matelassée; Bottes de la Reine des Voleurs; Dofus Ocre; Dokoko; Dofus Abyssal; Dofus Pourpre; Dofus des Glaces; Féroce majeur; Muldo Ebène</t>
        </is>
      </c>
    </row>
    <row r="13397">
      <c r="A13397" t="inlineStr">
        <is>
          <t>Feu res do pou</t>
        </is>
      </c>
      <c r="B13397">
        <f>HYPERLINK("https://www.dofusbook.net/fr/equipement/2723075-feu-res-do-pou/objets", "link")</f>
        <v/>
      </c>
      <c r="C13397" t="n">
        <v>6</v>
      </c>
      <c r="D13397" t="inlineStr">
        <is>
          <t>Massier; Pendentif affamé; Anneau de Nidas; Anneau Tique; Bouclier de Solar; Ceinture de Vortex; Heaume Oplate; Voile d'encre; Tongues de Nidas; Dokoko; Dofus Abyssal; Inflexible majeur; Nomade; Solide majeur; Remueur</t>
        </is>
      </c>
    </row>
    <row r="13398">
      <c r="A13398" t="inlineStr">
        <is>
          <t>Res do pou</t>
        </is>
      </c>
      <c r="B13398">
        <f>HYPERLINK("https://www.dofusbook.net/fr/equipement/2723051-res-do-pou/objets", "link")</f>
        <v/>
      </c>
      <c r="C13398" t="n">
        <v>0</v>
      </c>
      <c r="D13398" t="inlineStr"/>
    </row>
    <row r="13399">
      <c r="A13399" t="inlineStr">
        <is>
          <t>Res do pou</t>
        </is>
      </c>
      <c r="B13399">
        <f>HYPERLINK("https://www.dofusbook.net/fr/equipement/2723050-res-do-pou/objets", "link")</f>
        <v/>
      </c>
      <c r="C13399" t="n">
        <v>0</v>
      </c>
      <c r="D13399" t="inlineStr"/>
    </row>
    <row r="13400">
      <c r="A13400" t="inlineStr">
        <is>
          <t>Res do pou</t>
        </is>
      </c>
      <c r="B13400">
        <f>HYPERLINK("https://www.dofusbook.net/fr/equipement/2723048-res-do-pou/objets", "link")</f>
        <v/>
      </c>
      <c r="C13400" t="n">
        <v>0</v>
      </c>
      <c r="D13400" t="inlineStr"/>
    </row>
    <row r="13401">
      <c r="A13401" t="inlineStr">
        <is>
          <t>Res do pou</t>
        </is>
      </c>
      <c r="B13401">
        <f>HYPERLINK("https://www.dofusbook.net/fr/equipement/2723049-res-do-pou/objets", "link")</f>
        <v/>
      </c>
      <c r="C13401" t="n">
        <v>0</v>
      </c>
      <c r="D13401" t="inlineStr"/>
    </row>
    <row r="13402">
      <c r="A13402" t="inlineStr">
        <is>
          <t>Res do pou</t>
        </is>
      </c>
      <c r="B13402">
        <f>HYPERLINK("https://www.dofusbook.net/fr/equipement/2723046-res-do-pou/objets", "link")</f>
        <v/>
      </c>
      <c r="C13402" t="n">
        <v>0</v>
      </c>
      <c r="D13402" t="inlineStr"/>
    </row>
    <row r="13403">
      <c r="A13403" t="inlineStr">
        <is>
          <t>Res do pou</t>
        </is>
      </c>
      <c r="B13403">
        <f>HYPERLINK("https://www.dofusbook.net/fr/equipement/2723045-res-do-pou/objets", "link")</f>
        <v/>
      </c>
      <c r="C13403" t="n">
        <v>0</v>
      </c>
      <c r="D13403" t="inlineStr"/>
    </row>
    <row r="13404">
      <c r="A13404" t="inlineStr">
        <is>
          <t>Feu res do pou</t>
        </is>
      </c>
      <c r="B13404">
        <f>HYPERLINK("https://www.dofusbook.net/fr/equipement/2723044-feu-res-do-pou/objets", "link")</f>
        <v/>
      </c>
      <c r="C13404" t="n">
        <v>0</v>
      </c>
      <c r="D13404" t="inlineStr"/>
    </row>
    <row r="13405">
      <c r="A13405" t="inlineStr">
        <is>
          <t>feu res do pou</t>
        </is>
      </c>
      <c r="B13405">
        <f>HYPERLINK("https://www.dofusbook.net/fr/equipement/2723043-feu-res-do-pou/objets", "link")</f>
        <v/>
      </c>
      <c r="C13405" t="n">
        <v>0</v>
      </c>
      <c r="D13405" t="inlineStr"/>
    </row>
    <row r="13406">
      <c r="A13406" t="inlineStr">
        <is>
          <t>feu res do pou</t>
        </is>
      </c>
      <c r="B13406">
        <f>HYPERLINK("https://www.dofusbook.net/fr/equipement/2723041-feu-res-do-pou/objets", "link")</f>
        <v/>
      </c>
      <c r="C13406" t="n">
        <v>1</v>
      </c>
      <c r="D13406" t="inlineStr"/>
    </row>
    <row r="13407">
      <c r="A13407" t="inlineStr">
        <is>
          <t>feu res do pou</t>
        </is>
      </c>
      <c r="B13407">
        <f>HYPERLINK("https://www.dofusbook.net/fr/equipement/2723040-feu-res-do-pou/objets", "link")</f>
        <v/>
      </c>
      <c r="C13407" t="n">
        <v>0</v>
      </c>
      <c r="D13407" t="inlineStr"/>
    </row>
    <row r="13408">
      <c r="A13408" t="inlineStr">
        <is>
          <t>Terre/air</t>
        </is>
      </c>
      <c r="B13408">
        <f>HYPERLINK("https://www.dofusbook.net/fr/equipement/2708804-terre-air/objets", "link")</f>
        <v/>
      </c>
      <c r="C13408" t="n">
        <v>1</v>
      </c>
      <c r="D13408" t="inlineStr">
        <is>
          <t>Lance corrompue; Amulette de Nevark; Alliance Gloursonne; Bague Gloursonne; Bouclier alvéolé; Ceinture de la Reine des Voleurs; Coiffe de la Reine des Voleurs; Cape de Nevark; Baleinabottes; Dofus Ocre; Dofus Abyssal; Dofus Vulbis; Dofus Pourpre; Dofus des Glaces; Féroce majeur; Pioute violet</t>
        </is>
      </c>
    </row>
    <row r="13409">
      <c r="A13409" t="inlineStr">
        <is>
          <t>Terre rox</t>
        </is>
      </c>
      <c r="B13409">
        <f>HYPERLINK("https://www.dofusbook.net/fr/equipement/2706080-terre-rox/objets", "link")</f>
        <v/>
      </c>
      <c r="C13409" t="n">
        <v>4</v>
      </c>
      <c r="D13409" t="inlineStr">
        <is>
          <t>Marteau R'ture; Collier de Tourthon; Anneau de Brouce; Anneau Crustique; Bouclier du Stalak; Ceinture de la Reine des Voleurs; Coiffe de la Reine des Voleurs; Cape au Logis; Baleinabottes; Dofus des Glaces; Dévastateur Terre majeur; Saccageur Terre majeur; Remueur; Enragé majeur; Pioute vert</t>
        </is>
      </c>
    </row>
    <row r="13410">
      <c r="A13410" t="inlineStr">
        <is>
          <t>Anti elio eau</t>
        </is>
      </c>
      <c r="B13410">
        <f>HYPERLINK("https://www.dofusbook.net/fr/equipement/2635998-anti-elio-eau/objets", "link")</f>
        <v/>
      </c>
      <c r="C13410" t="n">
        <v>8</v>
      </c>
      <c r="D13410" t="inlineStr">
        <is>
          <t>Arc corrompu; Amulette d'Otomaï; Anneau Toriété; Chevalière du Roi Joueur; Ambrouclier; Ceinture de Vortex; Capuche de l'Œil Putride; Cape de l'Œil Putride; Tongues de Nidas; Dokoko; Dofus Abyssal; Dofus Ocre; Dofus Ivoire; Remueur; Érudit majeur; Pioute rouge</t>
        </is>
      </c>
    </row>
    <row r="13411">
      <c r="A13411" t="inlineStr">
        <is>
          <t>do crit cac</t>
        </is>
      </c>
      <c r="B13411">
        <f>HYPERLINK("https://www.dofusbook.net/fr/equipement/2588587-do-crit-cac/objets", "link")</f>
        <v/>
      </c>
      <c r="C13411" t="n">
        <v>1</v>
      </c>
      <c r="D13411" t="inlineStr">
        <is>
          <t>Baguette Houffe-Craitien; Collier de la Dame du Hasard; Anneau de Padgref; Anneau Tamie; Quatre-feuilles; Ceinture Séculaire; Coiffe de Padgref; Cape de la Dame du Hasard; Getas de Padgref; Dofus Pourpre; Dofus Nébuleux; Dofus Abyssal; Dofus Turquoise; Dolmanax; Dofus des Glaces; Bouflux</t>
        </is>
      </c>
    </row>
    <row r="13412">
      <c r="A13412" t="inlineStr">
        <is>
          <t>do crit cac</t>
        </is>
      </c>
      <c r="B13412">
        <f>HYPERLINK("https://www.dofusbook.net/fr/equipement/2588485-do-crit-cac/objets", "link")</f>
        <v/>
      </c>
      <c r="C13412" t="n">
        <v>3</v>
      </c>
      <c r="D13412" t="inlineStr">
        <is>
          <t>Massier; Collier de la Dame du Hasard; Anneau Tamie; Anneau de Padgref; Bouclier du Captain Amakna; Ceinture Séculaire; Coiffe de Padgref; Cape de la Dame du Hasard; Getas de Padgref; Dolmanax; Dofus des Glaces; Dofus Pourpre; Dofus Nébuleux; Dofus Abyssal; Dofus Turquoise; Pioute rouge</t>
        </is>
      </c>
    </row>
    <row r="13413">
      <c r="A13413" t="inlineStr">
        <is>
          <t>anti arc ahique</t>
        </is>
      </c>
      <c r="B13413">
        <f>HYPERLINK("https://www.dofusbook.net/fr/equipement/2588106-anti-arc-ahique/objets", "link")</f>
        <v/>
      </c>
      <c r="C13413" t="n">
        <v>4</v>
      </c>
      <c r="D13413" t="inlineStr">
        <is>
          <t>Pyraguette; Amulette du Kanimate; Anneau Tique; Lavanneau; Carapar; Ceinture Séculaire; Coiffe Séculaire; Cape de Diondin; Tongues de Nidas; Dofus Ocre; Dofus Ivoire; Dofus des Glaces; Dofus Abyssal; Muraille Air majeure; Cuirassé Air majeur; Toukancre</t>
        </is>
      </c>
    </row>
    <row r="13414">
      <c r="A13414" t="inlineStr">
        <is>
          <t>anti lance corrompu</t>
        </is>
      </c>
      <c r="B13414">
        <f>HYPERLINK("https://www.dofusbook.net/fr/equipement/2587875-anti-lance-corrompu/objets", "link")</f>
        <v/>
      </c>
      <c r="C13414" t="n">
        <v>4</v>
      </c>
      <c r="D13414" t="inlineStr">
        <is>
          <t>Massier; Talisman Igans; Anneau Tique; Anneau Tamie; Carapar; Ceinture de l'Esprit Malsain; Heaume Oplate; Cape Ardente; Bottes Owesli; Dokoko; Dofus Ocre; Dofus Abyssal; Dofus Ivoire; Dévastateur Feu majeur; Nomade; Pioute rouge</t>
        </is>
      </c>
    </row>
    <row r="13415">
      <c r="A13415" t="inlineStr">
        <is>
          <t>anti osa terre fuite</t>
        </is>
      </c>
      <c r="B13415">
        <f>HYPERLINK("https://www.dofusbook.net/fr/equipement/2586704-anti-osa-terre-fuite/objets", "link")</f>
        <v/>
      </c>
      <c r="C13415" t="n">
        <v>3</v>
      </c>
      <c r="D13415" t="inlineStr">
        <is>
          <t>Massier; Pendentif affamé; Anneau de Nidas; Anneau Rifique; Bouclier du Stalak; Ceinture de Gein; Chapeau de Gein; Cape de Diondin; Bottes du Lévitrof; Dokoko; Remueur; Déserteur majeur; Vagabond majeur; Nomade; Érudit majeur; Croum</t>
        </is>
      </c>
    </row>
    <row r="13416">
      <c r="A13416" t="inlineStr">
        <is>
          <t>Terre/Eau srambad</t>
        </is>
      </c>
      <c r="B13416">
        <f>HYPERLINK("https://www.dofusbook.net/fr/equipement/1263654-terre-eau-srambad/objets", "link")</f>
        <v/>
      </c>
      <c r="C13416" t="n">
        <v>2</v>
      </c>
      <c r="D13416" t="inlineStr">
        <is>
          <t>Dagues de Srambad; Amulette de l'Indicible; Bracelet du Piloztère; Alliance du Lévitrof; Bouclier cubiste; Ceinture de la Reine des Voleurs; Casquipik; Voile d'encre; Bottes de la Reine des Voleurs; Dofus des Glaces; Dofus Pourpre; Dofus Ocre; Sanguinaire majeur; Remueur; Vigoureux majeur; Muldo Pourpre</t>
        </is>
      </c>
    </row>
    <row r="13417">
      <c r="A13417" t="inlineStr">
        <is>
          <t>Feu 2.45</t>
        </is>
      </c>
      <c r="B13417">
        <f>HYPERLINK("https://www.dofusbook.net/fr/equipement/2493919-feu-2-45/objets", "link")</f>
        <v/>
      </c>
      <c r="C13417" t="n">
        <v>7</v>
      </c>
      <c r="D13417" t="inlineStr">
        <is>
          <t>Arc corrompu; Pendentif affamé; Anneau Tique; Anneauræus; Bouclier cubiste; Ceinture de Vortex; Heaume Oplate; Voile d'encre; Chaussures Ardentes; Dofus Abyssal; Dofus des Glaces; Dokoko; Érudit majeur; Carapace Feu majeur; Remueur; Muldo Pourpre</t>
        </is>
      </c>
    </row>
    <row r="13418">
      <c r="A13418" t="inlineStr">
        <is>
          <t>ddsdd</t>
        </is>
      </c>
      <c r="B13418">
        <f>HYPERLINK("https://www.dofusbook.net/fr/equipement/2525340-ddsdd/objets", "link")</f>
        <v/>
      </c>
      <c r="C13418" t="n">
        <v>1</v>
      </c>
      <c r="D13418" t="inlineStr">
        <is>
          <t>Arc Nécrotique; Collier de la Dame du Hasard; Bague Trithon; Alliance Gloursonne; Bouclier cubiste; Ceintrigue; Cape de la Dame du Hasard; Bottes de la Dame du Hasard; Dofus Turquoise; Dofus Abyssal; Dofus Ocre; Dofus Pourpre; Dofus des Glaces; Muldo Prune et Emeraude</t>
        </is>
      </c>
    </row>
    <row r="13419">
      <c r="A13419" t="inlineStr">
        <is>
          <t>ffee</t>
        </is>
      </c>
      <c r="B13419">
        <f>HYPERLINK("https://www.dofusbook.net/fr/equipement/2525250-ffee/objets", "link")</f>
        <v/>
      </c>
      <c r="C13419" t="n">
        <v>1</v>
      </c>
      <c r="D13419" t="inlineStr">
        <is>
          <t>Lance corrompue; Amulette de Nevark; Alliance Gloursonne; Bague Gloursonne; Bouclier alvéolé; Ceinture de la Reine des Voleurs; Coiffe de la Reine des Voleurs; Cape de Nevark; Baleinabottes; Dofus Émeraude; Dofus des Glaces; Dofus Pourpre; Dofus Abyssal; Dofus Ocre; Robuste majeur; Muldo Ebène</t>
        </is>
      </c>
    </row>
    <row r="13420">
      <c r="A13420" t="inlineStr">
        <is>
          <t>Arc 12/6</t>
        </is>
      </c>
      <c r="B13420">
        <f>HYPERLINK("https://www.dofusbook.net/fr/equipement/2245781-arc-12-6/objets", "link")</f>
        <v/>
      </c>
      <c r="C13420" t="n">
        <v>2</v>
      </c>
      <c r="D13420" t="inlineStr">
        <is>
          <t>Arc corrompu; Pendentif affamé; Gelano; Anneau Tique; Bouclier du Stalak; Ceinture de Gein; Chapeau de Gein; Voile d'encre; Bottes Innommables; Dofus Abyssal; Dofus des Glaces; Dofus Ocre; Érudit majeur; Nomade; Remueur; Pioute rouge</t>
        </is>
      </c>
    </row>
    <row r="13421">
      <c r="A13421" t="inlineStr">
        <is>
          <t>Multit puissance</t>
        </is>
      </c>
      <c r="B13421">
        <f>HYPERLINK("https://www.dofusbook.net/fr/equipement/2517409-multit-puissance/objets", "link")</f>
        <v/>
      </c>
      <c r="C13421" t="n">
        <v>2</v>
      </c>
      <c r="D13421" t="inlineStr">
        <is>
          <t>Arc Ahique; Amulette de l'Indicible; Bague Gloursonne; Alliance Gloursonne; Bouclier du Stalak; Ceinture de l'Esprit Salvateur; Masque de l'Esprit Salvateur; Voilamibe; Bottes de l'Esprit Salvateur; Dokoko; Dofus des Glaces; Dofus Pourpre; Dofus Abyssal; Dofus Ocre; Dofus Ivoire; Muldo Orchidée et Pourpre</t>
        </is>
      </c>
    </row>
    <row r="13422">
      <c r="A13422" t="inlineStr">
        <is>
          <t>feu</t>
        </is>
      </c>
      <c r="B13422">
        <f>HYPERLINK("https://www.dofusbook.net/fr/equipement/2513957-feu/objets", "link")</f>
        <v/>
      </c>
      <c r="C13422" t="n">
        <v>0</v>
      </c>
      <c r="D13422" t="inlineStr">
        <is>
          <t>Épée d'Otomaï; Anneauræus; Anneau de Padgref; Quatre-feuilles; Ceinture Séculaire; Coiffe Séculaire; Cape de Diondin; Getas de Padgref; Dofus Ocre; Dofus Pourpre; Dofus des Glaces; Dofus Turquoise; Dofus Abyssal</t>
        </is>
      </c>
    </row>
    <row r="13423">
      <c r="A13423" t="inlineStr">
        <is>
          <t>Feu 2.45 tanki</t>
        </is>
      </c>
      <c r="B13423">
        <f>HYPERLINK("https://www.dofusbook.net/fr/equipement/2495661-feu-2-45-tanki/objets", "link")</f>
        <v/>
      </c>
      <c r="C13423" t="n">
        <v>5</v>
      </c>
      <c r="D13423" t="inlineStr">
        <is>
          <t>Arc corrompu; Pendentif affamé; Chevalière du Roi Joueur; Anneau Tique; Bouclier cubiste; Ceinture de Gein; Chapeau de Gein; Voile d'encre; Pataugastrique; Dokoko; Dofus des Glaces; Remueur; Miraculé majeur; Érudit majeur; Carapace Terre majeur; Muldo Ebène et Pourpre</t>
        </is>
      </c>
    </row>
    <row r="13424">
      <c r="A13424" t="inlineStr">
        <is>
          <t>Full terre</t>
        </is>
      </c>
      <c r="B13424">
        <f>HYPERLINK("https://www.dofusbook.net/fr/equipement/2482148-full-terre/objets", "link")</f>
        <v/>
      </c>
      <c r="C13424" t="n">
        <v>4</v>
      </c>
      <c r="D13424" t="inlineStr">
        <is>
          <t>Arc du Chalœil; Collier de Tourthon; Chevalière du Roi Joueur; Anneau de Brouce; Bouclier du Stalak; Ceinture de la Reine des Voleurs; Coiffe de la Reine des Voleurs; Cape au Logis; Baleinabottes; Dofus Ocre; Dofus des Glaces; Dofus Abyssal; Dévastateur Terre majeur; Enragé majeur; Saccageur Terre majeur; Pioute vert</t>
        </is>
      </c>
    </row>
    <row r="13425">
      <c r="A13425" t="inlineStr">
        <is>
          <t>Mode basique</t>
        </is>
      </c>
      <c r="B13425">
        <f>HYPERLINK("https://www.dofusbook.net/fr/equipement/2476509-mode-basique/objets", "link")</f>
        <v/>
      </c>
      <c r="C13425" t="n">
        <v>15</v>
      </c>
      <c r="D13425" t="inlineStr">
        <is>
          <t>Arc corrompu; Pendentif affamé; Anneau Tamie; Anneau Tamie; Bouclier du Stalak; Ceinture Séculaire; Coiffe Séculaire; Cape de Diondin; Bottes Innommables; Dofus des Glaces; Dofus Abyssal; Dokoko; Dofus Ocre; Nomade; Érudit majeur; Pioute rouge</t>
        </is>
      </c>
    </row>
    <row r="13426">
      <c r="A13426" t="inlineStr">
        <is>
          <t>Terre arc chaloeil</t>
        </is>
      </c>
      <c r="B13426">
        <f>HYPERLINK("https://www.dofusbook.net/fr/equipement/2382925-terre-arc-chaloeil/objets", "link")</f>
        <v/>
      </c>
      <c r="C13426" t="n">
        <v>1</v>
      </c>
      <c r="D13426" t="inlineStr">
        <is>
          <t>Arc du Chalœil; Amulette du Strigide; Anneau Crustique; Anneau Crustique; Quatre-feuilles; Ceinture du Strigide; Masque de Koutoulou; Cape du Cœur Saignant; Bottes du Cœur Saignant; Dofus Nébuleux; Dofus Pourpre; Dofus Turquoise; Dofus des Glaces; Dofus Ocre; Dofus Abyssal; Pioute vert</t>
        </is>
      </c>
    </row>
    <row r="13427">
      <c r="A13427" t="inlineStr">
        <is>
          <t>Anti iop</t>
        </is>
      </c>
      <c r="B13427">
        <f>HYPERLINK("https://www.dofusbook.net/fr/equipement/2377176-anti-iop/objets", "link")</f>
        <v/>
      </c>
      <c r="C13427" t="n">
        <v>0</v>
      </c>
      <c r="D13427" t="inlineStr">
        <is>
          <t>Rapière aux Glyphes; Amulette de Pol Ouatnos; Alliance Gloursonne; Bracelet des Fonds marins; Bouclier du Stalak; Ceinture du Barbétoal; Kidibonnet; Cape d'Atcham; Sandales des Fonds marins; Dolmanax; Dofus Ivoire; Dofus Pourpre; Dofus Abyssal; Dokoko; Dofus Ocre; Muldo Ebène et Orchidée</t>
        </is>
      </c>
    </row>
    <row r="13428">
      <c r="A13428" t="inlineStr">
        <is>
          <t>Eau air hache kor</t>
        </is>
      </c>
      <c r="B13428">
        <f>HYPERLINK("https://www.dofusbook.net/fr/equipement/861112-eau-air-hache-kor/objets", "link")</f>
        <v/>
      </c>
      <c r="C13428" t="n">
        <v>1</v>
      </c>
      <c r="D13428" t="inlineStr">
        <is>
          <t>Hache du Korriandre; Amulette du Strigide; Alliance Gloursonne; Anneau de Padgref; Bouclier du Captain Amakna; Ceinture du Strigide; Coiffe de Padgref; Chevelure de Tal Kasha; Getas de Padgref; Dofus Pourpre; Dofus des Glaces; Dofus Ocre; Dofus Abyssal; Dofus Turquoise; Dolmanax; Muldo Prune et Emeraude</t>
        </is>
      </c>
    </row>
    <row r="13429">
      <c r="A13429" t="inlineStr">
        <is>
          <t>Anti eniripsa</t>
        </is>
      </c>
      <c r="B13429">
        <f>HYPERLINK("https://www.dofusbook.net/fr/equipement/2375520-anti-eniripsa/objets", "link")</f>
        <v/>
      </c>
      <c r="C13429" t="n">
        <v>1</v>
      </c>
      <c r="D13429" t="inlineStr">
        <is>
          <t>Lance corrompue; Amulette du Kamasterisk; Anneau Crustique; Bague Gloursonne; Bouclier du Captain Amakna; Ceintouse; Chapoulpe; Voile d'encre; Tentassons; Dokoko; Dofus Ocre; Dofus Émeraude; Dofus Nébuleux; Dofus des Glaces; Dofus Abyssal; Muldo Ebène et Orchidée</t>
        </is>
      </c>
    </row>
    <row r="13430">
      <c r="A13430" t="inlineStr">
        <is>
          <t>Dague srambad</t>
        </is>
      </c>
      <c r="B13430">
        <f>HYPERLINK("https://www.dofusbook.net/fr/equipement/2375453-dague-srambad/objets", "link")</f>
        <v/>
      </c>
      <c r="C13430" t="n">
        <v>1</v>
      </c>
      <c r="D13430" t="inlineStr">
        <is>
          <t>Dagues de Srambad; Collier de Tourthon; Alliance Gloursonne; Bague Gloursonne; Bouclier du Captain Amakna; Ceinture de la Reine des Voleurs; Masque de Koutoulou; Cape au Logis; Bottes de la Reine des Voleurs; Dofus Ocre; Dofus Abyssal; Dofus Émeraude; Dofus Nébuleux; Dokoko; Dofus des Glaces</t>
        </is>
      </c>
    </row>
    <row r="13431">
      <c r="A13431" t="inlineStr">
        <is>
          <t>Anti cra</t>
        </is>
      </c>
      <c r="B13431">
        <f>HYPERLINK("https://www.dofusbook.net/fr/equipement/2375314-anti-cra/objets", "link")</f>
        <v/>
      </c>
      <c r="C13431" t="n">
        <v>0</v>
      </c>
      <c r="D13431" t="inlineStr">
        <is>
          <t>Arc Ahique; Amulette Ementaire Deluxe; Alliance Gloursonne; Baguistik; Bouclier du Stalak; Ceinture de la Reine des Voleurs; Masque de Koutoulou; Cape au Logis; Bottes de la Reine des Voleurs; Dofus Pourpre; Dofus Abyssal; Dokoko; Dofus des Glaces; Remueur; Cavaleur majeur</t>
        </is>
      </c>
    </row>
    <row r="13432">
      <c r="A13432" t="inlineStr">
        <is>
          <t>Anti sacri</t>
        </is>
      </c>
      <c r="B13432">
        <f>HYPERLINK("https://www.dofusbook.net/fr/equipement/2375126-anti-sacri/objets", "link")</f>
        <v/>
      </c>
      <c r="C13432" t="n">
        <v>2</v>
      </c>
      <c r="D13432" t="inlineStr">
        <is>
          <t>Lance corrompue; Collier de Tourthon; Bague Gloursonne; Anneau des égarés; Bouclier alvéolé; Ceinture de la Reine des Voleurs; Masque de Koutoulou; Voile d'encre; Bottes de la Reine des Voleurs; Dofus Émeraude; Dokoko; Dofus des Glaces; Dofus Pourpre; Dofus Abyssal; Remueur; Muldo Ebène et Orchidée</t>
        </is>
      </c>
    </row>
    <row r="13433">
      <c r="A13433" t="inlineStr">
        <is>
          <t>mode stri/glours/cha</t>
        </is>
      </c>
      <c r="B13433">
        <f>HYPERLINK("https://www.dofusbook.net/fr/equipement/2110703-mode-stri-glours-cha/objets", "link")</f>
        <v/>
      </c>
      <c r="C13433" t="n">
        <v>0</v>
      </c>
      <c r="D13433" t="inlineStr">
        <is>
          <t>Epée Gloursonne; Amulette du Strigide; Bague Gloursonne; Alliance Gloursonne; Bouclier du Stalak; Ceinture du Strigide; Casque du Chalœil; Cape du Chalœil; Bottes du Chalœil; Dofus Pourpre; Dofus des Glaces; Dofus Turquoise; Dofus Nébuleux; Dofus Ocre; Dofus Abyssal; Muldo Prune et Emeraude</t>
        </is>
      </c>
    </row>
    <row r="13434">
      <c r="A13434" t="inlineStr">
        <is>
          <t>mode arc koutoulou</t>
        </is>
      </c>
      <c r="B13434">
        <f>HYPERLINK("https://www.dofusbook.net/fr/equipement/832903-mode-arc-koutoulou/objets", "link")</f>
        <v/>
      </c>
      <c r="C13434" t="n">
        <v>1</v>
      </c>
      <c r="D13434" t="inlineStr">
        <is>
          <t>Arc de Koutoulou; Amulette du Strigide; Anneau de Padgref; Alliance Gloursonne; Quatre-feuilles; Ceinture du Strigide; Némès de Tal Kasha; Chevelure de Tal Kasha; Bottes du Strigide; Dolmanax; Dofus Pourpre; Dofus Turquoise; Dofus des Glaces; Dofus Ocre; Dofus Nébuleux; Muldo Doré et Emeraude</t>
        </is>
      </c>
    </row>
    <row r="13435">
      <c r="A13435" t="inlineStr">
        <is>
          <t>arc ahique reine vol</t>
        </is>
      </c>
      <c r="B13435">
        <f>HYPERLINK("https://www.dofusbook.net/fr/equipement/1542675-arc-ahique-reine-vol/objets", "link")</f>
        <v/>
      </c>
      <c r="C13435" t="n">
        <v>0</v>
      </c>
      <c r="D13435" t="inlineStr">
        <is>
          <t>Arc Ahique; Amulette Ementaire Deluxe; Alliance Gloursonne; Bague Gloursonne; Bouclier cubiste; Ceinture de la Reine des Voleurs; Coiffe de la Reine des Voleurs; Voile d'encre; Bottes de la Reine des Voleurs; Dofus Abyssal; Dofus des Glaces; Dofus Nébuleux; Dofus Pourpre; Dofus Ocre; Muldo Ebène et Orchidée</t>
        </is>
      </c>
    </row>
    <row r="13436">
      <c r="A13436" t="inlineStr">
        <is>
          <t>arc ahique multit</t>
        </is>
      </c>
      <c r="B13436">
        <f>HYPERLINK("https://www.dofusbook.net/fr/equipement/2347937-arc-ahique-multit/objets", "link")</f>
        <v/>
      </c>
      <c r="C13436" t="n">
        <v>0</v>
      </c>
      <c r="D13436" t="inlineStr">
        <is>
          <t>Arc Ahique; Amulette de l'Indicible; Bague Gloursonne; Alliance Gloursonne; Bouclier du Stalak; Ceinture de l'Indicible; Casque du Chalœil; Cape du Chalœil; Bottes de l'Indicible; Dofus Pourpre; Dofus des Glaces; Dolmanax; Dofus Abyssal; Dofus Ocre; Dofus Ivoire; Muldo Indigo et Orchidée</t>
        </is>
      </c>
    </row>
    <row r="13437">
      <c r="A13437" t="inlineStr">
        <is>
          <t>mode 300 res crit</t>
        </is>
      </c>
      <c r="B13437">
        <f>HYPERLINK("https://www.dofusbook.net/fr/equipement/1494200-mode-300-res-crit/objets", "link")</f>
        <v/>
      </c>
      <c r="C13437" t="n">
        <v>1</v>
      </c>
      <c r="D13437" t="inlineStr">
        <is>
          <t>Dagues de Srambad; Torquistik; Goulano; Baguistik; Goulclier; Ceinture de la Reine des Voleurs; Coiffe de la Reine des Voleurs; Voile d'encre; Goulbottes; Dofus Ocre; Dofus Turquoise; Dofus des Glaces; Dofus Abyssal; Dofus Pourpre; Dofus Nébuleux; Muldo Ebène et Indigo</t>
        </is>
      </c>
    </row>
    <row r="13438">
      <c r="A13438" t="inlineStr">
        <is>
          <t>Feu res eau</t>
        </is>
      </c>
      <c r="B13438">
        <f>HYPERLINK("https://www.dofusbook.net/fr/equipement/2371224-feu-res-eau/objets", "link")</f>
        <v/>
      </c>
      <c r="C13438" t="n">
        <v>0</v>
      </c>
      <c r="D13438" t="inlineStr">
        <is>
          <t>Amulette de Gein; Ceinture de Vortex; Casquette de Meno; Cape de Meno</t>
        </is>
      </c>
    </row>
    <row r="13439">
      <c r="A13439" t="inlineStr">
        <is>
          <t>full eau</t>
        </is>
      </c>
      <c r="B13439">
        <f>HYPERLINK("https://www.dofusbook.net/fr/equipement/756689-full-eau/objets", "link")</f>
        <v/>
      </c>
      <c r="C13439" t="n">
        <v>1</v>
      </c>
      <c r="D13439" t="inlineStr">
        <is>
          <t>Sceptre du Roi Joueur; Amulette du Sinistrofu; Alliance Gloursonne; Bracelet des Fonds marins; Quatre-feuilles; Pagne du Rykaon; Masque des Fonds marins; Cape du Sinistrofu; Bottes du Sinistrofu; Dofus Ocre; Dofus Abyssal; Dofus Pourpre; Dofus Turquoise; Dofus Nébuleux; Taquin majeur; Pioute bleu</t>
        </is>
      </c>
    </row>
    <row r="13440">
      <c r="A13440" t="inlineStr">
        <is>
          <t>Full feu</t>
        </is>
      </c>
      <c r="B13440">
        <f>HYPERLINK("https://www.dofusbook.net/fr/equipement/850686-full-feu/objets", "link")</f>
        <v/>
      </c>
      <c r="C13440" t="n">
        <v>0</v>
      </c>
      <c r="D13440" t="inlineStr">
        <is>
          <t>Arc corrompu; Collier de la Dame du Hasard; Bague Gloursonne; Anneau de Padgref; Bouclier du Cycloïde; Ceinture de Gein; Coiffe de Padgref; Cape de la Dame du Hasard; Bottes de la Dame du Hasard; Dofus des Glaces; Dofus Pourpre; Dofus Turquoise; Dofus Nébuleux; Dofus Abyssal; Dofus Ocre; Pioute rouge</t>
        </is>
      </c>
    </row>
    <row r="13441">
      <c r="A13441" t="inlineStr">
        <is>
          <t>res crit rox cac</t>
        </is>
      </c>
      <c r="B13441">
        <f>HYPERLINK("https://www.dofusbook.net/fr/equipement/2364006-res-crit-rox-cac/objets", "link")</f>
        <v/>
      </c>
      <c r="C13441" t="n">
        <v>0</v>
      </c>
      <c r="D13441" t="inlineStr">
        <is>
          <t>Lance corrompue; Amulette Ementaire Deluxe; Bague Gloursonne; Alliance Gloursonne; Bouclier cubiste; Ceinture de la Reine des Voleurs; Coiffe de la Reine des Voleurs; Voile d'encre; Bottes de la Reine des Voleurs; Dokoko; Dofus Ocre; Dofus Émeraude; Dofus des Glaces; Dofus Pourpre; Dofus Abyssal; Muldo Ebène et Orchidée</t>
        </is>
      </c>
    </row>
    <row r="13442">
      <c r="A13442" t="inlineStr">
        <is>
          <t>multit res</t>
        </is>
      </c>
      <c r="B13442">
        <f>HYPERLINK("https://www.dofusbook.net/fr/equipement/2357860-multit-res/objets", "link")</f>
        <v/>
      </c>
      <c r="C13442" t="n">
        <v>0</v>
      </c>
      <c r="D13442" t="inlineStr"/>
    </row>
    <row r="13443">
      <c r="A13443" t="inlineStr">
        <is>
          <t>Multi</t>
        </is>
      </c>
      <c r="B13443">
        <f>HYPERLINK("https://www.dofusbook.net/fr/equipement/2348054-multi/objets", "link")</f>
        <v/>
      </c>
      <c r="C13443" t="n">
        <v>1</v>
      </c>
      <c r="D13443" t="inlineStr">
        <is>
          <t>Sabres d'Atcham; Amulette du Strigide; Anneau Cryochrone; Anneau de Padgref; Quatre-feuilles; Ceinture du Strigide; Coiffe de Padgref; Cape d'Atcham; Getas de Padgref; Dofus Ivoire; Dofus Turquoise; Dofus Nébuleux; Dofus Pourpre; Dofus Abyssal; Dofus Ocre; Muldo Prune et Emeraude</t>
        </is>
      </c>
    </row>
    <row r="13444">
      <c r="A13444" t="inlineStr">
        <is>
          <t>feu 12 PA res crit</t>
        </is>
      </c>
      <c r="B13444">
        <f>HYPERLINK("https://www.dofusbook.net/fr/equipement/2340833-feu-12-pa-res-crit/objets", "link")</f>
        <v/>
      </c>
      <c r="C13444" t="n">
        <v>2</v>
      </c>
      <c r="D13444" t="inlineStr">
        <is>
          <t>Arc corrompu; Torquistik; Baguistik; Goulano; Goulclier; Ceinture de Gein; Chapeau de Gein; Voile d'encre; Bottistik; Dofus Abyssal; Dofus Ocre; Dofus Ivoire; Dofus Émeraude; Dofus des Glaces; Dokoko; Muldo Orchidée et Pourpre</t>
        </is>
      </c>
    </row>
    <row r="13445">
      <c r="A13445" t="inlineStr">
        <is>
          <t>Feu 12 pa res</t>
        </is>
      </c>
      <c r="B13445">
        <f>HYPERLINK("https://www.dofusbook.net/fr/equipement/1388852-feu-12-pa-res/objets", "link")</f>
        <v/>
      </c>
      <c r="C13445" t="n">
        <v>5</v>
      </c>
      <c r="D13445" t="inlineStr">
        <is>
          <t>Arc corrompu; Amulette de Gein; Anneau Tique; Goulano; Goulclier; Ceinture de Gein; Chapeau de Gein; Voile d'encre; Goulbottes; Dofus Ivoire; Dofus Émeraude; Dokoko; Dofus des Glaces; Dofus Abyssal; Dofus Ocre; Muldo Orchidée et Pourpre</t>
        </is>
      </c>
    </row>
    <row r="13446">
      <c r="A13446" t="inlineStr">
        <is>
          <t>kki</t>
        </is>
      </c>
      <c r="B13446">
        <f>HYPERLINK("https://www.dofusbook.net/fr/equipement/925727-kki/objets", "link")</f>
        <v/>
      </c>
      <c r="C13446" t="n">
        <v>1</v>
      </c>
      <c r="D13446" t="inlineStr">
        <is>
          <t>Hache du Korriandre; Alliance Gloursonne; Menoture; Némès de Tal Kasha; Chevelure de Tal Kasha; Sandales de Tal Kasha; Dofus des Glaces; Dofus Pourpre; Dofus Turquoise</t>
        </is>
      </c>
    </row>
    <row r="13447">
      <c r="A13447" t="inlineStr">
        <is>
          <t>Arc 12 pa rox</t>
        </is>
      </c>
      <c r="B13447">
        <f>HYPERLINK("https://www.dofusbook.net/fr/equipement/2246663-arc-12-pa-rox/objets", "link")</f>
        <v/>
      </c>
      <c r="C13447" t="n">
        <v>2</v>
      </c>
      <c r="D13447" t="inlineStr">
        <is>
          <t>Arc corrompu; Pendentif affamé; Gelano; Anneau Tamie; Bouclier du Stalak; Ceinture Séculaire; Coiffe Séculaire; Cape de Nileza; Bottes Innommables; Dofus Ocre; Dofus des Glaces; Dofus Vulbis; Dofus Abyssal; Remueur; Érudit majeur; Pioute rouge</t>
        </is>
      </c>
    </row>
    <row r="13448">
      <c r="A13448" t="inlineStr">
        <is>
          <t>Mode terre/eau/air a</t>
        </is>
      </c>
      <c r="B13448">
        <f>HYPERLINK("https://www.dofusbook.net/fr/equipement/2234759-mode-terre-eau-air-a/objets", "link")</f>
        <v/>
      </c>
      <c r="C13448" t="n">
        <v>2</v>
      </c>
      <c r="D13448" t="inlineStr">
        <is>
          <t>Arc Ahique; Amulette du Nocturlabe; Bracelet du Piloztère; Alliance Gloursonne; Bouclier du Stalak; Ceinture du Nocturlabe; Masque de l'Esprit Salvateur; Voilamibe; Bottes du Nocturlabe; Dofus Nébuleux; Dofus Vulbis; Dofus des Glaces; Dofus Ivoire; Dofus Pourpre; Dofus Abyssal; Pioute violet</t>
        </is>
      </c>
    </row>
    <row r="13449">
      <c r="A13449" t="inlineStr">
        <is>
          <t>Eau arc</t>
        </is>
      </c>
      <c r="B13449">
        <f>HYPERLINK("https://www.dofusbook.net/fr/equipement/2225152-eau-arc/objets", "link")</f>
        <v/>
      </c>
      <c r="C13449" t="n">
        <v>2</v>
      </c>
      <c r="D13449" t="inlineStr">
        <is>
          <t>Arc Ahique; Amulette de Shokkoth; Alliance Gloursonne; Bracelet des Fonds marins; Bouclier du Stalak; Ceinture de la Reine des Voleurs; Kidibonnet; Cape de Mantaze; Bottes de la Reine des Voleurs; Dofus des Glaces; Saccageur Eau majeur; Nomade; Féroce majeur; Sanguinaire majeur; Dévastateur Eau majeur; Pioute violet</t>
        </is>
      </c>
    </row>
    <row r="13450">
      <c r="A13450" t="inlineStr">
        <is>
          <t>Air arc</t>
        </is>
      </c>
      <c r="B13450">
        <f>HYPERLINK("https://www.dofusbook.net/fr/equipement/2225106-air-arc/objets", "link")</f>
        <v/>
      </c>
      <c r="C13450" t="n">
        <v>3</v>
      </c>
      <c r="D13450" t="inlineStr">
        <is>
          <t>Arc Ahique; Collier du Valet Veinard; Alliance Gloursonne; Gant du Valet Veinard; Bouclier du Stalak; Ceinture de la Reine des Voleurs; Coiffe de la Reine des Voleurs; Cape du Valet Veinard; Bottes de la Reine des Voleurs; Dofus Ivoire; Dofus Ocre; Dofus Abyssal; Dokoko; Dofus des Glaces; Dofus Vulbis; Pioute jaune</t>
        </is>
      </c>
    </row>
    <row r="13451">
      <c r="A13451" t="inlineStr">
        <is>
          <t>Multitude rox</t>
        </is>
      </c>
      <c r="B13451">
        <f>HYPERLINK("https://www.dofusbook.net/fr/equipement/1315382-multitude-rox/objets", "link")</f>
        <v/>
      </c>
      <c r="C13451" t="n">
        <v>2</v>
      </c>
      <c r="D13451" t="inlineStr">
        <is>
          <t>Dagues de Srambad; Amulette Ementaire Deluxe; Bague Gloursonne; Alliance Gloursonne; Cadran d'Air; Ceinture de la Reine des Voleurs; Coiffe de la Reine des Voleurs; Cape Luminescente; Sabots Minables; Dofus des Glaces; Dofus Pourpre; Dolmanax; Dofus Turquoise; Dofus Ocre; Muldo Ebène et Orchidée</t>
        </is>
      </c>
    </row>
    <row r="13452">
      <c r="A13452" t="inlineStr">
        <is>
          <t>Feu res crit</t>
        </is>
      </c>
      <c r="B13452">
        <f>HYPERLINK("https://www.dofusbook.net/fr/equipement/2193878-feu-res-crit/objets", "link")</f>
        <v/>
      </c>
      <c r="C13452" t="n">
        <v>2</v>
      </c>
      <c r="D13452" t="inlineStr">
        <is>
          <t>Arc corrompu; Pendentif mignon de Koutoulou; Anneau Rifique; Goulano; Goulclier; Ceinture de Gein; Casque Cyclopéen; Voile d'encre; Goulbottes; Dofus Émeraude; Dofus des Glaces; Dofus Pourpre; Dofus Ivoire; Dokoko; Dofus Ocre; Muldo Ebène et Orchidée</t>
        </is>
      </c>
    </row>
    <row r="13453">
      <c r="A13453" t="inlineStr">
        <is>
          <t>full eau</t>
        </is>
      </c>
      <c r="B13453">
        <f>HYPERLINK("https://www.dofusbook.net/fr/equipement/2042317-full-eau/objets", "link")</f>
        <v/>
      </c>
      <c r="C13453" t="n">
        <v>1</v>
      </c>
      <c r="D13453" t="inlineStr">
        <is>
          <t>Arc de Koutoulou; Amulette du Strigide; Bracelet du Piloztère; Alliance Gloursonne; Quatre-feuilles; Ceinture du Strigide; Némès de Tal Kasha; Chevelure de Tal Kasha; Sandales de Tal Kasha; Dofus Turquoise; Dofus des Glaces; Dolmanax; Dofus Ocre; Dofus Pourpre; Muldo Prune et Emeraude</t>
        </is>
      </c>
    </row>
    <row r="13454">
      <c r="A13454" t="inlineStr">
        <is>
          <t>hhhh</t>
        </is>
      </c>
      <c r="B13454">
        <f>HYPERLINK("https://www.dofusbook.net/fr/equipement/1739416-hhhh/objets", "link")</f>
        <v/>
      </c>
      <c r="C13454" t="n">
        <v>0</v>
      </c>
      <c r="D13454" t="inlineStr">
        <is>
          <t>Marteau R'ture; Collier de Tourthon; Anneau Crustique; Anneau Crustique; Bouclier Taverne; Ceinture de la Cour Sombre; Masque de Koutoulou; Voile d'encre; Bottes de la Cour Sombre; Dofus Pourpre; Dokoko; Dofus Ocre; Enragé majeur; Étourdisseur majeur; Paralyseur majeur; Muldo Pourpre</t>
        </is>
      </c>
    </row>
    <row r="13455">
      <c r="A13455" t="inlineStr">
        <is>
          <t>Anti xel / synchro</t>
        </is>
      </c>
      <c r="B13455">
        <f>HYPERLINK("https://www.dofusbook.net/fr/equipement/2118830-anti-xel---synchro/objets", "link")</f>
        <v/>
      </c>
      <c r="C13455" t="n">
        <v>4</v>
      </c>
      <c r="D13455" t="inlineStr">
        <is>
          <t>Arc corrompu; Amulette Cryochrone; Anneauræus; Anneau Cryochrone; Cadran d'Air; Ceinture Séculaire; Chapeau de Gein; Cape de Diondin; Bottes Innommables; Dofus Ocre; Dofus Ivoire; Dofus des Glaces; Évasif majeur; Érudit majeur; Muraille Air majeure; Muldo Pourpre</t>
        </is>
      </c>
    </row>
    <row r="13456">
      <c r="A13456" t="inlineStr">
        <is>
          <t>Mode initiative</t>
        </is>
      </c>
      <c r="B13456">
        <f>HYPERLINK("https://www.dofusbook.net/fr/equipement/2116635-mode-initiative/objets", "link")</f>
        <v/>
      </c>
      <c r="C13456" t="n">
        <v>3</v>
      </c>
      <c r="D13456" t="inlineStr">
        <is>
          <t>Épée d'Otomaï; Amulette de Nileza; Anneau du Katcheur; Anneau Tamie; Bouclier du Stalak; Ceinture Séculaire; Masque du Katcheur; Cape de Nileza; Bottes du Katcheur; Dofus Ocre; Dofus Ivoire; Dofus des Glaces; Dofus Vulbis; Dofus Abyssal; Pioute rouge</t>
        </is>
      </c>
    </row>
    <row r="13457">
      <c r="A13457" t="inlineStr">
        <is>
          <t>vzerreb</t>
        </is>
      </c>
      <c r="B13457">
        <f>HYPERLINK("https://www.dofusbook.net/fr/equipement/2111784-vzerreb/objets", "link")</f>
        <v/>
      </c>
      <c r="C13457" t="n">
        <v>0</v>
      </c>
      <c r="D13457" t="inlineStr">
        <is>
          <t>Hache Téroïde; Amulette du Strigide; Bague Gloursonne; Chevalière du Roi Joueur; Quatre-feuilles; Ceinture du Strigide; Couronne du Roi Joueur; Cape Reski; Bottes du Roi Joueur; Dokoko; Dofus Turquoise; Dofus Émeraude; Dofus Ocre; Dofus Pourpre; Dofus des Glaces; Muldo Prune et Emeraude</t>
        </is>
      </c>
    </row>
    <row r="13458">
      <c r="A13458" t="inlineStr">
        <is>
          <t>Spam dague boomerang</t>
        </is>
      </c>
      <c r="B13458">
        <f>HYPERLINK("https://www.dofusbook.net/fr/equipement/2098040-spam-dague-boomerang/objets", "link")</f>
        <v/>
      </c>
      <c r="C13458" t="n">
        <v>3</v>
      </c>
      <c r="D13458" t="inlineStr">
        <is>
          <t>Hachoirs de Viandargh; Amulette du Strigide; Anneau de Padgref; Anneau d'Allister; Quatre-feuilles; Ceinture du Strigide; Coiffe de Padgref; Chevelure de Tal Kasha; Getas de Padgref; Dofus Pourpre; Dofus des Glaces; Dofus Turquoise; Dofus Ocre; Dofus Vulbis; Dofus Nébuleux; Pioute jaune</t>
        </is>
      </c>
    </row>
    <row r="13459">
      <c r="A13459" t="inlineStr">
        <is>
          <t>dopou</t>
        </is>
      </c>
      <c r="B13459">
        <f>HYPERLINK("https://www.dofusbook.net/fr/equipement/2073009-dopou/objets", "link")</f>
        <v/>
      </c>
      <c r="C13459" t="n">
        <v>0</v>
      </c>
      <c r="D13459" t="inlineStr">
        <is>
          <t>Héqache; Amulette Luminescente; Bague Instable; Bague Trithon; Bouclier Taverne; Sangle Ouare; Masque de Koutoulou; Cape Luminescente; Bottistik; Remueur; Pousseur majeur; Bousculeur; Bousculeur majeur; Culbuteur; Culbuteur majeur; Tanuk</t>
        </is>
      </c>
    </row>
    <row r="13460">
      <c r="A13460" t="inlineStr">
        <is>
          <t>dopou</t>
        </is>
      </c>
      <c r="B13460">
        <f>HYPERLINK("https://www.dofusbook.net/fr/equipement/2073010-dopou/objets", "link")</f>
        <v/>
      </c>
      <c r="C13460" t="n">
        <v>0</v>
      </c>
      <c r="D13460" t="inlineStr"/>
    </row>
    <row r="13461">
      <c r="A13461" t="inlineStr">
        <is>
          <t>kakak</t>
        </is>
      </c>
      <c r="B13461">
        <f>HYPERLINK("https://www.dofusbook.net/fr/equipement/2065338-kakak/objets", "link")</f>
        <v/>
      </c>
      <c r="C13461" t="n">
        <v>0</v>
      </c>
      <c r="D13461" t="inlineStr">
        <is>
          <t>Sabres d'Atcham; Amulette du Strigide; Bague Trithon; Bouclier Taverne; Ceinture du Strigide; Masque Trithon; Cape d'Atcham; Bottes Trithon; Dofus Pourpre; Dofus des Glaces; Dokoko; Dofus Turquoise; Dofus Émeraude; Dofus Ocre; Muldo Prune et Emeraude</t>
        </is>
      </c>
    </row>
    <row r="13462">
      <c r="A13462" t="inlineStr">
        <is>
          <t>kkxx</t>
        </is>
      </c>
      <c r="B13462">
        <f>HYPERLINK("https://www.dofusbook.net/fr/equipement/2065228-kkxx/objets", "link")</f>
        <v/>
      </c>
      <c r="C13462" t="n">
        <v>1</v>
      </c>
      <c r="D13462" t="inlineStr">
        <is>
          <t>Arc Nécrotique; Collier de la Dame du Hasard; Alliance Gloursonne; Anneau Cryochrone; Quatre-feuilles; Poulpagne; Coiffe Cryochrone; Cape de la Dame du Hasard; Bottes de la Dame du Hasard; Dolmanax; Dofus Turquoise; Dofus Pourpre; Dofus Ocre; Dokoko; Dofus des Glaces; Muldo Prune et Emeraude</t>
        </is>
      </c>
    </row>
    <row r="13463">
      <c r="A13463" t="inlineStr">
        <is>
          <t>Feu/eau</t>
        </is>
      </c>
      <c r="B13463">
        <f>HYPERLINK("https://www.dofusbook.net/fr/equipement/2053612-feu-eau/objets", "link")</f>
        <v/>
      </c>
      <c r="C13463" t="n">
        <v>0</v>
      </c>
      <c r="D13463" t="inlineStr">
        <is>
          <t>Épée Brûlâme; Collier de la Dame du Hasard; Anneau Cryochrone; Bracelet du Piloztère; Bouclier du Cycloïde; Ceintacé; Casquette de Meno; Cape de la Dame du Hasard; Bottes de la Dame du Hasard; Dofus Ivoire; Dofus des Glaces; Dofus Vulbis; Dofus Nébuleux; Dofus Pourpre; Dofus Abyssal; Chacha Angora</t>
        </is>
      </c>
    </row>
    <row r="13464">
      <c r="A13464" t="inlineStr">
        <is>
          <t>multi rox</t>
        </is>
      </c>
      <c r="B13464">
        <f>HYPERLINK("https://www.dofusbook.net/fr/equipement/2042259-multi-rox/objets", "link")</f>
        <v/>
      </c>
      <c r="C13464" t="n">
        <v>1</v>
      </c>
      <c r="D13464" t="inlineStr">
        <is>
          <t>Hache Téroïde; Amulette du Strigide; Bracelet du Piloztère; Bague Trithon; Quatre-feuilles; Ceinture du Strigide; Masque Trithon; Cape Reski; Bottes Trithon; Dofus Turquoise; Dofus Nébuleux; Dofus Ocre; Dolmanax; Dofus Pourpre; Dofus des Glaces; Muldo Prune et Emeraude</t>
        </is>
      </c>
    </row>
    <row r="13465">
      <c r="A13465" t="inlineStr">
        <is>
          <t>Feu 12 pa nileza</t>
        </is>
      </c>
      <c r="B13465">
        <f>HYPERLINK("https://www.dofusbook.net/fr/equipement/1389486-feu-12-pa-nileza/objets", "link")</f>
        <v/>
      </c>
      <c r="C13465" t="n">
        <v>1</v>
      </c>
      <c r="D13465" t="inlineStr">
        <is>
          <t>La Baguette des Limbes; Amulette de l'Œil Putride; Anneau Tamie; Anneau Tamie; Bouclier du Stalak; Ceinture de l'Esprit Malsain; Capuche de l'Œil Putride; Cape de Nileza; Bottes Innommables; Dofus Ocre; Dofus Abyssal; Dofus des Glaces; Remueur; Érudit majeur; Pioute rouge</t>
        </is>
      </c>
    </row>
    <row r="13466">
      <c r="A13466" t="inlineStr">
        <is>
          <t>Eau 6800 vita</t>
        </is>
      </c>
      <c r="B13466">
        <f>HYPERLINK("https://www.dofusbook.net/fr/equipement/1981119-eau-6800-vita/objets", "link")</f>
        <v/>
      </c>
      <c r="C13466" t="n">
        <v>3</v>
      </c>
      <c r="D13466" t="inlineStr">
        <is>
          <t>Dagoulinantes; Amulette de Shokkoth; Bracelet du Piloztère; Alliance Gloursonne; Carapar; Ceinture de l'Esprit Malsain; Capuche de l'Œil Putride; Cape de Mantaze; Bottes de l'Esprit Malsain; Dofus Émeraude; Dokoko; Dofus Vulbis; Miraculé majeur; Chanceux majeur; Remueur; Péki</t>
        </is>
      </c>
    </row>
    <row r="13467">
      <c r="A13467" t="inlineStr">
        <is>
          <t>Feu 7200 vita</t>
        </is>
      </c>
      <c r="B13467">
        <f>HYPERLINK("https://www.dofusbook.net/fr/equipement/1981024-feu-7200-vita/objets", "link")</f>
        <v/>
      </c>
      <c r="C13467" t="n">
        <v>3</v>
      </c>
      <c r="D13467" t="inlineStr">
        <is>
          <t>Arc corrompu; Amulette de l'Œil Putride; Anneau Tamie; Anneau Tamie; Carapar; Ceinture de l'Esprit Malsain; Capuche de l'Œil Putride; Cape de Diondin; Bottes Innommables; Dokoko; Dofus Émeraude; Nomade; Remueur; Érudit majeur; Miraculé majeur; Péki</t>
        </is>
      </c>
    </row>
    <row r="13468">
      <c r="A13468" t="inlineStr">
        <is>
          <t>Feu/eau epee</t>
        </is>
      </c>
      <c r="B13468">
        <f>HYPERLINK("https://www.dofusbook.net/fr/equipement/1980834-feu-eau-epee/objets", "link")</f>
        <v/>
      </c>
      <c r="C13468" t="n">
        <v>2</v>
      </c>
      <c r="D13468" t="inlineStr">
        <is>
          <t>Épée Brûlâme; Amulette de l'Œil Putride; Bracelet du Piloztère; Goulano; Bouclier du Cycloïde; Ceintrigue; Capuche de l'Œil Putride; Cape de l'Œil Putride; Bottes Owesli; Dofus Vulbis; Dofus des Glaces; Dokoko; Dofus Ocre; Dofus Pourpre; Dofus Abyssal; Chacha Angora</t>
        </is>
      </c>
    </row>
    <row r="13469">
      <c r="A13469" t="inlineStr">
        <is>
          <t>Feu/eau necrotique</t>
        </is>
      </c>
      <c r="B13469">
        <f>HYPERLINK("https://www.dofusbook.net/fr/equipement/1034389-feu-eau-necrotique/objets", "link")</f>
        <v/>
      </c>
      <c r="C13469" t="n">
        <v>1</v>
      </c>
      <c r="D13469" t="inlineStr">
        <is>
          <t>Arc Nécrotique; Collier de la Dame du Hasard; Alliance Gloursonne; Bracelet des Fonds marins; Bouclier du Stalak; Sangle Ouare; Casquette de Meno; Cape de la Dame du Hasard; Pataugastrique; Dolmanax; Dofus Pourpre; Dofus des Glaces; Dofus Turquoise; Vigoureux majeur; Remueur; Muldo Prune et Doré</t>
        </is>
      </c>
    </row>
    <row r="13470">
      <c r="A13470" t="inlineStr">
        <is>
          <t>Eau new mode</t>
        </is>
      </c>
      <c r="B13470">
        <f>HYPERLINK("https://www.dofusbook.net/fr/equipement/1979465-eau-new-mode/objets", "link")</f>
        <v/>
      </c>
      <c r="C13470" t="n">
        <v>3</v>
      </c>
      <c r="D13470" t="inlineStr">
        <is>
          <t>Sceptre du Roi Joueur; Amulette de Shokkoth; Alliance Gloursonne; Bracelet des Fonds marins; Bouclier du Captain Amakna; Ceinture de la Reine des Voleurs; Kidibonnet; Cape de l'Œil Attentif; Bottes de la Reine des Voleurs; Dofus Vulbis; Dofus des Glaces; Dofus Ocre; Dévastateur Eau majeur; Saccageur Eau majeur; Chanceux majeur; Pioute violet</t>
        </is>
      </c>
    </row>
    <row r="13471">
      <c r="A13471" t="inlineStr">
        <is>
          <t>Feu anti cra</t>
        </is>
      </c>
      <c r="B13471">
        <f>HYPERLINK("https://www.dofusbook.net/fr/equipement/1979381-feu-anti-cra/objets", "link")</f>
        <v/>
      </c>
      <c r="C13471" t="n">
        <v>1</v>
      </c>
      <c r="D13471" t="inlineStr">
        <is>
          <t>Arc corrompu; Amulette de Nileza; Goulano; Chevalière du Roi Joueur; Goulclier; Ceinture de Vortex; Casque Cyclopéen; Voile d'encre; Pataugastrique; Dofus Abyssal; Dofus des Glaces; Remueur; Érudit majeur; Nomade; Miraculé majeur; Pioute rouge</t>
        </is>
      </c>
    </row>
    <row r="13472">
      <c r="A13472" t="inlineStr">
        <is>
          <t>Feu arc</t>
        </is>
      </c>
      <c r="B13472">
        <f>HYPERLINK("https://www.dofusbook.net/fr/equipement/1979242-feu-arc/objets", "link")</f>
        <v/>
      </c>
      <c r="C13472" t="n">
        <v>2</v>
      </c>
      <c r="D13472" t="inlineStr">
        <is>
          <t>Arc corrompu; Pendentif affamé; Anneau Tamie; Anneau Tamie; Bouclier du Stalak; Ceinture Séculaire; Coiffe Séculaire; Cape de Diondin; Bottes Innommables; Dofus Abyssal; Dofus Ocre; Dofus des Glaces; Dokoko; Nomade; Érudit majeur; Pioute rouge</t>
        </is>
      </c>
    </row>
    <row r="13473">
      <c r="A13473" t="inlineStr">
        <is>
          <t>Test</t>
        </is>
      </c>
      <c r="B13473">
        <f>HYPERLINK("https://www.dofusbook.net/fr/equipement/1884696-test/objets", "link")</f>
        <v/>
      </c>
      <c r="C13473" t="n">
        <v>3</v>
      </c>
      <c r="D13473" t="inlineStr"/>
    </row>
    <row r="13474">
      <c r="A13474" t="inlineStr">
        <is>
          <t>Eau coiffe de classe</t>
        </is>
      </c>
      <c r="B13474">
        <f>HYPERLINK("https://www.dofusbook.net/fr/equipement/1871983-eau-coiffe-de-classe/objets", "link")</f>
        <v/>
      </c>
      <c r="C13474" t="n">
        <v>1</v>
      </c>
      <c r="D13474" t="inlineStr">
        <is>
          <t>Dagoulinantes; Amulette de Shokkoth; Alliance Gloursonne; Bracelet des Fonds marins; Bouclier du Stalak; Ceinture de la Reine des Voleurs; Kidibonnet; Cape Endaison; Bottes de la Reine des Voleurs; Dofus Abyssal; Dofus Ocre; Dofus des Glaces; Dokoko; Nomade; Chanceux majeur; Pioute bleu</t>
        </is>
      </c>
    </row>
    <row r="13475">
      <c r="A13475" t="inlineStr">
        <is>
          <t>Feu anti xelor</t>
        </is>
      </c>
      <c r="B13475">
        <f>HYPERLINK("https://www.dofusbook.net/fr/equipement/1871910-feu-anti-xelor/objets", "link")</f>
        <v/>
      </c>
      <c r="C13475" t="n">
        <v>2</v>
      </c>
      <c r="D13475" t="inlineStr">
        <is>
          <t>Pyraguette; Amulette Cryochrone; Anneau de Nidas; Anneauræus; Bouclier du Stalak; Ceinture Séculaire; Coiffe Cryochrone; Cape de Nileza; Pataugastrique; Dofus des Glaces; Dokoko; Nomade; Remueur; Érudit majeur; Carapace Terre majeur; Pioute rouge</t>
        </is>
      </c>
    </row>
    <row r="13476">
      <c r="A13476" t="inlineStr">
        <is>
          <t>Eau tank res</t>
        </is>
      </c>
      <c r="B13476">
        <f>HYPERLINK("https://www.dofusbook.net/fr/equipement/1833908-eau-tank-res/objets", "link")</f>
        <v/>
      </c>
      <c r="C13476" t="n">
        <v>5</v>
      </c>
      <c r="D13476" t="inlineStr">
        <is>
          <t>Rapière aux Glyphes; Amulette Voldelor; Pikano; Alliance Gloursonne; Bouclier du Stalak; Ceinture Voldelor; Casque Dragoeuf; Cape Matelassée; Bottes du Sinistrofu; Dofus des Glaces; Dokoko; Dofus Pourpre; Miraculé majeur; Remueur; Chanceux majeur; Muldo Ebène et Indigo</t>
        </is>
      </c>
    </row>
    <row r="13477">
      <c r="A13477" t="inlineStr">
        <is>
          <t>Mode feu tank-res</t>
        </is>
      </c>
      <c r="B13477">
        <f>HYPERLINK("https://www.dofusbook.net/fr/equipement/1804705-mode-feu-tank-res/objets", "link")</f>
        <v/>
      </c>
      <c r="C13477" t="n">
        <v>1</v>
      </c>
      <c r="D13477" t="inlineStr">
        <is>
          <t>Arc corrompu; Amulette de Nileza; Anneau Tique; Chevalière du Roi Joueur; Bouclier du Stalak; Ceinture de Vortex; Casque Dragoeuf; Cape de Nileza; Pataugastrique; Dokoko; Dofus des Glaces; Érudit majeur; Carapace Terre majeur; Remueur; Miraculé majeur; Muldo Indigo et Pourpre</t>
        </is>
      </c>
    </row>
    <row r="13478">
      <c r="A13478" t="inlineStr">
        <is>
          <t>Eau 12/6</t>
        </is>
      </c>
      <c r="B13478">
        <f>HYPERLINK("https://www.dofusbook.net/fr/equipement/1638593-eau-12-6/objets", "link")</f>
        <v/>
      </c>
      <c r="C13478" t="n">
        <v>0</v>
      </c>
      <c r="D13478" t="inlineStr">
        <is>
          <t>Dagoulinantes; Amulette Luminescente; Bracelet du Piloztère; Bracelet des Fonds marins; Bouclier du Stalak; Ceinture Luminescente; Masque des Fonds marins; Cape Luminescente; Sandales des Fonds marins; Dofus Pourpre; Dofus des Glaces; Dofus Vulbis; Dokoko; Dofus Ocre; Dofus Abyssal; Pioute bleu</t>
        </is>
      </c>
    </row>
    <row r="13479">
      <c r="A13479" t="inlineStr">
        <is>
          <t>Rez fixe feu</t>
        </is>
      </c>
      <c r="B13479">
        <f>HYPERLINK("https://www.dofusbook.net/fr/equipement/1577861-rez-fixe-feu/objets", "link")</f>
        <v/>
      </c>
      <c r="C13479" t="n">
        <v>3</v>
      </c>
      <c r="D13479" t="inlineStr">
        <is>
          <t>Épée du Granduk; Amibou; Anneau des égarés; Bracelet Ventré; Bouclier à hélice; Ceinture de Klime; Chapibou; Capibou; Bottes du Kamasterisk; Dofus des Glaces; Dokoko; Muraille Feu majeure; Nomade; Cascadeur majeur; Remueur; Toukancre</t>
        </is>
      </c>
    </row>
    <row r="13480">
      <c r="A13480" t="inlineStr">
        <is>
          <t>Feu 12 pa</t>
        </is>
      </c>
      <c r="B13480">
        <f>HYPERLINK("https://www.dofusbook.net/fr/equipement/1386010-feu-12-pa/objets", "link")</f>
        <v/>
      </c>
      <c r="C13480" t="n">
        <v>0</v>
      </c>
      <c r="D13480" t="inlineStr">
        <is>
          <t>La Baguette des Limbes; Pendentif affamé; Anneau Tamie; Anneau Tamie; Bouclier du Stalak; Ceinture Séculaire; Coiffe Séculaire; Cape de Nileza; Bottes Innommables; Dofus Abyssal; Dofus Ocre; Dofus des Glaces; Remueur; Dévastateur Feu majeur; Érudit majeur; Pioute rouge</t>
        </is>
      </c>
    </row>
    <row r="13481">
      <c r="A13481" t="inlineStr">
        <is>
          <t>Feu 12 pa en test</t>
        </is>
      </c>
      <c r="B13481">
        <f>HYPERLINK("https://www.dofusbook.net/fr/equipement/1467269-feu-12-pa-en-test/objets", "link")</f>
        <v/>
      </c>
      <c r="C13481" t="n">
        <v>5</v>
      </c>
      <c r="D13481" t="inlineStr">
        <is>
          <t>Sabres d'Atcham; Amulette Séculaire; Anneau Tamie; Anneau Tamie; Quatre-feuilles; Ceinture Séculaire; Coiffe Séculaire; Cape d'Atcham; Sandales  d'Atcham; Dofus Pourpre; Dolmanax; Dofus Vulbis; Dofus des Glaces; Dofus Ocre; Dofus Abyssal; Pioute rouge</t>
        </is>
      </c>
    </row>
    <row r="13482">
      <c r="A13482" t="inlineStr">
        <is>
          <t>Malveillant 12</t>
        </is>
      </c>
      <c r="B13482">
        <f>HYPERLINK("https://www.dofusbook.net/fr/equipement/1416499-malveillant-12-/objets", "link")</f>
        <v/>
      </c>
      <c r="C13482" t="n">
        <v>0</v>
      </c>
      <c r="D13482" t="inlineStr">
        <is>
          <t>Epée Gloursonne; Amulette de l'Indicible; Bague Gloursonne; Alliance Gloursonne; Quatre-feuilles; Ceinture de l'Indicible; Chapeau des Malveilleurs; Cape des Malveilleurs; Bottes des Malveilleurs; Dofus Vulbis; Dofus des Glaces; Dofus Ocre; Dofus Nébuleux; Dofus Pourpre; Dolmanax; Chacha Angora</t>
        </is>
      </c>
    </row>
    <row r="13483">
      <c r="A13483" t="inlineStr">
        <is>
          <t>Eau/Air noctambule</t>
        </is>
      </c>
      <c r="B13483">
        <f>HYPERLINK("https://www.dofusbook.net/fr/equipement/1416411-eau-air-noctambule/objets", "link")</f>
        <v/>
      </c>
      <c r="C13483" t="n">
        <v>1</v>
      </c>
      <c r="D13483" t="inlineStr">
        <is>
          <t>Arc de Koutoulou; Amulette du Nocturlabe; Grésilanneau; Alliance Gloursonne; Quatre-feuilles; Ceinture du Nocturlabe; Némès de Tal Kasha; Chevelure de Tal Kasha; Bottes du Nocturlabe; Dofus Ocre; Dofus Pourpre; Dokoko; Dofus des Glaces; Dolmanax; Dofus Abyssal; Muldo Prune et Doré</t>
        </is>
      </c>
    </row>
    <row r="13484">
      <c r="A13484" t="inlineStr">
        <is>
          <t>Air anti cra</t>
        </is>
      </c>
      <c r="B13484">
        <f>HYPERLINK("https://www.dofusbook.net/fr/equipement/1416323-air-anti-cra/objets", "link")</f>
        <v/>
      </c>
      <c r="C13484" t="n">
        <v>2</v>
      </c>
      <c r="D13484" t="inlineStr">
        <is>
          <t>Manthache; Collier du Valet Veinard; Anneau d'Allister; Anneau des égarés; Bouclier du Stalak; Ceinture de la Reine des Voleurs; Coiffe de la Reine des Voleurs; Cape Indescriptible; Baleinabottes; Dofus des Glaces; Dofus Abyssal; Dofus Émeraude; Remueur; Cascadeur majeur; Miraculé majeur; Muldo Orchidée</t>
        </is>
      </c>
    </row>
    <row r="13485">
      <c r="A13485" t="inlineStr">
        <is>
          <t>multit dofusteuse</t>
        </is>
      </c>
      <c r="B13485">
        <f>HYPERLINK("https://www.dofusbook.net/fr/equipement/1412069-multit-dofusteuse/objets", "link")</f>
        <v/>
      </c>
      <c r="C13485" t="n">
        <v>0</v>
      </c>
      <c r="D13485" t="inlineStr">
        <is>
          <t>Hache du Chalœil; Amulette du Strigide; Alliance Gloursonne; Bracelet du Piloztère; Bouclier du Stalak; Ceinture du Strigide; Bonnet Ko; Dofusteuse; Bottes du Strigide; Dofus des Glaces; Dofus Pourpre; Dolmanax; Dofus Vulbis; Dofus Nébuleux; Dofus Ocre; Muldo Doré et Emeraude</t>
        </is>
      </c>
    </row>
    <row r="13486">
      <c r="A13486" t="inlineStr">
        <is>
          <t>Eau dommage direct</t>
        </is>
      </c>
      <c r="B13486">
        <f>HYPERLINK("https://www.dofusbook.net/fr/equipement/1411983-eau-dommage-direct/objets", "link")</f>
        <v/>
      </c>
      <c r="C13486" t="n">
        <v>5</v>
      </c>
      <c r="D13486" t="inlineStr">
        <is>
          <t>Dagoulinantes; Amulette du Sinistrofu; Alliance Gloursonne; Anneau Glacial; Bouclier du Stalak; Poulpagne; Kidibonnet; Dofusteuse; Bottes du Sinistrofu; Dofus Vulbis; Dofus Nébuleux; Dofus Pourpre; Taquin majeur; Chanceux majeur; Vigoureux majeur; Pioute bleu</t>
        </is>
      </c>
    </row>
    <row r="13487">
      <c r="A13487" t="inlineStr">
        <is>
          <t>Eau 12 PA</t>
        </is>
      </c>
      <c r="B13487">
        <f>HYPERLINK("https://www.dofusbook.net/fr/equipement/1411881-eau-12-pa-/objets", "link")</f>
        <v/>
      </c>
      <c r="C13487" t="n">
        <v>0</v>
      </c>
      <c r="D13487" t="inlineStr">
        <is>
          <t>Dagoulinantes; Amulette de Shokkoth; Bracelet des Fonds marins; Anneau Glacial; Bouclier du Stalak; Ceinture Glaciale; Masque des Fonds marins; Cape Glaciale; Sandales des Fonds marins; Dofus Vulbis; Dofus Pourpre; Dofus Ocre; Dolmanax; Dofus des Glaces; Turbulent; Pioute bleu</t>
        </is>
      </c>
    </row>
    <row r="13488">
      <c r="A13488" t="inlineStr">
        <is>
          <t>Feu 12 PA rox</t>
        </is>
      </c>
      <c r="B13488">
        <f>HYPERLINK("https://www.dofusbook.net/fr/equipement/1410451-feu-12-pa-rox/objets", "link")</f>
        <v/>
      </c>
      <c r="C13488" t="n">
        <v>0</v>
      </c>
      <c r="D13488" t="inlineStr">
        <is>
          <t>La Baguette des Limbes; Amulette du Kanimate; Anneau d'Henual; Chevalière du Roi Joueur; Bouclier à hélice; Ceinture de Gein; Masque Vaudou Ark; Cape du Petit Chapon Rouge; Bottes de Nileza; Dofus des Glaces; Érudit majeur; Muraille Feu majeure; Miraculé majeur; Cuirassé Feu majeur; Remueur; Toukancre</t>
        </is>
      </c>
    </row>
    <row r="13489">
      <c r="A13489" t="inlineStr">
        <is>
          <t>Full feu</t>
        </is>
      </c>
      <c r="B13489">
        <f>HYPERLINK("https://www.dofusbook.net/fr/equipement/1097776-full-feu/objets", "link")</f>
        <v/>
      </c>
      <c r="C13489" t="n">
        <v>1</v>
      </c>
      <c r="D13489" t="inlineStr">
        <is>
          <t>Épée d'Otomaï; Pendentif affamé; Anneau Tamie; Anneau Tamie; Bouclier du Stalak; Ceinture Séculaire; Coiffe Séculaire; Cape de Diondin; Bottes Innommables; Dokoko; Dofus Ocre; Dofus des Glaces; Érudit majeur; Dévastateur Feu majeur; Nomade; Pioute rouge</t>
        </is>
      </c>
    </row>
    <row r="13490">
      <c r="A13490" t="inlineStr">
        <is>
          <t>Feu anti Sadi/enu</t>
        </is>
      </c>
      <c r="B13490">
        <f>HYPERLINK("https://www.dofusbook.net/fr/equipement/1389082-feu-anti-sadi-enu/objets", "link")</f>
        <v/>
      </c>
      <c r="C13490" t="n">
        <v>3</v>
      </c>
      <c r="D13490" t="inlineStr">
        <is>
          <t>Plumeau Bil; Pendentif mignon de Koutoulou; Anneauræus; Chevalière du Roi Joueur; Bouclier du Stalak; Ceinture de Vortex; Casqnoar; Cape de Diondin; Bottes Refois; Dofus des Glaces; Érudit majeur; Carapace Feu majeur; Dévastateur Feu majeur; Remueur; Cavaleur majeur; Muldo Indigo et Pourpre</t>
        </is>
      </c>
    </row>
    <row r="13491">
      <c r="A13491" t="inlineStr">
        <is>
          <t>Anti roub feu 12pa</t>
        </is>
      </c>
      <c r="B13491">
        <f>HYPERLINK("https://www.dofusbook.net/fr/equipement/1385876-anti-roub-feu-12pa/objets", "link")</f>
        <v/>
      </c>
      <c r="C13491" t="n">
        <v>0</v>
      </c>
      <c r="D13491" t="inlineStr">
        <is>
          <t>La Baguette des Limbes; Amulette de Nileza; Anneau Tamie; Chevalière du Roi Joueur; Bouclier du Stalak; Ceinture de Gein; Chapeau de Gein; Voile d'encre; Bottes Innommables; Dokoko; Dofus Ocre; Dofus Abyssal; Dofus des Glaces; Érudit majeur; Remueur; Pioute rouge</t>
        </is>
      </c>
    </row>
    <row r="13492">
      <c r="A13492" t="inlineStr">
        <is>
          <t>Multit 12 PA rox</t>
        </is>
      </c>
      <c r="B13492">
        <f>HYPERLINK("https://www.dofusbook.net/fr/equipement/1374313-multit-12-pa-rox-/objets", "link")</f>
        <v/>
      </c>
      <c r="C13492" t="n">
        <v>0</v>
      </c>
      <c r="D13492" t="inlineStr">
        <is>
          <t>Hache du Chalœil; Amulette du Strigide; Bracelet du Piloztère; Alliance Gloursonne; Quatre-feuilles; Ceinture du Strigide; Bonnet Ko; Voile d'encre; Bottes du Strigide; Dofus Turquoise; Dolmanax; Dofus des Glaces; Dofus Pourpre; Dofus Ocre; Dofus Vulbis; Muldo Doré et Emeraude</t>
        </is>
      </c>
    </row>
    <row r="13493">
      <c r="A13493" t="inlineStr">
        <is>
          <t>Eau/Feu marteau</t>
        </is>
      </c>
      <c r="B13493">
        <f>HYPERLINK("https://www.dofusbook.net/fr/equipement/1323664-eau-feu-marteau/objets", "link")</f>
        <v/>
      </c>
      <c r="C13493" t="n">
        <v>0</v>
      </c>
      <c r="D13493" t="inlineStr">
        <is>
          <t>Pelle de Katrepat; Amulette Cryochrone; Alliance Gloursonne; Anneau Cryochrone; Bouclier du Stalak; Ceintrigue; Coiffe Cryochrone; Cape de la Dame du Hasard; Bottes Owesli; Dofus Ocre; Dokoko; Dolmanax; Dofus Abyssal; Dofus Pourpre; Dofus des Glaces; Muldo Indigo et Orchidée</t>
        </is>
      </c>
    </row>
    <row r="13494">
      <c r="A13494" t="inlineStr">
        <is>
          <t>Feu/eau</t>
        </is>
      </c>
      <c r="B13494">
        <f>HYPERLINK("https://www.dofusbook.net/fr/equipement/1323662-feu-eau/objets", "link")</f>
        <v/>
      </c>
      <c r="C13494" t="n">
        <v>1</v>
      </c>
      <c r="D13494" t="inlineStr">
        <is>
          <t>Arc Nécrotique; Collier de la Dame du Hasard; Bracelet des Fonds marins; Alliance Gloursonne; Bouclier du Stalak; Sangle Ouare; Casquette de Meno; Cape de la Dame du Hasard; Pataugastrique; Dofus Turquoise; Dofus Pourpre; Dofus des Glaces; Remueur; Nomade; Vigoureux majeur; Muldo Prune et Doré</t>
        </is>
      </c>
    </row>
    <row r="13495">
      <c r="A13495" t="inlineStr">
        <is>
          <t>Feu/eau</t>
        </is>
      </c>
      <c r="B13495">
        <f>HYPERLINK("https://www.dofusbook.net/fr/equipement/1323660-feu-eau/objets", "link")</f>
        <v/>
      </c>
      <c r="C13495" t="n">
        <v>1</v>
      </c>
      <c r="D13495" t="inlineStr">
        <is>
          <t>Arc Nécrotique; Collier de la Dame du Hasard; Alliance Gloursonne; Bracelet des Fonds marins; Bouclier du Stalak; Sangle Ouare; Casquette de Meno; Cape de la Dame du Hasard; Pataugastrique; Dofus des Glaces; Dofus Turquoise; Dofus Pourpre; Vigoureux majeur; Remueur; Nomade; Muldo Prune et Doré</t>
        </is>
      </c>
    </row>
    <row r="13496">
      <c r="A13496" t="inlineStr">
        <is>
          <t>Feu/Air</t>
        </is>
      </c>
      <c r="B13496">
        <f>HYPERLINK("https://www.dofusbook.net/fr/equipement/1323441-feu-air/objets", "link")</f>
        <v/>
      </c>
      <c r="C13496" t="n">
        <v>1</v>
      </c>
      <c r="D13496" t="inlineStr">
        <is>
          <t>Marteau Phossile; Pendentif mignon de Koutoulou; Anneau Rifique; Anneau du Katcheur; Bouclier du Stalak; Ceinture de Vortex; Casque Cyclopéen; Voilamibe; Sabots de Vortex; Dofus Pourpre; Dofus des Glaces; Dofus Ocre; Dolmanax; Robuste majeur; Féroce majeur; Chacha Angora</t>
        </is>
      </c>
    </row>
    <row r="13497">
      <c r="A13497" t="inlineStr">
        <is>
          <t>Eau retrait PA</t>
        </is>
      </c>
      <c r="B13497">
        <f>HYPERLINK("https://www.dofusbook.net/fr/equipement/1323404-eau-retrait-pa/objets", "link")</f>
        <v/>
      </c>
      <c r="C13497" t="n">
        <v>47</v>
      </c>
      <c r="D13497" t="inlineStr">
        <is>
          <t>Dagoulinantes; Amulette de Shokkoth; Alliance Gloursonne; Bracelet des Fonds marins; Bouclier du Stalak; Ceinture Glaciale; Némès de Tal Kasha; Chevelure de Tal Kasha; Pataugastrique; Dofus des Glaces; Étourdisseur majeur; Paralyseur majeur; Chanceux majeur; Remueur; Nomade; Pioute bleu</t>
        </is>
      </c>
    </row>
    <row r="13498">
      <c r="A13498" t="inlineStr">
        <is>
          <t>Feu/Eau Piraguette</t>
        </is>
      </c>
      <c r="B13498">
        <f>HYPERLINK("https://www.dofusbook.net/fr/equipement/1258617-feu-eau-piraguette/objets", "link")</f>
        <v/>
      </c>
      <c r="C13498" t="n">
        <v>0</v>
      </c>
      <c r="D13498" t="inlineStr">
        <is>
          <t>Pyraguette; Talisman Igans; Alliance Gloursonne; Bague Gloursonne; Bouclier du Stalak; Ceintrigue; Casquette de Meno; Cape de Meno; Bottes de Meno; Dofus Pourpre; Dokoko; Dofus Émeraude; Dofus Abyssal; Dofus Ocre; Dolmanax; Muldo Doré et Orchidée</t>
        </is>
      </c>
    </row>
    <row r="13499">
      <c r="A13499" t="inlineStr">
        <is>
          <t>Inferno</t>
        </is>
      </c>
      <c r="B13499">
        <f>HYPERLINK("https://www.dofusbook.net/fr/equipement/1093482-inferno/objets", "link")</f>
        <v/>
      </c>
      <c r="C13499" t="n">
        <v>0</v>
      </c>
      <c r="D13499" t="inlineStr">
        <is>
          <t>Inferno; Amulette de Nileza; Anneau de Padgref; Alliance de Missiz Frizz; Bouclier du Captain Amakna; Ceinture Séculaire; Coiffe Séculaire; Cape de la Dame du Hasard; Pataugastrique; Dofus Pourpre; Dokoko; Dofus Ocre; Dofus des Glaces; Vigoureux majeur; Érudit majeur; Pioute rouge</t>
        </is>
      </c>
    </row>
    <row r="13500">
      <c r="A13500" t="inlineStr">
        <is>
          <t>incarnation terre</t>
        </is>
      </c>
      <c r="B13500">
        <f>HYPERLINK("https://www.dofusbook.net/fr/equipement/1055185-incarnation-terre-/objets", "link")</f>
        <v/>
      </c>
      <c r="C13500" t="n">
        <v>0</v>
      </c>
      <c r="D13500" t="inlineStr">
        <is>
          <t>Epée de Kocksis; Collier de Tourthon; Anneau Crustique; Anneau Crustique; Bouclier du Stalak; Ceinture de Brouce; Masque de Koutoulou; Cape au Logis; Bottes de Brouce; Dofus Émeraude; Dokoko; Dofus Ocre; Dofus Pourpre; Dofus des Glaces; Dévastateur Neutre majeur; Pioute vert</t>
        </is>
      </c>
    </row>
    <row r="13501">
      <c r="A13501" t="inlineStr">
        <is>
          <t>Hectaupe</t>
        </is>
      </c>
      <c r="B13501">
        <f>HYPERLINK("https://www.dofusbook.net/fr/equipement/1093616-hectaupe/objets", "link")</f>
        <v/>
      </c>
      <c r="C13501" t="n">
        <v>3</v>
      </c>
      <c r="D13501" t="inlineStr">
        <is>
          <t>Marteau d'Hectaupe; Collier du Valet Veinard; Gant du Valet Veinard; Anneau d'Allister; Ambrouclier; Ceinture Voldelor; Couronne d'Allister; Cape du Valet Veinard; Bottes d'Allister; Dofus Pourpre; Dofus Ocre; Dofus Abyssal; Dofus des Glaces; Dofus Ocre; Dokoko; Blérodoudou</t>
        </is>
      </c>
    </row>
    <row r="13502">
      <c r="A13502" t="inlineStr">
        <is>
          <t>Grouillot</t>
        </is>
      </c>
      <c r="B13502">
        <f>HYPERLINK("https://www.dofusbook.net/fr/equipement/1093557-grouillot/objets", "link")</f>
        <v/>
      </c>
      <c r="C13502" t="n">
        <v>0</v>
      </c>
      <c r="D13502" t="inlineStr">
        <is>
          <t>Dague de Grouillot; Talisman Igans; Anneau Tamie; Anneau Tamie; Bouclier du Stalak; Ceintrigue; Calotte Spot; Cape de Diondin; Bottes Innommables; Dofus des Glaces; Érudit majeur; Nomade; Saccageur Feu majeur; Sanguinaire majeur; Dévastateur Feu majeur; Bisouglours</t>
        </is>
      </c>
    </row>
    <row r="13503">
      <c r="A13503" t="inlineStr">
        <is>
          <t>Will kinson</t>
        </is>
      </c>
      <c r="B13503">
        <f>HYPERLINK("https://www.dofusbook.net/fr/equipement/1093378-will-kinson/objets", "link")</f>
        <v/>
      </c>
      <c r="C13503" t="n">
        <v>1</v>
      </c>
      <c r="D13503" t="inlineStr">
        <is>
          <t>Will Killson; Amulette Voldelor; Gant du Valet Veinard; Anneau de Padgref; Bouclier du Captain Amakna; Ceinture Voldelor; Némès de Tal Kasha; Chevelure de Tal Kasha; Sandales de Tal Kasha; Dofus Ocre; Dofus Abyssal; Dofus Émeraude; Dofus des Glaces; Dofus Turquoise; Dokoko; Muldo Prune et Emeraude</t>
        </is>
      </c>
    </row>
    <row r="13504">
      <c r="A13504" t="inlineStr">
        <is>
          <t>Terre/Feu</t>
        </is>
      </c>
      <c r="B13504">
        <f>HYPERLINK("https://www.dofusbook.net/fr/equipement/1264046-terre-feu/objets", "link")</f>
        <v/>
      </c>
      <c r="C13504" t="n">
        <v>4</v>
      </c>
      <c r="D13504" t="inlineStr">
        <is>
          <t>Dagues Érhy; Amulette de Gein; Chevalière du Roi Joueur; Bague Gloursonne; Bouclier du Stalak; Ceinture de Gein; Chapeau de Gein; Voile d'encre; Bottes du Roi Joueur; Dofus Pourpre; Dofus Vulbis; Dofus Ocre; Dofus des Glaces; Féroce majeur; Robuste majeur; Chacha Angora</t>
        </is>
      </c>
    </row>
    <row r="13505">
      <c r="A13505" t="inlineStr">
        <is>
          <t>Stuff interdit eau</t>
        </is>
      </c>
      <c r="B13505">
        <f>HYPERLINK("https://www.dofusbook.net/fr/equipement/1215669-stuff-interdit-eau/objets", "link")</f>
        <v/>
      </c>
      <c r="C13505" t="n">
        <v>3</v>
      </c>
      <c r="D13505" t="inlineStr">
        <is>
          <t>Dagoulinantes; Amulette de Shokkoth; Anneau Glacial; Bracelet des Fonds marins; Quatre-feuilles; Poulpagne; Kidibonnet; Cape de Mantaze; Sandales des Fonds marins; Dofus Pourpre; Dofus des Glaces; Dofus Turquoise; Chanceux majeur; Nomade; Vigoureux majeur; Pioute bleu</t>
        </is>
      </c>
    </row>
    <row r="13506">
      <c r="A13506" t="inlineStr">
        <is>
          <t>Stuff interdit air</t>
        </is>
      </c>
      <c r="B13506">
        <f>HYPERLINK("https://www.dofusbook.net/fr/equipement/1215806-stuff-interdit-air/objets", "link")</f>
        <v/>
      </c>
      <c r="C13506" t="n">
        <v>3</v>
      </c>
      <c r="D13506" t="inlineStr">
        <is>
          <t>Manthache; Collier du Valet Veinard; Gant du Valet Veinard; Alliance Gloursonne; Bouclier du Stalak; Menoture; Couronne d'Allister; Cape Indescriptible; Baleinabottes; Dofus des Glaces; Dofus Pourpre; Vigoureux majeur; Nomade; Dévastateur Air majeur; Cascadeur majeur; Pioute jaune</t>
        </is>
      </c>
    </row>
    <row r="13507">
      <c r="A13507" t="inlineStr">
        <is>
          <t>Full feu res eau/air</t>
        </is>
      </c>
      <c r="B13507">
        <f>HYPERLINK("https://www.dofusbook.net/fr/equipement/1122206-full-feu-res-eau-air/objets", "link")</f>
        <v/>
      </c>
      <c r="C13507" t="n">
        <v>1</v>
      </c>
      <c r="D13507" t="inlineStr">
        <is>
          <t>Pyraguette; Collier de la Dame du Hasard; Anneau Tique; Anneau Tamie; Bouclier du Stalak; Sangle Aise; Casquette de Meno; Voile d'encre; Pataugastrique; Dokoko; Dofus Émeraude; Dofus des Glaces; Carapace Eau majeur; Érudit majeur; Nomade; Pioute rouge</t>
        </is>
      </c>
    </row>
    <row r="13508">
      <c r="A13508" t="inlineStr">
        <is>
          <t>Full eau</t>
        </is>
      </c>
      <c r="B13508">
        <f>HYPERLINK("https://www.dofusbook.net/fr/equipement/918557-full-eau/objets", "link")</f>
        <v/>
      </c>
      <c r="C13508" t="n">
        <v>2</v>
      </c>
      <c r="D13508" t="inlineStr">
        <is>
          <t>Dagoulinantes; Amulette de Shokkoth; Alliance Gloursonne; Bracelet des Fonds marins; Bouclier du Stalak; Ceinture de la Reine des Voleurs; Kidibonnet; Cape de Mantaze; Bottes de la Reine des Voleurs; Dofus Pourpre; Dofus des Glaces; Dofus Ocre; Chanceux majeur; Dévastateur Eau majeur; Nomade; Pioute bleu</t>
        </is>
      </c>
    </row>
    <row r="13509">
      <c r="A13509" t="inlineStr">
        <is>
          <t>Full air 12 pa</t>
        </is>
      </c>
      <c r="B13509">
        <f>HYPERLINK("https://www.dofusbook.net/fr/equipement/1082433-full-air-12-pa/objets", "link")</f>
        <v/>
      </c>
      <c r="C13509" t="n">
        <v>0</v>
      </c>
      <c r="D13509" t="inlineStr">
        <is>
          <t>Manthache; Collier du Valet Veinard; Gant du Valet Veinard; Anneau d'Allister; Bouclier du Stalak; Ceinture Voldelor; Couronne d'Allister; Cape du Valet Veinard; Bottes d'Allister; Dofus Vulbis; Dokoko; Dofus Ocre; Dofus Abyssal; Dofus Pourpre; Dofus des Glaces; Pioute jaune</t>
        </is>
      </c>
    </row>
    <row r="13510">
      <c r="A13510" t="inlineStr">
        <is>
          <t>Full air</t>
        </is>
      </c>
      <c r="B13510">
        <f>HYPERLINK("https://www.dofusbook.net/fr/equipement/918427-full-air/objets", "link")</f>
        <v/>
      </c>
      <c r="C13510" t="n">
        <v>4</v>
      </c>
      <c r="D13510" t="inlineStr">
        <is>
          <t>Manthache; Collier du Valet Veinard; Gant du Valet Veinard; Alliance Gloursonne; Bouclier du Stalak; Menoture; Couronne d'Allister; Cape Indescriptible; Palmes Trithons; Dofus des Glaces; Dofus Ocre; Dofus Pourpre; Dévastateur Air majeur; Nomade; Cascadeur majeur; Pioute jaune</t>
        </is>
      </c>
    </row>
    <row r="13511">
      <c r="A13511" t="inlineStr">
        <is>
          <t>Feu range</t>
        </is>
      </c>
      <c r="B13511">
        <f>HYPERLINK("https://www.dofusbook.net/fr/equipement/1093812-feu-range/objets", "link")</f>
        <v/>
      </c>
      <c r="C13511" t="n">
        <v>2</v>
      </c>
      <c r="D13511" t="inlineStr">
        <is>
          <t>Baguette Range; Amulette de Nileza; Anneau de Padgref; Anneau Rifique; Quatre-feuilles; Ceinture Séculaire; Coiffe de Padgref; Cape d'Atcham; Pataugastrique; Dofus Pourpre; Dofus Ocre; Dofus Émeraude; Dofus des Glaces; Dokoko; Dofus Turquoise; Muldo Prune et Emeraude</t>
        </is>
      </c>
    </row>
    <row r="13512">
      <c r="A13512" t="inlineStr">
        <is>
          <t>Feu anti sram</t>
        </is>
      </c>
      <c r="B13512">
        <f>HYPERLINK("https://www.dofusbook.net/fr/equipement/1227880-feu-anti-sram/objets", "link")</f>
        <v/>
      </c>
      <c r="C13512" t="n">
        <v>5</v>
      </c>
      <c r="D13512" t="inlineStr">
        <is>
          <t>Plumeau Bil; Amulette de Nileza; Chevalière du Roi Joueur; Anneau de Nidas; Bouclier du Stalak; Ceinture de Gein; Casque Cyclopéen; Cape de Nileza; Pataugastrique; Dofus Ocre; Dofus Abyssal; Dofus des Glaces; Dofus Pourpre; Dokoko; Érudit majeur; Muldo Orchidée et Pourpre</t>
        </is>
      </c>
    </row>
    <row r="13513">
      <c r="A13513" t="inlineStr">
        <is>
          <t>Feu anti sacri</t>
        </is>
      </c>
      <c r="B13513">
        <f>HYPERLINK("https://www.dofusbook.net/fr/equipement/1053830-feu-anti-sacri/objets", "link")</f>
        <v/>
      </c>
      <c r="C13513" t="n">
        <v>3</v>
      </c>
      <c r="D13513" t="inlineStr">
        <is>
          <t>Arc corrompu; Amulette de Nileza; Chevalière du Roi Joueur; Anneau Tique; Carapar; Ceinture de Vortex; Casque Cyclopéen; Voile d'encre; Pataugastrique; Dokoko; Dofus Abyssal; Dofus des Glaces; Miraculé majeur; Remueur; Érudit majeur; Pioute rouge</t>
        </is>
      </c>
    </row>
    <row r="13514">
      <c r="A13514" t="inlineStr">
        <is>
          <t>Feu Anti osa terre</t>
        </is>
      </c>
      <c r="B13514">
        <f>HYPERLINK("https://www.dofusbook.net/fr/equipement/1301059-feu-anti-osa-terre/objets", "link")</f>
        <v/>
      </c>
      <c r="C13514" t="n">
        <v>1</v>
      </c>
      <c r="D13514" t="inlineStr">
        <is>
          <t>Harpelle; Talisman Igans; Anneau de Nidas; Anneau Rifique; Bouclier du Stalak; Sangle Aise; Chapeau de Gein; Cape de Nileza; Bottes Owesli; Dokoko; Dofus des Glaces; Remueur; Carapace Neutre majeur; Nomade; Érudit majeur; Pioute rouge</t>
        </is>
      </c>
    </row>
    <row r="13515">
      <c r="A13515" t="inlineStr">
        <is>
          <t>Feu anti iop</t>
        </is>
      </c>
      <c r="B13515">
        <f>HYPERLINK("https://www.dofusbook.net/fr/equipement/1034310-feu-anti-iop/objets", "link")</f>
        <v/>
      </c>
      <c r="C13515" t="n">
        <v>2</v>
      </c>
      <c r="D13515" t="inlineStr">
        <is>
          <t>Plumeau Bil; Torquistik; Anneau Tamie; Anneau de Nidas; Bouclier du Stalak; Ceinture de Gein; Chapeau de Gein; Cape de Diondin; Bottistik; Dofus Émeraude; Dokoko; Dofus Ocre; Dofus Abyssal; Dofus Pourpre; Dofus des Glaces; Muldo Pourpre</t>
        </is>
      </c>
    </row>
    <row r="13516">
      <c r="A13516" t="inlineStr">
        <is>
          <t>Feu anti eca</t>
        </is>
      </c>
      <c r="B13516">
        <f>HYPERLINK("https://www.dofusbook.net/fr/equipement/1054121-feu-anti-eca/objets", "link")</f>
        <v/>
      </c>
      <c r="C13516" t="n">
        <v>0</v>
      </c>
      <c r="D13516" t="inlineStr">
        <is>
          <t>Plumeau Bil; Pendentif mignon de Koutoulou; Anneauræus; Anneau Tique; Bouclier du Stalak; Ceinture Séculaire; Coiffe Séculaire; Cape de Nileza; Pataugastrique; Dokoko; Dofus Émeraude; Dofus des Glaces; Remueur; Miraculé majeur; Érudit majeur; Muldo Indigo et Pourpre</t>
        </is>
      </c>
    </row>
    <row r="13517">
      <c r="A13517" t="inlineStr">
        <is>
          <t>Dommage direct</t>
        </is>
      </c>
      <c r="B13517">
        <f>HYPERLINK("https://www.dofusbook.net/fr/equipement/1258878-dommage-direct/objets", "link")</f>
        <v/>
      </c>
      <c r="C13517" t="n">
        <v>2</v>
      </c>
      <c r="D13517" t="inlineStr">
        <is>
          <t>Arc de Koutoulou; Amulette du Strigide; Anneau de Padgref; Alliance Gloursonne; Quatre-feuilles; Ceinture du Strigide; Némès de Tal Kasha; Chevelure de Tal Kasha; Sandales de Tal Kasha; Dofus Ocre; Dofus Abyssal; Dofus Turquoise; Dofus des Glaces; Dofus Pourpre; Dokoko; Muldo Prune et Emeraude</t>
        </is>
      </c>
    </row>
    <row r="13518">
      <c r="A13518" t="inlineStr">
        <is>
          <t>Air/Eau 2</t>
        </is>
      </c>
      <c r="B13518">
        <f>HYPERLINK("https://www.dofusbook.net/fr/equipement/1258733-air-eau-2/objets", "link")</f>
        <v/>
      </c>
      <c r="C13518" t="n">
        <v>0</v>
      </c>
      <c r="D13518" t="inlineStr">
        <is>
          <t>Arc de Koutoulou; Amulette du Nocturlabe; Grésilanneau; Alliance Gloursonne; Bouclier du Stalak; Ceinture du Nocturlabe; Némès de Tal Kasha; Chevelure de Tal Kasha; Bottes du Nocturlabe; Dofus Ocre; Dokoko; Dolmanax; Dofus Abyssal; Dofus Pourpre; Dofus des Glaces; Muldo Ebène et Orchidée</t>
        </is>
      </c>
    </row>
    <row r="13519">
      <c r="A13519" t="inlineStr">
        <is>
          <t>Air/eau</t>
        </is>
      </c>
      <c r="B13519">
        <f>HYPERLINK("https://www.dofusbook.net/fr/equipement/918293-air-eau/objets", "link")</f>
        <v/>
      </c>
      <c r="C13519" t="n">
        <v>0</v>
      </c>
      <c r="D13519" t="inlineStr">
        <is>
          <t>Arc de Koutoulou; Amulette Voldelor; Grésilanneau; Alliance Gloursonne; Bouclier du Cycloïde; Ceinture Voldelor; Némès de Tal Kasha; Chevelure de Tal Kasha; Bottes Voldelor; Dokoko; Dolmanax; Dofus Émeraude; Dofus des Glaces; Dofus Pourpre; Dofus Ocre; Muldo Ebène et Pourpre</t>
        </is>
      </c>
    </row>
    <row r="13520">
      <c r="A13520" t="inlineStr">
        <is>
          <t>Air tank</t>
        </is>
      </c>
      <c r="B13520">
        <f>HYPERLINK("https://www.dofusbook.net/fr/equipement/1097892-air-tank/objets", "link")</f>
        <v/>
      </c>
      <c r="C13520" t="n">
        <v>1</v>
      </c>
      <c r="D13520" t="inlineStr">
        <is>
          <t>Pelle de la Cour Sombre; Collier du Valet Veinard; Gant du Valet Veinard; Alliance Gloursonne; Bouclier du Stalak; Ceinture Voldelor; Dorabysses; Cape du Kamasterisk; Baleinabottes; Dokoko; Dofus des Glaces; Carapace Feu majeur; Remueur; Carapace Air majeur; Cascadeur majeur; Muldo Ebène et Pourpre</t>
        </is>
      </c>
    </row>
    <row r="13521">
      <c r="A13521" t="inlineStr">
        <is>
          <t>Air res do pou</t>
        </is>
      </c>
      <c r="B13521">
        <f>HYPERLINK("https://www.dofusbook.net/fr/equipement/1177632-air-res-do-pou/objets", "link")</f>
        <v/>
      </c>
      <c r="C13521" t="n">
        <v>0</v>
      </c>
      <c r="D13521" t="inlineStr">
        <is>
          <t>Pelle de la Cour Sombre; Amulette Ikête; Gant du Valet Veinard; Alliance Gloursonne; Bouclier du Stalak; Menoture; Capuche de Moum-Ra; Cape du Valet Veinard; Baleinabottes; Dokoko; Dofus des Glaces; Solide majeur; Cascadeur majeur; Nomade; Inflexible majeur; Pioute jaune</t>
        </is>
      </c>
    </row>
    <row r="13522">
      <c r="A13522" t="inlineStr">
        <is>
          <t>Air 12 pa</t>
        </is>
      </c>
      <c r="B13522">
        <f>HYPERLINK("https://www.dofusbook.net/fr/equipement/1044832-air-12-pa/objets", "link")</f>
        <v/>
      </c>
      <c r="C13522" t="n">
        <v>0</v>
      </c>
      <c r="D13522" t="inlineStr">
        <is>
          <t>Manthache; Collier du Valet Veinard; Gant du Valet Veinard; Anneau d'Allister; Bouclier du Stalak; Ceinture Voldelor; Couronne d'Allister; Cape du Valet Veinard; Bottes d'Allister; Dofus Ocre; Dofus Abyssal; Dofus Pourpre; Dolmanax; Dofus Vulbis; Dofus des Glaces; Pioute jaune</t>
        </is>
      </c>
    </row>
    <row r="13523">
      <c r="A13523" t="inlineStr">
        <is>
          <t>Anti roub feu koli</t>
        </is>
      </c>
      <c r="B13523">
        <f>HYPERLINK("https://www.dofusbook.net/fr/equipement/1323249-anti-roub-feu-koli/objets", "link")</f>
        <v/>
      </c>
      <c r="C13523" t="n">
        <v>5</v>
      </c>
      <c r="D13523" t="inlineStr">
        <is>
          <t>Épée d'Otomaï; Amulette d'Otomaï; Chevalière du Roi Joueur; Anneau Tamie; Bouclier du Stalak; Ceinture de Gein; Coiffe Ainte; Cape de Diondin; Bottes Innommables; Dofus Ocre; Dofus des Glaces; Dokoko; Vigoureux majeur; Dévastateur Feu majeur; Érudit majeur; Muldo Orchidée</t>
        </is>
      </c>
    </row>
    <row r="13524">
      <c r="A13524" t="inlineStr">
        <is>
          <t>Air 12 pa res crit</t>
        </is>
      </c>
      <c r="B13524">
        <f>HYPERLINK("https://www.dofusbook.net/fr/equipement/1215458-air-12-pa-res-crit/objets", "link")</f>
        <v/>
      </c>
      <c r="C13524" t="n">
        <v>4</v>
      </c>
      <c r="D13524" t="inlineStr">
        <is>
          <t>Manthache; Collier du Valet Veinard; Alliance Gloursonne; Gant du Valet Veinard; Bouclier du Stalak; Ceinture de la Reine des Voleurs; Coiffe de la Reine des Voleurs; Cape du Valet Veinard; Bottes de la Reine des Voleurs; Dofus Ocre; Dokoko; Dolmanax; Dofus Vulbis; Dofus Pourpre; Dofus des Glaces; Pioute jaune</t>
        </is>
      </c>
    </row>
    <row r="13525">
      <c r="A13525" t="inlineStr">
        <is>
          <t>Do pou</t>
        </is>
      </c>
      <c r="B13525">
        <f>HYPERLINK("https://www.dofusbook.net/fr/equipement/1167197-do-pou/objets", "link")</f>
        <v/>
      </c>
      <c r="C13525" t="n">
        <v>0</v>
      </c>
      <c r="D13525" t="inlineStr">
        <is>
          <t>Héqache; Torquistik; Bague Trithon; Bague Instable; Bouclier précieux; Ceintrigue; Chapibou; Cape des Malveilleurs; Bottistik; Bousculeur; Bousculeur majeur; Culbuteur; Culbuteur majeur; Pousseur; Pousseur majeur; Kafarce</t>
        </is>
      </c>
    </row>
    <row r="13526">
      <c r="A13526" t="inlineStr">
        <is>
          <t>Full air</t>
        </is>
      </c>
      <c r="B13526">
        <f>HYPERLINK("https://www.dofusbook.net/fr/equipement/833069-full-air/objets", "link")</f>
        <v/>
      </c>
      <c r="C13526" t="n">
        <v>0</v>
      </c>
      <c r="D13526" t="inlineStr">
        <is>
          <t>Manthache; Collier du Valet Veinard; Gant du Valet Veinard; Alliance Gloursonne; Bouclier du Stalak; Menoture; Couronne d'Allister; Cape Indescriptible; Baleinabottes; Dofus Nébuleux; Dofus des Glaces; Vigoureux majeur; Nomade; Equilibriste majeur; Cascadeur majeur; Pioute jaune</t>
        </is>
      </c>
    </row>
    <row r="13527">
      <c r="A13527" t="inlineStr">
        <is>
          <t>Multi rox</t>
        </is>
      </c>
      <c r="B13527">
        <f>HYPERLINK("https://www.dofusbook.net/fr/equipement/828602-multi-rox/objets", "link")</f>
        <v/>
      </c>
      <c r="C13527" t="n">
        <v>0</v>
      </c>
      <c r="D13527" t="inlineStr">
        <is>
          <t>Héqache; Amulette du Strigide; Bague Gloursonne; Bracelet du Piloztère; Bouclier du Cycloïde; Ceintacé; Le Dorado; Cape Reski; Bottes du Strigide; Dofus Nébuleux; Dofus Pourpre; Dofus des Glaces; Dofus Turquoise; Vigoureux majeur; Nomade; Chacha Angora</t>
        </is>
      </c>
    </row>
    <row r="13528">
      <c r="A13528" t="inlineStr">
        <is>
          <t>Multi 12 pa</t>
        </is>
      </c>
      <c r="B13528">
        <f>HYPERLINK("https://www.dofusbook.net/fr/equipement/811251-multi-12-pa/objets", "link")</f>
        <v/>
      </c>
      <c r="C13528" t="n">
        <v>0</v>
      </c>
      <c r="D13528" t="inlineStr">
        <is>
          <t>Hache du Chalœil; Amulette du Strigide; Alliance Gloursonne; Bracelet du Piloztère; Quatre-feuilles; Ceinture du Strigide; Bonnet Ko; Voile d'encre; Bottes du Strigide; Dofus Turquoise; Dolmanax; Dofus des Glaces; Dofus Pourpre; Dofus Ocre; Dofus Vulbis; Muldo Indigo et Pourpre</t>
        </is>
      </c>
    </row>
    <row r="13529">
      <c r="A13529" t="inlineStr">
        <is>
          <t>Eau air</t>
        </is>
      </c>
      <c r="B13529">
        <f>HYPERLINK("https://www.dofusbook.net/fr/equipement/796747-eau-air/objets", "link")</f>
        <v/>
      </c>
      <c r="C13529" t="n">
        <v>0</v>
      </c>
      <c r="D13529" t="inlineStr">
        <is>
          <t>Hache du Korriandre; Amulette Voldelor; Bracelet du Piloztère; Alliance Gloursonne; Bouclier du Stalak; Ceinture Voldelor; Némès de Tal Kasha; Chevelure de Tal Kasha; Sandales de Tal Kasha; Dolmanax; Dofus des Glaces; Dofus Ocre; Dofus Nébuleux; Dofus Turquoise; Dofus Pourpre; Muldo Prune et Doré</t>
        </is>
      </c>
    </row>
    <row r="13530">
      <c r="A13530" t="inlineStr">
        <is>
          <t>full terre</t>
        </is>
      </c>
      <c r="B13530">
        <f>HYPERLINK("https://www.dofusbook.net/fr/equipement/28121-full-terre/objets", "link")</f>
        <v/>
      </c>
      <c r="C13530" t="n">
        <v>1</v>
      </c>
      <c r="D13530" t="inlineStr">
        <is>
          <t>Marteau R'ture; Collier de Tourthon; Anneau Crustique; Anneau Crustique; Bouclier du Captain Amakna; Ceinture de Brouce; Masque de Koutoulou; Cape au Logis; Bottes de Brouce; Dofus Nébuleux; Dofus Vulbis; Dofus Pourpre; Enragé majeur; Vigoureux majeur; Remueur; Pioute vert</t>
        </is>
      </c>
    </row>
    <row r="13531">
      <c r="A13531" t="inlineStr">
        <is>
          <t>feu eau necrotique</t>
        </is>
      </c>
      <c r="B13531">
        <f>HYPERLINK("https://www.dofusbook.net/fr/equipement/28118-feu-eau-necrotique/objets", "link")</f>
        <v/>
      </c>
      <c r="C13531" t="n">
        <v>4</v>
      </c>
      <c r="D13531" t="inlineStr">
        <is>
          <t>Arc Nécrotique; Collier de la Dame du Hasard; Bracelet du Piloztère; Bague Trithon; Quatre-feuilles; Pagne du Rykaon; Masque Trithon; Cape de la Dame du Hasard; Bottes de la Dame du Hasard; Dofus Ocre; Dofus Nébuleux; Dofus des Glaces; Dofus Pourpre; Dofus Turquoise; Dolmanax; Muldo Prune et Emeraude</t>
        </is>
      </c>
    </row>
    <row r="13532">
      <c r="A13532" t="inlineStr">
        <is>
          <t>Mode egare</t>
        </is>
      </c>
      <c r="B13532">
        <f>HYPERLINK("https://www.dofusbook.net/fr/equipement/28116-mode-egare/objets", "link")</f>
        <v/>
      </c>
      <c r="C13532" t="n">
        <v>0</v>
      </c>
      <c r="D13532" t="inlineStr">
        <is>
          <t>Marteau des égarés; Amulette du Strigide; Alliance Gloursonne; Bague Trithon; Bouclier du Captain Amakna; Ceinture du Strigide; Masque Trithon; Chevelure de Tal Kasha; Bottes Trithon; Dofus des Glaces; Dofus Pourpre; Dofus Abyssal; Dolmanax; Dofus Nébuleux; Dofus Turquoise; Muldo Prune et Emeraude</t>
        </is>
      </c>
    </row>
    <row r="13533">
      <c r="A13533" t="inlineStr">
        <is>
          <t>Tyrannique do pou</t>
        </is>
      </c>
      <c r="B13533">
        <f>HYPERLINK("https://www.dofusbook.net/fr/equipement/1440200-tyrannique-do-pou/objets", "link")</f>
        <v/>
      </c>
      <c r="C13533" t="n">
        <v>0</v>
      </c>
      <c r="D13533" t="inlineStr">
        <is>
          <t>Canne Harr; Amulette Martegel; Anneau Rifique; Bague Trithon; Cadran de Feu; Audace de Dodge; Masquegel; Cape Martegel; Bottes Trithon; Dofus Ocre; Dofus Pourpre; Dofus Vulbis; Dofus Émeraude; Dofus des Glaces; Bousculeur majeur; Kramkram</t>
        </is>
      </c>
    </row>
    <row r="13534">
      <c r="A13534" t="inlineStr">
        <is>
          <t>terre feu pvm 2</t>
        </is>
      </c>
      <c r="B13534">
        <f>HYPERLINK("https://www.dofusbook.net/fr/equipement/1385994-terre-feu-pvm-2/objets", "link")</f>
        <v/>
      </c>
      <c r="C13534" t="n">
        <v>9</v>
      </c>
      <c r="D13534" t="inlineStr">
        <is>
          <t>Dagues du Dragoeuf; Amulette du Strigide; Bracelet du Piloztère; Bague Gloursonne; Bouclier du Captain Amakna; Ceinture du Strigide; Bonnet Ko; Voile d'encre; Bottes du Roi Joueur; Dofus Pourpre; Dofus Turquoise; Remueur; Vigoureux majeur; Enragé majeur; Nomade; Muldo Doré et Emeraude</t>
        </is>
      </c>
    </row>
    <row r="13535">
      <c r="A13535" t="inlineStr">
        <is>
          <t>Eniripsa Feu opti</t>
        </is>
      </c>
      <c r="B13535">
        <f>HYPERLINK("https://www.dofusbook.net/fr/equipement/3922833-eniripsa-feu-opti/objets", "link")</f>
        <v/>
      </c>
      <c r="C13535" t="n">
        <v>2</v>
      </c>
      <c r="D13535" t="inlineStr">
        <is>
          <t>Arc corrompu; Amulette Volkorne; Bague Gloursonne; Anneau Volkorne; Quatre-feuilles; Croture; Coiffe de Padgref; Cape de Diondin; Bottes de Meno; Dofus Turquoise; Dofus Pourpre; Nomade; Remueur; Vigoureux majeur; Érudit majeur; Dragodinde Emeraude et Orchidée</t>
        </is>
      </c>
    </row>
    <row r="13536">
      <c r="A13536" t="inlineStr">
        <is>
          <t>terre air</t>
        </is>
      </c>
      <c r="B13536">
        <f>HYPERLINK("https://www.dofusbook.net/fr/equipement/2607243-terre-air/objets", "link")</f>
        <v/>
      </c>
      <c r="C13536" t="n">
        <v>4</v>
      </c>
      <c r="D13536" t="inlineStr">
        <is>
          <t>Hache Téroïde; Amulette Volkorne; Bague Gloursonne; Bracelet du Piloztère; Bouclier du Captain Amakna; Ceinture Volkorne; Bonnet Ko; Voile d'encre; Bottes du Roi Joueur; Dofus Pourpre; Dofus Turquoise; Dofus Ocre; Remueur; Vigoureux majeur; Nomade; Muldo Doré et Emeraude</t>
        </is>
      </c>
    </row>
    <row r="13537">
      <c r="A13537" t="inlineStr">
        <is>
          <t>feu eau</t>
        </is>
      </c>
      <c r="B13537">
        <f>HYPERLINK("https://www.dofusbook.net/fr/equipement/1631362-feu-eau/objets", "link")</f>
        <v/>
      </c>
      <c r="C13537" t="n">
        <v>0</v>
      </c>
      <c r="D13537" t="inlineStr">
        <is>
          <t>Baguette Hique; Amulette Volkorne; Bracelet du Piloztère; Anneau Volkorne; Quatre-feuilles; Ceintrigue; Bonnet Ko; Cape de la Dame du Hasard; Bottes de Meno; Dofus Pourpre; Dofus Turquoise; Remueur; Miraculé majeur; Vigoureux majeur; Nomade; Muldo Doré et Emeraude</t>
        </is>
      </c>
    </row>
    <row r="13538">
      <c r="A13538" t="inlineStr">
        <is>
          <t>Multi pas cher</t>
        </is>
      </c>
      <c r="B13538">
        <f>HYPERLINK("https://www.dofusbook.net/fr/equipement/4192458-multi-pas-cher/objets", "link")</f>
        <v/>
      </c>
      <c r="C13538" t="n">
        <v>5</v>
      </c>
      <c r="D13538" t="inlineStr">
        <is>
          <t>Bâtonnet Ronien; Amulette du Strigide; Anneau de Padgref; Bracelet du Piloztère; Quatre-feuilles; Ceintacé; Coiffe de Padgref; Chevelure de Tal Kasha; Pantoufles Émar; Dofus Pourpre; Dofus Turquoise; Dolmanax; Vigoureux majeur; Nomade; Kokulte</t>
        </is>
      </c>
    </row>
    <row r="13539">
      <c r="A13539" t="inlineStr">
        <is>
          <t>Enutrof M 200</t>
        </is>
      </c>
      <c r="B13539">
        <f>HYPERLINK("https://www.dofusbook.net/fr/equipement/4773590-enutrof-m-200/objets", "link")</f>
        <v/>
      </c>
      <c r="C13539" t="n">
        <v>10</v>
      </c>
      <c r="D13539" t="inlineStr">
        <is>
          <t>Baguette Hique; Amulette des Chocomanciens; Pikano; Anneau Tamie; Bouclier cubiste; Ceinture des Chocomanciens; Casquette de Meno; Cape Peupret; Bottes de la Dame du Hasard; Dofus Ocre; Nomade; Entraveur majeur; Remueur; Temporiseur majeur; Vigoureux majeur; Gwo Tofu Ventripotent</t>
        </is>
      </c>
    </row>
    <row r="13540">
      <c r="A13540" t="inlineStr">
        <is>
          <t>Stuff 3</t>
        </is>
      </c>
      <c r="B13540">
        <f>HYPERLINK("https://www.dofusbook.net/fr/equipement/99530-stuff-3/objets", "link")</f>
        <v/>
      </c>
      <c r="C13540" t="n">
        <v>1</v>
      </c>
      <c r="D13540" t="inlineStr">
        <is>
          <t>Marteau R'ture; Amulette Volkorne; Anneau Crustique; Anneau Crustique; Bouclier du Captain Amakna; Ceinture Volkorne; Masque de Koutoulou; Cape au Logis; Bottes du Cœur Saignant; Dofus Pourpre; Dofus Turquoise; Vigoureux majeur; Enragé majeur; Remueur; Nomade; Dragodinde Prune et Pourpre</t>
        </is>
      </c>
    </row>
    <row r="13541">
      <c r="A13541" t="inlineStr">
        <is>
          <t>Terre</t>
        </is>
      </c>
      <c r="B13541">
        <f>HYPERLINK("https://www.dofusbook.net/fr/equipement/2546130-terre-/objets", "link")</f>
        <v/>
      </c>
      <c r="C13541" t="n">
        <v>1</v>
      </c>
      <c r="D13541" t="inlineStr">
        <is>
          <t>Arc du Chalœil; Amulette Volkorne; Anneau Crustique; Anneau Crustique; Quatre-feuilles; Ceinture Volkorne; Masque de Koutoulou; Cape au Logis; Bottes du Cœur Saignant; Dofus Pourpre; Dofus Turquoise; Remueur; Nomade; Vigoureux majeur; Enragé majeur; Dragodinde Prune et Pourpre</t>
        </is>
      </c>
    </row>
    <row r="13542">
      <c r="A13542" t="inlineStr">
        <is>
          <t>Enutrof M 200</t>
        </is>
      </c>
      <c r="B13542">
        <f>HYPERLINK("https://www.dofusbook.net/fr/equipement/4894345-enutrof-m-200/objets", "link")</f>
        <v/>
      </c>
      <c r="C13542" t="n">
        <v>0</v>
      </c>
      <c r="D13542" t="inlineStr">
        <is>
          <t>Dagues Açantes; Amulette Hale; Pikano; Gelano; Bouclier cubiste; Ceinture Glaciale; Casquipik; Cape Peupret; Bottes du Glourséleste; Dofus Pourpre; Dofus Émeraude; Entraveur majeur; Nomade; Temporiseur majeur; Remueur; Volkorne Turquoise</t>
        </is>
      </c>
    </row>
    <row r="13543">
      <c r="A13543" t="inlineStr">
        <is>
          <t>air terre double rdv</t>
        </is>
      </c>
      <c r="B13543">
        <f>HYPERLINK("https://www.dofusbook.net/fr/equipement/99524-air-terre-double-rdv/objets", "link")</f>
        <v/>
      </c>
      <c r="C13543" t="n">
        <v>1</v>
      </c>
      <c r="D13543" t="inlineStr">
        <is>
          <t>Spatule Tranche-Gourmands; Amulette du Strigide; Bracelet du Piloztère; Anneau de Brouce; Bouclier du Captain Amakna; Ceinture du Strigide; Coiffe de la Reine des Voleurs; Cape du Kamasterisk; Baleinabottes; Dofus Pourpre; Dofus Turquoise; Remueur; Nomade; Vigoureux majeur; Miraculé majeur; Kramkram</t>
        </is>
      </c>
    </row>
    <row r="13544">
      <c r="A13544" t="inlineStr">
        <is>
          <t>Feu pvp</t>
        </is>
      </c>
      <c r="B13544">
        <f>HYPERLINK("https://www.dofusbook.net/fr/equipement/2188940-feu-pvp/objets", "link")</f>
        <v/>
      </c>
      <c r="C13544" t="n">
        <v>1</v>
      </c>
      <c r="D13544" t="inlineStr">
        <is>
          <t>Héqache; Amulette Héroclite; Bague Gloursonne; Anneau de Brouce; Bouclier du Stalak; Ceinture de Brouce; Coiffe de la Reine des Voleurs; Cape au Logis; Baleinabottes; Saccageur Terre majeur; Forcené majeur; Dévastateur Terre majeur; Nomade; Enragé majeur; Remueur; Kompost</t>
        </is>
      </c>
    </row>
    <row r="13545">
      <c r="A13545" t="inlineStr">
        <is>
          <t>Eau ret</t>
        </is>
      </c>
      <c r="B13545">
        <f>HYPERLINK("https://www.dofusbook.net/fr/equipement/2618246-eau-ret/objets", "link")</f>
        <v/>
      </c>
      <c r="C13545" t="n">
        <v>1</v>
      </c>
      <c r="D13545" t="inlineStr">
        <is>
          <t>Dagues Açantes; Amulette du Glourséleste; Gelano; Pikano; Bouclier cubiste; Ceinture du Strigide; Casquipik; Cape Peupret; Chaussures Face; Dofus Pourpre; Remueur; Temporiseur; Entraveur majeur; Ralentisseur majeur; Temporiseur majeur; Volkorne Turquoise</t>
        </is>
      </c>
    </row>
    <row r="13546">
      <c r="A13546" t="inlineStr">
        <is>
          <t>terre</t>
        </is>
      </c>
      <c r="B13546">
        <f>HYPERLINK("https://www.dofusbook.net/fr/equipement/3774785-terre-/objets", "link")</f>
        <v/>
      </c>
      <c r="C13546" t="n">
        <v>0</v>
      </c>
      <c r="D13546" t="inlineStr">
        <is>
          <t>Bâton Brageut; Amulette Volkorne; Bracelet du Piloztère; Anneau de Padgref; Bouclier du Captain Amakna; Ceinture Volkorne; Coiffe de Padgref; Cape de la Dame du Hasard; Getas de Padgref; Dofus Nébuleux; Dolmanax; Dofus Turquoise; Dofus Pourpre; Dofus Ocre; Muldo Prune et Doré</t>
        </is>
      </c>
    </row>
    <row r="13547">
      <c r="A13547" t="inlineStr">
        <is>
          <t>wut</t>
        </is>
      </c>
      <c r="B13547">
        <f>HYPERLINK("https://www.dofusbook.net/fr/equipement/2768273-wut/objets", "link")</f>
        <v/>
      </c>
      <c r="C13547" t="n">
        <v>4</v>
      </c>
      <c r="D13547" t="inlineStr">
        <is>
          <t>Marteau du Glouragan; Amulette du Strigide; Bague Trithon; Anneau de Padgref; Bouclier du Captain Amakna; Ceinture du Strigide; Coiffe de Padgref; Chevelure de Tal Kasha; Getas de Padgref; Dofus Pourpre; Dofus Nébuleux; Dofus Turquoise; Dolmanax; Dofus Vulbis; Puissant majeur; Kokulte</t>
        </is>
      </c>
    </row>
    <row r="13548">
      <c r="A13548" t="inlineStr">
        <is>
          <t>new enu</t>
        </is>
      </c>
      <c r="B13548">
        <f>HYPERLINK("https://www.dofusbook.net/fr/equipement/2594914-new-enu/objets", "link")</f>
        <v/>
      </c>
      <c r="C13548" t="n">
        <v>0</v>
      </c>
      <c r="D13548" t="inlineStr">
        <is>
          <t>Dagues Açantes; Amulette du Strigide; Bracelet du Piloztère; Gelano; Bouclier cubiste; Ceinture du Strigide; Kidibonnet; Cape Peupret; Bottes du Glourséleste; Dofus Pourpre; Dofus Turquoise; Entraveur majeur; Nomade; Temporiseur majeur; Remueur; Léopardo</t>
        </is>
      </c>
    </row>
    <row r="13549">
      <c r="A13549" t="inlineStr">
        <is>
          <t>Enutrof M 200</t>
        </is>
      </c>
      <c r="B13549">
        <f>HYPERLINK("https://www.dofusbook.net/fr/equipement/4223710-enutrof-m-200/objets", "link")</f>
        <v/>
      </c>
      <c r="C13549" t="n">
        <v>1</v>
      </c>
      <c r="D13549" t="inlineStr">
        <is>
          <t>Dagues Açantes; Amulette Luminescente; Anneau de la Fuji Givrefoux; Pikano; Bouclier cubiste; Ceinture Luminescente; Casquipik; Cape Luminescente; Pikottes</t>
        </is>
      </c>
    </row>
    <row r="13550">
      <c r="A13550" t="inlineStr">
        <is>
          <t>Sram M 200</t>
        </is>
      </c>
      <c r="B13550">
        <f>HYPERLINK("https://www.dofusbook.net/fr/equipement/4213034-sram-m-200/objets", "link")</f>
        <v/>
      </c>
      <c r="C13550" t="n">
        <v>0</v>
      </c>
      <c r="D13550" t="inlineStr">
        <is>
          <t>Bâton Beau; Amulette du Strigide; Bracelet du Piloztère; Anneau des égarés; Bouclier du Captain Amakna; Ceinture Volkorne; Casque Volkorne; Cape du Kamasterisk; Bottes du Cœur Vaillant; Dofus Ocre; Dofus Pourpre; Dofus Turquoise; Vigoureux majeur; Nomade; Remueur; Volkorne Emeraude et Pourpre</t>
        </is>
      </c>
    </row>
    <row r="13551">
      <c r="A13551" t="inlineStr">
        <is>
          <t>air terre double str</t>
        </is>
      </c>
      <c r="B13551">
        <f>HYPERLINK("https://www.dofusbook.net/fr/equipement/99523-air-terre-double-str/objets", "link")</f>
        <v/>
      </c>
      <c r="C13551" t="n">
        <v>0</v>
      </c>
      <c r="D13551" t="inlineStr">
        <is>
          <t>Lance corrompue; Amulette du Strigide; Bracelet du Piloztère; Anneau des égarés; Ceintouse; Coiffe de la Reine des Voleurs; Cape du Kamasterisk; Bottes du Strigide; Dofus des Glaces; Dofus Ocre; Vigoureux majeur; Nomade; Remueur; Carapace Eau majeur; Kramkram</t>
        </is>
      </c>
    </row>
    <row r="13552">
      <c r="A13552" t="inlineStr">
        <is>
          <t>Zobal air pas cher</t>
        </is>
      </c>
      <c r="B13552">
        <f>HYPERLINK("https://www.dofusbook.net/fr/equipement/3943902-zobal-air-pas-cher/objets", "link")</f>
        <v/>
      </c>
      <c r="C13552" t="n">
        <v>1</v>
      </c>
      <c r="D13552" t="inlineStr">
        <is>
          <t>Karnak; Amulette du Kamasterisk; Alliance Gloursonne; Anneau d'Allister; Bivalve; Ceinture du Barbétoal; Coiffe de la Fuji Givrefoux; Cape Matelassée; Bottes d'Allister; Nomade; Cascadeur majeur; Remueur; Acrobate majeur; Miraculé majeur; Carapace Air majeur; Volkorne Ebène</t>
        </is>
      </c>
    </row>
    <row r="13553">
      <c r="A13553" t="inlineStr">
        <is>
          <t>eau/air</t>
        </is>
      </c>
      <c r="B13553">
        <f>HYPERLINK("https://www.dofusbook.net/fr/equipement/1597271-eau-air/objets", "link")</f>
        <v/>
      </c>
      <c r="C13553" t="n">
        <v>1</v>
      </c>
      <c r="D13553" t="inlineStr">
        <is>
          <t>Bâtonnet Ronien; Amulette du Strigide; Grésilanneau; Alliance Gloursonne; Quatre-feuilles; Ceinture du Strigide; Némès de Tal Kasha; Chevelure de Tal Kasha; Bottes du Strigide; Dofus Pourpre; Dofus Ocre; Dofus Émeraude; Dofus Nébuleux; Dofus Turquoise; Dofus Abyssal; Muldo Doré et Emeraude</t>
        </is>
      </c>
    </row>
    <row r="13554">
      <c r="A13554" t="inlineStr">
        <is>
          <t>Eau/feu ral pa</t>
        </is>
      </c>
      <c r="B13554">
        <f>HYPERLINK("https://www.dofusbook.net/fr/equipement/1597326-eau-feu-ral-pa/objets", "link")</f>
        <v/>
      </c>
      <c r="C13554" t="n">
        <v>1</v>
      </c>
      <c r="D13554" t="inlineStr">
        <is>
          <t>Arc Nécrotique; Collier de la Dame du Hasard; Anneau Tique; Alliance Gloursonne; Sept ans de malheur; Sangle Cible; Chapeau Lisson; Cape d'Atcham; Sandales  d'Atcham; Dofus Ocre; Dofus Cawotte; Dofus Turquoise; Remueur; Étourdisseur majeur; Carapace Feu majeur; Muldo Indigo et Orchidée</t>
        </is>
      </c>
    </row>
    <row r="13555">
      <c r="A13555" t="inlineStr">
        <is>
          <t>full terre</t>
        </is>
      </c>
      <c r="B13555">
        <f>HYPERLINK("https://www.dofusbook.net/fr/equipement/2547732-full-terre/objets", "link")</f>
        <v/>
      </c>
      <c r="C13555" t="n">
        <v>1</v>
      </c>
      <c r="D13555" t="inlineStr">
        <is>
          <t>Épouvante; Amulette du Strigide; Alliance Gloursonne; Bracelet du Piloztère; Quatre-feuilles; Ceintacé; Masque de Funespadon; Voile d'encre; Bottes du Strigide; Dofus Turquoise; Dofus Pourpre; Dofus Ocre; Dofus Émeraude; Nomade; Vigoureux majeur; Kramkram</t>
        </is>
      </c>
    </row>
    <row r="13556">
      <c r="A13556" t="inlineStr">
        <is>
          <t>Iop terre pas cher 2</t>
        </is>
      </c>
      <c r="B13556">
        <f>HYPERLINK("https://www.dofusbook.net/fr/equipement/3950120-iop-terre-pas-cher-2/objets", "link")</f>
        <v/>
      </c>
      <c r="C13556" t="n">
        <v>1</v>
      </c>
      <c r="D13556" t="inlineStr">
        <is>
          <t>L'Épée Nice; Amulette Héroclite; Bague Gloursonne; Anneau de Brouce; Bouclier du Captain Amakna; Ceinture de Brouce; Le Kim; Cape du Kamasterisk; Sabots Minables; Vigoureux majeur; Enragé majeur; Furibond majeur; Nomade; Miraculé majeur; Remueur; Volkorne Pourpre</t>
        </is>
      </c>
    </row>
    <row r="13557">
      <c r="A13557" t="inlineStr">
        <is>
          <t>Pandawa eau pas cher</t>
        </is>
      </c>
      <c r="B13557">
        <f>HYPERLINK("https://www.dofusbook.net/fr/equipement/3937517-pandawa-eau-pas-cher-/objets", "link")</f>
        <v/>
      </c>
      <c r="C13557" t="n">
        <v>0</v>
      </c>
      <c r="D13557" t="inlineStr">
        <is>
          <t>Hache Rot; Amulette de Danathor; Gelano; Alliance Gloursonne; Cadran d'Air; Ceinture Glaciale; Casqnoar; Cape Glaciale; Sandales Circulaires du Kimbo; Observateur; Chanceux majeur; Joueur majeur; Remueur; Miraculé majeur; Nomade; Volkorne Indigo</t>
        </is>
      </c>
    </row>
    <row r="13558">
      <c r="A13558" t="inlineStr">
        <is>
          <t>Pandawa eau pas cher</t>
        </is>
      </c>
      <c r="B13558">
        <f>HYPERLINK("https://www.dofusbook.net/fr/equipement/3922871-pandawa-eau-pas-cher/objets", "link")</f>
        <v/>
      </c>
      <c r="C13558" t="n">
        <v>1</v>
      </c>
      <c r="D13558" t="inlineStr">
        <is>
          <t>Pelle Fik; Amulette de Danathor; Alliance Gloursonne; Gelano; Cadran d'Air; Ceinture Glaciale; Coiffe de Danathor; Cape Matelassée; Sandales Circulaires du Kimbo; Chanceux majeur; Nomade; Remueur; Vigoureux majeur; Miraculé majeur; Observateur; Kramkram</t>
        </is>
      </c>
    </row>
    <row r="13559">
      <c r="A13559" t="inlineStr">
        <is>
          <t>feu feu feu</t>
        </is>
      </c>
      <c r="B13559">
        <f>HYPERLINK("https://www.dofusbook.net/fr/equipement/1523422-feu-feu-feu/objets", "link")</f>
        <v/>
      </c>
      <c r="C13559" t="n">
        <v>6</v>
      </c>
      <c r="D13559" t="inlineStr">
        <is>
          <t>Arc Hétype; Amulette Volkorne; Anneau Tamie; Anneau Tamie; Bouclier du Stalak; Ceinture Séculaire; Coiffe Séculaire; Cape de Diondin; Bottes Innommables; Dofus des Glaces; Nomade; Dévastateur Feu majeur; Remueur; Érudit majeur; Saccageur Feu majeur; Bisouglours</t>
        </is>
      </c>
    </row>
    <row r="13560">
      <c r="A13560" t="inlineStr">
        <is>
          <t>eau air</t>
        </is>
      </c>
      <c r="B13560">
        <f>HYPERLINK("https://www.dofusbook.net/fr/equipement/2646776-eau-air/objets", "link")</f>
        <v/>
      </c>
      <c r="C13560" t="n">
        <v>0</v>
      </c>
      <c r="D13560" t="inlineStr">
        <is>
          <t>Arc Ahique; Amulette d'Ilyzaelle; Gant du Valet Veinard; Alliance Gloursonne; Bouclier du Stalak; Ceinture Voldelor; Casque d'Ilyzaelle; Cape de Mantaze; Bottes de la Reine des Voleurs; Dofus des Glaces; Dofus Pourpre; Dolmanax; Dofus Ocre; Vigoureux majeur; Remueur; Muldo Ebène et Indigo</t>
        </is>
      </c>
    </row>
    <row r="13561">
      <c r="A13561" t="inlineStr">
        <is>
          <t>air eau</t>
        </is>
      </c>
      <c r="B13561">
        <f>HYPERLINK("https://www.dofusbook.net/fr/equipement/2615044-air-eau/objets", "link")</f>
        <v/>
      </c>
      <c r="C13561" t="n">
        <v>0</v>
      </c>
      <c r="D13561" t="inlineStr">
        <is>
          <t>Arc Ahique; Amulette d'Ilyzaelle; Gant du Valet Veinard; Alliance Gloursonne; Bouclier du Stalak; Menoture; Casque d'Ilyzaelle; Cape du Valet Veinard; Bottes de la Reine des Voleurs; Dofus Ocre; Dolmanax; Dofus des Glaces; Dokoko; Dofus Pourpre; Dofus Émeraude; Muldo Ebène et Indigo</t>
        </is>
      </c>
    </row>
    <row r="13562">
      <c r="A13562" t="inlineStr">
        <is>
          <t>multi crit</t>
        </is>
      </c>
      <c r="B13562">
        <f>HYPERLINK("https://www.dofusbook.net/fr/equipement/1836354-multi-crit/objets", "link")</f>
        <v/>
      </c>
      <c r="C13562" t="n">
        <v>0</v>
      </c>
      <c r="D13562" t="inlineStr">
        <is>
          <t>Marteau des égarés; Amulette du Strigide; Bracelet du Piloztère; Anneau de Padgref; Quatre-feuilles; Ceinture du Strigide; Casque du Chalœil; Cape du Chalœil; Bottes du Chalœil; Dofus Turquoise; Dolmanax; Dofus Ocre; Dofus Pourpre; Dofus des Glaces; Puissant majeur; Muldo Prune et Emeraude</t>
        </is>
      </c>
    </row>
    <row r="13563">
      <c r="A13563" t="inlineStr">
        <is>
          <t>Arc honte</t>
        </is>
      </c>
      <c r="B13563">
        <f>HYPERLINK("https://www.dofusbook.net/fr/equipement/2663603-arc-honte/objets", "link")</f>
        <v/>
      </c>
      <c r="C13563" t="n">
        <v>1</v>
      </c>
      <c r="D13563" t="inlineStr">
        <is>
          <t>Arc Honte; Amulette de l'Indicible; Anneau Tique; Alliance Gloursonne; Bouclier du Stalak; Ceinture Voldelor; Chapeau des Malveilleurs; Cape des Malveilleurs; Sandales  d'Atcham; Dofus Pourpre; Dofus Ocre; Dolmanax; Dofus des Glaces; Vigoureux majeur; Remueur; Muldo Orchidée et Pourpre</t>
        </is>
      </c>
    </row>
    <row r="13564">
      <c r="A13564" t="inlineStr">
        <is>
          <t>terre air</t>
        </is>
      </c>
      <c r="B13564">
        <f>HYPERLINK("https://www.dofusbook.net/fr/equipement/2657362-terre-air/objets", "link")</f>
        <v/>
      </c>
      <c r="C13564" t="n">
        <v>1</v>
      </c>
      <c r="D13564" t="inlineStr">
        <is>
          <t>Lance corrompue; Amulette du Kamasterisk; Alliance Gloursonne; Alliance Brûlâme; Bouclier du Captain Amakna; Ceintouse; Coiffe de la Reine des Voleurs; Cape du Kamasterisk; Baleinabottes; Dofus Ocre; Dofus des Glaces; Dofus Pourpre; Nomade; Remueur; Vigoureux majeur; Kramkram</t>
        </is>
      </c>
    </row>
    <row r="13565">
      <c r="A13565" t="inlineStr">
        <is>
          <t>multi</t>
        </is>
      </c>
      <c r="B13565">
        <f>HYPERLINK("https://www.dofusbook.net/fr/equipement/2648347-multi/objets", "link")</f>
        <v/>
      </c>
      <c r="C13565" t="n">
        <v>0</v>
      </c>
      <c r="D13565" t="inlineStr">
        <is>
          <t>Hache du Chalœil; Amulette du Strigide; Alliance Gloursonne; Bracelet du Piloztère; Bouclier du Captain Amakna; Ceintacé; Casque du Chalœil; Voile d'encre; Bottes du Strigide; Dolmanax; Dofus Pourpre; Dofus des Glaces; Dofus Turquoise; Dofus Ocre; Nomade; Kramkram</t>
        </is>
      </c>
    </row>
    <row r="13566">
      <c r="A13566" t="inlineStr">
        <is>
          <t>full feu</t>
        </is>
      </c>
      <c r="B13566">
        <f>HYPERLINK("https://www.dofusbook.net/fr/equipement/2647233-full-feu/objets", "link")</f>
        <v/>
      </c>
      <c r="C13566" t="n">
        <v>3</v>
      </c>
      <c r="D13566" t="inlineStr">
        <is>
          <t>Arc corrompu; Amulette du Strigide; Anneauræus; Bague Gloursonne; Bouclier Feudala; Ceinture du Strigide; Heaume Oplate; Voile d'encre; Bottes de Meno; Dofus Turquoise; Dofus Émeraude; Dofus Pourpre; Remueur; Érudit majeur; Vigoureux majeur; Muldo Orchidée et Pourpre</t>
        </is>
      </c>
    </row>
    <row r="13567">
      <c r="A13567" t="inlineStr">
        <is>
          <t>full terre</t>
        </is>
      </c>
      <c r="B13567">
        <f>HYPERLINK("https://www.dofusbook.net/fr/equipement/2583924-full-terre/objets", "link")</f>
        <v/>
      </c>
      <c r="C13567" t="n">
        <v>1</v>
      </c>
      <c r="D13567" t="inlineStr">
        <is>
          <t>Dagues d'Ilyzaelle; Amulette du Strigide; Anneau Chevelu; Bague Gloursonne; Bouclier du Captain Amakna; Ceinture du Strigide; Bonnet Ko; Voile d'encre; Bottes de la Cour Sombre; Dofus Pourpre; Dofus Turquoise; Dofus Ocre; Vigoureux majeur; Nomade; Remueur; Muldo Doré et Emeraude</t>
        </is>
      </c>
    </row>
    <row r="13568">
      <c r="A13568" t="inlineStr">
        <is>
          <t>terre eau air 2</t>
        </is>
      </c>
      <c r="B13568">
        <f>HYPERLINK("https://www.dofusbook.net/fr/equipement/2582916-terre-eau-air-2/objets", "link")</f>
        <v/>
      </c>
      <c r="C13568" t="n">
        <v>0</v>
      </c>
      <c r="D13568" t="inlineStr">
        <is>
          <t>Pelle de Nidas; Amulette du Strigide; Alliance Gloursonne; Bracelet du Piloztère; Bouclier du Captain Amakna; Ceintacé; Coiffe d'Ogivol; Cape du Chalœil; Bottes du Strigide; Dofus Turquoise; Dofus Ocre; Dofus Pourpre; Dofus Émeraude; Nomade; Vigoureux majeur; Kramkram</t>
        </is>
      </c>
    </row>
    <row r="13569">
      <c r="A13569" t="inlineStr">
        <is>
          <t>terre eau air</t>
        </is>
      </c>
      <c r="B13569">
        <f>HYPERLINK("https://www.dofusbook.net/fr/equipement/2550853-terre-eau-air/objets", "link")</f>
        <v/>
      </c>
      <c r="C13569" t="n">
        <v>0</v>
      </c>
      <c r="D13569" t="inlineStr">
        <is>
          <t>Pelle de Nidas; Amulette du Strigide; Bracelet du Piloztère; Alliance Gloursonne; Bouclier du Captain Amakna; Ceintacé; Coiffe de la Reine des Voleurs; Cape du Chalœil; Bottes de la Reine des Voleurs; Dofus Pourpre; Dofus des Glaces; Dofus Turquoise; Dofus Émeraude; Dofus Ocre; Carapace Eau majeur; Muldo Ebène et Orchidée</t>
        </is>
      </c>
    </row>
    <row r="13570">
      <c r="A13570" t="inlineStr">
        <is>
          <t>actuel</t>
        </is>
      </c>
      <c r="B13570">
        <f>HYPERLINK("https://www.dofusbook.net/fr/equipement/99519-actuel/objets", "link")</f>
        <v/>
      </c>
      <c r="C13570" t="n">
        <v>1</v>
      </c>
      <c r="D13570" t="inlineStr">
        <is>
          <t>Sabres d'Atcham; Amulette du Strigide; Bracelet du Piloztère; Alliance Gloursonne; Quatre-feuilles; Ceintacé; Chapeau des Malveilleurs; Voile d'encre; Bottes du Strigide; Dofus Pourpre; Dofus Ocre; Dofus Turquoise; Nomade; Vigoureux majeur; Remueur; Kramkram</t>
        </is>
      </c>
    </row>
    <row r="13571">
      <c r="A13571" t="inlineStr">
        <is>
          <t>feu terre eau</t>
        </is>
      </c>
      <c r="B13571">
        <f>HYPERLINK("https://www.dofusbook.net/fr/equipement/2544921-feu-terre-eau/objets", "link")</f>
        <v/>
      </c>
      <c r="C13571" t="n">
        <v>1</v>
      </c>
      <c r="D13571" t="inlineStr">
        <is>
          <t>Hache du Chalœil; Amulette du Strigide; Alliance Gloursonne; Bracelet du Piloztère; Bouclier du Captain Amakna; Ceinture du Strigide; Bonnet Ko; Voile d'encre; Bottes du Chalœil; Dofus Pourpre; Dofus Turquoise; Dofus Émeraude; Dofus Ocre; Nomade; Remueur; Muldo Indigo et Pourpre</t>
        </is>
      </c>
    </row>
    <row r="13572">
      <c r="A13572" t="inlineStr">
        <is>
          <t>Arc ahique</t>
        </is>
      </c>
      <c r="B13572">
        <f>HYPERLINK("https://www.dofusbook.net/fr/equipement/2539248-arc-ahique/objets", "link")</f>
        <v/>
      </c>
      <c r="C13572" t="n">
        <v>0</v>
      </c>
      <c r="D13572" t="inlineStr">
        <is>
          <t>Héqache; Amulette du Strigide; Anneau des égarés; Bracelet du Piloztère; Bouclier du Captain Amakna; Ceintouse; Masque Brûlâme; Cape du Chalœil; Pompes Funèbres; Dofus Émeraude; Dofus Ocre; Dofus Pourpre; Dofus Turquoise; Vigoureux majeur; Remueur; Muldo Prune et Indigo</t>
        </is>
      </c>
    </row>
    <row r="13573">
      <c r="A13573" t="inlineStr">
        <is>
          <t>eau air 2</t>
        </is>
      </c>
      <c r="B13573">
        <f>HYPERLINK("https://www.dofusbook.net/fr/equipement/2194477-eau-air-2/objets", "link")</f>
        <v/>
      </c>
      <c r="C13573" t="n">
        <v>0</v>
      </c>
      <c r="D13573" t="inlineStr">
        <is>
          <t>Epée Loponèze; Amulette du Strigide; Bracelet du Piloztère; Alliance Gloursonne; Bouclier Taverne; Ceintacé; Dorabysses; Cape d'Anerice; Bottes du Strigide; Dofus Émeraude; Dofus des Glaces; Dofus Pourpre; Dofus Abyssal; Dofus Ocre; Dofus Turquoise; Muldo Orchidée et Pourpre</t>
        </is>
      </c>
    </row>
    <row r="13574">
      <c r="A13574" t="inlineStr">
        <is>
          <t>eau/air 3</t>
        </is>
      </c>
      <c r="B13574">
        <f>HYPERLINK("https://www.dofusbook.net/fr/equipement/2194309-eau-air-3/objets", "link")</f>
        <v/>
      </c>
      <c r="C13574" t="n">
        <v>0</v>
      </c>
      <c r="D13574" t="inlineStr">
        <is>
          <t>Epée Loponèze; Amulette Voldelor; Alliance Gloursonne; Bracelet du Piloztère; Bouclier précieux; Ceinture Voldelor; Chapeau des Malveilleurs; Cape Matelassée; Sandales de Tal Kasha; Dofus Turquoise; Dofus Ocre; Dofus Émeraude; Dofus Abyssal; Carapace Air majeur; Vigoureux majeur; Muldo Prune et Ebène</t>
        </is>
      </c>
    </row>
    <row r="13575">
      <c r="A13575" t="inlineStr">
        <is>
          <t>eau/air 2</t>
        </is>
      </c>
      <c r="B13575">
        <f>HYPERLINK("https://www.dofusbook.net/fr/equipement/2194210-eau-air-2/objets", "link")</f>
        <v/>
      </c>
      <c r="C13575" t="n">
        <v>0</v>
      </c>
      <c r="D13575" t="inlineStr">
        <is>
          <t>Epée Loponèze; Amulette du Strigide; Anneau de Pol Ouatnos; Alliance Gloursonne; Ceinture du Strigide; Némès de Tal Kasha; Chevelure de Tal Kasha; Bottes du Strigide; Dofus Turquoise; Dofus Émeraude; Dofus Ocre; Dofus Pourpre; Dofus Abyssal; Survivant majeur; Muldo Indigo et Orchidée</t>
        </is>
      </c>
    </row>
    <row r="13576">
      <c r="A13576" t="inlineStr">
        <is>
          <t>Terre eau air 1</t>
        </is>
      </c>
      <c r="B13576">
        <f>HYPERLINK("https://www.dofusbook.net/fr/equipement/2172366-terre-eau-air-1/objets", "link")</f>
        <v/>
      </c>
      <c r="C13576" t="n">
        <v>0</v>
      </c>
      <c r="D13576" t="inlineStr">
        <is>
          <t>Hache du Chalœil; Amulette du Strigide; Bague Gloursonne; Bracelet du Piloztère; Quatre-feuilles; Ceintacé; Casque du Chalœil; Voile d'encre; Bottes du Strigide; Dofus Turquoise; Dofus Nébuleux; Dofus Ocre; Dolmanax; Dofus Pourpre; Dofus des Glaces; Muldo Orchidée et Pourpre</t>
        </is>
      </c>
    </row>
    <row r="13577">
      <c r="A13577" t="inlineStr">
        <is>
          <t>Terre eau air 2</t>
        </is>
      </c>
      <c r="B13577">
        <f>HYPERLINK("https://www.dofusbook.net/fr/equipement/2190813-terre-eau-air-2/objets", "link")</f>
        <v/>
      </c>
      <c r="C13577" t="n">
        <v>0</v>
      </c>
      <c r="D13577" t="inlineStr">
        <is>
          <t>Hache du Chalœil; Amulette de l'Indicible; Bague Gloursonne; Bracelet du Piloztère; Quatre-feuilles; Ceintacé; Casque du Chalœil; Voile d'encre; Bottes du Chalœil; Dofus Turquoise; Dofus Émeraude; Dofus Ocre; Dofus Pourpre; Dofus des Glaces; Carapace Terre majeur; Muldo Orchidée et Pourpre</t>
        </is>
      </c>
    </row>
    <row r="13578">
      <c r="A13578" t="inlineStr">
        <is>
          <t>air terre 2 égarés</t>
        </is>
      </c>
      <c r="B13578">
        <f>HYPERLINK("https://www.dofusbook.net/fr/equipement/2188473-air-terre-2-egares/objets", "link")</f>
        <v/>
      </c>
      <c r="C13578" t="n">
        <v>0</v>
      </c>
      <c r="D13578" t="inlineStr">
        <is>
          <t>Lance corrompue; Amulette du Kamasterisk; Anneau des égarés; Gant du Valet Veinard; Bouclier Feudala; Ceintouse; Casque des égarés; Cape du Kamasterisk; Bottes du Kamasterisk; Dofus Pourpre; Dofus Émeraude; Dofus Ocre; Dolmanax; Dofus des Glaces; Muldo Indigo et Pourpre</t>
        </is>
      </c>
    </row>
    <row r="13579">
      <c r="A13579" t="inlineStr">
        <is>
          <t>air terre double kam</t>
        </is>
      </c>
      <c r="B13579">
        <f>HYPERLINK("https://www.dofusbook.net/fr/equipement/2188384-air-terre-double-kam/objets", "link")</f>
        <v/>
      </c>
      <c r="C13579" t="n">
        <v>0</v>
      </c>
      <c r="D13579" t="inlineStr">
        <is>
          <t>Lance corrompue; Amulette du Kamasterisk; Bracelet du Piloztère; Anneau des égarés; Bouclier Terrdala; Ceintouse; Casque des égarés; Cape du Kamasterisk; Bottes du Kamasterisk; Dolmanax; Dofus Ocre; Dofus Émeraude; Dofus des Glaces; Dofus Pourpre; Tacleur majeur; Muldo Indigo et Pourpre</t>
        </is>
      </c>
    </row>
    <row r="13580">
      <c r="A13580" t="inlineStr">
        <is>
          <t>eau/air</t>
        </is>
      </c>
      <c r="B13580">
        <f>HYPERLINK("https://www.dofusbook.net/fr/equipement/2187158-eau-air/objets", "link")</f>
        <v/>
      </c>
      <c r="C13580" t="n">
        <v>1</v>
      </c>
      <c r="D13580" t="inlineStr">
        <is>
          <t>Epée Loponèze; Amulette du Strigide; Alliance Gloursonne; Bracelet du Piloztère; Bouclier Terrdala; Ceinture du Strigide; Dorabysses; Capille; Bottes de la Reine des Voleurs; Dofus Turquoise; Dofus Pourpre; Dofus Ocre; Dofus Émeraude; Dofus des Glaces; Remueur; Muldo Orchidée et Pourpre</t>
        </is>
      </c>
    </row>
    <row r="13581">
      <c r="A13581" t="inlineStr">
        <is>
          <t>Stuff 1</t>
        </is>
      </c>
      <c r="B13581">
        <f>HYPERLINK("https://www.dofusbook.net/fr/equipement/99537-stuff-1/objets", "link")</f>
        <v/>
      </c>
      <c r="C13581" t="n">
        <v>0</v>
      </c>
      <c r="D13581" t="inlineStr">
        <is>
          <t>Arc de Koutoulou; Amulette d'Ilyzaelle; Bracelet du Piloztère; Alliance Gloursonne; Bouclier du Stalak; Ceinture Voldelor; Casque d'Ilyzaelle; Cape du Chalœil; Bottes de la Reine des Voleurs; Dofus Pourpre; Dofus Ocre; Dofus des Glaces; Vigoureux majeur; Remueur; Carapace Air majeur; Muldo Ebène et Indigo</t>
        </is>
      </c>
    </row>
    <row r="13582">
      <c r="A13582" t="inlineStr">
        <is>
          <t>Eau</t>
        </is>
      </c>
      <c r="B13582">
        <f>HYPERLINK("https://www.dofusbook.net/fr/equipement/1971335-eau/objets", "link")</f>
        <v/>
      </c>
      <c r="C13582" t="n">
        <v>1</v>
      </c>
      <c r="D13582" t="inlineStr">
        <is>
          <t>Sceptre du Roi Joueur; Amulette du Sinistrofu; Bracelet des Fonds marins; Alliance Gloursonne; Bouclier Akwadala; Pagne du Rykaon; Masque des Fonds marins; Cape du Sinistrofu; Bottes du Sinistrofu; Dofus Turquoise; Dofus Abyssal; Dofus Émeraude; Dofus Ocre; Dofus Pourpre; Survivant majeur; Muldo Ebène et Indigo</t>
        </is>
      </c>
    </row>
    <row r="13583">
      <c r="A13583" t="inlineStr">
        <is>
          <t>Full terre</t>
        </is>
      </c>
      <c r="B13583">
        <f>HYPERLINK("https://www.dofusbook.net/fr/equipement/1606360-full-terre/objets", "link")</f>
        <v/>
      </c>
      <c r="C13583" t="n">
        <v>0</v>
      </c>
      <c r="D13583" t="inlineStr">
        <is>
          <t>Marteau R'ture; Amulette Luminescente; Chevalière du Roi Joueur; Pikano; Ceinture Luminescente; Couronne du Roi Joueur; Cape Luminescente; Bottes du Roi Joueur; Dofus Émeraude; Dofus Nébuleux; Dofus Turquoise; Dofus Abyssal; Dofus Pourpre; Dofus Ocre; Muldo Indigo et Pourpre</t>
        </is>
      </c>
    </row>
    <row r="13584">
      <c r="A13584" t="inlineStr">
        <is>
          <t>anti feca</t>
        </is>
      </c>
      <c r="B13584">
        <f>HYPERLINK("https://www.dofusbook.net/fr/equipement/1606187-anti-feca/objets", "link")</f>
        <v/>
      </c>
      <c r="C13584" t="n">
        <v>0</v>
      </c>
      <c r="D13584" t="inlineStr">
        <is>
          <t>Marteau R'ture; Amulette du Strigide; Bague Gloursonne; Anneau Crustique; Bouclier du Stalak; Ceinture du Strigide; Chapeau de Gein; Voile d'encre; Bottes de la Cour Sombre; Dofus Ocre; Dofus Pourpre; Dofus Nébuleux; Dofus Turquoise; Remueur; Enragé majeur; Muldo Orchidée et Pourpre</t>
        </is>
      </c>
    </row>
    <row r="13585">
      <c r="A13585" t="inlineStr">
        <is>
          <t>Eau air cc</t>
        </is>
      </c>
      <c r="B13585">
        <f>HYPERLINK("https://www.dofusbook.net/fr/equipement/1597093-eau-air-cc/objets", "link")</f>
        <v/>
      </c>
      <c r="C13585" t="n">
        <v>0</v>
      </c>
      <c r="D13585" t="inlineStr">
        <is>
          <t>Bâtonnet Ronien; Amulette du Strigide; Alliance Gloursonne; Grésilanneau; Quatre-feuilles; Ceinture du Strigide; Némès de Tal Kasha; Chevelure de Tal Kasha; Bottes du Strigide; Dofus Turquoise; Dofus Abyssal; Dofus Pourpre; Dofus Ocre; Dofus Émeraude; Dofus Nébuleux; Muldo Doré et Emeraude</t>
        </is>
      </c>
    </row>
    <row r="13586">
      <c r="A13586" t="inlineStr">
        <is>
          <t>Eau air crit</t>
        </is>
      </c>
      <c r="B13586">
        <f>HYPERLINK("https://www.dofusbook.net/fr/equipement/1595986-eau-air-crit/objets", "link")</f>
        <v/>
      </c>
      <c r="C13586" t="n">
        <v>0</v>
      </c>
      <c r="D13586" t="inlineStr">
        <is>
          <t>Bâtonnet Ronien; Amulette du Strigide; Grésilanneau; Alliance Gloursonne; Quatre-feuilles; Ceinture du Strigide; Némès de Tal Kasha; Chevelure de Tal Kasha; Bottes du Strigide; Dofus Nébuleux; Dofus Émeraude; Dofus Ocre; Dofus Pourpre; Dofus Abyssal; Dofus Turquoise; Muldo Doré et Emeraude</t>
        </is>
      </c>
    </row>
    <row r="13587">
      <c r="A13587" t="inlineStr">
        <is>
          <t>feu eau soin</t>
        </is>
      </c>
      <c r="B13587">
        <f>HYPERLINK("https://www.dofusbook.net/fr/equipement/1505582-feu-eau-soin/objets", "link")</f>
        <v/>
      </c>
      <c r="C13587" t="n">
        <v>1</v>
      </c>
      <c r="D13587" t="inlineStr">
        <is>
          <t>Pelle de Katrepat; Talisman Igans; Chevalière du Roi Joueur; Alliance Gloursonne; Sangle Ouare; Chapeau des Malveilleurs; Cape de Meno; Bottes de Meno; Dofus Ocre; Dofus Pourpre; Dofus Émeraude; Dofus Turquoise; Miraculé majeur; Remueur; Kramkram</t>
        </is>
      </c>
    </row>
    <row r="13588">
      <c r="A13588" t="inlineStr">
        <is>
          <t>crit</t>
        </is>
      </c>
      <c r="B13588">
        <f>HYPERLINK("https://www.dofusbook.net/fr/equipement/1465307-crit/objets", "link")</f>
        <v/>
      </c>
      <c r="C13588" t="n">
        <v>0</v>
      </c>
      <c r="D13588" t="inlineStr">
        <is>
          <t>Epée Maudite du Saigneur Guerrier; Amulette du Strigide; Alliance Gloursonne; Bracelet du Piloztère; Ceinture du Strigide; Némès de Tal Kasha; Chevelure de Tal Kasha; Bottes du Strigide; Dofus Turquoise; Dofus Abyssal; Dofus Émeraude; Dofus Ocre; Dofus Pourpre; Dofus Nébuleux; Muldo Ebène et Indigo</t>
        </is>
      </c>
    </row>
    <row r="13589">
      <c r="A13589" t="inlineStr">
        <is>
          <t>Tacle res</t>
        </is>
      </c>
      <c r="B13589">
        <f>HYPERLINK("https://www.dofusbook.net/fr/equipement/99516-tacle-res/objets", "link")</f>
        <v/>
      </c>
      <c r="C13589" t="n">
        <v>2</v>
      </c>
      <c r="D13589" t="inlineStr">
        <is>
          <t>Epée Gloursonne; Amulette du Strigide; Alliance Gloursonne; Bague Gloursonne; Ceinture du Strigide; Casque Dragoeuf; Cape de la Fuji Givrefoux; Bottes du Strigide; Dofus Émeraude; Dofus Ocre; Tacleur majeur; Bloqueur majeur; Bloqueur; Tacleur; Blokus</t>
        </is>
      </c>
    </row>
    <row r="13590">
      <c r="A13590" t="inlineStr">
        <is>
          <t>Duo comte</t>
        </is>
      </c>
      <c r="B13590">
        <f>HYPERLINK("https://www.dofusbook.net/fr/equipement/1146632-duo-comte/objets", "link")</f>
        <v/>
      </c>
      <c r="C13590" t="n">
        <v>1</v>
      </c>
      <c r="D13590" t="inlineStr">
        <is>
          <t>Baguette de Malléfisk; Amulette Séculaire; Bague Gloursonne; Alliance de Missiz Frizz; Bouclier du Mont Kipou; Ceinture de Vortex; Coiffe Séculaire; Cape de Nileza; Bottes de Meno; Dofus Ocre; Remueur; Vigoureux majeur; Nomade; Miraculé majeur; Érudit majeur; Kwaltess</t>
        </is>
      </c>
    </row>
    <row r="13591">
      <c r="A13591" t="inlineStr">
        <is>
          <t>Ret pa</t>
        </is>
      </c>
      <c r="B13591">
        <f>HYPERLINK("https://www.dofusbook.net/fr/equipement/99548-ret-pa/objets", "link")</f>
        <v/>
      </c>
      <c r="C13591" t="n">
        <v>0</v>
      </c>
      <c r="D13591" t="inlineStr">
        <is>
          <t>Dagoulinantes; Collier de la Dame du Hasard; Anneau Crustique; Alliance Gloursonne; Sangle Cible; Cagoule de Vortex; Cape Matelassée; Sabots de Vortex; Carapace Air majeur; Remueur; Miraculé majeur; Nomade; Observateur; Étourdisseur majeur; Kramkram</t>
        </is>
      </c>
    </row>
    <row r="13592">
      <c r="A13592" t="inlineStr">
        <is>
          <t>Eau ret pa</t>
        </is>
      </c>
      <c r="B13592">
        <f>HYPERLINK("https://www.dofusbook.net/fr/equipement/99546-eau-ret-pa/objets", "link")</f>
        <v/>
      </c>
      <c r="C13592" t="n">
        <v>0</v>
      </c>
      <c r="D13592" t="inlineStr">
        <is>
          <t>Dagoulinantes; Amulette de Shokkoth; Alliance Gloursonne; Anneau Crustique; Ceinture du Barbétoal; Masque du Barbétoal; Cape Matelassée; Pataugastrique; Dofus des Glaces; Dofus Turquoise; Étourdisseur majeur; Nomade; Carapace Eau majeur; Remueur</t>
        </is>
      </c>
    </row>
    <row r="13593">
      <c r="A13593" t="inlineStr">
        <is>
          <t>eau/ air crit adou</t>
        </is>
      </c>
      <c r="B13593">
        <f>HYPERLINK("https://www.dofusbook.net/fr/equipement/99553-eau--air-crit-adou/objets", "link")</f>
        <v/>
      </c>
      <c r="C13593" t="n">
        <v>0</v>
      </c>
      <c r="D13593" t="inlineStr">
        <is>
          <t>Dague Adou; Amulette du Strigide; Bague Trithon; Alliance Gloursonne; Ceinture du Strigide; Némès de Tal Kasha; Chevelure de Tal Kasha; Sandales de Tal Kasha; Dofus Nébuleux; Dofus Ocre; Dofus des Glaces; Dofus Turquoise; Dofus Abyssal; Dofus Émeraude</t>
        </is>
      </c>
    </row>
    <row r="13594">
      <c r="A13594" t="inlineStr">
        <is>
          <t>Feu/air range</t>
        </is>
      </c>
      <c r="B13594">
        <f>HYPERLINK("https://www.dofusbook.net/fr/equipement/99552-feu-air-range/objets", "link")</f>
        <v/>
      </c>
      <c r="C13594" t="n">
        <v>0</v>
      </c>
      <c r="D13594" t="inlineStr">
        <is>
          <t>Baguette Range; Amulette du Strigide; Anneau de Padgref; Alliance Gloursonne; Ceinture du Strigide; Coiffe de Padgref; Voile d'encre; Getas de Padgref; Dofus des Glaces; Dofus Turquoise; Dolmanax; Dofus Pourpre; Dofus Émeraude; Dofus Ocre</t>
        </is>
      </c>
    </row>
    <row r="13595">
      <c r="A13595" t="inlineStr">
        <is>
          <t>Terre PVP</t>
        </is>
      </c>
      <c r="B13595">
        <f>HYPERLINK("https://www.dofusbook.net/fr/equipement/99545-terre-pvp/objets", "link")</f>
        <v/>
      </c>
      <c r="C13595" t="n">
        <v>0</v>
      </c>
      <c r="D13595" t="inlineStr">
        <is>
          <t>Arc du Chalœil; Amulette du Strigide; Bracelet du Piloztère; Bague Gloursonne; Ceinture du Strigide; Chapeau de Gein; Voile d'encre; Bottes de la Cour Sombre; Dofus Ocre; Dofus Nébuleux; Dofus Turquoise; Enragé majeur; Nomade; Remueur</t>
        </is>
      </c>
    </row>
    <row r="13596">
      <c r="A13596" t="inlineStr">
        <is>
          <t>Eau esquives</t>
        </is>
      </c>
      <c r="B13596">
        <f>HYPERLINK("https://www.dofusbook.net/fr/equipement/99543-eau-esquives/objets", "link")</f>
        <v/>
      </c>
      <c r="C13596" t="n">
        <v>1</v>
      </c>
      <c r="D13596" t="inlineStr">
        <is>
          <t>Rapière aux Glyphes; Amulette du Strigide; Bracelet du Piloztère; Alliance Gloursonne; Protopagne; Masque des Fonds marins; Capchalot; Bottes du Strigide; Évasif majeur; Cavaleur majeur; Chanceux majeur; Dévastateur Eau majeur; Remueur; Muldo Ebène et Indigo</t>
        </is>
      </c>
    </row>
    <row r="13597">
      <c r="A13597" t="inlineStr">
        <is>
          <t>feu mallefisk pvp</t>
        </is>
      </c>
      <c r="B13597">
        <f>HYPERLINK("https://www.dofusbook.net/fr/equipement/99541-feu-mallefisk-pvp/objets", "link")</f>
        <v/>
      </c>
      <c r="C13597" t="n">
        <v>0</v>
      </c>
      <c r="D13597" t="inlineStr">
        <is>
          <t>Baguette de Malléfisk; Amulette Ementaire Deluxe; Anneauræus; Bague Gloursonne; Ceinture de Gein; Chapeau de Gein; Voile d'encre; Bottes Innommables; Dofus Émeraude; Dolmanax; Dofus Ocre; Carapace Neutre majeur; Remueur; Érudit majeur; Muldo Orchidée et Pourpre</t>
        </is>
      </c>
    </row>
    <row r="13598">
      <c r="A13598" t="inlineStr">
        <is>
          <t>Duo Klime</t>
        </is>
      </c>
      <c r="B13598">
        <f>HYPERLINK("https://www.dofusbook.net/fr/equipement/99540-duo-klime/objets", "link")</f>
        <v/>
      </c>
      <c r="C13598" t="n">
        <v>0</v>
      </c>
      <c r="D13598" t="inlineStr">
        <is>
          <t>Le Thanos; Amulette Séculaire; Anneau Tamie; Kralano; Sangle Aise; Cagoule de Vortex; Voile d'encre; Sabots de Vortex; Dofus Pourpre; Vigoureux majeur; Érudit majeur; Remueur; Nomade</t>
        </is>
      </c>
    </row>
    <row r="13599">
      <c r="A13599" t="inlineStr">
        <is>
          <t>Multi res</t>
        </is>
      </c>
      <c r="B13599">
        <f>HYPERLINK("https://www.dofusbook.net/fr/equipement/99515-multi-res/objets", "link")</f>
        <v/>
      </c>
      <c r="C13599" t="n">
        <v>0</v>
      </c>
      <c r="D13599" t="inlineStr">
        <is>
          <t>Marteau des égarés; Amulette du Strigide; Alliance Gloursonne; Bracelet du Piloztère; Quatre-feuilles; Ceintacé; Maskrobe; Voile d'encre; Bottes du Strigide; Dofus Nébuleux; Dofus Pourpre; Dolmanax; Dofus Turquoise; Remueur; Nomade; Kramkram</t>
        </is>
      </c>
    </row>
    <row r="13600">
      <c r="A13600" t="inlineStr">
        <is>
          <t>feu/air goultard</t>
        </is>
      </c>
      <c r="B13600">
        <f>HYPERLINK("https://www.dofusbook.net/fr/equipement/99514-feu-air-goultard/objets", "link")</f>
        <v/>
      </c>
      <c r="C13600" t="n">
        <v>0</v>
      </c>
      <c r="D13600" t="inlineStr">
        <is>
          <t>Marteau Phossile; Amulette du Strigide; Bracelet du Piloztère; Anneau de Padgref; Ceinture du Strigide; Coiffe de Padgref; Cape Lati; Getas de Padgref; Dofus Nébuleux; Dofus Turquoise; Dofus des Glaces; Dofus Ocre; Dofus Pourpre; Érudit majeur; Kwaltess</t>
        </is>
      </c>
    </row>
    <row r="13601">
      <c r="A13601" t="inlineStr">
        <is>
          <t>Feu/eau pvp</t>
        </is>
      </c>
      <c r="B13601">
        <f>HYPERLINK("https://www.dofusbook.net/fr/equipement/99513-feu-eau-pvp/objets", "link")</f>
        <v/>
      </c>
      <c r="C13601" t="n">
        <v>0</v>
      </c>
      <c r="D13601" t="inlineStr">
        <is>
          <t>Baguette Hique; Amulette du Strigide; Bracelet du Piloztère; Alliance du Lévitrof; Ceinture du Strigide; Casqnoar; Voile d'encre; Bottes Owesli; Dofus Turquoise; Dofus Ocre; Nomade; Carapace Eau majeur; Remueur; Carapace Feu majeur</t>
        </is>
      </c>
    </row>
    <row r="13602">
      <c r="A13602" t="inlineStr">
        <is>
          <t>Eau/air 2</t>
        </is>
      </c>
      <c r="B13602">
        <f>HYPERLINK("https://www.dofusbook.net/fr/equipement/1118631-eau-air-2/objets", "link")</f>
        <v/>
      </c>
      <c r="C13602" t="n">
        <v>0</v>
      </c>
      <c r="D13602" t="inlineStr">
        <is>
          <t>Bâtonnet Ronien; Amulette du Strigide; Alliance Gloursonne; Bracelet du Piloztère; Bouclier du Captain Amakna; Ceinture du Strigide; Némès de Tal Kasha; Chevelure de Tal Kasha; Bottes du Strigide; Dofus Pourpre; Dofus des Glaces; Dofus Émeraude; Dofus Turquoise; Dolmanax; Dofus Ocre; Muldo Prune et Indigo</t>
        </is>
      </c>
    </row>
    <row r="13603">
      <c r="A13603" t="inlineStr">
        <is>
          <t>Esquive pm</t>
        </is>
      </c>
      <c r="B13603">
        <f>HYPERLINK("https://www.dofusbook.net/fr/equipement/989920-esquive-pm/objets", "link")</f>
        <v/>
      </c>
      <c r="C13603" t="n">
        <v>0</v>
      </c>
      <c r="D13603" t="inlineStr">
        <is>
          <t>Héqache; Amulette du Strigide; Alliance Gloursonne; Bracelet du Piloztère; Ambrouclier; Ceinture du Strigide; Casque des égarés; Cape du Kamasterisk; Baleinabottes; Dofus des Glaces; Dofus Émeraude; Dofus Abyssal; Dofus Turquoise; Dofus Pourpre; Remueur; Muldo Orchidée et Pourpre</t>
        </is>
      </c>
    </row>
    <row r="13604">
      <c r="A13604" t="inlineStr">
        <is>
          <t>Stuff 2</t>
        </is>
      </c>
      <c r="B13604">
        <f>HYPERLINK("https://www.dofusbook.net/fr/equipement/99550-stuff-2/objets", "link")</f>
        <v/>
      </c>
      <c r="C13604" t="n">
        <v>0</v>
      </c>
      <c r="D13604" t="inlineStr"/>
    </row>
    <row r="13605">
      <c r="A13605" t="inlineStr">
        <is>
          <t>Pvp</t>
        </is>
      </c>
      <c r="B13605">
        <f>HYPERLINK("https://www.dofusbook.net/fr/equipement/425163-pvp/objets", "link")</f>
        <v/>
      </c>
      <c r="C13605" t="n">
        <v>0</v>
      </c>
      <c r="D13605" t="inlineStr">
        <is>
          <t>Dagoulinantes; Amulette de Pol Ouatnos; Alliance Gloursonne; Grésilanneau; Pagne du Rykaon; Masque des Fonds marins; Capille; Sandales des Fonds marins; Dofus Turquoise; Dofus Pourpre; Dofus Ocre; Dofus Émeraude; Remueur; Carapace Air majeur; Muldo Ebène et Pourpre</t>
        </is>
      </c>
    </row>
    <row r="13606">
      <c r="A13606" t="inlineStr">
        <is>
          <t>Eau/air 2</t>
        </is>
      </c>
      <c r="B13606">
        <f>HYPERLINK("https://www.dofusbook.net/fr/equipement/437216-eau-air-2/objets", "link")</f>
        <v/>
      </c>
      <c r="C13606" t="n">
        <v>0</v>
      </c>
      <c r="D13606" t="inlineStr">
        <is>
          <t>Arc de Koutoulou; Amulette Voldelor; Anneau de Pol Ouatnos; Alliance Gloursonne; Ceinture Voldelor; Coiffe d'Hel Munster; Cape d'Hel Munster; Bottes Voldelor; Dofus Émeraude; Dofus Ocre; Dolmanax; Dofus Pourpre; Dofus des Glaces; Dofus Turquoise; Muldo Prune et Emeraude</t>
        </is>
      </c>
    </row>
    <row r="13607">
      <c r="A13607" t="inlineStr">
        <is>
          <t>Eau air</t>
        </is>
      </c>
      <c r="B13607">
        <f>HYPERLINK("https://www.dofusbook.net/fr/equipement/436252-eau-air/objets", "link")</f>
        <v/>
      </c>
      <c r="C13607" t="n">
        <v>0</v>
      </c>
      <c r="D13607" t="inlineStr">
        <is>
          <t>Arc de Koutoulou; Amulette Voldelor; Alliance Gloursonne; Anneau de Pol Ouatnos; Ceinture Voldelor; Chapeau des Malveilleurs; Cape des Malveilleurs; Bottes Voldelor; Dolmanax; Dofus Émeraude; Dofus Ocre; Dofus des Glaces; Dofus Turquoise; Dofus Pourpre; Muldo Ebène et Indigo</t>
        </is>
      </c>
    </row>
    <row r="13608">
      <c r="A13608" t="inlineStr">
        <is>
          <t>Pvp</t>
        </is>
      </c>
      <c r="B13608">
        <f>HYPERLINK("https://www.dofusbook.net/fr/equipement/424756-pvp/objets", "link")</f>
        <v/>
      </c>
      <c r="C13608" t="n">
        <v>0</v>
      </c>
      <c r="D13608" t="inlineStr">
        <is>
          <t>Pelle de la Cour Sombre; Amulette du Strigide; Gant du Valet Veinard; Alliance Gloursonne; Ceinture du Strigide; Capuche de Moum-Ra; Cape du Chalœil; Baleinabottes; Dofus Turquoise; Dofus Ocre; Carapace Air majeur; Cascadeur majeur; Carapace Feu majeur; Vigoureux majeur; Muldo Ebène et Orchidée</t>
        </is>
      </c>
    </row>
    <row r="13609">
      <c r="A13609" t="inlineStr">
        <is>
          <t>Eca eau air</t>
        </is>
      </c>
      <c r="B13609">
        <f>HYPERLINK("https://www.dofusbook.net/fr/equipement/328867-eca-eau-air/objets", "link")</f>
        <v/>
      </c>
      <c r="C13609" t="n">
        <v>0</v>
      </c>
      <c r="D13609" t="inlineStr">
        <is>
          <t>Arc de Koutoulou; Amulette du Strigide; Alliance Gloursonne; Bague Trithon; Ceinture du Strigide; Némès de Tal Kasha; Chevelure de Tal Kasha; Sandales de Tal Kasha; Dofus Pourpre; Dofus Ocre; Dofus Émeraude; Dofus des Glaces; Dofus Turquoise; Muldo Ebène et Indigo</t>
        </is>
      </c>
    </row>
    <row r="13610">
      <c r="A13610" t="inlineStr">
        <is>
          <t>Feu/eau</t>
        </is>
      </c>
      <c r="B13610">
        <f>HYPERLINK("https://www.dofusbook.net/fr/equipement/99969-feu-eau/objets", "link")</f>
        <v/>
      </c>
      <c r="C13610" t="n">
        <v>1</v>
      </c>
      <c r="D13610" t="inlineStr">
        <is>
          <t>Arc Nécrotique; Collier de la Dame du Hasard; Alliance Gloursonne; Bracelet des Fonds marins; Ceintrigue; Casquette de Meno; Cape de la Dame du Hasard; Pataugastrique; Dofus Turquoise; Dofus Pourpre; Dofus des Glaces; Dofus Ocre; Nomade; Remueur; Kramkram</t>
        </is>
      </c>
    </row>
    <row r="13611">
      <c r="A13611" t="inlineStr">
        <is>
          <t>Stuff 3</t>
        </is>
      </c>
      <c r="B13611">
        <f>HYPERLINK("https://www.dofusbook.net/fr/equipement/99536-stuff-3/objets", "link")</f>
        <v/>
      </c>
      <c r="C13611" t="n">
        <v>0</v>
      </c>
      <c r="D13611" t="inlineStr">
        <is>
          <t>Arc Hétype; Amulette d'Otomaï; Anneau de Nidas; Bague Gloursonne; Ceinture Séculaire; Coiffe Séculaire; Cape de Diondin; Bottes Owesli; Dofus Turquoise; Dofus Pourpre; Érudit majeur; Remueur; Carapace Feu majeur; Nomade; Croum</t>
        </is>
      </c>
    </row>
    <row r="13612">
      <c r="A13612" t="inlineStr">
        <is>
          <t>Stuff 2</t>
        </is>
      </c>
      <c r="B13612">
        <f>HYPERLINK("https://www.dofusbook.net/fr/equipement/99535-stuff-2/objets", "link")</f>
        <v/>
      </c>
      <c r="C13612" t="n">
        <v>1</v>
      </c>
      <c r="D13612" t="inlineStr">
        <is>
          <t>Arc Hétype; Pendentif affamé; Chevalière du Roi Joueur; Bague Gloursonne; Bouclier cubiste; Ceinture de Vortex; Couronne du Roi Joueur; Voile d'encre; Bottes de Meno; Dofus Turquoise; Dofus Ocre; Érudit majeur; Carapace Neutre majeur; Remueur; Temporiseur majeur; Muldo Orchidée et Pourpre</t>
        </is>
      </c>
    </row>
    <row r="13613">
      <c r="A13613" t="inlineStr">
        <is>
          <t>Stuff 1</t>
        </is>
      </c>
      <c r="B13613">
        <f>HYPERLINK("https://www.dofusbook.net/fr/equipement/99522-stuff-1/objets", "link")</f>
        <v/>
      </c>
      <c r="C13613" t="n">
        <v>0</v>
      </c>
      <c r="D13613" t="inlineStr">
        <is>
          <t>Arc du Chalœil; Amulette du Nocturlabe; Anneau du Comte Harebourg; Anneau de Brouce; Ceinture de Brouce; Coiffe du Comte Harebourg; Cape au Logis; Bottes de Brouce; Dofus Ocre; Dofus Pourpre; Furibond majeur; Examinateur; Forcené majeur; Robuste majeur; Kompost</t>
        </is>
      </c>
    </row>
    <row r="13614">
      <c r="A13614" t="inlineStr">
        <is>
          <t>Stuff 1</t>
        </is>
      </c>
      <c r="B13614">
        <f>HYPERLINK("https://www.dofusbook.net/fr/equipement/99557-stuff-1/objets", "link")</f>
        <v/>
      </c>
      <c r="C13614" t="n">
        <v>0</v>
      </c>
      <c r="D13614" t="inlineStr">
        <is>
          <t>Manthache; Collier du Valet Veinard; Gant du Valet Veinard; Alliance Gloursonne; Menoture; Dorabysses; Cape Indescriptible; Palmes Trithons; Dofus des Glaces; Dofus Pourpre; Dofus Ocre; Miraculé majeur; Carapace Air majeur; Cascadeur majeur</t>
        </is>
      </c>
    </row>
    <row r="13615">
      <c r="A13615" t="inlineStr">
        <is>
          <t>Stuff 1</t>
        </is>
      </c>
      <c r="B13615">
        <f>HYPERLINK("https://www.dofusbook.net/fr/equipement/99534-stuff-1/objets", "link")</f>
        <v/>
      </c>
      <c r="C13615" t="n">
        <v>0</v>
      </c>
      <c r="D13615" t="inlineStr">
        <is>
          <t>Dagues Açantes; Collier de la Dame du Hasard; Alliance Gloursonne; Pikano; Ceinture Glaciale; Kidibonnet; Cape Peupret; Pikottes; Temporiseur majeur; Entraveur majeur; Temporiseur; Entraveur; Ralentisseur majeur; Remueur; Dragodinde Prune et Emeraude</t>
        </is>
      </c>
    </row>
    <row r="13616">
      <c r="A13616" t="inlineStr">
        <is>
          <t>Roublard F 200</t>
        </is>
      </c>
      <c r="B13616">
        <f>HYPERLINK("https://www.dofusbook.net/fr/equipement/4301929-roublard-f-200/objets", "link")</f>
        <v/>
      </c>
      <c r="C13616" t="n">
        <v>0</v>
      </c>
      <c r="D13616" t="inlineStr">
        <is>
          <t>Manthache; Collier du Valet Veinard; Alliance Gloursonne; Gant du Valet Veinard; Bouclier du Stalak; Menoture; Casque Dragoeuf; Cape Indescriptible; Palmes Trithons; Dofus des Glaces; Dofus Abyssal; Cascadeur majeur; Remueur; Carapace Air majeur; Blérodoudou</t>
        </is>
      </c>
    </row>
    <row r="13617">
      <c r="A13617" t="inlineStr">
        <is>
          <t>Enutrof M 200</t>
        </is>
      </c>
      <c r="B13617">
        <f>HYPERLINK("https://www.dofusbook.net/fr/equipement/4242645-enutrof-m-200/objets", "link")</f>
        <v/>
      </c>
      <c r="C13617" t="n">
        <v>0</v>
      </c>
      <c r="D13617" t="inlineStr">
        <is>
          <t>Sabres d'Atcham; Amulette Volkorne; Anneau Volkorne; Anneau Tique; Sept ans de malheur; Menoture; Casque Volkorne; Cape d'Atcham; Sandales  d'Atcham; Dofus Ivoire; Dofus des Glaces; Dofus Pourpre; Dofus Turquoise; Paralyseur majeur; Engourdisseur majeur</t>
        </is>
      </c>
    </row>
    <row r="13618">
      <c r="A13618" t="inlineStr">
        <is>
          <t>Crâ M 200</t>
        </is>
      </c>
      <c r="B13618">
        <f>HYPERLINK("https://www.dofusbook.net/fr/equipement/6019559-cra-m-200/objets", "link")</f>
        <v/>
      </c>
      <c r="C13618" t="n">
        <v>0</v>
      </c>
      <c r="D13618" t="inlineStr">
        <is>
          <t>Arc Volkorne; Amulette de l'Œil Putride; Bague Trithon; Chevalière du Roi Joueur; Quatre-feuilles; Ceintacé; Coiffe de Padgref; Chevelure de Tal Kasha; Getas de Padgref; Dofus Ivoire; Dofus Pourpre; Dofus Turquoise; Nomade; Remueur; Kokulte</t>
        </is>
      </c>
    </row>
    <row r="13619">
      <c r="A13619" t="inlineStr">
        <is>
          <t>Crâ M 200</t>
        </is>
      </c>
      <c r="B13619">
        <f>HYPERLINK("https://www.dofusbook.net/fr/equipement/6019560-cra-m-200/objets", "link")</f>
        <v/>
      </c>
      <c r="C13619" t="n">
        <v>0</v>
      </c>
      <c r="D13619" t="inlineStr"/>
    </row>
    <row r="13620">
      <c r="A13620" t="inlineStr">
        <is>
          <t>Steamer M 200</t>
        </is>
      </c>
      <c r="B13620">
        <f>HYPERLINK("https://www.dofusbook.net/fr/equipement/6018908-steamer-m-200/objets", "link")</f>
        <v/>
      </c>
      <c r="C13620" t="n">
        <v>0</v>
      </c>
      <c r="D13620" t="inlineStr">
        <is>
          <t>Arc Volkorne; Amulette de l'Œil Putride; Chevalière du Roi Joueur; Bague Trithon; Quatre-feuilles; Ceintacé; Coiffe de Padgref; Chevelure de Tal Kasha; Getas de Padgref; Dofus Pourpre; Dofus Turquoise; Dofus Ivoire; Nomade; Remueur; Kokulte</t>
        </is>
      </c>
    </row>
    <row r="13621">
      <c r="A13621" t="inlineStr">
        <is>
          <t>Ouginak M 200</t>
        </is>
      </c>
      <c r="B13621">
        <f>HYPERLINK("https://www.dofusbook.net/fr/equipement/6019292-ouginak-m-200/objets", "link")</f>
        <v/>
      </c>
      <c r="C13621" t="n">
        <v>0</v>
      </c>
      <c r="D13621" t="inlineStr">
        <is>
          <t>Baguette du Dragoeuf; Collier Rophante; Gant du Valet Veinard; Anneau de Padgref; Quatre-feuilles; Menoture; Casque Dragoeuf; Cape de Crânonier; Getas de Padgref; Dofus Pourpre; Dofus Ébène; Dofus Turquoise; Dofus Ivoire; Cascadeur majeur; Remueur; Kokulte</t>
        </is>
      </c>
    </row>
    <row r="13622">
      <c r="A13622" t="inlineStr">
        <is>
          <t>Sadida M 200</t>
        </is>
      </c>
      <c r="B13622">
        <f>HYPERLINK("https://www.dofusbook.net/fr/equipement/6018386-sadida-m-200/objets", "link")</f>
        <v/>
      </c>
      <c r="C13622" t="n">
        <v>0</v>
      </c>
      <c r="D13622" t="inlineStr">
        <is>
          <t>Hachoirs de Viandargh; Collier Rophante; Quatre-feuilles; Ceintacé; Coiffe de Padgref; Cape des Justiciers; Getas de Padgref; Dofus Pourpre; Dofus Turquoise; Dofus Ivoire; Nomade; Remueur; Kokulte</t>
        </is>
      </c>
    </row>
    <row r="13623">
      <c r="A13623" t="inlineStr">
        <is>
          <t>Steamer M 200</t>
        </is>
      </c>
      <c r="B13623">
        <f>HYPERLINK("https://www.dofusbook.net/fr/equipement/6008440-steamer-m-200/objets", "link")</f>
        <v/>
      </c>
      <c r="C13623" t="n">
        <v>5</v>
      </c>
      <c r="D13623" t="inlineStr">
        <is>
          <t>Baguette du Dragoeuf; Amulette de Pol Ouatnos; Bague Trithon; Pikano; Quatre-feuilles; Ceintacé; Corne de Torkélonia; Carapace de Torkélonia; Bottes Honyme; Dofus Turquoise; Dofus Ivoire; Dofus Pourpre; Nomade; Remueur; Kokulte</t>
        </is>
      </c>
    </row>
    <row r="13624">
      <c r="A13624" t="inlineStr">
        <is>
          <t>Steamer M 200</t>
        </is>
      </c>
      <c r="B13624">
        <f>HYPERLINK("https://www.dofusbook.net/fr/equipement/6012407-steamer-m-200/objets", "link")</f>
        <v/>
      </c>
      <c r="C13624" t="n">
        <v>0</v>
      </c>
      <c r="D13624" t="inlineStr">
        <is>
          <t>Amulette de l'Œil Putride; Bague Trithon; Quatre-feuilles; Ceintacé; Corne de Torkélonia; Carapace de Torkélonia; Bottes Honyme; Kokulte</t>
        </is>
      </c>
    </row>
    <row r="13625">
      <c r="A13625" t="inlineStr">
        <is>
          <t>Steamer M 200</t>
        </is>
      </c>
      <c r="B13625">
        <f>HYPERLINK("https://www.dofusbook.net/fr/equipement/6012408-steamer-m-200/objets", "link")</f>
        <v/>
      </c>
      <c r="C13625" t="n">
        <v>0</v>
      </c>
      <c r="D13625" t="inlineStr"/>
    </row>
    <row r="13626">
      <c r="A13626" t="inlineStr">
        <is>
          <t>Steamer M 200</t>
        </is>
      </c>
      <c r="B13626">
        <f>HYPERLINK("https://www.dofusbook.net/fr/equipement/6009184-steamer-m-200/objets", "link")</f>
        <v/>
      </c>
      <c r="C13626" t="n">
        <v>0</v>
      </c>
      <c r="D13626" t="inlineStr">
        <is>
          <t>Baguette du Dragoeuf; Amulette du Strigide; Anneau Tique; Anneau de Padgref; Quatre-feuilles; Ceintacé; Corne de Torkélonia; Carapace de Torkélonia; Getas de Padgref; Dofus Ébène; Dofus Turquoise; Dofus Vulbis; Dofus Ivoire; Dofus Ocre; Dofus Pourpre; Kokulte</t>
        </is>
      </c>
    </row>
    <row r="13627">
      <c r="A13627" t="inlineStr">
        <is>
          <t>Sadida M 200</t>
        </is>
      </c>
      <c r="B13627">
        <f>HYPERLINK("https://www.dofusbook.net/fr/equipement/4294772-sadida-m-200/objets", "link")</f>
        <v/>
      </c>
      <c r="C13627" t="n">
        <v>0</v>
      </c>
      <c r="D13627" t="inlineStr">
        <is>
          <t>Dagues Érhy; Amulette du Strigide; Alliance Gloursonne; Anneau Tique; Quatre-feuilles; Ceintacé; Corne de Torkélonia; Carapace de Torkélonia; Bottes du Strigide; Dofus Ivoire; Dofus Pourpre; Dofus Turquoise; Nomade; Remueur; Kokulte</t>
        </is>
      </c>
    </row>
    <row r="13628">
      <c r="A13628" t="inlineStr">
        <is>
          <t>Xélor M 200</t>
        </is>
      </c>
      <c r="B13628">
        <f>HYPERLINK("https://www.dofusbook.net/fr/equipement/6008192-xelor-m-200/objets", "link")</f>
        <v/>
      </c>
      <c r="C13628" t="n">
        <v>0</v>
      </c>
      <c r="D13628" t="inlineStr"/>
    </row>
    <row r="13629">
      <c r="A13629" t="inlineStr">
        <is>
          <t>Crâ M 200</t>
        </is>
      </c>
      <c r="B13629">
        <f>HYPERLINK("https://www.dofusbook.net/fr/equipement/5299288-cra-m-200/objets", "link")</f>
        <v/>
      </c>
      <c r="C13629" t="n">
        <v>3</v>
      </c>
      <c r="D13629" t="inlineStr">
        <is>
          <t>Arc Volkorne; Amulette de Pol Ouatnos; Pikano; Bague Trithon; Quatre-feuilles; Ceintacé; Corne de Torkélonia; Carapace de Torkélonia; Bottes Honyme; Dofus Turquoise; Dofus Ivoire; Dofus Pourpre; Nomade; Remueur; Vigoureux majeur; Kokulte</t>
        </is>
      </c>
    </row>
    <row r="13630">
      <c r="A13630" t="inlineStr">
        <is>
          <t>Steamer M 200</t>
        </is>
      </c>
      <c r="B13630">
        <f>HYPERLINK("https://www.dofusbook.net/fr/equipement/6007429-steamer-m-200/objets", "link")</f>
        <v/>
      </c>
      <c r="C13630" t="n">
        <v>3</v>
      </c>
      <c r="D13630" t="inlineStr">
        <is>
          <t>Hache Téroïde; Amulette du Strigide; Anneau de Padgref; Anneau de Pol Ouatnos; Quatre-feuilles; Ceintacé; Casque Dragoeuf; Cape des Justiciers; Getas de Padgref; Dofus Pourpre; Dofus Turquoise; Dokoko; Dofus Ivoire; Nomade; Remueur; Kokulte</t>
        </is>
      </c>
    </row>
    <row r="13631">
      <c r="A13631" t="inlineStr">
        <is>
          <t>Steamer M 200</t>
        </is>
      </c>
      <c r="B13631">
        <f>HYPERLINK("https://www.dofusbook.net/fr/equipement/5927453-steamer-m-200/objets", "link")</f>
        <v/>
      </c>
      <c r="C13631" t="n">
        <v>0</v>
      </c>
      <c r="D13631" t="inlineStr">
        <is>
          <t>Arc de Guten Tak; Amulette du Strigide; Bague Trithon; Anneau Volkorne; Quatre-feuilles; Ceinture Volkorne; Corne de Torkélonia; Carapace de Torkélonia; Bottes du Strigide; Dofus Vulbis; Dofus Ivoire; Dofus Ébène; Dofus Ocre; Dofus Turquoise; Dofus des Glaces; Sakochère</t>
        </is>
      </c>
    </row>
    <row r="13632">
      <c r="A13632" t="inlineStr">
        <is>
          <t>Steamer M 200</t>
        </is>
      </c>
      <c r="B13632">
        <f>HYPERLINK("https://www.dofusbook.net/fr/equipement/6007228-steamer-m-200/objets", "link")</f>
        <v/>
      </c>
      <c r="C13632" t="n">
        <v>0</v>
      </c>
      <c r="D13632" t="inlineStr">
        <is>
          <t>Arc Volkorne; Amulette de Pol Ouatnos; Pikano; Alliance Brûlâme; Quatre-feuilles; Ceintacé; Némès de Tal Kasha; Cape des Justiciers; Sandales de Tal Kasha; Dofus Turquoise; Dofus Ivoire; Dofus Pourpre; Nomade; Remueur; Vigoureux majeur; Kokulte</t>
        </is>
      </c>
    </row>
    <row r="13633">
      <c r="A13633" t="inlineStr">
        <is>
          <t>Steamer M 200</t>
        </is>
      </c>
      <c r="B13633">
        <f>HYPERLINK("https://www.dofusbook.net/fr/equipement/6006530-steamer-m-200/objets", "link")</f>
        <v/>
      </c>
      <c r="C13633" t="n">
        <v>2</v>
      </c>
      <c r="D13633" t="inlineStr">
        <is>
          <t>Arc Volkorne; Amulette du Cycloïde; Anneau de Pol Ouatnos; Bague Trithon; Quatre-feuilles; Ceintacé; Némès de Tal Kasha; Chevelure de Tal Kasha; Bottes Honyme; Dofus Pourpre; Dofus Turquoise; Dofus Ivoire; Carapace Feu majeur; Nomade; Remueur; Kokulte</t>
        </is>
      </c>
    </row>
    <row r="13634">
      <c r="A13634" t="inlineStr">
        <is>
          <t>Steamer M 200</t>
        </is>
      </c>
      <c r="B13634">
        <f>HYPERLINK("https://www.dofusbook.net/fr/equipement/6006326-steamer-m-200/objets", "link")</f>
        <v/>
      </c>
      <c r="C13634" t="n">
        <v>0</v>
      </c>
      <c r="D13634" t="inlineStr">
        <is>
          <t>Arc Volkorne; Amulette Volkorne; Alliance Brûlâme; Anneau de Pol Ouatnos; Quatre-feuilles; Ceinture Volkorne; Némès de Tal Kasha; Cape des Justiciers; Bottes Honyme; Dofus Turquoise; Dofus Ivoire; Dofus Pourpre; Nomade; Remueur; Carapace Eau majeur; Kokulte</t>
        </is>
      </c>
    </row>
    <row r="13635">
      <c r="A13635" t="inlineStr">
        <is>
          <t>Steamer M 200</t>
        </is>
      </c>
      <c r="B13635">
        <f>HYPERLINK("https://www.dofusbook.net/fr/equipement/6006325-steamer-m-200/objets", "link")</f>
        <v/>
      </c>
      <c r="C13635" t="n">
        <v>0</v>
      </c>
      <c r="D13635" t="inlineStr">
        <is>
          <t>Arc Nécrotique; Amulette Volkorne; Anneau de Pol Ouatnos; Anneau Volkorne; Quatre-feuilles; Ceintacé; Némès de Tal Kasha; Cape des Justiciers; Getas de Padgref; Dofus Pourpre; Dofus Turquoise; Dofus Ivoire; Nomade; Remueur; Kokulte</t>
        </is>
      </c>
    </row>
    <row r="13636">
      <c r="A13636" t="inlineStr">
        <is>
          <t>Steamer M 200</t>
        </is>
      </c>
      <c r="B13636">
        <f>HYPERLINK("https://www.dofusbook.net/fr/equipement/5996102-steamer-m-200/objets", "link")</f>
        <v/>
      </c>
      <c r="C13636" t="n">
        <v>2</v>
      </c>
      <c r="D13636" t="inlineStr">
        <is>
          <t>Arc Volkorne; Amulette du Strigide; Alliance Gloursonne; Anneau Toriété; Quatre-feuilles; Ceinture du Strigide; Casque Dragoeuf; Cape des Justiciers; Bottes Honyme; Dofus Pourpre; Dofus Turquoise; Dofus Ivoire; Nomade; Remueur; Kokulte</t>
        </is>
      </c>
    </row>
    <row r="13637">
      <c r="A13637" t="inlineStr">
        <is>
          <t>Steamer M 200</t>
        </is>
      </c>
      <c r="B13637">
        <f>HYPERLINK("https://www.dofusbook.net/fr/equipement/5993625-steamer-m-200/objets", "link")</f>
        <v/>
      </c>
      <c r="C13637" t="n">
        <v>1</v>
      </c>
      <c r="D13637" t="inlineStr">
        <is>
          <t>Arc Nécrotique; Amulette Volkorne; Anneau de Padgref; Anneau Volkorne; Quatre-feuilles; Ceintacé; Corne de Torkélonia; Carapace de Torkélonia; Getas de Padgref; Dofus Turquoise; Dofus Ocre; Dofus Pourpre; Dofus Ébène; Dofus Vulbis; Dofus Ivoire; Kokulte</t>
        </is>
      </c>
    </row>
    <row r="13638">
      <c r="A13638" t="inlineStr">
        <is>
          <t>Steamer M 200</t>
        </is>
      </c>
      <c r="B13638">
        <f>HYPERLINK("https://www.dofusbook.net/fr/equipement/5993603-steamer-m-200/objets", "link")</f>
        <v/>
      </c>
      <c r="C13638" t="n">
        <v>0</v>
      </c>
      <c r="D13638" t="inlineStr">
        <is>
          <t>Arc Volkorne; Amulette Volkorne; Bague Trithon; Anneau Volkorne; Quatre-feuilles; Ceintacé; Casque Dragoeuf; Carapace de Torkélonia; Bottes Honyme; Kokulte</t>
        </is>
      </c>
    </row>
    <row r="13639">
      <c r="A13639" t="inlineStr">
        <is>
          <t>Iop F 200</t>
        </is>
      </c>
      <c r="B13639">
        <f>HYPERLINK("https://www.dofusbook.net/fr/equipement/5990602-iop-f-200/objets", "link")</f>
        <v/>
      </c>
      <c r="C13639" t="n">
        <v>0</v>
      </c>
      <c r="D13639" t="inlineStr">
        <is>
          <t>Arc Volkorne; Amulette Ementaire Deluxe; Anneau Toriété; Bague Trithon; Quatre-feuilles; Ceintacé; Corne de Torkélonia; Carapace de Torkélonia; Bottes Honyme; Dofus Pourpre; Dofus Turquoise; Enragé majeur; Remueur; Vigoureux majeur; Nomade; Kokulte</t>
        </is>
      </c>
    </row>
    <row r="13640">
      <c r="A13640" t="inlineStr">
        <is>
          <t>Sadida M 200</t>
        </is>
      </c>
      <c r="B13640">
        <f>HYPERLINK("https://www.dofusbook.net/fr/equipement/5969638-sadida-m-200/objets", "link")</f>
        <v/>
      </c>
      <c r="C13640" t="n">
        <v>0</v>
      </c>
      <c r="D13640" t="inlineStr">
        <is>
          <t>Dagues Érhy; Collier Rophante; Bracelet du Piloztère; Alliance Gloursonne; Quatre-feuilles; Ceintacé; Corne de Torkélonia; Carapace de Torkélonia; Bottes Honyme; Dofus Pourpre; Dofus des Glaces; Dofus Turquoise; Nomade; Remueur; Vigoureux majeur; Kokulte</t>
        </is>
      </c>
    </row>
    <row r="13641">
      <c r="A13641" t="inlineStr">
        <is>
          <t>Sram F 200</t>
        </is>
      </c>
      <c r="B13641">
        <f>HYPERLINK("https://www.dofusbook.net/fr/equipement/5969568-sram-f-200/objets", "link")</f>
        <v/>
      </c>
      <c r="C13641" t="n">
        <v>0</v>
      </c>
      <c r="D13641" t="inlineStr">
        <is>
          <t>Manthache; Collier du Valet Veinard; Alliance Brûlâme; Alliance Gloursonne; Quatre-feuilles; Menoture; Corne de Torkélonia; Carapace de Torkélonia; Palmes Trithons; Dofus Ébène; Dofus Ivoire; Dofus Turquoise; Nomade; Remueur; Cascadeur majeur; Blérodoudou</t>
        </is>
      </c>
    </row>
    <row r="13642">
      <c r="A13642" t="inlineStr">
        <is>
          <t>Steamer M 200</t>
        </is>
      </c>
      <c r="B13642">
        <f>HYPERLINK("https://www.dofusbook.net/fr/equipement/5969414-steamer-m-200/objets", "link")</f>
        <v/>
      </c>
      <c r="C13642" t="n">
        <v>0</v>
      </c>
      <c r="D13642" t="inlineStr">
        <is>
          <t>Arc Volkorne; Amulette Volkorne; Anneau Volkorne; Anneau de Padgref; Quatre-feuilles; Ceintacé; Corne de Torkélonia; Carapace de Torkélonia; Getas de Padgref; Dofus Ébène; Dofus Turquoise; Dofus Vulbis; Dofus Pourpre; Dofus Ivoire; Dofus Ocre; Kokulte</t>
        </is>
      </c>
    </row>
    <row r="13643">
      <c r="A13643" t="inlineStr">
        <is>
          <t>Steamer M 200</t>
        </is>
      </c>
      <c r="B13643">
        <f>HYPERLINK("https://www.dofusbook.net/fr/equipement/5936282-steamer-m-200/objets", "link")</f>
        <v/>
      </c>
      <c r="C13643" t="n">
        <v>1</v>
      </c>
      <c r="D13643" t="inlineStr">
        <is>
          <t>Héqache; Amulette de l'Œil Putride; Anneau Toriété; Bague Trithon; Quatre-feuilles; Sangle Ouare; Corne de Torkélonia; Carapace de Torkélonia; Bottes Honyme; Dofus Ivoire; Dofus Ébène; Dofus Pourpre; Dofus Turquoise; Remueur; Kokulte</t>
        </is>
      </c>
    </row>
    <row r="13644">
      <c r="A13644" t="inlineStr">
        <is>
          <t>Steamer M 200</t>
        </is>
      </c>
      <c r="B13644">
        <f>HYPERLINK("https://www.dofusbook.net/fr/equipement/5845583-steamer-m-200/objets", "link")</f>
        <v/>
      </c>
      <c r="C13644" t="n">
        <v>0</v>
      </c>
      <c r="D13644" t="inlineStr">
        <is>
          <t>Poolache; Amulette du Strigide; Bague Trithon; Anneau Toriété; Quatre-feuilles; Ceintacé; Corne de Torkélonia; Carapace de Torkélonia; Bottes Honyme; Dofus Pourpre; Dofus Ébène; Dofus Turquoise; Dofus Ivoire; Nomade; Remueur; Kokulte</t>
        </is>
      </c>
    </row>
    <row r="13645">
      <c r="A13645" t="inlineStr">
        <is>
          <t>Steamer M 200</t>
        </is>
      </c>
      <c r="B13645">
        <f>HYPERLINK("https://www.dofusbook.net/fr/equipement/5903174-steamer-m-200/objets", "link")</f>
        <v/>
      </c>
      <c r="C13645" t="n">
        <v>0</v>
      </c>
      <c r="D13645" t="inlineStr">
        <is>
          <t>Héqache; Amulette du Strigide; Bague Trithon; Anneau de Pol Ouatnos; Quatre-feuilles; Ceintacé; Corne de Torkélonia; Carapace de Torkélonia; Bottes Honyme; Dofus Turquoise; Dofus Pourpre; Vigoureux majeur; Nomade; Remueur; Kokulte</t>
        </is>
      </c>
    </row>
    <row r="13646">
      <c r="A13646" t="inlineStr">
        <is>
          <t>Steamer M 200</t>
        </is>
      </c>
      <c r="B13646">
        <f>HYPERLINK("https://www.dofusbook.net/fr/equipement/5927452-steamer-m-200/objets", "link")</f>
        <v/>
      </c>
      <c r="C13646" t="n">
        <v>0</v>
      </c>
      <c r="D13646" t="inlineStr">
        <is>
          <t>Poolache; Amulette Volkorne; Anneau Volkorne; Bague Trithon; Quatre-feuilles; Ceintacé; Corne de Torkélonia; Carapace de Torkélonia; Bottes Trithon; Dofus Turquoise; Dofus Ivoire; Dofus Vulbis; Dofus Ébène; Dofus Ocre; Kokulte</t>
        </is>
      </c>
    </row>
    <row r="13647">
      <c r="A13647" t="inlineStr">
        <is>
          <t>Iop F 200</t>
        </is>
      </c>
      <c r="B13647">
        <f>HYPERLINK("https://www.dofusbook.net/fr/equipement/5927451-iop-f-200/objets", "link")</f>
        <v/>
      </c>
      <c r="C13647" t="n">
        <v>0</v>
      </c>
      <c r="D13647" t="inlineStr"/>
    </row>
    <row r="13648">
      <c r="A13648" t="inlineStr">
        <is>
          <t>Steamer M 200</t>
        </is>
      </c>
      <c r="B13648">
        <f>HYPERLINK("https://www.dofusbook.net/fr/equipement/5860226-steamer-m-200/objets", "link")</f>
        <v/>
      </c>
      <c r="C13648" t="n">
        <v>5</v>
      </c>
      <c r="D13648" t="inlineStr">
        <is>
          <t>Poolache; Amulette Volkorne; Anneau Volkorne; Bague Trithon; Quatre-feuilles; Ceintacé; Corne de Torkélonia; Carapace de Torkélonia; Bottes Honyme; Dofus Turquoise; Dofus Ébène; Dofus des Glaces; Dofus Vulbis; Dofus Pourpre; Dofus Ivoire; Kokulte</t>
        </is>
      </c>
    </row>
    <row r="13649">
      <c r="A13649" t="inlineStr">
        <is>
          <t>Steamer F 200</t>
        </is>
      </c>
      <c r="B13649">
        <f>HYPERLINK("https://www.dofusbook.net/fr/equipement/5857988-steamer-f-200/objets", "link")</f>
        <v/>
      </c>
      <c r="C13649" t="n">
        <v>0</v>
      </c>
      <c r="D13649" t="inlineStr">
        <is>
          <t>Baguette de Frigostine; Amulette de Pol Ouatnos; Bracelet du Piloztère; Alliance Gloursonne; Quatre-feuilles; Ceintacé; Némès de Tal Kasha; Cape des Justiciers; Sandales de Tal Kasha; Dofus Pourpre; Dofus Turquoise; Vigoureux majeur; Nomade; Remueur; Kokulte</t>
        </is>
      </c>
    </row>
    <row r="13650">
      <c r="A13650" t="inlineStr">
        <is>
          <t>Steamer M 200</t>
        </is>
      </c>
      <c r="B13650">
        <f>HYPERLINK("https://www.dofusbook.net/fr/equipement/5323064-steamer-m-200/objets", "link")</f>
        <v/>
      </c>
      <c r="C13650" t="n">
        <v>0</v>
      </c>
      <c r="D13650" t="inlineStr">
        <is>
          <t>Hache du Chalœil; Amulette Volkorne; Bague Trithon; Anneau Volkorne; Quatre-feuilles; Ceinture Volkorne; Masque Trithon; Cape des Justiciers; Bottes Trithon; Dofus Ébène; Dofus des Glaces; Dofus Pourpre; Dofus Ivoire; Dofus Turquoise; Dofus Abyssal; Kokulte</t>
        </is>
      </c>
    </row>
    <row r="13651">
      <c r="A13651" t="inlineStr">
        <is>
          <t>Crâ F 200</t>
        </is>
      </c>
      <c r="B13651">
        <f>HYPERLINK("https://www.dofusbook.net/fr/equipement/5345407-cra-f-200/objets", "link")</f>
        <v/>
      </c>
      <c r="C13651" t="n">
        <v>0</v>
      </c>
      <c r="D13651" t="inlineStr">
        <is>
          <t>Baguette du Dragoeuf; Amulette du Strigide; Bague Trithon; Bracelet du Piloztère; Quatre-feuilles; Ceinture du Strigide; Bonnet Ko; Chevelure de Tal Kasha; Getas de Padgref; Dofus Vulbis; Dofus Turquoise; Dofus des Glaces; Dofus Pourpre; Nomade; Remueur; Kokulte</t>
        </is>
      </c>
    </row>
    <row r="13652">
      <c r="A13652" t="inlineStr">
        <is>
          <t>Sadida M 200</t>
        </is>
      </c>
      <c r="B13652">
        <f>HYPERLINK("https://www.dofusbook.net/fr/equipement/5273463-sadida-m-200/objets", "link")</f>
        <v/>
      </c>
      <c r="C13652" t="n">
        <v>1</v>
      </c>
      <c r="D13652" t="inlineStr">
        <is>
          <t>Baguette Hique; Amulette Volkorne; Alliance Gloursonne; Anneau Volkorne; Quatre-feuilles; Sangle Ouare; Casque Dragoeuf; Chevelure de Tal Kasha; Bottes Honyme; Dofus des Glaces; Dofus Pourpre; Dofus Turquoise; Dofus Ébène; Vigoureux majeur; Remueur; Kokulte</t>
        </is>
      </c>
    </row>
    <row r="13653">
      <c r="A13653" t="inlineStr">
        <is>
          <t>Crâ F 200</t>
        </is>
      </c>
      <c r="B13653">
        <f>HYPERLINK("https://www.dofusbook.net/fr/equipement/5318205-cra-f-200/objets", "link")</f>
        <v/>
      </c>
      <c r="C13653" t="n">
        <v>2</v>
      </c>
      <c r="D13653" t="inlineStr">
        <is>
          <t>Hache du Chalœil; Amulette Volkorne; Anneau Volkorne; Bague Trithon; Quatre-feuilles; Ceinture Volkorne; Masque Trithon; Chevelure de Tal Kasha; Bottes Trithon; Dofus Pourpre; Dofus Ébène; Dofus Turquoise; Dofus Nébuleux; Dofus Ocre; Dofus Ivoire; Kokulte</t>
        </is>
      </c>
    </row>
    <row r="13654">
      <c r="A13654" t="inlineStr">
        <is>
          <t>Crâ M 200</t>
        </is>
      </c>
      <c r="B13654">
        <f>HYPERLINK("https://www.dofusbook.net/fr/equipement/5317366-cra-m-200/objets", "link")</f>
        <v/>
      </c>
      <c r="C13654" t="n">
        <v>3</v>
      </c>
      <c r="D13654" t="inlineStr">
        <is>
          <t>Arc Volkorne; Amulette Volkorne; Bague Trithon; Anneau Volkorne; Quatre-feuilles; Ceinture Volkorne; Masque Trithon; Cape Matelassée; Bottes Trithon; Dofus Turquoise; Dofus des Glaces; Dofus Abyssal; Dofus Ivoire; Dofus Pourpre; Dofus Ébène; Kokulte</t>
        </is>
      </c>
    </row>
    <row r="13655">
      <c r="A13655" t="inlineStr">
        <is>
          <t>Sadida F 200</t>
        </is>
      </c>
      <c r="B13655">
        <f>HYPERLINK("https://www.dofusbook.net/fr/equipement/5273286-sadida-f-200/objets", "link")</f>
        <v/>
      </c>
      <c r="C13655" t="n">
        <v>0</v>
      </c>
      <c r="D13655" t="inlineStr">
        <is>
          <t>Baguette Hique; Amulette Ementaire Deluxe; Goulano; Alliance Gloursonne; Cadran de Terre; Sangle Ouare; Le Dorado; Cape de la Dame du Hasard; Bottes de la Dame du Hasard; Dofus Turquoise; Dofus Ivoire; Dolmanax; Dofus Ébène; Remueur; Kokulte</t>
        </is>
      </c>
    </row>
    <row r="13656">
      <c r="A13656" t="inlineStr">
        <is>
          <t>Sacrieur M 200</t>
        </is>
      </c>
      <c r="B13656">
        <f>HYPERLINK("https://www.dofusbook.net/fr/equipement/5215473-sacrieur-m-200/objets", "link")</f>
        <v/>
      </c>
      <c r="C13656" t="n">
        <v>0</v>
      </c>
      <c r="D13656" t="inlineStr">
        <is>
          <t>Karnak; Collier du Valet Veinard; Alliance Brûlâme; Gant du Valet Veinard; Bouclier d'Ilyzaelle; Menoture; Casque Dragoeuf; Cape Indescriptible; Palmes Trithons; Dofus Ivoire; Dofus Ébène; Dofus Émeraude; Cascadeur majeur; Remueur; Dragodinde Prune et Ebène</t>
        </is>
      </c>
    </row>
    <row r="13657">
      <c r="A13657" t="inlineStr">
        <is>
          <t>tor</t>
        </is>
      </c>
      <c r="B13657">
        <f>HYPERLINK("https://www.dofusbook.net/fr/equipement/5069876-tor/objets", "link")</f>
        <v/>
      </c>
      <c r="C13657" t="n">
        <v>0</v>
      </c>
      <c r="D13657" t="inlineStr">
        <is>
          <t>Chevalière du Roi Joueur; Bottes du Roi Joueur</t>
        </is>
      </c>
    </row>
    <row r="13658">
      <c r="A13658" t="inlineStr">
        <is>
          <t>pvpm</t>
        </is>
      </c>
      <c r="B13658">
        <f>HYPERLINK("https://www.dofusbook.net/fr/equipement/4998824-pvpm/objets", "link")</f>
        <v/>
      </c>
      <c r="C13658" t="n">
        <v>2</v>
      </c>
      <c r="D13658" t="inlineStr">
        <is>
          <t>Arc Honte; Amulette de l'Œil Putride; Alliance Gloursonne; Pikano; Cadran d'Air; Ceinture de l'Indicible; Chapeau des Malveilleurs; Cape de l'Œil Putride; Bottes Honyme; Volkorne Turquoise</t>
        </is>
      </c>
    </row>
    <row r="13659">
      <c r="A13659" t="inlineStr">
        <is>
          <t>Sacrieur M 200</t>
        </is>
      </c>
      <c r="B13659">
        <f>HYPERLINK("https://www.dofusbook.net/fr/equipement/5177521-sacrieur-m-200/objets", "link")</f>
        <v/>
      </c>
      <c r="C13659" t="n">
        <v>0</v>
      </c>
      <c r="D13659" t="inlineStr">
        <is>
          <t>Manthache; Amulette d'Ilyzaelle; Alliance Gloursonne; Gant du Valet Veinard; Cadran d'Eau; Menoture; Casque Dragoeuf; Cape du Valet Veinard; Bottes du Cycloïde; Dofus Abyssal; Dofus Ébène; Remueur; Dévastateur Air majeur; Cascadeur majeur; Nomade; Dragodinde Prune et Ebène</t>
        </is>
      </c>
    </row>
    <row r="13660">
      <c r="A13660" t="inlineStr">
        <is>
          <t>shit</t>
        </is>
      </c>
      <c r="B13660">
        <f>HYPERLINK("https://www.dofusbook.net/fr/equipement/5184948-shit/objets", "link")</f>
        <v/>
      </c>
      <c r="C13660" t="n">
        <v>0</v>
      </c>
      <c r="D13660" t="inlineStr">
        <is>
          <t>Arc Volkorne; Amulette Ementaire Deluxe; Alliance Gloursonne; Bague Trithon; Quatre-feuilles; Ceinture du Strigide; Bonnet Ko; Voile d'encre; Bottes du Strigide; Dofus des Glaces; Dofus Vulbis; Dofus Ébène; Dofus Turquoise; Nomade; Sakochère</t>
        </is>
      </c>
    </row>
    <row r="13661">
      <c r="A13661" t="inlineStr">
        <is>
          <t>Steamer M 200</t>
        </is>
      </c>
      <c r="B13661">
        <f>HYPERLINK("https://www.dofusbook.net/fr/equipement/5177872-steamer-m-200/objets", "link")</f>
        <v/>
      </c>
      <c r="C13661" t="n">
        <v>0</v>
      </c>
      <c r="D13661" t="inlineStr">
        <is>
          <t>Arc du Chalœil; Amulette Ementaire Deluxe; Anneau Volkorne; Bague Trithon; Quatre-feuilles; Ceinture Volkorne; Némès de Tal Kasha; Voile d'encre; Bottes Honyme; Dofus Ivoire; Dofus Ébène; Dofus Pourpre; Dofus Turquoise; Remueur; Nomade; Kokulte</t>
        </is>
      </c>
    </row>
    <row r="13662">
      <c r="A13662" t="inlineStr">
        <is>
          <t>Ecaflip M 200</t>
        </is>
      </c>
      <c r="B13662">
        <f>HYPERLINK("https://www.dofusbook.net/fr/equipement/5177800-ecaflip-m-200/objets", "link")</f>
        <v/>
      </c>
      <c r="C13662" t="n">
        <v>1</v>
      </c>
      <c r="D13662" t="inlineStr">
        <is>
          <t>Sceptre du Roi Joueur; Amulette de Shokkoth; Alliance Gloursonne; Anneau Volkorne; Cadran de Terre; Sangle Ouare; Kidibonnet; Cape de la Dame du Hasard; Bottes de la Dame du Hasard; Dofus Ébène; Dofus Nébuleux; Dofus Pourpre; Chanceux majeur; Remueur; Carapace Feu majeur; Pioute bleu</t>
        </is>
      </c>
    </row>
    <row r="13663">
      <c r="A13663" t="inlineStr">
        <is>
          <t>Sacrieur M 199</t>
        </is>
      </c>
      <c r="B13663">
        <f>HYPERLINK("https://www.dofusbook.net/fr/equipement/5148857-sacrieur-m-199/objets", "link")</f>
        <v/>
      </c>
      <c r="C13663" t="n">
        <v>2</v>
      </c>
      <c r="D13663" t="inlineStr">
        <is>
          <t>Karnak; Collier du Valet Veinard; Alliance Gloursonne; Gant du Valet Veinard; Cadran d'Eau; Menoture; Casque Dragoeuf; Cape Indescriptible; Palmes Trithons; Dofus Ébène; Dofus Émeraude; Dofus Abyssal; Carapace Air majeur; Cascadeur majeur; Remueur; Dragodinde Amande et Ebène</t>
        </is>
      </c>
    </row>
    <row r="13664">
      <c r="A13664" t="inlineStr">
        <is>
          <t>Sacrieur M 200</t>
        </is>
      </c>
      <c r="B13664">
        <f>HYPERLINK("https://www.dofusbook.net/fr/equipement/5177714-sacrieur-m-200/objets", "link")</f>
        <v/>
      </c>
      <c r="C13664" t="n">
        <v>0</v>
      </c>
      <c r="D13664" t="inlineStr"/>
    </row>
    <row r="13665">
      <c r="A13665" t="inlineStr">
        <is>
          <t>Sadida M 200</t>
        </is>
      </c>
      <c r="B13665">
        <f>HYPERLINK("https://www.dofusbook.net/fr/equipement/5015305-sadida-m-200/objets", "link")</f>
        <v/>
      </c>
      <c r="C13665" t="n">
        <v>2</v>
      </c>
      <c r="D13665" t="inlineStr">
        <is>
          <t>Arc Nécrotique; Amulette Volkorne; Goulano; Anneau Volkorne; Cadran de Terre; Sangle Ouare; Casque Dragoeuf; Cape de l'Œil Putride; Bottes Honyme; Dragodinde Amande et Indigo</t>
        </is>
      </c>
    </row>
    <row r="13666">
      <c r="A13666" t="inlineStr">
        <is>
          <t>gence</t>
        </is>
      </c>
      <c r="B13666">
        <f>HYPERLINK("https://www.dofusbook.net/fr/equipement/5015282-gence/objets", "link")</f>
        <v/>
      </c>
      <c r="C13666" t="n">
        <v>2</v>
      </c>
      <c r="D13666" t="inlineStr">
        <is>
          <t>L'Épée Nice; Amulette du Cycloïde; Anneau de XLII; Anneau Chevelu; Cadran de Terre; Ceinture Gence; Ruskauffe; Voile d'encre; Bottes de XLII; Dofus Turquoise; Dofus Ivoire; Dofus Pourpre; Dofus Ébène; Remueur; Enragé majeur; Dragodinde Amande et Pourpre</t>
        </is>
      </c>
    </row>
    <row r="13667">
      <c r="A13667" t="inlineStr">
        <is>
          <t>feu</t>
        </is>
      </c>
      <c r="B13667">
        <f>HYPERLINK("https://www.dofusbook.net/fr/equipement/5011468-feu/objets", "link")</f>
        <v/>
      </c>
      <c r="C13667" t="n">
        <v>0</v>
      </c>
      <c r="D13667" t="inlineStr">
        <is>
          <t>Arc corrompu; Amulette Volkorne; Anneauræus; Anneau Tique; Cadran de Terre; Ceinture de Gein; Masquegel; Cape Martegel; Pataugastrique; Dofus Pourpre; Dofus Ébène; Astucieux majeur; Nomade; Remueur; Érudit majeur; Dragodinde Amande et Orchidée</t>
        </is>
      </c>
    </row>
    <row r="13668">
      <c r="A13668" t="inlineStr">
        <is>
          <t>Sadida F 200</t>
        </is>
      </c>
      <c r="B13668">
        <f>HYPERLINK("https://www.dofusbook.net/fr/equipement/4985464-sadida-f-200/objets", "link")</f>
        <v/>
      </c>
      <c r="C13668" t="n">
        <v>1</v>
      </c>
      <c r="D13668" t="inlineStr">
        <is>
          <t>Dagues Érhy; Amulette Ementaire Deluxe; Anneau de XLII; Anneau Chevelu; Bouclier du Stalak; Ceinture de XLII; Masque d'Anerice; Voile d'encre; Bottes Honyme; Dofus Turquoise; Dofus Ivoire; Dolmanax; Dofus Ébène; Dragodinde Amande et Pourpre</t>
        </is>
      </c>
    </row>
    <row r="13669">
      <c r="A13669" t="inlineStr">
        <is>
          <t>Sadida M 200</t>
        </is>
      </c>
      <c r="B13669">
        <f>HYPERLINK("https://www.dofusbook.net/fr/equipement/4940592-sadida-m-200/objets", "link")</f>
        <v/>
      </c>
      <c r="C13669" t="n">
        <v>2</v>
      </c>
      <c r="D13669" t="inlineStr">
        <is>
          <t>Arc du Chalœil; Amulette du Cycloïde; Anneau Chevelu; Anneau de XLII; Cadran d'Air; Ceinture de XLII; Casque Dragoeuf; Cape au Logis; Baleinabottes; Dragodinde Amande et Pourpre</t>
        </is>
      </c>
    </row>
    <row r="13670">
      <c r="A13670" t="inlineStr">
        <is>
          <t>terre 50</t>
        </is>
      </c>
      <c r="B13670">
        <f>HYPERLINK("https://www.dofusbook.net/fr/equipement/4950092-terre-50/objets", "link")</f>
        <v/>
      </c>
      <c r="C13670" t="n">
        <v>5</v>
      </c>
      <c r="D13670" t="inlineStr">
        <is>
          <t>La Racine Hagogue; Amulette du Cycloïde; Alliance Brûlâme; Anneau Chevelu; Droiture de Fallanster; Ceinture de XLII; Casque Dragoeuf; Bravoure de Rykke Errel; Bottes de XLII; Dokoko; Nomade; Enragé majeur; Remueur; Miraculé majeur; Chienchien Tigré</t>
        </is>
      </c>
    </row>
    <row r="13671">
      <c r="A13671" t="inlineStr">
        <is>
          <t>kebab</t>
        </is>
      </c>
      <c r="B13671">
        <f>HYPERLINK("https://www.dofusbook.net/fr/equipement/4924193-kebab/objets", "link")</f>
        <v/>
      </c>
      <c r="C13671" t="n">
        <v>1</v>
      </c>
      <c r="D13671" t="inlineStr">
        <is>
          <t>Dagues Érhy; Amulette Volkorne; Alliance Brûlâme; Bague Gloursonne; Cadran d'Air; Ceinture Volkorne; Ruskauffe; Capchalot; Pompes Funèbres; Dofus Ocre; Dofus des Glaces; Dofus Vulbis; Dofus Ivoire; Dofus Turquoise; Dofus Ébène; Dragodinde Amande et Pourpre</t>
        </is>
      </c>
    </row>
    <row r="13672">
      <c r="A13672" t="inlineStr">
        <is>
          <t>feu</t>
        </is>
      </c>
      <c r="B13672">
        <f>HYPERLINK("https://www.dofusbook.net/fr/equipement/4805742-feu/objets", "link")</f>
        <v/>
      </c>
      <c r="C13672" t="n">
        <v>0</v>
      </c>
      <c r="D13672" t="inlineStr">
        <is>
          <t>Massier; Amulette de l'Œil Putride; Anneauræus; Anneauræus; Cadran d'Eau; Ceinture de Vortex; Couronne de Nidas; Cape de l'Œil Putride; Bottes Honyme; Dofus Pourpre; Dofus Turquoise; Nomade; Remueur; Vigoureux majeur; Érudit majeur; Bisouglours</t>
        </is>
      </c>
    </row>
    <row r="13673">
      <c r="A13673" t="inlineStr">
        <is>
          <t>feu</t>
        </is>
      </c>
      <c r="B13673">
        <f>HYPERLINK("https://www.dofusbook.net/fr/equipement/4805503-feu/objets", "link")</f>
        <v/>
      </c>
      <c r="C13673" t="n">
        <v>3</v>
      </c>
      <c r="D13673" t="inlineStr">
        <is>
          <t>Arc corrompu; Amulette Volkorne; Anneauræus; Anneauræus; Cadran d'Air; Ceinture de Vortex; Masquegel; Cape Martegel; Bottes Honyme; Érudit majeur; Dévastateur Feu majeur; Dragodinde Amande et Orchidée</t>
        </is>
      </c>
    </row>
    <row r="13674">
      <c r="A13674" t="inlineStr">
        <is>
          <t>Osamodas F 180</t>
        </is>
      </c>
      <c r="B13674">
        <f>HYPERLINK("https://www.dofusbook.net/fr/equipement/4360614-osamodas-f-180/objets", "link")</f>
        <v/>
      </c>
      <c r="C13674" t="n">
        <v>0</v>
      </c>
      <c r="D13674" t="inlineStr">
        <is>
          <t>L'Épée Nice; Amulette du Cycloïde; Anneau de XLII; Anneau Chevelu; Cadran de Feu; Ceinture de XLII; Ruskauffe; Voile d'encre; Baleinabottes; Dofus Ivoire; Remueur; Dragodinde Amande et Pourpre</t>
        </is>
      </c>
    </row>
    <row r="13675">
      <c r="A13675" t="inlineStr">
        <is>
          <t>do crit</t>
        </is>
      </c>
      <c r="B13675">
        <f>HYPERLINK("https://www.dofusbook.net/fr/equipement/4747466-do-crit/objets", "link")</f>
        <v/>
      </c>
      <c r="C13675" t="n">
        <v>0</v>
      </c>
      <c r="D13675" t="inlineStr">
        <is>
          <t>Sabres d'Atcham; Collier de la Dame du Hasard; Anneau Volkorne; Bague Trithon; Cadran d'Air; Ceinture Volkorne; Masque Trithon; Cape d'Atcham; Bottes de la Dame du Hasard; Dofus Abyssal; Dofus des Glaces; Dofus Vulbis; Dofus Ivoire; Dofus Ébène; Dofus Ocre; Sakochère</t>
        </is>
      </c>
    </row>
    <row r="13676">
      <c r="A13676" t="inlineStr">
        <is>
          <t>Sadida M 179</t>
        </is>
      </c>
      <c r="B13676">
        <f>HYPERLINK("https://www.dofusbook.net/fr/equipement/4364007-sadida-m-179/objets", "link")</f>
        <v/>
      </c>
      <c r="C13676" t="n">
        <v>3</v>
      </c>
      <c r="D13676" t="inlineStr">
        <is>
          <t>L'Épée Nice; Amulette Nécrotique; Alliance de Guten Tak; Bracelet Ventré; Cadran d'Air; Ceinture de XLII; Ruskauffe; Cape de Tengu Givrefoux; Bottes de XLII</t>
        </is>
      </c>
    </row>
    <row r="13677">
      <c r="A13677" t="inlineStr">
        <is>
          <t>Osamodas M 200</t>
        </is>
      </c>
      <c r="B13677">
        <f>HYPERLINK("https://www.dofusbook.net/fr/equipement/4716195-osamodas-m-200/objets", "link")</f>
        <v/>
      </c>
      <c r="C13677" t="n">
        <v>1</v>
      </c>
      <c r="D13677" t="inlineStr">
        <is>
          <t>Baguette Iots; Amulette Volkorne; Bague Trithon; Anneau Volkorne; Cadran d'Air; Ceinture Volkorne; Masque Trithon; Voile d'encre; Bottes Trithon; Dofus Turquoise; Dofus des Glaces; Dofus Ocre; Dofus Ébène; Dofus Abyssal; Dofus Ivoire; Volkorne Jade et Améthyste</t>
        </is>
      </c>
    </row>
    <row r="13678">
      <c r="A13678" t="inlineStr">
        <is>
          <t>Osamodas F 200</t>
        </is>
      </c>
      <c r="B13678">
        <f>HYPERLINK("https://www.dofusbook.net/fr/equipement/4710693-osamodas-f-200/objets", "link")</f>
        <v/>
      </c>
      <c r="C13678" t="n">
        <v>0</v>
      </c>
      <c r="D13678" t="inlineStr">
        <is>
          <t>Baguette de Malléfisk; Amulette Volkorne; Anneau Rifique; Ceinture de Vortex; Casque Cyclopéen; Cape de Diondin; Bottes Innommables</t>
        </is>
      </c>
    </row>
    <row r="13679">
      <c r="A13679" t="inlineStr">
        <is>
          <t>Osamodas F 200</t>
        </is>
      </c>
      <c r="B13679">
        <f>HYPERLINK("https://www.dofusbook.net/fr/equipement/4710643-osamodas-f-200/objets", "link")</f>
        <v/>
      </c>
      <c r="C13679" t="n">
        <v>0</v>
      </c>
      <c r="D13679" t="inlineStr">
        <is>
          <t>Arc du Chalœil; Amulette du Cœur Saignant; Anneau Chevelu; Anneau de XLII; Cadran d'Air; Ceinture de XLII; Ruskauffe; Cape au Logis; Baleinabottes; Dofus Turquoise; Enragé majeur; Évasif majeur; Remueur; Carapace Eau majeur; Dragodinde Amande et Pourpre</t>
        </is>
      </c>
    </row>
    <row r="13680">
      <c r="A13680" t="inlineStr">
        <is>
          <t>Ecaflip F 200</t>
        </is>
      </c>
      <c r="B13680">
        <f>HYPERLINK("https://www.dofusbook.net/fr/equipement/4271528-ecaflip-f-200/objets", "link")</f>
        <v/>
      </c>
      <c r="C13680" t="n">
        <v>2</v>
      </c>
      <c r="D13680" t="inlineStr">
        <is>
          <t>Baguette Iots; Amulette de l'Œil Putride; Anneau Volkorne; Bague Trithon; Cadran d'Air; Ceinture Volkorne; Masque Trithon; Cape de l'Œil Putride; Bottes Trithon; Dofus Turquoise; Dofus des Glaces; Dofus Pourpre</t>
        </is>
      </c>
    </row>
    <row r="13681">
      <c r="A13681" t="inlineStr">
        <is>
          <t>Osamodas F 200</t>
        </is>
      </c>
      <c r="B13681">
        <f>HYPERLINK("https://www.dofusbook.net/fr/equipement/4665402-osamodas-f-200/objets", "link")</f>
        <v/>
      </c>
      <c r="C13681" t="n">
        <v>1</v>
      </c>
      <c r="D13681" t="inlineStr">
        <is>
          <t>Baguette Iots; Amulette Volkorne; Alliance du Lévitrof; Anneau Volkorne; Cadran d'Air; Sangle Ouare; Ruskauffe; Cape de l'Œil Putride; Bottes Honyme; Dofus des Glaces; Dofus Turquoise; Dofus Ivoire; Dévastateur Eau majeur; Carapace Terre majeur; Remueur; Kokulte</t>
        </is>
      </c>
    </row>
    <row r="13682">
      <c r="A13682" t="inlineStr">
        <is>
          <t>air eau pvm</t>
        </is>
      </c>
      <c r="B13682">
        <f>HYPERLINK("https://www.dofusbook.net/fr/equipement/4662245-air-eau-pvm/objets", "link")</f>
        <v/>
      </c>
      <c r="C13682" t="n">
        <v>1</v>
      </c>
      <c r="D13682" t="inlineStr">
        <is>
          <t>Arc de Koutoulou; Amulette Voldelor; Alliance Gloursonne; Anneau Volkorne; Cadran d'Air; Sangle Ouare; Casque Volkorne; Cape Solution; Sandales de Tal Kasha; Dofus Ivoire; Dofus des Glaces; Chanceux majeur; Miraculé majeur; Vigoureux majeur; Cascadeur majeur; Kokulte</t>
        </is>
      </c>
    </row>
    <row r="13683">
      <c r="A13683" t="inlineStr">
        <is>
          <t>Sadida F 200</t>
        </is>
      </c>
      <c r="B13683">
        <f>HYPERLINK("https://www.dofusbook.net/fr/equipement/4498905-sadida-f-200/objets", "link")</f>
        <v/>
      </c>
      <c r="C13683" t="n">
        <v>1</v>
      </c>
      <c r="D13683" t="inlineStr">
        <is>
          <t>Hache Téroïde; Amulette Volkorne; Anneau Volkorne; Alliance Brûlâme; Quatre-feuilles; Ceinture Volkorne; Masque Brûlâme; Voile d'encre; Pompes Funèbres; Dofus Pourpre; Dofus des Glaces; Dofus Turquoise; Dofus Ivoire; Dofus Ocre; Dofus Ébène; Chacha Angora</t>
        </is>
      </c>
    </row>
    <row r="13684">
      <c r="A13684" t="inlineStr">
        <is>
          <t>Crâ M 200</t>
        </is>
      </c>
      <c r="B13684">
        <f>HYPERLINK("https://www.dofusbook.net/fr/equipement/4271459-cra-m-200/objets", "link")</f>
        <v/>
      </c>
      <c r="C13684" t="n">
        <v>4</v>
      </c>
      <c r="D13684" t="inlineStr">
        <is>
          <t>Sabres d'Atcham; Amulette Volkorne; Anneau de Padgref; Anneau Volkorne; Quatre-feuilles; Ceinture Volkorne; Coiffe de Padgref; Cape d'Atcham; Getas de Padgref; Dofus Turquoise; Dofus Nébuleux; Dofus Ébène; Dofus Ocre; Dofus Pourpre; Dofus des Glaces; Chacha Angora</t>
        </is>
      </c>
    </row>
    <row r="13685">
      <c r="A13685" t="inlineStr">
        <is>
          <t>Osamodas M 179</t>
        </is>
      </c>
      <c r="B13685">
        <f>HYPERLINK("https://www.dofusbook.net/fr/equipement/4362827-osamodas-m-179/objets", "link")</f>
        <v/>
      </c>
      <c r="C13685" t="n">
        <v>0</v>
      </c>
      <c r="D13685" t="inlineStr">
        <is>
          <t>Sceptre du Roi Joueur; Amulette de Shokkoth; Bracelet des Fonds marins; Anneau Volkorne; Cadran de Feu; Sangle Ouare; Masque des Fonds marins; Cape Solution; Bottes Honyme; Miraculé majeur; Chanceux majeur; Dévastateur Eau majeur; Carapace Eau majeur; Vigoureux majeur; Kanigloups</t>
        </is>
      </c>
    </row>
    <row r="13686">
      <c r="A13686" t="inlineStr">
        <is>
          <t>Iop M 200</t>
        </is>
      </c>
      <c r="B13686">
        <f>HYPERLINK("https://www.dofusbook.net/fr/equipement/4462806-iop-m-200/objets", "link")</f>
        <v/>
      </c>
      <c r="C13686" t="n">
        <v>1</v>
      </c>
      <c r="D13686" t="inlineStr">
        <is>
          <t>Arc du Chalœil; Amulette du Strigide; Anneau Volkorne; Bague Trithon; Quatre-feuilles; Ceinture Volkorne; Masque de Koutoulou; Voile d'encre; Bottes Honyme; Dofus des Glaces; Dofus Pourpre; Dofus Turquoise; Remueur; Vigoureux majeur; Nomade; Muldo Prune et Emeraude</t>
        </is>
      </c>
    </row>
    <row r="13687">
      <c r="A13687" t="inlineStr">
        <is>
          <t>Osamodas F 200</t>
        </is>
      </c>
      <c r="B13687">
        <f>HYPERLINK("https://www.dofusbook.net/fr/equipement/4441345-osamodas-f-200/objets", "link")</f>
        <v/>
      </c>
      <c r="C13687" t="n">
        <v>1</v>
      </c>
      <c r="D13687" t="inlineStr">
        <is>
          <t>L'Épée Nice; Collier du Valet Veinard; Gant du Valet Veinard; Alliance Brûlâme; Cadran d'Air; Menoture; Ruskauffe; Cape Indescriptible; Palmes Trithons; Dofus des Glaces; Cascadeur majeur; Remueur; Dévastateur Air majeur; Miraculé majeur; Carapace Air majeur; Dragodinde Dorée et Ebène</t>
        </is>
      </c>
    </row>
    <row r="13688">
      <c r="A13688" t="inlineStr">
        <is>
          <t>Iop M 200</t>
        </is>
      </c>
      <c r="B13688">
        <f>HYPERLINK("https://www.dofusbook.net/fr/equipement/4297922-iop-m-200/objets", "link")</f>
        <v/>
      </c>
      <c r="C13688" t="n">
        <v>0</v>
      </c>
      <c r="D13688" t="inlineStr">
        <is>
          <t>Epée Toche; Amulette Volkorne; Alliance Brûlâme; Anneau Chevelu; Quatre-feuilles; Ceinture Volkorne; Masque de Koutoulou; Voile d'encre; Bottes Honyme; Dofus Pourpre; Dofus Turquoise; Miraculé majeur; Nomade; Carapace Eau majeur; Vigoureux majeur; Kokulte</t>
        </is>
      </c>
    </row>
    <row r="13689">
      <c r="A13689" t="inlineStr">
        <is>
          <t>Féca M 200</t>
        </is>
      </c>
      <c r="B13689">
        <f>HYPERLINK("https://www.dofusbook.net/fr/equipement/4296483-feca-m-200/objets", "link")</f>
        <v/>
      </c>
      <c r="C13689" t="n">
        <v>0</v>
      </c>
      <c r="D13689" t="inlineStr">
        <is>
          <t>Anneau Volkorne; Casque Volkorne; Chevelure de Tal Kasha</t>
        </is>
      </c>
    </row>
    <row r="13690">
      <c r="A13690" t="inlineStr">
        <is>
          <t>Enutrof F 200</t>
        </is>
      </c>
      <c r="B13690">
        <f>HYPERLINK("https://www.dofusbook.net/fr/equipement/4296132-enutrof-f-200/objets", "link")</f>
        <v/>
      </c>
      <c r="C13690" t="n">
        <v>0</v>
      </c>
      <c r="D13690" t="inlineStr">
        <is>
          <t>Baguette Hique; Collier de la Dame du Hasard; Anneau Volkorne; Anneau Tique; Bouclier cubiste; Ceinture de l'Esprit Malsain; Chapeau des Malveilleurs; Cape de la Dame du Hasard; Pataugastrique; Dofus Turquoise; Dofus des Glaces; Dofus Pourpre; Nomade; Remueur; Carapace Feu majeur; Kokulte</t>
        </is>
      </c>
    </row>
    <row r="13691">
      <c r="A13691" t="inlineStr">
        <is>
          <t>Sadida F 200</t>
        </is>
      </c>
      <c r="B13691">
        <f>HYPERLINK("https://www.dofusbook.net/fr/equipement/4296094-sadida-f-200/objets", "link")</f>
        <v/>
      </c>
      <c r="C13691" t="n">
        <v>0</v>
      </c>
      <c r="D13691" t="inlineStr">
        <is>
          <t>Baguette Hique; Amulette Volkorne; Alliance Gloursonne; Anneau Volkorne; Bouclier du Stalak; Sangle Ouare; Némès de Tal Kasha; Voile d'encre; Bottes Honyme; Dofus Pourpre; Dofus Turquoise; Dofus des Glaces; Chanceux majeur; Vigoureux majeur; Remueur; Kokulte</t>
        </is>
      </c>
    </row>
    <row r="13692">
      <c r="A13692" t="inlineStr">
        <is>
          <t>Sadida M 200</t>
        </is>
      </c>
      <c r="B13692">
        <f>HYPERLINK("https://www.dofusbook.net/fr/equipement/4285685-sadida-m-200/objets", "link")</f>
        <v/>
      </c>
      <c r="C13692" t="n">
        <v>0</v>
      </c>
      <c r="D13692" t="inlineStr">
        <is>
          <t>Baguette Hique; Amulette Volkorne; Alliance du Lévitrof; Anneau Volkorne; Bouclier du Stalak; Sangle Ouare; Casque Dragoeuf; Chevelure de Tal Kasha; Bottes Honyme; Kokulte</t>
        </is>
      </c>
    </row>
    <row r="13693">
      <c r="A13693" t="inlineStr">
        <is>
          <t>Sadida M 200</t>
        </is>
      </c>
      <c r="B13693">
        <f>HYPERLINK("https://www.dofusbook.net/fr/equipement/4240171-sadida-m-200/objets", "link")</f>
        <v/>
      </c>
      <c r="C13693" t="n">
        <v>1</v>
      </c>
      <c r="D13693" t="inlineStr">
        <is>
          <t>Arc du Chalœil; Amulette du Cœur Saignant; Anneau Volkorne; Anneau Chevelu; Bouclier du Stalak; Ceinture Volkorne; Masque de Koutoulou; Cape du Cœur Saignant; Bottes du Cœur Saignant; Dolmanax; Dofus Ivoire; Dofus Vulbis; Dofus Pourpre; Dofus des Glaces; Dofus Turquoise; Kokulte</t>
        </is>
      </c>
    </row>
    <row r="13694">
      <c r="A13694" t="inlineStr">
        <is>
          <t>Sram M 200</t>
        </is>
      </c>
      <c r="B13694">
        <f>HYPERLINK("https://www.dofusbook.net/fr/equipement/4250074-sram-m-200/objets", "link")</f>
        <v/>
      </c>
      <c r="C13694" t="n">
        <v>1</v>
      </c>
      <c r="D13694" t="inlineStr">
        <is>
          <t>Sabres d'Atcham; Amulette Volkorne; Bague Gloursonne; Alliance Gloursonne; Quatre-feuilles; Ceinture Volkorne; Casque Volkorne; Cape d'Atcham; Sandales  d'Atcham; Dofus Nébuleux; Dolmanax; Dofus Pourpre; Dofus Ocre; Dofus Turquoise; Dofus des Glaces; Kokulte</t>
        </is>
      </c>
    </row>
    <row r="13695">
      <c r="A13695" t="inlineStr">
        <is>
          <t>Steamer M 200</t>
        </is>
      </c>
      <c r="B13695">
        <f>HYPERLINK("https://www.dofusbook.net/fr/equipement/4271409-steamer-m-200/objets", "link")</f>
        <v/>
      </c>
      <c r="C13695" t="n">
        <v>2</v>
      </c>
      <c r="D13695" t="inlineStr">
        <is>
          <t>Sabres d'Atcham; Amulette Volkorne; Anneau Volkorne; Anneau de Padgref; Quatre-feuilles; Ceinture Volkorne; Coiffe de Padgref; Cape d'Atcham; Getas de Padgref; Dofus Ocre; Dofus Abyssal; Dofus Turquoise; Dofus Nébuleux; Dofus des Glaces; Dofus Ivoire; Kokulte</t>
        </is>
      </c>
    </row>
    <row r="13696">
      <c r="A13696" t="inlineStr">
        <is>
          <t>Zobal M 200</t>
        </is>
      </c>
      <c r="B13696">
        <f>HYPERLINK("https://www.dofusbook.net/fr/equipement/4266813-zobal-m-200/objets", "link")</f>
        <v/>
      </c>
      <c r="C13696" t="n">
        <v>0</v>
      </c>
      <c r="D13696" t="inlineStr">
        <is>
          <t>Arc Nécrotique; Amulette Volkorne; Bague Trithon; Anneau Volkorne; Bouclier du Stalak; Poulpagne; Masque Paztek; Cape Paztek; Sandales Paztek; Walk</t>
        </is>
      </c>
    </row>
    <row r="13697">
      <c r="A13697" t="inlineStr">
        <is>
          <t>Xélor M 200</t>
        </is>
      </c>
      <c r="B13697">
        <f>HYPERLINK("https://www.dofusbook.net/fr/equipement/4265146-xelor-m-200/objets", "link")</f>
        <v/>
      </c>
      <c r="C13697" t="n">
        <v>0</v>
      </c>
      <c r="D13697" t="inlineStr">
        <is>
          <t>Dagoulinantes; Amulette de Shokkoth; Anneau Tique; Alliance Gloursonne; Sept ans de malheur; Culotte de Bethel; Kidibonnet; Cape d'Atcham; Sandales  d'Atcham; Nomade; Dévastateur Eau majeur; Remueur; Étourdisseur majeur; Chanceux majeur; Paralyseur majeur; Koalak Sanguin</t>
        </is>
      </c>
    </row>
    <row r="13698">
      <c r="A13698" t="inlineStr">
        <is>
          <t>Ecaflip M 200</t>
        </is>
      </c>
      <c r="B13698">
        <f>HYPERLINK("https://www.dofusbook.net/fr/equipement/4234078-ecaflip-m-200/objets", "link")</f>
        <v/>
      </c>
      <c r="C13698" t="n">
        <v>4</v>
      </c>
      <c r="D13698" t="inlineStr">
        <is>
          <t>Poolache; Amulette Volkorne; Anneau Volkorne; Bague Trithon; Quatre-feuilles; Ceinture Volkorne; Masque Trithon; Chevelure de Tal Kasha; Bottes Trithon; Dofus Ocre; Dofus des Glaces; Dofus Pourpre; Dofus Ivoire; Dofus Nébuleux; Dofus Turquoise; Kokulte</t>
        </is>
      </c>
    </row>
    <row r="13699">
      <c r="A13699" t="inlineStr">
        <is>
          <t>Pandawa M 200</t>
        </is>
      </c>
      <c r="B13699">
        <f>HYPERLINK("https://www.dofusbook.net/fr/equipement/4242696-pandawa-m-200/objets", "link")</f>
        <v/>
      </c>
      <c r="C13699" t="n">
        <v>2</v>
      </c>
      <c r="D13699" t="inlineStr">
        <is>
          <t>Marteau R'ture; Amulette du Cœur Saignant; Anneau Chevelu; Anneau Volkorne; Quatre-feuilles; Ceinture Volkorne; Masque d'Anerice; Voile d'encre; Bottes Honyme; Dofus Pourpre; Dofus Turquoise; Enragé majeur; Nomade; Remueur; Kramkram</t>
        </is>
      </c>
    </row>
    <row r="13700">
      <c r="A13700" t="inlineStr">
        <is>
          <t>Steamer M 200</t>
        </is>
      </c>
      <c r="B13700">
        <f>HYPERLINK("https://www.dofusbook.net/fr/equipement/4264542-steamer-m-200/objets", "link")</f>
        <v/>
      </c>
      <c r="C13700" t="n">
        <v>0</v>
      </c>
      <c r="D13700" t="inlineStr">
        <is>
          <t>Baguette Hique; Amulette Volkorne; Bague Trithon; Anneau Volkorne; Quatre-feuilles; Ceinture Volkorne; Masque Trithon; Voile d'encre; Bottes Trithon; Dofus Ocre; Dofus Nébuleux; Dofus Abyssal; Dofus Turquoise; Dofus Pourpre; Dofus des Glaces; Kokulte</t>
        </is>
      </c>
    </row>
    <row r="13701">
      <c r="A13701" t="inlineStr">
        <is>
          <t>Sadida F 200</t>
        </is>
      </c>
      <c r="B13701">
        <f>HYPERLINK("https://www.dofusbook.net/fr/equipement/4187187-sadida-f-200/objets", "link")</f>
        <v/>
      </c>
      <c r="C13701" t="n">
        <v>0</v>
      </c>
      <c r="D13701" t="inlineStr">
        <is>
          <t>Arc Honte; Amulette de l'Œil Putride; Alliance Gloursonne; Bague Gloursonne; Bouclier cubiste; Ceinture Volkorne; Casque Volkorne; Cape de l'Œil Putride; Bottes de l'Indicible; Dofus Vulbis; Dofus Pourpre; Dofus Ocre; Dofus des Glaces; Dofus Ivoire; Volkorne Turquoise</t>
        </is>
      </c>
    </row>
    <row r="13702">
      <c r="A13702" t="inlineStr">
        <is>
          <t>Sram F 200</t>
        </is>
      </c>
      <c r="B13702">
        <f>HYPERLINK("https://www.dofusbook.net/fr/equipement/4249553-sram-f-200/objets", "link")</f>
        <v/>
      </c>
      <c r="C13702" t="n">
        <v>0</v>
      </c>
      <c r="D13702" t="inlineStr">
        <is>
          <t>Hache Téroïde; Amulette Volkorne; Bague Gloursonne; Chevalière du Roi Joueur; Quatre-feuilles; Ceinture Volkorne; Couronne du Roi Joueur; Voile d'encre; Bottes du Roi Joueur</t>
        </is>
      </c>
    </row>
    <row r="13703">
      <c r="A13703" t="inlineStr">
        <is>
          <t>Sram M 200</t>
        </is>
      </c>
      <c r="B13703">
        <f>HYPERLINK("https://www.dofusbook.net/fr/equipement/4248870-sram-m-200/objets", "link")</f>
        <v/>
      </c>
      <c r="C13703" t="n">
        <v>2</v>
      </c>
      <c r="D13703" t="inlineStr">
        <is>
          <t>Arc de Koutoulou; Amulette d'Ilyzaelle; Alliance Gloursonne; Anneau Volkorne; Bouclier du Stalak; Ceinture du Barbétoal; Casque Volkorne; Cape Matelassée; Bottes de la Reine des Voleurs; Dofus des Glaces; Dofus Pourpre; Nomade; Cascadeur majeur; Remueur; Dévastateur Air majeur; Blérodoudou</t>
        </is>
      </c>
    </row>
    <row r="13704">
      <c r="A13704" t="inlineStr">
        <is>
          <t>Iop F 200</t>
        </is>
      </c>
      <c r="B13704">
        <f>HYPERLINK("https://www.dofusbook.net/fr/equipement/5761429-iop-f-200/objets", "link")</f>
        <v/>
      </c>
      <c r="C13704" t="n">
        <v>3</v>
      </c>
      <c r="D13704" t="inlineStr">
        <is>
          <t>Arc du Chalœil; Collier de Tourthon; Anneau Volkorne; Bague Gloursonne; Quatre-feuilles; Ceinture Volkorne; Masque de Koutoulou; Cape au Logis; Bottes des égarés; Dofus Ivoire; Dofus Ébène; Dofus Abyssal; Enragé majeur; Nomade; Remueur; Bulbisou</t>
        </is>
      </c>
    </row>
    <row r="13705">
      <c r="A13705" t="inlineStr">
        <is>
          <t>Iop F 200</t>
        </is>
      </c>
      <c r="B13705">
        <f>HYPERLINK("https://www.dofusbook.net/fr/equipement/4360263-iop-f-200/objets", "link")</f>
        <v/>
      </c>
      <c r="C13705" t="n">
        <v>52</v>
      </c>
      <c r="D13705" t="inlineStr">
        <is>
          <t>Masse Ossiale; Torquistik; Lavanneau; Alliance Brûlâme; Bouclier Taverne; Croture; Heaume Oplate; Cape Paztek; Sandales Paztek; Dofus Ivoire; Dofus Émeraude; Dofus Ocre; Nomade; Culbuteur majeur; Érudit majeur; Scarakiri</t>
        </is>
      </c>
    </row>
    <row r="13706">
      <c r="A13706" t="inlineStr">
        <is>
          <t>multi</t>
        </is>
      </c>
      <c r="B13706">
        <f>HYPERLINK("https://www.dofusbook.net/fr/equipement/5492515-multi/objets", "link")</f>
        <v/>
      </c>
      <c r="C13706" t="n">
        <v>0</v>
      </c>
      <c r="D13706" t="inlineStr">
        <is>
          <t>Dagues du Dragoeuf; Amulette de Pol Ouatnos; Bague Gloursonne; Alliance Gloursonne; Quatre-feuilles; Ceinture du Strigide; Chapeau des Malveilleurs; Dofusteuse; Bottes du Père Fwetar; Dofus Turquoise; Évasif majeur; Vigoureux majeur; Observateur; Miraculé majeur; Remueur; Wabbit</t>
        </is>
      </c>
    </row>
    <row r="13707">
      <c r="A13707" t="inlineStr">
        <is>
          <t>Huppermage F 200</t>
        </is>
      </c>
      <c r="B13707">
        <f>HYPERLINK("https://www.dofusbook.net/fr/equipement/4931039-huppermage-f-200/objets", "link")</f>
        <v/>
      </c>
      <c r="C13707" t="n">
        <v>1</v>
      </c>
      <c r="D13707" t="inlineStr">
        <is>
          <t>Amulette de Shokkoth; Bracelet des Fonds marins; Anneau Volkorne; Casque Dragoeuf; Cape Solution</t>
        </is>
      </c>
    </row>
    <row r="13708">
      <c r="A13708" t="inlineStr">
        <is>
          <t>Eniripsa F 200</t>
        </is>
      </c>
      <c r="B13708">
        <f>HYPERLINK("https://www.dofusbook.net/fr/equipement/4286286-eniripsa-f-200/objets", "link")</f>
        <v/>
      </c>
      <c r="C13708" t="n">
        <v>3</v>
      </c>
      <c r="D13708" t="inlineStr">
        <is>
          <t>Pelle de la Cour Sombre; Amulette du Cœur Vaillant; Alliance Gloursonne; Gant du Valet Veinard; Cadran de Terre; Menoture; Casque Volkorne; Cape du Cœur Vaillant; Tentassons; Dofus Abyssal; Dofus Ocre; Dofus Ivoire; Dofus des Glaces; Nomade; Dévastateur Air majeur; Blérodoudou</t>
        </is>
      </c>
    </row>
    <row r="13709">
      <c r="A13709" t="inlineStr">
        <is>
          <t>Majin AgiEau Goulta</t>
        </is>
      </c>
      <c r="B13709">
        <f>HYPERLINK("https://www.dofusbook.net/fr/equipement/4219833-majin-agieau-goulta/objets", "link")</f>
        <v/>
      </c>
      <c r="C13709" t="n">
        <v>1</v>
      </c>
      <c r="D13709" t="inlineStr">
        <is>
          <t>Sceptre du Roi Joueur; Amulette d'Ilyzaelle; Alliance Gloursonne; Bracelet des Fonds marins; Cadran de Terre; Menoture; Casque d'Ilyzaelle; Cape Solution; Sandales  d'Atcham; Dofus des Glaces; Dofus Ivoire; Dofus Abyssal; Nomade; Vigoureux majeur; Volkorne Améthyste et Turquoise</t>
        </is>
      </c>
    </row>
    <row r="13710">
      <c r="A13710" t="inlineStr">
        <is>
          <t>Majin OS t2</t>
        </is>
      </c>
      <c r="B13710">
        <f>HYPERLINK("https://www.dofusbook.net/fr/equipement/4219427-majin-os-t2/objets", "link")</f>
        <v/>
      </c>
      <c r="C13710" t="n">
        <v>8</v>
      </c>
      <c r="D13710" t="inlineStr">
        <is>
          <t>Crocobur; Amulette de l'Indicible; Anneau des égarés; Bracelet du Piloztère; Bouclier du Stalak; Menoture; Casque des égarés; Voile d'encre; Bottes de l'Esprit Salvateur; Dofus des Glaces; Dofus Ocre; Dofus Ivoire; Dofus Abyssal; Nomade; Vigoureux majeur; Mékrabe</t>
        </is>
      </c>
    </row>
    <row r="13711">
      <c r="A13711" t="inlineStr">
        <is>
          <t>Sadi terre eau</t>
        </is>
      </c>
      <c r="B13711">
        <f>HYPERLINK("https://www.dofusbook.net/fr/equipement/4217385-sadi-terre-eau/objets", "link")</f>
        <v/>
      </c>
      <c r="C13711" t="n">
        <v>4</v>
      </c>
      <c r="D13711" t="inlineStr">
        <is>
          <t>Dagues Érhy; Amulette de Pol Ouatnos; Bracelet du Piloztère; Bracelet des Fonds marins; Bouclier cubiste; Poulpagne; Masque de Koutoulou; Cape Luminescente; Chaussons de Macrab; Dofus Émeraude; Dofus Pourpre; Nomade; Robuste majeur; Vigoureux majeur; Remueur; Écureuil Chenapan</t>
        </is>
      </c>
    </row>
    <row r="13712">
      <c r="A13712" t="inlineStr">
        <is>
          <t>Majin Eau</t>
        </is>
      </c>
      <c r="B13712">
        <f>HYPERLINK("https://www.dofusbook.net/fr/equipement/4158540-majin-eau/objets", "link")</f>
        <v/>
      </c>
      <c r="C13712" t="n">
        <v>52</v>
      </c>
      <c r="D13712" t="inlineStr">
        <is>
          <t>Baguette Hique; Amulette de Shokkoth; Anneau Volkorne; Alliance Gloursonne; Cadran de Terre; Ceinture Voldelor; Masque de Funespadon; Cape de l'Œil Putride; Chaussons de Macrab; Dofus Abyssal; Dofus Ocre; Dofus Ivoire; Nomade; Étourdisseur majeur; Chanceux majeur; Volkorne Ivoire et Indigo</t>
        </is>
      </c>
    </row>
    <row r="13713">
      <c r="A13713" t="inlineStr">
        <is>
          <t>Roublard M 200</t>
        </is>
      </c>
      <c r="B13713">
        <f>HYPERLINK("https://www.dofusbook.net/fr/equipement/4086597-roublard-m-200/objets", "link")</f>
        <v/>
      </c>
      <c r="C13713" t="n">
        <v>23</v>
      </c>
      <c r="D13713" t="inlineStr">
        <is>
          <t>Arc du Chalœil; Collier de Tourthon; Anneau Chevelu; Bague Gloursonne; Bouclier du Stalak; Ceinture de la Reine des Voleurs; Coiffe de la Reine des Voleurs; Cape au Logis; Baleinabottes; Dofus Émeraude; Enragé majeur; Dévastateur Terre majeur; Remueur; Observateur; Nomade; Bulbisou</t>
        </is>
      </c>
    </row>
    <row r="13714">
      <c r="A13714" t="inlineStr">
        <is>
          <t>Rush succes donjon</t>
        </is>
      </c>
      <c r="B13714">
        <f>HYPERLINK("https://www.dofusbook.net/fr/equipement/2390331-rush-succes-donjon/objets", "link")</f>
        <v/>
      </c>
      <c r="C13714" t="n">
        <v>3</v>
      </c>
      <c r="D13714" t="inlineStr">
        <is>
          <t>Arc corrompu; Talisman Igans; Anneau Tamie; Anneau Tamie; Bouclier du Stalak; Ceintrigue; Coiffe Séculaire; Voile d'encre; Pataugastrique; Dokoko; Carapace Terre majeur; Érudit majeur; Remueur; Miraculé majeur; Nomade; Croum</t>
        </is>
      </c>
    </row>
    <row r="13715">
      <c r="A13715" t="inlineStr">
        <is>
          <t>Xélor M 200</t>
        </is>
      </c>
      <c r="B13715">
        <f>HYPERLINK("https://www.dofusbook.net/fr/equipement/5806257-xelor-m-200/objets", "link")</f>
        <v/>
      </c>
      <c r="C13715" t="n">
        <v>1</v>
      </c>
      <c r="D13715" t="inlineStr">
        <is>
          <t>Dagoulinantes; Amulette d'Ilyzaelle; Anneau Volkorne; Alliance Gloursonne; Cadran de Terre; Culotte de Bethel; Capuche de l'Œil Attentif; Cape de l'Œil Attentif; Pataugastrique; Dofus Pourpre; Dofus Ébène; Dofus Ocre; Dofus Vulbis; Dofus Ivoire; Étourdisseur majeur; Koalak Sanguin</t>
        </is>
      </c>
    </row>
    <row r="13716">
      <c r="A13716" t="inlineStr">
        <is>
          <t>Sadida M 200</t>
        </is>
      </c>
      <c r="B13716">
        <f>HYPERLINK("https://www.dofusbook.net/fr/equipement/5775921-sadida-m-200/objets", "link")</f>
        <v/>
      </c>
      <c r="C13716" t="n">
        <v>0</v>
      </c>
      <c r="D13716" t="inlineStr">
        <is>
          <t>Sceptre du Roi Joueur; Amulette de Shokkoth; Anneau Volkorne; Alliance Gloursonne; Bouclier cubiste; Poulpagne; Capuche de l'Œil Attentif; Cape de l'Œil Attentif; Bottes du Sinistrofu; Dofus Ébène; Dofus Ocre; Dofus Ivoire; Dofus Pourpre; Chanceux majeur; Nomade; Kanigloups</t>
        </is>
      </c>
    </row>
    <row r="13717">
      <c r="A13717" t="inlineStr">
        <is>
          <t>Steamer M 200</t>
        </is>
      </c>
      <c r="B13717">
        <f>HYPERLINK("https://www.dofusbook.net/fr/equipement/5775418-steamer-m-200/objets", "link")</f>
        <v/>
      </c>
      <c r="C13717" t="n">
        <v>1</v>
      </c>
      <c r="D13717" t="inlineStr">
        <is>
          <t>Arc du Chalœil; Amulette du Strigide; Bague Gloursonne; Bague Trithon; Cadran de Terre; Ceintacé; Masque de Koutoulou; Voile d'encre; Bottes Trithon; Dofus Turquoise; Dofus Pourpre; Dofus des Glaces; Nomade; Remueur; Vigoureux majeur; Kokulte</t>
        </is>
      </c>
    </row>
    <row r="13718">
      <c r="A13718" t="inlineStr">
        <is>
          <t>Sadida F 200</t>
        </is>
      </c>
      <c r="B13718">
        <f>HYPERLINK("https://www.dofusbook.net/fr/equipement/5741063-sadida-f-200/objets", "link")</f>
        <v/>
      </c>
      <c r="C13718" t="n">
        <v>6</v>
      </c>
      <c r="D13718" t="inlineStr">
        <is>
          <t>Hache Téroïde; Amulette Volkorne; Chevalière du Roi Joueur; Anneau Volkorne; Cadran de Terre; Ceinture Volkorne; Couronne du Roi Joueur; Voile d'encre; Bottes du Roi Joueur; Dofus Ivoire; Dofus des Glaces; Dofus Ocre; Dofus Pourpre; Dofus Ébène; Ralentisseur majeur; Volkorne Turquoise</t>
        </is>
      </c>
    </row>
    <row r="13719">
      <c r="A13719" t="inlineStr">
        <is>
          <t>Sadida M 200</t>
        </is>
      </c>
      <c r="B13719">
        <f>HYPERLINK("https://www.dofusbook.net/fr/equipement/4730260-sadida-m-200/objets", "link")</f>
        <v/>
      </c>
      <c r="C13719" t="n">
        <v>2</v>
      </c>
      <c r="D13719" t="inlineStr">
        <is>
          <t>Arc Honte; Amulette Martegel; Bague Gloursonne; Alliance Gloursonne; Bouclier du Stalak; Ceinture de l'Esprit Salvateur; Masque de l'Esprit Salvateur; Cape Martegel; Bottes de l'Esprit Salvateur; Dofus Ivoire; Dofus des Glaces; Dofus Pourpre; Dofus Ébène; Dofus Ocre; Dofus Abyssal; Volkorne Turquoise</t>
        </is>
      </c>
    </row>
    <row r="13720">
      <c r="A13720" t="inlineStr">
        <is>
          <t>Sadida M 200</t>
        </is>
      </c>
      <c r="B13720">
        <f>HYPERLINK("https://www.dofusbook.net/fr/equipement/5739308-sadida-m-200/objets", "link")</f>
        <v/>
      </c>
      <c r="C13720" t="n">
        <v>0</v>
      </c>
      <c r="D13720" t="inlineStr">
        <is>
          <t>Arc Honte; Amulette de l'Œil Putride; Anneau Tique; Alliance Gloursonne; Bouclier du Stalak; Ceinture de l'Esprit Salvateur; Masque de l'Esprit Salvateur; Cape de l'Œil Putride; Bottes de l'Esprit Salvateur; Dofus Ocre; Dofus des Glaces; Dofus Ivoire; Dolmanax; Dofus Vulbis; Dofus Ébène; Shushu de Rushu</t>
        </is>
      </c>
    </row>
    <row r="13721">
      <c r="A13721" t="inlineStr">
        <is>
          <t>Sadida M 200</t>
        </is>
      </c>
      <c r="B13721">
        <f>HYPERLINK("https://www.dofusbook.net/fr/equipement/4708539-sadida-m-200/objets", "link")</f>
        <v/>
      </c>
      <c r="C13721" t="n">
        <v>15</v>
      </c>
      <c r="D13721" t="inlineStr">
        <is>
          <t>Dagues Érhy; Amulette Martegel; Anneau Tique; Alliance Gloursonne; Bouclier cubiste; Ceinture de l'Esprit Salvateur; Masquegel; Cape Martegel; Bottes de l'Esprit Salvateur; Dofus Ocre; Dofus des Glaces; Dofus Vulbis; Dofus Ivoire; Dofus Pourpre; Dofus Ébène; Volkorne Turquoise</t>
        </is>
      </c>
    </row>
    <row r="13722">
      <c r="A13722" t="inlineStr">
        <is>
          <t>Sadida M 200</t>
        </is>
      </c>
      <c r="B13722">
        <f>HYPERLINK("https://www.dofusbook.net/fr/equipement/4717320-sadida-m-200/objets", "link")</f>
        <v/>
      </c>
      <c r="C13722" t="n">
        <v>3</v>
      </c>
      <c r="D13722" t="inlineStr">
        <is>
          <t>Arc Nécrotique; Amulette Volkorne; Bague Trithon; Anneau Volkorne; Quatre-feuilles; Ceintacé; Masque Trithon; Cape de la Dame du Hasard; Bottes de la Dame du Hasard; Dofus Turquoise; Dofus des Glaces; Dofus Vulbis; Dofus Abyssal; Dofus Ocre; Dofus Ivoire; Gwo Tofu Ventripotent</t>
        </is>
      </c>
    </row>
    <row r="13723">
      <c r="A13723" t="inlineStr">
        <is>
          <t>Sadida M 200</t>
        </is>
      </c>
      <c r="B13723">
        <f>HYPERLINK("https://www.dofusbook.net/fr/equipement/4717193-sadida-m-200/objets", "link")</f>
        <v/>
      </c>
      <c r="C13723" t="n">
        <v>4</v>
      </c>
      <c r="D13723" t="inlineStr">
        <is>
          <t>Arc Honte; Amulette de l'Œil Putride; Bague Gloursonne; Alliance Gloursonne; Bouclier cubiste; Ceinture de l'Esprit Salvateur; Masque de l'Esprit Salvateur; Cape de l'Œil Putride; Bottes de l'Esprit Salvateur; Dolmanax; Dofus Ivoire; Dofus Ocre; Dofus des Glaces; Dofus Vulbis; Dofus Ébène; Volkorne Turquoise</t>
        </is>
      </c>
    </row>
    <row r="13724">
      <c r="A13724" t="inlineStr">
        <is>
          <t>Eniripsa F 200</t>
        </is>
      </c>
      <c r="B13724">
        <f>HYPERLINK("https://www.dofusbook.net/fr/equipement/3918641-eniripsa-f-200/objets", "link")</f>
        <v/>
      </c>
      <c r="C13724" t="n">
        <v>6</v>
      </c>
      <c r="D13724" t="inlineStr">
        <is>
          <t>Arc corrompu; Amulette de Nileza; Anneauræus; Anneauræus; Bouclier du Cycloïde; Ceinture de Vortex; Cagoule de Vortex; Cape Martegel; Pataugastrique; Dofus Ocre; Dofus Ivoire; Dofus Ébène; Nomade; Guérisseur majeur; Érudit majeur; Dragodinde Orchidée et Rousse</t>
        </is>
      </c>
    </row>
    <row r="13725">
      <c r="A13725" t="inlineStr">
        <is>
          <t>Ecaflip M 200</t>
        </is>
      </c>
      <c r="B13725">
        <f>HYPERLINK("https://www.dofusbook.net/fr/equipement/5705171-ecaflip-m-200/objets", "link")</f>
        <v/>
      </c>
      <c r="C13725" t="n">
        <v>0</v>
      </c>
      <c r="D13725" t="inlineStr">
        <is>
          <t>Arc du Chalœil; Amulette du Strigide; Bague Trithon; Bague Gloursonne; Bouclier Taverne; Ceinture Gence; Masque de Koutoulou; Cape au Logis; Bottes Trithon; Dofus Ivoire; Dofus Ébène; Dofus Pourpre; Culbuteur majeur; Enragé majeur; Bousculeur majeur; Black Tiwabbit</t>
        </is>
      </c>
    </row>
    <row r="13726">
      <c r="A13726" t="inlineStr">
        <is>
          <t>Cra terre</t>
        </is>
      </c>
      <c r="B13726">
        <f>HYPERLINK("https://www.dofusbook.net/fr/equipement/4710631-cra-terre-/objets", "link")</f>
        <v/>
      </c>
      <c r="C13726" t="n">
        <v>11</v>
      </c>
      <c r="D13726" t="inlineStr">
        <is>
          <t>Arc corrompu; Amulette Volkorne; Anneauræus; Anneauræus; Bouclier du Stalak; Ceinture Volkorne; Coiffe Séculaire; Cape de Diondin; Bottes Innommables; Dofus Pourpre; Dofus Vulbis; Dofus Nébuleux; Dofus Ocre; Érudit majeur; Astucieux majeur; Brûlih</t>
        </is>
      </c>
    </row>
    <row r="13727">
      <c r="A13727" t="inlineStr">
        <is>
          <t>Ecaflip F 200</t>
        </is>
      </c>
      <c r="B13727">
        <f>HYPERLINK("https://www.dofusbook.net/fr/equipement/4693626-ecaflip-f-200/objets", "link")</f>
        <v/>
      </c>
      <c r="C13727" t="n">
        <v>10</v>
      </c>
      <c r="D13727" t="inlineStr">
        <is>
          <t>Arc du Chalœil; Amulette du Strigide; Anneau Crustique; Bague Gloursonne; Quatre-feuilles; Ceinture du Strigide; Corne de Torkélonia; Carapace de Torkélonia; Bottes du Strigide; Dofus Ébène; Dofus Turquoise; Dofus Pourpre; Dofus Ocre; Dofus Vulbis; Dofus Ivoire; Kokulte</t>
        </is>
      </c>
    </row>
    <row r="13728">
      <c r="A13728" t="inlineStr">
        <is>
          <t>Féca M 200</t>
        </is>
      </c>
      <c r="B13728">
        <f>HYPERLINK("https://www.dofusbook.net/fr/equipement/5631410-feca-m-200/objets", "link")</f>
        <v/>
      </c>
      <c r="C13728" t="n">
        <v>1</v>
      </c>
      <c r="D13728" t="inlineStr">
        <is>
          <t>Héqache; Collier Rophante; Anneau Tique; Alliance Gloursonne; Bouclier d'Anerice; Menoture; Casque Dragoeuf; Cape d'Anerice; Bottarpille; Dofus Ivoire; Dofus Émeraude; Nomade; Bloqueur majeur; Remueur; Obstructeur majeur; Givrefoux</t>
        </is>
      </c>
    </row>
    <row r="13729">
      <c r="A13729" t="inlineStr">
        <is>
          <t>Xélor F 200</t>
        </is>
      </c>
      <c r="B13729">
        <f>HYPERLINK("https://www.dofusbook.net/fr/equipement/4126656-xelor-f-200/objets", "link")</f>
        <v/>
      </c>
      <c r="C13729" t="n">
        <v>18</v>
      </c>
      <c r="D13729" t="inlineStr">
        <is>
          <t>Amulette Séculaire; Anneau Tique; Bague Gloursonne; Bouclier du Stalak; Croture; Coiffe Séculaire; Cape de Diondin; Bottes d'Otomaï; Dofus Ocre; Dofus Ébène; Dofus des Glaces; Dofus Ivoire; Érudit majeur; Nomade; Bisouglours</t>
        </is>
      </c>
    </row>
    <row r="13730">
      <c r="A13730" t="inlineStr">
        <is>
          <t>Féca M 200</t>
        </is>
      </c>
      <c r="B13730">
        <f>HYPERLINK("https://www.dofusbook.net/fr/equipement/3814222-feca-m-200/objets", "link")</f>
        <v/>
      </c>
      <c r="C13730" t="n">
        <v>34</v>
      </c>
      <c r="D13730" t="inlineStr">
        <is>
          <t>Arc Nécrotique; Bouclier du Stalak; Heaume Oplate; Cape de la Dame du Hasard; Bottes de la Dame du Hasard; Dofus Pourpre; Dofus Ocre; Dofus Turquoise; Dofus Ivoire; Dofus Ébène; Dofus des Glaces; Kokulte</t>
        </is>
      </c>
    </row>
    <row r="13731">
      <c r="A13731" t="inlineStr">
        <is>
          <t>Ecaflip F 200</t>
        </is>
      </c>
      <c r="B13731">
        <f>HYPERLINK("https://www.dofusbook.net/fr/equipement/4937167-ecaflip-f-200/objets", "link")</f>
        <v/>
      </c>
      <c r="C13731" t="n">
        <v>4</v>
      </c>
      <c r="D13731" t="inlineStr">
        <is>
          <t>Héqache; Torquistik; Baguistik; Goulano; Goulclier; Ceinture de la Reine des Voleurs; Coiffe de la Reine des Voleurs; Cape au Logis; Goulbottes; Dofus Ocre; Dofus Pourpre; Dofus des Glaces; Dofus Ivoire; Dofus Ébène; Dofus Abyssal; Wabbit</t>
        </is>
      </c>
    </row>
    <row r="13732">
      <c r="A13732" t="inlineStr">
        <is>
          <t>Zobal M 200</t>
        </is>
      </c>
      <c r="B13732">
        <f>HYPERLINK("https://www.dofusbook.net/fr/equipement/5022590-zobal-m-200/objets", "link")</f>
        <v/>
      </c>
      <c r="C13732" t="n">
        <v>3</v>
      </c>
      <c r="D13732" t="inlineStr"/>
    </row>
    <row r="13733">
      <c r="A13733" t="inlineStr">
        <is>
          <t>Crâ M 200</t>
        </is>
      </c>
      <c r="B13733">
        <f>HYPERLINK("https://www.dofusbook.net/fr/equipement/5538935-cra-m-200/objets", "link")</f>
        <v/>
      </c>
      <c r="C13733" t="n">
        <v>2</v>
      </c>
      <c r="D13733" t="inlineStr">
        <is>
          <t>Arc du Chalœil; Amulette du Strigide; Bague Trithon; Bracelet du Piloztère; Quatre-feuilles; Ceinture du Strigide; Masque de Koutoulou; Cape au Logis; Bottes Trithon; Dofus Ocre; Dofus Ébène; Dofus Pourpre; Dofus Nébuleux; Dofus Turquoise; Dofus Ivoire; Pioute vert</t>
        </is>
      </c>
    </row>
    <row r="13734">
      <c r="A13734" t="inlineStr">
        <is>
          <t>Enutrof M 200</t>
        </is>
      </c>
      <c r="B13734">
        <f>HYPERLINK("https://www.dofusbook.net/fr/equipement/5538264-enutrof-m-200/objets", "link")</f>
        <v/>
      </c>
      <c r="C13734" t="n">
        <v>1</v>
      </c>
      <c r="D13734" t="inlineStr">
        <is>
          <t>Rapière aux Glyphes; Amulette de Shokkoth; Bracelet des Fonds marins; Anneau Volkorne; Cadran d'Eau; Poulpagne; Capuche de l'Œil Attentif; Cape du Sinistrofu; Bottes du Sinistrofu; Dofus des Glaces; Dofus Turquoise; Dofus Pourpre; Dofus Ocre; Taquin majeur; Chanceux majeur; Dragodinde Indigo et Ivoire</t>
        </is>
      </c>
    </row>
    <row r="13735">
      <c r="A13735" t="inlineStr">
        <is>
          <t>Zobal M 200</t>
        </is>
      </c>
      <c r="B13735">
        <f>HYPERLINK("https://www.dofusbook.net/fr/equipement/5404606-zobal-m-200/objets", "link")</f>
        <v/>
      </c>
      <c r="C13735" t="n">
        <v>2</v>
      </c>
      <c r="D13735" t="inlineStr">
        <is>
          <t>Hache Ériphe; Amulette du Strigide; Bague Gloursonne; Alliance Gloursonne; Bouclier du Captain Amakna; Ceinture du Strigide; Corne de Torkélonia; Carapace de Torkélonia; Baleinabottes; Dofus Turquoise; Dofus Ivoire; Dofus Ocre; Dofus des Glaces; Dofus Pourpre; Dofus Vulbis; Kokulte</t>
        </is>
      </c>
    </row>
    <row r="13736">
      <c r="A13736" t="inlineStr">
        <is>
          <t>Zobal M 200</t>
        </is>
      </c>
      <c r="B13736">
        <f>HYPERLINK("https://www.dofusbook.net/fr/equipement/5395843-zobal-m-200/objets", "link")</f>
        <v/>
      </c>
      <c r="C13736" t="n">
        <v>4</v>
      </c>
      <c r="D13736" t="inlineStr">
        <is>
          <t>Dagues du Dragoeuf; Amulette Volkorne; Bague Trithon; Anneau Volkorne; Bouclier du Captain Amakna; Ceinture Volkorne; Corne de Torkélonia; Carapace de Torkélonia; Bottes Trithon; Dofus Pourpre; Dofus Nébuleux; Dofus Ocre; Dofus Ivoire; Dofus Turquoise; Dofus des Glaces; Kokulte</t>
        </is>
      </c>
    </row>
    <row r="13737">
      <c r="A13737" t="inlineStr">
        <is>
          <t>Féca M 200</t>
        </is>
      </c>
      <c r="B13737">
        <f>HYPERLINK("https://www.dofusbook.net/fr/equipement/5343899-feca-m-200/objets", "link")</f>
        <v/>
      </c>
      <c r="C13737" t="n">
        <v>8</v>
      </c>
      <c r="D13737" t="inlineStr">
        <is>
          <t>Arc corrompu; Amulette Volkorne; Bague Gloursonne; Anneauræus; Quatre-feuilles; Ceinture Volkorne; Heaume Oplate; Voile d'encre; Bottes Innommables; Dofus Émeraude; Dofus Turquoise; Dofus Pourpre; Remueur; Érudit majeur; Nomade; Muldo Orchidée et Pourpre</t>
        </is>
      </c>
    </row>
    <row r="13738">
      <c r="A13738" t="inlineStr">
        <is>
          <t>Zobal M 200</t>
        </is>
      </c>
      <c r="B13738">
        <f>HYPERLINK("https://www.dofusbook.net/fr/equipement/5344126-zobal-m-200/objets", "link")</f>
        <v/>
      </c>
      <c r="C13738" t="n">
        <v>3</v>
      </c>
      <c r="D13738" t="inlineStr">
        <is>
          <t>Lav'Hache; Torquistik; Goulano; Baguistik; Goulclier; Ceinture de la Reine des Voleurs; Coiffe de la Reine des Voleurs; Voile d'encre; Bottistik; Dofus Turquoise; Dofus Ivoire; Dofus Pourpre; Dofus Ébène; Dofus Vulbis; Dofus Ocre; Bulbisou</t>
        </is>
      </c>
    </row>
    <row r="13739">
      <c r="A13739" t="inlineStr">
        <is>
          <t>Sacrieur M 200</t>
        </is>
      </c>
      <c r="B13739">
        <f>HYPERLINK("https://www.dofusbook.net/fr/equipement/5240844-sacrieur-m-200/objets", "link")</f>
        <v/>
      </c>
      <c r="C13739" t="n">
        <v>4</v>
      </c>
      <c r="D13739" t="inlineStr">
        <is>
          <t>Baguette Hique; Amulette de Shokkoth; Anneau Volkorne; Alliance Gloursonne; Bouclier du Stalak; Sangle Ouare; Kidibonnet; Cape de la Dame du Hasard; Bottes de la Dame du Hasard; Dofus Pourpre; Dofus Turquoise; Dofus Ocre; Dofus Émeraude; Nomade; Chanceux majeur; Pioute bleu</t>
        </is>
      </c>
    </row>
    <row r="13740">
      <c r="A13740" t="inlineStr">
        <is>
          <t>Iop F 200</t>
        </is>
      </c>
      <c r="B13740">
        <f>HYPERLINK("https://www.dofusbook.net/fr/equipement/4871982-iop-f-200/objets", "link")</f>
        <v/>
      </c>
      <c r="C13740" t="n">
        <v>8</v>
      </c>
      <c r="D13740" t="inlineStr">
        <is>
          <t>Manthache; Collier du Valet Veinard; Alliance Gloursonne; Gant du Valet Veinard; Cadran d'Eau; Menoture; Dorabysses; Cape de la Fuji Givrefoux; Palmes Trithons; Dofus Émeraude; Dofus Pourpre; Cascadeur majeur; Dévastateur Air majeur; Remueur; Nomade; Dragodinde Ebène et Ivoire</t>
        </is>
      </c>
    </row>
    <row r="13741">
      <c r="A13741" t="inlineStr">
        <is>
          <t>Ecaflip M 200</t>
        </is>
      </c>
      <c r="B13741">
        <f>HYPERLINK("https://www.dofusbook.net/fr/equipement/4979232-ecaflip-m-200/objets", "link")</f>
        <v/>
      </c>
      <c r="C13741" t="n">
        <v>3</v>
      </c>
      <c r="D13741" t="inlineStr">
        <is>
          <t>Bêche Asse; Amulette Volkorne; Anneau de Brouce; Anneau Volkorne; Bouclier du Stalak; Ceinture Volkorne; Masque de Koutoulou; Cape du Cœur Saignant; Bottes du Cœur Saignant; Dofus Pourpre; Dofus Ivoire; Dofus Ocre; Dofus Ébène; Dofus Nébuleux; Dofus Abyssal; Pioute vert</t>
        </is>
      </c>
    </row>
    <row r="13742">
      <c r="A13742" t="inlineStr">
        <is>
          <t>Sadida M 200</t>
        </is>
      </c>
      <c r="B13742">
        <f>HYPERLINK("https://www.dofusbook.net/fr/equipement/4941988-sadida-m-200/objets", "link")</f>
        <v/>
      </c>
      <c r="C13742" t="n">
        <v>0</v>
      </c>
      <c r="D13742" t="inlineStr">
        <is>
          <t>Dagues Açantes; Amulette de Shokkoth; Alliance Gloursonne; Anneau Volkorne; Quatre-feuilles; Ceinture du Barbétoal; Capuche de l'Œil Attentif; Cape de l'Œil Attentif; Pataugastrique; Dofus Ocre; Dofus Abyssal; Dofus Ivoire; Dofus des Glaces; Dofus Ébène; Nomade; Kanigloups</t>
        </is>
      </c>
    </row>
    <row r="13743">
      <c r="A13743" t="inlineStr">
        <is>
          <t>Crâ M 200</t>
        </is>
      </c>
      <c r="B13743">
        <f>HYPERLINK("https://www.dofusbook.net/fr/equipement/4937246-cra-m-200/objets", "link")</f>
        <v/>
      </c>
      <c r="C13743" t="n">
        <v>0</v>
      </c>
      <c r="D13743" t="inlineStr">
        <is>
          <t>Arc du Chalœil; Amulette du Cœur Saignant; Anneau Volkorne; Chevalière du Roi Joueur; Bouclier du Stalak; Ceinture Volkorne; Couronne du Roi Joueur; Cape du Cœur Saignant; Bottes du Cœur Saignant; Dolmanax; Dofus Ocre; Dofus Nébuleux; Dofus Ivoire; Dofus Abyssal; Voyageur; Pioute vert</t>
        </is>
      </c>
    </row>
    <row r="13744">
      <c r="A13744" t="inlineStr">
        <is>
          <t>Féca M 200</t>
        </is>
      </c>
      <c r="B13744">
        <f>HYPERLINK("https://www.dofusbook.net/fr/equipement/4929214-feca-m-200/objets", "link")</f>
        <v/>
      </c>
      <c r="C13744" t="n">
        <v>1</v>
      </c>
      <c r="D13744" t="inlineStr">
        <is>
          <t>Baguette de Malléfisk; Amulette Volkorne; Anneauræus; Anneau Volkorne; Cadran de Feu; Protopagne; Casque Dragoeuf; Cape de Diondin; Chaussures Ardentes; Dofus Ivoire; Dofus des Glaces; Dofus Abyssal; Dofus Ocre; Érudit majeur; Miraculé majeur; Bisouglours</t>
        </is>
      </c>
    </row>
    <row r="13745">
      <c r="A13745" t="inlineStr">
        <is>
          <t>Zobal M 200</t>
        </is>
      </c>
      <c r="B13745">
        <f>HYPERLINK("https://www.dofusbook.net/fr/equipement/4818887-zobal-m-200/objets", "link")</f>
        <v/>
      </c>
      <c r="C13745" t="n">
        <v>12</v>
      </c>
      <c r="D13745" t="inlineStr">
        <is>
          <t>Masse Ossiale; Amulette du Sinistrofu; Bague Trithon; Alliance Gloursonne; Bouclier Taverne; Sangle Ouare; Masque Paztek; Cape Solution; Sandales Paztek; Dofus Ivoire; Dofus Ocre; Chanceux majeur; Culbuteur majeur; Pousseur majeur; Bousculeur majeur; Écumouth</t>
        </is>
      </c>
    </row>
    <row r="13746">
      <c r="A13746" t="inlineStr">
        <is>
          <t>Zobal M 200</t>
        </is>
      </c>
      <c r="B13746">
        <f>HYPERLINK("https://www.dofusbook.net/fr/equipement/4868631-zobal-m-200/objets", "link")</f>
        <v/>
      </c>
      <c r="C13746" t="n">
        <v>2</v>
      </c>
      <c r="D13746" t="inlineStr">
        <is>
          <t>Lav'Hache; Torquistik; Bague Instable; Bague Trithon; Bouclier précieux; Ceinture Gence; Casque Dragoeuf; Cape Solution; Bottistik; Dofus Abyssal; Dofus Ivoire; Culbuteur majeur; Culbuteur; Bousculeur majeur; Pousseur majeur; Balafreux</t>
        </is>
      </c>
    </row>
    <row r="13747">
      <c r="A13747" t="inlineStr">
        <is>
          <t>Zobal M 200</t>
        </is>
      </c>
      <c r="B13747">
        <f>HYPERLINK("https://www.dofusbook.net/fr/equipement/4552229-zobal-m-200/objets", "link")</f>
        <v/>
      </c>
      <c r="C13747" t="n">
        <v>3</v>
      </c>
      <c r="D13747" t="inlineStr"/>
    </row>
    <row r="13748">
      <c r="A13748" t="inlineStr">
        <is>
          <t>Sadida M 200</t>
        </is>
      </c>
      <c r="B13748">
        <f>HYPERLINK("https://www.dofusbook.net/fr/equipement/4717310-sadida-m-200/objets", "link")</f>
        <v/>
      </c>
      <c r="C13748" t="n">
        <v>0</v>
      </c>
      <c r="D13748" t="inlineStr">
        <is>
          <t>Arc Nécrotique; Amulette de l'Œil Putride; Bague Gloursonne; Alliance Gloursonne; Ceinture de l'Indicible; Capuche de l'Œil Putride; Cape de l'Œil Putride; Bottes de l'Indicible; Dofus Abyssal; Dolmanax; Dofus des Glaces; Dofus Ocre; Dofus Ivoire</t>
        </is>
      </c>
    </row>
    <row r="13749">
      <c r="A13749" t="inlineStr">
        <is>
          <t>Sadida M 200</t>
        </is>
      </c>
      <c r="B13749">
        <f>HYPERLINK("https://www.dofusbook.net/fr/equipement/4723634-sadida-m-200/objets", "link")</f>
        <v/>
      </c>
      <c r="C13749" t="n">
        <v>0</v>
      </c>
      <c r="D13749" t="inlineStr">
        <is>
          <t>Dagues Érhy; Amulette Volkorne; Alliance de Missiz Frizz; Anneau Volkorne; Bouclier du Stalak; Ceinture Volkorne; Casque de Missiz Frizz; Cape de la Cour Sombre; Bottes de la Cour Sombre; Dofus Pourpre; Dofus des Glaces; Dofus Ocre; Dofus Ivoire; Dolmanax; Dofus Abyssal; Volkorne Turquoise</t>
        </is>
      </c>
    </row>
    <row r="13750">
      <c r="A13750" t="inlineStr">
        <is>
          <t>Sadida M 200</t>
        </is>
      </c>
      <c r="B13750">
        <f>HYPERLINK("https://www.dofusbook.net/fr/equipement/4717333-sadida-m-200/objets", "link")</f>
        <v/>
      </c>
      <c r="C13750" t="n">
        <v>3</v>
      </c>
      <c r="D13750" t="inlineStr">
        <is>
          <t>Baguette de Malléfisk; Amulette Volkorne; Anneau Tique; Anneau de Nidas; Carapar; Ceinture de Gein; Masquegel; Cape Martegel; Pataugastrique; Dofus Ocre; Dofus Abyssal; Dofus Ivoire; Fonceur majeur; Nomade; Érudit majeur; Tofu Givré</t>
        </is>
      </c>
    </row>
    <row r="13751">
      <c r="A13751" t="inlineStr">
        <is>
          <t>Crâ F 200</t>
        </is>
      </c>
      <c r="B13751">
        <f>HYPERLINK("https://www.dofusbook.net/fr/equipement/4027911-cra-f-200/objets", "link")</f>
        <v/>
      </c>
      <c r="C13751" t="n">
        <v>9</v>
      </c>
      <c r="D13751" t="inlineStr">
        <is>
          <t>Arc du Chalœil; Amulette du Cœur Saignant; Chevalière du Roi Joueur; Anneau Volkorne; Bouclier du Stalak; Ceinture Volkorne; Couronne du Roi Joueur; Cape du Cœur Saignant; Bottes du Cœur Saignant; Dofus Nébuleux; Dofus Vulbis; Dofus Ivoire; Dofus Pourpre; Dofus Ocre; Dofus Abyssal; Bulbisou</t>
        </is>
      </c>
    </row>
    <row r="13752">
      <c r="A13752" t="inlineStr">
        <is>
          <t>Sadida M 200</t>
        </is>
      </c>
      <c r="B13752">
        <f>HYPERLINK("https://www.dofusbook.net/fr/equipement/4717267-sadida-m-200/objets", "link")</f>
        <v/>
      </c>
      <c r="C13752" t="n">
        <v>2</v>
      </c>
      <c r="D13752" t="inlineStr">
        <is>
          <t>Pyraguette; Amulette Volkorne; Alliance Gloursonne; Anneau Volkorne; Bouclier du Stalak; Ceinture Volkorne; Casqnoar; Voile d'encre; Pataugastrique; Dolmanax; Dofus des Glaces; Dofus Pourpre; Dofus Abyssal; Dofus Ocre; Dofus Ivoire; Walk</t>
        </is>
      </c>
    </row>
    <row r="13753">
      <c r="A13753" t="inlineStr">
        <is>
          <t>momol</t>
        </is>
      </c>
      <c r="B13753">
        <f>HYPERLINK("https://www.dofusbook.net/fr/equipement/1385911-momol/objets", "link")</f>
        <v/>
      </c>
      <c r="C13753" t="n">
        <v>9</v>
      </c>
      <c r="D13753" t="inlineStr">
        <is>
          <t>Héqache; Torquistik; Baguistik; Goulano; Goulclier; Ceinture de la Reine des Voleurs; Coiffe de la Reine des Voleurs; Cape au Logis; Goulbottes; Dofus Pourpre; Dofus Ocre; Dofus Forgelave; Dofus Nébuleux; Dofus Turquoise; Dokoko; Bouftor</t>
        </is>
      </c>
    </row>
    <row r="13754">
      <c r="A13754" t="inlineStr">
        <is>
          <t>Iop M 200</t>
        </is>
      </c>
      <c r="B13754">
        <f>HYPERLINK("https://www.dofusbook.net/fr/equipement/3751016-iop-m-200/objets", "link")</f>
        <v/>
      </c>
      <c r="C13754" t="n">
        <v>15</v>
      </c>
      <c r="D13754" t="inlineStr">
        <is>
          <t>Bêche Asse; Amulette du Strigide; Anneau de Brouce; Goulano; Bouclier du Stalak; Ceintacé; Masque de Koutoulou; Voile d'encre; Goulbottes; Dofus Pourpre; Dofus Abyssal; Dofus Turquoise; Dofus Ivoire; Dofus Vulbis; Enragé majeur; Dragodinde Ivoire et Pourpre</t>
        </is>
      </c>
    </row>
    <row r="13755">
      <c r="A13755" t="inlineStr">
        <is>
          <t>Do pou 4v4</t>
        </is>
      </c>
      <c r="B13755">
        <f>HYPERLINK("https://www.dofusbook.net/fr/equipement/1866877-do-pou-4v4/objets", "link")</f>
        <v/>
      </c>
      <c r="C13755" t="n">
        <v>0</v>
      </c>
      <c r="D13755" t="inlineStr">
        <is>
          <t>Arc du Chalœil; Torquistik; Baguistik; Bague Instable; Bouclier précieux; Sangle Ouare; Casque Dragoeuf; Cape Solution; Bottes Trithon; Dofus Ivoire; Dofus Ocre; Dofus Abyssal; Bousculeur majeur; Culbuteur majeur; Pousseur majeur; Écumouth</t>
        </is>
      </c>
    </row>
    <row r="13756">
      <c r="A13756" t="inlineStr">
        <is>
          <t>Roublard M 200</t>
        </is>
      </c>
      <c r="B13756">
        <f>HYPERLINK("https://www.dofusbook.net/fr/equipement/4354960-roublard-m-200/objets", "link")</f>
        <v/>
      </c>
      <c r="C13756" t="n">
        <v>9</v>
      </c>
      <c r="D13756" t="inlineStr">
        <is>
          <t>Manthache; Collier du Valet Veinard; Gant du Valet Veinard; Alliance Gloursonne; Cadran d'Air; Menoture; Capuche de Moum-Ra; Cape de Crânonier; Palmes Trithons; Dofus des Glaces; Dévastateur Air majeur; Remueur; Carapace Air majeur; Nomade; Cascadeur majeur; Blérodoudou</t>
        </is>
      </c>
    </row>
    <row r="13757">
      <c r="A13757" t="inlineStr">
        <is>
          <t>Sacrieur F 200</t>
        </is>
      </c>
      <c r="B13757">
        <f>HYPERLINK("https://www.dofusbook.net/fr/equipement/4103914-sacrieur-f-200/objets", "link")</f>
        <v/>
      </c>
      <c r="C13757" t="n">
        <v>6</v>
      </c>
      <c r="D13757" t="inlineStr">
        <is>
          <t>Manthache; Collier du Valet Veinard; Alliance Gloursonne; Gant du Valet Veinard; Bouclier d'Ilyzaelle; Menoture; Casque Dragoeuf; Cape Indescriptible; Palmes Trithons; Dofus Émeraude; Miraculé majeur; Remueur; Cascadeur majeur; Nomade; Carapace Air majeur; Blérodoudou</t>
        </is>
      </c>
    </row>
    <row r="13758">
      <c r="A13758" t="inlineStr">
        <is>
          <t>Eniripsa F 200</t>
        </is>
      </c>
      <c r="B13758">
        <f>HYPERLINK("https://www.dofusbook.net/fr/equipement/3816575-eniripsa-f-200/objets", "link")</f>
        <v/>
      </c>
      <c r="C13758" t="n">
        <v>6</v>
      </c>
      <c r="D13758" t="inlineStr">
        <is>
          <t>Arc corrompu; Amulette de Nileza; Anneauræus; Anneauræus; Bivalve; Ceinture de Vortex; Couronne de Nidas; Cape de Nileza; Pataugastrique; Dofus Ocre; Dofus Ivoire; Dofus Pourpre; Guérisseur majeur; Érudit majeur; Dragodinde Orchidée et Rousse</t>
        </is>
      </c>
    </row>
    <row r="13759">
      <c r="A13759" t="inlineStr">
        <is>
          <t>Crâ F 200</t>
        </is>
      </c>
      <c r="B13759">
        <f>HYPERLINK("https://www.dofusbook.net/fr/equipement/4021137-cra-f-200/objets", "link")</f>
        <v/>
      </c>
      <c r="C13759" t="n">
        <v>5</v>
      </c>
      <c r="D13759" t="inlineStr">
        <is>
          <t>Sceptre du Roi Joueur; Amulette de Shokkoth; Anneau Volkorne; Alliance Gloursonne; Cadran de Terre; Culotte de Bethel; Kidibonnet; Cape de l'Œil Attentif; Chaussons de Macrab; Dofus Ocre; Dofus Abyssal; Dofus Pourpre; Dofus Ivoire; Nomade; Étourdisseur majeur; Minimino</t>
        </is>
      </c>
    </row>
    <row r="13760">
      <c r="A13760" t="inlineStr">
        <is>
          <t>Zobal M 200</t>
        </is>
      </c>
      <c r="B13760">
        <f>HYPERLINK("https://www.dofusbook.net/fr/equipement/3987568-zobal-m-200/objets", "link")</f>
        <v/>
      </c>
      <c r="C13760" t="n">
        <v>3</v>
      </c>
      <c r="D13760" t="inlineStr">
        <is>
          <t>Arc du Chalœil; Torquistik; Bague Instable; Bague Trithon; Bouclier précieux; Ceinture Gence; Casque Dragoeuf; Cape Solution; Bottistik; Dofus Abyssal; Dofus Ivoire; Bousculeur majeur; Nomade; Culbuteur majeur; Pousseur majeur; Tatouf</t>
        </is>
      </c>
    </row>
    <row r="13761">
      <c r="A13761" t="inlineStr">
        <is>
          <t>a terre</t>
        </is>
      </c>
      <c r="B13761">
        <f>HYPERLINK("https://www.dofusbook.net/fr/equipement/3098485-a-terre/objets", "link")</f>
        <v/>
      </c>
      <c r="C13761" t="n">
        <v>5</v>
      </c>
      <c r="D13761" t="inlineStr">
        <is>
          <t>Arc du Chalœil; Amulette du Strigide; Bague Gloursonne; Quatre-feuilles; Ceinture de la Reine des Voleurs; Coiffe de la Reine des Voleurs; Cape au Logis; Sabots Minables; Dofus Pourpre; Dofus Ivoire; Dofus Ocre; Dofus Nébuleux; Dofus Turquoise; Enragé majeur; Dragodinde Ivoire et Pourpre</t>
        </is>
      </c>
    </row>
    <row r="13762">
      <c r="A13762" t="inlineStr">
        <is>
          <t>Xélor M 200</t>
        </is>
      </c>
      <c r="B13762">
        <f>HYPERLINK("https://www.dofusbook.net/fr/equipement/3856226-xelor-m-200/objets", "link")</f>
        <v/>
      </c>
      <c r="C13762" t="n">
        <v>5</v>
      </c>
      <c r="D13762" t="inlineStr">
        <is>
          <t>Dagoulinantes; Amulette de l'Œil Attentif; Alliance Gloursonne; Bracelet des Fonds marins; Sept ans de malheur; Culotte de Bethel; Masque de Funespadon; Chevelure de Tal Kasha; Pataugastrique; Dofus Ivoire; Dofus Ocre; Dofus Abyssal; Paralyseur majeur; Chanceux majeur; Étourdisseur majeur; Dragoune Rose</t>
        </is>
      </c>
    </row>
    <row r="13763">
      <c r="A13763" t="inlineStr">
        <is>
          <t>Stuff 3</t>
        </is>
      </c>
      <c r="B13763">
        <f>HYPERLINK("https://www.dofusbook.net/fr/equipement/190869-stuff-3/objets", "link")</f>
        <v/>
      </c>
      <c r="C13763" t="n">
        <v>1</v>
      </c>
      <c r="D13763" t="inlineStr">
        <is>
          <t>Hache du Korriandre; Amulette du Strigide; Alliance Gloursonne; Bague Gloursonne; Quatre-feuilles; Ceinture du Strigide; Némès de Tal Kasha; Chevelure de Tal Kasha; Sandales de Tal Kasha; Dofus Vulbis; Dofus des Glaces; Dofus Turquoise; Dofus Abyssal; Dofus Ocre; Dofus Ivoire; Kokulte</t>
        </is>
      </c>
    </row>
    <row r="13764">
      <c r="A13764" t="inlineStr">
        <is>
          <t>yopo</t>
        </is>
      </c>
      <c r="B13764">
        <f>HYPERLINK("https://www.dofusbook.net/fr/equipement/1772133-yopo/objets", "link")</f>
        <v/>
      </c>
      <c r="C13764" t="n">
        <v>1</v>
      </c>
      <c r="D13764" t="inlineStr">
        <is>
          <t>Héqache; Amulette Luminescente; Anneau Chevelu; Alliance Gloursonne; Bouclier précieux; Ceinture Luminescente; Casque Dragoeuf; Voile d'encre; Sabots Minables; Dofus Émeraude; Culbuteur majeur; Miraculé majeur; Nomade; Bousculeur majeur; Remueur; Écumouth</t>
        </is>
      </c>
    </row>
    <row r="13765">
      <c r="A13765" t="inlineStr">
        <is>
          <t>Ecaflip F 200</t>
        </is>
      </c>
      <c r="B13765">
        <f>HYPERLINK("https://www.dofusbook.net/fr/equipement/3784045-ecaflip-f-200/objets", "link")</f>
        <v/>
      </c>
      <c r="C13765" t="n">
        <v>0</v>
      </c>
      <c r="D13765" t="inlineStr">
        <is>
          <t>Hache du Korriandre; Amulette Voldelor; Alliance Gloursonne; Bracelet du Piloztère; Bouclier du Stalak; Ceinture Voldelor; Némès de Tal Kasha; Chevelure de Tal Kasha; Sandales de Tal Kasha; Dofus Ocre; Dofus Ivoire; Dofus Vulbis; Dofus des Glaces; Dofus Turquoise; Dofus Abyssal; Kokulte</t>
        </is>
      </c>
    </row>
    <row r="13766">
      <c r="A13766" t="inlineStr">
        <is>
          <t>Huppermage M 200</t>
        </is>
      </c>
      <c r="B13766">
        <f>HYPERLINK("https://www.dofusbook.net/fr/equipement/3833139-huppermage-m-200/objets", "link")</f>
        <v/>
      </c>
      <c r="C13766" t="n">
        <v>0</v>
      </c>
      <c r="D13766" t="inlineStr">
        <is>
          <t>Manthache; Collier du Valet Veinard; Alliance Gloursonne; Anneau Volkorne; Bouclier du Stalak; Menoture; Casque Volkorne; Cape Indescriptible; Palmes Trithons; Dofus Pourpre; Dofus Abyssal; Dofus Ocre; Dofus Ivoire; Dofus Turquoise; Dofus des Glaces; Pioute vert</t>
        </is>
      </c>
    </row>
    <row r="13767">
      <c r="A13767" t="inlineStr">
        <is>
          <t>Stuff 1</t>
        </is>
      </c>
      <c r="B13767">
        <f>HYPERLINK("https://www.dofusbook.net/fr/equipement/190885-stuff-1/objets", "link")</f>
        <v/>
      </c>
      <c r="C13767" t="n">
        <v>7</v>
      </c>
      <c r="D13767" t="inlineStr">
        <is>
          <t>Arc corrompu; Amulette de Nileza; Anneau Tique; Anneau de Nidas; Bouclier du Cycloïde; Ceinture de Vortex; Cagoule de Vortex; Cape de Diondin; Bottes Innommables; Dofus Abyssal; Dofus Ocre; Miraculé majeur; Nomade; Érudit majeur; Guérisseur majeur; Dragodinde Orchidée et Rousse</t>
        </is>
      </c>
    </row>
    <row r="13768">
      <c r="A13768" t="inlineStr">
        <is>
          <t>Crâ M 200</t>
        </is>
      </c>
      <c r="B13768">
        <f>HYPERLINK("https://www.dofusbook.net/fr/equipement/3742630-cra-m-200/objets", "link")</f>
        <v/>
      </c>
      <c r="C13768" t="n">
        <v>0</v>
      </c>
      <c r="D13768" t="inlineStr">
        <is>
          <t>Arc du Chalœil; Amulette du Cœur Saignant; Chevalière du Roi Joueur; Anneau Chevelu; Bouclier du Stalak; Ceinture Gence; Couronne du Roi Joueur; Cape au Logis; Bottes du Cœur Saignant; Dofus Nébuleux; Dofus Abyssal; Dofus Ocre; Dokoko; Dofus Ivoire; Entraveur majeur; Dragodinde Ivoire et Pourpre</t>
        </is>
      </c>
    </row>
    <row r="13769">
      <c r="A13769" t="inlineStr">
        <is>
          <t>Crâ M 200</t>
        </is>
      </c>
      <c r="B13769">
        <f>HYPERLINK("https://www.dofusbook.net/fr/equipement/3650630-cra-m-200/objets", "link")</f>
        <v/>
      </c>
      <c r="C13769" t="n">
        <v>2</v>
      </c>
      <c r="D13769" t="inlineStr"/>
    </row>
    <row r="13770">
      <c r="A13770" t="inlineStr">
        <is>
          <t>Crâ M 200</t>
        </is>
      </c>
      <c r="B13770">
        <f>HYPERLINK("https://www.dofusbook.net/fr/equipement/3720814-cra-m-200/objets", "link")</f>
        <v/>
      </c>
      <c r="C13770" t="n">
        <v>2</v>
      </c>
      <c r="D13770" t="inlineStr">
        <is>
          <t>Arc du Chalœil; Collier de Tourthon; Anneau Crustique; Anneau Chevelu; Bouclier du Stalak; Ceinture Luminescente; Casque Dragoeuf; Cape au Logis; Sabots Minables; Dofus Pourpre; Dofus Abyssal; Dofus Ocre; Dofus Ivoire; Dokoko; Dofus Nébuleux; El Scarador</t>
        </is>
      </c>
    </row>
    <row r="13771">
      <c r="A13771" t="inlineStr">
        <is>
          <t>Crâ M 200</t>
        </is>
      </c>
      <c r="B13771">
        <f>HYPERLINK("https://www.dofusbook.net/fr/equipement/3715513-cra-m-200/objets", "link")</f>
        <v/>
      </c>
      <c r="C13771" t="n">
        <v>13</v>
      </c>
      <c r="D13771" t="inlineStr">
        <is>
          <t>Arc du Chalœil; Collier de Tourthon; Bague Gloursonne; Anneau de Brouce; Bouclier du Stalak; Ceinture de la Reine des Voleurs; Coiffe de la Reine des Voleurs; Cape au Logis; Baleinabottes; Dofus Ocre; Dofus Ivoire; Dofus Nébuleux; Dofus Pourpre; Dofus Abyssal; Enragé majeur; Dragodinde Ivoire et Pourpre</t>
        </is>
      </c>
    </row>
    <row r="13772">
      <c r="A13772" t="inlineStr">
        <is>
          <t>Crâ F 200</t>
        </is>
      </c>
      <c r="B13772">
        <f>HYPERLINK("https://www.dofusbook.net/fr/equipement/3699681-cra-f-200/objets", "link")</f>
        <v/>
      </c>
      <c r="C13772" t="n">
        <v>7</v>
      </c>
      <c r="D13772" t="inlineStr">
        <is>
          <t>Baguette des égarés; Amulette Luminescente; Anneau en Grithril; Anneau Volkorne; Bouclier du Stalak; Ceinture Volkorne; Coiffe de la Reine des Voleurs; Cape Luminescente; Bottes de la Reine des Voleurs; Dolmanax; Dofus Vulbis; Dofus Pourpre; Dofus Ivoire; Dofus Ocre; Dofus Nébuleux; Volkorne Pourpre et Indigo</t>
        </is>
      </c>
    </row>
    <row r="13773">
      <c r="A13773" t="inlineStr">
        <is>
          <t>Féca M 200</t>
        </is>
      </c>
      <c r="B13773">
        <f>HYPERLINK("https://www.dofusbook.net/fr/equipement/3699675-feca-m-200/objets", "link")</f>
        <v/>
      </c>
      <c r="C13773" t="n">
        <v>0</v>
      </c>
      <c r="D13773" t="inlineStr"/>
    </row>
    <row r="13774">
      <c r="A13774" t="inlineStr">
        <is>
          <t>Crâ M 200</t>
        </is>
      </c>
      <c r="B13774">
        <f>HYPERLINK("https://www.dofusbook.net/fr/equipement/3670633-cra-m-200/objets", "link")</f>
        <v/>
      </c>
      <c r="C13774" t="n">
        <v>4</v>
      </c>
      <c r="D13774" t="inlineStr">
        <is>
          <t>Arc de Koutoulou; Amulette d'Ilyzaelle; Anneau Volkorne; Alliance Gloursonne; Bouclier du Stalak; Ceinture de la Reine des Voleurs; Casque Volkorne; Cape Matelassée; Bottes de la Reine des Voleurs; Dofus Vulbis; Dofus Ivoire; Dofus Pourpre; Dofus Nébuleux; Dolmanax; Dofus Abyssal; Volkorne Indigo et Ebène</t>
        </is>
      </c>
    </row>
    <row r="13775">
      <c r="A13775" t="inlineStr">
        <is>
          <t>Sram M 200</t>
        </is>
      </c>
      <c r="B13775">
        <f>HYPERLINK("https://www.dofusbook.net/fr/equipement/3618664-sram-m-200/objets", "link")</f>
        <v/>
      </c>
      <c r="C13775" t="n">
        <v>2</v>
      </c>
      <c r="D13775" t="inlineStr">
        <is>
          <t>Arc de Koutoulou; Amulette d'Ilyzaelle; Alliance Gloursonne; Anneau Volkorne; Bouclier du Stalak; Ceinture de la Reine des Voleurs; Casque Volkorne; Cape Matelassée; Bottes de la Reine des Voleurs; Dolmanax; Dofus Ocre; Dofus Pourpre; Dofus Ivoire; Dofus Vulbis; Dofus Nébuleux; Dragodinde Ebène et Indigo</t>
        </is>
      </c>
    </row>
    <row r="13776">
      <c r="A13776" t="inlineStr">
        <is>
          <t>Roublard M 200</t>
        </is>
      </c>
      <c r="B13776">
        <f>HYPERLINK("https://www.dofusbook.net/fr/equipement/3537792-roublard-m-200/objets", "link")</f>
        <v/>
      </c>
      <c r="C13776" t="n">
        <v>4</v>
      </c>
      <c r="D13776" t="inlineStr">
        <is>
          <t>Dagoulinantes; Amulette de Shokkoth; Bracelet des Fonds marins; Alliance Gloursonne; Bouclier du Stalak; Poulpagne; Némès de Tal Kasha; Chevelure de Tal Kasha; Pataugastrique; Dofus Ivoire; Dofus Abyssal; Dofus des Glaces; Étourdisseur majeur; Nomade; Paralyseur majeur; Dragodinde Amande et Indigo</t>
        </is>
      </c>
    </row>
    <row r="13777">
      <c r="A13777" t="inlineStr">
        <is>
          <t>multi</t>
        </is>
      </c>
      <c r="B13777">
        <f>HYPERLINK("https://www.dofusbook.net/fr/equipement/3181400-multi/objets", "link")</f>
        <v/>
      </c>
      <c r="C13777" t="n">
        <v>1</v>
      </c>
      <c r="D13777" t="inlineStr">
        <is>
          <t>Bâton Beau; Amulette du Strigide; Bague Trithon; Bracelet du Piloztère; Quatre-feuilles; Ceinture du Strigide; Masque Trithon; Voile d'encre; Bottes du Strigide; Dofus Pourpre; Dofus des Glaces; Dofus Turquoise; Dofus Nébuleux; Dofus Ocre; Dofus Abyssal; Muldo Prune et Doré</t>
        </is>
      </c>
    </row>
    <row r="13778">
      <c r="A13778" t="inlineStr">
        <is>
          <t>terre ret</t>
        </is>
      </c>
      <c r="B13778">
        <f>HYPERLINK("https://www.dofusbook.net/fr/equipement/2614868-terre-ret/objets", "link")</f>
        <v/>
      </c>
      <c r="C13778" t="n">
        <v>0</v>
      </c>
      <c r="D13778" t="inlineStr">
        <is>
          <t>Lav'Hache; Amulette du Strigide; Anneau Crustique; Anneau Crustique; Sept ans de malheur; Ceintouse; Masque de Koutoulou; Voile d'encre; Tentassons; Dofus Pourpre; Dofus Émeraude; Obstructeur majeur; Carapace Terre majeur; Étourdisseur majeur; Remueur; Muldo Ebène et Indigo</t>
        </is>
      </c>
    </row>
    <row r="13779">
      <c r="A13779" t="inlineStr">
        <is>
          <t>A a lance corompu</t>
        </is>
      </c>
      <c r="B13779">
        <f>HYPERLINK("https://www.dofusbook.net/fr/equipement/3093164-a-a-lance-corompu/objets", "link")</f>
        <v/>
      </c>
      <c r="C13779" t="n">
        <v>0</v>
      </c>
      <c r="D13779" t="inlineStr">
        <is>
          <t>Lance corrompue; Amulette de Nevark; Alliance Gloursonne; Bague Gloursonne; Bouclier d'Ilyzaelle; Ceintouse; Chapoulpe; Cape du Cœur Vaillant; Tentassons; Dofus Émeraude; Dofus des Glaces; Dofus Ocre; Dofus Abyssal; Dofus Pourpre; Dolmanax; Muldo Ebène et Pourpre</t>
        </is>
      </c>
    </row>
    <row r="13780">
      <c r="A13780" t="inlineStr">
        <is>
          <t>terre air</t>
        </is>
      </c>
      <c r="B13780">
        <f>HYPERLINK("https://www.dofusbook.net/fr/equipement/3088853-terre-air/objets", "link")</f>
        <v/>
      </c>
      <c r="C13780" t="n">
        <v>0</v>
      </c>
      <c r="D13780" t="inlineStr">
        <is>
          <t>Epée Gloursonne; Amulette du Kamasterisk; Alliance Gloursonne; Bague Gloursonne; Bouclier d'Ilyzaelle; Ceinture de la Reine des Voleurs; Coiffe de la Reine des Voleurs; Cape du Kamasterisk; Bottes du Kamasterisk; Dofus Émeraude; Dofus des Glaces; Dofus Pourpre; Dofus Abyssal; Dofus Ocre; Dofus Ivoire; Muldo Ebène et Orchidée</t>
        </is>
      </c>
    </row>
    <row r="13781">
      <c r="A13781" t="inlineStr">
        <is>
          <t>air</t>
        </is>
      </c>
      <c r="B13781">
        <f>HYPERLINK("https://www.dofusbook.net/fr/equipement/3011139-air/objets", "link")</f>
        <v/>
      </c>
      <c r="C13781" t="n">
        <v>0</v>
      </c>
      <c r="D13781" t="inlineStr">
        <is>
          <t>Manthache; Collier du Valet Veinard; Gant du Valet Veinard; Alliance Gloursonne; Bouclier du Stalak; Menoture; Casque Dragoeuf; Cape Indescriptible; Palmes Trithons; Dofus Nébuleux; Dofus Abyssal; Dévastateur Air majeur; Remueur; Vigoureux majeur; Cascadeur majeur; Muldo Ebène</t>
        </is>
      </c>
    </row>
    <row r="13782">
      <c r="A13782" t="inlineStr">
        <is>
          <t>Air</t>
        </is>
      </c>
      <c r="B13782">
        <f>HYPERLINK("https://www.dofusbook.net/fr/equipement/2837773-air/objets", "link")</f>
        <v/>
      </c>
      <c r="C13782" t="n">
        <v>0</v>
      </c>
      <c r="D13782" t="inlineStr">
        <is>
          <t>Lance Horselé; Collier du Valet Veinard; Alliance Gloursonne; Gant du Valet Veinard; Bouclier du Stalak; Ceinture Rasboulaire du Rasboul; Casque Dragoeuf; Cape Indescriptible; Baleinabottes; Dokoko; Dofus Abyssal; Dofus Pourpre; Remueur; Cascadeur majeur; Carapace Air majeur; Muldo Ebène</t>
        </is>
      </c>
    </row>
    <row r="13783">
      <c r="A13783" t="inlineStr">
        <is>
          <t>eau air feu</t>
        </is>
      </c>
      <c r="B13783">
        <f>HYPERLINK("https://www.dofusbook.net/fr/equipement/2987476-eau-air-feu/objets", "link")</f>
        <v/>
      </c>
      <c r="C13783" t="n">
        <v>0</v>
      </c>
      <c r="D13783" t="inlineStr">
        <is>
          <t>Sabres d'Atcham; Amulette du Strigide; Bracelet du Piloztère; Anneau de Padgref; Bouclier du Stalak; Ceinture du Strigide; Coiffe de Padgref; Cape d'Atcham; Getas de Padgref; Dofus Turquoise; Dofus Nébuleux; Dofus Ocre; Dofus Abyssal; Dofus Pourpre; Dofus des Glaces; Muldo Doré et Emeraude</t>
        </is>
      </c>
    </row>
    <row r="13784">
      <c r="A13784" t="inlineStr">
        <is>
          <t>eau air feu</t>
        </is>
      </c>
      <c r="B13784">
        <f>HYPERLINK("https://www.dofusbook.net/fr/equipement/2987456-eau-air-feu/objets", "link")</f>
        <v/>
      </c>
      <c r="C13784" t="n">
        <v>0</v>
      </c>
      <c r="D13784" t="inlineStr">
        <is>
          <t>Sabres d'Atcham; Amulette du Strigide; Anneau de Padgref; Bracelet du Piloztère; Quatre-feuilles; Ceinture du Strigide; Coiffe de Padgref; Cape d'Atcham; Getas de Padgref; Dofus Pourpre; Dofus des Glaces; Dofus Turquoise; Dofus Nébuleux; Dofus Ocre; Dofus Abyssal; Muldo Doré et Emeraude</t>
        </is>
      </c>
    </row>
    <row r="13785">
      <c r="A13785" t="inlineStr">
        <is>
          <t>hjgh</t>
        </is>
      </c>
      <c r="B13785">
        <f>HYPERLINK("https://www.dofusbook.net/fr/equipement/1403847-hjgh/objets", "link")</f>
        <v/>
      </c>
      <c r="C13785" t="n">
        <v>0</v>
      </c>
      <c r="D13785" t="inlineStr">
        <is>
          <t>Baguette Range; Amulette du Strigide; Alliance Gloursonne; Bague Trithon; Quatre-feuilles; Ceintacé; Masque Trithon; Voile d'encre; Bottes du Strigide; Dofus Ocre; Dofus Nébuleux; Dofus Pourpre; Dolmanax; Dofus Turquoise; Dofus des Glaces; Muldo Ebène</t>
        </is>
      </c>
    </row>
    <row r="13786">
      <c r="A13786" t="inlineStr">
        <is>
          <t>dfdgfsdgfsdgfs</t>
        </is>
      </c>
      <c r="B13786">
        <f>HYPERLINK("https://www.dofusbook.net/fr/equipement/1642154-dfdgfsdgfsdgfs/objets", "link")</f>
        <v/>
      </c>
      <c r="C13786" t="n">
        <v>1</v>
      </c>
      <c r="D13786" t="inlineStr">
        <is>
          <t>Hache du Chalœil; Amulette du Strigide; Alliance Gloursonne; Bracelet du Piloztère; Quatre-feuilles; Ceinture du Strigide; Masque de Koutoulou; Voile d'encre; Bottes du Chalœil; Dofus Pourpre; Dofus Turquoise; Dofus Nébuleux; Remueur; Nomade; Vigoureux majeur</t>
        </is>
      </c>
    </row>
    <row r="13787">
      <c r="A13787" t="inlineStr">
        <is>
          <t>srs</t>
        </is>
      </c>
      <c r="B13787">
        <f>HYPERLINK("https://www.dofusbook.net/fr/equipement/2970133-srs/objets", "link")</f>
        <v/>
      </c>
      <c r="C13787" t="n">
        <v>2</v>
      </c>
      <c r="D13787" t="inlineStr">
        <is>
          <t>Arc Nécrotique; Amulette du Strigide; Alliance Brûlâme; Bracelet du Piloztère; Bouclier cubiste; Ceintacé; Coiffe de Padgref; Voile d'encre; Bottes du Strigide; Dofus Pourpre; Dofus des Glaces; Dofus Turquoise; Dofus Émeraude; Dofus Ocre; Nomade; Kramkram</t>
        </is>
      </c>
    </row>
    <row r="13788">
      <c r="A13788" t="inlineStr">
        <is>
          <t>nikl</t>
        </is>
      </c>
      <c r="B13788">
        <f>HYPERLINK("https://www.dofusbook.net/fr/equipement/2459221-nikl/objets", "link")</f>
        <v/>
      </c>
      <c r="C13788" t="n">
        <v>2</v>
      </c>
      <c r="D13788" t="inlineStr">
        <is>
          <t>Dagues Érhy; Amulette de Gein; Bague Gloursonne; Anneau Chevelu; Bouclier cubiste; Ceinture de Gein; Ruskauffe; Voile d'encre; Bottes Honyme; Dofus Turquoise; Dofus Pourpre; Dofus Ivoire; Dofus des Glaces; Remueur; Vigoureux majeur; Muldo Ebène et Pourpre</t>
        </is>
      </c>
    </row>
    <row r="13789">
      <c r="A13789" t="inlineStr">
        <is>
          <t>feu o</t>
        </is>
      </c>
      <c r="B13789">
        <f>HYPERLINK("https://www.dofusbook.net/fr/equipement/2939122-feu-o/objets", "link")</f>
        <v/>
      </c>
      <c r="C13789" t="n">
        <v>0</v>
      </c>
      <c r="D13789" t="inlineStr">
        <is>
          <t>Pyraguette; Amulette de Shokkoth; Alliance du Lévitrof; Anneau Tique; Bouclier cubiste; Poulpagne; Casquette de Meno; Cape de l'Œil Putride; Bottes de Meno; Muldo Pourpre</t>
        </is>
      </c>
    </row>
    <row r="13790">
      <c r="A13790" t="inlineStr">
        <is>
          <t>multi</t>
        </is>
      </c>
      <c r="B13790">
        <f>HYPERLINK("https://www.dofusbook.net/fr/equipement/2938835-multi/objets", "link")</f>
        <v/>
      </c>
      <c r="C13790" t="n">
        <v>0</v>
      </c>
      <c r="D13790" t="inlineStr">
        <is>
          <t>Dagues Érhy; Amulette du Strigide; Bracelet du Piloztère; Bague Gloursonne; Bouclier cubiste; Ceinture Gence; Chapeau de Gein; Voile d'encre; Bottes du Strigide; Dofus Ivoire; Muldo Orchidée et Pourpre</t>
        </is>
      </c>
    </row>
    <row r="13791">
      <c r="A13791" t="inlineStr">
        <is>
          <t>air</t>
        </is>
      </c>
      <c r="B13791">
        <f>HYPERLINK("https://www.dofusbook.net/fr/equipement/2926417-air/objets", "link")</f>
        <v/>
      </c>
      <c r="C13791" t="n">
        <v>1</v>
      </c>
      <c r="D13791" t="inlineStr">
        <is>
          <t>Lance Horselé; Collier du Valet Veinard; Gant du Valet Veinard; Alliance Gloursonne; Cadran de Feu; Menoture; Ruskauffe; Cape Indescriptible; Palmes Trithons; Dofus Abyssal; Dofus Pourpre; Cascadeur majeur; Dévastateur Air majeur; Remueur; Carapace Eau majeur; Muldo Ebène</t>
        </is>
      </c>
    </row>
    <row r="13792">
      <c r="A13792" t="inlineStr">
        <is>
          <t>feu eau</t>
        </is>
      </c>
      <c r="B13792">
        <f>HYPERLINK("https://www.dofusbook.net/fr/equipement/2925981-feu-eau/objets", "link")</f>
        <v/>
      </c>
      <c r="C13792" t="n">
        <v>0</v>
      </c>
      <c r="D13792" t="inlineStr">
        <is>
          <t>Arc Nécrotique; Collier de la Dame du Hasard; Anneau Tique; Alliance Gloursonne; Bouclier cubiste; Poulpagne; Chapeau des Malveilleurs; Cape de Meno; Bottes de Meno; Dofus Abyssal; Dofus Ocre; Dofus des Glaces; Temporiseur majeur; Évasif majeur; Miraculé majeur; Muldo Indigo et Orchidée</t>
        </is>
      </c>
    </row>
    <row r="13793">
      <c r="A13793" t="inlineStr">
        <is>
          <t>terre fuit</t>
        </is>
      </c>
      <c r="B13793">
        <f>HYPERLINK("https://www.dofusbook.net/fr/equipement/2918061-terre-fuit/objets", "link")</f>
        <v/>
      </c>
      <c r="C13793" t="n">
        <v>0</v>
      </c>
      <c r="D13793" t="inlineStr">
        <is>
          <t>Dagues Érhy; Amulette de l'Indicible; Pikano; Alliance Gloursonne; Sept ans de malheur; Ceinture Gence; Coiffe du Lévitrof; Voile d'encre; Bottes du Lévitrof</t>
        </is>
      </c>
    </row>
    <row r="13794">
      <c r="A13794" t="inlineStr">
        <is>
          <t>terre</t>
        </is>
      </c>
      <c r="B13794">
        <f>HYPERLINK("https://www.dofusbook.net/fr/equipement/2917900-terre/objets", "link")</f>
        <v/>
      </c>
      <c r="C13794" t="n">
        <v>0</v>
      </c>
      <c r="D13794" t="inlineStr">
        <is>
          <t>Dagues Érhy; Collier de Tourthon; Pikano; Alliance du Lévitrof; Sept ans de malheur; Slip du Roi de Bonta; Masque de Koutoulou; Voile d'encre; Bottes du Lévitrof; Cavaleur majeur; Nomade; Évasif majeur; Enragé majeur; Remueur; Miraculé majeur; El Scarador</t>
        </is>
      </c>
    </row>
    <row r="13795">
      <c r="A13795" t="inlineStr">
        <is>
          <t>pvpm</t>
        </is>
      </c>
      <c r="B13795">
        <f>HYPERLINK("https://www.dofusbook.net/fr/equipement/2902088-pvpm/objets", "link")</f>
        <v/>
      </c>
      <c r="C13795" t="n">
        <v>0</v>
      </c>
      <c r="D13795" t="inlineStr">
        <is>
          <t>Amibou; Capuche de l'Œil Putride; Cape de l'Œil Putride; Baleinabottes</t>
        </is>
      </c>
    </row>
    <row r="13796">
      <c r="A13796" t="inlineStr">
        <is>
          <t>Yolo</t>
        </is>
      </c>
      <c r="B13796">
        <f>HYPERLINK("https://www.dofusbook.net/fr/equipement/1070912-yolo/objets", "link")</f>
        <v/>
      </c>
      <c r="C13796" t="n">
        <v>0</v>
      </c>
      <c r="D13796" t="inlineStr">
        <is>
          <t>Hache du Korriandre; Amulette du Strigide; Alliance Gloursonne; Bracelet du Piloztère; Bouclier du Stalak; Ceinture du Strigide; Némès de Tal Kasha; Chevelure de Tal Kasha; Bottes du Strigide; Dofus Nébuleux; Dofus Turquoise; Dofus Pourpre; Dofus Abyssal; Dofus des Glaces; Dofus Ocre; Muldo Ebène et Indigo</t>
        </is>
      </c>
    </row>
    <row r="13797">
      <c r="A13797" t="inlineStr">
        <is>
          <t>A a lance corompu</t>
        </is>
      </c>
      <c r="B13797">
        <f>HYPERLINK("https://www.dofusbook.net/fr/equipement/632513-a-a-lance-corompu/objets", "link")</f>
        <v/>
      </c>
      <c r="C13797" t="n">
        <v>0</v>
      </c>
      <c r="D13797" t="inlineStr">
        <is>
          <t>Lance corrompue; Amulette du Cœur Vaillant; Alliance Gloursonne; Bague Gloursonne; Bouclier alvéolé; Ceintouse; Chapoulpe; Cape du Cœur Vaillant; Tentassons; Dofus Émeraude; Dofus des Glaces; Dofus Ocre; Dofus Abyssal; Dofus Pourpre; Dokoko; Muldo Ebène et Pourpre</t>
        </is>
      </c>
    </row>
    <row r="13798">
      <c r="A13798" t="inlineStr">
        <is>
          <t>A a</t>
        </is>
      </c>
      <c r="B13798">
        <f>HYPERLINK("https://www.dofusbook.net/fr/equipement/1385870-a-a/objets", "link")</f>
        <v/>
      </c>
      <c r="C13798" t="n">
        <v>0</v>
      </c>
      <c r="D13798" t="inlineStr">
        <is>
          <t>Arc Ahique; Amulette de l'Indicible; Alliance Gloursonne; Bague Gloursonne; Bouclier du Stalak; Ceinture de la Reine des Voleurs; Coiffe de la Reine des Voleurs; Cape au Logis; Bottes de la Reine des Voleurs; Dofus Ocre; Dofus Pourpre; Dokoko; Dofus des Glaces; Dofus Émeraude; Dofus Abyssal; Kramkram</t>
        </is>
      </c>
    </row>
    <row r="13799">
      <c r="A13799" t="inlineStr">
        <is>
          <t>dfsf</t>
        </is>
      </c>
      <c r="B13799">
        <f>HYPERLINK("https://www.dofusbook.net/fr/equipement/1331341-dfsf/objets", "link")</f>
        <v/>
      </c>
      <c r="C13799" t="n">
        <v>0</v>
      </c>
      <c r="D13799" t="inlineStr">
        <is>
          <t>Lance corrompue; Amulette du Cœur Vaillant; Alliance Gloursonne; Bague Gloursonne; Bouclier d'Ilyzaelle; Ceinture de la Reine des Voleurs; Coiffe de la Reine des Voleurs; Cape du Cœur Vaillant; Bottes du Cœur Vaillant; Dofus Émeraude; Dofus des Glaces; Dofus Abyssal; Dokoko; Dofus Ocre; Bousculeur majeur; Muldo Ebène</t>
        </is>
      </c>
    </row>
    <row r="13800">
      <c r="A13800" t="inlineStr">
        <is>
          <t>dff</t>
        </is>
      </c>
      <c r="B13800">
        <f>HYPERLINK("https://www.dofusbook.net/fr/equipement/2611862-dff/objets", "link")</f>
        <v/>
      </c>
      <c r="C13800" t="n">
        <v>0</v>
      </c>
      <c r="D13800" t="inlineStr">
        <is>
          <t>Dagues de Srambad; Amulette Luminescente; Pikano; Alliance Gloursonne; Bouclier alvéolé; Culotte de Bethel; Masque de Funespadon; Cape Luminescente; Chaussons de Macrab; Dofus Ocre; Dofus Pourpre; Dofus des Glaces; Dofus Abyssal; Dofus Émeraude; Bousculeur majeur; Muldo Ebène et Pourpre</t>
        </is>
      </c>
    </row>
    <row r="13801">
      <c r="A13801" t="inlineStr">
        <is>
          <t>air</t>
        </is>
      </c>
      <c r="B13801">
        <f>HYPERLINK("https://www.dofusbook.net/fr/equipement/2561369-air-/objets", "link")</f>
        <v/>
      </c>
      <c r="C13801" t="n">
        <v>1</v>
      </c>
      <c r="D13801" t="inlineStr">
        <is>
          <t>Racine de Floribonde; Amulette du Granduk; Alliance Gloursonne; Anneau de Padgref; Bouclier du Captain Amakna; Sangle Oriole; Coiffe de Padgref; Cape de Crânonier; Getas de Padgref; Dolmanax; Dofus Ocre; Dofus Pourpre; Dofus des Glaces; Dofus Turquoise; Dofus Nébuleux</t>
        </is>
      </c>
    </row>
    <row r="13802">
      <c r="A13802" t="inlineStr">
        <is>
          <t>Terre air</t>
        </is>
      </c>
      <c r="B13802">
        <f>HYPERLINK("https://www.dofusbook.net/fr/equipement/2554098-terre-air/objets", "link")</f>
        <v/>
      </c>
      <c r="C13802" t="n">
        <v>0</v>
      </c>
      <c r="D13802" t="inlineStr">
        <is>
          <t>Lance corrompue; Amulette du Cœur Vaillant; Alliance Gloursonne; Bague Gloursonne; Bouclier du Captain Amakna; Ceinture de la Reine des Voleurs; Coiffe de la Reine des Voleurs; Cape du Cœur Vaillant; Bottes du Cœur Vaillant; Dolmanax; Dofus des Glaces; Dofus Ivoire; Dofus Pourpre; Dofus Nébuleux; Dofus Ocre; Muldo Ebène</t>
        </is>
      </c>
    </row>
    <row r="13803">
      <c r="A13803" t="inlineStr">
        <is>
          <t>air</t>
        </is>
      </c>
      <c r="B13803">
        <f>HYPERLINK("https://www.dofusbook.net/fr/equipement/1899017-air/objets", "link")</f>
        <v/>
      </c>
      <c r="C13803" t="n">
        <v>0</v>
      </c>
      <c r="D13803" t="inlineStr">
        <is>
          <t>Pelle de la Cour Sombre; Collier du Valet Veinard; Gant du Valet Veinard; Alliance Gloursonne; Bouclier du Stalak; Ceintouse; Chapoulpe; Cape du Valet Veinard; Tentassons; Dofus Émeraude; Dofus Abyssal; Dofus Pourpre; Dofus Ivoire; Dolmanax; Dofus Ocre; Muldo Ebène</t>
        </is>
      </c>
    </row>
    <row r="13804">
      <c r="A13804" t="inlineStr">
        <is>
          <t>terre eau</t>
        </is>
      </c>
      <c r="B13804">
        <f>HYPERLINK("https://www.dofusbook.net/fr/equipement/2489446-terre-eau/objets", "link")</f>
        <v/>
      </c>
      <c r="C13804" t="n">
        <v>0</v>
      </c>
      <c r="D13804" t="inlineStr">
        <is>
          <t>Dagues de Srambad; Amulette du Strigide; Alliance du Lévitrof; Pikano; Bouclier du Captain Amakna; Ceinture de la Reine des Voleurs; Coiffe de la Reine des Voleurs; Cape Ovri; Bottes Honyme; Dofus Abyssal; Dofus Ivoire; Dofus Émeraude; Dofus des Glaces; Remueur; Carapace Eau majeur; Muldo Indigo</t>
        </is>
      </c>
    </row>
    <row r="13805">
      <c r="A13805" t="inlineStr">
        <is>
          <t>terre air</t>
        </is>
      </c>
      <c r="B13805">
        <f>HYPERLINK("https://www.dofusbook.net/fr/equipement/2477126-terre-air/objets", "link")</f>
        <v/>
      </c>
      <c r="C13805" t="n">
        <v>2</v>
      </c>
      <c r="D13805" t="inlineStr">
        <is>
          <t>Lance corrompue; Amulette de Nevark; Anneau des égarés; Alliance Brûlâme; Bouclier précieux; Ceinture de la Reine des Voleurs; Coiffe de la Reine des Voleurs; Cape du Kamasterisk; Sabots Minables; Dofus Émeraude; Dofus Ivoire; Dofus des Glaces; Sanguinaire majeur; Remueur; Nomade; Kramkram</t>
        </is>
      </c>
    </row>
    <row r="13806">
      <c r="A13806" t="inlineStr">
        <is>
          <t>nikl</t>
        </is>
      </c>
      <c r="B13806">
        <f>HYPERLINK("https://www.dofusbook.net/fr/equipement/2459222-nikl/objets", "link")</f>
        <v/>
      </c>
      <c r="C13806" t="n">
        <v>0</v>
      </c>
      <c r="D13806" t="inlineStr">
        <is>
          <t>Amulette de l'Obsidiantre; Ruskauffe; Cape de l'Obsidiantre; Bottes de Cantile</t>
        </is>
      </c>
    </row>
    <row r="13807">
      <c r="A13807" t="inlineStr">
        <is>
          <t>uibh</t>
        </is>
      </c>
      <c r="B13807">
        <f>HYPERLINK("https://www.dofusbook.net/fr/equipement/2274531-uibh/objets", "link")</f>
        <v/>
      </c>
      <c r="C13807" t="n">
        <v>0</v>
      </c>
      <c r="D13807" t="inlineStr">
        <is>
          <t>Bracelet du Blanc Pa Wabbit; Ceinture du Blanc Pa Wabbit</t>
        </is>
      </c>
    </row>
    <row r="13808">
      <c r="A13808" t="inlineStr">
        <is>
          <t>fix</t>
        </is>
      </c>
      <c r="B13808">
        <f>HYPERLINK("https://www.dofusbook.net/fr/equipement/2193151-fix/objets", "link")</f>
        <v/>
      </c>
      <c r="C13808" t="n">
        <v>0</v>
      </c>
      <c r="D13808" t="inlineStr">
        <is>
          <t>Epée Gloursonne; Amulette du Kamasterisk; Bague Gloursonne; Alliance Gloursonne; Cadran de Terre; Ceintouse; Coiffe du Glourséleste; Cape du Kamasterisk; Bottes du Kamasterisk; Dofus Pourpre; Dofus Nébuleux; Dofus Ocre; Dofus Abyssal; Dofus Vulbis; Dofus Ivoire; Dragodinde en armure</t>
        </is>
      </c>
    </row>
    <row r="13809">
      <c r="A13809" t="inlineStr">
        <is>
          <t>jhc</t>
        </is>
      </c>
      <c r="B13809">
        <f>HYPERLINK("https://www.dofusbook.net/fr/equipement/2187892-jhc/objets", "link")</f>
        <v/>
      </c>
      <c r="C13809" t="n">
        <v>1</v>
      </c>
      <c r="D13809" t="inlineStr">
        <is>
          <t>Lance corrompue; Amulette de Nevark; Anneau des égarés; Alliance Brûlâme; Bouclier Aerdala; Ceinture de la Reine des Voleurs; Coiffe de la Reine des Voleurs; Cape de Nevark; Bottes de la Reine des Voleurs; Dofus Ocre; Dofus Abyssal; Dolmanax; Dofus des Glaces; Dofus Pourpre; Dofus Nébuleux; Muldo Ebène et Pourpre</t>
        </is>
      </c>
    </row>
    <row r="13810">
      <c r="A13810" t="inlineStr">
        <is>
          <t>loll</t>
        </is>
      </c>
      <c r="B13810">
        <f>HYPERLINK("https://www.dofusbook.net/fr/equipement/1779076-loll/objets", "link")</f>
        <v/>
      </c>
      <c r="C13810" t="n">
        <v>0</v>
      </c>
      <c r="D13810" t="inlineStr">
        <is>
          <t>Dagoulinantes; Amulette de Shokkoth; Bracelet des Fonds marins; Alliance Gloursonne; Quatre-feuilles; Poulpagne; Masque des Fonds marins; Chevelure de Tal Kasha; Sandales de Tal Kasha; Dofus Turquoise; Dofus Ocre; Dofus Nébuleux; Dofus Pourpre; Dolmanax; Taquin majeur; Muldo Prune et Emeraude</t>
        </is>
      </c>
    </row>
    <row r="13811">
      <c r="A13811" t="inlineStr">
        <is>
          <t>lel</t>
        </is>
      </c>
      <c r="B13811">
        <f>HYPERLINK("https://www.dofusbook.net/fr/equipement/2047228-lel/objets", "link")</f>
        <v/>
      </c>
      <c r="C13811" t="n">
        <v>0</v>
      </c>
      <c r="D13811" t="inlineStr">
        <is>
          <t>Marteau de Katrepat; Amulette du Strigide; Bracelet du Piloztère; Anneau de Padgref; Bouclier du Captain Amakna; Ceinture du Strigide; Coiffe de Padgref; Voile d'encre; Getas de Padgref; Dofus Émeraude; Dofus Turquoise; Dolmanax; Dofus Ocre; Dofus Pourpre; Dofus des Glaces; Muldo Orchidée et Pourpre</t>
        </is>
      </c>
    </row>
    <row r="13812">
      <c r="A13812" t="inlineStr">
        <is>
          <t>sbk</t>
        </is>
      </c>
      <c r="B13812">
        <f>HYPERLINK("https://www.dofusbook.net/fr/equipement/2042173-sbk/objets", "link")</f>
        <v/>
      </c>
      <c r="C13812" t="n">
        <v>1</v>
      </c>
      <c r="D13812" t="inlineStr">
        <is>
          <t>Hache du Chalœil; Amulette Ementaire Deluxe; Alliance du Lévitrof; Alliance Gloursonne; Bouclier cubiste; Ceinture de Kongoku; Coiffe du Lévitrof; Voile d'encre; Bottes du Lévitrof; Dofus Ocre; Dofus Abyssal; Dofus Pourpre; Dolmanax; Dofus Turquoise; Dofus Nébuleux; Muldo Indigo et Pourpre</t>
        </is>
      </c>
    </row>
    <row r="13813">
      <c r="A13813" t="inlineStr">
        <is>
          <t>resrse</t>
        </is>
      </c>
      <c r="B13813">
        <f>HYPERLINK("https://www.dofusbook.net/fr/equipement/2041717-resrse/objets", "link")</f>
        <v/>
      </c>
      <c r="C13813" t="n">
        <v>0</v>
      </c>
      <c r="D13813" t="inlineStr">
        <is>
          <t>Arc du Chalœil; Collier de Tourthon; Chevalière du Roi Joueur; Anneau de Brouce; Quatre-feuilles; Ceinture de Brouce; Couronne du Roi Joueur; Cape au Logis; Bottes de Brouce; Dofus Pourpre; Dofus Ocre; Dofus Turquoise; Dolmanax; Dofus Nébuleux; Forcené majeur; Kompost</t>
        </is>
      </c>
    </row>
    <row r="13814">
      <c r="A13814" t="inlineStr">
        <is>
          <t>feu eau jtekul</t>
        </is>
      </c>
      <c r="B13814">
        <f>HYPERLINK("https://www.dofusbook.net/fr/equipement/782088-feu-eau-jtekul/objets", "link")</f>
        <v/>
      </c>
      <c r="C13814" t="n">
        <v>0</v>
      </c>
      <c r="D13814" t="inlineStr">
        <is>
          <t>Arc Nécrotique; Talisman Igans; Bracelet des Fonds marins; Anneau Tique; Cadran de Terre; Ceinture de l'Esprit Malsain; Masque de l'Esprit Malsain; Cape de l'Œil Putride; Pataugastrique; Dofus Turquoise; Dolmanax; Dofus des Glaces; Guérisseur majeur; Remueur; Étourdisseur majeur; Muldo Indigo et Orchidée</t>
        </is>
      </c>
    </row>
    <row r="13815">
      <c r="A13815" t="inlineStr">
        <is>
          <t>do-pou</t>
        </is>
      </c>
      <c r="B13815">
        <f>HYPERLINK("https://www.dofusbook.net/fr/equipement/1966943-do-pou/objets", "link")</f>
        <v/>
      </c>
      <c r="C13815" t="n">
        <v>0</v>
      </c>
      <c r="D13815" t="inlineStr">
        <is>
          <t>Hachoirs de Viandargh; Amulette du Strigide; Alliance Gloursonne; Bague Trithon; Bouclier précieux; Sangle Ouare; Kidibonnet; Voile d'encre; Bottes Trithon</t>
        </is>
      </c>
    </row>
    <row r="13816">
      <c r="A13816" t="inlineStr">
        <is>
          <t>Airterre</t>
        </is>
      </c>
      <c r="B13816">
        <f>HYPERLINK("https://www.dofusbook.net/fr/equipement/1961930-airterre/objets", "link")</f>
        <v/>
      </c>
      <c r="C13816" t="n">
        <v>0</v>
      </c>
      <c r="D13816" t="inlineStr">
        <is>
          <t>Némès de Tal Kasha; Cape d'Atcham; Sandales de Tal Kasha</t>
        </is>
      </c>
    </row>
    <row r="13817">
      <c r="A13817" t="inlineStr">
        <is>
          <t>terre feu air</t>
        </is>
      </c>
      <c r="B13817">
        <f>HYPERLINK("https://www.dofusbook.net/fr/equipement/1959813-terre-feu-air/objets", "link")</f>
        <v/>
      </c>
      <c r="C13817" t="n">
        <v>0</v>
      </c>
      <c r="D13817" t="inlineStr">
        <is>
          <t>Héqache; Amulette du Cœur Vaillant; Anneau Crustique; Anneau Crustique; Sept ans de malheur; Menoture; Masque d'Anerice; Cape d'Anerice; Tentassons; Dolmanax; Dofus Cawotte; Dofus Abyssal; Dofus Pourpre; Étourdisseur majeur; Remueur; Muldo Ebène et Orchidée</t>
        </is>
      </c>
    </row>
    <row r="13818">
      <c r="A13818" t="inlineStr">
        <is>
          <t>feu eau</t>
        </is>
      </c>
      <c r="B13818">
        <f>HYPERLINK("https://www.dofusbook.net/fr/equipement/1959790-feu-eau/objets", "link")</f>
        <v/>
      </c>
      <c r="C13818" t="n">
        <v>1</v>
      </c>
      <c r="D13818" t="inlineStr">
        <is>
          <t>Épée Brûlâme; Talisman Igans; Bracelet des Fonds marins; Alliance Gloursonne; Bouclier du Captain Amakna; Ceinture de l'Esprit Malsain; Masque de l'Esprit Malsain; Cape de l'Œil Putride; Pataugastrique</t>
        </is>
      </c>
    </row>
    <row r="13819">
      <c r="A13819" t="inlineStr">
        <is>
          <t>feufeufeu lol</t>
        </is>
      </c>
      <c r="B13819">
        <f>HYPERLINK("https://www.dofusbook.net/fr/equipement/1959728-feufeufeu-lol/objets", "link")</f>
        <v/>
      </c>
      <c r="C13819" t="n">
        <v>1</v>
      </c>
      <c r="D13819" t="inlineStr">
        <is>
          <t>Arc corrompu; Pendentif mignon de Koutoulou; Chevalière du Roi Joueur; Anneauræus; Bouclier du Stalak; Ceinture de Vortex; Couronne du Roi Joueur; Cape de Diondin; Bottes Innommables; Dofus des Glaces; Érudit majeur; Dévastateur Feu majeur; Muldo Orchidée et Pourpre</t>
        </is>
      </c>
    </row>
    <row r="13820">
      <c r="A13820" t="inlineStr">
        <is>
          <t>septmile vita</t>
        </is>
      </c>
      <c r="B13820">
        <f>HYPERLINK("https://www.dofusbook.net/fr/equipement/1952148-septmile-vita/objets", "link")</f>
        <v/>
      </c>
      <c r="C13820" t="n">
        <v>3</v>
      </c>
      <c r="D13820" t="inlineStr">
        <is>
          <t>Héqache; Amulette du Strigide; Alliance Gloursonne; Bague Trithon; Bouclier précieux; Ceinture Luminescente; Masque d'Anerice; Cape d'Anerice; Sabots Minables; Dofus Émeraude; Remueur; Bousculeur majeur; Nomade; Culbuteur majeur; Miraculé majeur; Péki</t>
        </is>
      </c>
    </row>
    <row r="13821">
      <c r="A13821" t="inlineStr">
        <is>
          <t>LOLOLOL</t>
        </is>
      </c>
      <c r="B13821">
        <f>HYPERLINK("https://www.dofusbook.net/fr/equipement/1941684-lololol/objets", "link")</f>
        <v/>
      </c>
      <c r="C13821" t="n">
        <v>1</v>
      </c>
      <c r="D13821" t="inlineStr">
        <is>
          <t>Rapière aux Glyphes; Amulette de Shokkoth; Alliance Gloursonne; Bracelet des Fonds marins; Bouclier du Stalak; Poulpagne; Casque Dragoeuf; Cape de Meno; Bottes de Meno; Dofus des Glaces; Dofus Pourpre; Miraculé majeur; Remueur; Dévastateur Eau majeur; Chanceux majeur; Muldo Ebène et Indigo</t>
        </is>
      </c>
    </row>
    <row r="13822">
      <c r="A13822" t="inlineStr">
        <is>
          <t>gggg</t>
        </is>
      </c>
      <c r="B13822">
        <f>HYPERLINK("https://www.dofusbook.net/fr/equipement/1934421-gggg/objets", "link")</f>
        <v/>
      </c>
      <c r="C13822" t="n">
        <v>0</v>
      </c>
      <c r="D13822" t="inlineStr">
        <is>
          <t>Baguette de Malléfisk; Talisman Igans; Alliance Gloursonne; Anneau Tique; Bouclier précieux; Poulpagne; Masque de l'Esprit Malsain; Cape de l'Œil Putride; Bottes Owesli; Érudit majeur; Guérisseur majeur; Remueur; Culbuteur majeur; Bousculeur majeur; Miraculé majeur; Muldo Orchidée et Pourpre</t>
        </is>
      </c>
    </row>
    <row r="13823">
      <c r="A13823" t="inlineStr">
        <is>
          <t>ZIG EN Pls</t>
        </is>
      </c>
      <c r="B13823">
        <f>HYPERLINK("https://www.dofusbook.net/fr/equipement/1934192-zig-en-pls/objets", "link")</f>
        <v/>
      </c>
      <c r="C13823" t="n">
        <v>2</v>
      </c>
      <c r="D13823" t="inlineStr">
        <is>
          <t>Sceptre du Roi Joueur; Amulette de Shokkoth; Alliance Gloursonne; Bracelet des Fonds marins; Bouclier du Stalak; Pagne du Rykaon; Casque Dragoeuf; Cape de l'Œil Attentif; Pataugastrique; Dolmanax; Dofus des Glaces; Dofus Pourpre; Chanceux majeur; Remueur; Dévastateur Eau majeur; Muldo Indigo</t>
        </is>
      </c>
    </row>
    <row r="13824">
      <c r="A13824" t="inlineStr">
        <is>
          <t>yolosawxccvxw</t>
        </is>
      </c>
      <c r="B13824">
        <f>HYPERLINK("https://www.dofusbook.net/fr/equipement/1180582-yolosawxccvxw/objets", "link")</f>
        <v/>
      </c>
      <c r="C13824" t="n">
        <v>0</v>
      </c>
      <c r="D13824" t="inlineStr">
        <is>
          <t>Baguette de Malléfisk; Talisman Igans; Anneau Tique; Alliance Gloursonne; Bouclier précieux; Poulpagne; Kidibonnet; Voile d'encre; Bottes Owesli; Érudit majeur; Culbuteur majeur; Carapace Terre majeur; Miraculé majeur; Remueur; Guérisseur majeur; Muldo Turquoise et Ivoire</t>
        </is>
      </c>
    </row>
    <row r="13825">
      <c r="A13825" t="inlineStr">
        <is>
          <t>terre air</t>
        </is>
      </c>
      <c r="B13825">
        <f>HYPERLINK("https://www.dofusbook.net/fr/equipement/1879207-terre-air-/objets", "link")</f>
        <v/>
      </c>
      <c r="C13825" t="n">
        <v>0</v>
      </c>
      <c r="D13825" t="inlineStr">
        <is>
          <t>Héqache; Amulette du Strigide; Alliance Gloursonne; Bracelet du Piloztère; Bouclier du Stalak; Ceintouse; Masque de Koutoulou; Voile d'encre; Tentassons; Muldo Pourpre</t>
        </is>
      </c>
    </row>
    <row r="13826">
      <c r="A13826" t="inlineStr">
        <is>
          <t>soin</t>
        </is>
      </c>
      <c r="B13826">
        <f>HYPERLINK("https://www.dofusbook.net/fr/equipement/1868316-soin-/objets", "link")</f>
        <v/>
      </c>
      <c r="C13826" t="n">
        <v>0</v>
      </c>
      <c r="D13826" t="inlineStr">
        <is>
          <t>Plumeau Bil; Pendentif affamé; Anneau de Nidas; Anneau Tique; Bouclier cubiste; Ceinture Séculaire; Couronne de Nidas; Voile d'encre; Bottes Innommables; Dofus Ocre; Dokoko; Érudit majeur; Remueur; Muldo Indigo et Orchidée</t>
        </is>
      </c>
    </row>
    <row r="13827">
      <c r="A13827" t="inlineStr">
        <is>
          <t>pvpm</t>
        </is>
      </c>
      <c r="B13827">
        <f>HYPERLINK("https://www.dofusbook.net/fr/equipement/1868113-pvpm/objets", "link")</f>
        <v/>
      </c>
      <c r="C13827" t="n">
        <v>0</v>
      </c>
      <c r="D13827" t="inlineStr">
        <is>
          <t>Arc Nécrotique; Amulette Ementaire Deluxe; Bracelet du Piloztère; Alliance Gloursonne; Quatre-feuilles; Ceintacé; Chapeau des Malveilleurs; Cape de la Dame du Hasard; Bottes de la Dame du Hasard; Dofus Nébuleux; Dofus Turquoise; Dofus Pourpre; Temporiseur majeur; Miraculé majeur; Remueur; Muldo Indigo et Orchidée</t>
        </is>
      </c>
    </row>
    <row r="13828">
      <c r="A13828" t="inlineStr">
        <is>
          <t>Stuff 2</t>
        </is>
      </c>
      <c r="B13828">
        <f>HYPERLINK("https://www.dofusbook.net/fr/equipement/190886-stuff-2/objets", "link")</f>
        <v/>
      </c>
      <c r="C13828" t="n">
        <v>0</v>
      </c>
      <c r="D13828" t="inlineStr">
        <is>
          <t>Plumeau Bil; Pendentif mignon de Koutoulou; Bague Gloursonne; Baguistik; Bouclier cubiste; Ceinture de Vortex; Casque Cyclopéen; Voile d'encre; Pantoufles Émar; Remueur; Carapace Terre majeur; Étourdisseur majeur; Érudit majeur; Carapace Neutre majeur; Guérisseur majeur; Muldo Ebène et Pourpre</t>
        </is>
      </c>
    </row>
    <row r="13829">
      <c r="A13829" t="inlineStr">
        <is>
          <t>soin</t>
        </is>
      </c>
      <c r="B13829">
        <f>HYPERLINK("https://www.dofusbook.net/fr/equipement/1852462-soin/objets", "link")</f>
        <v/>
      </c>
      <c r="C13829" t="n">
        <v>0</v>
      </c>
      <c r="D13829" t="inlineStr">
        <is>
          <t>Baguette de Malléfisk; Talisman Igans; Alliance Gloursonne; Anneau Tique; Carapar; Protopagne; Kidibonnet; Voile d'encre; Bottes Owesli; Bousculeur majeur; Guérisseur majeur; Remueur; Culbuteur majeur; Érudit majeur; Miraculé majeur; Brâkarien</t>
        </is>
      </c>
    </row>
    <row r="13830">
      <c r="A13830" t="inlineStr">
        <is>
          <t>NIKE DES MERE</t>
        </is>
      </c>
      <c r="B13830">
        <f>HYPERLINK("https://www.dofusbook.net/fr/equipement/1823488-nike-des-mere/objets", "link")</f>
        <v/>
      </c>
      <c r="C13830" t="n">
        <v>0</v>
      </c>
      <c r="D13830" t="inlineStr">
        <is>
          <t>Sabres d'Atcham; Amulette du Strigide; Bague Trithon; Anneau de Padgref; Quatre-feuilles; Ceinture du Strigide; Masque Trithon; Cape d'Atcham; Bottes Trithon; Dofus Nébuleux; Dofus Pourpre; Dolmanax; Dofus Turquoise; Dofus des Glaces; Dofus Ocre; Muldo Prune et Emeraude</t>
        </is>
      </c>
    </row>
    <row r="13831">
      <c r="A13831" t="inlineStr">
        <is>
          <t>do crit</t>
        </is>
      </c>
      <c r="B13831">
        <f>HYPERLINK("https://www.dofusbook.net/fr/equipement/1839236-do-crit/objets", "link")</f>
        <v/>
      </c>
      <c r="C13831" t="n">
        <v>0</v>
      </c>
      <c r="D13831" t="inlineStr">
        <is>
          <t>Héqache; Amulette du Strigide; Bague Trithon; Bracelet du Piloztère; Quatre-feuilles; Ceinture du Strigide; Masque Trithon; Voile d'encre; Bottes Trithon; Dofus Nébuleux; Dofus Pourpre; Dolmanax; Dofus Turquoise; Dofus des Glaces; Dofus Ocre; Muldo Prune et Emeraude</t>
        </is>
      </c>
    </row>
    <row r="13832">
      <c r="A13832" t="inlineStr">
        <is>
          <t>dopou</t>
        </is>
      </c>
      <c r="B13832">
        <f>HYPERLINK("https://www.dofusbook.net/fr/equipement/1835681-dopou/objets", "link")</f>
        <v/>
      </c>
      <c r="C13832" t="n">
        <v>1</v>
      </c>
      <c r="D13832" t="inlineStr">
        <is>
          <t>Héqache; Amulette du Cœur Vaillant; Anneau des égarés; Bague Trithon; Bouclier précieux; Ceintacé; Casque Dragoeuf; Cape Luminescente; Bottes Trithon; Dofus Pourpre; Dofus Abyssal; Culbuteur majeur; Bousculeur majeur; Carapace Terre majeur; Remueur; Muldo Ebène</t>
        </is>
      </c>
    </row>
    <row r="13833">
      <c r="A13833" t="inlineStr">
        <is>
          <t>jojojo</t>
        </is>
      </c>
      <c r="B13833">
        <f>HYPERLINK("https://www.dofusbook.net/fr/equipement/1082293-jojojo/objets", "link")</f>
        <v/>
      </c>
      <c r="C13833" t="n">
        <v>1</v>
      </c>
      <c r="D13833" t="inlineStr">
        <is>
          <t>Rouleau à Pâtisserie d'Aermyne; Amibou; Anneau de Pol Ouatnos; Alliance Gloursonne; Bouclier précieux; Poulpagne; Masque d'Anerice; Cape d'Anerice; Bottes Trithon; Culbuteur majeur; Culbuteur; Pousseur majeur; Miraculé majeur; Bousculeur majeur; Remueur; Homlett</t>
        </is>
      </c>
    </row>
    <row r="13834">
      <c r="A13834" t="inlineStr">
        <is>
          <t>amdoudou</t>
        </is>
      </c>
      <c r="B13834">
        <f>HYPERLINK("https://www.dofusbook.net/fr/equipement/210555-amdoudou/objets", "link")</f>
        <v/>
      </c>
      <c r="C13834" t="n">
        <v>1</v>
      </c>
      <c r="D13834" t="inlineStr">
        <is>
          <t>Héqache; Amulette du Strigide; Bracelet du Piloztère; Alliance Gloursonne; Quatre-feuilles; Ceinture de la Reine des Voleurs; Coiffe de la Reine des Voleurs; Voile d'encre; Sabots Minables; Dofus Nébuleux; Dofus Turquoise; Dofus Abyssal; Dofus des Glaces; Dofus Pourpre; Remueur; Muldo Ebène et Pourpre</t>
        </is>
      </c>
    </row>
    <row r="13835">
      <c r="A13835" t="inlineStr">
        <is>
          <t>Stuff 1</t>
        </is>
      </c>
      <c r="B13835">
        <f>HYPERLINK("https://www.dofusbook.net/fr/equipement/190867-stuff-1/objets", "link")</f>
        <v/>
      </c>
      <c r="C13835" t="n">
        <v>0</v>
      </c>
      <c r="D13835" t="inlineStr"/>
    </row>
    <row r="13836">
      <c r="A13836" t="inlineStr">
        <is>
          <t>rescrit</t>
        </is>
      </c>
      <c r="B13836">
        <f>HYPERLINK("https://www.dofusbook.net/fr/equipement/1799784-rescrit/objets", "link")</f>
        <v/>
      </c>
      <c r="C13836" t="n">
        <v>0</v>
      </c>
      <c r="D13836" t="inlineStr">
        <is>
          <t>Dagues de Srambad; Torquistik; Goulano; Baguistik; Goulclier; Ceinture de la Reine des Voleurs; Masque de Koutoulou; Voile d'encre; Bottes de la Reine des Voleurs; Dofus Pourpre; Dofus des Glaces; Dofus Ocre; Dofus Abyssal; Dokoko; Dolmanax; Muldo Ebène et Pourpre</t>
        </is>
      </c>
    </row>
    <row r="13837">
      <c r="A13837" t="inlineStr">
        <is>
          <t>okl</t>
        </is>
      </c>
      <c r="B13837">
        <f>HYPERLINK("https://www.dofusbook.net/fr/equipement/1779904-okl/objets", "link")</f>
        <v/>
      </c>
      <c r="C13837" t="n">
        <v>0</v>
      </c>
      <c r="D13837" t="inlineStr">
        <is>
          <t>Baguette Range; Amulette Séculaire; Anneau de Padgref; Bague Gloursonne; Quatre-feuilles; Ceinture Séculaire; Coiffe Séculaire; Voile d'encre; Getas de Padgref; Dofus Nébuleux; Dolmanax; Dofus Ocre; Dofus Pourpre; Dofus des Glaces; Dofus Turquoise; Muldo Prune et Emeraude</t>
        </is>
      </c>
    </row>
    <row r="13838">
      <c r="A13838" t="inlineStr">
        <is>
          <t>tientarlouz</t>
        </is>
      </c>
      <c r="B13838">
        <f>HYPERLINK("https://www.dofusbook.net/fr/equipement/1471087-tientarlouz/objets", "link")</f>
        <v/>
      </c>
      <c r="C13838" t="n">
        <v>0</v>
      </c>
      <c r="D13838" t="inlineStr">
        <is>
          <t>Manthache; Collier du Valet Veinard; Gant du Valet Veinard; Alliance Gloursonne; Sept ans de malheur; Ceintouse; Chapoulpe; Cape du Valet Veinard; Tentassons; Dofus Ocre; Dolmanax; Dofus Abyssal; Dofus Pourpre; Paralyseur majeur; Engourdisseur majeur; Muldo Ebène</t>
        </is>
      </c>
    </row>
    <row r="13839">
      <c r="A13839" t="inlineStr">
        <is>
          <t>terre air de securit</t>
        </is>
      </c>
      <c r="B13839">
        <f>HYPERLINK("https://www.dofusbook.net/fr/equipement/1757079-terre-air-de-securit/objets", "link")</f>
        <v/>
      </c>
      <c r="C13839" t="n">
        <v>0</v>
      </c>
      <c r="D13839" t="inlineStr">
        <is>
          <t>Héqache; Amulette du Strigide; Alliance Gloursonne; Bracelet du Piloztère; Sept ans de malheur; Ceintouse; Masque de Koutoulou; Cape du Kamasterisk; Tentassons; Dofus Pourpre; Dofus Turquoise; Vigoureux majeur; Remueur; Nomade; Étourdisseur majeur; Muldo Indigo</t>
        </is>
      </c>
    </row>
    <row r="13840">
      <c r="A13840" t="inlineStr">
        <is>
          <t>terre terre terre</t>
        </is>
      </c>
      <c r="B13840">
        <f>HYPERLINK("https://www.dofusbook.net/fr/equipement/1652631-terre-terre-terre/objets", "link")</f>
        <v/>
      </c>
      <c r="C13840" t="n">
        <v>1</v>
      </c>
      <c r="D13840" t="inlineStr">
        <is>
          <t>Arc du Chalœil; Amulette du Strigide; Anneau Crustique; Anneau Chevelu; Quatre-feuilles; Ceinture du Strigide; Masque de Koutoulou; Voile d'encre; Bottes de la Cour Sombre; Dofus Abyssal; Dofus Ocre; Dofus Pourpre; Dofus Turquoise; Dofus Nébuleux; Enragé majeur; Muldo Indigo et Pourpre</t>
        </is>
      </c>
    </row>
    <row r="13841">
      <c r="A13841" t="inlineStr">
        <is>
          <t>tournois</t>
        </is>
      </c>
      <c r="B13841">
        <f>HYPERLINK("https://www.dofusbook.net/fr/equipement/1600918-tournois/objets", "link")</f>
        <v/>
      </c>
      <c r="C13841" t="n">
        <v>0</v>
      </c>
      <c r="D13841" t="inlineStr">
        <is>
          <t>Epée Gloursonne; Amulette du Strigide; Bague Gloursonne; Alliance Gloursonne; Bouclier d'Anerice; Ceinture du Strigide; Casque Dragoeuf; Cape d'Anerice; Bottes du Strigide; Dofus Pourpre; Dolmanax; Dofus Turquoise; Dofus Abyssal; Dofus Émeraude; Dofus Ocre; Muldo Doré et Indigo</t>
        </is>
      </c>
    </row>
    <row r="13842">
      <c r="A13842" t="inlineStr">
        <is>
          <t>Stuff 1</t>
        </is>
      </c>
      <c r="B13842">
        <f>HYPERLINK("https://www.dofusbook.net/fr/equipement/190882-stuff-1/objets", "link")</f>
        <v/>
      </c>
      <c r="C13842" t="n">
        <v>1</v>
      </c>
      <c r="D13842" t="inlineStr">
        <is>
          <t>Baguette Iots; Amulette du Strigide; Bague Trithon; Anneau de Padgref; Quatre-feuilles; Ceinture du Strigide; Coiffe de Padgref; Cape des Justiciers; Bottes Trithon; Dofus Nébuleux; Dofus Turquoise; Dofus des Glaces; Dofus Pourpre; Dolmanax; Dofus Ocre; Muldo Doré et Emeraude</t>
        </is>
      </c>
    </row>
    <row r="13843">
      <c r="A13843" t="inlineStr">
        <is>
          <t>pkkk</t>
        </is>
      </c>
      <c r="B13843">
        <f>HYPERLINK("https://www.dofusbook.net/fr/equipement/1199401-pkkk/objets", "link")</f>
        <v/>
      </c>
      <c r="C13843" t="n">
        <v>0</v>
      </c>
      <c r="D13843" t="inlineStr">
        <is>
          <t>Rapière aux Glyphes; Amulette Luminescente; Alliance Gloursonne; Bague Trithon; Bouclier précieux; Sangle Ouare; Kidibonnet; Voile d'encre; Bottes Trithon; Dofus Émeraude; Dofus Abyssal; Dofus Pourpre; Bousculeur majeur; Culbuteur majeur; Remueur; Muldo Ebène et Orchidée</t>
        </is>
      </c>
    </row>
    <row r="13844">
      <c r="A13844" t="inlineStr">
        <is>
          <t>Stuff 2</t>
        </is>
      </c>
      <c r="B13844">
        <f>HYPERLINK("https://www.dofusbook.net/fr/equipement/190865-stuff-2/objets", "link")</f>
        <v/>
      </c>
      <c r="C13844" t="n">
        <v>0</v>
      </c>
      <c r="D13844" t="inlineStr">
        <is>
          <t>Dague Adou; Amulette du Strigide; Alliance Gloursonne; Bouclier du Captain Amakna; Ceinture du Strigide; Némès de Tal Kasha; Chevelure de Tal Kasha; Sandales de Tal Kasha; Dofus Pourpre; Dofus Nébuleux; Dofus Ocre; Dofus des Glaces; Dofus Turquoise; Dolmanax; Muldo Ebène et Indigo</t>
        </is>
      </c>
    </row>
    <row r="13845">
      <c r="A13845" t="inlineStr">
        <is>
          <t>PAS CHER</t>
        </is>
      </c>
      <c r="B13845">
        <f>HYPERLINK("https://www.dofusbook.net/fr/equipement/1404905-pas-cher/objets", "link")</f>
        <v/>
      </c>
      <c r="C13845" t="n">
        <v>0</v>
      </c>
      <c r="D13845" t="inlineStr">
        <is>
          <t>Dagues Érhy; Amulette du Strigide; Bracelet du Piloztère; Bague Gloursonne; Quatre-feuilles; Ceintacé; Chapeau de Gein; Cape des Justiciers; Bottes du Strigide; Dofus Turquoise; Érudit majeur; Remueur; Enragé majeur; Nomade; Vigoureux majeur; Muldo Prune et Emeraude</t>
        </is>
      </c>
    </row>
    <row r="13846">
      <c r="A13846" t="inlineStr">
        <is>
          <t>GFH</t>
        </is>
      </c>
      <c r="B13846">
        <f>HYPERLINK("https://www.dofusbook.net/fr/equipement/1404792-gfh/objets", "link")</f>
        <v/>
      </c>
      <c r="C13846" t="n">
        <v>0</v>
      </c>
      <c r="D13846" t="inlineStr">
        <is>
          <t>Bâton Brelle; Amulette du Granduk; Anneau d'Allister; Alliance Gloursonne; Quatre-feuilles; Menoture; Masque du Granduk; Cape de Klime; Pantoufles Émar; Vigoureux majeur; Acrobate majeur; Cascadeur majeur; Nomade; Dévastateur Air majeur; Remueur; Muldo Doré</t>
        </is>
      </c>
    </row>
    <row r="13847">
      <c r="A13847" t="inlineStr">
        <is>
          <t>hjfghjf</t>
        </is>
      </c>
      <c r="B13847">
        <f>HYPERLINK("https://www.dofusbook.net/fr/equipement/1385803-hjfghjf/objets", "link")</f>
        <v/>
      </c>
      <c r="C13847" t="n">
        <v>0</v>
      </c>
      <c r="D13847" t="inlineStr">
        <is>
          <t>Marteau de Katrepat; Amulette du Strigide; Anneau de Padgref; Bague Trithon; Bouclier du Cycloïde; Ceinture du Strigide; Casque de Missiz Frizz; Cape des Justiciers; Getas de Padgref; Dofus Vulbis; Dofus Turquoise; Dofus des Glaces; Dofus Ocre; Dofus Nébuleux; Dofus Pourpre; Muldo Prune et Emeraude</t>
        </is>
      </c>
    </row>
    <row r="13848">
      <c r="A13848" t="inlineStr">
        <is>
          <t>gnmm</t>
        </is>
      </c>
      <c r="B13848">
        <f>HYPERLINK("https://www.dofusbook.net/fr/equipement/1386127-gnmm/objets", "link")</f>
        <v/>
      </c>
      <c r="C13848" t="n">
        <v>0</v>
      </c>
      <c r="D13848" t="inlineStr">
        <is>
          <t>Héqache; Amulette du Strigide; Goulano; Anneau Chevelu; Bouclier d'Anerice; Ceinture du Strigide; Masque d'Anerice; Cape d'Anerice; Goulbottes; Dofus Ocre; Dofus Nébuleux; Dofus Pourpre; Dofus des Glaces; Dofus Turquoise; Dokoko; Muldo Indigo et Orchidée</t>
        </is>
      </c>
    </row>
    <row r="13849">
      <c r="A13849" t="inlineStr">
        <is>
          <t>rayanlepd</t>
        </is>
      </c>
      <c r="B13849">
        <f>HYPERLINK("https://www.dofusbook.net/fr/equipement/1223844-rayanlepd/objets", "link")</f>
        <v/>
      </c>
      <c r="C13849" t="n">
        <v>0</v>
      </c>
      <c r="D13849" t="inlineStr">
        <is>
          <t>Epée Kari; Amulette Héroclite; Gelano; Alliance de Guten Tak; Bouclier en Slip; Ceinture de Kolosso; Bonnet Ko; Cape d'Ogivol; Chaussons Pignons; Miraculé majeur; Nomade; Miraculé; Enragé majeur; Voyageur; Remueur; Péki</t>
        </is>
      </c>
    </row>
    <row r="13850">
      <c r="A13850" t="inlineStr">
        <is>
          <t>full terre</t>
        </is>
      </c>
      <c r="B13850">
        <f>HYPERLINK("https://www.dofusbook.net/fr/equipement/1220704-full-terre/objets", "link")</f>
        <v/>
      </c>
      <c r="C13850" t="n">
        <v>0</v>
      </c>
      <c r="D13850" t="inlineStr">
        <is>
          <t>Epée Kari; Amulette Héroclite; Gelano; Anneau Chevelu; Bouclier Taverne; Ceinture de Brouce; Bonnet Ko; Cape au Logis; Bottes de Brouce; Dofus Turquoise; Vigoureux majeur; Puissant majeur; Remueur; Enragé majeur; Nomade; Muldo Prune et Doré</t>
        </is>
      </c>
    </row>
    <row r="13851">
      <c r="A13851" t="inlineStr">
        <is>
          <t>Do pou rez</t>
        </is>
      </c>
      <c r="B13851">
        <f>HYPERLINK("https://www.dofusbook.net/fr/equipement/767952-do-pou-rez/objets", "link")</f>
        <v/>
      </c>
      <c r="C13851" t="n">
        <v>0</v>
      </c>
      <c r="D13851" t="inlineStr">
        <is>
          <t>Arc du Chalœil; Torquistik; Bague Instable; Bague Trithon; Bouclier précieux; Ceintacé; Casque Dragoeuf; Voile d'encre; Bottistik; Dofus Émeraude; Dokoko; Remueur; Pousseur majeur; Bousculeur majeur; Culbuteur majeur; Muldo Pourpre</t>
        </is>
      </c>
    </row>
    <row r="13852">
      <c r="A13852" t="inlineStr">
        <is>
          <t>ddd</t>
        </is>
      </c>
      <c r="B13852">
        <f>HYPERLINK("https://www.dofusbook.net/fr/equipement/1174520-ddd/objets", "link")</f>
        <v/>
      </c>
      <c r="C13852" t="n">
        <v>0</v>
      </c>
      <c r="D13852" t="inlineStr">
        <is>
          <t>Rouleau à Pâtisserie d'Aermyne; Amulette du Strigide; Anneau de Pol Ouatnos; Bague Trithon; Carapar; Ceintacé; Masque d'Anerice; Cape d'Anerice; Bottes Innommables; Remueur; Carapace Feu majeur; Miraculé; Nomade; Miraculé majeur; Homlett</t>
        </is>
      </c>
    </row>
    <row r="13853">
      <c r="A13853" t="inlineStr">
        <is>
          <t>ooolo</t>
        </is>
      </c>
      <c r="B13853">
        <f>HYPERLINK("https://www.dofusbook.net/fr/equipement/1117736-ooolo/objets", "link")</f>
        <v/>
      </c>
      <c r="C13853" t="n">
        <v>1</v>
      </c>
      <c r="D13853" t="inlineStr">
        <is>
          <t>Héqache; Torquistik; Alliance Gloursonne; Anneau Chevelu; Bouclier précieux; Ceintacé; Casque de Missiz Frizz; Voile d'encre; Bottistik; Dofus Émeraude; Dofus Turquoise; Remueur; Carapace Terre majeur; Miraculé majeur; Culbuteur majeur; Muldo Ebène et Indigo</t>
        </is>
      </c>
    </row>
    <row r="13854">
      <c r="A13854" t="inlineStr">
        <is>
          <t>dscxw</t>
        </is>
      </c>
      <c r="B13854">
        <f>HYPERLINK("https://www.dofusbook.net/fr/equipement/1055125-dscxw/objets", "link")</f>
        <v/>
      </c>
      <c r="C13854" t="n">
        <v>0</v>
      </c>
      <c r="D13854" t="inlineStr">
        <is>
          <t>Epée Gloursonne; Amulette du Strigide; Alliance Gloursonne; Bague Gloursonne; Ceinture du Strigide; Coiffe de la Fuji Givrefoux; Cape de la Fuji Givrefoux; Bottes du Strigide</t>
        </is>
      </c>
    </row>
    <row r="13855">
      <c r="A13855" t="inlineStr">
        <is>
          <t>terre</t>
        </is>
      </c>
      <c r="B13855">
        <f>HYPERLINK("https://www.dofusbook.net/fr/equipement/1026105-terre-/objets", "link")</f>
        <v/>
      </c>
      <c r="C13855" t="n">
        <v>0</v>
      </c>
      <c r="D13855" t="inlineStr">
        <is>
          <t>Arc du Chalœil; Amulette du Strigide; Anneau Chevelu; Anneau de Brouce; Ceintacé; Masque de Koutoulou; Voile d'encre; Bottes du Strigide; Dofus Pourpre; Dofus des Glaces; Dofus Turquoise; Dofus Nébuleux; Vigoureux majeur; Enragé majeur; Muldo Indigo et Pourpre</t>
        </is>
      </c>
    </row>
    <row r="13856">
      <c r="A13856" t="inlineStr">
        <is>
          <t>hjgfj</t>
        </is>
      </c>
      <c r="B13856">
        <f>HYPERLINK("https://www.dofusbook.net/fr/equipement/899537-hjgfj/objets", "link")</f>
        <v/>
      </c>
      <c r="C13856" t="n">
        <v>0</v>
      </c>
      <c r="D13856" t="inlineStr">
        <is>
          <t>Baguette Ni'Ninnin; Dés de la Chance; Anneau du Jeune Vald; Gelano; Bouclier Abraknyde; Ceinturoduvet; Bottoduvet; Dofus Cawotte; Dolmanax; Dofus Pourpre; Dofus des Glaces; Dofus Ocre; Dofus Nébuleux; Muldo Doré et Amande; Chapoduvet</t>
        </is>
      </c>
    </row>
    <row r="13857">
      <c r="A13857" t="inlineStr">
        <is>
          <t>bvc</t>
        </is>
      </c>
      <c r="B13857">
        <f>HYPERLINK("https://www.dofusbook.net/fr/equipement/862610-bvc/objets", "link")</f>
        <v/>
      </c>
      <c r="C13857" t="n">
        <v>0</v>
      </c>
      <c r="D13857" t="inlineStr">
        <is>
          <t>Héqache; Amulette du Strigide; Alliance Gloursonne; Bracelet du Piloztère; Quatre-feuilles; Ceinture du Strigide; Coiffe de la Fuji Givrefoux; Voile d'encre; Sabots Minables; Dofus Abyssal; Dofus Pourpre; Dofus Turquoise; Remueur; Muldo Ebène et Pourpre</t>
        </is>
      </c>
    </row>
    <row r="13858">
      <c r="A13858" t="inlineStr">
        <is>
          <t>terre eau</t>
        </is>
      </c>
      <c r="B13858">
        <f>HYPERLINK("https://www.dofusbook.net/fr/equipement/751877-terre-eau/objets", "link")</f>
        <v/>
      </c>
      <c r="C13858" t="n">
        <v>1</v>
      </c>
      <c r="D13858" t="inlineStr">
        <is>
          <t>Dagues de Srambad; Amulette Luminescente; Bague Gloursonne; Alliance Gloursonne; Bouclier du Captain Amakna; Ceinture Luminescente; Coiffe de la Reine des Voleurs; Cape Luminescente; Bottes de la Reine des Voleurs; Dofus Émeraude; Dofus des Glaces; Dofus Abyssal; Dofus Ocre; Dofus Pourpre; Dolmanax; Muldo Ebène et Indigo</t>
        </is>
      </c>
    </row>
    <row r="13859">
      <c r="A13859" t="inlineStr">
        <is>
          <t>Full vita</t>
        </is>
      </c>
      <c r="B13859">
        <f>HYPERLINK("https://www.dofusbook.net/fr/equipement/751785-full-vita/objets", "link")</f>
        <v/>
      </c>
      <c r="C13859" t="n">
        <v>1</v>
      </c>
      <c r="D13859" t="inlineStr">
        <is>
          <t>Marteau R'ture; Collier de Tourthon; Bracelet du Piloztère; Anneau du Katcheur; Bouclier précieux; Ceintacé; Masque du Katcheur; Ankhape; Baleinabottes; Dofus Turquoise; Dolmanax; Dofus Émeraude; Remueur; Miraculé majeur; Nomade; Eliôme</t>
        </is>
      </c>
    </row>
    <row r="13860">
      <c r="A13860" t="inlineStr">
        <is>
          <t>eau dopou</t>
        </is>
      </c>
      <c r="B13860">
        <f>HYPERLINK("https://www.dofusbook.net/fr/equipement/190851-eau-dopou/objets", "link")</f>
        <v/>
      </c>
      <c r="C13860" t="n">
        <v>0</v>
      </c>
      <c r="D13860" t="inlineStr">
        <is>
          <t>Rapière aux Glyphes; Amulette Luminescente; Alliance Gloursonne; Pikano; Bivalve; Poulpagne; Chapeau des Malveilleurs; Cape Luminescente; Bottes Owesli; Dofus Émeraude; Bousculeur majeur; Chanceux majeur; Culbuteur majeur; Miraculé majeur; Remueur; Muldo Indigo</t>
        </is>
      </c>
    </row>
    <row r="13861">
      <c r="A13861" t="inlineStr">
        <is>
          <t>Rdv drogeuf</t>
        </is>
      </c>
      <c r="B13861">
        <f>HYPERLINK("https://www.dofusbook.net/fr/equipement/190850-rdv-drogeuf/objets", "link")</f>
        <v/>
      </c>
      <c r="C13861" t="n">
        <v>0</v>
      </c>
      <c r="D13861" t="inlineStr">
        <is>
          <t>Dagues de Srambad; Amulette de Pol Ouatnos; Alliance Gloursonne; Bracelet du Piloztère; Ceinture de la Reine des Voleurs; Casque Dragoeuf; Voile d'encre; Bottes de la Reine des Voleurs; Dofus des Glaces; Dofus Ocre; Dolmanax; Remueur; Enragé majeur; Miraculé majeur; Dragodinde en armure</t>
        </is>
      </c>
    </row>
    <row r="13862">
      <c r="A13862" t="inlineStr">
        <is>
          <t>Terre-air/stri</t>
        </is>
      </c>
      <c r="B13862">
        <f>HYPERLINK("https://www.dofusbook.net/fr/equipement/751574-terre-air-stri/objets", "link")</f>
        <v/>
      </c>
      <c r="C13862" t="n">
        <v>1</v>
      </c>
      <c r="D13862" t="inlineStr">
        <is>
          <t>Héqache; Amulette du Strigide; Bague Gloursonne; Anneau Chevelu; Bouclier du Captain Amakna; Ceintouse; Bonnet Ko; Voile d'encre; Bottes du Strigide; Dofus Ocre; Dofus Émeraude; Dolmanax; Dofus Turquoise; Nomade; Remueur; Muldo Indigo et Pourpre</t>
        </is>
      </c>
    </row>
    <row r="13863">
      <c r="A13863" t="inlineStr">
        <is>
          <t>Terre-air/stri</t>
        </is>
      </c>
      <c r="B13863">
        <f>HYPERLINK("https://www.dofusbook.net/fr/equipement/633188-terre-air-stri/objets", "link")</f>
        <v/>
      </c>
      <c r="C13863" t="n">
        <v>0</v>
      </c>
      <c r="D13863" t="inlineStr">
        <is>
          <t>Héqache; Amulette du Strigide; Bracelet du Piloztère; Anneau Chevelu; Bouclier du Captain Amakna; Ceintacé; Casque Dragoeuf; Voile d'encre; Bottes du Strigide; Dofus Ocre; Dofus Émeraude; Dolmanax; Dofus Turquoise; Nomade; Remueur; Muldo Indigo et Pourpre</t>
        </is>
      </c>
    </row>
    <row r="13864">
      <c r="A13864" t="inlineStr">
        <is>
          <t>Atcham</t>
        </is>
      </c>
      <c r="B13864">
        <f>HYPERLINK("https://www.dofusbook.net/fr/equipement/669709-atcham/objets", "link")</f>
        <v/>
      </c>
      <c r="C13864" t="n">
        <v>0</v>
      </c>
      <c r="D13864" t="inlineStr">
        <is>
          <t>Sabres d'Atcham; Amulette du Strigide; Bracelet du Piloztère; Anneau de Padgref; Ceinture du Strigide; Coiffe de Padgref; Cape d'Atcham; Sandales  d'Atcham; Dofus Turquoise; Dolmanax; Dofus Vulbis; Dofus des Glaces; Dofus Ocre; Dofus Nébuleux; Kramkram</t>
        </is>
      </c>
    </row>
    <row r="13865">
      <c r="A13865" t="inlineStr">
        <is>
          <t>Reine Gloursonne</t>
        </is>
      </c>
      <c r="B13865">
        <f>HYPERLINK("https://www.dofusbook.net/fr/equipement/669466-reine-gloursonne/objets", "link")</f>
        <v/>
      </c>
      <c r="C13865" t="n">
        <v>0</v>
      </c>
      <c r="D13865" t="inlineStr">
        <is>
          <t>Epée Gloursonne; Amulette du Strigide; Bague Gloursonne; Alliance Gloursonne; Ceinture de la Reine des Voleurs; Coiffe de la Reine des Voleurs; Voile d'encre; Bottes de la Reine des Voleurs; Dofus Pourpre; Dolmanax; Dofus Émeraude; Dofus des Glaces; Dofus Ocre; Dofus Nébuleux; Muldo Orchidée</t>
        </is>
      </c>
    </row>
    <row r="13866">
      <c r="A13866" t="inlineStr">
        <is>
          <t>Full Agi</t>
        </is>
      </c>
      <c r="B13866">
        <f>HYPERLINK("https://www.dofusbook.net/fr/equipement/669254-full-agi/objets", "link")</f>
        <v/>
      </c>
      <c r="C13866" t="n">
        <v>0</v>
      </c>
      <c r="D13866" t="inlineStr">
        <is>
          <t>Manthache; Collier du Valet Veinard; Alliance Gloursonne; Gant du Valet Veinard; Menoture; Dorabysses; Cape Indescriptible; Palmes Trithons; Dofus Nébuleux; Dofus Turquoise; Dolmanax; Nomade; Cascadeur majeur; Remueur; Siroko</t>
        </is>
      </c>
    </row>
    <row r="13867">
      <c r="A13867" t="inlineStr">
        <is>
          <t>Dague Rdv doPou</t>
        </is>
      </c>
      <c r="B13867">
        <f>HYPERLINK("https://www.dofusbook.net/fr/equipement/660183-dague-rdv-dopou/objets", "link")</f>
        <v/>
      </c>
      <c r="C13867" t="n">
        <v>0</v>
      </c>
      <c r="D13867" t="inlineStr">
        <is>
          <t>Pikano; Ceinture de la Reine des Voleurs; Coiffe de la Reine des Voleurs; Dofus Pourpre; Dolmanax; Dofus Émeraude; Dofus des Glaces; Dofus Ocre; Muldo Doré et Ebène</t>
        </is>
      </c>
    </row>
    <row r="13868">
      <c r="A13868" t="inlineStr">
        <is>
          <t>eau</t>
        </is>
      </c>
      <c r="B13868">
        <f>HYPERLINK("https://www.dofusbook.net/fr/equipement/500956-eau/objets", "link")</f>
        <v/>
      </c>
      <c r="C13868" t="n">
        <v>2</v>
      </c>
      <c r="D13868" t="inlineStr">
        <is>
          <t>Amulette de Shokkoth; Alliance Gloursonne; Bracelet des Fonds marins; Poulpagne; Kidibonnet; Cape de Mantaze; Sandales des Fonds marins; Dofus Émeraude; Dofus Nébuleux; Dofus Pourpre; Dofus Turquoise; Nomade; Chanceux majeur; Pioute bleu</t>
        </is>
      </c>
    </row>
    <row r="13869">
      <c r="A13869" t="inlineStr">
        <is>
          <t>Stuff 2</t>
        </is>
      </c>
      <c r="B13869">
        <f>HYPERLINK("https://www.dofusbook.net/fr/equipement/190880-stuff-2/objets", "link")</f>
        <v/>
      </c>
      <c r="C13869" t="n">
        <v>0</v>
      </c>
      <c r="D13869" t="inlineStr">
        <is>
          <t>Epée Toche; Amulette de Pol Ouatnos; Pikano; Alliance Gloursonne; Goulclier; Ceintacé; Couronne du Roi Joueur; Voile d'encre; Goulbottes; Dofus Abyssal; Dofus Pourpre; Dokoko; Fortification majeure; Remueur; Muldo Orchidée et Pourpre</t>
        </is>
      </c>
    </row>
    <row r="13870">
      <c r="A13870" t="inlineStr">
        <is>
          <t>Stuff 2</t>
        </is>
      </c>
      <c r="B13870">
        <f>HYPERLINK("https://www.dofusbook.net/fr/equipement/190868-stuff-2/objets", "link")</f>
        <v/>
      </c>
      <c r="C13870" t="n">
        <v>0</v>
      </c>
      <c r="D13870" t="inlineStr">
        <is>
          <t>Dagues de Srambad; Amulette du Piloztère; Bracelet du Piloztère; Pikano; Ceinture de la Reine des Voleurs; Kidibonnet; Voile d'encre; Sabots Minables; Dolmanax; Dofus des Glaces; Nomade; Remueur; Chanceux majeur; Miraculé majeur; Dragodinde en armure</t>
        </is>
      </c>
    </row>
    <row r="13871">
      <c r="A13871" t="inlineStr">
        <is>
          <t>Stuff 3</t>
        </is>
      </c>
      <c r="B13871">
        <f>HYPERLINK("https://www.dofusbook.net/fr/equipement/190863-stuff-3/objets", "link")</f>
        <v/>
      </c>
      <c r="C13871" t="n">
        <v>0</v>
      </c>
      <c r="D13871" t="inlineStr">
        <is>
          <t>Baguette de Malléfisk; Amulette Cryochrone; Anneau de Nidas; Alliance Gloursonne; Poulpagne; Casquette de Meno; Cape de Meno; Pataugastrique; Dolmanax; Culbuteur majeur; Nomade; Chanceux majeur; Guérisseur majeur; Remueur; Dragodinde en armure</t>
        </is>
      </c>
    </row>
    <row r="13872">
      <c r="A13872" t="inlineStr">
        <is>
          <t>Stuff 2</t>
        </is>
      </c>
      <c r="B13872">
        <f>HYPERLINK("https://www.dofusbook.net/fr/equipement/190854-stuff-2/objets", "link")</f>
        <v/>
      </c>
      <c r="C13872" t="n">
        <v>0</v>
      </c>
      <c r="D13872" t="inlineStr">
        <is>
          <t>Dagues de Srambad; Amulette du Piloztère; Alliance Gloursonne; Pikano; Ceinture de la Reine des Voleurs; Coiffe de la Reine des Voleurs; Voile d'encre; Sabots Minables; Dofus Ocre; Dofus des Glaces; Miraculé majeur; Évasif majeur; Nomade; Remueur; Dragodinde en armure</t>
        </is>
      </c>
    </row>
    <row r="13873">
      <c r="A13873" t="inlineStr">
        <is>
          <t>Stuff 2</t>
        </is>
      </c>
      <c r="B13873">
        <f>HYPERLINK("https://www.dofusbook.net/fr/equipement/190883-stuff-2/objets", "link")</f>
        <v/>
      </c>
      <c r="C13873" t="n">
        <v>2</v>
      </c>
      <c r="D13873" t="inlineStr">
        <is>
          <t>Manthache; Collier du Valet Veinard; Alliance Gloursonne; Gant du Valet Veinard; Bouclier des Brigandins cassé; Menoture; Capuche de Moum-Ra; Cape Indescriptible; Palmes Trithons; Dofus Nébuleux; Dofus des Glaces; Equilibriste majeur; Nomade; Remueur; Cascadeur majeur; Siroko</t>
        </is>
      </c>
    </row>
    <row r="13874">
      <c r="A13874" t="inlineStr">
        <is>
          <t>Stuff 1</t>
        </is>
      </c>
      <c r="B13874">
        <f>HYPERLINK("https://www.dofusbook.net/fr/equipement/190870-stuff-1/objets", "link")</f>
        <v/>
      </c>
      <c r="C13874" t="n">
        <v>1</v>
      </c>
      <c r="D13874" t="inlineStr">
        <is>
          <t>Dagues Érhy; Amulette du Strigide; Bracelet du Piloztère; Bague Gloursonne; Ceinture du Strigide; Masque de Koutoulou; Cape au Logis; Sabots Minables; Dofus Pourpre; Vigoureux majeur; Remueur; Nomade; Fonceur majeur; Enragé majeur; Dragodinde en armure</t>
        </is>
      </c>
    </row>
    <row r="13875">
      <c r="A13875" t="inlineStr">
        <is>
          <t>Stuff 1</t>
        </is>
      </c>
      <c r="B13875">
        <f>HYPERLINK("https://www.dofusbook.net/fr/equipement/190859-stuff-1/objets", "link")</f>
        <v/>
      </c>
      <c r="C13875" t="n">
        <v>0</v>
      </c>
      <c r="D13875" t="inlineStr">
        <is>
          <t>Pelle de la Cour Sombre; Collier du Valet Veinard; Alliance Gloursonne; Gant du Valet Veinard; Ceintacé; Dorabysses; Cape Indescriptible; Palmes Trithons; Dofus des Glaces; Dofus Émeraude; Dofus Pourpre; Dofus Turquoise; Remueur; Miraculé majeur; Muldo Ebène</t>
        </is>
      </c>
    </row>
    <row r="13876">
      <c r="A13876" t="inlineStr">
        <is>
          <t>Stuff 3</t>
        </is>
      </c>
      <c r="B13876">
        <f>HYPERLINK("https://www.dofusbook.net/fr/equipement/190878-stuff-3/objets", "link")</f>
        <v/>
      </c>
      <c r="C13876" t="n">
        <v>0</v>
      </c>
      <c r="D13876" t="inlineStr">
        <is>
          <t>Dagoulinantes; Amulette de Shokkoth; Alliance Gloursonne; Bracelet des Fonds marins; Poulpagne; Masque des Fonds marins; Cape de Mantaze; Pataugastrique; Dofus Turquoise; Dofus Pourpre; Chanceux majeur; Temporiseur majeur; Vigoureux majeur; Carapace Eau majeur; Muldo Indigo et Pourpre</t>
        </is>
      </c>
    </row>
    <row r="13877">
      <c r="A13877" t="inlineStr">
        <is>
          <t>Stuff 2</t>
        </is>
      </c>
      <c r="B13877">
        <f>HYPERLINK("https://www.dofusbook.net/fr/equipement/190862-stuff-2/objets", "link")</f>
        <v/>
      </c>
      <c r="C13877" t="n">
        <v>0</v>
      </c>
      <c r="D13877" t="inlineStr">
        <is>
          <t>Dagues de Srambad; Amulette Luminescente; Pikano; Alliance Gloursonne; Ceinture Luminescente; Coiffe de la Reine des Voleurs; Voile d'encre; Sabots Minables; Dofus Pourpre; Dofus Abyssal; Dofus Ocre; Dofus Émeraude; Dolmanax; Bousculeur majeur; Muldo Indigo</t>
        </is>
      </c>
    </row>
    <row r="13878">
      <c r="A13878" t="inlineStr">
        <is>
          <t>Stuff 1</t>
        </is>
      </c>
      <c r="B13878">
        <f>HYPERLINK("https://www.dofusbook.net/fr/equipement/190853-stuff-1/objets", "link")</f>
        <v/>
      </c>
      <c r="C13878" t="n">
        <v>0</v>
      </c>
      <c r="D13878" t="inlineStr">
        <is>
          <t>Dagues de Srambad; Amulette du Strigide; Pikano; Anneau de Brouce; Poulpagne; Coiffe d'Ogivol; Cape Luminescente; Bottes du Strigide; Dofus des Glaces; Dolmanax; Enragé majeur; Nomade; Chanceux majeur; Remueur; Dragodinde en armure</t>
        </is>
      </c>
    </row>
    <row r="13879">
      <c r="A13879" t="inlineStr">
        <is>
          <t>Stuff 1</t>
        </is>
      </c>
      <c r="B13879">
        <f>HYPERLINK("https://www.dofusbook.net/fr/equipement/190887-stuff-1/objets", "link")</f>
        <v/>
      </c>
      <c r="C13879" t="n">
        <v>0</v>
      </c>
      <c r="D13879" t="inlineStr">
        <is>
          <t>Manthache; Collier du Valet Veinard; Alliance Gloursonne; Gant du Valet Veinard; Menoture; Capuche de Moum-Ra; Cape Indescriptible; Palmes Trithons; Dolmanax; Dévastateur Air majeur; Cascadeur majeur; Equilibriste majeur; Nomade; Remueur; Siroko</t>
        </is>
      </c>
    </row>
    <row r="13880">
      <c r="A13880" t="inlineStr">
        <is>
          <t>Stuff 1</t>
        </is>
      </c>
      <c r="B13880">
        <f>HYPERLINK("https://www.dofusbook.net/fr/equipement/190864-stuff-1/objets", "link")</f>
        <v/>
      </c>
      <c r="C13880" t="n">
        <v>0</v>
      </c>
      <c r="D13880" t="inlineStr">
        <is>
          <t>Manthache; Collier du Valet Veinard; Alliance Gloursonne; Gant du Valet Veinard; Menoture; Dorabysses; Cape Indescriptible; Palmes Trithons; Dofus Émeraude; Dofus Pourpre; Remueur; Carapace Air majeur; Cascadeur majeur; Nomade; Muldo Ebène et Pourpre</t>
        </is>
      </c>
    </row>
    <row r="13881">
      <c r="A13881" t="inlineStr">
        <is>
          <t>Stuff 3</t>
        </is>
      </c>
      <c r="B13881">
        <f>HYPERLINK("https://www.dofusbook.net/fr/equipement/190855-stuff-3/objets", "link")</f>
        <v/>
      </c>
      <c r="C13881" t="n">
        <v>0</v>
      </c>
      <c r="D13881" t="inlineStr">
        <is>
          <t>Pelle de Nidas; Amulette du Strigide; Bracelet du Piloztère; Alliance Gloursonne; Ceintacé; Masque du Barbétoal; Voile d'encre; Bottes du Strigide; Dolmanax; Dofus des Glaces; Cascadeur majeur; Nomade; Miraculé majeur; Remueur; Dragodinde en armure</t>
        </is>
      </c>
    </row>
    <row r="13882">
      <c r="A13882" t="inlineStr">
        <is>
          <t>Stuff 3</t>
        </is>
      </c>
      <c r="B13882">
        <f>HYPERLINK("https://www.dofusbook.net/fr/equipement/190884-stuff-3/objets", "link")</f>
        <v/>
      </c>
      <c r="C13882" t="n">
        <v>0</v>
      </c>
      <c r="D13882" t="inlineStr">
        <is>
          <t>Bâton Beau; Amulette du Strigide; Bracelet du Piloztère; Bague Gloursonne; Quatre-feuilles; Ceinture du Strigide; Casque de Missiz Frizz; Voile d'encre; Bottes du Strigide; Dofus Nébuleux; Dofus Pourpre; Dofus Vulbis; Dofus Ocre; Dolmanax; Dofus des Glaces; Kramkram</t>
        </is>
      </c>
    </row>
    <row r="13883">
      <c r="A13883" t="inlineStr">
        <is>
          <t>Stuff 2</t>
        </is>
      </c>
      <c r="B13883">
        <f>HYPERLINK("https://www.dofusbook.net/fr/equipement/190877-stuff-2/objets", "link")</f>
        <v/>
      </c>
      <c r="C13883" t="n">
        <v>0</v>
      </c>
      <c r="D13883" t="inlineStr">
        <is>
          <t>Arc Hétype; Pendentif affamé; Anneau de Nidas; Bague Gloursonne; Ceinture Séculaire; Couronne de Nidas; Voile d'encre; Pataugastrique; Carapace Feu majeur; Observateur; Entraveur majeur; Remueur; Temporiseur majeur; Érudit majeur; Muldo Indigo et Orchidée</t>
        </is>
      </c>
    </row>
    <row r="13884">
      <c r="A13884" t="inlineStr">
        <is>
          <t>Stuff 3</t>
        </is>
      </c>
      <c r="B13884">
        <f>HYPERLINK("https://www.dofusbook.net/fr/equipement/190866-stuff-3/objets", "link")</f>
        <v/>
      </c>
      <c r="C13884" t="n">
        <v>0</v>
      </c>
      <c r="D13884" t="inlineStr">
        <is>
          <t>Hache du Chalœil; Amulette du Strigide; Alliance Gloursonne; Bracelet du Piloztère; Ceintacé; Chapeau Lisson; Voile d'encre; Bottes du Strigide; Dofus Ocre; Dolmanax; Dofus Pourpre; Carapace Eau majeur; Vigoureux majeur; Enragé majeur; Muldo Ebène et Orchidée</t>
        </is>
      </c>
    </row>
    <row r="13885">
      <c r="A13885" t="inlineStr">
        <is>
          <t>Stuff 2</t>
        </is>
      </c>
      <c r="B13885">
        <f>HYPERLINK("https://www.dofusbook.net/fr/equipement/190860-stuff-2/objets", "link")</f>
        <v/>
      </c>
      <c r="C13885" t="n">
        <v>0</v>
      </c>
      <c r="D13885" t="inlineStr">
        <is>
          <t>Epée Gloursonne; Amulette du Kamasterisk; Bague Gloursonne; Alliance Gloursonne; Bouclier du Captain Amakna cassé; Ceinture de la Reine des Voleurs; Coiffe de la Reine des Voleurs; Cape du Kamasterisk; Bottes de la Reine des Voleurs; Dokoko; Dofus Émeraude; Dofus Ocre; Dofus Pourpre; Dofus des Glaces; Dofus Turquoise; Muldo Ebène et Indigo</t>
        </is>
      </c>
    </row>
    <row r="13886">
      <c r="A13886" t="inlineStr">
        <is>
          <t>Stuff 3</t>
        </is>
      </c>
      <c r="B13886">
        <f>HYPERLINK("https://www.dofusbook.net/fr/equipement/190852-stuff-3/objets", "link")</f>
        <v/>
      </c>
      <c r="C13886" t="n">
        <v>1</v>
      </c>
      <c r="D13886" t="inlineStr">
        <is>
          <t>Héqache; Amulette du Strigide; Anneau des égarés; Alliance Gloursonne; Bouclier du Captain Amakna; Ceintacé; Casque de Missiz Frizz; Voile d'encre; Bottes du Strigide; Dofus Émeraude; Dofus Turquoise; Bousculeur majeur; Culbuteur majeur; Remueur; Vigoureux majeur; Muldo Ebène et Pourpre</t>
        </is>
      </c>
    </row>
    <row r="13887">
      <c r="A13887" t="inlineStr">
        <is>
          <t>air/feu</t>
        </is>
      </c>
      <c r="B13887">
        <f>HYPERLINK("https://www.dofusbook.net/fr/equipement/2285726-air-feu/objets", "link")</f>
        <v/>
      </c>
      <c r="C13887" t="n">
        <v>1</v>
      </c>
      <c r="D13887" t="inlineStr">
        <is>
          <t>Baguette Range; Amulette du Strigide; Anneau de Padgref; Anneau Tique; Quatre-feuilles; Ceinture du Strigide; Coiffe de Padgref; Cape Hiculteur; Getas de Padgref; Dofus Turquoise; Dofus Nébuleux; Dofus Ivoire; Dofus Ocre; Dofus Pourpre; Dofus des Glaces; Muldo Prune et Orchidée</t>
        </is>
      </c>
    </row>
    <row r="13888">
      <c r="A13888" t="inlineStr">
        <is>
          <t>Air 11/6</t>
        </is>
      </c>
      <c r="B13888">
        <f>HYPERLINK("https://www.dofusbook.net/fr/equipement/1700023-air-11-6/objets", "link")</f>
        <v/>
      </c>
      <c r="C13888" t="n">
        <v>2</v>
      </c>
      <c r="D13888" t="inlineStr">
        <is>
          <t>Manthache; Collier du Valet Veinard; Gant du Valet Veinard; Alliance Gloursonne; Bouclier cubiste; Menoture; Dorabysses; Cape du Kamasterisk; Palmes Trithons; Dofus Ivoire; Dofus des Glaces; Dofus Pourpre; Dofus Ocre; Nomade; Cascadeur majeur; Blérodoudou</t>
        </is>
      </c>
    </row>
    <row r="13889">
      <c r="A13889" t="inlineStr">
        <is>
          <t>Terre/air 11/6</t>
        </is>
      </c>
      <c r="B13889">
        <f>HYPERLINK("https://www.dofusbook.net/fr/equipement/1699955-terre-air-11-6/objets", "link")</f>
        <v/>
      </c>
      <c r="C13889" t="n">
        <v>1</v>
      </c>
      <c r="D13889" t="inlineStr">
        <is>
          <t>Héqache; Amulette du Strigide; Bague Gloursonne; Alliance Gloursonne; Quatre-feuilles; Ceinture du Strigide; Coiffe de la Fuji Givrefoux; Cape de la Fuji Givrefoux; Bottes du Strigide; Dofus Pourpre; Dofus Ocre; Dofus Ivoire; Dofus des Glaces; Dolmanax; Dofus Turquoise; Kramkram</t>
        </is>
      </c>
    </row>
    <row r="13890">
      <c r="A13890" t="inlineStr">
        <is>
          <t>Terre/feu no brain</t>
        </is>
      </c>
      <c r="B13890">
        <f>HYPERLINK("https://www.dofusbook.net/fr/equipement/1720486-terre-feu-no-brain/objets", "link")</f>
        <v/>
      </c>
      <c r="C13890" t="n">
        <v>3</v>
      </c>
      <c r="D13890" t="inlineStr">
        <is>
          <t>Epée Toche; Amulette du Strigide; Chevalière du Roi Joueur; Bague Gloursonne; Bouclier du Captain Amakna; Ceinture du Strigide; Couronne du Roi Joueur; Voile d'encre; Bottes du Roi Joueur; Dolmanax; Dofus Turquoise; Dofus Ivoire; Dofus Pourpre; Dofus des Glaces; Dofus Ocre</t>
        </is>
      </c>
    </row>
    <row r="13891">
      <c r="A13891" t="inlineStr">
        <is>
          <t>Terre/feu teste</t>
        </is>
      </c>
      <c r="B13891">
        <f>HYPERLINK("https://www.dofusbook.net/fr/equipement/3891025-terre-feu-teste/objets", "link")</f>
        <v/>
      </c>
      <c r="C13891" t="n">
        <v>2</v>
      </c>
      <c r="D13891" t="inlineStr">
        <is>
          <t>Hache Téroïde; Amulette du Strigide; Chevalière du Roi Joueur; Bague Gloursonne; Bouclier du Captain Amakna; Ceintacé; Chapeau de Gein; Voile d'encre; Bottes du Roi Joueur; Dofus Ocre; Dolmanax; Dofus Turquoise; Dofus Ivoire; Dofus des Glaces; Nomade; Kramkram</t>
        </is>
      </c>
    </row>
    <row r="13892">
      <c r="A13892" t="inlineStr">
        <is>
          <t>Air 12/6</t>
        </is>
      </c>
      <c r="B13892">
        <f>HYPERLINK("https://www.dofusbook.net/fr/equipement/148675-air-12-6/objets", "link")</f>
        <v/>
      </c>
      <c r="C13892" t="n">
        <v>1</v>
      </c>
      <c r="D13892" t="inlineStr">
        <is>
          <t>Pelle de la Cour Sombre; Collier du Valet Veinard; Anneau d'Allister; Gant du Valet Veinard; Bouclier alvéolé; Ceinture du Barbétoal; Couronne d'Allister; Cape du Valet Veinard; Bottes d'Allister; Dofus des Glaces; Dofus Pourpre; Dofus Ocre; Dofus Ivoire; Dofus Nébuleux; Robuste majeur; Muldo Ebène et Orchidée</t>
        </is>
      </c>
    </row>
    <row r="13893">
      <c r="A13893" t="inlineStr">
        <is>
          <t>Terre 12/6</t>
        </is>
      </c>
      <c r="B13893">
        <f>HYPERLINK("https://www.dofusbook.net/fr/equipement/1714793-terre-12-6/objets", "link")</f>
        <v/>
      </c>
      <c r="C13893" t="n">
        <v>3</v>
      </c>
      <c r="D13893" t="inlineStr">
        <is>
          <t>Héqache; Collier de Tourthon; Anneau Chevelu; Gelano; Ceinture de la Reine des Voleurs; Coiffe de la Reine des Voleurs; Voile d'encre; Bottes de la Cour Sombre; Dofus Pourpre; Dofus Ocre; Dofus des Glaces; Nomade; Remueur; Kramkram</t>
        </is>
      </c>
    </row>
    <row r="13894">
      <c r="A13894" t="inlineStr">
        <is>
          <t>feu</t>
        </is>
      </c>
      <c r="B13894">
        <f>HYPERLINK("https://www.dofusbook.net/fr/equipement/1708729-feu/objets", "link")</f>
        <v/>
      </c>
      <c r="C13894" t="n">
        <v>0</v>
      </c>
      <c r="D13894" t="inlineStr">
        <is>
          <t>Le Ramboton; Amulette Volkorne; Anneauræus; Anneau Rifique; Bouclier alvéolé; Ceinture de Vortex; Heaume Oplate; Voile d'encre; Bottes Innommables; Dofus Émeraude; Dofus des Glaces; Dofus Ivoire; Dofus Turquoise; Remueur; Érudit majeur; Bwak de Terre</t>
        </is>
      </c>
    </row>
    <row r="13895">
      <c r="A13895" t="inlineStr">
        <is>
          <t>Air full pano</t>
        </is>
      </c>
      <c r="B13895">
        <f>HYPERLINK("https://www.dofusbook.net/fr/equipement/1774186-air-full-pano-/objets", "link")</f>
        <v/>
      </c>
      <c r="C13895" t="n">
        <v>1</v>
      </c>
      <c r="D13895" t="inlineStr">
        <is>
          <t>Pelle de la Cour Sombre; Collier du Valet Veinard; Alliance Gloursonne; Gant du Valet Veinard; Bouclier alvéolé; Ceintouse; Chapoulpe; Cape du Valet Veinard; Tentassons; Dofus Pourpre; Dofus des Glaces; Dofus Ocre; Dofus Abyssal; Dolmanax; Robuste majeur; Muldo Ebène</t>
        </is>
      </c>
    </row>
    <row r="13896">
      <c r="A13896" t="inlineStr">
        <is>
          <t>Eau/air Ret pa</t>
        </is>
      </c>
      <c r="B13896">
        <f>HYPERLINK("https://www.dofusbook.net/fr/equipement/1708213-eau-air-ret-pa/objets", "link")</f>
        <v/>
      </c>
      <c r="C13896" t="n">
        <v>1</v>
      </c>
      <c r="D13896" t="inlineStr">
        <is>
          <t>Hache du Korriandre; Amulette du Strigide; Pikano; Alliance Gloursonne; Sept ans de malheur; Menoture; Chapeau Lisson; Chevelure de Tal Kasha; Sandales de Tal Kasha; Dofus Ivoire; Dofus Turquoise; Étourdisseur majeur; Remueur; Carapace Eau majeur; Nomade; Koalak Sanguin</t>
        </is>
      </c>
    </row>
    <row r="13897">
      <c r="A13897" t="inlineStr">
        <is>
          <t>full full ret pm</t>
        </is>
      </c>
      <c r="B13897">
        <f>HYPERLINK("https://www.dofusbook.net/fr/equipement/2971032-full-full-ret-pm/objets", "link")</f>
        <v/>
      </c>
      <c r="C13897" t="n">
        <v>1</v>
      </c>
      <c r="D13897" t="inlineStr">
        <is>
          <t>Baguette Hique; Amulette du Glourséleste; Anneau Tamie; Pikano; Bouclier cubiste; Ceinture Instable; Casquipik; Cape de Léthaline; Pantoufles Émar; Entraveur; Entraveur majeur; Temporiseur; Temporiseur majeur; Ralentisseur majeur; Remueur; Kwaltess</t>
        </is>
      </c>
    </row>
    <row r="13898">
      <c r="A13898" t="inlineStr">
        <is>
          <t>FUll ret pm</t>
        </is>
      </c>
      <c r="B13898">
        <f>HYPERLINK("https://www.dofusbook.net/fr/equipement/2970703-full-ret-pm/objets", "link")</f>
        <v/>
      </c>
      <c r="C13898" t="n">
        <v>2</v>
      </c>
      <c r="D13898" t="inlineStr">
        <is>
          <t>Marteau R'ture; Amulette du Glourséleste; Pikano; Anneau Tamie; Bouclier cubiste; Ceinture Instable; Casquette de Meno; Cape de Léthaline; Bottes de Meno; Ralentisseur majeur; Remueur; Entraveur majeur; Entraveur; Temporiseur; Temporiseur majeur; Kwaltess</t>
        </is>
      </c>
    </row>
    <row r="13899">
      <c r="A13899" t="inlineStr">
        <is>
          <t>terre/air res lance2</t>
        </is>
      </c>
      <c r="B13899">
        <f>HYPERLINK("https://www.dofusbook.net/fr/equipement/2689747-terre-air-res-lance2/objets", "link")</f>
        <v/>
      </c>
      <c r="C13899" t="n">
        <v>1</v>
      </c>
      <c r="D13899" t="inlineStr">
        <is>
          <t>Lance corrompue; Amulette de Nevark; Alliance Gloursonne; Anneau des égarés; Ceinture de Nevark; Casque des égarés; Cape de Nevark; Bottes des égarés; Dokoko; Dofus des Glaces; Dofus Pourpre; Dofus Nébuleux; Dofus Ocre; Kramkram</t>
        </is>
      </c>
    </row>
    <row r="13900">
      <c r="A13900" t="inlineStr">
        <is>
          <t>terre/air lance 3</t>
        </is>
      </c>
      <c r="B13900">
        <f>HYPERLINK("https://www.dofusbook.net/fr/equipement/2624558-terre-air-lance-3/objets", "link")</f>
        <v/>
      </c>
      <c r="C13900" t="n">
        <v>1</v>
      </c>
      <c r="D13900" t="inlineStr">
        <is>
          <t>Lance corrompue; Amulette de Nevark; Anneau des égarés; Alliance Brûlâme; Bouclier alvéolé; Ceinture de Nevark; Masque Brûlâme; Cape de Nevark; Pompes Funèbres; Dolmanax; Dofus Pourpre; Dofus Nébuleux; Dofus Ocre; Dofus des Glaces; Robuste majeur; Kramkram</t>
        </is>
      </c>
    </row>
    <row r="13901">
      <c r="A13901" t="inlineStr">
        <is>
          <t>terre/air lance res</t>
        </is>
      </c>
      <c r="B13901">
        <f>HYPERLINK("https://www.dofusbook.net/fr/equipement/2639215-terre-air-lance-res/objets", "link")</f>
        <v/>
      </c>
      <c r="C13901" t="n">
        <v>0</v>
      </c>
      <c r="D13901" t="inlineStr">
        <is>
          <t>Lance corrompue; Amulette de l'Indicible; Anneau des égarés; Pikano; Bouclier alvéolé; Ceinture de la Reine des Voleurs; Coiffe de la Reine des Voleurs; Cape du Kamasterisk; Baleinabottes; Dofus Nébuleux; Dofus Ocre; Dofus des Glaces; Dofus Pourpre; Nomade; Kramkram</t>
        </is>
      </c>
    </row>
    <row r="13902">
      <c r="A13902" t="inlineStr">
        <is>
          <t>terre/air lance 2</t>
        </is>
      </c>
      <c r="B13902">
        <f>HYPERLINK("https://www.dofusbook.net/fr/equipement/2638848-terre-air-lance-2/objets", "link")</f>
        <v/>
      </c>
      <c r="C13902" t="n">
        <v>0</v>
      </c>
      <c r="D13902" t="inlineStr">
        <is>
          <t>Lance corrompue; Amulette du Kamasterisk; Bague Gloursonne; Alliance Gloursonne; Bouclier alvéolé; Ceinture de la Reine des Voleurs; Coiffe de la Reine des Voleurs; Cape du Kamasterisk; Bottes du Kamasterisk; Dofus des Glaces; Dofus Nébuleux; Dofus Ocre; Dofus Pourpre; Robuste majeur; Muldo Ebène et Orchidée</t>
        </is>
      </c>
    </row>
    <row r="13903">
      <c r="A13903" t="inlineStr">
        <is>
          <t>Terre/air lance</t>
        </is>
      </c>
      <c r="B13903">
        <f>HYPERLINK("https://www.dofusbook.net/fr/equipement/2290388-terre-air-lance-/objets", "link")</f>
        <v/>
      </c>
      <c r="C13903" t="n">
        <v>0</v>
      </c>
      <c r="D13903" t="inlineStr">
        <is>
          <t>Lance corrompue; Amulette de l'Indicible; Pikano; Alliance Gloursonne; Bouclier alvéolé; Ceinture de la Reine des Voleurs; Coiffe de la Reine des Voleurs; Cape du Kamasterisk; Baleinabottes; Dofus Nébuleux; Dofus des Glaces; Dofus Pourpre; Dofus Ivoire; Dofus Ocre; Nomade; Kramkram</t>
        </is>
      </c>
    </row>
    <row r="13904">
      <c r="A13904" t="inlineStr">
        <is>
          <t>terre</t>
        </is>
      </c>
      <c r="B13904">
        <f>HYPERLINK("https://www.dofusbook.net/fr/equipement/2624928-terre/objets", "link")</f>
        <v/>
      </c>
      <c r="C13904" t="n">
        <v>0</v>
      </c>
      <c r="D13904" t="inlineStr">
        <is>
          <t>Lav'Hache; Collier de Tourthon; Bague Gloursonne; Anneau Crustique; Bouclier alvéolé; Ceinture de la Reine des Voleurs; Masque de Koutoulou; Cape de la Cour Sombre; Bottes de la Cour Sombre; Dofus Nébuleux; Dofus Pourpre; Dofus des Glaces; Dofus Ocre; Enragé majeur; Vigoureux majeur; Muldo Pourpre</t>
        </is>
      </c>
    </row>
    <row r="13905">
      <c r="A13905" t="inlineStr">
        <is>
          <t>multi</t>
        </is>
      </c>
      <c r="B13905">
        <f>HYPERLINK("https://www.dofusbook.net/fr/equipement/2624797-multi/objets", "link")</f>
        <v/>
      </c>
      <c r="C13905" t="n">
        <v>0</v>
      </c>
      <c r="D13905" t="inlineStr">
        <is>
          <t>Amulette de l'Indicible; Ceinture de l'Esprit Salvateur; Le Dorado; Bottes de l'Esprit Salvateur</t>
        </is>
      </c>
    </row>
    <row r="13906">
      <c r="A13906" t="inlineStr">
        <is>
          <t>Eau classe</t>
        </is>
      </c>
      <c r="B13906">
        <f>HYPERLINK("https://www.dofusbook.net/fr/equipement/2254386-eau-classe/objets", "link")</f>
        <v/>
      </c>
      <c r="C13906" t="n">
        <v>0</v>
      </c>
      <c r="D13906" t="inlineStr">
        <is>
          <t>Rapière aux Glyphes; Amulette de Shokkoth; Alliance Gloursonne; Bracelet des Fonds marins; Poulpagne; Kidibonnet; Cape de la Dame du Hasard; Sandales des Fonds marins</t>
        </is>
      </c>
    </row>
    <row r="13907">
      <c r="A13907" t="inlineStr">
        <is>
          <t>Eau ret pm</t>
        </is>
      </c>
      <c r="B13907">
        <f>HYPERLINK("https://www.dofusbook.net/fr/equipement/2154033-eau-ret-pm/objets", "link")</f>
        <v/>
      </c>
      <c r="C13907" t="n">
        <v>1</v>
      </c>
      <c r="D13907" t="inlineStr">
        <is>
          <t>Sceptre du Roi Joueur; Amulette de Shokkoth; Alliance Gloursonne; Bracelet des Fonds marins; Bouclier cubiste; Poulpagne; Casquette de Meno; Cape de la Dame du Hasard; Bottes de Meno; Dofus Turquoise; Dofus Pourpre; Temporiseur majeur; Chanceux majeur; Entraveur majeur; Remueur; Muldo Ebène et Indigo</t>
        </is>
      </c>
    </row>
    <row r="13908">
      <c r="A13908" t="inlineStr">
        <is>
          <t>Eau</t>
        </is>
      </c>
      <c r="B13908">
        <f>HYPERLINK("https://www.dofusbook.net/fr/equipement/2153032-eau-/objets", "link")</f>
        <v/>
      </c>
      <c r="C13908" t="n">
        <v>0</v>
      </c>
      <c r="D13908" t="inlineStr">
        <is>
          <t>Rapière aux Glyphes; Amulette de l'Œil Attentif; Alliance Gloursonne; Bracelet des Fonds marins; Quatre-feuilles; Ceinture Glaciale; Kidibonnet; Cape Glaciale; Bottes du Nocturlabe; Dofus Turquoise; Dévastateur Eau majeur; Remueur; Vigoureux majeur; Chanceux majeur; Nomade; Kramkram</t>
        </is>
      </c>
    </row>
    <row r="13909">
      <c r="A13909" t="inlineStr">
        <is>
          <t>Eau pas chere</t>
        </is>
      </c>
      <c r="B13909">
        <f>HYPERLINK("https://www.dofusbook.net/fr/equipement/148690-eau-pas-chere/objets", "link")</f>
        <v/>
      </c>
      <c r="C13909" t="n">
        <v>0</v>
      </c>
      <c r="D13909" t="inlineStr">
        <is>
          <t>Rapière aux Glyphes; Talisman Igans; Alliance Gloursonne; Bracelet des Fonds marins; Ceinture Glaciale; Kidibonnet; Voilamibe; Bottes Owesli; Dofus Pourpre; Temporiseur majeur; Nomade; Vigoureux majeur; Remueur; Chanceux majeur; Kramkram</t>
        </is>
      </c>
    </row>
    <row r="13910">
      <c r="A13910" t="inlineStr">
        <is>
          <t>Terre/feu 11/6</t>
        </is>
      </c>
      <c r="B13910">
        <f>HYPERLINK("https://www.dofusbook.net/fr/equipement/1712950-terre-feu-11-6/objets", "link")</f>
        <v/>
      </c>
      <c r="C13910" t="n">
        <v>0</v>
      </c>
      <c r="D13910" t="inlineStr">
        <is>
          <t>Bâthon; Amulette de l'Indicible; Chevalière du Roi Joueur; Baguistik; Bouclier cubiste; Ceinture de l'Indicible; Masque de l'Esprit Salvateur; Voile d'encre; Baleinabottes; Dofus Ocre; Dofus des Glaces; Dofus Pourpre; Nomade; Vigoureux majeur; Kramkram</t>
        </is>
      </c>
    </row>
    <row r="13911">
      <c r="A13911" t="inlineStr">
        <is>
          <t>Terre</t>
        </is>
      </c>
      <c r="B13911">
        <f>HYPERLINK("https://www.dofusbook.net/fr/equipement/1708530-terre/objets", "link")</f>
        <v/>
      </c>
      <c r="C13911" t="n">
        <v>0</v>
      </c>
      <c r="D13911" t="inlineStr">
        <is>
          <t>Lav'Hache; Collier de Tourthon; Anneau Crustique; Anneau Chevelu; Bouclier du Stalak; Ceinture de la Cour Sombre; Masque de Koutoulou; Cape au Logis; Bottes de la Cour Sombre; Dokoko; Dofus Ivoire; Dofus Pourpre; Dofus Émeraude; Remueur; Enragé majeur; Kramkram</t>
        </is>
      </c>
    </row>
    <row r="13912">
      <c r="A13912" t="inlineStr">
        <is>
          <t>Terre new</t>
        </is>
      </c>
      <c r="B13912">
        <f>HYPERLINK("https://www.dofusbook.net/fr/equipement/2094126-terre-new/objets", "link")</f>
        <v/>
      </c>
      <c r="C13912" t="n">
        <v>1</v>
      </c>
      <c r="D13912" t="inlineStr">
        <is>
          <t>Dagues d'Ilyzaelle; Amulette du Cœur Saignant; Anneau Crustique; Anneau Chevelu; Bouclier alvéolé; Ceinture de la Reine des Voleurs; Masque de Koutoulou; Voile d'encre; Bottes du Cœur Saignant; Dofus Ocre; Dofus Pourpre; Dofus des Glaces; Dofus Turquoise; Enragé majeur; Nomade; Kramkram</t>
        </is>
      </c>
    </row>
    <row r="13913">
      <c r="A13913" t="inlineStr">
        <is>
          <t>Tank 12/6</t>
        </is>
      </c>
      <c r="B13913">
        <f>HYPERLINK("https://www.dofusbook.net/fr/equipement/1763048-tank-12-6/objets", "link")</f>
        <v/>
      </c>
      <c r="C13913" t="n">
        <v>0</v>
      </c>
      <c r="D13913" t="inlineStr">
        <is>
          <t>Héqache; Amulette du Strigide; Bague Gloursonne; Alliance Gloursonne; Bouclier d'Anerice; Ceinture du Strigide; Masque d'Anerice; Cape d'Anerice; Bottes du Strigide; Dofus des Glaces; Dofus Vulbis; Dofus Turquoise; Dofus Abyssal; Dofus Ocre; Dofus Pourpre; Kramkram</t>
        </is>
      </c>
    </row>
    <row r="13914">
      <c r="A13914" t="inlineStr">
        <is>
          <t>Terre/air bourrin 2</t>
        </is>
      </c>
      <c r="B13914">
        <f>HYPERLINK("https://www.dofusbook.net/fr/equipement/1774265-terre-air-bourrin-2/objets", "link")</f>
        <v/>
      </c>
      <c r="C13914" t="n">
        <v>1</v>
      </c>
      <c r="D13914" t="inlineStr">
        <is>
          <t>Héqache; Amulette du Strigide; Pikano; Alliance Gloursonne; Bouclier alvéolé; Ceintacé; Chapoulpe; Cape du Kamasterisk; Tentassons; Dofus Abyssal; Dofus des Glaces; Dofus Ocre; Nomade; Évasif majeur; Insaisissable majeur; Kramkram</t>
        </is>
      </c>
    </row>
    <row r="13915">
      <c r="A13915" t="inlineStr">
        <is>
          <t>Air 12/6 full res</t>
        </is>
      </c>
      <c r="B13915">
        <f>HYPERLINK("https://www.dofusbook.net/fr/equipement/1714988-air-12-6-full-res/objets", "link")</f>
        <v/>
      </c>
      <c r="C13915" t="n">
        <v>0</v>
      </c>
      <c r="D13915" t="inlineStr">
        <is>
          <t>Pelle de la Cour Sombre; Collier du Valet Veinard; Anneau de XLII; Gant du Valet Veinard; Ceinture de XLII; Casque Dragoeuf; Cape du Valet Veinard; Bottes de XLII; Dofus Nébuleux; Dofus Pourpre; Dofus Émeraude; Dofus Ocre; Dofus Abyssal; Dofus des Glaces; Muldo Ebène et Orchidée</t>
        </is>
      </c>
    </row>
    <row r="13916">
      <c r="A13916" t="inlineStr">
        <is>
          <t>Terre/air bourrin</t>
        </is>
      </c>
      <c r="B13916">
        <f>HYPERLINK("https://www.dofusbook.net/fr/equipement/1774083-terre-air-bourrin-/objets", "link")</f>
        <v/>
      </c>
      <c r="C13916" t="n">
        <v>0</v>
      </c>
      <c r="D13916" t="inlineStr">
        <is>
          <t>Lance corrompue; Amulette de Nevark; Alliance Gloursonne; Anneau des égarés; Bouclier alvéolé; Ceinture de Nevark; Casque des égarés; Cape de Nevark; Bottes des égarés; Dolmanax; Dofus des Glaces; Dofus Pourpre; Dofus Abyssal; Dofus Ocre; Robuste majeur; Muldo Ebène et Pourpre</t>
        </is>
      </c>
    </row>
    <row r="13917">
      <c r="A13917" t="inlineStr">
        <is>
          <t>Terre/air res</t>
        </is>
      </c>
      <c r="B13917">
        <f>HYPERLINK("https://www.dofusbook.net/fr/equipement/1733333-terre-air-res/objets", "link")</f>
        <v/>
      </c>
      <c r="C13917" t="n">
        <v>0</v>
      </c>
      <c r="D13917" t="inlineStr">
        <is>
          <t>Héqache; Amulette du Strigide; Anneau des égarés; Anneau de XLII; Bouclier alvéolé; Ceinture de XLII; Casque Dragoeuf; Cape du Kamasterisk; Baleinabottes; Dofus Turquoise; Dofus Abyssal; Dofus Ocre; Dofus Pourpre; Dofus des Glaces; Vigoureux majeur; Muldo Prune et Doré</t>
        </is>
      </c>
    </row>
    <row r="13918">
      <c r="A13918" t="inlineStr">
        <is>
          <t>Feu full</t>
        </is>
      </c>
      <c r="B13918">
        <f>HYPERLINK("https://www.dofusbook.net/fr/equipement/1766274-feu-full/objets", "link")</f>
        <v/>
      </c>
      <c r="C13918" t="n">
        <v>0</v>
      </c>
      <c r="D13918" t="inlineStr">
        <is>
          <t>Arc Hétype; Pendentif mignon de Koutoulou; Anneauræus; Anneau Rifique; Bouclier du Stalak; Ceinture de Vortex; Casque Dragoeuf; Cape de Diondin; Bottes Innommables; Dofus Abyssal; Dofus Pourpre; Dofus des Glaces; Remueur; Miraculé majeur; Érudit majeur; Muldo Orchidée et Amande</t>
        </is>
      </c>
    </row>
    <row r="13919">
      <c r="A13919" t="inlineStr">
        <is>
          <t>Terre res</t>
        </is>
      </c>
      <c r="B13919">
        <f>HYPERLINK("https://www.dofusbook.net/fr/equipement/1767918-terre-res/objets", "link")</f>
        <v/>
      </c>
      <c r="C13919" t="n">
        <v>0</v>
      </c>
      <c r="D13919" t="inlineStr">
        <is>
          <t>Marteau R'ture; Amulette du Strigide; Pikano; Anneau Chevelu; Bouclier alvéolé; Ceinture du Strigide; Masque de Koutoulou; Cape au Logis; Bottes de Brouce; Dofus Pourpre; Dofus Turquoise; Dofus Abyssal; Dofus Ocre; Vigoureux majeur; Enragé majeur; Muldo Prune et Pourpre</t>
        </is>
      </c>
    </row>
    <row r="13920">
      <c r="A13920" t="inlineStr">
        <is>
          <t>Multi/marteau egarer</t>
        </is>
      </c>
      <c r="B13920">
        <f>HYPERLINK("https://www.dofusbook.net/fr/equipement/1754468-multi-marteau-egarer/objets", "link")</f>
        <v/>
      </c>
      <c r="C13920" t="n">
        <v>1</v>
      </c>
      <c r="D13920" t="inlineStr">
        <is>
          <t>Marteau des égarés; Amulette de l'Indicible; Pikano; Anneau Chevelu; Bouclier Taverne; Ceinture de l'Indicible; Le Dorado; Voile d'encre; Sandales  d'Atcham; Dofus Turquoise; Dofus Vulbis; Dofus Ocre; Dofus des Glaces; Dofus Pourpre; Dofus Nébuleux; Kramkram</t>
        </is>
      </c>
    </row>
    <row r="13921">
      <c r="A13921" t="inlineStr">
        <is>
          <t>Feu os t3 eau</t>
        </is>
      </c>
      <c r="B13921">
        <f>HYPERLINK("https://www.dofusbook.net/fr/equipement/1736439-feu-os-t3-eau/objets", "link")</f>
        <v/>
      </c>
      <c r="C13921" t="n">
        <v>0</v>
      </c>
      <c r="D13921" t="inlineStr">
        <is>
          <t>Arc Hétype; Talisman Igans; Anneau de Nidas; Anneau Tique; Cadran de Feu; Ceintrigue; Casqnoar; Voile d'encre; Pataugastrique; Dofus des Glaces; Dofus Ocre; Dofus Abyssal; Dokoko; Miraculé majeur; Érudit majeur; Muldo Indigo et Orchidée</t>
        </is>
      </c>
    </row>
    <row r="13922">
      <c r="A13922" t="inlineStr">
        <is>
          <t>Eau bourrin</t>
        </is>
      </c>
      <c r="B13922">
        <f>HYPERLINK("https://www.dofusbook.net/fr/equipement/148751-eau-bourrin/objets", "link")</f>
        <v/>
      </c>
      <c r="C13922" t="n">
        <v>0</v>
      </c>
      <c r="D13922" t="inlineStr">
        <is>
          <t>Rapière aux Glyphes; Amulette de Shokkoth; Alliance Gloursonne; Bracelet des Fonds marins; Cadran de Terre; Ceinture de la Reine des Voleurs; Kidibonnet; Cape de Mantaze; Bottes de la Reine des Voleurs; Dofus des Glaces; Dofus Pourpre; Dofus Ocre; Nomade; Dévastateur Eau majeur; Chanceux majeur; Kramkram</t>
        </is>
      </c>
    </row>
    <row r="13923">
      <c r="A13923" t="inlineStr">
        <is>
          <t>Feu simon</t>
        </is>
      </c>
      <c r="B13923">
        <f>HYPERLINK("https://www.dofusbook.net/fr/equipement/148750-feu-simon/objets", "link")</f>
        <v/>
      </c>
      <c r="C13923" t="n">
        <v>0</v>
      </c>
      <c r="D13923" t="inlineStr">
        <is>
          <t>Arc Hétype; Amulette de Nileza; Bague Gloursonne; Anneau Tique; Ceinture de Gein; Couronne de Nidas; Cape de Nileza; Pantoufles Émar; Dofus Pourpre; Nomade; Érudit majeur; Remueur; Dévastateur Feu majeur; Vigoureux majeur; Kramkram</t>
        </is>
      </c>
    </row>
    <row r="13924">
      <c r="A13924" t="inlineStr">
        <is>
          <t>Eau/ os t3 air</t>
        </is>
      </c>
      <c r="B13924">
        <f>HYPERLINK("https://www.dofusbook.net/fr/equipement/148749-eau--os-t3-air/objets", "link")</f>
        <v/>
      </c>
      <c r="C13924" t="n">
        <v>0</v>
      </c>
      <c r="D13924" t="inlineStr">
        <is>
          <t>Rapière aux Glyphes; Talisman Igans; Alliance Gloursonne; Pikano; Bouclier cubiste; Ceinture de la Reine des Voleurs; Masque des Fonds marins; Cape Matelassée; Bottes de la Reine des Voleurs; Dofus Pourpre; Dofus des Glaces; Chanceux majeur; Nomade; Vigoureux majeur; Remueur; Kramkram</t>
        </is>
      </c>
    </row>
    <row r="13925">
      <c r="A13925" t="inlineStr">
        <is>
          <t>Feu/terre soin</t>
        </is>
      </c>
      <c r="B13925">
        <f>HYPERLINK("https://www.dofusbook.net/fr/equipement/1727087-feu-terre-soin/objets", "link")</f>
        <v/>
      </c>
      <c r="C13925" t="n">
        <v>0</v>
      </c>
      <c r="D13925" t="inlineStr">
        <is>
          <t>Arc Hétype; Torquistik; Bague Gloursonne; Baguistik; Écorce de Brouce; Ceinture de Gein; Chapeau de Gein; Voile d'encre; Bottistik; Dofus des Glaces; Dofus Ocre; Dofus Ivoire; Dolmanax; Savant majeur; Bousculeur majeur; Muldo Orchidée et Pourpre</t>
        </is>
      </c>
    </row>
    <row r="13926">
      <c r="A13926" t="inlineStr">
        <is>
          <t>eau/feu</t>
        </is>
      </c>
      <c r="B13926">
        <f>HYPERLINK("https://www.dofusbook.net/fr/equipement/1723094-eau-feu/objets", "link")</f>
        <v/>
      </c>
      <c r="C13926" t="n">
        <v>0</v>
      </c>
      <c r="D13926" t="inlineStr">
        <is>
          <t>Pelle de Katrepat; Talisman Igans; Grésilanneau; Anneau Kturne; Bouclier cubiste; Ceintrigue; Casqnoar; Cape des Justiciers; Bottes Owesli; Dofus Pourpre; Dofus Ocre; Dofus Nébuleux; Robuste majeur; Carapace Feu majeur; Vigoureux majeur; Kramkram</t>
        </is>
      </c>
    </row>
    <row r="13927">
      <c r="A13927" t="inlineStr">
        <is>
          <t>Eau/air</t>
        </is>
      </c>
      <c r="B13927">
        <f>HYPERLINK("https://www.dofusbook.net/fr/equipement/1722839-eau-air/objets", "link")</f>
        <v/>
      </c>
      <c r="C13927" t="n">
        <v>0</v>
      </c>
      <c r="D13927" t="inlineStr">
        <is>
          <t>Marteau des Anciens Steamers; Amulette du Strigide; Grésilanneau; Alliance Gloursonne; Ceinture Voldelor; Némès de Tal Kasha; Cape d'Hel Munster; Sandales de Tal Kasha; Dofus Abyssal; Dofus Ocre; Dofus Pourpre; Dofus des Glaces; Dofus Turquoise; Dofus Nébuleux</t>
        </is>
      </c>
    </row>
    <row r="13928">
      <c r="A13928" t="inlineStr">
        <is>
          <t>Feu</t>
        </is>
      </c>
      <c r="B13928">
        <f>HYPERLINK("https://www.dofusbook.net/fr/equipement/1721336-feu/objets", "link")</f>
        <v/>
      </c>
      <c r="C13928" t="n">
        <v>0</v>
      </c>
      <c r="D13928" t="inlineStr">
        <is>
          <t>Baguette de Malléfisk; Pendentif affamé; Bague Gloursonne; Anneauræus; Cadran de Feu; Ceinture Séculaire; Coiffe Séculaire; Cape de Diondin; Bottes Innommables; Dofus Ivoire; Dolmanax; Dofus Ocre; Guérisseur majeur; Érudit majeur; Muldo Orchidée</t>
        </is>
      </c>
    </row>
    <row r="13929">
      <c r="A13929" t="inlineStr">
        <is>
          <t>Feu/air</t>
        </is>
      </c>
      <c r="B13929">
        <f>HYPERLINK("https://www.dofusbook.net/fr/equipement/1720754-feu-air/objets", "link")</f>
        <v/>
      </c>
      <c r="C13929" t="n">
        <v>0</v>
      </c>
      <c r="D13929" t="inlineStr">
        <is>
          <t>Marteau Phossile; Pendentif mignon de Koutoulou; Kralano; Anneau Rifique; Bouclier cubiste; Ceinture de Vortex; Coiffe de Padgref; Cape Hiculteur; Pantoufles Émar; Dofus Turquoise; Dofus des Glaces; Dofus Nébuleux; Dofus Pourpre; Dofus Ocre; Nomade; Kramkram</t>
        </is>
      </c>
    </row>
    <row r="13930">
      <c r="A13930" t="inlineStr">
        <is>
          <t>Terre 11/6</t>
        </is>
      </c>
      <c r="B13930">
        <f>HYPERLINK("https://www.dofusbook.net/fr/equipement/148674-terre-11-6/objets", "link")</f>
        <v/>
      </c>
      <c r="C13930" t="n">
        <v>0</v>
      </c>
      <c r="D13930" t="inlineStr">
        <is>
          <t>Marteau R'ture; Collier de Tourthon; Anneau Chevelu; Anneau de Brouce; Bouclier alvéolé; Ceinture de la Reine des Voleurs; Coiffe de la Reine des Voleurs; Voile d'encre; Baleinabottes; Dofus Nébuleux; Dofus Ocre; Dofus Pourpre; Dofus Turquoise; Enragé majeur; Nomade; Kramkram</t>
        </is>
      </c>
    </row>
    <row r="13931">
      <c r="A13931" t="inlineStr">
        <is>
          <t>bou</t>
        </is>
      </c>
      <c r="B13931">
        <f>HYPERLINK("https://www.dofusbook.net/fr/equipement/1708303-bou/objets", "link")</f>
        <v/>
      </c>
      <c r="C13931" t="n">
        <v>0</v>
      </c>
      <c r="D13931" t="inlineStr">
        <is>
          <t>Héqache; Amulette du Kamasterisk; Gant du Valet Veinard; Bague Gloursonne; Sept ans de malheur; Ceintouse; Chapoulpe; Cape du Kamasterisk; Tentassons; Dofus Vulbis; Dofus des Glaces; Dokoko; Dofus Nébuleux; Dofus Ocre; Dofus Abyssal; Kramkram</t>
        </is>
      </c>
    </row>
    <row r="13932">
      <c r="A13932" t="inlineStr">
        <is>
          <t>Tri 11/6 marteau</t>
        </is>
      </c>
      <c r="B13932">
        <f>HYPERLINK("https://www.dofusbook.net/fr/equipement/148676-tri-11-6-marteau/objets", "link")</f>
        <v/>
      </c>
      <c r="C13932" t="n">
        <v>0</v>
      </c>
      <c r="D13932" t="inlineStr">
        <is>
          <t>Marteau de Katrepat; Amulette du Strigide; Grésilanneau; Alliance Brûlâme; Bouclier cubiste; Ceinture du Strigide; Chapeau Lisson; Cape des Justiciers; Bottes du Cycloïde; Dofus Pourpre; Dofus Ocre; Dofus Pourpre; Dofus Turquoise; Dofus des Glaces; Vigoureux majeur; Muldo Orchidée et Pourpre</t>
        </is>
      </c>
    </row>
    <row r="13933">
      <c r="A13933" t="inlineStr">
        <is>
          <t>terre/air 12/6</t>
        </is>
      </c>
      <c r="B13933">
        <f>HYPERLINK("https://www.dofusbook.net/fr/equipement/865393-terre-air-12-6/objets", "link")</f>
        <v/>
      </c>
      <c r="C13933" t="n">
        <v>0</v>
      </c>
      <c r="D13933" t="inlineStr">
        <is>
          <t>Epée Gloursonne; Amulette du Kamasterisk; Bague Gloursonne; Alliance Gloursonne; Bouclier alvéolé; Ceinture de la Reine des Voleurs; Coiffe de la Reine des Voleurs; Cape du Kamasterisk; Bottes du Kamasterisk; Dofus Pourpre; Dofus Ocre; Dofus Ivoire; Dofus des Glaces; Dolmanax; Dofus Émeraude; Muldo Ebène et Orchidée</t>
        </is>
      </c>
    </row>
    <row r="13934">
      <c r="A13934" t="inlineStr">
        <is>
          <t>Full</t>
        </is>
      </c>
      <c r="B13934">
        <f>HYPERLINK("https://www.dofusbook.net/fr/equipement/895065-full/objets", "link")</f>
        <v/>
      </c>
      <c r="C13934" t="n">
        <v>0</v>
      </c>
      <c r="D13934" t="inlineStr">
        <is>
          <t>Harpelle; Amulette d'Otomaï; Anneau de Padgref; Bague Gloursonne; Ceinture Séculaire; Couronne de Nidas; Cape de Diondin; Bottes d'Otomaï; Dofus Turquoise; Dofus Pourpre; Érudit majeur; Dévastateur Feu majeur; Remueur; Nomade; Brûlih</t>
        </is>
      </c>
    </row>
    <row r="13935">
      <c r="A13935" t="inlineStr">
        <is>
          <t>chance</t>
        </is>
      </c>
      <c r="B13935">
        <f>HYPERLINK("https://www.dofusbook.net/fr/equipement/160724-chance/objets", "link")</f>
        <v/>
      </c>
      <c r="C13935" t="n">
        <v>0</v>
      </c>
      <c r="D13935" t="inlineStr">
        <is>
          <t>Rapière aux Glyphes; Amulette de Shokkoth; Alliance Gloursonne; Pikano; Ceinture de la Reine des Voleurs; Kidibonnet; Cape de la Dame du Hasard; Bottes de la Reine des Voleurs; Dofus Pourpre; Dofus Turquoise; Temporiseur majeur; Remueur; Chanceux majeur; Nomade; Kramkram</t>
        </is>
      </c>
    </row>
    <row r="13936">
      <c r="A13936" t="inlineStr">
        <is>
          <t>Stuff 1</t>
        </is>
      </c>
      <c r="B13936">
        <f>HYPERLINK("https://www.dofusbook.net/fr/equipement/148704-stuff-1/objets", "link")</f>
        <v/>
      </c>
      <c r="C13936" t="n">
        <v>0</v>
      </c>
      <c r="D13936" t="inlineStr">
        <is>
          <t>Marteau des égarés; Amulette du Strigide; Anneau Chevelu; Alliance Gloursonne; Ceintacé; Casque du Chalœil; Voile d'encre; Bottes du Chalœil; Dofus Turquoise; Dolmanax; Dofus des Glaces; Dokoko; Nomade; Remueur; Kramkram</t>
        </is>
      </c>
    </row>
    <row r="13937">
      <c r="A13937" t="inlineStr">
        <is>
          <t>Stuff 3</t>
        </is>
      </c>
      <c r="B13937">
        <f>HYPERLINK("https://www.dofusbook.net/fr/equipement/148739-stuff-3/objets", "link")</f>
        <v/>
      </c>
      <c r="C13937" t="n">
        <v>0</v>
      </c>
      <c r="D13937" t="inlineStr">
        <is>
          <t>Dagues de Srambad; Amulette Ementaire Deluxe; Alliance Gloursonne; Pikano; Ceinture de la Reine des Voleurs; Coiffe de la Reine des Voleurs; Puissante Cape Fulgurante; Pantoufles du Piloztère; Dofus Ocre; Dofus Pourpre; Vigoureux majeur; Nomade; Remueur; Kramkram</t>
        </is>
      </c>
    </row>
    <row r="13938">
      <c r="A13938" t="inlineStr">
        <is>
          <t>Stuff 2</t>
        </is>
      </c>
      <c r="B13938">
        <f>HYPERLINK("https://www.dofusbook.net/fr/equipement/148699-stuff-2/objets", "link")</f>
        <v/>
      </c>
      <c r="C13938" t="n">
        <v>0</v>
      </c>
      <c r="D13938" t="inlineStr">
        <is>
          <t>Dagues de Srambad; Amulette Ementaire Deluxe; Pikano; Anneau Chevelu; Ceinture de la Reine des Voleurs; Coiffe de la Reine des Voleurs; Voile d'encre; Pataugastrique; Dolmanax; Dofus Pourpre; Dofus des Glaces; Remueur; Chanceux majeur; Nomade; Kramkram</t>
        </is>
      </c>
    </row>
    <row r="13939">
      <c r="A13939" t="inlineStr">
        <is>
          <t>Stuff 3</t>
        </is>
      </c>
      <c r="B13939">
        <f>HYPERLINK("https://www.dofusbook.net/fr/equipement/148694-stuff-3/objets", "link")</f>
        <v/>
      </c>
      <c r="C13939" t="n">
        <v>2</v>
      </c>
      <c r="D13939" t="inlineStr">
        <is>
          <t>Dagues Érhy; Amulette du Strigide; Anneau Chevelu; Bague Gloursonne; Ceinture du Strigide; Casque de Missiz Frizz; Cape au Logis; Bottes de la Cour Sombre; Dolmanax; Dofus Ocre; Dofus Turquoise; Dofus Pourpre; Miraculé majeur; Remueur; Péki</t>
        </is>
      </c>
    </row>
    <row r="13940">
      <c r="A13940" t="inlineStr">
        <is>
          <t>Stuff 2</t>
        </is>
      </c>
      <c r="B13940">
        <f>HYPERLINK("https://www.dofusbook.net/fr/equipement/148726-stuff-2/objets", "link")</f>
        <v/>
      </c>
      <c r="C13940" t="n">
        <v>0</v>
      </c>
      <c r="D13940" t="inlineStr">
        <is>
          <t>Pelle de la Cour Sombre; Collier du Valet Veinard; Gant du Valet Veinard; Anneau d'Allister; Slip Iholo; Couronne d'Allister; Cape du Valet Veinard; Bottes d'Allister; Dofus Émeraude; Dofus Pourpre; Dofus des Glaces; Dofus Ocre; Dokoko; Dolmanax; Kramkram</t>
        </is>
      </c>
    </row>
    <row r="13941">
      <c r="A13941" t="inlineStr">
        <is>
          <t>Stuff 3</t>
        </is>
      </c>
      <c r="B13941">
        <f>HYPERLINK("https://www.dofusbook.net/fr/equipement/148721-stuff-3/objets", "link")</f>
        <v/>
      </c>
      <c r="C13941" t="n">
        <v>0</v>
      </c>
      <c r="D13941" t="inlineStr">
        <is>
          <t>Marteau Reine; Amulette du Kamasterisk; Gelano; Anneau des égarés; Ceinture de Nevark; Coiffe de la Reine des Voleurs; Cape du Kamasterisk; Bottes du Cycloïde; Dofus Pourpre; Dofus Ocre; Remueur; Robuste majeur; Vigoureux majeur; Nomade; Kramkram</t>
        </is>
      </c>
    </row>
    <row r="13942">
      <c r="A13942" t="inlineStr">
        <is>
          <t>Stuff 2</t>
        </is>
      </c>
      <c r="B13942">
        <f>HYPERLINK("https://www.dofusbook.net/fr/equipement/148756-stuff-2/objets", "link")</f>
        <v/>
      </c>
      <c r="C13942" t="n">
        <v>0</v>
      </c>
      <c r="D13942" t="inlineStr">
        <is>
          <t>Arc de Koutoulou; Amulette du Strigide; Pikano; Alliance Gloursonne; Ceinture du Barbétoal; Némès de Tal Kasha; Cape Matelassée; Sandales de Tal Kasha; Dofus Pourpre; Dofus des Glaces; Dofus Turquoise; Vigoureux majeur; Nomade; Remueur; Muldo Ebène et Indigo</t>
        </is>
      </c>
    </row>
    <row r="13943">
      <c r="A13943" t="inlineStr">
        <is>
          <t>Stuff 2</t>
        </is>
      </c>
      <c r="B13943">
        <f>HYPERLINK("https://www.dofusbook.net/fr/equipement/148711-stuff-2/objets", "link")</f>
        <v/>
      </c>
      <c r="C13943" t="n">
        <v>0</v>
      </c>
      <c r="D13943" t="inlineStr">
        <is>
          <t>Rapière aux Glyphes; Amulette du Sinistrofu; Bracelet des Fonds marins; Ceinture Glaciale; Kidibonnet; Cape Glaciale; Getas Bernacle</t>
        </is>
      </c>
    </row>
    <row r="13944">
      <c r="A13944" t="inlineStr">
        <is>
          <t>Stuff 1</t>
        </is>
      </c>
      <c r="B13944">
        <f>HYPERLINK("https://www.dofusbook.net/fr/equipement/148746-stuff-1/objets", "link")</f>
        <v/>
      </c>
      <c r="C13944" t="n">
        <v>2</v>
      </c>
      <c r="D13944" t="inlineStr">
        <is>
          <t>Arc Nécrotique; Talisman Igans; Alliance Gloursonne; Anneau Tique; Ceinture du Glourséleste; Kidibonnet; Voile d'encre; Bottes Owesli; Dolmanax; Dokoko; Dofus des Glaces; Nomade; Remueur; Temporiseur majeur; Kramkram</t>
        </is>
      </c>
    </row>
    <row r="13945">
      <c r="A13945" t="inlineStr">
        <is>
          <t>Stuff 3</t>
        </is>
      </c>
      <c r="B13945">
        <f>HYPERLINK("https://www.dofusbook.net/fr/equipement/148706-stuff-3/objets", "link")</f>
        <v/>
      </c>
      <c r="C13945" t="n">
        <v>0</v>
      </c>
      <c r="D13945" t="inlineStr">
        <is>
          <t>Manthache; Collier du Valet Veinard; Alliance Gloursonne; Gant du Valet Veinard; Menoture; Dorabysses; Cape du Kamasterisk; Palmes Trithons; Dofus des Glaces; Évasif majeur; Cascadeur majeur; Cavaleur majeur; Nomade; Remueur; Kramkram</t>
        </is>
      </c>
    </row>
    <row r="13946">
      <c r="A13946" t="inlineStr">
        <is>
          <t>Stuff 1</t>
        </is>
      </c>
      <c r="B13946">
        <f>HYPERLINK("https://www.dofusbook.net/fr/equipement/148707-stuff-1/objets", "link")</f>
        <v/>
      </c>
      <c r="C13946" t="n">
        <v>1</v>
      </c>
      <c r="D13946" t="inlineStr">
        <is>
          <t>Arc Nécrotique; Talisman Igans; Grésilanneau; Alliance du Lévitrof; Slip du Roi de Bonta; Coiffe du Lévitrof; Voilamibe; Pataugastrique; Dofus Pourpre; Robuste majeur; Remueur; Vigoureux majeur; Observateur; Nomade; Kramkram</t>
        </is>
      </c>
    </row>
    <row r="13947">
      <c r="A13947" t="inlineStr">
        <is>
          <t>Stuff 2</t>
        </is>
      </c>
      <c r="B13947">
        <f>HYPERLINK("https://www.dofusbook.net/fr/equipement/148702-stuff-2/objets", "link")</f>
        <v/>
      </c>
      <c r="C13947" t="n">
        <v>0</v>
      </c>
      <c r="D13947" t="inlineStr">
        <is>
          <t>Arc du Chalœil; Amulette du Strigide; Pikano; Anneau Chevelu; Ceinture de la Reine des Voleurs; Coiffe de la Reine des Voleurs; Voile d'encre; Baleinabottes; Dofus Turquoise; Dofus des Glaces; Dofus Pourpre; Enragé majeur; Nomade; Remueur; Kramkram</t>
        </is>
      </c>
    </row>
    <row r="13948">
      <c r="A13948" t="inlineStr">
        <is>
          <t>Stuff 1</t>
        </is>
      </c>
      <c r="B13948">
        <f>HYPERLINK("https://www.dofusbook.net/fr/equipement/148737-stuff-1/objets", "link")</f>
        <v/>
      </c>
      <c r="C13948" t="n">
        <v>1</v>
      </c>
      <c r="D13948" t="inlineStr">
        <is>
          <t>Masse Ossiale; Amulette de Pol Ouatnos; Grésilanneau; Alliance du Lévitrof; Ceinture de Kongoku; Chapeau Lisson; Cape des Justiciers; Bottes du Lévitrof; Dofus Pourpre; Remueur; Robuste majeur; Vigoureux majeur; Sanguinaire majeur; Nomade; Kramkram</t>
        </is>
      </c>
    </row>
    <row r="13949">
      <c r="A13949" t="inlineStr">
        <is>
          <t>Stuff 3</t>
        </is>
      </c>
      <c r="B13949">
        <f>HYPERLINK("https://www.dofusbook.net/fr/equipement/148697-stuff-3/objets", "link")</f>
        <v/>
      </c>
      <c r="C13949" t="n">
        <v>0</v>
      </c>
      <c r="D13949" t="inlineStr">
        <is>
          <t>Rapière aux Glyphes; Talisman Igans; Alliance Gloursonne; Pikano; Ceinture Glaciale; Casquipik; Cape Matelassée; Bottes du Nocturlabe; Temporiseur majeur; Dévastateur Eau majeur; Chanceux majeur; Nomade; Vigoureux majeur; Remueur; Kramkram</t>
        </is>
      </c>
    </row>
    <row r="13950">
      <c r="A13950" t="inlineStr">
        <is>
          <t>Stuff 2</t>
        </is>
      </c>
      <c r="B13950">
        <f>HYPERLINK("https://www.dofusbook.net/fr/equipement/148765-stuff-2/objets", "link")</f>
        <v/>
      </c>
      <c r="C13950" t="n">
        <v>0</v>
      </c>
      <c r="D13950" t="inlineStr">
        <is>
          <t>Manthache; Collier du Valet Veinard; Alliance Gloursonne; Gant du Valet Veinard; Bouclier cubiste; Menoture; Couronne d'Allister; Cape du Kamasterisk; Baleinabottes; Dofus des Glaces; Dofus Pourpre; Cascadeur majeur; Carapace Air majeur; Nomade; Kramkram</t>
        </is>
      </c>
    </row>
    <row r="13951">
      <c r="A13951" t="inlineStr">
        <is>
          <t>Stuff 1</t>
        </is>
      </c>
      <c r="B13951">
        <f>HYPERLINK("https://www.dofusbook.net/fr/equipement/148692-stuff-1/objets", "link")</f>
        <v/>
      </c>
      <c r="C13951" t="n">
        <v>3</v>
      </c>
      <c r="D13951" t="inlineStr">
        <is>
          <t>Marteau des égarés; Amulette du Strigide; Bague Gloursonne; Anneau Chevelu; Ceintacé; Casque du Chalœil; Voile d'encre; Bottes du Chalœil; Dofus des Glaces; Dofus Turquoise; Dolmanax; Dofus Pourpre; Remueur; Nomade; Kramkram</t>
        </is>
      </c>
    </row>
    <row r="13952">
      <c r="A13952" t="inlineStr">
        <is>
          <t>Stuff 3</t>
        </is>
      </c>
      <c r="B13952">
        <f>HYPERLINK("https://www.dofusbook.net/fr/equipement/148724-stuff-3/objets", "link")</f>
        <v/>
      </c>
      <c r="C13952" t="n">
        <v>0</v>
      </c>
      <c r="D13952" t="inlineStr">
        <is>
          <t>Arc de Koutoulou; Amulette du Strigide; Alliance Gloursonne; Pikano; Ceinture du Nocturlabe; Chapeau Lisson; Cape Matelassée; Bottes du Nocturlabe; Dolmanax; Dofus des Glaces; Dofus Turquoise; Dofus Pourpre; Nomade; Remueur; Kramkram</t>
        </is>
      </c>
    </row>
    <row r="13953">
      <c r="A13953" t="inlineStr">
        <is>
          <t>Stuff 3</t>
        </is>
      </c>
      <c r="B13953">
        <f>HYPERLINK("https://www.dofusbook.net/fr/equipement/148760-stuff-3/objets", "link")</f>
        <v/>
      </c>
      <c r="C13953" t="n">
        <v>0</v>
      </c>
      <c r="D13953" t="inlineStr">
        <is>
          <t>Pelle de la Cour Sombre; Collier du Valet Veinard; Gant du Valet Veinard; Alliance Gloursonne; Ceintouse; Chapoulpe; Cape du Valet Veinard; Tentassons; Dofus des Glaces; Dofus Ocre; Dofus Pourpre; Dokoko; Dolmanax; Robuste majeur</t>
        </is>
      </c>
    </row>
    <row r="13954">
      <c r="A13954" t="inlineStr">
        <is>
          <t>Stuff 1</t>
        </is>
      </c>
      <c r="B13954">
        <f>HYPERLINK("https://www.dofusbook.net/fr/equipement/148719-stuff-1/objets", "link")</f>
        <v/>
      </c>
      <c r="C13954" t="n">
        <v>1</v>
      </c>
      <c r="D13954" t="inlineStr">
        <is>
          <t>Hache Ériphe; Amulette du Kamasterisk; Anneau des égarés; Anneau de la Fuji Givrefoux; Ceinture de Nevark; Coiffe de la Reine des Voleurs; Cape du Kamasterisk; Baleinabottes; Dofus Pourpre; Sanguinaire majeur; Remueur; Nomade; Robuste majeur; Vigoureux majeur; Kramkram</t>
        </is>
      </c>
    </row>
    <row r="13955">
      <c r="A13955" t="inlineStr">
        <is>
          <t>Stuff 3</t>
        </is>
      </c>
      <c r="B13955">
        <f>HYPERLINK("https://www.dofusbook.net/fr/equipement/148754-stuff-3/objets", "link")</f>
        <v/>
      </c>
      <c r="C13955" t="n">
        <v>0</v>
      </c>
      <c r="D13955" t="inlineStr">
        <is>
          <t>Dagues de Srambad; Amulette Ementaire Deluxe; Alliance Gloursonne; Pikano; Ceinture de la Reine des Voleurs; Coiffe de la Reine des Voleurs; Voile d'encre; Pataugastrique; Dofus des Glaces; Dofus Pourpre; Dolmanax; Étourdisseur majeur; Nomade; Remueur; Kramkram</t>
        </is>
      </c>
    </row>
    <row r="13956">
      <c r="A13956" t="inlineStr">
        <is>
          <t>Stuff 3</t>
        </is>
      </c>
      <c r="B13956">
        <f>HYPERLINK("https://www.dofusbook.net/fr/equipement/148709-stuff-3/objets", "link")</f>
        <v/>
      </c>
      <c r="C13956" t="n">
        <v>2</v>
      </c>
      <c r="D13956" t="inlineStr">
        <is>
          <t>Arc Nécrotique; Talisman Glouti; Alliance du Lévitrof; Anneau Tique; Ceinture du Glourséleste; Chapeau Lisson; Cape des Justiciers; Bottes Owesli; Dofus Pourpre; Dokoko; Sanguinaire majeur; Nomade; Vigoureux majeur; Remueur; Kramkram</t>
        </is>
      </c>
    </row>
    <row r="13957">
      <c r="A13957" t="inlineStr">
        <is>
          <t>Stuff 2</t>
        </is>
      </c>
      <c r="B13957">
        <f>HYPERLINK("https://www.dofusbook.net/fr/equipement/148744-stuff-2/objets", "link")</f>
        <v/>
      </c>
      <c r="C13957" t="n">
        <v>2</v>
      </c>
      <c r="D13957" t="inlineStr">
        <is>
          <t>Rapière aux Glyphes; Talisman Igans; Anneau Glacial; Alliance Gloursonne; Sangle Ouare; Kidibonnet; Cape Glaciale; Getas Bernacle; Dofus Pourpre; Nomade; Observateur; Remueur; Dévastateur Eau majeur; Vigoureux majeur; Kramkram</t>
        </is>
      </c>
    </row>
    <row r="13958">
      <c r="A13958" t="inlineStr">
        <is>
          <t>Stuff 1</t>
        </is>
      </c>
      <c r="B13958">
        <f>HYPERLINK("https://www.dofusbook.net/fr/equipement/148704-stuff-1/objets", "link")</f>
        <v/>
      </c>
      <c r="C13958" t="n">
        <v>0</v>
      </c>
      <c r="D13958" t="inlineStr">
        <is>
          <t>Marteau des égarés; Amulette du Strigide; Alliance Gloursonne; Anneau Chevelu; Ceintacé; Casque du Chalœil; Voile d'encre; Bottes du Chalœil; Dofus Turquoise; Dolmanax; Dofus des Glaces; Dokoko; Nomade; Remueur; Kramkram</t>
        </is>
      </c>
    </row>
    <row r="13959">
      <c r="A13959" t="inlineStr">
        <is>
          <t>Stuff 3</t>
        </is>
      </c>
      <c r="B13959">
        <f>HYPERLINK("https://www.dofusbook.net/fr/equipement/148739-stuff-3/objets", "link")</f>
        <v/>
      </c>
      <c r="C13959" t="n">
        <v>0</v>
      </c>
      <c r="D13959" t="inlineStr">
        <is>
          <t>Dagues de Srambad; Amulette Ementaire Deluxe; Alliance Gloursonne; Pikano; Ceinture de la Reine des Voleurs; Coiffe de la Reine des Voleurs; Puissante Cape Fulgurante; Pantoufles du Piloztère; Dofus Ocre; Dofus Pourpre; Remueur; Vigoureux majeur; Nomade; Kramkram</t>
        </is>
      </c>
    </row>
    <row r="13960">
      <c r="A13960" t="inlineStr">
        <is>
          <t>Stuff 2</t>
        </is>
      </c>
      <c r="B13960">
        <f>HYPERLINK("https://www.dofusbook.net/fr/equipement/148699-stuff-2/objets", "link")</f>
        <v/>
      </c>
      <c r="C13960" t="n">
        <v>0</v>
      </c>
      <c r="D13960" t="inlineStr">
        <is>
          <t>Dagues de Srambad; Amulette Ementaire Deluxe; Pikano; Anneau Chevelu; Ceinture de la Reine des Voleurs; Coiffe de la Reine des Voleurs; Voile d'encre; Pataugastrique; Dofus des Glaces; Dolmanax; Dofus Pourpre; Nomade; Remueur; Chanceux majeur; Kramkram</t>
        </is>
      </c>
    </row>
    <row r="13961">
      <c r="A13961" t="inlineStr">
        <is>
          <t>Stuff 1</t>
        </is>
      </c>
      <c r="B13961">
        <f>HYPERLINK("https://www.dofusbook.net/fr/equipement/148710-stuff-1/objets", "link")</f>
        <v/>
      </c>
      <c r="C13961" t="n">
        <v>1</v>
      </c>
      <c r="D13961" t="inlineStr">
        <is>
          <t>Bêche Asse; Amulette de Pol Ouatnos; Bague Gloursonne; Anneau de Brouce; Ceinture de Brouce; Chapeau Lisson; Voile d'encre; Sabots Minables; Dofus Pourpre; Observateur; Remueur; Enragé majeur; Vigoureux majeur; Nomade; Kramkram</t>
        </is>
      </c>
    </row>
    <row r="13962">
      <c r="A13962" t="inlineStr">
        <is>
          <t>Stuff 3</t>
        </is>
      </c>
      <c r="B13962">
        <f>HYPERLINK("https://www.dofusbook.net/fr/equipement/148745-stuff-3/objets", "link")</f>
        <v/>
      </c>
      <c r="C13962" t="n">
        <v>1</v>
      </c>
      <c r="D13962" t="inlineStr">
        <is>
          <t>Hache du Guerrier Zoth; Amulette de Gein; Anneau Chevelu; Anneau de Brouce; Ceinture de Brouce; Chapeau Lisson; Cape au Logis; Getas Bernacle; Dofus Pourpre; Dévastateur Terre majeur; Vigoureux majeur; Nomade; Enragé majeur; Remueur; Kramkram</t>
        </is>
      </c>
    </row>
    <row r="13963">
      <c r="A13963" t="inlineStr">
        <is>
          <t>Stuff 2</t>
        </is>
      </c>
      <c r="B13963">
        <f>HYPERLINK("https://www.dofusbook.net/fr/equipement/148705-stuff-2/objets", "link")</f>
        <v/>
      </c>
      <c r="C13963" t="n">
        <v>0</v>
      </c>
      <c r="D13963" t="inlineStr">
        <is>
          <t>Arc du Chalœil; Amulette du Strigide; Bracelet du Piloztère; Anneau Chevelu; Ceinture de la Reine des Voleurs; Coiffe de la Reine des Voleurs; Voile d'encre; Baleinabottes; Dofus des Glaces; Dofus Pourpre; Dofus Turquoise; Enragé majeur; Nomade; Remueur; Kramkram</t>
        </is>
      </c>
    </row>
    <row r="13964">
      <c r="A13964" t="inlineStr">
        <is>
          <t>Stuff 3</t>
        </is>
      </c>
      <c r="B13964">
        <f>HYPERLINK("https://www.dofusbook.net/fr/equipement/148700-stuff-3/objets", "link")</f>
        <v/>
      </c>
      <c r="C13964" t="n">
        <v>1</v>
      </c>
      <c r="D13964" t="inlineStr">
        <is>
          <t>Arc du Chalœil; Amulette du Strigide; Bracelet du Piloztère; Bague Gloursonne; Ceinture de la Reine des Voleurs; Coiffe de la Reine des Voleurs; Cape au Logis; Baleinabottes; Dofus Pourpre; Dofus Turquoise; Remueur; Vigoureux majeur; Enragé majeur; Nomade; Kramkram</t>
        </is>
      </c>
    </row>
    <row r="13965">
      <c r="A13965" t="inlineStr">
        <is>
          <t>Stuff 1</t>
        </is>
      </c>
      <c r="B13965">
        <f>HYPERLINK("https://www.dofusbook.net/fr/equipement/148695-stuff-1/objets", "link")</f>
        <v/>
      </c>
      <c r="C13965" t="n">
        <v>0</v>
      </c>
      <c r="D13965" t="inlineStr">
        <is>
          <t>Rapière aux Glyphes; Talisman Igans; Alliance Gloursonne; Pikano; Ceinture de la Reine des Voleurs; Kidibonnet; Cape Glaciale; Bottes de la Reine des Voleurs; Dofus Turquoise; Temporiseur majeur; Nomade; Chanceux majeur; Remueur; Vigoureux majeur; Kramkram</t>
        </is>
      </c>
    </row>
    <row r="13966">
      <c r="A13966" t="inlineStr">
        <is>
          <t>Stuff 3</t>
        </is>
      </c>
      <c r="B13966">
        <f>HYPERLINK("https://www.dofusbook.net/fr/equipement/148727-stuff-3/objets", "link")</f>
        <v/>
      </c>
      <c r="C13966" t="n">
        <v>0</v>
      </c>
      <c r="D13966" t="inlineStr">
        <is>
          <t>Arc du Chalœil; Amulette du Strigide; Pikano; Anneau Chevelu; Ceinture de la Reine des Voleurs; Coiffe de la Reine des Voleurs; Voile d'encre; Baleinabottes; Dokoko; Dolmanax; Dofus des Glaces; Enragé majeur; Remueur; Nomade; Kramkram</t>
        </is>
      </c>
    </row>
    <row r="13967">
      <c r="A13967" t="inlineStr">
        <is>
          <t>Stuff 1</t>
        </is>
      </c>
      <c r="B13967">
        <f>HYPERLINK("https://www.dofusbook.net/fr/equipement/148758-stuff-1/objets", "link")</f>
        <v/>
      </c>
      <c r="C13967" t="n">
        <v>0</v>
      </c>
      <c r="D13967" t="inlineStr">
        <is>
          <t>Bâton K'Tueuh; Amulette Luminescente; Bracelet des Fonds marins; Alliance Gloursonne; Ceinture Luminescente; Masque des Fonds marins; Cape Luminescente; Sandales des Fonds marins; Dokoko; Dofus Ocre; Dofus des Glaces; Dofus Pourpre; Dofus Émeraude; Dolmanax; El Scarador</t>
        </is>
      </c>
    </row>
    <row r="13968">
      <c r="A13968" t="inlineStr">
        <is>
          <t>Stuff 1</t>
        </is>
      </c>
      <c r="B13968">
        <f>HYPERLINK("https://www.dofusbook.net/fr/equipement/148722-stuff-1/objets", "link")</f>
        <v/>
      </c>
      <c r="C13968" t="n">
        <v>0</v>
      </c>
      <c r="D13968" t="inlineStr">
        <is>
          <t>Dagues de Srambad; Amulette Ementaire Deluxe; Gelano; Pikano; Ceinture de la Reine des Voleurs; Coiffe de la Reine des Voleurs; Voile d'encre; Pantoufles du Piloztère; Dolmanax; Dofus Ocre; Dofus des Glaces; Nomade; Chanceux majeur; Remueur; Kramkram</t>
        </is>
      </c>
    </row>
    <row r="13969">
      <c r="A13969" t="inlineStr">
        <is>
          <t>Stuff 1</t>
        </is>
      </c>
      <c r="B13969">
        <f>HYPERLINK("https://www.dofusbook.net/fr/equipement/148752-stuff-1/objets", "link")</f>
        <v/>
      </c>
      <c r="C13969" t="n">
        <v>0</v>
      </c>
      <c r="D13969" t="inlineStr">
        <is>
          <t>Sabres d'Atcham; Talisman Igans; Alliance Gloursonne; Anneau Tique; Ceinture de Vortex; Chapeau Lisson; Cape d'Atcham; Pataugastrique; Dofus des Glaces; Dofus Turquoise; Dofus Pourpre; Nomade; Remueur; Étourdisseur majeur; Kramkram</t>
        </is>
      </c>
    </row>
    <row r="13970">
      <c r="A13970" t="inlineStr">
        <is>
          <t>Stuff 3</t>
        </is>
      </c>
      <c r="B13970">
        <f>HYPERLINK("https://www.dofusbook.net/fr/equipement/148712-stuff-3/objets", "link")</f>
        <v/>
      </c>
      <c r="C13970" t="n">
        <v>1</v>
      </c>
      <c r="D13970" t="inlineStr">
        <is>
          <t>Marteau des Anciens Steamers; Amulette du Strigide; Alliance Gloursonne; Grésilanneau; Ceinture du Barbétoal; Bonnet Ko; Cape des Malveilleurs; Bottes de la Reine des Voleurs; Dofus Pourpre; Dofus des Glaces; Dofus Ocre; Nomade; Remueur; Vigoureux majeur</t>
        </is>
      </c>
    </row>
    <row r="13971">
      <c r="A13971" t="inlineStr">
        <is>
          <t>Stuff 2</t>
        </is>
      </c>
      <c r="B13971">
        <f>HYPERLINK("https://www.dofusbook.net/fr/equipement/148747-stuff-2/objets", "link")</f>
        <v/>
      </c>
      <c r="C13971" t="n">
        <v>0</v>
      </c>
      <c r="D13971" t="inlineStr">
        <is>
          <t>Epée Gloursonne; Collier de la Dame du Hasard; Bague Gloursonne; Alliance Gloursonne; Slip Iholo; Chapeau Lisson; Cape de la Dame du Hasard; Bottes de la Dame du Hasard; Dokoko; Dofus Ocre; Dofus des Glaces; Dofus Turquoise; Dolmanax; Dofus Pourpre; Kramkram</t>
        </is>
      </c>
    </row>
    <row r="13972">
      <c r="A13972" t="inlineStr">
        <is>
          <t>Stuff 1</t>
        </is>
      </c>
      <c r="B13972">
        <f>HYPERLINK("https://www.dofusbook.net/fr/equipement/148707-stuff-1/objets", "link")</f>
        <v/>
      </c>
      <c r="C13972" t="n">
        <v>1</v>
      </c>
      <c r="D13972" t="inlineStr">
        <is>
          <t>Arc Nécrotique; Talisman Igans; Grésilanneau; Alliance du Lévitrof; Slip du Roi de Bonta; Coiffe du Lévitrof; Voilamibe; Pataugastrique; Dofus Pourpre; Vigoureux majeur; Observateur; Nomade; Robuste majeur; Remueur; Kramkram</t>
        </is>
      </c>
    </row>
    <row r="13973">
      <c r="A13973" t="inlineStr">
        <is>
          <t>Stuff 2</t>
        </is>
      </c>
      <c r="B13973">
        <f>HYPERLINK("https://www.dofusbook.net/fr/equipement/148702-stuff-2/objets", "link")</f>
        <v/>
      </c>
      <c r="C13973" t="n">
        <v>0</v>
      </c>
      <c r="D13973" t="inlineStr">
        <is>
          <t>Arc du Chalœil; Amulette du Strigide; Anneau Chevelu; Pikano; Ceinture de la Reine des Voleurs; Coiffe de la Reine des Voleurs; Voile d'encre; Baleinabottes; Dofus Turquoise; Dofus des Glaces; Dofus Pourpre; Remueur; Enragé majeur; Nomade; Kramkram</t>
        </is>
      </c>
    </row>
    <row r="13974">
      <c r="A13974" t="inlineStr">
        <is>
          <t>Stuff 1</t>
        </is>
      </c>
      <c r="B13974">
        <f>HYPERLINK("https://www.dofusbook.net/fr/equipement/148737-stuff-1/objets", "link")</f>
        <v/>
      </c>
      <c r="C13974" t="n">
        <v>1</v>
      </c>
      <c r="D13974" t="inlineStr">
        <is>
          <t>Masse Ossiale; Amulette de Pol Ouatnos; Grésilanneau; Alliance du Lévitrof; Ceinture de Kongoku; Chapeau Lisson; Cape des Justiciers; Bottes du Lévitrof; Dofus Pourpre; Robuste majeur; Vigoureux majeur; Sanguinaire majeur; Nomade; Remueur; Kramkram</t>
        </is>
      </c>
    </row>
    <row r="13975">
      <c r="A13975" t="inlineStr">
        <is>
          <t>Stuff 2</t>
        </is>
      </c>
      <c r="B13975">
        <f>HYPERLINK("https://www.dofusbook.net/fr/equipement/148753-stuff-2/objets", "link")</f>
        <v/>
      </c>
      <c r="C13975" t="n">
        <v>0</v>
      </c>
      <c r="D13975" t="inlineStr">
        <is>
          <t>Marteau des égarés; Amulette du Strigide; Pikano; Bague Gloursonne; Ceintacé; Chapeau Lisson; Cape du Chalœil; Bottes du Chalœil; Dofus Turquoise; Dofus des Glaces; Dofus Pourpre; Dolmanax; Remueur; Nomade; Kramkram</t>
        </is>
      </c>
    </row>
    <row r="13976">
      <c r="A13976" t="inlineStr">
        <is>
          <t>Stuff 3</t>
        </is>
      </c>
      <c r="B13976">
        <f>HYPERLINK("https://www.dofusbook.net/fr/equipement/148748-stuff-3/objets", "link")</f>
        <v/>
      </c>
      <c r="C13976" t="n">
        <v>2</v>
      </c>
      <c r="D13976" t="inlineStr">
        <is>
          <t>Epée Gloursonne; Amulette du Nocturlabe; Bague Gloursonne; Alliance Gloursonne; Ceinture du Nocturlabe; Coiffe de la Fuji Givrefoux; Cape de la Fuji Givrefoux; Bottes du Nocturlabe; Dokoko; Dofus Ocre; Dofus des Glaces; Dofus Turquoise; Dolmanax; Dofus Pourpre; Kramkram</t>
        </is>
      </c>
    </row>
    <row r="13977">
      <c r="A13977" t="inlineStr">
        <is>
          <t>Stuff 2</t>
        </is>
      </c>
      <c r="B13977">
        <f>HYPERLINK("https://www.dofusbook.net/fr/equipement/148708-stuff-2/objets", "link")</f>
        <v/>
      </c>
      <c r="C13977" t="n">
        <v>1</v>
      </c>
      <c r="D13977" t="inlineStr">
        <is>
          <t>Dagues Érhy; Amulette du Strigide; Bracelet du Piloztère; Bague Gloursonne; Ceinture de Gein; Chapeau de Gein; Cape des Justiciers; Bottes du Cycloïde; Dofus Pourpre; Dofus Turquoise; Miraculé majeur; Vigoureux majeur; Nomade; Remueur; Kramkram</t>
        </is>
      </c>
    </row>
    <row r="13978">
      <c r="A13978" t="inlineStr">
        <is>
          <t>Stuff 1</t>
        </is>
      </c>
      <c r="B13978">
        <f>HYPERLINK("https://www.dofusbook.net/fr/equipement/148743-stuff-1/objets", "link")</f>
        <v/>
      </c>
      <c r="C13978" t="n">
        <v>1</v>
      </c>
      <c r="D13978" t="inlineStr">
        <is>
          <t>Arc Nécrotique; Talisman Igans; Grésilanneau; Anneau Cryochrone; Ceintrigue; Chapeau Lisson; Cape Matelassée; Getas Bernacle; Dofus Pourpre; Observateur; Remueur; Vigoureux majeur; Miraculé majeur; Nomade; Kramkram</t>
        </is>
      </c>
    </row>
    <row r="13979">
      <c r="A13979" t="inlineStr">
        <is>
          <t>Stuff 3</t>
        </is>
      </c>
      <c r="B13979">
        <f>HYPERLINK("https://www.dofusbook.net/fr/equipement/148703-stuff-3/objets", "link")</f>
        <v/>
      </c>
      <c r="C13979" t="n">
        <v>0</v>
      </c>
      <c r="D13979" t="inlineStr">
        <is>
          <t>Dagues Érhy; Amulette du Strigide; Bague Gloursonne; Chevalière du Roi Joueur; Ceinture du Strigide; Chapeau de Gein; Cape du Professeur Xa; Bottes du Cycloïde; Dofus Pourpre; Dofus Turquoise; Remueur; Vigoureux majeur; Turbulent; Nomade; Kramkram</t>
        </is>
      </c>
    </row>
    <row r="13980">
      <c r="A13980" t="inlineStr">
        <is>
          <t>Stuff 2</t>
        </is>
      </c>
      <c r="B13980">
        <f>HYPERLINK("https://www.dofusbook.net/fr/equipement/148738-stuff-2/objets", "link")</f>
        <v/>
      </c>
      <c r="C13980" t="n">
        <v>0</v>
      </c>
      <c r="D13980" t="inlineStr">
        <is>
          <t>Marteau des Anciens Steamers; Amulette Voldelor; Anneau Tique; Alliance Gloursonne; Ceinture Voldelor; Chapeau Lisson; Cape Matelassée; Bottes de la Reine des Voleurs; Dofus Pourpre; Vigoureux majeur; Remueur; Cavaleur majeur; Évasif majeur; Nomade; Croum</t>
        </is>
      </c>
    </row>
    <row r="13981">
      <c r="A13981" t="inlineStr">
        <is>
          <t>Stuff 1</t>
        </is>
      </c>
      <c r="B13981">
        <f>HYPERLINK("https://www.dofusbook.net/fr/equipement/148698-stuff-1/objets", "link")</f>
        <v/>
      </c>
      <c r="C13981" t="n">
        <v>0</v>
      </c>
      <c r="D13981" t="inlineStr">
        <is>
          <t>Arc du Chalœil; Amulette du Strigide; Anneau du Comte Harebourg; Anneau Chevelu; Ceintacé; Casque de Missiz Frizz; Cape au Logis; Bottes du Comte Harebourg; Dofus Turquoise; Dofus Pourpre; Nomade; Enragé majeur; Vigoureux majeur; Remueur; Kramkram</t>
        </is>
      </c>
    </row>
    <row r="13982">
      <c r="A13982" t="inlineStr">
        <is>
          <t>Stuff 3</t>
        </is>
      </c>
      <c r="B13982">
        <f>HYPERLINK("https://www.dofusbook.net/fr/equipement/148766-stuff-3/objets", "link")</f>
        <v/>
      </c>
      <c r="C13982" t="n">
        <v>0</v>
      </c>
      <c r="D13982" t="inlineStr">
        <is>
          <t>Epée Gloursonne; Amulette de l'Indicible; Bague Gloursonne; Alliance Gloursonne; Ceinture de l'Indicible; Casque du Chalœil; Cape du Chalœil; Bottes du Chalœil; Dolmanax; Dofus Turquoise; Dofus des Glaces; Dofus Émeraude; Dofus Ocre; Dofus Pourpre</t>
        </is>
      </c>
    </row>
    <row r="13983">
      <c r="A13983" t="inlineStr">
        <is>
          <t>Stuff 2</t>
        </is>
      </c>
      <c r="B13983">
        <f>HYPERLINK("https://www.dofusbook.net/fr/equipement/148693-stuff-2/objets", "link")</f>
        <v/>
      </c>
      <c r="C13983" t="n">
        <v>4</v>
      </c>
      <c r="D13983" t="inlineStr">
        <is>
          <t>Pelle de la Cour Sombre; Collier du Valet Veinard; Alliance Gloursonne; Gant du Valet Veinard; Ceinture du Barbétoal; Dorabysses; Cape Matelassée; Pantoufles Émar; Dofus des Glaces; Dofus Pourpre; Cascadeur majeur; Nomade; Remueur; Miraculé majeur; Kramkram</t>
        </is>
      </c>
    </row>
    <row r="13984">
      <c r="A13984" t="inlineStr">
        <is>
          <t>Stuff 1</t>
        </is>
      </c>
      <c r="B13984">
        <f>HYPERLINK("https://www.dofusbook.net/fr/equipement/148725-stuff-1/objets", "link")</f>
        <v/>
      </c>
      <c r="C13984" t="n">
        <v>0</v>
      </c>
      <c r="D13984" t="inlineStr">
        <is>
          <t>Arc Hétype; Amulette de Nileza; Gelano; Anneau Tique; Ceinture de Gein; Coiffe Séculaire; Cape de Nileza; Bottes d'Otomaï; Dokoko; Dofus Ocre; Érudit majeur; Nomade; Miraculé majeur; Remueur; Kramkram</t>
        </is>
      </c>
    </row>
    <row r="13985">
      <c r="A13985" t="inlineStr">
        <is>
          <t>Stuff 2</t>
        </is>
      </c>
      <c r="B13985">
        <f>HYPERLINK("https://www.dofusbook.net/fr/equipement/148720-stuff-2/objets", "link")</f>
        <v/>
      </c>
      <c r="C13985" t="n">
        <v>0</v>
      </c>
      <c r="D13985" t="inlineStr">
        <is>
          <t>Dagues Érhy; Amulette du Strigide; Bague Gloursonne; Anneau Chevelu; Ceinture du Strigide; Casque de Missiz Frizz; Cape du Professeur Xa; Bottes du Cycloïde; Dofus Turquoise; Dofus Pourpre; Nomade; Vigoureux majeur; Remueur; Turbulent; Kramkram</t>
        </is>
      </c>
    </row>
    <row r="13986">
      <c r="A13986" t="inlineStr">
        <is>
          <t>Stuff 1</t>
        </is>
      </c>
      <c r="B13986">
        <f>HYPERLINK("https://www.dofusbook.net/fr/equipement/148755-stuff-1/objets", "link")</f>
        <v/>
      </c>
      <c r="C13986" t="n">
        <v>0</v>
      </c>
      <c r="D13986" t="inlineStr">
        <is>
          <t>Sabres d'Atcham; Amulette du Strigide; Anneau de Padgref; Anneau de Pol Ouatnos; Ceinture du Strigide; Coiffe de Padgref; Cape d'Atcham; Sandales  d'Atcham; Dofus des Glaces; Dofus Ocre; Dolmanax; Dofus Pourpre; Dofus Turquoise; Kramkram</t>
        </is>
      </c>
    </row>
    <row r="13987">
      <c r="A13987" t="inlineStr">
        <is>
          <t>Stuff 2</t>
        </is>
      </c>
      <c r="B13987">
        <f>HYPERLINK("https://www.dofusbook.net/fr/equipement/148678-stuff-2/objets", "link")</f>
        <v/>
      </c>
      <c r="C13987" t="n">
        <v>1</v>
      </c>
      <c r="D13987" t="inlineStr">
        <is>
          <t>Dagues de Srambad; Amulette de Pol Ouatnos; Alliance du Lévitrof; Bracelet du Piloztère; Ceinture de la Reine des Voleurs; Chapeau Lisson; Cape des Justiciers; Pantoufles du Piloztère; Dofus Pourpre; Miraculé majeur; Robuste majeur; Nomade; Remueur; Vigoureux majeur; Kramkram</t>
        </is>
      </c>
    </row>
    <row r="13988">
      <c r="A13988" t="inlineStr">
        <is>
          <t>Stuff 3</t>
        </is>
      </c>
      <c r="B13988">
        <f>HYPERLINK("https://www.dofusbook.net/fr/equipement/148685-stuff-3/objets", "link")</f>
        <v/>
      </c>
      <c r="C13988" t="n">
        <v>0</v>
      </c>
      <c r="D13988" t="inlineStr">
        <is>
          <t>Arc Nécrotique; Talisman Igans; Anneau Tique; Bracelet des Fonds marins; Ceintacé; Chapeau des Malveilleurs; Cape de la Dame du Hasard; Bottes de la Dame du Hasard; Dofus Turquoise; Dofus des Glaces; Dofus Pourpre; Nomade; Remueur; Observateur; Kramkram</t>
        </is>
      </c>
    </row>
    <row r="13989">
      <c r="A13989" t="inlineStr">
        <is>
          <t>Stuff 1</t>
        </is>
      </c>
      <c r="B13989">
        <f>HYPERLINK("https://www.dofusbook.net/fr/equipement/148683-stuff-1/objets", "link")</f>
        <v/>
      </c>
      <c r="C13989" t="n">
        <v>0</v>
      </c>
      <c r="D13989" t="inlineStr">
        <is>
          <t>Masse Ossiale; Talisman Igans; Anneau Tique; Alliance Gloursonne; Ceintrigue; Casqnoar; Voilamibe; Pataugastrique; Dofus des Glaces; Dofus Pourpre; Remueur; Déserteur majeur; Vigoureux majeur; Nomade; Kramkram</t>
        </is>
      </c>
    </row>
    <row r="13990">
      <c r="A13990" t="inlineStr">
        <is>
          <t>Stuff 2</t>
        </is>
      </c>
      <c r="B13990">
        <f>HYPERLINK("https://www.dofusbook.net/fr/equipement/148678-stuff-2/objets", "link")</f>
        <v/>
      </c>
      <c r="C13990" t="n">
        <v>1</v>
      </c>
      <c r="D13990" t="inlineStr">
        <is>
          <t>Dagues de Srambad; Amulette de Pol Ouatnos; Bracelet du Piloztère; Alliance du Lévitrof; Ceinture de la Reine des Voleurs; Chapeau Lisson; Cape des Justiciers; Pantoufles du Piloztère; Dofus Pourpre; Nomade; Remueur; Vigoureux majeur; Miraculé majeur; Robuste majeur; Kramkram</t>
        </is>
      </c>
    </row>
    <row r="13991">
      <c r="A13991" t="inlineStr">
        <is>
          <t>Stuff 3</t>
        </is>
      </c>
      <c r="B13991">
        <f>HYPERLINK("https://www.dofusbook.net/fr/equipement/148685-stuff-3/objets", "link")</f>
        <v/>
      </c>
      <c r="C13991" t="n">
        <v>0</v>
      </c>
      <c r="D13991" t="inlineStr">
        <is>
          <t>Arc Nécrotique; Talisman Igans; Bracelet des Fonds marins; Anneau Tique; Ceintacé; Chapeau des Malveilleurs; Cape de la Dame du Hasard; Bottes de la Dame du Hasard; Dofus des Glaces; Dofus Pourpre; Dofus Turquoise; Remueur; Observateur; Nomade; Kramkram</t>
        </is>
      </c>
    </row>
    <row r="13992">
      <c r="A13992" t="inlineStr">
        <is>
          <t>Stuff 1</t>
        </is>
      </c>
      <c r="B13992">
        <f>HYPERLINK("https://www.dofusbook.net/fr/equipement/148677-stuff-1/objets", "link")</f>
        <v/>
      </c>
      <c r="C13992" t="n">
        <v>0</v>
      </c>
      <c r="D13992" t="inlineStr">
        <is>
          <t>Epée Gloursonne; Amulette du Strigide; Alliance Gloursonne; Bague Gloursonne; Ceinture de Kongoku; Boucle d'oreille de Kongoku; Cape de Kongoku; Bottes du Strigide; Dofus Turquoise; Dofus Ocre; Dofus des Glaces; Dofus Émeraude; Dofus Pourpre; Puissant majeur</t>
        </is>
      </c>
    </row>
    <row r="13993">
      <c r="A13993" t="inlineStr">
        <is>
          <t>Stuff 1</t>
        </is>
      </c>
      <c r="B13993">
        <f>HYPERLINK("https://www.dofusbook.net/fr/equipement/148689-stuff-1/objets", "link")</f>
        <v/>
      </c>
      <c r="C13993" t="n">
        <v>0</v>
      </c>
      <c r="D13993" t="inlineStr">
        <is>
          <t>Dagues de Srambad; Amulette de Pol Ouatnos; Bracelet du Piloztère; Pikano; Ceinture de la Reine des Voleurs; Chapeau Lisson; Cape des Justiciers; Pantoufles du Piloztère; Dofus Pourpre; Vigoureux majeur; Robuste majeur; Remueur; Temporiseur majeur; Nomade; Kramkram</t>
        </is>
      </c>
    </row>
    <row r="13994">
      <c r="A13994" t="inlineStr">
        <is>
          <t>Air-Eau</t>
        </is>
      </c>
      <c r="B13994">
        <f>HYPERLINK("https://www.dofusbook.net/fr/equipement/1035208-air-eau/objets", "link")</f>
        <v/>
      </c>
      <c r="C13994" t="n">
        <v>0</v>
      </c>
      <c r="D13994" t="inlineStr">
        <is>
          <t>Amulette Voldelor; Ceinture Voldelor; Bottes Voldelor</t>
        </is>
      </c>
    </row>
    <row r="13995">
      <c r="A13995" t="inlineStr">
        <is>
          <t>Stuff 2</t>
        </is>
      </c>
      <c r="B13995">
        <f>HYPERLINK("https://www.dofusbook.net/fr/equipement/1035198-stuff-2/objets", "link")</f>
        <v/>
      </c>
      <c r="C13995" t="n">
        <v>0</v>
      </c>
      <c r="D13995" t="inlineStr">
        <is>
          <t>Manthache; Collier du Valet Veinard; Alliance Gloursonne; Gant du Valet Veinard; Menoture; Couronne d'Allister; Cape Indescriptible; Palmes Trithons; Dolmanax; Dofus Pourpre; Dofus Émeraude; Remueur; Cascadeur majeur; Nomade; Kramkram</t>
        </is>
      </c>
    </row>
    <row r="13996">
      <c r="A13996" t="inlineStr">
        <is>
          <t>Stuff 1</t>
        </is>
      </c>
      <c r="B13996">
        <f>HYPERLINK("https://www.dofusbook.net/fr/equipement/1035196-stuff-1/objets", "link")</f>
        <v/>
      </c>
      <c r="C13996" t="n">
        <v>1</v>
      </c>
      <c r="D13996" t="inlineStr">
        <is>
          <t>Arc Hétype; Amulette de Gein; Bague Gloursonne; Anneau de Brouce; Ceinture de Vortex; Chapeau de Gein; Voile d'encre; Bottes Dogues; Dolmanax; Dofus Ocre; Érudit majeur; Vigoureux majeur; Enragé majeur; Remueur; Kramkram</t>
        </is>
      </c>
    </row>
    <row r="13997">
      <c r="A13997" t="inlineStr">
        <is>
          <t>Stuff 2</t>
        </is>
      </c>
      <c r="B13997">
        <f>HYPERLINK("https://www.dofusbook.net/fr/equipement/1035197-stuff-2/objets", "link")</f>
        <v/>
      </c>
      <c r="C13997" t="n">
        <v>1</v>
      </c>
      <c r="D13997" t="inlineStr">
        <is>
          <t>Sabres d'Atcham; Pendentif mignon de Koutoulou; Anneau Rifique; Kralano; Ceinture de Vortex; Casque Cyclopéen; Cape d'Atcham; Sandales  d'Atcham; Dofus Émeraude; Dofus Ocre; Dofus Pourpre; Dofus Turquoise; Dolmanax; Puissant majeur; Dragodinde Prune et Emeraude</t>
        </is>
      </c>
    </row>
    <row r="13998">
      <c r="A13998" t="inlineStr">
        <is>
          <t>God-Set</t>
        </is>
      </c>
      <c r="B13998">
        <f>HYPERLINK("https://www.dofusbook.net/fr/equipement/3170382-god-set/objets", "link")</f>
        <v/>
      </c>
      <c r="C13998" t="n">
        <v>3</v>
      </c>
      <c r="D13998" t="inlineStr">
        <is>
          <t>Épée du Granduk; Amulette du Granduk; Anneau de XLII; Alliance Gloursonne; Sept ans de malheur; Ceinture de XLII; Masque du Granduk; Cape de Crânonier; Bottes de XLII; Dofus Cawotte; Dofus Abyssal; Dofus Émeraude; Dofus Ivoire; Dofus Ocre; Dofus Forgelave; Muldo Indigo et Orchidée</t>
        </is>
      </c>
    </row>
    <row r="13999">
      <c r="A13999" t="inlineStr">
        <is>
          <t>Stuff 2</t>
        </is>
      </c>
      <c r="B13999">
        <f>HYPERLINK("https://www.dofusbook.net/fr/equipement/128790-stuff-2/objets", "link")</f>
        <v/>
      </c>
      <c r="C13999" t="n">
        <v>7</v>
      </c>
      <c r="D13999" t="inlineStr">
        <is>
          <t>La Baguette des Limbes; Amulette Séculaire; Anneau Tamie; Anneau Tamie; Quatre-feuilles; Ceinture Séculaire; Masque Vaudou Ark; Cape Reski; Pataugastrique; Dofus Turquoise; Érudit majeur; Remueur; Vigoureux majeur; Nomade; Astucieux majeur; Bisouglours</t>
        </is>
      </c>
    </row>
    <row r="14000">
      <c r="A14000" t="inlineStr">
        <is>
          <t>daguesram</t>
        </is>
      </c>
      <c r="B14000">
        <f>HYPERLINK("https://www.dofusbook.net/fr/equipement/1286722-daguesram/objets", "link")</f>
        <v/>
      </c>
      <c r="C14000" t="n">
        <v>1</v>
      </c>
      <c r="D14000" t="inlineStr">
        <is>
          <t>Arc corrompu; Amulette Volkorne; Anneauræus; Anneauræus; Bouclier du Stalak; Ceinture Séculaire; Coiffe Séculaire; Cape de Diondin; Pataugastrique; Dofus Turquoise; Dofus Pourpre; Dofus Ébène; Nomade; Vigoureux majeur; Érudit majeur; Pioute rouge</t>
        </is>
      </c>
    </row>
    <row r="14001">
      <c r="A14001" t="inlineStr">
        <is>
          <t>dws</t>
        </is>
      </c>
      <c r="B14001">
        <f>HYPERLINK("https://www.dofusbook.net/fr/equipement/1906544-dws/objets", "link")</f>
        <v/>
      </c>
      <c r="C14001" t="n">
        <v>0</v>
      </c>
      <c r="D14001" t="inlineStr">
        <is>
          <t>Arc corrompu; Amulette de Nileza; Anneauræus; Anneauræus; Bouclier du Stalak; Croture; Heaume Oplate; Cape de Nileza; Bottes Innommables; Dofus Pourpre; Dofus Abyssal; Dofus Ébène; Nomade; Remueur; Érudit majeur; Dragodinde Ivoire et Orchidée</t>
        </is>
      </c>
    </row>
    <row r="14002">
      <c r="A14002" t="inlineStr">
        <is>
          <t>Badro</t>
        </is>
      </c>
      <c r="B14002">
        <f>HYPERLINK("https://www.dofusbook.net/fr/equipement/2856717-badro/objets", "link")</f>
        <v/>
      </c>
      <c r="C14002" t="n">
        <v>1</v>
      </c>
      <c r="D14002" t="inlineStr">
        <is>
          <t>Sabres d'Atcham; Amulette du Strigide; Alliance Gloursonne; Anneau Volkorne; Bouclier du Captain Amakna; Ceinture du Strigide; Casque Volkorne; Cape d'Atcham; Sandales  d'Atcham; Dofus Ocre; Dofus des Glaces; Dofus Pourpre; Dofus Nébuleux; Dofus Turquoise; Dofus Ébène; Muldo Ebène et Emeraude</t>
        </is>
      </c>
    </row>
    <row r="14003">
      <c r="A14003" t="inlineStr">
        <is>
          <t>Stuff 3</t>
        </is>
      </c>
      <c r="B14003">
        <f>HYPERLINK("https://www.dofusbook.net/fr/equipement/128770-stuff-3/objets", "link")</f>
        <v/>
      </c>
      <c r="C14003" t="n">
        <v>17</v>
      </c>
      <c r="D14003" t="inlineStr">
        <is>
          <t>Lav'Hache; Amulette du Strigide; Anneau Crustique; Bague Trithon; Bouclier d'Ilyzaelle; Ceinture Gence; Masque de Koutoulou; Cape au Logis; Bottes du Strigide; Dofus Abyssal; Dofus Ébène; Dofus Ivoire; Culbuteur majeur; Bousculeur majeur; Enragé majeur; Black Tiwabbit</t>
        </is>
      </c>
    </row>
    <row r="14004">
      <c r="A14004" t="inlineStr">
        <is>
          <t>teragi</t>
        </is>
      </c>
      <c r="B14004">
        <f>HYPERLINK("https://www.dofusbook.net/fr/equipement/2146076-teragi/objets", "link")</f>
        <v/>
      </c>
      <c r="C14004" t="n">
        <v>5</v>
      </c>
      <c r="D14004" t="inlineStr">
        <is>
          <t>Arc du Chalœil; Collier de Tourthon; Anneau Volkorne; Anneau Crustique; Bouclier d'Ilyzaelle; Ceinture Volkorne; Corne de Torkélonia; Cape au Logis; Sabots Minables; Dofus Pourpre; Dofus Ocre; Dofus Émeraude; Dofus Ivoire; Dofus Ébène; Enragé majeur; Dragodinde Ivoire et Pourpre</t>
        </is>
      </c>
    </row>
    <row r="14005">
      <c r="A14005" t="inlineStr">
        <is>
          <t>eni multi</t>
        </is>
      </c>
      <c r="B14005">
        <f>HYPERLINK("https://www.dofusbook.net/fr/equipement/1617303-eni-multi/objets", "link")</f>
        <v/>
      </c>
      <c r="C14005" t="n">
        <v>1</v>
      </c>
      <c r="D14005" t="inlineStr">
        <is>
          <t>Arc corrompu; Amulette Volkorne; Anneauræus; Anneauræus; Bouclier du Stalak; Ceinture Séculaire; Coiffe Séculaire; Cape de Diondin; Pataugastrique; Dofus des Glaces; Dofus Ébène; Dofus Ivoire; Dofus Abyssal; Érudit majeur; Nomade; Bisouglours</t>
        </is>
      </c>
    </row>
    <row r="14006">
      <c r="A14006" t="inlineStr">
        <is>
          <t>maitrepolat</t>
        </is>
      </c>
      <c r="B14006">
        <f>HYPERLINK("https://www.dofusbook.net/fr/equipement/1384578-maitrepolat/objets", "link")</f>
        <v/>
      </c>
      <c r="C14006" t="n">
        <v>0</v>
      </c>
      <c r="D14006" t="inlineStr">
        <is>
          <t>Arc du Chalœil; Amulette du Strigide; Bague Trithon; Anneau Crustique; Quatre-feuilles; Ceinture du Strigide; Masque Trithon; Cape du Cœur Saignant; Bottes du Cœur Saignant; Dofus Pourpre; Dofus des Glaces; Dofus Ivoire; Dofus Turquoise; Dofus Ébène; Dofus Ocre; Sakochère</t>
        </is>
      </c>
    </row>
    <row r="14007">
      <c r="A14007" t="inlineStr">
        <is>
          <t>full eau ret vita</t>
        </is>
      </c>
      <c r="B14007">
        <f>HYPERLINK("https://www.dofusbook.net/fr/equipement/1271077-full-eau-ret-vita/objets", "link")</f>
        <v/>
      </c>
      <c r="C14007" t="n">
        <v>1</v>
      </c>
      <c r="D14007" t="inlineStr">
        <is>
          <t>Arc de Koutoulou; Amulette du Strigide; Anneau Volkorne; Alliance Gloursonne; Quatre-feuilles; Ceinture du Strigide; Casque Volkorne; Chevelure de Tal Kasha; Sandales de Tal Kasha; Dofus Ocre; Dofus Turquoise; Dofus Ivoire; Dofus Ébène; Dofus Pourpre; Dofus Abyssal; Sakochère</t>
        </is>
      </c>
    </row>
    <row r="14008">
      <c r="A14008" t="inlineStr">
        <is>
          <t>erop</t>
        </is>
      </c>
      <c r="B14008">
        <f>HYPERLINK("https://www.dofusbook.net/fr/equipement/2118362-erop/objets", "link")</f>
        <v/>
      </c>
      <c r="C14008" t="n">
        <v>1</v>
      </c>
      <c r="D14008" t="inlineStr">
        <is>
          <t>Lav'Hache; Collier de Tourthon; Anneau Crustique; Anneau Crustique; Bouclier d'Ilyzaelle; Ceinture Volkorne; Masque de Koutoulou; Cape de la Cour Sombre; Bottes de la Cour Sombre; Dofus Ébène; Dofus Pourpre; Étourdisseur majeur; Enragé majeur; Remueur; Nomade; Drakopin</t>
        </is>
      </c>
    </row>
    <row r="14009">
      <c r="A14009" t="inlineStr">
        <is>
          <t>maxfuit</t>
        </is>
      </c>
      <c r="B14009">
        <f>HYPERLINK("https://www.dofusbook.net/fr/equipement/2448180-maxfuit/objets", "link")</f>
        <v/>
      </c>
      <c r="C14009" t="n">
        <v>3</v>
      </c>
      <c r="D14009" t="inlineStr">
        <is>
          <t>Arc du Chalœil; Amulette du Cœur Saignant; Anneau Chevelu; Chevalière du Roi Joueur; Quatre-feuilles; Ceinture Volkorne; Couronne du Roi Joueur; Cape du Cœur Saignant; Bottes du Cœur Saignant; Dofus Turquoise; Dofus Ébène; Dofus Ocre; Dofus Ivoire; Dofus Pourpre; Dofus Abyssal; Sakochère</t>
        </is>
      </c>
    </row>
    <row r="14010">
      <c r="A14010" t="inlineStr">
        <is>
          <t>douzsis</t>
        </is>
      </c>
      <c r="B14010">
        <f>HYPERLINK("https://www.dofusbook.net/fr/equipement/466681-douzsis/objets", "link")</f>
        <v/>
      </c>
      <c r="C14010" t="n">
        <v>2</v>
      </c>
      <c r="D14010" t="inlineStr">
        <is>
          <t>Arc Nécrotique; Amulette du Strigide; Anneau Toriété; Alliance Gloursonne; Quatre-feuilles; Ceinture du Strigide; Capuche de l'Œil Putride; Cape de la Dame du Hasard; Bottes de la Dame du Hasard; Dofus Ébène; Dofus Pourpre; Dofus Turquoise; Dofus Ocre; Dofus des Glaces; Dofus Ivoire; Sakochère</t>
        </is>
      </c>
    </row>
    <row r="14011">
      <c r="A14011" t="inlineStr">
        <is>
          <t>Enu cancer I</t>
        </is>
      </c>
      <c r="B14011">
        <f>HYPERLINK("https://www.dofusbook.net/fr/equipement/5807771-enu-cancer-i/objets", "link")</f>
        <v/>
      </c>
      <c r="C14011" t="n">
        <v>10</v>
      </c>
      <c r="D14011" t="inlineStr">
        <is>
          <t>Arc corrompu; Amulette Volkorne; Anneau Toriété; Alliance Gloursonne; Cadran de Terre; Ceinture de Vortex; Casque Volkorne; Cape Martegel; Pataugastrique; Dofus Pourpre; Dofus Abyssal; Dofus Ivoire; Dofus Ébène; Temporiseur majeur; Étourdisseur majeur; Volkorne Ivoire et Turquoise</t>
        </is>
      </c>
    </row>
    <row r="14012">
      <c r="A14012" t="inlineStr">
        <is>
          <t>Stuff 3</t>
        </is>
      </c>
      <c r="B14012">
        <f>HYPERLINK("https://www.dofusbook.net/fr/equipement/128793-stuff-3/objets", "link")</f>
        <v/>
      </c>
      <c r="C14012" t="n">
        <v>2</v>
      </c>
      <c r="D14012" t="inlineStr">
        <is>
          <t>Sceptre du Roi Joueur; Amulette de Shokkoth; Anneau Volkorne; Alliance Gloursonne; Bouclier du Stalak; Pagne du Rykaon; Casque Volkorne; Cape de l'Œil Attentif; Pataugastrique; Dofus Ocre; Dofus Turquoise; Dofus Pourpre; Dofus Abyssal; Chanceux majeur; Kanigloups</t>
        </is>
      </c>
    </row>
    <row r="14013">
      <c r="A14013" t="inlineStr">
        <is>
          <t>terre</t>
        </is>
      </c>
      <c r="B14013">
        <f>HYPERLINK("https://www.dofusbook.net/fr/equipement/2291087-terre/objets", "link")</f>
        <v/>
      </c>
      <c r="C14013" t="n">
        <v>4</v>
      </c>
      <c r="D14013" t="inlineStr">
        <is>
          <t>Marteau R'ture; Amulette du Cœur Saignant; Anneau Chevelu; Anneau Volkorne; Bouclier d'Ilyzaelle; Ceinture Volkorne; Masque de Koutoulou; Cape au Logis; Bottes du Cœur Saignant; Dofus Abyssal; Dofus Ébène; Dofus Ocre; Dofus Pourpre; Dofus Ivoire; Dofus des Glaces; Dragodinde Dorée et Pourpre</t>
        </is>
      </c>
    </row>
    <row r="14014">
      <c r="A14014" t="inlineStr">
        <is>
          <t>pvpm</t>
        </is>
      </c>
      <c r="B14014">
        <f>HYPERLINK("https://www.dofusbook.net/fr/equipement/1462715-pvpm/objets", "link")</f>
        <v/>
      </c>
      <c r="C14014" t="n">
        <v>0</v>
      </c>
      <c r="D14014" t="inlineStr">
        <is>
          <t>Manthache; Collier du Valet Veinard; Alliance Gloursonne; Gant du Valet Veinard; Cadran d'Air; Menoture; Casque d'Ilyzaelle; Cape Martegel; Palmes Trithons; Dofus Ivoire; Dofus Ébène; Dofus Pourpre; Dofus Ocre; Cascadeur majeur; Equilibriste majeur; Blérodoudou</t>
        </is>
      </c>
    </row>
    <row r="14015">
      <c r="A14015" t="inlineStr">
        <is>
          <t>batonique</t>
        </is>
      </c>
      <c r="B14015">
        <f>HYPERLINK("https://www.dofusbook.net/fr/equipement/2669793-batonique/objets", "link")</f>
        <v/>
      </c>
      <c r="C14015" t="n">
        <v>5</v>
      </c>
      <c r="D14015" t="inlineStr">
        <is>
          <t>Marteau R'ture; Collier de Tourthon; Anneau Crustique; Anneau Volkorne; Bouclier d'Ilyzaelle; Ceinture Volkorne; Masque de Koutoulou; Cape au Logis; Bottes du Cœur Saignant; Dofus Ébène; Dofus Ivoire; Dofus Ocre; Dofus Pourpre; Dofus Abyssal; Enragé majeur; Dragodinde Ivoire et Pourpre</t>
        </is>
      </c>
    </row>
    <row r="14016">
      <c r="A14016" t="inlineStr">
        <is>
          <t>feu eau</t>
        </is>
      </c>
      <c r="B14016">
        <f>HYPERLINK("https://www.dofusbook.net/fr/equipement/2217664-feu-eau/objets", "link")</f>
        <v/>
      </c>
      <c r="C14016" t="n">
        <v>1</v>
      </c>
      <c r="D14016" t="inlineStr">
        <is>
          <t>Arc Nécrotique; Collier de la Dame du Hasard; Bague Trithon; Alliance Gloursonne; Quatre-feuilles; Sangle Ouare; Masque Trithon; Cape de la Dame du Hasard; Bottes de la Dame du Hasard; Dofus Ocre; Dofus Nébuleux; Dofus Pourpre; Dofus des Glaces; Dofus Turquoise; Dofus Ébène; Kokulte</t>
        </is>
      </c>
    </row>
    <row r="14017">
      <c r="A14017" t="inlineStr">
        <is>
          <t>airdo</t>
        </is>
      </c>
      <c r="B14017">
        <f>HYPERLINK("https://www.dofusbook.net/fr/equipement/2333663-airdo/objets", "link")</f>
        <v/>
      </c>
      <c r="C14017" t="n">
        <v>5</v>
      </c>
      <c r="D14017" t="inlineStr">
        <is>
          <t>Plume de Buhorado; Collier du Valet Veinard; Alliance Gloursonne; Gant du Valet Veinard; Cadran d'Air; Menoture; Casque Volkorne; Cape Martegel; Palmes Trithons; Dofus Pourpre; Dofus Abyssal; Dofus Ébène; Dofus Ivoire; Cascadeur majeur; Étourdisseur majeur; Volkorne Rubis et Ivoire</t>
        </is>
      </c>
    </row>
    <row r="14018">
      <c r="A14018" t="inlineStr">
        <is>
          <t>feu</t>
        </is>
      </c>
      <c r="B14018">
        <f>HYPERLINK("https://www.dofusbook.net/fr/equipement/2425170-feu/objets", "link")</f>
        <v/>
      </c>
      <c r="C14018" t="n">
        <v>10</v>
      </c>
      <c r="D14018" t="inlineStr">
        <is>
          <t>Arc corrompu; Amulette Volkorne; Alliance Gloursonne; Anneau Toriété; Cadran de Terre; Ceinture de Vortex; Casque Volkorne; Cape Martegel; Pataugastrique; Dofus Ébène; Dofus Abyssal; Dofus Ocre; Dofus Pourpre; Dofus Ivoire; Étourdisseur majeur; Minimino</t>
        </is>
      </c>
    </row>
    <row r="14019">
      <c r="A14019" t="inlineStr">
        <is>
          <t>Crâ M 200</t>
        </is>
      </c>
      <c r="B14019">
        <f>HYPERLINK("https://www.dofusbook.net/fr/equipement/3775487-cra-m-200/objets", "link")</f>
        <v/>
      </c>
      <c r="C14019" t="n">
        <v>11</v>
      </c>
      <c r="D14019" t="inlineStr">
        <is>
          <t>Harpelle; Amulette Volkorne; Anneau Tamie; Anneau Tamie; Quatre-feuilles; Ceinture Séculaire; Coiffe Séculaire; Cape de Diondin; Pataugastrique; Dofus Pourpre; Dofus Turquoise; Nomade; Vigoureux majeur; Astucieux majeur; Érudit majeur; Brûlih</t>
        </is>
      </c>
    </row>
    <row r="14020">
      <c r="A14020" t="inlineStr">
        <is>
          <t>Stuff 1</t>
        </is>
      </c>
      <c r="B14020">
        <f>HYPERLINK("https://www.dofusbook.net/fr/equipement/128789-stuff-1/objets", "link")</f>
        <v/>
      </c>
      <c r="C14020" t="n">
        <v>5</v>
      </c>
      <c r="D14020" t="inlineStr">
        <is>
          <t>La Baguette des Limbes; Amulette Volkorne; Anneau Tamie; Anneau Tamie; Bouclier du Stalak; Ceinture Séculaire; Coiffe Séculaire; Cape Reski; Pataugastrique; Dofus Pourpre; Dofus Turquoise; Remueur; Érudit majeur; Nomade; Astucieux majeur; Pioute rouge</t>
        </is>
      </c>
    </row>
    <row r="14021">
      <c r="A14021" t="inlineStr">
        <is>
          <t>Ouginak F 200</t>
        </is>
      </c>
      <c r="B14021">
        <f>HYPERLINK("https://www.dofusbook.net/fr/equipement/5663732-ouginak-f-200/objets", "link")</f>
        <v/>
      </c>
      <c r="C14021" t="n">
        <v>2</v>
      </c>
      <c r="D14021" t="inlineStr">
        <is>
          <t>Marteau R'ture; Amulette du Cœur Saignant; Anneau Crustique; Anneau Chevelu; Bouclier d'Ilyzaelle; Ceinture Volkorne; Masque de Koutoulou; Cape au Logis; Bottes du Cœur Saignant; Dofus Abyssal; Dofus Émeraude; Dofus Ivoire; Dofus Turquoise; Enragé majeur; Remueur; Dragodinde Ivoire et Pourpre</t>
        </is>
      </c>
    </row>
    <row r="14022">
      <c r="A14022" t="inlineStr">
        <is>
          <t>Sacrieur F 200</t>
        </is>
      </c>
      <c r="B14022">
        <f>HYPERLINK("https://www.dofusbook.net/fr/equipement/5663474-sacrieur-f-200/objets", "link")</f>
        <v/>
      </c>
      <c r="C14022" t="n">
        <v>0</v>
      </c>
      <c r="D14022" t="inlineStr">
        <is>
          <t>Collier Rophante; Gant du Valet Veinard; Alliance Gloursonne; Bouclier d'Ilyzaelle; Menoture; Masquegel; Cape Martegel; Palmes Trithons</t>
        </is>
      </c>
    </row>
    <row r="14023">
      <c r="A14023" t="inlineStr">
        <is>
          <t>Huppermage F 200</t>
        </is>
      </c>
      <c r="B14023">
        <f>HYPERLINK("https://www.dofusbook.net/fr/equipement/5663188-huppermage-f-200/objets", "link")</f>
        <v/>
      </c>
      <c r="C14023" t="n">
        <v>1</v>
      </c>
      <c r="D14023" t="inlineStr"/>
    </row>
    <row r="14024">
      <c r="A14024" t="inlineStr">
        <is>
          <t>Ouginak F 200</t>
        </is>
      </c>
      <c r="B14024">
        <f>HYPERLINK("https://www.dofusbook.net/fr/equipement/5663050-ouginak-f-200/objets", "link")</f>
        <v/>
      </c>
      <c r="C14024" t="n">
        <v>0</v>
      </c>
      <c r="D14024" t="inlineStr">
        <is>
          <t>Dagues Ricol; Torquistik; Chevalière du Roi Joueur; Baguistik; Bouclier précieux; Croture; Masque Paztek; Cape Paztek; Bottistik; Scarakiri</t>
        </is>
      </c>
    </row>
    <row r="14025">
      <c r="A14025" t="inlineStr">
        <is>
          <t>Ouginak F 200</t>
        </is>
      </c>
      <c r="B14025">
        <f>HYPERLINK("https://www.dofusbook.net/fr/equipement/5660289-ouginak-f-200/objets", "link")</f>
        <v/>
      </c>
      <c r="C14025" t="n">
        <v>0</v>
      </c>
      <c r="D14025" t="inlineStr">
        <is>
          <t>Lance Horselé; Collier du Valet Veinard; Alliance Gloursonne; Gant du Valet Veinard; Bouclier d'Ilyzaelle; Ceinture de la Reine des Voleurs; Coiffe de la Reine des Voleurs; Cape du Valet Veinard; Bottes de la Reine des Voleurs; Dofus Émeraude; Dofus Ivoire; Dofus Ocre; Dofus Abyssal; Dofus Pourpre; Dofus Ébène</t>
        </is>
      </c>
    </row>
    <row r="14026">
      <c r="A14026" t="inlineStr">
        <is>
          <t>Ouginak F 200</t>
        </is>
      </c>
      <c r="B14026">
        <f>HYPERLINK("https://www.dofusbook.net/fr/equipement/5660037-ouginak-f-200/objets", "link")</f>
        <v/>
      </c>
      <c r="C14026" t="n">
        <v>0</v>
      </c>
      <c r="D14026" t="inlineStr">
        <is>
          <t>Arc corrompu; Amulette Volkorne; Chevalière du Roi Joueur; Anneauræus; Bouclier précieux; Croture; Masque Paztek; Cape Paztek; Bottes Innommables; Remueur; Érudit majeur; Bousculeur majeur; Nomade; Culbuteur majeur; Volkorne Roux et Orchidée</t>
        </is>
      </c>
    </row>
    <row r="14027">
      <c r="A14027" t="inlineStr">
        <is>
          <t>Ouginak F 200</t>
        </is>
      </c>
      <c r="B14027">
        <f>HYPERLINK("https://www.dofusbook.net/fr/equipement/5659030-ouginak-f-200/objets", "link")</f>
        <v/>
      </c>
      <c r="C14027" t="n">
        <v>1</v>
      </c>
      <c r="D14027" t="inlineStr">
        <is>
          <t>Marteau R'ture; Amulette du Kamasterisk; Anneau des égarés; Anneau de Brouce; Ceinture de Brouce; Casque des égarés; Cape du Kamasterisk; Bottes de Brouce; Dofus Vulbis; Dofus Émeraude; Dofus Ocre; Dofus Pourpre; Dragodinde Ivoire et Pourpre</t>
        </is>
      </c>
    </row>
    <row r="14028">
      <c r="A14028" t="inlineStr">
        <is>
          <t>Ouginak F 200</t>
        </is>
      </c>
      <c r="B14028">
        <f>HYPERLINK("https://www.dofusbook.net/fr/equipement/5635990-ouginak-f-200/objets", "link")</f>
        <v/>
      </c>
      <c r="C14028" t="n">
        <v>0</v>
      </c>
      <c r="D14028" t="inlineStr">
        <is>
          <t>Dagues d'Ilyzaelle; Amulette du Strigide; Chevalière du Roi Joueur; Anneau Crustique; Bouclier du Captain Amakna; Ceinture du Strigide; Couronne du Roi Joueur; Cape du Cœur Saignant; Bottes du Cœur Saignant; Dofus Turquoise; Dofus des Glaces; Dofus Ivoire; Dofus Abyssal; Pioute vert</t>
        </is>
      </c>
    </row>
    <row r="14029">
      <c r="A14029" t="inlineStr">
        <is>
          <t>necro</t>
        </is>
      </c>
      <c r="B14029">
        <f>HYPERLINK("https://www.dofusbook.net/fr/equipement/2144197-necro/objets", "link")</f>
        <v/>
      </c>
      <c r="C14029" t="n">
        <v>8</v>
      </c>
      <c r="D14029" t="inlineStr">
        <is>
          <t>Lance Horselé; Collier du Valet Veinard; Alliance Gloursonne; Gant du Valet Veinard; Cadran de Terre; Menoture; Casque d'Ilyzaelle; Carapace de Torkélonia; Palmes Trithons; Dofus Ocre; Dofus Abyssal; Dofus Ébène; Dofus Pourpre; Étourdisseur majeur; Cascadeur majeur; Muldo Ebène</t>
        </is>
      </c>
    </row>
    <row r="14030">
      <c r="A14030" t="inlineStr">
        <is>
          <t>modevovo</t>
        </is>
      </c>
      <c r="B14030">
        <f>HYPERLINK("https://www.dofusbook.net/fr/equipement/844967-modevovo/objets", "link")</f>
        <v/>
      </c>
      <c r="C14030" t="n">
        <v>15</v>
      </c>
      <c r="D14030" t="inlineStr">
        <is>
          <t>Rouleau à Pâtisserie d'Aermyne; Talisman Glouti; Anneau de XLII; Anneau Tique; Bouclier d'Anerice; Ceinture de XLII; Masque d'Anerice; Cape d'Anerice; Bottes de XLII; Dofus Ivoire; Dofus Émeraude; Dofus Ocre; Bloqueur majeur; Survivant majeur; Tacleur majeur; Gupin</t>
        </is>
      </c>
    </row>
    <row r="14031">
      <c r="A14031" t="inlineStr">
        <is>
          <t>Stuff 2</t>
        </is>
      </c>
      <c r="B14031">
        <f>HYPERLINK("https://www.dofusbook.net/fr/equipement/128808-stuff-2/objets", "link")</f>
        <v/>
      </c>
      <c r="C14031" t="n">
        <v>8</v>
      </c>
      <c r="D14031" t="inlineStr">
        <is>
          <t>Bêche Asse; Collier de Tourthon; Anneau Volkorne; Anneau de Brouce; Bouclier d'Ilyzaelle; Ceinture Volkorne; Casque Dragoeuf; Cape au Logis; Sabots Minables; Dofus Pourpre; Dofus Émeraude; Enragé majeur; Miraculé majeur; Obstructeur majeur; Remueur</t>
        </is>
      </c>
    </row>
    <row r="14032">
      <c r="A14032" t="inlineStr">
        <is>
          <t>feweaw</t>
        </is>
      </c>
      <c r="B14032">
        <f>HYPERLINK("https://www.dofusbook.net/fr/equipement/2017078-feweaw/objets", "link")</f>
        <v/>
      </c>
      <c r="C14032" t="n">
        <v>8</v>
      </c>
      <c r="D14032" t="inlineStr">
        <is>
          <t>Arc corrompu; Pendentif mignon de Koutoulou; Bague Gloursonne; Anneau Rifique; Cadran de Terre; Ceinture de Vortex; Coiffe Séculaire; Cape Ardente; Pataugastrique; Dofus Abyssal; Dofus Ivoire; Dofus Ébène; Remueur; Étourdisseur majeur; Érudit majeur; Muldo Orchidée</t>
        </is>
      </c>
    </row>
    <row r="14033">
      <c r="A14033" t="inlineStr">
        <is>
          <t>pvp1vs1</t>
        </is>
      </c>
      <c r="B14033">
        <f>HYPERLINK("https://www.dofusbook.net/fr/equipement/319925-pvp1vs1/objets", "link")</f>
        <v/>
      </c>
      <c r="C14033" t="n">
        <v>7</v>
      </c>
      <c r="D14033" t="inlineStr">
        <is>
          <t>Crocobur; Amulette du Cœur Saignant; Anneau Crustique; Anneau Chevelu; Bouclier d'Ilyzaelle; Ceinture Volkorne; Casque Volkorne; Cape du Cœur Saignant; Bottes du Cœur Saignant; Dofus Abyssal; Dofus Émeraude; Dofus Ocre; Dofus Ivoire; Dofus Pourpre; Dofus Ébène; Drakopin</t>
        </is>
      </c>
    </row>
    <row r="14034">
      <c r="A14034" t="inlineStr">
        <is>
          <t>Stuff 2</t>
        </is>
      </c>
      <c r="B14034">
        <f>HYPERLINK("https://www.dofusbook.net/fr/equipement/128769-stuff-2/objets", "link")</f>
        <v/>
      </c>
      <c r="C14034" t="n">
        <v>3</v>
      </c>
      <c r="D14034" t="inlineStr">
        <is>
          <t>Sceptre du Roi Joueur; Amulette de Shokkoth; Anneau Volkorne; Bracelet des Fonds marins; Bouclier du Stalak; Ceinture Volkorne; Masque Paztek; Cape de Jahash Jurgen; Pataugastrique; Dofus Abyssal; Dofus Turquoise; Dofus Ébène; Dofus Ivoire; Dofus Pourpre; Chanceux majeur</t>
        </is>
      </c>
    </row>
    <row r="14035">
      <c r="A14035" t="inlineStr">
        <is>
          <t>Stuff 2</t>
        </is>
      </c>
      <c r="B14035">
        <f>HYPERLINK("https://www.dofusbook.net/fr/equipement/128772-stuff-2/objets", "link")</f>
        <v/>
      </c>
      <c r="C14035" t="n">
        <v>5</v>
      </c>
      <c r="D14035" t="inlineStr">
        <is>
          <t>Karnak; Collier du Valet Veinard; Gant du Valet Veinard; Alliance Gloursonne; Cadran d'Air; Menoture; Casque d'Ilyzaelle; Cape Martegel; Palmes Trithons; Dofus Ivoire; Dofus Émeraude; Dofus Abyssal; Cascadeur majeur; Remueur; Miraculé majeur; Eliôme</t>
        </is>
      </c>
    </row>
    <row r="14036">
      <c r="A14036" t="inlineStr">
        <is>
          <t>Stuff 3</t>
        </is>
      </c>
      <c r="B14036">
        <f>HYPERLINK("https://www.dofusbook.net/fr/equipement/128785-stuff-3/objets", "link")</f>
        <v/>
      </c>
      <c r="C14036" t="n">
        <v>2</v>
      </c>
      <c r="D14036" t="inlineStr">
        <is>
          <t>Arc Hétype; Pendentif mignon de Koutoulou; Anneau Rifique; Anneau de Nidas; Bouclier du Stalak; Ceinture Séculaire; Casque Dragoeuf; Cape de Diondin; Bottes Innommables; Dofus Abyssal; Dofus Ivoire; Érudit majeur; Déserteur majeur; Temporiseur majeur</t>
        </is>
      </c>
    </row>
    <row r="14037">
      <c r="A14037" t="inlineStr">
        <is>
          <t>epicfeu</t>
        </is>
      </c>
      <c r="B14037">
        <f>HYPERLINK("https://www.dofusbook.net/fr/equipement/2479738-epicfeu/objets", "link")</f>
        <v/>
      </c>
      <c r="C14037" t="n">
        <v>4</v>
      </c>
      <c r="D14037" t="inlineStr">
        <is>
          <t>Baguette de Malléfisk; Pendentif mignon de Koutoulou; Anneau Rifique; Anneau de Nidas; Cadran de Feu; Ceinture Séculaire; Casque Dragoeuf; Voile d'encre; Bottes Innommables; Dofus Ivoire; Dofus Ocre; Dofus Abyssal; Remueur; Érudit majeur; Observateur; Dragodinde Orchidée et Rousse</t>
        </is>
      </c>
    </row>
    <row r="14038">
      <c r="A14038" t="inlineStr">
        <is>
          <t>fullfuitrox</t>
        </is>
      </c>
      <c r="B14038">
        <f>HYPERLINK("https://www.dofusbook.net/fr/equipement/2112245-fullfuitrox/objets", "link")</f>
        <v/>
      </c>
      <c r="C14038" t="n">
        <v>2</v>
      </c>
      <c r="D14038" t="inlineStr">
        <is>
          <t>Pendentif mignon de Koutoulou; Anneau Rifique; Anneau de Nidas; Heaume Oplate; Voile d'encre; Bottes Innommables; Dofus Ocre; Dofus Abyssal; Dofus Ivoire; Érudit majeur</t>
        </is>
      </c>
    </row>
    <row r="14039">
      <c r="A14039" t="inlineStr">
        <is>
          <t>douzsisres</t>
        </is>
      </c>
      <c r="B14039">
        <f>HYPERLINK("https://www.dofusbook.net/fr/equipement/577717-douzsisres/objets", "link")</f>
        <v/>
      </c>
      <c r="C14039" t="n">
        <v>4</v>
      </c>
      <c r="D14039" t="inlineStr">
        <is>
          <t>Marteau R'ture; Collier de Tourthon; Anneau Volkorne; Anneau Crustique; Bouclier d'Ilyzaelle; Ceinture Volkorne; Masque de Koutoulou; Cape du Cœur Saignant; Tentassons; Dofus Abyssal; Dofus Ivoire; Dofus Ocre; Dofus Pourpre; Enragé majeur; Étourdisseur majeur; Muldo Roux et Orchidée</t>
        </is>
      </c>
    </row>
    <row r="14040">
      <c r="A14040" t="inlineStr">
        <is>
          <t>Féca M 200</t>
        </is>
      </c>
      <c r="B14040">
        <f>HYPERLINK("https://www.dofusbook.net/fr/equipement/3503666-feca-m-200/objets", "link")</f>
        <v/>
      </c>
      <c r="C14040" t="n">
        <v>4</v>
      </c>
      <c r="D14040" t="inlineStr">
        <is>
          <t>Marteau R'ture; Collier de Tourthon; Anneau Chevelu; Anneau Crustique; Bouclier d'Ilyzaelle; Ceinture Volkorne; Casque Volkorne; Cape au Logis; Bottes de la Cour Sombre; Dofus Ivoire; Dofus Émeraude; Dofus Abyssal; Dofus Ocre; Étourdisseur majeur; Enragé majeur; Volkorne Jade et Ivoire</t>
        </is>
      </c>
    </row>
    <row r="14041">
      <c r="A14041" t="inlineStr">
        <is>
          <t>Stuff 1</t>
        </is>
      </c>
      <c r="B14041">
        <f>HYPERLINK("https://www.dofusbook.net/fr/equipement/128768-stuff-1/objets", "link")</f>
        <v/>
      </c>
      <c r="C14041" t="n">
        <v>7</v>
      </c>
      <c r="D14041" t="inlineStr">
        <is>
          <t>Sceptre du Roi Joueur; Amulette de Shokkoth; Anneau Volkorne; Alliance Gloursonne; Bouclier du Stalak; Poulpagne; Kidibonnet; Cape du Sinistrofu; Bottes du Sinistrofu; Dofus Pourpre; Dofus Ivoire; Dofus Nébuleux; Dofus Abyssal; Chanceux majeur; Nomade; Pioute bleu</t>
        </is>
      </c>
    </row>
    <row r="14042">
      <c r="A14042" t="inlineStr">
        <is>
          <t>eau retrait</t>
        </is>
      </c>
      <c r="B14042">
        <f>HYPERLINK("https://www.dofusbook.net/fr/equipement/1683708-eau-retrait-/objets", "link")</f>
        <v/>
      </c>
      <c r="C14042" t="n">
        <v>6</v>
      </c>
      <c r="D14042" t="inlineStr">
        <is>
          <t>Sabres d'Atcham; Amulette Volkorne; Anneau Volkorne; Alliance Gloursonne; Quatre-feuilles; Ceinture du Strigide; Casque Volkorne; Cape d'Atcham; Bottes du Strigide; Dofus Abyssal; Dofus Ocre; Dofus des Glaces; Dofus Pourpre; Dofus Turquoise; Dofus Ivoire; Sakochère</t>
        </is>
      </c>
    </row>
    <row r="14043">
      <c r="A14043" t="inlineStr">
        <is>
          <t>eni200pvm</t>
        </is>
      </c>
      <c r="B14043">
        <f>HYPERLINK("https://www.dofusbook.net/fr/equipement/802812-eni200pvm/objets", "link")</f>
        <v/>
      </c>
      <c r="C14043" t="n">
        <v>12</v>
      </c>
      <c r="D14043" t="inlineStr">
        <is>
          <t>Arc corrompu; Amulette Volkorne; Anneau Volkorne; Anneau Rifique; Bouclier du Stalak; Ceinture Séculaire; Voile d'encre; Pataugastrique; Dofus Abyssal; Dofus Ivoire; Dofus Ocre; Guérisseur majeur; Érudit majeur</t>
        </is>
      </c>
    </row>
    <row r="14044">
      <c r="A14044" t="inlineStr">
        <is>
          <t>Iop M 200</t>
        </is>
      </c>
      <c r="B14044">
        <f>HYPERLINK("https://www.dofusbook.net/fr/equipement/3571780-iop-m-200/objets", "link")</f>
        <v/>
      </c>
      <c r="C14044" t="n">
        <v>7</v>
      </c>
      <c r="D14044" t="inlineStr">
        <is>
          <t>Dagues d'Ilyzaelle; Collier de Tourthon; Anneau Volkorne; Anneau Chevelu; Bouclier d'Ilyzaelle; Ceinture Volkorne; Masque de Koutoulou; Cape au Logis; Bottes de la Cour Sombre; Dofus Turquoise; Dofus Ivoire; Dofus Ocre; Dofus Pourpre; Dofus Abyssal; Enragé majeur; Pioute vert</t>
        </is>
      </c>
    </row>
    <row r="14045">
      <c r="A14045" t="inlineStr">
        <is>
          <t>crapvm</t>
        </is>
      </c>
      <c r="B14045">
        <f>HYPERLINK("https://www.dofusbook.net/fr/equipement/793968-crapvm/objets", "link")</f>
        <v/>
      </c>
      <c r="C14045" t="n">
        <v>7</v>
      </c>
      <c r="D14045" t="inlineStr">
        <is>
          <t>Dagues Érhy; Amulette du Strigide; Bracelet du Piloztère; Anneau de Brouce; Quatre-feuilles; Ceinture du Strigide; Masque de Koutoulou; Cape au Logis; Bottes Honyme; Dofus Turquoise; Enragé majeur; Vigoureux majeur; Forcené majeur; Remueur; Nomade; Dragodinde Ivoire et Pourpre</t>
        </is>
      </c>
    </row>
    <row r="14046">
      <c r="A14046" t="inlineStr">
        <is>
          <t>12sur6</t>
        </is>
      </c>
      <c r="B14046">
        <f>HYPERLINK("https://www.dofusbook.net/fr/equipement/811782-12sur6/objets", "link")</f>
        <v/>
      </c>
      <c r="C14046" t="n">
        <v>12</v>
      </c>
      <c r="D14046" t="inlineStr">
        <is>
          <t>Dagoulinantes; Amulette de l'Œil Attentif; Bracelet des Fonds marins; Alliance Gloursonne; Bouclier de Solar; Sangle Ouare; Masque des Fonds marins; Cape Solution; Bottes du Sinistrofu; Dofus Pourpre; Dofus Abyssal; Dofus Ivoire; Nomade; Chanceux majeur; Remueur; Dragodinde Indigo et Ivoire</t>
        </is>
      </c>
    </row>
    <row r="14047">
      <c r="A14047" t="inlineStr">
        <is>
          <t>fewea</t>
        </is>
      </c>
      <c r="B14047">
        <f>HYPERLINK("https://www.dofusbook.net/fr/equipement/2678023-fewea/objets", "link")</f>
        <v/>
      </c>
      <c r="C14047" t="n">
        <v>5</v>
      </c>
      <c r="D14047" t="inlineStr">
        <is>
          <t>Manthache; Collier du Valet Veinard; Alliance Gloursonne; Gant du Valet Veinard; Cadran d'Air; Menoture; Casque d'Ilyzaelle; Cape Martegel; Palmes Trithons; Dofus Ivoire; Dofus Abyssal; Nomade; Remueur; Miraculé majeur; Cascadeur majeur; Dragodinde Ebène et Ivoire</t>
        </is>
      </c>
    </row>
    <row r="14048">
      <c r="A14048" t="inlineStr">
        <is>
          <t>eaooo</t>
        </is>
      </c>
      <c r="B14048">
        <f>HYPERLINK("https://www.dofusbook.net/fr/equipement/2152065-eaooo/objets", "link")</f>
        <v/>
      </c>
      <c r="C14048" t="n">
        <v>3</v>
      </c>
      <c r="D14048" t="inlineStr">
        <is>
          <t>Arc du Chalœil; Collier de Tourthon; Anneau Volkorne; Anneau Chevelu; Quatre-feuilles; Ceinture Volkorne; Masque de Koutoulou; Cape au Logis; Bottes de la Cour Sombre; Dofus Ivoire; Dofus Abyssal; Dofus Pourpre; Enragé majeur; Miraculé majeur; Dragodinde Ivoire et Pourpre</t>
        </is>
      </c>
    </row>
    <row r="14049">
      <c r="A14049" t="inlineStr">
        <is>
          <t>Stuff 1</t>
        </is>
      </c>
      <c r="B14049">
        <f>HYPERLINK("https://www.dofusbook.net/fr/equipement/128813-stuff-1/objets", "link")</f>
        <v/>
      </c>
      <c r="C14049" t="n">
        <v>6</v>
      </c>
      <c r="D14049" t="inlineStr">
        <is>
          <t>Dagues Érhy; Amulette Volkorne; Anneau Volkorne; Alliance Gloursonne; Bouclier cubiste; Ceinture du Strigide; Casque Volkorne; Cape Martegel; Bottes du Strigide; Dofus Abyssal; Dofus Ivoire; Dofus Turquoise; Dofus Ocre; Dofus Pourpre; Dofus des Glaces; Volkorne Saphir et Turquoise</t>
        </is>
      </c>
    </row>
    <row r="14050">
      <c r="A14050" t="inlineStr">
        <is>
          <t>Stuff 3</t>
        </is>
      </c>
      <c r="B14050">
        <f>HYPERLINK("https://www.dofusbook.net/fr/equipement/128799-stuff-3/objets", "link")</f>
        <v/>
      </c>
      <c r="C14050" t="n">
        <v>2</v>
      </c>
      <c r="D14050" t="inlineStr">
        <is>
          <t>Dagues Érhy; Collier Rophante; Gant du Valet Veinard; Alliance Gloursonne; Bouclier de Solar; Menoture; Dorabysses; Cape du Valet Veinard; Palmes Trithons; Dofus Ivoire; Dofus Ocre; Dofus Forgelave; Cascadeur majeur; Miraculé majeur; Solide majeur; El Scarador</t>
        </is>
      </c>
    </row>
    <row r="14051">
      <c r="A14051" t="inlineStr">
        <is>
          <t>Osamodas F 200</t>
        </is>
      </c>
      <c r="B14051">
        <f>HYPERLINK("https://www.dofusbook.net/fr/equipement/3574321-osamodas-f-200/objets", "link")</f>
        <v/>
      </c>
      <c r="C14051" t="n">
        <v>3</v>
      </c>
      <c r="D14051" t="inlineStr">
        <is>
          <t>Lav'Hache; Amulette Volkorne; Pikano; Alliance du Lévitrof; Bouclier Bontarien; Ceinture Volkorne; Casque Dragoeuf; Cape du Cœur Saignant; Bottes Dogues; Dofus Ocre; Dofus Abyssal; Dofus Ivoire</t>
        </is>
      </c>
    </row>
    <row r="14052">
      <c r="A14052" t="inlineStr">
        <is>
          <t>Stuff 1</t>
        </is>
      </c>
      <c r="B14052">
        <f>HYPERLINK("https://www.dofusbook.net/fr/equipement/128812-stuff-1/objets", "link")</f>
        <v/>
      </c>
      <c r="C14052" t="n">
        <v>2</v>
      </c>
      <c r="D14052" t="inlineStr">
        <is>
          <t>Karnak; Collier du Valet Veinard; Gant du Valet Veinard; Alliance Gloursonne; Cadran d'Air; Menoture; Dorabysses; Cape Martegel; Palmes Trithons; Dofus Ocre; Dofus Abyssal; Dofus Ivoire; Cascadeur majeur; Miraculé majeur; Dragodinde Ebène et Ivoire</t>
        </is>
      </c>
    </row>
    <row r="14053">
      <c r="A14053" t="inlineStr">
        <is>
          <t>Eaufrga3</t>
        </is>
      </c>
      <c r="B14053">
        <f>HYPERLINK("https://www.dofusbook.net/fr/equipement/2645800-eaufrga3/objets", "link")</f>
        <v/>
      </c>
      <c r="C14053" t="n">
        <v>6</v>
      </c>
      <c r="D14053" t="inlineStr">
        <is>
          <t>Sceptre du Roi Joueur; Amulette Volkorne; Anneau Volkorne; Alliance Gloursonne; Cadran de Terre; Pagne du Rykaon; Masque des Fonds marins; Cape de l'Œil Attentif; Pataugastrique; Dofus Turquoise; Dofus Ocre; Dofus Abyssal; Dofus Ivoire; Dofus Vulbis; Chanceux majeur; Dragodinde Indigo et Ivoire</t>
        </is>
      </c>
    </row>
    <row r="14054">
      <c r="A14054" t="inlineStr">
        <is>
          <t>Stuff 1</t>
        </is>
      </c>
      <c r="B14054">
        <f>HYPERLINK("https://www.dofusbook.net/fr/equipement/128797-stuff-1/objets", "link")</f>
        <v/>
      </c>
      <c r="C14054" t="n">
        <v>7</v>
      </c>
      <c r="D14054" t="inlineStr">
        <is>
          <t>Dagues Érhy; Collier du Valet Veinard; Alliance Gloursonne; Alliance Brûlâme; Cadran d'Air; Menoture; Casque d'Ilyzaelle; Cape du Valet Veinard; Palmes Trithons; Dofus Abyssal; Dofus Nébuleux; Dofus Ivoire; Dofus Vulbis; Remueur; Cascadeur majeur; El Scarador</t>
        </is>
      </c>
    </row>
    <row r="14055">
      <c r="A14055" t="inlineStr">
        <is>
          <t>Stuff 2</t>
        </is>
      </c>
      <c r="B14055">
        <f>HYPERLINK("https://www.dofusbook.net/fr/equipement/128798-stuff-2/objets", "link")</f>
        <v/>
      </c>
      <c r="C14055" t="n">
        <v>7</v>
      </c>
      <c r="D14055" t="inlineStr">
        <is>
          <t>Le Thanos; Amulette Ementaire Deluxe; Alliance Gloursonne; Alliance Brûlâme; Bouclier d'Ilyzaelle; Ceinture de Vortex; Casque d'Ilyzaelle; Cape Martegel; Pantoufles Émar; Dofus Ivoire; Dofus Ocre; Dofus Abyssal; Miraculé majeur; Guérisseur majeur; Cascadeur majeur; Muldo Ebène et Orchidée</t>
        </is>
      </c>
    </row>
    <row r="14056">
      <c r="A14056" t="inlineStr">
        <is>
          <t>res dist rox</t>
        </is>
      </c>
      <c r="B14056">
        <f>HYPERLINK("https://www.dofusbook.net/fr/equipement/3574513-res-dist-rox/objets", "link")</f>
        <v/>
      </c>
      <c r="C14056" t="n">
        <v>1</v>
      </c>
      <c r="D14056" t="inlineStr">
        <is>
          <t>Dagues Érhy; Amulette Ementaire Deluxe; Anneau Chevelu; Anneau Volkorne; Cadran de Feu; Ceinture Volkorne; Masque de Koutoulou; Cape au Logis; Sabots Minables; Dofus Ivoire; Dofus Abyssal; Dolmanax; Dofus Nébuleux; Miraculé majeur; Enragé majeur; Croum</t>
        </is>
      </c>
    </row>
    <row r="14057">
      <c r="A14057" t="inlineStr">
        <is>
          <t>Osamodas F 200</t>
        </is>
      </c>
      <c r="B14057">
        <f>HYPERLINK("https://www.dofusbook.net/fr/equipement/3574713-osamodas-f-200/objets", "link")</f>
        <v/>
      </c>
      <c r="C14057" t="n">
        <v>3</v>
      </c>
      <c r="D14057" t="inlineStr">
        <is>
          <t>Lav'Hache; Amulette Volkorne; Anneau Chevelu; Alliance du Lévitrof; Bouclier Bontarien; Ceinture Volkorne; Casque Dragoeuf; Cape du Cœur Saignant; Sabots Minables; Dofus Ivoire; Dofus Ocre; Dofus Émeraude; Dofus Abyssal; Évasif majeur; Muldo Ebène et Ivoire</t>
        </is>
      </c>
    </row>
    <row r="14058">
      <c r="A14058" t="inlineStr">
        <is>
          <t>Osamodas F 200</t>
        </is>
      </c>
      <c r="B14058">
        <f>HYPERLINK("https://www.dofusbook.net/fr/equipement/3574813-osamodas-f-200/objets", "link")</f>
        <v/>
      </c>
      <c r="C14058" t="n">
        <v>2</v>
      </c>
      <c r="D14058" t="inlineStr">
        <is>
          <t>Epée Loponèze; Amulette Ementaire Deluxe; Anneau Volkorne; Goulano; Bouclier d'Anerice; Ceinture Volkorne; Masque d'Anerice; Cape Solution; Goulbottes; Dofus Émeraude; Dofus Ocre; Dofus Cawotte; Dofus Ivoire; Dolmanax; Dofus Abyssal; Muldo Orchidée et Ivoire</t>
        </is>
      </c>
    </row>
    <row r="14059">
      <c r="A14059" t="inlineStr">
        <is>
          <t>fvita</t>
        </is>
      </c>
      <c r="B14059">
        <f>HYPERLINK("https://www.dofusbook.net/fr/equipement/3008565-fvita/objets", "link")</f>
        <v/>
      </c>
      <c r="C14059" t="n">
        <v>2</v>
      </c>
      <c r="D14059" t="inlineStr">
        <is>
          <t>Bêche Asse; Amulette Volkorne; Anneau Chevelu; Anneau de Brouce; Bouclier d'Ilyzaelle; Ceinture Volkorne; Masque de Koutoulou; Cape du Kamasterisk; Bottes de la Cour Sombre; Dofus Abyssal; Dofus Ocre; Dofus Ivoire; Dofus des Glaces; Évasif majeur; Enragé majeur; Muldo Ebène et Ivoire</t>
        </is>
      </c>
    </row>
    <row r="14060">
      <c r="A14060" t="inlineStr">
        <is>
          <t>héqache</t>
        </is>
      </c>
      <c r="B14060">
        <f>HYPERLINK("https://www.dofusbook.net/fr/equipement/2400724-heqache/objets", "link")</f>
        <v/>
      </c>
      <c r="C14060" t="n">
        <v>3</v>
      </c>
      <c r="D14060" t="inlineStr">
        <is>
          <t>Marteau R'ture; Collier de Tourthon; Anneau Chevelu; Anneau Volkorne; Cadran d'Eau; Ceinture Volkorne; Masque de Koutoulou; Cape au Logis; Bottes de la Cour Sombre; Dofus Abyssal; Dofus Ivoire; Dofus des Glaces; Dofus Ocre; Dofus Pourpre; Enragé majeur; Dragodinde Ivoire et Pourpre</t>
        </is>
      </c>
    </row>
    <row r="14061">
      <c r="A14061" t="inlineStr">
        <is>
          <t>Stuff 1</t>
        </is>
      </c>
      <c r="B14061">
        <f>HYPERLINK("https://www.dofusbook.net/fr/equipement/128794-stuff-1/objets", "link")</f>
        <v/>
      </c>
      <c r="C14061" t="n">
        <v>4</v>
      </c>
      <c r="D14061" t="inlineStr">
        <is>
          <t>Dagoulinantes; Amulette de Shokkoth; Alliance Gloursonne; Anneau Volkorne; Bouclier d'Ilyzaelle; Ceinture Volkorne; Masque de Funespadon; Cape Solution; Bottes du Nocturlabe; Dofus Abyssal; Dofus Ivoire; Chanceux majeur; Nomade; Remueur; Miraculé majeur; Dragodinde Indigo et Ivoire</t>
        </is>
      </c>
    </row>
    <row r="14062">
      <c r="A14062" t="inlineStr">
        <is>
          <t>eauair</t>
        </is>
      </c>
      <c r="B14062">
        <f>HYPERLINK("https://www.dofusbook.net/fr/equipement/2096768-eauair/objets", "link")</f>
        <v/>
      </c>
      <c r="C14062" t="n">
        <v>1</v>
      </c>
      <c r="D14062" t="inlineStr">
        <is>
          <t>Manthache; Alliance Gloursonne; Gant du Valet Veinard; Bouclier du Stalak; Menoture; Cape du Valet Veinard; Palmes Trithons; Dofus Pourpre; Remueur; Étourdisseur majeur; Cascadeur majeur; Muldo Ebène</t>
        </is>
      </c>
    </row>
    <row r="14063">
      <c r="A14063" t="inlineStr">
        <is>
          <t>Teragi</t>
        </is>
      </c>
      <c r="B14063">
        <f>HYPERLINK("https://www.dofusbook.net/fr/equipement/3049284-teragi/objets", "link")</f>
        <v/>
      </c>
      <c r="C14063" t="n">
        <v>2</v>
      </c>
      <c r="D14063" t="inlineStr">
        <is>
          <t>Hache du Guerrier Zoth; Amulette Héroclite; Anneau de XLII; Anneau Chevelu; Cadran d'Air; Ceinture de XLII; Chapeau Lisson; Cape Erforée; Bottes Nécrotiques; Dofus Émeraude; Cascadeur majeur; Nomade; Remueur; Enragé majeur; Vigoureux majeur; Muldo Indigo et Pourpre</t>
        </is>
      </c>
    </row>
    <row r="14064">
      <c r="A14064" t="inlineStr">
        <is>
          <t>Fvita</t>
        </is>
      </c>
      <c r="B14064">
        <f>HYPERLINK("https://www.dofusbook.net/fr/equipement/3008568-fvita/objets", "link")</f>
        <v/>
      </c>
      <c r="C14064" t="n">
        <v>6</v>
      </c>
      <c r="D14064" t="inlineStr">
        <is>
          <t>Marteau R'ture; Collier Rophante; Anneau Crustique; Bague Trithon; Détourné; Ceinture Gence; Masque du Katcheur; Ankhape; Bottes du Katcheur; Dofus Émeraude; Miraculé majeur; Survivant majeur; Remueur; Miraculé; Péki</t>
        </is>
      </c>
    </row>
    <row r="14065">
      <c r="A14065" t="inlineStr">
        <is>
          <t>inteldel199</t>
        </is>
      </c>
      <c r="B14065">
        <f>HYPERLINK("https://www.dofusbook.net/fr/equipement/2736583-inteldel199/objets", "link")</f>
        <v/>
      </c>
      <c r="C14065" t="n">
        <v>1</v>
      </c>
      <c r="D14065" t="inlineStr">
        <is>
          <t>Baguette Hernelle; Amulette d'Otomaï; Anneau de Padgref; Anneau du Professeur Xa; Bivalve; Ceinture Hanium; Coiffe de Padgref; Cape de Nileza; Pantoufles Émar; Remueur; Miraculé majeur; Astucieux majeur; Guérisseur majeur; Savant majeur; Érudit majeur; Brûlih</t>
        </is>
      </c>
    </row>
    <row r="14066">
      <c r="A14066" t="inlineStr">
        <is>
          <t>fuitos</t>
        </is>
      </c>
      <c r="B14066">
        <f>HYPERLINK("https://www.dofusbook.net/fr/equipement/2508481-fuitos/objets", "link")</f>
        <v/>
      </c>
      <c r="C14066" t="n">
        <v>0</v>
      </c>
      <c r="D14066" t="inlineStr"/>
    </row>
    <row r="14067">
      <c r="A14067" t="inlineStr">
        <is>
          <t>ful feu</t>
        </is>
      </c>
      <c r="B14067">
        <f>HYPERLINK("https://www.dofusbook.net/fr/equipement/2151888-ful-feu/objets", "link")</f>
        <v/>
      </c>
      <c r="C14067" t="n">
        <v>0</v>
      </c>
      <c r="D14067" t="inlineStr">
        <is>
          <t>Arc corrompu; Pendentif mignon de Koutoulou; Anneau de Nidas; Anneau Rifique; Bouclier du Stalak; Ceinture de Vortex; Cagoule de Vortex; Cape de Diondin; Tongues de Nidas; Muldo Ebène et Orchidée</t>
        </is>
      </c>
    </row>
    <row r="14068">
      <c r="A14068" t="inlineStr">
        <is>
          <t>eau</t>
        </is>
      </c>
      <c r="B14068">
        <f>HYPERLINK("https://www.dofusbook.net/fr/equipement/2433313-eau/objets", "link")</f>
        <v/>
      </c>
      <c r="C14068" t="n">
        <v>0</v>
      </c>
      <c r="D14068" t="inlineStr">
        <is>
          <t>Sceptre du Roi Joueur; Amulette de Shokkoth; Alliance Gloursonne; Bracelet des Fonds marins; Bouclier d'Anerice; Pagne du Rykaon; Masque d'Anerice; Cape de l'Œil Attentif; Pataugastrique; Dofus Abyssal; Dofus Émeraude; Dofus des Glaces; Miraculé majeur; Remueur; Chanceux majeur; Muldo Indigo</t>
        </is>
      </c>
    </row>
    <row r="14069">
      <c r="A14069" t="inlineStr">
        <is>
          <t>fefe</t>
        </is>
      </c>
      <c r="B14069">
        <f>HYPERLINK("https://www.dofusbook.net/fr/equipement/2432781-fefe/objets", "link")</f>
        <v/>
      </c>
      <c r="C14069" t="n">
        <v>0</v>
      </c>
      <c r="D14069" t="inlineStr">
        <is>
          <t>Arc corrompu; Pendentif affamé; Bague Gloursonne; Anneauræus; Bouclier d'Anerice; Ceinture de Vortex; Masque d'Anerice; Voile d'encre; Bottes Innommables; Dofus des Glaces; Dofus Émeraude; Dofus Ocre; Remueur; Miraculé majeur; Érudit majeur; Muldo Orchidée et Pourpre</t>
        </is>
      </c>
    </row>
    <row r="14070">
      <c r="A14070" t="inlineStr">
        <is>
          <t>rter</t>
        </is>
      </c>
      <c r="B14070">
        <f>HYPERLINK("https://www.dofusbook.net/fr/equipement/2432510-rter/objets", "link")</f>
        <v/>
      </c>
      <c r="C14070" t="n">
        <v>1</v>
      </c>
      <c r="D14070" t="inlineStr">
        <is>
          <t>Lance corrompue; Amulette du Cœur Vaillant; Alliance Gloursonne; Alliance Brûlâme; Bouclier d'Ilyzaelle; Ceinture de la Reine des Voleurs; Coiffe de la Reine des Voleurs; Cape du Kamasterisk; Baleinabottes; Dofus Émeraude; Dofus des Glaces; Dofus Abyssal; Nomade; Remueur; Miraculé majeur; Kramkram</t>
        </is>
      </c>
    </row>
    <row r="14071">
      <c r="A14071" t="inlineStr">
        <is>
          <t>eaufuit</t>
        </is>
      </c>
      <c r="B14071">
        <f>HYPERLINK("https://www.dofusbook.net/fr/equipement/2403320-eaufuit/objets", "link")</f>
        <v/>
      </c>
      <c r="C14071" t="n">
        <v>1</v>
      </c>
      <c r="D14071" t="inlineStr">
        <is>
          <t>Baguette Hique; Amulette de l'Œil Attentif; Alliance Gloursonne; Bracelet des Fonds marins; Quatre-feuilles; Ceinture Glaciale; Kidibonnet; Cape de la Dame du Hasard; Bottes de la Dame du Hasard; Dofus Abyssal; Dofus des Glaces; Remueur; Déserteur majeur; Temporiseur majeur; Chanceux majeur; Muldo Ebène et Pourpre</t>
        </is>
      </c>
    </row>
    <row r="14072">
      <c r="A14072" t="inlineStr">
        <is>
          <t>modetacle</t>
        </is>
      </c>
      <c r="B14072">
        <f>HYPERLINK("https://www.dofusbook.net/fr/equipement/2398042-modetacle/objets", "link")</f>
        <v/>
      </c>
      <c r="C14072" t="n">
        <v>1</v>
      </c>
      <c r="D14072" t="inlineStr">
        <is>
          <t>Baguette de Malléfisk; Pendentif affamé; Anneau Rifique; Anneau de Nidas; Bouclier cubiste; Ceinture Séculaire; Couronne de Nidas; Voile d'encre; Pataugastrique; Dofus Abyssal; Vagabond majeur; Déserteur majeur; Remueur; Observateur; Érudit majeur; Muldo Orchidée et Amande</t>
        </is>
      </c>
    </row>
    <row r="14073">
      <c r="A14073" t="inlineStr">
        <is>
          <t>eauairet</t>
        </is>
      </c>
      <c r="B14073">
        <f>HYPERLINK("https://www.dofusbook.net/fr/equipement/1683592-eauairet/objets", "link")</f>
        <v/>
      </c>
      <c r="C14073" t="n">
        <v>0</v>
      </c>
      <c r="D14073" t="inlineStr">
        <is>
          <t>Sceptre du Roi Joueur; Amulette de Shokkoth; Alliance Gloursonne; Bracelet des Fonds marins; Bouclier du Stalak; Poulpagne; Kidibonnet; Cape de l'Œil Attentif; Sandales des Fonds marins; Dofus Pourpre; Dofus des Glaces; Dofus Abyssal; Étourdisseur majeur; Déserteur majeur; Chanceux majeur; Muldo Ebène et Pourpre</t>
        </is>
      </c>
    </row>
    <row r="14074">
      <c r="A14074" t="inlineStr">
        <is>
          <t>fulleau</t>
        </is>
      </c>
      <c r="B14074">
        <f>HYPERLINK("https://www.dofusbook.net/fr/equipement/2041367-fulleau/objets", "link")</f>
        <v/>
      </c>
      <c r="C14074" t="n">
        <v>0</v>
      </c>
      <c r="D14074" t="inlineStr">
        <is>
          <t>Manthache; Collier du Valet Veinard; Gant du Valet Veinard; Alliance Gloursonne; Bouclier du Stalak; Menoture; Casque d'Ilyzaelle; Cape Indescriptible; Palmes Trithons; Dofus des Glaces; Dofus Abyssal; Étourdisseur majeur; Cascadeur majeur; Miraculé majeur; Remueur; Muldo Ebène</t>
        </is>
      </c>
    </row>
    <row r="14075">
      <c r="A14075" t="inlineStr">
        <is>
          <t>feu a mort</t>
        </is>
      </c>
      <c r="B14075">
        <f>HYPERLINK("https://www.dofusbook.net/fr/equipement/2363835-feu-a-mort/objets", "link")</f>
        <v/>
      </c>
      <c r="C14075" t="n">
        <v>0</v>
      </c>
      <c r="D14075" t="inlineStr">
        <is>
          <t>Arc corrompu; Pendentif affamé; Anneau de Nidas; Anneau Tique; Sept ans de malheur; Ceinture Séculaire; Coiffe Séculaire; Cape de l'Œil Putride; Bottes Innommables; Dolmanax; Dofus Ocre; Remueur; Étourdisseur majeur; Érudit majeur; Miraculé majeur; Muldo Ebène et Orchidée</t>
        </is>
      </c>
    </row>
    <row r="14076">
      <c r="A14076" t="inlineStr">
        <is>
          <t>tankret</t>
        </is>
      </c>
      <c r="B14076">
        <f>HYPERLINK("https://www.dofusbook.net/fr/equipement/2131674-tankret/objets", "link")</f>
        <v/>
      </c>
      <c r="C14076" t="n">
        <v>0</v>
      </c>
      <c r="D14076" t="inlineStr">
        <is>
          <t>Amulette Voldelor; Ceinture de la Reine des Voleurs; Némès de Tal Kasha; Cape Matelassée; Bottes de la Reine des Voleurs</t>
        </is>
      </c>
    </row>
    <row r="14077">
      <c r="A14077" t="inlineStr">
        <is>
          <t>Stuff 3</t>
        </is>
      </c>
      <c r="B14077">
        <f>HYPERLINK("https://www.dofusbook.net/fr/equipement/128782-stuff-3/objets", "link")</f>
        <v/>
      </c>
      <c r="C14077" t="n">
        <v>1</v>
      </c>
      <c r="D14077" t="inlineStr">
        <is>
          <t>Manthache; Collier du Valet Veinard; Alliance Gloursonne; Gant du Valet Veinard; Bouclier d'Ilyzaelle; Menoture; Casque d'Ilyzaelle; Cape Indescriptible; Palmes Trithons; Dofus Nébuleux; Dofus Pourpre; Dofus Émeraude; Dofus des Glaces; Dofus Ocre; Dofus Abyssal; Muldo Ebène et Pourpre</t>
        </is>
      </c>
    </row>
    <row r="14078">
      <c r="A14078" t="inlineStr">
        <is>
          <t>vitadopou</t>
        </is>
      </c>
      <c r="B14078">
        <f>HYPERLINK("https://www.dofusbook.net/fr/equipement/2165469-vitadopou/objets", "link")</f>
        <v/>
      </c>
      <c r="C14078" t="n">
        <v>3</v>
      </c>
      <c r="D14078" t="inlineStr">
        <is>
          <t>Arc du Chalœil; Amulette du Sinistrofu; Alliance Gloursonne; Bague Trithon; Bouclier précieux; Sangle Ouare; Masque d'Anerice; Cape d'Anerice; Pataugastrique; Dofus Abyssal; Dofus Émeraude; Bousculeur majeur; Miraculé majeur; Culbuteur majeur; Remueur; Homlett</t>
        </is>
      </c>
    </row>
    <row r="14079">
      <c r="A14079" t="inlineStr">
        <is>
          <t>tankret</t>
        </is>
      </c>
      <c r="B14079">
        <f>HYPERLINK("https://www.dofusbook.net/fr/equipement/2131675-tankret/objets", "link")</f>
        <v/>
      </c>
      <c r="C14079" t="n">
        <v>0</v>
      </c>
      <c r="D14079" t="inlineStr">
        <is>
          <t>Héqache; Amulette du Cœur Saignant; Anneau Chevelu; Chevalière du Roi Joueur; Quatre-feuilles; Ceintacé; Couronne du Roi Joueur; Cape du Cœur Saignant; Bottes du Cœur Saignant; Dofus Pourpre; Dofus des Glaces; Dofus Turquoise; Dofus Ocre; Dofus Abyssal; Dofus Ivoire; Muldo Ebène et Pourpre</t>
        </is>
      </c>
    </row>
    <row r="14080">
      <c r="A14080" t="inlineStr">
        <is>
          <t>fulleaufuitesquivepa</t>
        </is>
      </c>
      <c r="B14080">
        <f>HYPERLINK("https://www.dofusbook.net/fr/equipement/2112490-fulleaufuitesquivepa/objets", "link")</f>
        <v/>
      </c>
      <c r="C14080" t="n">
        <v>1</v>
      </c>
      <c r="D14080" t="inlineStr">
        <is>
          <t>Rapière aux Glyphes; Amulette de l'Œil Attentif; Bracelet des Fonds marins; Alliance Gloursonne; Bouclier du Stalak; Ceinture de l'Esprit Salvateur; Capuche de l'Œil Attentif; Cape de l'Œil Attentif; Bottes de l'Esprit Salvateur; Dofus Nébuleux; Dofus Abyssal; Dokoko; Dofus Ocre; Dofus des Glaces; Vagabond majeur; Muldo Indigo et Pourpre</t>
        </is>
      </c>
    </row>
    <row r="14081">
      <c r="A14081" t="inlineStr">
        <is>
          <t>dopousoin</t>
        </is>
      </c>
      <c r="B14081">
        <f>HYPERLINK("https://www.dofusbook.net/fr/equipement/678536-dopousoin/objets", "link")</f>
        <v/>
      </c>
      <c r="C14081" t="n">
        <v>0</v>
      </c>
      <c r="D14081" t="inlineStr">
        <is>
          <t>Lance corrompue; Amulette Luminescente; Bague Trithon; Bague Instable; Bouclier précieux; Ceintacé; Masque de Koutoulou; Cape du Cœur Vaillant; Bottes du Cœur Vaillant; Dofus des Glaces; Culbuteur majeur; Culbuteur; Pousseur majeur; Bousculeur majeur; Remueur; Muldo Ebène et Pourpre</t>
        </is>
      </c>
    </row>
    <row r="14082">
      <c r="A14082" t="inlineStr">
        <is>
          <t>eaufeu</t>
        </is>
      </c>
      <c r="B14082">
        <f>HYPERLINK("https://www.dofusbook.net/fr/equipement/1271418-eaufeu/objets", "link")</f>
        <v/>
      </c>
      <c r="C14082" t="n">
        <v>2</v>
      </c>
      <c r="D14082" t="inlineStr">
        <is>
          <t>Manthache; Collier du Valet Veinard; Gant du Valet Veinard; Alliance Gloursonne; Quatre-feuilles; Menoture; Capuche de Moum-Ra; Chevelure de Tal Kasha; Sandales de Tal Kasha; Dofus Pourpre; Dofus des Glaces; Dofus Émeraude; Dofus Abyssal; Dofus Ocre; Dofus Turquoise; Muldo Ebène</t>
        </is>
      </c>
    </row>
    <row r="14083">
      <c r="A14083" t="inlineStr">
        <is>
          <t>Stuff 2</t>
        </is>
      </c>
      <c r="B14083">
        <f>HYPERLINK("https://www.dofusbook.net/fr/equipement/128784-stuff-2/objets", "link")</f>
        <v/>
      </c>
      <c r="C14083" t="n">
        <v>0</v>
      </c>
      <c r="D14083" t="inlineStr">
        <is>
          <t>Amulette du Strigide; Ceinture du Strigide</t>
        </is>
      </c>
    </row>
    <row r="14084">
      <c r="A14084" t="inlineStr">
        <is>
          <t>feu air</t>
        </is>
      </c>
      <c r="B14084">
        <f>HYPERLINK("https://www.dofusbook.net/fr/equipement/1349194-feu-air/objets", "link")</f>
        <v/>
      </c>
      <c r="C14084" t="n">
        <v>0</v>
      </c>
      <c r="D14084" t="inlineStr">
        <is>
          <t>Dagoulinantes; Amulette Voldelor; Alliance Gloursonne; Bracelet des Fonds marins; Bouclier du Captain Amakna; Kidibonnet; Cape du Sinistrofu; Bottes du Sinistrofu; Dofus Turquoise; Dofus Pourpre; Remueur; Étourdisseur majeur; Chanceux majeur; Kramkram</t>
        </is>
      </c>
    </row>
    <row r="14085">
      <c r="A14085" t="inlineStr">
        <is>
          <t>hachechal</t>
        </is>
      </c>
      <c r="B14085">
        <f>HYPERLINK("https://www.dofusbook.net/fr/equipement/1634007-hachechal/objets", "link")</f>
        <v/>
      </c>
      <c r="C14085" t="n">
        <v>0</v>
      </c>
      <c r="D14085" t="inlineStr">
        <is>
          <t>Hache du Chalœil; Amulette du Strigide; Alliance Gloursonne; Anneau Chevelu; Bouclier du Stalak; Ceintacé; Casque du Chalœil; Voile d'encre; Bottes du Chalœil; Dofus Turquoise; Dofus des Glaces; Dofus Pourpre; Dolmanax; Remueur; Nomade; Kramkram</t>
        </is>
      </c>
    </row>
    <row r="14086">
      <c r="A14086" t="inlineStr">
        <is>
          <t>jou3</t>
        </is>
      </c>
      <c r="B14086">
        <f>HYPERLINK("https://www.dofusbook.net/fr/equipement/1669955-jou3/objets", "link")</f>
        <v/>
      </c>
      <c r="C14086" t="n">
        <v>0</v>
      </c>
      <c r="D14086" t="inlineStr">
        <is>
          <t>Dagues Érhy; Amulette du Strigide; Anneau Chevelu; Bague Gloursonne; Bouclier du Captain Amakna; Ceinture de Gein; Casque Dragoeuf; Voile d'encre; Bottes du Strigide; Dofus Ocre; Dofus Pourpre; Dofus des Glaces; Dofus Turquoise; Remueur; Vigoureux majeur; Muldo Pourpre et Emeraude</t>
        </is>
      </c>
    </row>
    <row r="14087">
      <c r="A14087" t="inlineStr">
        <is>
          <t>Vita terre</t>
        </is>
      </c>
      <c r="B14087">
        <f>HYPERLINK("https://www.dofusbook.net/fr/equipement/469292-vita-terre/objets", "link")</f>
        <v/>
      </c>
      <c r="C14087" t="n">
        <v>1</v>
      </c>
      <c r="D14087" t="inlineStr">
        <is>
          <t>Marteau R'ture; Amulette du Strigide; Anneau Chevelu; Anneau Crustique; Bouclier du Captain Amakna; Ceintacé; Masque de Koutoulou; Cape au Logis; Bottes du Strigide; Dofus Turquoise; Dofus Pourpre; Enragé majeur; Carapace Terre majeur; Miraculé majeur; Vigoureux majeur; Kramkram</t>
        </is>
      </c>
    </row>
    <row r="14088">
      <c r="A14088" t="inlineStr">
        <is>
          <t>douzsex</t>
        </is>
      </c>
      <c r="B14088">
        <f>HYPERLINK("https://www.dofusbook.net/fr/equipement/1631754-douzsex/objets", "link")</f>
        <v/>
      </c>
      <c r="C14088" t="n">
        <v>0</v>
      </c>
      <c r="D14088" t="inlineStr">
        <is>
          <t>Dagues Érhy; Amulette du Strigide; Anneau de Brouce; Bague Gloursonne; Bouclier du Captain Amakna; Ceintacé; Masque de Koutoulou; Voile d'encre; Bottes du Strigide; Dofus des Glaces; Dofus Pourpre; Dofus Turquoise; Vigoureux majeur; Enragé majeur; Nomade; Kramkram</t>
        </is>
      </c>
    </row>
    <row r="14089">
      <c r="A14089" t="inlineStr">
        <is>
          <t>modeqache</t>
        </is>
      </c>
      <c r="B14089">
        <f>HYPERLINK("https://www.dofusbook.net/fr/equipement/1600516-modeqache/objets", "link")</f>
        <v/>
      </c>
      <c r="C14089" t="n">
        <v>0</v>
      </c>
      <c r="D14089" t="inlineStr">
        <is>
          <t>Héqache; Amulette du Strigide; Alliance Gloursonne; Anneau Chevelu; Bouclier du Captain Amakna; Ceintacé; Masque de Koutoulou; Voile d'encre; Bottes du Strigide; Dofus des Glaces; Dofus Pourpre; Dolmanax; Dofus Turquoise; Enragé majeur; Vigoureux majeur; Muldo Ebène et Pourpre</t>
        </is>
      </c>
    </row>
    <row r="14090">
      <c r="A14090" t="inlineStr">
        <is>
          <t>feumyaw99</t>
        </is>
      </c>
      <c r="B14090">
        <f>HYPERLINK("https://www.dofusbook.net/fr/equipement/1598292-feumyaw99/objets", "link")</f>
        <v/>
      </c>
      <c r="C14090" t="n">
        <v>0</v>
      </c>
      <c r="D14090" t="inlineStr">
        <is>
          <t>Arc Hétype; Amulette de Nileza; Anneau de Padgref; Bague Gloursonne; Bouclier cubiste; Ceinture du Comte Razof; Casque Dragoeuf; Cape de Nileza; Pantoufles Émar; Déserteur majeur; Remueur; Miraculé majeur; Érudit majeur; Temporiseur majeur; Nomade; Muldo Indigo et Amande</t>
        </is>
      </c>
    </row>
    <row r="14091">
      <c r="A14091" t="inlineStr">
        <is>
          <t>Stuff 1</t>
        </is>
      </c>
      <c r="B14091">
        <f>HYPERLINK("https://www.dofusbook.net/fr/equipement/128791-stuff-1/objets", "link")</f>
        <v/>
      </c>
      <c r="C14091" t="n">
        <v>2</v>
      </c>
      <c r="D14091" t="inlineStr">
        <is>
          <t>Rapière aux Glyphes; Amulette de Shokkoth; Bracelet des Fonds marins; Alliance Gloursonne; Bouclier alvéolé; Ceinture Voldelor; Kidibonnet; Cape du Sinistrofu; Bottes du Sinistrofu; Dofus Pourpre; Dofus Turquoise; Chanceux majeur; Remueur; Étourdisseur majeur; Nomade; Kramkram</t>
        </is>
      </c>
    </row>
    <row r="14092">
      <c r="A14092" t="inlineStr">
        <is>
          <t>Stuff 2</t>
        </is>
      </c>
      <c r="B14092">
        <f>HYPERLINK("https://www.dofusbook.net/fr/equipement/128792-stuff-2/objets", "link")</f>
        <v/>
      </c>
      <c r="C14092" t="n">
        <v>1</v>
      </c>
      <c r="D14092" t="inlineStr">
        <is>
          <t>Marteau des Anciens Steamers; Amulette Voldelor; Anneau Tique; Alliance Gloursonne; Bouclier du Captain Amakna; Menoture; Némès de Tal Kasha; Chevelure de Tal Kasha; Pataugastrique; Dofus des Glaces; Dofus Pourpre; Dofus Abyssal; Dofus Turquoise; Étourdisseur majeur; Nomade; Kramkram</t>
        </is>
      </c>
    </row>
    <row r="14093">
      <c r="A14093" t="inlineStr">
        <is>
          <t>reseaufeuair</t>
        </is>
      </c>
      <c r="B14093">
        <f>HYPERLINK("https://www.dofusbook.net/fr/equipement/1609537-reseaufeuair/objets", "link")</f>
        <v/>
      </c>
      <c r="C14093" t="n">
        <v>1</v>
      </c>
      <c r="D14093" t="inlineStr">
        <is>
          <t>Epée Toche; Amulette du Strigide; Bague Gloursonne; Chevalière du Roi Joueur; Bouclier du Captain Amakna; Ceinture de Gein; Chapeau de Gein; Voile d'encre; Sabots Minables; Dofus Pourpre; Dofus Nébuleux; Dofus des Glaces; Dofus Turquoise; Nomade; Remueur; Kramkram</t>
        </is>
      </c>
    </row>
    <row r="14094">
      <c r="A14094" t="inlineStr">
        <is>
          <t>feu air</t>
        </is>
      </c>
      <c r="B14094">
        <f>HYPERLINK("https://www.dofusbook.net/fr/equipement/768371-feu-air/objets", "link")</f>
        <v/>
      </c>
      <c r="C14094" t="n">
        <v>2</v>
      </c>
      <c r="D14094" t="inlineStr">
        <is>
          <t>Arc Hétype; Amulette de Nileza; Anneau Tique; Anneau de Nidas; Bouclier cubiste; Ceinture de Vortex; Couronne de Nidas; Voile d'encre; Bottes Innommables; Dofus Abyssal; Dofus Ocre; Remueur; Déserteur majeur; Carapace Air majeur; Érudit majeur; Muldo Indigo et Pourpre</t>
        </is>
      </c>
    </row>
    <row r="14095">
      <c r="A14095" t="inlineStr">
        <is>
          <t>Stuff 1</t>
        </is>
      </c>
      <c r="B14095">
        <f>HYPERLINK("https://www.dofusbook.net/fr/equipement/128783-stuff-1/objets", "link")</f>
        <v/>
      </c>
      <c r="C14095" t="n">
        <v>1</v>
      </c>
      <c r="D14095" t="inlineStr">
        <is>
          <t>Arc Hétype; Pendentif mignon de Koutoulou; Anneau de Nidas; Anneau Rifique; Bouclier cubiste; Ceinture Séculaire; Casque Dragoeuf; Bottes Innommables; Dofus Abyssal; Dofus Ocre; Érudit majeur; Remueur; Vagabond majeur; Déserteur majeur; Muldo Ebène et Amande</t>
        </is>
      </c>
    </row>
    <row r="14096">
      <c r="A14096" t="inlineStr">
        <is>
          <t>mode tournois</t>
        </is>
      </c>
      <c r="B14096">
        <f>HYPERLINK("https://www.dofusbook.net/fr/equipement/1597863-mode-tournois/objets", "link")</f>
        <v/>
      </c>
      <c r="C14096" t="n">
        <v>0</v>
      </c>
      <c r="D14096" t="inlineStr">
        <is>
          <t>Dagues Érhy; Amulette du Strigide; Bague Gloursonne; Anneau Chevelu; Bouclier du Captain Amakna; Ceinture de Gein; Chapeau de Gein; Cape du Professeur Xa; Bottes du Strigide; Dofus Turquoise; Dofus des Glaces; Dofus Pourpre; Dofus Ocre; Remueur; Vigoureux majeur; Kramkram</t>
        </is>
      </c>
    </row>
    <row r="14097">
      <c r="A14097" t="inlineStr">
        <is>
          <t>Stuff 2</t>
        </is>
      </c>
      <c r="B14097">
        <f>HYPERLINK("https://www.dofusbook.net/fr/equipement/128787-stuff-2/objets", "link")</f>
        <v/>
      </c>
      <c r="C14097" t="n">
        <v>0</v>
      </c>
      <c r="D14097" t="inlineStr">
        <is>
          <t>Epée Gloursonne; Amulette du Strigide; Alliance Gloursonne; Bague Gloursonne; Bouclier du Captain Amakna; Ceinture du Strigide; Chapeau de Gein; Voile d'encre; Bottes du Strigide; Dofus Ocre; Dofus Abyssal; Dofus Pourpre; Dofus Vulbis; Dofus Turquoise; Dofus Nébuleux; Kramkram</t>
        </is>
      </c>
    </row>
    <row r="14098">
      <c r="A14098" t="inlineStr">
        <is>
          <t>Stuff 1</t>
        </is>
      </c>
      <c r="B14098">
        <f>HYPERLINK("https://www.dofusbook.net/fr/equipement/128786-stuff-1/objets", "link")</f>
        <v/>
      </c>
      <c r="C14098" t="n">
        <v>0</v>
      </c>
      <c r="D14098" t="inlineStr">
        <is>
          <t>Dagues Érhy; Amulette du Strigide; Bague Gloursonne; Anneau Chevelu; Bouclier du Captain Amakna; Ceintacé; Chapeau de Gein; Voile d'encre; Bottes du Strigide; Dofus des Glaces; Dofus Turquoise; Dofus Pourpre; Remueur; Carapace Terre majeur; Vigoureux majeur; Muldo Orchidée</t>
        </is>
      </c>
    </row>
    <row r="14099">
      <c r="A14099" t="inlineStr">
        <is>
          <t>iopvm200</t>
        </is>
      </c>
      <c r="B14099">
        <f>HYPERLINK("https://www.dofusbook.net/fr/equipement/802901-iopvm200/objets", "link")</f>
        <v/>
      </c>
      <c r="C14099" t="n">
        <v>0</v>
      </c>
      <c r="D14099" t="inlineStr">
        <is>
          <t>Dagues Érhy; Amulette du Strigide; Bague Gloursonne; Anneau Chevelu; Bouclier du Captain Amakna; Ceinture de Gein; Casque Dragoeuf; Voile d'encre; Bottes du Strigide; Dofus Pourpre; Dofus Turquoise; Dofus Ocre; Carapace Terre majeur; Remueur; Nomade; Kramkram</t>
        </is>
      </c>
    </row>
    <row r="14100">
      <c r="A14100" t="inlineStr">
        <is>
          <t>Stuff 1</t>
        </is>
      </c>
      <c r="B14100">
        <f>HYPERLINK("https://www.dofusbook.net/fr/equipement/128804-stuff-1/objets", "link")</f>
        <v/>
      </c>
      <c r="C14100" t="n">
        <v>0</v>
      </c>
      <c r="D14100" t="inlineStr">
        <is>
          <t>Héqache; Amulette du Strigide; Anneau Chevelu; Alliance Gloursonne; Bouclier du Captain Amakna; Ceintacé; Chapoulpe; Voile d'encre; Tentassons; Dofus Turquoise; Dofus des Glaces; Dofus Pourpre; Étourdisseur majeur; Remueur; Nomade; Kramkram</t>
        </is>
      </c>
    </row>
    <row r="14101">
      <c r="A14101" t="inlineStr">
        <is>
          <t>epic200</t>
        </is>
      </c>
      <c r="B14101">
        <f>HYPERLINK("https://www.dofusbook.net/fr/equipement/890097-epic200/objets", "link")</f>
        <v/>
      </c>
      <c r="C14101" t="n">
        <v>2</v>
      </c>
      <c r="D14101" t="inlineStr">
        <is>
          <t>Amulette du Strigide; Bague Gloursonne; Quatre-feuilles; Ceintacé; Masque de Koutoulou; Voile d'encre; Bottes du Strigide; Dofus Abyssal; Dofus des Glaces; Dofus Vulbis; Dolmanax; Dofus Turquoise; Dofus Pourpre; Kramkram</t>
        </is>
      </c>
    </row>
    <row r="14102">
      <c r="A14102" t="inlineStr">
        <is>
          <t>Stuff 1</t>
        </is>
      </c>
      <c r="B14102">
        <f>HYPERLINK("https://www.dofusbook.net/fr/equipement/128780-stuff-1/objets", "link")</f>
        <v/>
      </c>
      <c r="C14102" t="n">
        <v>0</v>
      </c>
      <c r="D14102" t="inlineStr">
        <is>
          <t>Héqache; Amulette du Strigide; Bracelet du Piloztère; Alliance Gloursonne; Bouclier d'Ilyzaelle; Ceintacé; Masque de Koutoulou; Voile d'encre; Bottes du Strigide; Dofus des Glaces; Dofus Turquoise; Dofus Pourpre; Dolmanax; Vigoureux majeur; Fonceur majeur; Muldo Ebène et Pourpre</t>
        </is>
      </c>
    </row>
    <row r="14103">
      <c r="A14103" t="inlineStr">
        <is>
          <t>Stuff 2</t>
        </is>
      </c>
      <c r="B14103">
        <f>HYPERLINK("https://www.dofusbook.net/fr/equipement/128781-stuff-2/objets", "link")</f>
        <v/>
      </c>
      <c r="C14103" t="n">
        <v>0</v>
      </c>
      <c r="D14103" t="inlineStr">
        <is>
          <t>Dagues Érhy; Amulette du Strigide; Bague Gloursonne; Bracelet du Piloztère; Ceinture de Gein; Chapeau de Gein; Voile d'encre; Bottes de la Cour Sombre; Dofus Pourpre; Dofus Turquoise; Dofus Ocre; Dofus des Glaces; Nomade; Remueur; Kramkram</t>
        </is>
      </c>
    </row>
    <row r="14104">
      <c r="A14104" t="inlineStr">
        <is>
          <t>douzsix</t>
        </is>
      </c>
      <c r="B14104">
        <f>HYPERLINK("https://www.dofusbook.net/fr/equipement/577900-douzsix/objets", "link")</f>
        <v/>
      </c>
      <c r="C14104" t="n">
        <v>5</v>
      </c>
      <c r="D14104" t="inlineStr">
        <is>
          <t>Héqache; Amulette du Kamasterisk; Bracelet du Piloztère; Alliance Gloursonne; Ceintouse; Casque Dragoeuf; Cape du Kamasterisk; Tentassons; Dofus Turquoise; Dolmanax; Dofus Pourpre; Dofus des Glaces; Nomade; Remueur; Dragodinde en armure</t>
        </is>
      </c>
    </row>
    <row r="14105">
      <c r="A14105" t="inlineStr">
        <is>
          <t>Stuff 3</t>
        </is>
      </c>
      <c r="B14105">
        <f>HYPERLINK("https://www.dofusbook.net/fr/equipement/128779-stuff-3/objets", "link")</f>
        <v/>
      </c>
      <c r="C14105" t="n">
        <v>0</v>
      </c>
      <c r="D14105" t="inlineStr">
        <is>
          <t>Marteau de Katrepat; Amulette du Strigide; Bague Gloursonne; Anneau Crustique; Sept ans de malheur; Ceintouse; Chapoulpe; Cape de la Cour Sombre; Pataugastrique; Dolmanax; Dofus des Glaces; Dofus Pourpre; Obstructeur majeur; Remueur; Bloqueur majeur; Muldo Roux et Orchidée</t>
        </is>
      </c>
    </row>
    <row r="14106">
      <c r="A14106" t="inlineStr">
        <is>
          <t>pvpfb</t>
        </is>
      </c>
      <c r="B14106">
        <f>HYPERLINK("https://www.dofusbook.net/fr/equipement/1287293-pvpfb/objets", "link")</f>
        <v/>
      </c>
      <c r="C14106" t="n">
        <v>2</v>
      </c>
      <c r="D14106" t="inlineStr">
        <is>
          <t>Epée Toche; Amulette du Strigide; Bague Gloursonne; Chevalière du Roi Joueur; Ceinture de Gein; Casque Dragoeuf; Voile d'encre; Bottes du Roi Joueur; Dofus Turquoise; Dofus Pourpre; Dolmanax; Remueur; Nomade; Kramkram</t>
        </is>
      </c>
    </row>
    <row r="14107">
      <c r="A14107" t="inlineStr">
        <is>
          <t>dzsrs</t>
        </is>
      </c>
      <c r="B14107">
        <f>HYPERLINK("https://www.dofusbook.net/fr/equipement/1249335-dzsrs/objets", "link")</f>
        <v/>
      </c>
      <c r="C14107" t="n">
        <v>0</v>
      </c>
      <c r="D14107" t="inlineStr">
        <is>
          <t>Amulette du Strigide; Anneau Tique; Alliance Gloursonne; Ceinture Voldelor; Némès de Tal Kasha; Chevelure de Tal Kasha; Pataugastrique; Dolmanax; Dofus Turquoise; Dofus Pourpre; Remueur; Muldo Roux et Ebène</t>
        </is>
      </c>
    </row>
    <row r="14108">
      <c r="A14108" t="inlineStr">
        <is>
          <t>douzsis</t>
        </is>
      </c>
      <c r="B14108">
        <f>HYPERLINK("https://www.dofusbook.net/fr/equipement/446959-douzsis/objets", "link")</f>
        <v/>
      </c>
      <c r="C14108" t="n">
        <v>0</v>
      </c>
      <c r="D14108" t="inlineStr"/>
    </row>
    <row r="14109">
      <c r="A14109" t="inlineStr">
        <is>
          <t>sambad</t>
        </is>
      </c>
      <c r="B14109">
        <f>HYPERLINK("https://www.dofusbook.net/fr/equipement/1144230-sambad/objets", "link")</f>
        <v/>
      </c>
      <c r="C14109" t="n">
        <v>1</v>
      </c>
      <c r="D14109" t="inlineStr">
        <is>
          <t>Dagues de Srambad; Amulette de l'Indicible; Anneau Chevelu; Bracelet du Piloztère; Bouclier du Captain Amakna; Ceinture de la Reine des Voleurs; Coiffe de la Reine des Voleurs; Ankhape; Sabots Minables; Dofus Pourpre; Dolmanax; Dofus des Glaces; Nomade; Remueur; Vigoureux majeur; Kramkram</t>
        </is>
      </c>
    </row>
    <row r="14110">
      <c r="A14110" t="inlineStr">
        <is>
          <t>douzsixepic</t>
        </is>
      </c>
      <c r="B14110">
        <f>HYPERLINK("https://www.dofusbook.net/fr/equipement/877065-douzsixepic/objets", "link")</f>
        <v/>
      </c>
      <c r="C14110" t="n">
        <v>0</v>
      </c>
      <c r="D14110" t="inlineStr">
        <is>
          <t>Marteau des Anciens Steamers; Amulette du Strigide; Alliance Gloursonne; Bracelet du Piloztère; Ceinture Voldelor; Némès de Tal Kasha; Chevelure de Tal Kasha; Pataugastrique; Dofus Turquoise; Dofus Pourpre; Dolmanax; Nomade; Étourdisseur majeur; Remueur; Kramkram</t>
        </is>
      </c>
    </row>
    <row r="14111">
      <c r="A14111" t="inlineStr">
        <is>
          <t>pandapvm200</t>
        </is>
      </c>
      <c r="B14111">
        <f>HYPERLINK("https://www.dofusbook.net/fr/equipement/802945-pandapvm200/objets", "link")</f>
        <v/>
      </c>
      <c r="C14111" t="n">
        <v>0</v>
      </c>
      <c r="D14111" t="inlineStr">
        <is>
          <t>Dagoulinantes; Amulette de Shokkoth; Bracelet des Fonds marins; Alliance Gloursonne; Bouclier du Captain Amakna; Pagne du Rykaon; Kidibonnet; Cape du Sinistrofu; Bottes du Sinistrofu; Dévastateur Eau majeur; Remueur; Nomade; Chanceux majeur; Fonceur majeur; Vigoureux majeur; Dehluge</t>
        </is>
      </c>
    </row>
    <row r="14112">
      <c r="A14112" t="inlineStr">
        <is>
          <t>pvm200</t>
        </is>
      </c>
      <c r="B14112">
        <f>HYPERLINK("https://www.dofusbook.net/fr/equipement/802714-pvm200/objets", "link")</f>
        <v/>
      </c>
      <c r="C14112" t="n">
        <v>0</v>
      </c>
      <c r="D14112" t="inlineStr">
        <is>
          <t>Dagoulinantes; Amulette de Shokkoth; Alliance Gloursonne; Pikano; Quatre-feuilles; Ceinture Glaciale; Casquipik; Cape Tif; Pataugastrique; Entraveur majeur; Remueur; Temporiseur majeur; Chanceux majeur; Ralentisseur majeur; Nomade; Dehluge</t>
        </is>
      </c>
    </row>
    <row r="14113">
      <c r="A14113" t="inlineStr">
        <is>
          <t>Stuff 3</t>
        </is>
      </c>
      <c r="B14113">
        <f>HYPERLINK("https://www.dofusbook.net/fr/equipement/128773-stuff-3/objets", "link")</f>
        <v/>
      </c>
      <c r="C14113" t="n">
        <v>0</v>
      </c>
      <c r="D14113" t="inlineStr">
        <is>
          <t>Baguette de Malléfisk; Pendentif mignon de Koutoulou; Anneau de Nidas; Anneau Rifique; Ceinture de Gein; Coiffe Séculaire; Voile d'encre; Bottes Innommables; Dofus Émeraude; Dofus Ocre; Dolmanax; Nomade; Remueur; Érudit majeur</t>
        </is>
      </c>
    </row>
    <row r="14114">
      <c r="A14114" t="inlineStr">
        <is>
          <t>Stuff 1</t>
        </is>
      </c>
      <c r="B14114">
        <f>HYPERLINK("https://www.dofusbook.net/fr/equipement/128807-stuff-1/objets", "link")</f>
        <v/>
      </c>
      <c r="C14114" t="n">
        <v>0</v>
      </c>
      <c r="D14114" t="inlineStr">
        <is>
          <t>Arc Hétype; Amulette Cryochrone; Anneau Cryochrone; Anneau Tique; Ceinture de Gein; Couronne de Nidas; Voile d'encre; Bottes Innommables; Dofus Ocre; Cavaleur majeur; Remueur; Évasif majeur; Carapace Air majeur; Érudit majeur</t>
        </is>
      </c>
    </row>
    <row r="14115">
      <c r="A14115" t="inlineStr">
        <is>
          <t>Stuff 1</t>
        </is>
      </c>
      <c r="B14115">
        <f>HYPERLINK("https://www.dofusbook.net/fr/equipement/128801-stuff-1/objets", "link")</f>
        <v/>
      </c>
      <c r="C14115" t="n">
        <v>0</v>
      </c>
      <c r="D14115" t="inlineStr">
        <is>
          <t>Épée du Granduk; Amulette du Granduk; Anneau du Professeur Xa; Alliance Gloursonne; Ceinture de Klime; Couronne d'Allister; Cape Matelassée; Pantoufles Émar; Equilibriste majeur; Nomade; Acrobate majeur; Cascadeur majeur; Vigoureux majeur; Remueur; Siroko</t>
        </is>
      </c>
    </row>
    <row r="14116">
      <c r="A14116" t="inlineStr">
        <is>
          <t>Stuff 3</t>
        </is>
      </c>
      <c r="B14116">
        <f>HYPERLINK("https://www.dofusbook.net/fr/equipement/128796-stuff-3/objets", "link")</f>
        <v/>
      </c>
      <c r="C14116" t="n">
        <v>3</v>
      </c>
      <c r="D14116" t="inlineStr">
        <is>
          <t>Manthache; Collier du Valet Veinard; Alliance Gloursonne; Gant du Valet Veinard; Menoture; Casque Dragoeuf; Cape du Kamasterisk; Palmes Trithons; Dolmanax; Dofus Pourpre; Nomade; Cascadeur majeur; Miraculé majeur; Remueur</t>
        </is>
      </c>
    </row>
    <row r="14117">
      <c r="A14117" t="inlineStr">
        <is>
          <t>Stuff 2</t>
        </is>
      </c>
      <c r="B14117">
        <f>HYPERLINK("https://www.dofusbook.net/fr/equipement/128775-stuff-2/objets", "link")</f>
        <v/>
      </c>
      <c r="C14117" t="n">
        <v>0</v>
      </c>
      <c r="D14117" t="inlineStr">
        <is>
          <t>Rapière aux Glyphes; Amulette du Strigide; Bracelet des Fonds marins; Alliance Gloursonne; Sangle Ouare; Kidibonnet; Cape des Malveilleurs; Sandales des Fonds marins; Carapace Eau majeur; Culbuteur majeur; Remueur; Bousculeur majeur; Chanceux majeur; Miraculé majeur</t>
        </is>
      </c>
    </row>
    <row r="14118">
      <c r="A14118" t="inlineStr">
        <is>
          <t>Stuff 3</t>
        </is>
      </c>
      <c r="B14118">
        <f>HYPERLINK("https://www.dofusbook.net/fr/equipement/128809-stuff-3/objets", "link")</f>
        <v/>
      </c>
      <c r="C14118" t="n">
        <v>0</v>
      </c>
      <c r="D14118" t="inlineStr">
        <is>
          <t>Rapière aux Glyphes; Amulette de Shokkoth; Alliance Gloursonne; Bracelet des Fonds marins; Cadran d'Air; Poulpagne; Casque Dragoeuf; Cape de l'Œil Attentif; Sandales des Fonds marins; Dofus Pourpre; Carapace Eau majeur; Fonceur majeur; Chanceux majeur; Miraculé majeur; Remueur; Muldo Indigo et Pourpre</t>
        </is>
      </c>
    </row>
    <row r="14119">
      <c r="A14119" t="inlineStr">
        <is>
          <t>Stuff 1</t>
        </is>
      </c>
      <c r="B14119">
        <f>HYPERLINK("https://www.dofusbook.net/fr/equipement/128800-stuff-1/objets", "link")</f>
        <v/>
      </c>
      <c r="C14119" t="n">
        <v>0</v>
      </c>
      <c r="D14119" t="inlineStr">
        <is>
          <t>Manthache; Collier du Valet Veinard; Gant du Valet Veinard; Alliance Gloursonne; Menoture; Couronne d'Allister; Cape Indescriptible; Palmes Trithons; Dofus Pourpre; Cascadeur majeur; Vigoureux majeur; Nomade; Equilibriste majeur; Remueur; Siroko</t>
        </is>
      </c>
    </row>
    <row r="14120">
      <c r="A14120" t="inlineStr">
        <is>
          <t>Stuff 2</t>
        </is>
      </c>
      <c r="B14120">
        <f>HYPERLINK("https://www.dofusbook.net/fr/equipement/128795-stuff-2/objets", "link")</f>
        <v/>
      </c>
      <c r="C14120" t="n">
        <v>2</v>
      </c>
      <c r="D14120" t="inlineStr">
        <is>
          <t>Marteau des Anciens Steamers; Amulette du Strigide; Anneau Tique; Alliance Gloursonne; Ceintacé; Masque du Barbétoal; Chevelure de Tal Kasha; Sandales de Tal Kasha; Dolmanax; Dofus Turquoise; Dofus Pourpre; Miraculé majeur; Remueur; Nomade</t>
        </is>
      </c>
    </row>
    <row r="14121">
      <c r="A14121" t="inlineStr">
        <is>
          <t>Stuff 1</t>
        </is>
      </c>
      <c r="B14121">
        <f>HYPERLINK("https://www.dofusbook.net/fr/equipement/128774-stuff-1/objets", "link")</f>
        <v/>
      </c>
      <c r="C14121" t="n">
        <v>2</v>
      </c>
      <c r="D14121" t="inlineStr">
        <is>
          <t>Rapière aux Glyphes; Amulette Luminescente; Bracelet des Fonds marins; Alliance Gloursonne; Ceinture Luminescente; Masque des Fonds marins; Cape Luminescente; Sandales des Fonds marins; Dofus Ocre; Dofus Pourpre; Dolmanax; Dofus Émeraude; Pousseur majeur; Bousculeur majeur</t>
        </is>
      </c>
    </row>
    <row r="14122">
      <c r="A14122" t="inlineStr">
        <is>
          <t>Stuff 3</t>
        </is>
      </c>
      <c r="B14122">
        <f>HYPERLINK("https://www.dofusbook.net/fr/equipement/128803-stuff-3/objets", "link")</f>
        <v/>
      </c>
      <c r="C14122" t="n">
        <v>0</v>
      </c>
      <c r="D14122" t="inlineStr">
        <is>
          <t>Arc Nécrotique; Collier de la Dame du Hasard; Alliance Gloursonne; Anneau Tique; Ceintrigue; Casque Dragoeuf; Cape de la Dame du Hasard; Pataugastrique; Dofus des Glaces; Dofus Pourpre; Dolmanax; Dofus Turquoise; Vigoureux majeur; Remueur</t>
        </is>
      </c>
    </row>
    <row r="14123">
      <c r="A14123" t="inlineStr">
        <is>
          <t>Stuff 3</t>
        </is>
      </c>
      <c r="B14123">
        <f>HYPERLINK("https://www.dofusbook.net/fr/equipement/128776-stuff-3/objets", "link")</f>
        <v/>
      </c>
      <c r="C14123" t="n">
        <v>4</v>
      </c>
      <c r="D14123" t="inlineStr">
        <is>
          <t>Epée Gloursonne; Amulette du Strigide; Alliance Gloursonne; Bague Gloursonne; Ceinture du Strigide; Némès de Tal Kasha; Chevelure de Tal Kasha; Bottes du Strigide; Dolmanax; Dofus Turquoise; Dofus Vulbis; Dofus Pourpre; Dofus des Glaces; Dofus Émeraude</t>
        </is>
      </c>
    </row>
    <row r="14124">
      <c r="A14124" t="inlineStr">
        <is>
          <t>Stuff 1</t>
        </is>
      </c>
      <c r="B14124">
        <f>HYPERLINK("https://www.dofusbook.net/fr/equipement/128810-stuff-1/objets", "link")</f>
        <v/>
      </c>
      <c r="C14124" t="n">
        <v>0</v>
      </c>
      <c r="D14124" t="inlineStr">
        <is>
          <t>Bêche Asse; Amulette Héroclite; Anneau Chevelu; Anneau de Brouce; Ceinture de Brouce; Casque de Missiz Frizz; Voile d'encre; Chaussures Hau; Dofus Ocre; Dofus Turquoise; Dofus Pourpre; Nomade; Remueur; Enragé majeur</t>
        </is>
      </c>
    </row>
    <row r="14125">
      <c r="A14125" t="inlineStr">
        <is>
          <t>Stuff 2</t>
        </is>
      </c>
      <c r="B14125">
        <f>HYPERLINK("https://www.dofusbook.net/fr/equipement/128805-stuff-2/objets", "link")</f>
        <v/>
      </c>
      <c r="C14125" t="n">
        <v>0</v>
      </c>
      <c r="D14125" t="inlineStr">
        <is>
          <t>Dagues d'Ilyzaelle; Amulette du Strigide; Alliance Brûlâme; Bague Gloursonne; Sept ans de malheur; Ceinture de Gein; Chapeau de Gein; Voile d'encre; Pataugastrique; Dofus Turquoise; Dofus des Glaces; Dofus Pourpre; Remueur; Étourdisseur majeur; Nomade; Kramkram</t>
        </is>
      </c>
    </row>
    <row r="14126">
      <c r="A14126" t="inlineStr">
        <is>
          <t>Stuff 3</t>
        </is>
      </c>
      <c r="B14126">
        <f>HYPERLINK("https://www.dofusbook.net/fr/equipement/128773-stuff-3/objets", "link")</f>
        <v/>
      </c>
      <c r="C14126" t="n">
        <v>0</v>
      </c>
      <c r="D14126" t="inlineStr">
        <is>
          <t>Baguette de Malléfisk; Pendentif mignon de Koutoulou; Anneau de Nidas; Anneau Rifique; Ceinture de Gein; Coiffe Séculaire; Voile d'encre; Bottes Innommables; Dolmanax; Dofus Émeraude; Dofus Ocre; Nomade; Remueur; Érudit majeur</t>
        </is>
      </c>
    </row>
    <row r="14127">
      <c r="A14127" t="inlineStr">
        <is>
          <t>Stuff 1</t>
        </is>
      </c>
      <c r="B14127">
        <f>HYPERLINK("https://www.dofusbook.net/fr/equipement/128807-stuff-1/objets", "link")</f>
        <v/>
      </c>
      <c r="C14127" t="n">
        <v>0</v>
      </c>
      <c r="D14127" t="inlineStr">
        <is>
          <t>Arc Hétype; Amulette Cryochrone; Anneau Cryochrone; Anneau Tique; Ceinture de Gein; Couronne de Nidas; Voile d'encre; Bottes Innommables; Dofus Ocre; Cavaleur majeur; Remueur; Évasif majeur; Carapace Air majeur; Érudit majeur</t>
        </is>
      </c>
    </row>
    <row r="14128">
      <c r="A14128" t="inlineStr">
        <is>
          <t>Stuff 1</t>
        </is>
      </c>
      <c r="B14128">
        <f>HYPERLINK("https://www.dofusbook.net/fr/equipement/128801-stuff-1/objets", "link")</f>
        <v/>
      </c>
      <c r="C14128" t="n">
        <v>0</v>
      </c>
      <c r="D14128" t="inlineStr">
        <is>
          <t>Épée du Granduk; Amulette du Granduk; Anneau du Professeur Xa; Alliance Gloursonne; Ceinture de Klime; Couronne d'Allister; Cape Matelassée; Pantoufles Émar; Acrobate majeur; Cascadeur majeur; Vigoureux majeur; Remueur; Equilibriste majeur; Nomade; Siroko</t>
        </is>
      </c>
    </row>
    <row r="14129">
      <c r="A14129" t="inlineStr">
        <is>
          <t>Stuff 3</t>
        </is>
      </c>
      <c r="B14129">
        <f>HYPERLINK("https://www.dofusbook.net/fr/equipement/128796-stuff-3/objets", "link")</f>
        <v/>
      </c>
      <c r="C14129" t="n">
        <v>3</v>
      </c>
      <c r="D14129" t="inlineStr">
        <is>
          <t>Manthache; Collier du Valet Veinard; Alliance Gloursonne; Gant du Valet Veinard; Menoture; Casque Dragoeuf; Cape du Kamasterisk; Palmes Trithons; Dolmanax; Dofus Pourpre; Nomade; Cascadeur majeur; Miraculé majeur; Remueur</t>
        </is>
      </c>
    </row>
    <row r="14130">
      <c r="A14130" t="inlineStr">
        <is>
          <t>air</t>
        </is>
      </c>
      <c r="B14130">
        <f>HYPERLINK("https://www.dofusbook.net/fr/equipement/2961657-air/objets", "link")</f>
        <v/>
      </c>
      <c r="C14130" t="n">
        <v>11</v>
      </c>
      <c r="D14130" t="inlineStr">
        <is>
          <t>Lance Horselé; Collier du Valet Veinard; Alliance Gloursonne; Gant du Valet Veinard; Cadran de Terre; Menoture; Couronne d'Allister; Cape Indescriptible; Palmes Trithons; Dofus Pourpre; Remueur; Nomade; Dévastateur Air majeur; Étourdisseur majeur; Muldo Ebène</t>
        </is>
      </c>
    </row>
    <row r="14131">
      <c r="A14131" t="inlineStr">
        <is>
          <t>BOUM</t>
        </is>
      </c>
      <c r="B14131">
        <f>HYPERLINK("https://www.dofusbook.net/fr/equipement/787092-boum/objets", "link")</f>
        <v/>
      </c>
      <c r="C14131" t="n">
        <v>3</v>
      </c>
      <c r="D14131" t="inlineStr">
        <is>
          <t>Epée Gloursonne; Amulette de l'Indicible; Bague Gloursonne; Alliance Gloursonne; Bouclier du Stalak; Ceinture de l'Indicible; Masque de l'Esprit Salvateur; Cape Routh; Bottes de l'Indicible; Dolmanax; Dofus Ocre; Dofus Pourpre; Dokoko; Dofus des Glaces; Robuste majeur; Muldo Pourpre</t>
        </is>
      </c>
    </row>
    <row r="14132">
      <c r="A14132" t="inlineStr">
        <is>
          <t>TestNewSram</t>
        </is>
      </c>
      <c r="B14132">
        <f>HYPERLINK("https://www.dofusbook.net/fr/equipement/2804227-testnewsram/objets", "link")</f>
        <v/>
      </c>
      <c r="C14132" t="n">
        <v>2</v>
      </c>
      <c r="D14132" t="inlineStr">
        <is>
          <t>Dagues Érhy; Amulette Luminescente; Chevalière du Roi Joueur; Alliance Brûlâme; Bouclier du Stalak; Ceinture Luminescente; Masque Brûlâme; Cape Routh; Pompes Funèbres; Dofus des Glaces; Dofus Vulbis; Dofus Nébuleux; Dofus Abyssal; Dofus Pourpre; Dofus Ocre; Dragodinde en armure</t>
        </is>
      </c>
    </row>
    <row r="14133">
      <c r="A14133" t="inlineStr">
        <is>
          <t>pvp</t>
        </is>
      </c>
      <c r="B14133">
        <f>HYPERLINK("https://www.dofusbook.net/fr/equipement/951154-pvp/objets", "link")</f>
        <v/>
      </c>
      <c r="C14133" t="n">
        <v>0</v>
      </c>
      <c r="D14133" t="inlineStr">
        <is>
          <t>Bâton du Manitou Zoth</t>
        </is>
      </c>
    </row>
    <row r="14134">
      <c r="A14134" t="inlineStr">
        <is>
          <t>Incarnafion</t>
        </is>
      </c>
      <c r="B14134">
        <f>HYPERLINK("https://www.dofusbook.net/fr/equipement/894832-incarnafion/objets", "link")</f>
        <v/>
      </c>
      <c r="C14134" t="n">
        <v>4</v>
      </c>
      <c r="D14134" t="inlineStr">
        <is>
          <t>Marteau d'Hectaupe; Amulette du Granduk; Gant du Valet Veinard; Alliance Gloursonne; Bouclier du Stalak; Menoture; Chapibou; Cape du Valet Veinard; Bottes de l'Indicible; Dofus des Glaces; Dofus Ocre; Cascadeur majeur; Dévastateur Air majeur; Fonceur majeur; Nomade; Croum</t>
        </is>
      </c>
    </row>
    <row r="14135">
      <c r="A14135" t="inlineStr">
        <is>
          <t>edracaca</t>
        </is>
      </c>
      <c r="B14135">
        <f>HYPERLINK("https://www.dofusbook.net/fr/equipement/858876-edracaca/objets", "link")</f>
        <v/>
      </c>
      <c r="C14135" t="n">
        <v>1</v>
      </c>
      <c r="D14135" t="inlineStr">
        <is>
          <t>Dagues de Srambad; Amulette de Shokkoth; Bague Gloursonne; Alliance Gloursonne; Bouclier du Stalak; Ceinture de la Reine des Voleurs; Coiffe de la Reine des Voleurs; Voile d'encre; Bottes de la Reine des Voleurs; Dofus des Glaces; Dofus Pourpre; Dokoko; Dofus Ocre; Vagabond majeur; Ralentisseur majeur; Muldo Orchidée et Pourpre</t>
        </is>
      </c>
    </row>
    <row r="14136">
      <c r="A14136" t="inlineStr">
        <is>
          <t>Stuff 2</t>
        </is>
      </c>
      <c r="B14136">
        <f>HYPERLINK("https://www.dofusbook.net/fr/equipement/734987-stuff-2/objets", "link")</f>
        <v/>
      </c>
      <c r="C14136" t="n">
        <v>2</v>
      </c>
      <c r="D14136" t="inlineStr">
        <is>
          <t>Hache Téroïde; Pendentif affamé; Chevalière du Roi Joueur; Bague Gloursonne; Bouclier du Stalak; Ceintacé; Chapeau de Gein; Voile d'encre; Bottes du Roi Joueur; Dofus Pourpre; Dofus des Glaces; Dofus Turquoise; Dofus Ocre; Muldo Orchidée et Pourpre</t>
        </is>
      </c>
    </row>
    <row r="14137">
      <c r="A14137" t="inlineStr">
        <is>
          <t>DDM edra</t>
        </is>
      </c>
      <c r="B14137">
        <f>HYPERLINK("https://www.dofusbook.net/fr/equipement/856884-ddm-edra/objets", "link")</f>
        <v/>
      </c>
      <c r="C14137" t="n">
        <v>0</v>
      </c>
      <c r="D14137" t="inlineStr"/>
    </row>
    <row r="14138">
      <c r="A14138" t="inlineStr">
        <is>
          <t>BOUM2</t>
        </is>
      </c>
      <c r="B14138">
        <f>HYPERLINK("https://www.dofusbook.net/fr/equipement/786917-boum2/objets", "link")</f>
        <v/>
      </c>
      <c r="C14138" t="n">
        <v>0</v>
      </c>
      <c r="D14138" t="inlineStr">
        <is>
          <t>Alliance Gloursonne; Bouclier du Stalak; Dokoko; Dofus des Glaces; Dolmanax; Dofus Ocre; Dofus Pourpre; Dofus Abyssal; Muldo Indigo et Pourpre</t>
        </is>
      </c>
    </row>
    <row r="14139">
      <c r="A14139" t="inlineStr">
        <is>
          <t>lucas</t>
        </is>
      </c>
      <c r="B14139">
        <f>HYPERLINK("https://www.dofusbook.net/fr/equipement/736033-lucas/objets", "link")</f>
        <v/>
      </c>
      <c r="C14139" t="n">
        <v>0</v>
      </c>
      <c r="D14139" t="inlineStr">
        <is>
          <t>Dague Hirr; Amulette du Kamasterisk; Bracelet du Piloztère; Bague Gloursonne; Jadis; Ceintouse; Chapoulpe; Cape du Kamasterisk; Tentassons; Dofus Ocre; Dofus Pourpre; Dokoko; Dofus Turquoise; Dofus des Glaces; Dofus Émeraude</t>
        </is>
      </c>
    </row>
    <row r="14140">
      <c r="A14140" t="inlineStr">
        <is>
          <t>lolol</t>
        </is>
      </c>
      <c r="B14140">
        <f>HYPERLINK("https://www.dofusbook.net/fr/equipement/735027-lolol/objets", "link")</f>
        <v/>
      </c>
      <c r="C14140" t="n">
        <v>4</v>
      </c>
      <c r="D14140" t="inlineStr">
        <is>
          <t>Sceptre du Roi Joueur; Amulette de Shokkoth; Alliance du Lévitrof; Bracelet des Fonds marins; Ceintrigue; Casquette de Meno; Cape de Meno; Pataugastrique; Dofus des Glaces; Dofus Émeraude; Dofus Turquoise; Dofus Pourpre; Dofus Ocre; Nomade</t>
        </is>
      </c>
    </row>
    <row r="14141">
      <c r="A14141" t="inlineStr">
        <is>
          <t>Stuff 3</t>
        </is>
      </c>
      <c r="B14141">
        <f>HYPERLINK("https://www.dofusbook.net/fr/equipement/734993-stuff-3/objets", "link")</f>
        <v/>
      </c>
      <c r="C14141" t="n">
        <v>2</v>
      </c>
      <c r="D14141" t="inlineStr">
        <is>
          <t>Pelle de la Cour Sombre; Amulette du Strigide; Alliance Gloursonne; Gant du Valet Veinard; Menoture; Masque de Klime; Cape de Klime; Palmes Trithons; Dofus Turquoise; Cascadeur majeur; Nomade; Fonceur majeur; Remueur; Carapace Air majeur; Croum</t>
        </is>
      </c>
    </row>
    <row r="14142">
      <c r="A14142" t="inlineStr">
        <is>
          <t>Stuff 1</t>
        </is>
      </c>
      <c r="B14142">
        <f>HYPERLINK("https://www.dofusbook.net/fr/equipement/734988-stuff-1/objets", "link")</f>
        <v/>
      </c>
      <c r="C14142" t="n">
        <v>4</v>
      </c>
      <c r="D14142" t="inlineStr">
        <is>
          <t>Pelle de la Cour Sombre; Amulette du Strigide; Alliance Gloursonne; Anneau d'Allister; Ceinture du Barbétoal; Masque de Klime; Cape de Klime; Baleinabottes; Dofus Turquoise; Dolmanax; Obstructeur majeur; Cascadeur majeur; Nomade; Remueur; Dragodinde en armure</t>
        </is>
      </c>
    </row>
    <row r="14143">
      <c r="A14143" t="inlineStr">
        <is>
          <t>Stuff 3</t>
        </is>
      </c>
      <c r="B14143">
        <f>HYPERLINK("https://www.dofusbook.net/fr/equipement/734999-stuff-3/objets", "link")</f>
        <v/>
      </c>
      <c r="C14143" t="n">
        <v>0</v>
      </c>
      <c r="D14143" t="inlineStr">
        <is>
          <t>Hache Ériphe; Amulette du Strigide; Anneau des égarés; Anneau de la Fuji Givrefoux; Ceinture du Strigide; Coiffe de la Fuji Givrefoux; Cape de la Fuji Givrefoux; Bottes de la Fuji Givrefoux; Dragodinde en armure</t>
        </is>
      </c>
    </row>
    <row r="14144">
      <c r="A14144" t="inlineStr">
        <is>
          <t>Stuff 1</t>
        </is>
      </c>
      <c r="B14144">
        <f>HYPERLINK("https://www.dofusbook.net/fr/equipement/734994-stuff-1/objets", "link")</f>
        <v/>
      </c>
      <c r="C14144" t="n">
        <v>1</v>
      </c>
      <c r="D14144" t="inlineStr">
        <is>
          <t>Arc Hétype; Amulette de Nileza; Bague Gloursonne; Anneau Tamie; Slip du Roi de Bonta; Chapeau Potin; Voile d'encre; Bottes de Nileza; Dofus Turquoise; Nomade; Savant majeur; Remueur; Carapace Terre majeur; Érudit majeur; Croum</t>
        </is>
      </c>
    </row>
    <row r="14145">
      <c r="A14145" t="inlineStr">
        <is>
          <t>Stuff 2</t>
        </is>
      </c>
      <c r="B14145">
        <f>HYPERLINK("https://www.dofusbook.net/fr/equipement/734989-stuff-2/objets", "link")</f>
        <v/>
      </c>
      <c r="C14145" t="n">
        <v>0</v>
      </c>
      <c r="D14145" t="inlineStr">
        <is>
          <t>Pelle de la Cour Sombre; Amulette du Strigide; Alliance Gloursonne; Anneau d'Allister; Ceinture Rasboulaire du Rasboul; Chapeau des Malveilleurs; Cape des Malveilleurs; Baleinabottes; Dofus Turquoise; Cascadeur majeur; Remueur; Acrobate majeur; Obstructeur majeur; Nomade; Croum</t>
        </is>
      </c>
    </row>
    <row r="14146">
      <c r="A14146" t="inlineStr">
        <is>
          <t>Stuff 2</t>
        </is>
      </c>
      <c r="B14146">
        <f>HYPERLINK("https://www.dofusbook.net/fr/equipement/734984-stuff-2/objets", "link")</f>
        <v/>
      </c>
      <c r="C14146" t="n">
        <v>0</v>
      </c>
      <c r="D14146" t="inlineStr">
        <is>
          <t>Marteau Phossile; Amulette du Strigide; Kralano; Alliance Gloursonne; Ceinture de Vortex; Cagoule de Vortex; Voile d'encre; Pantoufles Émar; Dofus Turquoise; Dofus Pourpre; Vigoureux majeur; Remueur; Obstructeur majeur; Nomade; Dragodinde en armure</t>
        </is>
      </c>
    </row>
    <row r="14147">
      <c r="A14147" t="inlineStr">
        <is>
          <t>Stuff 2</t>
        </is>
      </c>
      <c r="B14147">
        <f>HYPERLINK("https://www.dofusbook.net/fr/equipement/735006-stuff-2/objets", "link")</f>
        <v/>
      </c>
      <c r="C14147" t="n">
        <v>4</v>
      </c>
      <c r="D14147" t="inlineStr">
        <is>
          <t>Arc Hétype; Pendentif affamé; Bague Gloursonne; Anneau de Nidas; Ceinture Séculaire; Couronne de Nidas; Voile d'encre; Pataugastrique; Déserteur majeur; Érudit majeur; Nomade; Remueur; Miraculé majeur; Carapace Feu majeur; El Scarador</t>
        </is>
      </c>
    </row>
    <row r="14148">
      <c r="A14148" t="inlineStr">
        <is>
          <t>Stuff 2</t>
        </is>
      </c>
      <c r="B14148">
        <f>HYPERLINK("https://www.dofusbook.net/fr/equipement/735001-stuff-2/objets", "link")</f>
        <v/>
      </c>
      <c r="C14148" t="n">
        <v>0</v>
      </c>
      <c r="D14148" t="inlineStr">
        <is>
          <t>Baguette Hique; Amulette Ementaire Deluxe; Alliance Gloursonne; Anneau du Cycloïde; Ceintacé; Coiffe du Lévitrof; Voile d'encre; Bottes du Lévitrof; Dofus des Glaces; Chanceux majeur; Nomade; Remueur; Enragé majeur; Robuste majeur; Péki</t>
        </is>
      </c>
    </row>
    <row r="14149">
      <c r="A14149" t="inlineStr">
        <is>
          <t>Stuff 3</t>
        </is>
      </c>
      <c r="B14149">
        <f>HYPERLINK("https://www.dofusbook.net/fr/equipement/734996-stuff-3/objets", "link")</f>
        <v/>
      </c>
      <c r="C14149" t="n">
        <v>1</v>
      </c>
      <c r="D14149" t="inlineStr">
        <is>
          <t>Dagues de Srambad; Amulette de Pol Ouatnos; Alliance Gloursonne; Pikano; Ceinture de la Reine des Voleurs; Coiffe de la Reine des Voleurs; Cape des Justiciers; Pantoufles du Piloztère; Dragodinde en armure</t>
        </is>
      </c>
    </row>
    <row r="14150">
      <c r="A14150" t="inlineStr">
        <is>
          <t>Stuff 1</t>
        </is>
      </c>
      <c r="B14150">
        <f>HYPERLINK("https://www.dofusbook.net/fr/equipement/734991-stuff-1/objets", "link")</f>
        <v/>
      </c>
      <c r="C14150" t="n">
        <v>2</v>
      </c>
      <c r="D14150" t="inlineStr">
        <is>
          <t>Marteau Reine; Amulette du Strigide; Bracelet du Piloztère; Bague Gloursonne; Ceinture du Strigide; Casque des égarés; Cape au Logis; Baleinabottes; Dofus Turquoise; Dofus Pourpre; Remueur; Déserteur majeur; El Scarador</t>
        </is>
      </c>
    </row>
    <row r="14151">
      <c r="A14151" t="inlineStr">
        <is>
          <t>Stuff 1</t>
        </is>
      </c>
      <c r="B14151">
        <f>HYPERLINK("https://www.dofusbook.net/fr/equipement/734986-stuff-1/objets", "link")</f>
        <v/>
      </c>
      <c r="C14151" t="n">
        <v>2</v>
      </c>
      <c r="D14151" t="inlineStr">
        <is>
          <t>Hache du Guerrier Zoth; Amulette du Glourséleste; Pikano; Anneau Tamie; Ceinture Glaciale; Chapeau Potin; Cape de Léthaline; Pikottes; Dofus Cawotte; Entraveur; Entraveur majeur; Temporiseur; Remueur; Temporiseur majeur; Tifoux</t>
        </is>
      </c>
    </row>
    <row r="14152">
      <c r="A14152" t="inlineStr">
        <is>
          <t>Stuff 1</t>
        </is>
      </c>
      <c r="B14152">
        <f>HYPERLINK("https://www.dofusbook.net/fr/equipement/735003-stuff-1/objets", "link")</f>
        <v/>
      </c>
      <c r="C14152" t="n">
        <v>2</v>
      </c>
      <c r="D14152" t="inlineStr">
        <is>
          <t>Amulette du Strigide; Alliance Gloursonne; Kralano; Ceinture de Vortex; Cagoule de Vortex; Voile d'encre; Pataugastrique</t>
        </is>
      </c>
    </row>
    <row r="14153">
      <c r="A14153" t="inlineStr">
        <is>
          <t>Stuff 2</t>
        </is>
      </c>
      <c r="B14153">
        <f>HYPERLINK("https://www.dofusbook.net/fr/equipement/734998-stuff-2/objets", "link")</f>
        <v/>
      </c>
      <c r="C14153" t="n">
        <v>0</v>
      </c>
      <c r="D14153" t="inlineStr">
        <is>
          <t>La Baguette des Limbes; Amulette de Gein; Anneau du Katcheur; Bague Gloursonne; Ceinture de Gein; Chapeau de Gein; Voile d'encre; Bottes du Katcheur; Dofus Nébuleux; Dofus Pourpre; Dofus des Glaces; Dolmanax; Dofus Ocre; Robuste majeur; Dragodinde en armure</t>
        </is>
      </c>
    </row>
    <row r="14154">
      <c r="A14154" t="inlineStr">
        <is>
          <t>Stuff 3</t>
        </is>
      </c>
      <c r="B14154">
        <f>HYPERLINK("https://www.dofusbook.net/fr/equipement/734993-stuff-3/objets", "link")</f>
        <v/>
      </c>
      <c r="C14154" t="n">
        <v>2</v>
      </c>
      <c r="D14154" t="inlineStr">
        <is>
          <t>Pelle de la Cour Sombre; Amulette du Strigide; Gant du Valet Veinard; Alliance Gloursonne; Menoture; Masque de Klime; Cape de Klime; Palmes Trithons; Dofus Turquoise; Carapace Air majeur; Cascadeur majeur; Nomade; Fonceur majeur; Remueur; Croum</t>
        </is>
      </c>
    </row>
    <row r="14155">
      <c r="A14155" t="inlineStr">
        <is>
          <t>Stuff 1</t>
        </is>
      </c>
      <c r="B14155">
        <f>HYPERLINK("https://www.dofusbook.net/fr/equipement/734988-stuff-1/objets", "link")</f>
        <v/>
      </c>
      <c r="C14155" t="n">
        <v>4</v>
      </c>
      <c r="D14155" t="inlineStr">
        <is>
          <t>Pelle de la Cour Sombre; Amulette du Strigide; Alliance Gloursonne; Anneau d'Allister; Ceinture du Barbétoal; Masque de Klime; Cape de Klime; Baleinabottes; Dofus Turquoise; Dolmanax; Obstructeur majeur; Cascadeur majeur; Nomade; Remueur; Dragodinde en armure</t>
        </is>
      </c>
    </row>
    <row r="14156">
      <c r="A14156" t="inlineStr">
        <is>
          <t>Stuff 1</t>
        </is>
      </c>
      <c r="B14156">
        <f>HYPERLINK("https://www.dofusbook.net/fr/equipement/734983-stuff-1/objets", "link")</f>
        <v/>
      </c>
      <c r="C14156" t="n">
        <v>0</v>
      </c>
      <c r="D14156" t="inlineStr">
        <is>
          <t>Marteau Reine; Amulette du Strigide; Bracelet du Piloztère; Bague Gloursonne; Ceinture du Strigide; Casque des égarés; Cape au Logis; Baleinabottes; Dofus Turquoise; Dofus Pourpre; Enragé majeur; Vigoureux majeur; Furibond majeur; Remueur; El Scarador</t>
        </is>
      </c>
    </row>
    <row r="14157">
      <c r="A14157" t="inlineStr">
        <is>
          <t>Stuff 1</t>
        </is>
      </c>
      <c r="B14157">
        <f>HYPERLINK("https://www.dofusbook.net/fr/equipement/735004-stuff-1/objets", "link")</f>
        <v/>
      </c>
      <c r="C14157" t="n">
        <v>3</v>
      </c>
      <c r="D14157" t="inlineStr">
        <is>
          <t>Baguette Hique; Amulette Ementaire Deluxe; Alliance du Lévitrof; Alliance Gloursonne; Protopagne; Coiffe du Lévitrof; Voile d'encre; Pataugastrique; Dolmanax; Dofus Pourpre; Dofus des Glaces; Entraveur majeur; Temporiseur majeur; Remueur; Pioute rouge</t>
        </is>
      </c>
    </row>
    <row r="14158">
      <c r="A14158" t="inlineStr">
        <is>
          <t>Stuff 3</t>
        </is>
      </c>
      <c r="B14158">
        <f>HYPERLINK("https://www.dofusbook.net/fr/equipement/734999-stuff-3/objets", "link")</f>
        <v/>
      </c>
      <c r="C14158" t="n">
        <v>0</v>
      </c>
      <c r="D14158" t="inlineStr">
        <is>
          <t>Hache Ériphe; Amulette du Strigide; Anneau de la Fuji Givrefoux; Anneau des égarés; Ceinture du Strigide; Coiffe de la Fuji Givrefoux; Cape de la Fuji Givrefoux; Bottes de la Fuji Givrefoux; Dragodinde en armure</t>
        </is>
      </c>
    </row>
    <row r="14159">
      <c r="A14159" t="inlineStr">
        <is>
          <t>Stuff 1</t>
        </is>
      </c>
      <c r="B14159">
        <f>HYPERLINK("https://www.dofusbook.net/fr/equipement/734994-stuff-1/objets", "link")</f>
        <v/>
      </c>
      <c r="C14159" t="n">
        <v>1</v>
      </c>
      <c r="D14159" t="inlineStr">
        <is>
          <t>Arc Hétype; Amulette de Nileza; Bague Gloursonne; Anneau Tamie; Slip du Roi de Bonta; Chapeau Potin; Voile d'encre; Bottes de Nileza; Dofus Turquoise; Nomade; Savant majeur; Remueur; Carapace Terre majeur; Érudit majeur; Croum</t>
        </is>
      </c>
    </row>
    <row r="14160">
      <c r="A14160" t="inlineStr">
        <is>
          <t>Stuff 2</t>
        </is>
      </c>
      <c r="B14160">
        <f>HYPERLINK("https://www.dofusbook.net/fr/equipement/734989-stuff-2/objets", "link")</f>
        <v/>
      </c>
      <c r="C14160" t="n">
        <v>0</v>
      </c>
      <c r="D14160" t="inlineStr">
        <is>
          <t>Pelle de la Cour Sombre; Amulette du Strigide; Anneau d'Allister; Alliance Gloursonne; Ceinture Rasboulaire du Rasboul; Chapeau des Malveilleurs; Cape des Malveilleurs; Baleinabottes; Dofus Turquoise; Cascadeur majeur; Remueur; Acrobate majeur; Obstructeur majeur; Nomade; Croum</t>
        </is>
      </c>
    </row>
    <row r="14161">
      <c r="A14161" t="inlineStr">
        <is>
          <t>Stuff 2</t>
        </is>
      </c>
      <c r="B14161">
        <f>HYPERLINK("https://www.dofusbook.net/fr/equipement/734984-stuff-2/objets", "link")</f>
        <v/>
      </c>
      <c r="C14161" t="n">
        <v>0</v>
      </c>
      <c r="D14161" t="inlineStr">
        <is>
          <t>Marteau Phossile; Amulette du Strigide; Alliance Gloursonne; Kralano; Ceinture de Vortex; Cagoule de Vortex; Voile d'encre; Pantoufles Émar; Dofus Turquoise; Dofus Pourpre; Obstructeur majeur; Nomade; Vigoureux majeur; Remueur; Dragodinde en armure</t>
        </is>
      </c>
    </row>
    <row r="14162">
      <c r="A14162" t="inlineStr">
        <is>
          <t>Stuff 2</t>
        </is>
      </c>
      <c r="B14162">
        <f>HYPERLINK("https://www.dofusbook.net/fr/equipement/735006-stuff-2/objets", "link")</f>
        <v/>
      </c>
      <c r="C14162" t="n">
        <v>4</v>
      </c>
      <c r="D14162" t="inlineStr">
        <is>
          <t>Arc Hétype; Pendentif affamé; Anneau de Nidas; Bague Gloursonne; Ceinture Séculaire; Couronne de Nidas; Voile d'encre; Pataugastrique; Miraculé majeur; Carapace Feu majeur; Déserteur majeur; Érudit majeur; Nomade; Remueur; El Scarador</t>
        </is>
      </c>
    </row>
    <row r="14163">
      <c r="A14163" t="inlineStr">
        <is>
          <t>Stuff 2</t>
        </is>
      </c>
      <c r="B14163">
        <f>HYPERLINK("https://www.dofusbook.net/fr/equipement/735001-stuff-2/objets", "link")</f>
        <v/>
      </c>
      <c r="C14163" t="n">
        <v>0</v>
      </c>
      <c r="D14163" t="inlineStr">
        <is>
          <t>Baguette Hique; Amulette Ementaire Deluxe; Alliance Gloursonne; Anneau du Cycloïde; Ceintacé; Coiffe du Lévitrof; Voile d'encre; Bottes du Lévitrof; Dofus des Glaces; Enragé majeur; Robuste majeur; Chanceux majeur; Nomade; Remueur; Péki</t>
        </is>
      </c>
    </row>
    <row r="14164">
      <c r="A14164" t="inlineStr">
        <is>
          <t>Stuff 3</t>
        </is>
      </c>
      <c r="B14164">
        <f>HYPERLINK("https://www.dofusbook.net/fr/equipement/734996-stuff-3/objets", "link")</f>
        <v/>
      </c>
      <c r="C14164" t="n">
        <v>1</v>
      </c>
      <c r="D14164" t="inlineStr">
        <is>
          <t>Dagues de Srambad; Amulette de Pol Ouatnos; Alliance Gloursonne; Pikano; Ceinture de la Reine des Voleurs; Coiffe de la Reine des Voleurs; Cape des Justiciers; Pantoufles du Piloztère; Dragodinde en armure</t>
        </is>
      </c>
    </row>
    <row r="14165">
      <c r="A14165" t="inlineStr">
        <is>
          <t>Stuff 1</t>
        </is>
      </c>
      <c r="B14165">
        <f>HYPERLINK("https://www.dofusbook.net/fr/equipement/734991-stuff-1/objets", "link")</f>
        <v/>
      </c>
      <c r="C14165" t="n">
        <v>2</v>
      </c>
      <c r="D14165" t="inlineStr">
        <is>
          <t>Marteau Reine; Amulette du Strigide; Bracelet du Piloztère; Bague Gloursonne; Ceinture du Strigide; Casque des égarés; Cape au Logis; Baleinabottes; Dofus Pourpre; Dofus Turquoise; Déserteur majeur; Remueur; El Scarador</t>
        </is>
      </c>
    </row>
    <row r="14166">
      <c r="A14166" t="inlineStr">
        <is>
          <t>Stuff 1</t>
        </is>
      </c>
      <c r="B14166">
        <f>HYPERLINK("https://www.dofusbook.net/fr/equipement/734986-stuff-1/objets", "link")</f>
        <v/>
      </c>
      <c r="C14166" t="n">
        <v>2</v>
      </c>
      <c r="D14166" t="inlineStr">
        <is>
          <t>Hache du Guerrier Zoth; Amulette du Glourséleste; Pikano; Anneau Tamie; Ceinture Glaciale; Chapeau Potin; Cape de Léthaline; Pikottes; Dofus Cawotte; Temporiseur; Remueur; Temporiseur majeur; Entraveur; Entraveur majeur; Tifoux</t>
        </is>
      </c>
    </row>
    <row r="14167">
      <c r="A14167" t="inlineStr">
        <is>
          <t>Zobal F 200</t>
        </is>
      </c>
      <c r="B14167">
        <f>HYPERLINK("https://www.dofusbook.net/fr/equipement/3928675-zobal-f-200/objets", "link")</f>
        <v/>
      </c>
      <c r="C14167" t="n">
        <v>2</v>
      </c>
      <c r="D14167" t="inlineStr">
        <is>
          <t>Arc du Chalœil; Amulette du Strigide; Anneau Volkorne; Chevalière du Roi Joueur; Ceinture Volkorne; Couronne du Roi Joueur; Voile d'encre; Bottes du Roi Joueur; Dofus Ocre; Dofus Abyssal; Dofus Ivoire</t>
        </is>
      </c>
    </row>
    <row r="14168">
      <c r="A14168" t="inlineStr">
        <is>
          <t>terre</t>
        </is>
      </c>
      <c r="B14168">
        <f>HYPERLINK("https://www.dofusbook.net/fr/equipement/196332-terre/objets", "link")</f>
        <v/>
      </c>
      <c r="C14168" t="n">
        <v>0</v>
      </c>
      <c r="D14168" t="inlineStr">
        <is>
          <t>Crocobur; Amulette Volkorne; Anneau Chevelu; Bague Gloursonne; Ceinture Volkorne; Masque de Koutoulou; Cape au Logis; Bottes de la Cour Sombre; Dofus Turquoise; Dofus Ébène; Dofus Ocre; Dofus Abyssal; Dofus Argenté; Dofus Ivoire; Bulbisou</t>
        </is>
      </c>
    </row>
    <row r="14169">
      <c r="A14169" t="inlineStr">
        <is>
          <t>Iop M 200</t>
        </is>
      </c>
      <c r="B14169">
        <f>HYPERLINK("https://www.dofusbook.net/fr/equipement/5969748-iop-m-200/objets", "link")</f>
        <v/>
      </c>
      <c r="C14169" t="n">
        <v>1</v>
      </c>
      <c r="D14169" t="inlineStr">
        <is>
          <t>Arc du Chalœil; Amulette du Strigide; Anneau de Brouce; Anneau Volkorne; Bouclier du Captain Amakna; Ceinture Volkorne; Masque de Koutoulou; Cape au Logis; Bottes de la Cour Sombre; Dofus Abyssal; Dofus Turquoise; Dévastateur Terre majeur; Remueur; Enragé majeur; Nomade; Bulbisou</t>
        </is>
      </c>
    </row>
    <row r="14170">
      <c r="A14170" t="inlineStr">
        <is>
          <t>Zobal F 200</t>
        </is>
      </c>
      <c r="B14170">
        <f>HYPERLINK("https://www.dofusbook.net/fr/equipement/3907230-zobal-f-200/objets", "link")</f>
        <v/>
      </c>
      <c r="C14170" t="n">
        <v>2</v>
      </c>
      <c r="D14170" t="inlineStr">
        <is>
          <t>Hache Téroïde; Amulette Volkorne; Bague Trithon; Anneau Volkorne; Droiture de Fallanster; Ceinture Volkorne; Masque Trithon; Voile d'encre; Bottes Trithon; Dofus Ocre; Dofus Ivoire; Dofus des Glaces; Dofus Turquoise; Dofus Abyssal; Bulbisou</t>
        </is>
      </c>
    </row>
    <row r="14171">
      <c r="A14171" t="inlineStr">
        <is>
          <t>Pandawa F 200</t>
        </is>
      </c>
      <c r="B14171">
        <f>HYPERLINK("https://www.dofusbook.net/fr/equipement/5967805-pandawa-f-200/objets", "link")</f>
        <v/>
      </c>
      <c r="C14171" t="n">
        <v>3</v>
      </c>
      <c r="D14171" t="inlineStr">
        <is>
          <t>Rouleau à Pâtisserie d'Aermyne; Collier Rophante; Anneau de Pol Ouatnos; Alliance Gloursonne; Bouclier précieux; Ceinture de Kongoku; Masque d'Anerice; Cape d'Anerice; Pataugastrique; Dofus Émeraude; Miraculé majeur; Obstructeur majeur; Carapace Eau majeur; Fonceur majeur; Remueur; Givrefoux</t>
        </is>
      </c>
    </row>
    <row r="14172">
      <c r="A14172" t="inlineStr">
        <is>
          <t>Féca M 200</t>
        </is>
      </c>
      <c r="B14172">
        <f>HYPERLINK("https://www.dofusbook.net/fr/equipement/3928740-feca-m-200/objets", "link")</f>
        <v/>
      </c>
      <c r="C14172" t="n">
        <v>0</v>
      </c>
      <c r="D14172" t="inlineStr">
        <is>
          <t>Lav'Hache; Amulette du Strigide; Anneau Chevelu; Anneau Crustique; Bouclier d'Ilyzaelle; Ceintouse; Masque de Koutoulou; Voile d'encre; Tentassons; Dofus Émeraude; Dofus Abyssal; Dofus des Glaces; Étourdisseur majeur; Remueur; Enragé majeur; Muldo Roux et Pourpre</t>
        </is>
      </c>
    </row>
    <row r="14173">
      <c r="A14173" t="inlineStr">
        <is>
          <t>enufraktal</t>
        </is>
      </c>
      <c r="B14173">
        <f>HYPERLINK("https://www.dofusbook.net/fr/equipement/2837482-enufraktal/objets", "link")</f>
        <v/>
      </c>
      <c r="C14173" t="n">
        <v>0</v>
      </c>
      <c r="D14173" t="inlineStr">
        <is>
          <t>La Baguette des Limbes; Amulette de Shokkoth; Pikano; Alliance Gloursonne; Bouclier cubiste; Ceinture Glaciale; Casquipik; Cape de Léthaline; Pataugastrique; Entraveur; Ralentisseur majeur; Temporiseur; Entraveur majeur; Remueur; Temporiseur majeur; Muldo Doré</t>
        </is>
      </c>
    </row>
    <row r="14174">
      <c r="A14174" t="inlineStr">
        <is>
          <t>Zobal F 200</t>
        </is>
      </c>
      <c r="B14174">
        <f>HYPERLINK("https://www.dofusbook.net/fr/equipement/3913139-zobal-f-200/objets", "link")</f>
        <v/>
      </c>
      <c r="C14174" t="n">
        <v>5</v>
      </c>
      <c r="D14174" t="inlineStr">
        <is>
          <t>Hache Téroïde; Amulette Volkorne; Bague Trithon; Anneau Volkorne; Bouclier du Captain Amakna; Ceinture Volkorne; Masque Trithon; Voile d'encre; Bottes Trithon; Dofus Ocre; Dofus Turquoise; Dofus des Glaces; Dofus Pourpre; Dofus Abyssal; Entraveur majeur; Kokulte</t>
        </is>
      </c>
    </row>
    <row r="14175">
      <c r="A14175" t="inlineStr">
        <is>
          <t>Zobal M 200</t>
        </is>
      </c>
      <c r="B14175">
        <f>HYPERLINK("https://www.dofusbook.net/fr/equipement/3928742-zobal-m-200/objets", "link")</f>
        <v/>
      </c>
      <c r="C14175" t="n">
        <v>4</v>
      </c>
      <c r="D14175" t="inlineStr">
        <is>
          <t>Arc corrompu; Amulette Volkorne; Anneauræus; Anneauræus; Droiture de Fallanster; Ceinture Volkorne; Heaume Oplate; Voile d'encre; Pataugastrique; Dofus Vulbis; Dofus Ébène; Dofus Ivoire; Dofus Argenté; Dofus Abyssal; Érudit majeur; Bisouglours</t>
        </is>
      </c>
    </row>
    <row r="14176">
      <c r="A14176" t="inlineStr">
        <is>
          <t>prosp</t>
        </is>
      </c>
      <c r="B14176">
        <f>HYPERLINK("https://www.dofusbook.net/fr/equipement/2049617-prosp/objets", "link")</f>
        <v/>
      </c>
      <c r="C14176" t="n">
        <v>2</v>
      </c>
      <c r="D14176" t="inlineStr">
        <is>
          <t>Hache à Lamelles; Collier du Minotot; Bracelet du Minotot; Anneau Tique; Tranche des Sous-bois; Casque Harnage; Cape du Minotot; Bottines des sous-bois; Dofus Kaliptus; Dokille; Taquin; Joueur majeur; Joueur; Taquin majeur; Dragodinde Turquoise</t>
        </is>
      </c>
    </row>
    <row r="14177">
      <c r="A14177" t="inlineStr">
        <is>
          <t>Sadida F 200</t>
        </is>
      </c>
      <c r="B14177">
        <f>HYPERLINK("https://www.dofusbook.net/fr/equipement/5868985-sadida-f-200/objets", "link")</f>
        <v/>
      </c>
      <c r="C14177" t="n">
        <v>5</v>
      </c>
      <c r="D14177" t="inlineStr">
        <is>
          <t>Epée Gloursonne; Amulette du Strigide; Bague Gloursonne; Alliance Gloursonne; Bouclier cubiste; Ceinture du Strigide; Coiffe d'Ogivol; Cape de Léthaline; Bottes du Strigide; Dofus Pourpre; Dofus des Glaces; Dofus Turquoise; Dofus Abyssal; Dofus Ocre; Entraveur majeur; Léopardo</t>
        </is>
      </c>
    </row>
    <row r="14178">
      <c r="A14178" t="inlineStr">
        <is>
          <t>Sadida F 200</t>
        </is>
      </c>
      <c r="B14178">
        <f>HYPERLINK("https://www.dofusbook.net/fr/equipement/5868984-sadida-f-200/objets", "link")</f>
        <v/>
      </c>
      <c r="C14178" t="n">
        <v>8</v>
      </c>
      <c r="D14178" t="inlineStr">
        <is>
          <t>Arc corrompu; Amulette Volkorne; Anneauræus; Anneau de Nidas; Bouclier du Stalak; Ceinture Volkorne; Heaume Oplate; Voile d'encre; Chaussures Ardentes; Dofus Ocre; Dofus Abyssal; Dofus des Glaces; Érudit majeur; Dévastateur Feu majeur; Nomade; Dragodinde Amande et Orchidée</t>
        </is>
      </c>
    </row>
    <row r="14179">
      <c r="A14179" t="inlineStr">
        <is>
          <t>Sram M 200</t>
        </is>
      </c>
      <c r="B14179">
        <f>HYPERLINK("https://www.dofusbook.net/fr/equipement/5873722-sram-m-200/objets", "link")</f>
        <v/>
      </c>
      <c r="C14179" t="n">
        <v>2</v>
      </c>
      <c r="D14179" t="inlineStr">
        <is>
          <t>Plume de Buhorado; Collier du Valet Veinard; Alliance Gloursonne; Gant du Valet Veinard; Bouclier du Stalak; Menoture; Couronne d'Allister; Cape Indescriptible; Palmes Trithons; Dofus Abyssal; Dofus Ocre; Dofus des Glaces; Equilibriste majeur; Cascadeur majeur; Dévastateur Air majeur; Blérodoudou</t>
        </is>
      </c>
    </row>
    <row r="14180">
      <c r="A14180" t="inlineStr">
        <is>
          <t>Sadida F 200</t>
        </is>
      </c>
      <c r="B14180">
        <f>HYPERLINK("https://www.dofusbook.net/fr/equipement/5868593-sadida-f-200/objets", "link")</f>
        <v/>
      </c>
      <c r="C14180" t="n">
        <v>0</v>
      </c>
      <c r="D14180" t="inlineStr">
        <is>
          <t>Arc corrompu; Amulette Volkorne; Anneauræus; Anneauræus; Bouclier du Stalak; Ceinture Séculaire; Coiffe Séculaire; Cape de Diondin; Bottes Innommables; Dofus Abyssal; Dofus Ivoire; Dofus Ocre; Dofus des Glaces; Dofus Vulbis; Dofus Ébène; Bisouglours</t>
        </is>
      </c>
    </row>
    <row r="14181">
      <c r="A14181" t="inlineStr">
        <is>
          <t>Ecaflip M 200</t>
        </is>
      </c>
      <c r="B14181">
        <f>HYPERLINK("https://www.dofusbook.net/fr/equipement/3833393-ecaflip-m-200/objets", "link")</f>
        <v/>
      </c>
      <c r="C14181" t="n">
        <v>12</v>
      </c>
      <c r="D14181" t="inlineStr">
        <is>
          <t>Arc du Chalœil; Amulette du Strigide; Bague Trithon; Anneau Chevelu; Bouclier du Stalak; Ceinture Volkorne; Masque de Koutoulou; Cape au Logis; Bottes du Strigide; Dofus Ocre; Dofus Pourpre; Dofus Abyssal; Dofus des Glaces; Enragé majeur; Dévastateur Terre majeur; Pioute vert</t>
        </is>
      </c>
    </row>
    <row r="14182">
      <c r="A14182" t="inlineStr">
        <is>
          <t>feutest</t>
        </is>
      </c>
      <c r="B14182">
        <f>HYPERLINK("https://www.dofusbook.net/fr/equipement/3006002-feutest/objets", "link")</f>
        <v/>
      </c>
      <c r="C14182" t="n">
        <v>2</v>
      </c>
      <c r="D14182" t="inlineStr">
        <is>
          <t>Arc corrompu; Amulette Cryochrone; Anneau de Nidas; Anneauræus; Bouclier du Stalak; Ceinture de Vortex; Couronne de Nidas; Voile d'encre; Pataugastrique; Dofus des Glaces; Dofus Ivoire; Dofus Pourpre; Dofus Abyssal; Remueur; Érudit majeur; Muldo Ebène et Pourpre</t>
        </is>
      </c>
    </row>
    <row r="14183">
      <c r="A14183" t="inlineStr">
        <is>
          <t>terre</t>
        </is>
      </c>
      <c r="B14183">
        <f>HYPERLINK("https://www.dofusbook.net/fr/equipement/2983212-terre/objets", "link")</f>
        <v/>
      </c>
      <c r="C14183" t="n">
        <v>3</v>
      </c>
      <c r="D14183" t="inlineStr">
        <is>
          <t>Arc du Chalœil; Collier de Tourthon; Anneau Chevelu; Bague Gloursonne; Bouclier du Stalak; Ceinture de la Reine des Voleurs; Coiffe de la Reine des Voleurs; Voile d'encre; Baleinabottes; Dofus Abyssal; Dofus Ivoire; Dofus Pourpre; Dofus des Glaces; Enragé majeur; Remueur; Muldo Ebène et Pourpre</t>
        </is>
      </c>
    </row>
    <row r="14184">
      <c r="A14184" t="inlineStr">
        <is>
          <t>Ecaflip M 200</t>
        </is>
      </c>
      <c r="B14184">
        <f>HYPERLINK("https://www.dofusbook.net/fr/equipement/3828166-ecaflip-m-200/objets", "link")</f>
        <v/>
      </c>
      <c r="C14184" t="n">
        <v>3</v>
      </c>
      <c r="D14184" t="inlineStr">
        <is>
          <t>Arc du Chalœil; Amulette du Strigide; Bague Trithon; Chevalière du Roi Joueur; Bouclier du Stalak; Ceinture du Strigide; Masque de Koutoulou; Cape au Logis; Bottes Trithon; Dofus Pourpre; Dofus Abyssal; Dofus Ivoire; Dofus des Glaces; Dofus Turquoise; Dofus Ocre; Pioute vert</t>
        </is>
      </c>
    </row>
    <row r="14185">
      <c r="A14185" t="inlineStr">
        <is>
          <t>Stuff 3</t>
        </is>
      </c>
      <c r="B14185">
        <f>HYPERLINK("https://www.dofusbook.net/fr/equipement/196337-stuff-3/objets", "link")</f>
        <v/>
      </c>
      <c r="C14185" t="n">
        <v>1</v>
      </c>
      <c r="D14185" t="inlineStr">
        <is>
          <t>Arc de Koutoulou; Amulette du Strigide; Alliance Gloursonne; Bracelet des Fonds marins; Quatre-feuilles; Ceintacé; Casque Dragoeuf; Chevelure de Tal Kasha; Sandales de Tal Kasha; Dofus Pourpre; Dofus Ivoire; Dofus Turquoise; Dofus Ocre; Dofus des Glaces; Dofus Abyssal; Muldo Ebène et Indigo</t>
        </is>
      </c>
    </row>
    <row r="14186">
      <c r="A14186" t="inlineStr">
        <is>
          <t>Stuff 1</t>
        </is>
      </c>
      <c r="B14186">
        <f>HYPERLINK("https://www.dofusbook.net/fr/equipement/196326-stuff-1/objets", "link")</f>
        <v/>
      </c>
      <c r="C14186" t="n">
        <v>0</v>
      </c>
      <c r="D14186" t="inlineStr">
        <is>
          <t>Rapière aux Glyphes; Talisman Igans; Bracelet des Fonds marins; Alliance Gloursonne; Sept ans de malheur; Sangle Ouare; Kidibonnet; Capchalot; Sandales des Fonds marins; Dofus Cawotte; Carapace Eau majeur; Remueur; Étourdisseur majeur; Déserteur majeur; Chanceux majeur; Kramkram</t>
        </is>
      </c>
    </row>
    <row r="14187">
      <c r="A14187" t="inlineStr">
        <is>
          <t>Stuff 1</t>
        </is>
      </c>
      <c r="B14187">
        <f>HYPERLINK("https://www.dofusbook.net/fr/equipement/196347-stuff-1/objets", "link")</f>
        <v/>
      </c>
      <c r="C14187" t="n">
        <v>5</v>
      </c>
      <c r="D14187" t="inlineStr">
        <is>
          <t>Arc corrompu; Amulette de Nileza; Anneau Tique; Anneau de Nidas; Bouclier du Cycloïde; Ceinture de Vortex; Couronne de Nidas; Voile d'encre; Pataugastrique; Dofus Abyssal; Dofus Ocre; Dofus Ivoire; Érudit majeur; Nomade; Dévastateur Feu majeur; Bisouglours</t>
        </is>
      </c>
    </row>
    <row r="14188">
      <c r="A14188" t="inlineStr">
        <is>
          <t>feueau</t>
        </is>
      </c>
      <c r="B14188">
        <f>HYPERLINK("https://www.dofusbook.net/fr/equipement/2777843-feueau/objets", "link")</f>
        <v/>
      </c>
      <c r="C14188" t="n">
        <v>0</v>
      </c>
      <c r="D14188" t="inlineStr">
        <is>
          <t>Arc Nécrotique; Talisman Igans; Anneau Tique; Alliance Gloursonne; Sept ans de malheur; Ceintrigue; Casqnoar; Voile d'encre; Pataugastrique; Dofus Pourpre; Dofus Ocre; Dofus des Glaces; Dofus Ivoire; Dofus Abyssal; Étourdisseur majeur; Muldo Orchidée</t>
        </is>
      </c>
    </row>
    <row r="14189">
      <c r="A14189" t="inlineStr">
        <is>
          <t>Eniripsa F 200</t>
        </is>
      </c>
      <c r="B14189">
        <f>HYPERLINK("https://www.dofusbook.net/fr/equipement/3875683-eniripsa-f-200/objets", "link")</f>
        <v/>
      </c>
      <c r="C14189" t="n">
        <v>0</v>
      </c>
      <c r="D14189" t="inlineStr">
        <is>
          <t>Arc corrompu; Pendentif mignon de Koutoulou; Anneau Rifique; Bague Gloursonne; Cadran de Terre; Ceinture de Vortex; Couronne de Nidas; Cape de Diondin; Bottes Innommables; Dofus Ivoire; Dofus Pourpre; Dofus Abyssal; Déserteur majeur; Nomade; Étourdisseur majeur; Bisouglours</t>
        </is>
      </c>
    </row>
    <row r="14190">
      <c r="A14190" t="inlineStr">
        <is>
          <t>Eniripsa F 200</t>
        </is>
      </c>
      <c r="B14190">
        <f>HYPERLINK("https://www.dofusbook.net/fr/equipement/3851034-eniripsa-f-200/objets", "link")</f>
        <v/>
      </c>
      <c r="C14190" t="n">
        <v>0</v>
      </c>
      <c r="D14190" t="inlineStr">
        <is>
          <t>Arc corrompu; Amulette de Nileza; Bague Gloursonne; Anneau de Nidas; Bouclier du Cycloïde; Ceinture Séculaire; Couronne de Nidas; Voile d'encre; Pataugastrique; Dofus Ocre; Dofus des Glaces; Dofus Abyssal; Dofus Ivoire; Érudit majeur; Muldo Orchidée et Pourpre</t>
        </is>
      </c>
    </row>
    <row r="14191">
      <c r="A14191" t="inlineStr">
        <is>
          <t>Eniripsa F 200</t>
        </is>
      </c>
      <c r="B14191">
        <f>HYPERLINK("https://www.dofusbook.net/fr/equipement/3875604-eniripsa-f-200/objets", "link")</f>
        <v/>
      </c>
      <c r="C14191" t="n">
        <v>0</v>
      </c>
      <c r="D14191" t="inlineStr">
        <is>
          <t>Dagoulinantes; Amulette de Shokkoth; Alliance Gloursonne; Pikano; Sept ans de malheur; Culotte de Bethel; Capuche de l'Œil Attentif; Cape Solution; Chaussons de Macrab; Dofus Abyssal; Dofus des Glaces; Dofus Ivoire; Dofus Ocre; Étourdisseur majeur; Chanceux majeur; Muldo Indigo</t>
        </is>
      </c>
    </row>
    <row r="14192">
      <c r="A14192" t="inlineStr">
        <is>
          <t>eauretpa</t>
        </is>
      </c>
      <c r="B14192">
        <f>HYPERLINK("https://www.dofusbook.net/fr/equipement/2482257-eauretpa/objets", "link")</f>
        <v/>
      </c>
      <c r="C14192" t="n">
        <v>1</v>
      </c>
      <c r="D14192" t="inlineStr">
        <is>
          <t>Dagoulinantes; Amulette de Shokkoth; Bracelet des Fonds marins; Alliance Gloursonne; Sept ans de malheur; Poulpagne; Casque Dragoeuf; Chevelure de Tal Kasha; Sandales de Tal Kasha; Dofus Abyssal; Remueur; Étourdisseur majeur; Déserteur majeur; Chanceux majeur; Muldo Ebène et Indigo</t>
        </is>
      </c>
    </row>
    <row r="14193">
      <c r="A14193" t="inlineStr">
        <is>
          <t>Eniripsa F 200</t>
        </is>
      </c>
      <c r="B14193">
        <f>HYPERLINK("https://www.dofusbook.net/fr/equipement/3850945-eniripsa-f-200/objets", "link")</f>
        <v/>
      </c>
      <c r="C14193" t="n">
        <v>0</v>
      </c>
      <c r="D14193" t="inlineStr">
        <is>
          <t>Arc corrompu; Amulette Martegel; Anneauræus; Anneau de Nidas; Bouclier du Cycloïde; Ceinture de l'Esprit Malsain; Masquegel; Cape Martegel; Bottes de l'Esprit Malsain; Dofus des Glaces; Dofus Ivoire; Dofus Pourpre; Dofus Ocre; Dofus Abyssal; Soigneur majeur; Muldo Orchidée</t>
        </is>
      </c>
    </row>
    <row r="14194">
      <c r="A14194" t="inlineStr">
        <is>
          <t>Stuff 1</t>
        </is>
      </c>
      <c r="B14194">
        <f>HYPERLINK("https://www.dofusbook.net/fr/equipement/196329-stuff-1/objets", "link")</f>
        <v/>
      </c>
      <c r="C14194" t="n">
        <v>0</v>
      </c>
      <c r="D14194" t="inlineStr">
        <is>
          <t>Dagues Érhy; Amulette de l'Indicible; Bague Gloursonne; Alliance Gloursonne; Bouclier cubiste; Ceinture de l'Indicible; Capuche de l'Œil Putride; Cape de l'Œil Putride; Bottes de l'Indicible; Dofus Pourpre; Dofus Abyssal; Dofus Ocre; Dofus des Glaces; Dofus Ivoire; Ralentisseur majeur; Muldo Pourpre</t>
        </is>
      </c>
    </row>
    <row r="14195">
      <c r="A14195" t="inlineStr">
        <is>
          <t>iopfraktal</t>
        </is>
      </c>
      <c r="B14195">
        <f>HYPERLINK("https://www.dofusbook.net/fr/equipement/2836131-iopfraktal/objets", "link")</f>
        <v/>
      </c>
      <c r="C14195" t="n">
        <v>1</v>
      </c>
      <c r="D14195" t="inlineStr">
        <is>
          <t>Arc du Chalœil; Amulette du Strigide; Anneau Crustique; Anneau Chevelu; Bouclier du Stalak; Ceinture Volkorne; Masque de Koutoulou; Cape au Logis; Bottes du Strigide; Dofus Ocre; Dofus Pourpre; Dofus Abyssal; Dofus des Glaces; Enragé majeur; Dévastateur Terre majeur; Pioute vert</t>
        </is>
      </c>
    </row>
    <row r="14196">
      <c r="A14196" t="inlineStr">
        <is>
          <t>Ecaflip M 200</t>
        </is>
      </c>
      <c r="B14196">
        <f>HYPERLINK("https://www.dofusbook.net/fr/equipement/3828005-ecaflip-m-200/objets", "link")</f>
        <v/>
      </c>
      <c r="C14196" t="n">
        <v>2</v>
      </c>
      <c r="D14196" t="inlineStr">
        <is>
          <t>Arc du Chalœil; Collier de Tourthon; Bague Gloursonne; Anneau de Brouce; Bouclier du Stalak; Ceinture de la Reine des Voleurs; Coiffe de la Reine des Voleurs; Cape au Logis; Baleinabottes; Dofus Ocre; Dofus des Glaces; Dofus Pourpre; Dofus Abyssal; Dofus Ivoire; Enragé majeur; Bwak de Terre</t>
        </is>
      </c>
    </row>
    <row r="14197">
      <c r="A14197" t="inlineStr">
        <is>
          <t>terreairtest</t>
        </is>
      </c>
      <c r="B14197">
        <f>HYPERLINK("https://www.dofusbook.net/fr/equipement/1163886-terreairtest/objets", "link")</f>
        <v/>
      </c>
      <c r="C14197" t="n">
        <v>0</v>
      </c>
      <c r="D14197" t="inlineStr">
        <is>
          <t>Arc du Chalœil; Amulette du Strigide; Bague Gloursonne; Alliance Gloursonne; Bouclier du Captain Amakna; Ceinture du Strigide; Masque de Koutoulou; Voile d'encre; Baleinabottes; Dofus Turquoise; Dokoko; Dofus Émeraude; Dofus Abyssal; Dofus Pourpre; Dofus des Glaces; Muldo Ebène et Pourpre</t>
        </is>
      </c>
    </row>
    <row r="14198">
      <c r="A14198" t="inlineStr">
        <is>
          <t>eaueetpa</t>
        </is>
      </c>
      <c r="B14198">
        <f>HYPERLINK("https://www.dofusbook.net/fr/equipement/3107836-eaueetpa/objets", "link")</f>
        <v/>
      </c>
      <c r="C14198" t="n">
        <v>0</v>
      </c>
      <c r="D14198" t="inlineStr">
        <is>
          <t>Dagoulinantes; Amulette de Shokkoth; Bracelet des Fonds marins; Alliance Gloursonne; Sept ans de malheur; Ceinture du Barbétoal; Capuche de l'Œil Attentif; Cape de l'Œil Attentif; Pataugastrique; Dofus Émeraude; Dofus Abyssal; Étourdisseur majeur; Chanceux majeur; Remueur; Paralyseur majeur; Muldo Indigo</t>
        </is>
      </c>
    </row>
    <row r="14199">
      <c r="A14199" t="inlineStr">
        <is>
          <t>feu</t>
        </is>
      </c>
      <c r="B14199">
        <f>HYPERLINK("https://www.dofusbook.net/fr/equipement/2993288-feu/objets", "link")</f>
        <v/>
      </c>
      <c r="C14199" t="n">
        <v>0</v>
      </c>
      <c r="D14199" t="inlineStr">
        <is>
          <t>Baguette de Malléfisk; Amulette de Nileza; Anneau Tique; Anneau de Nidas; Carapar; Ceinture de Vortex; Couronne de Nidas; Voile d'encre; Pataugastrique; Dofus Abyssal; Érudit majeur; Fonceur majeur; Miraculé majeur; Carapace Feu majeur; Remueur; Muldo Indigo et Pourpre</t>
        </is>
      </c>
    </row>
    <row r="14200">
      <c r="A14200" t="inlineStr">
        <is>
          <t>airSOIN</t>
        </is>
      </c>
      <c r="B14200">
        <f>HYPERLINK("https://www.dofusbook.net/fr/equipement/2248713-airsoin/objets", "link")</f>
        <v/>
      </c>
      <c r="C14200" t="n">
        <v>0</v>
      </c>
      <c r="D14200" t="inlineStr">
        <is>
          <t>Le Thanos; Amulette d'Ilyzaelle; Alliance Gloursonne; Gant du Valet Veinard; Carapar; Ceinture de Vortex; Casque d'Ilyzaelle; Capille; Pantoufles Émar; Dofus Abyssal; Dévastateur Air majeur; Cascadeur majeur; Carapace Terre majeur; Guérisseur majeur; Remueur; Muldo Ebène et Indigo</t>
        </is>
      </c>
    </row>
    <row r="14201">
      <c r="A14201" t="inlineStr">
        <is>
          <t>dopou</t>
        </is>
      </c>
      <c r="B14201">
        <f>HYPERLINK("https://www.dofusbook.net/fr/equipement/968836-dopou/objets", "link")</f>
        <v/>
      </c>
      <c r="C14201" t="n">
        <v>2</v>
      </c>
      <c r="D14201" t="inlineStr">
        <is>
          <t>Arc du Chalœil; Torquistik; Bague Trithon; Bague Instable; Bouclier précieux; Ceintacé; Casque Dragoeuf; Voile d'encre; Bottistik; Dofus Émeraude; Dokoko; Dofus Ocre; Dofus Abyssal; Culbuteur majeur; Bousculeur majeur; Muldo Pourpre</t>
        </is>
      </c>
    </row>
    <row r="14202">
      <c r="A14202" t="inlineStr">
        <is>
          <t>stuffoxy</t>
        </is>
      </c>
      <c r="B14202">
        <f>HYPERLINK("https://www.dofusbook.net/fr/equipement/3041130-stuffoxy/objets", "link")</f>
        <v/>
      </c>
      <c r="C14202" t="n">
        <v>1</v>
      </c>
      <c r="D14202" t="inlineStr">
        <is>
          <t>Arc du Chalœil; Collier Rophante; Alliance Gloursonne; Bague Trithon; Bouclier précieux; Ceinture Gence; Masque d'Anerice; Cape d'Anerice; Bottistik; Dofus Abyssal; Dofus Ivoire; Dofus Émeraude; Culbuteur majeur; Remueur; Miraculé majeur; Cube</t>
        </is>
      </c>
    </row>
    <row r="14203">
      <c r="A14203" t="inlineStr">
        <is>
          <t>dopou6000pdv</t>
        </is>
      </c>
      <c r="B14203">
        <f>HYPERLINK("https://www.dofusbook.net/fr/equipement/3037281-dopou6000pdv/objets", "link")</f>
        <v/>
      </c>
      <c r="C14203" t="n">
        <v>1</v>
      </c>
      <c r="D14203" t="inlineStr">
        <is>
          <t>Arc du Chalœil; Talisman Glouti; Bracelet des Fonds marins; Bague Trithon; Bouclier précieux; Sangle Ouare; Masque d'Anerice; Cape d'Anerice; Pataugastrique; Dofus Abyssal; Dofus Ivoire; Dofus Émeraude; Culbuteur majeur; Remueur; Miraculé majeur; Eliôme</t>
        </is>
      </c>
    </row>
    <row r="14204">
      <c r="A14204" t="inlineStr">
        <is>
          <t>fullterre</t>
        </is>
      </c>
      <c r="B14204">
        <f>HYPERLINK("https://www.dofusbook.net/fr/equipement/3037076-fullterre/objets", "link")</f>
        <v/>
      </c>
      <c r="C14204" t="n">
        <v>0</v>
      </c>
      <c r="D14204" t="inlineStr">
        <is>
          <t>Marteau R'ture; Collier de Tourthon; Bague Gloursonne; Chevalière du Roi Joueur; Bouclier d'Ilyzaelle; Ceinture de la Reine des Voleurs; Coiffe de la Reine des Voleurs; Voile d'encre; Baleinabottes; Dofus Turquoise; Dofus Abyssal; Dofus Ocre; Dofus Ivoire; Dofus des Glaces; Enragé majeur; Muldo Orchidée et Pourpre</t>
        </is>
      </c>
    </row>
    <row r="14205">
      <c r="A14205" t="inlineStr">
        <is>
          <t>airclassic</t>
        </is>
      </c>
      <c r="B14205">
        <f>HYPERLINK("https://www.dofusbook.net/fr/equipement/3021052-airclassic/objets", "link")</f>
        <v/>
      </c>
      <c r="C14205" t="n">
        <v>0</v>
      </c>
      <c r="D14205" t="inlineStr">
        <is>
          <t>Lance Horselé; Collier du Valet Veinard; Alliance Gloursonne; Gant du Valet Veinard; Bouclier d'Ilyzaelle; Menoture; Couronne d'Allister; Cape du Kamasterisk; Palmes Trithons; Dofus Ivoire; Dofus des Glaces; Dofus Abyssal; Cascadeur majeur; Remueur; Carapace Feu majeur; Muldo Ebène et Indigo</t>
        </is>
      </c>
    </row>
    <row r="14206">
      <c r="A14206" t="inlineStr">
        <is>
          <t>eau</t>
        </is>
      </c>
      <c r="B14206">
        <f>HYPERLINK("https://www.dofusbook.net/fr/equipement/3005811-eau/objets", "link")</f>
        <v/>
      </c>
      <c r="C14206" t="n">
        <v>0</v>
      </c>
      <c r="D14206" t="inlineStr">
        <is>
          <t>Sceptre du Roi Joueur; Amulette de Shokkoth; Bracelet des Fonds marins; Alliance Gloursonne; Bouclier cubiste; Poulpagne; Capuche de l'Œil Attentif; Cape de l'Œil Attentif; Bottes du Sinistrofu; Dofus Abyssal; Chanceux majeur; Dévastateur Eau majeur; Carapace Eau majeur; Temporiseur majeur; Remueur; Muldo Indigo</t>
        </is>
      </c>
    </row>
    <row r="14207">
      <c r="A14207" t="inlineStr">
        <is>
          <t>airvita</t>
        </is>
      </c>
      <c r="B14207">
        <f>HYPERLINK("https://www.dofusbook.net/fr/equipement/2993703-airvita/objets", "link")</f>
        <v/>
      </c>
      <c r="C14207" t="n">
        <v>0</v>
      </c>
      <c r="D14207" t="inlineStr">
        <is>
          <t>Héqache; Collier du Valet Veinard; Alliance Gloursonne; Gant du Valet Veinard; Cadran d'Air; Menoture; Couronne d'Allister; Cape du Kamasterisk; Palmes Trithons; Dofus Abyssal; Remueur; Miraculé majeur; Carapace Eau majeur; Cascadeur majeur; Muldo Ebène et Orchidée</t>
        </is>
      </c>
    </row>
    <row r="14208">
      <c r="A14208" t="inlineStr">
        <is>
          <t>terreRDV</t>
        </is>
      </c>
      <c r="B14208">
        <f>HYPERLINK("https://www.dofusbook.net/fr/equipement/2983350-terrerdv/objets", "link")</f>
        <v/>
      </c>
      <c r="C14208" t="n">
        <v>4</v>
      </c>
      <c r="D14208" t="inlineStr">
        <is>
          <t>Lance corrompue; Amulette du Kamasterisk; Anneau Chevelu; Alliance Gloursonne; Bouclier du Stalak; Ceinture de la Reine des Voleurs; Coiffe de la Reine des Voleurs; Voile d'encre; Baleinabottes; Dofus Abyssal; Dofus Pourpre; Dofus des Glaces; Enragé majeur; Remueur; Vigoureux majeur; Muldo Ebène et Orchidée</t>
        </is>
      </c>
    </row>
    <row r="14209">
      <c r="A14209" t="inlineStr">
        <is>
          <t>air</t>
        </is>
      </c>
      <c r="B14209">
        <f>HYPERLINK("https://www.dofusbook.net/fr/equipement/2967503-air/objets", "link")</f>
        <v/>
      </c>
      <c r="C14209" t="n">
        <v>0</v>
      </c>
      <c r="D14209" t="inlineStr">
        <is>
          <t>Lance Horselé; Amulette Voldelor; Gant du Valet Veinard; Alliance Gloursonne; Bouclier d'Ilyzaelle; Sangle Oriole; Couronne d'Allister; Cape du Valet Veinard; Baleinabottes; Dofus Abyssal; Dokoko; Carapace Feu majeur; Cascadeur majeur; Remueur; Muldo Ebène</t>
        </is>
      </c>
    </row>
    <row r="14210">
      <c r="A14210" t="inlineStr">
        <is>
          <t>airpelle</t>
        </is>
      </c>
      <c r="B14210">
        <f>HYPERLINK("https://www.dofusbook.net/fr/equipement/2955254-airpelle/objets", "link")</f>
        <v/>
      </c>
      <c r="C14210" t="n">
        <v>0</v>
      </c>
      <c r="D14210" t="inlineStr">
        <is>
          <t>Pelle de la Cour Sombre; Collier du Valet Veinard; Alliance Brûlâme; Alliance Gloursonne; Bouclier cubiste; Menoture; Chapeau de Tournoyé; Cape du Valet Veinard; Palmes Trithons; Dofus des Glaces; Dofus Abyssal; Temporiseur majeur; Remueur; Cascadeur majeur; Muldo Ebène</t>
        </is>
      </c>
    </row>
    <row r="14211">
      <c r="A14211" t="inlineStr">
        <is>
          <t>terrelogis</t>
        </is>
      </c>
      <c r="B14211">
        <f>HYPERLINK("https://www.dofusbook.net/fr/equipement/2955139-terrelogis/objets", "link")</f>
        <v/>
      </c>
      <c r="C14211" t="n">
        <v>1</v>
      </c>
      <c r="D14211" t="inlineStr">
        <is>
          <t>Héqache; Amulette du Cœur Vaillant; Anneau Crustique; Anneau Crustique; Sept ans de malheur; Ceintouse; Masque de Koutoulou; Cape au Logis; Tentassons; Dofus Émeraude; Dofus Ivoire; Dofus des Glaces; Dofus Abyssal; Remueur; Étourdisseur majeur; Muldo Pourpre</t>
        </is>
      </c>
    </row>
    <row r="14212">
      <c r="A14212" t="inlineStr">
        <is>
          <t>terreairfullpano</t>
        </is>
      </c>
      <c r="B14212">
        <f>HYPERLINK("https://www.dofusbook.net/fr/equipement/2955007-terreairfullpano/objets", "link")</f>
        <v/>
      </c>
      <c r="C14212" t="n">
        <v>0</v>
      </c>
      <c r="D14212" t="inlineStr">
        <is>
          <t>Lav'Hache; Amulette du Cœur Vaillant; Bague Gloursonne; Alliance Gloursonne; Sept ans de malheur; Ceintouse; Chapoulpe; Cape du Cœur Vaillant; Tentassons; Dofus des Glaces; Dofus Ocre; Dofus Abyssal; Dofus Émeraude; Dofus Ivoire; Paralyseur majeur; Muldo Ebène et Pourpre</t>
        </is>
      </c>
    </row>
    <row r="14213">
      <c r="A14213" t="inlineStr">
        <is>
          <t>yhtrgef</t>
        </is>
      </c>
      <c r="B14213">
        <f>HYPERLINK("https://www.dofusbook.net/fr/equipement/2951326-yhtrgef/objets", "link")</f>
        <v/>
      </c>
      <c r="C14213" t="n">
        <v>0</v>
      </c>
      <c r="D14213" t="inlineStr"/>
    </row>
    <row r="14214">
      <c r="A14214" t="inlineStr">
        <is>
          <t>airsadi</t>
        </is>
      </c>
      <c r="B14214">
        <f>HYPERLINK("https://www.dofusbook.net/fr/equipement/2950475-airsadi/objets", "link")</f>
        <v/>
      </c>
      <c r="C14214" t="n">
        <v>0</v>
      </c>
      <c r="D14214" t="inlineStr">
        <is>
          <t>Lance Horselé; Collier du Valet Veinard; Anneau de Padgref; Alliance Gloursonne; Bouclier cubiste; Menoture; Casque Dragoeuf; Cape du Valet Veinard; Palmes Trithons; Dofus Pourpre; Dofus Émeraude; Dofus Abyssal; Cascadeur majeur; Remueur; Muldo Ebène</t>
        </is>
      </c>
    </row>
    <row r="14215">
      <c r="A14215" t="inlineStr">
        <is>
          <t>air</t>
        </is>
      </c>
      <c r="B14215">
        <f>HYPERLINK("https://www.dofusbook.net/fr/equipement/2949494-air/objets", "link")</f>
        <v/>
      </c>
      <c r="C14215" t="n">
        <v>0</v>
      </c>
      <c r="D14215" t="inlineStr">
        <is>
          <t>Lance Horselé; Collier du Valet Veinard; Gant du Valet Veinard; Alliance Gloursonne; Bouclier cubiste; Menoture; Couronne d'Allister; Cape de Crânonier; Palmes Trithons; Dofus Pourpre; Dofus Émeraude; Dofus Abyssal; Remueur; Cascadeur majeur; Muldo Ebène</t>
        </is>
      </c>
    </row>
    <row r="14216">
      <c r="A14216" t="inlineStr">
        <is>
          <t>pvpeau</t>
        </is>
      </c>
      <c r="B14216">
        <f>HYPERLINK("https://www.dofusbook.net/fr/equipement/2001050-pvpeau/objets", "link")</f>
        <v/>
      </c>
      <c r="C14216" t="n">
        <v>0</v>
      </c>
      <c r="D14216" t="inlineStr">
        <is>
          <t>Lance Horselé; Collier du Valet Veinard; Anneau Tique; Alliance Gloursonne; Bouclier cubiste; Menoture; Ruskauffe; Cape du Valet Veinard; Palmes Trithons; Dofus Abyssal; Cascadeur majeur; Remueur; Muldo Ebène</t>
        </is>
      </c>
    </row>
    <row r="14217">
      <c r="A14217" t="inlineStr">
        <is>
          <t>terreair2</t>
        </is>
      </c>
      <c r="B14217">
        <f>HYPERLINK("https://www.dofusbook.net/fr/equipement/2939638-terreair2/objets", "link")</f>
        <v/>
      </c>
      <c r="C14217" t="n">
        <v>0</v>
      </c>
      <c r="D14217" t="inlineStr">
        <is>
          <t>Lav'Hache; Amulette du Strigide; Anneau Chevelu; Anneau Crustique; Sept ans de malheur; Ceintouse; Masque de Koutoulou; Voile d'encre; Tentassons; Dofus Émeraude; Dofus Abyssal; Remueur; Miraculé majeur; Étourdisseur majeur; Muldo Indigo et Pourpre</t>
        </is>
      </c>
    </row>
    <row r="14218">
      <c r="A14218" t="inlineStr">
        <is>
          <t>terreairtacle</t>
        </is>
      </c>
      <c r="B14218">
        <f>HYPERLINK("https://www.dofusbook.net/fr/equipement/2243480-terreairtacle/objets", "link")</f>
        <v/>
      </c>
      <c r="C14218" t="n">
        <v>0</v>
      </c>
      <c r="D14218" t="inlineStr">
        <is>
          <t>Lav'Hache; Amulette du Strigide; Anneau Crustique; Alliance Gloursonne; Sept ans de malheur; Ceintouse; Masque de Koutoulou; Voile d'encre; Tentassons; Dofus Abyssal; Dofus Pourpre; Dofus Émeraude; Remueur; Enragé majeur; Étourdisseur majeur; Muldo Indigo et Pourpre</t>
        </is>
      </c>
    </row>
    <row r="14219">
      <c r="A14219" t="inlineStr">
        <is>
          <t>terre</t>
        </is>
      </c>
      <c r="B14219">
        <f>HYPERLINK("https://www.dofusbook.net/fr/equipement/2247031-terre/objets", "link")</f>
        <v/>
      </c>
      <c r="C14219" t="n">
        <v>0</v>
      </c>
      <c r="D14219" t="inlineStr">
        <is>
          <t>Héqache; Amulette du Cœur Vaillant; Bague Trithon; Alliance Gloursonne; Bouclier d'Ilyzaelle; Ceinture Gence; Casque Dragoeuf; Cape du Cœur Vaillant; Bottistik; Dofus Ivoire; Dofus Abyssal; Dofus Cawotte; Culbuteur majeur; Remueur; Muldo Ebène et Pourpre</t>
        </is>
      </c>
    </row>
    <row r="14220">
      <c r="A14220" t="inlineStr">
        <is>
          <t>terre</t>
        </is>
      </c>
      <c r="B14220">
        <f>HYPERLINK("https://www.dofusbook.net/fr/equipement/2912016-terre/objets", "link")</f>
        <v/>
      </c>
      <c r="C14220" t="n">
        <v>0</v>
      </c>
      <c r="D14220" t="inlineStr">
        <is>
          <t>Arc du Chalœil; Amulette du Kamasterisk; Bague Gloursonne; Anneau de Brouce; Bouclier du Stalak; Ceinture de la Reine des Voleurs; Coiffe de la Reine des Voleurs; Voile d'encre; Baleinabottes; Dofus des Glaces; Dofus Abyssal; Remueur; Enragé majeur; Muldo Ebène et Pourpre</t>
        </is>
      </c>
    </row>
    <row r="14221">
      <c r="A14221" t="inlineStr">
        <is>
          <t>terreFRAKTAL</t>
        </is>
      </c>
      <c r="B14221">
        <f>HYPERLINK("https://www.dofusbook.net/fr/equipement/2916013-terrefraktal/objets", "link")</f>
        <v/>
      </c>
      <c r="C14221" t="n">
        <v>0</v>
      </c>
      <c r="D14221" t="inlineStr">
        <is>
          <t>Arc du Chalœil; Collier de Tourthon; Anneau de Brouce; Bague Gloursonne; Bouclier du Stalak; Ceinture de la Reine des Voleurs; Masque de Koutoulou; Voile d'encre; Bottes de la Cour Sombre; Dofus Abyssal; Dofus des Glaces; Enragé majeur; Remueur; Muldo Indigo et Pourpre</t>
        </is>
      </c>
    </row>
    <row r="14222">
      <c r="A14222" t="inlineStr">
        <is>
          <t>feumono</t>
        </is>
      </c>
      <c r="B14222">
        <f>HYPERLINK("https://www.dofusbook.net/fr/equipement/2715942-feumono/objets", "link")</f>
        <v/>
      </c>
      <c r="C14222" t="n">
        <v>0</v>
      </c>
      <c r="D14222" t="inlineStr">
        <is>
          <t>Arc Honte; Amulette de Nileza; Anneau de Nidas; Anneau Tique; Bouclier cubiste; Ceinture de Vortex; Couronne de Nidas; Voile d'encre; Pataugastrique; Dofus des Glaces; Dofus Abyssal; Nomade; Érudit majeur; Miraculé majeur; Remueur; Muldo Ebène et Pourpre</t>
        </is>
      </c>
    </row>
    <row r="14223">
      <c r="A14223" t="inlineStr">
        <is>
          <t>pvpm</t>
        </is>
      </c>
      <c r="B14223">
        <f>HYPERLINK("https://www.dofusbook.net/fr/equipement/2713349-pvpm/objets", "link")</f>
        <v/>
      </c>
      <c r="C14223" t="n">
        <v>0</v>
      </c>
      <c r="D14223" t="inlineStr">
        <is>
          <t>Rapière aux Glyphes; Amulette de Shokkoth; Bracelet des Fonds marins; Alliance Gloursonne; Bouclier cubiste; Poulpagne; Capuche de l'Œil Attentif; Cape de l'Œil Attentif; Bottes du Sinistrofu; Dofus Abyssal; Dofus des Glaces; Temporiseur majeur; Remueur; Cavaleur majeur; Chanceux majeur; Muldo Indigo et Pourpre</t>
        </is>
      </c>
    </row>
    <row r="14224">
      <c r="A14224" t="inlineStr">
        <is>
          <t>enuretpmvariante</t>
        </is>
      </c>
      <c r="B14224">
        <f>HYPERLINK("https://www.dofusbook.net/fr/equipement/2837475-enuretpmvariante/objets", "link")</f>
        <v/>
      </c>
      <c r="C14224" t="n">
        <v>0</v>
      </c>
      <c r="D14224" t="inlineStr"/>
    </row>
    <row r="14225">
      <c r="A14225" t="inlineStr">
        <is>
          <t>fulleau</t>
        </is>
      </c>
      <c r="B14225">
        <f>HYPERLINK("https://www.dofusbook.net/fr/equipement/2836821-fulleau/objets", "link")</f>
        <v/>
      </c>
      <c r="C14225" t="n">
        <v>0</v>
      </c>
      <c r="D14225" t="inlineStr"/>
    </row>
    <row r="14226">
      <c r="A14226" t="inlineStr">
        <is>
          <t>enufraktal</t>
        </is>
      </c>
      <c r="B14226">
        <f>HYPERLINK("https://www.dofusbook.net/fr/equipement/2835935-enufraktal/objets", "link")</f>
        <v/>
      </c>
      <c r="C14226" t="n">
        <v>0</v>
      </c>
      <c r="D14226" t="inlineStr">
        <is>
          <t>Dagues Açantes; Amulette de Shokkoth; Anneau Glacial; Alliance Gloursonne; Bouclier cubiste; Ceinture Glaciale; Kidibonnet; Cape de Léthaline; Bottes de Meno; Temporiseur; Entraveur majeur; Remueur; Temporiseur majeur; Chanceux majeur; Ralentisseur majeur; Muldo Pourpre</t>
        </is>
      </c>
    </row>
    <row r="14227">
      <c r="A14227" t="inlineStr">
        <is>
          <t>eaupvmfraktal</t>
        </is>
      </c>
      <c r="B14227">
        <f>HYPERLINK("https://www.dofusbook.net/fr/equipement/2830839-eaupvmfraktal/objets", "link")</f>
        <v/>
      </c>
      <c r="C14227" t="n">
        <v>1</v>
      </c>
      <c r="D14227" t="inlineStr">
        <is>
          <t>Rapière aux Glyphes; Amulette de Shokkoth; Alliance Gloursonne; Anneau Glacial; Bouclier du Stalak; Poulpagne; Masque du Barbétoal; Cape Glaciale; Pataugastrique; Taquin majeur; Dévastateur Eau majeur; Saccageur Eau majeur; Nomade; Chanceux majeur; Remueur; Muldo Indigo</t>
        </is>
      </c>
    </row>
    <row r="14228">
      <c r="A14228" t="inlineStr">
        <is>
          <t>airpvmfraktale</t>
        </is>
      </c>
      <c r="B14228">
        <f>HYPERLINK("https://www.dofusbook.net/fr/equipement/2828532-airpvmfraktale/objets", "link")</f>
        <v/>
      </c>
      <c r="C14228" t="n">
        <v>0</v>
      </c>
      <c r="D14228" t="inlineStr">
        <is>
          <t>Pelle de la Cour Sombre; Collier du Valet Veinard; Gant du Valet Veinard; Alliance Gloursonne; Bouclier Taverne; Ceinture Rasboulaire du Rasboul; Couronne d'Allister; Cape du Kamasterisk; Baleinabottes; Cascadeur majeur; Saccageur Air majeur; Dévastateur Air majeur; Remueur; Equilibriste majeur; Nomade; Muldo Ebène</t>
        </is>
      </c>
    </row>
    <row r="14229">
      <c r="A14229" t="inlineStr">
        <is>
          <t>enuairfull</t>
        </is>
      </c>
      <c r="B14229">
        <f>HYPERLINK("https://www.dofusbook.net/fr/equipement/2779819-enuairfull/objets", "link")</f>
        <v/>
      </c>
      <c r="C14229" t="n">
        <v>0</v>
      </c>
      <c r="D14229" t="inlineStr">
        <is>
          <t>Pelle de la Cour Sombre; Collier du Valet Veinard; Anneau de Pol Ouatnos; Alliance Gloursonne; Sept ans de malheur; Menoture; Couronne d'Allister; Cape du Valet Veinard; Baleinabottes; Dofus Abyssal; Temporiseur majeur; Étourdisseur; Étourdisseur majeur; Cascadeur majeur; Remueur; Muldo Ebène et Orchidée</t>
        </is>
      </c>
    </row>
    <row r="14230">
      <c r="A14230" t="inlineStr">
        <is>
          <t>enuair</t>
        </is>
      </c>
      <c r="B14230">
        <f>HYPERLINK("https://www.dofusbook.net/fr/equipement/2779793-enuair/objets", "link")</f>
        <v/>
      </c>
      <c r="C14230" t="n">
        <v>0</v>
      </c>
      <c r="D14230" t="inlineStr">
        <is>
          <t>Arc Ahique; Collier du Valet Veinard; Alliance Gloursonne; Gant du Valet Veinard; Sept ans de malheur; Ceinture de la Reine des Voleurs; Coiffe de la Reine des Voleurs; Cape du Valet Veinard; Bottes de la Reine des Voleurs; Dofus des Glaces; Dofus Pourpre; Dofus Abyssal; Dofus Émeraude; Dofus Ocre; Dolmanax; Muldo Ebène</t>
        </is>
      </c>
    </row>
    <row r="14231">
      <c r="A14231" t="inlineStr">
        <is>
          <t>airclassic3vs3</t>
        </is>
      </c>
      <c r="B14231">
        <f>HYPERLINK("https://www.dofusbook.net/fr/equipement/196305-airclassic3vs3/objets", "link")</f>
        <v/>
      </c>
      <c r="C14231" t="n">
        <v>0</v>
      </c>
      <c r="D14231" t="inlineStr">
        <is>
          <t>Pelle de la Cour Sombre; Collier du Valet Veinard; Alliance Gloursonne; Gant du Valet Veinard; Sept ans de malheur; Menoture; Capuche de Moum-Ra; Cape Indescriptible; Palmes Trithons; Dokoko; Dofus Abyssal; Cascadeur majeur; Remueur; Muldo Ebène</t>
        </is>
      </c>
    </row>
    <row r="14232">
      <c r="A14232" t="inlineStr">
        <is>
          <t>pvmonocompte</t>
        </is>
      </c>
      <c r="B14232">
        <f>HYPERLINK("https://www.dofusbook.net/fr/equipement/2773683-pvmonocompte/objets", "link")</f>
        <v/>
      </c>
      <c r="C14232" t="n">
        <v>0</v>
      </c>
      <c r="D14232" t="inlineStr">
        <is>
          <t>La Baguette des Limbes; Amulette du Strigide; Bracelet du Piloztère; Anneau de Padgref; Quatre-feuilles; Ceinture du Strigide; Masque Trithon; Cape Reski; Pataugastrique; Dofus des Glaces; Dofus Pourpre; Dofus Turquoise; Remueur; Enragé majeur; Vigoureux majeur; Muldo Doré et Emeraude</t>
        </is>
      </c>
    </row>
    <row r="14233">
      <c r="A14233" t="inlineStr">
        <is>
          <t>terrepui</t>
        </is>
      </c>
      <c r="B14233">
        <f>HYPERLINK("https://www.dofusbook.net/fr/equipement/2742668-terrepui/objets", "link")</f>
        <v/>
      </c>
      <c r="C14233" t="n">
        <v>1</v>
      </c>
      <c r="D14233" t="inlineStr">
        <is>
          <t>Marteau R'ture; Amulette du Strigide; Bague Gloursonne; Anneau Chevelu; Bouclier du Captain Amakna; Ceinture du Strigide; Casque de Missiz Frizz; Cape au Logis; Sabots Minables; Dofus Abyssal; Dofus Turquoise; Dofus Pourpre; Dofus des Glaces; Vigoureux majeur; Remueur; Muldo Orchidée et Pourpre</t>
        </is>
      </c>
    </row>
    <row r="14234">
      <c r="A14234" t="inlineStr">
        <is>
          <t>test</t>
        </is>
      </c>
      <c r="B14234">
        <f>HYPERLINK("https://www.dofusbook.net/fr/equipement/2731715-test/objets", "link")</f>
        <v/>
      </c>
      <c r="C14234" t="n">
        <v>0</v>
      </c>
      <c r="D14234" t="inlineStr"/>
    </row>
    <row r="14235">
      <c r="A14235" t="inlineStr">
        <is>
          <t>eauair</t>
        </is>
      </c>
      <c r="B14235">
        <f>HYPERLINK("https://www.dofusbook.net/fr/equipement/2724477-eauair/objets", "link")</f>
        <v/>
      </c>
      <c r="C14235" t="n">
        <v>1</v>
      </c>
      <c r="D14235" t="inlineStr">
        <is>
          <t>Arc de Koutoulou; Amulette d'Ilyzaelle; Gant du Valet Veinard; Alliance Gloursonne; Bouclier d'Ilyzaelle; Ceinture de la Reine des Voleurs; Casque d'Ilyzaelle; Cape du Valet Veinard; Bottes de la Reine des Voleurs; Dokoko; Dofus Ocre; Dolmanax; Dofus des Glaces; Dofus Pourpre; Dofus Abyssal; Muldo Ebène</t>
        </is>
      </c>
    </row>
    <row r="14236">
      <c r="A14236" t="inlineStr">
        <is>
          <t>Stuff 3</t>
        </is>
      </c>
      <c r="B14236">
        <f>HYPERLINK("https://www.dofusbook.net/fr/equipement/196340-stuff-3/objets", "link")</f>
        <v/>
      </c>
      <c r="C14236" t="n">
        <v>0</v>
      </c>
      <c r="D14236" t="inlineStr">
        <is>
          <t>La Baguette des Limbes; Amulette du Strigide; Bague Gloursonne; Kralano; Bouclier du Stalak; Ceinture du Strigide; Coiffe de Padgref; Cape Reski; Pataugastrique; Dofus Turquoise; Dofus Pourpre; Érudit majeur; Vigoureux majeur; Sanguinaire majeur; Remueur; Kramkram</t>
        </is>
      </c>
    </row>
    <row r="14237">
      <c r="A14237" t="inlineStr">
        <is>
          <t>terre</t>
        </is>
      </c>
      <c r="B14237">
        <f>HYPERLINK("https://www.dofusbook.net/fr/equipement/2659012-terre/objets", "link")</f>
        <v/>
      </c>
      <c r="C14237" t="n">
        <v>0</v>
      </c>
      <c r="D14237" t="inlineStr">
        <is>
          <t>Marteau R'ture; Amulette du Kamasterisk; Anneau de Brouce; Bracelet du Piloztère; Ceinture de Brouce; Masque de Koutoulou; Cape au Logis; Baleinabottes; Nomade; Vigoureux majeur; Remueur; Forcené majeur; Enragé majeur; Dévastateur Terre majeur; Kompost</t>
        </is>
      </c>
    </row>
    <row r="14238">
      <c r="A14238" t="inlineStr">
        <is>
          <t>monocompte</t>
        </is>
      </c>
      <c r="B14238">
        <f>HYPERLINK("https://www.dofusbook.net/fr/equipement/2658776-monocompte/objets", "link")</f>
        <v/>
      </c>
      <c r="C14238" t="n">
        <v>0</v>
      </c>
      <c r="D14238" t="inlineStr">
        <is>
          <t>La Baguette des Limbes; Amulette d'Otomaï; Bracelet du Piloztère; Bague Gloursonne; Ceinture Séculaire; Coiffe de Padgref; Cape de Diondin; Getas de Padgref; Dévastateur Feu majeur; Remueur; Érudit majeur; Cascadeur majeur; Nomade; Brûlih</t>
        </is>
      </c>
    </row>
    <row r="14239">
      <c r="A14239" t="inlineStr">
        <is>
          <t>FULLDOPOU</t>
        </is>
      </c>
      <c r="B14239">
        <f>HYPERLINK("https://www.dofusbook.net/fr/equipement/2482301-fulldopou/objets", "link")</f>
        <v/>
      </c>
      <c r="C14239" t="n">
        <v>0</v>
      </c>
      <c r="D14239" t="inlineStr">
        <is>
          <t>Héqache; Torquistik; Bague Instable; Bague Trithon; Bouclier précieux; Sangle Ouare; Masque d'Anerice; Cape d'Anerice; Sabots Minables; Dofus Émeraude; Dofus Abyssal; Remueur; Culbuteur majeur; Culbuteur; Bousculeur majeur; El Scarador</t>
        </is>
      </c>
    </row>
    <row r="14240">
      <c r="A14240" t="inlineStr">
        <is>
          <t>crafeu150</t>
        </is>
      </c>
      <c r="B14240">
        <f>HYPERLINK("https://www.dofusbook.net/fr/equipement/2393986-crafeu150/objets", "link")</f>
        <v/>
      </c>
      <c r="C14240" t="n">
        <v>0</v>
      </c>
      <c r="D14240" t="inlineStr"/>
    </row>
    <row r="14241">
      <c r="A14241" t="inlineStr">
        <is>
          <t>eauSOIN</t>
        </is>
      </c>
      <c r="B14241">
        <f>HYPERLINK("https://www.dofusbook.net/fr/equipement/2248756-eausoin/objets", "link")</f>
        <v/>
      </c>
      <c r="C14241" t="n">
        <v>0</v>
      </c>
      <c r="D14241" t="inlineStr">
        <is>
          <t>Baguette de Malléfisk; Amulette d'Ilyzaelle; Alliance Gloursonne; Bracelet des Fonds marins; Carapar; Poulpagne; Casque d'Ilyzaelle; Cape de la Dame du Hasard; Bottes du Sinistrofu; Dofus Abyssal; Guérisseur majeur; Remueur; Chanceux majeur; Carapace Eau majeur; Muldo Ebène et Indigo</t>
        </is>
      </c>
    </row>
    <row r="14242">
      <c r="A14242" t="inlineStr">
        <is>
          <t>eauair</t>
        </is>
      </c>
      <c r="B14242">
        <f>HYPERLINK("https://www.dofusbook.net/fr/equipement/2248612-eauair/objets", "link")</f>
        <v/>
      </c>
      <c r="C14242" t="n">
        <v>1</v>
      </c>
      <c r="D14242" t="inlineStr">
        <is>
          <t>Arc de Koutoulou; Amulette du Strigide; Bague Trithon; Alliance Gloursonne; Quatre-feuilles; Ceinture du Strigide; Némès de Tal Kasha; Chevelure de Tal Kasha; Sandales de Tal Kasha; Dofus Pourpre; Dofus Nébuleux; Dofus Ocre; Dofus Abyssal; Dofus Turquoise; Dofus des Glaces; Muldo Ebène et Indigo</t>
        </is>
      </c>
    </row>
    <row r="14243">
      <c r="A14243" t="inlineStr">
        <is>
          <t>eau</t>
        </is>
      </c>
      <c r="B14243">
        <f>HYPERLINK("https://www.dofusbook.net/fr/equipement/2248477-eau/objets", "link")</f>
        <v/>
      </c>
      <c r="C14243" t="n">
        <v>0</v>
      </c>
      <c r="D14243" t="inlineStr">
        <is>
          <t>Rapière aux Glyphes; Amulette de Shokkoth; Alliance Gloursonne; Bracelet des Fonds marins; Bouclier d'Ilyzaelle; Poulpagne; Capuche de l'Œil Attentif; Cape de l'Œil Attentif; Bottes du Sinistrofu; Dofus Turquoise; Dofus des Glaces; Dofus Abyssal; Chanceux majeur; Carapace Eau majeur; Remueur; Muldo Indigo</t>
        </is>
      </c>
    </row>
    <row r="14244">
      <c r="A14244" t="inlineStr">
        <is>
          <t>feuair</t>
        </is>
      </c>
      <c r="B14244">
        <f>HYPERLINK("https://www.dofusbook.net/fr/equipement/2247526-feuair/objets", "link")</f>
        <v/>
      </c>
      <c r="C14244" t="n">
        <v>0</v>
      </c>
      <c r="D14244" t="inlineStr">
        <is>
          <t>Sabres d'Atcham; Amulette du Strigide; Bague Trithon; Anneau de Padgref; Quatre-feuilles; Ceinture du Strigide; Coiffe de Padgref; Cape d'Atcham; Getas de Padgref; Dofus Pourpre; Dofus des Glaces; Dofus Turquoise; Dofus Nébuleux; Dokoko; Dofus Ocre; Muldo Prune et Emeraude</t>
        </is>
      </c>
    </row>
    <row r="14245">
      <c r="A14245" t="inlineStr">
        <is>
          <t>Feusoin</t>
        </is>
      </c>
      <c r="B14245">
        <f>HYPERLINK("https://www.dofusbook.net/fr/equipement/2247301-feusoin/objets", "link")</f>
        <v/>
      </c>
      <c r="C14245" t="n">
        <v>0</v>
      </c>
      <c r="D14245" t="inlineStr">
        <is>
          <t>Baguette de Malléfisk; Pendentif affamé; Anneau de Nidas; Bague Gloursonne; Carapar; Ceinture Séculaire; Coiffe Séculaire; Voile d'encre; Pataugastrique; Remueur; Érudit majeur; Guérisseur majeur; Miraculé majeur; Muldo Orchidée et Pourpre</t>
        </is>
      </c>
    </row>
    <row r="14246">
      <c r="A14246" t="inlineStr">
        <is>
          <t>air</t>
        </is>
      </c>
      <c r="B14246">
        <f>HYPERLINK("https://www.dofusbook.net/fr/equipement/2246813-air/objets", "link")</f>
        <v/>
      </c>
      <c r="C14246" t="n">
        <v>0</v>
      </c>
      <c r="D14246" t="inlineStr">
        <is>
          <t>Manthache; Collier du Valet Veinard; Alliance Gloursonne; Gant du Valet Veinard; Sept ans de malheur; Menoture; Némès de Tal Kasha; Cape Indescriptible; Palmes Trithons; Carapace Air majeur; Étourdisseur majeur; Cascadeur majeur; Remueur; Dévastateur Air majeur; Muldo Ebène et Indigo</t>
        </is>
      </c>
    </row>
    <row r="14247">
      <c r="A14247" t="inlineStr">
        <is>
          <t>eau</t>
        </is>
      </c>
      <c r="B14247">
        <f>HYPERLINK("https://www.dofusbook.net/fr/equipement/2246637-eau/objets", "link")</f>
        <v/>
      </c>
      <c r="C14247" t="n">
        <v>0</v>
      </c>
      <c r="D14247" t="inlineStr">
        <is>
          <t>Dagoulinantes; Amulette de Shokkoth; Alliance Gloursonne; Bracelet des Fonds marins; Sept ans de malheur; Poulpagne; Casque d'Ilyzaelle; Chevelure de Tal Kasha; Sandales de Tal Kasha; Dofus Abyssal; Carapace Eau majeur; Étourdisseur majeur; Remueur; Chanceux majeur; Muldo Ebène et Indigo</t>
        </is>
      </c>
    </row>
    <row r="14248">
      <c r="A14248" t="inlineStr">
        <is>
          <t>dopou</t>
        </is>
      </c>
      <c r="B14248">
        <f>HYPERLINK("https://www.dofusbook.net/fr/equipement/2243832-dopou/objets", "link")</f>
        <v/>
      </c>
      <c r="C14248" t="n">
        <v>0</v>
      </c>
      <c r="D14248" t="inlineStr">
        <is>
          <t>Héqache; Torquistik; Bague Gloursonne; Anneau Chevelu; Bouclier précieux; Ceintacé; Casque Dragoeuf; Voile d'encre; Bottistik; Dofus Abyssal; Dofus Émeraude; Bousculeur majeur; Remueur; Pousseur majeur; Culbuteur majeur; Muldo Pourpre</t>
        </is>
      </c>
    </row>
    <row r="14249">
      <c r="A14249" t="inlineStr">
        <is>
          <t>Arc</t>
        </is>
      </c>
      <c r="B14249">
        <f>HYPERLINK("https://www.dofusbook.net/fr/equipement/2243307-arc/objets", "link")</f>
        <v/>
      </c>
      <c r="C14249" t="n">
        <v>2</v>
      </c>
      <c r="D14249" t="inlineStr">
        <is>
          <t>Arc Nécrotique; Talisman Igans; Bracelet du Piloztère; Alliance Gloursonne; Quatre-feuilles; Ceintrigue; Kidibonnet; Cape de la Dame du Hasard; Bottes de la Dame du Hasard; Dofus Turquoise; Dofus Nébuleux; Dofus Ocre; Dofus Abyssal; Dofus Pourpre; Dofus des Glaces; Muldo Indigo et Orchidée</t>
        </is>
      </c>
    </row>
    <row r="14250">
      <c r="A14250" t="inlineStr">
        <is>
          <t>eau</t>
        </is>
      </c>
      <c r="B14250">
        <f>HYPERLINK("https://www.dofusbook.net/fr/equipement/196334-eau/objets", "link")</f>
        <v/>
      </c>
      <c r="C14250" t="n">
        <v>0</v>
      </c>
      <c r="D14250" t="inlineStr">
        <is>
          <t>Sceptre du Roi Joueur; Amulette Voldelor; Bracelet des Fonds marins; Alliance Gloursonne; Sangle Ouare; Kidibonnet; Cape du Sinistrofu; Sandales des Fonds marins; Dofus Turquoise; Miraculé majeur; Culbuteur majeur; Évasif majeur; Remueur; Culbuteur; El Scarador</t>
        </is>
      </c>
    </row>
    <row r="14251">
      <c r="A14251" t="inlineStr">
        <is>
          <t>strimulti</t>
        </is>
      </c>
      <c r="B14251">
        <f>HYPERLINK("https://www.dofusbook.net/fr/equipement/196333-strimulti/objets", "link")</f>
        <v/>
      </c>
      <c r="C14251" t="n">
        <v>0</v>
      </c>
      <c r="D14251" t="inlineStr">
        <is>
          <t>Pelle de Nidas; Amulette du Strigide; Alliance Gloursonne; Anneau de Pol Ouatnos; Ceintacé; Coiffe d'Ogivol; Voile d'encre; Bottes du Strigide; Dofus des Glaces; Dofus Turquoise; Évasif majeur; Miraculé majeur; Carapace Terre majeur; Remueur; Kramkram</t>
        </is>
      </c>
    </row>
    <row r="14252">
      <c r="A14252" t="inlineStr">
        <is>
          <t>CraFeu</t>
        </is>
      </c>
      <c r="B14252">
        <f>HYPERLINK("https://www.dofusbook.net/fr/equipement/2240057-crafeu/objets", "link")</f>
        <v/>
      </c>
      <c r="C14252" t="n">
        <v>0</v>
      </c>
      <c r="D14252" t="inlineStr">
        <is>
          <t>Épée d'Otomaï; Pendentif affamé; Anneau Tamie; Anneau Tamie; Bouclier Taverne; Ceinture Séculaire; Coiffe Séculaire; Voile d'encre; Pataugastrique; Dévastateur Feu majeur; Remueur; Saccageur Feu majeur; Astucieux majeur; Érudit majeur; Nomade; Muldo Prune et Emeraude</t>
        </is>
      </c>
    </row>
    <row r="14253">
      <c r="A14253" t="inlineStr">
        <is>
          <t>CraTERRE</t>
        </is>
      </c>
      <c r="B14253">
        <f>HYPERLINK("https://www.dofusbook.net/fr/equipement/2239995-craterre/objets", "link")</f>
        <v/>
      </c>
      <c r="C14253" t="n">
        <v>0</v>
      </c>
      <c r="D14253" t="inlineStr">
        <is>
          <t>Arc du Chalœil; Amulette du Strigide; Bague Gloursonne; Bracelet du Piloztère; Bouclier Taverne; Ceinture du Strigide; Masque de Koutoulou; Voile d'encre; Bottes de la Cour Sombre; Forcené majeur; Nomade; Enragé majeur; Dévastateur Terre majeur; Remueur; Vigoureux majeur; Muldo Prune et Emeraude</t>
        </is>
      </c>
    </row>
    <row r="14254">
      <c r="A14254" t="inlineStr">
        <is>
          <t>Iopmulti</t>
        </is>
      </c>
      <c r="B14254">
        <f>HYPERLINK("https://www.dofusbook.net/fr/equipement/2124178-iopmulti/objets", "link")</f>
        <v/>
      </c>
      <c r="C14254" t="n">
        <v>1</v>
      </c>
      <c r="D14254" t="inlineStr">
        <is>
          <t>Epée Toche; Amulette du Strigide; Anneau Crustique; Bague Gloursonne; Ceinture du Strigide; Bonnet Ko; Voile d'encre; Bottes du Roi Joueur; Dofus Pourpre; Dofus des Glaces; Dofus Turquoise; Dofus Ocre; Remueur; Nomade; Muldo Prune et Emeraude</t>
        </is>
      </c>
    </row>
    <row r="14255">
      <c r="A14255" t="inlineStr">
        <is>
          <t>pandaEAU</t>
        </is>
      </c>
      <c r="B14255">
        <f>HYPERLINK("https://www.dofusbook.net/fr/equipement/2054123-pandaeau/objets", "link")</f>
        <v/>
      </c>
      <c r="C14255" t="n">
        <v>0</v>
      </c>
      <c r="D14255" t="inlineStr">
        <is>
          <t>Rapière aux Glyphes; Amulette de Danathor; Alliance Gloursonne; Bracelet des Fonds marins; Quatre-feuilles; Poulpagne; Coiffe de Danathor; Cape de Mantaze; Bottes du Nocturlabe; Dofus Abyssal; Taquin majeur; Nomade; Chanceux majeur; Remueur; Dévastateur Eau majeur; Dehluge</t>
        </is>
      </c>
    </row>
    <row r="14256">
      <c r="A14256" t="inlineStr">
        <is>
          <t>striglouraneris</t>
        </is>
      </c>
      <c r="B14256">
        <f>HYPERLINK("https://www.dofusbook.net/fr/equipement/2041131-striglouraneris/objets", "link")</f>
        <v/>
      </c>
      <c r="C14256" t="n">
        <v>1</v>
      </c>
      <c r="D14256" t="inlineStr">
        <is>
          <t>Epée Gloursonne; Amulette du Strigide; Bague Gloursonne; Alliance Gloursonne; Bouclier d'Anerice; Ceinture du Strigide; Masque d'Anerice; Cape d'Anerice; Bottes du Strigide; Dofus des Glaces; Dofus Pourpre; Dofus Nébuleux; Dofus Turquoise; Dofus Abyssal; Dofus Vulbis; Kramkram</t>
        </is>
      </c>
    </row>
    <row r="14257">
      <c r="A14257" t="inlineStr">
        <is>
          <t>multipacher</t>
        </is>
      </c>
      <c r="B14257">
        <f>HYPERLINK("https://www.dofusbook.net/fr/equipement/2033631-multipacher/objets", "link")</f>
        <v/>
      </c>
      <c r="C14257" t="n">
        <v>1</v>
      </c>
      <c r="D14257" t="inlineStr">
        <is>
          <t>Bâton Beau; Amulette du Strigide; Bracelet du Piloztère; Anneau de Padgref; Quatre-feuilles; Ceinture du Strigide; Masque de Koutoulou; Cape Reski; Baleinabottes; Dofus des Glaces; Dofus Pourpre; Dofus Turquoise; Vigoureux majeur; Remueur; Nomade; Muldo Prune et Emeraude</t>
        </is>
      </c>
    </row>
    <row r="14258">
      <c r="A14258" t="inlineStr">
        <is>
          <t>ENUEau</t>
        </is>
      </c>
      <c r="B14258">
        <f>HYPERLINK("https://www.dofusbook.net/fr/equipement/2024575-enueau/objets", "link")</f>
        <v/>
      </c>
      <c r="C14258" t="n">
        <v>0</v>
      </c>
      <c r="D14258" t="inlineStr">
        <is>
          <t>Dagues Açantes; Amulette de Shokkoth; Alliance Gloursonne; Pikano; Bouclier cubiste; Poulpagne; Kidibonnet; Cape de Léthaline; Pikottes; Temporiseur majeur; Temporiseur; Entraveur majeur; Ralentisseur majeur; Remueur; Entraveur; Muldo Doré</t>
        </is>
      </c>
    </row>
    <row r="14259">
      <c r="A14259" t="inlineStr">
        <is>
          <t>Multi</t>
        </is>
      </c>
      <c r="B14259">
        <f>HYPERLINK("https://www.dofusbook.net/fr/equipement/2024318-multi/objets", "link")</f>
        <v/>
      </c>
      <c r="C14259" t="n">
        <v>2</v>
      </c>
      <c r="D14259" t="inlineStr">
        <is>
          <t>Bâton Beau; Amulette du Strigide; Alliance Gloursonne; Anneau de Padgref; Quatre-feuilles; Ceinture du Strigide; Le Dorado; Dofusteuse; Sandales  d'Atcham; Dofus des Glaces; Dofus Pourpre; Dofus Turquoise; Vigoureux majeur; Nomade; Remueur; Muldo Prune et Emeraude</t>
        </is>
      </c>
    </row>
    <row r="14260">
      <c r="A14260" t="inlineStr">
        <is>
          <t>padgref</t>
        </is>
      </c>
      <c r="B14260">
        <f>HYPERLINK("https://www.dofusbook.net/fr/equipement/2024254-padgref/objets", "link")</f>
        <v/>
      </c>
      <c r="C14260" t="n">
        <v>0</v>
      </c>
      <c r="D14260" t="inlineStr">
        <is>
          <t>Marteau Phossile; Amulette du Strigide; Kralano; Anneau de Padgref; Quatre-feuilles; Ceinture du Strigide; Coiffe de Padgref; Voile d'encre; Getas de Padgref; Dofus des Glaces; Dofus Ocre; Dofus Turquoise; Dofus Pourpre; Saccageur Feu majeur; Astucieux majeur; Muldo Prune et Emeraude</t>
        </is>
      </c>
    </row>
    <row r="14261">
      <c r="A14261" t="inlineStr">
        <is>
          <t>dopouvita</t>
        </is>
      </c>
      <c r="B14261">
        <f>HYPERLINK("https://www.dofusbook.net/fr/equipement/2022831-dopouvita/objets", "link")</f>
        <v/>
      </c>
      <c r="C14261" t="n">
        <v>0</v>
      </c>
      <c r="D14261" t="inlineStr">
        <is>
          <t>Sceptre du Roi Joueur; Amulette de Shokkoth; Alliance Gloursonne; Bracelet des Fonds marins; Bouclier précieux; Poulpagne; Masque d'Anerice; Cape d'Anerice; Bottes du Sinistrofu; Dofus Abyssal; Dokoko; Dofus Turquoise; Remueur; Culbuteur majeur; Miraculé majeur; Muldo Indigo et Amande</t>
        </is>
      </c>
    </row>
    <row r="14262">
      <c r="A14262" t="inlineStr">
        <is>
          <t>koutoulou</t>
        </is>
      </c>
      <c r="B14262">
        <f>HYPERLINK("https://www.dofusbook.net/fr/equipement/2004796-koutoulou/objets", "link")</f>
        <v/>
      </c>
      <c r="C14262" t="n">
        <v>0</v>
      </c>
      <c r="D14262" t="inlineStr">
        <is>
          <t>Arc de Koutoulou; Amulette de Shokkoth; Alliance Gloursonne; Bracelet des Fonds marins; Ceinture du Barbétoal; Némès de Tal Kasha; Chevelure de Tal Kasha; Pataugastrique; Dokoko; Dofus Abyssal; Remueur; Chanceux majeur; Dévastateur Eau majeur; Cascadeur majeur; Muldo Prune et Emeraude</t>
        </is>
      </c>
    </row>
    <row r="14263">
      <c r="A14263" t="inlineStr">
        <is>
          <t>pvmdouzesix</t>
        </is>
      </c>
      <c r="B14263">
        <f>HYPERLINK("https://www.dofusbook.net/fr/equipement/1309280-pvmdouzesix/objets", "link")</f>
        <v/>
      </c>
      <c r="C14263" t="n">
        <v>0</v>
      </c>
      <c r="D14263" t="inlineStr">
        <is>
          <t>Dagues Érhy; Amulette du Strigide; Bracelet du Piloztère; Bague Gloursonne; Bouclier du Captain Amakna; Ceinture du Strigide; Bonnet Ko; Cape Reski; Bottes du Strigide; Dofus Turquoise; Dofus Ocre; Dofus Pourpre; Dofus des Glaces; Forcené majeur; Voyageur; Muldo Prune et Emeraude</t>
        </is>
      </c>
    </row>
    <row r="14264">
      <c r="A14264" t="inlineStr">
        <is>
          <t>eauairteste</t>
        </is>
      </c>
      <c r="B14264">
        <f>HYPERLINK("https://www.dofusbook.net/fr/equipement/1025714-eauairteste/objets", "link")</f>
        <v/>
      </c>
      <c r="C14264" t="n">
        <v>0</v>
      </c>
      <c r="D14264" t="inlineStr">
        <is>
          <t>Arc de Koutoulou; Amulette Voldelor; Gant du Valet Veinard; Alliance Gloursonne; Bouclier du Stalak; Ceinture Voldelor; Némès de Tal Kasha; Chevelure de Tal Kasha; Sandales de Tal Kasha; Dokoko; Dofus Ocre; Dofus Abyssal; Dofus Émeraude; Dofus des Glaces; Dofus Turquoise; Muldo Ebène et Indigo</t>
        </is>
      </c>
    </row>
    <row r="14265">
      <c r="A14265" t="inlineStr">
        <is>
          <t>airesquivPA</t>
        </is>
      </c>
      <c r="B14265">
        <f>HYPERLINK("https://www.dofusbook.net/fr/equipement/196307-airesquivpa/objets", "link")</f>
        <v/>
      </c>
      <c r="C14265" t="n">
        <v>0</v>
      </c>
      <c r="D14265" t="inlineStr">
        <is>
          <t>Manthache; Collier du Valet Veinard; Alliance Gloursonne; Gant du Valet Veinard; Écorce de Brouce; Menoture; Capuche de Moum-Ra; Cape Indescriptible; Palmes Trithons; Dokoko; Dofus Abyssal; Dofus Émeraude; Cascadeur majeur; Évasif majeur; Remueur; Muldo Ebène et Pourpre</t>
        </is>
      </c>
    </row>
    <row r="14266">
      <c r="A14266" t="inlineStr">
        <is>
          <t>airesquivePm</t>
        </is>
      </c>
      <c r="B14266">
        <f>HYPERLINK("https://www.dofusbook.net/fr/equipement/196306-airesquivepm/objets", "link")</f>
        <v/>
      </c>
      <c r="C14266" t="n">
        <v>0</v>
      </c>
      <c r="D14266" t="inlineStr">
        <is>
          <t>Manthache; Collier du Valet Veinard; Alliance Gloursonne; Gant du Valet Veinard; Bouclier à hélice; Menoture; Casque des égarés; Cape Indescriptible; Palmes Trithons; Dofus Émeraude; Dofus Abyssal; Dofus Ocre; Dokoko; Dofus des Glaces; Muldo Ebène et Pourpre</t>
        </is>
      </c>
    </row>
    <row r="14267">
      <c r="A14267" t="inlineStr">
        <is>
          <t>reseau</t>
        </is>
      </c>
      <c r="B14267">
        <f>HYPERLINK("https://www.dofusbook.net/fr/equipement/981403-reseau/objets", "link")</f>
        <v/>
      </c>
      <c r="C14267" t="n">
        <v>1</v>
      </c>
      <c r="D14267" t="inlineStr">
        <is>
          <t>Dagues Érhy; Amulette du Strigide; Chevalière du Roi Joueur; Bague Gloursonne; Bouclier du Stalak; Ceintacé; Casque des égarés; Voile d'encre; Bottes du Strigide; Dofus Ocre; Dofus Émeraude; Dokoko; Dofus Pourpre; Robuste majeur; Vigoureux majeur; Muldo Ebène et Pourpre</t>
        </is>
      </c>
    </row>
    <row r="14268">
      <c r="A14268" t="inlineStr">
        <is>
          <t>airresfix</t>
        </is>
      </c>
      <c r="B14268">
        <f>HYPERLINK("https://www.dofusbook.net/fr/equipement/979788-airresfix/objets", "link")</f>
        <v/>
      </c>
      <c r="C14268" t="n">
        <v>0</v>
      </c>
      <c r="D14268" t="inlineStr">
        <is>
          <t>L'Épée Nice; Collier du Valet Veinard; Alliance Gloursonne; Gant du Valet Veinard; Roncier; Menoture; Couronne d'Allister; Cape Indescriptible; Baleinabottes; Dofus Abyssal; Dofus Ivoire; Dokoko; Muraille Air majeure; Carapace Air majeur; Cuirassé Air majeur; Toukancre</t>
        </is>
      </c>
    </row>
    <row r="14269">
      <c r="A14269" t="inlineStr">
        <is>
          <t>terreairCC</t>
        </is>
      </c>
      <c r="B14269">
        <f>HYPERLINK("https://www.dofusbook.net/fr/equipement/979830-terreaircc/objets", "link")</f>
        <v/>
      </c>
      <c r="C14269" t="n">
        <v>0</v>
      </c>
      <c r="D14269" t="inlineStr">
        <is>
          <t>Lance corrompue; Amulette du Strigide; Bracelet du Piloztère; Alliance Gloursonne; Bouclier du Stalak; Ceinture du Strigide; Masque de Koutoulou; Voile d'encre; Baleinabottes; Dofus Pourpre; Dofus Abyssal; Dofus Turquoise; Dofus des Glaces; Dofus Émeraude; Dokoko; Muldo Ebène et Pourpre</t>
        </is>
      </c>
    </row>
    <row r="14270">
      <c r="A14270" t="inlineStr">
        <is>
          <t>hacheairterre</t>
        </is>
      </c>
      <c r="B14270">
        <f>HYPERLINK("https://www.dofusbook.net/fr/equipement/979624-hacheairterre/objets", "link")</f>
        <v/>
      </c>
      <c r="C14270" t="n">
        <v>0</v>
      </c>
      <c r="D14270" t="inlineStr">
        <is>
          <t>Héqache; Amulette du Kamasterisk; Alliance Gloursonne; Anneau des égarés; Carapar; Menoture; Casque des égarés; Cape du Kamasterisk; Bottes du Kamasterisk; Dokoko; Dofus Abyssal; Dofus des Glaces; Dofus Émeraude; Dofus Ocre; Carapace Eau majeur; Muldo Ebène et Pourpre</t>
        </is>
      </c>
    </row>
    <row r="14271">
      <c r="A14271" t="inlineStr">
        <is>
          <t>vitafeu</t>
        </is>
      </c>
      <c r="B14271">
        <f>HYPERLINK("https://www.dofusbook.net/fr/equipement/975545-vitafeu/objets", "link")</f>
        <v/>
      </c>
      <c r="C14271" t="n">
        <v>1</v>
      </c>
      <c r="D14271" t="inlineStr">
        <is>
          <t>Harpelle; Pendentif affamé; Anneauræus; Anneau du Katcheur; Carapar; Ceintacé; Masque du Katcheur; Cape de Diondin; Bottes Innommables; Dofus Émeraude; Dofus des Glaces; Remueur; Dévastateur Feu majeur; Miraculé majeur; Nomade; Péki</t>
        </is>
      </c>
    </row>
    <row r="14272">
      <c r="A14272" t="inlineStr">
        <is>
          <t>feuair</t>
        </is>
      </c>
      <c r="B14272">
        <f>HYPERLINK("https://www.dofusbook.net/fr/equipement/938240-feuair/objets", "link")</f>
        <v/>
      </c>
      <c r="C14272" t="n">
        <v>1</v>
      </c>
      <c r="D14272" t="inlineStr">
        <is>
          <t>Baguette Range; Amulette du Strigide; Anneau Rifique; Anneau de Padgref; Ceinture du Strigide; Coiffe de Padgref; Voile d'encre; Getas de Padgref; Dofus Ocre; Dofus Abyssal; Dofus Émeraude; Dofus des Glaces; Dofus Turquoise; Dokoko; Muldo Prune et Emeraude</t>
        </is>
      </c>
    </row>
    <row r="14273">
      <c r="A14273" t="inlineStr">
        <is>
          <t>Stuff 2</t>
        </is>
      </c>
      <c r="B14273">
        <f>HYPERLINK("https://www.dofusbook.net/fr/equipement/196336-stuff-2/objets", "link")</f>
        <v/>
      </c>
      <c r="C14273" t="n">
        <v>0</v>
      </c>
      <c r="D14273" t="inlineStr">
        <is>
          <t>Arc de Koutoulou; Amulette du Strigide; Gant du Valet Veinard; Alliance Gloursonne; Quatre-feuilles; Ceintacé; Némès de Tal Kasha; Chevelure de Tal Kasha; Bottes de la Reine des Voleurs; Dofus des Glaces; Dofus Turquoise; Dokoko; Dofus Abyssal; Nomade; Remueur; Muldo Ebène et Indigo</t>
        </is>
      </c>
    </row>
    <row r="14274">
      <c r="A14274" t="inlineStr">
        <is>
          <t>Stuff 3</t>
        </is>
      </c>
      <c r="B14274">
        <f>HYPERLINK("https://www.dofusbook.net/fr/equipement/196331-stuff-3/objets", "link")</f>
        <v/>
      </c>
      <c r="C14274" t="n">
        <v>0</v>
      </c>
      <c r="D14274" t="inlineStr">
        <is>
          <t>Dagues Érhy; Amulette du Strigide; Bague Gloursonne; Anneau de Nidas; Bouclier cubiste; Ceinture de Gein; Chapeau de Gein; Voile d'encre; Pataugastrique; Dofus Abyssal; Dofus des Glaces; Dofus Émeraude; Remueur; Entraveur majeur; Temporiseur majeur; Muldo Indigo et Pourpre</t>
        </is>
      </c>
    </row>
    <row r="14275">
      <c r="A14275" t="inlineStr">
        <is>
          <t>Stuff 1</t>
        </is>
      </c>
      <c r="B14275">
        <f>HYPERLINK("https://www.dofusbook.net/fr/equipement/196335-stuff-1/objets", "link")</f>
        <v/>
      </c>
      <c r="C14275" t="n">
        <v>1</v>
      </c>
      <c r="D14275" t="inlineStr">
        <is>
          <t>Hache du Chalœil; Amulette du Strigide; Bracelet du Piloztère; Alliance Gloursonne; Ceintacé; Casque du Chalœil; Voile d'encre; Bottes du Strigide; Dofus Pourpre; Dofus Turquoise; Dofus des Glaces; Dofus Émeraude; Carapace Feu majeur; Remueur; Muldo Prune et Pourpre</t>
        </is>
      </c>
    </row>
    <row r="14276">
      <c r="A14276" t="inlineStr">
        <is>
          <t>Pvp</t>
        </is>
      </c>
      <c r="B14276">
        <f>HYPERLINK("https://www.dofusbook.net/fr/equipement/304341-pvp/objets", "link")</f>
        <v/>
      </c>
      <c r="C14276" t="n">
        <v>0</v>
      </c>
      <c r="D14276" t="inlineStr">
        <is>
          <t>Dagues Érhy; Amulette Ementaire Deluxe; Bague Gloursonne; Ceinture de Gein; Chapeau de Gein; Voile d'encre; Dofus Abyssal; Dofus Émeraude; Remueur</t>
        </is>
      </c>
    </row>
    <row r="14277">
      <c r="A14277" t="inlineStr">
        <is>
          <t>Pvm</t>
        </is>
      </c>
      <c r="B14277">
        <f>HYPERLINK("https://www.dofusbook.net/fr/equipement/223722-pvm/objets", "link")</f>
        <v/>
      </c>
      <c r="C14277" t="n">
        <v>0</v>
      </c>
      <c r="D14277" t="inlineStr">
        <is>
          <t>Dagues Érhy; Amulette du Strigide; Bague Gloursonne; Anneau de Brouce; Ceinture du Strigide; Chapeau de Gein; Voile d'encre; Baleinabottes; Dofus Turquoise; Nomade; Entraveur majeur; Remueur; Temporiseur majeur; Vigoureux majeur; Muldo Prune</t>
        </is>
      </c>
    </row>
    <row r="14278">
      <c r="A14278" t="inlineStr">
        <is>
          <t>Stuff 1</t>
        </is>
      </c>
      <c r="B14278">
        <f>HYPERLINK("https://www.dofusbook.net/fr/equipement/196338-stuff-1/objets", "link")</f>
        <v/>
      </c>
      <c r="C14278" t="n">
        <v>0</v>
      </c>
      <c r="D14278" t="inlineStr">
        <is>
          <t>Sabres d'Atcham; Amulette du Strigide; Anneau Tique; Alliance Gloursonne; Ceintacé; Chapeau des Malveilleurs; Voile d'encre; Sandales  d'Atcham; Dofus Turquoise; Dofus des Glaces; Dofus Pourpre; Nomade; Remueur; Kramkram</t>
        </is>
      </c>
    </row>
    <row r="14279">
      <c r="A14279" t="inlineStr">
        <is>
          <t>Stuff 3</t>
        </is>
      </c>
      <c r="B14279">
        <f>HYPERLINK("https://www.dofusbook.net/fr/equipement/196328-stuff-3/objets", "link")</f>
        <v/>
      </c>
      <c r="C14279" t="n">
        <v>0</v>
      </c>
      <c r="D14279" t="inlineStr">
        <is>
          <t>Pelle de la Cour Sombre; Amibou; Alliance Gloursonne; Anneau des égarés; Ceinture du Barbétoal; Casque des égarés; Capchalot; Baleinabottes; Paralyseur majeur; Cascadeur majeur; Miraculé majeur; Étourdisseur majeur; Nomade; Kramkram</t>
        </is>
      </c>
    </row>
    <row r="14280">
      <c r="A14280" t="inlineStr">
        <is>
          <t>Stuff 1</t>
        </is>
      </c>
      <c r="B14280">
        <f>HYPERLINK("https://www.dofusbook.net/fr/equipement/196323-stuff-1/objets", "link")</f>
        <v/>
      </c>
      <c r="C14280" t="n">
        <v>0</v>
      </c>
      <c r="D14280" t="inlineStr">
        <is>
          <t>Dagues Érhy; Amulette du Strigide; Anneau Chevelu; Bague Gloursonne; Ceinture du Strigide; Chapeau de Gein; Voile d'encre; Bottes de la Cour Sombre; Dofus des Glaces; Dofus Ocre; Dofus Pourpre; Dofus Turquoise; Nomade; Remueur; Kwaltess</t>
        </is>
      </c>
    </row>
    <row r="14281">
      <c r="A14281" t="inlineStr">
        <is>
          <t>Stuff 2</t>
        </is>
      </c>
      <c r="B14281">
        <f>HYPERLINK("https://www.dofusbook.net/fr/equipement/196315-stuff-2/objets", "link")</f>
        <v/>
      </c>
      <c r="C14281" t="n">
        <v>0</v>
      </c>
      <c r="D14281" t="inlineStr">
        <is>
          <t>Arc Hétype; Amulette de Nileza; Anneau de Nidas; Anneau Tique; Ceinture de Vortex; Couronne de Nidas; Voile d'encre; Pataugastrique; Miraculé majeur; Remueur; Déserteur majeur; Nomade; Vagabond majeur; Érudit majeur; El Scarador</t>
        </is>
      </c>
    </row>
    <row r="14282">
      <c r="A14282" t="inlineStr">
        <is>
          <t>Stuff 2</t>
        </is>
      </c>
      <c r="B14282">
        <f>HYPERLINK("https://www.dofusbook.net/fr/equipement/196350-stuff-2/objets", "link")</f>
        <v/>
      </c>
      <c r="C14282" t="n">
        <v>0</v>
      </c>
      <c r="D14282" t="inlineStr">
        <is>
          <t>La Baguette des Limbes; Amulette du Strigide; Anneau de Brouce; Bague Gloursonne; Ceinture du Strigide; Masque de Koutoulou; Voile d'encre; Bottes du Cycloïde; Dofus des Glaces; Dofus Turquoise; Dofus Pourpre; Forcené majeur; Dévastateur Terre majeur; Enragé majeur; Chacha Angora</t>
        </is>
      </c>
    </row>
    <row r="14283">
      <c r="A14283" t="inlineStr">
        <is>
          <t>Stuff 2</t>
        </is>
      </c>
      <c r="B14283">
        <f>HYPERLINK("https://www.dofusbook.net/fr/equipement/196345-stuff-2/objets", "link")</f>
        <v/>
      </c>
      <c r="C14283" t="n">
        <v>0</v>
      </c>
      <c r="D14283" t="inlineStr">
        <is>
          <t>Rapière aux Glyphes; Amulette Voldelor; Alliance Gloursonne; Bracelet des Fonds marins; Ceinture du Barbétoal; Masque des Fonds marins; Capchalot; Bottes du Sinistrofu; Dofus Turquoise; Dofus Pourpre; Chanceux majeur; Nomade; Cavaleur majeur; Remueur; El Scarador</t>
        </is>
      </c>
    </row>
    <row r="14284">
      <c r="A14284" t="inlineStr">
        <is>
          <t>Stuff 3</t>
        </is>
      </c>
      <c r="B14284">
        <f>HYPERLINK("https://www.dofusbook.net/fr/equipement/196310-stuff-3/objets", "link")</f>
        <v/>
      </c>
      <c r="C14284" t="n">
        <v>0</v>
      </c>
      <c r="D14284" t="inlineStr">
        <is>
          <t>Manthache; Collier du Valet Veinard; Gant du Valet Veinard; Alliance Gloursonne; Menoture; Dorabysses; Cape Indescriptible; Palmes Trithons; Dofus Émeraude; Dofus Abyssal; Cascadeur majeur; Remueur; Carapace Air majeur; Miraculé majeur; Muldo Ebène et Pourpre</t>
        </is>
      </c>
    </row>
    <row r="14285">
      <c r="A14285" t="inlineStr">
        <is>
          <t>Stuff 2</t>
        </is>
      </c>
      <c r="B14285">
        <f>HYPERLINK("https://www.dofusbook.net/fr/equipement/196330-stuff-2/objets", "link")</f>
        <v/>
      </c>
      <c r="C14285" t="n">
        <v>0</v>
      </c>
      <c r="D14285" t="inlineStr">
        <is>
          <t>Dagues Érhy; Amulette de l'Œil Putride; Bague Gloursonne; Anneau de Nidas; Bouclier cubiste; Ceintacé; Casque Dragoeuf; Voile d'encre; Bottes de l'Indicible; Dofus des Glaces; Dofus Abyssal; Dofus Émeraude; Remueur; Entraveur majeur; Temporiseur majeur; Muldo Pourpre et Amande</t>
        </is>
      </c>
    </row>
    <row r="14286">
      <c r="A14286" t="inlineStr">
        <is>
          <t>Stuff 3</t>
        </is>
      </c>
      <c r="B14286">
        <f>HYPERLINK("https://www.dofusbook.net/fr/equipement/196325-stuff-3/objets", "link")</f>
        <v/>
      </c>
      <c r="C14286" t="n">
        <v>1</v>
      </c>
      <c r="D14286" t="inlineStr">
        <is>
          <t>Dagues de Srambad; Amulette de Pol Ouatnos; Anneau Chevelu; Alliance Gloursonne; Ceinture de la Reine des Voleurs; Coiffe de la Reine des Voleurs; Voile d'encre; Baleinabottes; Dofus Pourpre; Dolmanax; Dofus Turquoise; Vigoureux majeur; Remueur; Kramkram</t>
        </is>
      </c>
    </row>
    <row r="14287">
      <c r="A14287" t="inlineStr">
        <is>
          <t>Stuff 1</t>
        </is>
      </c>
      <c r="B14287">
        <f>HYPERLINK("https://www.dofusbook.net/fr/equipement/196317-stuff-1/objets", "link")</f>
        <v/>
      </c>
      <c r="C14287" t="n">
        <v>0</v>
      </c>
      <c r="D14287" t="inlineStr">
        <is>
          <t>Sceptre du Roi Joueur; Amulette de Shokkoth; Alliance Gloursonne; Bracelet des Fonds marins; Poulpagne; Masque Trithon; Cape de Mantaze; Bottes Trithon; Dofus Turquoise; Dofus Émeraude; Carapace Neutre majeur; Culbuteur majeur; Miraculé majeur; Remueur; Muldo Ebène et Amande</t>
        </is>
      </c>
    </row>
    <row r="14288">
      <c r="A14288" t="inlineStr">
        <is>
          <t>Stuff 2</t>
        </is>
      </c>
      <c r="B14288">
        <f>HYPERLINK("https://www.dofusbook.net/fr/equipement/196312-stuff-2/objets", "link")</f>
        <v/>
      </c>
      <c r="C14288" t="n">
        <v>0</v>
      </c>
      <c r="D14288" t="inlineStr">
        <is>
          <t>Arc Hétype; Amulette de Nileza; Anneau de Pol Ouatnos; Anneau de Nidas; Ceinture de Vortex; Cagoule de Vortex; Voile d'encre; Pataugastrique; Érudit majeur; Étourdisseur majeur; Remueur; Temporiseur majeur; Obstructeur majeur; El Scarador</t>
        </is>
      </c>
    </row>
    <row r="14289">
      <c r="A14289" t="inlineStr">
        <is>
          <t>Stuff 2</t>
        </is>
      </c>
      <c r="B14289">
        <f>HYPERLINK("https://www.dofusbook.net/fr/equipement/196342-stuff-2/objets", "link")</f>
        <v/>
      </c>
      <c r="C14289" t="n">
        <v>1</v>
      </c>
      <c r="D14289" t="inlineStr">
        <is>
          <t>Arc Hétype; Collier de la Dame du Hasard; Alliance Gloursonne; Anneau Tique; Bouclier en Slip cassé; Ceintacé; Chapeau de Gein; Voile d'encre; Bottes de la Dame du Hasard; Dofus des Glaces; Dofus Turquoise; Dofus Pourpre; Nomade; Remueur</t>
        </is>
      </c>
    </row>
    <row r="14290">
      <c r="A14290" t="inlineStr">
        <is>
          <t>Stuff 2</t>
        </is>
      </c>
      <c r="B14290">
        <f>HYPERLINK("https://www.dofusbook.net/fr/equipement/196327-stuff-2/objets", "link")</f>
        <v/>
      </c>
      <c r="C14290" t="n">
        <v>0</v>
      </c>
      <c r="D14290" t="inlineStr">
        <is>
          <t>Marteau des Anciens Steamers; Amulette Voldelor; Alliance Gloursonne; Anneau Tique; Ceinture du Barbétoal; Masque du Barbétoal; Cape Matelassée; Bottes de la Reine des Voleurs; Déserteur majeur; Nomade; Étourdisseur majeur; Remueur; Cascadeur majeur; Étourdisseur; El Scarador</t>
        </is>
      </c>
    </row>
    <row r="14291">
      <c r="A14291" t="inlineStr">
        <is>
          <t>Stuff 3</t>
        </is>
      </c>
      <c r="B14291">
        <f>HYPERLINK("https://www.dofusbook.net/fr/equipement/196319-stuff-3/objets", "link")</f>
        <v/>
      </c>
      <c r="C14291" t="n">
        <v>0</v>
      </c>
      <c r="D14291" t="inlineStr">
        <is>
          <t>Masse Ossiale; Torquistik; Alliance Gloursonne; Bracelet des Fonds marins; Bouclier précieux; Poulpagne; Casque Dragoeuf; Cape de Mantaze; Bottistik; Dofus Émeraude; Chanceux majeur; Culbuteur majeur; Remueur; Bousculeur majeur; Miraculé majeur; Muldo Indigo et Pourpre</t>
        </is>
      </c>
    </row>
    <row r="14292">
      <c r="A14292" t="inlineStr">
        <is>
          <t>Stuff 1</t>
        </is>
      </c>
      <c r="B14292">
        <f>HYPERLINK("https://www.dofusbook.net/fr/equipement/196314-stuff-1/objets", "link")</f>
        <v/>
      </c>
      <c r="C14292" t="n">
        <v>0</v>
      </c>
      <c r="D14292" t="inlineStr">
        <is>
          <t>Arc Hétype; Amulette de Nileza; Anneau Tique; Anneau de Nidas; Ceinture Séculaire; Couronne de Nidas; Voile d'encre; Pataugastrique; Dofus des Glaces; Dofus Émeraude; Ralentisseur majeur; Temporiseur majeur; Remueur; Érudit majeur; Muldo Orchidée et Amande</t>
        </is>
      </c>
    </row>
    <row r="14293">
      <c r="A14293" t="inlineStr">
        <is>
          <t>Stuff 2</t>
        </is>
      </c>
      <c r="B14293">
        <f>HYPERLINK("https://www.dofusbook.net/fr/equipement/196339-stuff-2/objets", "link")</f>
        <v/>
      </c>
      <c r="C14293" t="n">
        <v>0</v>
      </c>
      <c r="D14293" t="inlineStr">
        <is>
          <t>Pelle de Nidas; Amulette du Strigide; Anneau de Pol Ouatnos; Alliance Gloursonne; Ceintacé; Coiffe d'Ogivol; Voile d'encre; Bottes du Strigide; Dofus Turquoise; Dofus des Glaces; Dofus Pourpre; Vigoureux majeur; Remueur; Kramkram</t>
        </is>
      </c>
    </row>
    <row r="14294">
      <c r="A14294" t="inlineStr">
        <is>
          <t>Stuff 2</t>
        </is>
      </c>
      <c r="B14294">
        <f>HYPERLINK("https://www.dofusbook.net/fr/equipement/196324-stuff-2/objets", "link")</f>
        <v/>
      </c>
      <c r="C14294" t="n">
        <v>0</v>
      </c>
      <c r="D14294" t="inlineStr">
        <is>
          <t>Dagues Érhy; Amulette du Strigide; Anneau Chevelu; Bague Gloursonne; Ceinture de Gein; Couronne du Roi Joueur; Voile d'encre; Bottes du Strigide; Dofus des Glaces; Dofus Ocre; Dofus Turquoise; Dofus Pourpre; Nomade; Remueur; Kwaltess</t>
        </is>
      </c>
    </row>
    <row r="14295">
      <c r="A14295" t="inlineStr">
        <is>
          <t>Stuff 3</t>
        </is>
      </c>
      <c r="B14295">
        <f>HYPERLINK("https://www.dofusbook.net/fr/equipement/196351-stuff-3/objets", "link")</f>
        <v/>
      </c>
      <c r="C14295" t="n">
        <v>1</v>
      </c>
      <c r="D14295" t="inlineStr">
        <is>
          <t>La Baguette des Limbes; Amulette du Sinistrofu; Alliance Gloursonne; Bracelet des Fonds marins; Sangle Cible; Coiffe Cryochrone; Cape du Sinistrofu; Pataugastrique; Dofus Pourpre; Dofus des Glaces; Dofus Turquoise; Saccageur Eau majeur; Chanceux majeur; Taquin majeur; Chacha Angora</t>
        </is>
      </c>
    </row>
    <row r="14296">
      <c r="A14296" t="inlineStr">
        <is>
          <t>Stuff 3</t>
        </is>
      </c>
      <c r="B14296">
        <f>HYPERLINK("https://www.dofusbook.net/fr/equipement/196316-stuff-3/objets", "link")</f>
        <v/>
      </c>
      <c r="C14296" t="n">
        <v>0</v>
      </c>
      <c r="D14296" t="inlineStr">
        <is>
          <t>Plumeau Bil; Amulette de Nileza; Anneau Tique; Anneau de Nidas; Ceinture de Vortex; Cagoule de Vortex; Voile d'encre; Pataugastrique; Savant majeur; Nomade; Érudit majeur; Remueur; Déserteur majeur; Étourdisseur majeur; Croum</t>
        </is>
      </c>
    </row>
    <row r="14297">
      <c r="A14297" t="inlineStr">
        <is>
          <t>Stuff 1</t>
        </is>
      </c>
      <c r="B14297">
        <f>HYPERLINK("https://www.dofusbook.net/fr/equipement/196311-stuff-1/objets", "link")</f>
        <v/>
      </c>
      <c r="C14297" t="n">
        <v>0</v>
      </c>
      <c r="D14297" t="inlineStr">
        <is>
          <t>Arc Hétype; Pendentif affamé; Anneau de Nidas; Anneau Tique; Ceinture de Vortex; Couronne de Nidas; Pataugastrique; Dofus Turquoise; Érudit majeur; Remueur; Miraculé majeur; Nomade; El Scarador</t>
        </is>
      </c>
    </row>
    <row r="14298">
      <c r="A14298" t="inlineStr">
        <is>
          <t>Stuff 3</t>
        </is>
      </c>
      <c r="B14298">
        <f>HYPERLINK("https://www.dofusbook.net/fr/equipement/196346-stuff-3/objets", "link")</f>
        <v/>
      </c>
      <c r="C14298" t="n">
        <v>2</v>
      </c>
      <c r="D14298" t="inlineStr">
        <is>
          <t>Arc du Chalœil; Amulette du Strigide; Anneau Chevelu; Anneau des égarés; Ceinture de la Reine des Voleurs; Coiffe de la Reine des Voleurs; Voile d'encre; Baleinabottes; Dofus Pourpre; Dofus Turquoise; Nomade; Cavaleur majeur; Évasif majeur; Remueur; Kramkram</t>
        </is>
      </c>
    </row>
    <row r="14299">
      <c r="A14299" t="inlineStr">
        <is>
          <t>Stuff 1</t>
        </is>
      </c>
      <c r="B14299">
        <f>HYPERLINK("https://www.dofusbook.net/fr/equipement/196341-stuff-1/objets", "link")</f>
        <v/>
      </c>
      <c r="C14299" t="n">
        <v>0</v>
      </c>
      <c r="D14299" t="inlineStr">
        <is>
          <t>La Baguette des Limbes; Amulette du Strigide; Anneau Chevelu; Anneau de Brouce; Ceintacé; Coiffe d'Ogivol; Voile d'encre; Bottes du Strigide; Dofus des Glaces; Dofus Turquoise; Enragé majeur; Temporiseur majeur; Forcené majeur; Entraveur majeur; Chacha Angora</t>
        </is>
      </c>
    </row>
    <row r="14300">
      <c r="A14300" t="inlineStr">
        <is>
          <t>Stuff 2</t>
        </is>
      </c>
      <c r="B14300">
        <f>HYPERLINK("https://www.dofusbook.net/fr/equipement/196318-stuff-2/objets", "link")</f>
        <v/>
      </c>
      <c r="C14300" t="n">
        <v>0</v>
      </c>
      <c r="D14300" t="inlineStr">
        <is>
          <t>Sceptre du Roi Joueur; Amulette Luminescente; Bracelet des Fonds marins; Alliance Gloursonne; Sangle Ouare; Kidibonnet; Cape Luminescente; Bottes Trithon; Dofus Turquoise; Dofus Émeraude; Miraculé majeur; Remueur; Culbuteur majeur; Pousseur majeur</t>
        </is>
      </c>
    </row>
    <row r="14301">
      <c r="A14301" t="inlineStr">
        <is>
          <t>Stuff 3</t>
        </is>
      </c>
      <c r="B14301">
        <f>HYPERLINK("https://www.dofusbook.net/fr/equipement/196313-stuff-3/objets", "link")</f>
        <v/>
      </c>
      <c r="C14301" t="n">
        <v>0</v>
      </c>
      <c r="D14301" t="inlineStr">
        <is>
          <t>Baguette de Malléfisk; Amulette Cryochrone; Bague Gloursonne; Anneau de Nidas; Ceinture Séculaire; Couronne de Nidas; Voile d'encre; Pataugastrique; Nomade; Temporiseur majeur; Remueur; Étourdisseur majeur; Carapace Feu majeur; Déserteur majeur; El Scarador</t>
        </is>
      </c>
    </row>
    <row r="14302">
      <c r="A14302" t="inlineStr">
        <is>
          <t>Stuff 1</t>
        </is>
      </c>
      <c r="B14302">
        <f>HYPERLINK("https://www.dofusbook.net/fr/equipement/196348-stuff-1/objets", "link")</f>
        <v/>
      </c>
      <c r="C14302" t="n">
        <v>1</v>
      </c>
      <c r="D14302" t="inlineStr">
        <is>
          <t>Arc Hétype; Amulette de Nileza; Anneau Tique; Anneau de Nidas; Ceinture Séculaire; Coiffe Séculaire; Voile d'encre; Pataugastrique; Carapace Eau majeur; Déserteur majeur; Érudit majeur; Nomade; Remueur; Vagabond majeur; El Scarador</t>
        </is>
      </c>
    </row>
    <row r="14303">
      <c r="A14303" t="inlineStr">
        <is>
          <t>Stuff 1</t>
        </is>
      </c>
      <c r="B14303">
        <f>HYPERLINK("https://www.dofusbook.net/fr/equipement/196308-stuff-1/objets", "link")</f>
        <v/>
      </c>
      <c r="C14303" t="n">
        <v>0</v>
      </c>
      <c r="D14303" t="inlineStr">
        <is>
          <t>Manthache; Collier du Valet Veinard; Gant du Valet Veinard; Alliance Gloursonne; Menoture; Casque Dragoeuf; Cape Indescriptible; Palmes Trithons; Dofus des Glaces; Dofus Émeraude; Dofus Abyssal; Remueur; Cascadeur majeur; Miraculé majeur; Muldo Ebène</t>
        </is>
      </c>
    </row>
    <row r="14304">
      <c r="A14304" t="inlineStr">
        <is>
          <t>Stuff 3</t>
        </is>
      </c>
      <c r="B14304">
        <f>HYPERLINK("https://www.dofusbook.net/fr/equipement/196343-stuff-3/objets", "link")</f>
        <v/>
      </c>
      <c r="C14304" t="n">
        <v>0</v>
      </c>
      <c r="D14304" t="inlineStr">
        <is>
          <t>Dagues Érhy; Amulette de l'Indicible; Alliance Gloursonne; Anneau Chevelu; Ceinture de l'Indicible; Casque du Chalœil; Voile d'encre; Baleinabottes; Dofus Turquoise; Dofus des Glaces; Vigoureux majeur; Nomade; Remueur; Kramkram</t>
        </is>
      </c>
    </row>
    <row r="14305">
      <c r="A14305" t="inlineStr">
        <is>
          <t>Stuff 1</t>
        </is>
      </c>
      <c r="B14305">
        <f>HYPERLINK("https://www.dofusbook.net/fr/equipement/196338-stuff-1/objets", "link")</f>
        <v/>
      </c>
      <c r="C14305" t="n">
        <v>0</v>
      </c>
      <c r="D14305" t="inlineStr">
        <is>
          <t>Sabres d'Atcham; Amulette du Strigide; Anneau Tique; Alliance Gloursonne; Ceintacé; Chapeau des Malveilleurs; Voile d'encre; Sandales  d'Atcham; Dofus Turquoise; Dofus des Glaces; Dofus Pourpre; Nomade; Remueur; Kramkram</t>
        </is>
      </c>
    </row>
    <row r="14306">
      <c r="A14306" t="inlineStr">
        <is>
          <t>Stuff 3</t>
        </is>
      </c>
      <c r="B14306">
        <f>HYPERLINK("https://www.dofusbook.net/fr/equipement/196328-stuff-3/objets", "link")</f>
        <v/>
      </c>
      <c r="C14306" t="n">
        <v>0</v>
      </c>
      <c r="D14306" t="inlineStr">
        <is>
          <t>Pelle de la Cour Sombre; Amibou; Alliance Gloursonne; Anneau des égarés; Ceinture du Barbétoal; Casque des égarés; Capchalot; Baleinabottes; Miraculé majeur; Étourdisseur majeur; Nomade; Paralyseur majeur; Cascadeur majeur; Kramkram</t>
        </is>
      </c>
    </row>
    <row r="14307">
      <c r="A14307" t="inlineStr">
        <is>
          <t>Stuff 1</t>
        </is>
      </c>
      <c r="B14307">
        <f>HYPERLINK("https://www.dofusbook.net/fr/equipement/196323-stuff-1/objets", "link")</f>
        <v/>
      </c>
      <c r="C14307" t="n">
        <v>0</v>
      </c>
      <c r="D14307" t="inlineStr">
        <is>
          <t>Dagues Érhy; Amulette du Strigide; Anneau Chevelu; Bague Gloursonne; Ceinture du Strigide; Chapeau de Gein; Voile d'encre; Bottes de la Cour Sombre; Dofus des Glaces; Dofus Ocre; Dofus Pourpre; Dofus Turquoise; Nomade; Remueur; Kwaltess</t>
        </is>
      </c>
    </row>
    <row r="14308">
      <c r="A14308" t="inlineStr">
        <is>
          <t>Roublard Multi</t>
        </is>
      </c>
      <c r="B14308">
        <f>HYPERLINK("https://www.dofusbook.net/fr/equipement/5905068-roublard-multi/objets", "link")</f>
        <v/>
      </c>
      <c r="C14308" t="n">
        <v>0</v>
      </c>
      <c r="D14308" t="inlineStr">
        <is>
          <t>Epée Gloursonne; Amulette Ementaire Deluxe; Alliance Gloursonne; Bague Gloursonne; Bouclier du Stalak; Ceinture de la Reine des Voleurs; Coiffe de la Reine des Voleurs; Voile d'encre; Bottes de la Reine des Voleurs; Dofus Abyssal; Dofus des Glaces; Dofus Ivoire; Dofus Vulbis; Dofus Ébène; Dofus Ocre; Wabbit</t>
        </is>
      </c>
    </row>
    <row r="14309">
      <c r="A14309" t="inlineStr">
        <is>
          <t>Sram test</t>
        </is>
      </c>
      <c r="B14309">
        <f>HYPERLINK("https://www.dofusbook.net/fr/equipement/5855079-sram-test/objets", "link")</f>
        <v/>
      </c>
      <c r="C14309" t="n">
        <v>0</v>
      </c>
      <c r="D14309" t="inlineStr">
        <is>
          <t>Epée Gloursonne; Amulette Ementaire Deluxe; Bague Gloursonne; Alliance Gloursonne; Bouclier des Chocomanciens; Ceinture de la Reine des Voleurs; Coiffe de la Reine des Voleurs; Voile d'encre; Bottes de la Reine des Voleurs; Dofus Ivoire; Dofus Vulbis; Dofus Ébène; Dofus Ocre; Dofus Abyssal; Dofus des Glaces; Wabbit</t>
        </is>
      </c>
    </row>
    <row r="14310">
      <c r="A14310" t="inlineStr">
        <is>
          <t>Sram M 200</t>
        </is>
      </c>
      <c r="B14310">
        <f>HYPERLINK("https://www.dofusbook.net/fr/equipement/5852274-sram-m-200/objets", "link")</f>
        <v/>
      </c>
      <c r="C14310" t="n">
        <v>0</v>
      </c>
      <c r="D14310" t="inlineStr">
        <is>
          <t>Crocobur; Amulette Ementaire Deluxe; Alliance Gloursonne; Bague Gloursonne; Bouclier des Chocomanciens; Ceinture de la Reine des Voleurs; Coiffe de la Reine des Voleurs; Voile d'encre; Bottes de la Reine des Voleurs; Dofus Abyssal; Dofus des Glaces; Dofus Ivoire; Dofus Vulbis; Dofus Ébène; Dofus Ocre; Wabbit</t>
        </is>
      </c>
    </row>
    <row r="14311">
      <c r="A14311" t="inlineStr">
        <is>
          <t>Sram test</t>
        </is>
      </c>
      <c r="B14311">
        <f>HYPERLINK("https://www.dofusbook.net/fr/equipement/5855022-sram-test/objets", "link")</f>
        <v/>
      </c>
      <c r="C14311" t="n">
        <v>0</v>
      </c>
      <c r="D14311" t="inlineStr">
        <is>
          <t>Arc de Koutoulou; Amulette Ementaire Deluxe; Bague Gloursonne; Alliance Gloursonne; Bouclier du Stalak; Ceinture de la Reine des Voleurs; Coiffe de la Reine des Voleurs; Voile d'encre; Bottes de la Reine des Voleurs; Dofus Ivoire; Dofus Vulbis; Dofus Ébène; Dofus Ocre; Dofus Abyssal; Dofus des Glaces; Wabbit</t>
        </is>
      </c>
    </row>
    <row r="14312">
      <c r="A14312" t="inlineStr">
        <is>
          <t>Feca</t>
        </is>
      </c>
      <c r="B14312">
        <f>HYPERLINK("https://www.dofusbook.net/fr/equipement/5855049-feca/objets", "link")</f>
        <v/>
      </c>
      <c r="C14312" t="n">
        <v>0</v>
      </c>
      <c r="D14312" t="inlineStr">
        <is>
          <t>Crocobur; Amulette Ementaire Deluxe; Alliance Gloursonne; Bague Gloursonne; Bouclier des Chocomanciens; Ceinture de la Reine des Voleurs; Coiffe de la Reine des Voleurs; Voile d'encre; Bottes de la Reine des Voleurs; Dofus Abyssal; Dofus des Glaces; Dofus Ivoire; Dofus Vulbis; Dofus Ébène; Dofus Ocre; Drakopin</t>
        </is>
      </c>
    </row>
    <row r="14313">
      <c r="A14313" t="inlineStr">
        <is>
          <t>Test</t>
        </is>
      </c>
      <c r="B14313">
        <f>HYPERLINK("https://www.dofusbook.net/fr/equipement/4925224-test/objets", "link")</f>
        <v/>
      </c>
      <c r="C14313" t="n">
        <v>1</v>
      </c>
      <c r="D14313" t="inlineStr">
        <is>
          <t>Poolache; Amulette Volkorne; Bague Gloursonne; Chevalière du Roi Joueur; Sept ans de malheur; Ceinture Volkorne; Le Dorado; Voile d'encre; Sabots Volcaniques; Dofus Émeraude; Dofus Ivoire; Dokoko; Temporiseur majeur; Nomade; Remueur; Drakopin</t>
        </is>
      </c>
    </row>
    <row r="14314">
      <c r="A14314" t="inlineStr">
        <is>
          <t>Feca 200</t>
        </is>
      </c>
      <c r="B14314">
        <f>HYPERLINK("https://www.dofusbook.net/fr/equipement/4859231-feca-200/objets", "link")</f>
        <v/>
      </c>
      <c r="C14314" t="n">
        <v>2</v>
      </c>
      <c r="D14314" t="inlineStr">
        <is>
          <t>Epée Toche; Amulette Volkorne; Bague Gloursonne; Chevalière du Roi Joueur; Sept ans de malheur; Ceinture Volkorne; Le Dorado; Voile d'encre; Sabots Volcaniques; Dofus Émeraude; Dofus Ivoire; Dokoko; Temporiseur majeur; Nomade; Remueur; Drakopin</t>
        </is>
      </c>
    </row>
    <row r="14315">
      <c r="A14315" t="inlineStr">
        <is>
          <t>Test Feca</t>
        </is>
      </c>
      <c r="B14315">
        <f>HYPERLINK("https://www.dofusbook.net/fr/equipement/4878885-test-feca/objets", "link")</f>
        <v/>
      </c>
      <c r="C14315" t="n">
        <v>2</v>
      </c>
      <c r="D14315" t="inlineStr">
        <is>
          <t>Epée Toche; Amulette du Strigide; Chevalière du Roi Joueur; Bague Gloursonne; Bouclier du Captain Amakna; Ceinture du Strigide; Couronne du Roi Joueur; Voile d'encre; Bottes du Roi Joueur; Dofus des Glaces; Dofus Vulbis; Dofus Pourpre; Dofus Ocre; Dofus Nébuleux; Dofus Turquoise; Kokulte</t>
        </is>
      </c>
    </row>
    <row r="14316">
      <c r="A14316" t="inlineStr">
        <is>
          <t>Féca M 200</t>
        </is>
      </c>
      <c r="B14316">
        <f>HYPERLINK("https://www.dofusbook.net/fr/equipement/4854807-feca-m-200/objets", "link")</f>
        <v/>
      </c>
      <c r="C14316" t="n">
        <v>1</v>
      </c>
      <c r="D14316" t="inlineStr">
        <is>
          <t>Epée Toche; Amulette Volkorne; Chevalière du Roi Joueur; Anneau Volkorne; Bouclier du Captain Amakna; Ceinture Volkorne; Le Dorado; Voile d'encre; Sabots Volcaniques; Dofus Nébuleux; Dofus Turquoise; Dofus des Glaces; Dofus Ocre; Dofus Ébène; Dofus Pourpre; Kokulte</t>
        </is>
      </c>
    </row>
    <row r="14317">
      <c r="A14317" t="inlineStr">
        <is>
          <t>Feca pvp</t>
        </is>
      </c>
      <c r="B14317">
        <f>HYPERLINK("https://www.dofusbook.net/fr/equipement/5605121-feca-pvp/objets", "link")</f>
        <v/>
      </c>
      <c r="C14317" t="n">
        <v>0</v>
      </c>
      <c r="D14317" t="inlineStr">
        <is>
          <t>Poolache; Amulette Volkorne; Chevalière du Roi Joueur; Bague Gloursonne; Sept ans de malheur; Ceinture Volkorne; Le Dorado; Voile d'encre; Sabots Volcaniques; Dofus Ivoire; Dokoko; Dofus Émeraude; Nomade; Remueur; Temporiseur majeur; Drakopin</t>
        </is>
      </c>
    </row>
    <row r="14318">
      <c r="A14318" t="inlineStr">
        <is>
          <t>Test</t>
        </is>
      </c>
      <c r="B14318">
        <f>HYPERLINK("https://www.dofusbook.net/fr/equipement/5706573-test/objets", "link")</f>
        <v/>
      </c>
      <c r="C14318" t="n">
        <v>2</v>
      </c>
      <c r="D14318" t="inlineStr">
        <is>
          <t>Arc du Chalœil; Amulette Luminescente; Bracelet du Piloztère; Anneau du Comte Harebourg; Quatre-feuilles; Ceinture Luminescente; Coiffe du Comte Harebourg; Cape Luminescente; Bottes du Comte Harebourg; Dofus Nébuleux; Dofus Vulbis; Dofus Ébène; Dofus Ocre; Dofus Turquoise; Dofus des Glaces; Bulbisou</t>
        </is>
      </c>
    </row>
    <row r="14319">
      <c r="A14319" t="inlineStr">
        <is>
          <t>Sram test</t>
        </is>
      </c>
      <c r="B14319">
        <f>HYPERLINK("https://www.dofusbook.net/fr/equipement/5706540-sram-test/objets", "link")</f>
        <v/>
      </c>
      <c r="C14319" t="n">
        <v>1</v>
      </c>
      <c r="D14319" t="inlineStr">
        <is>
          <t>Arc du Chalœil; Amulette Luminescente; Chevalière du Roi Joueur; Anneau Chevelu; Quatre-feuilles; Ceinture Luminescente; Couronne du Roi Joueur; Cape Luminescente; Bottes du Roi Joueur; Dofus Ébène; Dofus Turquoise; Dofus Nébuleux; Dofus Vulbis; Dofus des Glaces; Dofus Ocre; Pioute vert</t>
        </is>
      </c>
    </row>
    <row r="14320">
      <c r="A14320" t="inlineStr">
        <is>
          <t>Crâ M 200</t>
        </is>
      </c>
      <c r="B14320">
        <f>HYPERLINK("https://www.dofusbook.net/fr/equipement/5706439-cra-m-200/objets", "link")</f>
        <v/>
      </c>
      <c r="C14320" t="n">
        <v>3</v>
      </c>
      <c r="D14320" t="inlineStr">
        <is>
          <t>Arc du Chalœil; Amulette Luminescente; Bracelet du Piloztère; Anneau du Comte Harebourg; Bouclier du Stalak; Ceinture Luminescente; Coiffe du Comte Harebourg; Cape Luminescente; Bottes du Comte Harebourg; Dofus Nébuleux; Dofus Vulbis; Dofus Ébène; Dofus Ocre; Dofus Turquoise; Dofus des Glaces; Bulbisou</t>
        </is>
      </c>
    </row>
    <row r="14321">
      <c r="A14321" t="inlineStr">
        <is>
          <t>Cra pvm</t>
        </is>
      </c>
      <c r="B14321">
        <f>HYPERLINK("https://www.dofusbook.net/fr/equipement/5604945-cra-pvm/objets", "link")</f>
        <v/>
      </c>
      <c r="C14321" t="n">
        <v>3</v>
      </c>
      <c r="D14321" t="inlineStr">
        <is>
          <t>Hache du Chalœil; Amulette Volkorne; Chevalière du Roi Joueur; Anneau Volkorne; Quatre-feuilles; Ceinture Volkorne; Couronne du Roi Joueur; Voile d'encre; Bottes du Roi Joueur; Dofus Pourpre; Dofus des Glaces; Dofus Ébène; Dofus Turquoise; Dofus Nébuleux; Dofus Ocre; Kokulte</t>
        </is>
      </c>
    </row>
    <row r="14322">
      <c r="A14322" t="inlineStr">
        <is>
          <t>Sram Test</t>
        </is>
      </c>
      <c r="B14322">
        <f>HYPERLINK("https://www.dofusbook.net/fr/equipement/5661211-sram-test/objets", "link")</f>
        <v/>
      </c>
      <c r="C14322" t="n">
        <v>0</v>
      </c>
      <c r="D14322" t="inlineStr">
        <is>
          <t>Arc Volkorne; Amulette du Strigide; Anneau Toriété; Bracelet du Piloztère; Bouclier du Stalak; Ceinture de l'Esprit Salvateur; Le Dorado; Cape du Chalœil; Bottes du Strigide; Dofus des Glaces; Dofus Pourpre; Dofus Ocre; Robuste majeur; Vigoureux majeur; Obstructeur majeur; Kramkram</t>
        </is>
      </c>
    </row>
    <row r="14323">
      <c r="A14323" t="inlineStr">
        <is>
          <t>SRAM TEST</t>
        </is>
      </c>
      <c r="B14323">
        <f>HYPERLINK("https://www.dofusbook.net/fr/equipement/5661202-sram-test/objets", "link")</f>
        <v/>
      </c>
      <c r="C14323" t="n">
        <v>0</v>
      </c>
      <c r="D14323" t="inlineStr">
        <is>
          <t>Arc Volkorne; Amulette du Strigide; Anneau Toriété; Bracelet du Piloztère; Bouclier du Stalak; Ceinture de l'Esprit Salvateur; Le Dorado; Cape du Chalœil; Bottes du Strigide; Dofus Pourpre; Dofus des Glaces; Dofus Ocre; Obstructeur majeur; Robuste majeur; Vigoureux majeur; Dragodinde Dorée et Ivoire</t>
        </is>
      </c>
    </row>
    <row r="14324">
      <c r="A14324" t="inlineStr">
        <is>
          <t>Féca M 200</t>
        </is>
      </c>
      <c r="B14324">
        <f>HYPERLINK("https://www.dofusbook.net/fr/equipement/5656046-feca-m-200/objets", "link")</f>
        <v/>
      </c>
      <c r="C14324" t="n">
        <v>3</v>
      </c>
      <c r="D14324" t="inlineStr">
        <is>
          <t>Arc corrompu; Amulette Volkorne; Anneauræus; Anneauræus; Bouclier du Stalak; Croture; Heaume Oplate; Cape de Diondin; Chaussures Ardentes; Dofus Nébuleux; Dofus Ébène; Dofus Ivoire; Dofus Pourpre; Dofus Abyssal; Nomade; Bisouglours</t>
        </is>
      </c>
    </row>
    <row r="14325">
      <c r="A14325" t="inlineStr">
        <is>
          <t>Sram test</t>
        </is>
      </c>
      <c r="B14325">
        <f>HYPERLINK("https://www.dofusbook.net/fr/equipement/5634348-sram-test/objets", "link")</f>
        <v/>
      </c>
      <c r="C14325" t="n">
        <v>0</v>
      </c>
      <c r="D14325" t="inlineStr">
        <is>
          <t>Dagues du Dragoeuf; Amulette Volkorne; Chevalière du Roi Joueur; Anneau Volkorne; Bouclier du Stalak; Ceinture Volkorne; Couronne du Roi Joueur; Voile d'encre; Bottes du Roi Joueur; Dofus Turquoise; Dofus Pourpre; Dofus des Glaces; Dofus Ocre; Dofus Nébuleux; Dofus Ébène; Pioute vert</t>
        </is>
      </c>
    </row>
    <row r="14326">
      <c r="A14326" t="inlineStr">
        <is>
          <t>Test Roub</t>
        </is>
      </c>
      <c r="B14326">
        <f>HYPERLINK("https://www.dofusbook.net/fr/equipement/5610796-test-roub/objets", "link")</f>
        <v/>
      </c>
      <c r="C14326" t="n">
        <v>0</v>
      </c>
      <c r="D14326" t="inlineStr">
        <is>
          <t>Arc de Koutoulou; Amulette d'Ilyzaelle; Alliance Gloursonne; Anneau Volkorne; Ambrouclier; Ceinture Volkorne; Casque Volkorne; Cape Matelassée; Bottes de la Reine des Voleurs; Dolmanax; Dofus des Glaces; Dofus Ébène; Dofus Nébuleux; Dofus Ivoire; Dofus Ocre; Bwak d'Air</t>
        </is>
      </c>
    </row>
    <row r="14327">
      <c r="A14327" t="inlineStr">
        <is>
          <t>Roublard F 200</t>
        </is>
      </c>
      <c r="B14327">
        <f>HYPERLINK("https://www.dofusbook.net/fr/equipement/5500888-roublard-f-200/objets", "link")</f>
        <v/>
      </c>
      <c r="C14327" t="n">
        <v>2</v>
      </c>
      <c r="D14327" t="inlineStr">
        <is>
          <t>Hache du Chalœil; Amulette Volkorne; Anneau Volkorne; Chevalière du Roi Joueur; Ambrouclier; Ceinture Volkorne; Couronne du Roi Joueur; Voile d'encre; Bottes du Roi Joueur; Dofus Ébène; Dofus Turquoise; Dofus Ivoire; Dofus Ocre; Dofus Forgelave; Dofus des Glaces; Bwak de Terre</t>
        </is>
      </c>
    </row>
    <row r="14328">
      <c r="A14328" t="inlineStr">
        <is>
          <t>CRA PVP</t>
        </is>
      </c>
      <c r="B14328">
        <f>HYPERLINK("https://www.dofusbook.net/fr/equipement/5605178-cra-pvp/objets", "link")</f>
        <v/>
      </c>
      <c r="C14328" t="n">
        <v>0</v>
      </c>
      <c r="D14328" t="inlineStr">
        <is>
          <t>Epée Toche; Amulette Volkorne; Bague Gloursonne; Chevalière du Roi Joueur; Ambrouclier; Ceinture Volkorne; Le Dorado; Voile d'encre; Sabots Volcaniques; Dofus Ébène; Dofus Ivoire; Carapace Terre majeur; Remueur; Temporiseur majeur; Nomade; Dragoune Rose</t>
        </is>
      </c>
    </row>
    <row r="14329">
      <c r="A14329" t="inlineStr">
        <is>
          <t>Steamer Test</t>
        </is>
      </c>
      <c r="B14329">
        <f>HYPERLINK("https://www.dofusbook.net/fr/equipement/5517293-steamer-test/objets", "link")</f>
        <v/>
      </c>
      <c r="C14329" t="n">
        <v>2</v>
      </c>
      <c r="D14329" t="inlineStr">
        <is>
          <t>Hache du Guerrier Zoth; Amulette Volkorne; Anneau Volkorne; Bague Trithon; Quatre-feuilles; Ceinture Volkorne; Masque Trithon; Cape du Chalœil; Bottes Trithon; Dofus des Glaces; Dofus Turquoise; Dofus Nébuleux; Dofus Ocre; Dofus Ébène; Dofus Pourpre; Kokulte</t>
        </is>
      </c>
    </row>
    <row r="14330">
      <c r="A14330" t="inlineStr">
        <is>
          <t>Xelor</t>
        </is>
      </c>
      <c r="B14330">
        <f>HYPERLINK("https://www.dofusbook.net/fr/equipement/5511052-xelor/objets", "link")</f>
        <v/>
      </c>
      <c r="C14330" t="n">
        <v>0</v>
      </c>
      <c r="D14330" t="inlineStr">
        <is>
          <t>Hache du Chalœil; Amulette Volkorne; Chevalière du Roi Joueur; Anneau Volkorne; Bouclier du Stalak; Ceinture Volkorne; Couronne du Roi Joueur; Voile d'encre; Bottes du Roi Joueur; Dofus Ivoire; Dofus Ocre; Dofus Forgelave; Dofus des Glaces; Dofus Ébène; Dofus Turquoise; Bwak de Terre</t>
        </is>
      </c>
    </row>
    <row r="14331">
      <c r="A14331" t="inlineStr">
        <is>
          <t>Sram Multi Test</t>
        </is>
      </c>
      <c r="B14331">
        <f>HYPERLINK("https://www.dofusbook.net/fr/equipement/5501002-sram-multi-test/objets", "link")</f>
        <v/>
      </c>
      <c r="C14331" t="n">
        <v>0</v>
      </c>
      <c r="D14331" t="inlineStr">
        <is>
          <t>Hache du Chalœil; Amulette Volkorne; Chevalière du Roi Joueur; Anneau Volkorne; Bouclier du Stalak; Ceinture Volkorne; Couronne du Roi Joueur; Voile d'encre; Bottes du Roi Joueur; Dofus Ivoire; Dofus Ocre; Dofus Forgelave; Dofus des Glaces; Dofus Ébène; Dofus Turquoise; Bwak de Terre</t>
        </is>
      </c>
    </row>
    <row r="14332">
      <c r="A14332" t="inlineStr">
        <is>
          <t>Pandawa Multi Test</t>
        </is>
      </c>
      <c r="B14332">
        <f>HYPERLINK("https://www.dofusbook.net/fr/equipement/5504327-pandawa-multi-test/objets", "link")</f>
        <v/>
      </c>
      <c r="C14332" t="n">
        <v>0</v>
      </c>
      <c r="D14332" t="inlineStr">
        <is>
          <t>Hache du Chalœil; Amulette Volkorne; Anneau Volkorne; Chevalière du Roi Joueur; Bouclier d'Anerice; Ceinture Volkorne; Couronne du Roi Joueur; Voile d'encre; Bottes du Roi Joueur; Dofus Ébène; Dofus Turquoise; Dofus Ivoire; Dofus Ocre; Dofus des Glaces; Bloqueur majeur; Platypus</t>
        </is>
      </c>
    </row>
    <row r="14333">
      <c r="A14333" t="inlineStr">
        <is>
          <t>Sram feu PVP</t>
        </is>
      </c>
      <c r="B14333">
        <f>HYPERLINK("https://www.dofusbook.net/fr/equipement/5345543-sram-feu-pvp/objets", "link")</f>
        <v/>
      </c>
      <c r="C14333" t="n">
        <v>1</v>
      </c>
      <c r="D14333" t="inlineStr">
        <is>
          <t>Arc corrompu; Amulette Volkorne; Anneauræus; Anneauræus; Bouclier du Stalak; Ceinture Volkorne; Heaume Oplate; Voile d'encre; Bottes Innommables; Dofus Abyssal; Dofus Vulbis; Dofus Ébène; Dofus Ocre; Dofus Argenté; Dofus Ivoire; Bisouglours</t>
        </is>
      </c>
    </row>
    <row r="14334">
      <c r="A14334" t="inlineStr">
        <is>
          <t>Sram M 200</t>
        </is>
      </c>
      <c r="B14334">
        <f>HYPERLINK("https://www.dofusbook.net/fr/equipement/5200332-sram-m-200/objets", "link")</f>
        <v/>
      </c>
      <c r="C14334" t="n">
        <v>1</v>
      </c>
      <c r="D14334" t="inlineStr">
        <is>
          <t>Arc du Chalœil; Amulette du Cœur Saignant; Anneau Volkorne; Chevalière du Roi Joueur; Cadran de Terre; Ceinture Volkorne; Couronne du Roi Joueur; Cape du Cœur Saignant; Bottes du Cœur Saignant; Dofus Nébuleux; Dofus Ocre; Dofus Ébène; Dofus Turquoise; Dofus des Glaces; Dofus Vulbis; Kougnard</t>
        </is>
      </c>
    </row>
    <row r="14335">
      <c r="A14335" t="inlineStr">
        <is>
          <t>Test Sram</t>
        </is>
      </c>
      <c r="B14335">
        <f>HYPERLINK("https://www.dofusbook.net/fr/equipement/4874209-test-sram/objets", "link")</f>
        <v/>
      </c>
      <c r="C14335" t="n">
        <v>1</v>
      </c>
      <c r="D14335" t="inlineStr">
        <is>
          <t>Marteau R'ture; Amulette Volkorne; Bague Gloursonne; Chevalière du Roi Joueur; Bouclier du Captain Amakna; Ceinture Volkorne; Couronne du Roi Joueur; Voile d'encre; Bottes du Roi Joueur; Dofus Nébuleux; Dofus Vulbis; Dofus des Glaces; Dofus Ocre; Dofus Ébène; Dofus Turquoise; Volkorne Jade</t>
        </is>
      </c>
    </row>
    <row r="14336">
      <c r="A14336" t="inlineStr">
        <is>
          <t>Test Roub Air</t>
        </is>
      </c>
      <c r="B14336">
        <f>HYPERLINK("https://www.dofusbook.net/fr/equipement/4837062-test-roub-air/objets", "link")</f>
        <v/>
      </c>
      <c r="C14336" t="n">
        <v>0</v>
      </c>
      <c r="D14336" t="inlineStr">
        <is>
          <t>Manthache; Amibou; Alliance Gloursonne; Gant du Valet Veinard; Bouclier cubiste; Menoture; Couronne d'Allister; Capibou; Palmes Trithons; Dévastateur Air majeur; Remueur; Temporiseur majeur; Carapace Air majeur; Cascadeur majeur; Nomade; Blérodoudou</t>
        </is>
      </c>
    </row>
    <row r="14337">
      <c r="A14337" t="inlineStr">
        <is>
          <t>Roub Test Cac</t>
        </is>
      </c>
      <c r="B14337">
        <f>HYPERLINK("https://www.dofusbook.net/fr/equipement/4835405-roub-test-cac/objets", "link")</f>
        <v/>
      </c>
      <c r="C14337" t="n">
        <v>1</v>
      </c>
      <c r="D14337" t="inlineStr">
        <is>
          <t>Massier; Amulette de Nileza; Anneau Tique; Anneauræus; Bouclier d'Ilyzaelle; Ceinture de Vortex; Heaume Oplate; Cape de Nileza; Chaussures Ardentes; Dofus des Glaces; Dofus Ocre; Dofus Pourpre; Carapace Terre majeur; Érudit majeur; Carapace Feu majeur; Muldo Ebène et Orchidée</t>
        </is>
      </c>
    </row>
    <row r="14338">
      <c r="A14338" t="inlineStr">
        <is>
          <t>Test Feu</t>
        </is>
      </c>
      <c r="B14338">
        <f>HYPERLINK("https://www.dofusbook.net/fr/equipement/4831061-test-feu/objets", "link")</f>
        <v/>
      </c>
      <c r="C14338" t="n">
        <v>3</v>
      </c>
      <c r="D14338" t="inlineStr">
        <is>
          <t>Arc corrompu; Amulette de Nileza; Anneauræus; Anneau Tique; Bouclier du Stalak; Ceinture de Vortex; Heaume Oplate; Cape de Nileza; Chaussures Ardentes; Dofus Ocre; Dofus Pourpre; Dofus des Glaces; Érudit majeur; Carapace Feu majeur; Carapace Terre majeur; Muldo Orchidée et Pourpre</t>
        </is>
      </c>
    </row>
    <row r="14339">
      <c r="A14339" t="inlineStr">
        <is>
          <t>Test Full Feu</t>
        </is>
      </c>
      <c r="B14339">
        <f>HYPERLINK("https://www.dofusbook.net/fr/equipement/4783462-test-full-feu/objets", "link")</f>
        <v/>
      </c>
      <c r="C14339" t="n">
        <v>1</v>
      </c>
      <c r="D14339" t="inlineStr">
        <is>
          <t>Arc corrompu; Amulette Volkorne; Anneau Tamie; Anneau Tamie; Bouclier du Stalak; Ceinture Séculaire; Coiffe Séculaire; Cape de Diondin; Bottes Innommables; Dofus Vulbis; Dofus des Glaces; Dofus Ocre; Dofus Nébuleux; Dévastateur Feu majeur; Érudit majeur; Bisouglours</t>
        </is>
      </c>
    </row>
    <row r="14340">
      <c r="A14340" t="inlineStr">
        <is>
          <t>Test Feu Rox</t>
        </is>
      </c>
      <c r="B14340">
        <f>HYPERLINK("https://www.dofusbook.net/fr/equipement/4781862-test-feu-rox/objets", "link")</f>
        <v/>
      </c>
      <c r="C14340" t="n">
        <v>1</v>
      </c>
      <c r="D14340" t="inlineStr">
        <is>
          <t>Arc corrompu; Amulette Volkorne; Chevalière du Roi Joueur; Bague Gloursonne; Bouclier du Stalak; Ceinture Volkorne; Couronne du Roi Joueur; Voile d'encre; Bottes du Roi Joueur; Dofus des Glaces; Dofus Ocre; Dofus Turquoise; Dofus Ébène; Dofus Nébuleux; Dofus Vulbis; Volkorne Jade</t>
        </is>
      </c>
    </row>
    <row r="14341">
      <c r="A14341" t="inlineStr">
        <is>
          <t>Sram Air PVP</t>
        </is>
      </c>
      <c r="B14341">
        <f>HYPERLINK("https://www.dofusbook.net/fr/equipement/4769894-sram-air-pvp/objets", "link")</f>
        <v/>
      </c>
      <c r="C14341" t="n">
        <v>0</v>
      </c>
      <c r="D14341" t="inlineStr">
        <is>
          <t>Manthache; Collier du Valet Veinard; Alliance Gloursonne; Gant du Valet Veinard; Bouclier du Stalak; Menoture; Dorabysses; Cape Indescriptible; Palmes Trithons; Dofus Vulbis; Dofus des Glaces; Dofus Ocre; Dokoko; Ravageur Air majeur; Carapace Air majeur; Blérodoudou</t>
        </is>
      </c>
    </row>
    <row r="14342">
      <c r="A14342" t="inlineStr">
        <is>
          <t>Sram Full Air</t>
        </is>
      </c>
      <c r="B14342">
        <f>HYPERLINK("https://www.dofusbook.net/fr/equipement/4719109-sram-full-air/objets", "link")</f>
        <v/>
      </c>
      <c r="C14342" t="n">
        <v>1</v>
      </c>
      <c r="D14342" t="inlineStr">
        <is>
          <t>Manthache; Collier du Valet Veinard; Anneau d'Allister; Gant du Valet Veinard; Bouclier du Stalak; Sangle Oriole; Couronne d'Allister; Cape du Valet Veinard; Bottes d'Allister; Dofus Vulbis; Dofus des Glaces; Dofus Ocre; Dofus Nébuleux; Dofus Ébène; Ravageur Air majeur; Blérodoudou</t>
        </is>
      </c>
    </row>
    <row r="14343">
      <c r="A14343" t="inlineStr">
        <is>
          <t>Sram test</t>
        </is>
      </c>
      <c r="B14343">
        <f>HYPERLINK("https://www.dofusbook.net/fr/equipement/4719571-sram-test/objets", "link")</f>
        <v/>
      </c>
      <c r="C14343" t="n">
        <v>0</v>
      </c>
      <c r="D14343" t="inlineStr">
        <is>
          <t>Dagues Érhy; Amulette Volkorne; Bague Gloursonne; Chevalière du Roi Joueur; Bouclier du Captain Amakna; Ceinture Volkorne; Couronne du Roi Joueur; Voile d'encre; Bottes du Roi Joueur; Dofus des Glaces; Dofus Ocre; Dofus Turquoise; Dolmanax; Dofus Vulbis; Dofus Ébène; Volkorne Jade</t>
        </is>
      </c>
    </row>
    <row r="14344">
      <c r="A14344" t="inlineStr">
        <is>
          <t>Panda tank</t>
        </is>
      </c>
      <c r="B14344">
        <f>HYPERLINK("https://www.dofusbook.net/fr/equipement/4678030-panda-tank/objets", "link")</f>
        <v/>
      </c>
      <c r="C14344" t="n">
        <v>1</v>
      </c>
      <c r="D14344" t="inlineStr">
        <is>
          <t>Epée Gloursonne; Amulette du Strigide; Alliance Gloursonne; Bague Gloursonne; Bouclier d'Anerice; Ceinture du Strigide; Masque d'Anerice; Cape d'Anerice; Bottes du Strigide; Dokoko; Dofus Émeraude; Bloqueur majeur; Tacleur; Bloqueur; Tacleur majeur; Muldo Roux et Indigo</t>
        </is>
      </c>
    </row>
    <row r="14345">
      <c r="A14345" t="inlineStr">
        <is>
          <t>Resistances/Tacle</t>
        </is>
      </c>
      <c r="B14345">
        <f>HYPERLINK("https://www.dofusbook.net/fr/equipement/168678-resistances-tacle/objets", "link")</f>
        <v/>
      </c>
      <c r="C14345" t="n">
        <v>4</v>
      </c>
      <c r="D14345" t="inlineStr">
        <is>
          <t>Rouleau à Pâtisserie d'Aermyne; Amulette du Strigide; Alliance Gloursonne; Anneau de XLII; Jadis; Ceinture de XLII; Coiffe d'Aermyne; Cape d'Aermyne; Bottes de XLII; Dokoko; Dofus Abyssal; Dofus Émeraude; Dofus Ivoire; Bloqueur majeur; Tacleur majeur; Muldo Roux et Indigo</t>
        </is>
      </c>
    </row>
    <row r="14346">
      <c r="A14346" t="inlineStr">
        <is>
          <t>Sram F 200</t>
        </is>
      </c>
      <c r="B14346">
        <f>HYPERLINK("https://www.dofusbook.net/fr/equipement/4733655-sram-f-200/objets", "link")</f>
        <v/>
      </c>
      <c r="C14346" t="n">
        <v>0</v>
      </c>
      <c r="D14346" t="inlineStr">
        <is>
          <t>Manthache; Collier du Valet Veinard; Gant du Valet Veinard; Alliance Gloursonne; Bouclier du Stalak; Menoture; Casque Dragoeuf; Cape Indescriptible; Palmes Trithons; Dofus Émeraude; Dofus Ocre; Dofus Ivoire; Dokoko; Nomade; Carapace Neutre majeur; Bwak d'Air</t>
        </is>
      </c>
    </row>
    <row r="14347">
      <c r="A14347" t="inlineStr">
        <is>
          <t>Xelor Feu</t>
        </is>
      </c>
      <c r="B14347">
        <f>HYPERLINK("https://www.dofusbook.net/fr/equipement/4742616-xelor-feu/objets", "link")</f>
        <v/>
      </c>
      <c r="C14347" t="n">
        <v>0</v>
      </c>
      <c r="D14347" t="inlineStr">
        <is>
          <t>Sabres d'Atcham; Amulette Séculaire; Alliance Gloursonne; Bague Gloursonne; Quatre-feuilles; Ceinture Séculaire; Coiffe Séculaire; Cape d'Atcham; Sandales  d'Atcham; Dofus des Glaces; Dofus Ocre; Dofus Ébène; Dofus Turquoise; Dofus Nébuleux; Dofus Vulbis; Pioute rouge</t>
        </is>
      </c>
    </row>
    <row r="14348">
      <c r="A14348" t="inlineStr">
        <is>
          <t>Xelor Feu test</t>
        </is>
      </c>
      <c r="B14348">
        <f>HYPERLINK("https://www.dofusbook.net/fr/equipement/4742646-xelor-feu-test/objets", "link")</f>
        <v/>
      </c>
      <c r="C14348" t="n">
        <v>0</v>
      </c>
      <c r="D14348" t="inlineStr">
        <is>
          <t>Arc corrompu; Amulette Volkorne; Anneauræus; Anneauræus; Bouclier du Stalak; Ceinture de Vortex; Cagoule de Vortex; Cape de Diondin; Bottes Innommables; Dofus Abyssal; Dokoko; Dofus Ivoire; Remueur; Nomade; Étourdisseur majeur; Bisouglours</t>
        </is>
      </c>
    </row>
    <row r="14349">
      <c r="A14349" t="inlineStr">
        <is>
          <t>Xelor Terre</t>
        </is>
      </c>
      <c r="B14349">
        <f>HYPERLINK("https://www.dofusbook.net/fr/equipement/4742615-xelor-terre/objets", "link")</f>
        <v/>
      </c>
      <c r="C14349" t="n">
        <v>0</v>
      </c>
      <c r="D14349" t="inlineStr">
        <is>
          <t>Marteau R'ture; Amulette Luminescente; Chevalière du Roi Joueur; Anneau de Brouce; Bouclier du Captain Amakna; Ceinture Luminescente; Couronne du Roi Joueur; Cape Luminescente; Bottes du Roi Joueur; Dofus des Glaces; Dofus Ocre; Dofus Vulbis; Dofus Nébuleux; Dofus Turquoise; Dofus Ébène; Pioute vert</t>
        </is>
      </c>
    </row>
    <row r="14350">
      <c r="A14350" t="inlineStr">
        <is>
          <t>Sram Terre Air PVP</t>
        </is>
      </c>
      <c r="B14350">
        <f>HYPERLINK("https://www.dofusbook.net/fr/equipement/4711419-sram-terre-air-pvp/objets", "link")</f>
        <v/>
      </c>
      <c r="C14350" t="n">
        <v>2</v>
      </c>
      <c r="D14350" t="inlineStr">
        <is>
          <t>Hache Ériphe; Amulette du Kamasterisk; Anneau de Brouce; Gant du Valet Veinard; Bouclier du Stalak; Ceintouse; Chapoulpe; Cape du Kamasterisk; Tentassons; Dofus Émeraude; Dokoko; Dofus des Glaces; Dofus Ocre; Dofus Vulbis; Dofus Ivoire; Volkorne Jade et Saphir</t>
        </is>
      </c>
    </row>
    <row r="14351">
      <c r="A14351" t="inlineStr">
        <is>
          <t>Sram M 200</t>
        </is>
      </c>
      <c r="B14351">
        <f>HYPERLINK("https://www.dofusbook.net/fr/equipement/3974072-sram-m-200/objets", "link")</f>
        <v/>
      </c>
      <c r="C14351" t="n">
        <v>1</v>
      </c>
      <c r="D14351" t="inlineStr">
        <is>
          <t>Dagues du Dragoeuf; Amulette Volkorne; Bague Gloursonne; Chevalière du Roi Joueur; Bouclier du Stalak; Ceinture Volkorne; Couronne du Roi Joueur; Voile d'encre; Bottes du Roi Joueur; Dofus des Glaces; Dofus Ocre; Dolmanax; Dofus Vulbis; Dofus Pourpre; Robuste majeur; Bwak de Terre</t>
        </is>
      </c>
    </row>
    <row r="14352">
      <c r="A14352" t="inlineStr">
        <is>
          <t>Sram Eau Air PVP</t>
        </is>
      </c>
      <c r="B14352">
        <f>HYPERLINK("https://www.dofusbook.net/fr/equipement/4706779-sram-eau-air-pvp/objets", "link")</f>
        <v/>
      </c>
      <c r="C14352" t="n">
        <v>0</v>
      </c>
      <c r="D14352" t="inlineStr">
        <is>
          <t>Arc de Koutoulou; Amulette du Strigide; Alliance Gloursonne; Bracelet du Piloztère; Bouclier du Stalak; Ceinture du Strigide; Némès de Tal Kasha; Chevelure de Tal Kasha; Sandales de Tal Kasha; Dofus Vulbis; Dofus Ocre; Dolmanax; Dofus Ivoire; Dofus des Glaces; Dofus Turquoise; Volkorne Saphir et Emeraude</t>
        </is>
      </c>
    </row>
    <row r="14353">
      <c r="A14353" t="inlineStr">
        <is>
          <t>Sram Terre Air PVM</t>
        </is>
      </c>
      <c r="B14353">
        <f>HYPERLINK("https://www.dofusbook.net/fr/equipement/4718903-sram-terre-air-pvm/objets", "link")</f>
        <v/>
      </c>
      <c r="C14353" t="n">
        <v>0</v>
      </c>
      <c r="D14353" t="inlineStr">
        <is>
          <t>Héqache; Amulette du Kamasterisk; Gant du Valet Veinard; Anneau de Brouce; Quatre-feuilles; Ceintouse; Chapoulpe; Cape du Kamasterisk; Tentassons; Dofus des Glaces; Dofus Ocre; Dofus Vulbis; Dofus Ébène; Dofus Nébuleux; Dofus Turquoise; Volkorne Saphir et Emeraude</t>
        </is>
      </c>
    </row>
    <row r="14354">
      <c r="A14354" t="inlineStr">
        <is>
          <t>Xelor Terre Air</t>
        </is>
      </c>
      <c r="B14354">
        <f>HYPERLINK("https://www.dofusbook.net/fr/equipement/4718943-xelor-terre-air/objets", "link")</f>
        <v/>
      </c>
      <c r="C14354" t="n">
        <v>0</v>
      </c>
      <c r="D14354" t="inlineStr">
        <is>
          <t>Héqache; Amulette du Kamasterisk; Anneau de Brouce; Gant du Valet Veinard; Quatre-feuilles; Ceintouse; Chapoulpe; Cape du Kamasterisk; Tentassons; Dofus Nébuleux; Dofus Turquoise; Dofus des Glaces; Dofus Ocre; Dofus Vulbis; Dofus Ébène; Volkorne Saphir et Emeraude</t>
        </is>
      </c>
    </row>
    <row r="14355">
      <c r="A14355" t="inlineStr">
        <is>
          <t>Roub multi test</t>
        </is>
      </c>
      <c r="B14355">
        <f>HYPERLINK("https://www.dofusbook.net/fr/equipement/4698208-roub-multi-test/objets", "link")</f>
        <v/>
      </c>
      <c r="C14355" t="n">
        <v>0</v>
      </c>
      <c r="D14355" t="inlineStr">
        <is>
          <t>Sabres d'Atcham; Amulette Séculaire; Anneau Tamie; Anneau Tamie; Quatre-feuilles; Ceinture Séculaire; Coiffe Séculaire; Cape d'Atcham; Sandales  d'Atcham; Dolmanax; Dofus Vulbis; Dofus Turquoise; Dofus Ocre; Dofus Pourpre; Dofus des Glaces; Bisouglours</t>
        </is>
      </c>
    </row>
    <row r="14356">
      <c r="A14356" t="inlineStr">
        <is>
          <t>Roublard Multi</t>
        </is>
      </c>
      <c r="B14356">
        <f>HYPERLINK("https://www.dofusbook.net/fr/equipement/4697220-roublard-multi/objets", "link")</f>
        <v/>
      </c>
      <c r="C14356" t="n">
        <v>0</v>
      </c>
      <c r="D14356" t="inlineStr">
        <is>
          <t>Sabres d'Atcham; Amulette Séculaire; Alliance Gloursonne; Anneau Tique; Bouclier du Stalak; Ceinture Séculaire; Coiffe Séculaire; Cape d'Atcham; Sandales  d'Atcham; Dofus Ivoire; Dofus Ocre; Dokoko; Dofus des Glaces; Dofus Émeraude; Dofus Vulbis; Bisouglours</t>
        </is>
      </c>
    </row>
    <row r="14357">
      <c r="A14357" t="inlineStr">
        <is>
          <t>Steamer ret pm</t>
        </is>
      </c>
      <c r="B14357">
        <f>HYPERLINK("https://www.dofusbook.net/fr/equipement/4595048-steamer-ret-pm/objets", "link")</f>
        <v/>
      </c>
      <c r="C14357" t="n">
        <v>0</v>
      </c>
      <c r="D14357" t="inlineStr">
        <is>
          <t>Arc Nécrotique; Collier de la Dame du Hasard; Anneau Tique; Alliance Gloursonne; Bouclier cubiste; Ceinture du Glourséleste; Chapeau Potin; Cape de Meno; Bottes de Meno; Dofus Turquoise; Dofus Ocre; Temporiseur majeur; Nomade; Ralentisseur majeur; Entraveur majeur; Médugivre</t>
        </is>
      </c>
    </row>
    <row r="14358">
      <c r="A14358" t="inlineStr">
        <is>
          <t>Xelor Eau/Air Hache</t>
        </is>
      </c>
      <c r="B14358">
        <f>HYPERLINK("https://www.dofusbook.net/fr/equipement/3605079-xelor-eau-air-hache/objets", "link")</f>
        <v/>
      </c>
      <c r="C14358" t="n">
        <v>1</v>
      </c>
      <c r="D14358" t="inlineStr">
        <is>
          <t>Hache du Korriandre; Amulette du Strigide; Bracelet du Piloztère; Alliance Gloursonne; Quatre-feuilles; Ceinture du Strigide; Némès de Tal Kasha; Chevelure de Tal Kasha; Sandales de Tal Kasha; Dofus des Glaces; Dofus Turquoise; Dofus Nébuleux; Dofus Ocre; Dofus Vulbis; Dofus Pourpre; Volkorne Saphir et Emeraude</t>
        </is>
      </c>
    </row>
    <row r="14359">
      <c r="A14359" t="inlineStr">
        <is>
          <t>Test Steamer</t>
        </is>
      </c>
      <c r="B14359">
        <f>HYPERLINK("https://www.dofusbook.net/fr/equipement/4632222-test-steamer/objets", "link")</f>
        <v/>
      </c>
      <c r="C14359" t="n">
        <v>2</v>
      </c>
      <c r="D14359" t="inlineStr">
        <is>
          <t>Arc Nécrotique; Collier de la Dame du Hasard; Anneau Volkorne; Anneau Tique; Quatre-feuilles; Ceinture du Glourséleste; Heaume Oplate; Cape de la Dame du Hasard; Bottes de Meno; Dofus Ocre; Dofus des Glaces; Dofus Turquoise; Dofus Vulbis; Dofus Ébène; Dofus Nébuleux; Kokulte</t>
        </is>
      </c>
    </row>
    <row r="14360">
      <c r="A14360" t="inlineStr">
        <is>
          <t>Panda Eau Air PVP</t>
        </is>
      </c>
      <c r="B14360">
        <f>HYPERLINK("https://www.dofusbook.net/fr/equipement/4583541-panda-eau-air-pvp/objets", "link")</f>
        <v/>
      </c>
      <c r="C14360" t="n">
        <v>1</v>
      </c>
      <c r="D14360" t="inlineStr">
        <is>
          <t>Arc de Koutoulou; Amulette d'Ilyzaelle; Alliance Gloursonne; Gant du Valet Veinard; Bouclier du Stalak; Sangle Ouare; Casque d'Ilyzaelle; Cape Matelassée; Bottes de la Reine des Voleurs; Dokoko; Dofus Émeraude; Dofus Ivoire; Dofus Forgelave; Dofus Abyssal; Remueur; Bwak d'Air</t>
        </is>
      </c>
    </row>
    <row r="14361">
      <c r="A14361" t="inlineStr">
        <is>
          <t>Donald do crit</t>
        </is>
      </c>
      <c r="B14361">
        <f>HYPERLINK("https://www.dofusbook.net/fr/equipement/4602191-donald-do-crit/objets", "link")</f>
        <v/>
      </c>
      <c r="C14361" t="n">
        <v>2</v>
      </c>
      <c r="D14361" t="inlineStr">
        <is>
          <t>Hache du Guerrier Zoth; Amulette du Strigide; Bague Trithon; Bracelet du Piloztère; Quatre-feuilles; Ceinture du Strigide; Masque Trithon; Dofusteuse; Bottes Trithon; Dofus Nébuleux; Dofus Ocre; Dofus Émeraude; Dofus Vulbis; Dofus des Glaces; Dofus Turquoise; Kokulte</t>
        </is>
      </c>
    </row>
    <row r="14362">
      <c r="A14362" t="inlineStr">
        <is>
          <t>Panda feu pvp</t>
        </is>
      </c>
      <c r="B14362">
        <f>HYPERLINK("https://www.dofusbook.net/fr/equipement/3454030-panda-feu-pvp/objets", "link")</f>
        <v/>
      </c>
      <c r="C14362" t="n">
        <v>2</v>
      </c>
      <c r="D14362" t="inlineStr">
        <is>
          <t>Arc Hétype; Amulette de Nileza; Anneau Tique; Anneau de Nidas; Carapar; Ceinture de Vortex; Casque Dragoeuf; Voile d'encre; Pataugastrique; Dofus Émeraude; Dokoko; Dofus Ivoire; Remueur; Érudit majeur; Astucieux majeur; Muldo Roux et Pourpre</t>
        </is>
      </c>
    </row>
    <row r="14363">
      <c r="A14363" t="inlineStr">
        <is>
          <t>Roublard Eau Air</t>
        </is>
      </c>
      <c r="B14363">
        <f>HYPERLINK("https://www.dofusbook.net/fr/equipement/4599321-roublard-eau-air/objets", "link")</f>
        <v/>
      </c>
      <c r="C14363" t="n">
        <v>1</v>
      </c>
      <c r="D14363" t="inlineStr">
        <is>
          <t>Arc de Koutoulou; Amulette d'Ilyzaelle; Alliance Gloursonne; Gant du Valet Veinard; Bouclier du Stalak; Ceinture Voldelor; Casque d'Ilyzaelle; Cape de Mantaze; Bottes de la Reine des Voleurs; Dokoko; Dofus Vulbis; Dofus Ivoire; Dofus Ocre; Dofus des Glaces; Remueur; Volkorne Améthyste</t>
        </is>
      </c>
    </row>
    <row r="14364">
      <c r="A14364" t="inlineStr">
        <is>
          <t>Pandawa Terre Feu</t>
        </is>
      </c>
      <c r="B14364">
        <f>HYPERLINK("https://www.dofusbook.net/fr/equipement/4599305-pandawa-terre-feu/objets", "link")</f>
        <v/>
      </c>
      <c r="C14364" t="n">
        <v>0</v>
      </c>
      <c r="D14364" t="inlineStr">
        <is>
          <t>Arc du Chalœil; Amulette Volkorne; Chevalière du Roi Joueur; Bague Gloursonne; Bouclier du Stalak; Ceinture Volkorne; Couronne du Roi Joueur; Voile d'encre; Bottes du Roi Joueur; Dofus des Glaces; Dofus Ocre; Dokoko; Dofus Turquoise; Dofus Émeraude; Dofus Vulbis; Volkorne Jade</t>
        </is>
      </c>
    </row>
    <row r="14365">
      <c r="A14365" t="inlineStr">
        <is>
          <t>Selon test</t>
        </is>
      </c>
      <c r="B14365">
        <f>HYPERLINK("https://www.dofusbook.net/fr/equipement/4596971-selon-test/objets", "link")</f>
        <v/>
      </c>
      <c r="C14365" t="n">
        <v>0</v>
      </c>
      <c r="D14365" t="inlineStr">
        <is>
          <t>Héqache; Amulette du Strigide; Bracelet du Piloztère; Alliance Gloursonne; Quatre-feuilles; Ceinture du Strigide; Chapoulpe; Cape du Kamasterisk; Bottes du Cœur Vaillant; Dofus Nébuleux; Dofus Turquoise; Dofus des Glaces; Dofus Ocre; Dofus Vulbis; Remueur; Volkorne Jade et Saphir</t>
        </is>
      </c>
    </row>
    <row r="14366">
      <c r="A14366" t="inlineStr">
        <is>
          <t>Sram M 200</t>
        </is>
      </c>
      <c r="B14366">
        <f>HYPERLINK("https://www.dofusbook.net/fr/equipement/4565946-sram-m-200/objets", "link")</f>
        <v/>
      </c>
      <c r="C14366" t="n">
        <v>2</v>
      </c>
      <c r="D14366" t="inlineStr">
        <is>
          <t>Arc du Chalœil; Amulette Volkorne; Bague Gloursonne; Chevalière du Roi Joueur; Bouclier du Stalak; Ceinture Volkorne; Couronne du Roi Joueur; Voile d'encre; Bottes du Roi Joueur; Dofus Émeraude; Dofus Vulbis; Dofus des Glaces; Dofus Ocre; Dokoko; Dofus Ivoire; Volkorne Jade</t>
        </is>
      </c>
    </row>
    <row r="14367">
      <c r="A14367" t="inlineStr">
        <is>
          <t>Roub Terre/Feu</t>
        </is>
      </c>
      <c r="B14367">
        <f>HYPERLINK("https://www.dofusbook.net/fr/equipement/4566198-roub-terre-feu/objets", "link")</f>
        <v/>
      </c>
      <c r="C14367" t="n">
        <v>0</v>
      </c>
      <c r="D14367" t="inlineStr">
        <is>
          <t>Arc du Chalœil; Amulette Volkorne; Chevalière du Roi Joueur; Bague Gloursonne; Bouclier du Stalak; Ceinture Volkorne; Couronne du Roi Joueur; Voile d'encre; Bottes du Roi Joueur; Dofus des Glaces; Dofus Ocre; Dokoko; Dofus Ivoire; Dofus Émeraude; Dofus Vulbis; Volkorne Jade</t>
        </is>
      </c>
    </row>
    <row r="14368">
      <c r="A14368" t="inlineStr">
        <is>
          <t>Steamer Tank</t>
        </is>
      </c>
      <c r="B14368">
        <f>HYPERLINK("https://www.dofusbook.net/fr/equipement/4565346-steamer-tank/objets", "link")</f>
        <v/>
      </c>
      <c r="C14368" t="n">
        <v>1</v>
      </c>
      <c r="D14368" t="inlineStr">
        <is>
          <t>Marteau des Anciens Steamers; Amulette d'Ilyzaelle; Alliance Gloursonne; Gant du Valet Veinard; Jadis; Sangle Ouare; Casque d'Ilyzaelle; Cape Matelassée; Bottes de la Reine des Voleurs; Dokoko; Dofus Émeraude; Dofus Ivoire; Dofus Forgelave; Dofus des Glaces; Remueur; Bwak d'Air</t>
        </is>
      </c>
    </row>
    <row r="14369">
      <c r="A14369" t="inlineStr">
        <is>
          <t>Steamer PVP - Soins</t>
        </is>
      </c>
      <c r="B14369">
        <f>HYPERLINK("https://www.dofusbook.net/fr/equipement/3715134-steamer-pvp---soins/objets", "link")</f>
        <v/>
      </c>
      <c r="C14369" t="n">
        <v>1</v>
      </c>
      <c r="D14369" t="inlineStr">
        <is>
          <t>Baguette de Malléfisk; Pendentif affamé; Baguistik; Anneauræus; Carapar; Ceinture de Vortex; Casque Dragoeuf; Cape de Diondin; Bottes Innommables; Dofus Abyssal; Dokoko; Dofus Ivoire; Observateur; Carapace Feu majeur; Remueur; Muldo Pourpre et Amande</t>
        </is>
      </c>
    </row>
    <row r="14370">
      <c r="A14370" t="inlineStr">
        <is>
          <t>Zobal</t>
        </is>
      </c>
      <c r="B14370">
        <f>HYPERLINK("https://www.dofusbook.net/fr/equipement/3856162-zobal/objets", "link")</f>
        <v/>
      </c>
      <c r="C14370" t="n">
        <v>3</v>
      </c>
      <c r="D14370" t="inlineStr">
        <is>
          <t>Epée Loponèze; Amulette du Strigide; Alliance Gloursonne; Anneau Chevelu; Bouclier d'Ilyzaelle; Ceintacé; Casque Dragoeuf; Chevelure de Tal Kasha; Sandales de Tal Kasha; Dofus Turquoise; Dofus Émeraude; Dofus Ivoire; Dofus Abyssal; Remueur; Nomade; Kokulte</t>
        </is>
      </c>
    </row>
    <row r="14371">
      <c r="A14371" t="inlineStr">
        <is>
          <t>Zobal Eau/Air Hache</t>
        </is>
      </c>
      <c r="B14371">
        <f>HYPERLINK("https://www.dofusbook.net/fr/equipement/3605319-zobal-eau-air-hache/objets", "link")</f>
        <v/>
      </c>
      <c r="C14371" t="n">
        <v>2</v>
      </c>
      <c r="D14371" t="inlineStr">
        <is>
          <t>Hache du Korriandre; Amulette du Strigide; Alliance Gloursonne; Gelano; Quatre-feuilles; Ceinture du Strigide; Némès de Tal Kasha; Chevelure de Tal Kasha; Sandales de Tal Kasha; Dolmanax; Dofus Ocre; Dofus Vulbis; Dofus Pourpre; Dofus des Glaces; Dofus Turquoise; Tifoux Tigré</t>
        </is>
      </c>
    </row>
    <row r="14372">
      <c r="A14372" t="inlineStr">
        <is>
          <t>Terre/Feu</t>
        </is>
      </c>
      <c r="B14372">
        <f>HYPERLINK("https://www.dofusbook.net/fr/equipement/3848859-terre-feu/objets", "link")</f>
        <v/>
      </c>
      <c r="C14372" t="n">
        <v>3</v>
      </c>
      <c r="D14372" t="inlineStr">
        <is>
          <t>Hache Téroïde; Amulette du Strigide; Bague Gloursonne; Chevalière du Roi Joueur; Bouclier du Captain Amakna; Ceinture du Strigide; Couronne du Roi Joueur; Cape au Logis; Bottes du Roi Joueur; Dofus des Glaces; Dolmanax; Dofus Pourpre; Dofus Ocre; Dofus Émeraude; Dofus Turquoise; Kokulte</t>
        </is>
      </c>
    </row>
    <row r="14373">
      <c r="A14373" t="inlineStr">
        <is>
          <t>Steamer M 200</t>
        </is>
      </c>
      <c r="B14373">
        <f>HYPERLINK("https://www.dofusbook.net/fr/equipement/3710951-steamer-m-200/objets", "link")</f>
        <v/>
      </c>
      <c r="C14373" t="n">
        <v>0</v>
      </c>
      <c r="D14373" t="inlineStr">
        <is>
          <t>Le Thanos; Amulette Séculaire; Anneau de Nidas; Anneauræus; Bouclier du Cycloïde; Ceinture de Vortex; Coiffe Séculaire; Cape de Diondin; Bottes Innommables; Dolmanax; Dofus Ocre; Dofus Kaliptus; Dokoko; Guérisseur majeur; Érudit majeur; Tifoux Tigré</t>
        </is>
      </c>
    </row>
    <row r="14374">
      <c r="A14374" t="inlineStr">
        <is>
          <t>Xelor Eau/Air Arc</t>
        </is>
      </c>
      <c r="B14374">
        <f>HYPERLINK("https://www.dofusbook.net/fr/equipement/3605083-xelor-eau-air-arc/objets", "link")</f>
        <v/>
      </c>
      <c r="C14374" t="n">
        <v>1</v>
      </c>
      <c r="D14374" t="inlineStr">
        <is>
          <t>Arc de Koutoulou; Amulette du Strigide; Bracelet du Piloztère; Alliance Gloursonne; Quatre-feuilles; Ceinture du Strigide; Némès de Tal Kasha; Chevelure de Tal Kasha; Sandales de Tal Kasha; Dofus des Glaces; Dofus Turquoise; Dolmanax; Dofus Ocre; Dofus Vulbis; Dofus Pourpre; Volkorne Saphir et Emeraude</t>
        </is>
      </c>
    </row>
    <row r="14375">
      <c r="A14375" t="inlineStr">
        <is>
          <t>PVM Bottes de classe</t>
        </is>
      </c>
      <c r="B14375">
        <f>HYPERLINK("https://www.dofusbook.net/fr/equipement/2094582-pvm-bottes-de-classe/objets", "link")</f>
        <v/>
      </c>
      <c r="C14375" t="n">
        <v>7</v>
      </c>
      <c r="D14375" t="inlineStr">
        <is>
          <t>Dagues du Dragoeuf; Amulette de Gein; Chevalière du Roi Joueur; Baguistik; Quatre-feuilles; Ceinture de Gein; Chapeau de Gein; Voile d'encre; Getas Bernacle; Dofus des Glaces; Dofus Ocre; Dofus Turquoise; Dolmanax; Dofus Émeraude; Dofus Pourpre; Muldo Ebène et Pourpre</t>
        </is>
      </c>
    </row>
    <row r="14376">
      <c r="A14376" t="inlineStr">
        <is>
          <t>air esquive</t>
        </is>
      </c>
      <c r="B14376">
        <f>HYPERLINK("https://www.dofusbook.net/fr/equipement/5983364-air-esquive/objets", "link")</f>
        <v/>
      </c>
      <c r="C14376" t="n">
        <v>0</v>
      </c>
      <c r="D14376" t="inlineStr">
        <is>
          <t>Manthache; Collier du Valet Veinard; Gant du Valet Veinard; Alliance Gloursonne; Cadran d'Air; Ceinture de Klime; Masque de Klime; Cape de Klime; Pantoufles Émar; Dofus Ébène; Dofus Ocre; Dofus Pourpre; Dofus Ivoire; Dolmanax; Dofus Abyssal; Blérodoudou</t>
        </is>
      </c>
    </row>
    <row r="14377">
      <c r="A14377" t="inlineStr">
        <is>
          <t>gresilo</t>
        </is>
      </c>
      <c r="B14377">
        <f>HYPERLINK("https://www.dofusbook.net/fr/equipement/5980517-gresilo/objets", "link")</f>
        <v/>
      </c>
      <c r="C14377" t="n">
        <v>0</v>
      </c>
      <c r="D14377" t="inlineStr">
        <is>
          <t>Arc Volkorne; Amulette Volkorne; Grésilanneau; Anneau Volkorne; Bivalve; Ceinture Volkorne; Casque Volkorne; Cape du Chalœil; Bottes du Chalœil; Dofus Pourpre; Dofus des Glaces; Dofus Ocre; Dofus Abyssal; Dolmanax; Dofus Turquoise; Fëanor</t>
        </is>
      </c>
    </row>
    <row r="14378">
      <c r="A14378" t="inlineStr">
        <is>
          <t>air eau</t>
        </is>
      </c>
      <c r="B14378">
        <f>HYPERLINK("https://www.dofusbook.net/fr/equipement/5980438-air-eau/objets", "link")</f>
        <v/>
      </c>
      <c r="C14378" t="n">
        <v>0</v>
      </c>
      <c r="D14378" t="inlineStr">
        <is>
          <t>Amulette du Strigide; Anneau de Padgref; Bracelet du Piloztère; Ceintacé; Masque du Katcheur; Cape d'Atcham; Bottes du Strigide; Dolmanax; Dofus Pourpre; Dofus Abyssal; Dofus Turquoise; Nomade; Remueur</t>
        </is>
      </c>
    </row>
    <row r="14379">
      <c r="A14379" t="inlineStr">
        <is>
          <t>Pandawa M 200</t>
        </is>
      </c>
      <c r="B14379">
        <f>HYPERLINK("https://www.dofusbook.net/fr/equipement/5907924-pandawa-m-200/objets", "link")</f>
        <v/>
      </c>
      <c r="C14379" t="n">
        <v>0</v>
      </c>
      <c r="D14379" t="inlineStr"/>
    </row>
    <row r="14380">
      <c r="A14380" t="inlineStr">
        <is>
          <t>erhy</t>
        </is>
      </c>
      <c r="B14380">
        <f>HYPERLINK("https://www.dofusbook.net/fr/equipement/5900495-erhy/objets", "link")</f>
        <v/>
      </c>
      <c r="C14380" t="n">
        <v>0</v>
      </c>
      <c r="D14380" t="inlineStr">
        <is>
          <t>Dagues Érhy; Amulette du Strigide; Bague Gloursonne; Bracelet du Piloztère; Ceinture du Strigide; Masque de Koutoulou; Voile d'encre; Pompes Funèbres; Dofus Pourpre; Dofus Turquoise; Dofus Abyssal; Nomade; Remueur</t>
        </is>
      </c>
    </row>
    <row r="14381">
      <c r="A14381" t="inlineStr">
        <is>
          <t>Féca M 200</t>
        </is>
      </c>
      <c r="B14381">
        <f>HYPERLINK("https://www.dofusbook.net/fr/equipement/5892653-feca-m-200/objets", "link")</f>
        <v/>
      </c>
      <c r="C14381" t="n">
        <v>0</v>
      </c>
      <c r="D14381" t="inlineStr">
        <is>
          <t>Hache du Chalœil; Amulette du Strigide; Bracelet du Piloztère; Ceinture du Strigide; Casque de Missiz Frizz; Bottes du Lévitrof</t>
        </is>
      </c>
    </row>
    <row r="14382">
      <c r="A14382" t="inlineStr">
        <is>
          <t>Xélor M 200</t>
        </is>
      </c>
      <c r="B14382">
        <f>HYPERLINK("https://www.dofusbook.net/fr/equipement/5414991-xelor-m-200/objets", "link")</f>
        <v/>
      </c>
      <c r="C14382" t="n">
        <v>0</v>
      </c>
      <c r="D14382" t="inlineStr">
        <is>
          <t>Baguette de Torkélonia; Amulette du Strigide; Anneau Crustique; Anneau de Padgref; Quatre-feuilles; Ceinture du Strigide; Corne de Torkélonia; Carapace de Torkélonia; Bottes du Strigide; Dolmanax; Dofus Ocre; Dofus Pourpre; Dofus des Glaces; Dofus Ivoire; Dofus Turquoise; Kramkram</t>
        </is>
      </c>
    </row>
    <row r="14383">
      <c r="A14383" t="inlineStr">
        <is>
          <t>Aeqnar</t>
        </is>
      </c>
      <c r="B14383">
        <f>HYPERLINK("https://www.dofusbook.net/fr/equipement/5774435-aeqnar/objets", "link")</f>
        <v/>
      </c>
      <c r="C14383" t="n">
        <v>0</v>
      </c>
      <c r="D14383" t="inlineStr"/>
    </row>
    <row r="14384">
      <c r="A14384" t="inlineStr">
        <is>
          <t>Xélor M 200</t>
        </is>
      </c>
      <c r="B14384">
        <f>HYPERLINK("https://www.dofusbook.net/fr/equipement/5734298-xelor-m-200/objets", "link")</f>
        <v/>
      </c>
      <c r="C14384" t="n">
        <v>0</v>
      </c>
      <c r="D14384" t="inlineStr">
        <is>
          <t>Baguette Hique; Collier de la Dame du Hasard; Bracelet des Fonds marins; Anneau Volkorne; Quatre-feuilles; Ceinture Volkorne; Masque de Funespadon; Cape de la Dame du Hasard; Bottes de la Dame du Hasard; Dofus Ivoire; Dofus Ocre; Dofus Ébène; Dofus Turquoise; Dofus Vulbis; Fëanor</t>
        </is>
      </c>
    </row>
    <row r="14385">
      <c r="A14385" t="inlineStr">
        <is>
          <t>Xélor M 200</t>
        </is>
      </c>
      <c r="B14385">
        <f>HYPERLINK("https://www.dofusbook.net/fr/equipement/5733084-xelor-m-200/objets", "link")</f>
        <v/>
      </c>
      <c r="C14385" t="n">
        <v>0</v>
      </c>
      <c r="D14385" t="inlineStr">
        <is>
          <t>Dagues de Srambad; Amulette Volkorne; Anneau Volkorne; Anneau de Pol Ouatnos; Bivalve; Ceinture de la Reine des Voleurs; Coiffe de la Reine des Voleurs; Cape de Jahash Jurgen; Bottes de la Reine des Voleurs; Dofus Ocre; Dofus Abyssal; Dofus Pourpre; Dofus Ivoire; Dofus Ébène; Dofus des Glaces; Wabbit</t>
        </is>
      </c>
    </row>
    <row r="14386">
      <c r="A14386" t="inlineStr">
        <is>
          <t>Xélor M 200</t>
        </is>
      </c>
      <c r="B14386">
        <f>HYPERLINK("https://www.dofusbook.net/fr/equipement/5725406-xelor-m-200/objets", "link")</f>
        <v/>
      </c>
      <c r="C14386" t="n">
        <v>0</v>
      </c>
      <c r="D14386" t="inlineStr">
        <is>
          <t>Amulette du Strigide; Anneau Instable; Bague Instable; Sept ans de malheur; Ceinture Instable; Casque du Chalœil; Cape du Chalœil; Bottes du Chalœil</t>
        </is>
      </c>
    </row>
    <row r="14387">
      <c r="A14387" t="inlineStr">
        <is>
          <t>Xélor M 200</t>
        </is>
      </c>
      <c r="B14387">
        <f>HYPERLINK("https://www.dofusbook.net/fr/equipement/5318332-xelor-m-200/objets", "link")</f>
        <v/>
      </c>
      <c r="C14387" t="n">
        <v>1</v>
      </c>
      <c r="D14387" t="inlineStr">
        <is>
          <t>Manthache; Amulette Volkorne; Chevalière du Roi Joueur; Anneau Volkorne; Bivalve; Ceinture Volkorne; Couronne du Roi Joueur; Voile d'encre; Bottes du Roi Joueur; Dofus Ocre; Dofus Turquoise; Dofus des Glaces; Dofus Pourpre; Dolmanax</t>
        </is>
      </c>
    </row>
    <row r="14388">
      <c r="A14388" t="inlineStr">
        <is>
          <t>Iop M 200</t>
        </is>
      </c>
      <c r="B14388">
        <f>HYPERLINK("https://www.dofusbook.net/fr/equipement/5667501-iop-m-200/objets", "link")</f>
        <v/>
      </c>
      <c r="C14388" t="n">
        <v>1</v>
      </c>
      <c r="D14388" t="inlineStr">
        <is>
          <t>Manthache; Collier du Valet Veinard; Gant du Valet Veinard; Alliance Gloursonne; Quatre-feuilles; Menoture; Dorabysses; Cape Indescriptible; Palmes Trithons; Dolmanax; Dofus Pourpre; Dofus Abyssal; Remueur; Cascadeur majeur; Nomade; Siroko</t>
        </is>
      </c>
    </row>
    <row r="14389">
      <c r="A14389" t="inlineStr">
        <is>
          <t>Xélor M 200</t>
        </is>
      </c>
      <c r="B14389">
        <f>HYPERLINK("https://www.dofusbook.net/fr/equipement/5628765-xelor-m-200/objets", "link")</f>
        <v/>
      </c>
      <c r="C14389" t="n">
        <v>0</v>
      </c>
      <c r="D14389" t="inlineStr">
        <is>
          <t>Arc Hisedaisange; Amulette du Strigide; Bracelet du Piloztère; Anneau de Padgref; Quatre-feuilles; Ceintacé; Cagoule de Vortex; Cape Lati; Bottes du Strigide; Dofus des Glaces; Dofus Turquoise; Dofus Abyssal; Dofus Pourpre; Nomade; Remueur; Kokulte</t>
        </is>
      </c>
    </row>
    <row r="14390">
      <c r="A14390" t="inlineStr">
        <is>
          <t>Xélor M 200</t>
        </is>
      </c>
      <c r="B14390">
        <f>HYPERLINK("https://www.dofusbook.net/fr/equipement/5419850-xelor-m-200/objets", "link")</f>
        <v/>
      </c>
      <c r="C14390" t="n">
        <v>0</v>
      </c>
      <c r="D14390" t="inlineStr"/>
    </row>
    <row r="14391">
      <c r="A14391" t="inlineStr">
        <is>
          <t>terre feu jahash</t>
        </is>
      </c>
      <c r="B14391">
        <f>HYPERLINK("https://www.dofusbook.net/fr/equipement/5318350-terre-feu-jahash/objets", "link")</f>
        <v/>
      </c>
      <c r="C14391" t="n">
        <v>0</v>
      </c>
      <c r="D14391" t="inlineStr">
        <is>
          <t>Epée Toche; Amulette Volkorne; Chevalière du Roi Joueur; Anneau Volkorne; Bivalve; Ceinture Volkorne; Couronne du Roi Joueur; Cape de Jahash Jurgen; Bottes du Roi Joueur; Dolmanax; Dofus Ocre; Dofus Turquoise; Dofus des Glaces; Dofus Pourpre</t>
        </is>
      </c>
    </row>
    <row r="14392">
      <c r="A14392" t="inlineStr">
        <is>
          <t>Enutrof M 200</t>
        </is>
      </c>
      <c r="B14392">
        <f>HYPERLINK("https://www.dofusbook.net/fr/equipement/5256296-enutrof-m-200/objets", "link")</f>
        <v/>
      </c>
      <c r="C14392" t="n">
        <v>1</v>
      </c>
      <c r="D14392" t="inlineStr">
        <is>
          <t>Dagues Cacterre; Amulette Volkorne; Alliance Gloursonne; Anneau Volkorne; Bouclier du Captain Amakna; Ceintrigue; Casquette de Meno; Cape de Meno; Bottes de Meno; Dofus Turquoise; Dofus Abyssal; Dofus Pourpre; Dofus des Glaces; Dofus Ocre; Dofus Ivoire; Kokulte</t>
        </is>
      </c>
    </row>
    <row r="14393">
      <c r="A14393" t="inlineStr">
        <is>
          <t>Xélor M 200</t>
        </is>
      </c>
      <c r="B14393">
        <f>HYPERLINK("https://www.dofusbook.net/fr/equipement/5235977-xelor-m-200/objets", "link")</f>
        <v/>
      </c>
      <c r="C14393" t="n">
        <v>0</v>
      </c>
      <c r="D14393" t="inlineStr">
        <is>
          <t>Heaume Oplate</t>
        </is>
      </c>
    </row>
    <row r="14394">
      <c r="A14394" t="inlineStr">
        <is>
          <t>Enutrof M 200</t>
        </is>
      </c>
      <c r="B14394">
        <f>HYPERLINK("https://www.dofusbook.net/fr/equipement/5231519-enutrof-m-200/objets", "link")</f>
        <v/>
      </c>
      <c r="C14394" t="n">
        <v>0</v>
      </c>
      <c r="D14394" t="inlineStr"/>
    </row>
    <row r="14395">
      <c r="A14395" t="inlineStr">
        <is>
          <t>Xélor M 200</t>
        </is>
      </c>
      <c r="B14395">
        <f>HYPERLINK("https://www.dofusbook.net/fr/equipement/5207500-xelor-m-200/objets", "link")</f>
        <v/>
      </c>
      <c r="C14395" t="n">
        <v>0</v>
      </c>
      <c r="D14395" t="inlineStr">
        <is>
          <t>Arc du Chalœil; Amulette du Cœur Saignant; Chevalière du Roi Joueur; Anneau Volkorne; Ceinture Volkorne; Couronne du Roi Joueur; Cape du Cœur Saignant; Bottes du Cœur Saignant</t>
        </is>
      </c>
    </row>
    <row r="14396">
      <c r="A14396" t="inlineStr">
        <is>
          <t>Féca M 200</t>
        </is>
      </c>
      <c r="B14396">
        <f>HYPERLINK("https://www.dofusbook.net/fr/equipement/4294389-feca-m-200/objets", "link")</f>
        <v/>
      </c>
      <c r="C14396" t="n">
        <v>3</v>
      </c>
      <c r="D14396" t="inlineStr">
        <is>
          <t>Hache du Chalœil; Amulette du Strigide; Alliance Gloursonne; Bague Trithon; Bivalve; Ceinture du Strigide; Masque Trithon; Cape de Jahash Jurgen; Bottes Trithon; Dofus Ocre; Dofus Abyssal; Dofus Pourpre; Dofus des Glaces; Dolmanax; Dofus Turquoise</t>
        </is>
      </c>
    </row>
    <row r="14397">
      <c r="A14397" t="inlineStr">
        <is>
          <t>Iop M 200</t>
        </is>
      </c>
      <c r="B14397">
        <f>HYPERLINK("https://www.dofusbook.net/fr/equipement/4091666-iop-m-200/objets", "link")</f>
        <v/>
      </c>
      <c r="C14397" t="n">
        <v>2</v>
      </c>
      <c r="D14397" t="inlineStr">
        <is>
          <t>Dagues d'Ilyzaelle; Amulette du Cœur Saignant; Anneau Chevelu; Anneau Volkorne; Bivalve; Ceinture Volkorne; Masque de Funespadon; Cape du Cœur Saignant; Bottes du Cœur Saignant; Dofus Pourpre; Dolmanax; Dofus Ocre; Dofus Turquoise; Dofus des Glaces; Bulbisou</t>
        </is>
      </c>
    </row>
    <row r="14398">
      <c r="A14398" t="inlineStr">
        <is>
          <t>feu full soin</t>
        </is>
      </c>
      <c r="B14398">
        <f>HYPERLINK("https://www.dofusbook.net/fr/equipement/119610-feu-full-soin/objets", "link")</f>
        <v/>
      </c>
      <c r="C14398" t="n">
        <v>2</v>
      </c>
      <c r="D14398" t="inlineStr">
        <is>
          <t>Plumeau Bil; Pendentif affamé; Anneau Tique; Anneau Rifique; Bouclier du Cycloïde; Ceinture de Vortex; Casque Cyclopéen; Cape de Diondin; Bottes Innommables; Dolmanax; Savant majeur; Érudit majeur; Astucieux majeur; Nomade; Remueur; Brûlih</t>
        </is>
      </c>
    </row>
    <row r="14399">
      <c r="A14399" t="inlineStr">
        <is>
          <t>do cri</t>
        </is>
      </c>
      <c r="B14399">
        <f>HYPERLINK("https://www.dofusbook.net/fr/equipement/4019894-do-cri/objets", "link")</f>
        <v/>
      </c>
      <c r="C14399" t="n">
        <v>1</v>
      </c>
      <c r="D14399" t="inlineStr">
        <is>
          <t>Baguette Hernelle; Amulette du Strigide; Bague Trithon; Anneau de Padgref; Bivalve; Ceinture du Strigide; Masque Trithon; Chevelure de Tal Kasha; Bottes du Strigide; Dofus Pourpre; Dofus Turquoise; Dofus Ocre; Dolmanax; Dofus des Glaces; Kokulte</t>
        </is>
      </c>
    </row>
    <row r="14400">
      <c r="A14400" t="inlineStr">
        <is>
          <t>Sacrieur M 200</t>
        </is>
      </c>
      <c r="B14400">
        <f>HYPERLINK("https://www.dofusbook.net/fr/equipement/4099497-sacrieur-m-200/objets", "link")</f>
        <v/>
      </c>
      <c r="C14400" t="n">
        <v>3</v>
      </c>
      <c r="D14400" t="inlineStr">
        <is>
          <t>Marteau des égarés; Amulette du Strigide; Alliance Gloursonne; Bracelet du Piloztère; Bivalve; Ceinture du Strigide; Chapeau Lisson; Cape du Chalœil; Bottes Trithon; Dofus Pourpre; Dofus Ocre; Dolmanax; Dofus Turquoise; Nomade; Remueur; Fëanor</t>
        </is>
      </c>
    </row>
    <row r="14401">
      <c r="A14401" t="inlineStr">
        <is>
          <t>Féca M 200</t>
        </is>
      </c>
      <c r="B14401">
        <f>HYPERLINK("https://www.dofusbook.net/fr/equipement/4091896-feca-m-200/objets", "link")</f>
        <v/>
      </c>
      <c r="C14401" t="n">
        <v>0</v>
      </c>
      <c r="D14401" t="inlineStr">
        <is>
          <t>Épée du Granduk; Amulette du Strigide; Gant du Valet Veinard; Anneau de Padgref; Bivalve; Menoture; Dorabysses; Chevelure de Tal Kasha; Getas de Padgref; Dofus Turquoise; Dofus Ivoire; Dofus Pourpre; Remueur; Cascadeur majeur; Nomade; Blérodoudou</t>
        </is>
      </c>
    </row>
    <row r="14402">
      <c r="A14402" t="inlineStr">
        <is>
          <t>multi</t>
        </is>
      </c>
      <c r="B14402">
        <f>HYPERLINK("https://www.dofusbook.net/fr/equipement/2487574-multi/objets", "link")</f>
        <v/>
      </c>
      <c r="C14402" t="n">
        <v>2</v>
      </c>
      <c r="D14402" t="inlineStr">
        <is>
          <t>Bâton Beau; Amulette du Strigide; Bracelet du Piloztère; Alliance Gloursonne; Quatre-feuilles; Ceintacé; Chapeau Lisson; Cape du Chalœil; Bottes du Strigide; Dolmanax; Dofus Pourpre; Dofus Abyssal; Dofus Turquoise; Vigoureux majeur; Remueur; Muldo Doré et Indigo</t>
        </is>
      </c>
    </row>
    <row r="14403">
      <c r="A14403" t="inlineStr">
        <is>
          <t>multi</t>
        </is>
      </c>
      <c r="B14403">
        <f>HYPERLINK("https://www.dofusbook.net/fr/equipement/2075412-multi/objets", "link")</f>
        <v/>
      </c>
      <c r="C14403" t="n">
        <v>1</v>
      </c>
      <c r="D14403" t="inlineStr">
        <is>
          <t>Hache du Chalœil; Amulette du Strigide; Alliance Gloursonne; Bracelet du Piloztère; Quatre-feuilles; Ceintacé; Casque du Chalœil; Voile d'encre; Bottes du Strigide; Dofus Turquoise; Dolmanax; Dofus des Glaces; Dofus Pourpre; Remueur; Vigoureux majeur; Dragodinde en armure</t>
        </is>
      </c>
    </row>
    <row r="14404">
      <c r="A14404" t="inlineStr">
        <is>
          <t>terre feu 11/6</t>
        </is>
      </c>
      <c r="B14404">
        <f>HYPERLINK("https://www.dofusbook.net/fr/equipement/3346789-terre-feu-11-6/objets", "link")</f>
        <v/>
      </c>
      <c r="C14404" t="n">
        <v>6</v>
      </c>
      <c r="D14404" t="inlineStr">
        <is>
          <t>Dagues Érhy; Amulette du Strigide; Anneau Chevelu; Bague Gloursonne; Bouclier du Captain Amakna; Ceinture du Strigide; Masque de Koutoulou; Voile d'encre; Pompes Funèbres; Dofus Pourpre; Dofus Turquoise; Dofus Nébuleux; Nomade; Remueur; Vigoureux majeur; Kramkram</t>
        </is>
      </c>
    </row>
    <row r="14405">
      <c r="A14405" t="inlineStr">
        <is>
          <t>eau</t>
        </is>
      </c>
      <c r="B14405">
        <f>HYPERLINK("https://www.dofusbook.net/fr/equipement/997274-eau/objets", "link")</f>
        <v/>
      </c>
      <c r="C14405" t="n">
        <v>0</v>
      </c>
      <c r="D14405" t="inlineStr">
        <is>
          <t>Rapière aux Glyphes; Amulette de Shokkoth; Bracelet des Fonds marins; Alliance Gloursonne; Quatre-feuilles; Ceinture du Barbétoal; Kidibonnet; Cape du Sinistrofu; Bottes du Sinistrofu; Dolmanax; Dofus Pourpre; Dofus Turquoise; Vigoureux majeur; Chanceux majeur; Remueur; Muldo Doré et Indigo</t>
        </is>
      </c>
    </row>
    <row r="14406">
      <c r="A14406" t="inlineStr">
        <is>
          <t>Stuff 1</t>
        </is>
      </c>
      <c r="B14406">
        <f>HYPERLINK("https://www.dofusbook.net/fr/equipement/1109740-stuff-1/objets", "link")</f>
        <v/>
      </c>
      <c r="C14406" t="n">
        <v>0</v>
      </c>
      <c r="D14406" t="inlineStr">
        <is>
          <t>Baguette Hernelle; Amulette du Strigide; Bracelet du Piloztère; Bague Gloursonne; Ceintacé; Coiffe de Padgref; Voile d'encre; Bottes du Strigide; Dofus Pourpre; Dolmanax; Dofus Nébuleux; Dofus Turquoise; Nomade; Vigoureux majeur; Kokulte</t>
        </is>
      </c>
    </row>
    <row r="14407">
      <c r="A14407" t="inlineStr">
        <is>
          <t>Stuff 1</t>
        </is>
      </c>
      <c r="B14407">
        <f>HYPERLINK("https://www.dofusbook.net/fr/equipement/1109761-stuff-1/objets", "link")</f>
        <v/>
      </c>
      <c r="C14407" t="n">
        <v>0</v>
      </c>
      <c r="D14407" t="inlineStr">
        <is>
          <t>Epée Gloursonne; Amulette du Strigide; Alliance Gloursonne; Bague Gloursonne; Ceinture du Strigide; Casque du Chalœil; Voile d'encre; Bottes du Strigide; Dofus Turquoise; Dofus Abyssal; Dolmanax; Dofus des Glaces; Dofus Ocre; Dofus Nébuleux; Muldo Indigo et Pourpre</t>
        </is>
      </c>
    </row>
    <row r="14408">
      <c r="A14408" t="inlineStr">
        <is>
          <t>rrrrrrrrrrrr</t>
        </is>
      </c>
      <c r="B14408">
        <f>HYPERLINK("https://www.dofusbook.net/fr/equipement/2453924-rrrrrrrrrrrr/objets", "link")</f>
        <v/>
      </c>
      <c r="C14408" t="n">
        <v>0</v>
      </c>
      <c r="D14408" t="inlineStr">
        <is>
          <t>Épée du Granduk; Amulette du Granduk; Anneau Tamie; Anneau d'Allister; Sangle Ouare; Masque du Granduk; Cape d'Atcham; Bottes d'Allister; Equilibriste majeur; Acrobate majeur; Tacleur; Tacleur majeur; Bloqueur; Bloqueur majeur; Blokus</t>
        </is>
      </c>
    </row>
    <row r="14409">
      <c r="A14409" t="inlineStr">
        <is>
          <t>Stuff 1</t>
        </is>
      </c>
      <c r="B14409">
        <f>HYPERLINK("https://www.dofusbook.net/fr/equipement/1109768-stuff-1/objets", "link")</f>
        <v/>
      </c>
      <c r="C14409" t="n">
        <v>0</v>
      </c>
      <c r="D14409" t="inlineStr">
        <is>
          <t>Baguette Range; Amulette du Strigide; Kralano; Bague Gloursonne; Ceinture du Strigide; Cagoule de Vortex; Voile d'encre; Bottes du Strigide; Dolmanax; Dofus Ocre; Dofus Pourpre; Dofus des Glaces; Dofus Turquoise; Kramkram</t>
        </is>
      </c>
    </row>
    <row r="14410">
      <c r="A14410" t="inlineStr">
        <is>
          <t>Stuff 3</t>
        </is>
      </c>
      <c r="B14410">
        <f>HYPERLINK("https://www.dofusbook.net/fr/equipement/1109770-stuff-3/objets", "link")</f>
        <v/>
      </c>
      <c r="C14410" t="n">
        <v>0</v>
      </c>
      <c r="D14410" t="inlineStr">
        <is>
          <t>Baguette Hernelle; Amulette Séculaire; Anneau de Padgref; Gelano; Ceinture Séculaire; Chapeau Lochon; Cape de Nileza; Pantoufles Émar; Érudit majeur; Guérisseur majeur; Remueur; Miraculé majeur; Nomade; Brûlih</t>
        </is>
      </c>
    </row>
    <row r="14411">
      <c r="A14411" t="inlineStr">
        <is>
          <t>Stuff 1</t>
        </is>
      </c>
      <c r="B14411">
        <f>HYPERLINK("https://www.dofusbook.net/fr/equipement/1109762-stuff-1/objets", "link")</f>
        <v/>
      </c>
      <c r="C14411" t="n">
        <v>0</v>
      </c>
      <c r="D14411" t="inlineStr">
        <is>
          <t>Epée Gloursonne; Amulette de Danathor; Bague Gloursonne; Alliance Gloursonne; Ceinture de Danathor; Coiffe de Danathor; Cape de Léthaline; Sandales Circulaires du Kimbo; Kramkram</t>
        </is>
      </c>
    </row>
    <row r="14412">
      <c r="A14412" t="inlineStr">
        <is>
          <t>Stuff 1</t>
        </is>
      </c>
      <c r="B14412">
        <f>HYPERLINK("https://www.dofusbook.net/fr/equipement/1109749-stuff-1/objets", "link")</f>
        <v/>
      </c>
      <c r="C14412" t="n">
        <v>0</v>
      </c>
      <c r="D14412" t="inlineStr">
        <is>
          <t>Arc de Guten Tak; Amulette du Strigide; Bague Gloursonne; Alliance Gloursonne; Ceinture du Strigide; Casque du Chalœil; Cape du Chalœil; Bottes du Strigide; Dofus Ocre; Dofus Nébuleux; Dofus Pourpre; Dolmanax; Dofus Turquoise; Dofus des Glaces; Muldo Indigo et Orchidée</t>
        </is>
      </c>
    </row>
    <row r="14413">
      <c r="A14413" t="inlineStr">
        <is>
          <t>rrrrrr</t>
        </is>
      </c>
      <c r="B14413">
        <f>HYPERLINK("https://www.dofusbook.net/fr/equipement/1239336-rrrrrr/objets", "link")</f>
        <v/>
      </c>
      <c r="C14413" t="n">
        <v>0</v>
      </c>
      <c r="D14413" t="inlineStr">
        <is>
          <t>Amulette du Koalak; Bracelet Magique de Farle; Alliance Terrdala; Chapeau Terrdala; Dofus Cawotte; Dragodinde Dorée</t>
        </is>
      </c>
    </row>
    <row r="14414">
      <c r="A14414" t="inlineStr">
        <is>
          <t>Stuff 2</t>
        </is>
      </c>
      <c r="B14414">
        <f>HYPERLINK("https://www.dofusbook.net/fr/equipement/1109741-stuff-2/objets", "link")</f>
        <v/>
      </c>
      <c r="C14414" t="n">
        <v>0</v>
      </c>
      <c r="D14414" t="inlineStr">
        <is>
          <t>Bâtonnet Ronien; Amulette du Strigide; Alliance Gloursonne; Bague Gloursonne; Ceinture du Barbétoal; Masque du Barbétoal; Cape du Barbétoal; Bottes du Strigide; Dofus Ocre; Dofus Nébuleux; Dofus Pourpre; Dolmanax; Dofus Turquoise; Dofus des Glaces; Muldo Indigo</t>
        </is>
      </c>
    </row>
    <row r="14415">
      <c r="A14415" t="inlineStr">
        <is>
          <t>Stuff 2</t>
        </is>
      </c>
      <c r="B14415">
        <f>HYPERLINK("https://www.dofusbook.net/fr/equipement/1109753-stuff-2/objets", "link")</f>
        <v/>
      </c>
      <c r="C14415" t="n">
        <v>0</v>
      </c>
      <c r="D14415" t="inlineStr">
        <is>
          <t>Epée Gloursonne; Amulette du Strigide; Alliance Gloursonne; Bague Gloursonne; Ceinture du Strigide; Voile d'encre; Bottes du Strigide; Dolmanax</t>
        </is>
      </c>
    </row>
    <row r="14416">
      <c r="A14416" t="inlineStr">
        <is>
          <t>Stuff 3</t>
        </is>
      </c>
      <c r="B14416">
        <f>HYPERLINK("https://www.dofusbook.net/fr/equipement/1109745-stuff-3/objets", "link")</f>
        <v/>
      </c>
      <c r="C14416" t="n">
        <v>0</v>
      </c>
      <c r="D14416" t="inlineStr">
        <is>
          <t>Rapière aux Glyphes; Amulette du Sinistrofu; Pikano; Alliance Gloursonne; Sangle Ouare; Kidibonnet; Cape Matelassée; Pikottes; Chanceux majeur; Nomade; Temporiseur majeur; Ralentisseur majeur; Remueur; Entraveur majeur; Kramkram</t>
        </is>
      </c>
    </row>
    <row r="14417">
      <c r="A14417" t="inlineStr">
        <is>
          <t>Stuff 3</t>
        </is>
      </c>
      <c r="B14417">
        <f>HYPERLINK("https://www.dofusbook.net/fr/equipement/1109760-stuff-3/objets", "link")</f>
        <v/>
      </c>
      <c r="C14417" t="n">
        <v>0</v>
      </c>
      <c r="D14417" t="inlineStr">
        <is>
          <t>Arc Hétype; Amulette Séculaire; Anneau de Nidas; Bague Gloursonne; Ceinture Séculaire; Couronne de Nidas; Voile d'encre; Tongues de Nidas; Dofus Turquoise; Dofus Ocre; Astucieux majeur; Savant majeur; Voyageur; Brûlih</t>
        </is>
      </c>
    </row>
    <row r="14418">
      <c r="A14418" t="inlineStr">
        <is>
          <t>Stuff 1</t>
        </is>
      </c>
      <c r="B14418">
        <f>HYPERLINK("https://www.dofusbook.net/fr/equipement/1109755-stuff-1/objets", "link")</f>
        <v/>
      </c>
      <c r="C14418" t="n">
        <v>0</v>
      </c>
      <c r="D14418" t="inlineStr">
        <is>
          <t>Epée Gloursonne; Amulette du Strigide; Bague Gloursonne; Alliance Gloursonne; Ceinture du Strigide; Bottes du Strigide</t>
        </is>
      </c>
    </row>
    <row r="14419">
      <c r="A14419" t="inlineStr">
        <is>
          <t>Stuff 2</t>
        </is>
      </c>
      <c r="B14419">
        <f>HYPERLINK("https://www.dofusbook.net/fr/equipement/1109750-stuff-2/objets", "link")</f>
        <v/>
      </c>
      <c r="C14419" t="n">
        <v>0</v>
      </c>
      <c r="D14419" t="inlineStr">
        <is>
          <t>Arc du Chalœil; Amulette du Strigide; Anneau de Brouce; Bague Gloursonne; Ceinture du Strigide; Chapeau de Gein; Cape au Logis; Bottes du Strigide; Dofus Ocre; Dofus Turquoise; Dofus Nébuleux; Dofus des Glaces; Dofus Pourpre; Forcené majeur; Kompost</t>
        </is>
      </c>
    </row>
    <row r="14420">
      <c r="A14420" t="inlineStr">
        <is>
          <t>Stuff 3</t>
        </is>
      </c>
      <c r="B14420">
        <f>HYPERLINK("https://www.dofusbook.net/fr/equipement/1109742-stuff-3/objets", "link")</f>
        <v/>
      </c>
      <c r="C14420" t="n">
        <v>0</v>
      </c>
      <c r="D14420" t="inlineStr">
        <is>
          <t>Dague Adou; Amulette du Strigide; Bague Gloursonne; Alliance Gloursonne; Ceinture du Strigide; Coiffe d'Hel Munster; Cape d'Hel Munster; Bottes du Strigide; Dofus des Glaces; Dofus Pourpre; Dofus Ocre; Dolmanax; Dofus Turquoise; Dragodinde en armure</t>
        </is>
      </c>
    </row>
    <row r="14421">
      <c r="A14421" t="inlineStr">
        <is>
          <t>Stuff 1</t>
        </is>
      </c>
      <c r="B14421">
        <f>HYPERLINK("https://www.dofusbook.net/fr/equipement/1109737-stuff-1/objets", "link")</f>
        <v/>
      </c>
      <c r="C14421" t="n">
        <v>0</v>
      </c>
      <c r="D14421" t="inlineStr">
        <is>
          <t>Arc Hétype; Amulette Séculaire; Bague Gloursonne; Kralano; Ceinture Séculaire; Coiffe Séculaire; Cape de Nileza; Bottes de Nileza; Dolmanax; Dofus Ocre; Savant majeur; Astucieux majeur; Brûlih</t>
        </is>
      </c>
    </row>
    <row r="14422">
      <c r="A14422" t="inlineStr">
        <is>
          <t>Stuff 2</t>
        </is>
      </c>
      <c r="B14422">
        <f>HYPERLINK("https://www.dofusbook.net/fr/equipement/1109744-stuff-2/objets", "link")</f>
        <v/>
      </c>
      <c r="C14422" t="n">
        <v>0</v>
      </c>
      <c r="D14422" t="inlineStr">
        <is>
          <t>Hache du Guerrier Zoth; Amulette du Glourséleste; Anneau Tamie; Anneau Tamie; Ceinture Instable; Casquipik; Cape de Léthaline; Pikottes; Dofus Ocre; Ralentisseur majeur; Entraveur majeur; Remueur; Temporiseur; Temporiseur majeur; Dragoune Rose</t>
        </is>
      </c>
    </row>
    <row r="14423">
      <c r="A14423" t="inlineStr">
        <is>
          <t>Stuff 3</t>
        </is>
      </c>
      <c r="B14423">
        <f>HYPERLINK("https://www.dofusbook.net/fr/equipement/1109739-stuff-3/objets", "link")</f>
        <v/>
      </c>
      <c r="C14423" t="n">
        <v>0</v>
      </c>
      <c r="D14423" t="inlineStr">
        <is>
          <t>Dagues Lassay; Frimamulette; Gelano; Anneau d'Allister; Ceinture de Klime; Couronne d'Allister; Cape de Klime; Bottes d'Allister; Dofus Pourpre; Dofus Cawotte; Ravageur Air majeur; Acrobate majeur</t>
        </is>
      </c>
    </row>
    <row r="14424">
      <c r="A14424" t="inlineStr">
        <is>
          <t>Stuff 2</t>
        </is>
      </c>
      <c r="B14424">
        <f>HYPERLINK("https://www.dofusbook.net/fr/equipement/1109769-stuff-2/objets", "link")</f>
        <v/>
      </c>
      <c r="C14424" t="n">
        <v>0</v>
      </c>
      <c r="D14424" t="inlineStr">
        <is>
          <t>Baguette Hernelle; Amulette d'Otomaï; Bague Gloursonne; Anneau Tique; Sangle Aise; Coiffe Séculaire; Voile d'encre; Pataugastrique; Dofus Turquoise; Miraculé majeur; Remueur; Nomade; Érudit majeur; Carapace Terre majeur; Croum</t>
        </is>
      </c>
    </row>
    <row r="14425">
      <c r="A14425" t="inlineStr">
        <is>
          <t>Stuff 2</t>
        </is>
      </c>
      <c r="B14425">
        <f>HYPERLINK("https://www.dofusbook.net/fr/equipement/1109759-stuff-2/objets", "link")</f>
        <v/>
      </c>
      <c r="C14425" t="n">
        <v>0</v>
      </c>
      <c r="D14425" t="inlineStr">
        <is>
          <t>Marteau des Anciens Steamers; Amulette de Pol Ouatnos; Bracelet du Piloztère; Alliance Gloursonne; Ceinture Voldelor; Dorabysses; Cape d'Hel Munster; Bottes Voldelor; Dofus des Glaces; Dofus Ocre; Dolmanax; Dofus Pourpre; Nomade; Remueur; Dragodinde en armure</t>
        </is>
      </c>
    </row>
    <row r="14426">
      <c r="A14426" t="inlineStr">
        <is>
          <t>Stuff 3</t>
        </is>
      </c>
      <c r="B14426">
        <f>HYPERLINK("https://www.dofusbook.net/fr/equipement/1109754-stuff-3/objets", "link")</f>
        <v/>
      </c>
      <c r="C14426" t="n">
        <v>0</v>
      </c>
      <c r="D14426" t="inlineStr">
        <is>
          <t>Dagues Érhy; Amulette du Strigide; Alliance de Missiz Frizz; Bague Gloursonne; Ceinture du Strigide; Casque de Missiz Frizz; Voile d'encre; Bottes du Strigide; Dolmanax; Dofus Pourpre; Dofus des Glaces; Dofus Ocre; Dofus Turquoise; Turbulent; Dragodinde Emeraude et Rousse</t>
        </is>
      </c>
    </row>
    <row r="14427">
      <c r="A14427" t="inlineStr">
        <is>
          <t>Stuff 2</t>
        </is>
      </c>
      <c r="B14427">
        <f>HYPERLINK("https://www.dofusbook.net/fr/equipement/1109756-stuff-2/objets", "link")</f>
        <v/>
      </c>
      <c r="C14427" t="n">
        <v>0</v>
      </c>
      <c r="D14427" t="inlineStr">
        <is>
          <t>Arc du Chalœil; Amulette du Strigide; Bague Gloursonne; Anneau de Brouce; Ceinture du Strigide; Coiffe de la Reine des Voleurs; Cape au Logis; Bottes du Strigide; Dofus Turquoise; Dofus des Glaces; Dofus Pourpre; Dofus Nébuleux; Dofus Ocre; Forcené majeur</t>
        </is>
      </c>
    </row>
    <row r="14428">
      <c r="A14428" t="inlineStr">
        <is>
          <t>Stuff 3</t>
        </is>
      </c>
      <c r="B14428">
        <f>HYPERLINK("https://www.dofusbook.net/fr/equipement/1109751-stuff-3/objets", "link")</f>
        <v/>
      </c>
      <c r="C14428" t="n">
        <v>0</v>
      </c>
      <c r="D14428" t="inlineStr">
        <is>
          <t>Rapière aux Glyphes; Amulette de Pol Ouatnos; Alliance Gloursonne; Sangle Ouare; Kidibonnet; Cape du Sinistrofu; Bottes du Sinistrofu; Dofus des Glaces; Dofus Turquoise; Dofus Pourpre; Chanceux majeur; Remueur; Dévastateur Eau majeur; Kramkram</t>
        </is>
      </c>
    </row>
    <row r="14429">
      <c r="A14429" t="inlineStr">
        <is>
          <t>Stuff 1</t>
        </is>
      </c>
      <c r="B14429">
        <f>HYPERLINK("https://www.dofusbook.net/fr/equipement/1109743-stuff-1/objets", "link")</f>
        <v/>
      </c>
      <c r="C14429" t="n">
        <v>0</v>
      </c>
      <c r="D14429" t="inlineStr">
        <is>
          <t>Arc Hétype; Amulette du Glourséleste; Anneau Tamie; Gelano; Ceinture Instable; Casquipik; Cape Matelassée; Pikottes; Dofus Cawotte; Temporiseur majeur; Entraveur; Remueur; Ralentisseur majeur; Entraveur majeur; Gwo Tofu Ventripotent</t>
        </is>
      </c>
    </row>
    <row r="14430">
      <c r="A14430" t="inlineStr">
        <is>
          <t>Stuff 2</t>
        </is>
      </c>
      <c r="B14430">
        <f>HYPERLINK("https://www.dofusbook.net/fr/equipement/1109738-stuff-2/objets", "link")</f>
        <v/>
      </c>
      <c r="C14430" t="n">
        <v>0</v>
      </c>
      <c r="D14430" t="inlineStr">
        <is>
          <t>Plumeau Bil; Amulette Séculaire; Kralano; Bague Gloursonne; Ceinture Séculaire; Coiffe Séculaire; Cape de Nileza; Bottes de Nileza; Dolmanax; Dofus des Glaces; Dofus Ocre; Savant majeur; Astucieux majeur; Voyageur; Brûlih</t>
        </is>
      </c>
    </row>
    <row r="14431">
      <c r="A14431" t="inlineStr">
        <is>
          <t>Stuff 2</t>
        </is>
      </c>
      <c r="B14431">
        <f>HYPERLINK("https://www.dofusbook.net/fr/equipement/1109763-stuff-2/objets", "link")</f>
        <v/>
      </c>
      <c r="C14431" t="n">
        <v>0</v>
      </c>
      <c r="D14431" t="inlineStr">
        <is>
          <t>Dagues Érhy; Amulette de l'Indicible; Bague Gloursonne; Alliance Gloursonne; Ceinture de l'Indicible; Boucle d'oreille de Kongoku; Cape au Logis; Bottes de l'Indicible; Dofus Ocre; Dolmanax; Dofus Turquoise; Dofus des Glaces; Dofus Pourpre; Kramkram</t>
        </is>
      </c>
    </row>
    <row r="14432">
      <c r="A14432" t="inlineStr">
        <is>
          <t>Stuff 1</t>
        </is>
      </c>
      <c r="B14432">
        <f>HYPERLINK("https://www.dofusbook.net/fr/equipement/1109758-stuff-1/objets", "link")</f>
        <v/>
      </c>
      <c r="C14432" t="n">
        <v>0</v>
      </c>
      <c r="D14432" t="inlineStr">
        <is>
          <t>Arc Hétype; Amulette Séculaire; Anneau de Nidas; Bague Gloursonne; Sangle Aise; Couronne de Nidas; Voile d'encre; Tongues de Nidas; Dofus Turquoise; Dofus Ocre; Savant majeur; Astucieux majeur; Voyageur; Brûlih</t>
        </is>
      </c>
    </row>
    <row r="14433">
      <c r="A14433" t="inlineStr">
        <is>
          <t>Stuff 2</t>
        </is>
      </c>
      <c r="B14433">
        <f>HYPERLINK("https://www.dofusbook.net/fr/equipement/1109753-stuff-2/objets", "link")</f>
        <v/>
      </c>
      <c r="C14433" t="n">
        <v>0</v>
      </c>
      <c r="D14433" t="inlineStr">
        <is>
          <t>Epée Gloursonne; Amulette du Strigide; Bague Gloursonne; Alliance Gloursonne; Ceinture du Strigide; Voile d'encre; Bottes du Strigide; Dolmanax</t>
        </is>
      </c>
    </row>
    <row r="14434">
      <c r="A14434" t="inlineStr">
        <is>
          <t>Stuff 3</t>
        </is>
      </c>
      <c r="B14434">
        <f>HYPERLINK("https://www.dofusbook.net/fr/equipement/1109745-stuff-3/objets", "link")</f>
        <v/>
      </c>
      <c r="C14434" t="n">
        <v>0</v>
      </c>
      <c r="D14434" t="inlineStr">
        <is>
          <t>Rapière aux Glyphes; Amulette du Sinistrofu; Pikano; Alliance Gloursonne; Sangle Ouare; Kidibonnet; Cape Matelassée; Pikottes; Entraveur majeur; Chanceux majeur; Nomade; Temporiseur majeur; Ralentisseur majeur; Remueur; Kramkram</t>
        </is>
      </c>
    </row>
    <row r="14435">
      <c r="A14435" t="inlineStr">
        <is>
          <t>Stuff 1</t>
        </is>
      </c>
      <c r="B14435">
        <f>HYPERLINK("https://www.dofusbook.net/fr/equipement/1109736-stuff-1/objets", "link")</f>
        <v/>
      </c>
      <c r="C14435" t="n">
        <v>0</v>
      </c>
      <c r="D14435" t="inlineStr">
        <is>
          <t>Marteau des Anciens Steamers; Amulette du Strigide; Alliance Gloursonne; Bracelet du Piloztère; Ceintacé; Kidibonnet; Cape d'Hel Munster; Bottes du Strigide; Dolmanax; Dragodinde en armure</t>
        </is>
      </c>
    </row>
    <row r="14436">
      <c r="A14436" t="inlineStr">
        <is>
          <t>Sadida F 200</t>
        </is>
      </c>
      <c r="B14436">
        <f>HYPERLINK("https://www.dofusbook.net/fr/equipement/6018307-sadida-f-200/objets", "link")</f>
        <v/>
      </c>
      <c r="C14436" t="n">
        <v>0</v>
      </c>
      <c r="D14436" t="inlineStr"/>
    </row>
    <row r="14437">
      <c r="A14437" t="inlineStr">
        <is>
          <t>Sadida F 200</t>
        </is>
      </c>
      <c r="B14437">
        <f>HYPERLINK("https://www.dofusbook.net/fr/equipement/5114185-sadida-f-200/objets", "link")</f>
        <v/>
      </c>
      <c r="C14437" t="n">
        <v>7</v>
      </c>
      <c r="D14437" t="inlineStr">
        <is>
          <t>Arc du Chalœil; Collier de Tourthon; Anneau Volkorne; Anneau du Comte Harebourg; Bouclier du Stalak; Ceinture Volkorne; Coiffe du Comte Harebourg; Cape de Jahash Jurgen; Bottes du Comte Harebourg; Dofus des Glaces; Dofus Ocre; Dofus Pourpre; Dofus Ébène; Forcené majeur; Voyageur; Fëanor</t>
        </is>
      </c>
    </row>
    <row r="14438">
      <c r="A14438" t="inlineStr">
        <is>
          <t>stuff terre</t>
        </is>
      </c>
      <c r="B14438">
        <f>HYPERLINK("https://www.dofusbook.net/fr/equipement/5826149-stuff-terre-/objets", "link")</f>
        <v/>
      </c>
      <c r="C14438" t="n">
        <v>3</v>
      </c>
      <c r="D14438" t="inlineStr">
        <is>
          <t>Couteaux Sacrificiels; Amulette du Strigide; Anneau Tamie; Alliance Gloursonne; Droiture de Fallanster; Ceinture du Strigide; Pataugastrique; Dofus Ivoire; Dofus Pourpre; Dofus Ébène; Dofus Émeraude; Dofus Abyssal; Obstructeur majeur; Marcassin</t>
        </is>
      </c>
    </row>
    <row r="14439">
      <c r="A14439" t="inlineStr">
        <is>
          <t>stuff eau</t>
        </is>
      </c>
      <c r="B14439">
        <f>HYPERLINK("https://www.dofusbook.net/fr/equipement/1932348-stuff-eau/objets", "link")</f>
        <v/>
      </c>
      <c r="C14439" t="n">
        <v>19</v>
      </c>
      <c r="D14439" t="inlineStr">
        <is>
          <t>Pyraguette; Amulette de Shokkoth; Anneau Volkorne; Alliance Gloursonne; Bouclier du Stalak; Ceinture de la Reine des Voleurs; Masque de Kao; Cape Solution; Bottes de la Reine des Voleurs; Dofus Ocre; Dofus Abyssal; Dofus Ébène; Dofus Pourpre; Dofus des Glaces; Chanceux majeur; Kanigloups</t>
        </is>
      </c>
    </row>
    <row r="14440">
      <c r="A14440" t="inlineStr">
        <is>
          <t>Stuff feu</t>
        </is>
      </c>
      <c r="B14440">
        <f>HYPERLINK("https://www.dofusbook.net/fr/equipement/236306-stuff-feu/objets", "link")</f>
        <v/>
      </c>
      <c r="C14440" t="n">
        <v>14</v>
      </c>
      <c r="D14440" t="inlineStr">
        <is>
          <t>Arc corrompu; Amulette de Nileza; Chevalière du Roi Joueur; Anneauræus; Bouclier du Stalak; Croture; Heaume Oplate; Cape de Nileza; Bottes Innommables; Dofus Pourpre; Dofus Ébène; Dofus Vulbis; Dofus des Glaces; Dofus Ocre; Dofus Abyssal; Bisouglours</t>
        </is>
      </c>
    </row>
    <row r="14441">
      <c r="A14441" t="inlineStr">
        <is>
          <t>Iop M 200</t>
        </is>
      </c>
      <c r="B14441">
        <f>HYPERLINK("https://www.dofusbook.net/fr/equipement/5809743-iop-m-200/objets", "link")</f>
        <v/>
      </c>
      <c r="C14441" t="n">
        <v>1</v>
      </c>
      <c r="D14441" t="inlineStr">
        <is>
          <t>Bâthon; Amulette du Strigide; Bague Gloursonne; Chevalière du Roi Joueur; Quatre-feuilles; Ceinture du Strigide; Couronne du Roi Joueur; Cape de Jahash Jurgen; Bottes du Roi Joueur; Dofus Turquoise; Dofus Ocre; Dofus Pourpre; Dofus Ébène; Dofus Vulbis; Dofus des Glaces; Fëanor</t>
        </is>
      </c>
    </row>
    <row r="14442">
      <c r="A14442" t="inlineStr">
        <is>
          <t>cfdf</t>
        </is>
      </c>
      <c r="B14442">
        <f>HYPERLINK("https://www.dofusbook.net/fr/equipement/1496704-cfdf/objets", "link")</f>
        <v/>
      </c>
      <c r="C14442" t="n">
        <v>29</v>
      </c>
      <c r="D14442" t="inlineStr">
        <is>
          <t>Dagues du Dragoeuf; Amulette Volkorne; Bague Gloursonne; Chevalière du Roi Joueur; Quatre-feuilles; Ceinture Volkorne; Couronne du Roi Joueur; Cape de Jahash Jurgen; Bottes du Roi Joueur; Dofus Vulbis; Dofus Ébène; Dofus Pourpre; Dofus Ocre; Dofus Turquoise; Dofus des Glaces; Chacha Angora</t>
        </is>
      </c>
    </row>
    <row r="14443">
      <c r="A14443" t="inlineStr">
        <is>
          <t>stuff multi</t>
        </is>
      </c>
      <c r="B14443">
        <f>HYPERLINK("https://www.dofusbook.net/fr/equipement/5150627-stuff-multi/objets", "link")</f>
        <v/>
      </c>
      <c r="C14443" t="n">
        <v>2</v>
      </c>
      <c r="D14443" t="inlineStr">
        <is>
          <t>Hache du Chalœil; Amulette Volkorne; Bracelet du Piloztère; Anneau Volkorne; Quatre-feuilles; Ceinture Volkorne; Casque du Chalœil; Cape du Chalœil; Bottes du Chalœil; Dofus Ocre; Dofus des Glaces; Dofus Pourpre; Dofus Abyssal; Dofus Turquoise; Dofus Ébène; Chacha Angora</t>
        </is>
      </c>
    </row>
    <row r="14444">
      <c r="A14444" t="inlineStr">
        <is>
          <t>stuff air</t>
        </is>
      </c>
      <c r="B14444">
        <f>HYPERLINK("https://www.dofusbook.net/fr/equipement/2913272-stuff-air/objets", "link")</f>
        <v/>
      </c>
      <c r="C14444" t="n">
        <v>13</v>
      </c>
      <c r="D14444" t="inlineStr">
        <is>
          <t>Plume de Buhorado; Collier du Valet Veinard; Gant du Valet Veinard; Alliance Gloursonne; Bouclier du Stalak; Menoture; Couronne d'Allister; Cape du Valet Veinard; Palmes Trithons; Dofus Ébène; Dolmanax; Dofus Abyssal; Dofus Pourpre; Dofus des Glaces; Robuste majeur; Blérodoudou</t>
        </is>
      </c>
    </row>
    <row r="14445">
      <c r="A14445" t="inlineStr">
        <is>
          <t>stuff tank</t>
        </is>
      </c>
      <c r="B14445">
        <f>HYPERLINK("https://www.dofusbook.net/fr/equipement/4179370-stuff-tank/objets", "link")</f>
        <v/>
      </c>
      <c r="C14445" t="n">
        <v>8</v>
      </c>
      <c r="D14445" t="inlineStr">
        <is>
          <t>Rouleau à Pâtisserie d'Aermyne; Collier Rophante; Bague Trithon; Alliance Gloursonne; Droiture de Fallanster; Ceinture de Kongoku; Casque Dragoeuf; Cape d'Aermyne; Pataugastrique; Dokoko; Dofus Ivoire; Dofus Émeraude; Dofus Vulbis; Obstructeur majeur; Remueur; Givrefoux</t>
        </is>
      </c>
    </row>
    <row r="14446">
      <c r="A14446" t="inlineStr">
        <is>
          <t>cbcv</t>
        </is>
      </c>
      <c r="B14446">
        <f>HYPERLINK("https://www.dofusbook.net/fr/equipement/785469-cbcv/objets", "link")</f>
        <v/>
      </c>
      <c r="C14446" t="n">
        <v>7</v>
      </c>
      <c r="D14446" t="inlineStr">
        <is>
          <t>Baguette des égarés; Amulette du Strigide; Alliance Gloursonne; Anneau Volkorne; Bouclier du Stalak; Ceinture Volkorne; Masque de Koutoulou; Cape Luminescente; Bottes du Strigide; Dofus Ocre; Dofus Abyssal; Dofus Vulbis; Dofus des Glaces; Dofus Pourpre; Dofus Ébène; Bébé Pandawa</t>
        </is>
      </c>
    </row>
    <row r="14447">
      <c r="A14447" t="inlineStr">
        <is>
          <t>enutrof M 200</t>
        </is>
      </c>
      <c r="B14447">
        <f>HYPERLINK("https://www.dofusbook.net/fr/equipement/3920125-enutrof-m-200/objets", "link")</f>
        <v/>
      </c>
      <c r="C14447" t="n">
        <v>78</v>
      </c>
      <c r="D14447" t="inlineStr">
        <is>
          <t>Baguette Hique; Amulette de Shokkoth; Bracelet des Fonds marins; Alliance Gloursonne; Bouclier cubiste; Poulpagne; Coiffe d'Ogivol; Cape de Meno; Bottes de Meno; Temporiseur majeur; Chanceux majeur; Remueur; Nomade; Ralentisseur majeur; Entraveur majeur; Gwo Tofu Ventripotent</t>
        </is>
      </c>
    </row>
    <row r="14448">
      <c r="A14448" t="inlineStr">
        <is>
          <t>Eniripsa M 200</t>
        </is>
      </c>
      <c r="B14448">
        <f>HYPERLINK("https://www.dofusbook.net/fr/equipement/3496154-eniripsa-m-200/objets", "link")</f>
        <v/>
      </c>
      <c r="C14448" t="n">
        <v>12</v>
      </c>
      <c r="D14448" t="inlineStr">
        <is>
          <t>Arc corrompu; Amulette d'Otomaï; Chevalière du Roi Joueur; Anneau Rifique; Quatre-feuilles; Ceinture Séculaire; Coiffe Séculaire; Cape de Diondin; Bottes de Meno; Dofus Pourpre; Dofus des Glaces; Dofus Turquoise; Remueur; Nomade; Érudit majeur; Pioute rouge</t>
        </is>
      </c>
    </row>
    <row r="14449">
      <c r="A14449" t="inlineStr">
        <is>
          <t>hfgh</t>
        </is>
      </c>
      <c r="B14449">
        <f>HYPERLINK("https://www.dofusbook.net/fr/equipement/1452019-hfgh/objets", "link")</f>
        <v/>
      </c>
      <c r="C14449" t="n">
        <v>37</v>
      </c>
      <c r="D14449" t="inlineStr">
        <is>
          <t>Marteau des égarés; Amulette du Strigide; Anneau Toriété; Bracelet du Piloztère; Quatre-feuilles; Ceinture du Strigide; Le Dorado; Chevelure de Tal Kasha; Bottes Honyme; Dolmanax; Dofus Pourpre; Dofus Turquoise; Dofus des Glaces; Vigoureux majeur; Nomade; Kokulte</t>
        </is>
      </c>
    </row>
    <row r="14450">
      <c r="A14450" t="inlineStr">
        <is>
          <t>hbgcmm</t>
        </is>
      </c>
      <c r="B14450">
        <f>HYPERLINK("https://www.dofusbook.net/fr/equipement/1887271-hbgcmm/objets", "link")</f>
        <v/>
      </c>
      <c r="C14450" t="n">
        <v>0</v>
      </c>
      <c r="D14450" t="inlineStr">
        <is>
          <t>Marteau de Katrepat; Amulette du Strigide; Bracelet du Piloztère; Alliance Gloursonne; Quatre-feuilles; Ceintacé; Masque du Katcheur; Voile d'encre; Bottes du Katcheur; Dolmanax; Dofus Turquoise; Dofus Pourpre; Vigoureux majeur; Nomade; Remueur; Chacha Angora</t>
        </is>
      </c>
    </row>
    <row r="14451">
      <c r="A14451" t="inlineStr">
        <is>
          <t>Roublard M 200</t>
        </is>
      </c>
      <c r="B14451">
        <f>HYPERLINK("https://www.dofusbook.net/fr/equipement/4597769-roublard-m-200/objets", "link")</f>
        <v/>
      </c>
      <c r="C14451" t="n">
        <v>0</v>
      </c>
      <c r="D14451" t="inlineStr">
        <is>
          <t>Arc corrompu; Pendentif mignon de Koutoulou; Chevalière du Roi Joueur; Anneauræus; Bouclier du Stalak; Croture; Casque Cyclopéen; Voile d'encre; Dofus Abyssal; Dofus Ocre; Dofus Ivoire; Dofus des Glaces; Dévastateur Feu majeur; Nomade; Bisouglours</t>
        </is>
      </c>
    </row>
    <row r="14452">
      <c r="A14452" t="inlineStr">
        <is>
          <t>Roublard M 200</t>
        </is>
      </c>
      <c r="B14452">
        <f>HYPERLINK("https://www.dofusbook.net/fr/equipement/5507053-roublard-m-200/objets", "link")</f>
        <v/>
      </c>
      <c r="C14452" t="n">
        <v>0</v>
      </c>
      <c r="D14452" t="inlineStr">
        <is>
          <t>Arc corrompu; Amulette Volkorne; Anneau Volkorne; Chevalière du Roi Joueur; Croture; Couronne du Roi Joueur; Cape de Diondin; Bottes Innommables; Dofus Ivoire; Dofus Pourpre; Dofus des Glaces; Dofus Ocre; Dofus Abyssal; Bisouglours</t>
        </is>
      </c>
    </row>
    <row r="14453">
      <c r="A14453" t="inlineStr">
        <is>
          <t>Crâ M 200</t>
        </is>
      </c>
      <c r="B14453">
        <f>HYPERLINK("https://www.dofusbook.net/fr/equipement/5427085-cra-m-200/objets", "link")</f>
        <v/>
      </c>
      <c r="C14453" t="n">
        <v>0</v>
      </c>
      <c r="D14453" t="inlineStr"/>
    </row>
    <row r="14454">
      <c r="A14454" t="inlineStr">
        <is>
          <t>Iop M 200</t>
        </is>
      </c>
      <c r="B14454">
        <f>HYPERLINK("https://www.dofusbook.net/fr/equipement/5112276-iop-m-200/objets", "link")</f>
        <v/>
      </c>
      <c r="C14454" t="n">
        <v>0</v>
      </c>
      <c r="D14454" t="inlineStr">
        <is>
          <t>Hache du Guerrier Zoth; La Meulette; Gelano; Anneau du Meulou; Ceinture du Meulou; Coiffe du Meulou; Cape du Meulou; Bottes du Meulou; Dragodinde Prune et Emeraude</t>
        </is>
      </c>
    </row>
    <row r="14455">
      <c r="A14455" t="inlineStr">
        <is>
          <t>Enutrof M 200</t>
        </is>
      </c>
      <c r="B14455">
        <f>HYPERLINK("https://www.dofusbook.net/fr/equipement/4985232-enutrof-m-200/objets", "link")</f>
        <v/>
      </c>
      <c r="C14455" t="n">
        <v>1</v>
      </c>
      <c r="D14455" t="inlineStr">
        <is>
          <t>Amulette du Glourséleste; Bracelet du Piloztère; Pikano; Bouclier du serrurier; Ceinture Glaciale; Casquipik; Cape de Léthaline; Pantoufles Émar; Entraveur; Entraveur majeur; Remueur; Temporiseur; Temporiseur majeur; Volkorne Turquoise</t>
        </is>
      </c>
    </row>
    <row r="14456">
      <c r="A14456" t="inlineStr">
        <is>
          <t>tritvolk</t>
        </is>
      </c>
      <c r="B14456">
        <f>HYPERLINK("https://www.dofusbook.net/fr/equipement/4802876-tritvolk/objets", "link")</f>
        <v/>
      </c>
      <c r="C14456" t="n">
        <v>1</v>
      </c>
      <c r="D14456" t="inlineStr">
        <is>
          <t>Hache du Chalœil; Amulette Volkorne; Anneau Volkorne; Bague Trithon; Quatre-feuilles; Ceinture Volkorne; Masque Trithon; Cape au Logis; Bottes Trithon; Dofus Turquoise; Dofus Nébuleux; Dofus Ocre; Dofus des Glaces; Dofus Pourpre; Dofus Abyssal; Kokulte</t>
        </is>
      </c>
    </row>
    <row r="14457">
      <c r="A14457" t="inlineStr">
        <is>
          <t>striglour</t>
        </is>
      </c>
      <c r="B14457">
        <f>HYPERLINK("https://www.dofusbook.net/fr/equipement/4802845-striglour/objets", "link")</f>
        <v/>
      </c>
      <c r="C14457" t="n">
        <v>0</v>
      </c>
      <c r="D14457" t="inlineStr">
        <is>
          <t>Epée Gloursonne; Amulette du Strigide; Alliance Gloursonne; Bague Gloursonne; Quatre-feuilles; Ceinture du Strigide; Coiffe de la Fuji Givrefoux; Cape de la Fuji Givrefoux; Bottes du Strigide; Dofus Ocre; Dofus des Glaces; Dofus Pourpre; Dofus Abyssal; Dofus Turquoise; Dofus Nébuleux; Kokulte</t>
        </is>
      </c>
    </row>
    <row r="14458">
      <c r="A14458" t="inlineStr">
        <is>
          <t>Ecaflip F 200</t>
        </is>
      </c>
      <c r="B14458">
        <f>HYPERLINK("https://www.dofusbook.net/fr/equipement/4802815-ecaflip-f-200/objets", "link")</f>
        <v/>
      </c>
      <c r="C14458" t="n">
        <v>0</v>
      </c>
      <c r="D14458" t="inlineStr">
        <is>
          <t>Epée Gloursonne; Amulette Ementaire Deluxe; Bague Gloursonne; Alliance Gloursonne; Bouclier du Stalak; Ceinture de l'Esprit Salvateur; Masque de l'Esprit Salvateur; Voilamibe; Bottes de l'Esprit Salvateur; Dofus Turquoise; Dofus Nébuleux; Dofus Ocre; Dofus des Glaces; Dofus Pourpre; Dofus Abyssal; Chacha Angora</t>
        </is>
      </c>
    </row>
    <row r="14459">
      <c r="A14459" t="inlineStr">
        <is>
          <t>Crâ M 200</t>
        </is>
      </c>
      <c r="B14459">
        <f>HYPERLINK("https://www.dofusbook.net/fr/equipement/4795877-cra-m-200/objets", "link")</f>
        <v/>
      </c>
      <c r="C14459" t="n">
        <v>0</v>
      </c>
      <c r="D14459" t="inlineStr">
        <is>
          <t>Baguette Hernelle; Amulette du Strigide; Anneau de Padgref; Bracelet du Piloztère; Quatre-feuilles; Ceinture du Strigide; Coiffe de Padgref; Cape au Logis; Getas de Padgref; Dofus Turquoise; Dofus Abyssal; Dofus Pourpre; Dofus des Glaces; Dofus Ocre; Dofus Nébuleux; Kokulte</t>
        </is>
      </c>
    </row>
    <row r="14460">
      <c r="A14460" t="inlineStr">
        <is>
          <t>Ecaflip M 200</t>
        </is>
      </c>
      <c r="B14460">
        <f>HYPERLINK("https://www.dofusbook.net/fr/equipement/4789678-ecaflip-m-200/objets", "link")</f>
        <v/>
      </c>
      <c r="C14460" t="n">
        <v>0</v>
      </c>
      <c r="D14460" t="inlineStr"/>
    </row>
    <row r="14461">
      <c r="A14461" t="inlineStr">
        <is>
          <t>Enutrof M 200</t>
        </is>
      </c>
      <c r="B14461">
        <f>HYPERLINK("https://www.dofusbook.net/fr/equipement/4780231-enutrof-m-200/objets", "link")</f>
        <v/>
      </c>
      <c r="C14461" t="n">
        <v>0</v>
      </c>
      <c r="D14461" t="inlineStr">
        <is>
          <t>Baguette Nolog; Amulette Hendart; Bague Gloursonne; Anneau de Brouce; Cadran de Terre; Ceinture de Brouce; Masque de Koutoulou; Cape au Logis; Sabots Minables; Dokoko; Nomade; Vigoureux majeur; Remueur; Observateur; Enragé majeur; Dragodinde Pourpre</t>
        </is>
      </c>
    </row>
    <row r="14462">
      <c r="A14462" t="inlineStr">
        <is>
          <t>Roublard M 200</t>
        </is>
      </c>
      <c r="B14462">
        <f>HYPERLINK("https://www.dofusbook.net/fr/equipement/4752292-roublard-m-200/objets", "link")</f>
        <v/>
      </c>
      <c r="C14462" t="n">
        <v>0</v>
      </c>
      <c r="D14462" t="inlineStr">
        <is>
          <t>Arc Honte; Pendentif mignon de Koutoulou; Anneau Rifique; Alliance Gloursonne; Bouclier du Stalak; Ceinture de Vortex; Casque Cyclopéen; Cape Martegel; Sabots de Vortex; Dofus Abyssal; Dofus des Glaces; Dofus Pourpre; Dofus Ocre; Voyageur; Robuste majeur; Blérodoudou</t>
        </is>
      </c>
    </row>
    <row r="14463">
      <c r="A14463" t="inlineStr">
        <is>
          <t>Roublard M 200</t>
        </is>
      </c>
      <c r="B14463">
        <f>HYPERLINK("https://www.dofusbook.net/fr/equipement/4727569-roublard-m-200/objets", "link")</f>
        <v/>
      </c>
      <c r="C14463" t="n">
        <v>0</v>
      </c>
      <c r="D14463" t="inlineStr">
        <is>
          <t>Epée Gloursonne; Amulette Séculaire; Bague Gloursonne; Alliance Gloursonne; Bouclier du Stalak; Ceinture Séculaire; Coiffe Séculaire; Dokoko; Dofus des Glaces; Dofus Pourpre; Dofus Abyssal; Dofus Ocre; Voyageur; Bisouglours</t>
        </is>
      </c>
    </row>
    <row r="14464">
      <c r="A14464" t="inlineStr">
        <is>
          <t>Roublard M 200</t>
        </is>
      </c>
      <c r="B14464">
        <f>HYPERLINK("https://www.dofusbook.net/fr/equipement/4752257-roublard-m-200/objets", "link")</f>
        <v/>
      </c>
      <c r="C14464" t="n">
        <v>0</v>
      </c>
      <c r="D14464" t="inlineStr">
        <is>
          <t>Arc corrompu; Amulette Volkorne; Anneau Tamie; Anneau Tamie; Bouclier du Stalak; Ceinture Séculaire; Coiffe Séculaire; Cape Martegel; Bottes Innommables; Dofus Pourpre; Dofus Ocre; Dofus des Glaces; Dévastateur Feu majeur; Nomade; Remueur; Bisouglours</t>
        </is>
      </c>
    </row>
    <row r="14465">
      <c r="A14465" t="inlineStr">
        <is>
          <t>Roublard M 200</t>
        </is>
      </c>
      <c r="B14465">
        <f>HYPERLINK("https://www.dofusbook.net/fr/equipement/4752256-roublard-m-200/objets", "link")</f>
        <v/>
      </c>
      <c r="C14465" t="n">
        <v>0</v>
      </c>
      <c r="D14465" t="inlineStr"/>
    </row>
    <row r="14466">
      <c r="A14466" t="inlineStr">
        <is>
          <t>Roublard M 200</t>
        </is>
      </c>
      <c r="B14466">
        <f>HYPERLINK("https://www.dofusbook.net/fr/equipement/4715801-roublard-m-200/objets", "link")</f>
        <v/>
      </c>
      <c r="C14466" t="n">
        <v>1</v>
      </c>
      <c r="D14466" t="inlineStr">
        <is>
          <t>Epée Gloursonne; Collier du Valet Veinard; Alliance Gloursonne; Gant du Valet Veinard; Bouclier du Stalak; Ceinture de la Reine des Voleurs; Coiffe de la Reine des Voleurs; Cape du Valet Veinard; Bottes de la Reine des Voleurs; Dolmanax; Dofus Ocre; Dofus des Glaces; Dofus Pourpre; Dofus Abyssal; Voyageur; Blérodoudou</t>
        </is>
      </c>
    </row>
    <row r="14467">
      <c r="A14467" t="inlineStr">
        <is>
          <t>Ecaflip M 200</t>
        </is>
      </c>
      <c r="B14467">
        <f>HYPERLINK("https://www.dofusbook.net/fr/equipement/4710483-ecaflip-m-200/objets", "link")</f>
        <v/>
      </c>
      <c r="C14467" t="n">
        <v>0</v>
      </c>
      <c r="D14467" t="inlineStr">
        <is>
          <t>Epée Gloursonne; Amulette du Strigide; Bague Gloursonne; Alliance Gloursonne; Quatre-feuilles; Ceinture du Strigide; Coiffe de la Fuji Givrefoux; Cape de la Fuji Givrefoux; Bottes du Strigide; Dofus Ocre; Dofus Abyssal; Dofus Turquoise; Dofus des Glaces; Dofus Pourpre; Dofus Nébuleux; Kokulte</t>
        </is>
      </c>
    </row>
    <row r="14468">
      <c r="A14468" t="inlineStr">
        <is>
          <t>Pandawa F 200</t>
        </is>
      </c>
      <c r="B14468">
        <f>HYPERLINK("https://www.dofusbook.net/fr/equipement/4681243-pandawa-f-200/objets", "link")</f>
        <v/>
      </c>
      <c r="C14468" t="n">
        <v>0</v>
      </c>
      <c r="D14468" t="inlineStr">
        <is>
          <t>Hache du Guerrier Zoth; Amulette du Sinistrofu; Alliance Gloursonne; Bracelet du Piloztère; Quatre-feuilles; Sangle Ouare; Casque Dragoeuf; Cape Matelassée; Bottes du Sinistrofu; Dofus Turquoise; Dofus Émeraude; Chanceux majeur; Fonceur majeur; Nomade; Remueur; Dragodinde Indigo</t>
        </is>
      </c>
    </row>
    <row r="14469">
      <c r="A14469" t="inlineStr">
        <is>
          <t>Roublard M 200</t>
        </is>
      </c>
      <c r="B14469">
        <f>HYPERLINK("https://www.dofusbook.net/fr/equipement/4663788-roublard-m-200/objets", "link")</f>
        <v/>
      </c>
      <c r="C14469" t="n">
        <v>0</v>
      </c>
      <c r="D14469" t="inlineStr">
        <is>
          <t>Epée Gloursonne; Amulette de Nevark; Bague Gloursonne; Alliance Gloursonne; Bouclier du Stalak; Ceinture de Nevark; Casque des égarés; Cape de Nevark; Baleinabottes; Dofus Pourpre; Dofus des Glaces; Dofus Ivoire; Dofus Abyssal; Robuste majeur; Féroce majeur; Blérodoudou</t>
        </is>
      </c>
    </row>
    <row r="14470">
      <c r="A14470" t="inlineStr">
        <is>
          <t>Roublard M 200</t>
        </is>
      </c>
      <c r="B14470">
        <f>HYPERLINK("https://www.dofusbook.net/fr/equipement/4663803-roublard-m-200/objets", "link")</f>
        <v/>
      </c>
      <c r="C14470" t="n">
        <v>0</v>
      </c>
      <c r="D14470" t="inlineStr">
        <is>
          <t>Epée Gloursonne; Amulette de Nevark; Alliance Gloursonne; Bague Gloursonne; Bouclier du Stalak; Ceinture de la Reine des Voleurs; Coiffe de la Reine des Voleurs; Voilamibe; Baleinabottes; Dofus Ocre; Dofus Ivoire; Dofus Abyssal; Dofus Pourpre; Dofus des Glaces; Féroce majeur</t>
        </is>
      </c>
    </row>
    <row r="14471">
      <c r="A14471" t="inlineStr">
        <is>
          <t>Roublard M 200</t>
        </is>
      </c>
      <c r="B14471">
        <f>HYPERLINK("https://www.dofusbook.net/fr/equipement/4618092-roublard-m-200/objets", "link")</f>
        <v/>
      </c>
      <c r="C14471" t="n">
        <v>1</v>
      </c>
      <c r="D14471" t="inlineStr">
        <is>
          <t>Arc Honte; Pendentif mignon de Koutoulou; Alliance Gloursonne; Anneau Rifique; Bouclier du Stalak; Ceinture de Vortex; Casque Cyclopéen; Voilamibe; Bottes du Cycloïde; Dokoko; Dofus Abyssal; Dofus Pourpre; Dofus des Glaces; Dofus Ocre; Féroce majeur; Willy le Relou</t>
        </is>
      </c>
    </row>
    <row r="14472">
      <c r="A14472" t="inlineStr">
        <is>
          <t>Roublard F 200</t>
        </is>
      </c>
      <c r="B14472">
        <f>HYPERLINK("https://www.dofusbook.net/fr/equipement/4658598-roublard-f-200/objets", "link")</f>
        <v/>
      </c>
      <c r="C14472" t="n">
        <v>0</v>
      </c>
      <c r="D14472" t="inlineStr"/>
    </row>
    <row r="14473">
      <c r="A14473" t="inlineStr">
        <is>
          <t>Roublard M 200</t>
        </is>
      </c>
      <c r="B14473">
        <f>HYPERLINK("https://www.dofusbook.net/fr/equipement/4634749-roublard-m-200/objets", "link")</f>
        <v/>
      </c>
      <c r="C14473" t="n">
        <v>0</v>
      </c>
      <c r="D14473" t="inlineStr">
        <is>
          <t>Arc Honte; Amulette Volkorne; Anneau Volkorne; Alliance Gloursonne; Bouclier du Stalak; Ceinture de Vortex; Casque Cyclopéen; Cape Martegel; Pantoufles Émar; Dofus Abyssal; Dofus Ocre; Dofus des Glaces; Dofus Pourpre; Féroce majeur; Nomade; Willy le Relou</t>
        </is>
      </c>
    </row>
    <row r="14474">
      <c r="A14474" t="inlineStr">
        <is>
          <t>Roublard M 200</t>
        </is>
      </c>
      <c r="B14474">
        <f>HYPERLINK("https://www.dofusbook.net/fr/equipement/4618044-roublard-m-200/objets", "link")</f>
        <v/>
      </c>
      <c r="C14474" t="n">
        <v>1</v>
      </c>
      <c r="D14474" t="inlineStr">
        <is>
          <t>Epée Gloursonne; Amulette Volkorne; Alliance Gloursonne; Bague Gloursonne; Bouclier du Stalak; Ceinture Volkorne; Casque Volkorne; Cape du Chalœil; Bottes du Chalœil; Dofus Ivoire; Dofus Abyssal; Dofus Pourpre; Dofus des Glaces; Dofus Ocre; Féroce majeur; Fëanor</t>
        </is>
      </c>
    </row>
    <row r="14475">
      <c r="A14475" t="inlineStr">
        <is>
          <t>Roublard M 200</t>
        </is>
      </c>
      <c r="B14475">
        <f>HYPERLINK("https://www.dofusbook.net/fr/equipement/4618014-roublard-m-200/objets", "link")</f>
        <v/>
      </c>
      <c r="C14475" t="n">
        <v>2</v>
      </c>
      <c r="D14475" t="inlineStr">
        <is>
          <t>Sabres d'Atcham; Amulette Volkorne; Alliance Gloursonne; Anneau Volkorne; Bouclier du Stalak; Ceinture de l'Indicible; Casque Volkorne; Cape d'Atcham; Bottes de l'Indicible; Dofus Pourpre; Dofus des Glaces; Dofus Ocre; Dofus Ivoire; Dofus Abyssal; Féroce majeur; Fëanor</t>
        </is>
      </c>
    </row>
    <row r="14476">
      <c r="A14476" t="inlineStr">
        <is>
          <t>Roublard F 200</t>
        </is>
      </c>
      <c r="B14476">
        <f>HYPERLINK("https://www.dofusbook.net/fr/equipement/4591601-roublard-f-200/objets", "link")</f>
        <v/>
      </c>
      <c r="C14476" t="n">
        <v>0</v>
      </c>
      <c r="D14476" t="inlineStr">
        <is>
          <t>L'Épée Nice; Collier du Valet Veinard; Alliance Gloursonne; Gant du Valet Veinard; Cadran d'Air; Menoture; Casque Dragoeuf; Cape Martegel; Palmes Trithons</t>
        </is>
      </c>
    </row>
    <row r="14477">
      <c r="A14477" t="inlineStr">
        <is>
          <t>Roublard F 200</t>
        </is>
      </c>
      <c r="B14477">
        <f>HYPERLINK("https://www.dofusbook.net/fr/equipement/4454086-roublard-f-200/objets", "link")</f>
        <v/>
      </c>
      <c r="C14477" t="n">
        <v>0</v>
      </c>
      <c r="D14477" t="inlineStr">
        <is>
          <t>Arc corrompu; Amulette d'Otomaï; Anneau du Katcheur; Anneau Tamie; Bouclier du Stalak; Ceinture Séculaire; Masque du Katcheur; Cape de Nileza; Bottes Honyme; Dofus des Glaces; Dofus Abyssal; Dévastateur Feu majeur; Remueur; Nomade; Miraculé majeur; Dragodinde Amande et Orchidée</t>
        </is>
      </c>
    </row>
    <row r="14478">
      <c r="A14478" t="inlineStr">
        <is>
          <t>Pandawa M 200</t>
        </is>
      </c>
      <c r="B14478">
        <f>HYPERLINK("https://www.dofusbook.net/fr/equipement/4349654-pandawa-m-200/objets", "link")</f>
        <v/>
      </c>
      <c r="C14478" t="n">
        <v>0</v>
      </c>
      <c r="D14478" t="inlineStr">
        <is>
          <t>Amulette Volkorne; Alliance Gloursonne; Anneau Volkorne; Quatre-feuilles; Ceintacé; Coiffe du Lévitrof; Cape de la Dame du Hasard; Bottes Honyme; Dofus Turquoise; Dokoko; Dofus Pourpre; Nomade; Vigoureux majeur; Remueur; Kokulte</t>
        </is>
      </c>
    </row>
    <row r="14479">
      <c r="A14479" t="inlineStr">
        <is>
          <t>Pandawa M 200</t>
        </is>
      </c>
      <c r="B14479">
        <f>HYPERLINK("https://www.dofusbook.net/fr/equipement/4461721-pandawa-m-200/objets", "link")</f>
        <v/>
      </c>
      <c r="C14479" t="n">
        <v>0</v>
      </c>
      <c r="D14479" t="inlineStr"/>
    </row>
    <row r="14480">
      <c r="A14480" t="inlineStr">
        <is>
          <t>Roublard F 200</t>
        </is>
      </c>
      <c r="B14480">
        <f>HYPERLINK("https://www.dofusbook.net/fr/equipement/3721059-roublard-f-200/objets", "link")</f>
        <v/>
      </c>
      <c r="C14480" t="n">
        <v>0</v>
      </c>
      <c r="D14480" t="inlineStr"/>
    </row>
    <row r="14481">
      <c r="A14481" t="inlineStr">
        <is>
          <t>Crâ M 200</t>
        </is>
      </c>
      <c r="B14481">
        <f>HYPERLINK("https://www.dofusbook.net/fr/equipement/4420894-cra-m-200/objets", "link")</f>
        <v/>
      </c>
      <c r="C14481" t="n">
        <v>2</v>
      </c>
      <c r="D14481" t="inlineStr">
        <is>
          <t>Sabres d'Atcham; Amulette Volkorne; Anneau Volkorne; Bague Trithon; Quatre-feuilles; Ceinture Volkorne; Masque Trithon; Cape d'Atcham; Bottes Trithon; Dofus Turquoise; Dofus Nébuleux; Dofus Ocre; Dofus Abyssal; Dofus Pourpre; Dofus des Glaces; Kokulte</t>
        </is>
      </c>
    </row>
    <row r="14482">
      <c r="A14482" t="inlineStr">
        <is>
          <t>Pandawa F 200</t>
        </is>
      </c>
      <c r="B14482">
        <f>HYPERLINK("https://www.dofusbook.net/fr/equipement/4390424-pandawa-f-200/objets", "link")</f>
        <v/>
      </c>
      <c r="C14482" t="n">
        <v>0</v>
      </c>
      <c r="D14482" t="inlineStr">
        <is>
          <t>Epée Maudite du Saigneur Guerrier; Amulette du Strigide; Bracelet du Piloztère; Alliance Gloursonne; Bouclier Taverne; Ceintacé; Maskrobe; Cape des Justiciers; Bottes du Strigide; Dofus Pourpre; Dofus Turquoise; Remueur; Vigoureux majeur; Nomade; Miraculé majeur; Kokulte</t>
        </is>
      </c>
    </row>
    <row r="14483">
      <c r="A14483" t="inlineStr">
        <is>
          <t>Pandawa M 200</t>
        </is>
      </c>
      <c r="B14483">
        <f>HYPERLINK("https://www.dofusbook.net/fr/equipement/4210720-pandawa-m-200/objets", "link")</f>
        <v/>
      </c>
      <c r="C14483" t="n">
        <v>0</v>
      </c>
      <c r="D14483" t="inlineStr">
        <is>
          <t>Epée Loponèze; Amulette du Sinistrofu; Alliance Gloursonne; Bracelet du Piloztère; Bouclier du Stalak; Sangle Ouare; Kidibonnet; Cape Matelassée; Bottes du Sinistrofu; Dofus Pourpre; Nomade; Chanceux majeur; Vigoureux majeur; Remueur; Miraculé majeur; Dragodinde Prune et Indigo</t>
        </is>
      </c>
    </row>
    <row r="14484">
      <c r="A14484" t="inlineStr">
        <is>
          <t>Roublard M 200</t>
        </is>
      </c>
      <c r="B14484">
        <f>HYPERLINK("https://www.dofusbook.net/fr/equipement/3486396-roublard-m-200/objets", "link")</f>
        <v/>
      </c>
      <c r="C14484" t="n">
        <v>0</v>
      </c>
      <c r="D14484" t="inlineStr">
        <is>
          <t>Manthache; Collier du Valet Veinard; Gant du Valet Veinard; Anneau d'Allister; Bouclier du Stalak; Sangle Oriole; Couronne d'Allister; Cape du Valet Veinard; Bottes d'Allister; Dokoko; Dofus des Glaces; Dofus Pourpre; Dofus Abyssal; Dofus Ocre; Voyageur; Blérodoudou</t>
        </is>
      </c>
    </row>
    <row r="14485">
      <c r="A14485" t="inlineStr">
        <is>
          <t>Roublard F 200</t>
        </is>
      </c>
      <c r="B14485">
        <f>HYPERLINK("https://www.dofusbook.net/fr/equipement/4307252-roublard-f-200/objets", "link")</f>
        <v/>
      </c>
      <c r="C14485" t="n">
        <v>0</v>
      </c>
      <c r="D14485" t="inlineStr">
        <is>
          <t>Manthache; Collier du Valet Veinard; Alliance Gloursonne; Gant du Valet Veinard; Bouclier du Stalak; Ceinture de la Reine des Voleurs; Coiffe de la Reine des Voleurs; Cape du Valet Veinard; Bottes de la Reine des Voleurs; Dofus Abyssal; Dofus Ocre; Dofus Ivoire; Dokoko; Dofus des Glaces; Dofus Pourpre; Blérodoudou</t>
        </is>
      </c>
    </row>
    <row r="14486">
      <c r="A14486" t="inlineStr">
        <is>
          <t>Pandawa F 200</t>
        </is>
      </c>
      <c r="B14486">
        <f>HYPERLINK("https://www.dofusbook.net/fr/equipement/3417033-pandawa-f-200/objets", "link")</f>
        <v/>
      </c>
      <c r="C14486" t="n">
        <v>0</v>
      </c>
      <c r="D14486" t="inlineStr">
        <is>
          <t>Arc Nécrotique; Talisman Igans; Bracelet du Piloztère; Alliance Gloursonne; Quatre-feuilles; Ceintrigue; Cape Matelassée; Pataugastrique; Dofus Turquoise; Observateur; Nomade; Miraculé majeur; Remueur; Vigoureux majeur; Muldo Prune et Emeraude</t>
        </is>
      </c>
    </row>
    <row r="14487">
      <c r="A14487" t="inlineStr">
        <is>
          <t>Roublard F 200</t>
        </is>
      </c>
      <c r="B14487">
        <f>HYPERLINK("https://www.dofusbook.net/fr/equipement/4298656-roublard-f-200/objets", "link")</f>
        <v/>
      </c>
      <c r="C14487" t="n">
        <v>0</v>
      </c>
      <c r="D14487" t="inlineStr">
        <is>
          <t>Arc corrompu; Amulette Volkorne; Anneauræus; Anneauræus; Bouclier du Stalak; Ceinture Volkorne; Heaume Oplate; Voile d'encre; Bottes Innommables; Dofus Ocre; Dofus des Glaces; Dofus Abyssal; Nomade; Érudit majeur; Dévastateur Feu majeur; Bisouglours</t>
        </is>
      </c>
    </row>
    <row r="14488">
      <c r="A14488" t="inlineStr">
        <is>
          <t>Roublard M 200</t>
        </is>
      </c>
      <c r="B14488">
        <f>HYPERLINK("https://www.dofusbook.net/fr/equipement/3675569-roublard-m-200/objets", "link")</f>
        <v/>
      </c>
      <c r="C14488" t="n">
        <v>0</v>
      </c>
      <c r="D14488" t="inlineStr"/>
    </row>
    <row r="14489">
      <c r="A14489" t="inlineStr">
        <is>
          <t>Pandawa F 200</t>
        </is>
      </c>
      <c r="B14489">
        <f>HYPERLINK("https://www.dofusbook.net/fr/equipement/4286997-pandawa-f-200/objets", "link")</f>
        <v/>
      </c>
      <c r="C14489" t="n">
        <v>0</v>
      </c>
      <c r="D14489" t="inlineStr">
        <is>
          <t>Arc Nécrotique; Talisman Igans; Alliance Gloursonne; Bracelet du Piloztère; Quatre-feuilles; Ceintacé; Casque Dragoeuf; Cape de la Dame du Hasard; Bottes de la Dame du Hasard; Dofus Turquoise; Dokoko; Nomade; Vigoureux majeur; Remueur; Kokulte</t>
        </is>
      </c>
    </row>
    <row r="14490">
      <c r="A14490" t="inlineStr">
        <is>
          <t>Pandawa F 200</t>
        </is>
      </c>
      <c r="B14490">
        <f>HYPERLINK("https://www.dofusbook.net/fr/equipement/4286949-pandawa-f-200/objets", "link")</f>
        <v/>
      </c>
      <c r="C14490" t="n">
        <v>0</v>
      </c>
      <c r="D14490" t="inlineStr">
        <is>
          <t>Arc Hétype; Amulette de Nileza; Anneau Tamie; Anneau Tique; Bouclier cubiste; Ceintacé; Casque Dragoeuf; Cape de Nileza; Bottes d'Otomaï; Vigoureux majeur; Érudit majeur; Remueur; Dévastateur Feu majeur; Miraculé majeur; Nomade; El Scarador</t>
        </is>
      </c>
    </row>
    <row r="14491">
      <c r="A14491" t="inlineStr">
        <is>
          <t>Huppermage M 200</t>
        </is>
      </c>
      <c r="B14491">
        <f>HYPERLINK("https://www.dofusbook.net/fr/equipement/4284500-huppermage-m-200/objets", "link")</f>
        <v/>
      </c>
      <c r="C14491" t="n">
        <v>0</v>
      </c>
      <c r="D14491" t="inlineStr">
        <is>
          <t>Arc corrompu; Amulette Volkorne; Anneau Volkorne; Anneauræus; Bouclier du Stalak; Ceinture de Vortex; Heaume Oplate; Cape Martegel; Bottes Innommables; Dofus Abyssal; Dofus Ocre; Dofus des Glaces; Nomade; Érudit majeur; Dévastateur Feu majeur; Bisouglours</t>
        </is>
      </c>
    </row>
    <row r="14492">
      <c r="A14492" t="inlineStr">
        <is>
          <t>Roublard F 200</t>
        </is>
      </c>
      <c r="B14492">
        <f>HYPERLINK("https://www.dofusbook.net/fr/equipement/4249113-roublard-f-200/objets", "link")</f>
        <v/>
      </c>
      <c r="C14492" t="n">
        <v>0</v>
      </c>
      <c r="D14492" t="inlineStr">
        <is>
          <t>Manthache; Collier du Valet Veinard; Alliance Gloursonne; Gant du Valet Veinard; Bouclier du Stalak; Menoture; Dorabysses; Cape Martegel; Palmes Trithons; Dofus Abyssal; Dofus des Glaces; Dofus Ocre; Cascadeur majeur; Dévastateur Air majeur; Nomade; Blérodoudou</t>
        </is>
      </c>
    </row>
    <row r="14493">
      <c r="A14493" t="inlineStr">
        <is>
          <t>Huppermage M 200</t>
        </is>
      </c>
      <c r="B14493">
        <f>HYPERLINK("https://www.dofusbook.net/fr/equipement/4278098-huppermage-m-200/objets", "link")</f>
        <v/>
      </c>
      <c r="C14493" t="n">
        <v>0</v>
      </c>
      <c r="D14493" t="inlineStr">
        <is>
          <t>Hachoirs de Viandargh; Torquistik; Bague Instable; Bouclier précieux; Ceinture Gence; Casque Dragoeuf; Cape Luminescente; Bottistik; Dofus Abyssal; Dofus Ocre; Dofus Ivoire; Bousculeur majeur; Culbuteur majeur; Culbuteur; Balafreux</t>
        </is>
      </c>
    </row>
    <row r="14494">
      <c r="A14494" t="inlineStr">
        <is>
          <t>Huppermage M 200</t>
        </is>
      </c>
      <c r="B14494">
        <f>HYPERLINK("https://www.dofusbook.net/fr/equipement/4278054-huppermage-m-200/objets", "link")</f>
        <v/>
      </c>
      <c r="C14494" t="n">
        <v>0</v>
      </c>
      <c r="D14494" t="inlineStr">
        <is>
          <t>Arc du Chalœil; Torquistik; Bracelet du Piloztère; Bouclier Taverne; Ceinture Gence; Casque Dragoeuf; Cape au Logis; Bottistik; Dofus Abyssal; Dofus Ocre; Culbuteur; Culbuteur majeur; Bousculeur majeur; Enragé majeur; Black Tiwabbit</t>
        </is>
      </c>
    </row>
    <row r="14495">
      <c r="A14495" t="inlineStr">
        <is>
          <t>Huppermage M 200</t>
        </is>
      </c>
      <c r="B14495">
        <f>HYPERLINK("https://www.dofusbook.net/fr/equipement/4275605-huppermage-m-200/objets", "link")</f>
        <v/>
      </c>
      <c r="C14495" t="n">
        <v>0</v>
      </c>
      <c r="D14495" t="inlineStr">
        <is>
          <t>Hache Téroïde; Amulette Volkorne; Chevalière du Roi Joueur; Anneau Volkorne; Quatre-feuilles; Ceinture Volkorne; Couronne du Roi Joueur; Voile d'encre; Bottes du Roi Joueur; Dofus Abyssal; Dolmanax; Dofus Turquoise; Dofus Pourpre; Dofus des Glaces; Dofus Ocre; Kokulte</t>
        </is>
      </c>
    </row>
    <row r="14496">
      <c r="A14496" t="inlineStr">
        <is>
          <t>Huppermage M 200</t>
        </is>
      </c>
      <c r="B14496">
        <f>HYPERLINK("https://www.dofusbook.net/fr/equipement/4272111-huppermage-m-200/objets", "link")</f>
        <v/>
      </c>
      <c r="C14496" t="n">
        <v>0</v>
      </c>
      <c r="D14496" t="inlineStr">
        <is>
          <t>Arc corrompu; Amulette Volkorne; Anneauræus; Anneauræus; Quatre-feuilles; Ceinture Séculaire; Coiffe Séculaire; Cape de Diondin; Bottes du Chalœil; Dofus Abyssal; Dofus Turquoise; Dofus Pourpre; Dofus des Glaces; Dofus Ocre; Nomade; Bisouglours</t>
        </is>
      </c>
    </row>
    <row r="14497">
      <c r="A14497" t="inlineStr">
        <is>
          <t>Huppermage M 200</t>
        </is>
      </c>
      <c r="B14497">
        <f>HYPERLINK("https://www.dofusbook.net/fr/equipement/4208109-huppermage-m-200/objets", "link")</f>
        <v/>
      </c>
      <c r="C14497" t="n">
        <v>0</v>
      </c>
      <c r="D14497" t="inlineStr">
        <is>
          <t>Amulette du Strigide; Bague Trithon; Alliance Gloursonne; Bouclier Taverne; Ceinture du Strigide; Masque Trithon; Voile d'encre; Bottes Trithon; Dofus Nébuleux; Dofus Pourpre; Dofus des Glaces; Dofus Turquoise; Dofus Abyssal; Dofus Ocre; Kokulte</t>
        </is>
      </c>
    </row>
    <row r="14498">
      <c r="A14498" t="inlineStr">
        <is>
          <t>Eniripsa M 200</t>
        </is>
      </c>
      <c r="B14498">
        <f>HYPERLINK("https://www.dofusbook.net/fr/equipement/4202333-eniripsa-m-200/objets", "link")</f>
        <v/>
      </c>
      <c r="C14498" t="n">
        <v>0</v>
      </c>
      <c r="D14498" t="inlineStr">
        <is>
          <t>Épée d'Otomaï; Amulette d'Otomaï; Anneau Tamie; Bague Gloursonne; Carapar; Sangle Aise; Coiffe Séculaire; Cape de Nileza; Pantoufles Émar; Astucieux majeur; Nomade; Observateur; Érudit majeur; Guérisseur majeur; Remueur; Muldo Orchidée et Pourpre</t>
        </is>
      </c>
    </row>
    <row r="14499">
      <c r="A14499" t="inlineStr">
        <is>
          <t>Huppermage M 200</t>
        </is>
      </c>
      <c r="B14499">
        <f>HYPERLINK("https://www.dofusbook.net/fr/equipement/4034371-huppermage-m-200/objets", "link")</f>
        <v/>
      </c>
      <c r="C14499" t="n">
        <v>0</v>
      </c>
      <c r="D14499" t="inlineStr">
        <is>
          <t>Sabres d'Atcham; Amulette du Strigide; Alliance Gloursonne; Anneau de Padgref; Bouclier Taverne; Ceinture du Strigide; Coiffe de Padgref; Cape d'Atcham; Getas de Padgref; Dofus Pourpre; Dofus des Glaces; Dofus Turquoise; Dofus Abyssal; Dolmanax; Dofus Ocre; Muldo Prune et Emeraude</t>
        </is>
      </c>
    </row>
    <row r="14500">
      <c r="A14500" t="inlineStr">
        <is>
          <t>Pandawa F 200</t>
        </is>
      </c>
      <c r="B14500">
        <f>HYPERLINK("https://www.dofusbook.net/fr/equipement/3479312-pandawa-f-200/objets", "link")</f>
        <v/>
      </c>
      <c r="C14500" t="n">
        <v>0</v>
      </c>
      <c r="D14500" t="inlineStr">
        <is>
          <t>Epée Gloursonne; Amulette du Strigide; Bague Gloursonne; Bouclier d'Anerice; Ceinture du Strigide; Masque d'Anerice; Cape d'Anerice; Bottes du Strigide; Dofus Abyssal; Dofus Pourpre; Dokoko; Dofus Turquoise; Dolmanax; Dofus Émeraude; Muldo Prune et Emeraude</t>
        </is>
      </c>
    </row>
    <row r="14501">
      <c r="A14501" t="inlineStr">
        <is>
          <t>Enutrof M 200</t>
        </is>
      </c>
      <c r="B14501">
        <f>HYPERLINK("https://www.dofusbook.net/fr/equipement/3840695-enutrof-m-200/objets", "link")</f>
        <v/>
      </c>
      <c r="C14501" t="n">
        <v>0</v>
      </c>
      <c r="D14501" t="inlineStr">
        <is>
          <t>Dagues Açantes; Amulette Cryochrone; Alliance Gloursonne; Bracelet du Piloztère; Bouclier cubiste; Ceinture Glaciale; Coiffe Cryochrone; Cape Matelassée; Pataugastrique; Remueur; Dévastateur Eau majeur; Nomade; Chanceux majeur; Entraveur majeur; Temporiseur majeur; Muldo Indigo</t>
        </is>
      </c>
    </row>
    <row r="14502">
      <c r="A14502" t="inlineStr">
        <is>
          <t>Iop F 200</t>
        </is>
      </c>
      <c r="B14502">
        <f>HYPERLINK("https://www.dofusbook.net/fr/equipement/4197429-iop-f-200/objets", "link")</f>
        <v/>
      </c>
      <c r="C14502" t="n">
        <v>0</v>
      </c>
      <c r="D14502" t="inlineStr">
        <is>
          <t>Epée Gloursonne; Amulette du Strigide; Alliance Gloursonne; Bague Gloursonne; Ceinture du Strigide; Cape au Logis; Bottes du Strigide; Kokulte</t>
        </is>
      </c>
    </row>
    <row r="14503">
      <c r="A14503" t="inlineStr">
        <is>
          <t>Huppermage M 200</t>
        </is>
      </c>
      <c r="B14503">
        <f>HYPERLINK("https://www.dofusbook.net/fr/equipement/4137002-huppermage-m-200/objets", "link")</f>
        <v/>
      </c>
      <c r="C14503" t="n">
        <v>0</v>
      </c>
      <c r="D14503" t="inlineStr">
        <is>
          <t>Arc corrompu; Amulette du Strigide; Bague Trithon; Alliance Gloursonne; Quatre-feuilles; Ceinture du Strigide; Masque Trithon; Voile d'encre; Bottes Trithon; Dofus Pourpre; Dofus des Glaces; Dofus Turquoise; Dofus Abyssal; Dokoko; Dofus Ocre; Muldo Prune et Emeraude</t>
        </is>
      </c>
    </row>
    <row r="14504">
      <c r="A14504" t="inlineStr">
        <is>
          <t>Huppermage M 200</t>
        </is>
      </c>
      <c r="B14504">
        <f>HYPERLINK("https://www.dofusbook.net/fr/equipement/3908578-huppermage-m-200/objets", "link")</f>
        <v/>
      </c>
      <c r="C14504" t="n">
        <v>1</v>
      </c>
      <c r="D14504" t="inlineStr">
        <is>
          <t>Arc corrompu; Amulette du Strigide; Alliance Gloursonne; Anneau de Padgref; Quatre-feuilles; Ceinture du Strigide; Coiffe de Padgref; Voile d'encre; Getas de Padgref; Dokoko; Dofus Turquoise; Dofus Ocre; Dofus Abyssal; Dofus Pourpre; Dofus des Glaces; Muldo Prune et Emeraude</t>
        </is>
      </c>
    </row>
    <row r="14505">
      <c r="A14505" t="inlineStr">
        <is>
          <t>Huppermage M 200</t>
        </is>
      </c>
      <c r="B14505">
        <f>HYPERLINK("https://www.dofusbook.net/fr/equipement/4034306-huppermage-m-200/objets", "link")</f>
        <v/>
      </c>
      <c r="C14505" t="n">
        <v>0</v>
      </c>
      <c r="D14505" t="inlineStr">
        <is>
          <t>Arc corrompu; Amulette Volkorne; Anneauræus; Alliance Gloursonne; Quatre-feuilles; Ceinture de Vortex; Cagoule de Vortex; Cape de Diondin; Bottes Innommables; Dofus Turquoise; Dofus Abyssal; Dofus des Glaces; Dofus Pourpre; Dofus Ocre; Étourdisseur majeur; Koalak Sanguin</t>
        </is>
      </c>
    </row>
    <row r="14506">
      <c r="A14506" t="inlineStr">
        <is>
          <t>Huppermage M 200</t>
        </is>
      </c>
      <c r="B14506">
        <f>HYPERLINK("https://www.dofusbook.net/fr/equipement/3917313-huppermage-m-200/objets", "link")</f>
        <v/>
      </c>
      <c r="C14506" t="n">
        <v>1</v>
      </c>
      <c r="D14506" t="inlineStr">
        <is>
          <t>Hache Euvale; Amulette du Sinistrofu; Bague Trithon; Alliance Gloursonne; Bouclier Taverne; Sangle Ouare; Casque Dragoeuf; Cape Solution; Bottes du Sinistrofu; Dofus Ivoire; Dofus Ocre; Dofus Abyssal; Culbuteur majeur; Culbuteur; Bousculeur majeur; Écumouth</t>
        </is>
      </c>
    </row>
    <row r="14507">
      <c r="A14507" t="inlineStr">
        <is>
          <t>Roublard M 200</t>
        </is>
      </c>
      <c r="B14507">
        <f>HYPERLINK("https://www.dofusbook.net/fr/equipement/3807732-roublard-m-200/objets", "link")</f>
        <v/>
      </c>
      <c r="C14507" t="n">
        <v>0</v>
      </c>
      <c r="D14507" t="inlineStr">
        <is>
          <t>Arc corrompu; Amulette de Nileza; Anneauræus; Anneauræus; Bouclier du Stalak; Ceinture de Vortex; Heaume Oplate; Cape de Nileza; Chaussures Ardentes; Dofus des Glaces; Dofus Abyssal; Dévastateur Feu majeur; Nomade; Érudit majeur; Remueur; Bisouglours</t>
        </is>
      </c>
    </row>
    <row r="14508">
      <c r="A14508" t="inlineStr">
        <is>
          <t>Iop M 200</t>
        </is>
      </c>
      <c r="B14508">
        <f>HYPERLINK("https://www.dofusbook.net/fr/equipement/3821160-iop-m-200/objets", "link")</f>
        <v/>
      </c>
      <c r="C14508" t="n">
        <v>0</v>
      </c>
      <c r="D14508" t="inlineStr">
        <is>
          <t>Arc corrompu; Amulette de Nileza; Anneauræus; Anneauræus; Bouclier du Stalak; Ceinture de Vortex; Heaume Oplate; Cape de Nileza; Bottes Innommables; Dofus des Glaces; Dofus Ocre; Dofus Abyssal; Dofus Ivoire; Nomade; Érudit majeur; Bisouglours</t>
        </is>
      </c>
    </row>
    <row r="14509">
      <c r="A14509" t="inlineStr">
        <is>
          <t>Roublard M 200</t>
        </is>
      </c>
      <c r="B14509">
        <f>HYPERLINK("https://www.dofusbook.net/fr/equipement/3829798-roublard-m-200/objets", "link")</f>
        <v/>
      </c>
      <c r="C14509" t="n">
        <v>0</v>
      </c>
      <c r="D14509" t="inlineStr">
        <is>
          <t>Amulette Volkorne; Alliance Gloursonne; Casque Volkorne</t>
        </is>
      </c>
    </row>
    <row r="14510">
      <c r="A14510" t="inlineStr">
        <is>
          <t>Roublard M 200</t>
        </is>
      </c>
      <c r="B14510">
        <f>HYPERLINK("https://www.dofusbook.net/fr/equipement/3824188-roublard-m-200/objets", "link")</f>
        <v/>
      </c>
      <c r="C14510" t="n">
        <v>0</v>
      </c>
      <c r="D14510" t="inlineStr">
        <is>
          <t>Sabres d'Atcham; Amulette Volkorne; Anneau Volkorne; Alliance Gloursonne; Bouclier du Stalak; Ceinture de l'Esprit Salvateur; Casque Volkorne; Cape d'Atcham; Sandales  d'Atcham; Dofus Ocre; Dofus Ivoire; Dolmanax; Dofus des Glaces; Dofus Pourpre; Dofus Abyssal; Volkorne Orchidée</t>
        </is>
      </c>
    </row>
    <row r="14511">
      <c r="A14511" t="inlineStr">
        <is>
          <t>Roublard M 200</t>
        </is>
      </c>
      <c r="B14511">
        <f>HYPERLINK("https://www.dofusbook.net/fr/equipement/3820490-roublard-m-200/objets", "link")</f>
        <v/>
      </c>
      <c r="C14511" t="n">
        <v>0</v>
      </c>
      <c r="D14511" t="inlineStr">
        <is>
          <t>Dagues Érhy; Amulette Volkorne; Chevalière du Roi Joueur; Anneau Volkorne; Bouclier du Captain Amakna; Ceinture Volkorne; Couronne du Roi Joueur; Voile d'encre; Bottes du Roi Joueur; Dofus Ocre; Dofus Ivoire; Dokoko; Dofus des Glaces; Dofus Pourpre; Dofus Abyssal</t>
        </is>
      </c>
    </row>
    <row r="14512">
      <c r="A14512" t="inlineStr">
        <is>
          <t>Roublard M 200</t>
        </is>
      </c>
      <c r="B14512">
        <f>HYPERLINK("https://www.dofusbook.net/fr/equipement/3797392-roublard-m-200/objets", "link")</f>
        <v/>
      </c>
      <c r="C14512" t="n">
        <v>0</v>
      </c>
      <c r="D14512" t="inlineStr">
        <is>
          <t>Amulette de Shokkoth; Alliance Gloursonne; Bracelet des Fonds marins; Poulpagne; Némès de Tal Kasha; Chevelure de Tal Kasha; Bottes de Meno</t>
        </is>
      </c>
    </row>
    <row r="14513">
      <c r="A14513" t="inlineStr">
        <is>
          <t>Roublard F 200</t>
        </is>
      </c>
      <c r="B14513">
        <f>HYPERLINK("https://www.dofusbook.net/fr/equipement/3425409-roublard-f-200/objets", "link")</f>
        <v/>
      </c>
      <c r="C14513" t="n">
        <v>0</v>
      </c>
      <c r="D14513" t="inlineStr">
        <is>
          <t>Manthache; Collier du Valet Veinard; Alliance Gloursonne; Gant du Valet Veinard; Cadran d'Air; Menoture; Casque Dragoeuf; Cape Indescriptible; Palmes Trithons; Dofus des Glaces; Dofus Abyssal; Remueur; Cascadeur majeur; Dévastateur Air majeur</t>
        </is>
      </c>
    </row>
    <row r="14514">
      <c r="A14514" t="inlineStr">
        <is>
          <t>Enutrof M 200</t>
        </is>
      </c>
      <c r="B14514">
        <f>HYPERLINK("https://www.dofusbook.net/fr/equipement/3785600-enutrof-m-200/objets", "link")</f>
        <v/>
      </c>
      <c r="C14514" t="n">
        <v>1</v>
      </c>
      <c r="D14514" t="inlineStr">
        <is>
          <t>Collier de la Dame du Hasard; Alliance Gloursonne; Anneau de Nidas; Poulpagne; Casquette de Meno; Cape de Meno; Pataugastrique; Dofus Turquoise; Nomade; Temporiseur majeur; Remueur; Vigoureux majeur; Entraveur majeur</t>
        </is>
      </c>
    </row>
    <row r="14515">
      <c r="A14515" t="inlineStr">
        <is>
          <t>Pandawa F 200</t>
        </is>
      </c>
      <c r="B14515">
        <f>HYPERLINK("https://www.dofusbook.net/fr/equipement/3723851-pandawa-f-200/objets", "link")</f>
        <v/>
      </c>
      <c r="C14515" t="n">
        <v>0</v>
      </c>
      <c r="D14515" t="inlineStr">
        <is>
          <t>Harpelle; Amulette de Nileza; Anneau Tique; Bague Gloursonne; Cadran de Terre; Sangle Aise; Chapeau Lithique; Cape de Nileza; Pataugastrique</t>
        </is>
      </c>
    </row>
    <row r="14516">
      <c r="A14516" t="inlineStr">
        <is>
          <t>Roublard M 200</t>
        </is>
      </c>
      <c r="B14516">
        <f>HYPERLINK("https://www.dofusbook.net/fr/equipement/3630058-roublard-m-200/objets", "link")</f>
        <v/>
      </c>
      <c r="C14516" t="n">
        <v>0</v>
      </c>
      <c r="D14516" t="inlineStr">
        <is>
          <t>Arc du Chalœil; Collier de Tourthon; Anneau de Brouce; Bracelet du Piloztère; Bouclier du Stalak; Ceinture de la Reine des Voleurs; Coiffe de la Reine des Voleurs; Cape au Logis; Baleinabottes; Dofus des Glaces; Dofus Pourpre; Dofus Abyssal; Dofus Ocre; Dofus Ivoire; Dévastateur Terre majeur; Dragodinde Ivoire et Pourpre</t>
        </is>
      </c>
    </row>
    <row r="14517">
      <c r="A14517" t="inlineStr">
        <is>
          <t>Roublard M 200</t>
        </is>
      </c>
      <c r="B14517">
        <f>HYPERLINK("https://www.dofusbook.net/fr/equipement/3708247-roublard-m-200/objets", "link")</f>
        <v/>
      </c>
      <c r="C14517" t="n">
        <v>0</v>
      </c>
      <c r="D14517" t="inlineStr">
        <is>
          <t>Epée Gloursonne; Amulette de l'Indicible; Bague Gloursonne; Alliance Gloursonne; Bouclier du Stalak; Ceinture de l'Indicible; Capuche de l'Œil Putride; Cape de l'Œil Putride; Bottes de l'Indicible; Dofus Pourpre; Dofus Abyssal; Dofus Ocre; Dofus Ivoire; Dokoko; Dofus des Glaces</t>
        </is>
      </c>
    </row>
    <row r="14518">
      <c r="A14518" t="inlineStr">
        <is>
          <t>Roublard M 200</t>
        </is>
      </c>
      <c r="B14518">
        <f>HYPERLINK("https://www.dofusbook.net/fr/equipement/3580536-roublard-m-200/objets", "link")</f>
        <v/>
      </c>
      <c r="C14518" t="n">
        <v>2</v>
      </c>
      <c r="D14518" t="inlineStr">
        <is>
          <t>Epée Gloursonne; Amulette Martegel; Alliance Gloursonne; Bague Gloursonne; Bouclier du Stalak; Ceinture de Vortex; Masquegel; Cape Martegel; Sabots de Vortex; Dofus Ocre; Dofus des Glaces; Dokoko; Dofus Ivoire; Dofus Pourpre; Dofus Abyssal; Muldo Orchidée et Pourpre</t>
        </is>
      </c>
    </row>
    <row r="14519">
      <c r="A14519" t="inlineStr">
        <is>
          <t>Pandawa F 200</t>
        </is>
      </c>
      <c r="B14519">
        <f>HYPERLINK("https://www.dofusbook.net/fr/equipement/3506330-pandawa-f-200/objets", "link")</f>
        <v/>
      </c>
      <c r="C14519" t="n">
        <v>1</v>
      </c>
      <c r="D14519" t="inlineStr">
        <is>
          <t>Epée Gloursonne; Amulette du Strigide; Alliance Gloursonne; Bague Gloursonne; Bouclier d'Anerice; Ceinture du Strigide; Masque d'Anerice; Cape d'Anerice; Bottes du Strigide</t>
        </is>
      </c>
    </row>
    <row r="14520">
      <c r="A14520" t="inlineStr">
        <is>
          <t>Stuff 3</t>
        </is>
      </c>
      <c r="B14520">
        <f>HYPERLINK("https://www.dofusbook.net/fr/equipement/259937-stuff-3/objets", "link")</f>
        <v/>
      </c>
      <c r="C14520" t="n">
        <v>2</v>
      </c>
      <c r="D14520" t="inlineStr">
        <is>
          <t>Arc corrompu; Pendentif affamé; Anneau Tamie; Anneau Tamie; Bouclier du Stalak; Ceinture Séculaire; Coiffe Séculaire; Cape de Diondin; Bottes Innommables; Dofus Pourpre; Dofus Abyssal; Dofus des Glaces; Nomade; Miraculé majeur; Remueur; Dragodinde Ivoire et Orchidée</t>
        </is>
      </c>
    </row>
    <row r="14521">
      <c r="A14521" t="inlineStr">
        <is>
          <t>Roublard M 200</t>
        </is>
      </c>
      <c r="B14521">
        <f>HYPERLINK("https://www.dofusbook.net/fr/equipement/3471840-roublard-m-200/objets", "link")</f>
        <v/>
      </c>
      <c r="C14521" t="n">
        <v>0</v>
      </c>
      <c r="D14521" t="inlineStr">
        <is>
          <t>Rapière aux Glyphes; Amulette du Sinistrofu; Bracelet du Piloztère; Alliance Gloursonne; Cadran d'Air; Ceintacé; Casque Dragoeuf; Cape Matelassée; Bottes du Sinistrofu; Nomade; Remueur</t>
        </is>
      </c>
    </row>
    <row r="14522">
      <c r="A14522" t="inlineStr">
        <is>
          <t>Eniripsa M 200</t>
        </is>
      </c>
      <c r="B14522">
        <f>HYPERLINK("https://www.dofusbook.net/fr/equipement/3498517-eniripsa-m-200/objets", "link")</f>
        <v/>
      </c>
      <c r="C14522" t="n">
        <v>0</v>
      </c>
      <c r="D14522" t="inlineStr">
        <is>
          <t>Baguette de Malléfisk; Amulette de Nileza; Anneau Tamie; Anneau de Nidas; Bouclier du Cycloïde; Ceinture Séculaire; Couronne de Nidas; Cape de Diondin; Pataugastrique; Remueur; Guérisseur majeur; Nomade; Érudit majeur; Docteur majeur; Miraculé majeur; Dragodinde Orchidée et Rousse</t>
        </is>
      </c>
    </row>
    <row r="14523">
      <c r="A14523" t="inlineStr">
        <is>
          <t>Roublard M 200</t>
        </is>
      </c>
      <c r="B14523">
        <f>HYPERLINK("https://www.dofusbook.net/fr/equipement/3474976-roublard-m-200/objets", "link")</f>
        <v/>
      </c>
      <c r="C14523" t="n">
        <v>0</v>
      </c>
      <c r="D14523" t="inlineStr">
        <is>
          <t>Epée Gloursonne; Amulette du Glourséleste; Alliance Gloursonne; Bague Gloursonne; Bouclier du Stalak; Ceinture de l'Esprit Salvateur; Masque de l'Esprit Salvateur; Voile d'encre; Bottes de l'Esprit Salvateur; Dofus des Glaces; Dofus Abyssal; Dofus Pourpre; Dolmanax; Dokoko; Dofus Ocre; Dragodinde Prune et Ivoire</t>
        </is>
      </c>
    </row>
    <row r="14524">
      <c r="A14524" t="inlineStr">
        <is>
          <t>Roublard M 200</t>
        </is>
      </c>
      <c r="B14524">
        <f>HYPERLINK("https://www.dofusbook.net/fr/equipement/3471760-roublard-m-200/objets", "link")</f>
        <v/>
      </c>
      <c r="C14524" t="n">
        <v>0</v>
      </c>
      <c r="D14524" t="inlineStr">
        <is>
          <t>Arc corrompu; Amulette Volkorne; Alliance Gloursonne; Alliance Brûlâme; Bouclier du Stalak; Ceinture de l'Esprit Salvateur; Casque Volkorne; Cape de Diondin; Sabots de Vortex; Dofus Pourpre; Dofus Abyssal; Dofus Ocre; Dofus des Glaces</t>
        </is>
      </c>
    </row>
    <row r="14525">
      <c r="A14525" t="inlineStr">
        <is>
          <t>Feu resi</t>
        </is>
      </c>
      <c r="B14525">
        <f>HYPERLINK("https://www.dofusbook.net/fr/equipement/2623457-feu-resi-/objets", "link")</f>
        <v/>
      </c>
      <c r="C14525" t="n">
        <v>3</v>
      </c>
      <c r="D14525" t="inlineStr">
        <is>
          <t>Arc corrompu; Amulette du Cycloïde; Anneauræus; Anneauræus; Bouclier du Stalak; Ceinture de Gein; Chapeau de Gein; Cape de Diondin; Bottes Innommables; Dofus Abyssal; Dofus Ocre; Dofus des Glaces; Nomade; Érudit majeur; Dévastateur Feu majeur; Dragodinde Amande et Orchidée</t>
        </is>
      </c>
    </row>
    <row r="14526">
      <c r="A14526" t="inlineStr">
        <is>
          <t>Pandawa F 200</t>
        </is>
      </c>
      <c r="B14526">
        <f>HYPERLINK("https://www.dofusbook.net/fr/equipement/3461089-pandawa-f-200/objets", "link")</f>
        <v/>
      </c>
      <c r="C14526" t="n">
        <v>0</v>
      </c>
      <c r="D14526" t="inlineStr">
        <is>
          <t>Arc Hétype; Amulette de Nileza; Bague Gloursonne; Anneau Tique; Bouclier du Stalak; Ceintacé; Casque Dragoeuf; Cape de Nileza; Pataugastrique; Dokoko; Érudit majeur; Carapace Feu majeur; Remueur; Miraculé majeur; Nomade; Muldo Orchidée et Pourpre</t>
        </is>
      </c>
    </row>
    <row r="14527">
      <c r="A14527" t="inlineStr">
        <is>
          <t>Roublard M 200</t>
        </is>
      </c>
      <c r="B14527">
        <f>HYPERLINK("https://www.dofusbook.net/fr/equipement/3447353-roublard-m-200/objets", "link")</f>
        <v/>
      </c>
      <c r="C14527" t="n">
        <v>0</v>
      </c>
      <c r="D14527" t="inlineStr">
        <is>
          <t>Epée Gloursonne; Amulette de l'Œil Putride; Bague Gloursonne; Alliance Gloursonne; Bouclier du Stalak; Ceinture de l'Esprit Salvateur; Masque de l'Esprit Salvateur; Cape de l'Œil Putride; Bottes de l'Esprit Salvateur; Dofus Ocre; Dofus Ivoire; Dokoko; Dofus des Glaces; Dofus Pourpre; Dofus Abyssal</t>
        </is>
      </c>
    </row>
    <row r="14528">
      <c r="A14528" t="inlineStr">
        <is>
          <t>Roublard M 200</t>
        </is>
      </c>
      <c r="B14528">
        <f>HYPERLINK("https://www.dofusbook.net/fr/equipement/3447237-roublard-m-200/objets", "link")</f>
        <v/>
      </c>
      <c r="C14528" t="n">
        <v>1</v>
      </c>
      <c r="D14528" t="inlineStr">
        <is>
          <t>Arc corrompu; Amulette Volkorne; Anneau Tamie; Anneau du Katcheur; Bouclier du Stalak; Ceinture Séculaire; Masque du Katcheur; Cape de Diondin; Bottes Innommables; Dofus Ocre; Dofus des Glaces; Dokoko; Dofus Abyssal; Érudit majeur; Nomade; Dragodinde Amande et Orchidée</t>
        </is>
      </c>
    </row>
    <row r="14529">
      <c r="A14529" t="inlineStr">
        <is>
          <t>Roublard M 200</t>
        </is>
      </c>
      <c r="B14529">
        <f>HYPERLINK("https://www.dofusbook.net/fr/equipement/3445516-roublard-m-200/objets", "link")</f>
        <v/>
      </c>
      <c r="C14529" t="n">
        <v>0</v>
      </c>
      <c r="D14529" t="inlineStr">
        <is>
          <t>Manthache; Collier du Valet Veinard; Gant du Valet Veinard; Alliance Gloursonne; Bouclier du Stalak; Ceinture de la Reine des Voleurs; Coiffe de la Reine des Voleurs; Cape du Valet Veinard; Bottes de la Reine des Voleurs; Dofus Pourpre; Dofus Abyssal; Dofus Ivoire; Dofus Ocre; Dokoko; Dofus des Glaces; Muldo Ebène</t>
        </is>
      </c>
    </row>
    <row r="14530">
      <c r="A14530" t="inlineStr">
        <is>
          <t>Stuff 1</t>
        </is>
      </c>
      <c r="B14530">
        <f>HYPERLINK("https://www.dofusbook.net/fr/equipement/259935-stuff-1/objets", "link")</f>
        <v/>
      </c>
      <c r="C14530" t="n">
        <v>1</v>
      </c>
      <c r="D14530" t="inlineStr">
        <is>
          <t>Arc corrompu; Amulette Séculaire; Anneau Tique; Bague Gloursonne; Bouclier du Stalak; Coiffe Séculaire; Voile d'encre; Bottes de Meno; Dofus des Glaces; Dofus Abyssal; Érudit majeur; Dévastateur Feu majeur; Remueur</t>
        </is>
      </c>
    </row>
    <row r="14531">
      <c r="A14531" t="inlineStr">
        <is>
          <t>Eau resi</t>
        </is>
      </c>
      <c r="B14531">
        <f>HYPERLINK("https://www.dofusbook.net/fr/equipement/1729986-eau-resi/objets", "link")</f>
        <v/>
      </c>
      <c r="C14531" t="n">
        <v>2</v>
      </c>
      <c r="D14531" t="inlineStr">
        <is>
          <t>Dagoulinantes; Amulette de Shokkoth; Alliance Gloursonne; Bouclier du Stalak; Ceinture Glaciale; Némès de Tal Kasha; Cape Solution; Sandales de Tal Kasha; Dofus des Glaces; Dofus Abyssal; Dévastateur Eau majeur; Remueur; Étourdisseur majeur; Nomade</t>
        </is>
      </c>
    </row>
    <row r="14532">
      <c r="A14532" t="inlineStr">
        <is>
          <t>Ret pm</t>
        </is>
      </c>
      <c r="B14532">
        <f>HYPERLINK("https://www.dofusbook.net/fr/equipement/1256263-ret-pm/objets", "link")</f>
        <v/>
      </c>
      <c r="C14532" t="n">
        <v>0</v>
      </c>
      <c r="D14532" t="inlineStr">
        <is>
          <t>Marteau R'ture; Amulette du Kamasterisk; Chevalière du Roi Joueur; Bracelet du Piloztère; Bouclier cubiste; Ceintacé; Masque de Koutoulou; Cape au Logis; Bottes du Kamasterisk; Dokoko; Nomade; Entraveur majeur; Remueur; Temporiseur majeur</t>
        </is>
      </c>
    </row>
    <row r="14533">
      <c r="A14533" t="inlineStr">
        <is>
          <t>Stuff 3</t>
        </is>
      </c>
      <c r="B14533">
        <f>HYPERLINK("https://www.dofusbook.net/fr/equipement/259865-stuff-3/objets", "link")</f>
        <v/>
      </c>
      <c r="C14533" t="n">
        <v>0</v>
      </c>
      <c r="D14533" t="inlineStr">
        <is>
          <t>Epée Gloursonne; Amulette du Strigide; Alliance Gloursonne; Bague Gloursonne; Bouclier du Stalak; Ceinture de l'Esprit Salvateur; Masque de l'Esprit Salvateur; Voilamibe; Bottes du Strigide; Dofus Pourpre; Dolmanax; Dofus Ocre; Dofus des Glaces; Dofus Ivoire; Dofus Abyssal; Kramkram</t>
        </is>
      </c>
    </row>
    <row r="14534">
      <c r="A14534" t="inlineStr">
        <is>
          <t>Pandawa F 200</t>
        </is>
      </c>
      <c r="B14534">
        <f>HYPERLINK("https://www.dofusbook.net/fr/equipement/3379566-pandawa-f-200/objets", "link")</f>
        <v/>
      </c>
      <c r="C14534" t="n">
        <v>0</v>
      </c>
      <c r="D14534" t="inlineStr">
        <is>
          <t>Dagoulinantes; Amulette de Shokkoth; Alliance Gloursonne; Anneau Toriété; Cadran de Terre; Poulpagne; Némès de Tal Kasha; Chevelure de Tal Kasha; Pataugastrique; Dofus des Glaces; Dofus Abyssal; Dévastateur Eau majeur; Nomade; Étourdisseur majeur; Chanceux majeur; Kanigloups</t>
        </is>
      </c>
    </row>
    <row r="14535">
      <c r="A14535" t="inlineStr">
        <is>
          <t>Roublard F 200</t>
        </is>
      </c>
      <c r="B14535">
        <f>HYPERLINK("https://www.dofusbook.net/fr/equipement/3256035-roublard-f-200/objets", "link")</f>
        <v/>
      </c>
      <c r="C14535" t="n">
        <v>0</v>
      </c>
      <c r="D14535" t="inlineStr">
        <is>
          <t>Arc du Chalœil; Collier de Tourthon; Anneau Crustique; Anneau de Brouce; Bouclier du Stalak; Ceinture de la Reine des Voleurs; Coiffe de la Reine des Voleurs; Voile d'encre; Baleinabottes; Dofus des Glaces; Dofus Abyssal; Nomade; Enragé majeur; Remueur; Dévastateur Terre majeur; Kompost</t>
        </is>
      </c>
    </row>
    <row r="14536">
      <c r="A14536" t="inlineStr">
        <is>
          <t>Steamer F 200</t>
        </is>
      </c>
      <c r="B14536">
        <f>HYPERLINK("https://www.dofusbook.net/fr/equipement/3310415-steamer-f-200/objets", "link")</f>
        <v/>
      </c>
      <c r="C14536" t="n">
        <v>2</v>
      </c>
      <c r="D14536" t="inlineStr">
        <is>
          <t>Arc du Chalœil; Torquistik; Bracelet du Piloztère; Bague Trithon; Bouclier Taverne; Ceintacé; Masque de Koutoulou; Cape au Logis; Bottistik; Dofus Turquoise; Culbuteur majeur; Enragé majeur; Remueur; Bousculeur majeur; Muldo Prune et Pourpre</t>
        </is>
      </c>
    </row>
    <row r="14537">
      <c r="A14537" t="inlineStr">
        <is>
          <t>Atcham dorabyss</t>
        </is>
      </c>
      <c r="B14537">
        <f>HYPERLINK("https://www.dofusbook.net/fr/equipement/3225762-atcham-dorabyss/objets", "link")</f>
        <v/>
      </c>
      <c r="C14537" t="n">
        <v>0</v>
      </c>
      <c r="D14537" t="inlineStr">
        <is>
          <t>Sabres d'Atcham; Talisman Glouti; Alliance Gloursonne; Anneau Tique; Bouclier du Stalak; Ceinture de l'Indicible; Dorabysses; Cape d'Atcham; Sandales  d'Atcham; Dofus Pourpre; Dofus Ivoire; Dofus des Glaces; Dolmanax; Dofus Abyssal</t>
        </is>
      </c>
    </row>
    <row r="14538">
      <c r="A14538" t="inlineStr">
        <is>
          <t>Full crit</t>
        </is>
      </c>
      <c r="B14538">
        <f>HYPERLINK("https://www.dofusbook.net/fr/equipement/3154882-full-crit/objets", "link")</f>
        <v/>
      </c>
      <c r="C14538" t="n">
        <v>1</v>
      </c>
      <c r="D14538" t="inlineStr">
        <is>
          <t>Arc du Chalœil; Amulette du Strigide; Anneau du Comte Harebourg; Anneau de Padgref; Quatre-feuilles; Ceinture du Strigide; Coiffe de Padgref; Cape d'Anerice; Getas de Padgref; Dolmanax; Dofus Ocre; Dofus Pourpre; Dofus des Glaces; Dofus Turquoise; Dofus Abyssal; Molosk</t>
        </is>
      </c>
    </row>
    <row r="14539">
      <c r="A14539" t="inlineStr">
        <is>
          <t>feu ini</t>
        </is>
      </c>
      <c r="B14539">
        <f>HYPERLINK("https://www.dofusbook.net/fr/equipement/3125573-feu-ini/objets", "link")</f>
        <v/>
      </c>
      <c r="C14539" t="n">
        <v>2</v>
      </c>
      <c r="D14539" t="inlineStr">
        <is>
          <t>Épée d'Otomaï; Amulette Cryochrone; Alliance du Lévitrof; Anneau du Katcheur; Bouclier du Stalak; Ceinture Séculaire; Masque du Katcheur; Cape de Diondin; Bottes Innommables; Dofus Abyssal; Remueur; Dévastateur Feu majeur; Nomade; Érudit majeur; Fonceur majeur; Petit Chacha Blanc</t>
        </is>
      </c>
    </row>
    <row r="14540">
      <c r="A14540" t="inlineStr">
        <is>
          <t>feu eau puissance</t>
        </is>
      </c>
      <c r="B14540">
        <f>HYPERLINK("https://www.dofusbook.net/fr/equipement/2120979-feu-eau-puissance/objets", "link")</f>
        <v/>
      </c>
      <c r="C14540" t="n">
        <v>0</v>
      </c>
      <c r="D14540" t="inlineStr">
        <is>
          <t>Dagues Érhy; Torquistik; Baguistik; Goulano; Goulclier; Ceinture de la Reine des Voleurs; Coiffe de la Reine des Voleurs; Cape au Logis; Goulbottes; Dokoko; Dofus Pourpre; Dofus Ocre; Dofus des Glaces; Dofus Ivoire; Dofus Abyssal; Kramkram</t>
        </is>
      </c>
    </row>
    <row r="14541">
      <c r="A14541" t="inlineStr">
        <is>
          <t>puissance</t>
        </is>
      </c>
      <c r="B14541">
        <f>HYPERLINK("https://www.dofusbook.net/fr/equipement/2095803-puissance/objets", "link")</f>
        <v/>
      </c>
      <c r="C14541" t="n">
        <v>0</v>
      </c>
      <c r="D14541" t="inlineStr">
        <is>
          <t>Epée Gloursonne; Amulette Ementaire Deluxe; Bague Gloursonne; Alliance Gloursonne; Bouclier du Stalak; Ceinture de l'Esprit Salvateur; Masque de l'Esprit Salvateur; Voile d'encre; Bottes de l'Esprit Salvateur; Dofus Pourpre; Dofus Abyssal; Dofus Ocre; Dofus Ivoire; Dokoko; Dofus des Glaces; Muldo Doré et Pourpre</t>
        </is>
      </c>
    </row>
    <row r="14542">
      <c r="A14542" t="inlineStr">
        <is>
          <t>Enu</t>
        </is>
      </c>
      <c r="B14542">
        <f>HYPERLINK("https://www.dofusbook.net/fr/equipement/2414647-enu/objets", "link")</f>
        <v/>
      </c>
      <c r="C14542" t="n">
        <v>1</v>
      </c>
      <c r="D14542" t="inlineStr">
        <is>
          <t>Amulette de Shokkoth; Alliance Gloursonne; Bracelet des Fonds marins; Quatre-feuilles; Pagne du Rykaon; Kidibonnet; Cape du Sinistrofu; Sandales des Fonds marins; Dofus Turquoise; Dokoko; Dofus Nébuleux; Dofus Pourpre; Dofus Abyssal; Remueur; Muldo Prune et Emeraude</t>
        </is>
      </c>
    </row>
    <row r="14543">
      <c r="A14543" t="inlineStr">
        <is>
          <t>Arc haique</t>
        </is>
      </c>
      <c r="B14543">
        <f>HYPERLINK("https://www.dofusbook.net/fr/equipement/2337216-arc-haique/objets", "link")</f>
        <v/>
      </c>
      <c r="C14543" t="n">
        <v>0</v>
      </c>
      <c r="D14543" t="inlineStr">
        <is>
          <t>Arc Ahique; Collier du Valet Veinard; Gant du Valet Veinard; Alliance Gloursonne; Bouclier du Stalak; Ceinture de la Reine des Voleurs; Coiffe de la Reine des Voleurs; Cape du Valet Veinard; Bottes de la Reine des Voleurs; Dofus Ocre; Dokoko; Dofus des Glaces; Dofus Pourpre; Dofus Abyssal; Examinateur; Muldo Ebène</t>
        </is>
      </c>
    </row>
    <row r="14544">
      <c r="A14544" t="inlineStr">
        <is>
          <t>Puissance</t>
        </is>
      </c>
      <c r="B14544">
        <f>HYPERLINK("https://www.dofusbook.net/fr/equipement/2233821-puissance/objets", "link")</f>
        <v/>
      </c>
      <c r="C14544" t="n">
        <v>0</v>
      </c>
      <c r="D14544" t="inlineStr">
        <is>
          <t>Amulette du Strigide; Ceinture du Strigide; Masque de l'Esprit Salvateur; Voilamibe; Bottes du Strigide; Dofus Ocre; Dofus Pourpre; Dofus des Glaces; Dofus Turquoise; Dofus Abyssal</t>
        </is>
      </c>
    </row>
    <row r="14545">
      <c r="A14545" t="inlineStr">
        <is>
          <t>bfsdhfshfsdshdf</t>
        </is>
      </c>
      <c r="B14545">
        <f>HYPERLINK("https://www.dofusbook.net/fr/equipement/2226769-bfsdhfshfsdshdf/objets", "link")</f>
        <v/>
      </c>
      <c r="C14545" t="n">
        <v>0</v>
      </c>
      <c r="D14545" t="inlineStr">
        <is>
          <t>Epée Gloursonne; Amulette de Gein; Bague Gloursonne; Alliance Gloursonne; Bouclier du Stalak; Ceinture de Gein; Chapeau de Gein; Cape du Chalœil; Bottes du Chalœil; Dokoko; Dofus Ocre; Dofus Pourpre; Dofus des Glaces; Dofus Turquoise; Dofus Abyssal; Muldo Ebène et Indigo</t>
        </is>
      </c>
    </row>
    <row r="14546">
      <c r="A14546" t="inlineStr">
        <is>
          <t>reseau</t>
        </is>
      </c>
      <c r="B14546">
        <f>HYPERLINK("https://www.dofusbook.net/fr/equipement/2189181-reseau/objets", "link")</f>
        <v/>
      </c>
      <c r="C14546" t="n">
        <v>0</v>
      </c>
      <c r="D14546" t="inlineStr">
        <is>
          <t>Dagues Érhy; Amulette de Gein; Chevalière du Roi Joueur; Bague Gloursonne; Bouclier du Stalak; Ceinture de Gein; Chapeau de Gein; Voile d'encre; Bottes du Roi Joueur; Dokoko; Dofus des Glaces; Dofus Pourpre; Dofus Abyssal; Dolmanax; Dofus Ocre; Muldo Ebène et Pourpre</t>
        </is>
      </c>
    </row>
    <row r="14547">
      <c r="A14547" t="inlineStr">
        <is>
          <t>kjhgrfedsay</t>
        </is>
      </c>
      <c r="B14547">
        <f>HYPERLINK("https://www.dofusbook.net/fr/equipement/2151371-kjhgrfedsay/objets", "link")</f>
        <v/>
      </c>
      <c r="C14547" t="n">
        <v>0</v>
      </c>
      <c r="D14547" t="inlineStr">
        <is>
          <t>Dagues Érhy; Amulette de Gein; Chevalière du Roi Joueur; Bague Gloursonne; Bouclier du Stalak; Ceinture de Gein; Chapeau de Gein; Voile d'encre; Bottes du Roi Joueur; Dofus Turquoise; Dofus Ocre; Dokoko; Dofus des Glaces; Dofus Pourpre; Dofus Abyssal</t>
        </is>
      </c>
    </row>
    <row r="14548">
      <c r="A14548" t="inlineStr">
        <is>
          <t>mnzrfearhtjk</t>
        </is>
      </c>
      <c r="B14548">
        <f>HYPERLINK("https://www.dofusbook.net/fr/equipement/2090254-mnzrfearhtjk/objets", "link")</f>
        <v/>
      </c>
      <c r="C14548" t="n">
        <v>0</v>
      </c>
      <c r="D14548" t="inlineStr">
        <is>
          <t>Amulette de Gein; Chevalière du Roi Joueur; Goulano; Bouclier du Stalak; Ceintacé; Couronne du Roi Joueur; Voile d'encre; Bottes Owesli; Dofus Abyssal; Dofus Pourpre; Dokoko; Dofus des Glaces; Nomade; Remueur; Kramkram</t>
        </is>
      </c>
    </row>
    <row r="14549">
      <c r="A14549" t="inlineStr">
        <is>
          <t>Hetype</t>
        </is>
      </c>
      <c r="B14549">
        <f>HYPERLINK("https://www.dofusbook.net/fr/equipement/1586537-hetype/objets", "link")</f>
        <v/>
      </c>
      <c r="C14549" t="n">
        <v>0</v>
      </c>
      <c r="D14549" t="inlineStr">
        <is>
          <t>Arc Hétype; Amulette de Nileza; Anneau de Nidas; Anneau Tique; Ceinture de Vortex; Casque Dragoeuf; Cape de Nileza; Pataugastrique; Dokoko; Miraculé majeur; Remueur; Érudit majeur; Nomade</t>
        </is>
      </c>
    </row>
    <row r="14550">
      <c r="A14550" t="inlineStr">
        <is>
          <t>Tank pvm</t>
        </is>
      </c>
      <c r="B14550">
        <f>HYPERLINK("https://www.dofusbook.net/fr/equipement/1131286-tank-pvm/objets", "link")</f>
        <v/>
      </c>
      <c r="C14550" t="n">
        <v>0</v>
      </c>
      <c r="D14550" t="inlineStr">
        <is>
          <t>Epée Gloursonne; Amulette du Strigide; Alliance Gloursonne; Bague Gloursonne; Bouclier d'Anerice; Ceinture du Strigide; Masque d'Anerice; Cape d'Anerice; Bottes du Strigide; Dokoko; Dofus Émeraude</t>
        </is>
      </c>
    </row>
    <row r="14551">
      <c r="A14551" t="inlineStr">
        <is>
          <t>air feu</t>
        </is>
      </c>
      <c r="B14551">
        <f>HYPERLINK("https://www.dofusbook.net/fr/equipement/1471489-air-feu-/objets", "link")</f>
        <v/>
      </c>
      <c r="C14551" t="n">
        <v>0</v>
      </c>
      <c r="D14551" t="inlineStr">
        <is>
          <t>Marteau Phossile; Pendentif mignon de Koutoulou; Anneau Rifique; Alliance Gloursonne; Bouclier du Stalak; Ceinture de Vortex; Casque Cyclopéen; Cape de Diondin; Sabots de Vortex; Dofus Pourpre; Dofus des Glaces; Dofus Abyssal; Dokoko; Dofus Forgelave; Dofus Ivoire</t>
        </is>
      </c>
    </row>
    <row r="14552">
      <c r="A14552" t="inlineStr">
        <is>
          <t>Pvm pas cher</t>
        </is>
      </c>
      <c r="B14552">
        <f>HYPERLINK("https://www.dofusbook.net/fr/equipement/1126170-pvm-pas-cher/objets", "link")</f>
        <v/>
      </c>
      <c r="C14552" t="n">
        <v>0</v>
      </c>
      <c r="D14552" t="inlineStr">
        <is>
          <t>Epée Gloursonne; Amulette de Danathor; Bague Gloursonne; Alliance Gloursonne; Ceinture de Danathor; Coiffe de Danathor; Cape Matelassée; Getas Bernacle; Dokoko; Muldo Ebène et Indigo</t>
        </is>
      </c>
    </row>
    <row r="14553">
      <c r="A14553" t="inlineStr">
        <is>
          <t>Tank multi</t>
        </is>
      </c>
      <c r="B14553">
        <f>HYPERLINK("https://www.dofusbook.net/fr/equipement/1146622-tank-multi/objets", "link")</f>
        <v/>
      </c>
      <c r="C14553" t="n">
        <v>0</v>
      </c>
      <c r="D14553" t="inlineStr">
        <is>
          <t>Rapière aux Glyphes; Amulette du Sinistrofu; Alliance du Lévitrof; Alliance Gloursonne; Poulpagne; Coiffe d'Aermyne; Cape du Sinistrofu; Pataugastrique; Dofus Émeraude; Dofus Pourpre; Dokoko; Chanceux majeur; Nomade; Remueur</t>
        </is>
      </c>
    </row>
    <row r="14554">
      <c r="A14554" t="inlineStr">
        <is>
          <t>Eau</t>
        </is>
      </c>
      <c r="B14554">
        <f>HYPERLINK("https://www.dofusbook.net/fr/equipement/1121894-eau/objets", "link")</f>
        <v/>
      </c>
      <c r="C14554" t="n">
        <v>0</v>
      </c>
      <c r="D14554" t="inlineStr">
        <is>
          <t>Baguette Hique; Amulette du Sinistrofu; Alliance Gloursonne; Anneau Glacial; Quatre-feuilles; Ceinture de Danathor; Coiffe de Danathor; Cape Matelassée; Pataugastrique; Dokoko; Chanceux majeur; Érudit majeur; Remueur; Observateur; Nomade; Muldo Prune et Emeraude</t>
        </is>
      </c>
    </row>
    <row r="14555">
      <c r="A14555" t="inlineStr">
        <is>
          <t>Eau tacle</t>
        </is>
      </c>
      <c r="B14555">
        <f>HYPERLINK("https://www.dofusbook.net/fr/equipement/1121978-eau-tacle/objets", "link")</f>
        <v/>
      </c>
      <c r="C14555" t="n">
        <v>0</v>
      </c>
      <c r="D14555" t="inlineStr">
        <is>
          <t>Rapière aux Glyphes; Talisman Glouti; Alliance du Lévitrof; Alliance Gloursonne; Quatre-feuilles; Ceinture Glaciale; Kidibonnet; Cape Glaciale; Pataugastrique; Dokoko; Dofus Pourpre; Chanceux majeur; Observateur; Nomade; Remueur; Muldo Roux et Indigo</t>
        </is>
      </c>
    </row>
    <row r="14556">
      <c r="A14556" t="inlineStr">
        <is>
          <t>Stuff 2</t>
        </is>
      </c>
      <c r="B14556">
        <f>HYPERLINK("https://www.dofusbook.net/fr/equipement/259936-stuff-2/objets", "link")</f>
        <v/>
      </c>
      <c r="C14556" t="n">
        <v>0</v>
      </c>
      <c r="D14556" t="inlineStr">
        <is>
          <t>Manthache; Collier du Valet Veinard; Alliance Gloursonne; Gant du Valet Veinard; Menoture; Couronne d'Allister; Cape Indescriptible; Palmes Trithons; Dofus des Glaces; Dévastateur Air majeur; Cascadeur majeur; Equilibriste majeur; Nomade; Remueur; Siroko</t>
        </is>
      </c>
    </row>
    <row r="14557">
      <c r="A14557" t="inlineStr">
        <is>
          <t>Stuff 2</t>
        </is>
      </c>
      <c r="B14557">
        <f>HYPERLINK("https://www.dofusbook.net/fr/equipement/259864-stuff-2/objets", "link")</f>
        <v/>
      </c>
      <c r="C14557" t="n">
        <v>0</v>
      </c>
      <c r="D14557" t="inlineStr">
        <is>
          <t>Dagues Érhy; Amulette du Glourséleste; Bracelet du Piloztère; Alliance de Missiz Frizz; Ceinture du Strigide; Coiffe Ranshi; Cape Matelassée; Bottes du Strigide; Vigoureux majeur; Remueur; Temporiseur majeur; Nomade; Entraveur majeur; Enragé majeur; Kramkram</t>
        </is>
      </c>
    </row>
    <row r="14558">
      <c r="A14558" t="inlineStr">
        <is>
          <t>Stuff 1</t>
        </is>
      </c>
      <c r="B14558">
        <f>HYPERLINK("https://www.dofusbook.net/fr/equipement/259925-stuff-1/objets", "link")</f>
        <v/>
      </c>
      <c r="C14558" t="n">
        <v>1</v>
      </c>
      <c r="D14558" t="inlineStr">
        <is>
          <t>Dagues Érhy; Amulette du Strigide; Frimanneau; Bracelet du Piloztère; Ceinture du Strigide; Coiffe du Lévitrof; Cape au Logis; Sabots Minables; Dokoko; Nomade; Carapace Feu majeur; Observateur; Remueur; Vigoureux majeur; Dragodinde en armure</t>
        </is>
      </c>
    </row>
    <row r="14559">
      <c r="A14559" t="inlineStr">
        <is>
          <t>test</t>
        </is>
      </c>
      <c r="B14559">
        <f>HYPERLINK("https://www.dofusbook.net/fr/equipement/3374645-test/objets", "link")</f>
        <v/>
      </c>
      <c r="C14559" t="n">
        <v>5</v>
      </c>
      <c r="D14559" t="inlineStr">
        <is>
          <t>Arc corrompu; Amulette Volkorne; Anneau Tamie; Anneau Volkorne; Bouclier du Stalak; Ceinture Séculaire; Diadème de Ganymède; Cape de Diondin; Bottes Innommables; Dofus Pourpre; Dofus des Glaces; Dévastateur Feu majeur; Nomade; Vigoureux majeur; Érudit majeur; Bisouglours</t>
        </is>
      </c>
    </row>
    <row r="14560">
      <c r="A14560" t="inlineStr">
        <is>
          <t>Roublard F 200</t>
        </is>
      </c>
      <c r="B14560">
        <f>HYPERLINK("https://www.dofusbook.net/fr/equipement/3368387-roublard-f-200/objets", "link")</f>
        <v/>
      </c>
      <c r="C14560" t="n">
        <v>3</v>
      </c>
      <c r="D14560" t="inlineStr">
        <is>
          <t>Arc corrompu; Amulette Volkorne; Anneau Volkorne; Anneau Tamie; Bouclier du Stalak; Ceinture Séculaire; Heaume Oplate; Cape de Diondin; Bottes Innommables; Dofus des Glaces; Dofus Pourpre; Vigoureux majeur; Érudit majeur; Dévastateur Feu majeur; Nomade; Bisouglours</t>
        </is>
      </c>
    </row>
    <row r="14561">
      <c r="A14561" t="inlineStr">
        <is>
          <t>Sram M 200</t>
        </is>
      </c>
      <c r="B14561">
        <f>HYPERLINK("https://www.dofusbook.net/fr/equipement/5898924-sram-m-200/objets", "link")</f>
        <v/>
      </c>
      <c r="C14561" t="n">
        <v>0</v>
      </c>
      <c r="D14561" t="inlineStr">
        <is>
          <t>Arc du Chalœil; Collier de Tourthon; Bague Gloursonne; Anneau Chevelu; Bivalve; Ceinture Volkorne; Masque de Koutoulou; Cape au Logis; Dofus Pourpre; Dévastateur Terre majeur; Nomade; Remueur; Vigoureux majeur; Enragé majeur; Bulbisou</t>
        </is>
      </c>
    </row>
    <row r="14562">
      <c r="A14562" t="inlineStr">
        <is>
          <t>Xélor F 200</t>
        </is>
      </c>
      <c r="B14562">
        <f>HYPERLINK("https://www.dofusbook.net/fr/equipement/5722703-xelor-f-200/objets", "link")</f>
        <v/>
      </c>
      <c r="C14562" t="n">
        <v>2</v>
      </c>
      <c r="D14562" t="inlineStr">
        <is>
          <t>Arc corrompu; Amulette Volkorne; Anneauræus; Bague Gloursonne; Bivalve; Ceinture Volkorne; Voile d'encre; Dofus Pourpre; Remueur; Érudit majeur; Dévastateur Feu majeur; Nomade; Bisouglours</t>
        </is>
      </c>
    </row>
    <row r="14563">
      <c r="A14563" t="inlineStr">
        <is>
          <t>Sacrieur F 200</t>
        </is>
      </c>
      <c r="B14563">
        <f>HYPERLINK("https://www.dofusbook.net/fr/equipement/5762099-sacrieur-f-200/objets", "link")</f>
        <v/>
      </c>
      <c r="C14563" t="n">
        <v>1</v>
      </c>
      <c r="D14563" t="inlineStr">
        <is>
          <t>Arc du Chalœil; Amulette du Cœur Saignant; Chevalière du Roi Joueur; Anneau Volkorne; Quatre-feuilles; Ceinture Volkorne; Couronne du Roi Joueur; Cape du Cœur Saignant; Bottes du Cœur Saignant; Dofus Turquoise; Dofus Ébène; Dofus Ocre; Dofus Abyssal; Dofus Ivoire; Voyageur; Volkorne Emeraude et Pourpre</t>
        </is>
      </c>
    </row>
    <row r="14564">
      <c r="A14564" t="inlineStr">
        <is>
          <t>Sram M 200</t>
        </is>
      </c>
      <c r="B14564">
        <f>HYPERLINK("https://www.dofusbook.net/fr/equipement/5726561-sram-m-200/objets", "link")</f>
        <v/>
      </c>
      <c r="C14564" t="n">
        <v>3</v>
      </c>
      <c r="D14564" t="inlineStr">
        <is>
          <t>Arc du Chalœil; Amulette du Cœur Saignant; Anneau Volkorne; Anneau Chevelu; Quatre-feuilles; Ceinture Volkorne; Masque de Koutoulou; Cape au Logis; Bottes du Cœur Saignant; Dofus Ocre; Dofus Abyssal; Dofus Pourpre; Dofus Ivoire; Dofus Turquoise; Dofus Ébène; Bulbisou</t>
        </is>
      </c>
    </row>
    <row r="14565">
      <c r="A14565" t="inlineStr">
        <is>
          <t>Sram F 200</t>
        </is>
      </c>
      <c r="B14565">
        <f>HYPERLINK("https://www.dofusbook.net/fr/equipement/3748638-sram-f-200/objets", "link")</f>
        <v/>
      </c>
      <c r="C14565" t="n">
        <v>1</v>
      </c>
      <c r="D14565" t="inlineStr">
        <is>
          <t>Arc corrompu; Amulette Volkorne; Anneauræus; Bague Gloursonne; Bouclier du Stalak; Ceinture Volkorne; Heaume Oplate; Voile d'encre; Bottes Innommables; Dofus Ocre; Dofus Ivoire; Dofus Pourpre; Dofus Ébène; Dofus Abyssal; Nomade; Bisouglours</t>
        </is>
      </c>
    </row>
    <row r="14566">
      <c r="A14566" t="inlineStr">
        <is>
          <t>Xélor M 200</t>
        </is>
      </c>
      <c r="B14566">
        <f>HYPERLINK("https://www.dofusbook.net/fr/equipement/5718521-xelor-m-200/objets", "link")</f>
        <v/>
      </c>
      <c r="C14566" t="n">
        <v>1</v>
      </c>
      <c r="D14566" t="inlineStr">
        <is>
          <t>Baguette de Torkélonia; Amulette du Strigide; Bracelet du Piloztère; Bague Gloursonne; Quatre-feuilles; Ceintacé; Corne de Torkélonia; Cape au Logis; Bottes de la Cour Sombre; Dofus Nébuleux; Dofus Turquoise; Dofus Pourpre; Remueur; Enragé majeur; Vigoureux majeur; Kokulte</t>
        </is>
      </c>
    </row>
    <row r="14567">
      <c r="A14567" t="inlineStr">
        <is>
          <t>Eniripsa F 200</t>
        </is>
      </c>
      <c r="B14567">
        <f>HYPERLINK("https://www.dofusbook.net/fr/equipement/5702543-eniripsa-f-200/objets", "link")</f>
        <v/>
      </c>
      <c r="C14567" t="n">
        <v>0</v>
      </c>
      <c r="D14567" t="inlineStr">
        <is>
          <t>Epée Kari; Amulette Cryochrone</t>
        </is>
      </c>
    </row>
    <row r="14568">
      <c r="A14568" t="inlineStr">
        <is>
          <t>Sacrieur 200 Roxxe</t>
        </is>
      </c>
      <c r="B14568">
        <f>HYPERLINK("https://www.dofusbook.net/fr/equipement/5608456-sacrieur-200-roxxe/objets", "link")</f>
        <v/>
      </c>
      <c r="C14568" t="n">
        <v>3</v>
      </c>
      <c r="D14568" t="inlineStr">
        <is>
          <t>Manthache; Collier du Valet Veinard; Alliance Gloursonne; Gant du Valet Veinard; Bouclier d'Ilyzaelle; Menoture; Couronne d'Allister; Cape Martegel; Palmes Trithons; Dofus Pourpre; Dofus Ébène; Dofus Abyssal; Dofus Ivoire; Nomade; Remueur; Blérodoudou</t>
        </is>
      </c>
    </row>
    <row r="14569">
      <c r="A14569" t="inlineStr">
        <is>
          <t>Sacrieur 200 Air Res</t>
        </is>
      </c>
      <c r="B14569">
        <f>HYPERLINK("https://www.dofusbook.net/fr/equipement/5608378-sacrieur-200-air-res/objets", "link")</f>
        <v/>
      </c>
      <c r="C14569" t="n">
        <v>3</v>
      </c>
      <c r="D14569" t="inlineStr">
        <is>
          <t>Pelle de la Cour Sombre; Collier du Valet Veinard; Alliance Gloursonne; Gant du Valet Veinard; Bouclier d'Ilyzaelle; Menoture; Dorabysses; Cape Martegel; Palmes Trithons; Dofus Abyssal; Dofus Ivoire; Dofus Pourpre; Dofus Ébène; Nomade; Remueur; Blérodoudou</t>
        </is>
      </c>
    </row>
    <row r="14570">
      <c r="A14570" t="inlineStr">
        <is>
          <t>ROXXE 121</t>
        </is>
      </c>
      <c r="B14570">
        <f>HYPERLINK("https://www.dofusbook.net/fr/equipement/5416501-roxxe-121/objets", "link")</f>
        <v/>
      </c>
      <c r="C14570" t="n">
        <v>12</v>
      </c>
      <c r="D14570" t="inlineStr">
        <is>
          <t>Baguette de Torkélonia; Amulette du Strigide; Bague Gloursonne; Bracelet du Piloztère; Quatre-feuilles; Ceintacé; Corne de Torkélonia; Cape au Logis; Sandales de Tal Kasha; Dofus des Glaces; Dofus Pourpre; Dofus Nébuleux; Dofus Turquoise; Remueur; Vigoureux majeur; Kokulte</t>
        </is>
      </c>
    </row>
    <row r="14571">
      <c r="A14571" t="inlineStr">
        <is>
          <t>Huppermage M 200</t>
        </is>
      </c>
      <c r="B14571">
        <f>HYPERLINK("https://www.dofusbook.net/fr/equipement/5520598-huppermage-m-200/objets", "link")</f>
        <v/>
      </c>
      <c r="C14571" t="n">
        <v>0</v>
      </c>
      <c r="D14571" t="inlineStr">
        <is>
          <t>Epée Loponèze; Amulette d'Ilyzaelle; Gant du Valet Veinard; Alliance Gloursonne; Bivalve; Ceinture Voldelor; Casque d'Ilyzaelle; Cape Solution; Bottes de la Reine des Voleurs; Dofus Ivoire; Dofus Ébène; Dofus Pourpre; Dofus Abyssal; Nomade; Remueur; Mini Wa</t>
        </is>
      </c>
    </row>
    <row r="14572">
      <c r="A14572" t="inlineStr">
        <is>
          <t>Huppermage M 200</t>
        </is>
      </c>
      <c r="B14572">
        <f>HYPERLINK("https://www.dofusbook.net/fr/equipement/5541275-huppermage-m-200/objets", "link")</f>
        <v/>
      </c>
      <c r="C14572" t="n">
        <v>0</v>
      </c>
      <c r="D14572" t="inlineStr">
        <is>
          <t>Canne Harr; Amulette Volkorne; Bague Gloursonne; Alliance Gloursonne; Sept ans de malheur; Ceinture de Vortex; Casque Volkorne; Cape Martegel; Sabots de Vortex; Dofus Ocre; Dofus Abyssal; Dofus Ivoire; Dofus Pourpre; Dofus Ébène; Voyageur; Volkorne Ivoire et Ebène</t>
        </is>
      </c>
    </row>
    <row r="14573">
      <c r="A14573" t="inlineStr">
        <is>
          <t>Huppermage M 200 Air</t>
        </is>
      </c>
      <c r="B14573">
        <f>HYPERLINK("https://www.dofusbook.net/fr/equipement/5520751-huppermage-m-200-air/objets", "link")</f>
        <v/>
      </c>
      <c r="C14573" t="n">
        <v>1</v>
      </c>
      <c r="D14573" t="inlineStr">
        <is>
          <t>Manthache; Collier du Valet Veinard; Alliance Gloursonne; Gant du Valet Veinard; Bouclier du Stalak; Menoture; Couronne d'Allister; Cape Martegel; Palmes Trithons; Dofus Abyssal; Dofus Ivoire; Dofus Pourpre; Dofus Ébène; Nomade; Remueur; Blérodoudou</t>
        </is>
      </c>
    </row>
    <row r="14574">
      <c r="A14574" t="inlineStr">
        <is>
          <t>Steamer M 200</t>
        </is>
      </c>
      <c r="B14574">
        <f>HYPERLINK("https://www.dofusbook.net/fr/equipement/5513425-steamer-m-200/objets", "link")</f>
        <v/>
      </c>
      <c r="C14574" t="n">
        <v>0</v>
      </c>
      <c r="D14574" t="inlineStr">
        <is>
          <t>Arc Hétype; Amulette d'Otomaï; Bague Gloursonne; Anneau de Nidas; Bivalve; Ceinture de Vortex; Cagoule de Vortex; Cape de Diondin; Pantoufles Émar; Guérisseur majeur; Érudit majeur; Dévastateur Feu majeur; Nomade; Vigoureux majeur; Remueur; Muldo Indigo et Orchidée</t>
        </is>
      </c>
    </row>
    <row r="14575">
      <c r="A14575" t="inlineStr">
        <is>
          <t>Eliotrope M 200</t>
        </is>
      </c>
      <c r="B14575">
        <f>HYPERLINK("https://www.dofusbook.net/fr/equipement/5379921-eliotrope-m-200/objets", "link")</f>
        <v/>
      </c>
      <c r="C14575" t="n">
        <v>0</v>
      </c>
      <c r="D14575" t="inlineStr">
        <is>
          <t>Arc du Chalœil; Amulette du Cœur Saignant; Bracelet du Piloztère; Anneau Chevelu; Quatre-feuilles; Ceinture Volkorne; Masque de Koutoulou; Cape au Logis; Bottes du Cœur Saignant; Dofus Turquoise; Dofus Ébène; Dofus Nébuleux; Dofus Abyssal; Dofus Ocre; Dofus Ivoire; Bulbisou</t>
        </is>
      </c>
    </row>
    <row r="14576">
      <c r="A14576" t="inlineStr">
        <is>
          <t>Eliotrope M 200</t>
        </is>
      </c>
      <c r="B14576">
        <f>HYPERLINK("https://www.dofusbook.net/fr/equipement/5380052-eliotrope-m-200/objets", "link")</f>
        <v/>
      </c>
      <c r="C14576" t="n">
        <v>0</v>
      </c>
      <c r="D14576" t="inlineStr">
        <is>
          <t>Arc du Chalœil; Collier de Tourthon; Bague Gloursonne; Anneau Chevelu; Quatre-feuilles; Ceinture de la Cour Sombre; Masque de Koutoulou; Cape au Logis; Bottes de la Cour Sombre; Dofus Ocre; Dofus Ébène; Dofus Ivoire; Dofus Abyssal; Dofus Turquoise; Dofus Nébuleux; Bulbisou</t>
        </is>
      </c>
    </row>
    <row r="14577">
      <c r="A14577" t="inlineStr">
        <is>
          <t>Sacrieur M 200</t>
        </is>
      </c>
      <c r="B14577">
        <f>HYPERLINK("https://www.dofusbook.net/fr/equipement/5365640-sacrieur-m-200/objets", "link")</f>
        <v/>
      </c>
      <c r="C14577" t="n">
        <v>0</v>
      </c>
      <c r="D14577" t="inlineStr"/>
    </row>
    <row r="14578">
      <c r="A14578" t="inlineStr">
        <is>
          <t>Iop F 200</t>
        </is>
      </c>
      <c r="B14578">
        <f>HYPERLINK("https://www.dofusbook.net/fr/equipement/5332443-iop-f-200/objets", "link")</f>
        <v/>
      </c>
      <c r="C14578" t="n">
        <v>0</v>
      </c>
      <c r="D14578" t="inlineStr">
        <is>
          <t>Sceptre du Roi Joueur; Amulette de Shokkoth; Anneau Volkorne; Alliance Gloursonne; Bouclier d'Ilyzaelle; Sangle Ouare; Kidibonnet; Cape de la Dame du Hasard; Bottes de la Dame du Hasard; Dofus Ocre; Dofus Ivoire; Dofus Turquoise; Dofus Ébène; Dofus Pourpre; Chanceux majeur; Dragodinde Amande et Emeraude</t>
        </is>
      </c>
    </row>
    <row r="14579">
      <c r="A14579" t="inlineStr">
        <is>
          <t>Iop F 200</t>
        </is>
      </c>
      <c r="B14579">
        <f>HYPERLINK("https://www.dofusbook.net/fr/equipement/5332660-iop-f-200/objets", "link")</f>
        <v/>
      </c>
      <c r="C14579" t="n">
        <v>4</v>
      </c>
      <c r="D14579" t="inlineStr">
        <is>
          <t>Pelle Fik; Amulette du Strigide; Pikano; Anneau Volkorne; Bouclier du Captain Amakna; Ceinture du Strigide; Némès de Tal Kasha; Chevelure de Tal Kasha; Sandales de Tal Kasha; Dofus Ocre; Dofus Ébène; Dofus Turquoise; Dofus Ivoire; Dofus Pourpre; Voyageur; Dragodinde Emeraude et Indigo</t>
        </is>
      </c>
    </row>
    <row r="14580">
      <c r="A14580" t="inlineStr">
        <is>
          <t>Sacrieur F 200</t>
        </is>
      </c>
      <c r="B14580">
        <f>HYPERLINK("https://www.dofusbook.net/fr/equipement/5332493-sacrieur-f-200/objets", "link")</f>
        <v/>
      </c>
      <c r="C14580" t="n">
        <v>7</v>
      </c>
      <c r="D14580" t="inlineStr">
        <is>
          <t>Karnak; Collier du Valet Veinard; Alliance Gloursonne; Gant du Valet Veinard; Bouclier d'Ilyzaelle; Menoture; Dorabysses; Cape du Kamasterisk; Palmes Trithons; Dofus Ocre; Dofus Abyssal; Dofus Ivoire; Dofus Émeraude; Dofus Ébène; Cascadeur majeur; Blérodoudou</t>
        </is>
      </c>
    </row>
    <row r="14581">
      <c r="A14581" t="inlineStr">
        <is>
          <t>Iop F 200</t>
        </is>
      </c>
      <c r="B14581">
        <f>HYPERLINK("https://www.dofusbook.net/fr/equipement/4639436-iop-f-200/objets", "link")</f>
        <v/>
      </c>
      <c r="C14581" t="n">
        <v>0</v>
      </c>
      <c r="D14581" t="inlineStr">
        <is>
          <t>Anneau de Brouce; Ceinture de Brouce; Casque de Missiz Frizz</t>
        </is>
      </c>
    </row>
    <row r="14582">
      <c r="A14582" t="inlineStr">
        <is>
          <t>Pandawa F 200</t>
        </is>
      </c>
      <c r="B14582">
        <f>HYPERLINK("https://www.dofusbook.net/fr/equipement/4639280-pandawa-f-200/objets", "link")</f>
        <v/>
      </c>
      <c r="C14582" t="n">
        <v>0</v>
      </c>
      <c r="D14582" t="inlineStr">
        <is>
          <t>Epée Gloursonne; Amulette de Danathor; Alliance Gloursonne; Bague Gloursonne; Ceinture de Danathor; Coiffe de Danathor; Cape Matelassée</t>
        </is>
      </c>
    </row>
    <row r="14583">
      <c r="A14583" t="inlineStr">
        <is>
          <t>Pandawa F 200</t>
        </is>
      </c>
      <c r="B14583">
        <f>HYPERLINK("https://www.dofusbook.net/fr/equipement/4639075-pandawa-f-200/objets", "link")</f>
        <v/>
      </c>
      <c r="C14583" t="n">
        <v>0</v>
      </c>
      <c r="D14583" t="inlineStr"/>
    </row>
    <row r="14584">
      <c r="A14584" t="inlineStr">
        <is>
          <t>Pandawa F 200</t>
        </is>
      </c>
      <c r="B14584">
        <f>HYPERLINK("https://www.dofusbook.net/fr/equipement/4637398-pandawa-f-200/objets", "link")</f>
        <v/>
      </c>
      <c r="C14584" t="n">
        <v>0</v>
      </c>
      <c r="D14584" t="inlineStr"/>
    </row>
    <row r="14585">
      <c r="A14585" t="inlineStr">
        <is>
          <t>Zobal M 200</t>
        </is>
      </c>
      <c r="B14585">
        <f>HYPERLINK("https://www.dofusbook.net/fr/equipement/4281908-zobal-m-200/objets", "link")</f>
        <v/>
      </c>
      <c r="C14585" t="n">
        <v>2</v>
      </c>
      <c r="D14585" t="inlineStr">
        <is>
          <t>Arc Nécrotique; Collier de la Dame du Hasard; Bague Trithon; Bague Gloursonne; Quatre-feuilles; Masque Trithon; Cape de la Dame du Hasard; Bottes Trithon; Dolmanax; Dofus des Glaces; Dofus Turquoise; Dofus Ivoire; Dofus Ocre; Voyageur; Kokulte</t>
        </is>
      </c>
    </row>
    <row r="14586">
      <c r="A14586" t="inlineStr">
        <is>
          <t>Enutrof M 200</t>
        </is>
      </c>
      <c r="B14586">
        <f>HYPERLINK("https://www.dofusbook.net/fr/equipement/4210599-enutrof-m-200/objets", "link")</f>
        <v/>
      </c>
      <c r="C14586" t="n">
        <v>0</v>
      </c>
      <c r="D14586" t="inlineStr">
        <is>
          <t>Dagues Açantes; Amulette du Sinistrofu; Alliance Gloursonne; Pikano; Bouclier cubiste; Ceinture Glaciale; Coiffe de Danathor; Cape Matelassée; Pikottes; Voyageur; Temporiseur majeur; Temporiseur; Remueur; Nomade; Entraveur majeur; Volkorne Turquoise</t>
        </is>
      </c>
    </row>
    <row r="14587">
      <c r="A14587" t="inlineStr">
        <is>
          <t>Enutrof M 200</t>
        </is>
      </c>
      <c r="B14587">
        <f>HYPERLINK("https://www.dofusbook.net/fr/equipement/4202750-enutrof-m-200/objets", "link")</f>
        <v/>
      </c>
      <c r="C14587" t="n">
        <v>1</v>
      </c>
      <c r="D14587" t="inlineStr">
        <is>
          <t>Dagues Açantes; Amulette du Glourséleste; Alliance Gloursonne; Pikano; Bouclier cubiste; Ceinture Glaciale; Binocle Airvoyant; Cape Matelassée; Pikottes; Miraculé majeur; Nomade; Entraveur majeur; Remueur; Survivant majeur; Temporiseur majeur; Volkorne Turquoise</t>
        </is>
      </c>
    </row>
    <row r="14588">
      <c r="A14588" t="inlineStr">
        <is>
          <t>Enutrof M 200</t>
        </is>
      </c>
      <c r="B14588">
        <f>HYPERLINK("https://www.dofusbook.net/fr/equipement/4207865-enutrof-m-200/objets", "link")</f>
        <v/>
      </c>
      <c r="C14588" t="n">
        <v>0</v>
      </c>
      <c r="D14588" t="inlineStr">
        <is>
          <t>Amulette du Glourséleste; Pikano; Anneau de la Fuji Givrefoux; Bouclier cubiste; Ceinture de Kongoku; Maskrobe; Cape de Kongoku</t>
        </is>
      </c>
    </row>
    <row r="14589">
      <c r="A14589" t="inlineStr">
        <is>
          <t>Iop F 200</t>
        </is>
      </c>
      <c r="B14589">
        <f>HYPERLINK("https://www.dofusbook.net/fr/equipement/4063281-iop-f-200/objets", "link")</f>
        <v/>
      </c>
      <c r="C14589" t="n">
        <v>5</v>
      </c>
      <c r="D14589" t="inlineStr">
        <is>
          <t>Arc corrompu; Amulette Séculaire; Bague Gloursonne; Anneau Rifique; Bouclier du Stalak; Ceinture Séculaire; Heaume Oplate; Cape de Diondin; Bottes Innommables; Dofus Pourpre; Dofus Ivoire; Nomade; Érudit majeur; Dévastateur Feu majeur; Vigoureux majeur; Bisouglours</t>
        </is>
      </c>
    </row>
    <row r="14590">
      <c r="A14590" t="inlineStr">
        <is>
          <t>Iop M 200</t>
        </is>
      </c>
      <c r="B14590">
        <f>HYPERLINK("https://www.dofusbook.net/fr/equipement/4173890-iop-m-200/objets", "link")</f>
        <v/>
      </c>
      <c r="C14590" t="n">
        <v>0</v>
      </c>
      <c r="D14590" t="inlineStr"/>
    </row>
    <row r="14591">
      <c r="A14591" t="inlineStr">
        <is>
          <t>Iop terre feu</t>
        </is>
      </c>
      <c r="B14591">
        <f>HYPERLINK("https://www.dofusbook.net/fr/equipement/4060479-iop-terre-feu/objets", "link")</f>
        <v/>
      </c>
      <c r="C14591" t="n">
        <v>4</v>
      </c>
      <c r="D14591" t="inlineStr">
        <is>
          <t>Bâthon; Amulette de Pol Ouatnos; Bague Gloursonne; Chevalière du Roi Joueur; Bouclier du Stalak; Ceintacé; Chapeau de Gein; Voile d'encre; Bottes du Roi Joueur; Dofus Pourpre; Dofus Ivoire; Érudit majeur; Vigoureux majeur; Enragé majeur; Remueur; Cromeugnon</t>
        </is>
      </c>
    </row>
    <row r="14592">
      <c r="A14592" t="inlineStr">
        <is>
          <t>IOP MULTI</t>
        </is>
      </c>
      <c r="B14592">
        <f>HYPERLINK("https://www.dofusbook.net/fr/equipement/3693311-iop-multi/objets", "link")</f>
        <v/>
      </c>
      <c r="C14592" t="n">
        <v>12</v>
      </c>
      <c r="D14592" t="inlineStr">
        <is>
          <t>Hache du Chalœil; Amulette du Strigide; Grésilanneau; Alliance Gloursonne; Quatre-feuilles; Ceinture du Strigide; Le Dorado; Voilamibe; Bottes du Chalœil; Dofus Ivoire; Dofus Pourpre; Dofus Ocre; Dofus Turquoise; Puissant majeur; Vigoureux majeur; Chacha Angora</t>
        </is>
      </c>
    </row>
    <row r="14593">
      <c r="A14593" t="inlineStr">
        <is>
          <t>Crâ M 200</t>
        </is>
      </c>
      <c r="B14593">
        <f>HYPERLINK("https://www.dofusbook.net/fr/equipement/4147979-cra-m-200/objets", "link")</f>
        <v/>
      </c>
      <c r="C14593" t="n">
        <v>0</v>
      </c>
      <c r="D14593" t="inlineStr">
        <is>
          <t>Hache du Chalœil; Amulette du Strigide; Alliance Gloursonne; Bracelet du Piloztère; Quatre-feuilles; Ceinture du Strigide; Le Dorado; Cape au Logis; Bottes du Chalœil; Dofus Pourpre; Dofus Turquoise; Vigoureux majeur; Chanceux majeur; Remueur; Enragé majeur; Chacha Angora</t>
        </is>
      </c>
    </row>
    <row r="14594">
      <c r="A14594" t="inlineStr">
        <is>
          <t>Iop F 200</t>
        </is>
      </c>
      <c r="B14594">
        <f>HYPERLINK("https://www.dofusbook.net/fr/equipement/4063382-iop-f-200/objets", "link")</f>
        <v/>
      </c>
      <c r="C14594" t="n">
        <v>0</v>
      </c>
      <c r="D14594" t="inlineStr">
        <is>
          <t>Arc Hétype; Amulette Séculaire; Anneau Rifique; Anneau de Nidas; Ceinture de Vortex; Cape de Diondin; Bottes Innommables</t>
        </is>
      </c>
    </row>
    <row r="14595">
      <c r="A14595" t="inlineStr">
        <is>
          <t>Iop M 200</t>
        </is>
      </c>
      <c r="B14595">
        <f>HYPERLINK("https://www.dofusbook.net/fr/equipement/4059953-iop-m-200/objets", "link")</f>
        <v/>
      </c>
      <c r="C14595" t="n">
        <v>11</v>
      </c>
      <c r="D14595" t="inlineStr">
        <is>
          <t>Arc Hétype; Amulette Séculaire; Bague Gloursonne; Anneau de Nidas; Quatre-feuilles; Ceinture Séculaire; Casque Dragoeuf; Voile d'encre; Pataugastrique; Dofus Pourpre; Carapace Feu majeur; Carapace Terre majeur; Érudit majeur; Nomade; Remueur; Dragodinde Ivoire et Orchidée</t>
        </is>
      </c>
    </row>
    <row r="14596">
      <c r="A14596" t="inlineStr">
        <is>
          <t>Iop M 200</t>
        </is>
      </c>
      <c r="B14596">
        <f>HYPERLINK("https://www.dofusbook.net/fr/equipement/4060781-iop-m-200/objets", "link")</f>
        <v/>
      </c>
      <c r="C14596" t="n">
        <v>0</v>
      </c>
      <c r="D14596" t="inlineStr">
        <is>
          <t>Arc corrompu; Amulette Séculaire; Anneau de Nidas; Quatre-feuilles; Ceinture Séculaire; Heaume Oplate; Cape Ardente; Pataugastrique</t>
        </is>
      </c>
    </row>
    <row r="14597">
      <c r="A14597" t="inlineStr">
        <is>
          <t>Roublard M 200</t>
        </is>
      </c>
      <c r="B14597">
        <f>HYPERLINK("https://www.dofusbook.net/fr/equipement/4059190-roublard-m-200/objets", "link")</f>
        <v/>
      </c>
      <c r="C14597" t="n">
        <v>0</v>
      </c>
      <c r="D14597" t="inlineStr"/>
    </row>
    <row r="14598">
      <c r="A14598" t="inlineStr">
        <is>
          <t>Zobal M 200</t>
        </is>
      </c>
      <c r="B14598">
        <f>HYPERLINK("https://www.dofusbook.net/fr/equipement/4054956-zobal-m-200/objets", "link")</f>
        <v/>
      </c>
      <c r="C14598" t="n">
        <v>4</v>
      </c>
      <c r="D14598" t="inlineStr">
        <is>
          <t>Arc Volkorne; Amulette du Strigide; Bague Trithon; Bague Gloursonne; Bouclier Taverne; Ceinture du Strigide; Masque Trithon; Cape au Logis; Bottes Trithon; Dofus Turquoise; Dofus Abyssal; Dokoko; Dofus Pourpre; Dofus Émeraude; Dofus Ocre; Kokulte</t>
        </is>
      </c>
    </row>
    <row r="14599">
      <c r="A14599" t="inlineStr">
        <is>
          <t>Zobal M 200</t>
        </is>
      </c>
      <c r="B14599">
        <f>HYPERLINK("https://www.dofusbook.net/fr/equipement/4050095-zobal-m-200/objets", "link")</f>
        <v/>
      </c>
      <c r="C14599" t="n">
        <v>1</v>
      </c>
      <c r="D14599" t="inlineStr">
        <is>
          <t>Marteau R'ture; Collier de Tourthon; Bague Gloursonne; Bague Trithon; Bouclier Taverne; Ceinture Gence; Casque Dragoeuf; Cape au Logis; Bottes Trithon; Dofus Pourpre; Dofus Ocre; Dofus Turquoise; Dofus Abyssal; Vigoureux majeur; Enragé majeur; Kokulte</t>
        </is>
      </c>
    </row>
    <row r="14600">
      <c r="A14600" t="inlineStr">
        <is>
          <t>Zobal M 200</t>
        </is>
      </c>
      <c r="B14600">
        <f>HYPERLINK("https://www.dofusbook.net/fr/equipement/4049958-zobal-m-200/objets", "link")</f>
        <v/>
      </c>
      <c r="C14600" t="n">
        <v>3</v>
      </c>
      <c r="D14600" t="inlineStr">
        <is>
          <t>Arc du Chalœil; Torquistik; Bague Trithon; Bracelet Jande; Bouclier précieux; Sangle Ouare; Casque Dragoeuf; Cape Solution; Bottes Trithon; Dofus Ocre; Dofus Abyssal; Bousculeur majeur; Bousculeur; Culbuteur majeur; Culbuteur; Balafreux</t>
        </is>
      </c>
    </row>
    <row r="14601">
      <c r="A14601" t="inlineStr">
        <is>
          <t>Xélor M 200</t>
        </is>
      </c>
      <c r="B14601">
        <f>HYPERLINK("https://www.dofusbook.net/fr/equipement/4014427-xelor-m-200/objets", "link")</f>
        <v/>
      </c>
      <c r="C14601" t="n">
        <v>1</v>
      </c>
      <c r="D14601" t="inlineStr">
        <is>
          <t>Sceptre du Roi Joueur; Amulette de Shokkoth; Alliance Gloursonne; Bracelet des Fonds marins; Cadran de Terre; Ceintacé; Capuche de l'Œil Attentif; Cape de l'Œil Attentif; Pataugastrique; Étourdisseur majeur; Nomade; Chanceux majeur; Vigoureux majeur; Remueur; Carapace Eau majeur; Kanigloups</t>
        </is>
      </c>
    </row>
    <row r="14602">
      <c r="A14602" t="inlineStr">
        <is>
          <t>Xélor M 200</t>
        </is>
      </c>
      <c r="B14602">
        <f>HYPERLINK("https://www.dofusbook.net/fr/equipement/3981505-xelor-m-200/objets", "link")</f>
        <v/>
      </c>
      <c r="C14602" t="n">
        <v>1</v>
      </c>
      <c r="D14602" t="inlineStr">
        <is>
          <t>Sceptre du Roi Joueur; Amulette de Shokkoth; Alliance Gloursonne; Anneau Tique; Sept ans de malheur; Culotte de Bethel; Kidibonnet; Cape de l'Œil Attentif; Chaussons de Macrab; Dokoko; Étourdisseur majeur; Remueur; Nomade; Chanceux majeur; Carapace Eau majeur; Volkorne Ivoire et Indigo</t>
        </is>
      </c>
    </row>
    <row r="14603">
      <c r="A14603" t="inlineStr">
        <is>
          <t>Eliotrope M 200</t>
        </is>
      </c>
      <c r="B14603">
        <f>HYPERLINK("https://www.dofusbook.net/fr/equipement/3832563-eliotrope-m-200/objets", "link")</f>
        <v/>
      </c>
      <c r="C14603" t="n">
        <v>3</v>
      </c>
      <c r="D14603" t="inlineStr">
        <is>
          <t>Baguette de Malléfisk; Amulette de Nileza; Anneau de Nidas; Bague Gloursonne; Bouclier du Stalak; Ceinture de Vortex; Coiffe Séculaire; Cape de Nileza; Pataugastrique; Dokoko; Carapace Feu majeur; Érudit majeur; Remueur; Astucieux majeur; Nomade; Dragodinde Ivoire et Orchidée</t>
        </is>
      </c>
    </row>
    <row r="14604">
      <c r="A14604" t="inlineStr">
        <is>
          <t>Xélor F 200</t>
        </is>
      </c>
      <c r="B14604">
        <f>HYPERLINK("https://www.dofusbook.net/fr/equipement/3626026-xelor-f-200/objets", "link")</f>
        <v/>
      </c>
      <c r="C14604" t="n">
        <v>2</v>
      </c>
      <c r="D14604" t="inlineStr">
        <is>
          <t>Pelle de la Cour Sombre; Collier du Valet Veinard; Alliance Gloursonne; Gant du Valet Veinard; Bouclier du Stalak; Menoture; Couronne d'Allister; Cape Indescriptible; Palmes Trithons; Dofus Pourpre; Dokoko; Cascadeur majeur; Carapace Air majeur; Nomade; Remueur; Dragodinde Ebène et Ivoire</t>
        </is>
      </c>
    </row>
    <row r="14605">
      <c r="A14605" t="inlineStr">
        <is>
          <t>Xélor F 200</t>
        </is>
      </c>
      <c r="B14605">
        <f>HYPERLINK("https://www.dofusbook.net/fr/equipement/3590387-xelor-f-200/objets", "link")</f>
        <v/>
      </c>
      <c r="C14605" t="n">
        <v>3</v>
      </c>
      <c r="D14605" t="inlineStr"/>
    </row>
    <row r="14606">
      <c r="A14606" t="inlineStr">
        <is>
          <t>Xélor F 200</t>
        </is>
      </c>
      <c r="B14606">
        <f>HYPERLINK("https://www.dofusbook.net/fr/equipement/3617684-xelor-f-200/objets", "link")</f>
        <v/>
      </c>
      <c r="C14606" t="n">
        <v>0</v>
      </c>
      <c r="D14606" t="inlineStr">
        <is>
          <t>Lav'Hache; Collier de Tourthon; Bague Gloursonne; Anneau Chevelu; Bouclier d'Ilyzaelle; Ceinture de la Reine des Voleurs; Coiffe de la Reine des Voleurs; Cape au Logis; Sabots Minables; Dofus Pourpre; Nomade; Remueur; Enragé majeur; Vigoureux majeur; Dragodinde Ivoire et Pourpre</t>
        </is>
      </c>
    </row>
    <row r="14607">
      <c r="A14607" t="inlineStr">
        <is>
          <t>Eliotrope F 200</t>
        </is>
      </c>
      <c r="B14607">
        <f>HYPERLINK("https://www.dofusbook.net/fr/equipement/3593958-eliotrope-f-200/objets", "link")</f>
        <v/>
      </c>
      <c r="C14607" t="n">
        <v>7</v>
      </c>
      <c r="D14607" t="inlineStr">
        <is>
          <t>Baguette Héroclite; Amulette de Shokkoth; Bracelet des Fonds marins; Alliance Gloursonne; Bouclier du Stalak; Poulpagne; Capuche de l'Œil Attentif; Cape Matelassée; Sandales des Fonds marins; Carapace Eau majeur; Vigoureux majeur; Chanceux majeur; Nomade; Carapace Air majeur; Remueur; Dragodinde Indigo et Ivoire</t>
        </is>
      </c>
    </row>
    <row r="14608">
      <c r="A14608" t="inlineStr">
        <is>
          <t>Eliotrope F 200</t>
        </is>
      </c>
      <c r="B14608">
        <f>HYPERLINK("https://www.dofusbook.net/fr/equipement/3594013-eliotrope-f-200/objets", "link")</f>
        <v/>
      </c>
      <c r="C14608" t="n">
        <v>0</v>
      </c>
      <c r="D14608" t="inlineStr"/>
    </row>
    <row r="14609">
      <c r="A14609" t="inlineStr">
        <is>
          <t>Iop M 200</t>
        </is>
      </c>
      <c r="B14609">
        <f>HYPERLINK("https://www.dofusbook.net/fr/equipement/3545380-iop-m-200/objets", "link")</f>
        <v/>
      </c>
      <c r="C14609" t="n">
        <v>12</v>
      </c>
      <c r="D14609" t="inlineStr">
        <is>
          <t>Arc du Chalœil; Collier de Tourthon; Anneau Chevelu; Bague Gloursonne; Bouclier d'Ilyzaelle; Ceinture Gence; Masque de Koutoulou; Cape au Logis; Bottes de la Cour Sombre; Nomade; Forcené majeur; Carapace Terre majeur; Enragé majeur; Remueur; Vigoureux majeur; Dragodinde Ivoire et Pourpre</t>
        </is>
      </c>
    </row>
    <row r="14610">
      <c r="A14610" t="inlineStr">
        <is>
          <t>Osamodas M 200</t>
        </is>
      </c>
      <c r="B14610">
        <f>HYPERLINK("https://www.dofusbook.net/fr/equipement/3543326-osamodas-m-200/objets", "link")</f>
        <v/>
      </c>
      <c r="C14610" t="n">
        <v>2</v>
      </c>
      <c r="D14610" t="inlineStr">
        <is>
          <t>Dagues Érhy; Collier de Tourthon; Pikano; Alliance du Lévitrof; Roncier; Ceinture Gence; Masque de Koutoulou; Cape au Logis; Bottes du Lévitrof; Carapace Terre majeur; Remueur; Carapace Eau majeur; Furibond majeur; Enragé majeur; Muldo Pourpre</t>
        </is>
      </c>
    </row>
    <row r="14611">
      <c r="A14611" t="inlineStr">
        <is>
          <t>Eliotrope M 200</t>
        </is>
      </c>
      <c r="B14611">
        <f>HYPERLINK("https://www.dofusbook.net/fr/equipement/3543312-eliotrope-m-200/objets", "link")</f>
        <v/>
      </c>
      <c r="C14611" t="n">
        <v>0</v>
      </c>
      <c r="D14611" t="inlineStr"/>
    </row>
    <row r="14612">
      <c r="A14612" t="inlineStr">
        <is>
          <t>Roublard F 200</t>
        </is>
      </c>
      <c r="B14612">
        <f>HYPERLINK("https://www.dofusbook.net/fr/equipement/3423682-roublard-f-200/objets", "link")</f>
        <v/>
      </c>
      <c r="C14612" t="n">
        <v>1</v>
      </c>
      <c r="D14612" t="inlineStr">
        <is>
          <t>Pelle de la Cour Sombre; Collier du Valet Veinard; Alliance Gloursonne; Gant du Valet Veinard; Bouclier du Stalak; Menoture; Couronne d'Allister; Cape Indescriptible; Palmes Trithons; Dofus des Glaces; Dofus Abyssal; Dokoko; Cascadeur majeur; Remueur; Vigoureux majeur; Muldo Ebène</t>
        </is>
      </c>
    </row>
    <row r="14613">
      <c r="A14613" t="inlineStr">
        <is>
          <t>Roublard F 200</t>
        </is>
      </c>
      <c r="B14613">
        <f>HYPERLINK("https://www.dofusbook.net/fr/equipement/3394193-roublard-f-200/objets", "link")</f>
        <v/>
      </c>
      <c r="C14613" t="n">
        <v>0</v>
      </c>
      <c r="D14613" t="inlineStr">
        <is>
          <t>Arc du Chalœil; Collier de Tourthon; Anneau Chevelu; Chevalière du Roi Joueur; Bouclier du Stalak; Ceinture Gence; Masque de Koutoulou; Cape au Logis; Bottes du Roi Joueur; Dofus Abyssal; Dofus Émeraude; Observateur; Enragé majeur; Carapace Terre majeur; Muldo Indigo et Pourpre</t>
        </is>
      </c>
    </row>
    <row r="14614">
      <c r="A14614" t="inlineStr">
        <is>
          <t>Roublard F 200</t>
        </is>
      </c>
      <c r="B14614">
        <f>HYPERLINK("https://www.dofusbook.net/fr/equipement/3394584-roublard-f-200/objets", "link")</f>
        <v/>
      </c>
      <c r="C14614" t="n">
        <v>0</v>
      </c>
      <c r="D14614" t="inlineStr">
        <is>
          <t>Arc du Chalœil; Collier de Tourthon; Anneau de Brouce; Bague Gloursonne; Bouclier du Stalak; Ceinture de la Reine des Voleurs; Coiffe de la Reine des Voleurs; Cape au Logis; Baleinabottes; Dofus Abyssal; Dofus Émeraude; Vigoureux majeur; Enragé majeur</t>
        </is>
      </c>
    </row>
    <row r="14615">
      <c r="A14615" t="inlineStr">
        <is>
          <t>Ecaflip M 200</t>
        </is>
      </c>
      <c r="B14615">
        <f>HYPERLINK("https://www.dofusbook.net/fr/equipement/3286100-ecaflip-m-200/objets", "link")</f>
        <v/>
      </c>
      <c r="C14615" t="n">
        <v>3</v>
      </c>
      <c r="D14615" t="inlineStr">
        <is>
          <t>Lav'Hache; Amulette du Strigide; Anneau Chevelu; Bague Trithon; Bouclier Taverne; Ceinture Gence; Masque de Koutoulou; Cape au Logis; Bottes Trithon; Dokoko; Dofus Émeraude; Dofus Ivoire; Bousculeur majeur; Culbuteur majeur; Remueur; Kramkram</t>
        </is>
      </c>
    </row>
    <row r="14616">
      <c r="A14616" t="inlineStr">
        <is>
          <t>Ecaflip M 200</t>
        </is>
      </c>
      <c r="B14616">
        <f>HYPERLINK("https://www.dofusbook.net/fr/equipement/3253329-ecaflip-m-200/objets", "link")</f>
        <v/>
      </c>
      <c r="C14616" t="n">
        <v>1</v>
      </c>
      <c r="D14616" t="inlineStr">
        <is>
          <t>Lav'Hache; Torquistik; Bague Trithon; Anneau de Pol Ouatnos; Bouclier précieux; Ceinture Gence; Casque Dragoeuf; Cape du Cœur Vaillant; Bottistik; Dofus Émeraude; Dofus Ivoire; Remueur; Bousculeur majeur; Pousseur majeur; Culbuteur majeur; Péki</t>
        </is>
      </c>
    </row>
    <row r="14617">
      <c r="A14617" t="inlineStr">
        <is>
          <t>Do pou dofla</t>
        </is>
      </c>
      <c r="B14617">
        <f>HYPERLINK("https://www.dofusbook.net/fr/equipement/3243995-do-pou-dofla/objets", "link")</f>
        <v/>
      </c>
      <c r="C14617" t="n">
        <v>1</v>
      </c>
      <c r="D14617" t="inlineStr">
        <is>
          <t>Lav'Hache; Torquistik; Bague Instable; Anneau de Pol Ouatnos; Bouclier précieux; Ceinture Gence; Casque Dragoeuf; Cape du Cœur Vaillant; Bottistik; Dofus Ivoire; Dofus Émeraude; Remueur; Culbuteur majeur; Bousculeur majeur; Pousseur majeur</t>
        </is>
      </c>
    </row>
    <row r="14618">
      <c r="A14618" t="inlineStr">
        <is>
          <t>arc ahique</t>
        </is>
      </c>
      <c r="B14618">
        <f>HYPERLINK("https://www.dofusbook.net/fr/equipement/2738519-arc-ahique/objets", "link")</f>
        <v/>
      </c>
      <c r="C14618" t="n">
        <v>0</v>
      </c>
      <c r="D14618" t="inlineStr">
        <is>
          <t>Arc Ahique; Alliance Gloursonne; Gant du Valet Veinard; Bouclier du Stalak; Coiffe de la Reine des Voleurs; Cape du Kamasterisk; Bottes du Kamasterisk; Dofus Abyssal; Dofus Pourpre; Dokoko; Dofus Ocre; Robuste majeur; Remueur; Muldo Ebène</t>
        </is>
      </c>
    </row>
    <row r="14619">
      <c r="A14619" t="inlineStr">
        <is>
          <t>full air</t>
        </is>
      </c>
      <c r="B14619">
        <f>HYPERLINK("https://www.dofusbook.net/fr/equipement/2731206-full-air/objets", "link")</f>
        <v/>
      </c>
      <c r="C14619" t="n">
        <v>0</v>
      </c>
      <c r="D14619" t="inlineStr">
        <is>
          <t>Manthache; Collier du Valet Veinard; Alliance Gloursonne; Gant du Valet Veinard; Bouclier du Stalak; Menoture; Couronne d'Allister; Cape Indescriptible; Palmes Trithons; Dofus Ocre; Dofus Pourpre; Dévastateur Air majeur; Cascadeur majeur; Muldo Ebène</t>
        </is>
      </c>
    </row>
    <row r="14620">
      <c r="A14620" t="inlineStr">
        <is>
          <t>corrompue</t>
        </is>
      </c>
      <c r="B14620">
        <f>HYPERLINK("https://www.dofusbook.net/fr/equipement/2731124-corrompue/objets", "link")</f>
        <v/>
      </c>
      <c r="C14620" t="n">
        <v>1</v>
      </c>
      <c r="D14620" t="inlineStr">
        <is>
          <t>Lance corrompue; Amulette du Kamasterisk; Bague Gloursonne; Alliance Gloursonne; Ceinture de Nevark; Chapoulpe; Cape du Kamasterisk; Bottes du Kamasterisk; Dofus Émeraude; Dofus Abyssal; Dofus Pourpre; Dokoko; Dofus Ocre; Robuste majeur; Muldo Ebène et Pourpre</t>
        </is>
      </c>
    </row>
    <row r="14621">
      <c r="A14621" t="inlineStr">
        <is>
          <t>ahique mdr</t>
        </is>
      </c>
      <c r="B14621">
        <f>HYPERLINK("https://www.dofusbook.net/fr/equipement/2568699-ahique-mdr/objets", "link")</f>
        <v/>
      </c>
      <c r="C14621" t="n">
        <v>0</v>
      </c>
      <c r="D14621" t="inlineStr">
        <is>
          <t>Arc Ahique; Collier du Valet Veinard; Gant du Valet Veinard; Alliance Gloursonne; Bouclier du Stalak; Ceinture de la Reine des Voleurs; Coiffe de la Reine des Voleurs; Cape du Valet Veinard; Bottes de la Reine des Voleurs; Dofus Pourpre; Dokoko; Dofus Ocre; Dofus Émeraude; Dofus Abyssal; Examinateur; Muldo Ebène</t>
        </is>
      </c>
    </row>
    <row r="14622">
      <c r="A14622" t="inlineStr">
        <is>
          <t>feu terre</t>
        </is>
      </c>
      <c r="B14622">
        <f>HYPERLINK("https://www.dofusbook.net/fr/equipement/1918294-feu-terre/objets", "link")</f>
        <v/>
      </c>
      <c r="C14622" t="n">
        <v>0</v>
      </c>
      <c r="D14622" t="inlineStr">
        <is>
          <t>Epée Toche; Amulette du Strigide; Chapeau de Gein</t>
        </is>
      </c>
    </row>
    <row r="14623">
      <c r="A14623" t="inlineStr">
        <is>
          <t>eau feu</t>
        </is>
      </c>
      <c r="B14623">
        <f>HYPERLINK("https://www.dofusbook.net/fr/equipement/1918288-eau-feu/objets", "link")</f>
        <v/>
      </c>
      <c r="C14623" t="n">
        <v>0</v>
      </c>
      <c r="D14623" t="inlineStr"/>
    </row>
    <row r="14624">
      <c r="A14624" t="inlineStr">
        <is>
          <t>terre air</t>
        </is>
      </c>
      <c r="B14624">
        <f>HYPERLINK("https://www.dofusbook.net/fr/equipement/1918168-terre-air/objets", "link")</f>
        <v/>
      </c>
      <c r="C14624" t="n">
        <v>1</v>
      </c>
      <c r="D14624" t="inlineStr">
        <is>
          <t>L'Épée Nice; Amulette du Strigide; Bracelet du Piloztère; Alliance Gloursonne; Sept ans de malheur; Ceintouse; Chapoulpe; Cape du Kamasterisk; Baleinabottes; Dofus Pourpre; Dokoko; Dofus Abyssal; Miraculé majeur; Nomade; Remueur; Kramkram</t>
        </is>
      </c>
    </row>
    <row r="14625">
      <c r="A14625" t="inlineStr">
        <is>
          <t>air</t>
        </is>
      </c>
      <c r="B14625">
        <f>HYPERLINK("https://www.dofusbook.net/fr/equipement/1872509-air-/objets", "link")</f>
        <v/>
      </c>
      <c r="C14625" t="n">
        <v>0</v>
      </c>
      <c r="D14625" t="inlineStr">
        <is>
          <t>Manthache; Collier du Valet Veinard; Gant du Valet Veinard; Alliance Gloursonne; Bouclier du Stalak; Menoture; Couronne d'Allister; Cape Indescriptible; Palmes Trithons; Dofus Ocre; Dokoko; Dofus Abyssal; Carapace Air majeur; Nomade; Cascadeur majeur; Pioute jaune</t>
        </is>
      </c>
    </row>
    <row r="14626">
      <c r="A14626" t="inlineStr">
        <is>
          <t>terre air</t>
        </is>
      </c>
      <c r="B14626">
        <f>HYPERLINK("https://www.dofusbook.net/fr/equipement/1873137-terre-air/objets", "link")</f>
        <v/>
      </c>
      <c r="C14626" t="n">
        <v>0</v>
      </c>
      <c r="D14626" t="inlineStr">
        <is>
          <t>Epée Gloursonne; Amulette du Kamasterisk; Bague Gloursonne; Alliance Gloursonne; Bouclier du Stalak; Ceinture de la Reine des Voleurs; Coiffe de la Reine des Voleurs; Cape du Kamasterisk; Bottes du Kamasterisk; Dofus Pourpre; Dofus Abyssal; Dokoko; Dofus Ocre; Equilibriste majeur</t>
        </is>
      </c>
    </row>
    <row r="14627">
      <c r="A14627" t="inlineStr">
        <is>
          <t>Koli 3v3</t>
        </is>
      </c>
      <c r="B14627">
        <f>HYPERLINK("https://www.dofusbook.net/fr/equipement/1868071-koli-3v3/objets", "link")</f>
        <v/>
      </c>
      <c r="C14627" t="n">
        <v>1</v>
      </c>
      <c r="D14627" t="inlineStr">
        <is>
          <t>Arc Hétype; Amulette d'Otomaï; Anneau de Nidas; Anneau Tique; Bivalve; Ceinture de Vortex; Couronne de Nidas; Cape de Diondin; Pataugastrique; Dofus Abyssal; Savant majeur; Érudit majeur; Miraculé majeur; Nomade; Remueur; Muldo Orchidée et Pourpre</t>
        </is>
      </c>
    </row>
    <row r="14628">
      <c r="A14628" t="inlineStr">
        <is>
          <t>tggggg</t>
        </is>
      </c>
      <c r="B14628">
        <f>HYPERLINK("https://www.dofusbook.net/fr/equipement/1858140-tggggg/objets", "link")</f>
        <v/>
      </c>
      <c r="C14628" t="n">
        <v>1</v>
      </c>
      <c r="D14628" t="inlineStr">
        <is>
          <t>L'Épée Nice; Amulette du Strigide; Bague Gloursonne; Bracelet du Piloztère; Bouclier du Stalak; Ceinture de Gein; Chapeau de Gein; Voile d'encre; Baleinabottes; Dofus Pourpre; Dofus Abyssal; Dofus Ocre; Dokoko; Nomade; Vigoureux majeur; Kramkram</t>
        </is>
      </c>
    </row>
    <row r="14629">
      <c r="A14629" t="inlineStr">
        <is>
          <t>dreadfull</t>
        </is>
      </c>
      <c r="B14629">
        <f>HYPERLINK("https://www.dofusbook.net/fr/equipement/1737012-dreadfull/objets", "link")</f>
        <v/>
      </c>
      <c r="C14629" t="n">
        <v>0</v>
      </c>
      <c r="D14629" t="inlineStr">
        <is>
          <t>L'Épée Nice; Amulette du Strigide; Bracelet du Piloztère; Bague Gloursonne; Bivalve; Ceinture de Gein; Chapeau de Gein; Voile d'encre; Baleinabottes; Dofus Abyssal; Dofus Pourpre; Dokoko; Remueur; Carapace Terre majeur; Nomade; Kramkram</t>
        </is>
      </c>
    </row>
    <row r="14630">
      <c r="A14630" t="inlineStr">
        <is>
          <t>reseau sa mere</t>
        </is>
      </c>
      <c r="B14630">
        <f>HYPERLINK("https://www.dofusbook.net/fr/equipement/1854260-reseau-sa-mere/objets", "link")</f>
        <v/>
      </c>
      <c r="C14630" t="n">
        <v>1</v>
      </c>
      <c r="D14630" t="inlineStr">
        <is>
          <t>Epée Gloursonne; Amulette de Gein; Alliance Gloursonne; Bague Gloursonne; Bivalve; Ceinture de Gein; Chapeau de Gein; Voile d'encre; Bottes du Cycloïde; Dofus Ocre; Dofus Émeraude; Dokoko; Dofus Pourpre; Dofus Abyssal; Puissant majeur; Muldo Ebène et Pourpre</t>
        </is>
      </c>
    </row>
    <row r="14631">
      <c r="A14631" t="inlineStr">
        <is>
          <t>fils de puteuh</t>
        </is>
      </c>
      <c r="B14631">
        <f>HYPERLINK("https://www.dofusbook.net/fr/equipement/1541998-fils-de-puteuh/objets", "link")</f>
        <v/>
      </c>
      <c r="C14631" t="n">
        <v>1</v>
      </c>
      <c r="D14631" t="inlineStr">
        <is>
          <t>Epée Maudite du Saigneur Guerrier; Amulette du Strigide; Anneau de Padgref; Bague Gloursonne; Ceinture du Strigide; Coiffe de Padgref; Cape d'Atcham; Getas de Padgref; Dofus Turquoise; Dofus Pourpre; Dofus Ocre; Dofus Abyssal; Puissant majeur; Muldo Prune et Emeraude</t>
        </is>
      </c>
    </row>
    <row r="14632">
      <c r="A14632" t="inlineStr">
        <is>
          <t>cricritcrit</t>
        </is>
      </c>
      <c r="B14632">
        <f>HYPERLINK("https://www.dofusbook.net/fr/equipement/1847184-cricritcrit/objets", "link")</f>
        <v/>
      </c>
      <c r="C14632" t="n">
        <v>0</v>
      </c>
      <c r="D14632" t="inlineStr">
        <is>
          <t>Epée Maudite du Saigneur Guerrier; Amulette du Strigide; Bague Trithon; Anneau de Padgref; Quatre-feuilles; Ceinture du Strigide; Masque Trithon; Cape d'Atcham; Bottes Trithon; Dofus Turquoise; Dofus Ocre; Dofus Pourpre; Dofus Abyssal; Puissant majeur; Muldo Prune et Emeraude</t>
        </is>
      </c>
    </row>
    <row r="14633">
      <c r="A14633" t="inlineStr">
        <is>
          <t>unvun</t>
        </is>
      </c>
      <c r="B14633">
        <f>HYPERLINK("https://www.dofusbook.net/fr/equipement/1845122-unvun/objets", "link")</f>
        <v/>
      </c>
      <c r="C14633" t="n">
        <v>1</v>
      </c>
      <c r="D14633" t="inlineStr">
        <is>
          <t>Épée d'Otomaï; Pendentif affamé; Anneau Tamie; Anneau Tamie; Bouclier du Stalak; Ceinture Séculaire; Coiffe Séculaire; Cape de Diondin; Bottes Innommables; Dokoko; Dofus Abyssal; Remueur; Dévastateur Feu majeur; Nomade; Érudit majeur; Dragodinde Emeraude et Rousse</t>
        </is>
      </c>
    </row>
    <row r="14634">
      <c r="A14634" t="inlineStr">
        <is>
          <t>feu</t>
        </is>
      </c>
      <c r="B14634">
        <f>HYPERLINK("https://www.dofusbook.net/fr/equipement/1844497-feu/objets", "link")</f>
        <v/>
      </c>
      <c r="C14634" t="n">
        <v>1</v>
      </c>
      <c r="D14634" t="inlineStr">
        <is>
          <t>Arc Hétype; Pendentif affamé; Anneau Tamie; Anneau Tamie; Bivalve; Ceinture Séculaire; Coiffe Séculaire; Cape de Diondin; Pataugastrique; Dokoko; Dofus Abyssal; Nomade; Érudit majeur; Remueur; Savant majeur; Dragodinde Emeraude et Orchidée</t>
        </is>
      </c>
    </row>
    <row r="14635">
      <c r="A14635" t="inlineStr">
        <is>
          <t>Feu-Air</t>
        </is>
      </c>
      <c r="B14635">
        <f>HYPERLINK("https://www.dofusbook.net/fr/equipement/1294596-feu-air/objets", "link")</f>
        <v/>
      </c>
      <c r="C14635" t="n">
        <v>0</v>
      </c>
      <c r="D14635" t="inlineStr">
        <is>
          <t>Baguette Range; Amulette du Strigide; Bague Gloursonne; Anneau de Padgref; Bivalve; Ceinture du Strigide; Coiffe de Padgref; Cape Hiculteur; Getas de Padgref; Dofus Émeraude; Dofus Pourpre; Dofus Ocre; Dofus Turquoise; Dofus Abyssal; Puissant majeur; Muldo Doré et Orchidée</t>
        </is>
      </c>
    </row>
    <row r="14636">
      <c r="A14636" t="inlineStr">
        <is>
          <t>new air</t>
        </is>
      </c>
      <c r="B14636">
        <f>HYPERLINK("https://www.dofusbook.net/fr/equipement/1787606-new-air/objets", "link")</f>
        <v/>
      </c>
      <c r="C14636" t="n">
        <v>0</v>
      </c>
      <c r="D14636" t="inlineStr">
        <is>
          <t>Manthache; Collier du Valet Veinard; Alliance Gloursonne; Menoture; Chapoulpe; Cape Indescriptible; Palmes Trithons; Paralyseur majeur; Étourdisseur majeur</t>
        </is>
      </c>
    </row>
    <row r="14637">
      <c r="A14637" t="inlineStr">
        <is>
          <t>Alain-Eudeline</t>
        </is>
      </c>
      <c r="B14637">
        <f>HYPERLINK("https://www.dofusbook.net/fr/equipement/1753058-alain-eudeline/objets", "link")</f>
        <v/>
      </c>
      <c r="C14637" t="n">
        <v>0</v>
      </c>
      <c r="D14637" t="inlineStr">
        <is>
          <t>Marteau Phossile; Pendentif mignon de Koutoulou; Anneau de Padgref; Bague Gloursonne; Ceinture de Vortex; Casque Cyclopéen; Cape Parition; Pantoufles Émar; Dofus Turquoise; Dofus Ocre; Vigoureux majeur; Cascadeur majeur; Érudit majeur; Nomade; Muldo Orchidée et Pourpre</t>
        </is>
      </c>
    </row>
    <row r="14638">
      <c r="A14638" t="inlineStr">
        <is>
          <t>Jeder</t>
        </is>
      </c>
      <c r="B14638">
        <f>HYPERLINK("https://www.dofusbook.net/fr/equipement/1711293-jeder/objets", "link")</f>
        <v/>
      </c>
      <c r="C14638" t="n">
        <v>1</v>
      </c>
      <c r="D14638" t="inlineStr">
        <is>
          <t>Manthache; Collier du Valet Veinard; Alliance Gloursonne; Gant du Valet Veinard; Menoture; Couronne d'Allister; Cape Indescriptible; Palmes Trithons; Dofus Ocre; Dofus Pourpre; Dofus Émeraude; Dokoko; Nomade; Cascadeur majeur; Muldo Ebène</t>
        </is>
      </c>
    </row>
    <row r="14639">
      <c r="A14639" t="inlineStr">
        <is>
          <t>stuff air</t>
        </is>
      </c>
      <c r="B14639">
        <f>HYPERLINK("https://www.dofusbook.net/fr/equipement/1721704-stuff-air-/objets", "link")</f>
        <v/>
      </c>
      <c r="C14639" t="n">
        <v>1</v>
      </c>
      <c r="D14639" t="inlineStr">
        <is>
          <t>Manthache; Collier du Valet Veinard; Gant du Valet Veinard; Anneau d'Allister; Slip Iholo; Couronne d'Allister; Cape du Valet Veinard; Bottes d'Allister</t>
        </is>
      </c>
    </row>
    <row r="14640">
      <c r="A14640" t="inlineStr">
        <is>
          <t>Feu</t>
        </is>
      </c>
      <c r="B14640">
        <f>HYPERLINK("https://www.dofusbook.net/fr/equipement/1711127-feu/objets", "link")</f>
        <v/>
      </c>
      <c r="C14640" t="n">
        <v>2</v>
      </c>
      <c r="D14640" t="inlineStr">
        <is>
          <t>Plumeau Bil; Talisman Igans; Bague Gloursonne; Anneau Tamie; Bivalve; Ceintrigue; Chapeau de Gein; Cape de Diondin; Bottes Innommables; Dofus Pourpre; Nomade; Érudit majeur; Vigoureux majeur</t>
        </is>
      </c>
    </row>
    <row r="14641">
      <c r="A14641" t="inlineStr">
        <is>
          <t>Jeder</t>
        </is>
      </c>
      <c r="B14641">
        <f>HYPERLINK("https://www.dofusbook.net/fr/equipement/1710663-jeder/objets", "link")</f>
        <v/>
      </c>
      <c r="C14641" t="n">
        <v>0</v>
      </c>
      <c r="D14641" t="inlineStr">
        <is>
          <t>Manthache; Collier du Valet Veinard; Gant du Valet Veinard; Alliance Gloursonne; Sept ans de malheur; Menoture; Couronne d'Allister; Cape Indescriptible; Palmes Trithons; Dokoko; Remueur; Carapace Air majeur; Paralyseur majeur; Nomade; Étourdisseur majeur</t>
        </is>
      </c>
    </row>
    <row r="14642">
      <c r="A14642" t="inlineStr">
        <is>
          <t>air</t>
        </is>
      </c>
      <c r="B14642">
        <f>HYPERLINK("https://www.dofusbook.net/fr/equipement/1533377-air/objets", "link")</f>
        <v/>
      </c>
      <c r="C14642" t="n">
        <v>0</v>
      </c>
      <c r="D14642" t="inlineStr">
        <is>
          <t>Manthache; Collier du Valet Veinard; Alliance Gloursonne; Gant du Valet Veinard; Menoture; Chapoulpe; Cape Matelassée; Palmes Trithons; Dofus Pourpre; Dofus Émeraude; Dokoko; Remueur; Carapace Air majeur; Cascadeur majeur; Muldo Ebène</t>
        </is>
      </c>
    </row>
    <row r="14643">
      <c r="A14643" t="inlineStr">
        <is>
          <t>Terre-ral PA</t>
        </is>
      </c>
      <c r="B14643">
        <f>HYPERLINK("https://www.dofusbook.net/fr/equipement/1694705-terre-ral-pa/objets", "link")</f>
        <v/>
      </c>
      <c r="C14643" t="n">
        <v>0</v>
      </c>
      <c r="D14643" t="inlineStr">
        <is>
          <t>Épée de la Reine des Voleurs; Chapoulpe</t>
        </is>
      </c>
    </row>
    <row r="14644">
      <c r="A14644" t="inlineStr">
        <is>
          <t>DAGUE DE SRAMBAD</t>
        </is>
      </c>
      <c r="B14644">
        <f>HYPERLINK("https://www.dofusbook.net/fr/equipement/1651255-dague-de-srambad/objets", "link")</f>
        <v/>
      </c>
      <c r="C14644" t="n">
        <v>0</v>
      </c>
      <c r="D14644" t="inlineStr">
        <is>
          <t>Dagues de Srambad; Amulette du Strigide; Bracelet du Piloztère; Alliance du Lévitrof; Bouclier Taverne; Ceinture de la Reine des Voleurs; Masque de Koutoulou; Cape des Justiciers; Bottes du Lévitrof; Dofus Pourpre; Nomade; Remueur; Puissant majeur; Enragé majeur; Chanceux majeur; Muldo Indigo</t>
        </is>
      </c>
    </row>
    <row r="14645">
      <c r="A14645" t="inlineStr">
        <is>
          <t>ARC KOUTOULOU</t>
        </is>
      </c>
      <c r="B14645">
        <f>HYPERLINK("https://www.dofusbook.net/fr/equipement/1641282-arc-koutoulou/objets", "link")</f>
        <v/>
      </c>
      <c r="C14645" t="n">
        <v>0</v>
      </c>
      <c r="D14645" t="inlineStr">
        <is>
          <t>Arc de Koutoulou; Amulette Voldelor; Anneau du Korriandre; Alliance Gloursonne; Bivalve; Ceinture Voldelor; Masque du Barbétoal; Cape Matelassée; Pantoufles Émar; Carapace Air majeur; Miraculé majeur; Nomade; Paralyseur majeur; Remueur; Étourdisseur majeur; Muldo Ebène et Indigo</t>
        </is>
      </c>
    </row>
    <row r="14646">
      <c r="A14646" t="inlineStr">
        <is>
          <t>BAGUETTE RANGE</t>
        </is>
      </c>
      <c r="B14646">
        <f>HYPERLINK("https://www.dofusbook.net/fr/equipement/1639162-baguette-range/objets", "link")</f>
        <v/>
      </c>
      <c r="C14646" t="n">
        <v>0</v>
      </c>
      <c r="D14646" t="inlineStr"/>
    </row>
    <row r="14647">
      <c r="A14647" t="inlineStr">
        <is>
          <t>MARTORTURE</t>
        </is>
      </c>
      <c r="B14647">
        <f>HYPERLINK("https://www.dofusbook.net/fr/equipement/1639096-martorture/objets", "link")</f>
        <v/>
      </c>
      <c r="C14647" t="n">
        <v>2</v>
      </c>
      <c r="D14647" t="inlineStr">
        <is>
          <t>Marteau R'ture; Amulette du Strigide; Anneau de Brouce; Bague Gloursonne; Bouclier Pandawa; Ceinture du Strigide; Masque de Koutoulou; Cape au Logis; Bottes de la Cour Sombre; Dofus Pourpre; Dofus Ocre; Dofus Turquoise; Enragé majeur; Nomade; Vigoureux majeur; El Scarador</t>
        </is>
      </c>
    </row>
    <row r="14648">
      <c r="A14648" t="inlineStr">
        <is>
          <t>HEQACHE</t>
        </is>
      </c>
      <c r="B14648">
        <f>HYPERLINK("https://www.dofusbook.net/fr/equipement/1638955-heqache/objets", "link")</f>
        <v/>
      </c>
      <c r="C14648" t="n">
        <v>2</v>
      </c>
      <c r="D14648" t="inlineStr">
        <is>
          <t>Héqache; Amulette du Strigide; Anneau de Padgref; Bague Gloursonne; Bouclier Pandawa; Ceinture du Strigide; Masque de Koutoulou; Cape au Logis; Baleinabottes; Dofus Turquoise; Dofus Pourpre; Dofus Ocre; Enragé majeur; Carapace Terre majeur; Vigoureux majeur; Muldo Pourpre et Emeraude</t>
        </is>
      </c>
    </row>
    <row r="14649">
      <c r="A14649" t="inlineStr">
        <is>
          <t>EPEE TOCHE</t>
        </is>
      </c>
      <c r="B14649">
        <f>HYPERLINK("https://www.dofusbook.net/fr/equipement/1638820-epee-toche/objets", "link")</f>
        <v/>
      </c>
      <c r="C14649" t="n">
        <v>2</v>
      </c>
      <c r="D14649" t="inlineStr">
        <is>
          <t>Epée Toche; Amulette du Strigide; Bague Gloursonne; Anneau de Brouce; Ceinture du Strigide; Chapeau de Gein; Cape au Logis; Sabots Minables; Dofus Pourpre; Dofus Ocre; Dofus Turquoise; Enragé majeur; Nomade; Vigoureux majeur; Kramkram</t>
        </is>
      </c>
    </row>
    <row r="14650">
      <c r="A14650" t="inlineStr">
        <is>
          <t>tank</t>
        </is>
      </c>
      <c r="B14650">
        <f>HYPERLINK("https://www.dofusbook.net/fr/equipement/1616092-tank/objets", "link")</f>
        <v/>
      </c>
      <c r="C14650" t="n">
        <v>0</v>
      </c>
      <c r="D14650" t="inlineStr">
        <is>
          <t>Epée Toche; Amulette du Strigide; Bague Gloursonne; Anneau de Brouce; Bouclier Pandawa; Ceinture du Strigide; Dofus Pourpre; Dofus Turquoise; Enragé majeur; Remueur; Nomade; Vigoureux majeur</t>
        </is>
      </c>
    </row>
    <row r="14651">
      <c r="A14651" t="inlineStr">
        <is>
          <t>stuff atcham</t>
        </is>
      </c>
      <c r="B14651">
        <f>HYPERLINK("https://www.dofusbook.net/fr/equipement/1280256-stuff-atcham/objets", "link")</f>
        <v/>
      </c>
      <c r="C14651" t="n">
        <v>0</v>
      </c>
      <c r="D14651" t="inlineStr">
        <is>
          <t>Sabres d'Atcham; Amulette du Strigide; Bague Gloursonne; Anneau de Padgref; Ceinture du Strigide; Coiffe de Padgref; Cape d'Atcham; Getas de Padgref; Dofus Émeraude; Dofus Turquoise; Dofus Pourpre; Dofus Ocre; Muldo Prune et Indigo</t>
        </is>
      </c>
    </row>
    <row r="14652">
      <c r="A14652" t="inlineStr">
        <is>
          <t>feu-terre-alain</t>
        </is>
      </c>
      <c r="B14652">
        <f>HYPERLINK("https://www.dofusbook.net/fr/equipement/1615776-feu-terre-alain/objets", "link")</f>
        <v/>
      </c>
      <c r="C14652" t="n">
        <v>1</v>
      </c>
      <c r="D14652" t="inlineStr">
        <is>
          <t>Dagues Érhy; Amulette du Strigide; Anneau de Brouce; Bague Gloursonne; Ceintacé; Masque de Koutoulou; Cape au Logis; Bottes du Strigide; Dofus Émeraude; Dofus Pourpre; Dofus Turquoise; Enragé majeur; Vigoureux majeur; Muldo Doré et Pourpre</t>
        </is>
      </c>
    </row>
    <row r="14653">
      <c r="A14653" t="inlineStr">
        <is>
          <t>alain le maitre</t>
        </is>
      </c>
      <c r="B14653">
        <f>HYPERLINK("https://www.dofusbook.net/fr/equipement/1615672-alain-le-maitre/objets", "link")</f>
        <v/>
      </c>
      <c r="C14653" t="n">
        <v>2</v>
      </c>
      <c r="D14653" t="inlineStr">
        <is>
          <t>Marteau R'ture; Amulette du Strigide; Anneau Crustique; Bague Gloursonne; Bouclier Taverne; Ceinture du Strigide; Masque de Koutoulou; Cape au Logis; Bottes du Lévitrof; Dofus Turquoise; Dofus Ocre; Carapace Terre majeur; Nomade; Carapace Feu majeur; Enragé majeur; Kramkram</t>
        </is>
      </c>
    </row>
    <row r="14654">
      <c r="A14654" t="inlineStr">
        <is>
          <t>Eau</t>
        </is>
      </c>
      <c r="B14654">
        <f>HYPERLINK("https://www.dofusbook.net/fr/equipement/1548991-eau/objets", "link")</f>
        <v/>
      </c>
      <c r="C14654" t="n">
        <v>1</v>
      </c>
      <c r="D14654" t="inlineStr">
        <is>
          <t>Rapière aux Glyphes; Amulette de Danathor; Anneau du Professeur Xa; Alliance Gloursonne; Bivalve; Ceintacé; Coiffe de Danathor; Cape Matelassée; Pataugastrique; Bousculeur; Bousculeur majeur; Culbuteur; Miraculé majeur; Pousseur majeur; Culbuteur majeur; Muldo Indigo et Orchidée</t>
        </is>
      </c>
    </row>
    <row r="14655">
      <c r="A14655" t="inlineStr">
        <is>
          <t>Zozo alain</t>
        </is>
      </c>
      <c r="B14655">
        <f>HYPERLINK("https://www.dofusbook.net/fr/equipement/1548929-zozo-alain/objets", "link")</f>
        <v/>
      </c>
      <c r="C14655" t="n">
        <v>1</v>
      </c>
      <c r="D14655" t="inlineStr">
        <is>
          <t>Marteau R'ture; Amulette du Strigide; Anneau Crustique; Anneau Crustique; La Rondelle; Ceinture du Strigide; Masque de Koutoulou; Cape au Logis; Sabots Minables; Dofus Émeraude; Dofus Pourpre; Enragé majeur; Vigoureux majeur; Remueur; Miraculé majeur; Muldo Doré et Pourpre</t>
        </is>
      </c>
    </row>
    <row r="14656">
      <c r="A14656" t="inlineStr">
        <is>
          <t>full air</t>
        </is>
      </c>
      <c r="B14656">
        <f>HYPERLINK("https://www.dofusbook.net/fr/equipement/1542108-full-air/objets", "link")</f>
        <v/>
      </c>
      <c r="C14656" t="n">
        <v>0</v>
      </c>
      <c r="D14656" t="inlineStr">
        <is>
          <t>Manthache; Collier du Valet Veinard; Anneau d'Allister; Gant du Valet Veinard; Menoture; Couronne d'Allister; Cape du Valet Veinard; Bottes d'Allister; Dofus Émeraude; Dofus Ocre; Dokoko; Voyageur; Equilibriste majeur; Robuste majeur; Muldo Doré</t>
        </is>
      </c>
    </row>
    <row r="14657">
      <c r="A14657" t="inlineStr">
        <is>
          <t>terre stuff 1 kouto</t>
        </is>
      </c>
      <c r="B14657">
        <f>HYPERLINK("https://www.dofusbook.net/fr/equipement/1533415-terre-stuff-1-kouto/objets", "link")</f>
        <v/>
      </c>
      <c r="C14657" t="n">
        <v>0</v>
      </c>
      <c r="D14657" t="inlineStr">
        <is>
          <t>Marteau R'ture; Amulette du Strigide; Anneau de Brouce; Bague Gloursonne; Bivalve; Ceinture du Strigide; Casque des égarés; Cape au Logis; Sabots Minables; Dofus Pourpre; Puissant majeur; Nomade; Enragé majeur; Vigoureux majeur; Remueur</t>
        </is>
      </c>
    </row>
    <row r="14658">
      <c r="A14658" t="inlineStr">
        <is>
          <t>stri glours</t>
        </is>
      </c>
      <c r="B14658">
        <f>HYPERLINK("https://www.dofusbook.net/fr/equipement/1426460-stri-glours/objets", "link")</f>
        <v/>
      </c>
      <c r="C14658" t="n">
        <v>0</v>
      </c>
      <c r="D14658" t="inlineStr">
        <is>
          <t>Epée Gloursonne; Amulette du Strigide; Alliance Gloursonne; Bague Gloursonne; Bouclier du Captain Amakna; Ceinture du Strigide; Coiffe de la Fuji Givrefoux; Cape de la Fuji Givrefoux; Bottes du Strigide; Dofus Émeraude; Dokoko; Dolmanax; Dofus Turquoise; Dofus Pourpre; Dofus Ocre; Muldo Prune et Emeraude</t>
        </is>
      </c>
    </row>
    <row r="14659">
      <c r="A14659" t="inlineStr">
        <is>
          <t>stuff200defdpdemerde</t>
        </is>
      </c>
      <c r="B14659">
        <f>HYPERLINK("https://www.dofusbook.net/fr/equipement/1410181-stuff200defdpdemerde/objets", "link")</f>
        <v/>
      </c>
      <c r="C14659" t="n">
        <v>0</v>
      </c>
      <c r="D14659" t="inlineStr">
        <is>
          <t>Epée Gloursonne; Amulette du Strigide; Bague Gloursonne; Alliance Gloursonne; Ceinture du Strigide; Le Dorado; Cape d'Atcham; Bottes du Strigide; Dofus Pourpre; Muldo Prune et Doré</t>
        </is>
      </c>
    </row>
    <row r="14660">
      <c r="A14660" t="inlineStr">
        <is>
          <t>petasse</t>
        </is>
      </c>
      <c r="B14660">
        <f>HYPERLINK("https://www.dofusbook.net/fr/equipement/1345280-petasse/objets", "link")</f>
        <v/>
      </c>
      <c r="C14660" t="n">
        <v>0</v>
      </c>
      <c r="D14660" t="inlineStr"/>
    </row>
    <row r="14661">
      <c r="A14661" t="inlineStr">
        <is>
          <t>jesaispasputain</t>
        </is>
      </c>
      <c r="B14661">
        <f>HYPERLINK("https://www.dofusbook.net/fr/equipement/1362949-jesaispasputain/objets", "link")</f>
        <v/>
      </c>
      <c r="C14661" t="n">
        <v>0</v>
      </c>
      <c r="D14661" t="inlineStr">
        <is>
          <t>Epée Gloursonne; Bague Gloursonne; Alliance Gloursonne</t>
        </is>
      </c>
    </row>
    <row r="14662">
      <c r="A14662" t="inlineStr">
        <is>
          <t>tochesameredeouf</t>
        </is>
      </c>
      <c r="B14662">
        <f>HYPERLINK("https://www.dofusbook.net/fr/equipement/1353225-tochesameredeouf/objets", "link")</f>
        <v/>
      </c>
      <c r="C14662" t="n">
        <v>3</v>
      </c>
      <c r="D14662" t="inlineStr">
        <is>
          <t>Marteau R'ture; Amulette du Strigide; Bague Gloursonne; Anneau de Brouce; La Rondelle; Ceinture du Strigide; Masque de Koutoulou; Cape au Logis; Sabots Minables; Dofus Pourpre; Dofus Émeraude; Enragé majeur; Vigoureux majeur; Remueur; Forcené majeur; Muldo Doré et Pourpre</t>
        </is>
      </c>
    </row>
    <row r="14663">
      <c r="A14663" t="inlineStr">
        <is>
          <t>nouvelleputedemerde</t>
        </is>
      </c>
      <c r="B14663">
        <f>HYPERLINK("https://www.dofusbook.net/fr/equipement/1349378-nouvelleputedemerde/objets", "link")</f>
        <v/>
      </c>
      <c r="C14663" t="n">
        <v>0</v>
      </c>
      <c r="D14663" t="inlineStr">
        <is>
          <t>Racine Hueuse; Alliance Gloursonne; Bague Gloursonne; Bouclier d'Asse; Slip Iholo; Bonnet Ko; Cape Peupret; Chaussures Hau; Dofus Pourpre; Remueur; Enragé majeur; Vigoureux majeur; Chanceux majeur; Nomade; Muldo Prune et Doré</t>
        </is>
      </c>
    </row>
    <row r="14664">
      <c r="A14664" t="inlineStr">
        <is>
          <t>salopepute</t>
        </is>
      </c>
      <c r="B14664">
        <f>HYPERLINK("https://www.dofusbook.net/fr/equipement/1345329-salopepute/objets", "link")</f>
        <v/>
      </c>
      <c r="C14664" t="n">
        <v>1</v>
      </c>
      <c r="D14664" t="inlineStr">
        <is>
          <t>Hache du Guerrier Zoth; Racine Hueuse; Bague Gloursonne; Anneau du Père Fwetar; Quatre-feuilles; Ceinture du Père Fwetar; Chapeau Lisson; Cape Peupret; Chaussures Hau; Dofus Pourpre; Chanceux majeur; Nomade; Remueur; Enragé majeur; Vigoureux majeur; Muldo Prune et Doré</t>
        </is>
      </c>
    </row>
    <row r="14665">
      <c r="A14665" t="inlineStr">
        <is>
          <t>full vita</t>
        </is>
      </c>
      <c r="B14665">
        <f>HYPERLINK("https://www.dofusbook.net/fr/equipement/1314247-full-vita/objets", "link")</f>
        <v/>
      </c>
      <c r="C14665" t="n">
        <v>2</v>
      </c>
      <c r="D14665" t="inlineStr"/>
    </row>
    <row r="14666">
      <c r="A14666" t="inlineStr">
        <is>
          <t>Air</t>
        </is>
      </c>
      <c r="B14666">
        <f>HYPERLINK("https://www.dofusbook.net/fr/equipement/1311490-air/objets", "link")</f>
        <v/>
      </c>
      <c r="C14666" t="n">
        <v>0</v>
      </c>
      <c r="D14666" t="inlineStr">
        <is>
          <t>Hachoirs de Viandargh; Kralamansion; Anneau d'Allister; Alliance Gloursonne; Ceinture Rasboulaire du Rasboul; Couronne d'Allister; Cape Matelassée; Pantoufles Émar; Dofus Émeraude; Dofus Pourpre; Cascadeur majeur; Nomade; Vigoureux majeur; Remueur; Muldo Doré et Orchidée</t>
        </is>
      </c>
    </row>
    <row r="14667">
      <c r="A14667" t="inlineStr">
        <is>
          <t>Eau-Air</t>
        </is>
      </c>
      <c r="B14667">
        <f>HYPERLINK("https://www.dofusbook.net/fr/equipement/1300668-eau-air/objets", "link")</f>
        <v/>
      </c>
      <c r="C14667" t="n">
        <v>0</v>
      </c>
      <c r="D14667" t="inlineStr">
        <is>
          <t>Epée Loponèze; Amulette d'Hel Munster; Anneau du Professeur Xa; Alliance Gloursonne; Bouclier d'Asse; Slip du Roi de Bonta; Coiffe d'Hel Munster; Cape Matelassée; Chaussures Face; Dofus Pourpre; Dofus Émeraude; Vigoureux majeur; Cascadeur majeur; Remueur; Chanceux majeur; Muldo Doré et Pourpre</t>
        </is>
      </c>
    </row>
    <row r="14668">
      <c r="A14668" t="inlineStr">
        <is>
          <t>Feu-Air</t>
        </is>
      </c>
      <c r="B14668">
        <f>HYPERLINK("https://www.dofusbook.net/fr/equipement/1300679-feu-air/objets", "link")</f>
        <v/>
      </c>
      <c r="C14668" t="n">
        <v>3</v>
      </c>
      <c r="D14668" t="inlineStr">
        <is>
          <t>Canne Harr; Col de Ush; Gelano; Anneau de Padgref; Bouclier d'Asse; Ceinture du Tengu Givrefoux; Coiffe de Padgref; Cape Hiculteur; Pantoufles Émar; Dofus Pourpre; Dofus Émeraude; Vigoureux majeur; Cascadeur majeur; Remueur; Érudit majeur; Muldo Doré et Orchidée</t>
        </is>
      </c>
    </row>
    <row r="14669">
      <c r="A14669" t="inlineStr">
        <is>
          <t>stuff air</t>
        </is>
      </c>
      <c r="B14669">
        <f>HYPERLINK("https://www.dofusbook.net/fr/equipement/1280291-stuff-air/objets", "link")</f>
        <v/>
      </c>
      <c r="C14669" t="n">
        <v>0</v>
      </c>
      <c r="D14669" t="inlineStr">
        <is>
          <t>Hachoirs de Viandargh; Frimamulette; Alliance Gloursonne; Ceinture de Klime; Couronne d'Allister; Cape de Klime; Pantoufles Émar</t>
        </is>
      </c>
    </row>
    <row r="14670">
      <c r="A14670" t="inlineStr">
        <is>
          <t>stuff feu air no200</t>
        </is>
      </c>
      <c r="B14670">
        <f>HYPERLINK("https://www.dofusbook.net/fr/equipement/1280168-stuff-feu-air-no200/objets", "link")</f>
        <v/>
      </c>
      <c r="C14670" t="n">
        <v>0</v>
      </c>
      <c r="D14670" t="inlineStr">
        <is>
          <t>Canne Harr; Frimamulette; Bague Gloursonne; Anneau de Padgref; Ceinture de Klime; Coiffe de Padgref; Cape Hiculteur; Getas de Padgref; Dofus Émeraude; Dofus Turquoise; Dofus Pourpre; Dofus Ocre; Savant majeur; Acrobate majeur; Muldo Prune et Emeraude</t>
        </is>
      </c>
    </row>
    <row r="14671">
      <c r="A14671" t="inlineStr">
        <is>
          <t>stuff terre feu</t>
        </is>
      </c>
      <c r="B14671">
        <f>HYPERLINK("https://www.dofusbook.net/fr/equipement/1200261-stuff-terre-feu/objets", "link")</f>
        <v/>
      </c>
      <c r="C14671" t="n">
        <v>2</v>
      </c>
      <c r="D14671" t="inlineStr">
        <is>
          <t>Epée Toche; Amulette du Strigide; Bague Gloursonne; Anneau Chevelu; Ceinture du Strigide; Bonnet Ko; Cape au Logis; Bottes du Roi Joueur; Dofus Pourpre; Dofus Ocre; Dofus Émeraude; Remueur; Nomade; Vigoureux majeur; Muldo Doré et Ebène</t>
        </is>
      </c>
    </row>
    <row r="14672">
      <c r="A14672" t="inlineStr">
        <is>
          <t>stuff feu air</t>
        </is>
      </c>
      <c r="B14672">
        <f>HYPERLINK("https://www.dofusbook.net/fr/equipement/1280117-stuff-feu-air/objets", "link")</f>
        <v/>
      </c>
      <c r="C14672" t="n">
        <v>0</v>
      </c>
      <c r="D14672" t="inlineStr">
        <is>
          <t>Baguette Range; Amulette du Strigide; Bague Gloursonne; Anneau de Padgref; Quatre-feuilles; Ceinture du Strigide; Coiffe de Padgref; Cape Hiculteur; Getas de Padgref; Dofus Émeraude; Dokoko; Dofus Turquoise; Dofus Pourpre; Dofus Ocre; Voyageur; Muldo Prune et Orchidée</t>
        </is>
      </c>
    </row>
    <row r="14673">
      <c r="A14673" t="inlineStr">
        <is>
          <t>stuff tal kasha</t>
        </is>
      </c>
      <c r="B14673">
        <f>HYPERLINK("https://www.dofusbook.net/fr/equipement/1280210-stuff-tal-kasha/objets", "link")</f>
        <v/>
      </c>
      <c r="C14673" t="n">
        <v>0</v>
      </c>
      <c r="D14673" t="inlineStr">
        <is>
          <t>Hache du Korriandre; Amulette du Strigide; Alliance Gloursonne; Bague Gloursonne; Ceinture du Strigide; Némès de Tal Kasha; Chevelure de Tal Kasha; Sandales de Tal Kasha; Dolmanax; Dofus Émeraude; Dofus Ocre; Dofus Pourpre; Dofus Nébuleux; Dofus Turquoise; Muldo Prune et Emeraude</t>
        </is>
      </c>
    </row>
    <row r="14674">
      <c r="A14674" t="inlineStr">
        <is>
          <t>Stuff 1</t>
        </is>
      </c>
      <c r="B14674">
        <f>HYPERLINK("https://www.dofusbook.net/fr/equipement/699973-stuff-1/objets", "link")</f>
        <v/>
      </c>
      <c r="C14674" t="n">
        <v>1</v>
      </c>
      <c r="D14674" t="inlineStr">
        <is>
          <t>Épée d'Otomaï; Amulette de Nileza; Anneau de Padgref; Gelano; Ceinture Hanium; Casqnoar; Cape de Nileza; Pantoufles Émar; Dofus Pourpre; Vigoureux majeur; Remueur; Érudit majeur; Dévastateur Feu majeur; Nomade; Muldo Doré et Orchidée</t>
        </is>
      </c>
    </row>
    <row r="14675">
      <c r="A14675" t="inlineStr">
        <is>
          <t>fdp de tes morts</t>
        </is>
      </c>
      <c r="B14675">
        <f>HYPERLINK("https://www.dofusbook.net/fr/equipement/1225462-fdp-de-tes-morts/objets", "link")</f>
        <v/>
      </c>
      <c r="C14675" t="n">
        <v>0</v>
      </c>
      <c r="D14675" t="inlineStr">
        <is>
          <t>Épée d'Otomaï; Amulette de Nileza; Anneau de Padgref; Gelano; Ceinture Hanium; Casqnoar; Cape de Nileza; Pantoufles Émar; Dofus Pourpre; Remueur; Érudit majeur; Dévastateur Feu majeur; Nomade; Vigoureux majeur; Muldo Doré et Orchidée</t>
        </is>
      </c>
    </row>
    <row r="14676">
      <c r="A14676" t="inlineStr">
        <is>
          <t>lvl 150</t>
        </is>
      </c>
      <c r="B14676">
        <f>HYPERLINK("https://www.dofusbook.net/fr/equipement/1081141-lvl-150/objets", "link")</f>
        <v/>
      </c>
      <c r="C14676" t="n">
        <v>0</v>
      </c>
      <c r="D14676" t="inlineStr">
        <is>
          <t>La Baguette des Limbes; Amulette de Frigostine; Alliance des Forestiers; Gelano; Bouclier d'Asse; String Automnal du Chêne Mou; Coiffe du Chêne Mou; Cape du Père Phorreur; Bottes du Pounicheur; Dofus Pourpre; Dofus Émeraude; Vigoureux majeur; Nomade; Érudit majeur; Remueur; Brûlih</t>
        </is>
      </c>
    </row>
    <row r="14677">
      <c r="A14677" t="inlineStr">
        <is>
          <t>Stuff 3</t>
        </is>
      </c>
      <c r="B14677">
        <f>HYPERLINK("https://www.dofusbook.net/fr/equipement/699975-stuff-3/objets", "link")</f>
        <v/>
      </c>
      <c r="C14677" t="n">
        <v>1</v>
      </c>
      <c r="D14677" t="inlineStr">
        <is>
          <t>Manthache; Collier du Valet Veinard; Alliance Gloursonne; Gant du Valet Veinard; Menoture; Dorabysses; Cape de la Fuji Givrefoux; Pantoufles Émar; Dofus Émeraude; Nomade; Cascadeur majeur; Remueur; Miraculé majeur; Péki</t>
        </is>
      </c>
    </row>
    <row r="14678">
      <c r="A14678" t="inlineStr">
        <is>
          <t>Stuff 2</t>
        </is>
      </c>
      <c r="B14678">
        <f>HYPERLINK("https://www.dofusbook.net/fr/equipement/699974-stuff-2/objets", "link")</f>
        <v/>
      </c>
      <c r="C14678" t="n">
        <v>1</v>
      </c>
      <c r="D14678" t="inlineStr">
        <is>
          <t>Manthache; Collier du Valet Veinard; Alliance Gloursonne; Gant du Valet Veinard; Menoture; Couronne d'Allister; Cape Indescriptible; Pantoufles Émar; Dofus Émeraude; Nomade; Cascadeur majeur; Remueur; Acrobate majeur; Miraculé majeur; Péki</t>
        </is>
      </c>
    </row>
    <row r="14679">
      <c r="A14679" t="inlineStr">
        <is>
          <t>Sacrieur M 200</t>
        </is>
      </c>
      <c r="B14679">
        <f>HYPERLINK("https://www.dofusbook.net/fr/equipement/5929260-sacrieur-m-200/objets", "link")</f>
        <v/>
      </c>
      <c r="C14679" t="n">
        <v>0</v>
      </c>
      <c r="D14679" t="inlineStr"/>
    </row>
    <row r="14680">
      <c r="A14680" t="inlineStr">
        <is>
          <t>Osa tes terre</t>
        </is>
      </c>
      <c r="B14680">
        <f>HYPERLINK("https://www.dofusbook.net/fr/equipement/5540587-osa-tes-terre/objets", "link")</f>
        <v/>
      </c>
      <c r="C14680" t="n">
        <v>4</v>
      </c>
      <c r="D14680" t="inlineStr">
        <is>
          <t>Héqache; Amulette Volkorne; Pikano; Anneau Volkorne; Quatre-feuilles; Ceinture Volkorne; Corne de Torkélonia; Carapace de Torkélonia; Sabots Minables; Dofus Ocre; Dofus Turquoise; Dofus Ivoire; Dofus Émeraude; Dofus Ébène; Dofus Nébuleux; Kokulte</t>
        </is>
      </c>
    </row>
    <row r="14681">
      <c r="A14681" t="inlineStr">
        <is>
          <t>Sadida F 200</t>
        </is>
      </c>
      <c r="B14681">
        <f>HYPERLINK("https://www.dofusbook.net/fr/equipement/5354834-sadida-f-200/objets", "link")</f>
        <v/>
      </c>
      <c r="C14681" t="n">
        <v>5</v>
      </c>
      <c r="D14681" t="inlineStr">
        <is>
          <t>Amulette Volkorne; Alliance Brûlâme; Anneau Volkorne; Quatre-feuilles; Poulpagne; Kidibonnet; Voile d'encre; Pompes Funèbres; Dofus Ivoire; Dofus des Glaces; Dofus Turquoise; Dofus Abyssal; Dofus Ocre; Dofus Ébène</t>
        </is>
      </c>
    </row>
    <row r="14682">
      <c r="A14682" t="inlineStr">
        <is>
          <t>Osa do cri 3</t>
        </is>
      </c>
      <c r="B14682">
        <f>HYPERLINK("https://www.dofusbook.net/fr/equipement/5811618-osa-do-cri-3/objets", "link")</f>
        <v/>
      </c>
      <c r="C14682" t="n">
        <v>1</v>
      </c>
      <c r="D14682" t="inlineStr">
        <is>
          <t>Baguette de Torkélonia; Amulette Volkorne; Anneau Volkorne; Chevalière du Roi Joueur; Quatre-feuilles; Ceinture Volkorne; Couronne du Roi Joueur; Carapace de Torkélonia; Bottes du Roi Joueur; Dofus Ivoire; Dofus Abyssal; Dofus Ébène; Dofus Émeraude; Dofus Ocre; Dofus Turquoise; Kokulte</t>
        </is>
      </c>
    </row>
    <row r="14683">
      <c r="A14683" t="inlineStr">
        <is>
          <t>osa do cri 2</t>
        </is>
      </c>
      <c r="B14683">
        <f>HYPERLINK("https://www.dofusbook.net/fr/equipement/5445693-osa-do-cri-2/objets", "link")</f>
        <v/>
      </c>
      <c r="C14683" t="n">
        <v>6</v>
      </c>
      <c r="D14683" t="inlineStr">
        <is>
          <t>Arc du Chalœil; Amulette du Cœur Saignant; Anneau Volkorne; Pikano; Quatre-feuilles; Ceinture Volkorne; Corne de Torkélonia; Cape du Cœur Saignant; Bottes du Cœur Saignant; Dofus Ivoire; Dofus Abyssal; Dofus Ébène; Dofus Émeraude; Dofus Ocre; Dofus Turquoise; Kokulte</t>
        </is>
      </c>
    </row>
    <row r="14684">
      <c r="A14684" t="inlineStr">
        <is>
          <t>Osamodas F 200</t>
        </is>
      </c>
      <c r="B14684">
        <f>HYPERLINK("https://www.dofusbook.net/fr/equipement/5815497-osamodas-f-200/objets", "link")</f>
        <v/>
      </c>
      <c r="C14684" t="n">
        <v>8</v>
      </c>
      <c r="D14684" t="inlineStr">
        <is>
          <t>Héqache; Amulette du Cœur Saignant; Anneau Chevelu; Anneau Volkorne; Cadran d'Eau; Ceinture Volkorne; Masque de Koutoulou; Cape au Logis; Bottes du Cœur Saignant; Dofus Ocre; Dofus Ébène; Dofus Turquoise; Dofus Abyssal; Dofus Pourpre; Dofus Ivoire; Pioute vert</t>
        </is>
      </c>
    </row>
    <row r="14685">
      <c r="A14685" t="inlineStr">
        <is>
          <t>cra fulmix</t>
        </is>
      </c>
      <c r="B14685">
        <f>HYPERLINK("https://www.dofusbook.net/fr/equipement/5828901-cra-fulmix/objets", "link")</f>
        <v/>
      </c>
      <c r="C14685" t="n">
        <v>4</v>
      </c>
      <c r="D14685" t="inlineStr">
        <is>
          <t>Arc corrompu; Amulette Volkorne; Bague Gloursonne; Anneau Volkorne; Bouclier du Stalak; Ceinture Volkorne; Heaume Oplate; Voile d'encre; Bottes Innommables; Dofus Pourpre; Dofus Abyssal; Dofus Ocre; Dofus Nébuleux; Astucieux majeur; Robuste majeur; Bisouglours</t>
        </is>
      </c>
    </row>
    <row r="14686">
      <c r="A14686" t="inlineStr">
        <is>
          <t>Osamodas F 200</t>
        </is>
      </c>
      <c r="B14686">
        <f>HYPERLINK("https://www.dofusbook.net/fr/equipement/3894185-osamodas-f-200/objets", "link")</f>
        <v/>
      </c>
      <c r="C14686" t="n">
        <v>14</v>
      </c>
      <c r="D14686" t="inlineStr">
        <is>
          <t>Manthache; Collier Rophante; Gant du Valet Veinard; Alliance Gloursonne; Bouclier du Stalak; Menoture; Couronne d'Allister; Cape du Valet Veinard; Palmes Trithons; Dofus Ébène; Dofus des Glaces; Dofus Ivoire; Dévastateur Air majeur; Remueur; Cascadeur majeur; Blérodoudou</t>
        </is>
      </c>
    </row>
    <row r="14687">
      <c r="A14687" t="inlineStr">
        <is>
          <t>Osamodas M 200</t>
        </is>
      </c>
      <c r="B14687">
        <f>HYPERLINK("https://www.dofusbook.net/fr/equipement/5699420-osamodas-m-200/objets", "link")</f>
        <v/>
      </c>
      <c r="C14687" t="n">
        <v>7</v>
      </c>
      <c r="D14687" t="inlineStr">
        <is>
          <t>Hache Téroïde; Amulette Volkorne; Chevalière du Roi Joueur; Anneau Volkorne; Quatre-feuilles; Ceinture Volkorne; Couronne du Roi Joueur; Voile d'encre; Bottes du Roi Joueur; Dofus Ocre; Dofus des Glaces; Dofus Pourpre; Dofus Ivoire; Dofus Turquoise; Dofus Ébène; Kokulte</t>
        </is>
      </c>
    </row>
    <row r="14688">
      <c r="A14688" t="inlineStr">
        <is>
          <t>Osa terre eau</t>
        </is>
      </c>
      <c r="B14688">
        <f>HYPERLINK("https://www.dofusbook.net/fr/equipement/5818170-osa-terre-eau/objets", "link")</f>
        <v/>
      </c>
      <c r="C14688" t="n">
        <v>0</v>
      </c>
      <c r="D14688" t="inlineStr">
        <is>
          <t>Hache Téroïde; Chevalière du Roi Joueur; Anneau Volkorne; Quatre-feuilles; Ceinture Volkorne; Coiffe de la Reine des Voleurs; Bottes du Roi Joueur; Dofus Pourpre; Dofus Ivoire; Dofus Turquoise; Dofus Ébène; Dofus Ocre; Dofus des Glaces; Kokulte</t>
        </is>
      </c>
    </row>
    <row r="14689">
      <c r="A14689" t="inlineStr">
        <is>
          <t>Sadida M 200</t>
        </is>
      </c>
      <c r="B14689">
        <f>HYPERLINK("https://www.dofusbook.net/fr/equipement/5510625-sadida-m-200/objets", "link")</f>
        <v/>
      </c>
      <c r="C14689" t="n">
        <v>4</v>
      </c>
      <c r="D14689" t="inlineStr">
        <is>
          <t>Arc du Chalœil; Amulette Volkorne; Alliance Brûlâme; Anneau Volkorne; Bouclier du Stalak; Ceinture Volkorne; Masque Brûlâme; Voile d'encre; Pompes Funèbres; Dofus Ivoire; Dofus Abyssal; Dofus Pourpre; Dofus Ébène; Dofus Ocre; Dofus des Glaces; Fëanor</t>
        </is>
      </c>
    </row>
    <row r="14690">
      <c r="A14690" t="inlineStr">
        <is>
          <t>Osamodas F 200</t>
        </is>
      </c>
      <c r="B14690">
        <f>HYPERLINK("https://www.dofusbook.net/fr/equipement/4318582-osamodas-f-200/objets", "link")</f>
        <v/>
      </c>
      <c r="C14690" t="n">
        <v>8</v>
      </c>
      <c r="D14690" t="inlineStr">
        <is>
          <t>Hache Téroïde; Amulette Volkorne; Anneau Volkorne; Alliance Brûlâme; Quatre-feuilles; Ceinture Volkorne; Masque Brûlâme; Voile d'encre; Pompes Funèbres; Dofus Ébène; Dofus Turquoise; Dofus Pourpre; Dofus Ivoire; Dofus des Glaces; Dofus Ocre; Kokulte</t>
        </is>
      </c>
    </row>
    <row r="14691">
      <c r="A14691" t="inlineStr">
        <is>
          <t>Sadida F 200</t>
        </is>
      </c>
      <c r="B14691">
        <f>HYPERLINK("https://www.dofusbook.net/fr/equipement/5706520-sadida-f-200/objets", "link")</f>
        <v/>
      </c>
      <c r="C14691" t="n">
        <v>2</v>
      </c>
      <c r="D14691" t="inlineStr">
        <is>
          <t>Arc du Chalœil; Collier de Tourthon; Anneau Volkorne; Bague Gloursonne; Bouclier du Stalak; Ceinture Volkorne; Chapeau de Gein; Cape au Logis; Baleinabottes; Dofus Ocre; Dofus des Glaces; Dofus Ivoire; Dofus Abyssal; Dofus Pourpre; Dofus Ébène; Bulbisou</t>
        </is>
      </c>
    </row>
    <row r="14692">
      <c r="A14692" t="inlineStr">
        <is>
          <t>Osamodas F 200</t>
        </is>
      </c>
      <c r="B14692">
        <f>HYPERLINK("https://www.dofusbook.net/fr/equipement/5674056-osamodas-f-200/objets", "link")</f>
        <v/>
      </c>
      <c r="C14692" t="n">
        <v>2</v>
      </c>
      <c r="D14692" t="inlineStr">
        <is>
          <t>Rapière aux Glyphes; Amulette d'Ilyzaelle; Alliance Gloursonne; Anneau Volkorne; Bouclier d'Ilyzaelle; Sangle Ouare; Casque d'Ilyzaelle; Cape Solution; Bottes du Sinistrofu; Dofus Abyssal; Dofus Ébène; Dofus Ocre; Dofus Ivoire; Dofus des Glaces; Dévastateur Eau majeur; Kanigloups</t>
        </is>
      </c>
    </row>
    <row r="14693">
      <c r="A14693" t="inlineStr">
        <is>
          <t>Sadida F 200</t>
        </is>
      </c>
      <c r="B14693">
        <f>HYPERLINK("https://www.dofusbook.net/fr/equipement/5687219-sadida-f-200/objets", "link")</f>
        <v/>
      </c>
      <c r="C14693" t="n">
        <v>1</v>
      </c>
      <c r="D14693" t="inlineStr">
        <is>
          <t>Dagoulinantes; Amulette Volkorne; Alliance Gloursonne; Anneau Volkorne; Bouclier du Stalak; Ceintacé; Capuche de l'Œil Attentif; Cape de l'Œil Attentif; Bottes du Sinistrofu; Dofus Ocre; Dofus Vulbis; Dofus Ivoire; Dofus Abyssal; Dofus Pourpre; Dofus Ébène; Dragodinde Dorée et Indigo</t>
        </is>
      </c>
    </row>
    <row r="14694">
      <c r="A14694" t="inlineStr">
        <is>
          <t>test sadi feu do crit</t>
        </is>
      </c>
      <c r="B14694">
        <f>HYPERLINK("https://www.dofusbook.net/fr/equipement/5485209-test-sadi-feu-do-crit/objets", "link")</f>
        <v/>
      </c>
      <c r="C14694" t="n">
        <v>24</v>
      </c>
      <c r="D14694" t="inlineStr">
        <is>
          <t>Arc Hétype; Amulette Volkorne; Bague Gloursonne; Anneau Volkorne; Bouclier du Stalak; Croture; Heaume Oplate; Voile d'encre; Chaussures Ardentes; Dofus Pourpre; Dofus Ébène; Dofus Ocre; Dofus Abyssal; Dofus Ivoire; Érudit majeur; Dragodinde Amande et Orchidée</t>
        </is>
      </c>
    </row>
    <row r="14695">
      <c r="A14695" t="inlineStr">
        <is>
          <t>Osa feu</t>
        </is>
      </c>
      <c r="B14695">
        <f>HYPERLINK("https://www.dofusbook.net/fr/equipement/5418911-osa-feu/objets", "link")</f>
        <v/>
      </c>
      <c r="C14695" t="n">
        <v>4</v>
      </c>
      <c r="D14695" t="inlineStr">
        <is>
          <t>Arc corrompu; Amulette Volkorne; Anneau Volkorne; Anneauræus; Bouclier du Stalak; Croture; Heaume Oplate; Voile d'encre; Chaussures Ardentes; Dofus Vulbis; Dofus des Glaces; Dofus Ébène; Dofus Ocre; Dofus Ivoire; Érudit majeur; Bisouglours</t>
        </is>
      </c>
    </row>
    <row r="14696">
      <c r="A14696" t="inlineStr">
        <is>
          <t>osa do cri</t>
        </is>
      </c>
      <c r="B14696">
        <f>HYPERLINK("https://www.dofusbook.net/fr/equipement/5445642-osa-do-cri/objets", "link")</f>
        <v/>
      </c>
      <c r="C14696" t="n">
        <v>5</v>
      </c>
      <c r="D14696" t="inlineStr">
        <is>
          <t>Baguette de Torkélonia; Amulette Volkorne; Anneau Volkorne; Bague Gloursonne; Quatre-feuilles; Ceinture Volkorne; Masque de Koutoulou; Carapace de Torkélonia; Bottes du Cœur Saignant; Dofus Ocre; Dofus Turquoise; Dofus Ivoire; Dofus des Glaces; Dofus Ébène; Dofus Pourpre; Kokulte</t>
        </is>
      </c>
    </row>
    <row r="14697">
      <c r="A14697" t="inlineStr">
        <is>
          <t>Sadida F 200</t>
        </is>
      </c>
      <c r="B14697">
        <f>HYPERLINK("https://www.dofusbook.net/fr/equipement/5433946-sadida-f-200/objets", "link")</f>
        <v/>
      </c>
      <c r="C14697" t="n">
        <v>2</v>
      </c>
      <c r="D14697" t="inlineStr">
        <is>
          <t>Dagues Érhy; Amulette Volcanique; Bague Gloursonne; Alliance Brûlâme; Bouclier du Stalak; Ceinture de la Reine des Voleurs; Coiffe de la Reine des Voleurs; Cape au Logis; Bottes de la Reine des Voleurs; Dofus Ivoire; Dofus Pourpre; Dofus Ébène; Dofus Ocre; Dofus Abyssal; Wabbit</t>
        </is>
      </c>
    </row>
    <row r="14698">
      <c r="A14698" t="inlineStr">
        <is>
          <t>Sadida F 200</t>
        </is>
      </c>
      <c r="B14698">
        <f>HYPERLINK("https://www.dofusbook.net/fr/equipement/5418550-sadida-f-200/objets", "link")</f>
        <v/>
      </c>
      <c r="C14698" t="n">
        <v>3</v>
      </c>
      <c r="D14698" t="inlineStr">
        <is>
          <t>Le Thanos; Collier Rophante; Anneauræus; Anneau Tique; Carapar; Croture; Casque Dragoeuf; Cape de Diondin; Bottes Innommables; Dolmanax; Dofus Abyssal; Dofus Ocre; Dofus Ivoire; Guérisseur majeur; Carapace Feu majeur; Meuch</t>
        </is>
      </c>
    </row>
    <row r="14699">
      <c r="A14699" t="inlineStr">
        <is>
          <t>Osamodas M 200</t>
        </is>
      </c>
      <c r="B14699">
        <f>HYPERLINK("https://www.dofusbook.net/fr/equipement/5409025-osamodas-m-200/objets", "link")</f>
        <v/>
      </c>
      <c r="C14699" t="n">
        <v>1</v>
      </c>
      <c r="D14699" t="inlineStr">
        <is>
          <t>Arc corrompu; Amulette Volkorne; Anneau Volkorne; Anneauræus; Bouclier du Stalak; Croture; Casque Dragoeuf; Cape de Diondin; Bottes Dogues; Dofus Ivoire; Dofus Ébène; Dofus Ocre</t>
        </is>
      </c>
    </row>
    <row r="14700">
      <c r="A14700" t="inlineStr">
        <is>
          <t>Sacrieur F 200</t>
        </is>
      </c>
      <c r="B14700">
        <f>HYPERLINK("https://www.dofusbook.net/fr/equipement/5391908-sacrieur-f-200/objets", "link")</f>
        <v/>
      </c>
      <c r="C14700" t="n">
        <v>0</v>
      </c>
      <c r="D14700" t="inlineStr">
        <is>
          <t>L'Épée Nice; Amulette du Cœur Saignant; Bague Gloursonne; Anneau Volkorne; Bouclier d'Ilyzaelle; Ceinture Volkorne; Masque de Koutoulou; Voile d'encre; Bottes du Cœur Saignant; Dofus Pourpre; Dofus Ivoire; Dofus Turquoise; Dofus Ébène; Dofus Ocre; Dofus Abyssal; Dragodinde Emeraude et Pourpre</t>
        </is>
      </c>
    </row>
    <row r="14701">
      <c r="A14701" t="inlineStr">
        <is>
          <t>Féca M 200</t>
        </is>
      </c>
      <c r="B14701">
        <f>HYPERLINK("https://www.dofusbook.net/fr/equipement/5387497-feca-m-200/objets", "link")</f>
        <v/>
      </c>
      <c r="C14701" t="n">
        <v>1</v>
      </c>
      <c r="D14701" t="inlineStr"/>
    </row>
    <row r="14702">
      <c r="A14702" t="inlineStr">
        <is>
          <t>Osamodas F 200</t>
        </is>
      </c>
      <c r="B14702">
        <f>HYPERLINK("https://www.dofusbook.net/fr/equipement/5383011-osamodas-f-200/objets", "link")</f>
        <v/>
      </c>
      <c r="C14702" t="n">
        <v>1</v>
      </c>
      <c r="D14702" t="inlineStr">
        <is>
          <t>Arc corrompu; Amulette Volkorne; Anneauræus; Anneauræus; Ceinture Volkorne; Chapeau de Gein; Voile d'encre; Pataugastrique; Dofus Ocre; Dofus Ébène; Dofus Ivoire; Dofus Pourpre; Érudit majeur</t>
        </is>
      </c>
    </row>
    <row r="14703">
      <c r="A14703" t="inlineStr">
        <is>
          <t>Sacrieur M 200</t>
        </is>
      </c>
      <c r="B14703">
        <f>HYPERLINK("https://www.dofusbook.net/fr/equipement/5380340-sacrieur-m-200/objets", "link")</f>
        <v/>
      </c>
      <c r="C14703" t="n">
        <v>0</v>
      </c>
      <c r="D14703" t="inlineStr">
        <is>
          <t>L'Épée Nice; Collier du Valet Veinard; Alliance Gloursonne; Gant du Valet Veinard; Bouclier d'Ilyzaelle; Ceinture du Barbétoal; Couronne d'Allister; Cape du Valet Veinard; Palmes Trithons; Dofus Émeraude; Dofus Ivoire; Dofus Pourpre; Dofus Ébène; Dofus Ocre; Dofus Abyssal; Blérodoudou</t>
        </is>
      </c>
    </row>
    <row r="14704">
      <c r="A14704" t="inlineStr">
        <is>
          <t>Zobal M 200</t>
        </is>
      </c>
      <c r="B14704">
        <f>HYPERLINK("https://www.dofusbook.net/fr/equipement/5376518-zobal-m-200/objets", "link")</f>
        <v/>
      </c>
      <c r="C14704" t="n">
        <v>5</v>
      </c>
      <c r="D14704" t="inlineStr">
        <is>
          <t>Hache Téroïde; Amulette Volkorne; Bague Trithon; Anneau Volkorne; Bouclier du Captain Amakna; Ceinture Volkorne; Masque Trithon; Voile d'encre; Bottes Trithon; Dofus Abyssal; Dofus Ébène; Dofus Pourpre; Dofus Ocre; Dofus Turquoise; Dofus Ivoire; Kokulte</t>
        </is>
      </c>
    </row>
    <row r="14705">
      <c r="A14705" t="inlineStr">
        <is>
          <t>Enu terre feu dofus</t>
        </is>
      </c>
      <c r="B14705">
        <f>HYPERLINK("https://www.dofusbook.net/fr/equipement/4203150-enu-terre-feu-dofus/objets", "link")</f>
        <v/>
      </c>
      <c r="C14705" t="n">
        <v>11</v>
      </c>
      <c r="D14705" t="inlineStr">
        <is>
          <t>Bâthon; Amulette Volkorne; Anneau Volkorne; Alliance Brûlâme; Bouclier du Stalak; Ceinture Volkorne; Masque Brûlâme; Voile d'encre; Pompes Funèbres; Dofus des Glaces; Dofus Ocre; Dofus Pourpre; Dofus Ivoire; Dofus Turquoise; Dofus Ébène; Fëanor</t>
        </is>
      </c>
    </row>
    <row r="14706">
      <c r="A14706" t="inlineStr">
        <is>
          <t>Pandawa F 200</t>
        </is>
      </c>
      <c r="B14706">
        <f>HYPERLINK("https://www.dofusbook.net/fr/equipement/5305022-pandawa-f-200/objets", "link")</f>
        <v/>
      </c>
      <c r="C14706" t="n">
        <v>2</v>
      </c>
      <c r="D14706" t="inlineStr">
        <is>
          <t>Crocobur; Collier Rophante; Anneau Chevelu; Anneau Crustique; Bouclier d'Ilyzaelle; Ceinture de la Cour Sombre; Masque de Koutoulou; Voile d'encre; Bottes de la Cour Sombre; Dofus Ocre; Dofus Émeraude; Dofus Pourpre; Dofus Ivoire; Dofus Abyssal; Bloqueur majeur; Marcassin</t>
        </is>
      </c>
    </row>
    <row r="14707">
      <c r="A14707" t="inlineStr">
        <is>
          <t>Sadida F 200</t>
        </is>
      </c>
      <c r="B14707">
        <f>HYPERLINK("https://www.dofusbook.net/fr/equipement/5245434-sadida-f-200/objets", "link")</f>
        <v/>
      </c>
      <c r="C14707" t="n">
        <v>4</v>
      </c>
      <c r="D14707" t="inlineStr">
        <is>
          <t>Arc du Chalœil; Amulette Volkorne; Alliance Brûlâme; Bague Gloursonne; Bouclier du Stalak; Ceinture Volkorne; Chapeau de Gein; Cape au Logis; Bottes du Cœur Saignant; Dofus Abyssal; Dofus Ébène; Dofus Turquoise; Dofus Ocre; Dofus Pourpre; Dofus Ivoire; Fëanor</t>
        </is>
      </c>
    </row>
    <row r="14708">
      <c r="A14708" t="inlineStr">
        <is>
          <t>t es aveugle bernard</t>
        </is>
      </c>
      <c r="B14708">
        <f>HYPERLINK("https://www.dofusbook.net/fr/equipement/5191900-t-es-aveugle-bernard/objets", "link")</f>
        <v/>
      </c>
      <c r="C14708" t="n">
        <v>2</v>
      </c>
      <c r="D14708" t="inlineStr">
        <is>
          <t>Dagoulinantes; Amulette de Shokkoth; Anneau Volkorne; Alliance Gloursonne; Quatre-feuilles; Culotte de Bethel; Capuche de l'Œil Attentif; Cape Solution; Chaussons de Macrab; Dofus Abyssal; Dofus Ocre; Dofus Pourpre; Dofus Ivoire; Dofus Ébène; Nomade; Kanigloups</t>
        </is>
      </c>
    </row>
    <row r="14709">
      <c r="A14709" t="inlineStr">
        <is>
          <t>Coucou bernaaaarddd</t>
        </is>
      </c>
      <c r="B14709">
        <f>HYPERLINK("https://www.dofusbook.net/fr/equipement/5141223-coucou-bernaaaarddd/objets", "link")</f>
        <v/>
      </c>
      <c r="C14709" t="n">
        <v>3</v>
      </c>
      <c r="D14709" t="inlineStr">
        <is>
          <t>Arc du Chalœil; Amulette Volkorne; Bague Trithon; Anneau Volkorne; Bouclier du Stalak; Ceinture Volkorne; Masque Trithon; Cape d'Anerice; Bottes Trithon; Dofus Pourpre; Dofus Abyssal; Dofus Ocre; Dofus Ivoire; Dofus Turquoise; Dofus Ébène; Volkorne Jade et Améthyste</t>
        </is>
      </c>
    </row>
    <row r="14710">
      <c r="A14710" t="inlineStr">
        <is>
          <t>Sadida F 200</t>
        </is>
      </c>
      <c r="B14710">
        <f>HYPERLINK("https://www.dofusbook.net/fr/equipement/5084832-sadida-f-200/objets", "link")</f>
        <v/>
      </c>
      <c r="C14710" t="n">
        <v>11</v>
      </c>
      <c r="D14710" t="inlineStr">
        <is>
          <t>Arc du Chalœil; Amulette Volkorne; Anneau Volkorne; Alliance Brûlâme; Bouclier du Stalak; Ceinture Volkorne; Masque Brûlâme; Voile d'encre; Pompes Funèbres; Dofus Ébène; Dofus Ivoire; Dofus Pourpre; Dofus Abyssal; Dofus des Glaces; Dofus Ocre; Fëanor</t>
        </is>
      </c>
    </row>
    <row r="14711">
      <c r="A14711" t="inlineStr">
        <is>
          <t>Sadida F 200</t>
        </is>
      </c>
      <c r="B14711">
        <f>HYPERLINK("https://www.dofusbook.net/fr/equipement/5123004-sadida-f-200/objets", "link")</f>
        <v/>
      </c>
      <c r="C14711" t="n">
        <v>1</v>
      </c>
      <c r="D14711" t="inlineStr">
        <is>
          <t>Baguette Hique; Amulette Volkorne; Alliance du Lévitrof; Anneau Volkorne; Bouclier du Stalak; Ceinture Volkorne; Kidibonnet; Cape Luminescente; Chaussons de Macrab; Dofus Ébène; Dofus Ivoire; Dofus Pourpre; Dofus des Glaces; Dokoko; Dofus Ocre; Dragodinde en armure</t>
        </is>
      </c>
    </row>
    <row r="14712">
      <c r="A14712" t="inlineStr">
        <is>
          <t>Sadida F 200</t>
        </is>
      </c>
      <c r="B14712">
        <f>HYPERLINK("https://www.dofusbook.net/fr/equipement/5087966-sadida-f-200/objets", "link")</f>
        <v/>
      </c>
      <c r="C14712" t="n">
        <v>0</v>
      </c>
      <c r="D14712" t="inlineStr">
        <is>
          <t>Arc Honte; Amulette de l'Œil Putride; Alliance Gloursonne; Bague Gloursonne; Bouclier du Stalak; Ceinture de l'Esprit Salvateur; Masque de l'Esprit Salvateur; Voile d'encre; Bottes de l'Esprit Salvateur; Dofus Ocre; Dofus Abyssal; Dofus des Glaces; Dofus Ébène; Dofus Ivoire; Voyageur; Volkorne Turquoise et Orchidée</t>
        </is>
      </c>
    </row>
    <row r="14713">
      <c r="A14713" t="inlineStr">
        <is>
          <t>Crâ F 200</t>
        </is>
      </c>
      <c r="B14713">
        <f>HYPERLINK("https://www.dofusbook.net/fr/equipement/5058812-cra-f-200/objets", "link")</f>
        <v/>
      </c>
      <c r="C14713" t="n">
        <v>4</v>
      </c>
      <c r="D14713" t="inlineStr">
        <is>
          <t>Arc de Koutoulou; Amulette Volkorne; Anneau Volkorne; Alliance Gloursonne; Quatre-feuilles; Sangle Ouare; Némès de Tal Kasha; Chevelure de Tal Kasha; Sandales de Tal Kasha; Dofus Pourpre; Dofus Ivoire; Dofus Turquoise; Dofus Abyssal; Dofus Émeraude; Dofus Ocre; Kokulte</t>
        </is>
      </c>
    </row>
    <row r="14714">
      <c r="A14714" t="inlineStr">
        <is>
          <t>Crâ F 200</t>
        </is>
      </c>
      <c r="B14714">
        <f>HYPERLINK("https://www.dofusbook.net/fr/equipement/5064867-cra-f-200/objets", "link")</f>
        <v/>
      </c>
      <c r="C14714" t="n">
        <v>0</v>
      </c>
      <c r="D14714" t="inlineStr">
        <is>
          <t>Bêche Asse; Amulette du Strigide; Anneau de Brouce; Bague Gloursonne; Quatre-feuilles; Ceinture de Brouce; Masque de Koutoulou; Cape au Logis; Bottes de la Cour Sombre; Dofus Ocre; Dofus Abyssal; Dofus Turquoise; Dofus Pourpre; Dofus Ivoire; Enragé majeur; Bulbisou</t>
        </is>
      </c>
    </row>
    <row r="14715">
      <c r="A14715" t="inlineStr">
        <is>
          <t>Crâ F 200</t>
        </is>
      </c>
      <c r="B14715">
        <f>HYPERLINK("https://www.dofusbook.net/fr/equipement/4968308-cra-f-200/objets", "link")</f>
        <v/>
      </c>
      <c r="C14715" t="n">
        <v>30</v>
      </c>
      <c r="D14715" t="inlineStr">
        <is>
          <t>Dagoulinantes; Amulette de Shokkoth; Alliance Gloursonne; Anneau Volkorne; Cadran de Terre; Culotte de Bethel; Capuche de l'Œil Attentif; Cape Solution; Chaussons de Macrab; Dofus Abyssal; Dofus Ivoire; Précurseur majeur; Nomade; Fonceur majeur; Étourdisseur majeur; Kougnard</t>
        </is>
      </c>
    </row>
    <row r="14716">
      <c r="A14716" t="inlineStr">
        <is>
          <t>Ecaflip M 200</t>
        </is>
      </c>
      <c r="B14716">
        <f>HYPERLINK("https://www.dofusbook.net/fr/equipement/4817162-ecaflip-m-200/objets", "link")</f>
        <v/>
      </c>
      <c r="C14716" t="n">
        <v>0</v>
      </c>
      <c r="D14716" t="inlineStr">
        <is>
          <t>Dagoulinantes; Amulette Volkorne; Alliance Gloursonne; Anneau Volkorne; Bouclier du Stalak; Sangle Ouare; Capuche de l'Œil Attentif; Cape Solution; Bottes du Sinistrofu; Dofus Abyssal; Dofus Pourpre; Dofus Ivoire; Dofus Ocre; Vigoureux majeur; Chanceux majeur; Kanigloups</t>
        </is>
      </c>
    </row>
    <row r="14717">
      <c r="A14717" t="inlineStr">
        <is>
          <t>Huppermage M 200</t>
        </is>
      </c>
      <c r="B14717">
        <f>HYPERLINK("https://www.dofusbook.net/fr/equipement/4508923-huppermage-m-200/objets", "link")</f>
        <v/>
      </c>
      <c r="C14717" t="n">
        <v>2</v>
      </c>
      <c r="D14717" t="inlineStr">
        <is>
          <t>Marteau des égarés; Amulette Volkorne; Alliance Gloursonne; Anneau Volkorne; Ceinture Volkorne; Le Dorado; Dofusteuse; Bottes de la Dame du Hasard; Dofus Ivoire; Dofus Ocre; Dofus Pourpre</t>
        </is>
      </c>
    </row>
    <row r="14718">
      <c r="A14718" t="inlineStr">
        <is>
          <t>Huppermage F 200</t>
        </is>
      </c>
      <c r="B14718">
        <f>HYPERLINK("https://www.dofusbook.net/fr/equipement/4471433-huppermage-f-200/objets", "link")</f>
        <v/>
      </c>
      <c r="C14718" t="n">
        <v>0</v>
      </c>
      <c r="D14718" t="inlineStr"/>
    </row>
    <row r="14719">
      <c r="A14719" t="inlineStr">
        <is>
          <t>Sadida F 200</t>
        </is>
      </c>
      <c r="B14719">
        <f>HYPERLINK("https://www.dofusbook.net/fr/equipement/3989437-sadida-f-200/objets", "link")</f>
        <v/>
      </c>
      <c r="C14719" t="n">
        <v>2</v>
      </c>
      <c r="D14719" t="inlineStr">
        <is>
          <t>Arc Honte; Amulette Volkorne; Alliance Gloursonne; Anneau Volkorne; Bouclier cubiste; Audace de Dodge; Masquegel; Cape de Diondin; Pompes Funèbres</t>
        </is>
      </c>
    </row>
    <row r="14720">
      <c r="A14720" t="inlineStr">
        <is>
          <t>osa terre feu tropher</t>
        </is>
      </c>
      <c r="B14720">
        <f>HYPERLINK("https://www.dofusbook.net/fr/equipement/4335197-osa-terre-feu-tropher/objets", "link")</f>
        <v/>
      </c>
      <c r="C14720" t="n">
        <v>1</v>
      </c>
      <c r="D14720" t="inlineStr">
        <is>
          <t>Massier; Amulette Volkorne; Bague Gloursonne; Alliance Boletée; Ceinture Volkorne; Chapeau de Gein; Voile d'encre; Pompes Funèbres; Dofus Ivoire; Dofus Ocre; Miraculé majeur; Érudit majeur; Nomade; Remueur; Kramkram</t>
        </is>
      </c>
    </row>
    <row r="14721">
      <c r="A14721" t="inlineStr">
        <is>
          <t>Osamodas F 200</t>
        </is>
      </c>
      <c r="B14721">
        <f>HYPERLINK("https://www.dofusbook.net/fr/equipement/4318581-osamodas-f-200/objets", "link")</f>
        <v/>
      </c>
      <c r="C14721" t="n">
        <v>4</v>
      </c>
      <c r="D14721" t="inlineStr">
        <is>
          <t>Sceptre du Roi Joueur; Amulette d'Ilyzaelle; Bague Héra; Pikano; Bouclier d'Ilyzaelle; Sangle Ouare; Casque d'Ilyzaelle; Cape du Sinistrofu; Bottes du Sinistrofu; Dofus des Glaces; Dofus Ocre; Dofus Abyssal; Dofus Nébuleux; Dofus Pourpre; Dofus Ivoire</t>
        </is>
      </c>
    </row>
    <row r="14722">
      <c r="A14722" t="inlineStr">
        <is>
          <t>Osamodas F 200</t>
        </is>
      </c>
      <c r="B14722">
        <f>HYPERLINK("https://www.dofusbook.net/fr/equipement/4317597-osamodas-f-200/objets", "link")</f>
        <v/>
      </c>
      <c r="C14722" t="n">
        <v>1</v>
      </c>
      <c r="D14722" t="inlineStr">
        <is>
          <t>Baguette Héroclite; Amulette de Shokkoth; Pikano; Bague Héra; Bouclier du Stalak; Ceinture du Barbétoal; Capuche de l'Œil Attentif; Cape de l'Œil Attentif; Bottes du Sinistrofu; Dofus Ébène; Dofus Ivoire; Dofus Ocre; Dofus Nébuleux; Nomade; Remueur; Volkorne Doré et Indigo</t>
        </is>
      </c>
    </row>
    <row r="14723">
      <c r="A14723" t="inlineStr">
        <is>
          <t>Crâ F 200</t>
        </is>
      </c>
      <c r="B14723">
        <f>HYPERLINK("https://www.dofusbook.net/fr/equipement/4184177-cra-f-200/objets", "link")</f>
        <v/>
      </c>
      <c r="C14723" t="n">
        <v>7</v>
      </c>
      <c r="D14723" t="inlineStr">
        <is>
          <t>Arc Volkorne; Amulette Volkorne; Anneau Volkorne; Anneau de Padgref; Quatre-feuilles; Ceinture du Strigide; Coiffe de Padgref; Cape d'Atcham; Getas de Padgref; Dofus Ivoire; Dofus Ocre; Dofus Pourpre; Dofus des Glaces; Dofus Turquoise; Dofus Abyssal; Sakochère</t>
        </is>
      </c>
    </row>
    <row r="14724">
      <c r="A14724" t="inlineStr">
        <is>
          <t>Eca eau feu sans dra</t>
        </is>
      </c>
      <c r="B14724">
        <f>HYPERLINK("https://www.dofusbook.net/fr/equipement/3796027-eca-eau-feu-sans-dra/objets", "link")</f>
        <v/>
      </c>
      <c r="C14724" t="n">
        <v>1</v>
      </c>
      <c r="D14724" t="inlineStr">
        <is>
          <t>Sceptre du Roi Joueur; Amulette de Shokkoth; Alliance Gloursonne; Bouclier du Stalak; Ceintacé; Kidibonnet; Cape de la Dame du Hasard; Bottes de la Dame du Hasard; Dofus Turquoise; Dofus Abyssal; Dofus Pourpre; Dofus Ivoire; Nomade; Chanceux majeur; Pioute bleu</t>
        </is>
      </c>
    </row>
    <row r="14725">
      <c r="A14725" t="inlineStr">
        <is>
          <t>enu aire</t>
        </is>
      </c>
      <c r="B14725">
        <f>HYPERLINK("https://www.dofusbook.net/fr/equipement/4114951-enu-aire-/objets", "link")</f>
        <v/>
      </c>
      <c r="C14725" t="n">
        <v>6</v>
      </c>
      <c r="D14725" t="inlineStr">
        <is>
          <t>Lance Horselé; Collier Rophante; Alliance Gloursonne; Gant du Valet Veinard; Cadran de Terre; Menoture; Couronne d'Allister; Cape du Valet Veinard; Palmes Trithons; Dofus des Glaces; Dofus Ivoire; Dofus Pourpre; Remueur; Cascadeur majeur; Étourdisseur majeur</t>
        </is>
      </c>
    </row>
    <row r="14726">
      <c r="A14726" t="inlineStr">
        <is>
          <t>Pandawa M 200</t>
        </is>
      </c>
      <c r="B14726">
        <f>HYPERLINK("https://www.dofusbook.net/fr/equipement/4085637-pandawa-m-200/objets", "link")</f>
        <v/>
      </c>
      <c r="C14726" t="n">
        <v>4</v>
      </c>
      <c r="D14726" t="inlineStr">
        <is>
          <t>Dagues Érhy; Amulette du Strigide; Pikano; Bague Gloursonne; Bouclier d'Ilyzaelle; Ceinture de la Cour Sombre; Masque de Koutoulou; Cape au Logis; Bottes de la Cour Sombre; Dofus Pourpre; Dofus Ivoire; Dofus Émeraude; Remueur; Nomade; Croum</t>
        </is>
      </c>
    </row>
    <row r="14727">
      <c r="A14727" t="inlineStr">
        <is>
          <t>osa terre 47</t>
        </is>
      </c>
      <c r="B14727">
        <f>HYPERLINK("https://www.dofusbook.net/fr/equipement/4069971-osa-terre-47/objets", "link")</f>
        <v/>
      </c>
      <c r="C14727" t="n">
        <v>13</v>
      </c>
      <c r="D14727" t="inlineStr">
        <is>
          <t>Dagues Érhy; Collier Rophante; Pikano; Anneau Chevelu; Cadran de Feu; Ceinture de la Reine des Voleurs; Coiffe de la Reine des Voleurs; Cape au Logis; Baleinabottes; Dofus des Glaces; Dofus Ivoire; Dofus Abyssal; Enragé majeur; Remueur; Bouftor</t>
        </is>
      </c>
    </row>
    <row r="14728">
      <c r="A14728" t="inlineStr">
        <is>
          <t>teste</t>
        </is>
      </c>
      <c r="B14728">
        <f>HYPERLINK("https://www.dofusbook.net/fr/equipement/3989462-teste-/objets", "link")</f>
        <v/>
      </c>
      <c r="C14728" t="n">
        <v>13</v>
      </c>
      <c r="D14728" t="inlineStr">
        <is>
          <t>Arc corrompu; Amulette Volkorne; Alliance Gloursonne; Anneau Volkorne; Bouclier cubiste; Sangle Ouare; Masquegel; Cape de Diondin; Bottes de Meno; Dofus Pourpre; Dofus Ivoire; Dofus Abyssal; Dofus des Glaces; Remueur; Temporiseur majeur</t>
        </is>
      </c>
    </row>
    <row r="14729">
      <c r="A14729" t="inlineStr">
        <is>
          <t>Sadida M 200</t>
        </is>
      </c>
      <c r="B14729">
        <f>HYPERLINK("https://www.dofusbook.net/fr/equipement/3989069-sadida-m-200/objets", "link")</f>
        <v/>
      </c>
      <c r="C14729" t="n">
        <v>25</v>
      </c>
      <c r="D14729" t="inlineStr">
        <is>
          <t>Arc corrompu; Amulette Volkorne; Anneau Volkorne; Alliance Gloursonne; Bouclier cubiste; Sangle Ouare; Heaume Oplate; Cape de la Dame du Hasard; Bottes de l'Indicible; Dofus Abyssal; Dofus des Glaces; Dofus Pourpre; Dofus Ivoire; Remueur; Temporiseur majeur; Léopardo</t>
        </is>
      </c>
    </row>
    <row r="14730">
      <c r="A14730" t="inlineStr">
        <is>
          <t>osa terre 5</t>
        </is>
      </c>
      <c r="B14730">
        <f>HYPERLINK("https://www.dofusbook.net/fr/equipement/3991668-osa-terre-5/objets", "link")</f>
        <v/>
      </c>
      <c r="C14730" t="n">
        <v>14</v>
      </c>
      <c r="D14730" t="inlineStr">
        <is>
          <t>Dagues Érhy; Collier de Tourthon; Anneau Chevelu; Pikano; Bouclier Bontarien; Protopagne; Casque Dragoeuf; Cape au Logis; Sabots Minables; Dofus Abyssal; Dofus des Glaces; Dofus Ivoire; Enragé majeur; Remueur; Bouftor</t>
        </is>
      </c>
    </row>
    <row r="14731">
      <c r="A14731" t="inlineStr">
        <is>
          <t>osa terre</t>
        </is>
      </c>
      <c r="B14731">
        <f>HYPERLINK("https://www.dofusbook.net/fr/equipement/3972266-osa-terre-/objets", "link")</f>
        <v/>
      </c>
      <c r="C14731" t="n">
        <v>1</v>
      </c>
      <c r="D14731" t="inlineStr">
        <is>
          <t>Dagues Érhy; Collier Rophante; Pikano; Anneau Chevelu; Cadran de Feu; Ceinture de la Reine des Voleurs; Coiffe de la Reine des Voleurs; Cape au Logis; Baleinabottes; Dofus des Glaces; Dofus Abyssal; Dofus Ivoire; Enragé majeur; Remueur; Carapace Air majeur; Titard</t>
        </is>
      </c>
    </row>
    <row r="14732">
      <c r="A14732" t="inlineStr">
        <is>
          <t>iop pugi</t>
        </is>
      </c>
      <c r="B14732">
        <f>HYPERLINK("https://www.dofusbook.net/fr/equipement/3976992-iop-pugi-/objets", "link")</f>
        <v/>
      </c>
      <c r="C14732" t="n">
        <v>5</v>
      </c>
      <c r="D14732" t="inlineStr">
        <is>
          <t>Arc du Chalœil; Amulette Héroclite; Anneau Chevelu; Pikano; Quatre-feuilles; Ceinture de la Cour Sombre; Masque de Koutoulou; Cape au Logis; Bottes de la Cour Sombre; Dofus Turquoise; Dofus Nébuleux; Dofus Ivoire; Dofus Pourpre; Enragé majeur; Remueur; Dragodinde Amande et Pourpre</t>
        </is>
      </c>
    </row>
    <row r="14733">
      <c r="A14733" t="inlineStr">
        <is>
          <t>osa feu cher</t>
        </is>
      </c>
      <c r="B14733">
        <f>HYPERLINK("https://www.dofusbook.net/fr/equipement/3987314-osa-feu-cher/objets", "link")</f>
        <v/>
      </c>
      <c r="C14733" t="n">
        <v>0</v>
      </c>
      <c r="D14733" t="inlineStr">
        <is>
          <t>Baguette de Malléfisk; Amulette Volkorne; Anneauræus; Anneau Volkorne; Cadran de Feu; Protopagne; Casque Dragoeuf; Cape de Diondin; Chaussures Ardentes; Dofus Abyssal; Dofus Ivoire; Dofus des Glaces; Érudit majeur; Remueur; Miraculé majeur; Dragodinde Orchidée et Rousse</t>
        </is>
      </c>
    </row>
    <row r="14734">
      <c r="A14734" t="inlineStr">
        <is>
          <t>osa terre 3</t>
        </is>
      </c>
      <c r="B14734">
        <f>HYPERLINK("https://www.dofusbook.net/fr/equipement/3972387-osa-terre-3/objets", "link")</f>
        <v/>
      </c>
      <c r="C14734" t="n">
        <v>5</v>
      </c>
      <c r="D14734" t="inlineStr">
        <is>
          <t>Pelle Aigante; Amulette Volkorne; Pikano; Anneau Chevelu; Bouclier d'Ilyzaelle; Ceinture Volkorne; Masque de Koutoulou; Cape au Logis; Sabots Minables; Dofus Ivoire; Dofus des Glaces; Dofus Abyssal; Carapace Air majeur; Enragé majeur; Carapace Terre majeur; Muldo Indigo</t>
        </is>
      </c>
    </row>
    <row r="14735">
      <c r="A14735" t="inlineStr">
        <is>
          <t>osa terre 2</t>
        </is>
      </c>
      <c r="B14735">
        <f>HYPERLINK("https://www.dofusbook.net/fr/equipement/3972321-osa-terre-2-/objets", "link")</f>
        <v/>
      </c>
      <c r="C14735" t="n">
        <v>2</v>
      </c>
      <c r="D14735" t="inlineStr">
        <is>
          <t>Dagues Érhy; Amulette Héroclite; Pikano; Anneau Chevelu; Sept ans de malheur; Ceinture de la Cour Sombre; Masque de Koutoulou; Cape au Logis; Bottes de la Cour Sombre; Dofus Abyssal; Dofus Ivoire; Carapace Air majeur; Enragé majeur; Remueur; Titard</t>
        </is>
      </c>
    </row>
    <row r="14736">
      <c r="A14736" t="inlineStr">
        <is>
          <t>Eau terre</t>
        </is>
      </c>
      <c r="B14736">
        <f>HYPERLINK("https://www.dofusbook.net/fr/equipement/3913274-eau-terre-/objets", "link")</f>
        <v/>
      </c>
      <c r="C14736" t="n">
        <v>12</v>
      </c>
      <c r="D14736" t="inlineStr">
        <is>
          <t>Hache Ériphe; Amulette du Strigide; Pikano; Anneau Chevelu; Bouclier du Stalak; Ceinture de la Reine des Voleurs; Coiffe de la Reine des Voleurs; Cape au Logis; Baleinabottes; Dofus Abyssal; Dofus Pourpre; Dofus Ivoire; Dofus des Glaces; Dofus Turquoise; Remueur; Bulbisou</t>
        </is>
      </c>
    </row>
    <row r="14737">
      <c r="A14737" t="inlineStr">
        <is>
          <t>sadi eau terre ret pm</t>
        </is>
      </c>
      <c r="B14737">
        <f>HYPERLINK("https://www.dofusbook.net/fr/equipement/3951995-sadi-eau-terre-ret-pm/objets", "link")</f>
        <v/>
      </c>
      <c r="C14737" t="n">
        <v>5</v>
      </c>
      <c r="D14737" t="inlineStr">
        <is>
          <t>Marteau R'ture; Amulette Luminescente; Anneau Chevelu; Pikano; Ceinture Luminescente; Masque de Koutoulou; Cape au Logis; Bottes du Cœur Saignant; Dofus Pourpre; Dofus Ivoire; Dofus des Glaces; Dofus Turquoise; Dofus Abyssal; Remueur</t>
        </is>
      </c>
    </row>
    <row r="14738">
      <c r="A14738" t="inlineStr">
        <is>
          <t>Osamodas F 200</t>
        </is>
      </c>
      <c r="B14738">
        <f>HYPERLINK("https://www.dofusbook.net/fr/equipement/3362649-osamodas-f-200/objets", "link")</f>
        <v/>
      </c>
      <c r="C14738" t="n">
        <v>12</v>
      </c>
      <c r="D14738" t="inlineStr">
        <is>
          <t>Couronne d'Allister; Cape Hoile; El Scarador</t>
        </is>
      </c>
    </row>
    <row r="14739">
      <c r="A14739" t="inlineStr">
        <is>
          <t>osa full eau</t>
        </is>
      </c>
      <c r="B14739">
        <f>HYPERLINK("https://www.dofusbook.net/fr/equipement/3326111-osa-full-eau-/objets", "link")</f>
        <v/>
      </c>
      <c r="C14739" t="n">
        <v>5</v>
      </c>
      <c r="D14739" t="inlineStr">
        <is>
          <t>Rapière aux Glyphes; Amulette de Shokkoth; Bracelet des Fonds marins; Alliance Gloursonne; Sangle Ouare; Casque Dragoeuf; Cape Solution; Sandales des Fonds marins; Dofus Abyssal; Dofus des Glaces; Dofus Ivoire; Dévastateur Eau majeur; Remueur</t>
        </is>
      </c>
    </row>
    <row r="14740">
      <c r="A14740" t="inlineStr">
        <is>
          <t>Sadi terre 2</t>
        </is>
      </c>
      <c r="B14740">
        <f>HYPERLINK("https://www.dofusbook.net/fr/equipement/3913148-sadi-terre-2/objets", "link")</f>
        <v/>
      </c>
      <c r="C14740" t="n">
        <v>6</v>
      </c>
      <c r="D14740" t="inlineStr">
        <is>
          <t>Arc du Chalœil; Amulette Héroclite; Anneau Chevelu; Anneau Crustique; Bouclier du Stalak; Ceinture de la Reine des Voleurs; Coiffe de la Reine des Voleurs; Cape au Logis; Bottes Honyme; Dofus Turquoise; Dofus Abyssal; Dofus Pourpre; Dofus Ivoire; Enragé majeur; Remueur; Dragodinde en armure</t>
        </is>
      </c>
    </row>
    <row r="14741">
      <c r="A14741" t="inlineStr">
        <is>
          <t>Sadida F 200</t>
        </is>
      </c>
      <c r="B14741">
        <f>HYPERLINK("https://www.dofusbook.net/fr/equipement/3911079-sadida-f-200/objets", "link")</f>
        <v/>
      </c>
      <c r="C14741" t="n">
        <v>7</v>
      </c>
      <c r="D14741" t="inlineStr">
        <is>
          <t>Arc du Chalœil; Amulette Héroclite; Anneau Crustique; Anneau Chevelu; Quatre-feuilles; Ceinture de la Cour Sombre; Masque de Koutoulou; Cape au Logis; Bottes de la Cour Sombre; Dofus Abyssal; Dofus Pourpre; Dofus Ivoire; Dofus Turquoise; Enragé majeur; Remueur; Dragodinde en armure</t>
        </is>
      </c>
    </row>
    <row r="14742">
      <c r="A14742" t="inlineStr">
        <is>
          <t>osa aire terre pvp</t>
        </is>
      </c>
      <c r="B14742">
        <f>HYPERLINK("https://www.dofusbook.net/fr/equipement/3858924-osa-aire-terre-pvp/objets", "link")</f>
        <v/>
      </c>
      <c r="C14742" t="n">
        <v>4</v>
      </c>
      <c r="D14742" t="inlineStr">
        <is>
          <t>Hache Ériphe; Amulette Héroclite; Alliance Gloursonne; Pikano; Bouclier du Stalak; Ceinture de la Reine des Voleurs; Coiffe de la Reine des Voleurs; Cape du Kamasterisk; Baleinabottes; Dofus Ivoire; Dofus des Glaces; Dofus Émeraude; Miraculé majeur; Remueur; Nomade; Dragodinde Ebène et Pourpre</t>
        </is>
      </c>
    </row>
    <row r="14743">
      <c r="A14743" t="inlineStr">
        <is>
          <t>osa chiant</t>
        </is>
      </c>
      <c r="B14743">
        <f>HYPERLINK("https://www.dofusbook.net/fr/equipement/3853686-osa-chiant/objets", "link")</f>
        <v/>
      </c>
      <c r="C14743" t="n">
        <v>5</v>
      </c>
      <c r="D14743" t="inlineStr">
        <is>
          <t>Dagues de Srambad; Amulette Héroclite; Pikano; Alliance Gloursonne; Bouclier d'Ilyzaelle; Ceinture de la Reine des Voleurs; Coiffe de la Reine des Voleurs; Cape d'Anerice; Bottes Honyme; Dofus des Glaces; Dofus Émeraude; Dofus Ivoire; Nomade; Miraculé majeur; Remueur; Dragodinde Indigo et Pourpre</t>
        </is>
      </c>
    </row>
    <row r="14744">
      <c r="A14744" t="inlineStr">
        <is>
          <t>Osamodas F 200</t>
        </is>
      </c>
      <c r="B14744">
        <f>HYPERLINK("https://www.dofusbook.net/fr/equipement/3418187-osamodas-f-200/objets", "link")</f>
        <v/>
      </c>
      <c r="C14744" t="n">
        <v>8</v>
      </c>
      <c r="D14744" t="inlineStr">
        <is>
          <t>L'Épée Nice; Amulette Héroclite; Alliance Gloursonne; Pikano; Sept ans de malheur; Ceinture de la Reine des Voleurs; Coiffe de la Reine des Voleurs; Cape d'Anerice; Baleinabottes; Dofus des Glaces; Dofus Émeraude; Dofus Ivoire; Remueur; Miraculé majeur; La Chose</t>
        </is>
      </c>
    </row>
    <row r="14745">
      <c r="A14745" t="inlineStr">
        <is>
          <t>eca comparison stuff</t>
        </is>
      </c>
      <c r="B14745">
        <f>HYPERLINK("https://www.dofusbook.net/fr/equipement/3206416-eca-comparison-stuff/objets", "link")</f>
        <v/>
      </c>
      <c r="C14745" t="n">
        <v>3</v>
      </c>
      <c r="D14745" t="inlineStr">
        <is>
          <t>L'Épée Nice; Amulette du Strigide; Bracelet du Piloztère; Alliance Gloursonne; Bouclier du Stalak; Ceintacé; Masque Brûlâme; Cape du Kamasterisk; Bottes du Strigide; Dofus Turquoise; Dofus des Glaces; Dofus Pourpre; Dofus Abyssal; Vigoureux majeur; Remueur</t>
        </is>
      </c>
    </row>
    <row r="14746">
      <c r="A14746" t="inlineStr">
        <is>
          <t>Osa aire terre</t>
        </is>
      </c>
      <c r="B14746">
        <f>HYPERLINK("https://www.dofusbook.net/fr/equipement/3849246-osa-aire-terre-/objets", "link")</f>
        <v/>
      </c>
      <c r="C14746" t="n">
        <v>1</v>
      </c>
      <c r="D14746" t="inlineStr">
        <is>
          <t>Héqache; Amulette du Cycloïde; Alliance Brûlâme; Alliance Gloursonne; Bouclier du Stalak; Ceinture de la Reine des Voleurs; Coiffe de la Reine des Voleurs; Cape du Kamasterisk; Baleinabottes; Dofus des Glaces; Dofus Abyssal; Dofus Émeraude; Dofus Ivoire; Remueur; Chachyène</t>
        </is>
      </c>
    </row>
    <row r="14747">
      <c r="A14747" t="inlineStr">
        <is>
          <t>Stuff 3</t>
        </is>
      </c>
      <c r="B14747">
        <f>HYPERLINK("https://www.dofusbook.net/fr/equipement/139175-stuff-3/objets", "link")</f>
        <v/>
      </c>
      <c r="C14747" t="n">
        <v>2</v>
      </c>
      <c r="D14747" t="inlineStr">
        <is>
          <t>Dagues de Srambad; Amulette Voldelor; Alliance Gloursonne; Pikano; Bouclier d'Ilyzaelle; Ceinture de la Reine des Voleurs; Ruskauffe; Cape des Justiciers; Bottes de la Reine des Voleurs; Dofus Émeraude; Dofus Ivoire; Dofus des Glaces; Dofus Abyssal; Remueur</t>
        </is>
      </c>
    </row>
    <row r="14748">
      <c r="A14748" t="inlineStr">
        <is>
          <t>eaua ire 2</t>
        </is>
      </c>
      <c r="B14748">
        <f>HYPERLINK("https://www.dofusbook.net/fr/equipement/3848124-eaua-ire-2/objets", "link")</f>
        <v/>
      </c>
      <c r="C14748" t="n">
        <v>0</v>
      </c>
      <c r="D14748" t="inlineStr">
        <is>
          <t>Arc de Koutoulou; Amulette Volkorne; Anneau Volkorne; Alliance Gloursonne; Bouclier du Stalak; Ceinture Voldelor; Casque d'Ilyzaelle; Cape Solution; Bottes de l'Indicible; Dofus Ivoire; Dofus Abyssal; Dofus des Glaces; Remueur</t>
        </is>
      </c>
    </row>
    <row r="14749">
      <c r="A14749" t="inlineStr">
        <is>
          <t>Eva eau feu</t>
        </is>
      </c>
      <c r="B14749">
        <f>HYPERLINK("https://www.dofusbook.net/fr/equipement/3795658-eva-eau-feu/objets", "link")</f>
        <v/>
      </c>
      <c r="C14749" t="n">
        <v>2</v>
      </c>
      <c r="D14749" t="inlineStr">
        <is>
          <t>Arc Nécrotique; Amulette de Shokkoth; Anneau Tique; Alliance Gloursonne; Bouclier du Stalak; Ceintacé; Casque Dragoeuf; Cape de la Dame du Hasard; Bottes de la Dame du Hasard; Dofus Turquoise; Dofus Abyssal; Dofus Pourpre; Dofus Ivoire; Nomade; Remueur; Sakochère</t>
        </is>
      </c>
    </row>
    <row r="14750">
      <c r="A14750" t="inlineStr">
        <is>
          <t>Eva terre eau</t>
        </is>
      </c>
      <c r="B14750">
        <f>HYPERLINK("https://www.dofusbook.net/fr/equipement/3788985-eva-terre-eau-/objets", "link")</f>
        <v/>
      </c>
      <c r="C14750" t="n">
        <v>5</v>
      </c>
      <c r="D14750" t="inlineStr">
        <is>
          <t>Dagues de Srambad; Amulette Luminescente; Alliance Gloursonne; Bague Trithon; Bouclier du Stalak; Sangle Ouare; Masque de Koutoulou; Cape Luminescente; Bottes Honyme; Black Tiwabbit</t>
        </is>
      </c>
    </row>
    <row r="14751">
      <c r="A14751" t="inlineStr">
        <is>
          <t>eca eau</t>
        </is>
      </c>
      <c r="B14751">
        <f>HYPERLINK("https://www.dofusbook.net/fr/equipement/3786709-eca-eau-/objets", "link")</f>
        <v/>
      </c>
      <c r="C14751" t="n">
        <v>1</v>
      </c>
      <c r="D14751" t="inlineStr">
        <is>
          <t>Rapière aux Glyphes; Amulette de Shokkoth; Bracelet des Fonds marins; Alliance Gloursonne; Bouclier du Stalak; Ceinture de la Reine des Voleurs; Kidibonnet; Cape Solution; Bottes de la Reine des Voleurs; Dofus Ivoire; Dofus Abyssal; Dofus Pourpre; Remueur; Nomade; Chanceux majeur; Kanigloups</t>
        </is>
      </c>
    </row>
    <row r="14752">
      <c r="A14752" t="inlineStr">
        <is>
          <t>eca feu soutien</t>
        </is>
      </c>
      <c r="B14752">
        <f>HYPERLINK("https://www.dofusbook.net/fr/equipement/3785861-eca-feu-soutien/objets", "link")</f>
        <v/>
      </c>
      <c r="C14752" t="n">
        <v>1</v>
      </c>
      <c r="D14752" t="inlineStr">
        <is>
          <t>Arc corrompu; Amulette de Nileza; Anneauræus; Anneauræus; Bouclier du Stalak; Ceinture de Vortex; Heaume Oplate; Cape de Nileza; Bottes Innommables; Dofus Pourpre; Dofus Abyssal; Dofus Ivoire; Remueur; Érudit majeur; Nomade; Bisouglours</t>
        </is>
      </c>
    </row>
    <row r="14753">
      <c r="A14753" t="inlineStr">
        <is>
          <t>Ecaflip do pou</t>
        </is>
      </c>
      <c r="B14753">
        <f>HYPERLINK("https://www.dofusbook.net/fr/equipement/3783171-ecaflip-do-pou-/objets", "link")</f>
        <v/>
      </c>
      <c r="C14753" t="n">
        <v>0</v>
      </c>
      <c r="D14753" t="inlineStr">
        <is>
          <t>Lav'Hache; Amulette Luminescente; Bague Trithon; Alliance Gloursonne; Bouclier Taverne; Ceinture Gence; Casque Dragoeuf; Cape Luminescente; Bottes du Cœur Vaillant; Dofus Abyssal; Dofus Ivoire; Remueur; Culbuteur majeur; Nomade; Bousculeur majeur; Black Tiwabbit</t>
        </is>
      </c>
    </row>
    <row r="14754">
      <c r="A14754" t="inlineStr">
        <is>
          <t>Eca 1.0</t>
        </is>
      </c>
      <c r="B14754">
        <f>HYPERLINK("https://www.dofusbook.net/fr/equipement/3041787-eca-1-0-/objets", "link")</f>
        <v/>
      </c>
      <c r="C14754" t="n">
        <v>2</v>
      </c>
      <c r="D14754" t="inlineStr">
        <is>
          <t>L'Épée Nice; Amulette du Strigide; Bracelet du Piloztère; Alliance Gloursonne; Bouclier du Stalak; Ceintacé; Chapeau Lisson; Cape du Kamasterisk; Bottes du Strigide; Dofus Abyssal; Dofus Turquoise; Dofus des Glaces; Dofus Pourpre; Dofus Ivoire; Remueur; El Scarador</t>
        </is>
      </c>
    </row>
    <row r="14755">
      <c r="A14755" t="inlineStr">
        <is>
          <t>osa resi</t>
        </is>
      </c>
      <c r="B14755">
        <f>HYPERLINK("https://www.dofusbook.net/fr/equipement/3326178-osa-resi-/objets", "link")</f>
        <v/>
      </c>
      <c r="C14755" t="n">
        <v>19</v>
      </c>
      <c r="D14755" t="inlineStr">
        <is>
          <t>Le Thanos; Amulette d'Ilyzaelle; Alliance Gloursonne; Lavanneau; Carapar; Sangle Ouare; Casque d'Ilyzaelle; Cape Solution; Pataugastrique; Dofus Abyssal; Dofus Ivoire; Dofus des Glaces; Guérisseur majeur; Docteur majeur; Remueur</t>
        </is>
      </c>
    </row>
    <row r="14756">
      <c r="A14756" t="inlineStr">
        <is>
          <t>Féca M 200</t>
        </is>
      </c>
      <c r="B14756">
        <f>HYPERLINK("https://www.dofusbook.net/fr/equipement/3394581-feca-m-200/objets", "link")</f>
        <v/>
      </c>
      <c r="C14756" t="n">
        <v>0</v>
      </c>
      <c r="D14756" t="inlineStr">
        <is>
          <t>Cape Hoile; Platypus; Bouclier de la Femme Merveilleuse</t>
        </is>
      </c>
    </row>
    <row r="14757">
      <c r="A14757" t="inlineStr">
        <is>
          <t>osa aire</t>
        </is>
      </c>
      <c r="B14757">
        <f>HYPERLINK("https://www.dofusbook.net/fr/equipement/3333915-osa-aire-/objets", "link")</f>
        <v/>
      </c>
      <c r="C14757" t="n">
        <v>2</v>
      </c>
      <c r="D14757" t="inlineStr">
        <is>
          <t>Dagues Érhy; Collier du Valet Veinard; Alliance Gloursonne; Anneau d'Allister; Bouclier d'Ilyzaelle; Menoture; Casque d'Ilyzaelle; Cape des Justiciers; Bottes de l'Indicible; Dofus Abyssal; Dofus des Glaces; Cascadeur majeur; Nomade; Dévastateur Air majeur; Remueur</t>
        </is>
      </c>
    </row>
    <row r="14758">
      <c r="A14758" t="inlineStr">
        <is>
          <t>Osamodas F 200</t>
        </is>
      </c>
      <c r="B14758">
        <f>HYPERLINK("https://www.dofusbook.net/fr/equipement/3326147-osamodas-f-200/objets", "link")</f>
        <v/>
      </c>
      <c r="C14758" t="n">
        <v>0</v>
      </c>
      <c r="D14758" t="inlineStr">
        <is>
          <t>Dagues Érhy; Amulette du Granduk; Anneau d'Allister; Alliance Gloursonne; Bouclier du Stalak; Menoture; Coiffe de la Reine des Voleurs; Cape du Valet Veinard; Bottes de la Reine des Voleurs; Dofus des Glaces; Dofus Abyssal; Dofus Pourpre; Remueur; Cascadeur majeur; Nomade; Siroko</t>
        </is>
      </c>
    </row>
    <row r="14759">
      <c r="A14759" t="inlineStr">
        <is>
          <t>ecA final eau aire</t>
        </is>
      </c>
      <c r="B14759">
        <f>HYPERLINK("https://www.dofusbook.net/fr/equipement/3167509-eca-final-eau-aire/objets", "link")</f>
        <v/>
      </c>
      <c r="C14759" t="n">
        <v>3</v>
      </c>
      <c r="D14759" t="inlineStr">
        <is>
          <t>Arc de Koutoulou; Amulette du Strigide; Bracelet du Piloztère; Alliance Gloursonne; Bouclier du Stalak; Ceintacé; Casque d'Ilyzaelle; Chevelure de Tal Kasha; Bottes du Strigide; Dofus Pourpre; Dofus Abyssal; Dofus des Glaces; Dofus Turquoise; Remueur; Nomade; Kramkram</t>
        </is>
      </c>
    </row>
    <row r="14760">
      <c r="A14760" t="inlineStr">
        <is>
          <t>Teste triton</t>
        </is>
      </c>
      <c r="B14760">
        <f>HYPERLINK("https://www.dofusbook.net/fr/equipement/3178991-teste-triton/objets", "link")</f>
        <v/>
      </c>
      <c r="C14760" t="n">
        <v>0</v>
      </c>
      <c r="D14760" t="inlineStr">
        <is>
          <t>Amulette du Strigide; Alliance Gloursonne; Bague Trithon; Bouclier du Stalak; Ceintacé; Masque d'Anerice; Cape d'Anerice; Bottes Trithon; Dofus Ocre; Dofus Turquoise; Dofus Émeraude; Dofus Abyssal; Dofus Pourpre; Dofus des Glaces</t>
        </is>
      </c>
    </row>
    <row r="14761">
      <c r="A14761" t="inlineStr">
        <is>
          <t>tri element</t>
        </is>
      </c>
      <c r="B14761">
        <f>HYPERLINK("https://www.dofusbook.net/fr/equipement/3159604-tri-element/objets", "link")</f>
        <v/>
      </c>
      <c r="C14761" t="n">
        <v>0</v>
      </c>
      <c r="D14761" t="inlineStr">
        <is>
          <t>Cape du Chalœil</t>
        </is>
      </c>
    </row>
    <row r="14762">
      <c r="A14762" t="inlineStr">
        <is>
          <t>fgtj</t>
        </is>
      </c>
      <c r="B14762">
        <f>HYPERLINK("https://www.dofusbook.net/fr/equipement/3151610-fgtj/objets", "link")</f>
        <v/>
      </c>
      <c r="C14762" t="n">
        <v>0</v>
      </c>
      <c r="D14762" t="inlineStr">
        <is>
          <t>Hache Ériphe; Amulette du Cycloïde; Anneau Pwal; Alliance Gloursonne; Bouclier du Stalak; Ceinture de la Reine des Voleurs; Coiffe de la Reine des Voleurs; Cape du Kamasterisk; Baleinabottes; Dofus Pourpre; Dofus des Glaces; Vigoureux majeur; Remueur; Cascadeur majeur; Nomade; Muldo Indigo et Orchidée</t>
        </is>
      </c>
    </row>
    <row r="14763">
      <c r="A14763" t="inlineStr">
        <is>
          <t>panda 200strigide</t>
        </is>
      </c>
      <c r="B14763">
        <f>HYPERLINK("https://www.dofusbook.net/fr/equipement/3026053-panda-200strigide-/objets", "link")</f>
        <v/>
      </c>
      <c r="C14763" t="n">
        <v>0</v>
      </c>
      <c r="D14763" t="inlineStr">
        <is>
          <t>La Baguette des Limbes; Amulette du Strigide; Bracelet du Piloztère; Anneau de Padgref; Quatre-feuilles; Ceinture du Strigide; Coiffe de Padgref; Cape des Justiciers; Getas de Padgref; Dofus Émeraude; Dofus des Glaces; Dofus Pourpre; Dofus Turquoise; Muldo Doré</t>
        </is>
      </c>
    </row>
    <row r="14764">
      <c r="A14764" t="inlineStr">
        <is>
          <t>givrure pvm</t>
        </is>
      </c>
      <c r="B14764">
        <f>HYPERLINK("https://www.dofusbook.net/fr/equipement/2972584-givrure-pvm/objets", "link")</f>
        <v/>
      </c>
      <c r="C14764" t="n">
        <v>0</v>
      </c>
      <c r="D14764" t="inlineStr">
        <is>
          <t>Collier du Valet Veinard; Anneau d'Allister; Bouclier cubiste; Ceinture Rasboulaire du Rasboul; Cape du Valet Veinard</t>
        </is>
      </c>
    </row>
    <row r="14765">
      <c r="A14765" t="inlineStr">
        <is>
          <t>Stuff 2</t>
        </is>
      </c>
      <c r="B14765">
        <f>HYPERLINK("https://www.dofusbook.net/fr/equipement/139202-stuff-2/objets", "link")</f>
        <v/>
      </c>
      <c r="C14765" t="n">
        <v>0</v>
      </c>
      <c r="D14765" t="inlineStr">
        <is>
          <t>Dagoulinantes; Amulette de Shokkoth; Pikano; Alliance Gloursonne; Ceintacé; Casqnoar; Cape de la Dame du Hasard; Bottes de la Dame du Hasard; Dolmanax; Remueur; Nomade; Étourdisseur majeur; Miraculé majeur</t>
        </is>
      </c>
    </row>
    <row r="14766">
      <c r="A14766" t="inlineStr">
        <is>
          <t>Stuff 3</t>
        </is>
      </c>
      <c r="B14766">
        <f>HYPERLINK("https://www.dofusbook.net/fr/equipement/139169-stuff-3/objets", "link")</f>
        <v/>
      </c>
      <c r="C14766" t="n">
        <v>2</v>
      </c>
      <c r="D14766" t="inlineStr">
        <is>
          <t>Dagues de Srambad; Racine Hueuse; Alliance Gloursonne; Bracelet du Piloztère; Ceinture de la Reine des Voleurs; Coiffe de la Reine des Voleurs; Cape Luminescente; Baleinabottes; Dofus des Glaces; Dofus Pourpre; Robuste majeur; Nomade; Remueur; Vigoureux majeur; Muldo Doré et Ebène</t>
        </is>
      </c>
    </row>
    <row r="14767">
      <c r="A14767" t="inlineStr">
        <is>
          <t>Agi chance</t>
        </is>
      </c>
      <c r="B14767">
        <f>HYPERLINK("https://www.dofusbook.net/fr/equipement/2805587-agi-chance-/objets", "link")</f>
        <v/>
      </c>
      <c r="C14767" t="n">
        <v>2</v>
      </c>
      <c r="D14767" t="inlineStr">
        <is>
          <t>Bâton K'Tueuh; Amulette du Korriandre; Bague de Boréale; Nageoiture; Bonnet Ko; Cape Peupret; Bottes de Boréale; Dofus Émeraude; Dofus Pourpre; Dokoko; Nomade; Vigoureux majeur; Remueur</t>
        </is>
      </c>
    </row>
    <row r="14768">
      <c r="A14768" t="inlineStr">
        <is>
          <t>force et autre no cc</t>
        </is>
      </c>
      <c r="B14768">
        <f>HYPERLINK("https://www.dofusbook.net/fr/equipement/1985907-force-et-autre-no-cc/objets", "link")</f>
        <v/>
      </c>
      <c r="C14768" t="n">
        <v>0</v>
      </c>
      <c r="D14768" t="inlineStr">
        <is>
          <t>Dagues de Srambad; Amulette du Cœur Vaillant; Goulano; Goulclier; Ceinture de la Reine des Voleurs; Coiffe de la Reine des Voleurs; Cape du Cœur Vaillant; Bottes du Cœur Vaillant</t>
        </is>
      </c>
    </row>
    <row r="14769">
      <c r="A14769" t="inlineStr">
        <is>
          <t>stuff2.42</t>
        </is>
      </c>
      <c r="B14769">
        <f>HYPERLINK("https://www.dofusbook.net/fr/equipement/1321409-stuff2-42/objets", "link")</f>
        <v/>
      </c>
      <c r="C14769" t="n">
        <v>0</v>
      </c>
      <c r="D14769" t="inlineStr">
        <is>
          <t>Epée Gloursonne; Amulette du Strigide; Bague Gloursonne; Alliance Gloursonne; Ceinture du Strigide; Bottes du Strigide</t>
        </is>
      </c>
    </row>
    <row r="14770">
      <c r="A14770" t="inlineStr">
        <is>
          <t>duo koutou</t>
        </is>
      </c>
      <c r="B14770">
        <f>HYPERLINK("https://www.dofusbook.net/fr/equipement/1321186-duo-koutou/objets", "link")</f>
        <v/>
      </c>
      <c r="C14770" t="n">
        <v>1</v>
      </c>
      <c r="D14770" t="inlineStr">
        <is>
          <t>Pelle de la Cour Sombre; Amulette du Granduk; Anneau d'Allister; Alliance Gloursonne; Bouclier du Captain Amakna; Ceinture du Barbétoal; Chapignon; Cape du Barbétoal; Pantoufles Émar; Dokoko; Dofus Émeraude; Cascadeur majeur; Nomade; Remueur; Carapace Air majeur; Muldo Roux et Ebène</t>
        </is>
      </c>
    </row>
    <row r="14771">
      <c r="A14771" t="inlineStr">
        <is>
          <t>test bonnet ko</t>
        </is>
      </c>
      <c r="B14771">
        <f>HYPERLINK("https://www.dofusbook.net/fr/equipement/1227143-test-bonnet-ko-/objets", "link")</f>
        <v/>
      </c>
      <c r="C14771" t="n">
        <v>0</v>
      </c>
      <c r="D14771" t="inlineStr"/>
    </row>
    <row r="14772">
      <c r="A14772" t="inlineStr">
        <is>
          <t>feu eau new 1</t>
        </is>
      </c>
      <c r="B14772">
        <f>HYPERLINK("https://www.dofusbook.net/fr/equipement/1137083-feu-eau-new-1/objets", "link")</f>
        <v/>
      </c>
      <c r="C14772" t="n">
        <v>2</v>
      </c>
      <c r="D14772" t="inlineStr">
        <is>
          <t>Epée Gloursonne; Collier de la Dame du Hasard; Alliance Gloursonne; Bague Gloursonne; Quatre-feuilles; Ceinture du Glourséleste; Casque Dragoeuf; Cape de la Dame du Hasard; Bottes de la Dame du Hasard; Dofus Pourpre; Dolmanax; Dofus Émeraude; Dofus Turquoise; Dofus des Glaces; Dofus Ocre; Muldo Orchidée et Pourpre</t>
        </is>
      </c>
    </row>
    <row r="14773">
      <c r="A14773" t="inlineStr">
        <is>
          <t>stuff opanda terste</t>
        </is>
      </c>
      <c r="B14773">
        <f>HYPERLINK("https://www.dofusbook.net/fr/equipement/1203387-stuff-opanda-terste/objets", "link")</f>
        <v/>
      </c>
      <c r="C14773" t="n">
        <v>0</v>
      </c>
      <c r="D14773" t="inlineStr">
        <is>
          <t>Baguette Houffe-Craitien; Amulette de Shokkoth; Anneau de Padgref; Alliance Gloursonne; Quatre-feuilles; Ceintacé; Casqnoar; Cape de la Dame du Hasard; Bottes de la Dame du Hasard; Dofus Pourpre; Dolmanax; Dokoko; Dofus Turquoise; Dofus des Glaces; Dofus Ocre</t>
        </is>
      </c>
    </row>
    <row r="14774">
      <c r="A14774" t="inlineStr">
        <is>
          <t>feu eau</t>
        </is>
      </c>
      <c r="B14774">
        <f>HYPERLINK("https://www.dofusbook.net/fr/equipement/1203195-feu-eau-/objets", "link")</f>
        <v/>
      </c>
      <c r="C14774" t="n">
        <v>1</v>
      </c>
      <c r="D14774" t="inlineStr">
        <is>
          <t>Baguette Houffe-Craitien; Amulette du Strigide; Anneau de Padgref; Alliance Gloursonne; Quatre-feuilles; Ceinture du Strigide; Le Dorado; Cape de la Dame du Hasard; Bottes de la Dame du Hasard; Dofus des Glaces; Dofus Ocre; Dofus Turquoise; Dofus Pourpre; Dofus Émeraude; Dolmanax; Muldo Prune</t>
        </is>
      </c>
    </row>
    <row r="14775">
      <c r="A14775" t="inlineStr">
        <is>
          <t>Stuff 3</t>
        </is>
      </c>
      <c r="B14775">
        <f>HYPERLINK("https://www.dofusbook.net/fr/equipement/1203088-stuff-3/objets", "link")</f>
        <v/>
      </c>
      <c r="C14775" t="n">
        <v>0</v>
      </c>
      <c r="D14775" t="inlineStr">
        <is>
          <t>Bâtonnet Ronien; Amulette du Strigide; Bracelet du Piloztère; Anneau de Padgref; Quatre-feuilles; Ceinture du Strigide; Boucle d'oreille de Kongoku; Chevelure de Tal Kasha; Bottes Voldelor; Dofus Turquoise; Dofus Pourpre; Dolmanax; Dofus Ocre; Remueur; Vigoureux majeur; Muldo Prune</t>
        </is>
      </c>
    </row>
    <row r="14776">
      <c r="A14776" t="inlineStr">
        <is>
          <t>Stuff 3</t>
        </is>
      </c>
      <c r="B14776">
        <f>HYPERLINK("https://www.dofusbook.net/fr/equipement/1202962-stuff-3/objets", "link")</f>
        <v/>
      </c>
      <c r="C14776" t="n">
        <v>0</v>
      </c>
      <c r="D14776" t="inlineStr">
        <is>
          <t>Bâtonnet Ronien; Pendentif Oton; Anneau de Padgref; Bracelet du Piloztère; Quatre-feuilles; Sangle Cible; Némès de Tal Kasha; Chevelure de Tal Kasha; Sandales de Tal Kasha; Dofus des Glaces; Dofus Ocre; Dofus Turquoise; Dofus Pourpre; Dofus Émeraude; Dolmanax; Muldo Prune</t>
        </is>
      </c>
    </row>
    <row r="14777">
      <c r="A14777" t="inlineStr">
        <is>
          <t>eau feu pvp teste 1</t>
        </is>
      </c>
      <c r="B14777">
        <f>HYPERLINK("https://www.dofusbook.net/fr/equipement/1137830-eau-feu-pvp-teste-1/objets", "link")</f>
        <v/>
      </c>
      <c r="C14777" t="n">
        <v>0</v>
      </c>
      <c r="D14777" t="inlineStr">
        <is>
          <t>Arc Nécrotique; Amulette de Shokkoth; Alliance Gloursonne; Anneau Tique; Bouclier du Stalak; Ceintacé; Casqnoar; Cape de la Dame du Hasard; Bottes de la Dame du Hasard; Dofus Turquoise; Dofus des Glaces; Dofus Ocre; Dofus Pourpre; Dolmanax; Nomade</t>
        </is>
      </c>
    </row>
    <row r="14778">
      <c r="A14778" t="inlineStr">
        <is>
          <t>eau feu pvp sapeuh</t>
        </is>
      </c>
      <c r="B14778">
        <f>HYPERLINK("https://www.dofusbook.net/fr/equipement/1137336-eau-feu-pvp-sapeuh/objets", "link")</f>
        <v/>
      </c>
      <c r="C14778" t="n">
        <v>2</v>
      </c>
      <c r="D14778" t="inlineStr">
        <is>
          <t>Pelle de Katrepat; Talisman Igans; Alliance Gloursonne; Bracelet des Fonds marins; Bouclier du Stalak; Ceintrigue; Casqnoar; Cape de la Dame du Hasard; Pataugastrique; Dofus Pourpre; Dofus des Glaces; Dofus Turquoise; Dolmanax; Dofus Ocre</t>
        </is>
      </c>
    </row>
    <row r="14779">
      <c r="A14779" t="inlineStr">
        <is>
          <t>eau feu dada</t>
        </is>
      </c>
      <c r="B14779">
        <f>HYPERLINK("https://www.dofusbook.net/fr/equipement/1137079-eau-feu-dada/objets", "link")</f>
        <v/>
      </c>
      <c r="C14779" t="n">
        <v>0</v>
      </c>
      <c r="D14779" t="inlineStr"/>
    </row>
    <row r="14780">
      <c r="A14780" t="inlineStr">
        <is>
          <t>do cri drole</t>
        </is>
      </c>
      <c r="B14780">
        <f>HYPERLINK("https://www.dofusbook.net/fr/equipement/615860-do-cri-drole-/objets", "link")</f>
        <v/>
      </c>
      <c r="C14780" t="n">
        <v>1</v>
      </c>
      <c r="D14780" t="inlineStr"/>
    </row>
    <row r="14781">
      <c r="A14781" t="inlineStr">
        <is>
          <t>Stuff 2</t>
        </is>
      </c>
      <c r="B14781">
        <f>HYPERLINK("https://www.dofusbook.net/fr/equipement/139180-stuff-2/objets", "link")</f>
        <v/>
      </c>
      <c r="C14781" t="n">
        <v>1</v>
      </c>
      <c r="D14781" t="inlineStr">
        <is>
          <t>Epée Toche; Amulette du Strigide; Anneau du Comte Harebourg; Bague Gloursonne; Bouclier du Captain Amakna; Ceinture du Strigide; Bonnet Ko; Voile d'encre; Bottes du Cycloïde; Dofus Ocre; Dofus Turquoise; Dofus Pourpre; Remueur; Nomade; Vigoureux majeur; Phortiche</t>
        </is>
      </c>
    </row>
    <row r="14782">
      <c r="A14782" t="inlineStr">
        <is>
          <t>Stuff 1</t>
        </is>
      </c>
      <c r="B14782">
        <f>HYPERLINK("https://www.dofusbook.net/fr/equipement/139170-stuff-1/objets", "link")</f>
        <v/>
      </c>
      <c r="C14782" t="n">
        <v>0</v>
      </c>
      <c r="D14782" t="inlineStr">
        <is>
          <t>Plumeau Bil; Amulette Cryochrone; Anneau Cryochrone; Anneau Tique; Ceintrigue; Casqnoar; Cape des Justiciers; Pataugastrique; Dofus Pourpre; Érudit majeur; Vigoureux majeur; Nomade; Chanceux majeur; Remueur; Phortiche</t>
        </is>
      </c>
    </row>
    <row r="14783">
      <c r="A14783" t="inlineStr">
        <is>
          <t>Stuff 1</t>
        </is>
      </c>
      <c r="B14783">
        <f>HYPERLINK("https://www.dofusbook.net/fr/equipement/139197-stuff-1/objets", "link")</f>
        <v/>
      </c>
      <c r="C14783" t="n">
        <v>0</v>
      </c>
      <c r="D14783" t="inlineStr">
        <is>
          <t>Marteau R'ture; Collier de Tourthon; Anneau Crustique; Anneau Chevelu; Ceintouse; Masque de Koutoulou; Cape au Logis; Tentassons; Dofus Turquoise; Dolmanax; Vigoureux majeur; Nomade; Remueur; Enragé majeur</t>
        </is>
      </c>
    </row>
    <row r="14784">
      <c r="A14784" t="inlineStr">
        <is>
          <t>Stuff 2</t>
        </is>
      </c>
      <c r="B14784">
        <f>HYPERLINK("https://www.dofusbook.net/fr/equipement/139187-stuff-2/objets", "link")</f>
        <v/>
      </c>
      <c r="C14784" t="n">
        <v>0</v>
      </c>
      <c r="D14784" t="inlineStr">
        <is>
          <t>Dagues Érhy; Amulette Ementaire Deluxe; Bague Gloursonne; Anneau de Nidas; Ceinture de l'Indicible; Masque de Koutoulou; Voile d'encre; Bottes de l'Indicible; Dolmanax; Dofus Turquoise; Érudit majeur; Remueur; Nomade; El Scarador</t>
        </is>
      </c>
    </row>
    <row r="14785">
      <c r="A14785" t="inlineStr">
        <is>
          <t>Stuff 1</t>
        </is>
      </c>
      <c r="B14785">
        <f>HYPERLINK("https://www.dofusbook.net/fr/equipement/139182-stuff-1/objets", "link")</f>
        <v/>
      </c>
      <c r="C14785" t="n">
        <v>0</v>
      </c>
      <c r="D14785" t="inlineStr">
        <is>
          <t>Lame du Chef Bwork; Amulette du Chef Bwork; Gelano; Bracelet du Chef Bwork; Slip du Chef Bwork; Casque du Chef Bwork; Cape du Chef Bwork; Bottes du Chef Bwork</t>
        </is>
      </c>
    </row>
    <row r="14786">
      <c r="A14786" t="inlineStr">
        <is>
          <t>Stuff 2</t>
        </is>
      </c>
      <c r="B14786">
        <f>HYPERLINK("https://www.dofusbook.net/fr/equipement/139177-stuff-2/objets", "link")</f>
        <v/>
      </c>
      <c r="C14786" t="n">
        <v>0</v>
      </c>
      <c r="D14786" t="inlineStr">
        <is>
          <t>Arc Hétype; Amulette Ementaire Deluxe; Anneau de Nidas; Anneau Pwal; Ceinture de Kongoku; Couronne de Nidas; Cape de la Dame du Hasard; Pantoufles Émar; Dolmanax; Dofus Ocre; Entraveur majeur; Temporiseur majeur; Nomade; Érudit majeur</t>
        </is>
      </c>
    </row>
    <row r="14787">
      <c r="A14787" t="inlineStr">
        <is>
          <t>Stuff 3</t>
        </is>
      </c>
      <c r="B14787">
        <f>HYPERLINK("https://www.dofusbook.net/fr/equipement/139172-stuff-3/objets", "link")</f>
        <v/>
      </c>
      <c r="C14787" t="n">
        <v>0</v>
      </c>
      <c r="D14787" t="inlineStr">
        <is>
          <t>Bâton Fracass; Amulette du Strigide; Bague Gloursonne; Alliance Gloursonne; Slip du Roi de Bonta; Dorabysses; Cape Matelassée; Bottes d'Oshimo; Remueur; Obstructeur majeur; Déserteur majeur; Carapace Air majeur; Nomade; Cascadeur majeur; Siroko</t>
        </is>
      </c>
    </row>
    <row r="14788">
      <c r="A14788" t="inlineStr">
        <is>
          <t>Stuff 1</t>
        </is>
      </c>
      <c r="B14788">
        <f>HYPERLINK("https://www.dofusbook.net/fr/equipement/139167-stuff-1/objets", "link")</f>
        <v/>
      </c>
      <c r="C14788" t="n">
        <v>1</v>
      </c>
      <c r="D14788" t="inlineStr">
        <is>
          <t>Marteau des Anciens Steamers; Amulette du Strigide; Alliance Gloursonne; Anneau de Padgref; Ceinture du Strigide; Némès de Tal Kasha; Chevelure de Tal Kasha; Sandales de Tal Kasha; Dofus des Glaces; Dofus Ocre; Dofus Turquoise; Dofus Pourpre; Dofus Émeraude; Dolmanax; Muldo Prune et Emeraude</t>
        </is>
      </c>
    </row>
    <row r="14789">
      <c r="A14789" t="inlineStr">
        <is>
          <t>Stuff 3</t>
        </is>
      </c>
      <c r="B14789">
        <f>HYPERLINK("https://www.dofusbook.net/fr/equipement/139199-stuff-3/objets", "link")</f>
        <v/>
      </c>
      <c r="C14789" t="n">
        <v>1</v>
      </c>
      <c r="D14789" t="inlineStr">
        <is>
          <t>Plumeau Bil; Amulette de Nileza; Bague Gloursonne; Anneau Tique; Ceinture Séculaire; Coiffe Séculaire; Voile d'encre; Pantoufles Émar; Dofus Pourpre; Remueur; Astucieux majeur; Érudit majeur; Nomade; Vigoureux majeur</t>
        </is>
      </c>
    </row>
    <row r="14790">
      <c r="A14790" t="inlineStr">
        <is>
          <t>Stuff 1</t>
        </is>
      </c>
      <c r="B14790">
        <f>HYPERLINK("https://www.dofusbook.net/fr/equipement/139194-stuff-1/objets", "link")</f>
        <v/>
      </c>
      <c r="C14790" t="n">
        <v>0</v>
      </c>
      <c r="D14790" t="inlineStr">
        <is>
          <t>Sabres d'Atcham; Amulette de l'Indicible; Anneau de Padgref; Anneau de Pol Ouatnos; Ceinture de l'Indicible; Coiffe de Padgref; Cape d'Atcham; Getas de Padgref; Dofus Émeraude; Dolmanax; Dofus des Glaces; Dofus Ocre; Dofus Turquoise; Dofus Pourpre</t>
        </is>
      </c>
    </row>
    <row r="14791">
      <c r="A14791" t="inlineStr">
        <is>
          <t>Stuff 1</t>
        </is>
      </c>
      <c r="B14791">
        <f>HYPERLINK("https://www.dofusbook.net/fr/equipement/139179-stuff-1/objets", "link")</f>
        <v/>
      </c>
      <c r="C14791" t="n">
        <v>0</v>
      </c>
      <c r="D14791" t="inlineStr">
        <is>
          <t>Arc du Chalœil; Amulette du Strigide; Bracelet du Piloztère; Bague Gloursonne; Slip Iholo; Bonnet Ko; Voile d'encre; Bottes de la Cour Sombre; Dofus Ocre; Dofus Nébuleux; Dofus Turquoise; Dofus Pourpre; Remueur; Nomade</t>
        </is>
      </c>
    </row>
    <row r="14792">
      <c r="A14792" t="inlineStr">
        <is>
          <t>Stuff 2</t>
        </is>
      </c>
      <c r="B14792">
        <f>HYPERLINK("https://www.dofusbook.net/fr/equipement/139174-stuff-2/objets", "link")</f>
        <v/>
      </c>
      <c r="C14792" t="n">
        <v>0</v>
      </c>
      <c r="D14792" t="inlineStr">
        <is>
          <t>La Racine Hagogue; Collier du Valet Veinard; Gant du Valet Veinard; Alliance Gloursonne; Menoture; Casque Dragoeuf; Cape Indescriptible; Palmes Trithons; Dofus des Glaces; Nomade; Miraculé majeur; Remueur; Carapace Air majeur; Cascadeur majeur; Croum</t>
        </is>
      </c>
    </row>
    <row r="14793">
      <c r="A14793" t="inlineStr">
        <is>
          <t>Stuff 1</t>
        </is>
      </c>
      <c r="B14793">
        <f>HYPERLINK("https://www.dofusbook.net/fr/equipement/139201-stuff-1/objets", "link")</f>
        <v/>
      </c>
      <c r="C14793" t="n">
        <v>0</v>
      </c>
      <c r="D14793" t="inlineStr">
        <is>
          <t>Sabres d'Atcham; Amulette du Strigide; Anneau de Pol Ouatnos; Anneau de Padgref; Ceinture du Strigide; Coiffe de Padgref; Cape d'Atcham; Getas de Padgref; Dofus des Glaces; Dofus Ocre; Dofus Turquoise; Dofus Pourpre; Dofus Émeraude; Dolmanax</t>
        </is>
      </c>
    </row>
    <row r="14794">
      <c r="A14794" t="inlineStr">
        <is>
          <t>Stuff 3</t>
        </is>
      </c>
      <c r="B14794">
        <f>HYPERLINK("https://www.dofusbook.net/fr/equipement/139196-stuff-3/objets", "link")</f>
        <v/>
      </c>
      <c r="C14794" t="n">
        <v>0</v>
      </c>
      <c r="D14794" t="inlineStr">
        <is>
          <t>Dagues Cacterre; Amulette de Shokkoth; Pikano; Alliance Gloursonne; Ceintacé; Casqnoar; Cape de la Dame du Hasard; Bottes de la Dame du Hasard; Dolmanax; Dofus Turquoise; Dofus Pourpre; Remueur; Vigoureux majeur; Chanceux majeur</t>
        </is>
      </c>
    </row>
    <row r="14795">
      <c r="A14795" t="inlineStr">
        <is>
          <t>Stuff 2</t>
        </is>
      </c>
      <c r="B14795">
        <f>HYPERLINK("https://www.dofusbook.net/fr/equipement/139180-stuff-2/objets", "link")</f>
        <v/>
      </c>
      <c r="C14795" t="n">
        <v>1</v>
      </c>
      <c r="D14795" t="inlineStr">
        <is>
          <t>Epée Toche; Amulette du Strigide; Bague Gloursonne; Anneau du Comte Harebourg; Bouclier du Captain Amakna; Ceinture du Strigide; Bonnet Ko; Voile d'encre; Bottes du Cycloïde; Dofus Ocre; Dofus Turquoise; Dofus Pourpre; Remueur; Nomade; Vigoureux majeur; Phortiche</t>
        </is>
      </c>
    </row>
    <row r="14796">
      <c r="A14796" t="inlineStr">
        <is>
          <t>Stuff 1</t>
        </is>
      </c>
      <c r="B14796">
        <f>HYPERLINK("https://www.dofusbook.net/fr/equipement/139170-stuff-1/objets", "link")</f>
        <v/>
      </c>
      <c r="C14796" t="n">
        <v>0</v>
      </c>
      <c r="D14796" t="inlineStr">
        <is>
          <t>Plumeau Bil; Amulette Cryochrone; Anneau Cryochrone; Anneau Tique; Ceintrigue; Casqnoar; Cape des Justiciers; Pataugastrique; Dofus Pourpre; Érudit majeur; Vigoureux majeur; Nomade; Chanceux majeur; Remueur; Phortiche</t>
        </is>
      </c>
    </row>
    <row r="14797">
      <c r="A14797" t="inlineStr">
        <is>
          <t>Stuff 1</t>
        </is>
      </c>
      <c r="B14797">
        <f>HYPERLINK("https://www.dofusbook.net/fr/equipement/139197-stuff-1/objets", "link")</f>
        <v/>
      </c>
      <c r="C14797" t="n">
        <v>0</v>
      </c>
      <c r="D14797" t="inlineStr">
        <is>
          <t>Marteau R'ture; Collier de Tourthon; Anneau Crustique; Anneau Chevelu; Ceintouse; Masque de Koutoulou; Cape au Logis; Tentassons; Dofus Turquoise; Dolmanax; Remueur; Enragé majeur; Vigoureux majeur; Nomade</t>
        </is>
      </c>
    </row>
    <row r="14798">
      <c r="A14798" t="inlineStr">
        <is>
          <t>Stuff 2</t>
        </is>
      </c>
      <c r="B14798">
        <f>HYPERLINK("https://www.dofusbook.net/fr/equipement/139187-stuff-2/objets", "link")</f>
        <v/>
      </c>
      <c r="C14798" t="n">
        <v>0</v>
      </c>
      <c r="D14798" t="inlineStr">
        <is>
          <t>Dagues Érhy; Amulette Ementaire Deluxe; Anneau de Nidas; Bague Gloursonne; Ceinture de l'Indicible; Masque de Koutoulou; Voile d'encre; Bottes de l'Indicible; Dolmanax; Dofus Turquoise; Érudit majeur; Remueur; Nomade; El Scarador</t>
        </is>
      </c>
    </row>
    <row r="14799">
      <c r="A14799" t="inlineStr">
        <is>
          <t>Stuff 1</t>
        </is>
      </c>
      <c r="B14799">
        <f>HYPERLINK("https://www.dofusbook.net/fr/equipement/139182-stuff-1/objets", "link")</f>
        <v/>
      </c>
      <c r="C14799" t="n">
        <v>0</v>
      </c>
      <c r="D14799" t="inlineStr">
        <is>
          <t>Lame du Chef Bwork; Amulette du Chef Bwork; Gelano; Bracelet du Chef Bwork; Slip du Chef Bwork; Casque du Chef Bwork; Cape du Chef Bwork; Bottes du Chef Bwork</t>
        </is>
      </c>
    </row>
    <row r="14800">
      <c r="A14800" t="inlineStr">
        <is>
          <t>Stuff 2</t>
        </is>
      </c>
      <c r="B14800">
        <f>HYPERLINK("https://www.dofusbook.net/fr/equipement/139177-stuff-2/objets", "link")</f>
        <v/>
      </c>
      <c r="C14800" t="n">
        <v>0</v>
      </c>
      <c r="D14800" t="inlineStr">
        <is>
          <t>Arc Hétype; Amulette Ementaire Deluxe; Anneau de Nidas; Anneau Pwal; Ceinture de Kongoku; Couronne de Nidas; Cape de la Dame du Hasard; Pantoufles Émar; Dolmanax; Dofus Ocre; Entraveur majeur; Temporiseur majeur; Nomade; Érudit majeur</t>
        </is>
      </c>
    </row>
    <row r="14801">
      <c r="A14801" t="inlineStr">
        <is>
          <t>Stuff 3</t>
        </is>
      </c>
      <c r="B14801">
        <f>HYPERLINK("https://www.dofusbook.net/fr/equipement/139172-stuff-3/objets", "link")</f>
        <v/>
      </c>
      <c r="C14801" t="n">
        <v>0</v>
      </c>
      <c r="D14801" t="inlineStr">
        <is>
          <t>Bâton Fracass; Amulette du Strigide; Bague Gloursonne; Alliance Gloursonne; Slip du Roi de Bonta; Dorabysses; Cape Matelassée; Bottes d'Oshimo; Remueur; Obstructeur majeur; Déserteur majeur; Carapace Air majeur; Nomade; Cascadeur majeur; Siroko</t>
        </is>
      </c>
    </row>
    <row r="14802">
      <c r="A14802" t="inlineStr">
        <is>
          <t>Stuff 1</t>
        </is>
      </c>
      <c r="B14802">
        <f>HYPERLINK("https://www.dofusbook.net/fr/equipement/139167-stuff-1/objets", "link")</f>
        <v/>
      </c>
      <c r="C14802" t="n">
        <v>1</v>
      </c>
      <c r="D14802" t="inlineStr">
        <is>
          <t>Marteau des Anciens Steamers; Amulette du Strigide; Alliance Gloursonne; Anneau de Padgref; Ceinture du Strigide; Némès de Tal Kasha; Chevelure de Tal Kasha; Sandales de Tal Kasha; Dofus des Glaces; Dofus Ocre; Dofus Turquoise; Dofus Pourpre; Dofus Émeraude; Dolmanax; Muldo Prune et Emeraude</t>
        </is>
      </c>
    </row>
    <row r="14803">
      <c r="A14803" t="inlineStr">
        <is>
          <t>Stuff 3</t>
        </is>
      </c>
      <c r="B14803">
        <f>HYPERLINK("https://www.dofusbook.net/fr/equipement/139199-stuff-3/objets", "link")</f>
        <v/>
      </c>
      <c r="C14803" t="n">
        <v>1</v>
      </c>
      <c r="D14803" t="inlineStr">
        <is>
          <t>Plumeau Bil; Amulette de Nileza; Anneau Tique; Bague Gloursonne; Ceinture Séculaire; Coiffe Séculaire; Voile d'encre; Pantoufles Émar; Dofus Pourpre; Érudit majeur; Nomade; Vigoureux majeur; Remueur; Astucieux majeur</t>
        </is>
      </c>
    </row>
    <row r="14804">
      <c r="A14804" t="inlineStr">
        <is>
          <t>Stuff 1</t>
        </is>
      </c>
      <c r="B14804">
        <f>HYPERLINK("https://www.dofusbook.net/fr/equipement/139194-stuff-1/objets", "link")</f>
        <v/>
      </c>
      <c r="C14804" t="n">
        <v>0</v>
      </c>
      <c r="D14804" t="inlineStr">
        <is>
          <t>Sabres d'Atcham; Amulette de l'Indicible; Anneau de Pol Ouatnos; Anneau de Padgref; Ceinture de l'Indicible; Coiffe de Padgref; Cape d'Atcham; Getas de Padgref; Dofus des Glaces; Dofus Ocre; Dofus Turquoise; Dofus Pourpre; Dofus Émeraude; Dolmanax</t>
        </is>
      </c>
    </row>
    <row r="14805">
      <c r="A14805" t="inlineStr">
        <is>
          <t>Stuff 1</t>
        </is>
      </c>
      <c r="B14805">
        <f>HYPERLINK("https://www.dofusbook.net/fr/equipement/139179-stuff-1/objets", "link")</f>
        <v/>
      </c>
      <c r="C14805" t="n">
        <v>0</v>
      </c>
      <c r="D14805" t="inlineStr">
        <is>
          <t>Arc du Chalœil; Amulette du Strigide; Bracelet du Piloztère; Bague Gloursonne; Slip Iholo; Bonnet Ko; Voile d'encre; Bottes de la Cour Sombre; Dofus Ocre; Dofus Nébuleux; Dofus Turquoise; Dofus Pourpre; Nomade; Remueur</t>
        </is>
      </c>
    </row>
    <row r="14806">
      <c r="A14806" t="inlineStr">
        <is>
          <t>Stuff 2</t>
        </is>
      </c>
      <c r="B14806">
        <f>HYPERLINK("https://www.dofusbook.net/fr/equipement/139174-stuff-2/objets", "link")</f>
        <v/>
      </c>
      <c r="C14806" t="n">
        <v>0</v>
      </c>
      <c r="D14806" t="inlineStr">
        <is>
          <t>La Racine Hagogue; Collier du Valet Veinard; Gant du Valet Veinard; Alliance Gloursonne; Menoture; Casque Dragoeuf; Cape Indescriptible; Palmes Trithons; Dofus des Glaces; Cascadeur majeur; Nomade; Miraculé majeur; Remueur; Carapace Air majeur; Croum</t>
        </is>
      </c>
    </row>
    <row r="14807">
      <c r="A14807" t="inlineStr">
        <is>
          <t>Stuff 1</t>
        </is>
      </c>
      <c r="B14807">
        <f>HYPERLINK("https://www.dofusbook.net/fr/equipement/139164-stuff-1/objets", "link")</f>
        <v/>
      </c>
      <c r="C14807" t="n">
        <v>0</v>
      </c>
      <c r="D14807" t="inlineStr">
        <is>
          <t>Baguette Houffe-Craitien; Amulette du Strigide; Anneau de Padgref; Chevalière du Roi Joueur; Ceinture du Strigide; Coiffe de Padgref; Chevelure de Tal Kasha; Getas de Padgref; Dofus Émeraude; Dolmanax; Dofus des Glaces; Dofus Ocre; Dofus Turquoise; Dofus Pourpre; Muldo Prune et Emeraude</t>
        </is>
      </c>
    </row>
    <row r="14808">
      <c r="A14808" t="inlineStr">
        <is>
          <t>Stuff 2</t>
        </is>
      </c>
      <c r="B14808">
        <f>HYPERLINK("https://www.dofusbook.net/fr/equipement/139159-stuff-2/objets", "link")</f>
        <v/>
      </c>
      <c r="C14808" t="n">
        <v>6</v>
      </c>
      <c r="D14808" t="inlineStr">
        <is>
          <t>La Racine Hagogue; Collier du Valet Veinard; Gant du Valet Veinard; Alliance Gloursonne; Menoture; Casque Dragoeuf; Cape Indescriptible; Palmes Trithons; Dofus des Glaces; Cascadeur majeur; Nomade; Miraculé majeur; Remueur; Carapace Air majeur; Croum</t>
        </is>
      </c>
    </row>
    <row r="14809">
      <c r="A14809" t="inlineStr">
        <is>
          <t>Stuff 3</t>
        </is>
      </c>
      <c r="B14809">
        <f>HYPERLINK("https://www.dofusbook.net/fr/equipement/139166-stuff-3/objets", "link")</f>
        <v/>
      </c>
      <c r="C14809" t="n">
        <v>1</v>
      </c>
      <c r="D14809" t="inlineStr">
        <is>
          <t>Dague Adou; Amulette du Strigide; Anneau de Padgref; Alliance Gloursonne; Ceinture du Strigide; Némès de Tal Kasha; Chevelure de Tal Kasha; Sandales de Tal Kasha; Dofus des Glaces; Dofus Ocre; Dofus Turquoise; Dofus Pourpre; Dofus Émeraude; Dolmanax; Kokulte</t>
        </is>
      </c>
    </row>
    <row r="14810">
      <c r="A14810" t="inlineStr">
        <is>
          <t>Stuff 1</t>
        </is>
      </c>
      <c r="B14810">
        <f>HYPERLINK("https://www.dofusbook.net/fr/equipement/139161-stuff-1/objets", "link")</f>
        <v/>
      </c>
      <c r="C14810" t="n">
        <v>1</v>
      </c>
      <c r="D14810" t="inlineStr">
        <is>
          <t>Amulette de Nileza; Anneau Tique; Anneau de Nidas; Bouclier du Cycloïde; Ceinture Séculaire; Coiffe Séculaire; Cape de Diondin; Pataugastrique; Dofus des Veilleurs; Dofus Pourpre; Érudit majeur; Remueur; Nomade; Astucieux majeur; Pioute rouge</t>
        </is>
      </c>
    </row>
    <row r="14811">
      <c r="A14811" t="inlineStr">
        <is>
          <t>Stuff 2</t>
        </is>
      </c>
      <c r="B14811">
        <f>HYPERLINK("https://www.dofusbook.net/fr/equipement/139156-stuff-2/objets", "link")</f>
        <v/>
      </c>
      <c r="C14811" t="n">
        <v>0</v>
      </c>
      <c r="D14811" t="inlineStr">
        <is>
          <t>Dagues de Srambad; Amulette Luminescente; Alliance Gloursonne; Alliance du Lévitrof; Ceinture Luminescente; Coiffe du Lévitrof; Cape Luminescente; Bottes du Lévitrof; Dokoko; Dofus des Glaces; Dofus Ocre; Dolmanax; Dofus Pourpre; Entraveur majeur</t>
        </is>
      </c>
    </row>
    <row r="14812">
      <c r="A14812" t="inlineStr">
        <is>
          <t>Stuff 1</t>
        </is>
      </c>
      <c r="B14812">
        <f>HYPERLINK("https://www.dofusbook.net/fr/equipement/139164-stuff-1/objets", "link")</f>
        <v/>
      </c>
      <c r="C14812" t="n">
        <v>0</v>
      </c>
      <c r="D14812" t="inlineStr">
        <is>
          <t>Baguette Houffe-Craitien; Amulette du Strigide; Anneau de Padgref; Chevalière du Roi Joueur; Ceinture du Strigide; Coiffe de Padgref; Chevelure de Tal Kasha; Getas de Padgref; Dolmanax; Dofus des Glaces; Dofus Ocre; Dofus Turquoise; Dofus Pourpre; Dofus Émeraude; Muldo Prune et Emeraude</t>
        </is>
      </c>
    </row>
    <row r="14813">
      <c r="A14813" t="inlineStr">
        <is>
          <t>Stuff 2</t>
        </is>
      </c>
      <c r="B14813">
        <f>HYPERLINK("https://www.dofusbook.net/fr/equipement/139159-stuff-2/objets", "link")</f>
        <v/>
      </c>
      <c r="C14813" t="n">
        <v>6</v>
      </c>
      <c r="D14813" t="inlineStr">
        <is>
          <t>La Racine Hagogue; Collier du Valet Veinard; Gant du Valet Veinard; Alliance Gloursonne; Menoture; Casque Dragoeuf; Cape Indescriptible; Palmes Trithons; Dofus des Glaces; Nomade; Miraculé majeur; Remueur; Carapace Air majeur; Cascadeur majeur; Croum</t>
        </is>
      </c>
    </row>
    <row r="14814">
      <c r="A14814" t="inlineStr">
        <is>
          <t>Stuff 3</t>
        </is>
      </c>
      <c r="B14814">
        <f>HYPERLINK("https://www.dofusbook.net/fr/equipement/139166-stuff-3/objets", "link")</f>
        <v/>
      </c>
      <c r="C14814" t="n">
        <v>1</v>
      </c>
      <c r="D14814" t="inlineStr">
        <is>
          <t>Dague Adou; Amulette du Strigide; Alliance Gloursonne; Anneau de Padgref; Ceinture du Strigide; Némès de Tal Kasha; Chevelure de Tal Kasha; Sandales de Tal Kasha; Dofus des Glaces; Dofus Ocre; Dofus Turquoise; Dofus Pourpre; Dofus Émeraude; Dolmanax; Kokulte</t>
        </is>
      </c>
    </row>
    <row r="14815">
      <c r="A14815" t="inlineStr">
        <is>
          <t>Stuff 1</t>
        </is>
      </c>
      <c r="B14815">
        <f>HYPERLINK("https://www.dofusbook.net/fr/equipement/139161-stuff-1/objets", "link")</f>
        <v/>
      </c>
      <c r="C14815" t="n">
        <v>1</v>
      </c>
      <c r="D14815" t="inlineStr">
        <is>
          <t>Amulette de Nileza; Anneau Tique; Anneau de Nidas; Bouclier du Cycloïde; Ceinture Séculaire; Coiffe Séculaire; Cape de Diondin; Pataugastrique; Dofus des Veilleurs; Dofus Pourpre; Nomade; Astucieux majeur; Érudit majeur; Remueur; Pioute rouge</t>
        </is>
      </c>
    </row>
    <row r="14816">
      <c r="A14816" t="inlineStr">
        <is>
          <t>Stuff 2</t>
        </is>
      </c>
      <c r="B14816">
        <f>HYPERLINK("https://www.dofusbook.net/fr/equipement/139156-stuff-2/objets", "link")</f>
        <v/>
      </c>
      <c r="C14816" t="n">
        <v>0</v>
      </c>
      <c r="D14816" t="inlineStr">
        <is>
          <t>Dagues de Srambad; Amulette Luminescente; Alliance du Lévitrof; Alliance Gloursonne; Ceinture Luminescente; Coiffe du Lévitrof; Cape Luminescente; Bottes du Lévitrof; Dofus des Glaces; Dofus Ocre; Dolmanax; Dofus Pourpre; Dokoko; Entraveur majeur</t>
        </is>
      </c>
    </row>
    <row r="14817">
      <c r="A14817" t="inlineStr">
        <is>
          <t>Stuff 3</t>
        </is>
      </c>
      <c r="B14817">
        <f>HYPERLINK("https://www.dofusbook.net/fr/equipement/139163-stuff-3/objets", "link")</f>
        <v/>
      </c>
      <c r="C14817" t="n">
        <v>0</v>
      </c>
      <c r="D14817" t="inlineStr">
        <is>
          <t>Sabres d'Atcham; Amulette du Strigide; Anneau de Pol Ouatnos; Anneau de Padgref; Ceinture du Strigide; Coiffe de Padgref; Cape d'Atcham; Getas de Padgref; Dofus Ocre; Dokoko; Dolmanax; Dofus Émeraude; Dofus Turquoise; Paralyseur majeur</t>
        </is>
      </c>
    </row>
    <row r="14818">
      <c r="A14818" t="inlineStr">
        <is>
          <t>Stuff 1</t>
        </is>
      </c>
      <c r="B14818">
        <f>HYPERLINK("https://www.dofusbook.net/fr/equipement/139158-stuff-1/objets", "link")</f>
        <v/>
      </c>
      <c r="C14818" t="n">
        <v>0</v>
      </c>
      <c r="D14818" t="inlineStr">
        <is>
          <t>Dagues Érhy; Amulette de Gein; Chevalière du Roi Joueur; Anneau Chevelu; Ceinture du Strigide; Couronne du Roi Joueur; Voile d'encre; Baleinabottes; Dolmanax; Dofus des Glaces; Dofus Pourpre; Nomade; Vigoureux majeur; Remueur</t>
        </is>
      </c>
    </row>
    <row r="14819">
      <c r="A14819" t="inlineStr">
        <is>
          <t>int amor</t>
        </is>
      </c>
      <c r="B14819">
        <f>HYPERLINK("https://www.dofusbook.net/fr/equipement/4400553-int-amor/objets", "link")</f>
        <v/>
      </c>
      <c r="C14819" t="n">
        <v>0</v>
      </c>
      <c r="D14819" t="inlineStr">
        <is>
          <t>Baguette de Malléfisk; Talisman Igans; Chevalière du Roi Joueur; Anneauræus; Bouclier du Stalak; Ceintrigue; Chapeau de Gein; Voile d'encre; Pataugastrique; Dofus Pourpre; Savant majeur; Érudit majeur; Vigoureux majeur; Nomade; Remueur; Kramkram</t>
        </is>
      </c>
    </row>
    <row r="14820">
      <c r="A14820" t="inlineStr">
        <is>
          <t>intel soin</t>
        </is>
      </c>
      <c r="B14820">
        <f>HYPERLINK("https://www.dofusbook.net/fr/equipement/4053846-intel-soin-/objets", "link")</f>
        <v/>
      </c>
      <c r="C14820" t="n">
        <v>0</v>
      </c>
      <c r="D14820" t="inlineStr">
        <is>
          <t>Baguette de Malléfisk; Pendentif affamé; Anneauræus; Anneau de Nidas; Bivalve; Ceintrigue; Couronne de Nidas; Voile d'encre; Tongues de Nidas; Dofus Abyssal; Dofus Ivoire; Dofus Ocre; Dofus Ébène; Soigneur majeur; Docteur majeur; Meuch</t>
        </is>
      </c>
    </row>
    <row r="14821">
      <c r="A14821" t="inlineStr">
        <is>
          <t>air</t>
        </is>
      </c>
      <c r="B14821">
        <f>HYPERLINK("https://www.dofusbook.net/fr/equipement/3777488-air-/objets", "link")</f>
        <v/>
      </c>
      <c r="C14821" t="n">
        <v>3</v>
      </c>
      <c r="D14821" t="inlineStr">
        <is>
          <t>Plume de Buhorado; Collier du Valet Veinard; Gant du Valet Veinard; Alliance Gloursonne; Bouclier du Stalak; Menoture; Chapoulpe; Cape Indescriptible; Palmes Trithons; Dofus Ocre; Dofus Ivoire; Dofus Abyssal; Dofus Argenté; Dofus Ébène; Cascadeur majeur; Bwak d'Air</t>
        </is>
      </c>
    </row>
    <row r="14822">
      <c r="A14822" t="inlineStr">
        <is>
          <t>terre crit</t>
        </is>
      </c>
      <c r="B14822">
        <f>HYPERLINK("https://www.dofusbook.net/fr/equipement/6009089-terre-crit/objets", "link")</f>
        <v/>
      </c>
      <c r="C14822" t="n">
        <v>0</v>
      </c>
      <c r="D14822" t="inlineStr">
        <is>
          <t>Baguette de Torkélonia; Amulette du Strigide; Crocanneau; Bague Trithon; Quatre-feuilles; Ceinture du Strigide; Corne de Torkélonia; Carapace de Torkélonia; Bottes Trithon; Dofus Turquoise; Dofus Ébène; Dofus Ocre; Dofus Abyssal; Dofus Pourpre; Dofus Ivoire; Kokulte</t>
        </is>
      </c>
    </row>
    <row r="14823">
      <c r="A14823" t="inlineStr">
        <is>
          <t>eau intermed</t>
        </is>
      </c>
      <c r="B14823">
        <f>HYPERLINK("https://www.dofusbook.net/fr/equipement/2652525-eau-intermed/objets", "link")</f>
        <v/>
      </c>
      <c r="C14823" t="n">
        <v>0</v>
      </c>
      <c r="D14823" t="inlineStr">
        <is>
          <t>Rapière aux Glyphes; Amulette de Danathor; Annolamour; Alliance Gloursonne; Quatre-feuilles; Ceinture Glaciale; Coiffe de Danathor; Cape Matelassée; Chaussures Face; Dofus Ébène; Dofus Pourpre; Dofus Ivoire; Dofus Ocre; Dofus Vulbis; Chanceux majeur; Dragodinde Indigo et Ivoire</t>
        </is>
      </c>
    </row>
    <row r="14824">
      <c r="A14824" t="inlineStr">
        <is>
          <t>EAU</t>
        </is>
      </c>
      <c r="B14824">
        <f>HYPERLINK("https://www.dofusbook.net/fr/equipement/5969951-eau/objets", "link")</f>
        <v/>
      </c>
      <c r="C14824" t="n">
        <v>0</v>
      </c>
      <c r="D14824" t="inlineStr">
        <is>
          <t>Crocobur; Amulette de l'Œil Attentif; Bracelet des Fonds marins; Anneau Volkorne; Bouclier d'Ilyzaelle; Ceinture Volkorne; Capuche de l'Œil Attentif; Cape de l'Œil Attentif; Sandales des Fonds marins; Dofus Ocre; Dofus Abyssal; Dofus Ivoire; Dofus Turquoise; Dofus Ébène; Voyageur; Kanigloups</t>
        </is>
      </c>
    </row>
    <row r="14825">
      <c r="A14825" t="inlineStr">
        <is>
          <t>eau cac</t>
        </is>
      </c>
      <c r="B14825">
        <f>HYPERLINK("https://www.dofusbook.net/fr/equipement/2978017-eau-cac-/objets", "link")</f>
        <v/>
      </c>
      <c r="C14825" t="n">
        <v>1</v>
      </c>
      <c r="D14825" t="inlineStr">
        <is>
          <t>Pelle Fik; Amulette de l'Œil Attentif; Anneau Volkorne; Bracelet des Fonds marins; Bouclier du Captain Amakna; Ceinture Volkorne; Kidibonnet; Cape de l'Œil Attentif; Bottes Voldelor; Dofus Ocre; Dofus Abyssal; Dofus Pourpre; Dofus Ivoire; Dofus Turquoise; Dofus Ébène; Kokulte</t>
        </is>
      </c>
    </row>
    <row r="14826">
      <c r="A14826" t="inlineStr">
        <is>
          <t>air crit</t>
        </is>
      </c>
      <c r="B14826">
        <f>HYPERLINK("https://www.dofusbook.net/fr/equipement/5957063-air-crit/objets", "link")</f>
        <v/>
      </c>
      <c r="C14826" t="n">
        <v>1</v>
      </c>
      <c r="D14826" t="inlineStr">
        <is>
          <t>Hachoirs de Viandargh; Amulette du Strigide; Anneau d'Allister; Anneau de Padgref; Bouclier du Captain Amakna; Ceinture du Strigide; Coiffe de Padgref; Chevelure de Tal Kasha; Getas de Padgref; Dofus Pourpre; Dofus Ivoire; Dofus Turquoise; Dofus Ébène; Dofus Ocre; Dofus Abyssal; Kokulte</t>
        </is>
      </c>
    </row>
    <row r="14827">
      <c r="A14827" t="inlineStr">
        <is>
          <t>do pou</t>
        </is>
      </c>
      <c r="B14827">
        <f>HYPERLINK("https://www.dofusbook.net/fr/equipement/3967195-do-pou/objets", "link")</f>
        <v/>
      </c>
      <c r="C14827" t="n">
        <v>2</v>
      </c>
      <c r="D14827" t="inlineStr">
        <is>
          <t>Plume de Buhorado; Torquistik; Bracelet Jande; Baguistik; Bouclier précieux; Ceinture Gence; Casque Dragoeuf; Cape Solution; Bottes du Cul Botté; Dofus Abyssal; Pousseur majeur; Bousculeur; Bousculeur majeur; Culbuteur; Culbuteur majeur; Balafreux</t>
        </is>
      </c>
    </row>
    <row r="14828">
      <c r="A14828" t="inlineStr">
        <is>
          <t>fourbe a lancienne</t>
        </is>
      </c>
      <c r="B14828">
        <f>HYPERLINK("https://www.dofusbook.net/fr/equipement/5950793-fourbe-a-lancienne/objets", "link")</f>
        <v/>
      </c>
      <c r="C14828" t="n">
        <v>0</v>
      </c>
      <c r="D14828" t="inlineStr">
        <is>
          <t>Ougarteau; Kralamansion; Annolamour; Kralano; Ougature; Le Kim; Voile d'encre; Sandales Circulaires du Kimbo; Dofus Pourpre; Dofus Cawotte; Dofus Turquoise; Dofus Émeraude; Dofus Ocre; Bilby</t>
        </is>
      </c>
    </row>
    <row r="14829">
      <c r="A14829" t="inlineStr">
        <is>
          <t>feu cc test</t>
        </is>
      </c>
      <c r="B14829">
        <f>HYPERLINK("https://www.dofusbook.net/fr/equipement/5950583-feu-cc-test/objets", "link")</f>
        <v/>
      </c>
      <c r="C14829" t="n">
        <v>1</v>
      </c>
      <c r="D14829" t="inlineStr">
        <is>
          <t>Arc corrompu; Amulette Volkorne; Anneau Volkorne; Anneau de Padgref; Quatre-feuilles; Ceinture Volkorne; Coiffe de Padgref; Voile d'encre; Getas de Padgref; Dofus Ocre; Dofus Abyssal; Dofus Pourpre; Dofus Ivoire; Dofus Turquoise; Dofus Ébène; Chaperlipopette</t>
        </is>
      </c>
    </row>
    <row r="14830">
      <c r="A14830" t="inlineStr">
        <is>
          <t>terre cc</t>
        </is>
      </c>
      <c r="B14830">
        <f>HYPERLINK("https://www.dofusbook.net/fr/equipement/5819532-terre-cc-/objets", "link")</f>
        <v/>
      </c>
      <c r="C14830" t="n">
        <v>0</v>
      </c>
      <c r="D14830" t="inlineStr">
        <is>
          <t>Arc du Chalœil; Amulette Héroclite; Anneau Chevelu; Anneau Volkorne; Quatre-feuilles; Ceinture Volkorne; Masque de Koutoulou; Cape au Logis; Bottes de la Cour Sombre; Dofus Ébène; Dofus Ocre; Dofus Pourpre; Dofus Ivoire; Dofus Turquoise; Dofus Abyssal; Pioute vert</t>
        </is>
      </c>
    </row>
    <row r="14831">
      <c r="A14831" t="inlineStr">
        <is>
          <t>Crâ F 200</t>
        </is>
      </c>
      <c r="B14831">
        <f>HYPERLINK("https://www.dofusbook.net/fr/equipement/5941198-cra-f-200/objets", "link")</f>
        <v/>
      </c>
      <c r="C14831" t="n">
        <v>0</v>
      </c>
      <c r="D14831" t="inlineStr">
        <is>
          <t>Baguette Houffe-Craitien; Amulette du Strigide; Anneau de Pol Ouatnos; Anneau de Padgref; Quatre-feuilles; Ceinture du Strigide; Coiffe de Padgref; Voile d'encre; Getas de Padgref; Dofus Ocre; Dofus Ébène; Dofus Turquoise; Dofus Abyssal; Dofus Pourpre; Dofus Ivoire; Kokulte</t>
        </is>
      </c>
    </row>
    <row r="14832">
      <c r="A14832" t="inlineStr">
        <is>
          <t>arc volk</t>
        </is>
      </c>
      <c r="B14832">
        <f>HYPERLINK("https://www.dofusbook.net/fr/equipement/5940373-arc-volk/objets", "link")</f>
        <v/>
      </c>
      <c r="C14832" t="n">
        <v>0</v>
      </c>
      <c r="D14832" t="inlineStr">
        <is>
          <t>Arc Volkorne; Amulette Volkorne; Anneau Volkorne; Anneau de Padgref; Quatre-feuilles; Ceinture Volkorne; Casque Volkorne; Cape des Justiciers; Getas de Padgref; Dofus Turquoise; Dofus des Glaces; Dofus Pourpre; Dofus Ivoire; Dofus Ocre; Dofus Ébène; Kokulte</t>
        </is>
      </c>
    </row>
    <row r="14833">
      <c r="A14833" t="inlineStr">
        <is>
          <t>zobi</t>
        </is>
      </c>
      <c r="B14833">
        <f>HYPERLINK("https://www.dofusbook.net/fr/equipement/928786-zobi/objets", "link")</f>
        <v/>
      </c>
      <c r="C14833" t="n">
        <v>1</v>
      </c>
      <c r="D14833" t="inlineStr">
        <is>
          <t>Tige du Brouture; Amulette du Strigide; Bague Trithon; Anneau de Padgref; Bouclier du Captain Amakna; Ceinture du Strigide; Coiffe de Padgref; Cape d'Atcham; Getas de Padgref; Dofus Nébuleux; Dofus Ocre; Dofus Pourpre; Dofus des Glaces; Dofus Turquoise; Dofus Abyssal; Kokulte</t>
        </is>
      </c>
    </row>
    <row r="14834">
      <c r="A14834" t="inlineStr">
        <is>
          <t>terre cancer</t>
        </is>
      </c>
      <c r="B14834">
        <f>HYPERLINK("https://www.dofusbook.net/fr/equipement/5938535-terre-cancer/objets", "link")</f>
        <v/>
      </c>
      <c r="C14834" t="n">
        <v>0</v>
      </c>
      <c r="D14834" t="inlineStr">
        <is>
          <t>Bêche Asse; Amulette du Cœur Vaillant; Anneau Crustique; Anneau Crustique; Sept ans de malheur; Ceintouse; Cape du Cœur Vaillant; Tentassons; Dofus Pourpre; Dofus Ébène; Dofus Ocre; Dofus Abyssal; Dofus Argenté; Dofus Ivoire; Drakopin</t>
        </is>
      </c>
    </row>
    <row r="14835">
      <c r="A14835" t="inlineStr">
        <is>
          <t>elementaupif</t>
        </is>
      </c>
      <c r="B14835">
        <f>HYPERLINK("https://www.dofusbook.net/fr/equipement/2168109-elementaupif/objets", "link")</f>
        <v/>
      </c>
      <c r="C14835" t="n">
        <v>0</v>
      </c>
      <c r="D14835" t="inlineStr">
        <is>
          <t>Héqache; Amulette du Cœur Vaillant; Anneau Chevelu; Bague Gloursonne; Sept ans de malheur; Ceintouse; Chapoulpe; Cape du Cœur Vaillant; Tentassons; Dofus Pourpre; Dofus Ivoire; Dolmanax; Dofus Ocre; Dofus Émeraude; Dofus des Glaces; Muldo Ebène et Pourpre</t>
        </is>
      </c>
    </row>
    <row r="14836">
      <c r="A14836" t="inlineStr">
        <is>
          <t>terre cac cc arme</t>
        </is>
      </c>
      <c r="B14836">
        <f>HYPERLINK("https://www.dofusbook.net/fr/equipement/5919079-terre-cac-cc-arme/objets", "link")</f>
        <v/>
      </c>
      <c r="C14836" t="n">
        <v>0</v>
      </c>
      <c r="D14836" t="inlineStr">
        <is>
          <t>Dagues Eudin; Amulette du Strigide; Anneau de Pol Ouatnos; Anneau de Brouce; Croclier; Ceinture de Brouce; Corne de Torkélonia; Carapace de Torkélonia; Bottes de Brouce; Dofus Pourpre; Dofus Ivoire; Dofus Ocre; Dofus Abyssal; Dofus Turquoise; Dofus Ébène; Kokulte</t>
        </is>
      </c>
    </row>
    <row r="14837">
      <c r="A14837" t="inlineStr">
        <is>
          <t>eau air crit</t>
        </is>
      </c>
      <c r="B14837">
        <f>HYPERLINK("https://www.dofusbook.net/fr/equipement/3483330-eau-air-crit/objets", "link")</f>
        <v/>
      </c>
      <c r="C14837" t="n">
        <v>1</v>
      </c>
      <c r="D14837" t="inlineStr">
        <is>
          <t>Pelle Fik; Amulette du Strigide; Anneau de Pol Ouatnos; Anneau de Padgref; Bouclier du Captain Amakna; Ceinture du Strigide; Némès de Tal Kasha; Chevelure de Tal Kasha; Sandales de Tal Kasha; Dofus Ivoire; Dofus Ocre; Dofus Pourpre; Dofus des Glaces; Dofus Turquoise; Dofus Abyssal; Kokulte</t>
        </is>
      </c>
    </row>
    <row r="14838">
      <c r="A14838" t="inlineStr">
        <is>
          <t>terre ccc</t>
        </is>
      </c>
      <c r="B14838">
        <f>HYPERLINK("https://www.dofusbook.net/fr/equipement/5898947-terre-ccc/objets", "link")</f>
        <v/>
      </c>
      <c r="C14838" t="n">
        <v>0</v>
      </c>
      <c r="D14838" t="inlineStr">
        <is>
          <t>Dagues Ruik; Amulette du Strigide; Anneau de Brouce; Anneau de Pol Ouatnos; Croclier; Ceinture de Brouce; Corne de Torkélonia; Carapace de Torkélonia; Bottes de Brouce; Dofus Ocre; Dofus Ébène; Dofus Argenté; Dofus Ivoire; Dofus Turquoise; Dofus Abyssal; Kokulte</t>
        </is>
      </c>
    </row>
    <row r="14839">
      <c r="A14839" t="inlineStr">
        <is>
          <t>do pou timtoob</t>
        </is>
      </c>
      <c r="B14839">
        <f>HYPERLINK("https://www.dofusbook.net/fr/equipement/3911166-do-pou-timtoob/objets", "link")</f>
        <v/>
      </c>
      <c r="C14839" t="n">
        <v>0</v>
      </c>
      <c r="D14839" t="inlineStr">
        <is>
          <t>Plume de Buhorado; Torquistik; Bague Trithon; Bague Instable; Bouclier précieux; Ceinture Gence; Casque Dragoeuf; Cape Solution; Bottes du Cul Botté; Dofus Abyssal; Dofus Ivoire; Culbuteur majeur; Pousseur majeur; Bousculeur; Bousculeur majeur; Balafreux</t>
        </is>
      </c>
    </row>
    <row r="14840">
      <c r="A14840" t="inlineStr">
        <is>
          <t>terre crit tokel</t>
        </is>
      </c>
      <c r="B14840">
        <f>HYPERLINK("https://www.dofusbook.net/fr/equipement/5411080-terre-crit-tokel/objets", "link")</f>
        <v/>
      </c>
      <c r="C14840" t="n">
        <v>0</v>
      </c>
      <c r="D14840" t="inlineStr">
        <is>
          <t>Héqache; Amulette du Cœur Saignant; Anneau Volkorne; Crocanneau; Bouclier Taverne; Ceinture Volkorne; Corne de Torkélonia; Carapace de Torkélonia; Bottes du Cœur Saignant; Dofus Ébène; Dofus Émeraude; Dofus Abyssal; Dofus Turquoise; Dofus Ivoire; Dofus Ocre; Kokulte</t>
        </is>
      </c>
    </row>
    <row r="14841">
      <c r="A14841" t="inlineStr">
        <is>
          <t>terre cac cc</t>
        </is>
      </c>
      <c r="B14841">
        <f>HYPERLINK("https://www.dofusbook.net/fr/equipement/5892525-terre-cac-cc/objets", "link")</f>
        <v/>
      </c>
      <c r="C14841" t="n">
        <v>0</v>
      </c>
      <c r="D14841" t="inlineStr">
        <is>
          <t>Héqache; Amulette du Strigide; Anneau de Pol Ouatnos; Bracelet du Piloztère; Bouclier d'Ilyzaelle; Ceinture du Strigide; Corne de Torkélonia; Carapace de Torkélonia; Bottes du Strigide; Dofus Turquoise; Dofus Ébène; Dofus Ocre; Dofus Abyssal; Dofus Pourpre; Dofus Ivoire; Kokulte</t>
        </is>
      </c>
    </row>
    <row r="14842">
      <c r="A14842" t="inlineStr">
        <is>
          <t>terrre pvp sapeuh</t>
        </is>
      </c>
      <c r="B14842">
        <f>HYPERLINK("https://www.dofusbook.net/fr/equipement/5864104-terrre-pvp-sapeuh/objets", "link")</f>
        <v/>
      </c>
      <c r="C14842" t="n">
        <v>0</v>
      </c>
      <c r="D14842" t="inlineStr">
        <is>
          <t>Arc du Chalœil; Amulette du Cœur Saignant; Anneau Volkorne; Chevalière du Roi Joueur; Quatre-feuilles; Ceinture Volkorne; Couronne du Roi Joueur; Cape du Cœur Saignant; Bottes du Cœur Saignant; Dofus Ivoire; Dofus Abyssal; Dofus Turquoise; Dofus Ébène; Dofus Ocre; Dofus Vulbis; Kougnard</t>
        </is>
      </c>
    </row>
    <row r="14843">
      <c r="A14843" t="inlineStr">
        <is>
          <t>feu cc</t>
        </is>
      </c>
      <c r="B14843">
        <f>HYPERLINK("https://www.dofusbook.net/fr/equipement/5856139-feu-cc-/objets", "link")</f>
        <v/>
      </c>
      <c r="C14843" t="n">
        <v>1</v>
      </c>
      <c r="D14843" t="inlineStr">
        <is>
          <t>Arc corrompu; Amulette Volkorne; Anneau Volkorne; Anneau de Padgref; Quatre-feuilles; Ceinture Volkorne; Heaume Oplate; Voile d'encre; Bottes Innommables; Dofus Ocre; Dofus Ébène; Dofus Turquoise; Dofus Abyssal; Dofus Argenté; Dofus Ivoire; Chaperlipopette</t>
        </is>
      </c>
    </row>
    <row r="14844">
      <c r="A14844" t="inlineStr">
        <is>
          <t>terre classic huz</t>
        </is>
      </c>
      <c r="B14844">
        <f>HYPERLINK("https://www.dofusbook.net/fr/equipement/5846330-terre-classic-huz/objets", "link")</f>
        <v/>
      </c>
      <c r="C14844" t="n">
        <v>0</v>
      </c>
      <c r="D14844" t="inlineStr">
        <is>
          <t>Arc du Chalœil; Amulette du Cœur Saignant; Alliance de Missiz Frizz; Anneau Volkorne; Quatre-feuilles; Ceinture Volkorne; Casque de Missiz Frizz; Cape du Cœur Saignant; Bottes du Cœur Saignant; Dofus Abyssal; Dofus Pourpre; Dofus Ivoire; Dofus Turquoise; Dofus Ébène; Dofus Ocre; Muldo Prune et Emeraude</t>
        </is>
      </c>
    </row>
    <row r="14845">
      <c r="A14845" t="inlineStr">
        <is>
          <t>terre cc test deux</t>
        </is>
      </c>
      <c r="B14845">
        <f>HYPERLINK("https://www.dofusbook.net/fr/equipement/5846272-terre-cc-test-deux/objets", "link")</f>
        <v/>
      </c>
      <c r="C14845" t="n">
        <v>0</v>
      </c>
      <c r="D14845" t="inlineStr">
        <is>
          <t>Baguette de Torkélonia; Amulette du Cœur Saignant; Anneau de Padgref; Anneau Volkorne; Quatre-feuilles; Ceinture Volkorne; Corne de Torkélonia; Cape du Cœur Saignant; Bottes du Cœur Saignant; Dofus Turquoise; Dofus Abyssal; Dofus Ocre; Dofus Ébène; Dofus Pourpre; Dofus Ivoire; Muldo Prune et Emeraude</t>
        </is>
      </c>
    </row>
    <row r="14846">
      <c r="A14846" t="inlineStr">
        <is>
          <t>agi cc test</t>
        </is>
      </c>
      <c r="B14846">
        <f>HYPERLINK("https://www.dofusbook.net/fr/equipement/5843009-agi-cc-test/objets", "link")</f>
        <v/>
      </c>
      <c r="C14846" t="n">
        <v>0</v>
      </c>
      <c r="D14846" t="inlineStr">
        <is>
          <t>Hachoirs de Viandargh; Frimamulette; Anneau de Padgref; Kralano; Bouclier Taverne; Menoture; Casque Volkorne; Chevelure de Tal Kasha; Sandales de Tal Kasha; Dofus Abyssal; Dofus Pourpre; Dofus Ivoire; Dofus Turquoise; Dofus Ébène; Dofus Ocre; Muldo Prune et Emeraude</t>
        </is>
      </c>
    </row>
    <row r="14847">
      <c r="A14847" t="inlineStr">
        <is>
          <t>air</t>
        </is>
      </c>
      <c r="B14847">
        <f>HYPERLINK("https://www.dofusbook.net/fr/equipement/1497763-air/objets", "link")</f>
        <v/>
      </c>
      <c r="C14847" t="n">
        <v>0</v>
      </c>
      <c r="D14847" t="inlineStr">
        <is>
          <t>Manthache; Collier du Valet Veinard; Alliance Gloursonne; Gant du Valet Veinard; Bouclier du Stalak; Menoture; Couronne d'Allister; Cape Indescriptible; Palmes Trithons; Dokoko; Dofus Abyssal; Dofus des Glaces; Remueur; Cascadeur majeur; Dévastateur Air majeur; Muldo Ebène et Amande</t>
        </is>
      </c>
    </row>
    <row r="14848">
      <c r="A14848" t="inlineStr">
        <is>
          <t>feucccroture</t>
        </is>
      </c>
      <c r="B14848">
        <f>HYPERLINK("https://www.dofusbook.net/fr/equipement/5818789-feucccroture/objets", "link")</f>
        <v/>
      </c>
      <c r="C14848" t="n">
        <v>0</v>
      </c>
      <c r="D14848" t="inlineStr">
        <is>
          <t>Arc Nécrotique; Collier de la Dame du Hasard; Bracelet des Fonds marins; Anneau Toriété; Quatre-feuilles; Croture; Kidibonnet; Cape de la Dame du Hasard; Bottes de la Dame du Hasard; Dofus Ivoire; Dofus Turquoise; Dofus des Glaces; Dofus Ébène; Dofus Abyssal; Dofus Pourpre; Kokulte</t>
        </is>
      </c>
    </row>
    <row r="14849">
      <c r="A14849" t="inlineStr">
        <is>
          <t>eau/air deux</t>
        </is>
      </c>
      <c r="B14849">
        <f>HYPERLINK("https://www.dofusbook.net/fr/equipement/1825449-eau-air-deux/objets", "link")</f>
        <v/>
      </c>
      <c r="C14849" t="n">
        <v>1</v>
      </c>
      <c r="D14849" t="inlineStr">
        <is>
          <t>Arc de Koutoulou; Amulette du Strigide; Anneau Tique; Alliance Gloursonne; Quatre-feuilles; Ceintacé; Némès de Tal Kasha; Chevelure de Tal Kasha; Bottes Voldelor; Dofus Pourpre; Dofus Turquoise; Dofus des Glaces; Vigoureux majeur; Remueur; Nomade; Kokulte</t>
        </is>
      </c>
    </row>
    <row r="14850">
      <c r="A14850" t="inlineStr">
        <is>
          <t>feu soin</t>
        </is>
      </c>
      <c r="B14850">
        <f>HYPERLINK("https://www.dofusbook.net/fr/equipement/5770534-feu-soin-/objets", "link")</f>
        <v/>
      </c>
      <c r="C14850" t="n">
        <v>0</v>
      </c>
      <c r="D14850" t="inlineStr">
        <is>
          <t>Le Thanos; Talisman Igans; Anneau Rifique; Anneau de Nidas; Bivalve; Ceintrigue; Couronne de Nidas; Cape de Diondin; Bottes Owesli; Dofus Ébène; Dofus Ocre; Dofus Abyssal; Dofus Ivoire; Docteur majeur; Soigneur majeur; Meuch</t>
        </is>
      </c>
    </row>
    <row r="14851">
      <c r="A14851" t="inlineStr">
        <is>
          <t>feu</t>
        </is>
      </c>
      <c r="B14851">
        <f>HYPERLINK("https://www.dofusbook.net/fr/equipement/1828338-feu/objets", "link")</f>
        <v/>
      </c>
      <c r="C14851" t="n">
        <v>1</v>
      </c>
      <c r="D14851" t="inlineStr">
        <is>
          <t>Arc de Flèche Mauve; Amulette Volkorne; Anneau Volkorne; Anneauræus; Bivalve; Ceinture Volkorne; Couronne de Nidas; Cape de Diondin; Bottes Innommables; Dofus Abyssal; Dofus Ivoire; Dofus Ébène; Dofus Ocre; Docteur majeur; Soigneur majeur; Meuch</t>
        </is>
      </c>
    </row>
    <row r="14852">
      <c r="A14852" t="inlineStr">
        <is>
          <t>feu koli cc</t>
        </is>
      </c>
      <c r="B14852">
        <f>HYPERLINK("https://www.dofusbook.net/fr/equipement/5761288-feu-koli-cc-/objets", "link")</f>
        <v/>
      </c>
      <c r="C14852" t="n">
        <v>0</v>
      </c>
      <c r="D14852" t="inlineStr">
        <is>
          <t>Arc corrompu; Amulette Volkorne; Anneauræus; Anneauræus; Quatre-feuilles; Ceinture Volkorne; Heaume Oplate; Voile d'encre; Pataugastrique; Dofus Abyssal; Dofus Ivoire; Dofus Ébène; Dofus Turquoise; Érudit majeur; Nomade; Dragodinde Emeraude et Orchidée</t>
        </is>
      </c>
    </row>
    <row r="14853">
      <c r="A14853" t="inlineStr">
        <is>
          <t>feu eau</t>
        </is>
      </c>
      <c r="B14853">
        <f>HYPERLINK("https://www.dofusbook.net/fr/equipement/1846409-feu-eau-/objets", "link")</f>
        <v/>
      </c>
      <c r="C14853" t="n">
        <v>1</v>
      </c>
      <c r="D14853" t="inlineStr">
        <is>
          <t>Épée Brûlâme; Amulette Volkorne; Bracelet du Piloztère; Anneau Volkorne; Bouclier du Captain Amakna; Ceintrigue; Heaume Oplate; Cape de Meno; Bottes de Meno; Dofus Turquoise; Dofus Ébène; Dofus Ocre; Dofus Abyssal; Dofus Vulbis; Dofus Ivoire; Walk</t>
        </is>
      </c>
    </row>
    <row r="14854">
      <c r="A14854" t="inlineStr">
        <is>
          <t>sram skin tromp</t>
        </is>
      </c>
      <c r="B14854">
        <f>HYPERLINK("https://www.dofusbook.net/fr/equipement/5332095-sram-skin-tromp/objets", "link")</f>
        <v/>
      </c>
      <c r="C14854" t="n">
        <v>3</v>
      </c>
      <c r="D14854" t="inlineStr">
        <is>
          <t>Plume de Buhorado; Collier du Valet Veinard; Alliance Gloursonne; Gant du Valet Veinard; Bouclier du Stalak; Ceintouse; Couronne d'Allister; Cape du Valet Veinard; Tentassons; Dofus Ocre; Dofus Ébène; Dofus Ivoire; Dofus des Glaces; Dofus Argenté; Dofus Abyssal; Blérodoudou</t>
        </is>
      </c>
    </row>
    <row r="14855">
      <c r="A14855" t="inlineStr">
        <is>
          <t>terfeu entaille immo</t>
        </is>
      </c>
      <c r="B14855">
        <f>HYPERLINK("https://www.dofusbook.net/fr/equipement/5741208-terfeu-entaille-immo/objets", "link")</f>
        <v/>
      </c>
      <c r="C14855" t="n">
        <v>1</v>
      </c>
      <c r="D14855" t="inlineStr">
        <is>
          <t>Bâthon; Amulette Volkorne; Anneau Volkorne; Chevalière du Roi Joueur; Bouclier du Captain Amakna; Ceinture Volkorne; Couronne du Roi Joueur; Cape d'Anerice; Bottes du Roi Joueur; Dofus Turquoise; Dofus Abyssal; Dofus Ocre; Dofus Ébène; Dofus Pourpre; Dofus Ivoire; Fëanor</t>
        </is>
      </c>
    </row>
    <row r="14856">
      <c r="A14856" t="inlineStr">
        <is>
          <t>terreruskof</t>
        </is>
      </c>
      <c r="B14856">
        <f>HYPERLINK("https://www.dofusbook.net/fr/equipement/1657646-terreruskof/objets", "link")</f>
        <v/>
      </c>
      <c r="C14856" t="n">
        <v>0</v>
      </c>
      <c r="D14856" t="inlineStr">
        <is>
          <t>Marteau R'ture; Amulette Volkorne; Anneau Chevelu; Anneau Volkorne; Ceinture Volkorne; Masque de Koutoulou; Voile d'encre; Bottes de la Cour Sombre; Dragodinde Ivoire et Pourpre</t>
        </is>
      </c>
    </row>
    <row r="14857">
      <c r="A14857" t="inlineStr">
        <is>
          <t>terre</t>
        </is>
      </c>
      <c r="B14857">
        <f>HYPERLINK("https://www.dofusbook.net/fr/equipement/1569683-terre/objets", "link")</f>
        <v/>
      </c>
      <c r="C14857" t="n">
        <v>1</v>
      </c>
      <c r="D14857" t="inlineStr">
        <is>
          <t>Marteau R'ture; Amulette du Cœur Saignant; Bague Gloursonne; Alliance Gloursonne; Bouclier d'Ilyzaelle; Ceinture de la Cour Sombre; Chapeau de Gein; Cape du Cœur Saignant; Bottes du Cœur Saignant; Dofus Pourpre; Dofus Abyssal; Dofus Ivoire; Dofus Turquoise; Dofus Ébène; Dofus Ocre; Muldo Ebène et Pourpre</t>
        </is>
      </c>
    </row>
    <row r="14858">
      <c r="A14858" t="inlineStr">
        <is>
          <t>terrre essai</t>
        </is>
      </c>
      <c r="B14858">
        <f>HYPERLINK("https://www.dofusbook.net/fr/equipement/4647962-terrre-essai/objets", "link")</f>
        <v/>
      </c>
      <c r="C14858" t="n">
        <v>2</v>
      </c>
      <c r="D14858" t="inlineStr">
        <is>
          <t>Marteau R'ture; Amulette du Cœur Saignant; Anneau Volkorne; Anneau Chevelu; Droiture de Fallanster; Ceinture Volkorne; Casque Dragoeuf; Cape au Logis; Sabots Minables; Dofus Ocre; Dofus Ivoire; Dofus Argenté; Dofus Abyssal; Dofus Turquoise; Dofus Ébène; Dragodinde Ivoire et Pourpre</t>
        </is>
      </c>
    </row>
    <row r="14859">
      <c r="A14859" t="inlineStr">
        <is>
          <t>agi do pou</t>
        </is>
      </c>
      <c r="B14859">
        <f>HYPERLINK("https://www.dofusbook.net/fr/equipement/5724745-agi-do-pou-/objets", "link")</f>
        <v/>
      </c>
      <c r="C14859" t="n">
        <v>0</v>
      </c>
      <c r="D14859" t="inlineStr">
        <is>
          <t>Plume de Buhorado; Amulette du Cœur Vaillant; Alliance Gloursonne; Bague Trithon; Bivalve; Menoture; Dorabysses; Cape du Cœur Vaillant; Bottes Trithon; Dofus Turquoise; Dofus Ébène; Dofus Ocre; Dofus Abyssal; Dofus Ivoire; Bousculeur majeur; Tofoudre</t>
        </is>
      </c>
    </row>
    <row r="14860">
      <c r="A14860" t="inlineStr">
        <is>
          <t>terre do pou</t>
        </is>
      </c>
      <c r="B14860">
        <f>HYPERLINK("https://www.dofusbook.net/fr/equipement/5724645-terre-do-pou-/objets", "link")</f>
        <v/>
      </c>
      <c r="C14860" t="n">
        <v>1</v>
      </c>
      <c r="D14860" t="inlineStr">
        <is>
          <t>Arc du Chalœil; Torquistik; Baguistik; Anneau Chevelu; Bouclier Taverne; Ceinture Gence; Coiffe de la Reine des Voleurs; Cape au Logis; Bottistik; Dofus Turquoise; Dofus Abyssal; Dofus Ivoire; Dofus Pourpre; Dofus Ébène; Bousculeur majeur; Black Tiwabbit</t>
        </is>
      </c>
    </row>
    <row r="14861">
      <c r="A14861" t="inlineStr">
        <is>
          <t>puissance</t>
        </is>
      </c>
      <c r="B14861">
        <f>HYPERLINK("https://www.dofusbook.net/fr/equipement/1396415-puissance/objets", "link")</f>
        <v/>
      </c>
      <c r="C14861" t="n">
        <v>5</v>
      </c>
      <c r="D14861" t="inlineStr">
        <is>
          <t>Bâton Beau; Amulette du Strigide; Bracelet du Piloztère; Bague Trithon; Quatre-feuilles; Ceinture du Strigide; Masque Trithon; Cape au Logis; Bottes Trithon; Dofus Turquoise; Dolmanax; Dofus Nébuleux; Dofus des Glaces; Dofus Pourpre; Puissant majeur; Sakochère</t>
        </is>
      </c>
    </row>
    <row r="14862">
      <c r="A14862" t="inlineStr">
        <is>
          <t>skin</t>
        </is>
      </c>
      <c r="B14862">
        <f>HYPERLINK("https://www.dofusbook.net/fr/equipement/1899066-skin/objets", "link")</f>
        <v/>
      </c>
      <c r="C14862" t="n">
        <v>0</v>
      </c>
      <c r="D14862" t="inlineStr">
        <is>
          <t>Arc corrompu; Amulette Volkorne; Anneauræus; Anneau Volkorne; Croture; Heaume Oplate; Cape Martegel; Bottes Innommables</t>
        </is>
      </c>
    </row>
    <row r="14863">
      <c r="A14863" t="inlineStr">
        <is>
          <t>air arc</t>
        </is>
      </c>
      <c r="B14863">
        <f>HYPERLINK("https://www.dofusbook.net/fr/equipement/5248372-air-arc/objets", "link")</f>
        <v/>
      </c>
      <c r="C14863" t="n">
        <v>0</v>
      </c>
      <c r="D14863" t="inlineStr">
        <is>
          <t>Plume de Buhorado; Collier du Valet Veinard; Gant du Valet Veinard; Alliance Gloursonne; Droiture de Fallanster; Ceintouse; Chapoulpe; Cape du Valet Veinard; Tentassons; Dofus Émeraude; Dofus Abyssal; Dofus Cawotte; Dofus Ivoire; Dofus Ébène; Equilibriste majeur; Bwak d'Air</t>
        </is>
      </c>
    </row>
    <row r="14864">
      <c r="A14864" t="inlineStr">
        <is>
          <t>terre 3</t>
        </is>
      </c>
      <c r="B14864">
        <f>HYPERLINK("https://www.dofusbook.net/fr/equipement/3518428-terre-3/objets", "link")</f>
        <v/>
      </c>
      <c r="C14864" t="n">
        <v>1</v>
      </c>
      <c r="D14864" t="inlineStr">
        <is>
          <t>Marteau R'ture; Collier de Tourthon; Anneau du Comte Harebourg; Anneau de Brouce; Bouclier d'Ilyzaelle; Ceinture de Brouce; Coiffe du Comte Harebourg; Cape au Logis; Bottes de Brouce; Dofus Turquoise; Dofus Abyssal; Dofus Pourpre; Dofus Ivoire; Dofus Émeraude; Dofus Ocre; Kompost</t>
        </is>
      </c>
    </row>
    <row r="14865">
      <c r="A14865" t="inlineStr">
        <is>
          <t>feu</t>
        </is>
      </c>
      <c r="B14865">
        <f>HYPERLINK("https://www.dofusbook.net/fr/equipement/3524793-feu/objets", "link")</f>
        <v/>
      </c>
      <c r="C14865" t="n">
        <v>1</v>
      </c>
      <c r="D14865" t="inlineStr">
        <is>
          <t>Massier; Amulette Volkorne; Anneau Volkorne; Chevalière du Roi Joueur; Droiture de Fallanster; Croture; Casque Dragoeuf; Cape de Diondin; Bottes Innommables; Dofus Ocre; Dofus Abyssal; Dofus Ivoire; Dofus Émeraude; Dofus Ébène; Nomade; Crocodaille</t>
        </is>
      </c>
    </row>
    <row r="14866">
      <c r="A14866" t="inlineStr">
        <is>
          <t>reçeuses</t>
        </is>
      </c>
      <c r="B14866">
        <f>HYPERLINK("https://www.dofusbook.net/fr/equipement/5584489-receuses-/objets", "link")</f>
        <v/>
      </c>
      <c r="C14866" t="n">
        <v>0</v>
      </c>
      <c r="D14866" t="inlineStr">
        <is>
          <t>Dagues de l'Apprenti Tueur de Bouftons; Amulette du Strigide; Anneau Chevelu; Bague Trithon; Bouclier du Captain Amakna; Ceinture du Strigide; Masque Trithon; Cape au Logis; Bottes Trithon; Dofus Turquoise; Dofus Ivoire; Dofus Ocre; Dofus Ébène; Dofus Pourpre; Dofus Abyssal; Kokulte</t>
        </is>
      </c>
    </row>
    <row r="14867">
      <c r="A14867" t="inlineStr">
        <is>
          <t>feu full dégats</t>
        </is>
      </c>
      <c r="B14867">
        <f>HYPERLINK("https://www.dofusbook.net/fr/equipement/5396980-feu--full-degats-/objets", "link")</f>
        <v/>
      </c>
      <c r="C14867" t="n">
        <v>1</v>
      </c>
      <c r="D14867" t="inlineStr">
        <is>
          <t>Arc corrompu; Amulette Volkorne; Anneau Volkorne; Chevalière du Roi Joueur; Bouclier du Stalak; Croture; Heaume Oplate; Cape de Diondin; Bottes Innommables; Dofus Ébène; Dofus Ivoire; Dofus Argenté; Dofus Abyssal; Nomade; Érudit majeur; Bisouglours</t>
        </is>
      </c>
    </row>
    <row r="14868">
      <c r="A14868" t="inlineStr">
        <is>
          <t>terre/air</t>
        </is>
      </c>
      <c r="B14868">
        <f>HYPERLINK("https://www.dofusbook.net/fr/equipement/4715859-terre-air/objets", "link")</f>
        <v/>
      </c>
      <c r="C14868" t="n">
        <v>2</v>
      </c>
      <c r="D14868" t="inlineStr">
        <is>
          <t>Héqache; Amulette du Strigide; Anneau de Pol Ouatnos; Anneau du Comte Harebourg; Bouclier Taverne; Ceinture du Strigide; Corne de Torkélonia; Carapace de Torkélonia; Bottes du Strigide; Dofus Ocre; Dofus Ivoire; Dofus Turquoise; Dofus Ébène; Dofus Pourpre; Dofus Abyssal; Kokulte</t>
        </is>
      </c>
    </row>
    <row r="14869">
      <c r="A14869" t="inlineStr">
        <is>
          <t>feu</t>
        </is>
      </c>
      <c r="B14869">
        <f>HYPERLINK("https://www.dofusbook.net/fr/equipement/5485970-feu/objets", "link")</f>
        <v/>
      </c>
      <c r="C14869" t="n">
        <v>0</v>
      </c>
      <c r="D14869" t="inlineStr">
        <is>
          <t>Arc corrompu; Amulette Volkorne; Anneauræus; Anneauræus; Bouclier du Stalak; Ceinture Séculaire; Coiffe Séculaire; Cape de Diondin; Bottes Innommables; Dofus Ocre; Dofus Abyssal; Dofus Ivoire; Dofus Ébène; Érudit majeur; Nomade; Bisouglours</t>
        </is>
      </c>
    </row>
    <row r="14870">
      <c r="A14870" t="inlineStr">
        <is>
          <t>terre 200</t>
        </is>
      </c>
      <c r="B14870">
        <f>HYPERLINK("https://www.dofusbook.net/fr/equipement/4348826-terre-200/objets", "link")</f>
        <v/>
      </c>
      <c r="C14870" t="n">
        <v>2</v>
      </c>
      <c r="D14870" t="inlineStr">
        <is>
          <t>Baguette de Torkélonia; Amulette du Cœur Saignant; Crocanneau; Anneau Volkorne; Droiture de Fallanster; Ceinture Volkorne; Corne de Torkélonia; Carapace de Torkélonia; Bottes du Cœur Saignant; Dofus Turquoise; Dofus Ébène; Dofus Ocre; Dofus Abyssal; Dofus Émeraude; Dofus Ivoire; Bulbisou</t>
        </is>
      </c>
    </row>
    <row r="14871">
      <c r="A14871" t="inlineStr">
        <is>
          <t>air crit</t>
        </is>
      </c>
      <c r="B14871">
        <f>HYPERLINK("https://www.dofusbook.net/fr/equipement/5422361-air-crit/objets", "link")</f>
        <v/>
      </c>
      <c r="C14871" t="n">
        <v>1</v>
      </c>
      <c r="D14871" t="inlineStr">
        <is>
          <t>Baguette du Dragoeuf; Amulette du Strigide; Anneau de Padgref; Bague Trithon; Quatre-feuilles; Ceinture du Strigide; Némès de Tal Kasha; Chevelure de Tal Kasha; Sandales de Tal Kasha; Dofus Ocre; Dofus Ébène; Dofus Abyssal; Dofus Turquoise; Dofus Ivoire; Voyageur; Kokulte</t>
        </is>
      </c>
    </row>
    <row r="14872">
      <c r="A14872" t="inlineStr">
        <is>
          <t>Crit dagues drag</t>
        </is>
      </c>
      <c r="B14872">
        <f>HYPERLINK("https://www.dofusbook.net/fr/equipement/5422303-crit-dagues-drag/objets", "link")</f>
        <v/>
      </c>
      <c r="C14872" t="n">
        <v>2</v>
      </c>
      <c r="D14872" t="inlineStr">
        <is>
          <t>Dagues du Dragoeuf; Amulette du Strigide; Bague Trithon; Anneau de Pol Ouatnos; Bouclier du Captain Amakna; Ceinture du Strigide; Corne de Torkélonia; Carapace de Torkélonia; Bottes Trithon; Dofus Ocre; Dofus Abyssal; Dofus Pourpre; Dofus Ivoire; Dofus Turquoise; Dofus Ébène; Kokulte</t>
        </is>
      </c>
    </row>
    <row r="14873">
      <c r="A14873" t="inlineStr">
        <is>
          <t>Feu ret pa</t>
        </is>
      </c>
      <c r="B14873">
        <f>HYPERLINK("https://www.dofusbook.net/fr/equipement/1400711-feu-ret-pa-/objets", "link")</f>
        <v/>
      </c>
      <c r="C14873" t="n">
        <v>0</v>
      </c>
      <c r="D14873" t="inlineStr">
        <is>
          <t>Arc corrompu; Amulette Volkorne; Anneauræus; Anneauræus; Bouclier du Stalak; Ceinture Volkorne; Casque Cyclopéen; Cape de Diondin; Pataugastrique; Dofus Abyssal; Dofus des Glaces; Dofus Ivoire; Dofus Ébène; Nomade; Érudit majeur; Bisouglours</t>
        </is>
      </c>
    </row>
    <row r="14874">
      <c r="A14874" t="inlineStr">
        <is>
          <t>Air crit</t>
        </is>
      </c>
      <c r="B14874">
        <f>HYPERLINK("https://www.dofusbook.net/fr/equipement/5419204-air-crit/objets", "link")</f>
        <v/>
      </c>
      <c r="C14874" t="n">
        <v>0</v>
      </c>
      <c r="D14874" t="inlineStr">
        <is>
          <t>Baguette de Torkélonia; Amulette du Strigide; Bracelet du Piloztère; Anneau de Padgref; Quatre-feuilles; Ceinture du Strigide; Coiffe de Padgref; Carapace de Torkélonia; Getas de Padgref; Dofus Vulbis; Dofus Ivoire; Dofus Turquoise; Dofus Ébène; Dofus Pourpre; Dofus Ocre; Dragodinde Ebène et Ivoire</t>
        </is>
      </c>
    </row>
    <row r="14875">
      <c r="A14875" t="inlineStr">
        <is>
          <t>eau sapeuh</t>
        </is>
      </c>
      <c r="B14875">
        <f>HYPERLINK("https://www.dofusbook.net/fr/equipement/5407721-eau-sapeuh/objets", "link")</f>
        <v/>
      </c>
      <c r="C14875" t="n">
        <v>1</v>
      </c>
      <c r="D14875" t="inlineStr">
        <is>
          <t>Rapière aux Glyphes; Amulette de l'Œil Attentif; Bracelet des Fonds marins; Anneau Volkorne; Bouclier d'Ilyzaelle; Ceinture Volkorne; Masque des Fonds marins; Cape de l'Œil Attentif; Sandales des Fonds marins; Dofus Ocre; Dofus Abyssal; Dofus Argenté; Dofus Ivoire; Dofus Vulbis; Dofus Ébène; Dragodinde Amande et Indigo</t>
        </is>
      </c>
    </row>
    <row r="14876">
      <c r="A14876" t="inlineStr">
        <is>
          <t>air crit</t>
        </is>
      </c>
      <c r="B14876">
        <f>HYPERLINK("https://www.dofusbook.net/fr/equipement/5399841-air-crit/objets", "link")</f>
        <v/>
      </c>
      <c r="C14876" t="n">
        <v>1</v>
      </c>
      <c r="D14876" t="inlineStr">
        <is>
          <t>Lance Horselé; Amulette du Strigide; Alliance Gloursonne; Anneau de Padgref; Bouclier Taverne; Menoture; Corne de Torkélonia; Carapace de Torkélonia; Palmes Trithons; Dofus Turquoise; Dofus Abyssal; Dofus Ocre; Dofus Pourpre; Dofus Ébène; Nomade; Pioute jaune</t>
        </is>
      </c>
    </row>
    <row r="14877">
      <c r="A14877" t="inlineStr">
        <is>
          <t>terre sapeuh</t>
        </is>
      </c>
      <c r="B14877">
        <f>HYPERLINK("https://www.dofusbook.net/fr/equipement/5373766-terre-sapeuh/objets", "link")</f>
        <v/>
      </c>
      <c r="C14877" t="n">
        <v>1</v>
      </c>
      <c r="D14877" t="inlineStr">
        <is>
          <t>Marteau R'ture; Amulette du Strigide; Anneau Chevelu; Anneau Volkorne; Cadran d'Eau; Ceinture Volkorne; Masque de Koutoulou; Cape au Logis; Bottes de la Cour Sombre; Dofus Turquoise; Dofus Ébène; Dofus Ocre; Dofus Abyssal; Dofus Pourpre; Dofus Ivoire; Dragodinde Amande et Ivoire</t>
        </is>
      </c>
    </row>
    <row r="14878">
      <c r="A14878" t="inlineStr">
        <is>
          <t>Full intel</t>
        </is>
      </c>
      <c r="B14878">
        <f>HYPERLINK("https://www.dofusbook.net/fr/equipement/5260194-full-intel-/objets", "link")</f>
        <v/>
      </c>
      <c r="C14878" t="n">
        <v>1</v>
      </c>
      <c r="D14878" t="inlineStr">
        <is>
          <t>Arc corrompu; Amulette Volkorne; Anneauræus; Anneau Volkorne; Bouclier du Stalak; Ceinture Volkorne; Heaume Oplate; Cape de Diondin; Bottes Innommables; Dofus Pourpre; Dofus Ébène; Dofus Argenté; Dofus Abyssal; Dofus Turquoise; Dofus Ivoire; Shushu de Rushu</t>
        </is>
      </c>
    </row>
    <row r="14879">
      <c r="A14879" t="inlineStr">
        <is>
          <t>arc nécro</t>
        </is>
      </c>
      <c r="B14879">
        <f>HYPERLINK("https://www.dofusbook.net/fr/equipement/4604827-arc-necro/objets", "link")</f>
        <v/>
      </c>
      <c r="C14879" t="n">
        <v>1</v>
      </c>
      <c r="D14879" t="inlineStr">
        <is>
          <t>Arc Nécrotique; Amulette Volkorne; Bague Trithon; Anneau Volkorne; Quatre-feuilles; Ceinture Volkorne; Masque Trithon; Cape de la Dame du Hasard; Bottes de la Dame du Hasard; Dofus Turquoise; Dofus Ivoire; Dofus Ébène; Dofus Ocre; Dofus Pourpre; Dofus Abyssal; Sakochère</t>
        </is>
      </c>
    </row>
    <row r="14880">
      <c r="A14880" t="inlineStr">
        <is>
          <t>feu fuite</t>
        </is>
      </c>
      <c r="B14880">
        <f>HYPERLINK("https://www.dofusbook.net/fr/equipement/3728122-feu-fuite/objets", "link")</f>
        <v/>
      </c>
      <c r="C14880" t="n">
        <v>4</v>
      </c>
      <c r="D14880" t="inlineStr">
        <is>
          <t>Pyraguette; Amulette Volkorne; Anneau Toriété; Anneau Volkorne; Droiture de Fallanster; Ceintrigue; Kidibonnet; Cape de la Dame du Hasard; Bottes Owesli; Dofus Ébène; Dofus Abyssal; Dofus Pourpre; Dofus Ivoire; Dofus des Glaces; Dofus Ocre; Walk</t>
        </is>
      </c>
    </row>
    <row r="14881">
      <c r="A14881" t="inlineStr">
        <is>
          <t>ret pm 200</t>
        </is>
      </c>
      <c r="B14881">
        <f>HYPERLINK("https://www.dofusbook.net/fr/equipement/1408602-ret-pm-200/objets", "link")</f>
        <v/>
      </c>
      <c r="C14881" t="n">
        <v>1</v>
      </c>
      <c r="D14881" t="inlineStr">
        <is>
          <t>Arc Hétype; Pendentif affamé; Anneau Tamie; Anneau Tamie; Bouclier cubiste; Ceinture Instable; Couronne de Nidas; Cape de Diondin; Tongues de Nidas; Temporiseur; Entraveur majeur; Remueur; Temporiseur majeur; Entraveur; Ralentisseur majeur; Muldo Orchidée et Amande</t>
        </is>
      </c>
    </row>
    <row r="14882">
      <c r="A14882" t="inlineStr">
        <is>
          <t>fullcritdopouawsome</t>
        </is>
      </c>
      <c r="B14882">
        <f>HYPERLINK("https://www.dofusbook.net/fr/equipement/1140932-fullcritdopouawsome/objets", "link")</f>
        <v/>
      </c>
      <c r="C14882" t="n">
        <v>1</v>
      </c>
      <c r="D14882" t="inlineStr">
        <is>
          <t>Hache du Chalœil; Amulette du Strigide; Alliance Gloursonne; Bague Trithon; Quatre-feuilles; Ceinture du Strigide; Masque Trithon; Cape au Logis; Bottes Trithon; Dokoko; Dofus Turquoise; Dofus Ocre; Dolmanax; Dofus des Glaces; Dofus Pourpre; Kokulte</t>
        </is>
      </c>
    </row>
    <row r="14883">
      <c r="A14883" t="inlineStr">
        <is>
          <t>trompe la mort</t>
        </is>
      </c>
      <c r="B14883">
        <f>HYPERLINK("https://www.dofusbook.net/fr/equipement/3524877-trompe-la-mort/objets", "link")</f>
        <v/>
      </c>
      <c r="C14883" t="n">
        <v>1</v>
      </c>
      <c r="D14883" t="inlineStr">
        <is>
          <t>Arc corrompu; Amulette Volkorne; Anneauræus; Bague Gloursonne; Trompe-la-Mort; Ceinture Volkorne; Capuche de l'Œil Putride; Cape de Diondin; Bottes Innommables; Dofus Ocre; Dofus Ébène; Dofus Ivoire; Dofus Émeraude; Dofus Abyssal; Nomade; Eliôme</t>
        </is>
      </c>
    </row>
    <row r="14884">
      <c r="A14884" t="inlineStr">
        <is>
          <t>terre tromp mort</t>
        </is>
      </c>
      <c r="B14884">
        <f>HYPERLINK("https://www.dofusbook.net/fr/equipement/5343386-terre-tromp-mort/objets", "link")</f>
        <v/>
      </c>
      <c r="C14884" t="n">
        <v>0</v>
      </c>
      <c r="D14884" t="inlineStr">
        <is>
          <t>Arc du Chalœil; Collier de Tourthon; Anneau Volkorne; Anneau Chevelu; Trompe-la-Mort; Ceinture Volkorne; Masque de Koutoulou; Voile d'encre; Bottes du Cœur Saignant; Dofus Ocre; Dofus Abyssal; Dofus Émeraude; Dofus Ivoire; Dofus Turquoise; Dofus Ébène; Phortiche</t>
        </is>
      </c>
    </row>
    <row r="14885">
      <c r="A14885" t="inlineStr">
        <is>
          <t>tromp mort eau</t>
        </is>
      </c>
      <c r="B14885">
        <f>HYPERLINK("https://www.dofusbook.net/fr/equipement/5343250-tromp-mort-eau/objets", "link")</f>
        <v/>
      </c>
      <c r="C14885" t="n">
        <v>2</v>
      </c>
      <c r="D14885" t="inlineStr">
        <is>
          <t>Baguette Héroclite; Amulette de Shokkoth; Bracelet des Fonds marins; Anneau Volkorne; Trompe-la-Mort; Sangle Ouare; Casque Dragoeuf; Cape Solution; Sandales des Fonds marins; Dofus Émeraude; Dofus Ébène; Dofus Ocre; Dofus Abyssal; Dofus Ivoire; Chanceux majeur; Sourisette</t>
        </is>
      </c>
    </row>
    <row r="14886">
      <c r="A14886" t="inlineStr">
        <is>
          <t>air trompe la mort</t>
        </is>
      </c>
      <c r="B14886">
        <f>HYPERLINK("https://www.dofusbook.net/fr/equipement/1408398-air-trompe-la-mort/objets", "link")</f>
        <v/>
      </c>
      <c r="C14886" t="n">
        <v>3</v>
      </c>
      <c r="D14886" t="inlineStr">
        <is>
          <t>Plume de Buhorado; Collier du Valet Veinard; Gant du Valet Veinard; Anneau Tique; Trompe-la-Mort; Ceintouse; Casque Dragoeuf; Cape du Valet Veinard; Tentassons; Dofus Ocre; Dofus Abyssal; Dofus Pourpre; Dofus Ivoire; Dofus Émeraude; Dofus Ébène; Blérodoudou</t>
        </is>
      </c>
    </row>
    <row r="14887">
      <c r="A14887" t="inlineStr">
        <is>
          <t>eau res</t>
        </is>
      </c>
      <c r="B14887">
        <f>HYPERLINK("https://www.dofusbook.net/fr/equipement/5329755-eau-res-/objets", "link")</f>
        <v/>
      </c>
      <c r="C14887" t="n">
        <v>0</v>
      </c>
      <c r="D14887" t="inlineStr">
        <is>
          <t>Rapière aux Glyphes; Amulette de l'Œil Attentif; Anneau Volkorne; Alliance Gloursonne; Droiture de Fallanster; Poulpagne; Casque Dragoeuf; Cape de l'Œil Attentif; Bottes du Sinistrofu; Dofus Ocre; Dofus Abyssal; Dofus Ivoire; Dofus Émeraude; Dofus Ébène; Nomade; Homlett</t>
        </is>
      </c>
    </row>
    <row r="14888">
      <c r="A14888" t="inlineStr">
        <is>
          <t>terre/air</t>
        </is>
      </c>
      <c r="B14888">
        <f>HYPERLINK("https://www.dofusbook.net/fr/equipement/4715860-terre-air/objets", "link")</f>
        <v/>
      </c>
      <c r="C14888" t="n">
        <v>2</v>
      </c>
      <c r="D14888" t="inlineStr">
        <is>
          <t>Epée Toche; Amulette Volkorne; Anneau Volkorne; Chevalière du Roi Joueur; Bouclier d'Ilyzaelle; Ceinture Volkorne; Couronne du Roi Joueur; Voile d'encre; Bottes du Roi Joueur; Dofus Émeraude; Dofus Ébène; Dofus Ocre; Dofus Abyssal; Dofus Turquoise; Dofus Ivoire; Fëanor</t>
        </is>
      </c>
    </row>
    <row r="14889">
      <c r="A14889" t="inlineStr">
        <is>
          <t>pif</t>
        </is>
      </c>
      <c r="B14889">
        <f>HYPERLINK("https://www.dofusbook.net/fr/equipement/4408352-pif-/objets", "link")</f>
        <v/>
      </c>
      <c r="C14889" t="n">
        <v>3</v>
      </c>
      <c r="D14889" t="inlineStr">
        <is>
          <t>Hache Téroïde; Amulette Volkorne; Chevalière du Roi Joueur; Anneau Volkorne; Bouclier du Stalak; Ceinture Volkorne; Couronne du Roi Joueur; Voile d'encre; Bottes du Roi Joueur; Dofus Ébène; Dofus Ocre; Dofus des Glaces; Dofus Abyssal; Dofus Ivoire; Dofus Turquoise; Fëanor</t>
        </is>
      </c>
    </row>
    <row r="14890">
      <c r="A14890" t="inlineStr">
        <is>
          <t>eau do pou</t>
        </is>
      </c>
      <c r="B14890">
        <f>HYPERLINK("https://www.dofusbook.net/fr/equipement/5279921-eau-do-pou-/objets", "link")</f>
        <v/>
      </c>
      <c r="C14890" t="n">
        <v>2</v>
      </c>
      <c r="D14890" t="inlineStr">
        <is>
          <t>Épée Brûlâme; Amulette Volkorne; Lavanneau; Anneau Volkorne; Droiture de Fallanster; Sangle Ouare; Casque Dragoeuf; Cape Solution; Sandales Paztek; Dofus Émeraude; Dofus Ébène; Dofus Ocre; Dofus Abyssal; Dofus Ivoire; Culbuteur majeur; Tatouf</t>
        </is>
      </c>
    </row>
    <row r="14891">
      <c r="A14891" t="inlineStr">
        <is>
          <t>feu ricols</t>
        </is>
      </c>
      <c r="B14891">
        <f>HYPERLINK("https://www.dofusbook.net/fr/equipement/5263072-feu-ricols/objets", "link")</f>
        <v/>
      </c>
      <c r="C14891" t="n">
        <v>1</v>
      </c>
      <c r="D14891" t="inlineStr">
        <is>
          <t>Dagues Ricol; Amulette Volkorne; Anneauræus; Anneau Toriété; Droiture de Fallanster; Ceinture Volkorne; Heaume Oplate; Bravoure de Rykke Errel; Bottes Innommables; Dofus Ocre; Dofus Abyssal; Dofus Émeraude; Dofus Ivoire; Dofus Turquoise; Dofus Ébène; Wabbit</t>
        </is>
      </c>
    </row>
    <row r="14892">
      <c r="A14892" t="inlineStr">
        <is>
          <t>eau cc</t>
        </is>
      </c>
      <c r="B14892">
        <f>HYPERLINK("https://www.dofusbook.net/fr/equipement/4073234-eau-cc-/objets", "link")</f>
        <v/>
      </c>
      <c r="C14892" t="n">
        <v>5</v>
      </c>
      <c r="D14892" t="inlineStr">
        <is>
          <t>Dagues Açantes; Amulette du Strigide; Anneau Volkorne; Bracelet du Piloztère; Bouclier du Captain Amakna; Ceinture du Strigide; Némès de Tal Kasha; Chevelure de Tal Kasha; Sandales de Tal Kasha; Dofus Ébène; Dofus Turquoise; Dofus des Glaces; Dofus Abyssal; Dofus Ivoire; Dofus Ocre; Sakochère</t>
        </is>
      </c>
    </row>
    <row r="14893">
      <c r="A14893" t="inlineStr">
        <is>
          <t>EAU CAC</t>
        </is>
      </c>
      <c r="B14893">
        <f>HYPERLINK("https://www.dofusbook.net/fr/equipement/5248418-eau-cac/objets", "link")</f>
        <v/>
      </c>
      <c r="C14893" t="n">
        <v>1</v>
      </c>
      <c r="D14893" t="inlineStr">
        <is>
          <t>Couteaux Sacrificiels; Amulette Volkorne; Anneau Volkorne; Lavanneau; Droiture de Fallanster; Poulpagne; Masque Paztek; Cape Paztek; Sandales Paztek; Dofus Ocre; Dofus Abyssal; Dofus des Glaces; Dofus Ivoire; Dofus Émeraude; Dofus Ébène; Tatouf</t>
        </is>
      </c>
    </row>
    <row r="14894">
      <c r="A14894" t="inlineStr">
        <is>
          <t>multi ret pm</t>
        </is>
      </c>
      <c r="B14894">
        <f>HYPERLINK("https://www.dofusbook.net/fr/equipement/5221350-multi-ret-pm-/objets", "link")</f>
        <v/>
      </c>
      <c r="C14894" t="n">
        <v>1</v>
      </c>
      <c r="D14894" t="inlineStr">
        <is>
          <t>Hache Téroïde; Amulette des Chocomanciens; Anneau Chevelu; Chevalière du Roi Joueur; Cadran de Terre; Ceinture des Chocomanciens; Couronne du Roi Joueur; Cape au Logis; Bottes du Roi Joueur; Dofus Pourpre; Dofus Ébène; Dofus Ocre; Dofus Abyssal; Dofus Turquoise; Dofus Ivoire; Pioute violet</t>
        </is>
      </c>
    </row>
    <row r="14895">
      <c r="A14895" t="inlineStr">
        <is>
          <t>terre légende</t>
        </is>
      </c>
      <c r="B14895">
        <f>HYPERLINK("https://www.dofusbook.net/fr/equipement/5214466-terre-legende/objets", "link")</f>
        <v/>
      </c>
      <c r="C14895" t="n">
        <v>1</v>
      </c>
      <c r="D14895" t="inlineStr">
        <is>
          <t>Crocobur; Amulette Volkorne; Anneau Volkorne; Bague Gloursonne; Bouclier d'Ilyzaelle; Ceinture Volkorne; Casque Dragoeuf; Bravoure de Rykke Errel; Sabots Minables; Dofus Turquoise; Dofus Ébène; Dofus Ocre; Dofus Abyssal; Dofus Émeraude; Dofus Ivoire; Bulbisou</t>
        </is>
      </c>
    </row>
    <row r="14896">
      <c r="A14896" t="inlineStr">
        <is>
          <t>feu</t>
        </is>
      </c>
      <c r="B14896">
        <f>HYPERLINK("https://www.dofusbook.net/fr/equipement/5192977-feu/objets", "link")</f>
        <v/>
      </c>
      <c r="C14896" t="n">
        <v>2</v>
      </c>
      <c r="D14896" t="inlineStr">
        <is>
          <t>Massier; Amulette Volkorne; Anneauræus; Anneauræus; Bouclier Bontarien; Ceinture Volkorne; Heaume Oplate; Bravoure de Rykke Errel; Bottes Innommables; Dofus Abyssal; Dofus Ivoire; Dofus Ocre; Dofus Ébène; Nomade; Érudit majeur; Bisouglours</t>
        </is>
      </c>
    </row>
    <row r="14897">
      <c r="A14897" t="inlineStr">
        <is>
          <t>terre rykke</t>
        </is>
      </c>
      <c r="B14897">
        <f>HYPERLINK("https://www.dofusbook.net/fr/equipement/5151518-terre-rykke/objets", "link")</f>
        <v/>
      </c>
      <c r="C14897" t="n">
        <v>2</v>
      </c>
      <c r="D14897" t="inlineStr">
        <is>
          <t>Arc du Chalœil; Amulette Volkorne; Anneau de Brouce; Anneau Volkorne; Quatre-feuilles; Ceinture Volkorne; Couronne du Roi Joueur; Bravoure de Rykke Errel; Bottes de Brouce; Dofus Turquoise; Dofus Ébène; Dofus Pourpre; Dofus Ivoire; Dofus Ocre; Dofus Abyssal; Volkorne Pourpre</t>
        </is>
      </c>
    </row>
    <row r="14898">
      <c r="A14898" t="inlineStr">
        <is>
          <t>terre feu</t>
        </is>
      </c>
      <c r="B14898">
        <f>HYPERLINK("https://www.dofusbook.net/fr/equipement/4857255-terre-feu/objets", "link")</f>
        <v/>
      </c>
      <c r="C14898" t="n">
        <v>3</v>
      </c>
      <c r="D14898" t="inlineStr">
        <is>
          <t>Epée Toche; Amulette Volkorne; Chevalière du Roi Joueur; Anneau Volkorne; Droiture de Fallanster; Ceinture Volkorne; Couronne du Roi Joueur; Bravoure de Rykke Errel; Bottes du Roi Joueur; Dofus Turquoise; Dofus Abyssal; Dofus Émeraude; Dofus Ocre; Dofus Pourpre; Dofus Ivoire; Fëanor</t>
        </is>
      </c>
    </row>
    <row r="14899">
      <c r="A14899" t="inlineStr">
        <is>
          <t>skin</t>
        </is>
      </c>
      <c r="B14899">
        <f>HYPERLINK("https://www.dofusbook.net/fr/equipement/1605911-skin-/objets", "link")</f>
        <v/>
      </c>
      <c r="C14899" t="n">
        <v>2</v>
      </c>
      <c r="D14899" t="inlineStr">
        <is>
          <t>Baguette Héroclite; Amulette de Shokkoth; Anneau Volkorne; Alliance Gloursonne; Bouclier du Stalak; Poulpagne; Capuche de l'Œil Attentif; Cape du Sinistrofu; Bottes du Sinistrofu; Dofus Ocre; Dofus Abyssal; Dofus Ivoire; Dofus Pourpre; Dofus Ébène; Nomade; Kanigloups</t>
        </is>
      </c>
    </row>
    <row r="14900">
      <c r="A14900" t="inlineStr">
        <is>
          <t>eau/air</t>
        </is>
      </c>
      <c r="B14900">
        <f>HYPERLINK("https://www.dofusbook.net/fr/equipement/1416334-eau-air/objets", "link")</f>
        <v/>
      </c>
      <c r="C14900" t="n">
        <v>3</v>
      </c>
      <c r="D14900" t="inlineStr">
        <is>
          <t>Hache du Korriandre; Collier du Valet Veinard; Anneau Volkorne; Alliance Gloursonne; Droiture de Fallanster; Ceinture Volkorne; Casque Volkorne; Chevelure de Tal Kasha; Sandales de Tal Kasha; Dofus Turquoise; Dofus des Glaces; Dofus Ocre; Dofus Ivoire; Dofus Pourpre; Dofus Abyssal; Volkorne Améthyste et Emeraude</t>
        </is>
      </c>
    </row>
    <row r="14901">
      <c r="A14901" t="inlineStr">
        <is>
          <t>eau</t>
        </is>
      </c>
      <c r="B14901">
        <f>HYPERLINK("https://www.dofusbook.net/fr/equipement/3498492-eau/objets", "link")</f>
        <v/>
      </c>
      <c r="C14901" t="n">
        <v>3</v>
      </c>
      <c r="D14901" t="inlineStr">
        <is>
          <t>Dagoulinantes; Collier du Valet Veinard; Anneau Volkorne; Alliance Gloursonne; Bouclier d'Ilyzaelle; Poulpagne; Capuche de l'Œil Attentif; Cape de l'Œil Attentif; Bottes du Sinistrofu; Dofus Turquoise; Dofus Abyssal; Dofus Ocre; Dofus des Glaces; Chanceux majeur; Nomade; Kanigloups</t>
        </is>
      </c>
    </row>
    <row r="14902">
      <c r="A14902" t="inlineStr">
        <is>
          <t>eau ret pa</t>
        </is>
      </c>
      <c r="B14902">
        <f>HYPERLINK("https://www.dofusbook.net/fr/equipement/4988943-eau-ret-pa-/objets", "link")</f>
        <v/>
      </c>
      <c r="C14902" t="n">
        <v>0</v>
      </c>
      <c r="D14902" t="inlineStr">
        <is>
          <t>Dagoulinantes; Amulette de Shokkoth; Anneau Volkorne; Alliance Gloursonne; Sept ans de malheur; Culotte de Bethel; Masque de Funespadon; Cape Solution; Pataugastrique; Paralyseur majeur; Étourdisseur majeur</t>
        </is>
      </c>
    </row>
    <row r="14903">
      <c r="A14903" t="inlineStr">
        <is>
          <t>terre</t>
        </is>
      </c>
      <c r="B14903">
        <f>HYPERLINK("https://www.dofusbook.net/fr/equipement/1639227-terre-/objets", "link")</f>
        <v/>
      </c>
      <c r="C14903" t="n">
        <v>3</v>
      </c>
      <c r="D14903" t="inlineStr">
        <is>
          <t>Arc du Chalœil; Collier de Tourthon; Anneau Chevelu; Anneau Crustique; Bouclier du Stalak; Ceinture Volkorne; Masque de Koutoulou; Cape au Logis; Bottes de la Cour Sombre; Dofus Ébène; Dofus Ivoire; Dofus Pourpre; Dofus Abyssal; Dofus Ocre; Enragé majeur; Pioute vert</t>
        </is>
      </c>
    </row>
    <row r="14904">
      <c r="A14904" t="inlineStr">
        <is>
          <t>terre feu</t>
        </is>
      </c>
      <c r="B14904">
        <f>HYPERLINK("https://www.dofusbook.net/fr/equipement/4333785-terre-feu-/objets", "link")</f>
        <v/>
      </c>
      <c r="C14904" t="n">
        <v>12</v>
      </c>
      <c r="D14904" t="inlineStr">
        <is>
          <t>Epée Toche; Amulette de Gein; Anneau Chevelu; Chevalière du Roi Joueur; Droiture de Fallanster; Ceinture de Gein; Couronne du Roi Joueur; Cape au Logis; Bottes du Roi Joueur; Dofus Émeraude; Dofus Ivoire; Dofus Ocre; Dofus Abyssal; Dofus Turquoise; Dofus Ébène; Cromeugnon</t>
        </is>
      </c>
    </row>
    <row r="14905">
      <c r="A14905" t="inlineStr">
        <is>
          <t>terre</t>
        </is>
      </c>
      <c r="B14905">
        <f>HYPERLINK("https://www.dofusbook.net/fr/equipement/1393014-terre/objets", "link")</f>
        <v/>
      </c>
      <c r="C14905" t="n">
        <v>1</v>
      </c>
      <c r="D14905" t="inlineStr">
        <is>
          <t>Marteau R'ture; Amulette du Cœur Vaillant; Bague Gloursonne; Anneau Chevelu; Bouclier Taverne; Ceinture Gence; Coiffe de la Reine des Voleurs; Cape du Cœur Vaillant; Bottes du Cœur Vaillant; Dofus Turquoise; Dofus Abyssal; Dofus Pourpre; Bousculeur majeur; Black Tiwabbit</t>
        </is>
      </c>
    </row>
    <row r="14906">
      <c r="A14906" t="inlineStr">
        <is>
          <t>Eca do crit</t>
        </is>
      </c>
      <c r="B14906">
        <f>HYPERLINK("https://www.dofusbook.net/fr/equipement/4407154-eca-do-crit/objets", "link")</f>
        <v/>
      </c>
      <c r="C14906" t="n">
        <v>2</v>
      </c>
      <c r="D14906" t="inlineStr">
        <is>
          <t>Hache du Chalœil; Amulette Volkorne; Bague Trithon; Anneau Volkorne; Bouclier du Stalak; Ceinture Volkorne; Masque Trithon; Chevelure de Tal Kasha; Bottes Trithon; Dofus Ivoire; Dofus Ocre; Dofus Pourpre; Dofus Ébène; Dofus Turquoise; Dofus Abyssal; Sakochère</t>
        </is>
      </c>
    </row>
    <row r="14907">
      <c r="A14907" t="inlineStr">
        <is>
          <t>terreairres</t>
        </is>
      </c>
      <c r="B14907">
        <f>HYPERLINK("https://www.dofusbook.net/fr/equipement/1044036-terreairres/objets", "link")</f>
        <v/>
      </c>
      <c r="C14907" t="n">
        <v>1</v>
      </c>
      <c r="D14907" t="inlineStr">
        <is>
          <t>Dagues d'Ilyzaelle; Amulette du Cœur Saignant; Anneau Volkorne; Bague Gloursonne; Droiture de Fallanster; Ceinture Volkorne; Masque de Koutoulou; Cape au Logis; Bottes du Cœur Saignant; Dofus Ocre; Dofus Ébène; Dofus Turquoise; Dofus Abyssal; Dofus Ivoire; Dofus Émeraude; Pioute vert</t>
        </is>
      </c>
    </row>
    <row r="14908">
      <c r="A14908" t="inlineStr">
        <is>
          <t>fullterre</t>
        </is>
      </c>
      <c r="B14908">
        <f>HYPERLINK("https://www.dofusbook.net/fr/equipement/3089321-fullterre/objets", "link")</f>
        <v/>
      </c>
      <c r="C14908" t="n">
        <v>4</v>
      </c>
      <c r="D14908" t="inlineStr">
        <is>
          <t>Marteau R'ture; Collier de Tourthon; Anneau Volkorne; Anneau de Brouce; Droiture de Fallanster; Ceinture Volkorne; Casque Dragoeuf; Cape au Logis; Sabots Minables; Dofus Ivoire; Dofus Abyssal; Dofus Émeraude; Dofus Ébène; Dofus Ocre; Dofus des Glaces; Titard</t>
        </is>
      </c>
    </row>
    <row r="14909">
      <c r="A14909" t="inlineStr">
        <is>
          <t>feu/eau</t>
        </is>
      </c>
      <c r="B14909">
        <f>HYPERLINK("https://www.dofusbook.net/fr/equipement/2090496-feu-eau/objets", "link")</f>
        <v/>
      </c>
      <c r="C14909" t="n">
        <v>1</v>
      </c>
      <c r="D14909" t="inlineStr">
        <is>
          <t>Épée Brûlâme; Talisman Igans; Anneau Tique; Bracelet des Fonds marins; Bouclier d'Ilyzaelle; Ceintrigue; Casque Dragoeuf; Cape de la Dame du Hasard; Pataugastrique; Dofus Turquoise; Dolmanax; Dofus Pourpre; Dofus des Glaces; Remueur; Déserteur majeur; Muldo Prune et Orchidée</t>
        </is>
      </c>
    </row>
    <row r="14910">
      <c r="A14910" t="inlineStr">
        <is>
          <t>terretacle</t>
        </is>
      </c>
      <c r="B14910">
        <f>HYPERLINK("https://www.dofusbook.net/fr/equipement/3121540-terretacle/objets", "link")</f>
        <v/>
      </c>
      <c r="C14910" t="n">
        <v>2</v>
      </c>
      <c r="D14910" t="inlineStr">
        <is>
          <t>Epée Gloursonne; Amulette du Cœur Saignant; Bague Gloursonne; Alliance Gloursonne; Droiture de Fallanster; Ceintouse; Chapoulpe; Cape du Cœur Saignant; Bottes du Cœur Saignant; Dofus Pourpre; Dofus Émeraude; Dofus Turquoise; Dofus Abyssal; Dolmanax; Dofus Ocre; Muldo Pourpre</t>
        </is>
      </c>
    </row>
    <row r="14911">
      <c r="A14911" t="inlineStr">
        <is>
          <t>terre air ret pa</t>
        </is>
      </c>
      <c r="B14911">
        <f>HYPERLINK("https://www.dofusbook.net/fr/equipement/4889738-terre-air-ret-pa/objets", "link")</f>
        <v/>
      </c>
      <c r="C14911" t="n">
        <v>0</v>
      </c>
      <c r="D14911" t="inlineStr"/>
    </row>
    <row r="14912">
      <c r="A14912" t="inlineStr">
        <is>
          <t>feu/eau baguCM</t>
        </is>
      </c>
      <c r="B14912">
        <f>HYPERLINK("https://www.dofusbook.net/fr/equipement/3150920-feu-eau-bagucm/objets", "link")</f>
        <v/>
      </c>
      <c r="C14912" t="n">
        <v>3</v>
      </c>
      <c r="D14912" t="inlineStr">
        <is>
          <t>Baguette du Chêne Mou; Amulette Volkorne; Anneau Volkorne; Alliance Gloursonne; Quatre-feuilles; Ceinture Volkorne; Kidibonnet; Cape de la Dame du Hasard; Bottes de la Dame du Hasard; Dolmanax; Dofus Ocre; Dofus Pourpre; Dofus des Glaces; Dofus Turquoise; Dofus Abyssal; Kokulte</t>
        </is>
      </c>
    </row>
    <row r="14913">
      <c r="A14913" t="inlineStr">
        <is>
          <t>feu eau</t>
        </is>
      </c>
      <c r="B14913">
        <f>HYPERLINK("https://www.dofusbook.net/fr/equipement/1797293-feu-eau/objets", "link")</f>
        <v/>
      </c>
      <c r="C14913" t="n">
        <v>1</v>
      </c>
      <c r="D14913" t="inlineStr">
        <is>
          <t>Arc Nécrotique; Talisman Igans; Anneau Tique; Alliance Gloursonne; Quatre-feuilles; Ceinture de Kongoku; Kidibonnet; Voile d'encre; Bottes Owesli; Dofus Ocre; Dofus Abyssal; Dofus des Glaces; Dofus Turquoise; Dokoko; Nomade; Kramkram</t>
        </is>
      </c>
    </row>
    <row r="14914">
      <c r="A14914" t="inlineStr">
        <is>
          <t>AIr ret pm tank deux</t>
        </is>
      </c>
      <c r="B14914">
        <f>HYPERLINK("https://www.dofusbook.net/fr/equipement/4839623-air-ret-pm-tank-deux/objets", "link")</f>
        <v/>
      </c>
      <c r="C14914" t="n">
        <v>2</v>
      </c>
      <c r="D14914" t="inlineStr">
        <is>
          <t>Hachoirs de Viandargh; Amulette des Chocomanciens; Gant du Valet Veinard; Anneau Toriété; Bouclier des Chocomanciens; Ceinture Gence; Casque Dragoeuf; Cape Indescriptible; Palmes Trithons; Dokoko; Dofus Abyssal; Dofus Émeraude; Dofus Ébène; Dofus Ocre; Dofus Ivoire; Blokus</t>
        </is>
      </c>
    </row>
    <row r="14915">
      <c r="A14915" t="inlineStr">
        <is>
          <t>terre crocobur</t>
        </is>
      </c>
      <c r="B14915">
        <f>HYPERLINK("https://www.dofusbook.net/fr/equipement/4834678-terre-crocobur/objets", "link")</f>
        <v/>
      </c>
      <c r="C14915" t="n">
        <v>0</v>
      </c>
      <c r="D14915" t="inlineStr">
        <is>
          <t>Crocobur; Amulette du Cœur Saignant; Anneau Volkorne; Anneau Chevelu; Bouclier du Captain Amakna; Ceinture Volkorne; Masque de Koutoulou; Cape au Logis; Bottes de Brouce; Dofus Turquoise; Dofus Nébuleux; Dofus Ocre; Dofus Pourpre; Enragé majeur; Forcené majeur; Kompost</t>
        </is>
      </c>
    </row>
    <row r="14916">
      <c r="A14916" t="inlineStr">
        <is>
          <t>feu eau air</t>
        </is>
      </c>
      <c r="B14916">
        <f>HYPERLINK("https://www.dofusbook.net/fr/equipement/3137713-feu-eau-air/objets", "link")</f>
        <v/>
      </c>
      <c r="C14916" t="n">
        <v>1</v>
      </c>
      <c r="D14916" t="inlineStr">
        <is>
          <t>Pyraguette; Amulette Volkorne; Anneau Volkorne; Lavanneau; Bouclier du Stalak; Ceinture Volkorne; Heaume Oplate; Cape de la Dame du Hasard; Bottes de la Dame du Hasard; Walk</t>
        </is>
      </c>
    </row>
    <row r="14917">
      <c r="A14917" t="inlineStr">
        <is>
          <t>feu eau</t>
        </is>
      </c>
      <c r="B14917">
        <f>HYPERLINK("https://www.dofusbook.net/fr/equipement/4819426-feu-eau-/objets", "link")</f>
        <v/>
      </c>
      <c r="C14917" t="n">
        <v>2</v>
      </c>
      <c r="D14917" t="inlineStr">
        <is>
          <t>Baguette Hique; Amulette Volkorne; Lavanneau; Anneau Volkorne; Quatre-feuilles; Ceinture Volkorne; Le Dorado; Cape de la Dame du Hasard; Bottes de la Dame du Hasard; Dofus Pourpre; Dofus des Glaces; Dofus Turquoise; Dofus Abyssal; Dofus Ocre; Dofus Ivoire; Kokulte</t>
        </is>
      </c>
    </row>
    <row r="14918">
      <c r="A14918" t="inlineStr">
        <is>
          <t>feu do pou</t>
        </is>
      </c>
      <c r="B14918">
        <f>HYPERLINK("https://www.dofusbook.net/fr/equipement/4768515-feu-do-pou-/objets", "link")</f>
        <v/>
      </c>
      <c r="C14918" t="n">
        <v>1</v>
      </c>
      <c r="D14918" t="inlineStr">
        <is>
          <t>Masse Ossiale; Torquistik; Baguistik; Anneauræus; Bouclier précieux; Ceintacé; Masque Paztek; Cape Paztek; Sandales Paztek; Dofus Ivoire; Dofus Ocre; Dofus Abyssal; Bousculeur; Pousseur majeur; Bousculeur majeur; Tatouf</t>
        </is>
      </c>
    </row>
    <row r="14919">
      <c r="A14919" t="inlineStr">
        <is>
          <t>feu</t>
        </is>
      </c>
      <c r="B14919">
        <f>HYPERLINK("https://www.dofusbook.net/fr/equipement/1427269-feu/objets", "link")</f>
        <v/>
      </c>
      <c r="C14919" t="n">
        <v>0</v>
      </c>
      <c r="D14919" t="inlineStr">
        <is>
          <t>Arc corrompu; Amulette Volkorne; Anneauræus; Anneauræus; Bouclier du Stalak; Ceinture Séculaire; Coiffe Séculaire; Cape de Diondin; Bottes Innommables; Dofus Pourpre; Dofus Ocre; Nomade; Astucieux majeur; Érudit majeur; Vigoureux majeur; Brûlih</t>
        </is>
      </c>
    </row>
    <row r="14920">
      <c r="A14920" t="inlineStr">
        <is>
          <t>feu ganymede</t>
        </is>
      </c>
      <c r="B14920">
        <f>HYPERLINK("https://www.dofusbook.net/fr/equipement/1385461-feu-ganymede/objets", "link")</f>
        <v/>
      </c>
      <c r="C14920" t="n">
        <v>2</v>
      </c>
      <c r="D14920" t="inlineStr">
        <is>
          <t>Arc corrompu; Amulette de Nileza; Anneauræus; Anneauræus; Bouclier du Stalak; Ceinture de Vortex; Diadème de Ganymède; Cape de Nileza; Bottes Innommables; Dofus Abyssal; Dofus Ivoire; Dofus Ocre; Vigoureux majeur; Érudit majeur; Nomade; Tofu Givré</t>
        </is>
      </c>
    </row>
    <row r="14921">
      <c r="A14921" t="inlineStr">
        <is>
          <t>muklti</t>
        </is>
      </c>
      <c r="B14921">
        <f>HYPERLINK("https://www.dofusbook.net/fr/equipement/4667482-muklti/objets", "link")</f>
        <v/>
      </c>
      <c r="C14921" t="n">
        <v>1</v>
      </c>
      <c r="D14921" t="inlineStr">
        <is>
          <t>Hache du Chalœil; Amulette Volkorne; Goulano; Anneau Volkorne; Goulclier; Ceinture Volkorne; Capuche de l'Œil Putride; Cape de l'Œil Putride; Goulbottes; Fëanor</t>
        </is>
      </c>
    </row>
    <row r="14922">
      <c r="A14922" t="inlineStr">
        <is>
          <t>sram 188</t>
        </is>
      </c>
      <c r="B14922">
        <f>HYPERLINK("https://www.dofusbook.net/fr/equipement/1629075-sram-188/objets", "link")</f>
        <v/>
      </c>
      <c r="C14922" t="n">
        <v>0</v>
      </c>
      <c r="D14922" t="inlineStr">
        <is>
          <t>Couteaux à Champignons; Amulette du K.O.; Anneau Tabéné; Anneau Colerette; Bouclier Taverne; Ceinture du K.O.; Chapignon; Caprin; Bottes du K.O.; Dolmanax; Dofus Ocre; Dofus Pourpre; Dofus Abyssal; Dofus Turquoise; Voyageur; Kramkram</t>
        </is>
      </c>
    </row>
    <row r="14923">
      <c r="A14923" t="inlineStr">
        <is>
          <t>full eau</t>
        </is>
      </c>
      <c r="B14923">
        <f>HYPERLINK("https://www.dofusbook.net/fr/equipement/4453366-full-eau/objets", "link")</f>
        <v/>
      </c>
      <c r="C14923" t="n">
        <v>2</v>
      </c>
      <c r="D14923" t="inlineStr">
        <is>
          <t>Sceptre du Roi Joueur; Amulette de Shokkoth; Alliance Gloursonne; Anneau Volkorne; Bouclier d'Ilyzaelle; Ceinture du Barbétoal; Capuche de l'Œil Attentif; Cape de l'Œil Attentif; Bottes de la Reine des Voleurs; Dofus Turquoise; Dofus Abyssal; Dofus Pourpre; Dofus Ivoire; Dofus Ocre; Nomade; Fëanor</t>
        </is>
      </c>
    </row>
    <row r="14924">
      <c r="A14924" t="inlineStr">
        <is>
          <t>feu eau cac</t>
        </is>
      </c>
      <c r="B14924">
        <f>HYPERLINK("https://www.dofusbook.net/fr/equipement/3011377-feu-eau-cac-/objets", "link")</f>
        <v/>
      </c>
      <c r="C14924" t="n">
        <v>1</v>
      </c>
      <c r="D14924" t="inlineStr">
        <is>
          <t>Couteaux Sacrificiels; Amulette de Shokkoth; Lavanneau; Anneau Volkorne; Bouclier d'Ilyzaelle; Ceinture de l'Esprit Malsain; Masque Paztek; Cape Solution; Bottes de l'Esprit Malsain; Dofus des Glaces; Dofus Abyssal; Dofus Pourpre; Dofus Ivoire; Dofus Ocre; Nomade; Wabbit</t>
        </is>
      </c>
    </row>
    <row r="14925">
      <c r="A14925" t="inlineStr">
        <is>
          <t>multi et eau</t>
        </is>
      </c>
      <c r="B14925">
        <f>HYPERLINK("https://www.dofusbook.net/fr/equipement/2832811-multi-et-eau/objets", "link")</f>
        <v/>
      </c>
      <c r="C14925" t="n">
        <v>0</v>
      </c>
      <c r="D14925" t="inlineStr">
        <is>
          <t>Arc de Koutoulou; Amulette d'Ilyzaelle; Alliance Gloursonne; Anneau Volkorne; Bouclier du Stalak; Sangle Oriole; Casque d'Ilyzaelle; Cape des Malveilleurs; Bottes de la Reine des Voleurs; Dofus Abyssal; Dofus Pourpre; Dofus Ivoire; Dofus Ocre; Remueur; Nomade; Fëanor</t>
        </is>
      </c>
    </row>
    <row r="14926">
      <c r="A14926" t="inlineStr">
        <is>
          <t>do pièges</t>
        </is>
      </c>
      <c r="B14926">
        <f>HYPERLINK("https://www.dofusbook.net/fr/equipement/2937727-do-pieges-/objets", "link")</f>
        <v/>
      </c>
      <c r="C14926" t="n">
        <v>1</v>
      </c>
      <c r="D14926" t="inlineStr">
        <is>
          <t>Dagues Eudin; Amulette Volkorne; Anneau Volkorne; Chevalière du Roi Joueur; Bouclier du Stalak; Ceinture Volkorne; Couronne du Roi Joueur; Voile d'encre; Bottes du Roi Joueur; Dofus Ocre; Dofus Abyssal; Dolmanax; Dofus Pourpre; Dofus Turquoise; Dofus Ivoire; Fëanor</t>
        </is>
      </c>
    </row>
    <row r="14927">
      <c r="A14927" t="inlineStr">
        <is>
          <t>Terre huz</t>
        </is>
      </c>
      <c r="B14927">
        <f>HYPERLINK("https://www.dofusbook.net/fr/equipement/4578308-terre-huz-/objets", "link")</f>
        <v/>
      </c>
      <c r="C14927" t="n">
        <v>1</v>
      </c>
      <c r="D14927" t="inlineStr">
        <is>
          <t>Dagues d'Ilyzaelle; Amulette du Cœur Saignant; Anneau Volkorne; Alliance de Missiz Frizz; Droiture de Fallanster; Ceinture Volkorne; Casque de Missiz Frizz; Cape du Cœur Saignant; Bottes du Cœur Saignant; Dofus Vulbis; Dofus Ocre; Dofus Pourpre; Dofus Abyssal; Dofus Turquoise; Dofus Ivoire; Pioute vert</t>
        </is>
      </c>
    </row>
    <row r="14928">
      <c r="A14928" t="inlineStr">
        <is>
          <t>feu</t>
        </is>
      </c>
      <c r="B14928">
        <f>HYPERLINK("https://www.dofusbook.net/fr/equipement/2994101-feu/objets", "link")</f>
        <v/>
      </c>
      <c r="C14928" t="n">
        <v>1</v>
      </c>
      <c r="D14928" t="inlineStr">
        <is>
          <t>Arc corrompu; Amulette Volkorne; Anneauræus; Anneauræus; Bouclier du Stalak; Ceinture Volkorne; Masquegel; Cape Martegel; Bottes Innommables; Dofus Abyssal; Dofus Pourpre; Dofus Ivoire; Dofus Ocre; Voyageur; Volkorne Orchidée</t>
        </is>
      </c>
    </row>
    <row r="14929">
      <c r="A14929" t="inlineStr">
        <is>
          <t>eau</t>
        </is>
      </c>
      <c r="B14929">
        <f>HYPERLINK("https://www.dofusbook.net/fr/equipement/4522906-eau/objets", "link")</f>
        <v/>
      </c>
      <c r="C14929" t="n">
        <v>0</v>
      </c>
      <c r="D14929" t="inlineStr">
        <is>
          <t>Baguette Hique; Amulette de Shokkoth; Anneau Glacial; Anneau Volkorne; Quatre-feuilles; Pagne du Rykaon; Kidibonnet; Cape de la Dame du Hasard; Bottes de la Dame du Hasard; Dofus Turquoise; Dofus des Glaces; Dofus Abyssal; Dofus Ocre; Nomade; Chanceux majeur; Pioute bleu</t>
        </is>
      </c>
    </row>
    <row r="14930">
      <c r="A14930" t="inlineStr">
        <is>
          <t>test terre</t>
        </is>
      </c>
      <c r="B14930">
        <f>HYPERLINK("https://www.dofusbook.net/fr/equipement/4457359-test-terre-/objets", "link")</f>
        <v/>
      </c>
      <c r="C14930" t="n">
        <v>1</v>
      </c>
      <c r="D14930" t="inlineStr">
        <is>
          <t>Arc du Chalœil; Amulette du Cœur Saignant; Anneau du Comte Harebourg; Anneau de Brouce; Quatre-feuilles; Ceinture de Brouce; Coiffe du Comte Harebourg; Cape du Cœur Saignant; Bottes du Comte Harebourg; Dofus Ocre; Dofus Pourpre; Dofus Abyssal; Dofus Turquoise; Dofus Ivoire; Forcené majeur; Chachyène</t>
        </is>
      </c>
    </row>
    <row r="14931">
      <c r="A14931" t="inlineStr">
        <is>
          <t>Full air</t>
        </is>
      </c>
      <c r="B14931">
        <f>HYPERLINK("https://www.dofusbook.net/fr/equipement/1716056-full-air-/objets", "link")</f>
        <v/>
      </c>
      <c r="C14931" t="n">
        <v>0</v>
      </c>
      <c r="D14931" t="inlineStr">
        <is>
          <t>Manthache; Collier du Valet Veinard; Gant du Valet Veinard; Anneau d'Allister; Bouclier du Stalak; Sangle Oriole; Couronne d'Allister; Cape du Valet Veinard; Bottes d'Allister; Dofus Ocre; Dofus Ivoire; Dofus des Glaces; Dofus Pourpre; Dofus Abyssal; Voyageur; Blérodoudou</t>
        </is>
      </c>
    </row>
    <row r="14932">
      <c r="A14932" t="inlineStr">
        <is>
          <t>test</t>
        </is>
      </c>
      <c r="B14932">
        <f>HYPERLINK("https://www.dofusbook.net/fr/equipement/1509560-test/objets", "link")</f>
        <v/>
      </c>
      <c r="C14932" t="n">
        <v>0</v>
      </c>
      <c r="D14932" t="inlineStr">
        <is>
          <t>Epée Toche; Amulette Volkorne; Chevalière du Roi Joueur; Anneau Volkorne; Bouclier Taverne; Ceinture Volkorne; Couronne du Roi Joueur; Voile d'encre; Bottes du Roi Joueur; Dofus Ocre; Dofus Abyssal; Dofus Pourpre; Dofus Ivoire; Dofus Turquoise; Dolmanax; Volkorne Emeraude</t>
        </is>
      </c>
    </row>
    <row r="14933">
      <c r="A14933" t="inlineStr">
        <is>
          <t>terre eau</t>
        </is>
      </c>
      <c r="B14933">
        <f>HYPERLINK("https://www.dofusbook.net/fr/equipement/4458427-terre-eau/objets", "link")</f>
        <v/>
      </c>
      <c r="C14933" t="n">
        <v>0</v>
      </c>
      <c r="D14933" t="inlineStr">
        <is>
          <t>Épouvante; Amulette Volkorne; Bracelet du Piloztère; Anneau Volkorne; Ceinture Volkorne; Masque de Koutoulou; Cape Luminescente; Chaussons de Macrab; Bébé Pandawa</t>
        </is>
      </c>
    </row>
    <row r="14934">
      <c r="A14934" t="inlineStr">
        <is>
          <t>test sadi deux</t>
        </is>
      </c>
      <c r="B14934">
        <f>HYPERLINK("https://www.dofusbook.net/fr/equipement/4455199-test-sadi-deux/objets", "link")</f>
        <v/>
      </c>
      <c r="C14934" t="n">
        <v>0</v>
      </c>
      <c r="D14934" t="inlineStr">
        <is>
          <t>Arc Honte; Amulette de l'Indicible; Bague Gloursonne; Alliance Gloursonne; Bouclier du Stalak; Ceinture de l'Indicible; Capuche de l'Œil Putride; Cape de l'Œil Putride; Bottes de l'Indicible; Dofus des Glaces; Dofus Abyssal; Dofus Pourpre; Dofus Ivoire; Dolmanax; Dofus Ocre; Chachyène</t>
        </is>
      </c>
    </row>
    <row r="14935">
      <c r="A14935" t="inlineStr">
        <is>
          <t>test sadi crit</t>
        </is>
      </c>
      <c r="B14935">
        <f>HYPERLINK("https://www.dofusbook.net/fr/equipement/4453367-test-sadi-crit/objets", "link")</f>
        <v/>
      </c>
      <c r="C14935" t="n">
        <v>2</v>
      </c>
      <c r="D14935" t="inlineStr">
        <is>
          <t>Baguette Hique; Amulette Volkorne; Anneau de Padgref; Anneau Volkorne; Quatre-feuilles; Ceinture Volkorne; Coiffe de Padgref; Cape de Meno; Getas de Padgref; Dofus des Glaces; Dofus Ocre; Dofus Pourpre; Dofus Abyssal; Dofus Turquoise; Dofus Ivoire; Kokulte</t>
        </is>
      </c>
    </row>
    <row r="14936">
      <c r="A14936" t="inlineStr">
        <is>
          <t>TERRE</t>
        </is>
      </c>
      <c r="B14936">
        <f>HYPERLINK("https://www.dofusbook.net/fr/equipement/3493365-terre/objets", "link")</f>
        <v/>
      </c>
      <c r="C14936" t="n">
        <v>0</v>
      </c>
      <c r="D14936" t="inlineStr">
        <is>
          <t>Amulette du Cœur Saignant; Anneau de Brouce; Alliance de Missiz Frizz; Ceinture de Brouce; Casque de Missiz Frizz; Cape du Cœur Saignant; Bottes du Cœur Saignant</t>
        </is>
      </c>
    </row>
    <row r="14937">
      <c r="A14937" t="inlineStr">
        <is>
          <t>feu eau air</t>
        </is>
      </c>
      <c r="B14937">
        <f>HYPERLINK("https://www.dofusbook.net/fr/equipement/1394481-feu-eau-air/objets", "link")</f>
        <v/>
      </c>
      <c r="C14937" t="n">
        <v>0</v>
      </c>
      <c r="D14937" t="inlineStr">
        <is>
          <t>Baguette Range; Amulette du Strigide; Anneau de Padgref; Bracelet des Fonds marins; Quatre-feuilles; Ceinture du Strigide; Coiffe de Padgref; Chevelure de Tal Kasha; Getas de Padgref; Dofus Turquoise; Dofus Nébuleux; Dofus Ocre; Dofus Pourpre; Dofus des Glaces; Puissant majeur; Muldo Prune et Emeraude</t>
        </is>
      </c>
    </row>
    <row r="14938">
      <c r="A14938" t="inlineStr">
        <is>
          <t>skinny</t>
        </is>
      </c>
      <c r="B14938">
        <f>HYPERLINK("https://www.dofusbook.net/fr/equipement/4445527-skinny/objets", "link")</f>
        <v/>
      </c>
      <c r="C14938" t="n">
        <v>0</v>
      </c>
      <c r="D14938" t="inlineStr">
        <is>
          <t>Chapilozité; Capilozité; Cromeugnon</t>
        </is>
      </c>
    </row>
    <row r="14939">
      <c r="A14939" t="inlineStr">
        <is>
          <t>skin</t>
        </is>
      </c>
      <c r="B14939">
        <f>HYPERLINK("https://www.dofusbook.net/fr/equipement/2915671-skin/objets", "link")</f>
        <v/>
      </c>
      <c r="C14939" t="n">
        <v>3</v>
      </c>
      <c r="D14939" t="inlineStr">
        <is>
          <t>Hache du Chalœil; Amulette Volkorne; Bague Trithon; Anneau Volkorne; Quatre-feuilles; Ceinture Volkorne; Masque Trithon; Cape Reski; Bottes Trithon; Dofus Pourpre; Dofus Abyssal; Dofus Turquoise; Dofus Ivoire; Dofus Ocre; Dofus Ébène; Pioute violet</t>
        </is>
      </c>
    </row>
    <row r="14940">
      <c r="A14940" t="inlineStr">
        <is>
          <t>EAU 200</t>
        </is>
      </c>
      <c r="B14940">
        <f>HYPERLINK("https://www.dofusbook.net/fr/equipement/4400001-eau-200/objets", "link")</f>
        <v/>
      </c>
      <c r="C14940" t="n">
        <v>1</v>
      </c>
      <c r="D14940" t="inlineStr">
        <is>
          <t>Dagoulinantes; Amulette de Shokkoth; Anneau Glacial; Anneau Volkorne; Quatre-feuilles; Poulpagne; Kidibonnet; Cape du Sinistrofu; Bottes du Sinistrofu; Dofus des Glaces; Dofus Turquoise; Taquin majeur; Dévastateur Eau majeur; Chanceux majeur; Nomade; Kanigloups</t>
        </is>
      </c>
    </row>
    <row r="14941">
      <c r="A14941" t="inlineStr">
        <is>
          <t>crocobur</t>
        </is>
      </c>
      <c r="B14941">
        <f>HYPERLINK("https://www.dofusbook.net/fr/equipement/4407124-crocobur/objets", "link")</f>
        <v/>
      </c>
      <c r="C14941" t="n">
        <v>2</v>
      </c>
      <c r="D14941" t="inlineStr">
        <is>
          <t>Crocobur; Collier de Tourthon; Anneau du Comte Harebourg; Anneau de Brouce; Bouclier du Captain Amakna; Ceinture de Brouce; Coiffe du Comte Harebourg; Cape du Cœur Saignant; Bottes de Brouce; Dofus Turquoise; Dofus Ocre; Dofus Pourpre; Voyageur; Forcené majeur; Furibond majeur; Volkorne Pourpre</t>
        </is>
      </c>
    </row>
    <row r="14942">
      <c r="A14942" t="inlineStr">
        <is>
          <t>feu 12 pa</t>
        </is>
      </c>
      <c r="B14942">
        <f>HYPERLINK("https://www.dofusbook.net/fr/equipement/4407064-feu-12-pa/objets", "link")</f>
        <v/>
      </c>
      <c r="C14942" t="n">
        <v>0</v>
      </c>
      <c r="D14942" t="inlineStr">
        <is>
          <t>Arc corrompu; Amulette Séculaire; Anneauræus; Anneauræus; Bouclier du Stalak; Ceinture Séculaire; Coiffe Séculaire; Cape Martegel; Bottes Innommables; Dofus Ocre; Dofus Pourpre; Savant majeur; Robuste majeur; Astucieux majeur; Voyageur; Volkorne Orchidée</t>
        </is>
      </c>
    </row>
    <row r="14943">
      <c r="A14943" t="inlineStr">
        <is>
          <t>FULL FEU</t>
        </is>
      </c>
      <c r="B14943">
        <f>HYPERLINK("https://www.dofusbook.net/fr/equipement/4405542-full-feu-/objets", "link")</f>
        <v/>
      </c>
      <c r="C14943" t="n">
        <v>1</v>
      </c>
      <c r="D14943" t="inlineStr">
        <is>
          <t>Arc corrompu; Amulette Volkorne; Anneauræus; Anneauræus; Bouclier du Stalak; Ceinture Séculaire; Coiffe Séculaire; Cape de Diondin; Bottes Innommables; Dofus Pourpre; Dofus Ocre; Nomade; Astucieux majeur; Érudit majeur; Vigoureux majeur; Brûlih</t>
        </is>
      </c>
    </row>
    <row r="14944">
      <c r="A14944" t="inlineStr">
        <is>
          <t>full air 200</t>
        </is>
      </c>
      <c r="B14944">
        <f>HYPERLINK("https://www.dofusbook.net/fr/equipement/4376530-full-air-200/objets", "link")</f>
        <v/>
      </c>
      <c r="C14944" t="n">
        <v>4</v>
      </c>
      <c r="D14944" t="inlineStr">
        <is>
          <t>Manthache; Collier du Valet Veinard; Gant du Valet Veinard; Anneau d'Allister; Bouclier du Stalak; Sangle Oriole; Couronne d'Allister; Cape du Valet Veinard; Bottes d'Allister; Dofus Abyssal; Dofus des Glaces; Dofus Pourpre; Dofus Ocre; Voyageur; Equilibriste majeur; Blérodoudou</t>
        </is>
      </c>
    </row>
    <row r="14945">
      <c r="A14945" t="inlineStr">
        <is>
          <t>puissance</t>
        </is>
      </c>
      <c r="B14945">
        <f>HYPERLINK("https://www.dofusbook.net/fr/equipement/4358830-puissance/objets", "link")</f>
        <v/>
      </c>
      <c r="C14945" t="n">
        <v>0</v>
      </c>
      <c r="D14945" t="inlineStr">
        <is>
          <t>Bâton Beau; Amulette Volkorne; Anneau Volkorne; Bague Trithon; Quatre-feuilles; Ceinture Volkorne; Masque Trithon; Chevelure de Tal Kasha; Bottes Trithon; Dofus Abyssal; Dofus Turquoise; Dolmanax; Dofus Ocre; Dofus Pourpre; Dofus des Glaces; Kokulte</t>
        </is>
      </c>
    </row>
    <row r="14946">
      <c r="A14946" t="inlineStr">
        <is>
          <t>multi do puiss</t>
        </is>
      </c>
      <c r="B14946">
        <f>HYPERLINK("https://www.dofusbook.net/fr/equipement/4399057-multi-do-puiss/objets", "link")</f>
        <v/>
      </c>
      <c r="C14946" t="n">
        <v>0</v>
      </c>
      <c r="D14946" t="inlineStr">
        <is>
          <t>Epée Gloursonne; Amulette du Strigide; Bague Gloursonne; Alliance Gloursonne; Quatre-feuilles; Ceinture du Strigide; Masque Trithon; Cape Reski; Bottes du Strigide; Dolmanax; Dofus Ocre; Dofus Pourpre; Dofus des Glaces; Dofus Abyssal; Dofus Turquoise; Kokulte</t>
        </is>
      </c>
    </row>
    <row r="14947">
      <c r="A14947" t="inlineStr">
        <is>
          <t>feu eau dom</t>
        </is>
      </c>
      <c r="B14947">
        <f>HYPERLINK("https://www.dofusbook.net/fr/equipement/4213262-feu-eau-dom/objets", "link")</f>
        <v/>
      </c>
      <c r="C14947" t="n">
        <v>1</v>
      </c>
      <c r="D14947" t="inlineStr">
        <is>
          <t>Hache du Chalœil; Amulette Volkorne; Anneau Volkorne; Anneau Chevelu; Bouclier du Stalak; Ceinture Volkorne; Le Dorado; Cape de l'Œil Putride; Bottes Honyme; Dolmanax; Dofus Abyssal; Dofus Pourpre; Dofus des Glaces; Dofus Ébène; Dofus Ivoire; Gwo Tofu Ventripotent</t>
        </is>
      </c>
    </row>
    <row r="14948">
      <c r="A14948" t="inlineStr">
        <is>
          <t>zobal air ret pm</t>
        </is>
      </c>
      <c r="B14948">
        <f>HYPERLINK("https://www.dofusbook.net/fr/equipement/4398134-zobal-air-ret-pm/objets", "link")</f>
        <v/>
      </c>
      <c r="C14948" t="n">
        <v>1</v>
      </c>
      <c r="D14948" t="inlineStr">
        <is>
          <t>Plume de Buhorado; Collier du Valet Veinard; Gant du Valet Veinard; Alliance Gloursonne; Cadran d'Air; Menoture; Chapibou; Cape de Crânonier; Palmes Trithons; Dofus Émeraude; Dofus Abyssal; Dofus Ivoire; Dofus Ocre; Dofus Ébène; Carapace Air majeur; Blokus</t>
        </is>
      </c>
    </row>
    <row r="14949">
      <c r="A14949" t="inlineStr">
        <is>
          <t>pif</t>
        </is>
      </c>
      <c r="B14949">
        <f>HYPERLINK("https://www.dofusbook.net/fr/equipement/3106467-pif/objets", "link")</f>
        <v/>
      </c>
      <c r="C14949" t="n">
        <v>0</v>
      </c>
      <c r="D14949" t="inlineStr">
        <is>
          <t>Manthache; Collier du Valet Veinard; Gant du Valet Veinard; Anneau d'Allister; Bouclier du Stalak; Sangle Oriole; Couronne d'Allister; Cape du Valet Veinard; Bottes d'Allister; Dofus Pourpre; Dofus Ocre; Dofus Abyssal; Dofus des Glaces; Saccageur Air majeur; Equilibriste majeur; Blérodoudou</t>
        </is>
      </c>
    </row>
    <row r="14950">
      <c r="A14950" t="inlineStr">
        <is>
          <t>terre do pou brakbou</t>
        </is>
      </c>
      <c r="B14950">
        <f>HYPERLINK("https://www.dofusbook.net/fr/equipement/4310616-terre-do-pou-brakbou/objets", "link")</f>
        <v/>
      </c>
      <c r="C14950" t="n">
        <v>1</v>
      </c>
      <c r="D14950" t="inlineStr">
        <is>
          <t>Bêche Asse; Torquistik; Anneau Crustique; Anneau Chevelu; Bouclier précieux; Ceinture Gence; Casque Dragoeuf; Cape au Logis; Bottistik; Dofus Abyssal; Dofus Pourpre; Dofus Ivoire; Dofus Ocre; Culbuteur majeur; Bousculeur majeur; Bouflux</t>
        </is>
      </c>
    </row>
    <row r="14951">
      <c r="A14951" t="inlineStr">
        <is>
          <t>multi</t>
        </is>
      </c>
      <c r="B14951">
        <f>HYPERLINK("https://www.dofusbook.net/fr/equipement/3082580-multi/objets", "link")</f>
        <v/>
      </c>
      <c r="C14951" t="n">
        <v>3</v>
      </c>
      <c r="D14951" t="inlineStr">
        <is>
          <t>Hache du Chalœil; Amulette Volkorne; Bague Trithon; Anneau Volkorne; Bouclier du Stalak; Ceinture Volkorne; Masque Trithon; Chevelure de Tal Kasha; Bottes Trithon; Dofus Pourpre; Dofus Abyssal; Dofus Ivoire; Dolmanax; Dofus des Glaces; Robuste majeur; Sakochère</t>
        </is>
      </c>
    </row>
    <row r="14952">
      <c r="A14952" t="inlineStr">
        <is>
          <t>feu eau vdv</t>
        </is>
      </c>
      <c r="B14952">
        <f>HYPERLINK("https://www.dofusbook.net/fr/equipement/4242877-feu-eau-vdv/objets", "link")</f>
        <v/>
      </c>
      <c r="C14952" t="n">
        <v>6</v>
      </c>
      <c r="D14952" t="inlineStr">
        <is>
          <t>Couteaux Sacrificiels; Amulette Volkorne; Anneau Volkorne; Lavanneau; Bouclier d'Ilyzaelle; Ceinture de l'Esprit Malsain; Masque Paztek; Cape Paztek; Sandales Paztek; Dofus Émeraude; Dofus Ocre; Dofus Abyssal; Dofus Ivoire; Dofus Pourpre; Bastion majeur; Fëanor</t>
        </is>
      </c>
    </row>
    <row r="14953">
      <c r="A14953" t="inlineStr">
        <is>
          <t>multi</t>
        </is>
      </c>
      <c r="B14953">
        <f>HYPERLINK("https://www.dofusbook.net/fr/equipement/4013867-multi/objets", "link")</f>
        <v/>
      </c>
      <c r="C14953" t="n">
        <v>2</v>
      </c>
      <c r="D14953" t="inlineStr">
        <is>
          <t>Hache du Chalœil; Amulette Volkorne; Anneau Volkorne; Bague Trithon; Bouclier du Stalak; Ceinture Volkorne; Masque Trithon; Voile d'encre; Bottes Trithon; Dofus Pourpre; Dofus Abyssal; Dofus Ocre; Dofus Ivoire; Dofus Turquoise; Dolmanax; Sakochère</t>
        </is>
      </c>
    </row>
    <row r="14954">
      <c r="A14954" t="inlineStr">
        <is>
          <t>do pou</t>
        </is>
      </c>
      <c r="B14954">
        <f>HYPERLINK("https://www.dofusbook.net/fr/equipement/3248406-do-pou/objets", "link")</f>
        <v/>
      </c>
      <c r="C14954" t="n">
        <v>3</v>
      </c>
      <c r="D14954" t="inlineStr">
        <is>
          <t>Couteaux Sacrificiels; Amulette Volkorne; Lavanneau; Anneau Volkorne; Bouclier d'Ilyzaelle; Ceinture Volkorne; Masque Paztek; Cape Paztek; Sandales Paztek; Dofus Pourpre; Dofus des Glaces; Dofus Ocre; Dofus Ivoire; Dofus Émeraude; Dofus Abyssal; Fëanor</t>
        </is>
      </c>
    </row>
    <row r="14955">
      <c r="A14955" t="inlineStr">
        <is>
          <t>multi soin</t>
        </is>
      </c>
      <c r="B14955">
        <f>HYPERLINK("https://www.dofusbook.net/fr/equipement/1995644-multi-soin-/objets", "link")</f>
        <v/>
      </c>
      <c r="C14955" t="n">
        <v>0</v>
      </c>
      <c r="D14955" t="inlineStr">
        <is>
          <t>Arc Hétype; Amulette Volkorne; Alliance Gloursonne; Anneau Rifique; Bouclier du Stalak; Ceinture de Vortex; Masquegel; Cape Martegel; Pantoufles Émar; Dolmanax; Dofus Abyssal; Dofus Ocre; Dofus Ivoire; Dofus des Glaces; Cascadeur majeur; Chachyène</t>
        </is>
      </c>
    </row>
    <row r="14956">
      <c r="A14956" t="inlineStr">
        <is>
          <t>feu eau dom</t>
        </is>
      </c>
      <c r="B14956">
        <f>HYPERLINK("https://www.dofusbook.net/fr/equipement/4213263-feu-eau-dom/objets", "link")</f>
        <v/>
      </c>
      <c r="C14956" t="n">
        <v>2</v>
      </c>
      <c r="D14956" t="inlineStr">
        <is>
          <t>Couteaux Sacrificiels; Amulette Volkorne; Lavanneau; Anneau Volkorne; Bouclier du Stalak; Ceinture Volkorne; Masque Paztek; Cape de Diondin; Sandales Paztek; Dofus Ocre; Dofus Ivoire; Dofus Abyssal; Dofus Ébène; Dofus Pourpre; Dofus des Glaces; Pioute violet</t>
        </is>
      </c>
    </row>
    <row r="14957">
      <c r="A14957" t="inlineStr">
        <is>
          <t>eau débile</t>
        </is>
      </c>
      <c r="B14957">
        <f>HYPERLINK("https://www.dofusbook.net/fr/equipement/3523748-eau-debile/objets", "link")</f>
        <v/>
      </c>
      <c r="C14957" t="n">
        <v>2</v>
      </c>
      <c r="D14957" t="inlineStr">
        <is>
          <t>Pelle Emélaka; Amulette de Shokkoth; Alliance Gloursonne; Anneau Volkorne; Bouclier d'Ilyzaelle; Ceinture Glaciale; Masque des Fonds marins; Cape Solution; Sandales des Fonds marins; Dofus Émeraude; Dofus Ocre; Dofus Pourpre; Dofus des Glaces; Dofus Turquoise; Dofus Abyssal; Dehluge</t>
        </is>
      </c>
    </row>
    <row r="14958">
      <c r="A14958" t="inlineStr">
        <is>
          <t>feu eau</t>
        </is>
      </c>
      <c r="B14958">
        <f>HYPERLINK("https://www.dofusbook.net/fr/equipement/2256227-feu-eau-/objets", "link")</f>
        <v/>
      </c>
      <c r="C14958" t="n">
        <v>0</v>
      </c>
      <c r="D14958" t="inlineStr">
        <is>
          <t>Épée Brûlâme; Collier de la Dame du Hasard; Alliance Gloursonne; Bracelet des Fonds marins; Bouclier d'Ilyzaelle; Ceintacé; Chapeau des Malveilleurs; Voile d'encre; Bottes de la Dame du Hasard; Dofus Pourpre; Dofus Abyssal; Dofus Turquoise; Dolmanax; Remueur; Nomade; Kramkram</t>
        </is>
      </c>
    </row>
    <row r="14959">
      <c r="A14959" t="inlineStr">
        <is>
          <t>full eau</t>
        </is>
      </c>
      <c r="B14959">
        <f>HYPERLINK("https://www.dofusbook.net/fr/equipement/3109101-full-eau/objets", "link")</f>
        <v/>
      </c>
      <c r="C14959" t="n">
        <v>0</v>
      </c>
      <c r="D14959" t="inlineStr">
        <is>
          <t>Rapière aux Glyphes; Amulette de l'Œil Attentif; Alliance Gloursonne; Bracelet des Fonds marins; Sept ans de malheur; Culotte de Bethel; Capuche de l'Œil Attentif; Cape de l'Œil Attentif; Chaussons de Macrab; Dofus Turquoise; Dofus Abyssal; Dofus Ocre; Dofus Pourpre; Dofus des Glaces; Paralyseur majeur; Muldo Ebène et Pourpre</t>
        </is>
      </c>
    </row>
    <row r="14960">
      <c r="A14960" t="inlineStr">
        <is>
          <t>feu soin deux</t>
        </is>
      </c>
      <c r="B14960">
        <f>HYPERLINK("https://www.dofusbook.net/fr/equipement/4080071-feu-soin-deux-/objets", "link")</f>
        <v/>
      </c>
      <c r="C14960" t="n">
        <v>0</v>
      </c>
      <c r="D14960" t="inlineStr">
        <is>
          <t>Baguette de Malléfisk; Amulette Volkorne; Anneauræus; Anneauræus; Bouclier du Stalak; Ceinture Volkorne; Casque Dragoeuf; Cape de Diondin; Chaussures Ardentes; Dofus Ocre; Dofus Ivoire; Dofus Abyssal; Guérisseur majeur; Carapace Feu majeur; Érudit majeur; Phortiche</t>
        </is>
      </c>
    </row>
    <row r="14961">
      <c r="A14961" t="inlineStr">
        <is>
          <t>feu air 2</t>
        </is>
      </c>
      <c r="B14961">
        <f>HYPERLINK("https://www.dofusbook.net/fr/equipement/3617913-feu-air-2/objets", "link")</f>
        <v/>
      </c>
      <c r="C14961" t="n">
        <v>2</v>
      </c>
      <c r="D14961" t="inlineStr">
        <is>
          <t>Arc corrompu; Amulette Martegel; Alliance Gloursonne; Anneauræus; Cadran de Terre; Ceinture de Vortex; Capuche de Moum-Ra; Cape Martegel; Pantoufles Émar; Dofus Pourpre; Dofus Ocre; Dolmanax; Dofus Abyssal; Engourdisseur majeur; Paralyseur majeur; Muldo Ebène et Orchidée</t>
        </is>
      </c>
    </row>
    <row r="14962">
      <c r="A14962" t="inlineStr">
        <is>
          <t>Inspiration ou est tu</t>
        </is>
      </c>
      <c r="B14962">
        <f>HYPERLINK("https://www.dofusbook.net/fr/equipement/1694911-inspiration-ou-est-tu/objets", "link")</f>
        <v/>
      </c>
      <c r="C14962" t="n">
        <v>1</v>
      </c>
      <c r="D14962" t="inlineStr">
        <is>
          <t>Hache du Chalœil; Amulette Volkorne; Anneau Volkorne; Anneau Chevelu; Bouclier du Stalak; Ceinture Volkorne; Le Dorado; Voile d'encre; Bottes du Strigide; Dofus Ocre; Dofus Ivoire; Dofus Turquoise; Dofus des Glaces; Dofus Pourpre; Dofus Abyssal; Pioute violet</t>
        </is>
      </c>
    </row>
    <row r="14963">
      <c r="A14963" t="inlineStr">
        <is>
          <t>multi</t>
        </is>
      </c>
      <c r="B14963">
        <f>HYPERLINK("https://www.dofusbook.net/fr/equipement/2149852-multi/objets", "link")</f>
        <v/>
      </c>
      <c r="C14963" t="n">
        <v>0</v>
      </c>
      <c r="D14963" t="inlineStr">
        <is>
          <t>Marteau des égarés; Amulette du Strigide; Anneau Chevelu; Alliance Gloursonne; Bouclier d'Ilyzaelle; Ceintacé; Capuche de l'Œil Putride; Voile d'encre; Bottes du Strigide; Dofus des Glaces; Dofus Pourpre; Dolmanax; Dofus Turquoise; Nomade; Remueur; Kramkram</t>
        </is>
      </c>
    </row>
    <row r="14964">
      <c r="A14964" t="inlineStr">
        <is>
          <t>aireaunewpano</t>
        </is>
      </c>
      <c r="B14964">
        <f>HYPERLINK("https://www.dofusbook.net/fr/equipement/1924126-aireaunewpano/objets", "link")</f>
        <v/>
      </c>
      <c r="C14964" t="n">
        <v>0</v>
      </c>
      <c r="D14964" t="inlineStr">
        <is>
          <t>Epée Loponèze; Amulette d'Ilyzaelle; Bracelet du Piloztère; Alliance Gloursonne; Cadran d'Air; Menoture; Casque d'Ilyzaelle; Cape de Mantaze; Bottes de la Reine des Voleurs; Dofus Pourpre; Dofus des Glaces; Dolmanax; Dofus Abyssal; Nomade; Kramkram</t>
        </is>
      </c>
    </row>
    <row r="14965">
      <c r="A14965" t="inlineStr">
        <is>
          <t>eau cc hique</t>
        </is>
      </c>
      <c r="B14965">
        <f>HYPERLINK("https://www.dofusbook.net/fr/equipement/4068267-eau-cc-hique--/objets", "link")</f>
        <v/>
      </c>
      <c r="C14965" t="n">
        <v>0</v>
      </c>
      <c r="D14965" t="inlineStr">
        <is>
          <t>Baguette Hique; Amulette de l'Œil Attentif; Anneau Volkorne; Anneau de Pol Ouatnos; Quatre-feuilles; Pagne du Rykaon; Kidibonnet; Cape de la Dame du Hasard; Bottes de la Dame du Hasard; Dofus Abyssal; Dofus Turquoise; Dofus Ocre; Dofus Ivoire; Dofus des Glaces; Pioute bleu</t>
        </is>
      </c>
    </row>
    <row r="14966">
      <c r="A14966" t="inlineStr">
        <is>
          <t>air res ret pm</t>
        </is>
      </c>
      <c r="B14966">
        <f>HYPERLINK("https://www.dofusbook.net/fr/equipement/4068201-air-res-ret-pm/objets", "link")</f>
        <v/>
      </c>
      <c r="C14966" t="n">
        <v>1</v>
      </c>
      <c r="D14966" t="inlineStr">
        <is>
          <t>Karnak; Collier du Valet Veinard; Alliance Gloursonne; Gant du Valet Veinard; Bouclier d'Ilyzaelle; Menoture; Casque Dragoeuf; Cape Indescriptible; Palmes Trithons; Dofus Abyssal; Dofus Émeraude; Dofus Ivoire; Dofus Ocre; Carapace Air majeur; Cascadeur majeur; Blokus</t>
        </is>
      </c>
    </row>
    <row r="14967">
      <c r="A14967" t="inlineStr">
        <is>
          <t>test</t>
        </is>
      </c>
      <c r="B14967">
        <f>HYPERLINK("https://www.dofusbook.net/fr/equipement/1152710-test/objets", "link")</f>
        <v/>
      </c>
      <c r="C14967" t="n">
        <v>2</v>
      </c>
      <c r="D14967" t="inlineStr">
        <is>
          <t>Karnak; Collier du Valet Veinard; Alliance Gloursonne; Gant du Valet Veinard; Bouclier d'Ilyzaelle; Ceintouse; Casque Dragoeuf; Cape du Valet Veinard; Tentassons; Dofus des Glaces; Dofus Ocre; Dofus Émeraude; Dofus Abyssal; Dofus Pourpre; Dofus Ivoire; La Chose</t>
        </is>
      </c>
    </row>
    <row r="14968">
      <c r="A14968" t="inlineStr">
        <is>
          <t>air</t>
        </is>
      </c>
      <c r="B14968">
        <f>HYPERLINK("https://www.dofusbook.net/fr/equipement/4067640-air/objets", "link")</f>
        <v/>
      </c>
      <c r="C14968" t="n">
        <v>0</v>
      </c>
      <c r="D14968" t="inlineStr">
        <is>
          <t>Manthache; Collier du Valet Veinard; Gant du Valet Veinard; Anneau de Pol Ouatnos; Bouclier du Stalak; Menoture; Casque Dragoeuf; Cape Indescriptible; Palmes Trithons; Dofus des Glaces; Dofus Ivoire; Dofus Ocre; Dofus Abyssal; Étourdisseur majeur; Cascadeur majeur; Drakopin</t>
        </is>
      </c>
    </row>
    <row r="14969">
      <c r="A14969" t="inlineStr">
        <is>
          <t>feu osa couki</t>
        </is>
      </c>
      <c r="B14969">
        <f>HYPERLINK("https://www.dofusbook.net/fr/equipement/4064921-feu-osa-couki/objets", "link")</f>
        <v/>
      </c>
      <c r="C14969" t="n">
        <v>1</v>
      </c>
      <c r="D14969" t="inlineStr">
        <is>
          <t>Baguette de Malléfisk; Amulette Volkorne; Anneau Volkorne; Anneauræus; Cadran de Feu; Protopagne; Casque Dragoeuf; Cape de Diondin; Chaussures Ardentes; Dofus Abyssal; Dofus Ocre; Dofus Ivoire; Dofus des Glaces; Érudit majeur; Miraculé majeur; Bisouglours</t>
        </is>
      </c>
    </row>
    <row r="14970">
      <c r="A14970" t="inlineStr">
        <is>
          <t>tantrums terre</t>
        </is>
      </c>
      <c r="B14970">
        <f>HYPERLINK("https://www.dofusbook.net/fr/equipement/4063089-tantrums-terre-/objets", "link")</f>
        <v/>
      </c>
      <c r="C14970" t="n">
        <v>0</v>
      </c>
      <c r="D14970" t="inlineStr">
        <is>
          <t>Marteau R'ture; Amulette du Strigide; Anneau Chevelu; Anneau Crustique; Bouclier Taverne; Ceintacé; Casque de Missiz Frizz; Cape au Logis; Bottes de la Cour Sombre; Dofus Turquoise; Dofus Ivoire; Dofus Ocre; Dofus Pourpre; Dofus Abyssal; Enragé majeur; Dragodinde Emeraude et Pourpre</t>
        </is>
      </c>
    </row>
    <row r="14971">
      <c r="A14971" t="inlineStr">
        <is>
          <t>iop feu tantrums</t>
        </is>
      </c>
      <c r="B14971">
        <f>HYPERLINK("https://www.dofusbook.net/fr/equipement/4062598-iop-feu-tantrums/objets", "link")</f>
        <v/>
      </c>
      <c r="C14971" t="n">
        <v>0</v>
      </c>
      <c r="D14971" t="inlineStr">
        <is>
          <t>Arc corrompu; Amulette Volkorne; Anneauræus; Anneauræus; Bouclier du Stalak; Ceinture Volkorne; Heaume Oplate; Voile d'encre; Bottes Innommables; Dofus Nébuleux; Dofus Ocre; Dofus Ivoire; Dofus Abyssal; Nomade; Érudit majeur; Brûlih</t>
        </is>
      </c>
    </row>
    <row r="14972">
      <c r="A14972" t="inlineStr">
        <is>
          <t>eau do crit</t>
        </is>
      </c>
      <c r="B14972">
        <f>HYPERLINK("https://www.dofusbook.net/fr/equipement/4058828-eau-do-crit/objets", "link")</f>
        <v/>
      </c>
      <c r="C14972" t="n">
        <v>1</v>
      </c>
      <c r="D14972" t="inlineStr">
        <is>
          <t>Sceptre du Roi Joueur; Amulette Voldelor; Alliance Gloursonne; Anneau Volkorne; Cadran d'Air; Sangle Ouare; Némès de Tal Kasha; Chevelure de Tal Kasha; Pataugastrique; Dofus Pourpre; Dofus Ocre; Dofus Abyssal; Dofus Turquoise; Dofus Ivoire; Chanceux majeur; Pioute bleu</t>
        </is>
      </c>
    </row>
    <row r="14973">
      <c r="A14973" t="inlineStr">
        <is>
          <t>eau</t>
        </is>
      </c>
      <c r="B14973">
        <f>HYPERLINK("https://www.dofusbook.net/fr/equipement/4055536-eau/objets", "link")</f>
        <v/>
      </c>
      <c r="C14973" t="n">
        <v>0</v>
      </c>
      <c r="D14973" t="inlineStr">
        <is>
          <t>Dagoulinantes; Amulette de Shokkoth; Alliance Gloursonne; Anneau Volkorne; Cadran de Terre; Culotte de Bethel; Capuche de l'Œil Attentif; Cape de l'Œil Attentif; Pataugastrique; Dofus Abyssal; Dofus Ivoire; Dofus des Glaces; Dofus Ocre; Étourdisseur majeur; Chanceux majeur; Kanigloups</t>
        </is>
      </c>
    </row>
    <row r="14974">
      <c r="A14974" t="inlineStr">
        <is>
          <t>feu test</t>
        </is>
      </c>
      <c r="B14974">
        <f>HYPERLINK("https://www.dofusbook.net/fr/equipement/4051879-feu-test-/objets", "link")</f>
        <v/>
      </c>
      <c r="C14974" t="n">
        <v>1</v>
      </c>
      <c r="D14974" t="inlineStr">
        <is>
          <t>Arc corrompu; Amulette Volkorne; Anneauræus; Anneauræus; Bouclier du Stalak; Ceinture Volkorne; Heaume Oplate; Voile d'encre; Bottes Innommables; Dofus Ivoire; Dofus Ocre; Dofus Abyssal; Dragodinde Ivoire et Orchidée</t>
        </is>
      </c>
    </row>
    <row r="14975">
      <c r="A14975" t="inlineStr">
        <is>
          <t>feu</t>
        </is>
      </c>
      <c r="B14975">
        <f>HYPERLINK("https://www.dofusbook.net/fr/equipement/4047745-feu/objets", "link")</f>
        <v/>
      </c>
      <c r="C14975" t="n">
        <v>1</v>
      </c>
      <c r="D14975" t="inlineStr">
        <is>
          <t>Arc corrompu; Amulette Volkorne; Anneauræus; Anneau Toriété; Cadran de Terre; Ceinture de Vortex; Masque Ardent; Cape Ardente; Chaussures Ardentes; Dofus Pourpre; Dofus Abyssal; Dofus Ocre; Dofus Ivoire; Dofus Turquoise; Dofus des Glaces; Kouin-Kouin Noir</t>
        </is>
      </c>
    </row>
    <row r="14976">
      <c r="A14976" t="inlineStr">
        <is>
          <t>air 19x</t>
        </is>
      </c>
      <c r="B14976">
        <f>HYPERLINK("https://www.dofusbook.net/fr/equipement/3067913-air-19x/objets", "link")</f>
        <v/>
      </c>
      <c r="C14976" t="n">
        <v>4</v>
      </c>
      <c r="D14976" t="inlineStr">
        <is>
          <t>Karnak; Amulette Hale; Alliance Gloursonne; Anneau d'Allister; Cadran d'Eau; Ceinture Rasboulaire du Rasboul; Couronne d'Allister; Cape Matelassée; Pantoufles Émar; Dofus des Glaces; Dofus Pourpre; Dofus Abyssal; Dofus Émeraude; Dofus Ocre; Cascadeur majeur; Blérodoudou</t>
        </is>
      </c>
    </row>
    <row r="14977">
      <c r="A14977" t="inlineStr">
        <is>
          <t>tromperie OOC var cap</t>
        </is>
      </c>
      <c r="B14977">
        <f>HYPERLINK("https://www.dofusbook.net/fr/equipement/4031995-tromperie-ooc-var-cap/objets", "link")</f>
        <v/>
      </c>
      <c r="C14977" t="n">
        <v>0</v>
      </c>
      <c r="D14977" t="inlineStr">
        <is>
          <t>Hache du Chalœil; Amulette du Strigide; Anneau Volkorne; Bracelet du Piloztère; Bouclier du Stalak; Ceinture Volkorne; Le Dorado; Voilamibe; Bottes du Strigide; Dofus Pourpre; Dofus Ivoire; Dofus Ocre; Dolmanax; Dofus Abyssal; Robuste majeur; Chacha Angora</t>
        </is>
      </c>
    </row>
    <row r="14978">
      <c r="A14978" t="inlineStr">
        <is>
          <t>tromperie ooc var vol</t>
        </is>
      </c>
      <c r="B14978">
        <f>HYPERLINK("https://www.dofusbook.net/fr/equipement/4018081-tromperie-ooc-var-vol/objets", "link")</f>
        <v/>
      </c>
      <c r="C14978" t="n">
        <v>2</v>
      </c>
      <c r="D14978" t="inlineStr">
        <is>
          <t>Hache du Chalœil; Amulette Volkorne; Anneau Volkorne; Bracelet du Piloztère; Bouclier du Stalak; Ceinture Volkorne; Le Dorado; Voile d'encre; Bottes du Strigide; Dolmanax; Dofus Pourpre; Dofus Abyssal; Dofus Ocre; Dofus Ivoire; Robuste majeur; Chacha Angora</t>
        </is>
      </c>
    </row>
    <row r="14979">
      <c r="A14979" t="inlineStr">
        <is>
          <t>air</t>
        </is>
      </c>
      <c r="B14979">
        <f>HYPERLINK("https://www.dofusbook.net/fr/equipement/4023464-air/objets", "link")</f>
        <v/>
      </c>
      <c r="C14979" t="n">
        <v>1</v>
      </c>
      <c r="D14979" t="inlineStr">
        <is>
          <t>Manthache; Collier du Valet Veinard; Anneau de Padgref; Gant du Valet Veinard; Bouclier du Stalak; Ceintouse; Chapoulpe; Cape du Valet Veinard; Tentassons; Dofus Pourpre; Dofus Abyssal; Dofus Ocre; Dofus Ivoire; Dolmanax; Dofus des Glaces; Blérodoudou</t>
        </is>
      </c>
    </row>
    <row r="14980">
      <c r="A14980" t="inlineStr">
        <is>
          <t>réseau</t>
        </is>
      </c>
      <c r="B14980">
        <f>HYPERLINK("https://www.dofusbook.net/fr/equipement/4017984-reseau/objets", "link")</f>
        <v/>
      </c>
      <c r="C14980" t="n">
        <v>2</v>
      </c>
      <c r="D14980" t="inlineStr">
        <is>
          <t>Dagues Eudin; Amulette Volkorne; Chevalière du Roi Joueur; Bague Gloursonne; Bouclier du Stalak; Ceinture Volkorne; Couronne du Roi Joueur; Voile d'encre; Bottes du Roi Joueur; Dofus Pourpre; Dofus Abyssal; Dofus Ocre; Dofus Vulbis; Dofus des Glaces; Fëanor</t>
        </is>
      </c>
    </row>
    <row r="14981">
      <c r="A14981" t="inlineStr">
        <is>
          <t>terre do pou</t>
        </is>
      </c>
      <c r="B14981">
        <f>HYPERLINK("https://www.dofusbook.net/fr/equipement/4015868-terre-do-pou-/objets", "link")</f>
        <v/>
      </c>
      <c r="C14981" t="n">
        <v>1</v>
      </c>
      <c r="D14981" t="inlineStr">
        <is>
          <t>Lav'Hache; Amulette Luminescente; Bague Trithon; Anneau Chevelu; Bouclier Taverne; Ceinture Gence; Casque Dragoeuf; Cape au Logis; Bottes Trithon; Dofus Abyssal; Dofus Ivoire; Dofus Ocre; Dofus Pourpre; Bousculeur majeur; Culbuteur majeur; Black Tiwabbit</t>
        </is>
      </c>
    </row>
    <row r="14982">
      <c r="A14982" t="inlineStr">
        <is>
          <t>air</t>
        </is>
      </c>
      <c r="B14982">
        <f>HYPERLINK("https://www.dofusbook.net/fr/equipement/1448841-air/objets", "link")</f>
        <v/>
      </c>
      <c r="C14982" t="n">
        <v>3</v>
      </c>
      <c r="D14982" t="inlineStr">
        <is>
          <t>Karnak; Collier du Valet Veinard; Alliance Gloursonne; Gant du Valet Veinard; Bouclier d'Ilyzaelle; Menoture; Couronne d'Allister; Cape Indescriptible; Palmes Trithons; Dofus Abyssal; Dofus Ocre; Dofus Émeraude; Dofus Pourpre; Carapace Air majeur; Cascadeur majeur; Blérodoudou</t>
        </is>
      </c>
    </row>
    <row r="14983">
      <c r="A14983" t="inlineStr">
        <is>
          <t>Sadida F 200</t>
        </is>
      </c>
      <c r="B14983">
        <f>HYPERLINK("https://www.dofusbook.net/fr/equipement/4014959-sadida-f-200/objets", "link")</f>
        <v/>
      </c>
      <c r="C14983" t="n">
        <v>0</v>
      </c>
      <c r="D14983" t="inlineStr">
        <is>
          <t>Baguette Range; Amulette du Strigide; Anneau de Padgref; Bague Gloursonne; Bouclier cubiste; Ceinture du Strigide; Coiffe de Padgref; Cape de Léthaline; Getas de Padgref; Dofus Pourpre; Dofus Ivoire; Dofus Ocre; Dofus Turquoise; Dofus Abyssal; Entraveur majeur; Volkorne Turquoise</t>
        </is>
      </c>
    </row>
    <row r="14984">
      <c r="A14984" t="inlineStr">
        <is>
          <t>full air tank</t>
        </is>
      </c>
      <c r="B14984">
        <f>HYPERLINK("https://www.dofusbook.net/fr/equipement/4011699-full-air-tank/objets", "link")</f>
        <v/>
      </c>
      <c r="C14984" t="n">
        <v>0</v>
      </c>
      <c r="D14984" t="inlineStr">
        <is>
          <t>Karnak; Collier du Valet Veinard; Alliance Gloursonne; Gant du Valet Veinard; Cadran d'Air; Ceintouse; Chapoulpe; Cape du Valet Veinard; Tentassons; Dofus Pourpre; Dofus Abyssal; Dofus Ocre; Dofus Ivoire; Dofus Turquoise; Dofus des Glaces; Dauge</t>
        </is>
      </c>
    </row>
    <row r="14985">
      <c r="A14985" t="inlineStr">
        <is>
          <t>eau air</t>
        </is>
      </c>
      <c r="B14985">
        <f>HYPERLINK("https://www.dofusbook.net/fr/equipement/4011455-eau-air-/objets", "link")</f>
        <v/>
      </c>
      <c r="C14985" t="n">
        <v>0</v>
      </c>
      <c r="D14985" t="inlineStr">
        <is>
          <t>Hachoirs de Viandargh; Amulette d'Ilyzaelle; Alliance Gloursonne; Bague Gloursonne; Bouclier d'Ilyzaelle; Sangle Ouare; Némès de Tal Kasha; Chevelure de Tal Kasha; Sandales de Tal Kasha; Dofus Turquoise; Dofus Ivoire; Dofus Ocre; Dofus des Glaces; Dofus Pourpre; Dofus Abyssal; Mini Wa</t>
        </is>
      </c>
    </row>
    <row r="14986">
      <c r="A14986" t="inlineStr">
        <is>
          <t>skin</t>
        </is>
      </c>
      <c r="B14986">
        <f>HYPERLINK("https://www.dofusbook.net/fr/equipement/3998256-skin/objets", "link")</f>
        <v/>
      </c>
      <c r="C14986" t="n">
        <v>2</v>
      </c>
      <c r="D14986" t="inlineStr">
        <is>
          <t>Epée Loponèze; Amulette d'Ilyzaelle; Bague Gloursonne; Alliance Gloursonne; Bouclier d'Ilyzaelle; Ceinture du Barbétoal; Casque d'Ilyzaelle; Chevelure de Tal Kasha; Sandales de Tal Kasha; Dofus Pourpre; Dofus Abyssal; Dofus Ocre; Dofus Ivoire; Dofus Turquoise; Dofus des Glaces; Muldo Ebène et Ivoire</t>
        </is>
      </c>
    </row>
    <row r="14987">
      <c r="A14987" t="inlineStr">
        <is>
          <t>eau/air critnocrit</t>
        </is>
      </c>
      <c r="B14987">
        <f>HYPERLINK("https://www.dofusbook.net/fr/equipement/2540155-eau-air-critnocrit/objets", "link")</f>
        <v/>
      </c>
      <c r="C14987" t="n">
        <v>4</v>
      </c>
      <c r="D14987" t="inlineStr">
        <is>
          <t>Hache du Korriandre; Amulette d'Ilyzaelle; Alliance Gloursonne; Anneau Tique; Bouclier Taverne; Sangle Ouare; Casque d'Ilyzaelle; Chevelure de Tal Kasha; Sandales de Tal Kasha; Dofus Ocre; Dofus Ivoire; Dofus Pourpre; Dofus des Glaces; Dofus Turquoise; Dofus Abyssal; Fëanor</t>
        </is>
      </c>
    </row>
    <row r="14988">
      <c r="A14988" t="inlineStr">
        <is>
          <t>crit crit crit</t>
        </is>
      </c>
      <c r="B14988">
        <f>HYPERLINK("https://www.dofusbook.net/fr/equipement/3996299-crit-crit-crit/objets", "link")</f>
        <v/>
      </c>
      <c r="C14988" t="n">
        <v>0</v>
      </c>
      <c r="D14988" t="inlineStr">
        <is>
          <t>Faux Maudite du Saigneur Guerrier; Amulette du Strigide; Bague Trithon; Anneau de Padgref; Bouclier du Captain Amakna; Ceinture du Strigide; Masque Trithon; Chevelure de Tal Kasha; Bottes Trithon; Dofus des Glaces; Dofus Abyssal; Dofus Pourpre; Dofus Ocre; Dofus Turquoise; Dofus Vulbis; Kokulte</t>
        </is>
      </c>
    </row>
    <row r="14989">
      <c r="A14989" t="inlineStr">
        <is>
          <t>feu soin</t>
        </is>
      </c>
      <c r="B14989">
        <f>HYPERLINK("https://www.dofusbook.net/fr/equipement/1448724-feu-soin-/objets", "link")</f>
        <v/>
      </c>
      <c r="C14989" t="n">
        <v>2</v>
      </c>
      <c r="D14989" t="inlineStr">
        <is>
          <t>Baguette de Malléfisk; Amulette Volkorne; Kralano; Anneauræus; Carapar; Ceinture de Vortex; Casque Dragoeuf; Cape de Diondin; Sabots de Vortex; Dofus Ocre; Dofus Abyssal; Dofus Ivoire; Guérisseur majeur; Érudit majeur; Nomade; Bilby</t>
        </is>
      </c>
    </row>
    <row r="14990">
      <c r="A14990" t="inlineStr">
        <is>
          <t>eau air no cc</t>
        </is>
      </c>
      <c r="B14990">
        <f>HYPERLINK("https://www.dofusbook.net/fr/equipement/2394323-eau-air-no-cc/objets", "link")</f>
        <v/>
      </c>
      <c r="C14990" t="n">
        <v>0</v>
      </c>
      <c r="D14990" t="inlineStr">
        <is>
          <t>Epée Gloursonne; Amulette d'Ilyzaelle; Bague Gloursonne; Alliance Gloursonne; Bouclier d'Ilyzaelle; Menoture; Casque d'Ilyzaelle; Chevelure de Tal Kasha; Sandales de Tal Kasha; Dokoko; Dofus Abyssal; Dofus des Glaces; Paralyseur majeur; Vagabond majeur; Muldo Ebène</t>
        </is>
      </c>
    </row>
    <row r="14991">
      <c r="A14991" t="inlineStr">
        <is>
          <t>air feu harr</t>
        </is>
      </c>
      <c r="B14991">
        <f>HYPERLINK("https://www.dofusbook.net/fr/equipement/1899234-air-feu-harr/objets", "link")</f>
        <v/>
      </c>
      <c r="C14991" t="n">
        <v>2</v>
      </c>
      <c r="D14991" t="inlineStr">
        <is>
          <t>Hache Hélème; Amulette Volkorne; Kralano; Anneau Toriété; Bouclier du Stalak; Ceintacé; Casque Volkorne; Cape Martegel; Bottes Antrin; Dofus des Glaces; Dofus Ivoire; Dofus Ocre; Dofus Pourpre; Dofus Abyssal; Miraculé majeur; Willy le Relou</t>
        </is>
      </c>
    </row>
    <row r="14992">
      <c r="A14992" t="inlineStr">
        <is>
          <t>eau ret pa</t>
        </is>
      </c>
      <c r="B14992">
        <f>HYPERLINK("https://www.dofusbook.net/fr/equipement/3889313-eau-ret-pa/objets", "link")</f>
        <v/>
      </c>
      <c r="C14992" t="n">
        <v>3</v>
      </c>
      <c r="D14992" t="inlineStr">
        <is>
          <t>Arc Ontanporin; Amulette de Shokkoth; Anneau Volkorne; Bracelet des Fonds marins; Quatre-feuilles; Pagne du Rykaon; Némès de Tal Kasha; Chevelure de Tal Kasha; Sandales de Tal Kasha; Dofus Ocre; Dofus Ivoire; Dofus Pourpre; Dofus des Glaces; Dofus Turquoise; Dofus Abyssal; Phorror</t>
        </is>
      </c>
    </row>
    <row r="14993">
      <c r="A14993" t="inlineStr">
        <is>
          <t>air feu 11PA</t>
        </is>
      </c>
      <c r="B14993">
        <f>HYPERLINK("https://www.dofusbook.net/fr/equipement/3110936-air-feu-11pa/objets", "link")</f>
        <v/>
      </c>
      <c r="C14993" t="n">
        <v>0</v>
      </c>
      <c r="D14993" t="inlineStr">
        <is>
          <t>Canne Harr; Pendentif mignon de Koutoulou; Alliance Brûlâme; Anneau Rifique; Bouclier d'Ilyzaelle; Sangle Aise; Capuche de l'Œil Putride; Cape des Malveilleurs; Bottes du Chalœil; Dofus Abyssal; Dofus Ocre; Dofus Pourpre; Dofus Turquoise; Miraculé majeur; Nomade; Kramkram</t>
        </is>
      </c>
    </row>
    <row r="14994">
      <c r="A14994" t="inlineStr">
        <is>
          <t>eau</t>
        </is>
      </c>
      <c r="B14994">
        <f>HYPERLINK("https://www.dofusbook.net/fr/equipement/2294144-eau/objets", "link")</f>
        <v/>
      </c>
      <c r="C14994" t="n">
        <v>0</v>
      </c>
      <c r="D14994" t="inlineStr">
        <is>
          <t>Massier; Torquistik; Bague Trithon; Anneauræus; Bouclier Taverne; Sangle Ouare; Heaume Oplate; Voile d'encre; Bottistik; Dofus Abyssal; Dofus Ivoire; Culbuteur; Culbuteur majeur; Pousseur majeur; Bousculeur majeur; Volkorne Roux</t>
        </is>
      </c>
    </row>
    <row r="14995">
      <c r="A14995" t="inlineStr">
        <is>
          <t>feu eau air deux</t>
        </is>
      </c>
      <c r="B14995">
        <f>HYPERLINK("https://www.dofusbook.net/fr/equipement/1456973-feu-eau-air-deux/objets", "link")</f>
        <v/>
      </c>
      <c r="C14995" t="n">
        <v>1</v>
      </c>
      <c r="D14995" t="inlineStr">
        <is>
          <t>Sabres d'Atcham; Amulette du Strigide; Anneau Tique; Anneau de Padgref; Quatre-feuilles; Ceinture du Strigide; Coiffe de Padgref; Cape d'Atcham; Getas de Padgref; Dofus Nébuleux; Dofus Turquoise; Dofus Ocre; Dolmanax; Dofus Pourpre; Dofus des Glaces; Muldo Prune et Emeraude</t>
        </is>
      </c>
    </row>
    <row r="14996">
      <c r="A14996" t="inlineStr">
        <is>
          <t>feu eau cc</t>
        </is>
      </c>
      <c r="B14996">
        <f>HYPERLINK("https://www.dofusbook.net/fr/equipement/1385202-feu-eau-cc-/objets", "link")</f>
        <v/>
      </c>
      <c r="C14996" t="n">
        <v>0</v>
      </c>
      <c r="D14996" t="inlineStr">
        <is>
          <t>Baguette Hique; Amulette Volkorne; Anneau de Pol Ouatnos; Anneau Volkorne; Quatre-feuilles; Ceintacé; Boucle d'oreille de Kongoku; Cape de la Dame du Hasard; Bottes de la Dame du Hasard; Dofus Ocre; Dofus Ivoire; Dofus Pourpre; Dofus des Glaces; Dofus Turquoise; Dofus Abyssal; Kokulte</t>
        </is>
      </c>
    </row>
    <row r="14997">
      <c r="A14997" t="inlineStr">
        <is>
          <t>poolache</t>
        </is>
      </c>
      <c r="B14997">
        <f>HYPERLINK("https://www.dofusbook.net/fr/equipement/2959371-poolache/objets", "link")</f>
        <v/>
      </c>
      <c r="C14997" t="n">
        <v>1</v>
      </c>
      <c r="D14997" t="inlineStr">
        <is>
          <t>Poolache; Amulette du Strigide; Bague Gloursonne; Chevalière du Roi Joueur; Quatre-feuilles; Ceinture du Strigide; Couronne du Roi Joueur; Cape au Logis; Bottes du Roi Joueur; Dofus Pourpre; Dofus des Glaces; Dofus Turquoise; Dofus Abyssal; Dofus Ocre; Dofus Ivoire; Kokulte</t>
        </is>
      </c>
    </row>
    <row r="14998">
      <c r="A14998" t="inlineStr">
        <is>
          <t>tereau</t>
        </is>
      </c>
      <c r="B14998">
        <f>HYPERLINK("https://www.dofusbook.net/fr/equipement/3895464-tereau/objets", "link")</f>
        <v/>
      </c>
      <c r="C14998" t="n">
        <v>0</v>
      </c>
      <c r="D14998" t="inlineStr">
        <is>
          <t>Sceptre du Roi Joueur; Amulette du Sinistrofu; Alliance Gloursonne; Bracelet des Fonds marins; Bouclier Taverne; Sangle Ouare; Casque Dragoeuf; Cape Solution; Bottes du Sinistrofu; Dofus Ivoire; Dofus Abyssal; Dofus Ocre; Culbuteur majeur; Chanceux majeur; Bousculeur majeur; Écumouth</t>
        </is>
      </c>
    </row>
    <row r="14999">
      <c r="A14999" t="inlineStr">
        <is>
          <t>pvp</t>
        </is>
      </c>
      <c r="B14999">
        <f>HYPERLINK("https://www.dofusbook.net/fr/equipement/1410768-pvp/objets", "link")</f>
        <v/>
      </c>
      <c r="C14999" t="n">
        <v>2</v>
      </c>
      <c r="D14999" t="inlineStr">
        <is>
          <t>Karnak; Collier du Valet Veinard; Alliance Gloursonne; Gant du Valet Veinard; Bouclier du Stalak; Ceintouse; Chapoulpe; Cape du Valet Veinard; Tentassons; Dofus Ivoire; Dofus Ocre; Dofus Abyssal; Précurseur majeur; Engourdisseur majeur; Paralyseur majeur; Kouin-Kouin Noir</t>
        </is>
      </c>
    </row>
    <row r="15000">
      <c r="A15000" t="inlineStr">
        <is>
          <t>eauair</t>
        </is>
      </c>
      <c r="B15000">
        <f>HYPERLINK("https://www.dofusbook.net/fr/equipement/3382420-eauair/objets", "link")</f>
        <v/>
      </c>
      <c r="C15000" t="n">
        <v>1</v>
      </c>
      <c r="D15000" t="inlineStr">
        <is>
          <t>Hache du Korriandre; Amulette du Strigide; Bague Gloursonne; Alliance Gloursonne; Bouclier du Captain Amakna; Ceinture du Strigide; Némès de Tal Kasha; Chevelure de Tal Kasha; Sandales de Tal Kasha; Dofus Pourpre; Dofus des Glaces; Dofus Turquoise; Dofus Abyssal; Dofus Ocre; Dofus Ivoire; Muldo Prune et Emeraude</t>
        </is>
      </c>
    </row>
    <row r="15001">
      <c r="A15001" t="inlineStr">
        <is>
          <t>eau</t>
        </is>
      </c>
      <c r="B15001">
        <f>HYPERLINK("https://www.dofusbook.net/fr/equipement/3880731-eau/objets", "link")</f>
        <v/>
      </c>
      <c r="C15001" t="n">
        <v>0</v>
      </c>
      <c r="D15001" t="inlineStr">
        <is>
          <t>Dagoulinantes; Amulette de Shokkoth; Anneau Volkorne; Alliance Gloursonne; Bouclier du Stalak; Sangle Ouare; Kidibonnet; Cape du Sinistrofu; Bottes du Sinistrofu; Dofus Pourpre; Dofus Abyssal; Dofus Ocre; Dofus Ivoire; Carapace Terre majeur; Chanceux majeur; Dragouf</t>
        </is>
      </c>
    </row>
    <row r="15002">
      <c r="A15002" t="inlineStr">
        <is>
          <t>ré crit 400</t>
        </is>
      </c>
      <c r="B15002">
        <f>HYPERLINK("https://www.dofusbook.net/fr/equipement/3316850-re-crit-400-/objets", "link")</f>
        <v/>
      </c>
      <c r="C15002" t="n">
        <v>2</v>
      </c>
      <c r="D15002" t="inlineStr">
        <is>
          <t>Lav'Hache; Torquistik; Baguistik; Goulano; Bouclier du Stalak; Ceinture de la Reine des Voleurs; Coiffe de la Reine des Voleurs; Cape au Logis; Bottistik; Dofus des Glaces; Dofus Ivoire; Dofus Ocre; Dofus Émeraude; Dofus Abyssal; Bastion majeur; Wabbit</t>
        </is>
      </c>
    </row>
    <row r="15003">
      <c r="A15003" t="inlineStr">
        <is>
          <t>téroïde</t>
        </is>
      </c>
      <c r="B15003">
        <f>HYPERLINK("https://www.dofusbook.net/fr/equipement/3855100-teroide/objets", "link")</f>
        <v/>
      </c>
      <c r="C15003" t="n">
        <v>1</v>
      </c>
      <c r="D15003" t="inlineStr">
        <is>
          <t>Hache Téroïde; Amulette du Strigide; Bague Trithon; Anneau Chevelu; Bouclier du Captain Amakna; Ceinture du Strigide; Masque Trithon; Cape au Logis; Bottes Trithon; Dofus Turquoise; Dofus Ivoire; Dofus Ocre; Dofus des Glaces; Dofus Pourpre; Dofus Abyssal; Kokulte</t>
        </is>
      </c>
    </row>
    <row r="15004">
      <c r="A15004" t="inlineStr">
        <is>
          <t>terre item class</t>
        </is>
      </c>
      <c r="B15004">
        <f>HYPERLINK("https://www.dofusbook.net/fr/equipement/3859940-terre-item-class/objets", "link")</f>
        <v/>
      </c>
      <c r="C15004" t="n">
        <v>1</v>
      </c>
      <c r="D15004" t="inlineStr">
        <is>
          <t>Lav'Hache; Amulette Volcanique; Chevalière du Roi Joueur; Anneau Pwal; Bouclier du Stalak; Ceinture Volkorne; Masque de Koutoulou; Cape du Cœur Saignant; Bottes du Cœur Saignant; Dofus Ocre; Dofus Pourpre; Dofus Abyssal; Dofus Turquoise; Enragé majeur; Miraculé majeur; Chachyène</t>
        </is>
      </c>
    </row>
    <row r="15005">
      <c r="A15005" t="inlineStr">
        <is>
          <t>force</t>
        </is>
      </c>
      <c r="B15005">
        <f>HYPERLINK("https://www.dofusbook.net/fr/equipement/3139294-force/objets", "link")</f>
        <v/>
      </c>
      <c r="C15005" t="n">
        <v>2</v>
      </c>
      <c r="D15005" t="inlineStr">
        <is>
          <t>Lav'Hache; Collier de Tourthon; Anneau Chevelu; Anneau Volkorne; Bouclier du Stalak; Ceinture Volkorne; Masque de Koutoulou; Cape au Logis; Bottes de la Cour Sombre; Dofus des Glaces; Dofus Ivoire; Dofus Ocre; Dofus Pourpre; Dofus Abyssal; Enragé majeur; Bulbisou</t>
        </is>
      </c>
    </row>
    <row r="15006">
      <c r="A15006" t="inlineStr">
        <is>
          <t>terre/air</t>
        </is>
      </c>
      <c r="B15006">
        <f>HYPERLINK("https://www.dofusbook.net/fr/equipement/3177359-terre-air/objets", "link")</f>
        <v/>
      </c>
      <c r="C15006" t="n">
        <v>4</v>
      </c>
      <c r="D15006" t="inlineStr">
        <is>
          <t>Lav'Hache; Collier de Tourthon; Anneau Crustique; Anneau Crustique; Sept ans de malheur; Ceintouse; Masque de Koutoulou; Cape du Cœur Vaillant; Tentassons; Dofus Ivoire; Dofus Émeraude; Dofus Ocre; Étourdisseur majeur; Obstructeur majeur; Fonceur majeur; Bwak de Terre</t>
        </is>
      </c>
    </row>
    <row r="15007">
      <c r="A15007" t="inlineStr">
        <is>
          <t>terre roxdebile</t>
        </is>
      </c>
      <c r="B15007">
        <f>HYPERLINK("https://www.dofusbook.net/fr/equipement/3777390-terre-roxdebile/objets", "link")</f>
        <v/>
      </c>
      <c r="C15007" t="n">
        <v>2</v>
      </c>
      <c r="D15007" t="inlineStr">
        <is>
          <t>Arc du Chalœil; Amulette du Cœur Saignant; Anneau Chevelu; Anneau Volkorne; Quatre-feuilles; Ceinture Volkorne; Masque de Koutoulou; Cape du Cœur Saignant; Bottes du Cœur Saignant; Dofus Pourpre; Dofus Ivoire; Dofus Turquoise; Dofus Abyssal; Dofus des Glaces; Dolmanax; Phorror</t>
        </is>
      </c>
    </row>
    <row r="15008">
      <c r="A15008" t="inlineStr">
        <is>
          <t>terre pvp</t>
        </is>
      </c>
      <c r="B15008">
        <f>HYPERLINK("https://www.dofusbook.net/fr/equipement/3764959-terre-pvp/objets", "link")</f>
        <v/>
      </c>
      <c r="C15008" t="n">
        <v>1</v>
      </c>
      <c r="D15008" t="inlineStr">
        <is>
          <t>Arc du Chalœil; Collier de Tourthon; Anneau Chevelu; Anneau Crustique; Quatre-feuilles; Ceinture Volkorne; Masque de Koutoulou; Cape au Logis; Bottes de la Cour Sombre; Dofus Turquoise; Dofus Ivoire; Dofus Ocre; Dofus Pourpre; Dofus Abyssal; Enragé majeur; Kramkram</t>
        </is>
      </c>
    </row>
    <row r="15009">
      <c r="A15009" t="inlineStr">
        <is>
          <t>multi brulam</t>
        </is>
      </c>
      <c r="B15009">
        <f>HYPERLINK("https://www.dofusbook.net/fr/equipement/2117816-multi-brulam/objets", "link")</f>
        <v/>
      </c>
      <c r="C15009" t="n">
        <v>0</v>
      </c>
      <c r="D15009" t="inlineStr">
        <is>
          <t>Arc Nécrotique; Amulette du Strigide; Bague Gloursonne; Alliance Gloursonne; Quatre-feuilles; Ceinture du Strigide; Kidibonnet; Cape de la Dame du Hasard; Bottes de la Dame du Hasard; Dolmanax; Dofus Ocre; Dofus Pourpre; Dofus des Glaces; Dofus Turquoise; Dofus Abyssal; Muldo Prune et Emeraude</t>
        </is>
      </c>
    </row>
    <row r="15010">
      <c r="A15010" t="inlineStr">
        <is>
          <t>eau</t>
        </is>
      </c>
      <c r="B15010">
        <f>HYPERLINK("https://www.dofusbook.net/fr/equipement/3739062-eau/objets", "link")</f>
        <v/>
      </c>
      <c r="C15010" t="n">
        <v>1</v>
      </c>
      <c r="D15010" t="inlineStr">
        <is>
          <t>Pelle Fik; Amulette de Shokkoth; Anneau Volkorne; Alliance Gloursonne; Bouclier du Stalak; Sangle Ouare; Capuche de l'Œil Attentif; Cape de l'Œil Attentif; Sandales des Fonds marins; Dofus Abyssal; Dofus Pourpre; Dofus Ivoire; Dofus Ocre; Déserteur majeur; Chanceux majeur; Volkorne Rubis</t>
        </is>
      </c>
    </row>
    <row r="15011">
      <c r="A15011" t="inlineStr">
        <is>
          <t>terre full</t>
        </is>
      </c>
      <c r="B15011">
        <f>HYPERLINK("https://www.dofusbook.net/fr/equipement/2692095-terre-full/objets", "link")</f>
        <v/>
      </c>
      <c r="C15011" t="n">
        <v>2</v>
      </c>
      <c r="D15011" t="inlineStr">
        <is>
          <t>Marteau R'ture; Collier de Tourthon; Anneau Chevelu; Chevalière du Roi Joueur; Bouclier d'Ilyzaelle; Ceinture Gence; Chapeau de Gein; Cape au Logis; Bottes du Cœur Saignant; Dofus Pourpre; Dofus Ivoire; Dofus Ocre; Dofus Turquoise; Dofus Abyssal; Miraculé majeur; El Scarador</t>
        </is>
      </c>
    </row>
    <row r="15012">
      <c r="A15012" t="inlineStr">
        <is>
          <t>eau</t>
        </is>
      </c>
      <c r="B15012">
        <f>HYPERLINK("https://www.dofusbook.net/fr/equipement/3659236-eau/objets", "link")</f>
        <v/>
      </c>
      <c r="C15012" t="n">
        <v>0</v>
      </c>
      <c r="D15012" t="inlineStr">
        <is>
          <t>Dagues Açantes; Amulette de l'Œil Attentif; Alliance Gloursonne; Anneau Volkorne; Bouclier d'Ilyzaelle; Ceinture en Grithril; Kidibonnet; Cape de l'Œil Attentif; Sandales des Fonds marins; Dofus Turquoise; Dofus Ivoire; Dofus Ocre; Dofus Pourpre; Dofus Abyssal; Carapace Terre majeur; Muldo Indigo et Pourpre</t>
        </is>
      </c>
    </row>
    <row r="15013">
      <c r="A15013" t="inlineStr">
        <is>
          <t>eau air debile</t>
        </is>
      </c>
      <c r="B15013">
        <f>HYPERLINK("https://www.dofusbook.net/fr/equipement/3523623-eau-air-debile/objets", "link")</f>
        <v/>
      </c>
      <c r="C15013" t="n">
        <v>0</v>
      </c>
      <c r="D15013" t="inlineStr">
        <is>
          <t>Hachoirs de Viandargh; Amulette du Strigide; Bague Gloursonne; Alliance Gloursonne; Bouclier du Captain Amakna; Ceinture du Strigide; Némès de Tal Kasha; Chevelure de Tal Kasha; Sandales de Tal Kasha; Dofus des Glaces; Dofus Pourpre; Dofus Ocre; Dofus Turquoise; Dofus Abyssal; Muldo Prune et Emeraude</t>
        </is>
      </c>
    </row>
    <row r="15014">
      <c r="A15014" t="inlineStr">
        <is>
          <t>terre 4</t>
        </is>
      </c>
      <c r="B15014">
        <f>HYPERLINK("https://www.dofusbook.net/fr/equipement/3523631-terre-4/objets", "link")</f>
        <v/>
      </c>
      <c r="C15014" t="n">
        <v>1</v>
      </c>
      <c r="D15014" t="inlineStr">
        <is>
          <t>Arc du Chalœil; Collier de Tourthon; Anneau du Comte Harebourg; Anneau de Brouce; Quatre-feuilles; Ceinture de Brouce; Coiffe du Comte Harebourg; Cape du Cœur Saignant; Bottes de Brouce; Kompost</t>
        </is>
      </c>
    </row>
    <row r="15015">
      <c r="A15015" t="inlineStr">
        <is>
          <t>feu deux</t>
        </is>
      </c>
      <c r="B15015">
        <f>HYPERLINK("https://www.dofusbook.net/fr/equipement/1912800-feu-deux/objets", "link")</f>
        <v/>
      </c>
      <c r="C15015" t="n">
        <v>1</v>
      </c>
      <c r="D15015" t="inlineStr">
        <is>
          <t>Arc corrompu; Amulette de Nileza; Anneau Tique; Anneau de Nidas; Bouclier du Stalak; Ceinture de Vortex; Cagoule de Vortex; Cape de Diondin; Bottes Innommables; Dofus Abyssal; Dofus Émeraude; Dokoko; Remueur; Déserteur majeur; Érudit majeur; Muldo Orchidée et Amande</t>
        </is>
      </c>
    </row>
    <row r="15016">
      <c r="A15016" t="inlineStr">
        <is>
          <t>terre</t>
        </is>
      </c>
      <c r="B15016">
        <f>HYPERLINK("https://www.dofusbook.net/fr/equipement/3510599-terre/objets", "link")</f>
        <v/>
      </c>
      <c r="C15016" t="n">
        <v>1</v>
      </c>
      <c r="D15016" t="inlineStr">
        <is>
          <t>Marteau R'ture; Collier de Tourthon; Anneau Crustique; Anneau Crustique; Quatre-feuilles; Ceinture Gence; Coiffe de la Reine des Voleurs; Cape au Logis; Baleinabottes; Dofus Pourpre; Dofus Abyssal; Dofus Turquoise; Dofus Ocre; Vigoureux majeur; Enragé majeur; Kompost</t>
        </is>
      </c>
    </row>
    <row r="15017">
      <c r="A15017" t="inlineStr">
        <is>
          <t>aenericeeau</t>
        </is>
      </c>
      <c r="B15017">
        <f>HYPERLINK("https://www.dofusbook.net/fr/equipement/3485354-aenericeeau/objets", "link")</f>
        <v/>
      </c>
      <c r="C15017" t="n">
        <v>1</v>
      </c>
      <c r="D15017" t="inlineStr">
        <is>
          <t>Pelle Fik; Amulette de Shokkoth; Bracelet des Fonds marins; Alliance Gloursonne; Bouclier d'Anerice; Sangle Ouare; Masque d'Anerice; Cape d'Anerice; Sandales des Fonds marins; Dragodinde Amande et Dorée</t>
        </is>
      </c>
    </row>
    <row r="15018">
      <c r="A15018" t="inlineStr">
        <is>
          <t>air res soin</t>
        </is>
      </c>
      <c r="B15018">
        <f>HYPERLINK("https://www.dofusbook.net/fr/equipement/3359927-air-res-soin-/objets", "link")</f>
        <v/>
      </c>
      <c r="C15018" t="n">
        <v>0</v>
      </c>
      <c r="D15018" t="inlineStr">
        <is>
          <t>Le Thanos; Collier du Valet Veinard; Alliance Gloursonne; Gant du Valet Veinard; Bouclier d'Ilyzaelle; Ceintouse; Casque d'Ilyzaelle; Cape du Valet Veinard; Pantoufles Émar; Dofus Ocre; Dokoko; Dofus Abyssal; Dofus Émeraude; Muldo Ebène et Indigo</t>
        </is>
      </c>
    </row>
    <row r="15019">
      <c r="A15019" t="inlineStr">
        <is>
          <t>eau res soin</t>
        </is>
      </c>
      <c r="B15019">
        <f>HYPERLINK("https://www.dofusbook.net/fr/equipement/3359884-eau-res-soin/objets", "link")</f>
        <v/>
      </c>
      <c r="C15019" t="n">
        <v>1</v>
      </c>
      <c r="D15019" t="inlineStr">
        <is>
          <t>Le Thanos; Amulette de l'Œil Attentif; Bracelet des Fonds marins; Alliance Gloursonne; Bouclier d'Ilyzaelle; Sangle Ouare; Casque d'Ilyzaelle; Cape de l'Œil Attentif; Pataugastrique; Dofus Ocre; Dokoko; Dofus Abyssal; Dofus Émeraude; Docteur majeur; El Scarador</t>
        </is>
      </c>
    </row>
    <row r="15020">
      <c r="A15020" t="inlineStr">
        <is>
          <t>terre</t>
        </is>
      </c>
      <c r="B15020">
        <f>HYPERLINK("https://www.dofusbook.net/fr/equipement/1740955-terre/objets", "link")</f>
        <v/>
      </c>
      <c r="C15020" t="n">
        <v>1</v>
      </c>
      <c r="D15020" t="inlineStr">
        <is>
          <t>Marteau R'ture; Amulette du Cœur Saignant; Anneau de Brouce; Anneau du Comte Harebourg; Bouclier du Captain Amakna; Ceinture de Brouce; Coiffe du Comte Harebourg; Cape du Cœur Saignant; Bottes du Cœur Saignant; Dolmanax; Dofus Ocre; Dofus Pourpre; Dofus Abyssal; Dofus Turquoise; Forcené majeur; Muldo Prune et Pourpre</t>
        </is>
      </c>
    </row>
    <row r="15021">
      <c r="A15021" t="inlineStr">
        <is>
          <t>air</t>
        </is>
      </c>
      <c r="B15021">
        <f>HYPERLINK("https://www.dofusbook.net/fr/equipement/3323932-air-/objets", "link")</f>
        <v/>
      </c>
      <c r="C15021" t="n">
        <v>0</v>
      </c>
      <c r="D15021" t="inlineStr">
        <is>
          <t>Manthache; Collier du Valet Veinard; Gant du Valet Veinard; Alliance Gloursonne; Bouclier précieux; Ceintouse; Chapoulpe; Cape du Valet Veinard; Tentassons; Dofus Ocre; Dofus Ivoire; Dokoko; Dofus Nébuleux; Dofus Argenté; Dofus Abyssal; Muldo Ebène</t>
        </is>
      </c>
    </row>
    <row r="15022">
      <c r="A15022" t="inlineStr">
        <is>
          <t>do pou</t>
        </is>
      </c>
      <c r="B15022">
        <f>HYPERLINK("https://www.dofusbook.net/fr/equipement/1927457-do-pou/objets", "link")</f>
        <v/>
      </c>
      <c r="C15022" t="n">
        <v>2</v>
      </c>
      <c r="D15022" t="inlineStr">
        <is>
          <t>Lav'Hache; Torquistik; Anneau de Pol Ouatnos; Bague Instable; Bouclier précieux; Ceinture Gence; Casque Dragoeuf; Cape Solution; Bottistik; Dofus Ivoire; Bousculeur; Culbuteur majeur; Pousseur majeur; Culbuteur; Bousculeur majeur; Kafarce</t>
        </is>
      </c>
    </row>
    <row r="15023">
      <c r="A15023" t="inlineStr">
        <is>
          <t>eau full</t>
        </is>
      </c>
      <c r="B15023">
        <f>HYPERLINK("https://www.dofusbook.net/fr/equipement/2865079-eau-full/objets", "link")</f>
        <v/>
      </c>
      <c r="C15023" t="n">
        <v>2</v>
      </c>
      <c r="D15023" t="inlineStr">
        <is>
          <t>Pelle Emélaka; Amulette de Shokkoth; Alliance Gloursonne; Bracelet des Fonds marins; Bouclier alvéolé; Sangle Ouare; Casque Dragoeuf; Cape Solution; Sandales des Fonds marins; Dofus Abyssal; Dokoko; Dofus Ocre; Remueur; Chanceux majeur; Miraculé majeur; Muldo Ebène et Amande</t>
        </is>
      </c>
    </row>
    <row r="15024">
      <c r="A15024" t="inlineStr">
        <is>
          <t>eau 200</t>
        </is>
      </c>
      <c r="B15024">
        <f>HYPERLINK("https://www.dofusbook.net/fr/equipement/3293448-eau-200/objets", "link")</f>
        <v/>
      </c>
      <c r="C15024" t="n">
        <v>1</v>
      </c>
      <c r="D15024" t="inlineStr">
        <is>
          <t>Dagoulinantes; Amulette de Shokkoth; Alliance Gloursonne; Bracelet des Fonds marins; Cadran de Terre; Poulpagne; Kidibonnet; Chevelure de Tal Kasha; Sandales de Tal Kasha; Muldo Ebène et Indigo</t>
        </is>
      </c>
    </row>
    <row r="15025">
      <c r="A15025" t="inlineStr">
        <is>
          <t>terre</t>
        </is>
      </c>
      <c r="B15025">
        <f>HYPERLINK("https://www.dofusbook.net/fr/equipement/3278666-terre/objets", "link")</f>
        <v/>
      </c>
      <c r="C15025" t="n">
        <v>0</v>
      </c>
      <c r="D15025" t="inlineStr">
        <is>
          <t>Marteau R'ture; Collier de Tourthon; Anneau du Comte Harebourg; Anneau de Brouce; Bouclier d'Ilyzaelle; Ceinture de Brouce; Coiffe du Comte Harebourg; Cape au Logis; Bottes du Comte Harebourg; Dofus Abyssal; Dofus Ocre; Dofus Pourpre; Dofus des Glaces; Dofus Turquoise; Forcené majeur; Kompost</t>
        </is>
      </c>
    </row>
    <row r="15026">
      <c r="A15026" t="inlineStr">
        <is>
          <t>terre</t>
        </is>
      </c>
      <c r="B15026">
        <f>HYPERLINK("https://www.dofusbook.net/fr/equipement/3270707-terre/objets", "link")</f>
        <v/>
      </c>
      <c r="C15026" t="n">
        <v>2</v>
      </c>
      <c r="D15026" t="inlineStr">
        <is>
          <t>Dagues Érhy; Collier de Tourthon; Alliance Brûlâme; Anneau Chevelu; Bouclier d'Ilyzaelle; Ceinture de Gein; Chapeau de Gein; Cape du Cœur Saignant; Sabots Minables; Dofus Abyssal; Dofus Ivoire; Dofus des Glaces; Enragé majeur; Miraculé majeur; Remueur; Muldo Orchidée</t>
        </is>
      </c>
    </row>
    <row r="15027">
      <c r="A15027" t="inlineStr">
        <is>
          <t>dopou</t>
        </is>
      </c>
      <c r="B15027">
        <f>HYPERLINK("https://www.dofusbook.net/fr/equipement/2549893-dopou/objets", "link")</f>
        <v/>
      </c>
      <c r="C15027" t="n">
        <v>7</v>
      </c>
      <c r="D15027" t="inlineStr">
        <is>
          <t>Arc du Chalœil; Amulette du Cœur Vaillant; Bague Gloursonne; Anneau Chevelu; Quatre-feuilles; Ceinture Gence; Coiffe de la Reine des Voleurs; Cape du Cœur Vaillant; Bottes Trithon; Dofus des Glaces; Dofus Ocre; Dofus Pourpre; Dofus Abyssal; Dofus Turquoise; Déserteur majeur; Muldo Ebène et Pourpre</t>
        </is>
      </c>
    </row>
    <row r="15028">
      <c r="A15028" t="inlineStr">
        <is>
          <t>air anneau classe</t>
        </is>
      </c>
      <c r="B15028">
        <f>HYPERLINK("https://www.dofusbook.net/fr/equipement/3013430-air-anneau-classe/objets", "link")</f>
        <v/>
      </c>
      <c r="C15028" t="n">
        <v>0</v>
      </c>
      <c r="D15028" t="inlineStr">
        <is>
          <t>Dagues Érhy; Collier du Valet Veinard; Gant du Valet Veinard; Anneau Pwal; Bouclier du Stalak; Ceintouse; Chapoulpe; Cape du Valet Veinard; Tentassons; Dolmanax; Dofus Abyssal; Dofus Ivoire; Dofus Pourpre; Dofus Émeraude; Dofus Ocre; Muldo Ebène et Pourpre</t>
        </is>
      </c>
    </row>
    <row r="15029">
      <c r="A15029" t="inlineStr">
        <is>
          <t>terre pif</t>
        </is>
      </c>
      <c r="B15029">
        <f>HYPERLINK("https://www.dofusbook.net/fr/equipement/3165647-terre-pif/objets", "link")</f>
        <v/>
      </c>
      <c r="C15029" t="n">
        <v>0</v>
      </c>
      <c r="D15029" t="inlineStr">
        <is>
          <t>Marteau R'ture; Collier de Tourthon; Anneau du Comte Harebourg; Anneau de Brouce; Bouclier d'Ilyzaelle; Ceinture de Brouce; Coiffe du Comte Harebourg; Cape au Logis; Bottes du Comte Harebourg; Dofus Abyssal; Dofus Turquoise; Dofus Ocre; Dofus Pourpre; Furibond majeur; Forcené majeur; Kompost</t>
        </is>
      </c>
    </row>
    <row r="15030">
      <c r="A15030" t="inlineStr">
        <is>
          <t>caca</t>
        </is>
      </c>
      <c r="B15030">
        <f>HYPERLINK("https://www.dofusbook.net/fr/equipement/3163872-caca/objets", "link")</f>
        <v/>
      </c>
      <c r="C15030" t="n">
        <v>0</v>
      </c>
      <c r="D15030" t="inlineStr">
        <is>
          <t>Epée Gloursonne; Amulette Ementaire Deluxe; Bague Gloursonne; Alliance Gloursonne; Bouclier Taverne; Ceinture de la Reine des Voleurs; Coiffe de la Reine des Voleurs; Voile d'encre; Bottes de la Reine des Voleurs; Dolmanax; Dofus Ocre; Dofus Pourpre; Dofus des Glaces; Dofus Émeraude; Dofus Turquoise; Muldo Ebène et Orchidée</t>
        </is>
      </c>
    </row>
    <row r="15031">
      <c r="A15031" t="inlineStr">
        <is>
          <t>terre 2</t>
        </is>
      </c>
      <c r="B15031">
        <f>HYPERLINK("https://www.dofusbook.net/fr/equipement/3136695-terre-2/objets", "link")</f>
        <v/>
      </c>
      <c r="C15031" t="n">
        <v>0</v>
      </c>
      <c r="D15031" t="inlineStr">
        <is>
          <t>Marteau R'ture; Amulette Luminescente; Anneau Crustique; Anneau du Comte Harebourg; Bouclier d'Ilyzaelle; Ceinture Luminescente; Coiffe du Comte Harebourg; Cape Luminescente; Bottes du Comte Harebourg</t>
        </is>
      </c>
    </row>
    <row r="15032">
      <c r="A15032" t="inlineStr">
        <is>
          <t>feu eau air</t>
        </is>
      </c>
      <c r="B15032">
        <f>HYPERLINK("https://www.dofusbook.net/fr/equipement/3134085-feu-eau-air-/objets", "link")</f>
        <v/>
      </c>
      <c r="C15032" t="n">
        <v>0</v>
      </c>
      <c r="D15032" t="inlineStr">
        <is>
          <t>Epée Gloursonne; Amulette de l'Œil Putride; Alliance Gloursonne; Bague Gloursonne; Bouclier du Stalak; Ceinture de l'Esprit Salvateur; Capuche de l'Œil Putride; Cape de l'Œil Putride; Bottes de l'Esprit Salvateur; Dofus Pourpre; Dofus Abyssal; Dofus Vulbis; Dokoko; Dolmanax; Dofus Ocre; Kramkram</t>
        </is>
      </c>
    </row>
    <row r="15033">
      <c r="A15033" t="inlineStr">
        <is>
          <t>feu</t>
        </is>
      </c>
      <c r="B15033">
        <f>HYPERLINK("https://www.dofusbook.net/fr/equipement/3129211-feu/objets", "link")</f>
        <v/>
      </c>
      <c r="C15033" t="n">
        <v>0</v>
      </c>
      <c r="D15033" t="inlineStr">
        <is>
          <t>Dagues Ricol; Pendentif mignon de Koutoulou; Chevalière du Roi Joueur; Bague Gloursonne; Bouclier d'Ilyzaelle; Ceinture de Vortex; Chapeau de Gein; Cape de Diondin; Bottes Innommables; Dofus Pourpre; Dofus des Glaces; Dofus Turquoise; Dofus Abyssal; Dofus Ocre; Vigoureux majeur; Muldo Orchidée et Pourpre</t>
        </is>
      </c>
    </row>
    <row r="15034">
      <c r="A15034" t="inlineStr">
        <is>
          <t>eau do pou</t>
        </is>
      </c>
      <c r="B15034">
        <f>HYPERLINK("https://www.dofusbook.net/fr/equipement/2962920-eau-do-pou/objets", "link")</f>
        <v/>
      </c>
      <c r="C15034" t="n">
        <v>1</v>
      </c>
      <c r="D15034" t="inlineStr">
        <is>
          <t>Épée Brûlâme; Amulette de Shokkoth; Alliance Gloursonne; Bracelet des Fonds marins; Bouclier d'Ilyzaelle; Ceintrigue; Chapeau des Malveilleurs; Cape Solution; Bottes des Malveilleurs; Dofus Turquoise; Dolmanax; Dofus Abyssal; Dofus Pourpre; Remueur; Culbuteur majeur; Muldo Indigo et Orchidée</t>
        </is>
      </c>
    </row>
    <row r="15035">
      <c r="A15035" t="inlineStr">
        <is>
          <t>feu eau</t>
        </is>
      </c>
      <c r="B15035">
        <f>HYPERLINK("https://www.dofusbook.net/fr/equipement/3120058-feu-eau/objets", "link")</f>
        <v/>
      </c>
      <c r="C15035" t="n">
        <v>3</v>
      </c>
      <c r="D15035" t="inlineStr">
        <is>
          <t>Épée Brûlâme; Amulette du Strigide; Bracelet des Fonds marins; Bague Trithon; Bouclier du Captain Amakna; Ceintacé; Masque Trithon; Cape de la Dame du Hasard; Bottes de la Dame du Hasard; Dolmanax; Dofus Ocre; Dofus Pourpre; Dofus des Glaces; Dofus Turquoise; Dofus Abyssal; Muldo Ebène et Orchidée</t>
        </is>
      </c>
    </row>
    <row r="15036">
      <c r="A15036" t="inlineStr">
        <is>
          <t>multi terre à arc</t>
        </is>
      </c>
      <c r="B15036">
        <f>HYPERLINK("https://www.dofusbook.net/fr/equipement/1491661-multi-terre-a-arc/objets", "link")</f>
        <v/>
      </c>
      <c r="C15036" t="n">
        <v>1</v>
      </c>
      <c r="D15036" t="inlineStr">
        <is>
          <t>Arc du Chalœil; Amulette du Strigide; Alliance Gloursonne; Bracelet du Piloztère; Bouclier du Stalak; Ceintacé; Coiffe de la Reine des Voleurs; Voile d'encre; Bottes du Strigide; Dolmanax; Dofus Pourpre; Remueur; Vigoureux majeur; Nomade; Enragé majeur; Kramkram</t>
        </is>
      </c>
    </row>
    <row r="15037">
      <c r="A15037" t="inlineStr">
        <is>
          <t>multi</t>
        </is>
      </c>
      <c r="B15037">
        <f>HYPERLINK("https://www.dofusbook.net/fr/equipement/1430715-multi/objets", "link")</f>
        <v/>
      </c>
      <c r="C15037" t="n">
        <v>0</v>
      </c>
      <c r="D15037" t="inlineStr">
        <is>
          <t>Marteau des égarés; Amulette du Strigide; Bague Gloursonne; Alliance Gloursonne; Bouclier du Captain Amakna; Ceintacé; Maskrobe; Cape du Chalœil; Bottes du Strigide; Dofus Pourpre; Dofus Ocre; Dolmanax; Dofus Abyssal; Dofus Turquoise; Dofus des Glaces; Kramkram</t>
        </is>
      </c>
    </row>
    <row r="15038">
      <c r="A15038" t="inlineStr">
        <is>
          <t>air</t>
        </is>
      </c>
      <c r="B15038">
        <f>HYPERLINK("https://www.dofusbook.net/fr/equipement/3112482-air-/objets", "link")</f>
        <v/>
      </c>
      <c r="C15038" t="n">
        <v>0</v>
      </c>
      <c r="D15038" t="inlineStr">
        <is>
          <t>Manthache; Collier du Valet Veinard; Alliance Gloursonne; Gant du Valet Veinard; Bouclier d'Ilyzaelle; Ceintouse; Chapoulpe; Cape du Valet Veinard; Tentassons; Dofus Pourpre; Dofus des Glaces; Dofus Turquoise; Dofus Abyssal; Dolmanax; Dofus Ocre; Muldo Ebène et Pourpre</t>
        </is>
      </c>
    </row>
    <row r="15039">
      <c r="A15039" t="inlineStr">
        <is>
          <t>baguette amroth</t>
        </is>
      </c>
      <c r="B15039">
        <f>HYPERLINK("https://www.dofusbook.net/fr/equipement/3111881-baguette-amroth/objets", "link")</f>
        <v/>
      </c>
      <c r="C15039" t="n">
        <v>1</v>
      </c>
      <c r="D15039" t="inlineStr">
        <is>
          <t>Amrothiline; Amulette du Cœur Saignant; Anneau Chevelu; Chevalière du Roi Joueur; Quatre-feuilles; Ceintacé; Couronne du Roi Joueur; Cape du Cœur Saignant; Bottes du Cœur Saignant; Dofus Pourpre; Dofus des Glaces; Dofus Turquoise; Dofus Abyssal; Dofus Ocre; Muldo Prune et Emeraude</t>
        </is>
      </c>
    </row>
    <row r="15040">
      <c r="A15040" t="inlineStr">
        <is>
          <t>feu air</t>
        </is>
      </c>
      <c r="B15040">
        <f>HYPERLINK("https://www.dofusbook.net/fr/equipement/3110744-feu-air-/objets", "link")</f>
        <v/>
      </c>
      <c r="C15040" t="n">
        <v>12</v>
      </c>
      <c r="D15040" t="inlineStr">
        <is>
          <t>Marteau Phossile; Pendentif mignon de Koutoulou; Anneau Rifique; Alliance Gloursonne; Bouclier d'Ilyzaelle; Ceinture de Vortex; Capuche de l'Œil Putride; Cape de Diondin; Bottes du Cycloïde; Dofus Pourpre; Dofus Émeraude; Dofus Turquoise; Miraculé majeur; Nomade; Remueur; Kramkram</t>
        </is>
      </c>
    </row>
    <row r="15041">
      <c r="A15041" t="inlineStr">
        <is>
          <t>feu eau cacterre</t>
        </is>
      </c>
      <c r="B15041">
        <f>HYPERLINK("https://www.dofusbook.net/fr/equipement/3108906-feu-eau-cacterre/objets", "link")</f>
        <v/>
      </c>
      <c r="C15041" t="n">
        <v>0</v>
      </c>
      <c r="D15041" t="inlineStr">
        <is>
          <t>Dagues Cacterre; Amulette du Strigide; Bracelet du Piloztère; Bague Trithon; Bouclier du Captain Amakna; Ceinture du Strigide; Masque Trithon; Cape de la Dame du Hasard; Bottes Trithon; Dofus Pourpre; Dofus des Glaces; Dofus Turquoise; Dofus Abyssal; Dokoko; Dofus Ocre; Muldo Ebène</t>
        </is>
      </c>
    </row>
    <row r="15042">
      <c r="A15042" t="inlineStr">
        <is>
          <t>feu air</t>
        </is>
      </c>
      <c r="B15042">
        <f>HYPERLINK("https://www.dofusbook.net/fr/equipement/2970974-feu-air-/objets", "link")</f>
        <v/>
      </c>
      <c r="C15042" t="n">
        <v>0</v>
      </c>
      <c r="D15042" t="inlineStr">
        <is>
          <t>Sabres d'Atcham; Amulette du Strigide; Alliance Gloursonne; Anneau de Padgref; Quatre-feuilles; Ceinture du Strigide; Coiffe de Padgref; Cape d'Atcham; Sandales  d'Atcham; Dofus Ocre; Dofus Pourpre; Dofus des Glaces; Dofus Turquoise; Dofus Abyssal; Dolmanax; Muldo Ebène et Indigo</t>
        </is>
      </c>
    </row>
    <row r="15043">
      <c r="A15043" t="inlineStr">
        <is>
          <t>eau air</t>
        </is>
      </c>
      <c r="B15043">
        <f>HYPERLINK("https://www.dofusbook.net/fr/equipement/2630486-eau-air/objets", "link")</f>
        <v/>
      </c>
      <c r="C15043" t="n">
        <v>0</v>
      </c>
      <c r="D15043" t="inlineStr">
        <is>
          <t>Rapière aux Glyphes; Amulette d'Ilyzaelle; Gant du Valet Veinard; Alliance Gloursonne; Bouclier d'Ilyzaelle; Ceinture de la Reine des Voleurs; Casque d'Ilyzaelle; Chevelure de Tal Kasha; Bottes de la Reine des Voleurs; Dokoko; Dofus Ocre; Dofus Pourpre; Dofus Abyssal; Dofus Turquoise; Dofus Ivoire; Muldo Ebène</t>
        </is>
      </c>
    </row>
    <row r="15044">
      <c r="A15044" t="inlineStr">
        <is>
          <t>feu eau air</t>
        </is>
      </c>
      <c r="B15044">
        <f>HYPERLINK("https://www.dofusbook.net/fr/equipement/3013454-feu-eau-air-/objets", "link")</f>
        <v/>
      </c>
      <c r="C15044" t="n">
        <v>0</v>
      </c>
      <c r="D15044" t="inlineStr">
        <is>
          <t>Epée Gloursonne; Amulette de l'Œil Putride; Bague Gloursonne; Alliance Gloursonne; Bouclier cubiste; Ougature; Capuche de l'Œil Putride; Cape de l'Œil Putride; Sandales  d'Atcham; Dofus Pourpre; Dofus Abyssal; Dofus Ocre; Dofus Ivoire; Dolmanax; Dofus des Glaces; Muldo Ebène</t>
        </is>
      </c>
    </row>
    <row r="15045">
      <c r="A15045" t="inlineStr">
        <is>
          <t>feu/air</t>
        </is>
      </c>
      <c r="B15045">
        <f>HYPERLINK("https://www.dofusbook.net/fr/equipement/3085236-feu-air/objets", "link")</f>
        <v/>
      </c>
      <c r="C15045" t="n">
        <v>0</v>
      </c>
      <c r="D15045" t="inlineStr">
        <is>
          <t>Dagues Érhy; Pendentif mignon de Koutoulou; Anneau de Padgref; Kralano; Bouclier du Stalak; Ceinture de Vortex; Chapeau des Malveilleurs; Cape des Malveilleurs; Pantoufles Émar; Dofus des Glaces; Dolmanax; Dofus Pourpre; Vigoureux majeur; Remueur; Temporiseur majeur; Muldo Orchidée et Pourpre</t>
        </is>
      </c>
    </row>
    <row r="15046">
      <c r="A15046" t="inlineStr">
        <is>
          <t>full intel</t>
        </is>
      </c>
      <c r="B15046">
        <f>HYPERLINK("https://www.dofusbook.net/fr/equipement/3007425-full-intel-/objets", "link")</f>
        <v/>
      </c>
      <c r="C15046" t="n">
        <v>1</v>
      </c>
      <c r="D15046" t="inlineStr">
        <is>
          <t>Arc corrompu; Amulette de Nileza; Anneau de Padgref; Anneau de Nidas; Bouclier du Stalak; Ceinture Séculaire; Coiffe Séculaire; Cape de Diondin; Bottes de Nileza; Dofus Turquoise; Dofus Ocre; Dofus Vulbis; Dofus Abyssal; Astucieux majeur; Brûlih</t>
        </is>
      </c>
    </row>
    <row r="15047">
      <c r="A15047" t="inlineStr">
        <is>
          <t>terre feu</t>
        </is>
      </c>
      <c r="B15047">
        <f>HYPERLINK("https://www.dofusbook.net/fr/equipement/2971080-terre-feu/objets", "link")</f>
        <v/>
      </c>
      <c r="C15047" t="n">
        <v>2</v>
      </c>
      <c r="D15047" t="inlineStr">
        <is>
          <t>Epée Toche; Amulette du Strigide; Bague Gloursonne; Anneau Chevelu; Bivalve; Ceinture du Strigide; Couronne du Roi Joueur; Voile d'encre; Baleinabottes; Dofus Turquoise; Dolmanax; Dofus Pourpre; Vigoureux majeur; Remueur; Érudit majeur; Muldo Prune et Orchidée</t>
        </is>
      </c>
    </row>
    <row r="15048">
      <c r="A15048" t="inlineStr">
        <is>
          <t>eau air</t>
        </is>
      </c>
      <c r="B15048">
        <f>HYPERLINK("https://www.dofusbook.net/fr/equipement/2970762-eau-air/objets", "link")</f>
        <v/>
      </c>
      <c r="C15048" t="n">
        <v>0</v>
      </c>
      <c r="D15048" t="inlineStr">
        <is>
          <t>Hache du Korriandre; Amulette du Strigide; Alliance Gloursonne; Bracelet du Piloztère; Bouclier Taverne; Ceintacé; Némès de Tal Kasha; Chevelure de Tal Kasha; Bottes Voldelor; Dofus Turquoise; Dolmanax; Dofus Pourpre; Nomade; Vigoureux majeur; Remueur; Kramkram</t>
        </is>
      </c>
    </row>
    <row r="15049">
      <c r="A15049" t="inlineStr">
        <is>
          <t>full terre</t>
        </is>
      </c>
      <c r="B15049">
        <f>HYPERLINK("https://www.dofusbook.net/fr/equipement/2952873-full-terre-/objets", "link")</f>
        <v/>
      </c>
      <c r="C15049" t="n">
        <v>1</v>
      </c>
      <c r="D15049" t="inlineStr">
        <is>
          <t>Dagues Érhy; Collier de Tourthon; Anneau Chevelu; Anneau de Brouce; Bouclier du Stalak; Ceinture Gence; Chapeau de Gein; Cape du Cœur Saignant; Bottes de Brouce; Dofus Turquoise; Dofus Ocre; Dofus Nébuleux; Dofus Pourpre; Enragé majeur; Forcené majeur</t>
        </is>
      </c>
    </row>
    <row r="15050">
      <c r="A15050" t="inlineStr">
        <is>
          <t>eau air</t>
        </is>
      </c>
      <c r="B15050">
        <f>HYPERLINK("https://www.dofusbook.net/fr/equipement/2932067-eau-air-/objets", "link")</f>
        <v/>
      </c>
      <c r="C15050" t="n">
        <v>0</v>
      </c>
      <c r="D15050" t="inlineStr">
        <is>
          <t>Hache du Korriandre; Amulette du Strigide; Alliance Gloursonne; Bague Gloursonne; Bouclier du Stalak; Ceinture du Strigide; Némès de Tal Kasha; Chevelure de Tal Kasha; Sandales de Tal Kasha; Dofus des Glaces; Dofus Ocre; Dofus Pourpre; Dofus Abyssal; Dofus Turquoise; Dofus Ivoire; Muldo Ebène</t>
        </is>
      </c>
    </row>
    <row r="15051">
      <c r="A15051" t="inlineStr">
        <is>
          <t>eau feu</t>
        </is>
      </c>
      <c r="B15051">
        <f>HYPERLINK("https://www.dofusbook.net/fr/equipement/2369847-eau-feu-/objets", "link")</f>
        <v/>
      </c>
      <c r="C15051" t="n">
        <v>0</v>
      </c>
      <c r="D15051" t="inlineStr">
        <is>
          <t>Rapière aux Glyphes; Amulette de Shokkoth; Bracelet du Piloztère; Alliance Gloursonne; Bouclier du Stalak; Sangle Ouare; Casque d'Ilyzaelle; Cape de l'Œil Putride; Baleinabottes; Dofus Ocre; Dofus Abyssal; Dofus Pourpre; Vigoureux majeur; Déserteur majeur; Temporiseur majeur; Kramkram</t>
        </is>
      </c>
    </row>
    <row r="15052">
      <c r="A15052" t="inlineStr">
        <is>
          <t>full air</t>
        </is>
      </c>
      <c r="B15052">
        <f>HYPERLINK("https://www.dofusbook.net/fr/equipement/2870768-full-air/objets", "link")</f>
        <v/>
      </c>
      <c r="C15052" t="n">
        <v>0</v>
      </c>
      <c r="D15052" t="inlineStr">
        <is>
          <t>Dagues Érhy; Collier du Valet Veinard; Alliance Gloursonne; Gant du Valet Veinard; Bouclier du Stalak; Ceintouse; Chapoulpe; Cape du Valet Veinard; Tentassons; Dofus Ocre; Dofus Pourpre; Dofus Abyssal; Dokoko; Dofus Turquoise; Dolmanax; Muldo Ebène et Pourpre</t>
        </is>
      </c>
    </row>
    <row r="15053">
      <c r="A15053" t="inlineStr">
        <is>
          <t>terre</t>
        </is>
      </c>
      <c r="B15053">
        <f>HYPERLINK("https://www.dofusbook.net/fr/equipement/2639241-terre-/objets", "link")</f>
        <v/>
      </c>
      <c r="C15053" t="n">
        <v>0</v>
      </c>
      <c r="D15053" t="inlineStr">
        <is>
          <t>Marteau R'ture; Amulette du Kamasterisk; Anneau de Brouce; Anneau Chevelu; Bouclier d'Ilyzaelle; Ceinture Gence; Coiffe de la Fuji Givrefoux; Voile d'encre; Bottes du Kamasterisk; Dofus Ocre; Dofus Pourpre; Dofus Abyssal; Dokoko; Dofus Turquoise; Dofus Émeraude; Muldo Pourpre</t>
        </is>
      </c>
    </row>
    <row r="15054">
      <c r="A15054" t="inlineStr">
        <is>
          <t>eau</t>
        </is>
      </c>
      <c r="B15054">
        <f>HYPERLINK("https://www.dofusbook.net/fr/equipement/2746245-eau/objets", "link")</f>
        <v/>
      </c>
      <c r="C15054" t="n">
        <v>0</v>
      </c>
      <c r="D15054" t="inlineStr">
        <is>
          <t>Hachoirs de Viandargh; Amibou; Anneau de Padgref; Alliance Gloursonne; Bouclier cubiste; Menoture; Couronne d'Allister; Capibou; Palmes Trithons; Dofus des Glaces; Dofus Turquoise; Dofus Ocre; Dofus Abyssal; Bousculeur majeur; Culbuteur majeur; Muldo Prune et Ebène</t>
        </is>
      </c>
    </row>
    <row r="15055">
      <c r="A15055" t="inlineStr">
        <is>
          <t>eau 200</t>
        </is>
      </c>
      <c r="B15055">
        <f>HYPERLINK("https://www.dofusbook.net/fr/equipement/2669594-eau-200/objets", "link")</f>
        <v/>
      </c>
      <c r="C15055" t="n">
        <v>0</v>
      </c>
      <c r="D15055" t="inlineStr">
        <is>
          <t>Baguette Héroclite; Amulette de Shokkoth; Alliance Gloursonne; Bracelet des Fonds marins; Bouclier du Stalak; Ceinture Glaciale; Casque Dragoeuf; Cape Solution; Sandales des Fonds marins</t>
        </is>
      </c>
    </row>
    <row r="15056">
      <c r="A15056" t="inlineStr">
        <is>
          <t>eau air intermed</t>
        </is>
      </c>
      <c r="B15056">
        <f>HYPERLINK("https://www.dofusbook.net/fr/equipement/2651073-eau-air-intermed/objets", "link")</f>
        <v/>
      </c>
      <c r="C15056" t="n">
        <v>0</v>
      </c>
      <c r="D15056" t="inlineStr">
        <is>
          <t>Pelle Fik; Amulette Hale; Alliance Gloursonne; Annolamour; Quatre-feuilles; Ceinture Glaciale; Coiffe de Danathor; Cape Matelassée; Chaussures Face; Chanceux majeur; Nomade; Miraculé majeur; Déserteur majeur; Remueur; Muldo Indigo et Pourpre</t>
        </is>
      </c>
    </row>
    <row r="15057">
      <c r="A15057" t="inlineStr">
        <is>
          <t>eau 18X 19X</t>
        </is>
      </c>
      <c r="B15057">
        <f>HYPERLINK("https://www.dofusbook.net/fr/equipement/2642714-eau-18x-19x/objets", "link")</f>
        <v/>
      </c>
      <c r="C15057" t="n">
        <v>0</v>
      </c>
      <c r="D15057" t="inlineStr">
        <is>
          <t>Crolier; Anneau Tabéné; Anneau du Professeur Xa; Ceintrémorse; Casquoporth; Cape du Korriandre; Bottines Hodore</t>
        </is>
      </c>
    </row>
    <row r="15058">
      <c r="A15058" t="inlineStr">
        <is>
          <t>terre/eau</t>
        </is>
      </c>
      <c r="B15058">
        <f>HYPERLINK("https://www.dofusbook.net/fr/equipement/2642148-terre-eau/objets", "link")</f>
        <v/>
      </c>
      <c r="C15058" t="n">
        <v>0</v>
      </c>
      <c r="D15058" t="inlineStr">
        <is>
          <t>Épouvante; Amulette Luminescente; Alliance Gloursonne; Bague Gloursonne; Cadran de Terre; Culotte de Bethel; Masque de Funespadon; Cape Luminescente; Chaussons de Macrab; Dolmanax; Dofus Ocre; Dofus Pourpre; Dofus des Glaces; Dofus Turquoise; Dofus Abyssal; Muldo Ebène et Pourpre</t>
        </is>
      </c>
    </row>
    <row r="15059">
      <c r="A15059" t="inlineStr">
        <is>
          <t>eau</t>
        </is>
      </c>
      <c r="B15059">
        <f>HYPERLINK("https://www.dofusbook.net/fr/equipement/2640855-eau/objets", "link")</f>
        <v/>
      </c>
      <c r="C15059" t="n">
        <v>0</v>
      </c>
      <c r="D15059" t="inlineStr">
        <is>
          <t>Pelle Emélaka; Amulette de Shokkoth; Alliance Gloursonne; Bracelet des Fonds marins; Quatre-feuilles; Ceinture Glaciale; Coiffe de Danathor; Cape Solution; Sandales des Fonds marins; Dofus Turquoise; Dofus Ocre; Dokoko; Dofus Abyssal; Chanceux majeur; Déserteur majeur; Muldo Ebène et Indigo</t>
        </is>
      </c>
    </row>
    <row r="15060">
      <c r="A15060" t="inlineStr">
        <is>
          <t>eau new elio</t>
        </is>
      </c>
      <c r="B15060">
        <f>HYPERLINK("https://www.dofusbook.net/fr/equipement/1744305-eau-new-elio/objets", "link")</f>
        <v/>
      </c>
      <c r="C15060" t="n">
        <v>1</v>
      </c>
      <c r="D15060" t="inlineStr">
        <is>
          <t>Rapière aux Glyphes; Amulette de l'Œil Attentif; Bracelet des Fonds marins; Alliance Gloursonne; Bouclier du Stalak; Ceinture Glaciale; Capuche de l'Œil Attentif; Cape de l'Œil Attentif; Sandales des Fonds marins; Dofus Turquoise; Dofus Abyssal; Dolmanax; Dofus Ocre; Dofus Pourpre; Dokoko; Muldo Ebène et Orchidée</t>
        </is>
      </c>
    </row>
    <row r="15061">
      <c r="A15061" t="inlineStr">
        <is>
          <t>feu pvp</t>
        </is>
      </c>
      <c r="B15061">
        <f>HYPERLINK("https://www.dofusbook.net/fr/equipement/2619523-feu-pvp/objets", "link")</f>
        <v/>
      </c>
      <c r="C15061" t="n">
        <v>0</v>
      </c>
      <c r="D15061" t="inlineStr">
        <is>
          <t>Massier; Amulette de Nileza; Anneau de Nidas; Anneauræus; Ceinture Séculaire; Heaume Oplate; Voile d'encre; Bottes Innommables</t>
        </is>
      </c>
    </row>
    <row r="15062">
      <c r="A15062" t="inlineStr">
        <is>
          <t>full eau</t>
        </is>
      </c>
      <c r="B15062">
        <f>HYPERLINK("https://www.dofusbook.net/fr/equipement/1656566-full-eau-/objets", "link")</f>
        <v/>
      </c>
      <c r="C15062" t="n">
        <v>1</v>
      </c>
      <c r="D15062" t="inlineStr">
        <is>
          <t>Dagoulinantes; Amulette de Shokkoth; Bracelet des Fonds marins; Alliance Gloursonne; Bouclier précieux; Sangle Ouare; Chapeau des Malveilleurs; Cape Solution; Bottes des Malveilleurs; Dofus Abyssal; Dofus Turquoise; Dofus Ocre; Culbuteur majeur; Pousseur majeur; Bousculeur majeur</t>
        </is>
      </c>
    </row>
    <row r="15063">
      <c r="A15063" t="inlineStr">
        <is>
          <t>air full</t>
        </is>
      </c>
      <c r="B15063">
        <f>HYPERLINK("https://www.dofusbook.net/fr/equipement/175806-air-full-/objets", "link")</f>
        <v/>
      </c>
      <c r="C15063" t="n">
        <v>0</v>
      </c>
      <c r="D15063" t="inlineStr">
        <is>
          <t>Manthache; Collier du Valet Veinard; Alliance Gloursonne; Gant du Valet Veinard; Bouclier du Stalak; Ceintouse; Chapoulpe; Cape du Valet Veinard; Tentassons; Dofus des Glaces; Dofus Pourpre; Dokoko; Dofus Ocre; Dofus Émeraude; Dofus Abyssal; Muldo Ebène</t>
        </is>
      </c>
    </row>
    <row r="15064">
      <c r="A15064" t="inlineStr">
        <is>
          <t>eau</t>
        </is>
      </c>
      <c r="B15064">
        <f>HYPERLINK("https://www.dofusbook.net/fr/equipement/2532448-eau/objets", "link")</f>
        <v/>
      </c>
      <c r="C15064" t="n">
        <v>0</v>
      </c>
      <c r="D15064" t="inlineStr">
        <is>
          <t>Rapière aux Glyphes; Amulette de l'Œil Attentif; Alliance Gloursonne; Bracelet des Fonds marins; Bouclier d'Ilyzaelle; Ceinture Voldelor; Capuche de l'Œil Attentif; Cape de l'Œil Attentif; Bottes du Sinistrofu; Dolmanax; Dofus Ocre; Dofus Pourpre; Dofus des Glaces; Dofus Turquoise; Dofus Abyssal; Muldo Prune et Indigo</t>
        </is>
      </c>
    </row>
    <row r="15065">
      <c r="A15065" t="inlineStr">
        <is>
          <t>terre et air</t>
        </is>
      </c>
      <c r="B15065">
        <f>HYPERLINK("https://www.dofusbook.net/fr/equipement/2256209-terre-et-air-/objets", "link")</f>
        <v/>
      </c>
      <c r="C15065" t="n">
        <v>0</v>
      </c>
      <c r="D15065" t="inlineStr">
        <is>
          <t>Epée Gloursonne; Amulette du Kamasterisk; Alliance Gloursonne; Bague Gloursonne; Bouclier d'Ilyzaelle; Ceintouse; Chapoulpe; Cape du Kamasterisk; Tentassons; Dofus Turquoise; Dofus Abyssal; Dofus Pourpre; Dofus Ocre; Dolmanax; Dofus des Glaces; Muldo Prune</t>
        </is>
      </c>
    </row>
    <row r="15066">
      <c r="A15066" t="inlineStr">
        <is>
          <t>nouveau stuff</t>
        </is>
      </c>
      <c r="B15066">
        <f>HYPERLINK("https://www.dofusbook.net/fr/equipement/1995741-nouveau-stuff-/objets", "link")</f>
        <v/>
      </c>
      <c r="C15066" t="n">
        <v>1</v>
      </c>
      <c r="D15066" t="inlineStr">
        <is>
          <t>Dagues d'Ilyzaelle; Amulette du Cœur Saignant; Alliance Gloursonne; Anneau Chevelu; Bouclier d'Ilyzaelle; Ceinture de la Cour Sombre; Casque Dragoeuf; Cape du Cœur Saignant; Bottes du Cœur Saignant; Dofus Turquoise; Dofus Émeraude; Dofus Ocre; Dofus Abyssal; Dokoko; Dofus des Glaces; Muldo Ebène et Indigo</t>
        </is>
      </c>
    </row>
    <row r="15067">
      <c r="A15067" t="inlineStr">
        <is>
          <t>terre air do pou</t>
        </is>
      </c>
      <c r="B15067">
        <f>HYPERLINK("https://www.dofusbook.net/fr/equipement/2369926-terre-air-do-pou-/objets", "link")</f>
        <v/>
      </c>
      <c r="C15067" t="n">
        <v>1</v>
      </c>
      <c r="D15067" t="inlineStr">
        <is>
          <t>Lance corrompue; Torquistik; Bague Trithon; Alliance Gloursonne; Bouclier précieux; Ceinture de la Reine des Voleurs; Coiffe de la Reine des Voleurs; Cape du Cœur Vaillant; Baleinabottes; Dofus Émeraude; Dofus Turquoise; Dofus Ocre; Culbuteur majeur; Miraculé majeur; Bousculeur majeur; Muldo Ebène</t>
        </is>
      </c>
    </row>
    <row r="15068">
      <c r="A15068" t="inlineStr">
        <is>
          <t>kill folle</t>
        </is>
      </c>
      <c r="B15068">
        <f>HYPERLINK("https://www.dofusbook.net/fr/equipement/2353604-kill-folle-/objets", "link")</f>
        <v/>
      </c>
      <c r="C15068" t="n">
        <v>0</v>
      </c>
      <c r="D15068" t="inlineStr">
        <is>
          <t>Arc Hétype; Amulette de Nileza; Anneau Tique; Anneau de Nidas; Bouclier cubiste; Ceinture de Vortex; Couronne de Nidas; Voile d'encre; Pataugastrique; Dofus Ocre; Dofus Turquoise; Dokoko; Érudit majeur; Déserteur majeur; Temporiseur majeur; Muldo Pourpre et Amande</t>
        </is>
      </c>
    </row>
    <row r="15069">
      <c r="A15069" t="inlineStr">
        <is>
          <t>eau air</t>
        </is>
      </c>
      <c r="B15069">
        <f>HYPERLINK("https://www.dofusbook.net/fr/equipement/2353412-eau-air/objets", "link")</f>
        <v/>
      </c>
      <c r="C15069" t="n">
        <v>0</v>
      </c>
      <c r="D15069" t="inlineStr">
        <is>
          <t>Arc de Koutoulou; Amulette de Shokkoth; Alliance Gloursonne; Anneau Tique; Quatre-feuilles; Menoture; Némès de Tal Kasha; Chevelure de Tal Kasha; Sandales de Tal Kasha; Dofus Turquoise; Dofus Abyssal; Dokoko; Dofus Ocre; Dofus Pourpre; Dofus des Glaces; Muldo Ebène et Indigo</t>
        </is>
      </c>
    </row>
    <row r="15070">
      <c r="A15070" t="inlineStr">
        <is>
          <t>terre/air/eau/dopou</t>
        </is>
      </c>
      <c r="B15070">
        <f>HYPERLINK("https://www.dofusbook.net/fr/equipement/2340728-terre-air-eau-dopou/objets", "link")</f>
        <v/>
      </c>
      <c r="C15070" t="n">
        <v>1</v>
      </c>
      <c r="D15070" t="inlineStr">
        <is>
          <t>Lance corrompue; Amulette du Cœur Vaillant; Bague Trithon; Alliance Gloursonne; Bouclier précieux; Ceinture de la Reine des Voleurs; Coiffe de la Reine des Voleurs; Cape du Cœur Vaillant; Bottes du Cœur Vaillant; Dokoko; Dofus Ocre; Dofus Émeraude; Dofus Abyssal; Dofus Ivoire; Bousculeur majeur; Muldo Ebène</t>
        </is>
      </c>
    </row>
    <row r="15071">
      <c r="A15071" t="inlineStr">
        <is>
          <t>feu</t>
        </is>
      </c>
      <c r="B15071">
        <f>HYPERLINK("https://www.dofusbook.net/fr/equipement/2340546-feu/objets", "link")</f>
        <v/>
      </c>
      <c r="C15071" t="n">
        <v>0</v>
      </c>
      <c r="D15071" t="inlineStr">
        <is>
          <t>Baguette de Malléfisk; Pendentif affamé; Anneau de Nidas; Alliance Boletée; Carapar; Ceinture de Vortex; Couronne de Nidas; Voile d'encre; Tongues de Nidas; Dofus Émeraude; Dofus Ocre; Dokoko; Dofus Abyssal; Vagabond majeur; Muldo Ebène et Pourpre</t>
        </is>
      </c>
    </row>
    <row r="15072">
      <c r="A15072" t="inlineStr">
        <is>
          <t>skin</t>
        </is>
      </c>
      <c r="B15072">
        <f>HYPERLINK("https://www.dofusbook.net/fr/equipement/2118367-skin/objets", "link")</f>
        <v/>
      </c>
      <c r="C15072" t="n">
        <v>0</v>
      </c>
      <c r="D15072" t="inlineStr">
        <is>
          <t>Arc Hétype; Amulette de Nileza; Anneau Tique; Kralano; Bouclier à hélice; Ceinture Séculaire; Casque Dragoeuf; Cape de Nileza; Pataugastrique; Muldo Orchidée et Pourpre</t>
        </is>
      </c>
    </row>
    <row r="15073">
      <c r="A15073" t="inlineStr">
        <is>
          <t>soin tacle</t>
        </is>
      </c>
      <c r="B15073">
        <f>HYPERLINK("https://www.dofusbook.net/fr/equipement/2256336-soin-tacle/objets", "link")</f>
        <v/>
      </c>
      <c r="C15073" t="n">
        <v>0</v>
      </c>
      <c r="D15073" t="inlineStr">
        <is>
          <t>Baguette de Malléfisk; Pendentif mignon de Koutoulou; Anneau de Nidas; Anneau Rifique; Ceinture de Vortex; Casque Dragoeuf; Cape de Diondin; Bottes Innommables</t>
        </is>
      </c>
    </row>
    <row r="15074">
      <c r="A15074" t="inlineStr">
        <is>
          <t>terre feu air</t>
        </is>
      </c>
      <c r="B15074">
        <f>HYPERLINK("https://www.dofusbook.net/fr/equipement/2256192-terre-feu-air-/objets", "link")</f>
        <v/>
      </c>
      <c r="C15074" t="n">
        <v>0</v>
      </c>
      <c r="D15074" t="inlineStr">
        <is>
          <t>Marteau de Katrepat; Amulette du Strigide; Alliance Brûlâme; Alliance Gloursonne; Sept ans de malheur; Ceinture du Strigide; Masque Brûlâme; Voile d'encre; Pompes Funèbres; Dofus Émeraude; Dofus Ocre; Dofus Pourpre; Dofus Abyssal; Dofus des Glaces; Dofus Turquoise; Muldo Ebène et Orchidée</t>
        </is>
      </c>
    </row>
    <row r="15075">
      <c r="A15075" t="inlineStr">
        <is>
          <t>feu pvp multi</t>
        </is>
      </c>
      <c r="B15075">
        <f>HYPERLINK("https://www.dofusbook.net/fr/equipement/2255854-feu-pvp-multi/objets", "link")</f>
        <v/>
      </c>
      <c r="C15075" t="n">
        <v>0</v>
      </c>
      <c r="D15075" t="inlineStr">
        <is>
          <t>Arc Hétype; Amulette de Nileza; Kralano; Anneau Tique; Bouclier à hélice; Protopagne; Casque Dragoeuf; Cape de Nileza; Pataugastrique; Dofus Turquoise; Dokoko; Dofus Abyssal; Dolmanax; Remueur; Muldo Orchidée et Amande</t>
        </is>
      </c>
    </row>
    <row r="15076">
      <c r="A15076" t="inlineStr">
        <is>
          <t>feu deux</t>
        </is>
      </c>
      <c r="B15076">
        <f>HYPERLINK("https://www.dofusbook.net/fr/equipement/1867397-feu-deux/objets", "link")</f>
        <v/>
      </c>
      <c r="C15076" t="n">
        <v>0</v>
      </c>
      <c r="D15076" t="inlineStr">
        <is>
          <t>Sceptre du Roi Joueur; Amulette de Shokkoth; Bracelet des Fonds marins; Alliance Gloursonne; Quatre-feuilles; Poulpagne; Bonnet Spairance; Cape de Mantaze; Sandales des Fonds marins; Dofus Abyssal; Dokoko; Dofus Pourpre; Dofus Turquoise; Chanceux majeur; Remueur; Muldo Ebène et Indigo</t>
        </is>
      </c>
    </row>
    <row r="15077">
      <c r="A15077" t="inlineStr">
        <is>
          <t>air dagues</t>
        </is>
      </c>
      <c r="B15077">
        <f>HYPERLINK("https://www.dofusbook.net/fr/equipement/2149953-air-dagues/objets", "link")</f>
        <v/>
      </c>
      <c r="C15077" t="n">
        <v>0</v>
      </c>
      <c r="D15077" t="inlineStr">
        <is>
          <t>Hachoirs de Viandargh; Amulette du Cœur Vaillant; Alliance Gloursonne; Gant du Valet Veinard; Bouclier Brâkmarien; Ceintouse; Masque du Granduk; Cape du Cœur Vaillant; Baleinabottes; Dokoko; Dofus des Glaces; Dofus Turquoise; Dofus Émeraude; Remueur; Muldo Ebène et Indigo</t>
        </is>
      </c>
    </row>
    <row r="15078">
      <c r="A15078" t="inlineStr">
        <is>
          <t>sacri 160</t>
        </is>
      </c>
      <c r="B15078">
        <f>HYPERLINK("https://www.dofusbook.net/fr/equipement/2004673-sacri-160/objets", "link")</f>
        <v/>
      </c>
      <c r="C15078" t="n">
        <v>0</v>
      </c>
      <c r="D15078" t="inlineStr">
        <is>
          <t>Kalypsoton; Collier Yé; Nageanneau; Gelano; Bouclier Taverne; Nageoiture; Coiffe Médusoïde; Corbacape Mastralis; Bottes Hoktone; Dofus Pourpre; Dokoko; Dofus Émeraude; Muldo Ebène et Orchidée</t>
        </is>
      </c>
    </row>
    <row r="15079">
      <c r="A15079" t="inlineStr">
        <is>
          <t>multi new pano</t>
        </is>
      </c>
      <c r="B15079">
        <f>HYPERLINK("https://www.dofusbook.net/fr/equipement/2004047-multi-new-pano/objets", "link")</f>
        <v/>
      </c>
      <c r="C15079" t="n">
        <v>0</v>
      </c>
      <c r="D15079" t="inlineStr">
        <is>
          <t>Marteau de Katrepat; Amulette du Strigide; Bracelet du Piloztère; Alliance Brûlâme; Cadran de Terre; Ceinture du Strigide; Masque Brûlâme; Voile d'encre; Pompes Funèbres; Dofus Pourpre; Dofus des Glaces; Dofus Turquoise; Dofus Abyssal; Dolmanax; Dofus Ocre; Muldo Ebène et Orchidée</t>
        </is>
      </c>
    </row>
    <row r="15080">
      <c r="A15080" t="inlineStr">
        <is>
          <t>multi deux</t>
        </is>
      </c>
      <c r="B15080">
        <f>HYPERLINK("https://www.dofusbook.net/fr/equipement/1927412-multi-deux-/objets", "link")</f>
        <v/>
      </c>
      <c r="C15080" t="n">
        <v>0</v>
      </c>
      <c r="D15080" t="inlineStr">
        <is>
          <t>Epée Gloursonne; Amulette du Strigide; Alliance Gloursonne; Bague Gloursonne; Bouclier Taverne; Ceinture du Strigide; Maskrobe; Cape Reski; Bottes du Strigide; Dofus Ocre; Dofus Abyssal; Dofus Pourpre; Dolmanax; Dofus Turquoise; Dofus des Glaces; Kramkram</t>
        </is>
      </c>
    </row>
    <row r="15081">
      <c r="A15081" t="inlineStr">
        <is>
          <t>terre/feu soin</t>
        </is>
      </c>
      <c r="B15081">
        <f>HYPERLINK("https://www.dofusbook.net/fr/equipement/1911372-terre-feu-soin-/objets", "link")</f>
        <v/>
      </c>
      <c r="C15081" t="n">
        <v>0</v>
      </c>
      <c r="D15081" t="inlineStr">
        <is>
          <t>Arc Hétype; Amulette de Gein; Chevalière du Roi Joueur; Bague Gloursonne; Ceintacé; Chapeau de Gein; Voile d'encre; Bottes du Cycloïde; Muldo Orchidée et Pourpre</t>
        </is>
      </c>
    </row>
    <row r="15082">
      <c r="A15082" t="inlineStr">
        <is>
          <t>eau</t>
        </is>
      </c>
      <c r="B15082">
        <f>HYPERLINK("https://www.dofusbook.net/fr/equipement/1849317-eau/objets", "link")</f>
        <v/>
      </c>
      <c r="C15082" t="n">
        <v>0</v>
      </c>
      <c r="D15082" t="inlineStr">
        <is>
          <t>Sceptre du Roi Joueur; Amulette de Danathor; Bracelet des Fonds marins; Alliance Gloursonne; Bouclier du Stalak; Poulpagne; Coiffe de Danathor; Cape du Sinistrofu; Bottes du Sinistrofu; Dofus Ocre; Dofus des Glaces; Taquin majeur; Voyageur; Joueur majeur; Saccageur Eau majeur; Dehluge</t>
        </is>
      </c>
    </row>
    <row r="15083">
      <c r="A15083" t="inlineStr">
        <is>
          <t>multi</t>
        </is>
      </c>
      <c r="B15083">
        <f>HYPERLINK("https://www.dofusbook.net/fr/equipement/1873115-multi-/objets", "link")</f>
        <v/>
      </c>
      <c r="C15083" t="n">
        <v>0</v>
      </c>
      <c r="D15083" t="inlineStr">
        <is>
          <t>Hache du Chalœil; Amulette Luminescente; Bracelet du Piloztère; Anneau de Nidas; Bouclier cubiste; Ceinture Luminescente; Couronne de Nidas; Cape Luminescente; Tongues de Nidas; Muldo Ebène et Orchidée</t>
        </is>
      </c>
    </row>
    <row r="15084">
      <c r="A15084" t="inlineStr">
        <is>
          <t>feu</t>
        </is>
      </c>
      <c r="B15084">
        <f>HYPERLINK("https://www.dofusbook.net/fr/equipement/1861183-feu/objets", "link")</f>
        <v/>
      </c>
      <c r="C15084" t="n">
        <v>0</v>
      </c>
      <c r="D15084" t="inlineStr">
        <is>
          <t>Arc corrompu; Pendentif affamé; Bague Gloursonne; Anneau Tique; Quatre-feuilles; Ceinture Séculaire; Coiffe Séculaire; Voile d'encre; Pataugastrique; Dofus Turquoise; Nomade; Savant majeur; Érudit majeur; Miraculé majeur; Vigoureux majeur; Pioute rouge</t>
        </is>
      </c>
    </row>
    <row r="15085">
      <c r="A15085" t="inlineStr">
        <is>
          <t>feu soin</t>
        </is>
      </c>
      <c r="B15085">
        <f>HYPERLINK("https://www.dofusbook.net/fr/equipement/1857848-feu-soin-/objets", "link")</f>
        <v/>
      </c>
      <c r="C15085" t="n">
        <v>0</v>
      </c>
      <c r="D15085" t="inlineStr">
        <is>
          <t>Baguette de Malléfisk; Pendentif affamé; Anneau de Nidas; Anneau Tique; Carapar; Ceinture de Vortex; Couronne de Nidas; Cape de Diondin; Bottes Innommables; Docteur majeur; Déserteur majeur; Observateur; Guérisseur majeur; Remueur; Érudit majeur; Muldo Orchidée et Amande</t>
        </is>
      </c>
    </row>
    <row r="15086">
      <c r="A15086" t="inlineStr">
        <is>
          <t>full eau</t>
        </is>
      </c>
      <c r="B15086">
        <f>HYPERLINK("https://www.dofusbook.net/fr/equipement/1856205-full-eau/objets", "link")</f>
        <v/>
      </c>
      <c r="C15086" t="n">
        <v>0</v>
      </c>
      <c r="D15086" t="inlineStr">
        <is>
          <t>Rapière aux Glyphes; Amulette de Shokkoth; Alliance Gloursonne; Bracelet des Fonds marins; Sept ans de malheur; Ceinture Glaciale; Kidibonnet; Cape de Mantaze; Sandales des Fonds marins; Dofus Turquoise; Dofus des Glaces; Remueur; Nomade; Étourdisseur majeur; Chanceux majeur; Dehluge</t>
        </is>
      </c>
    </row>
    <row r="15087">
      <c r="A15087" t="inlineStr">
        <is>
          <t>feu/air</t>
        </is>
      </c>
      <c r="B15087">
        <f>HYPERLINK("https://www.dofusbook.net/fr/equipement/1853161-feu-air-/objets", "link")</f>
        <v/>
      </c>
      <c r="C15087" t="n">
        <v>0</v>
      </c>
      <c r="D15087" t="inlineStr">
        <is>
          <t>Canne Harr; Amulette du Strigide; Kralano; Anneau de Padgref; Quatre-feuilles; Ceinture du Strigide; Coiffe de Padgref; Cape des Malveilleurs; Getas de Padgref; Dofus Turquoise; Dolmanax; Dofus Ocre; Dofus Pourpre; Dofus des Glaces; Muldo Prune et Emeraude</t>
        </is>
      </c>
    </row>
    <row r="15088">
      <c r="A15088" t="inlineStr">
        <is>
          <t>feu/eau</t>
        </is>
      </c>
      <c r="B15088">
        <f>HYPERLINK("https://www.dofusbook.net/fr/equipement/1830702-feu-eau/objets", "link")</f>
        <v/>
      </c>
      <c r="C15088" t="n">
        <v>0</v>
      </c>
      <c r="D15088" t="inlineStr">
        <is>
          <t>Arc Nécrotique; Talisman Igans; Anneau Tique; Bracelet des Fonds marins; Sept ans de malheur; Ceintrigue; Casque Dragoeuf; Cape de la Dame du Hasard; Pataugastrique; Dolmanax; Dofus Pourpre; Dofus des Glaces; Dofus Turquoise; Déserteur majeur; Remueur; Muldo Prune et Orchidée</t>
        </is>
      </c>
    </row>
    <row r="15089">
      <c r="A15089" t="inlineStr">
        <is>
          <t>feu pvm</t>
        </is>
      </c>
      <c r="B15089">
        <f>HYPERLINK("https://www.dofusbook.net/fr/equipement/1851606-feu-pvm/objets", "link")</f>
        <v/>
      </c>
      <c r="C15089" t="n">
        <v>0</v>
      </c>
      <c r="D15089" t="inlineStr">
        <is>
          <t>Harpelle; Pendentif affamé; Anneau Tique; Anneau Rifique; Bouclier du Stalak; Ceinture Séculaire; Coiffe Séculaire; Cape de Diondin; Bottes Innommables; Dofus des Glaces; Nomade; Érudit majeur; Remueur; Dévastateur Feu majeur; Astucieux majeur; Brûlih</t>
        </is>
      </c>
    </row>
    <row r="15090">
      <c r="A15090" t="inlineStr">
        <is>
          <t>full air deux</t>
        </is>
      </c>
      <c r="B15090">
        <f>HYPERLINK("https://www.dofusbook.net/fr/equipement/1397296-full-air-deux/objets", "link")</f>
        <v/>
      </c>
      <c r="C15090" t="n">
        <v>1</v>
      </c>
      <c r="D15090" t="inlineStr">
        <is>
          <t>Manthache; Collier du Valet Veinard; Alliance Gloursonne; Gant du Valet Veinard; Bouclier du Stalak; Menoture; Masque du Granduk; Cape Indescriptible; Palmes Trithons; Dofus des Glaces; Dofus Abyssal; Nomade; Cascadeur majeur; Remueur; Equilibriste majeur; Siroko</t>
        </is>
      </c>
    </row>
    <row r="15091">
      <c r="A15091" t="inlineStr">
        <is>
          <t>feu pvp</t>
        </is>
      </c>
      <c r="B15091">
        <f>HYPERLINK("https://www.dofusbook.net/fr/equipement/1748121-feu-pvp/objets", "link")</f>
        <v/>
      </c>
      <c r="C15091" t="n">
        <v>0</v>
      </c>
      <c r="D15091" t="inlineStr">
        <is>
          <t>Baguette de Malléfisk; Amulette de Nileza; Anneau Rifique; Anneau de Nidas; Sept ans de malheur; Ceinture de Vortex; Cagoule de Vortex; Voile d'encre; Pataugastrique; Dokoko; Temporiseur majeur; Carapace Air majeur; Étourdisseur majeur; Remueur; Fonceur majeur; Muldo Roux et Pourpre</t>
        </is>
      </c>
    </row>
    <row r="15092">
      <c r="A15092" t="inlineStr">
        <is>
          <t>eau</t>
        </is>
      </c>
      <c r="B15092">
        <f>HYPERLINK("https://www.dofusbook.net/fr/equipement/1744256-eau/objets", "link")</f>
        <v/>
      </c>
      <c r="C15092" t="n">
        <v>0</v>
      </c>
      <c r="D15092" t="inlineStr">
        <is>
          <t>Baguette Héroclite; Amulette de l'Œil Attentif; Alliance Gloursonne; Bracelet des Fonds marins; Bouclier du Stalak; Ceinture Glaciale; Capuche de l'Œil Attentif; Cape de l'Œil Attentif; Bottes du Sinistrofu; Dofus Pourpre; Dofus Abyssal; Dofus Émeraude; Dokoko; Dofus Ocre; Taquin majeur; Muldo Indigo et Amande</t>
        </is>
      </c>
    </row>
    <row r="15093">
      <c r="A15093" t="inlineStr">
        <is>
          <t>eau/air talK</t>
        </is>
      </c>
      <c r="B15093">
        <f>HYPERLINK("https://www.dofusbook.net/fr/equipement/1743599-eau-air-talk-/objets", "link")</f>
        <v/>
      </c>
      <c r="C15093" t="n">
        <v>1</v>
      </c>
      <c r="D15093" t="inlineStr">
        <is>
          <t>Epée Gloursonne; Amulette de Pol Ouatnos; Bague Gloursonne; Alliance Gloursonne; Bouclier du Stalak; Ceinture Billonnante; Némès de Tal Kasha; Chevelure de Tal Kasha; Sandales de Tal Kasha; Muldo Roux et Amande</t>
        </is>
      </c>
    </row>
    <row r="15094">
      <c r="A15094" t="inlineStr">
        <is>
          <t>air / eau</t>
        </is>
      </c>
      <c r="B15094">
        <f>HYPERLINK("https://www.dofusbook.net/fr/equipement/1710706-air---eau-/objets", "link")</f>
        <v/>
      </c>
      <c r="C15094" t="n">
        <v>0</v>
      </c>
      <c r="D15094" t="inlineStr">
        <is>
          <t>Marteau des Anciens Steamers; Collier du Valet Veinard; Gant du Valet Veinard; Alliance Gloursonne; Bouclier du Stalak; Ceinture Glaciale; Némès de Tal Kasha; Chevelure de Tal Kasha; Pataugastrique; Dofus Abyssal; Déserteur majeur; Étourdisseur majeur; Remueur; Miraculé majeur; Engourdisseur majeur; Muldo Ebène et Indigo</t>
        </is>
      </c>
    </row>
    <row r="15095">
      <c r="A15095" t="inlineStr">
        <is>
          <t>pvp deux</t>
        </is>
      </c>
      <c r="B15095">
        <f>HYPERLINK("https://www.dofusbook.net/fr/equipement/1710355-pvp-deux-/objets", "link")</f>
        <v/>
      </c>
      <c r="C15095" t="n">
        <v>0</v>
      </c>
      <c r="D15095" t="inlineStr">
        <is>
          <t>Arc Hétype; Amulette de Nileza; Anneau de Nidas; Anneau Tique; Bouclier cubiste; Ceinture de Kongoku; Couronne de Nidas; Voile d'encre; Pantoufles Émar; Dokoko; Dofus Ocre; Déserteur majeur; Érudit majeur; Temporiseur majeur; Miraculé majeur; Muldo Indigo et Amande</t>
        </is>
      </c>
    </row>
    <row r="15096">
      <c r="A15096" t="inlineStr">
        <is>
          <t>full feu</t>
        </is>
      </c>
      <c r="B15096">
        <f>HYPERLINK("https://www.dofusbook.net/fr/equipement/1674735-full-feu/objets", "link")</f>
        <v/>
      </c>
      <c r="C15096" t="n">
        <v>0</v>
      </c>
      <c r="D15096" t="inlineStr">
        <is>
          <t>Arc Hétype; Amulette Séculaire; Anneau de Nidas; Anneau Tique; Bouclier cubiste; Ceinture de Vortex; Coiffe Séculaire; Cape de Diondin; Bottes Innommables; Dokoko; Remueur; Fonceur majeur; Érudit majeur; Déserteur majeur; Muldo Orchidée et Pourpre</t>
        </is>
      </c>
    </row>
    <row r="15097">
      <c r="A15097" t="inlineStr">
        <is>
          <t>terre full</t>
        </is>
      </c>
      <c r="B15097">
        <f>HYPERLINK("https://www.dofusbook.net/fr/equipement/1642752-terre-full/objets", "link")</f>
        <v/>
      </c>
      <c r="C15097" t="n">
        <v>0</v>
      </c>
      <c r="D15097" t="inlineStr">
        <is>
          <t>Marteau R'ture; Collier de Tourthon; Anneau de Brouce; Anneau Chevelu; Bouclier Taverne; Ceinture de Brouce; Coiffe du Comte Harebourg; Cape au Logis; Sabots Minables; Dofus Pourpre; Dofus Turquoise; Vigoureux majeur; Forcené majeur; Enragé majeur; Remueur; Kompost</t>
        </is>
      </c>
    </row>
    <row r="15098">
      <c r="A15098" t="inlineStr">
        <is>
          <t>sram 198</t>
        </is>
      </c>
      <c r="B15098">
        <f>HYPERLINK("https://www.dofusbook.net/fr/equipement/1636139-sram-198/objets", "link")</f>
        <v/>
      </c>
      <c r="C15098" t="n">
        <v>0</v>
      </c>
      <c r="D15098" t="inlineStr">
        <is>
          <t>Bêche Asse; Amulette Hendart; Anneau de Brouce; Anneau Chevelu; Bouclier Taverne; Ceinture de Brouce; Le Kim; Cape au Logis; Sabots Minables; Dofus Turquoise; Dofus Cawotte; Forcené majeur; Enragé majeur; Observateur; Remueur; Kompost</t>
        </is>
      </c>
    </row>
    <row r="15099">
      <c r="A15099" t="inlineStr">
        <is>
          <t>sram 180 terre</t>
        </is>
      </c>
      <c r="B15099">
        <f>HYPERLINK("https://www.dofusbook.net/fr/equipement/1629181-sram-180-terre/objets", "link")</f>
        <v/>
      </c>
      <c r="C15099" t="n">
        <v>0</v>
      </c>
      <c r="D15099" t="inlineStr">
        <is>
          <t>Dagues Eudin; La Meulette; Anneau Chevelu; Gelano; Bouclier Taverne; Ceinture du K.O.; Bonnet Ko; Cape Nécrotique; Bottes Nécrotiques; Enragé majeur; Remueur; Observateur; Nomade; Muldo Prune et Ebène</t>
        </is>
      </c>
    </row>
    <row r="15100">
      <c r="A15100" t="inlineStr">
        <is>
          <t>terre2</t>
        </is>
      </c>
      <c r="B15100">
        <f>HYPERLINK("https://www.dofusbook.net/fr/equipement/1575102-terre2/objets", "link")</f>
        <v/>
      </c>
      <c r="C15100" t="n">
        <v>0</v>
      </c>
      <c r="D15100" t="inlineStr">
        <is>
          <t>Marteau R'ture; Amulette Héroclite; Bague Gloursonne; Anneau Chevelu; Bouclier précieux; Ceinture de Gein; Chapeau de Gein; Voile d'encre; Sabots Minables; Dofus Émeraude; Dokoko; Dofus Turquoise; Remueur; Miraculé majeur; Obstructeur majeur; Muldo Orchidée et Pourpre</t>
        </is>
      </c>
    </row>
    <row r="15101">
      <c r="A15101" t="inlineStr">
        <is>
          <t>eau</t>
        </is>
      </c>
      <c r="B15101">
        <f>HYPERLINK("https://www.dofusbook.net/fr/equipement/1498429-eau/objets", "link")</f>
        <v/>
      </c>
      <c r="C15101" t="n">
        <v>0</v>
      </c>
      <c r="D15101" t="inlineStr">
        <is>
          <t>Dagoulinantes; Amulette de Shokkoth; Alliance Gloursonne; Bouclier du Sadida; Poulpagne; Casque Dragoeuf; Chevelure de Tal Kasha; Sandales de Tal Kasha; Dofus des Glaces; Dokoko; Dofus Turquoise; Nomade; Étourdisseur majeur; Remueur; El Scarador</t>
        </is>
      </c>
    </row>
    <row r="15102">
      <c r="A15102" t="inlineStr">
        <is>
          <t>do crit</t>
        </is>
      </c>
      <c r="B15102">
        <f>HYPERLINK("https://www.dofusbook.net/fr/equipement/1496786-do-crit/objets", "link")</f>
        <v/>
      </c>
      <c r="C15102" t="n">
        <v>0</v>
      </c>
      <c r="D15102" t="inlineStr">
        <is>
          <t>Dague Adou; Amulette du Strigide; Anneau de Padgref; Bague Trithon; Quatre-feuilles; Ceinture du Strigide; Masque Trithon; Chevelure de Tal Kasha; Bottes Trithon; Dofus Ocre; Dofus Pourpre; Dolmanax; Dofus Turquoise; Dofus Nébuleux; Muldo Prune et Emeraude</t>
        </is>
      </c>
    </row>
    <row r="15103">
      <c r="A15103" t="inlineStr">
        <is>
          <t>multitrois</t>
        </is>
      </c>
      <c r="B15103">
        <f>HYPERLINK("https://www.dofusbook.net/fr/equipement/1472473-multitrois/objets", "link")</f>
        <v/>
      </c>
      <c r="C15103" t="n">
        <v>1</v>
      </c>
      <c r="D15103" t="inlineStr">
        <is>
          <t>Marteau de Katrepat; Amulette du Strigide; Alliance Gloursonne; Bracelet du Piloztère; Quatre-feuilles; Ceintacé; Masque du Katcheur; Voile d'encre; Bottes du Strigide; Dofus des Glaces; Dofus Ocre; Dofus Abyssal; Dofus Pourpre; Dolmanax; Dofus Turquoise; Muldo Ebène et Pourpre</t>
        </is>
      </c>
    </row>
    <row r="15104">
      <c r="A15104" t="inlineStr">
        <is>
          <t>multideux</t>
        </is>
      </c>
      <c r="B15104">
        <f>HYPERLINK("https://www.dofusbook.net/fr/equipement/1468817-multideux/objets", "link")</f>
        <v/>
      </c>
      <c r="C15104" t="n">
        <v>0</v>
      </c>
      <c r="D15104" t="inlineStr">
        <is>
          <t>Marteau de Katrepat; Amulette du Strigide; Alliance Gloursonne; Anneau Chevelu; Quatre-feuilles; Ceinture du Strigide; Masque du Katcheur; Voile d'encre; Pantoufles Émar; Dofus Ocre; Dofus Pourpre; Dofus Turquoise; Dofus des Glaces; Vigoureux majeur; Nomade; Kramkram</t>
        </is>
      </c>
    </row>
    <row r="15105">
      <c r="A15105" t="inlineStr">
        <is>
          <t>terre</t>
        </is>
      </c>
      <c r="B15105">
        <f>HYPERLINK("https://www.dofusbook.net/fr/equipement/1440414-terre/objets", "link")</f>
        <v/>
      </c>
      <c r="C15105" t="n">
        <v>0</v>
      </c>
      <c r="D15105" t="inlineStr">
        <is>
          <t>Arc du Chalœil; Amulette Héroclite; Anneau Chevelu; Anneau de Brouce; Quatre-feuilles; Ceinture de Brouce; Chapeau de Gein; Voile d'encre; Sabots Minables; Dofus Pourpre; Dofus Abyssal; Dofus Turquoise; Dolmanax; Enragé majeur; Remueur; Muldo Ebène et Pourpre</t>
        </is>
      </c>
    </row>
    <row r="15106">
      <c r="A15106" t="inlineStr">
        <is>
          <t>feu</t>
        </is>
      </c>
      <c r="B15106">
        <f>HYPERLINK("https://www.dofusbook.net/fr/equipement/1440316-feu/objets", "link")</f>
        <v/>
      </c>
      <c r="C15106" t="n">
        <v>0</v>
      </c>
      <c r="D15106" t="inlineStr">
        <is>
          <t>Plumeau Bil; Amulette de Nileza; Kralano; Anneau de Nidas; Quatre-feuilles; Ceinture Séculaire; Coiffe Séculaire; Cape de Diondin; Bottes Innommables; Dofus Turquoise; Dokoko; Dévastateur Feu majeur; Remueur; Érudit majeur; Nomade; Brûlih</t>
        </is>
      </c>
    </row>
    <row r="15107">
      <c r="A15107" t="inlineStr">
        <is>
          <t>terrefeu</t>
        </is>
      </c>
      <c r="B15107">
        <f>HYPERLINK("https://www.dofusbook.net/fr/equipement/1434601-terrefeu/objets", "link")</f>
        <v/>
      </c>
      <c r="C15107" t="n">
        <v>0</v>
      </c>
      <c r="D15107" t="inlineStr">
        <is>
          <t>Epée Toche; Amulette du Strigide; Anneau de Pol Ouatnos; Bague Gloursonne; Ceintacé; Chapeau de Gein; Voile d'encre; Bottes du Strigide; Kramkram</t>
        </is>
      </c>
    </row>
    <row r="15108">
      <c r="A15108" t="inlineStr">
        <is>
          <t>air</t>
        </is>
      </c>
      <c r="B15108">
        <f>HYPERLINK("https://www.dofusbook.net/fr/equipement/1427197-air/objets", "link")</f>
        <v/>
      </c>
      <c r="C15108" t="n">
        <v>0</v>
      </c>
      <c r="D15108" t="inlineStr">
        <is>
          <t>Manthache; Collier du Valet Veinard; Alliance Gloursonne; Gant du Valet Veinard; Bouclier du Stalak; Menoture; Couronne d'Allister; Cape Indescriptible; Palmes Trithons; Dofus Ocre; Dofus des Glaces; Nomade; Cascadeur majeur; Saccageur Air majeur; Dévastateur Air majeur; Siroko</t>
        </is>
      </c>
    </row>
    <row r="15109">
      <c r="A15109" t="inlineStr">
        <is>
          <t>elio ceint200</t>
        </is>
      </c>
      <c r="B15109">
        <f>HYPERLINK("https://www.dofusbook.net/fr/equipement/1412900-elio-ceint200/objets", "link")</f>
        <v/>
      </c>
      <c r="C15109" t="n">
        <v>0</v>
      </c>
      <c r="D15109" t="inlineStr">
        <is>
          <t>Manthache; Collier du Valet Veinard; Gant du Valet Veinard; Alliance Gloursonne; Bouclier du Stalak; Ceinture Billonnante; Casque Dragoeuf; Cape Indescriptible; Baleinabottes; Fonceur majeur; Cascadeur majeur; Obstructeur majeur; Miraculé majeur; Déserteur majeur; Remueur; Muldo Ebène</t>
        </is>
      </c>
    </row>
    <row r="15110">
      <c r="A15110" t="inlineStr">
        <is>
          <t>air</t>
        </is>
      </c>
      <c r="B15110">
        <f>HYPERLINK("https://www.dofusbook.net/fr/equipement/1408512-air/objets", "link")</f>
        <v/>
      </c>
      <c r="C15110" t="n">
        <v>0</v>
      </c>
      <c r="D15110" t="inlineStr">
        <is>
          <t>Manthache; Collier du Valet Veinard; Alliance Gloursonne; Gant du Valet Veinard; Bouclier d'Ilyzaelle; Menoture; Couronne d'Allister; Cape Indescriptible; Palmes Trithons; Dofus Émeraude; Dofus Nébuleux; Dofus Abyssal; Nomade; Miraculé majeur; Remueur; Kramkram</t>
        </is>
      </c>
    </row>
    <row r="15111">
      <c r="A15111" t="inlineStr">
        <is>
          <t>eau</t>
        </is>
      </c>
      <c r="B15111">
        <f>HYPERLINK("https://www.dofusbook.net/fr/equipement/1408441-eau/objets", "link")</f>
        <v/>
      </c>
      <c r="C15111" t="n">
        <v>0</v>
      </c>
      <c r="D15111" t="inlineStr">
        <is>
          <t>Rapière aux Glyphes; Amulette de l'Œil Attentif; Alliance Gloursonne; Anneau Tique; Bouclier d'Ilyzaelle; Poulpagne; Casque Dragoeuf; Cape de l'Œil Attentif; Bottes du Nocturlabe; Dofus Ivoire; Dofus Émeraude; Dofus Forgelave; Dokoko; Dofus Abyssal; Remueur; Muldo Roux et Pourpre</t>
        </is>
      </c>
    </row>
    <row r="15112">
      <c r="A15112" t="inlineStr">
        <is>
          <t>agi</t>
        </is>
      </c>
      <c r="B15112">
        <f>HYPERLINK("https://www.dofusbook.net/fr/equipement/1400857-agi-/objets", "link")</f>
        <v/>
      </c>
      <c r="C15112" t="n">
        <v>0</v>
      </c>
      <c r="D15112" t="inlineStr">
        <is>
          <t>Manthache; Collier du Valet Veinard; Alliance Gloursonne; Gant du Valet Veinard; Sept ans de malheur; Ceintouse; Chapoulpe; Cape du Valet Veinard; Tentassons; Dofus Abyssal; Dofus Pourpre; Dofus Ocre; Paralyseur majeur; Engourdisseur majeur; Vagabond majeur; Muldo Ebène</t>
        </is>
      </c>
    </row>
    <row r="15113">
      <c r="A15113" t="inlineStr">
        <is>
          <t>eau air</t>
        </is>
      </c>
      <c r="B15113">
        <f>HYPERLINK("https://www.dofusbook.net/fr/equipement/1392920-eau-air-/objets", "link")</f>
        <v/>
      </c>
      <c r="C15113" t="n">
        <v>0</v>
      </c>
      <c r="D15113" t="inlineStr">
        <is>
          <t>Arc de Koutoulou; Amulette du Strigide; Alliance Gloursonne; Anneau de Padgref; Quatre-feuilles; Ceinture du Strigide; Némès de Tal Kasha; Chevelure de Tal Kasha; Sandales de Tal Kasha; Dofus Ocre; Dofus Pourpre; Dolmanax; Dofus Turquoise; Dofus des Glaces; Puissant majeur; Muldo Prune et Emeraude</t>
        </is>
      </c>
    </row>
    <row r="15114">
      <c r="A15114" t="inlineStr">
        <is>
          <t>initiative 186</t>
        </is>
      </c>
      <c r="B15114">
        <f>HYPERLINK("https://www.dofusbook.net/fr/equipement/175912-initiative-186/objets", "link")</f>
        <v/>
      </c>
      <c r="C15114" t="n">
        <v>0</v>
      </c>
      <c r="D15114" t="inlineStr">
        <is>
          <t>Karnak; Collier du Tanukouï San; Bracelet Ventré; Gelano; Ceinture Rasboulaire du Rasboul; Chapignon; Caprin; Sandales Binosse; Dofus Émeraude; Vigoureux majeur; Miraculé majeur; Déserteur majeur; Remueur; Cascadeur majeur; Kramkram</t>
        </is>
      </c>
    </row>
    <row r="15115">
      <c r="A15115" t="inlineStr">
        <is>
          <t>res 186</t>
        </is>
      </c>
      <c r="B15115">
        <f>HYPERLINK("https://www.dofusbook.net/fr/equipement/175911-res-186/objets", "link")</f>
        <v/>
      </c>
      <c r="C15115" t="n">
        <v>0</v>
      </c>
      <c r="D15115" t="inlineStr">
        <is>
          <t>Glaive Icération; Amulette Nécrotique; Bracelet Ventré; Gelano; Bouclier du Stalak; Ceinture Rasboulaire du Rasboul; Chapignon; Caprin; Sandales Binosse; Cascadeur majeur; Remueur; Carapace Air majeur; Miraculé majeur; Déserteur majeur; Nomade; Kramkram</t>
        </is>
      </c>
    </row>
    <row r="15116">
      <c r="A15116" t="inlineStr">
        <is>
          <t>terrfuit</t>
        </is>
      </c>
      <c r="B15116">
        <f>HYPERLINK("https://www.dofusbook.net/fr/equipement/1266065-terrfuit/objets", "link")</f>
        <v/>
      </c>
      <c r="C15116" t="n">
        <v>0</v>
      </c>
      <c r="D15116" t="inlineStr">
        <is>
          <t>Arc du Chalœil; Amulette du Strigide; Anneau Chevelu; Bracelet du Piloztère; Quatre-feuilles; Ceinture de la Reine des Voleurs; Coiffe de la Reine des Voleurs; Voile d'encre; Baleinabottes; Dofus Turquoise; Dofus Émeraude; Dofus Pourpre; Remueur; Enragé majeur; Déserteur majeur; Muldo Ebène et Orchidée</t>
        </is>
      </c>
    </row>
    <row r="15117">
      <c r="A15117" t="inlineStr">
        <is>
          <t>teststuffmath</t>
        </is>
      </c>
      <c r="B15117">
        <f>HYPERLINK("https://www.dofusbook.net/fr/equipement/922264-teststuffmath/objets", "link")</f>
        <v/>
      </c>
      <c r="C15117" t="n">
        <v>0</v>
      </c>
      <c r="D15117" t="inlineStr">
        <is>
          <t>Pelle de Nidas; Amulette Luminescente; Alliance Gloursonne; Bague Trithon; Bouclier Taverne; Ceinture Luminescente; Masque Trithon; Cape Luminescente; Bottes Trithon; Dofus Ocre; Dofus Émeraude; Dolmanax; Dofus Turquoise; Dofus des Glaces; Dofus Pourpre; Muldo Ebène</t>
        </is>
      </c>
    </row>
    <row r="15118">
      <c r="A15118" t="inlineStr">
        <is>
          <t>Stuff 3</t>
        </is>
      </c>
      <c r="B15118">
        <f>HYPERLINK("https://www.dofusbook.net/fr/equipement/175913-stuff-3/objets", "link")</f>
        <v/>
      </c>
      <c r="C15118" t="n">
        <v>0</v>
      </c>
      <c r="D15118" t="inlineStr">
        <is>
          <t>Dagues Lassay; Ougamulette; Alliance Gloursonne; Anneau d'Allister; Ceinture Billonnante; Couronne d'Allister; Cape Matelassée; Bottes d'Allister; Kramkram</t>
        </is>
      </c>
    </row>
    <row r="15119">
      <c r="A15119" t="inlineStr">
        <is>
          <t>Stuff 1</t>
        </is>
      </c>
      <c r="B15119">
        <f>HYPERLINK("https://www.dofusbook.net/fr/equipement/1594040-stuff-1/objets", "link")</f>
        <v/>
      </c>
      <c r="C15119" t="n">
        <v>13</v>
      </c>
      <c r="D15119" t="inlineStr">
        <is>
          <t>Arc Nécrotique; Collier de la Dame du Hasard; Bague Trithon; Bracelet du Piloztère; Quatre-feuilles; Ceinture du Strigide; Masque Trithon; Cape de la Dame du Hasard; Bottes de la Dame du Hasard; Dofus Pourpre; Dofus Turquoise; Dofus des Glaces; Kokulte</t>
        </is>
      </c>
    </row>
    <row r="15120">
      <c r="A15120" t="inlineStr">
        <is>
          <t>Stuff 1</t>
        </is>
      </c>
      <c r="B15120">
        <f>HYPERLINK("https://www.dofusbook.net/fr/equipement/637756-stuff-1/objets", "link")</f>
        <v/>
      </c>
      <c r="C15120" t="n">
        <v>3</v>
      </c>
      <c r="D15120" t="inlineStr">
        <is>
          <t>Arc du Chalœil; Amulette Luminescente; Anneau Chevelu; Bague Trithon; Bouclier d'Ilyzaelle; Ceinture Gence; Masque de Koutoulou; Cape au Logis; Bottes Trithon; Dofus Abyssal; Dofus Pourpre; Culbuteur majeur; Enragé majeur; Bousculeur majeur; Black Tiwabbit</t>
        </is>
      </c>
    </row>
    <row r="15121">
      <c r="A15121" t="inlineStr">
        <is>
          <t>Stuff 2</t>
        </is>
      </c>
      <c r="B15121">
        <f>HYPERLINK("https://www.dofusbook.net/fr/equipement/637757-stuff-2/objets", "link")</f>
        <v/>
      </c>
      <c r="C15121" t="n">
        <v>9</v>
      </c>
      <c r="D15121" t="inlineStr">
        <is>
          <t>Arc du Chalœil; Torquistik; Anneau Chevelu; Bague Trithon; Bouclier Taverne; Ceinture Gence; Masque de Koutoulou; Cape au Logis; Bottistik; Dofus Pourpre; Dofus Abyssal; Dofus Ivoire; Bousculeur majeur; Culbuteur majeur; Enragé majeur; Black Tiwabbit</t>
        </is>
      </c>
    </row>
    <row r="15122">
      <c r="A15122" t="inlineStr">
        <is>
          <t>Ecaflip M 200</t>
        </is>
      </c>
      <c r="B15122">
        <f>HYPERLINK("https://www.dofusbook.net/fr/equipement/4139841-ecaflip-m-200/objets", "link")</f>
        <v/>
      </c>
      <c r="C15122" t="n">
        <v>0</v>
      </c>
      <c r="D15122" t="inlineStr"/>
    </row>
    <row r="15123">
      <c r="A15123" t="inlineStr">
        <is>
          <t>Stuff 2</t>
        </is>
      </c>
      <c r="B15123">
        <f>HYPERLINK("https://www.dofusbook.net/fr/equipement/637763-stuff-2/objets", "link")</f>
        <v/>
      </c>
      <c r="C15123" t="n">
        <v>1</v>
      </c>
      <c r="D15123" t="inlineStr">
        <is>
          <t>Amulette de Gein; Anneau Chevelu; Bague Gloursonne; Ceintouse; Masque de Koutoulou; Voile d'encre; Tentassons; Dofus Pourpre; Remueur; Carapace Neutre majeur; Nomade; Muldo Indigo et Pourpre</t>
        </is>
      </c>
    </row>
    <row r="15124">
      <c r="A15124" t="inlineStr">
        <is>
          <t>Stuff 1</t>
        </is>
      </c>
      <c r="B15124">
        <f>HYPERLINK("https://www.dofusbook.net/fr/equipement/637762-stuff-1/objets", "link")</f>
        <v/>
      </c>
      <c r="C15124" t="n">
        <v>0</v>
      </c>
      <c r="D15124" t="inlineStr">
        <is>
          <t>Dagoulinantes; Amulette de l'Œil Attentif; Alliance Gloursonne; Bracelet des Fonds marins; Poulpagne; Masque des Fonds marins; Cape de l'Œil Attentif; Sandales des Fonds marins</t>
        </is>
      </c>
    </row>
    <row r="15125">
      <c r="A15125" t="inlineStr">
        <is>
          <t>Stuff 2</t>
        </is>
      </c>
      <c r="B15125">
        <f>HYPERLINK("https://www.dofusbook.net/fr/equipement/637780-stuff-2/objets", "link")</f>
        <v/>
      </c>
      <c r="C15125" t="n">
        <v>0</v>
      </c>
      <c r="D15125" t="inlineStr">
        <is>
          <t>Hache Téroïde; Amulette du Strigide; Bague Gloursonne; Bracelet du Piloztère; Quatre-feuilles; Ceintacé; Masque de Koutoulou; Cape au Logis; Bottes du Strigide; Dofus Turquoise; Dofus Émeraude; Dofus Pourpre; Enragé majeur; Vigoureux majeur; Carapace Terre majeur; Dragodinde en armure</t>
        </is>
      </c>
    </row>
    <row r="15126">
      <c r="A15126" t="inlineStr">
        <is>
          <t>feve</t>
        </is>
      </c>
      <c r="B15126">
        <f>HYPERLINK("https://www.dofusbook.net/fr/equipement/2085043-feve/objets", "link")</f>
        <v/>
      </c>
      <c r="C15126" t="n">
        <v>0</v>
      </c>
      <c r="D15126" t="inlineStr">
        <is>
          <t>Dagoulinantes; Amulette de l'Œil Attentif; Alliance Gloursonne; Sept ans de malheur; Poulpagne; Casque Dragoeuf; Cape de l'Œil Attentif; Pataugastrique; Dofus Pourpre; Dofus Turquoise; Dofus Émeraude; Chanceux majeur; Vigoureux majeur; Étourdisseur majeur; Muldo Indigo et Pourpre</t>
        </is>
      </c>
    </row>
    <row r="15127">
      <c r="A15127" t="inlineStr">
        <is>
          <t>lolol</t>
        </is>
      </c>
      <c r="B15127">
        <f>HYPERLINK("https://www.dofusbook.net/fr/equipement/2090179-lolol/objets", "link")</f>
        <v/>
      </c>
      <c r="C15127" t="n">
        <v>1</v>
      </c>
      <c r="D15127" t="inlineStr">
        <is>
          <t>Hache du Korriandre; Amulette du Sinistrofu; Alliance Gloursonne; Bracelet des Fonds marins; Sept ans de malheur; Poulpagne; Casque Dragoeuf; Cape du Sinistrofu; Pataugastrique; Dofus Émeraude; Dofus Pourpre; Dofus Turquoise; Étourdisseur majeur; Chanceux majeur; Vigoureux majeur</t>
        </is>
      </c>
    </row>
    <row r="15128">
      <c r="A15128" t="inlineStr">
        <is>
          <t>Stuff 1</t>
        </is>
      </c>
      <c r="B15128">
        <f>HYPERLINK("https://www.dofusbook.net/fr/equipement/637799-stuff-1/objets", "link")</f>
        <v/>
      </c>
      <c r="C15128" t="n">
        <v>0</v>
      </c>
      <c r="D15128" t="inlineStr">
        <is>
          <t>Dagoulinantes; Alliance Gloursonne; Bracelet des Fonds marins; Bouclier d'Ilyzaelle; Poulpagne; Casque Dragoeuf; Bottes du Sinistrofu; Dofus Turquoise; Dofus Pourpre; Dofus Émeraude; Dofus Abyssal; Chanceux majeur; Remueur; Muldo Ebène et Pourpre</t>
        </is>
      </c>
    </row>
    <row r="15129">
      <c r="A15129" t="inlineStr">
        <is>
          <t>kokoko</t>
        </is>
      </c>
      <c r="B15129">
        <f>HYPERLINK("https://www.dofusbook.net/fr/equipement/1936071-kokoko/objets", "link")</f>
        <v/>
      </c>
      <c r="C15129" t="n">
        <v>0</v>
      </c>
      <c r="D15129" t="inlineStr">
        <is>
          <t>Amulette d'Ilyzaelle; Bouclier d'Ilyzaelle; Casque d'Ilyzaelle; Cape du Cœur Vaillant; Bottes du Cœur Vaillant</t>
        </is>
      </c>
    </row>
    <row r="15130">
      <c r="A15130" t="inlineStr">
        <is>
          <t>Stuff 1</t>
        </is>
      </c>
      <c r="B15130">
        <f>HYPERLINK("https://www.dofusbook.net/fr/equipement/637779-stuff-1/objets", "link")</f>
        <v/>
      </c>
      <c r="C15130" t="n">
        <v>1</v>
      </c>
      <c r="D15130" t="inlineStr">
        <is>
          <t>Dagues Érhy; Amulette du Strigide; Bague Gloursonne; Bracelet du Piloztère; Ceintacé; Chapeau de Gein; Voile d'encre; Bottes du Strigide; Dofus des Glaces; Dofus Pourpre; Dofus Abyssal; Dofus Vulbis; Dofus Ocre; Dofus Turquoise; Dragodinde en armure</t>
        </is>
      </c>
    </row>
    <row r="15131">
      <c r="A15131" t="inlineStr">
        <is>
          <t>Stuff 2</t>
        </is>
      </c>
      <c r="B15131">
        <f>HYPERLINK("https://www.dofusbook.net/fr/equipement/637786-stuff-2/objets", "link")</f>
        <v/>
      </c>
      <c r="C15131" t="n">
        <v>0</v>
      </c>
      <c r="D15131" t="inlineStr">
        <is>
          <t>Sabres d'Atcham; Talisman Igans; Alliance Gloursonne; Anneau Tique; Ceinture de Vortex; Chapeau Lisson; Cape d'Atcham; Pataugastrique; Dolmanax; Dofus Turquoise; Érudit majeur; Nomade; Remueur; Kramkram</t>
        </is>
      </c>
    </row>
    <row r="15132">
      <c r="A15132" t="inlineStr">
        <is>
          <t>Stuff 3</t>
        </is>
      </c>
      <c r="B15132">
        <f>HYPERLINK("https://www.dofusbook.net/fr/equipement/637781-stuff-3/objets", "link")</f>
        <v/>
      </c>
      <c r="C15132" t="n">
        <v>0</v>
      </c>
      <c r="D15132" t="inlineStr">
        <is>
          <t>Hache Téroïde; Amulette du Strigide; Bracelet du Piloztère; Bague Gloursonne; Quatre-feuilles; Ceintacé; Chapeau de Gein; Voile d'encre; Bottes du Strigide; Dofus Pourpre; Dofus Vulbis; Dofus Turquoise; Carapace Terre majeur; Remueur; Vigoureux majeur; Dragodinde en armure</t>
        </is>
      </c>
    </row>
    <row r="15133">
      <c r="A15133" t="inlineStr">
        <is>
          <t>Stuff 1</t>
        </is>
      </c>
      <c r="B15133">
        <f>HYPERLINK("https://www.dofusbook.net/fr/equipement/637776-stuff-1/objets", "link")</f>
        <v/>
      </c>
      <c r="C15133" t="n">
        <v>0</v>
      </c>
      <c r="D15133" t="inlineStr">
        <is>
          <t>Héqache; Amulette du Strigide; Bague Gloursonne; Anneau Chevelu; Ceintacé; Casque de Missiz Frizz; Cape au Logis; Bottes du Strigide; Dofus Turquoise; Dofus Pourpre; Dofus Émeraude; Dofus Ocre; Vigoureux majeur; Dragodinde en armure</t>
        </is>
      </c>
    </row>
    <row r="15134">
      <c r="A15134" t="inlineStr">
        <is>
          <t>Stuff 1</t>
        </is>
      </c>
      <c r="B15134">
        <f>HYPERLINK("https://www.dofusbook.net/fr/equipement/637811-stuff-1/objets", "link")</f>
        <v/>
      </c>
      <c r="C15134" t="n">
        <v>0</v>
      </c>
      <c r="D15134" t="inlineStr">
        <is>
          <t>Pelle de la Cour Sombre; Amulette de Pol Ouatnos; Gant du Valet Veinard; Alliance Gloursonne; Menoture; Dorabysses; Cape du Valet Veinard; Palmes Trithons; Dofus Pourpre; Dofus Ocre; Dofus Émeraude; Carapace Air majeur; Cascadeur majeur; Carapace Feu majeur; Muldo Ebène et Orchidée</t>
        </is>
      </c>
    </row>
    <row r="15135">
      <c r="A15135" t="inlineStr">
        <is>
          <t>Stuff 1</t>
        </is>
      </c>
      <c r="B15135">
        <f>HYPERLINK("https://www.dofusbook.net/fr/equipement/637771-stuff-1/objets", "link")</f>
        <v/>
      </c>
      <c r="C15135" t="n">
        <v>0</v>
      </c>
      <c r="D15135" t="inlineStr">
        <is>
          <t>Sabres d'Atcham; Amulette du Strigide; Anneau Tique; Alliance Gloursonne; Ceintacé; Chapeau des Malveilleurs; Cape du Chalœil; Bottes du Chalœil; Dolmanax; Dofus Pourpre; Dofus Turquoise; Remueur; Vigoureux majeur; Nomade; Kramkram</t>
        </is>
      </c>
    </row>
    <row r="15136">
      <c r="A15136" t="inlineStr">
        <is>
          <t>Stuff 2</t>
        </is>
      </c>
      <c r="B15136">
        <f>HYPERLINK("https://www.dofusbook.net/fr/equipement/637806-stuff-2/objets", "link")</f>
        <v/>
      </c>
      <c r="C15136" t="n">
        <v>0</v>
      </c>
      <c r="D15136" t="inlineStr">
        <is>
          <t>Hache Ériphe; Amulette du Strigide; Anneau des égarés; Anneau du Cycloïde; Ceintouse; Casque des égarés; Voile d'encre; Baleinabottes; Carapace Neutre majeur; Cavaleur majeur; Carapace Terre majeur; Remueur; Évasif majeur; Muldo Orchidée et Pourpre</t>
        </is>
      </c>
    </row>
    <row r="15137">
      <c r="A15137" t="inlineStr">
        <is>
          <t>Stuff 2</t>
        </is>
      </c>
      <c r="B15137">
        <f>HYPERLINK("https://www.dofusbook.net/fr/equipement/637766-stuff-2/objets", "link")</f>
        <v/>
      </c>
      <c r="C15137" t="n">
        <v>0</v>
      </c>
      <c r="D15137" t="inlineStr">
        <is>
          <t>Arc de Koutoulou; Amulette Voldelor; Alliance Gloursonne; Menoture; Masque du Barbétoal; Cape Matelassée; Sandales  d'Atcham; Dofus Pourpre; Dofus Turquoise; Dolmanax; Déserteur majeur; Carapace Air majeur; Vigoureux majeur; Muldo Ebène et Indigo</t>
        </is>
      </c>
    </row>
    <row r="15138">
      <c r="A15138" t="inlineStr">
        <is>
          <t>Stuff 3</t>
        </is>
      </c>
      <c r="B15138">
        <f>HYPERLINK("https://www.dofusbook.net/fr/equipement/637801-stuff-3/objets", "link")</f>
        <v/>
      </c>
      <c r="C15138" t="n">
        <v>0</v>
      </c>
      <c r="D15138" t="inlineStr">
        <is>
          <t>Bêche Asse; Amulette de Gein; Bague Gloursonne; Anneau Chevelu; Ceinture de Gein; Masque de Koutoulou; Voile d'encre; Pompes Funèbres; Cavaleur majeur; Enragé majeur; Carapace Neutre majeur; Évasif majeur; Remueur; Muldo Indigo et Pourpre</t>
        </is>
      </c>
    </row>
    <row r="15139">
      <c r="A15139" t="inlineStr">
        <is>
          <t>Stuff 3</t>
        </is>
      </c>
      <c r="B15139">
        <f>HYPERLINK("https://www.dofusbook.net/fr/equipement/637793-stuff-3/objets", "link")</f>
        <v/>
      </c>
      <c r="C15139" t="n">
        <v>0</v>
      </c>
      <c r="D15139" t="inlineStr">
        <is>
          <t>Amulette du Strigide; Anneau Chevelu; Poulpagne; Chapeau Lisson; Voile d'encre; Sandales  d'Atcham; Dofus Pourpre; Dolmanax; Cavaleur majeur; Remueur; Carapace Terre majeur; Muldo Ebène et Indigo</t>
        </is>
      </c>
    </row>
    <row r="15140">
      <c r="A15140" t="inlineStr">
        <is>
          <t>Stuff 2</t>
        </is>
      </c>
      <c r="B15140">
        <f>HYPERLINK("https://www.dofusbook.net/fr/equipement/637772-stuff-2/objets", "link")</f>
        <v/>
      </c>
      <c r="C15140" t="n">
        <v>0</v>
      </c>
      <c r="D15140" t="inlineStr">
        <is>
          <t>Sabres d'Atcham; Amulette du Strigide; Anneau Tique; Alliance Gloursonne; Ceintacé; Chapeau des Malveilleurs; Cape du Chalœil; Sandales  d'Atcham; Dolmanax; Dofus Pourpre; Dofus Turquoise; Remueur; Vigoureux majeur; Nomade; Kramkram</t>
        </is>
      </c>
    </row>
    <row r="15141">
      <c r="A15141" t="inlineStr">
        <is>
          <t>Stuff 3</t>
        </is>
      </c>
      <c r="B15141">
        <f>HYPERLINK("https://www.dofusbook.net/fr/equipement/637807-stuff-3/objets", "link")</f>
        <v/>
      </c>
      <c r="C15141" t="n">
        <v>0</v>
      </c>
      <c r="D15141" t="inlineStr">
        <is>
          <t>Marteau R'ture; Amulette de Pol Ouatnos; Anneau de Brouce; Anneau Chevelu; Ceinture de l'Indicible; Masque de Koutoulou; Voile d'encre; Bottes de l'Indicible; Carapace Neutre majeur; Remueur; Évasif majeur; Enragé majeur; Cavaleur majeur; Muldo Indigo et Pourpre</t>
        </is>
      </c>
    </row>
    <row r="15142">
      <c r="A15142" t="inlineStr">
        <is>
          <t>Stuff 1</t>
        </is>
      </c>
      <c r="B15142">
        <f>HYPERLINK("https://www.dofusbook.net/fr/equipement/637767-stuff-1/objets", "link")</f>
        <v/>
      </c>
      <c r="C15142" t="n">
        <v>0</v>
      </c>
      <c r="D15142" t="inlineStr">
        <is>
          <t>Epée Maudite du Saigneur Guerrier; Talisman Igans; Anneau Tique; Bracelet des Fonds marins; Ceintacé; Casqnoar; Cape de la Dame du Hasard; Bottes de la Dame du Hasard; Kramkram</t>
        </is>
      </c>
    </row>
    <row r="15143">
      <c r="A15143" t="inlineStr">
        <is>
          <t>Stuff 1</t>
        </is>
      </c>
      <c r="B15143">
        <f>HYPERLINK("https://www.dofusbook.net/fr/equipement/637802-stuff-1/objets", "link")</f>
        <v/>
      </c>
      <c r="C15143" t="n">
        <v>0</v>
      </c>
      <c r="D15143" t="inlineStr">
        <is>
          <t>Héqache; Amulette du Strigide; Anneau Chevelu; Anneau des égarés; Ceintouse; Casque des égarés; Cape au Logis; Baleinabottes; Dolmanax; Dofus Pourpre; Évasif majeur; Carapace Neutre majeur; Remueur; Muldo Indigo et Pourpre</t>
        </is>
      </c>
    </row>
    <row r="15144">
      <c r="A15144" t="inlineStr">
        <is>
          <t>Stuff 1</t>
        </is>
      </c>
      <c r="B15144">
        <f>HYPERLINK("https://www.dofusbook.net/fr/equipement/637794-stuff-1/objets", "link")</f>
        <v/>
      </c>
      <c r="C15144" t="n">
        <v>1</v>
      </c>
      <c r="D15144" t="inlineStr">
        <is>
          <t>Dagues de Srambad; Amulette du Strigide; Alliance du Lévitrof; Bracelet du Piloztère; Ceintacé; Kidibonnet; Voilamibe; Bottes du Lévitrof; Dolmanax; Dofus des Glaces; Dofus Pourpre; Remueur; Vigoureux majeur; Nomade; Kramkram</t>
        </is>
      </c>
    </row>
    <row r="15145">
      <c r="A15145" t="inlineStr">
        <is>
          <t>Stuff 2</t>
        </is>
      </c>
      <c r="B15145">
        <f>HYPERLINK("https://www.dofusbook.net/fr/equipement/637789-stuff-2/objets", "link")</f>
        <v/>
      </c>
      <c r="C15145" t="n">
        <v>1</v>
      </c>
      <c r="D15145" t="inlineStr">
        <is>
          <t>Dagues Érhy; Amulette du Strigide; Bague Gloursonne; Anneau de Padgref; Ceinture du Strigide; Coiffe de Padgref; Cape du Professeur Xa; Getas de Padgref; Dofus Turquoise; Dolmanax; Dofus Pourpre; Dofus Nébuleux; Dofus Ocre; Astucieux majeur; Brûlih</t>
        </is>
      </c>
    </row>
    <row r="15146">
      <c r="A15146" t="inlineStr">
        <is>
          <t>Stuff 3</t>
        </is>
      </c>
      <c r="B15146">
        <f>HYPERLINK("https://www.dofusbook.net/fr/equipement/637784-stuff-3/objets", "link")</f>
        <v/>
      </c>
      <c r="C15146" t="n">
        <v>0</v>
      </c>
      <c r="D15146" t="inlineStr">
        <is>
          <t>Pelle de la Cour Sombre; Amulette du Strigide; Alliance Gloursonne; Anneau des égarés; Menoture; Casque des égarés; Cape du Kamasterisk; Palmes Trithons; Dofus Ocre; Dofus Émeraude; Dofus Turquoise; Carapace Neutre majeur; Évasif majeur; Cascadeur majeur; Muldo Ebène et Orchidée</t>
        </is>
      </c>
    </row>
    <row r="15147">
      <c r="A15147" t="inlineStr">
        <is>
          <t>Stuff 1</t>
        </is>
      </c>
      <c r="B15147">
        <f>HYPERLINK("https://www.dofusbook.net/fr/equipement/637774-stuff-1/objets", "link")</f>
        <v/>
      </c>
      <c r="C15147" t="n">
        <v>0</v>
      </c>
      <c r="D15147" t="inlineStr">
        <is>
          <t>Dagues Érhy; Amulette du Strigide; Bague Gloursonne; Chevalière du Roi Joueur; Ceinture du Strigide; Couronne du Roi Joueur; Cape du Professeur Xa; Bottes du Roi Joueur; Dolmanax; Dofus Pourpre; Dofus Ocre; Dofus Turquoise</t>
        </is>
      </c>
    </row>
    <row r="15148">
      <c r="A15148" t="inlineStr">
        <is>
          <t>Stuff 2</t>
        </is>
      </c>
      <c r="B15148">
        <f>HYPERLINK("https://www.dofusbook.net/fr/equipement/637809-stuff-2/objets", "link")</f>
        <v/>
      </c>
      <c r="C15148" t="n">
        <v>0</v>
      </c>
      <c r="D15148" t="inlineStr">
        <is>
          <t>Dagues Érhy; Amulette de l'Indicible; Anneau Chevelu; Bague Gloursonne; Ceinture de l'Indicible; Masque de Koutoulou; Voile d'encre; Bottes de la Cour Sombre; Dolmanax; Carapace Neutre majeur; Remueur; Évasif majeur; Cavaleur majeur; Nomade; Dragodinde en armure</t>
        </is>
      </c>
    </row>
    <row r="15149">
      <c r="A15149" t="inlineStr">
        <is>
          <t>Stuff 2</t>
        </is>
      </c>
      <c r="B15149">
        <f>HYPERLINK("https://www.dofusbook.net/fr/equipement/637769-stuff-2/objets", "link")</f>
        <v/>
      </c>
      <c r="C15149" t="n">
        <v>0</v>
      </c>
      <c r="D15149" t="inlineStr">
        <is>
          <t>Pelle de la Cour Sombre; Collier du Valet Veinard; Alliance Gloursonne; Gant du Valet Veinard; Ceinture du Barbétoal; Dorabysses; Cape du Kamasterisk; Baleinabottes; Dofus Pourpre; Remueur; Évasif majeur; Miraculé majeur; Carapace Air majeur; Cascadeur majeur; Dragodinde Emeraude et Rousse</t>
        </is>
      </c>
    </row>
    <row r="15150">
      <c r="A15150" t="inlineStr">
        <is>
          <t>Stuff 3</t>
        </is>
      </c>
      <c r="B15150">
        <f>HYPERLINK("https://www.dofusbook.net/fr/equipement/637804-stuff-3/objets", "link")</f>
        <v/>
      </c>
      <c r="C15150" t="n">
        <v>0</v>
      </c>
      <c r="D15150" t="inlineStr">
        <is>
          <t>Dagues Érhy; Amulette du Strigide; Anneau Chevelu; Bague Gloursonne; Ceinture de Gein; Masque de Koutoulou; Voile d'encre; Baleinabottes; Dofus Pourpre; Dofus Turquoise; Évasif majeur; Cavaleur majeur; Remueur; Carapace Neutre majeur; Muldo Pourpre</t>
        </is>
      </c>
    </row>
    <row r="15151">
      <c r="A15151" t="inlineStr">
        <is>
          <t>Stuff 3</t>
        </is>
      </c>
      <c r="B15151">
        <f>HYPERLINK("https://www.dofusbook.net/fr/equipement/637764-stuff-3/objets", "link")</f>
        <v/>
      </c>
      <c r="C15151" t="n">
        <v>0</v>
      </c>
      <c r="D15151" t="inlineStr">
        <is>
          <t>Dagues Érhy; Pendentif affamé; Anneau de Nidas; Bague Gloursonne; Ceinture de Gein; Chapeau de Gein; Voile d'encre; Pataugastrique; Dofus Turquoise; Dolmanax; Déserteur majeur; Nomade; Érudit majeur; Remueur; Dragodinde en armure</t>
        </is>
      </c>
    </row>
    <row r="15152">
      <c r="A15152" t="inlineStr">
        <is>
          <t>Stuff 1</t>
        </is>
      </c>
      <c r="B15152">
        <f>HYPERLINK("https://www.dofusbook.net/fr/equipement/637759-stuff-1/objets", "link")</f>
        <v/>
      </c>
      <c r="C15152" t="n">
        <v>0</v>
      </c>
      <c r="D15152" t="inlineStr">
        <is>
          <t>Harpelle; Pendentif affamé; Anneau Tique; Anneau de Nidas; Ceinture de Vortex; Couronne de Nidas; Voile d'encre; Pataugastrique; Déserteur majeur; Érudit majeur; Évasif majeur; Nomade; Fonceur majeur; Remueur; Brâkarien</t>
        </is>
      </c>
    </row>
    <row r="15153">
      <c r="A15153" t="inlineStr">
        <is>
          <t>Stuff 1</t>
        </is>
      </c>
      <c r="B15153">
        <f>HYPERLINK("https://www.dofusbook.net/fr/equipement/637791-stuff-1/objets", "link")</f>
        <v/>
      </c>
      <c r="C15153" t="n">
        <v>0</v>
      </c>
      <c r="D15153" t="inlineStr">
        <is>
          <t>Pelle de la Cour Sombre; Amulette de l'Indicible; Alliance Gloursonne; Anneau Crustique; Menoture; Chapoulpe; Voile d'encre; Tentassons; Nomade; Temporiseur majeur; Remueur; Étourdisseur majeur; Kramkram</t>
        </is>
      </c>
    </row>
    <row r="15154">
      <c r="A15154" t="inlineStr">
        <is>
          <t>Stuff 2</t>
        </is>
      </c>
      <c r="B15154">
        <f>HYPERLINK("https://www.dofusbook.net/fr/equipement/637786-stuff-2/objets", "link")</f>
        <v/>
      </c>
      <c r="C15154" t="n">
        <v>0</v>
      </c>
      <c r="D15154" t="inlineStr">
        <is>
          <t>Sabres d'Atcham; Talisman Igans; Anneau Tique; Alliance Gloursonne; Ceinture de Vortex; Chapeau Lisson; Cape d'Atcham; Pataugastrique; Dofus Turquoise; Dolmanax; Érudit majeur; Nomade; Remueur; Kramkram</t>
        </is>
      </c>
    </row>
    <row r="15155">
      <c r="A15155" t="inlineStr">
        <is>
          <t>Stuff 3</t>
        </is>
      </c>
      <c r="B15155">
        <f>HYPERLINK("https://www.dofusbook.net/fr/equipement/637781-stuff-3/objets", "link")</f>
        <v/>
      </c>
      <c r="C15155" t="n">
        <v>0</v>
      </c>
      <c r="D15155" t="inlineStr">
        <is>
          <t>Hache Téroïde; Amulette du Strigide; Bague Gloursonne; Bracelet du Piloztère; Quatre-feuilles; Ceintacé; Chapeau de Gein; Voile d'encre; Bottes du Strigide; Dofus Vulbis; Dofus Turquoise; Dofus Pourpre; Remueur; Vigoureux majeur; Carapace Terre majeur; Dragodinde en armure</t>
        </is>
      </c>
    </row>
    <row r="15156">
      <c r="A15156" t="inlineStr">
        <is>
          <t>Stuff 1</t>
        </is>
      </c>
      <c r="B15156">
        <f>HYPERLINK("https://www.dofusbook.net/fr/equipement/637776-stuff-1/objets", "link")</f>
        <v/>
      </c>
      <c r="C15156" t="n">
        <v>0</v>
      </c>
      <c r="D15156" t="inlineStr">
        <is>
          <t>Héqache; Amulette du Strigide; Bague Gloursonne; Anneau Chevelu; Ceintacé; Casque de Missiz Frizz; Cape au Logis; Bottes du Strigide; Dofus Turquoise; Dofus Pourpre; Dofus Émeraude; Dofus Ocre; Vigoureux majeur; Dragodinde en armure</t>
        </is>
      </c>
    </row>
    <row r="15157">
      <c r="A15157" t="inlineStr">
        <is>
          <t>Stuff 1</t>
        </is>
      </c>
      <c r="B15157">
        <f>HYPERLINK("https://www.dofusbook.net/fr/equipement/637811-stuff-1/objets", "link")</f>
        <v/>
      </c>
      <c r="C15157" t="n">
        <v>0</v>
      </c>
      <c r="D15157" t="inlineStr">
        <is>
          <t>Pelle de la Cour Sombre; Amulette de Pol Ouatnos; Gant du Valet Veinard; Alliance Gloursonne; Menoture; Dorabysses; Cape du Valet Veinard; Palmes Trithons; Dofus Ocre; Dofus Émeraude; Dofus Pourpre; Cascadeur majeur; Carapace Feu majeur; Carapace Air majeur; Muldo Ebène et Orchidée</t>
        </is>
      </c>
    </row>
    <row r="15158">
      <c r="A15158" t="inlineStr">
        <is>
          <t>Stuff 1</t>
        </is>
      </c>
      <c r="B15158">
        <f>HYPERLINK("https://www.dofusbook.net/fr/equipement/637771-stuff-1/objets", "link")</f>
        <v/>
      </c>
      <c r="C15158" t="n">
        <v>0</v>
      </c>
      <c r="D15158" t="inlineStr">
        <is>
          <t>Sabres d'Atcham; Amulette du Strigide; Alliance Gloursonne; Anneau Tique; Ceintacé; Chapeau des Malveilleurs; Cape du Chalœil; Bottes du Chalœil; Dofus Turquoise; Dolmanax; Dofus Pourpre; Nomade; Remueur; Vigoureux majeur; Kramkram</t>
        </is>
      </c>
    </row>
    <row r="15159">
      <c r="A15159" t="inlineStr">
        <is>
          <t>Stuff 2</t>
        </is>
      </c>
      <c r="B15159">
        <f>HYPERLINK("https://www.dofusbook.net/fr/equipement/637806-stuff-2/objets", "link")</f>
        <v/>
      </c>
      <c r="C15159" t="n">
        <v>0</v>
      </c>
      <c r="D15159" t="inlineStr">
        <is>
          <t>Hache Ériphe; Amulette du Strigide; Anneau du Cycloïde; Anneau des égarés; Ceintouse; Casque des égarés; Voile d'encre; Baleinabottes; Évasif majeur; Carapace Neutre majeur; Cavaleur majeur; Carapace Terre majeur; Remueur; Muldo Orchidée et Pourpre</t>
        </is>
      </c>
    </row>
    <row r="15160">
      <c r="A15160" t="inlineStr">
        <is>
          <t>Stuff 3</t>
        </is>
      </c>
      <c r="B15160">
        <f>HYPERLINK("https://www.dofusbook.net/fr/equipement/637787-stuff-3/objets", "link")</f>
        <v/>
      </c>
      <c r="C15160" t="n">
        <v>0</v>
      </c>
      <c r="D15160" t="inlineStr">
        <is>
          <t>Sabres d'Atcham; Amulette du Strigide; Anneau Tique; Alliance Gloursonne; Ceintacé; Chapeau Lisson; Voile d'encre; Sandales  d'Atcham; Dolmanax; Dofus Pourpre; Carapace Terre majeur; Vigoureux majeur; Remueur; Nomade; Kramkram</t>
        </is>
      </c>
    </row>
    <row r="15161">
      <c r="A15161" t="inlineStr">
        <is>
          <t>Stuff 1</t>
        </is>
      </c>
      <c r="B15161">
        <f>HYPERLINK("https://www.dofusbook.net/fr/equipement/637782-stuff-1/objets", "link")</f>
        <v/>
      </c>
      <c r="C15161" t="n">
        <v>0</v>
      </c>
      <c r="D15161" t="inlineStr">
        <is>
          <t>Bague Gloursonne; Chapeau de Gein; Voile d'encre</t>
        </is>
      </c>
    </row>
    <row r="15162">
      <c r="A15162" t="inlineStr">
        <is>
          <t>Stuff 2</t>
        </is>
      </c>
      <c r="B15162">
        <f>HYPERLINK("https://www.dofusbook.net/fr/equipement/637777-stuff-2/objets", "link")</f>
        <v/>
      </c>
      <c r="C15162" t="n">
        <v>0</v>
      </c>
      <c r="D15162" t="inlineStr">
        <is>
          <t>Dagues Érhy; Amulette du Strigide; Pikano; Anneau Chevelu; Ceintouse; Chapoulpe; Voile d'encre; Baleinabottes; Dofus Turquoise; Dolmanax; Dofus Pourpre; Carapace Terre majeur; Nomade; Remueur; Dragodinde en armure</t>
        </is>
      </c>
    </row>
    <row r="15163">
      <c r="A15163" t="inlineStr">
        <is>
          <t>Stuff 2</t>
        </is>
      </c>
      <c r="B15163">
        <f>HYPERLINK("https://www.dofusbook.net/fr/equipement/637772-stuff-2/objets", "link")</f>
        <v/>
      </c>
      <c r="C15163" t="n">
        <v>0</v>
      </c>
      <c r="D15163" t="inlineStr">
        <is>
          <t>Sabres d'Atcham; Amulette du Strigide; Anneau Tique; Alliance Gloursonne; Ceintacé; Chapeau des Malveilleurs; Cape du Chalœil; Sandales  d'Atcham; Dofus Pourpre; Dofus Turquoise; Dolmanax; Vigoureux majeur; Nomade; Remueur; Kramkram</t>
        </is>
      </c>
    </row>
    <row r="15164">
      <c r="A15164" t="inlineStr">
        <is>
          <t>Stuff 3</t>
        </is>
      </c>
      <c r="B15164">
        <f>HYPERLINK("https://www.dofusbook.net/fr/equipement/637807-stuff-3/objets", "link")</f>
        <v/>
      </c>
      <c r="C15164" t="n">
        <v>0</v>
      </c>
      <c r="D15164" t="inlineStr">
        <is>
          <t>Marteau R'ture; Amulette de Pol Ouatnos; Anneau Chevelu; Anneau de Brouce; Ceinture de l'Indicible; Masque de Koutoulou; Voile d'encre; Bottes de l'Indicible; Cavaleur majeur; Carapace Neutre majeur; Remueur; Évasif majeur; Enragé majeur; Muldo Indigo et Pourpre</t>
        </is>
      </c>
    </row>
    <row r="15165">
      <c r="A15165" t="inlineStr">
        <is>
          <t>Stuff 1</t>
        </is>
      </c>
      <c r="B15165">
        <f>HYPERLINK("https://www.dofusbook.net/fr/equipement/637767-stuff-1/objets", "link")</f>
        <v/>
      </c>
      <c r="C15165" t="n">
        <v>0</v>
      </c>
      <c r="D15165" t="inlineStr">
        <is>
          <t>Epée Maudite du Saigneur Guerrier; Talisman Igans; Anneau Tique; Bracelet des Fonds marins; Ceintacé; Casqnoar; Cape de la Dame du Hasard; Bottes de la Dame du Hasard; Kramkram</t>
        </is>
      </c>
    </row>
    <row r="15166">
      <c r="A15166" t="inlineStr">
        <is>
          <t>Stuff 1</t>
        </is>
      </c>
      <c r="B15166">
        <f>HYPERLINK("https://www.dofusbook.net/fr/equipement/637802-stuff-1/objets", "link")</f>
        <v/>
      </c>
      <c r="C15166" t="n">
        <v>0</v>
      </c>
      <c r="D15166" t="inlineStr">
        <is>
          <t>Héqache; Amulette du Strigide; Anneau des égarés; Anneau Chevelu; Ceintouse; Casque des égarés; Cape au Logis; Baleinabottes; Dolmanax; Dofus Pourpre; Carapace Neutre majeur; Remueur; Évasif majeur; Muldo Indigo et Pourpre</t>
        </is>
      </c>
    </row>
    <row r="15167">
      <c r="A15167" t="inlineStr">
        <is>
          <t>Stuff 1</t>
        </is>
      </c>
      <c r="B15167">
        <f>HYPERLINK("https://www.dofusbook.net/fr/equipement/637794-stuff-1/objets", "link")</f>
        <v/>
      </c>
      <c r="C15167" t="n">
        <v>1</v>
      </c>
      <c r="D15167" t="inlineStr">
        <is>
          <t>Dagues de Srambad; Amulette du Strigide; Bracelet du Piloztère; Alliance du Lévitrof; Ceintacé; Kidibonnet; Voilamibe; Bottes du Lévitrof; Dofus des Glaces; Dofus Pourpre; Dolmanax; Remueur; Vigoureux majeur; Nomade; Kramkram</t>
        </is>
      </c>
    </row>
    <row r="15168">
      <c r="A15168" t="inlineStr">
        <is>
          <t>Stuff 2</t>
        </is>
      </c>
      <c r="B15168">
        <f>HYPERLINK("https://www.dofusbook.net/fr/equipement/637789-stuff-2/objets", "link")</f>
        <v/>
      </c>
      <c r="C15168" t="n">
        <v>1</v>
      </c>
      <c r="D15168" t="inlineStr">
        <is>
          <t>Dagues Érhy; Amulette du Strigide; Bague Gloursonne; Anneau de Padgref; Ceinture du Strigide; Coiffe de Padgref; Cape du Professeur Xa; Getas de Padgref; Dolmanax; Dofus Pourpre; Dofus Nébuleux; Dofus Ocre; Dofus Turquoise; Astucieux majeur; Brûlih</t>
        </is>
      </c>
    </row>
    <row r="15169">
      <c r="A15169" t="inlineStr">
        <is>
          <t>Stuff 3</t>
        </is>
      </c>
      <c r="B15169">
        <f>HYPERLINK("https://www.dofusbook.net/fr/equipement/637784-stuff-3/objets", "link")</f>
        <v/>
      </c>
      <c r="C15169" t="n">
        <v>0</v>
      </c>
      <c r="D15169" t="inlineStr">
        <is>
          <t>Pelle de la Cour Sombre; Amulette du Strigide; Anneau des égarés; Alliance Gloursonne; Menoture; Casque des égarés; Cape du Kamasterisk; Palmes Trithons; Dofus Ocre; Dofus Émeraude; Dofus Turquoise; Carapace Neutre majeur; Évasif majeur; Cascadeur majeur; Muldo Ebène et Orchidée</t>
        </is>
      </c>
    </row>
    <row r="15170">
      <c r="A15170" t="inlineStr">
        <is>
          <t>Stuff 1</t>
        </is>
      </c>
      <c r="B15170">
        <f>HYPERLINK("https://www.dofusbook.net/fr/equipement/637774-stuff-1/objets", "link")</f>
        <v/>
      </c>
      <c r="C15170" t="n">
        <v>0</v>
      </c>
      <c r="D15170" t="inlineStr">
        <is>
          <t>Dagues Érhy; Amulette du Strigide; Bague Gloursonne; Chevalière du Roi Joueur; Ceinture du Strigide; Couronne du Roi Joueur; Cape du Professeur Xa; Bottes du Roi Joueur; Dofus Ocre; Dofus Turquoise; Dolmanax; Dofus Pourpre</t>
        </is>
      </c>
    </row>
    <row r="15171">
      <c r="A15171" t="inlineStr">
        <is>
          <t>Stuff 2</t>
        </is>
      </c>
      <c r="B15171">
        <f>HYPERLINK("https://www.dofusbook.net/fr/equipement/637809-stuff-2/objets", "link")</f>
        <v/>
      </c>
      <c r="C15171" t="n">
        <v>0</v>
      </c>
      <c r="D15171" t="inlineStr">
        <is>
          <t>Dagues Érhy; Amulette de l'Indicible; Anneau Chevelu; Bague Gloursonne; Ceinture de l'Indicible; Masque de Koutoulou; Voile d'encre; Bottes de la Cour Sombre; Dolmanax; Nomade; Carapace Neutre majeur; Remueur; Évasif majeur; Cavaleur majeur; Dragodinde en armure</t>
        </is>
      </c>
    </row>
    <row r="15172">
      <c r="A15172" t="inlineStr">
        <is>
          <t>Stuff 2</t>
        </is>
      </c>
      <c r="B15172">
        <f>HYPERLINK("https://www.dofusbook.net/fr/equipement/637769-stuff-2/objets", "link")</f>
        <v/>
      </c>
      <c r="C15172" t="n">
        <v>0</v>
      </c>
      <c r="D15172" t="inlineStr">
        <is>
          <t>Pelle de la Cour Sombre; Collier du Valet Veinard; Gant du Valet Veinard; Alliance Gloursonne; Ceinture du Barbétoal; Dorabysses; Cape du Kamasterisk; Baleinabottes; Dofus Pourpre; Miraculé majeur; Carapace Air majeur; Cascadeur majeur; Remueur; Évasif majeur; Dragodinde Emeraude et Rousse</t>
        </is>
      </c>
    </row>
    <row r="15173">
      <c r="A15173" t="inlineStr">
        <is>
          <t>Stuff 3</t>
        </is>
      </c>
      <c r="B15173">
        <f>HYPERLINK("https://www.dofusbook.net/fr/equipement/637804-stuff-3/objets", "link")</f>
        <v/>
      </c>
      <c r="C15173" t="n">
        <v>0</v>
      </c>
      <c r="D15173" t="inlineStr">
        <is>
          <t>Dagues Érhy; Amulette du Strigide; Bague Gloursonne; Anneau Chevelu; Ceinture de Gein; Masque de Koutoulou; Voile d'encre; Baleinabottes; Dofus Pourpre; Dofus Turquoise; Remueur; Carapace Neutre majeur; Évasif majeur; Cavaleur majeur; Muldo Pourpre</t>
        </is>
      </c>
    </row>
    <row r="15174">
      <c r="A15174" t="inlineStr">
        <is>
          <t>Stuff 3</t>
        </is>
      </c>
      <c r="B15174">
        <f>HYPERLINK("https://www.dofusbook.net/fr/equipement/637764-stuff-3/objets", "link")</f>
        <v/>
      </c>
      <c r="C15174" t="n">
        <v>0</v>
      </c>
      <c r="D15174" t="inlineStr">
        <is>
          <t>Dagues Érhy; Pendentif affamé; Bague Gloursonne; Anneau de Nidas; Ceinture de Gein; Chapeau de Gein; Voile d'encre; Pataugastrique; Dofus Turquoise; Dolmanax; Érudit majeur; Remueur; Déserteur majeur; Nomade; Dragodinde en armure</t>
        </is>
      </c>
    </row>
    <row r="15175">
      <c r="A15175" t="inlineStr">
        <is>
          <t>Stuff 1</t>
        </is>
      </c>
      <c r="B15175">
        <f>HYPERLINK("https://www.dofusbook.net/fr/equipement/637759-stuff-1/objets", "link")</f>
        <v/>
      </c>
      <c r="C15175" t="n">
        <v>0</v>
      </c>
      <c r="D15175" t="inlineStr">
        <is>
          <t>Harpelle; Pendentif affamé; Anneau de Nidas; Anneau Tique; Ceinture de Vortex; Couronne de Nidas; Voile d'encre; Pataugastrique; Évasif majeur; Nomade; Fonceur majeur; Remueur; Déserteur majeur; Érudit majeur; Brâkarien</t>
        </is>
      </c>
    </row>
    <row r="15176">
      <c r="A15176" t="inlineStr">
        <is>
          <t>Stuff 1</t>
        </is>
      </c>
      <c r="B15176">
        <f>HYPERLINK("https://www.dofusbook.net/fr/equipement/637791-stuff-1/objets", "link")</f>
        <v/>
      </c>
      <c r="C15176" t="n">
        <v>0</v>
      </c>
      <c r="D15176" t="inlineStr">
        <is>
          <t>Pelle de la Cour Sombre; Amulette de l'Indicible; Anneau Crustique; Alliance Gloursonne; Menoture; Chapoulpe; Voile d'encre; Tentassons; Étourdisseur majeur; Nomade; Temporiseur majeur; Remueur; Kramkram</t>
        </is>
      </c>
    </row>
    <row r="15177">
      <c r="A15177" t="inlineStr">
        <is>
          <t>Pandawa F 200</t>
        </is>
      </c>
      <c r="B15177">
        <f>HYPERLINK("https://www.dofusbook.net/fr/equipement/5037922-pandawa-f-200/objets", "link")</f>
        <v/>
      </c>
      <c r="C15177" t="n">
        <v>1</v>
      </c>
      <c r="D15177" t="inlineStr"/>
    </row>
    <row r="15178">
      <c r="A15178" t="inlineStr">
        <is>
          <t>Pandawa F 200</t>
        </is>
      </c>
      <c r="B15178">
        <f>HYPERLINK("https://www.dofusbook.net/fr/equipement/4248487-pandawa-f-200/objets", "link")</f>
        <v/>
      </c>
      <c r="C15178" t="n">
        <v>1</v>
      </c>
      <c r="D15178" t="inlineStr">
        <is>
          <t>Arc Nécrotique; Amulette du Strigide; Anneau Tique; Alliance Gloursonne; Quatre-feuilles; Ceinture du Strigide; Casqnoar; Voile d'encre; Bottes de Mille Lieues; Dofus des Glaces; Dofus Abyssal; Dofus Pourpre; Dofus Turquoise; Remueur; Nomade; Dragodinde Prune et Ivoire</t>
        </is>
      </c>
    </row>
    <row r="15179">
      <c r="A15179" t="inlineStr">
        <is>
          <t>Pandawa Feu eau 200</t>
        </is>
      </c>
      <c r="B15179">
        <f>HYPERLINK("https://www.dofusbook.net/fr/equipement/3452240-pandawa-feu-eau-200/objets", "link")</f>
        <v/>
      </c>
      <c r="C15179" t="n">
        <v>1</v>
      </c>
      <c r="D15179" t="inlineStr">
        <is>
          <t>Pyraguette; Amulette Volkorne; Anneau Tique; Alliance Gloursonne; Bouclier cubiste; Ceinture Volkorne; Diadème de Ganymède; Voile d'encre; Pataugastrique; Dofus Pourpre; Dofus Émeraude; Dofus Abyssal; Carapace Terre majeur; Nomade; Miraculé majeur; El Scarador</t>
        </is>
      </c>
    </row>
    <row r="15180">
      <c r="A15180" t="inlineStr">
        <is>
          <t>Stuff 2</t>
        </is>
      </c>
      <c r="B15180">
        <f>HYPERLINK("https://www.dofusbook.net/fr/equipement/320546-stuff-2/objets", "link")</f>
        <v/>
      </c>
      <c r="C15180" t="n">
        <v>2</v>
      </c>
      <c r="D15180" t="inlineStr">
        <is>
          <t>Pyraguette; Amulette Volkorne; Anneau Volkorne; Alliance Gloursonne; Bouclier cubiste; Ceintrigue; Diadème de Ganymède; Voile d'encre; Pataugastrique; Dofus Abyssal; Dofus Pourpre; Dofus Émeraude; Miraculé majeur; Carapace Terre majeur; Nomade; El Scarador</t>
        </is>
      </c>
    </row>
    <row r="15181">
      <c r="A15181" t="inlineStr">
        <is>
          <t>Stuff 2</t>
        </is>
      </c>
      <c r="B15181">
        <f>HYPERLINK("https://www.dofusbook.net/fr/equipement/320531-stuff-2/objets", "link")</f>
        <v/>
      </c>
      <c r="C15181" t="n">
        <v>0</v>
      </c>
      <c r="D15181" t="inlineStr">
        <is>
          <t>Rapière aux Glyphes; Amulette du Strigide; Alliance Gloursonne; Bracelet des Fonds marins; Quatre-feuilles; Ceinture Glaciale; Kidibonnet; Cape Glaciale; Sandales Circulaires du Kimbo; Carapace Eau majeur; Remueur; Évasif majeur; Chanceux majeur; Cavaleur majeur; Nomade; Muldo Ebène et Indigo</t>
        </is>
      </c>
    </row>
    <row r="15182">
      <c r="A15182" t="inlineStr">
        <is>
          <t>Stuff 1</t>
        </is>
      </c>
      <c r="B15182">
        <f>HYPERLINK("https://www.dofusbook.net/fr/equipement/320548-stuff-1/objets", "link")</f>
        <v/>
      </c>
      <c r="C15182" t="n">
        <v>0</v>
      </c>
      <c r="D15182" t="inlineStr">
        <is>
          <t>Sabres d'Atcham; Amulette du Strigide; Grésilanneau; Alliance Gloursonne; Quatre-feuilles; Ceintacé; Casqnoar; Voile d'encre; Bottes du Strigide; Dofus Abyssal; Dofus Pourpre; Dofus Turquoise; Remueur; Nomade; Croum</t>
        </is>
      </c>
    </row>
    <row r="15183">
      <c r="A15183" t="inlineStr">
        <is>
          <t>Hachekorrivariante</t>
        </is>
      </c>
      <c r="B15183">
        <f>HYPERLINK("https://www.dofusbook.net/fr/equipement/1515034-hachekorrivariante/objets", "link")</f>
        <v/>
      </c>
      <c r="C15183" t="n">
        <v>1</v>
      </c>
      <c r="D15183" t="inlineStr">
        <is>
          <t>Hache du Korriandre; Amulette du Strigide; Alliance Gloursonne; Bracelet du Piloztère; Bouclier du Captain Amakna; Ceintacé; Némès de Tal Kasha; Voile d'encre; Bottes du Strigide; Dofus Émeraude; Dofus Turquoise; Dokoko; Remueur; Nomade; Cascadeur majeur; Kramkram</t>
        </is>
      </c>
    </row>
    <row r="15184">
      <c r="A15184" t="inlineStr">
        <is>
          <t>Hache korriandre</t>
        </is>
      </c>
      <c r="B15184">
        <f>HYPERLINK("https://www.dofusbook.net/fr/equipement/1509322-hache-korriandre/objets", "link")</f>
        <v/>
      </c>
      <c r="C15184" t="n">
        <v>1</v>
      </c>
      <c r="D15184" t="inlineStr">
        <is>
          <t>Hache du Korriandre; Amulette du Strigide; Bracelet des Fonds marins; Alliance Gloursonne; Bouclier alvéolé; Ceinture du Barbétoal; Kidibonnet; Voile d'encre; Bottes du Strigide; Dofus Turquoise; Dokoko; Remueur; Vigoureux majeur; Nomade; Cascadeur majeur; Dragodinde en armure</t>
        </is>
      </c>
    </row>
    <row r="15185">
      <c r="A15185" t="inlineStr">
        <is>
          <t>Stuff 2</t>
        </is>
      </c>
      <c r="B15185">
        <f>HYPERLINK("https://www.dofusbook.net/fr/equipement/320540-stuff-2/objets", "link")</f>
        <v/>
      </c>
      <c r="C15185" t="n">
        <v>0</v>
      </c>
      <c r="D15185" t="inlineStr">
        <is>
          <t>Hache du Korriandre; Amulette du Strigide; Alliance Gloursonne; Bracelet des Fonds marins; Quatre-feuilles; Ceinture du Strigide; Kidibonnet; Voile d'encre; Sandales de Tal Kasha; Dofus Turquoise; Vigoureux majeur; Nomade; Observateur; Remueur; Dragodinde en armure</t>
        </is>
      </c>
    </row>
    <row r="15186">
      <c r="A15186" t="inlineStr">
        <is>
          <t>Stuff 2</t>
        </is>
      </c>
      <c r="B15186">
        <f>HYPERLINK("https://www.dofusbook.net/fr/equipement/320522-stuff-2/objets", "link")</f>
        <v/>
      </c>
      <c r="C15186" t="n">
        <v>0</v>
      </c>
      <c r="D15186" t="inlineStr">
        <is>
          <t>Hache du Korriandre; Amulette du Strigide; Bracelet des Fonds marins; Alliance Gloursonne; Ceinture du Barbétoal; Kidibonnet; Cape Tif; Bottes du Strigide; Dofus Turquoise; Dofus Émeraude; Vigoureux majeur; Remueur; Cascadeur majeur; Nomade; Muldo Indigo et Pourpre</t>
        </is>
      </c>
    </row>
    <row r="15187">
      <c r="A15187" t="inlineStr">
        <is>
          <t>Stuff 1</t>
        </is>
      </c>
      <c r="B15187">
        <f>HYPERLINK("https://www.dofusbook.net/fr/equipement/320530-stuff-1/objets", "link")</f>
        <v/>
      </c>
      <c r="C15187" t="n">
        <v>1</v>
      </c>
      <c r="D15187" t="inlineStr">
        <is>
          <t>Epée Gloursonne; Talisman Glouti; Alliance Gloursonne; Bracelet des Fonds marins; Bouclier du Stalak; Sangle Ouare; Kidibonnet; Cape Glaciale; Bottes du Sinistrofu; Dokoko; Dofus Émeraude; Dofus Turquoise; Chanceux majeur; Remueur</t>
        </is>
      </c>
    </row>
    <row r="15188">
      <c r="A15188" t="inlineStr">
        <is>
          <t>Stuff 1</t>
        </is>
      </c>
      <c r="B15188">
        <f>HYPERLINK("https://www.dofusbook.net/fr/equipement/320551-stuff-1/objets", "link")</f>
        <v/>
      </c>
      <c r="C15188" t="n">
        <v>0</v>
      </c>
      <c r="D15188" t="inlineStr">
        <is>
          <t>Rapière aux Glyphes; Talisman Glouti; Alliance Gloursonne; Bracelet des Fonds marins; Sangle Ouare; Kidibonnet; Cape du Sinistrofu; Bottes du Sinistrofu; Évasif majeur; Nomade; Carapace Eau majeur; Remueur; Miraculé majeur; Chanceux majeur; Dragodinde en armure</t>
        </is>
      </c>
    </row>
    <row r="15189">
      <c r="A15189" t="inlineStr">
        <is>
          <t>Stuff 3</t>
        </is>
      </c>
      <c r="B15189">
        <f>HYPERLINK("https://www.dofusbook.net/fr/equipement/320541-stuff-3/objets", "link")</f>
        <v/>
      </c>
      <c r="C15189" t="n">
        <v>0</v>
      </c>
      <c r="D15189" t="inlineStr">
        <is>
          <t>Hache du Korriandre; Amulette du Strigide; Alliance Gloursonne; Bracelet des Fonds marins; Ceinture du Barbétoal; Kidibonnet; Voile d'encre; Bottes du Strigide; Dofus Turquoise; Dofus Émeraude; Dokoko; Vigoureux majeur; Observateur; Nomade; Dragodinde en armure</t>
        </is>
      </c>
    </row>
    <row r="15190">
      <c r="A15190" t="inlineStr">
        <is>
          <t>Stuff 3</t>
        </is>
      </c>
      <c r="B15190">
        <f>HYPERLINK("https://www.dofusbook.net/fr/equipement/320573-stuff-3/objets", "link")</f>
        <v/>
      </c>
      <c r="C15190" t="n">
        <v>0</v>
      </c>
      <c r="D15190" t="inlineStr">
        <is>
          <t>Manthache; Amulette du Strigide; Alliance Gloursonne; Gant du Valet Veinard; Ceintacé; Couronne d'Allister; Cape de Klime; Bottes du Strigide; Cascadeur majeur; Cavaleur majeur; Remueur; Vigoureux majeur; Nomade; Muldo Ebène et Orchidée</t>
        </is>
      </c>
    </row>
    <row r="15191">
      <c r="A15191" t="inlineStr">
        <is>
          <t>Stuff 1</t>
        </is>
      </c>
      <c r="B15191">
        <f>HYPERLINK("https://www.dofusbook.net/fr/equipement/320536-stuff-1/objets", "link")</f>
        <v/>
      </c>
      <c r="C15191" t="n">
        <v>0</v>
      </c>
      <c r="D15191" t="inlineStr">
        <is>
          <t>Rapière aux Glyphes; Amulette du Strigide; Anneau Tique; Alliance Gloursonne; Bouclier du Stalak; Ceinture du Strigide; Casqnoar; Voile d'encre; Pataugastrique; Déserteur majeur; Remueur; Vigoureux majeur; Nomade; Carapace Feu majeur; Érudit majeur; Dragodinde en armure</t>
        </is>
      </c>
    </row>
    <row r="15192">
      <c r="A15192" t="inlineStr">
        <is>
          <t>Stuff 1</t>
        </is>
      </c>
      <c r="B15192">
        <f>HYPERLINK("https://www.dofusbook.net/fr/equipement/320568-stuff-1/objets", "link")</f>
        <v/>
      </c>
      <c r="C15192" t="n">
        <v>0</v>
      </c>
      <c r="D15192" t="inlineStr">
        <is>
          <t>Dagues Érhy; Amulette du Strigide; Anneau de Brouce; Bague Gloursonne; Ceintacé; Chapeau Lisson; Cape au Logis; Bottes du Strigide; Dofus Turquoise; Dofus Pourpre; Cascadeur majeur; Vigoureux majeur; Remueur; Nomade; Dragodinde en armure</t>
        </is>
      </c>
    </row>
    <row r="15193">
      <c r="A15193" t="inlineStr">
        <is>
          <t>Stuff 1</t>
        </is>
      </c>
      <c r="B15193">
        <f>HYPERLINK("https://www.dofusbook.net/fr/equipement/320563-stuff-1/objets", "link")</f>
        <v/>
      </c>
      <c r="C15193" t="n">
        <v>0</v>
      </c>
      <c r="D15193" t="inlineStr">
        <is>
          <t>Baguette Range; Amulette de Pol Ouatnos; Anneau de Padgref; Bague Gloursonne; Ceinture du Strigide; Coiffe de Padgref; Cape du Professeur Xa; Pantoufles Émar; Dofus Pourpre; Dofus Turquoise; Remueur; Nomade; Dragodinde en armure</t>
        </is>
      </c>
    </row>
    <row r="15194">
      <c r="A15194" t="inlineStr">
        <is>
          <t>Stuff 2</t>
        </is>
      </c>
      <c r="B15194">
        <f>HYPERLINK("https://www.dofusbook.net/fr/equipement/320558-stuff-2/objets", "link")</f>
        <v/>
      </c>
      <c r="C15194" t="n">
        <v>0</v>
      </c>
      <c r="D15194" t="inlineStr">
        <is>
          <t>Hache du Chalœil; Amulette du Strigide; Alliance Gloursonne; Pikano; Ceintacé; Chapeau Lisson; Voile d'encre; Bottes du Strigide; Dofus Turquoise; Évasif majeur; Remueur; Nomade; Déserteur majeur; Observateur; Dragodinde en armure</t>
        </is>
      </c>
    </row>
    <row r="15195">
      <c r="A15195" t="inlineStr">
        <is>
          <t>Stuff 3</t>
        </is>
      </c>
      <c r="B15195">
        <f>HYPERLINK("https://www.dofusbook.net/fr/equipement/320553-stuff-3/objets", "link")</f>
        <v/>
      </c>
      <c r="C15195" t="n">
        <v>0</v>
      </c>
      <c r="D15195" t="inlineStr">
        <is>
          <t>Arc Hétype; Amulette de Nileza; Alliance Gloursonne; Anneau Tique; Ceinture Séculaire; Coiffe Séculaire; Voile d'encre; Pataugastrique; Remueur; Miraculé majeur; Nomade; Érudit majeur; Carapace Terre majeur; El Scarador</t>
        </is>
      </c>
    </row>
    <row r="15196">
      <c r="A15196" t="inlineStr">
        <is>
          <t>Stuff 3</t>
        </is>
      </c>
      <c r="B15196">
        <f>HYPERLINK("https://www.dofusbook.net/fr/equipement/320538-stuff-3/objets", "link")</f>
        <v/>
      </c>
      <c r="C15196" t="n">
        <v>0</v>
      </c>
      <c r="D15196" t="inlineStr">
        <is>
          <t>Arc Nécrotique; Amulette du Strigide; Grésilanneau; Alliance Gloursonne; Ceintacé; Masque de l'Esprit Malsain; Voile d'encre; Bottes du Strigide; Carapace Feu majeur; Observateur; Déserteur majeur; Remueur; Vigoureux majeur; Nomade; Dragodinde en armure</t>
        </is>
      </c>
    </row>
    <row r="15197">
      <c r="A15197" t="inlineStr">
        <is>
          <t>Stuff 3</t>
        </is>
      </c>
      <c r="B15197">
        <f>HYPERLINK("https://www.dofusbook.net/fr/equipement/320570-stuff-3/objets", "link")</f>
        <v/>
      </c>
      <c r="C15197" t="n">
        <v>0</v>
      </c>
      <c r="D15197" t="inlineStr">
        <is>
          <t>Az'tech; Amulette du Strigide; Alliance Gloursonne; Anneau Chevelu; Bouclier du Captain Amakna; Ceintacé; Chapoulpe; Voile d'encre; Bottes de la Reine des Voleurs; Dofus Émeraude; Dofus Turquoise; Nomade; Remueur; Vigoureux majeur; Dragodinde en armure</t>
        </is>
      </c>
    </row>
    <row r="15198">
      <c r="A15198" t="inlineStr">
        <is>
          <t>Stuff 1</t>
        </is>
      </c>
      <c r="B15198">
        <f>HYPERLINK("https://www.dofusbook.net/fr/equipement/320565-stuff-1/objets", "link")</f>
        <v/>
      </c>
      <c r="C15198" t="n">
        <v>0</v>
      </c>
      <c r="D15198" t="inlineStr">
        <is>
          <t>Rapière aux Glyphes; Talisman Glouti; Alliance Gloursonne; Bracelet des Fonds marins; Sangle Ouare; Kidibonnet; Cape du Sinistrofu; Bottes du Sinistrofu; Évasif majeur; Nomade; Carapace Eau majeur; Remueur; Observateur; Chanceux majeur; Dragodinde en armure</t>
        </is>
      </c>
    </row>
    <row r="15199">
      <c r="A15199" t="inlineStr">
        <is>
          <t>Stuff 1</t>
        </is>
      </c>
      <c r="B15199">
        <f>HYPERLINK("https://www.dofusbook.net/fr/equipement/320560-stuff-1/objets", "link")</f>
        <v/>
      </c>
      <c r="C15199" t="n">
        <v>0</v>
      </c>
      <c r="D15199" t="inlineStr">
        <is>
          <t>Rapière aux Glyphes; Amulette du Strigide; Bracelet des Fonds marins; Alliance Gloursonne; Ceinture Glaciale; Kidibonnet; Cape Glaciale; Sandales Circulaires du Kimbo; Étourdisseur majeur; Nomade; Carapace Eau majeur; Remueur; Chanceux majeur; Muldo Ebène et Indigo</t>
        </is>
      </c>
    </row>
    <row r="15200">
      <c r="A15200" t="inlineStr">
        <is>
          <t>Stuff 2</t>
        </is>
      </c>
      <c r="B15200">
        <f>HYPERLINK("https://www.dofusbook.net/fr/equipement/320555-stuff-2/objets", "link")</f>
        <v/>
      </c>
      <c r="C15200" t="n">
        <v>0</v>
      </c>
      <c r="D15200" t="inlineStr">
        <is>
          <t>Az'tech; Amulette du Strigide; Anneau Chevelu; Alliance Gloursonne; Ceintacé; Chapoulpe; Cape au Logis; Bottes du Strigide; Dofus Émeraude; Dofus Turquoise; Carapace Feu majeur; Vigoureux majeur; Nomade; Remueur; Dragodinde en armure</t>
        </is>
      </c>
    </row>
    <row r="15201">
      <c r="A15201" t="inlineStr">
        <is>
          <t>Stuff 3</t>
        </is>
      </c>
      <c r="B15201">
        <f>HYPERLINK("https://www.dofusbook.net/fr/equipement/320550-stuff-3/objets", "link")</f>
        <v/>
      </c>
      <c r="C15201" t="n">
        <v>0</v>
      </c>
      <c r="D15201" t="inlineStr">
        <is>
          <t>Harpelle; Amulette du Strigide; Alliance Gloursonne; Anneau Tique; Ceinture du Strigide; Casqnoar; Voile d'encre; Pataugastrique; Étourdisseur majeur; Remueur; Déserteur majeur; Vigoureux majeur; Carapace Terre majeur; Nomade; Dragodinde en armure</t>
        </is>
      </c>
    </row>
    <row r="15202">
      <c r="A15202" t="inlineStr">
        <is>
          <t>Stuff 1</t>
        </is>
      </c>
      <c r="B15202">
        <f>HYPERLINK("https://www.dofusbook.net/fr/equipement/320545-stuff-1/objets", "link")</f>
        <v/>
      </c>
      <c r="C15202" t="n">
        <v>0</v>
      </c>
      <c r="D15202" t="inlineStr">
        <is>
          <t>Rapière aux Glyphes; Amulette de Shokkoth; Alliance Gloursonne; Bracelet des Fonds marins; Sangle Ouare; Kidibonnet; Cape de Mantaze; Sandales des Fonds marins; Dofus Turquoise; Dolmanax; Nomade; Remueur; Carapace Eau majeur; Chanceux majeur; Dragodinde en armure</t>
        </is>
      </c>
    </row>
    <row r="15203">
      <c r="A15203" t="inlineStr">
        <is>
          <t>Stuff 2</t>
        </is>
      </c>
      <c r="B15203">
        <f>HYPERLINK("https://www.dofusbook.net/fr/equipement/320572-stuff-2/objets", "link")</f>
        <v/>
      </c>
      <c r="C15203" t="n">
        <v>0</v>
      </c>
      <c r="D15203" t="inlineStr">
        <is>
          <t>Rapière aux Glyphes; Kralamansion; Grésilanneau; Alliance Gloursonne; Ceinture Glaciale; Casque Dragoeuf; Cape Glaciale; Pantoufles Émar; Carapace Terre majeur; Remueur; Vigoureux majeur; Chanceux majeur; Miraculé majeur; Nomade; Muldo Indigo et Orchidée</t>
        </is>
      </c>
    </row>
    <row r="15204">
      <c r="A15204" t="inlineStr">
        <is>
          <t>Stuff 3</t>
        </is>
      </c>
      <c r="B15204">
        <f>HYPERLINK("https://www.dofusbook.net/fr/equipement/320567-stuff-3/objets", "link")</f>
        <v/>
      </c>
      <c r="C15204" t="n">
        <v>0</v>
      </c>
      <c r="D15204" t="inlineStr">
        <is>
          <t>Rapière aux Glyphes; Talisman Glouti; Alliance Gloursonne; Grésilanneau; Ceinture Glaciale; Casque Dragoeuf; Cape Glaciale; Pataugastrique; Remueur; Vigoureux majeur; Nomade; Obstructeur majeur; Chanceux majeur; Évasif majeur; Muldo Indigo et Pourpre</t>
        </is>
      </c>
    </row>
    <row r="15205">
      <c r="A15205" t="inlineStr">
        <is>
          <t>Stuff 3</t>
        </is>
      </c>
      <c r="B15205">
        <f>HYPERLINK("https://www.dofusbook.net/fr/equipement/320562-stuff-3/objets", "link")</f>
        <v/>
      </c>
      <c r="C15205" t="n">
        <v>0</v>
      </c>
      <c r="D15205" t="inlineStr">
        <is>
          <t>Rapière aux Glyphes; Amulette du Strigide; Anneau Tique; Alliance Gloursonne; Sangle Aise; Casqnoar; Voile d'encre; Pataugastrique; Déserteur majeur; Vigoureux majeur; Carapace Feu majeur; Nomade; Étourdisseur majeur; Remueur; Dragodinde en armure</t>
        </is>
      </c>
    </row>
    <row r="15206">
      <c r="A15206" t="inlineStr">
        <is>
          <t>Stuff 1</t>
        </is>
      </c>
      <c r="B15206">
        <f>HYPERLINK("https://www.dofusbook.net/fr/equipement/320557-stuff-1/objets", "link")</f>
        <v/>
      </c>
      <c r="C15206" t="n">
        <v>1</v>
      </c>
      <c r="D15206" t="inlineStr">
        <is>
          <t>Hache du Chalœil; Amulette du Strigide; Anneau de Brouce; Alliance Gloursonne; Ceintacé; Chapeau de Gein; Cape au Logis; Bottes du Strigide; Dofus Turquoise; Nomade; Observateur; Carapace Eau majeur; Remueur; Vigoureux majeur; Dragodinde en armure</t>
        </is>
      </c>
    </row>
    <row r="15207">
      <c r="A15207" t="inlineStr">
        <is>
          <t>Stuff 2</t>
        </is>
      </c>
      <c r="B15207">
        <f>HYPERLINK("https://www.dofusbook.net/fr/equipement/320552-stuff-2/objets", "link")</f>
        <v/>
      </c>
      <c r="C15207" t="n">
        <v>0</v>
      </c>
      <c r="D15207" t="inlineStr">
        <is>
          <t>Hache du Chalœil; Amulette du Strigide; Pikano; Alliance Gloursonne; Ceintacé; Chapeau Lisson; Voile d'encre; Bottes du Strigide; Dofus Turquoise; Vigoureux majeur; Nomade; Carapace Terre majeur; Déserteur majeur; Remueur; Dragodinde en armure</t>
        </is>
      </c>
    </row>
    <row r="15208">
      <c r="A15208" t="inlineStr">
        <is>
          <t>Stuff 3</t>
        </is>
      </c>
      <c r="B15208">
        <f>HYPERLINK("https://www.dofusbook.net/fr/equipement/320547-stuff-3/objets", "link")</f>
        <v/>
      </c>
      <c r="C15208" t="n">
        <v>0</v>
      </c>
      <c r="D15208" t="inlineStr">
        <is>
          <t>Harpelle; Amulette Séculaire; Alliance Gloursonne; Anneau Tique; Ceinture Séculaire; Couronne de Nidas; Voile d'encre; Pataugastrique; Carapace Terre majeur; Nomade; Cavaleur majeur; Remueur; Évasif majeur; Érudit majeur; El Scarador</t>
        </is>
      </c>
    </row>
    <row r="15209">
      <c r="A15209" t="inlineStr">
        <is>
          <t>Stuff 1</t>
        </is>
      </c>
      <c r="B15209">
        <f>HYPERLINK("https://www.dofusbook.net/fr/equipement/320579-stuff-1/objets", "link")</f>
        <v/>
      </c>
      <c r="C15209" t="n">
        <v>0</v>
      </c>
      <c r="D15209" t="inlineStr">
        <is>
          <t>Hache du Chalœil; Amulette du Strigide; Bracelet des Fonds marins; Alliance Gloursonne; Ceintacé; Coiffe d'Ogivol; Dofusteuse; Bottes du Strigide</t>
        </is>
      </c>
    </row>
    <row r="15210">
      <c r="A15210" t="inlineStr">
        <is>
          <t>Stuff 1</t>
        </is>
      </c>
      <c r="B15210">
        <f>HYPERLINK("https://www.dofusbook.net/fr/equipement/320542-stuff-1/objets", "link")</f>
        <v/>
      </c>
      <c r="C15210" t="n">
        <v>1</v>
      </c>
      <c r="D15210" t="inlineStr">
        <is>
          <t>Dagues Érhy; Amulette du Strigide; Alliance Gloursonne; Anneau Chevelu; Ceintacé; Chapeau Lisson; Voile d'encre; Bottes du Strigide; Dofus Turquoise; Évasif majeur; Vigoureux majeur; Déserteur majeur; Remueur; Nomade; Dragodinde en armure</t>
        </is>
      </c>
    </row>
    <row r="15211">
      <c r="A15211" t="inlineStr">
        <is>
          <t>Stuff 1</t>
        </is>
      </c>
      <c r="B15211">
        <f>HYPERLINK("https://www.dofusbook.net/fr/equipement/320574-stuff-1/objets", "link")</f>
        <v/>
      </c>
      <c r="C15211" t="n">
        <v>0</v>
      </c>
      <c r="D15211" t="inlineStr">
        <is>
          <t>Rapière aux Glyphes; Amulette du Strigide; Anneau Tique; Alliance Gloursonne; Ceinture du Strigide; Casqnoar; Cape de Théodoran Ax; Pataugastrique; Vigoureux majeur; Nomade; Carapace Feu majeur; Érudit majeur; Déserteur majeur; Remueur; Muldo Indigo et Orchidée</t>
        </is>
      </c>
    </row>
    <row r="15212">
      <c r="A15212" t="inlineStr">
        <is>
          <t>Stuff 2</t>
        </is>
      </c>
      <c r="B15212">
        <f>HYPERLINK("https://www.dofusbook.net/fr/equipement/320537-stuff-2/objets", "link")</f>
        <v/>
      </c>
      <c r="C15212" t="n">
        <v>0</v>
      </c>
      <c r="D15212" t="inlineStr">
        <is>
          <t>Rapière aux Glyphes; Amulette du Strigide; Anneau Raille; Bracelet du Piloztère; Bouclier du Stalak; Sangle Huée; Chapeau Lithique; Cape Wéra; Getas Bernacle; Dofus Émeraude; Dofus Turquoise; Vigoureux majeur; Érudit majeur; Déserteur majeur; Remueur; Muldo Indigo et Orchidée</t>
        </is>
      </c>
    </row>
    <row r="15213">
      <c r="A15213" t="inlineStr">
        <is>
          <t>Stuff 2</t>
        </is>
      </c>
      <c r="B15213">
        <f>HYPERLINK("https://www.dofusbook.net/fr/equipement/320569-stuff-2/objets", "link")</f>
        <v/>
      </c>
      <c r="C15213" t="n">
        <v>0</v>
      </c>
      <c r="D15213" t="inlineStr">
        <is>
          <t>Az'tech; Amulette du Strigide; Anneau Chevelu; Alliance Gloursonne; Ceintacé; Chapoulpe; Dofusteuse; Bottes du Strigide; Dofus Émeraude; Dofus Turquoise; Nomade; Remueur; Vigoureux majeur; Muldo Ebène et Indigo</t>
        </is>
      </c>
    </row>
    <row r="15214">
      <c r="A15214" t="inlineStr">
        <is>
          <t>Stuff 2</t>
        </is>
      </c>
      <c r="B15214">
        <f>HYPERLINK("https://www.dofusbook.net/fr/equipement/320564-stuff-2/objets", "link")</f>
        <v/>
      </c>
      <c r="C15214" t="n">
        <v>0</v>
      </c>
      <c r="D15214" t="inlineStr">
        <is>
          <t>Le Thanos; Frimamulette; Anneau Aimgéroks; Alliance Boletée; String Tue-Mouche; Coiffe de Boréale; Cape de l'Obsidiantre; Bottes de Dremoan; Saccageur Feu majeur; Savant majeur; Érudit majeur; Remueur; Dévastateur Feu majeur; Astucieux majeur; Muldo Doré</t>
        </is>
      </c>
    </row>
    <row r="15215">
      <c r="A15215" t="inlineStr">
        <is>
          <t>Stuff 3</t>
        </is>
      </c>
      <c r="B15215">
        <f>HYPERLINK("https://www.dofusbook.net/fr/equipement/320550-stuff-3/objets", "link")</f>
        <v/>
      </c>
      <c r="C15215" t="n">
        <v>0</v>
      </c>
      <c r="D15215" t="inlineStr">
        <is>
          <t>Harpelle; Amulette du Strigide; Alliance Gloursonne; Anneau Tique; Ceinture du Strigide; Casqnoar; Voile d'encre; Pataugastrique; Carapace Terre majeur; Nomade; Étourdisseur majeur; Remueur; Déserteur majeur; Vigoureux majeur; Dragodinde en armure</t>
        </is>
      </c>
    </row>
    <row r="15216">
      <c r="A15216" t="inlineStr">
        <is>
          <t>Stuff 1</t>
        </is>
      </c>
      <c r="B15216">
        <f>HYPERLINK("https://www.dofusbook.net/fr/equipement/320545-stuff-1/objets", "link")</f>
        <v/>
      </c>
      <c r="C15216" t="n">
        <v>0</v>
      </c>
      <c r="D15216" t="inlineStr">
        <is>
          <t>Rapière aux Glyphes; Amulette de Shokkoth; Bracelet des Fonds marins; Alliance Gloursonne; Sangle Ouare; Kidibonnet; Cape de Mantaze; Sandales des Fonds marins; Dofus Turquoise; Dolmanax; Chanceux majeur; Nomade; Remueur; Carapace Eau majeur; Dragodinde en armure</t>
        </is>
      </c>
    </row>
    <row r="15217">
      <c r="A15217" t="inlineStr">
        <is>
          <t>Stuff 2</t>
        </is>
      </c>
      <c r="B15217">
        <f>HYPERLINK("https://www.dofusbook.net/fr/equipement/320572-stuff-2/objets", "link")</f>
        <v/>
      </c>
      <c r="C15217" t="n">
        <v>0</v>
      </c>
      <c r="D15217" t="inlineStr">
        <is>
          <t>Rapière aux Glyphes; Kralamansion; Grésilanneau; Alliance Gloursonne; Ceinture Glaciale; Casque Dragoeuf; Cape Glaciale; Pantoufles Émar; Miraculé majeur; Nomade; Carapace Terre majeur; Remueur; Vigoureux majeur; Chanceux majeur; Muldo Indigo et Orchidée</t>
        </is>
      </c>
    </row>
    <row r="15218">
      <c r="A15218" t="inlineStr">
        <is>
          <t>Stuff 3</t>
        </is>
      </c>
      <c r="B15218">
        <f>HYPERLINK("https://www.dofusbook.net/fr/equipement/320567-stuff-3/objets", "link")</f>
        <v/>
      </c>
      <c r="C15218" t="n">
        <v>0</v>
      </c>
      <c r="D15218" t="inlineStr">
        <is>
          <t>Rapière aux Glyphes; Talisman Glouti; Grésilanneau; Alliance Gloursonne; Ceinture Glaciale; Casque Dragoeuf; Cape Glaciale; Pataugastrique; Obstructeur majeur; Chanceux majeur; Évasif majeur; Remueur; Vigoureux majeur; Nomade; Muldo Indigo et Pourpre</t>
        </is>
      </c>
    </row>
    <row r="15219">
      <c r="A15219" t="inlineStr">
        <is>
          <t>Stuff 3</t>
        </is>
      </c>
      <c r="B15219">
        <f>HYPERLINK("https://www.dofusbook.net/fr/equipement/320562-stuff-3/objets", "link")</f>
        <v/>
      </c>
      <c r="C15219" t="n">
        <v>0</v>
      </c>
      <c r="D15219" t="inlineStr">
        <is>
          <t>Rapière aux Glyphes; Amulette du Strigide; Anneau Tique; Alliance Gloursonne; Sangle Aise; Casqnoar; Voile d'encre; Pataugastrique; Déserteur majeur; Vigoureux majeur; Carapace Feu majeur; Nomade; Étourdisseur majeur; Remueur; Dragodinde en armure</t>
        </is>
      </c>
    </row>
    <row r="15220">
      <c r="A15220" t="inlineStr">
        <is>
          <t>Stuff 1</t>
        </is>
      </c>
      <c r="B15220">
        <f>HYPERLINK("https://www.dofusbook.net/fr/equipement/320557-stuff-1/objets", "link")</f>
        <v/>
      </c>
      <c r="C15220" t="n">
        <v>1</v>
      </c>
      <c r="D15220" t="inlineStr">
        <is>
          <t>Hache du Chalœil; Amulette du Strigide; Anneau de Brouce; Alliance Gloursonne; Ceintacé; Chapeau de Gein; Cape au Logis; Bottes du Strigide; Dofus Turquoise; Vigoureux majeur; Nomade; Observateur; Carapace Eau majeur; Remueur; Dragodinde en armure</t>
        </is>
      </c>
    </row>
    <row r="15221">
      <c r="A15221" t="inlineStr">
        <is>
          <t>Stuff 2</t>
        </is>
      </c>
      <c r="B15221">
        <f>HYPERLINK("https://www.dofusbook.net/fr/equipement/320552-stuff-2/objets", "link")</f>
        <v/>
      </c>
      <c r="C15221" t="n">
        <v>0</v>
      </c>
      <c r="D15221" t="inlineStr">
        <is>
          <t>Hache du Chalœil; Amulette du Strigide; Pikano; Alliance Gloursonne; Ceintacé; Chapeau Lisson; Voile d'encre; Bottes du Strigide; Dofus Turquoise; Vigoureux majeur; Nomade; Carapace Terre majeur; Déserteur majeur; Remueur; Dragodinde en armure</t>
        </is>
      </c>
    </row>
    <row r="15222">
      <c r="A15222" t="inlineStr">
        <is>
          <t>Stuff 1</t>
        </is>
      </c>
      <c r="B15222">
        <f>HYPERLINK("https://www.dofusbook.net/fr/equipement/320579-stuff-1/objets", "link")</f>
        <v/>
      </c>
      <c r="C15222" t="n">
        <v>0</v>
      </c>
      <c r="D15222" t="inlineStr">
        <is>
          <t>Hache du Chalœil; Amulette du Strigide; Alliance Gloursonne; Bracelet des Fonds marins; Ceintacé; Coiffe d'Ogivol; Dofusteuse; Bottes du Strigide</t>
        </is>
      </c>
    </row>
    <row r="15223">
      <c r="A15223" t="inlineStr">
        <is>
          <t>Stuff 3</t>
        </is>
      </c>
      <c r="B15223">
        <f>HYPERLINK("https://www.dofusbook.net/fr/equipement/320547-stuff-3/objets", "link")</f>
        <v/>
      </c>
      <c r="C15223" t="n">
        <v>0</v>
      </c>
      <c r="D15223" t="inlineStr">
        <is>
          <t>Harpelle; Amulette Séculaire; Alliance Gloursonne; Anneau Tique; Ceinture Séculaire; Couronne de Nidas; Voile d'encre; Pataugastrique; Carapace Terre majeur; Nomade; Cavaleur majeur; Remueur; Évasif majeur; Érudit majeur; El Scarador</t>
        </is>
      </c>
    </row>
    <row r="15224">
      <c r="A15224" t="inlineStr">
        <is>
          <t>Stuff 1</t>
        </is>
      </c>
      <c r="B15224">
        <f>HYPERLINK("https://www.dofusbook.net/fr/equipement/320574-stuff-1/objets", "link")</f>
        <v/>
      </c>
      <c r="C15224" t="n">
        <v>0</v>
      </c>
      <c r="D15224" t="inlineStr">
        <is>
          <t>Rapière aux Glyphes; Amulette du Strigide; Alliance Gloursonne; Anneau Tique; Ceinture du Strigide; Casqnoar; Cape de Théodoran Ax; Pataugastrique; Déserteur majeur; Remueur; Vigoureux majeur; Nomade; Carapace Feu majeur; Érudit majeur; Muldo Indigo et Orchidée</t>
        </is>
      </c>
    </row>
    <row r="15225">
      <c r="A15225" t="inlineStr">
        <is>
          <t>Stuff 1</t>
        </is>
      </c>
      <c r="B15225">
        <f>HYPERLINK("https://www.dofusbook.net/fr/equipement/320542-stuff-1/objets", "link")</f>
        <v/>
      </c>
      <c r="C15225" t="n">
        <v>1</v>
      </c>
      <c r="D15225" t="inlineStr">
        <is>
          <t>Dagues Érhy; Amulette du Strigide; Alliance Gloursonne; Anneau Chevelu; Ceintacé; Chapeau Lisson; Voile d'encre; Bottes du Strigide; Dofus Turquoise; Évasif majeur; Vigoureux majeur; Déserteur majeur; Remueur; Nomade; Dragodinde en armure</t>
        </is>
      </c>
    </row>
    <row r="15226">
      <c r="A15226" t="inlineStr">
        <is>
          <t>Stuff 3</t>
        </is>
      </c>
      <c r="B15226">
        <f>HYPERLINK("https://www.dofusbook.net/fr/equipement/320532-stuff-3/objets", "link")</f>
        <v/>
      </c>
      <c r="C15226" t="n">
        <v>0</v>
      </c>
      <c r="D15226" t="inlineStr">
        <is>
          <t>Rapière aux Glyphes; Talisman Glouti; Alliance Gloursonne; Bracelet des Fonds marins; Bouclier du Stalak; Ceinture Glaciale; Kidibonnet; Cape Glaciale; Bottes du Sinistrofu; Dofus Turquoise; Dofus Émeraude; Dokoko; Carapace Eau majeur; Nomade; Remueur; Muldo Indigo et Pourpre</t>
        </is>
      </c>
    </row>
    <row r="15227">
      <c r="A15227" t="inlineStr">
        <is>
          <t>Stuff 1</t>
        </is>
      </c>
      <c r="B15227">
        <f>HYPERLINK("https://www.dofusbook.net/fr/equipement/320527-stuff-1/objets", "link")</f>
        <v/>
      </c>
      <c r="C15227" t="n">
        <v>0</v>
      </c>
      <c r="D15227" t="inlineStr">
        <is>
          <t>Dagues Érhy; Amulette du Strigide; Anneau de Brouce; Bague Gloursonne; Ceinture du Strigide; Masque de Koutoulou; Voile d'encre; Bottes de la Cour Sombre; Dofus Turquoise; Déserteur majeur; Remueur; Nomade; Carapace Terre majeur; Vigoureux majeur; Dragodinde en armure</t>
        </is>
      </c>
    </row>
    <row r="15228">
      <c r="A15228" t="inlineStr">
        <is>
          <t>Stuff 2</t>
        </is>
      </c>
      <c r="B15228">
        <f>HYPERLINK("https://www.dofusbook.net/fr/equipement/320534-stuff-2/objets", "link")</f>
        <v/>
      </c>
      <c r="C15228" t="n">
        <v>0</v>
      </c>
      <c r="D15228" t="inlineStr">
        <is>
          <t>Arc Hétype; Amulette de Nileza; Anneau Tique; Alliance Gloursonne; Ceinture Séculaire; Coiffe Séculaire; Voile d'encre; Pataugastrique; Carapace Terre majeur; Remueur; Miraculé majeur; Nomade; Érudit majeur; El Scarador</t>
        </is>
      </c>
    </row>
    <row r="15229">
      <c r="A15229" t="inlineStr">
        <is>
          <t>Stuff 3</t>
        </is>
      </c>
      <c r="B15229">
        <f>HYPERLINK("https://www.dofusbook.net/fr/equipement/320529-stuff-3/objets", "link")</f>
        <v/>
      </c>
      <c r="C15229" t="n">
        <v>0</v>
      </c>
      <c r="D15229" t="inlineStr">
        <is>
          <t>Dagues Érhy; Amulette du Strigide; Bague Gloursonne; Anneau de Brouce; Ceinture de Gein; Chapeau de Gein; Voile d'encre; Sabots Minables; Dofus Turquoise; Remueur; Carapace Terre majeur; Nomade; Observateur; Vigoureux majeur; Dragodinde en armure</t>
        </is>
      </c>
    </row>
    <row r="15230">
      <c r="A15230" t="inlineStr">
        <is>
          <t>Stuff 1</t>
        </is>
      </c>
      <c r="B15230">
        <f>HYPERLINK("https://www.dofusbook.net/fr/equipement/320524-stuff-1/objets", "link")</f>
        <v/>
      </c>
      <c r="C15230" t="n">
        <v>0</v>
      </c>
      <c r="D15230" t="inlineStr">
        <is>
          <t>Pelle de Nidas; Amulette du Strigide; Anneau de Pol Ouatnos; Alliance Gloursonne; Ceintacé; Coiffe d'Ogivol; Voile d'encre; Bottes du Strigide; Dofus Turquoise; Vigoureux majeur; Carapace Terre majeur; Remueur; Miraculé majeur; Nomade; Brâkarien</t>
        </is>
      </c>
    </row>
    <row r="15231">
      <c r="A15231" t="inlineStr">
        <is>
          <t>Stuff 3</t>
        </is>
      </c>
      <c r="B15231">
        <f>HYPERLINK("https://www.dofusbook.net/fr/equipement/320526-stuff-3/objets", "link")</f>
        <v/>
      </c>
      <c r="C15231" t="n">
        <v>0</v>
      </c>
      <c r="D15231" t="inlineStr">
        <is>
          <t>Marteau Reine; Amulette du Strigide; Alliance Gloursonne; Anneau Chevelu; Ceinture du Strigide; Casque des égarés; Voile d'encre; Sabots Minables; Dofus Émeraude; Miraculé majeur; Nomade; Remueur; Vigoureux majeur; Évasif majeur; Dragodinde en armure</t>
        </is>
      </c>
    </row>
    <row r="15232">
      <c r="A15232" t="inlineStr">
        <is>
          <t>Stuff 1</t>
        </is>
      </c>
      <c r="B15232">
        <f>HYPERLINK("https://www.dofusbook.net/fr/equipement/320521-stuff-1/objets", "link")</f>
        <v/>
      </c>
      <c r="C15232" t="n">
        <v>0</v>
      </c>
      <c r="D15232" t="inlineStr">
        <is>
          <t>Sabres d'Atcham; Amulette du Strigide; Anneau Tique; Alliance Gloursonne; Ceinture du Barbétoal; Kidibonnet; Voile d'encre; Bottes du Strigide; Dofus Turquoise; Dofus Émeraude; Cascadeur majeur; Vigoureux majeur; Remueur; Muldo Indigo et Pourpre</t>
        </is>
      </c>
    </row>
    <row r="15233">
      <c r="A15233" t="inlineStr">
        <is>
          <t>Stuff 1</t>
        </is>
      </c>
      <c r="B15233">
        <f>HYPERLINK("https://www.dofusbook.net/fr/equipement/320533-stuff-1/objets", "link")</f>
        <v/>
      </c>
      <c r="C15233" t="n">
        <v>0</v>
      </c>
      <c r="D15233" t="inlineStr">
        <is>
          <t>Arc Hétype; Amulette de Nileza; Alliance Gloursonne; Anneau de Nidas; Ceinture de Gein; Couronne de Nidas; Voile d'encre; Pataugastrique; Évasif majeur; Érudit majeur; Carapace Eau majeur; Remueur; Miraculé majeur; Nomade; Croum</t>
        </is>
      </c>
    </row>
    <row r="15234">
      <c r="A15234" t="inlineStr">
        <is>
          <t>Stuff 1</t>
        </is>
      </c>
      <c r="B15234">
        <f>HYPERLINK("https://www.dofusbook.net/fr/equipement/320521-stuff-1/objets", "link")</f>
        <v/>
      </c>
      <c r="C15234" t="n">
        <v>0</v>
      </c>
      <c r="D15234" t="inlineStr">
        <is>
          <t>Sabres d'Atcham; Amulette du Strigide; Anneau Tique; Alliance Gloursonne; Ceinture du Barbétoal; Kidibonnet; Voile d'encre; Bottes du Strigide; Dofus Turquoise; Dofus Émeraude; Cascadeur majeur; Vigoureux majeur; Remueur; Muldo Indigo et Pourpre</t>
        </is>
      </c>
    </row>
    <row r="15235">
      <c r="A15235" t="inlineStr">
        <is>
          <t>Stuff 1</t>
        </is>
      </c>
      <c r="B15235">
        <f>HYPERLINK("https://www.dofusbook.net/fr/equipement/320533-stuff-1/objets", "link")</f>
        <v/>
      </c>
      <c r="C15235" t="n">
        <v>0</v>
      </c>
      <c r="D15235" t="inlineStr">
        <is>
          <t>Arc Hétype; Amulette de Nileza; Alliance Gloursonne; Anneau de Nidas; Ceinture de Gein; Couronne de Nidas; Voile d'encre; Pataugastrique; Évasif majeur; Érudit majeur; Carapace Eau majeur; Remueur; Miraculé majeur; Nomade; Croum</t>
        </is>
      </c>
    </row>
    <row r="15236">
      <c r="A15236" t="inlineStr">
        <is>
          <t>Stuff 2</t>
        </is>
      </c>
      <c r="B15236">
        <f>HYPERLINK("https://www.dofusbook.net/fr/equipement/320528-stuff-2/objets", "link")</f>
        <v/>
      </c>
      <c r="C15236" t="n">
        <v>0</v>
      </c>
      <c r="D15236" t="inlineStr">
        <is>
          <t>Dagues Érhy; Amulette du Strigide; Anneau de Brouce; Bague Gloursonne; Ceintacé; Chapeau de Gein; Cape au Logis; Bottes du Strigide; Dofus Turquoise; Observateur; Vigoureux majeur; Remueur; Carapace Terre majeur; Nomade; Dragodinde en armure</t>
        </is>
      </c>
    </row>
    <row r="15237">
      <c r="A15237" t="inlineStr">
        <is>
          <t>Stuff 3</t>
        </is>
      </c>
      <c r="B15237">
        <f>HYPERLINK("https://www.dofusbook.net/fr/equipement/320523-stuff-3/objets", "link")</f>
        <v/>
      </c>
      <c r="C15237" t="n">
        <v>0</v>
      </c>
      <c r="D15237" t="inlineStr">
        <is>
          <t>Rapière aux Glyphes; Talisman Glouti; Alliance Gloursonne; Bague Instable; Sangle Ouare; Kidibonnet; Cape du Sinistrofu; Bottes du Sinistrofu; Culbuteur majeur; Remueur; Bousculeur majeur; Chanceux majeur; Pousseur majeur; Nomade; Dragodinde en armure</t>
        </is>
      </c>
    </row>
    <row r="15238">
      <c r="A15238" t="inlineStr">
        <is>
          <t>terre/sacri panyro</t>
        </is>
      </c>
      <c r="B15238">
        <f>HYPERLINK("https://www.dofusbook.net/fr/equipement/3495004-terre-sacri-panyro/objets", "link")</f>
        <v/>
      </c>
      <c r="C15238" t="n">
        <v>9</v>
      </c>
      <c r="D15238" t="inlineStr">
        <is>
          <t>Marteau R'ture; Amulette Volkorne; Bracelet du Piloztère; Anneau Chevelu; Bouclier alvéolé; Ceinture Volkorne; Masque de Koutoulou; Cape au Logis; Tentassons; Dofus Ivoire; Dofus Abyssal; Dofus Émeraude; Dofus Ébène; Enragé majeur; Remueur; Kompost</t>
        </is>
      </c>
    </row>
    <row r="15239">
      <c r="A15239" t="inlineStr">
        <is>
          <t>feu rox</t>
        </is>
      </c>
      <c r="B15239">
        <f>HYPERLINK("https://www.dofusbook.net/fr/equipement/2749563-feu-rox/objets", "link")</f>
        <v/>
      </c>
      <c r="C15239" t="n">
        <v>9</v>
      </c>
      <c r="D15239" t="inlineStr">
        <is>
          <t>Arc corrompu; Amulette Volkorne; Anneauræus; Anneau Volkorne; Bouclier du Stalak; Ceinture Volkorne; Heaume Oplate; Voile d'encre; Bottes d'Otomaï; Dofus Abyssal; Dofus Ébène; Dofus Ivoire; Dofus Pourpre; Dofus Turquoise; Dofus Ocre; Dragodinde Ivoire et Orchidée</t>
        </is>
      </c>
    </row>
    <row r="15240">
      <c r="A15240" t="inlineStr">
        <is>
          <t>double anérice</t>
        </is>
      </c>
      <c r="B15240">
        <f>HYPERLINK("https://www.dofusbook.net/fr/equipement/2937041-double-anerice/objets", "link")</f>
        <v/>
      </c>
      <c r="C15240" t="n">
        <v>1</v>
      </c>
      <c r="D15240" t="inlineStr">
        <is>
          <t>Arc corrompu; Pendentif mignon de Koutoulou; Anneauræus; Anneauræus; Bouclier du Stalak; Ceinture de Gein; Masque d'Anerice; Cape d'Anerice; Bottes Honyme; Dofus Abyssal; Dofus Turquoise; Dofus Émeraude; Dofus Pourpre; Remueur; Érudit majeur</t>
        </is>
      </c>
    </row>
    <row r="15241">
      <c r="A15241" t="inlineStr">
        <is>
          <t>soutien pvpm</t>
        </is>
      </c>
      <c r="B15241">
        <f>HYPERLINK("https://www.dofusbook.net/fr/equipement/2825701-soutien-pvpm/objets", "link")</f>
        <v/>
      </c>
      <c r="C15241" t="n">
        <v>3</v>
      </c>
      <c r="D15241" t="inlineStr">
        <is>
          <t>Plumeau Bil; Amulette de Nileza; Anneauræus; Anneau Tique; Bouclier du Stalak; Ceinture de Vortex; Casque Dragoeuf; Cape de Diondin; Bottes Innommables; Dofus Abyssal; Dofus Pourpre; Dofus Émeraude; Remueur; Nomade; Érudit majeur</t>
        </is>
      </c>
    </row>
    <row r="15242">
      <c r="A15242" t="inlineStr">
        <is>
          <t>feu db volkorne</t>
        </is>
      </c>
      <c r="B15242">
        <f>HYPERLINK("https://www.dofusbook.net/fr/equipement/3588051-feu-db-volkorne/objets", "link")</f>
        <v/>
      </c>
      <c r="C15242" t="n">
        <v>4</v>
      </c>
      <c r="D15242" t="inlineStr">
        <is>
          <t>Arc corrompu; Amulette Volkorne; Anneauræus; Anneauræus; Bouclier du Stalak; Ceinture Volkorne; Heaume Oplate; Voile d'encre; Bottes Innommables; Dofus Pourpre; Dofus Ivoire; Dofus Ocre; Dofus Abyssal; Érudit majeur; Nomade; Kramkram</t>
        </is>
      </c>
    </row>
    <row r="15243">
      <c r="A15243" t="inlineStr">
        <is>
          <t>fireskull vs iop</t>
        </is>
      </c>
      <c r="B15243">
        <f>HYPERLINK("https://www.dofusbook.net/fr/equipement/3648166-fireskull-vs-iop/objets", "link")</f>
        <v/>
      </c>
      <c r="C15243" t="n">
        <v>2</v>
      </c>
      <c r="D15243" t="inlineStr">
        <is>
          <t>Marteau R'ture; Amulette du Cœur Saignant; Anneau Chevelu; Chevalière du Roi Joueur; Ceinture de Brouce; Couronne du Roi Joueur; Cape au Logis; Bottes du Roi Joueur; Dofus Turquoise; Dofus Ivoire; Dofus Ocre; Dofus Pourpre; Dofus Nébuleux; Bwak de Terre</t>
        </is>
      </c>
    </row>
    <row r="15244">
      <c r="A15244" t="inlineStr">
        <is>
          <t>quete-amine</t>
        </is>
      </c>
      <c r="B15244">
        <f>HYPERLINK("https://www.dofusbook.net/fr/equipement/3452197-quete-amine/objets", "link")</f>
        <v/>
      </c>
      <c r="C15244" t="n">
        <v>10</v>
      </c>
      <c r="D15244" t="inlineStr">
        <is>
          <t>Arc du Chalœil; Amulette du Cœur Saignant; Bague Gloursonne; Anneau Crustique; Quatre-feuilles; Ceinture Gence; Masque de Koutoulou; Cape au Logis; Bottes du Cœur Saignant; Dofus Ivoire; Dofus Nébuleux; Dofus Abyssal; Dofus Ocre; Dokoko; Enragé majeur; El Scarador</t>
        </is>
      </c>
    </row>
    <row r="15245">
      <c r="A15245" t="inlineStr">
        <is>
          <t>vs roub</t>
        </is>
      </c>
      <c r="B15245">
        <f>HYPERLINK("https://www.dofusbook.net/fr/equipement/3444599-vs-roub/objets", "link")</f>
        <v/>
      </c>
      <c r="C15245" t="n">
        <v>5</v>
      </c>
      <c r="D15245" t="inlineStr">
        <is>
          <t>Arc du Chalœil; Collier de Tourthon; Bracelet du Piloztère; Bague Gloursonne; Bouclier du Stalak; Ceinture de la Reine des Voleurs; Coiffe de la Reine des Voleurs; Cape au Logis; Baleinabottes; Dokoko; Dofus Abyssal; Dofus Ocre; Dofus Ivoire; Dofus Nébuleux; Enragé majeur; Dragodinde Ivoire et Pourpre</t>
        </is>
      </c>
    </row>
    <row r="15246">
      <c r="A15246" t="inlineStr">
        <is>
          <t>reine</t>
        </is>
      </c>
      <c r="B15246">
        <f>HYPERLINK("https://www.dofusbook.net/fr/equipement/2926705-reine/objets", "link")</f>
        <v/>
      </c>
      <c r="C15246" t="n">
        <v>0</v>
      </c>
      <c r="D15246" t="inlineStr">
        <is>
          <t>Marteau R'ture; Amulette du Strigide; Bague Gloursonne; Anneau de Brouce; Bouclier du Captain Amakna; Ceinture de la Cour Sombre; Masque de Koutoulou; Cape au Logis; Bottes de Brouce; Dofus Abyssal; Dofus Ivoire; Dokoko; Dofus Turquoise; Remueur; Enragé majeur; Kompost</t>
        </is>
      </c>
    </row>
    <row r="15247">
      <c r="A15247" t="inlineStr">
        <is>
          <t>eau</t>
        </is>
      </c>
      <c r="B15247">
        <f>HYPERLINK("https://www.dofusbook.net/fr/equipement/3612645-eau/objets", "link")</f>
        <v/>
      </c>
      <c r="C15247" t="n">
        <v>4</v>
      </c>
      <c r="D15247" t="inlineStr">
        <is>
          <t>Baguette Héroclite; Amulette de Shokkoth; Alliance Gloursonne; Bracelet des Fonds marins; Bouclier du Stalak; Poulpagne; Capuche de l'Œil Attentif; Cape du Sinistrofu; Bottes du Sinistrofu; Dokoko; Dofus Ivoire; Dofus Abyssal; Remueur; Nomade; Chanceux majeur; El Scarador</t>
        </is>
      </c>
    </row>
    <row r="15248">
      <c r="A15248" t="inlineStr">
        <is>
          <t>feu powena</t>
        </is>
      </c>
      <c r="B15248">
        <f>HYPERLINK("https://www.dofusbook.net/fr/equipement/3494441-feu-powena/objets", "link")</f>
        <v/>
      </c>
      <c r="C15248" t="n">
        <v>4</v>
      </c>
      <c r="D15248" t="inlineStr">
        <is>
          <t>Arc corrompu; Amulette Séculaire; Anneauræus; Anneauræus; Bouclier du Stalak; Ceinture Séculaire; Heaume Oplate; Voile d'encre; Bottes Innommables; Dofus Turquoise; Dofus Abyssal; Dofus Ocre; Dofus Ivoire; Dofus Pourpre; Nomade</t>
        </is>
      </c>
    </row>
    <row r="15249">
      <c r="A15249" t="inlineStr">
        <is>
          <t>necro</t>
        </is>
      </c>
      <c r="B15249">
        <f>HYPERLINK("https://www.dofusbook.net/fr/equipement/3505942-necro/objets", "link")</f>
        <v/>
      </c>
      <c r="C15249" t="n">
        <v>6</v>
      </c>
      <c r="D15249" t="inlineStr">
        <is>
          <t>Arc Nécrotique; Amulette du Strigide; Bague Gloursonne; Alliance Gloursonne; Quatre-feuilles; Ceinture du Strigide; Kidibonnet; Cape de la Dame du Hasard; Bottes de la Dame du Hasard; Dofus Pourpre; Dofus Ocre; Dofus des Glaces; Dofus Abyssal; Dofus Turquoise; Dofus Nébuleux; Muldo Indigo et Orchidée</t>
        </is>
      </c>
    </row>
    <row r="15250">
      <c r="A15250" t="inlineStr">
        <is>
          <t>hache korri vs sram</t>
        </is>
      </c>
      <c r="B15250">
        <f>HYPERLINK("https://www.dofusbook.net/fr/equipement/3286800-hache-korri-vs-sram/objets", "link")</f>
        <v/>
      </c>
      <c r="C15250" t="n">
        <v>11</v>
      </c>
      <c r="D15250" t="inlineStr">
        <is>
          <t>Hache du Korriandre; Amulette de Pol Ouatnos; Bague Gloursonne; Alliance Gloursonne; Quatre-feuilles; Ceintacé; Némès de Tal Kasha; Chevelure de Tal Kasha; Sandales de Tal Kasha; Dokoko; Dolmanax; Dofus Turquoise; Dofus Abyssal; Dofus Ocre; Dofus Ivoire; El Scarador</t>
        </is>
      </c>
    </row>
    <row r="15251">
      <c r="A15251" t="inlineStr">
        <is>
          <t>multi pvm</t>
        </is>
      </c>
      <c r="B15251">
        <f>HYPERLINK("https://www.dofusbook.net/fr/equipement/3429421-multi-pvm/objets", "link")</f>
        <v/>
      </c>
      <c r="C15251" t="n">
        <v>8</v>
      </c>
      <c r="D15251" t="inlineStr">
        <is>
          <t>Hache du Chalœil; Amulette du Strigide; Bracelet du Piloztère; Alliance Gloursonne; Quatre-feuilles; Ceinture du Strigide; Le Dorado; Voile d'encre; Bottes du Katcheur; Dofus Pourpre; Dolmanax; Dofus Turquoise; Nomade; Vigoureux majeur; Remueur; Kramkram</t>
        </is>
      </c>
    </row>
    <row r="15252">
      <c r="A15252" t="inlineStr">
        <is>
          <t>sakasuky</t>
        </is>
      </c>
      <c r="B15252">
        <f>HYPERLINK("https://www.dofusbook.net/fr/equipement/3322849-sakasuky/objets", "link")</f>
        <v/>
      </c>
      <c r="C15252" t="n">
        <v>1</v>
      </c>
      <c r="D15252" t="inlineStr">
        <is>
          <t>Arc corrompu; Pendentif mignon de Koutoulou; Anneau Tique; Anneauræus; Bouclier du Stalak; Ceinture Séculaire; Casque Cyclopéen; Voile d'encre; Bottes Honyme; Dofus Abyssal; Dokoko; Dofus Ivoire; Dofus Pourpre; Dofus Ocre; Érudit majeur; Muldo Pourpre</t>
        </is>
      </c>
    </row>
    <row r="15253">
      <c r="A15253" t="inlineStr">
        <is>
          <t>double secu</t>
        </is>
      </c>
      <c r="B15253">
        <f>HYPERLINK("https://www.dofusbook.net/fr/equipement/3322803-double-secu/objets", "link")</f>
        <v/>
      </c>
      <c r="C15253" t="n">
        <v>0</v>
      </c>
      <c r="D15253" t="inlineStr">
        <is>
          <t>Arc corrompu; Pendentif affamé; Anneauræus; Anneau Tique; Bouclier du Stalak; Ceinture Séculaire; Coiffe Séculaire; Cape de Diondin; Bottes Innommables; Dofus Ocre; Dofus Abyssal; Dokoko; Dofus Ivoire; Érudit majeur; Nomade</t>
        </is>
      </c>
    </row>
    <row r="15254">
      <c r="A15254" t="inlineStr">
        <is>
          <t>double riglu variant</t>
        </is>
      </c>
      <c r="B15254">
        <f>HYPERLINK("https://www.dofusbook.net/fr/equipement/3322796-double-riglu-variant/objets", "link")</f>
        <v/>
      </c>
      <c r="C15254" t="n">
        <v>2</v>
      </c>
      <c r="D15254" t="inlineStr">
        <is>
          <t>Arc corrompu; Pendentif mignon de Koutoulou; Anneauræus; Anneau Tique; Bouclier du Stalak; Ceinture Séculaire; Casque Cyclopéen; Voile d'encre; Bottes Innommables; Dokoko; Dofus Ivoire; Dofus Ocre; Dofus Abyssal; Érudit majeur; Remueur; Muldo Pourpre</t>
        </is>
      </c>
    </row>
    <row r="15255">
      <c r="A15255" t="inlineStr">
        <is>
          <t>double riglu</t>
        </is>
      </c>
      <c r="B15255">
        <f>HYPERLINK("https://www.dofusbook.net/fr/equipement/3028877-double-riglu/objets", "link")</f>
        <v/>
      </c>
      <c r="C15255" t="n">
        <v>0</v>
      </c>
      <c r="D15255" t="inlineStr">
        <is>
          <t>Arc corrompu; Pendentif mignon de Koutoulou; Anneauræus; Anneauræus; Bouclier du Stalak; Ceinture de Gein; Casque Cyclopéen; Voile d'encre; Bottes Innommables; Dokoko; Dofus Ivoire; Dofus Ocre; Dofus Abyssal; Érudit majeur; Remueur; Muldo Pourpre</t>
        </is>
      </c>
    </row>
    <row r="15256">
      <c r="A15256" t="inlineStr">
        <is>
          <t>Ré pou</t>
        </is>
      </c>
      <c r="B15256">
        <f>HYPERLINK("https://www.dofusbook.net/fr/equipement/2928695-re-pou/objets", "link")</f>
        <v/>
      </c>
      <c r="C15256" t="n">
        <v>2</v>
      </c>
      <c r="D15256" t="inlineStr">
        <is>
          <t>Massier; Pendentif affamé; Anneau de Nidas; Anneauræus; Bouclier de Solar; Ceintacé; Heaume Oplate; Cape Ardente; Tongues de Nidas; Dofus Ivoire; Dokoko; Dofus Abyssal; Érudit majeur; Solide majeur; Nomade; Kramkram</t>
        </is>
      </c>
    </row>
    <row r="15257">
      <c r="A15257" t="inlineStr">
        <is>
          <t>Sadida M 200</t>
        </is>
      </c>
      <c r="B15257">
        <f>HYPERLINK("https://www.dofusbook.net/fr/equipement/3999331-sadida-m-200/objets", "link")</f>
        <v/>
      </c>
      <c r="C15257" t="n">
        <v>5</v>
      </c>
      <c r="D15257" t="inlineStr">
        <is>
          <t>Pendentif affamé; Anneau Toriété; Chevalière du Roi Joueur; Bouclier Taverne; Ceinture Séculaire; Coiffe Séculaire; Cape de Diondin; Bottes Innommables; Dolmanax; Dofus Ocre; Dofus Pourpre; Dofus Abyssal; Dofus Turquoise; Dofus Ivoire; Muldo Orchidée et Pourpre</t>
        </is>
      </c>
    </row>
    <row r="15258">
      <c r="A15258" t="inlineStr">
        <is>
          <t>Stuff 3</t>
        </is>
      </c>
      <c r="B15258">
        <f>HYPERLINK("https://www.dofusbook.net/fr/equipement/55076-stuff-3/objets", "link")</f>
        <v/>
      </c>
      <c r="C15258" t="n">
        <v>9</v>
      </c>
      <c r="D15258" t="inlineStr">
        <is>
          <t>Dagues Érhy; Amulette du Strigide; Bracelet du Piloztère; Bague Gloursonne; Bouclier du Captain Amakna; Ceintacé; Masque de Koutoulou; Voile d'encre; Bottes du Strigide; Dofus Pourpre; Dofus des Glaces; Dofus Turquoise; Vigoureux majeur; Remueur; Nomade; Kramkram</t>
        </is>
      </c>
    </row>
    <row r="15259">
      <c r="A15259" t="inlineStr">
        <is>
          <t>lakla</t>
        </is>
      </c>
      <c r="B15259">
        <f>HYPERLINK("https://www.dofusbook.net/fr/equipement/4030967-lakla/objets", "link")</f>
        <v/>
      </c>
      <c r="C15259" t="n">
        <v>0</v>
      </c>
      <c r="D15259" t="inlineStr">
        <is>
          <t>Arc de Koutoulou; Amulette de l'Œil Putride; Alliance Gloursonne; Anneau Tique; Sangle Ouare; Chapeau des Malveilleurs; Cape des Malveilleurs; Sandales  d'Atcham; Dolmanax; Dofus Ocre; Dofus Pourpre; Dofus des Glaces; Dofus Turquoise</t>
        </is>
      </c>
    </row>
    <row r="15260">
      <c r="A15260" t="inlineStr">
        <is>
          <t>Stuff 1</t>
        </is>
      </c>
      <c r="B15260">
        <f>HYPERLINK("https://www.dofusbook.net/fr/equipement/55072-stuff-1/objets", "link")</f>
        <v/>
      </c>
      <c r="C15260" t="n">
        <v>2</v>
      </c>
      <c r="D15260" t="inlineStr">
        <is>
          <t>Dagues d'Ilyzaelle; Amulette du Strigide; Bague Gloursonne; Anneau Chevelu; Bouclier du Captain Amakna; Ceintacé; Coiffe de la Reine des Voleurs; Cape au Logis; Bottes du Strigide; Dolmanax; Dofus Pourpre; Dofus Turquoise; Dofus des Glaces; Pioute vert</t>
        </is>
      </c>
    </row>
    <row r="15261">
      <c r="A15261" t="inlineStr">
        <is>
          <t>Huppermage M 200</t>
        </is>
      </c>
      <c r="B15261">
        <f>HYPERLINK("https://www.dofusbook.net/fr/equipement/4154319-huppermage-m-200/objets", "link")</f>
        <v/>
      </c>
      <c r="C15261" t="n">
        <v>1</v>
      </c>
      <c r="D15261" t="inlineStr">
        <is>
          <t>Arc corrompu; Amulette Voldelor; Bague Gloursonne; Alliance Gloursonne; Ceinture Voldelor; Chevelure de Tal Kasha; Sandales de Tal Kasha; Dofus Turquoise; Dolmanax; Dofus Ocre; Dofus Pourpre; Dofus des Glaces</t>
        </is>
      </c>
    </row>
    <row r="15262">
      <c r="A15262" t="inlineStr">
        <is>
          <t>Stuff 1</t>
        </is>
      </c>
      <c r="B15262">
        <f>HYPERLINK("https://www.dofusbook.net/fr/equipement/55066-stuff-1/objets", "link")</f>
        <v/>
      </c>
      <c r="C15262" t="n">
        <v>2</v>
      </c>
      <c r="D15262" t="inlineStr">
        <is>
          <t>Baguette Hique; Amulette de Shokkoth; Pikano; Alliance Gloursonne; Bouclier cubiste; Poulpagne; Maskrobe; Cape de Meno; Bottes de Meno; Dofus Ocre; Dofus Pourpre; Dofus Turquoise; Vigoureux majeur; Temporiseur majeur; Remueur</t>
        </is>
      </c>
    </row>
    <row r="15263">
      <c r="A15263" t="inlineStr">
        <is>
          <t>Sadida M 2001</t>
        </is>
      </c>
      <c r="B15263">
        <f>HYPERLINK("https://www.dofusbook.net/fr/equipement/4063197-sadida-m-2001/objets", "link")</f>
        <v/>
      </c>
      <c r="C15263" t="n">
        <v>2</v>
      </c>
      <c r="D15263" t="inlineStr">
        <is>
          <t>Marteau R'ture; Amulette du Kamasterisk; Alliance Gloursonne; Anneau Toriété; Ceinture de la Reine des Voleurs; Coiffe de la Reine des Voleurs; Cape du Kamasterisk; Baleinabottes; Dolmanax; Dofus des Glaces; Dofus Turquoise; Dofus Ocre; Dofus Pourpre; Kramkram</t>
        </is>
      </c>
    </row>
    <row r="15264">
      <c r="A15264" t="inlineStr">
        <is>
          <t>Stuff 1</t>
        </is>
      </c>
      <c r="B15264">
        <f>HYPERLINK("https://www.dofusbook.net/fr/equipement/55101-stuff-1/objets", "link")</f>
        <v/>
      </c>
      <c r="C15264" t="n">
        <v>0</v>
      </c>
      <c r="D15264" t="inlineStr">
        <is>
          <t>Pelle de la Cour Sombre; Collier du Valet Veinard; Pikano; Alliance Gloursonne; Cadran d'Air; Menoture; Couronne d'Allister; Cape du Valet Veinard; Palmes Trithons; Dofus Émeraude; Dofus Pourpre; Dofus Ocre; Dofus des Glaces; Dolmanax; Nomade; Kramkram</t>
        </is>
      </c>
    </row>
    <row r="15265">
      <c r="A15265" t="inlineStr">
        <is>
          <t>Osamodas F 200</t>
        </is>
      </c>
      <c r="B15265">
        <f>HYPERLINK("https://www.dofusbook.net/fr/equipement/4059394-osamodas-f-200/objets", "link")</f>
        <v/>
      </c>
      <c r="C15265" t="n">
        <v>1</v>
      </c>
      <c r="D15265" t="inlineStr">
        <is>
          <t>Pelle de la Cour Sombre; Collier du Valet Veinard; Pikano; Alliance Gloursonne; Cadran de Feu; Menoture; Couronne d'Allister; Cape du Valet Veinard; Palmes Trithons; Dofus Émeraude; Dofus Ocre; Dévastateur Air majeur; Cascadeur majeur; Carapace Air majeur; Nomade; Kramkram</t>
        </is>
      </c>
    </row>
    <row r="15266">
      <c r="A15266" t="inlineStr">
        <is>
          <t>Steamer M 200</t>
        </is>
      </c>
      <c r="B15266">
        <f>HYPERLINK("https://www.dofusbook.net/fr/equipement/4055369-steamer-m-200/objets", "link")</f>
        <v/>
      </c>
      <c r="C15266" t="n">
        <v>2</v>
      </c>
      <c r="D15266" t="inlineStr">
        <is>
          <t>Hachoirs de Viandargh; Amibou; Alliance Gloursonne; Bague Trithon; Bouclier précieux; Ceinture du Nocturlabe; Casque Dragoeuf; Capibou; Pantoufles Émar; Dofus Émeraude; Dofus Turquoise; Culbuteur majeur; Culbuteur; Bousculeur majeur; Remueur; Balafreux</t>
        </is>
      </c>
    </row>
    <row r="15267">
      <c r="A15267" t="inlineStr">
        <is>
          <t>chey eau</t>
        </is>
      </c>
      <c r="B15267">
        <f>HYPERLINK("https://www.dofusbook.net/fr/equipement/4036256-chey-eau/objets", "link")</f>
        <v/>
      </c>
      <c r="C15267" t="n">
        <v>4</v>
      </c>
      <c r="D15267" t="inlineStr">
        <is>
          <t>Sceptre du Roi Joueur; Amulette de Shokkoth; Pikano; Alliance Gloursonne; Bouclier du Stalak; Ceinture de la Reine des Voleurs; Kidibonnet; Voile d'encre; Bottes de la Reine des Voleurs; Dofus des Glaces; Dofus Pourpre; Dofus Ocre; Dofus Turquoise; Chanceux majeur; Nomade; Kramkram</t>
        </is>
      </c>
    </row>
    <row r="15268">
      <c r="A15268" t="inlineStr">
        <is>
          <t>terre pvp</t>
        </is>
      </c>
      <c r="B15268">
        <f>HYPERLINK("https://www.dofusbook.net/fr/equipement/4031620-terre-pvp/objets", "link")</f>
        <v/>
      </c>
      <c r="C15268" t="n">
        <v>0</v>
      </c>
      <c r="D15268" t="inlineStr">
        <is>
          <t>Arc du Chalœil; Amulette du Strigide; Alliance Gloursonne; Bague Gloursonne; Bouclier du Stalak; Ceintacé; Ruskauffe; Cape au Logis; Bottes du Lévitrof; Dofus Turquoise; Dolmanax; Dofus Ocre; Dofus Pourpre; Dofus des Glaces; Kramkram</t>
        </is>
      </c>
    </row>
    <row r="15269">
      <c r="A15269" t="inlineStr">
        <is>
          <t>Xélor F 200</t>
        </is>
      </c>
      <c r="B15269">
        <f>HYPERLINK("https://www.dofusbook.net/fr/equipement/3974319-xelor-f-200/objets", "link")</f>
        <v/>
      </c>
      <c r="C15269" t="n">
        <v>1</v>
      </c>
      <c r="D15269" t="inlineStr">
        <is>
          <t>Arc de Koutoulou; Amulette du Strigide; Bracelet du Piloztère; Alliance Gloursonne; Quatre-feuilles; Sangle Ouare; Kidibonnet; Chevelure de Tal Kasha; Sandales de Tal Kasha; Dofus Turquoise; Dofus Pourpre; Remueur; Nomade; Étourdisseur majeur; Minimino</t>
        </is>
      </c>
    </row>
    <row r="15270">
      <c r="A15270" t="inlineStr">
        <is>
          <t>kjoh</t>
        </is>
      </c>
      <c r="B15270">
        <f>HYPERLINK("https://www.dofusbook.net/fr/equipement/2667253-kjoh/objets", "link")</f>
        <v/>
      </c>
      <c r="C15270" t="n">
        <v>1</v>
      </c>
      <c r="D15270" t="inlineStr">
        <is>
          <t>Arc de Koutoulou; Amulette Voldelor; Alliance Gloursonne; Anneau de Guten Tak; Menoture; Némès de Tal Kasha; Cape Matelassée; Sandales de Tal Kasha</t>
        </is>
      </c>
    </row>
    <row r="15271">
      <c r="A15271" t="inlineStr">
        <is>
          <t>Stuff 2</t>
        </is>
      </c>
      <c r="B15271">
        <f>HYPERLINK("https://www.dofusbook.net/fr/equipement/55102-stuff-2/objets", "link")</f>
        <v/>
      </c>
      <c r="C15271" t="n">
        <v>0</v>
      </c>
      <c r="D15271" t="inlineStr">
        <is>
          <t>Héqache; Amulette du Cycloïde; Alliance Brûlâme; Bracelet du Piloztère; Ceinture de l'Indicible; Masque Brûlâme; Cape du Kamasterisk; Baleinabottes; Dofus Pourpre; Dofus des Glaces; Dofus Turquoise; Dolmanax; Dofus Ocre; Nomade</t>
        </is>
      </c>
    </row>
    <row r="15272">
      <c r="A15272" t="inlineStr">
        <is>
          <t>Stuff pvp feu eau air</t>
        </is>
      </c>
      <c r="B15272">
        <f>HYPERLINK("https://www.dofusbook.net/fr/equipement/3877047-stuff-pvp-feu-eau-air/objets", "link")</f>
        <v/>
      </c>
      <c r="C15272" t="n">
        <v>0</v>
      </c>
      <c r="D15272" t="inlineStr">
        <is>
          <t>Arc Honte; Amulette de l'Œil Putride; Alliance Gloursonne; Bague Gloursonne; Cadran d'Air; Ceinture de l'Esprit Salvateur; Masque de l'Esprit Salvateur; Cape de l'Œil Putride; Bottes de l'Esprit Salvateur; Dofus Ocre; Dofus Ivoire; Dofus Vulbis; Dofus des Glaces; Dofus Pourpre; Dofus Abyssal; Dragodinde en armure</t>
        </is>
      </c>
    </row>
    <row r="15273">
      <c r="A15273" t="inlineStr">
        <is>
          <t>Iop M 200</t>
        </is>
      </c>
      <c r="B15273">
        <f>HYPERLINK("https://www.dofusbook.net/fr/equipement/3857123-iop-m-200/objets", "link")</f>
        <v/>
      </c>
      <c r="C15273" t="n">
        <v>3</v>
      </c>
      <c r="D15273" t="inlineStr">
        <is>
          <t>Dagues d'Ilyzaelle; Collier de Tourthon; Goulano; Anneau Chevelu; Goulclier; Sangle de Sylargh; Capuche de Sylargh; Cape de Sylargh; Goulbottes; Dolmanax; Dofus des Glaces; Dofus Turquoise; Dofus Ocre; Dofus Pourpre; Fëanor</t>
        </is>
      </c>
    </row>
    <row r="15274">
      <c r="A15274" t="inlineStr">
        <is>
          <t>genlisea</t>
        </is>
      </c>
      <c r="B15274">
        <f>HYPERLINK("https://www.dofusbook.net/fr/equipement/3195406-genlisea/objets", "link")</f>
        <v/>
      </c>
      <c r="C15274" t="n">
        <v>0</v>
      </c>
      <c r="D15274" t="inlineStr">
        <is>
          <t>Bague Gloursonne; Alliance Gloursonne; Bouclier cubiste; Ruskauffe; Cape au Logis; Dofus des Glaces; Dofus Ocre; Dolmanax; Dofus Turquoise; Dofus Pourpre; Fëanor</t>
        </is>
      </c>
    </row>
    <row r="15275">
      <c r="A15275" t="inlineStr">
        <is>
          <t>mop</t>
        </is>
      </c>
      <c r="B15275">
        <f>HYPERLINK("https://www.dofusbook.net/fr/equipement/1492605-mop/objets", "link")</f>
        <v/>
      </c>
      <c r="C15275" t="n">
        <v>0</v>
      </c>
      <c r="D15275" t="inlineStr">
        <is>
          <t>Bâton Beau; Kralamansion; Gelano; Pikano; Quatre-feuilles; Ceinture d'Ogivol; Casquipik; Cape Reski; Sabots Minables; Nomade; Remueur; Vigoureux majeur</t>
        </is>
      </c>
    </row>
    <row r="15276">
      <c r="A15276" t="inlineStr">
        <is>
          <t>Iop M 200</t>
        </is>
      </c>
      <c r="B15276">
        <f>HYPERLINK("https://www.dofusbook.net/fr/equipement/3764277-iop-m-200/objets", "link")</f>
        <v/>
      </c>
      <c r="C15276" t="n">
        <v>1</v>
      </c>
      <c r="D15276" t="inlineStr">
        <is>
          <t>Marteau R'ture; Collier de Tourthon; Ceinture de Gein; Chapeau de Gein; Cape du Cœur Saignant</t>
        </is>
      </c>
    </row>
    <row r="15277">
      <c r="A15277" t="inlineStr">
        <is>
          <t>Agride</t>
        </is>
      </c>
      <c r="B15277">
        <f>HYPERLINK("https://www.dofusbook.net/fr/equipement/1317565-agride/objets", "link")</f>
        <v/>
      </c>
      <c r="C15277" t="n">
        <v>0</v>
      </c>
      <c r="D15277" t="inlineStr">
        <is>
          <t>Pendentif affamé; Anneau Tamie; Kralano; Bouclier cubiste; Ceinture Séculaire; Coiffe Séculaire; Cape de Diondin; Bottes Innommables; Dofus Turquoise; Dofus Pourpre; Nomade; Guérisseur majeur; Remueur; Érudit majeur; Muldo Doré et Orchidée</t>
        </is>
      </c>
    </row>
    <row r="15278">
      <c r="A15278" t="inlineStr">
        <is>
          <t>Féca M 200</t>
        </is>
      </c>
      <c r="B15278">
        <f>HYPERLINK("https://www.dofusbook.net/fr/equipement/3762614-feca-m-200/objets", "link")</f>
        <v/>
      </c>
      <c r="C15278" t="n">
        <v>0</v>
      </c>
      <c r="D15278" t="inlineStr"/>
    </row>
    <row r="15279">
      <c r="A15279" t="inlineStr">
        <is>
          <t>Roublard M 200</t>
        </is>
      </c>
      <c r="B15279">
        <f>HYPERLINK("https://www.dofusbook.net/fr/equipement/3689596-roublard-m-200/objets", "link")</f>
        <v/>
      </c>
      <c r="C15279" t="n">
        <v>0</v>
      </c>
      <c r="D15279" t="inlineStr"/>
    </row>
    <row r="15280">
      <c r="A15280" t="inlineStr">
        <is>
          <t>Stuff 1</t>
        </is>
      </c>
      <c r="B15280">
        <f>HYPERLINK("https://www.dofusbook.net/fr/equipement/55094-stuff-1/objets", "link")</f>
        <v/>
      </c>
      <c r="C15280" t="n">
        <v>2</v>
      </c>
      <c r="D15280" t="inlineStr">
        <is>
          <t>Rapière aux Glyphes; Amulette Cryochrone; Anneau Cryochrone; Alliance Gloursonne; Bouclier du Stalak; Ceintacé; Casqnoar; Cape des Justiciers; Sandales Circulaires du Kimbo; Dofus Turquoise; Dofus Pourpre; Vigoureux majeur; Nomade; Observateur; Remueur; Muldo Doré et Orchidée</t>
        </is>
      </c>
    </row>
    <row r="15281">
      <c r="A15281" t="inlineStr">
        <is>
          <t>Stuff 3</t>
        </is>
      </c>
      <c r="B15281">
        <f>HYPERLINK("https://www.dofusbook.net/fr/equipement/55106-stuff-3/objets", "link")</f>
        <v/>
      </c>
      <c r="C15281" t="n">
        <v>1</v>
      </c>
      <c r="D15281" t="inlineStr">
        <is>
          <t>Arc de Koutoulou; Amulette du Strigide; Alliance Gloursonne; Kralano; Quatre-feuilles; Ceintacé; Némès de Tal Kasha; Voile d'encre; Bottes du Strigide; Dofus Turquoise; Dofus des Glaces; Dofus Pourpre; Cascadeur majeur; Remueur; Vigoureux majeur; Muldo Prune et Emeraude</t>
        </is>
      </c>
    </row>
    <row r="15282">
      <c r="A15282" t="inlineStr">
        <is>
          <t>ret pm</t>
        </is>
      </c>
      <c r="B15282">
        <f>HYPERLINK("https://www.dofusbook.net/fr/equipement/2652567-ret-pm/objets", "link")</f>
        <v/>
      </c>
      <c r="C15282" t="n">
        <v>0</v>
      </c>
      <c r="D15282" t="inlineStr">
        <is>
          <t>Amulette Luminescente; Pikano; Anneau Tamie; Bouclier cubiste; Ceinture de Kongoku; Casquipik; Cape de Léthaline; Pantoufles Émar; Dofus des Glaces; Dofus Pourpre; Dofus Ocre; Dofus Turquoise</t>
        </is>
      </c>
    </row>
    <row r="15283">
      <c r="A15283" t="inlineStr">
        <is>
          <t>Stuff 3</t>
        </is>
      </c>
      <c r="B15283">
        <f>HYPERLINK("https://www.dofusbook.net/fr/equipement/55103-stuff-3/objets", "link")</f>
        <v/>
      </c>
      <c r="C15283" t="n">
        <v>0</v>
      </c>
      <c r="D15283" t="inlineStr">
        <is>
          <t>Amulette du Cœur Saignant; Anneau de Brouce; Anneau Crustique; Bouclier du Captain Amakna; Ceinture de Brouce; Masque de Koutoulou; Voile d'encre; Bottes du Cœur Saignant; Dofus Turquoise; Dolmanax; Dofus Émeraude; Dofus Ocre; Dofus Pourpre; Dofus des Glaces</t>
        </is>
      </c>
    </row>
    <row r="15284">
      <c r="A15284" t="inlineStr">
        <is>
          <t>terre feu air</t>
        </is>
      </c>
      <c r="B15284">
        <f>HYPERLINK("https://www.dofusbook.net/fr/equipement/2667205-terre-feu-air/objets", "link")</f>
        <v/>
      </c>
      <c r="C15284" t="n">
        <v>0</v>
      </c>
      <c r="D15284" t="inlineStr">
        <is>
          <t>Arc du Chalœil; Amulette du Strigide; Bracelet du Piloztère; Bague Gloursonne; Quatre-feuilles; Ceintacé; Casque du Chalœil; Voile d'encre; Baleinabottes; Dofus Pourpre; Dofus Turquoise; Vigoureux majeur; Remueur; Nomade; Muldo Orchidée et Pourpre</t>
        </is>
      </c>
    </row>
    <row r="15285">
      <c r="A15285" t="inlineStr">
        <is>
          <t>Stuff 2</t>
        </is>
      </c>
      <c r="B15285">
        <f>HYPERLINK("https://www.dofusbook.net/fr/equipement/55068-stuff-2/objets", "link")</f>
        <v/>
      </c>
      <c r="C15285" t="n">
        <v>0</v>
      </c>
      <c r="D15285" t="inlineStr">
        <is>
          <t>Epée Gloursonne; Amulette du Glourséleste; Bague Gloursonne; Alliance Gloursonne; Bouclier cubiste; Ceinture du Glourséleste; Masque du Glourséleste; Cape du Glourséleste; Bottes du Glourséleste; Dofus Pourpre; Dofus des Glaces; Dolmanax; Entraveur majeur; Ralentisseur majeur; Kramkram</t>
        </is>
      </c>
    </row>
    <row r="15286">
      <c r="A15286" t="inlineStr">
        <is>
          <t>momo</t>
        </is>
      </c>
      <c r="B15286">
        <f>HYPERLINK("https://www.dofusbook.net/fr/equipement/2387647-momo/objets", "link")</f>
        <v/>
      </c>
      <c r="C15286" t="n">
        <v>1</v>
      </c>
      <c r="D15286" t="inlineStr">
        <is>
          <t>Dagues du Dragoeuf; La Feuille de Printemps; Anneau du Meulou; Gelano; Le Karde Cœur; Ceinture Phossile; Solomonk; Cape Phossile; Dofus Pourpre; Dofus Émeraude; Dolmanax; Nomade; Vigoureux majeur; Remueur; Muldo Doré et Ebène</t>
        </is>
      </c>
    </row>
    <row r="15287">
      <c r="A15287" t="inlineStr">
        <is>
          <t>beuch</t>
        </is>
      </c>
      <c r="B15287">
        <f>HYPERLINK("https://www.dofusbook.net/fr/equipement/2267046-beuch/objets", "link")</f>
        <v/>
      </c>
      <c r="C15287" t="n">
        <v>1</v>
      </c>
      <c r="D15287" t="inlineStr">
        <is>
          <t>Hache du Guerrier Zoth; Amulette du Renouveau; Anneau du Meulou; Gelano; Ceinture du Capitaine Ekarlatte; Cascterre; Cape Usée du Chêne Mou; Tongues du dimanche du Chêne Mou; Muldo Ebène et Indigo</t>
        </is>
      </c>
    </row>
    <row r="15288">
      <c r="A15288" t="inlineStr">
        <is>
          <t>momo160</t>
        </is>
      </c>
      <c r="B15288">
        <f>HYPERLINK("https://www.dofusbook.net/fr/equipement/2430746-momo160/objets", "link")</f>
        <v/>
      </c>
      <c r="C15288" t="n">
        <v>0</v>
      </c>
      <c r="D15288" t="inlineStr">
        <is>
          <t>Dagues du Dragoeuf; Amulette Ementaire Deluxe; Gelano; Anneau des Matougarous; Cadran de Terre; Ceinture des Matougarous; Bonnet Ko; Pèlerine d'Augilol; Bottes Phossiles; Dolmanax; Dofus Pourpre; Dofus Turquoise; Nomade; Vigoureux majeur; Remueur; Dragodinde en armure</t>
        </is>
      </c>
    </row>
    <row r="15289">
      <c r="A15289" t="inlineStr">
        <is>
          <t>BLMono</t>
        </is>
      </c>
      <c r="B15289">
        <f>HYPERLINK("https://www.dofusbook.net/fr/equipement/2264908-blmono/objets", "link")</f>
        <v/>
      </c>
      <c r="C15289" t="n">
        <v>0</v>
      </c>
      <c r="D15289" t="inlineStr">
        <is>
          <t>Dés de la Chance; Abranneau Sombre; Anneau Ouroboulos; Caracoiffe; Cape Ouroboulos; Bottes Ouroboulos</t>
        </is>
      </c>
    </row>
    <row r="15290">
      <c r="A15290" t="inlineStr">
        <is>
          <t>cent nonante neuf</t>
        </is>
      </c>
      <c r="B15290">
        <f>HYPERLINK("https://www.dofusbook.net/fr/equipement/2072458-cent-nonante-neuf/objets", "link")</f>
        <v/>
      </c>
      <c r="C15290" t="n">
        <v>0</v>
      </c>
      <c r="D15290" t="inlineStr">
        <is>
          <t>Bague Gloursonne; Pantoufles Émar; Nomade; Remueur; Vigoureux majeur</t>
        </is>
      </c>
    </row>
    <row r="15291">
      <c r="A15291" t="inlineStr">
        <is>
          <t>Stuff 3</t>
        </is>
      </c>
      <c r="B15291">
        <f>HYPERLINK("https://www.dofusbook.net/fr/equipement/55082-stuff-3/objets", "link")</f>
        <v/>
      </c>
      <c r="C15291" t="n">
        <v>0</v>
      </c>
      <c r="D15291" t="inlineStr">
        <is>
          <t>Sabres d'Atcham; Alliance Gloursonne; Quatre-feuilles; Voile d'encre; Dofus Turquoise; Dofus des Glaces; Dofus Pourpre; Dolmanax; Muldo Doré et Ebène</t>
        </is>
      </c>
    </row>
    <row r="15292">
      <c r="A15292" t="inlineStr">
        <is>
          <t>brak</t>
        </is>
      </c>
      <c r="B15292">
        <f>HYPERLINK("https://www.dofusbook.net/fr/equipement/2028448-brak/objets", "link")</f>
        <v/>
      </c>
      <c r="C15292" t="n">
        <v>2</v>
      </c>
      <c r="D15292" t="inlineStr">
        <is>
          <t>Sabres d'Atcham; Amulette du Strigide; Bracelet du Piloztère; Alliance Gloursonne; Bouclier du Captain Amakna; Ceintacé; Capuche de l'Œil Putride; Voile d'encre; Sandales  d'Atcham; Dofus Turquoise; Dolmanax; Dofus Pourpre; Dofus des Glaces; Nomade; Remueur; Kramkram</t>
        </is>
      </c>
    </row>
    <row r="15293">
      <c r="A15293" t="inlineStr">
        <is>
          <t>Stuff 1</t>
        </is>
      </c>
      <c r="B15293">
        <f>HYPERLINK("https://www.dofusbook.net/fr/equipement/55078-stuff-1/objets", "link")</f>
        <v/>
      </c>
      <c r="C15293" t="n">
        <v>0</v>
      </c>
      <c r="D15293" t="inlineStr">
        <is>
          <t>Epée Loponèze; Amulette Hale; Alliance Gloursonne; Grésilanneau; Quatre-feuilles; Ceinture Rasboulaire du Rasboul; Masque du Glourséleste; Cape Matelassée; Chaussures Face; Dofus Turquoise; Dofus Pourpre; Vigoureux majeur; Chanceux majeur; Remueur; Nomade; Muldo Doré et Ebène</t>
        </is>
      </c>
    </row>
    <row r="15294">
      <c r="A15294" t="inlineStr">
        <is>
          <t>Stuff 2</t>
        </is>
      </c>
      <c r="B15294">
        <f>HYPERLINK("https://www.dofusbook.net/fr/equipement/55080-stuff-2/objets", "link")</f>
        <v/>
      </c>
      <c r="C15294" t="n">
        <v>0</v>
      </c>
      <c r="D15294" t="inlineStr">
        <is>
          <t>Arc Oleptik; Amulette Rangleur; Kralano; Anneau de Padgref; Quatre-feuilles; Frimature; Coiffe de Padgref; Voile d'encre; Pantoufles Émar; Érudit majeur; Remueur; Cascadeur majeur; Vigoureux majeur; Nomade; Kramkram</t>
        </is>
      </c>
    </row>
    <row r="15295">
      <c r="A15295" t="inlineStr">
        <is>
          <t>terre air</t>
        </is>
      </c>
      <c r="B15295">
        <f>HYPERLINK("https://www.dofusbook.net/fr/equipement/225610-terre-air/objets", "link")</f>
        <v/>
      </c>
      <c r="C15295" t="n">
        <v>0</v>
      </c>
      <c r="D15295" t="inlineStr">
        <is>
          <t>Dagues Érhy; Amulette du Strigide; Bague Trithon; Anneau de Pol Ouatnos; Bouclier du Captain Amakna; Ceinture du Strigide; Masque de Koutoulou; Voile d'encre; Bottes du Cycloïde; Dofus Turquoise; Dofus Pourpre; Vigoureux majeur; Nomade; Remueur; Kramkram</t>
        </is>
      </c>
    </row>
    <row r="15296">
      <c r="A15296" t="inlineStr">
        <is>
          <t>Stuff 2</t>
        </is>
      </c>
      <c r="B15296">
        <f>HYPERLINK("https://www.dofusbook.net/fr/equipement/55074-stuff-2/objets", "link")</f>
        <v/>
      </c>
      <c r="C15296" t="n">
        <v>1</v>
      </c>
      <c r="D15296" t="inlineStr">
        <is>
          <t>Hache du Chalœil; Amulette Luminescente; Chevalière du Roi Joueur; Bracelet du Piloztère; Quatre-feuilles; Ceinture de la Reine des Voleurs; Coiffe de la Reine des Voleurs; Voile d'encre; Baleinabottes; Dofus Pourpre; Dofus Turquoise; Dolmanax; Dofus des Glaces; Nomade; Remueur; Kramkram</t>
        </is>
      </c>
    </row>
    <row r="15297">
      <c r="A15297" t="inlineStr">
        <is>
          <t>Bag</t>
        </is>
      </c>
      <c r="B15297">
        <f>HYPERLINK("https://www.dofusbook.net/fr/equipement/1683788-bag/objets", "link")</f>
        <v/>
      </c>
      <c r="C15297" t="n">
        <v>0</v>
      </c>
      <c r="D15297" t="inlineStr">
        <is>
          <t>Hache du Guerrier Zoth; Amulette Cætera; Gelano; Sceau Souverain du Roissingue; Ceinture de Soissanth; Coiffe de Soissanth; Cape Souveraine du Roissingue; Pantoufles de Soissanth</t>
        </is>
      </c>
    </row>
    <row r="15298">
      <c r="A15298" t="inlineStr">
        <is>
          <t>steuff1</t>
        </is>
      </c>
      <c r="B15298">
        <f>HYPERLINK("https://www.dofusbook.net/fr/equipement/1459682-steuff1/objets", "link")</f>
        <v/>
      </c>
      <c r="C15298" t="n">
        <v>0</v>
      </c>
      <c r="D15298" t="inlineStr">
        <is>
          <t>Dagues Érhy; Amulette du Strigide; Anneau Crustique; Ceinture de la Reine des Voleurs; Masque de Koutoulou; Cape au Logis; Bottes du Strigide</t>
        </is>
      </c>
    </row>
    <row r="15299">
      <c r="A15299" t="inlineStr">
        <is>
          <t>Stuff 1</t>
        </is>
      </c>
      <c r="B15299">
        <f>HYPERLINK("https://www.dofusbook.net/fr/equipement/55084-stuff-1/objets", "link")</f>
        <v/>
      </c>
      <c r="C15299" t="n">
        <v>0</v>
      </c>
      <c r="D15299" t="inlineStr">
        <is>
          <t>Hache du Guerrier Zoth; Racine Hueuse; Anneau Chevelu; Gelano; Bouclier Taverne; Ceinture Rasboulaire du Rasboul; Coiffe d'Ogivol; Cape d'Ogivol; Bottes de XLII; Dofus Pourpre; Dofus Turquoise; Remueur; Vigoureux majeur; Nomade; Muldo Ebène et Orchidée</t>
        </is>
      </c>
    </row>
    <row r="15300">
      <c r="A15300" t="inlineStr">
        <is>
          <t>Stuff 3</t>
        </is>
      </c>
      <c r="B15300">
        <f>HYPERLINK("https://www.dofusbook.net/fr/equipement/55088-stuff-3/objets", "link")</f>
        <v/>
      </c>
      <c r="C15300" t="n">
        <v>1</v>
      </c>
      <c r="D15300" t="inlineStr">
        <is>
          <t>Arc du Chalœil; Amulette du Strigide; Alliance Gloursonne; Pikano; Quatre-feuilles; Ceinture de la Reine des Voleurs; Coiffe de la Reine des Voleurs; Voile d'encre; Baleinabottes; Dolmanax; Dofus Turquoise; Dofus des Glaces; Dofus Pourpre; Nomade; Remueur; Kramkram</t>
        </is>
      </c>
    </row>
    <row r="15301">
      <c r="A15301" t="inlineStr">
        <is>
          <t>lala</t>
        </is>
      </c>
      <c r="B15301">
        <f>HYPERLINK("https://www.dofusbook.net/fr/equipement/1143368-lala/objets", "link")</f>
        <v/>
      </c>
      <c r="C15301" t="n">
        <v>0</v>
      </c>
      <c r="D15301" t="inlineStr">
        <is>
          <t>Epée Toche; Amulette du K.O.; Alliance de Missiz Frizz; Gelano; Casque de Missiz Frizz; Chaussons du Comte Razof</t>
        </is>
      </c>
    </row>
    <row r="15302">
      <c r="A15302" t="inlineStr">
        <is>
          <t>weshi</t>
        </is>
      </c>
      <c r="B15302">
        <f>HYPERLINK("https://www.dofusbook.net/fr/equipement/1132152-weshi/objets", "link")</f>
        <v/>
      </c>
      <c r="C15302" t="n">
        <v>2</v>
      </c>
      <c r="D15302" t="inlineStr">
        <is>
          <t>Arc Hétype; Amulette Séculaire; Anneau Tique; Baguistik; Bouclier du Cycloïde; Ceinture de Gein; Coiffe Séculaire; Cape de Diondin; Bottes Innommables; Dofus des Glaces; Érudit majeur; Remueur; Dévastateur Feu majeur; Nomade; Miraculé majeur; Brûlih</t>
        </is>
      </c>
    </row>
    <row r="15303">
      <c r="A15303" t="inlineStr">
        <is>
          <t>Stuff 1</t>
        </is>
      </c>
      <c r="B15303">
        <f>HYPERLINK("https://www.dofusbook.net/fr/equipement/55104-stuff-1/objets", "link")</f>
        <v/>
      </c>
      <c r="C15303" t="n">
        <v>0</v>
      </c>
      <c r="D15303" t="inlineStr">
        <is>
          <t>Arc de Koutoulou; Amulette Voldelor; Alliance Gloursonne; Gant du Valet Veinard; Quatre-feuilles; Ceintacé; Masque du Barbétoal; Voile d'encre; Bottes Voldelor; Dofus Turquoise; Dolmanax; Dofus Pourpre; Dofus des Glaces; Remueur; Vigoureux majeur; Muldo Prune et Emeraude</t>
        </is>
      </c>
    </row>
    <row r="15304">
      <c r="A15304" t="inlineStr">
        <is>
          <t>tada</t>
        </is>
      </c>
      <c r="B15304">
        <f>HYPERLINK("https://www.dofusbook.net/fr/equipement/1079201-tada/objets", "link")</f>
        <v/>
      </c>
      <c r="C15304" t="n">
        <v>0</v>
      </c>
      <c r="D15304" t="inlineStr">
        <is>
          <t>Hache du Chalœil; Amulette de l'Indicible; Alliance du Lévitrof; Alliance Gloursonne; Quatre-feuilles; Ceinture de l'Indicible; Kidibonnet; Voile d'encre; Getas Bernacle; Dofus Turquoise; Dofus Pourpre; Nomade; Vigoureux majeur; Remueur; Muldo Indigo et Pourpre</t>
        </is>
      </c>
    </row>
    <row r="15305">
      <c r="A15305" t="inlineStr">
        <is>
          <t>tiki</t>
        </is>
      </c>
      <c r="B15305">
        <f>HYPERLINK("https://www.dofusbook.net/fr/equipement/999699-tiki/objets", "link")</f>
        <v/>
      </c>
      <c r="C15305" t="n">
        <v>0</v>
      </c>
      <c r="D15305" t="inlineStr">
        <is>
          <t>Arc de Koutoulou; Amulette du Strigide; Bracelet du Piloztère; Anneau Tique; Bouclier du Stalak; Ceintacé; Némès de Tal Kasha; Voile d'encre; Sandales de Tal Kasha; Dofus Turquoise; Dofus des Glaces; Dofus Pourpre; Dolmanax; Nomade; Remueur; Kramkram</t>
        </is>
      </c>
    </row>
    <row r="15306">
      <c r="A15306" t="inlineStr">
        <is>
          <t>Stuff 2</t>
        </is>
      </c>
      <c r="B15306">
        <f>HYPERLINK("https://www.dofusbook.net/fr/equipement/55105-stuff-2/objets", "link")</f>
        <v/>
      </c>
      <c r="C15306" t="n">
        <v>0</v>
      </c>
      <c r="D15306" t="inlineStr">
        <is>
          <t>Arc de Koutoulou; Amulette du Strigide; Alliance Gloursonne; Bracelet du Piloztère; Ceintacé; Némès de Tal Kasha; Chevelure de Tal Kasha; Bottes Voldelor; Dofus Pourpre; Dofus des Glaces; Dolmanax; Dofus Turquoise; Remueur; Vigoureux majeur; Muldo Indigo et Orchidée</t>
        </is>
      </c>
    </row>
    <row r="15307">
      <c r="A15307" t="inlineStr">
        <is>
          <t>Stuff 3</t>
        </is>
      </c>
      <c r="B15307">
        <f>HYPERLINK("https://www.dofusbook.net/fr/equipement/55100-stuff-3/objets", "link")</f>
        <v/>
      </c>
      <c r="C15307" t="n">
        <v>0</v>
      </c>
      <c r="D15307" t="inlineStr">
        <is>
          <t>Marteau des Anciens Steamers; Pendentif Oton; Anneau du Korriandre; Alliance Gloursonne; Ceinture Rasboulaire du Rasboul; Binocle Airvoyant; Cape Matelassée; Bottes du Glourséleste; Dofus Pourpre; Dofus Ocre; Vigoureux majeur; Remueur; Miraculé majeur; Nomade; Kramkram</t>
        </is>
      </c>
    </row>
    <row r="15308">
      <c r="A15308" t="inlineStr">
        <is>
          <t>Stuff 2</t>
        </is>
      </c>
      <c r="B15308">
        <f>HYPERLINK("https://www.dofusbook.net/fr/equipement/55098-stuff-2/objets", "link")</f>
        <v/>
      </c>
      <c r="C15308" t="n">
        <v>0</v>
      </c>
      <c r="D15308" t="inlineStr">
        <is>
          <t>Epée Maudite du Saigneur Guerrier; Amulette de l'Indicible; Alliance Gloursonne; Bague Gloursonne; Ceinture de l'Indicible; Casque du Chalœil; Voile d'encre; Bottes de l'Indicible; Dofus des Glaces; Dolmanax; Dofus Pourpre; Dofus Ocre; Dofus Émeraude; Dofus Turquoise</t>
        </is>
      </c>
    </row>
    <row r="15309">
      <c r="A15309" t="inlineStr">
        <is>
          <t>Stuff 2</t>
        </is>
      </c>
      <c r="B15309">
        <f>HYPERLINK("https://www.dofusbook.net/fr/equipement/55087-stuff-2/objets", "link")</f>
        <v/>
      </c>
      <c r="C15309" t="n">
        <v>1</v>
      </c>
      <c r="D15309" t="inlineStr">
        <is>
          <t>Epée Gloursonne; Amulette du Strigide; Alliance Gloursonne; Bague Gloursonne; Ceinture du Strigide; Némès de Tal Kasha; Chevelure de Tal Kasha; Bottes du Strigide; Dofus Pourpre; Dofus Ocre; Dofus Turquoise; Dofus des Glaces; Dolmanax</t>
        </is>
      </c>
    </row>
    <row r="15310">
      <c r="A15310" t="inlineStr">
        <is>
          <t>Stuff 3</t>
        </is>
      </c>
      <c r="B15310">
        <f>HYPERLINK("https://www.dofusbook.net/fr/equipement/55071-stuff-3/objets", "link")</f>
        <v/>
      </c>
      <c r="C15310" t="n">
        <v>1</v>
      </c>
      <c r="D15310" t="inlineStr">
        <is>
          <t>Baguette Hique; Amulette de Shokkoth; Pikano; Alliance Gloursonne; Bouclier cubiste; Poulpagne; Masque du Glourséleste; Cape de Meno; Bottes de Meno; Dofus Pourpre; Remueur; Temporiseur majeur; Nomade</t>
        </is>
      </c>
    </row>
    <row r="15311">
      <c r="A15311" t="inlineStr">
        <is>
          <t>feu</t>
        </is>
      </c>
      <c r="B15311">
        <f>HYPERLINK("https://www.dofusbook.net/fr/equipement/2294813-feu/objets", "link")</f>
        <v/>
      </c>
      <c r="C15311" t="n">
        <v>0</v>
      </c>
      <c r="D15311" t="inlineStr">
        <is>
          <t>Pendentif mignon de Koutoulou</t>
        </is>
      </c>
    </row>
    <row r="15312">
      <c r="A15312" t="inlineStr">
        <is>
          <t>Stuff 2</t>
        </is>
      </c>
      <c r="B15312">
        <f>HYPERLINK("https://www.dofusbook.net/fr/equipement/351187-stuff-2/objets", "link")</f>
        <v/>
      </c>
      <c r="C15312" t="n">
        <v>0</v>
      </c>
      <c r="D15312" t="inlineStr">
        <is>
          <t>Arc de Guten Tak; Amulette du Strigide; Alliance Gloursonne; Anneau Chevelu; Bouclier Ventaille cassé; Ceintacé; Coiffe du Glourséleste; Cape de Léthaline; Bottes du Strigide; Dofus Pourpre; Dofus Turquoise; Muraille Air majeure; Carapace Air majeur; Remueur; Vigoureux majeur; Croum</t>
        </is>
      </c>
    </row>
    <row r="15313">
      <c r="A15313" t="inlineStr">
        <is>
          <t>Stuff 3</t>
        </is>
      </c>
      <c r="B15313">
        <f>HYPERLINK("https://www.dofusbook.net/fr/equipement/351242-stuff-3/objets", "link")</f>
        <v/>
      </c>
      <c r="C15313" t="n">
        <v>0</v>
      </c>
      <c r="D15313" t="inlineStr">
        <is>
          <t>Baguette de Malléfisk; Pendentif affamé; Anneau de Nidas; Chevalière du Roi Joueur; Protopagne; Casque Dragoeuf; Cape de Diondin; Bottes Innommables; Dolmanax; Astucieux majeur; Savant majeur; Érudit majeur; Miraculé majeur; Remueur; Dragodinde en armure</t>
        </is>
      </c>
    </row>
    <row r="15314">
      <c r="A15314" t="inlineStr">
        <is>
          <t>Stuff 1</t>
        </is>
      </c>
      <c r="B15314">
        <f>HYPERLINK("https://www.dofusbook.net/fr/equipement/351234-stuff-1/objets", "link")</f>
        <v/>
      </c>
      <c r="C15314" t="n">
        <v>0</v>
      </c>
      <c r="D15314" t="inlineStr">
        <is>
          <t>Hache du Chalœil; Amulette du Strigide; Bague Gloursonne; Alliance Gloursonne; Bouclier du Chouque cassé; Ceinture du Strigide; Bonnet Ko; Cape de Léthaline; Bottes du Strigide; Dofus Vulbis; Dolmanax; Dokoko; Dofus Pourpre; Dofus Turquoise; Dofus Ocre; Dragodinde en armure</t>
        </is>
      </c>
    </row>
    <row r="15315">
      <c r="A15315" t="inlineStr">
        <is>
          <t>Stuff 2</t>
        </is>
      </c>
      <c r="B15315">
        <f>HYPERLINK("https://www.dofusbook.net/fr/equipement/351217-stuff-2/objets", "link")</f>
        <v/>
      </c>
      <c r="C15315" t="n">
        <v>0</v>
      </c>
      <c r="D15315" t="inlineStr">
        <is>
          <t>Pelle de la Cour Sombre; Collier du Valet Veinard; Gant du Valet Veinard; Alliance Gloursonne; Bouclier Ventaille cassé; Menoture; Dorabysses; Cape Indescriptible; Palmes Trithons; Dofus Pourpre; Dolmanax; Remueur; Nomade; Cascadeur majeur; Vigoureux majeur; Pioute jaune</t>
        </is>
      </c>
    </row>
    <row r="15316">
      <c r="A15316" t="inlineStr">
        <is>
          <t>Stuff 2</t>
        </is>
      </c>
      <c r="B15316">
        <f>HYPERLINK("https://www.dofusbook.net/fr/equipement/351209-stuff-2/objets", "link")</f>
        <v/>
      </c>
      <c r="C15316" t="n">
        <v>0</v>
      </c>
      <c r="D15316" t="inlineStr">
        <is>
          <t>Epée Loponèze; Amulette du Strigide; Alliance Gloursonne; Bracelet des Fonds marins; Ceinture Voldelor; Kidibonnet; Cape du Sinistrofu; Bottes du Sinistrofu; Dofus Pourpre; Dokoko; Remueur; Chanceux majeur; Nomade; Vigoureux majeur; Pioute bleu</t>
        </is>
      </c>
    </row>
    <row r="15317">
      <c r="A15317" t="inlineStr">
        <is>
          <t>Stuff 1</t>
        </is>
      </c>
      <c r="B15317">
        <f>HYPERLINK("https://www.dofusbook.net/fr/equipement/351257-stuff-1/objets", "link")</f>
        <v/>
      </c>
      <c r="C15317" t="n">
        <v>0</v>
      </c>
      <c r="D15317" t="inlineStr">
        <is>
          <t>Bêche Asse; Collier de Tourthon; Anneau Crustique; Anneau Tilus; Ceintouse; Masque de Koutoulou; Cape au Logis; Tentassons; Dolmanax; Paralyseur majeur; Vigoureux majeur; Engourdisseur majeur; Étourdisseur majeur; Remueur; Dragodinde en armure</t>
        </is>
      </c>
    </row>
    <row r="15318">
      <c r="A15318" t="inlineStr">
        <is>
          <t>Stuff 2</t>
        </is>
      </c>
      <c r="B15318">
        <f>HYPERLINK("https://www.dofusbook.net/fr/equipement/351204-stuff-2/objets", "link")</f>
        <v/>
      </c>
      <c r="C15318" t="n">
        <v>0</v>
      </c>
      <c r="D15318" t="inlineStr">
        <is>
          <t>Manthache; Collier du Valet Veinard; Alliance Gloursonne; Anneau Tilus; Menoture; Casque Dragoeuf; Cape du Valet Veinard; Tentassons; Cascadeur majeur; Étourdisseur majeur; Engourdisseur majeur; Nomade; Paralyseur majeur; Remueur; Croum</t>
        </is>
      </c>
    </row>
    <row r="15319">
      <c r="A15319" t="inlineStr">
        <is>
          <t>Stuff 3</t>
        </is>
      </c>
      <c r="B15319">
        <f>HYPERLINK("https://www.dofusbook.net/fr/equipement/351196-stuff-3/objets", "link")</f>
        <v/>
      </c>
      <c r="C15319" t="n">
        <v>0</v>
      </c>
      <c r="D15319" t="inlineStr">
        <is>
          <t>Pelle de la Cour Sombre; Amulette du Strigide; Alliance Gloursonne; Gant du Valet Veinard; Bouclier Ventaille cassé; Ceinture du Barbétoal; Dorabysses; Cape du Valet Veinard; Baleinabottes; Dofus Pourpre; Dofus Turquoise; Cascadeur majeur; Nomade; Remueur; Vigoureux majeur; Pioute jaune</t>
        </is>
      </c>
    </row>
    <row r="15320">
      <c r="A15320" t="inlineStr">
        <is>
          <t>Stuff 3</t>
        </is>
      </c>
      <c r="B15320">
        <f>HYPERLINK("https://www.dofusbook.net/fr/equipement/351252-stuff-3/objets", "link")</f>
        <v/>
      </c>
      <c r="C15320" t="n">
        <v>0</v>
      </c>
      <c r="D15320" t="inlineStr">
        <is>
          <t>Marteau R'ture; Collier de Tourthon; Anneau Tilus; Anneau Crustique; Ceintacé; Chapoulpe; Voile d'encre; Tentassons; Paralyseur majeur; Remueur; Nomade; Engourdisseur majeur; Enragé majeur; Étourdisseur majeur; Croum</t>
        </is>
      </c>
    </row>
    <row r="15321">
      <c r="A15321" t="inlineStr">
        <is>
          <t>Stuff 2</t>
        </is>
      </c>
      <c r="B15321">
        <f>HYPERLINK("https://www.dofusbook.net/fr/equipement/351191-stuff-2/objets", "link")</f>
        <v/>
      </c>
      <c r="C15321" t="n">
        <v>0</v>
      </c>
      <c r="D15321" t="inlineStr">
        <is>
          <t>Pelle de la Cour Sombre; Amulette de Pol Ouatnos; Alliance Gloursonne; Anneau Tilus; Ceinture de Vortex; Cagoule de Vortex; Cape Matelassée; Baleinabottes; Dofus Pourpre; Dofus Cawotte; Cascadeur majeur; Engourdisseur majeur; Vigoureux majeur; Étourdisseur majeur; Dragodinde en armure</t>
        </is>
      </c>
    </row>
    <row r="15322">
      <c r="A15322" t="inlineStr">
        <is>
          <t>Stuff 2</t>
        </is>
      </c>
      <c r="B15322">
        <f>HYPERLINK("https://www.dofusbook.net/fr/equipement/351247-stuff-2/objets", "link")</f>
        <v/>
      </c>
      <c r="C15322" t="n">
        <v>0</v>
      </c>
      <c r="D15322" t="inlineStr">
        <is>
          <t>Dagues Érhy; Amulette du Strigide; Anneau Chevelu; Bague Gloursonne; Ceintacé; Masque de Koutoulou; Voile d'encre; Bottes du Strigide; Dofus Nébuleux; Dolmanax; Dofus Pourpre; Dofus des Glaces; Dofus Turquoise; Nomade; Dragodinde en armure</t>
        </is>
      </c>
    </row>
    <row r="15323">
      <c r="A15323" t="inlineStr">
        <is>
          <t>Stuff 3</t>
        </is>
      </c>
      <c r="B15323">
        <f>HYPERLINK("https://www.dofusbook.net/fr/equipement/351236-stuff-3/objets", "link")</f>
        <v/>
      </c>
      <c r="C15323" t="n">
        <v>0</v>
      </c>
      <c r="D15323" t="inlineStr">
        <is>
          <t>Sabres d'Atcham; Amulette du Strigide; Alliance Gloursonne; Anneau du Cycloïde; Slip Iholo; Bonnet Ko; Voile d'encre; Bottes du Strigide; Dolmanax; Dofus Ocre; Dofus Pourpre; Dofus Turquoise; Remueur; Nomade; Croum</t>
        </is>
      </c>
    </row>
    <row r="15324">
      <c r="A15324" t="inlineStr">
        <is>
          <t>Stuff 1</t>
        </is>
      </c>
      <c r="B15324">
        <f>HYPERLINK("https://www.dofusbook.net/fr/equipement/351222-stuff-1/objets", "link")</f>
        <v/>
      </c>
      <c r="C15324" t="n">
        <v>0</v>
      </c>
      <c r="D15324" t="inlineStr">
        <is>
          <t>Pelle de la Cour Sombre; Collier du Valet Veinard; Alliance Gloursonne; Gant du Valet Veinard; Ceinture du Barbétoal; Couronne d'Allister; Cape du Kamasterisk; Baleinabottes; Dofus des Glaces; Dokoko; Remueur; Cascadeur majeur; Nomade; Dévastateur Air majeur; Pioute jaune</t>
        </is>
      </c>
    </row>
    <row r="15325">
      <c r="A15325" t="inlineStr">
        <is>
          <t>Stuff 1</t>
        </is>
      </c>
      <c r="B15325">
        <f>HYPERLINK("https://www.dofusbook.net/fr/equipement/351214-stuff-1/objets", "link")</f>
        <v/>
      </c>
      <c r="C15325" t="n">
        <v>0</v>
      </c>
      <c r="D15325" t="inlineStr">
        <is>
          <t>Marteau Phossile; Amulette du Strigide; Alliance Gloursonne; Anneau de Padgref; Bouclier du Chouque cassé; Ceintacé; Boucle d'oreille de Kongoku; Cape d'Atcham; Bottes du Strigide; Dokoko; Dolmanax; Dofus Pourpre; Nomade; Vigoureux majeur; Remueur; Dragodinde en armure</t>
        </is>
      </c>
    </row>
    <row r="15326">
      <c r="A15326" t="inlineStr">
        <is>
          <t>Stuff 1</t>
        </is>
      </c>
      <c r="B15326">
        <f>HYPERLINK("https://www.dofusbook.net/fr/equipement/351259-stuff-1/objets", "link")</f>
        <v/>
      </c>
      <c r="C15326" t="n">
        <v>0</v>
      </c>
      <c r="D15326" t="inlineStr">
        <is>
          <t>Marteau R'ture; Collier de Tourthon; Anneau du Comte Harebourg; Anneau Crustique; Ceinture de Brouce; Masque de Koutoulou; Cape au Logis; Bottes du Comte Harebourg; Dofus Nébuleux; Dofus Pourpre; Dolmanax; Remueur; Enragé majeur; Nomade; Kompost</t>
        </is>
      </c>
    </row>
    <row r="15327">
      <c r="A15327" t="inlineStr">
        <is>
          <t>Stuff 1</t>
        </is>
      </c>
      <c r="B15327">
        <f>HYPERLINK("https://www.dofusbook.net/fr/equipement/351206-stuff-1/objets", "link")</f>
        <v/>
      </c>
      <c r="C15327" t="n">
        <v>0</v>
      </c>
      <c r="D15327" t="inlineStr">
        <is>
          <t>Épée du Granduk; Amulette du Granduk; Anneau des égarés; Anneau de Brouce; Bouclier du Chouque cassé; Ceinture de Brouce; Masque du Granduk; Cape du Kamasterisk; Bottes de Brouce; Dokoko; Dofus Ocre; Dofus des Glaces; Dofus Pourpre; Dolmanax; Acrobate majeur; Blokus</t>
        </is>
      </c>
    </row>
    <row r="15328">
      <c r="A15328" t="inlineStr">
        <is>
          <t>Stuff 2</t>
        </is>
      </c>
      <c r="B15328">
        <f>HYPERLINK("https://www.dofusbook.net/fr/equipement/351198-stuff-2/objets", "link")</f>
        <v/>
      </c>
      <c r="C15328" t="n">
        <v>0</v>
      </c>
      <c r="D15328" t="inlineStr">
        <is>
          <t>Epée Maudite du Saigneur Guerrier; Amulette du Strigide; Bracelet du Piloztère; Anneau de Padgref; Ceintacé; Boucle d'oreille de Kongoku; Cape de Kongoku; Bottes Voldelor; Dofus des Glaces; Dofus Turquoise; Dofus Pourpre; Nomade; Vigoureux majeur; Remueur; Dragodinde en armure</t>
        </is>
      </c>
    </row>
    <row r="15329">
      <c r="A15329" t="inlineStr">
        <is>
          <t>Stuff 1</t>
        </is>
      </c>
      <c r="B15329">
        <f>HYPERLINK("https://www.dofusbook.net/fr/equipement/351254-stuff-1/objets", "link")</f>
        <v/>
      </c>
      <c r="C15329" t="n">
        <v>0</v>
      </c>
      <c r="D15329" t="inlineStr">
        <is>
          <t>Dagues Érhy; Amulette du Strigide; Alliance Gloursonne; Anneau Chevelu; Ceinture de Gein; Chapeau de Gein; Voile d'encre; Pataugastrique; Dolmanax; Dofus Turquoise; Dofus Pourpre; Vigoureux majeur; Nomade; Remueur; Dragodinde en armure</t>
        </is>
      </c>
    </row>
    <row r="15330">
      <c r="A15330" t="inlineStr">
        <is>
          <t>Stuff 1</t>
        </is>
      </c>
      <c r="B15330">
        <f>HYPERLINK("https://www.dofusbook.net/fr/equipement/351193-stuff-1/objets", "link")</f>
        <v/>
      </c>
      <c r="C15330" t="n">
        <v>0</v>
      </c>
      <c r="D15330" t="inlineStr">
        <is>
          <t>Épée du Granduk; Amulette du Granduk; Anneau d'Allister; Alliance Gloursonne; Ceinture de Klime; Masque du Granduk; Cape de Klime; Bottes d'Allister; Dofus Ocre; Dolmanax; Dofus Turquoise; Dofus Pourpre; Equilibriste majeur; Acrobate majeur; Pioute jaune</t>
        </is>
      </c>
    </row>
    <row r="15331">
      <c r="A15331" t="inlineStr">
        <is>
          <t>Stuff 1</t>
        </is>
      </c>
      <c r="B15331">
        <f>HYPERLINK("https://www.dofusbook.net/fr/equipement/351240-stuff-1/objets", "link")</f>
        <v/>
      </c>
      <c r="C15331" t="n">
        <v>0</v>
      </c>
      <c r="D15331" t="inlineStr">
        <is>
          <t>Sabres d'Atcham; Amulette du Strigide; Anneau de Padgref; Alliance Gloursonne; Ceinture du Strigide; Coiffe de Padgref; Cape d'Atcham; Getas de Padgref; Dofus des Glaces; Dofus Turquoise; Dofus Ocre; Dofus Pourpre; Dolmanax; Dofus Vulbis; Dragodinde en armure</t>
        </is>
      </c>
    </row>
    <row r="15332">
      <c r="A15332" t="inlineStr">
        <is>
          <t>Stuff 2</t>
        </is>
      </c>
      <c r="B15332">
        <f>HYPERLINK("https://www.dofusbook.net/fr/equipement/351223-stuff-2/objets", "link")</f>
        <v/>
      </c>
      <c r="C15332" t="n">
        <v>1</v>
      </c>
      <c r="D15332" t="inlineStr">
        <is>
          <t>Épée d'Otomaï; Amulette de Nileza; Anneau Tamie; Anneau Tamie; Ceinture de Vortex; Coiffe Séculaire; Cape de Nileza; Bottes Innommables; Dokoko; Dofus des Glaces; Nomade; Remueur; Dévastateur Feu majeur; Érudit majeur; Pioute rouge</t>
        </is>
      </c>
    </row>
    <row r="15333">
      <c r="A15333" t="inlineStr">
        <is>
          <t>Stuff 2</t>
        </is>
      </c>
      <c r="B15333">
        <f>HYPERLINK("https://www.dofusbook.net/fr/equipement/351215-stuff-2/objets", "link")</f>
        <v/>
      </c>
      <c r="C15333" t="n">
        <v>0</v>
      </c>
      <c r="D15333" t="inlineStr">
        <is>
          <t>Dagoulinantes; Amulette Voldelor; Bracelet des Fonds marins; Alliance Gloursonne; Ceinture du Barbétoal; Masque du Barbétoal; Cape Matelassée; Pataugastrique; Dofus Turquoise; Dofus Pourpre; Vigoureux majeur; Nomade; Chanceux majeur; Étourdisseur majeur; Dragodinde en armure</t>
        </is>
      </c>
    </row>
    <row r="15334">
      <c r="A15334" t="inlineStr">
        <is>
          <t>Stuff 3</t>
        </is>
      </c>
      <c r="B15334">
        <f>HYPERLINK("https://www.dofusbook.net/fr/equipement/351207-stuff-3/objets", "link")</f>
        <v/>
      </c>
      <c r="C15334" t="n">
        <v>0</v>
      </c>
      <c r="D15334" t="inlineStr">
        <is>
          <t>Pelle de la Cour Sombre; Amulette du Strigide; Alliance Gloursonne; Anneau des égarés; Ceintacé; Couronne d'Allister; Cape d'Hel Munster; Bottes du Strigide; Dofus Pourpre; Dolmanax; Nomade; Remueur; Vigoureux majeur; Cascadeur majeur; Dragodinde en armure</t>
        </is>
      </c>
    </row>
    <row r="15335">
      <c r="A15335" t="inlineStr">
        <is>
          <t>Stuff 2</t>
        </is>
      </c>
      <c r="B15335">
        <f>HYPERLINK("https://www.dofusbook.net/fr/equipement/351260-stuff-2/objets", "link")</f>
        <v/>
      </c>
      <c r="C15335" t="n">
        <v>0</v>
      </c>
      <c r="D15335" t="inlineStr">
        <is>
          <t>Marteau R'ture; Amulette du Strigide; Bague Gloursonne; Anneau Crustique; Ceinture de la Cour Sombre; Masque de Koutoulou; Cape au Logis; Bottes de la Cour Sombre; Dofus Pourpre; Dolmanax; Enragé majeur; Nomade; Miraculé majeur; Remueur; Kompost</t>
        </is>
      </c>
    </row>
    <row r="15336">
      <c r="A15336" t="inlineStr">
        <is>
          <t>Stuff 3</t>
        </is>
      </c>
      <c r="B15336">
        <f>HYPERLINK("https://www.dofusbook.net/fr/equipement/351199-stuff-3/objets", "link")</f>
        <v/>
      </c>
      <c r="C15336" t="n">
        <v>0</v>
      </c>
      <c r="D15336" t="inlineStr">
        <is>
          <t>Baguette Range; Amulette du Strigide; Anneau Rifique; Anneau de Padgref; Bouclier du Chouque cassé; Ceinture du Strigide; Coiffe de Padgref; Cape d'Atcham; Getas de Padgref; Dofus Turquoise; Dofus Ocre; Dofus Pourpre; Dofus des Glaces; Dofus Vulbis; Dofus Nébuleux; Dragodinde en armure</t>
        </is>
      </c>
    </row>
    <row r="15337">
      <c r="A15337" t="inlineStr">
        <is>
          <t>Stuff 2</t>
        </is>
      </c>
      <c r="B15337">
        <f>HYPERLINK("https://www.dofusbook.net/fr/equipement/351255-stuff-2/objets", "link")</f>
        <v/>
      </c>
      <c r="C15337" t="n">
        <v>0</v>
      </c>
      <c r="D15337" t="inlineStr">
        <is>
          <t>Dagues Érhy; Amulette du Strigide; Bague Gloursonne; Anneau Chevelu; Ceintacé; Masque de Koutoulou; Voile d'encre; Bottes du Strigide; Dofus Turquoise; Dofus des Glaces; Dofus Pourpre; Dolmanax; Vigoureux majeur; Nomade; Croum</t>
        </is>
      </c>
    </row>
    <row r="15338">
      <c r="A15338" t="inlineStr">
        <is>
          <t>Stuff 1</t>
        </is>
      </c>
      <c r="B15338">
        <f>HYPERLINK("https://www.dofusbook.net/fr/equipement/351194-stuff-1/objets", "link")</f>
        <v/>
      </c>
      <c r="C15338" t="n">
        <v>1</v>
      </c>
      <c r="D15338" t="inlineStr">
        <is>
          <t>Marteau Phossile; Amulette du Strigide; Anneau de Padgref; Alliance Gloursonne; Ceintacé; Cagoule de Vortex; Voile d'encre; Bottes du Strigide; Dofus Pourpre; Vigoureux majeur; Nomade; Érudit majeur; Remueur; Cascadeur majeur; Chacha Angora</t>
        </is>
      </c>
    </row>
    <row r="15339">
      <c r="A15339" t="inlineStr">
        <is>
          <t>Stuff 1</t>
        </is>
      </c>
      <c r="B15339">
        <f>HYPERLINK("https://www.dofusbook.net/fr/equipement/351250-stuff-1/objets", "link")</f>
        <v/>
      </c>
      <c r="C15339" t="n">
        <v>0</v>
      </c>
      <c r="D15339" t="inlineStr">
        <is>
          <t>Marteau R'ture; Collier de Tourthon; Anneau Crustique; Anneau Tilus; Ceinture de la Cour Sombre; Casque Dragoeuf; Cape de la Cour Sombre; Baleinabottes; Enragé majeur; Étourdisseur majeur; Paralyseur majeur; Nomade; Carapace Terre majeur; Remueur; Dragodinde en armure</t>
        </is>
      </c>
    </row>
    <row r="15340">
      <c r="A15340" t="inlineStr">
        <is>
          <t>Stuff 2</t>
        </is>
      </c>
      <c r="B15340">
        <f>HYPERLINK("https://www.dofusbook.net/fr/equipement/351187-stuff-2/objets", "link")</f>
        <v/>
      </c>
      <c r="C15340" t="n">
        <v>0</v>
      </c>
      <c r="D15340" t="inlineStr">
        <is>
          <t>Arc de Guten Tak; Amulette du Strigide; Anneau Chevelu; Alliance Gloursonne; Bouclier Ventaille cassé; Ceintacé; Coiffe du Glourséleste; Cape de Léthaline; Bottes du Strigide; Dofus Turquoise; Dofus Pourpre; Vigoureux majeur; Muraille Air majeure; Carapace Air majeur; Remueur; Croum</t>
        </is>
      </c>
    </row>
    <row r="15341">
      <c r="A15341" t="inlineStr">
        <is>
          <t>Stuff 3</t>
        </is>
      </c>
      <c r="B15341">
        <f>HYPERLINK("https://www.dofusbook.net/fr/equipement/351242-stuff-3/objets", "link")</f>
        <v/>
      </c>
      <c r="C15341" t="n">
        <v>0</v>
      </c>
      <c r="D15341" t="inlineStr">
        <is>
          <t>Baguette de Malléfisk; Pendentif affamé; Anneau de Nidas; Chevalière du Roi Joueur; Protopagne; Casque Dragoeuf; Cape de Diondin; Bottes Innommables; Dolmanax; Savant majeur; Érudit majeur; Miraculé majeur; Remueur; Astucieux majeur; Dragodinde en armure</t>
        </is>
      </c>
    </row>
    <row r="15342">
      <c r="A15342" t="inlineStr">
        <is>
          <t>Stuff 1</t>
        </is>
      </c>
      <c r="B15342">
        <f>HYPERLINK("https://www.dofusbook.net/fr/equipement/351234-stuff-1/objets", "link")</f>
        <v/>
      </c>
      <c r="C15342" t="n">
        <v>0</v>
      </c>
      <c r="D15342" t="inlineStr">
        <is>
          <t>Hache du Chalœil; Amulette du Strigide; Bague Gloursonne; Alliance Gloursonne; Bouclier du Chouque cassé; Ceinture du Strigide; Bonnet Ko; Cape de Léthaline; Bottes du Strigide; Dofus Vulbis; Dolmanax; Dokoko; Dofus Pourpre; Dofus Turquoise; Dofus Ocre; Dragodinde en armure</t>
        </is>
      </c>
    </row>
    <row r="15343">
      <c r="A15343" t="inlineStr">
        <is>
          <t>Stuff 2</t>
        </is>
      </c>
      <c r="B15343">
        <f>HYPERLINK("https://www.dofusbook.net/fr/equipement/351217-stuff-2/objets", "link")</f>
        <v/>
      </c>
      <c r="C15343" t="n">
        <v>0</v>
      </c>
      <c r="D15343" t="inlineStr">
        <is>
          <t>Pelle de la Cour Sombre; Collier du Valet Veinard; Alliance Gloursonne; Gant du Valet Veinard; Bouclier Ventaille cassé; Menoture; Dorabysses; Cape Indescriptible; Palmes Trithons; Dofus Pourpre; Dolmanax; Remueur; Nomade; Cascadeur majeur; Vigoureux majeur; Pioute jaune</t>
        </is>
      </c>
    </row>
    <row r="15344">
      <c r="A15344" t="inlineStr">
        <is>
          <t>Stuff 2</t>
        </is>
      </c>
      <c r="B15344">
        <f>HYPERLINK("https://www.dofusbook.net/fr/equipement/351209-stuff-2/objets", "link")</f>
        <v/>
      </c>
      <c r="C15344" t="n">
        <v>0</v>
      </c>
      <c r="D15344" t="inlineStr">
        <is>
          <t>Epée Loponèze; Amulette du Strigide; Bracelet des Fonds marins; Alliance Gloursonne; Ceinture Voldelor; Kidibonnet; Cape du Sinistrofu; Bottes du Sinistrofu; Dokoko; Dofus Pourpre; Chanceux majeur; Nomade; Vigoureux majeur; Remueur; Pioute bleu</t>
        </is>
      </c>
    </row>
    <row r="15345">
      <c r="A15345" t="inlineStr">
        <is>
          <t>Stuff 2</t>
        </is>
      </c>
      <c r="B15345">
        <f>HYPERLINK("https://www.dofusbook.net/fr/equipement/351204-stuff-2/objets", "link")</f>
        <v/>
      </c>
      <c r="C15345" t="n">
        <v>0</v>
      </c>
      <c r="D15345" t="inlineStr">
        <is>
          <t>Manthache; Collier du Valet Veinard; Alliance Gloursonne; Anneau Tilus; Menoture; Casque Dragoeuf; Cape du Valet Veinard; Tentassons; Paralyseur majeur; Remueur; Cascadeur majeur; Étourdisseur majeur; Engourdisseur majeur; Nomade; Croum</t>
        </is>
      </c>
    </row>
    <row r="15346">
      <c r="A15346" t="inlineStr">
        <is>
          <t>Stuff 1</t>
        </is>
      </c>
      <c r="B15346">
        <f>HYPERLINK("https://www.dofusbook.net/fr/equipement/351257-stuff-1/objets", "link")</f>
        <v/>
      </c>
      <c r="C15346" t="n">
        <v>0</v>
      </c>
      <c r="D15346" t="inlineStr">
        <is>
          <t>Bêche Asse; Collier de Tourthon; Anneau Tilus; Anneau Crustique; Ceintouse; Masque de Koutoulou; Cape au Logis; Tentassons; Dolmanax; Engourdisseur majeur; Étourdisseur majeur; Remueur; Paralyseur majeur; Vigoureux majeur; Dragodinde en armure</t>
        </is>
      </c>
    </row>
    <row r="15347">
      <c r="A15347" t="inlineStr">
        <is>
          <t>Stuff 3</t>
        </is>
      </c>
      <c r="B15347">
        <f>HYPERLINK("https://www.dofusbook.net/fr/equipement/351196-stuff-3/objets", "link")</f>
        <v/>
      </c>
      <c r="C15347" t="n">
        <v>0</v>
      </c>
      <c r="D15347" t="inlineStr">
        <is>
          <t>Pelle de la Cour Sombre; Amulette du Strigide; Alliance Gloursonne; Gant du Valet Veinard; Bouclier Ventaille cassé; Ceinture du Barbétoal; Dorabysses; Cape du Valet Veinard; Baleinabottes; Dofus Turquoise; Dofus Pourpre; Nomade; Remueur; Vigoureux majeur; Cascadeur majeur; Pioute jaune</t>
        </is>
      </c>
    </row>
    <row r="15348">
      <c r="A15348" t="inlineStr">
        <is>
          <t>Stuff 3</t>
        </is>
      </c>
      <c r="B15348">
        <f>HYPERLINK("https://www.dofusbook.net/fr/equipement/351252-stuff-3/objets", "link")</f>
        <v/>
      </c>
      <c r="C15348" t="n">
        <v>0</v>
      </c>
      <c r="D15348" t="inlineStr">
        <is>
          <t>Marteau R'ture; Collier de Tourthon; Anneau Tilus; Anneau Crustique; Ceintacé; Chapoulpe; Voile d'encre; Tentassons; Nomade; Engourdisseur majeur; Enragé majeur; Étourdisseur majeur; Paralyseur majeur; Remueur; Croum</t>
        </is>
      </c>
    </row>
    <row r="15349">
      <c r="A15349" t="inlineStr">
        <is>
          <t>Stuff 2</t>
        </is>
      </c>
      <c r="B15349">
        <f>HYPERLINK("https://www.dofusbook.net/fr/equipement/351191-stuff-2/objets", "link")</f>
        <v/>
      </c>
      <c r="C15349" t="n">
        <v>0</v>
      </c>
      <c r="D15349" t="inlineStr">
        <is>
          <t>Pelle de la Cour Sombre; Amulette de Pol Ouatnos; Anneau Tilus; Alliance Gloursonne; Ceinture de Vortex; Cagoule de Vortex; Cape Matelassée; Baleinabottes; Dofus Cawotte; Dofus Pourpre; Engourdisseur majeur; Vigoureux majeur; Étourdisseur majeur; Cascadeur majeur; Dragodinde en armure</t>
        </is>
      </c>
    </row>
    <row r="15350">
      <c r="A15350" t="inlineStr">
        <is>
          <t>Stuff 2</t>
        </is>
      </c>
      <c r="B15350">
        <f>HYPERLINK("https://www.dofusbook.net/fr/equipement/351247-stuff-2/objets", "link")</f>
        <v/>
      </c>
      <c r="C15350" t="n">
        <v>0</v>
      </c>
      <c r="D15350" t="inlineStr">
        <is>
          <t>Dagues Érhy; Amulette du Strigide; Anneau Chevelu; Bague Gloursonne; Ceintacé; Masque de Koutoulou; Voile d'encre; Bottes du Strigide; Dofus Nébuleux; Dolmanax; Dofus Pourpre; Dofus des Glaces; Dofus Turquoise; Nomade; Dragodinde en armure</t>
        </is>
      </c>
    </row>
    <row r="15351">
      <c r="A15351" t="inlineStr">
        <is>
          <t>Stuff 3</t>
        </is>
      </c>
      <c r="B15351">
        <f>HYPERLINK("https://www.dofusbook.net/fr/equipement/351248-stuff-3/objets", "link")</f>
        <v/>
      </c>
      <c r="C15351" t="n">
        <v>1</v>
      </c>
      <c r="D15351" t="inlineStr">
        <is>
          <t>Dagues Érhy; Amulette du Strigide; Bague Gloursonne; Gelano; Ceinture du Strigide; Chapeau de Gein; Voile d'encre; Bottes de la Cour Sombre; Dofus Pourpre; Dofus Nébuleux; Dofus Ocre; Dofus Turquoise; Remueur; Nomade; Croum</t>
        </is>
      </c>
    </row>
    <row r="15352">
      <c r="A15352" t="inlineStr">
        <is>
          <t>Stuff 1</t>
        </is>
      </c>
      <c r="B15352">
        <f>HYPERLINK("https://www.dofusbook.net/fr/equipement/351185-stuff-1/objets", "link")</f>
        <v/>
      </c>
      <c r="C15352" t="n">
        <v>1</v>
      </c>
      <c r="D15352" t="inlineStr">
        <is>
          <t>Pelle de la Cour Sombre; Amulette du Strigide; Anneau de Pol Ouatnos; Alliance Gloursonne; Ceintacé; Casque Dragoeuf; Voile d'encre; Bottes du Strigide; Dokoko; Remueur; Fonceur majeur; Bloqueur majeur; Tacleur majeur; Obstructeur majeur; Blokus</t>
        </is>
      </c>
    </row>
    <row r="15353">
      <c r="A15353" t="inlineStr">
        <is>
          <t>Stuff 1</t>
        </is>
      </c>
      <c r="B15353">
        <f>HYPERLINK("https://www.dofusbook.net/fr/equipement/351240-stuff-1/objets", "link")</f>
        <v/>
      </c>
      <c r="C15353" t="n">
        <v>0</v>
      </c>
      <c r="D15353" t="inlineStr">
        <is>
          <t>Sabres d'Atcham; Amulette du Strigide; Anneau de Padgref; Alliance Gloursonne; Ceinture du Strigide; Coiffe de Padgref; Cape d'Atcham; Getas de Padgref; Dofus des Glaces; Dofus Turquoise; Dofus Ocre; Dofus Pourpre; Dolmanax; Dofus Vulbis; Dragodinde en armure</t>
        </is>
      </c>
    </row>
    <row r="15354">
      <c r="A15354" t="inlineStr">
        <is>
          <t>Stuff 2</t>
        </is>
      </c>
      <c r="B15354">
        <f>HYPERLINK("https://www.dofusbook.net/fr/equipement/351223-stuff-2/objets", "link")</f>
        <v/>
      </c>
      <c r="C15354" t="n">
        <v>1</v>
      </c>
      <c r="D15354" t="inlineStr">
        <is>
          <t>Épée d'Otomaï; Amulette de Nileza; Anneau Tamie; Anneau Tamie; Ceinture de Vortex; Coiffe Séculaire; Cape de Nileza; Bottes Innommables; Dofus des Glaces; Dokoko; Érudit majeur; Nomade; Remueur; Dévastateur Feu majeur; Pioute rouge</t>
        </is>
      </c>
    </row>
    <row r="15355">
      <c r="A15355" t="inlineStr">
        <is>
          <t>Stuff 2</t>
        </is>
      </c>
      <c r="B15355">
        <f>HYPERLINK("https://www.dofusbook.net/fr/equipement/351215-stuff-2/objets", "link")</f>
        <v/>
      </c>
      <c r="C15355" t="n">
        <v>0</v>
      </c>
      <c r="D15355" t="inlineStr">
        <is>
          <t>Dagoulinantes; Amulette Voldelor; Bracelet des Fonds marins; Alliance Gloursonne; Ceinture du Barbétoal; Masque du Barbétoal; Cape Matelassée; Pataugastrique; Dofus Turquoise; Dofus Pourpre; Vigoureux majeur; Nomade; Chanceux majeur; Étourdisseur majeur; Dragodinde en armure</t>
        </is>
      </c>
    </row>
    <row r="15356">
      <c r="A15356" t="inlineStr">
        <is>
          <t>Stuff 3</t>
        </is>
      </c>
      <c r="B15356">
        <f>HYPERLINK("https://www.dofusbook.net/fr/equipement/351207-stuff-3/objets", "link")</f>
        <v/>
      </c>
      <c r="C15356" t="n">
        <v>0</v>
      </c>
      <c r="D15356" t="inlineStr">
        <is>
          <t>Pelle de la Cour Sombre; Amulette du Strigide; Alliance Gloursonne; Anneau des égarés; Ceintacé; Couronne d'Allister; Cape d'Hel Munster; Bottes du Strigide; Dofus Pourpre; Dolmanax; Vigoureux majeur; Cascadeur majeur; Nomade; Remueur; Dragodinde en armure</t>
        </is>
      </c>
    </row>
    <row r="15357">
      <c r="A15357" t="inlineStr">
        <is>
          <t>Stuff 2</t>
        </is>
      </c>
      <c r="B15357">
        <f>HYPERLINK("https://www.dofusbook.net/fr/equipement/351260-stuff-2/objets", "link")</f>
        <v/>
      </c>
      <c r="C15357" t="n">
        <v>0</v>
      </c>
      <c r="D15357" t="inlineStr">
        <is>
          <t>Marteau R'ture; Amulette du Strigide; Anneau Crustique; Bague Gloursonne; Ceinture de la Cour Sombre; Masque de Koutoulou; Cape au Logis; Bottes de la Cour Sombre; Dofus Pourpre; Dolmanax; Miraculé majeur; Remueur; Enragé majeur; Nomade; Kompost</t>
        </is>
      </c>
    </row>
    <row r="15358">
      <c r="A15358" t="inlineStr">
        <is>
          <t>Stuff 3</t>
        </is>
      </c>
      <c r="B15358">
        <f>HYPERLINK("https://www.dofusbook.net/fr/equipement/351199-stuff-3/objets", "link")</f>
        <v/>
      </c>
      <c r="C15358" t="n">
        <v>0</v>
      </c>
      <c r="D15358" t="inlineStr">
        <is>
          <t>Baguette Range; Amulette du Strigide; Anneau de Padgref; Anneau Rifique; Bouclier du Chouque cassé; Ceinture du Strigide; Coiffe de Padgref; Cape d'Atcham; Getas de Padgref; Dofus Ocre; Dofus Pourpre; Dofus des Glaces; Dofus Vulbis; Dofus Nébuleux; Dofus Turquoise; Dragodinde en armure</t>
        </is>
      </c>
    </row>
    <row r="15359">
      <c r="A15359" t="inlineStr">
        <is>
          <t>Stuff 2</t>
        </is>
      </c>
      <c r="B15359">
        <f>HYPERLINK("https://www.dofusbook.net/fr/equipement/351255-stuff-2/objets", "link")</f>
        <v/>
      </c>
      <c r="C15359" t="n">
        <v>0</v>
      </c>
      <c r="D15359" t="inlineStr">
        <is>
          <t>Dagues Érhy; Amulette du Strigide; Bague Gloursonne; Anneau Chevelu; Ceintacé; Masque de Koutoulou; Voile d'encre; Bottes du Strigide; Dolmanax; Dofus Turquoise; Dofus des Glaces; Dofus Pourpre; Nomade; Vigoureux majeur; Croum</t>
        </is>
      </c>
    </row>
    <row r="15360">
      <c r="A15360" t="inlineStr">
        <is>
          <t>Stuff 1</t>
        </is>
      </c>
      <c r="B15360">
        <f>HYPERLINK("https://www.dofusbook.net/fr/equipement/351194-stuff-1/objets", "link")</f>
        <v/>
      </c>
      <c r="C15360" t="n">
        <v>1</v>
      </c>
      <c r="D15360" t="inlineStr">
        <is>
          <t>Marteau Phossile; Amulette du Strigide; Anneau de Padgref; Alliance Gloursonne; Ceintacé; Cagoule de Vortex; Voile d'encre; Bottes du Strigide; Dofus Pourpre; Cascadeur majeur; Vigoureux majeur; Nomade; Érudit majeur; Remueur; Chacha Angora</t>
        </is>
      </c>
    </row>
    <row r="15361">
      <c r="A15361" t="inlineStr">
        <is>
          <t>Stuff 1</t>
        </is>
      </c>
      <c r="B15361">
        <f>HYPERLINK("https://www.dofusbook.net/fr/equipement/351250-stuff-1/objets", "link")</f>
        <v/>
      </c>
      <c r="C15361" t="n">
        <v>0</v>
      </c>
      <c r="D15361" t="inlineStr">
        <is>
          <t>Marteau R'ture; Collier de Tourthon; Anneau Crustique; Anneau Tilus; Ceinture de la Cour Sombre; Casque Dragoeuf; Cape de la Cour Sombre; Baleinabottes; Carapace Terre majeur; Remueur; Enragé majeur; Étourdisseur majeur; Paralyseur majeur; Nomade; Dragodinde en armure</t>
        </is>
      </c>
    </row>
    <row r="15362">
      <c r="A15362" t="inlineStr">
        <is>
          <t>Stuff 2</t>
        </is>
      </c>
      <c r="B15362">
        <f>HYPERLINK("https://www.dofusbook.net/fr/equipement/351179-stuff-2/objets", "link")</f>
        <v/>
      </c>
      <c r="C15362" t="n">
        <v>0</v>
      </c>
      <c r="D15362" t="inlineStr">
        <is>
          <t>Dagues Érhy; Amulette du Strigide; Anneau Chevelu; Bague Gloursonne; Ceintacé; Masque de Koutoulou; Voile d'encre; Bottes du Strigide; Dofus Pourpre; Dofus des Glaces; Dofus Turquoise; Dofus Nébuleux; Nomade; Vigoureux majeur; Dragodinde en armure</t>
        </is>
      </c>
    </row>
    <row r="15363">
      <c r="A15363" t="inlineStr">
        <is>
          <t>Stuff 3</t>
        </is>
      </c>
      <c r="B15363">
        <f>HYPERLINK("https://www.dofusbook.net/fr/equipement/351168-stuff-3/objets", "link")</f>
        <v/>
      </c>
      <c r="C15363" t="n">
        <v>0</v>
      </c>
      <c r="D15363" t="inlineStr">
        <is>
          <t>Épée d'Otomaï; Amulette de Nileza; Anneau Tamie; Anneau Tamie; Bouclier du Sadida cassé; Ceinture de Vortex; Coiffe Séculaire; Cape de Nileza; Pataugastrique; Dokoko; Dofus des Glaces; Nomade; Dévastateur Feu majeur; Érudit majeur; Remueur; Pioute rouge</t>
        </is>
      </c>
    </row>
    <row r="15364">
      <c r="A15364" t="inlineStr">
        <is>
          <t>Stuff 1</t>
        </is>
      </c>
      <c r="B15364">
        <f>HYPERLINK("https://www.dofusbook.net/fr/equipement/351163-stuff-1/objets", "link")</f>
        <v/>
      </c>
      <c r="C15364" t="n">
        <v>0</v>
      </c>
      <c r="D15364" t="inlineStr">
        <is>
          <t>Bâton Beau; Amulette du Strigide; Alliance Gloursonne; Bracelet du Piloztère; Ceintacé; Chapeau Lisson; Cape Reski; Bottes du Strigide; Dolmanax; Dofus Pourpre; Enragé majeur; Vigoureux majeur; Remueur; Nomade; Dragodinde en armure</t>
        </is>
      </c>
    </row>
    <row r="15365">
      <c r="A15365" t="inlineStr">
        <is>
          <t>Stuff 2</t>
        </is>
      </c>
      <c r="B15365">
        <f>HYPERLINK("https://www.dofusbook.net/fr/equipement/351137-stuff-2/objets", "link")</f>
        <v/>
      </c>
      <c r="C15365" t="n">
        <v>0</v>
      </c>
      <c r="D15365" t="inlineStr">
        <is>
          <t>Manthache; Collier du Valet Veinard; Gant du Valet Veinard; Alliance Gloursonne; Menoture; Dorabysses; Cape Indescriptible; Palmes Trithons; Étourdisseur majeur; Carapace Air majeur; Cascadeur majeur; Nomade; Paralyseur majeur; Remueur; Croum</t>
        </is>
      </c>
    </row>
    <row r="15366">
      <c r="A15366" t="inlineStr">
        <is>
          <t>Stuff 3</t>
        </is>
      </c>
      <c r="B15366">
        <f>HYPERLINK("https://www.dofusbook.net/fr/equipement/351132-stuff-3/objets", "link")</f>
        <v/>
      </c>
      <c r="C15366" t="n">
        <v>0</v>
      </c>
      <c r="D15366" t="inlineStr">
        <is>
          <t>Epée Loponèze; Talisman Igans; Alliance Gloursonne; Bracelet des Fonds marins; Ceinture de la Reine des Voleurs; Casquipik; Cape Glaciale; Bottes de la Reine des Voleurs; Dofus des Glaces; Dofus Ocre; Nomade; Remueur; Dévastateur Eau majeur; Chanceux majeur; Pioute bleu</t>
        </is>
      </c>
    </row>
    <row r="15367">
      <c r="A15367" t="inlineStr">
        <is>
          <t>Stuff 1</t>
        </is>
      </c>
      <c r="B15367">
        <f>HYPERLINK("https://www.dofusbook.net/fr/equipement/351112-stuff-1/objets", "link")</f>
        <v/>
      </c>
      <c r="C15367" t="n">
        <v>0</v>
      </c>
      <c r="D15367" t="inlineStr">
        <is>
          <t>Will Killson; Amulette du Strigide; Anneau de Padgref; Alliance Gloursonne; Ceinture du Strigide; Coiffe de Padgref; Capibou; Getas de Padgref; Dofus Nébuleux; Dofus Turquoise; Dofus des Glaces; Dolmanax; Dofus Vulbis; Dofus Ocre; Croum</t>
        </is>
      </c>
    </row>
    <row r="15368">
      <c r="A15368" t="inlineStr">
        <is>
          <t>Stuff 1</t>
        </is>
      </c>
      <c r="B15368">
        <f>HYPERLINK("https://www.dofusbook.net/fr/equipement/351181-stuff-1/objets", "link")</f>
        <v/>
      </c>
      <c r="C15368" t="n">
        <v>2</v>
      </c>
      <c r="D15368" t="inlineStr">
        <is>
          <t>Pelle de la Cour Sombre; Amulette du Strigide; Anneau des égarés; Alliance Gloursonne; Ceintacé; Dorabysses; Cape du Kamasterisk; Bottes du Strigide; Dofus Pourpre; Equilibriste majeur; Cascadeur majeur; Nomade; Remueur; Vigoureux majeur; Dragodinde en armure</t>
        </is>
      </c>
    </row>
    <row r="15369">
      <c r="A15369" t="inlineStr">
        <is>
          <t>Stuff 2</t>
        </is>
      </c>
      <c r="B15369">
        <f>HYPERLINK("https://www.dofusbook.net/fr/equipement/351170-stuff-2/objets", "link")</f>
        <v/>
      </c>
      <c r="C15369" t="n">
        <v>0</v>
      </c>
      <c r="D15369" t="inlineStr">
        <is>
          <t>Sabres d'Atcham; Amulette du Strigide; Anneau de Padgref; Alliance Gloursonne; Ceinture du Strigide; Coiffe de Padgref; Cape d'Atcham; Sandales  d'Atcham; Dofus Pourpre; Dofus Ocre; Dolmanax; Dofus Turquoise; Dofus des Glaces; Dofus Vulbis; Dragodinde en armure</t>
        </is>
      </c>
    </row>
    <row r="15370">
      <c r="A15370" t="inlineStr">
        <is>
          <t>Stuff 3</t>
        </is>
      </c>
      <c r="B15370">
        <f>HYPERLINK("https://www.dofusbook.net/fr/equipement/351165-stuff-3/objets", "link")</f>
        <v/>
      </c>
      <c r="C15370" t="n">
        <v>0</v>
      </c>
      <c r="D15370" t="inlineStr">
        <is>
          <t>Hache du Chalœil; Amulette du Strigide; Alliance Gloursonne; Bracelet du Piloztère; Ceintacé; Casque du Chalœil; Voile d'encre; Bottes du Strigide; Dofus Turquoise; Dofus des Glaces; Dofus Pourpre; Nomade; Vigoureux majeur; Remueur; Chacha Angora</t>
        </is>
      </c>
    </row>
    <row r="15371">
      <c r="A15371" t="inlineStr">
        <is>
          <t>Stuff 3</t>
        </is>
      </c>
      <c r="B15371">
        <f>HYPERLINK("https://www.dofusbook.net/fr/equipement/351171-stuff-3/objets", "link")</f>
        <v/>
      </c>
      <c r="C15371" t="n">
        <v>0</v>
      </c>
      <c r="D15371" t="inlineStr">
        <is>
          <t>Sabres d'Atcham; Amulette du Strigide; Anneau Tique; Alliance Gloursonne; Ceinture de Vortex; Masque du Barbétoal; Cape Matelassée; Sandales  d'Atcham; Dofus Turquoise; Dofus Pourpre; Étourdisseur majeur; Vigoureux majeur; Remueur; Nomade; Dragodinde en armure</t>
        </is>
      </c>
    </row>
    <row r="15372">
      <c r="A15372" t="inlineStr">
        <is>
          <t>Stuff 1</t>
        </is>
      </c>
      <c r="B15372">
        <f>HYPERLINK("https://www.dofusbook.net/fr/equipement/351166-stuff-1/objets", "link")</f>
        <v/>
      </c>
      <c r="C15372" t="n">
        <v>0</v>
      </c>
      <c r="D15372" t="inlineStr">
        <is>
          <t>Rapière aux Glyphes; Amulette du Strigide; Alliance Gloursonne; Pikano; Ceinture Voldelor; Kidibonnet; Cape du Sinistrofu; Bottes du Sinistrofu; Dofus Pourpre; Miraculé majeur; Remueur; Chanceux majeur; Vigoureux majeur; Nomade; Dragodinde en armure</t>
        </is>
      </c>
    </row>
    <row r="15373">
      <c r="A15373" t="inlineStr">
        <is>
          <t>Stuff 2</t>
        </is>
      </c>
      <c r="B15373">
        <f>HYPERLINK("https://www.dofusbook.net/fr/equipement/351143-stuff-2/objets", "link")</f>
        <v/>
      </c>
      <c r="C15373" t="n">
        <v>0</v>
      </c>
      <c r="D15373" t="inlineStr">
        <is>
          <t>Arc de Guten Tak; Amulette du Strigide; Alliance Gloursonne; Bague Gloursonne; Bouclier du Captain Amakna cassé; Ceinture du Strigide; Coiffe du Glourséleste; Voile d'encre; Bottes du Strigide; Dofus Turquoise; Dofus Ocre; Dofus Vulbis; Dokoko; Cuirassé Terre majeur; Cuirassé Air majeur; Toukancre</t>
        </is>
      </c>
    </row>
    <row r="15374">
      <c r="A15374" t="inlineStr">
        <is>
          <t>Stuff 3</t>
        </is>
      </c>
      <c r="B15374">
        <f>HYPERLINK("https://www.dofusbook.net/fr/equipement/351135-stuff-3/objets", "link")</f>
        <v/>
      </c>
      <c r="C15374" t="n">
        <v>1</v>
      </c>
      <c r="D15374" t="inlineStr">
        <is>
          <t>Arc Hétype; Talisman Igans; Bague Gloursonne; Anneau Tique; Protopagne; Casque Dragoeuf; Voile d'encre; Bottes Owesli; Dofus Ocre; Dolmanax; Carapace Feu majeur; Carapace Neutre majeur; Remueur; Érudit majeur; Croum</t>
        </is>
      </c>
    </row>
    <row r="15375">
      <c r="A15375" t="inlineStr">
        <is>
          <t>Stuff 1</t>
        </is>
      </c>
      <c r="B15375">
        <f>HYPERLINK("https://www.dofusbook.net/fr/equipement/351130-stuff-1/objets", "link")</f>
        <v/>
      </c>
      <c r="C15375" t="n">
        <v>3</v>
      </c>
      <c r="D15375" t="inlineStr">
        <is>
          <t>Épée d'Otomaï; Amulette de Nileza; Anneau Tamie; Bague Gloursonne; Ceintrigue; Coiffe Séculaire; Cape de Nileza; Pataugastrique; Dofus des Glaces; Érudit majeur; Nomade; Dévastateur Feu majeur; Saccageur Feu majeur; Remueur; Pioute rouge</t>
        </is>
      </c>
    </row>
    <row r="15376">
      <c r="A15376" t="inlineStr">
        <is>
          <t>Stuff 2</t>
        </is>
      </c>
      <c r="B15376">
        <f>HYPERLINK("https://www.dofusbook.net/fr/equipement/351179-stuff-2/objets", "link")</f>
        <v/>
      </c>
      <c r="C15376" t="n">
        <v>0</v>
      </c>
      <c r="D15376" t="inlineStr">
        <is>
          <t>Dagues Érhy; Amulette du Strigide; Bague Gloursonne; Anneau Chevelu; Ceintacé; Masque de Koutoulou; Voile d'encre; Bottes du Strigide; Dofus Pourpre; Dofus des Glaces; Dofus Turquoise; Dofus Nébuleux; Vigoureux majeur; Nomade; Dragodinde en armure</t>
        </is>
      </c>
    </row>
    <row r="15377">
      <c r="A15377" t="inlineStr">
        <is>
          <t>Stuff 3</t>
        </is>
      </c>
      <c r="B15377">
        <f>HYPERLINK("https://www.dofusbook.net/fr/equipement/351168-stuff-3/objets", "link")</f>
        <v/>
      </c>
      <c r="C15377" t="n">
        <v>0</v>
      </c>
      <c r="D15377" t="inlineStr">
        <is>
          <t>Épée d'Otomaï; Amulette de Nileza; Anneau Tamie; Anneau Tamie; Bouclier du Sadida cassé; Ceinture de Vortex; Coiffe Séculaire; Cape de Nileza; Pataugastrique; Dokoko; Dofus des Glaces; Érudit majeur; Remueur; Nomade; Dévastateur Feu majeur; Pioute rouge</t>
        </is>
      </c>
    </row>
    <row r="15378">
      <c r="A15378" t="inlineStr">
        <is>
          <t>Stuff 1</t>
        </is>
      </c>
      <c r="B15378">
        <f>HYPERLINK("https://www.dofusbook.net/fr/equipement/351163-stuff-1/objets", "link")</f>
        <v/>
      </c>
      <c r="C15378" t="n">
        <v>0</v>
      </c>
      <c r="D15378" t="inlineStr">
        <is>
          <t>Bâton Beau; Amulette du Strigide; Alliance Gloursonne; Bracelet du Piloztère; Ceintacé; Chapeau Lisson; Cape Reski; Bottes du Strigide; Dolmanax; Dofus Pourpre; Enragé majeur; Vigoureux majeur; Remueur; Nomade; Dragodinde en armure</t>
        </is>
      </c>
    </row>
    <row r="15379">
      <c r="A15379" t="inlineStr">
        <is>
          <t>Stuff 2</t>
        </is>
      </c>
      <c r="B15379">
        <f>HYPERLINK("https://www.dofusbook.net/fr/equipement/351137-stuff-2/objets", "link")</f>
        <v/>
      </c>
      <c r="C15379" t="n">
        <v>0</v>
      </c>
      <c r="D15379" t="inlineStr">
        <is>
          <t>Manthache; Collier du Valet Veinard; Gant du Valet Veinard; Alliance Gloursonne; Menoture; Dorabysses; Cape Indescriptible; Palmes Trithons; Carapace Air majeur; Cascadeur majeur; Nomade; Paralyseur majeur; Remueur; Étourdisseur majeur; Croum</t>
        </is>
      </c>
    </row>
    <row r="15380">
      <c r="A15380" t="inlineStr">
        <is>
          <t>Stuff 3</t>
        </is>
      </c>
      <c r="B15380">
        <f>HYPERLINK("https://www.dofusbook.net/fr/equipement/351132-stuff-3/objets", "link")</f>
        <v/>
      </c>
      <c r="C15380" t="n">
        <v>0</v>
      </c>
      <c r="D15380" t="inlineStr">
        <is>
          <t>Epée Loponèze; Talisman Igans; Alliance Gloursonne; Bracelet des Fonds marins; Ceinture de la Reine des Voleurs; Casquipik; Cape Glaciale; Bottes de la Reine des Voleurs; Dofus des Glaces; Dofus Ocre; Dévastateur Eau majeur; Chanceux majeur; Nomade; Remueur; Pioute bleu</t>
        </is>
      </c>
    </row>
    <row r="15381">
      <c r="A15381" t="inlineStr">
        <is>
          <t>Stuff 1</t>
        </is>
      </c>
      <c r="B15381">
        <f>HYPERLINK("https://www.dofusbook.net/fr/equipement/351112-stuff-1/objets", "link")</f>
        <v/>
      </c>
      <c r="C15381" t="n">
        <v>0</v>
      </c>
      <c r="D15381" t="inlineStr">
        <is>
          <t>Will Killson; Amulette du Strigide; Alliance Gloursonne; Anneau de Padgref; Ceinture du Strigide; Coiffe de Padgref; Capibou; Getas de Padgref; Dofus Vulbis; Dofus Ocre; Dofus Nébuleux; Dofus Turquoise; Dofus des Glaces; Dolmanax; Croum</t>
        </is>
      </c>
    </row>
    <row r="15382">
      <c r="A15382" t="inlineStr">
        <is>
          <t>Stuff 1</t>
        </is>
      </c>
      <c r="B15382">
        <f>HYPERLINK("https://www.dofusbook.net/fr/equipement/351181-stuff-1/objets", "link")</f>
        <v/>
      </c>
      <c r="C15382" t="n">
        <v>2</v>
      </c>
      <c r="D15382" t="inlineStr">
        <is>
          <t>Pelle de la Cour Sombre; Amulette du Strigide; Anneau des égarés; Alliance Gloursonne; Ceintacé; Dorabysses; Cape du Kamasterisk; Bottes du Strigide; Dofus Pourpre; Remueur; Vigoureux majeur; Equilibriste majeur; Cascadeur majeur; Nomade; Dragodinde en armure</t>
        </is>
      </c>
    </row>
    <row r="15383">
      <c r="A15383" t="inlineStr">
        <is>
          <t>Stuff 2</t>
        </is>
      </c>
      <c r="B15383">
        <f>HYPERLINK("https://www.dofusbook.net/fr/equipement/351170-stuff-2/objets", "link")</f>
        <v/>
      </c>
      <c r="C15383" t="n">
        <v>0</v>
      </c>
      <c r="D15383" t="inlineStr">
        <is>
          <t>Sabres d'Atcham; Amulette du Strigide; Anneau de Padgref; Alliance Gloursonne; Ceinture du Strigide; Coiffe de Padgref; Cape d'Atcham; Sandales  d'Atcham; Dolmanax; Dofus Turquoise; Dofus des Glaces; Dofus Vulbis; Dofus Pourpre; Dofus Ocre; Dragodinde en armure</t>
        </is>
      </c>
    </row>
    <row r="15384">
      <c r="A15384" t="inlineStr">
        <is>
          <t>Stuff 3</t>
        </is>
      </c>
      <c r="B15384">
        <f>HYPERLINK("https://www.dofusbook.net/fr/equipement/351165-stuff-3/objets", "link")</f>
        <v/>
      </c>
      <c r="C15384" t="n">
        <v>0</v>
      </c>
      <c r="D15384" t="inlineStr">
        <is>
          <t>Hache du Chalœil; Amulette du Strigide; Alliance Gloursonne; Bracelet du Piloztère; Ceintacé; Casque du Chalœil; Voile d'encre; Bottes du Strigide; Dofus des Glaces; Dofus Pourpre; Dofus Turquoise; Nomade; Vigoureux majeur; Remueur; Chacha Angora</t>
        </is>
      </c>
    </row>
    <row r="15385">
      <c r="A15385" t="inlineStr">
        <is>
          <t>Stuff 1</t>
        </is>
      </c>
      <c r="B15385">
        <f>HYPERLINK("https://www.dofusbook.net/fr/equipement/351142-stuff-1/objets", "link")</f>
        <v/>
      </c>
      <c r="C15385" t="n">
        <v>0</v>
      </c>
      <c r="D15385" t="inlineStr">
        <is>
          <t>Epée Gloursonne; Amulette du Strigide; Bague Gloursonne; Alliance Gloursonne; Bouclier du Sadida cassé; Ceinture du Strigide; Coiffe de la Fuji Givrefoux; Cape de la Fuji Givrefoux; Bottes du Strigide; Dolmanax; Dofus Ocre; Dofus des Glaces; Dofus Pourpre; Dofus Émeraude; Dofus Turquoise; Dragodinde en armure</t>
        </is>
      </c>
    </row>
    <row r="15386">
      <c r="A15386" t="inlineStr">
        <is>
          <t>Stuff 2</t>
        </is>
      </c>
      <c r="B15386">
        <f>HYPERLINK("https://www.dofusbook.net/fr/equipement/351134-stuff-2/objets", "link")</f>
        <v/>
      </c>
      <c r="C15386" t="n">
        <v>0</v>
      </c>
      <c r="D15386" t="inlineStr">
        <is>
          <t>Rapière aux Glyphes; Amulette du Strigide; Alliance Gloursonne; Bracelet des Fonds marins; Ceinture Voldelor; Kidibonnet; Cape du Sinistrofu; Bottes du Sinistrofu; Dofus Pourpre; Remueur; Taquin majeur; Chanceux majeur; Nomade; Vigoureux majeur; Dragodinde en armure</t>
        </is>
      </c>
    </row>
    <row r="15387">
      <c r="A15387" t="inlineStr">
        <is>
          <t>Stuff 3</t>
        </is>
      </c>
      <c r="B15387">
        <f>HYPERLINK("https://www.dofusbook.net/fr/equipement/351114-stuff-3/objets", "link")</f>
        <v/>
      </c>
      <c r="C15387" t="n">
        <v>0</v>
      </c>
      <c r="D15387" t="inlineStr">
        <is>
          <t>Poolache; Amulette du Strigide; Bracelet du Piloztère; Anneau de Padgref; Ceinture du Strigide; Coiffe de Padgref; Voile d'encre; Bottes du Strigide; Dofus Vulbis; Dofus Turquoise; Dofus des Glaces; Dofus Ocre; Dolmanax; Dofus Pourpre; Dragodinde en armure</t>
        </is>
      </c>
    </row>
    <row r="15388">
      <c r="A15388" t="inlineStr">
        <is>
          <t>Stuff 1</t>
        </is>
      </c>
      <c r="B15388">
        <f>HYPERLINK("https://www.dofusbook.net/fr/equipement/351178-stuff-1/objets", "link")</f>
        <v/>
      </c>
      <c r="C15388" t="n">
        <v>0</v>
      </c>
      <c r="D15388" t="inlineStr">
        <is>
          <t>Dagues Érhy; Amulette du Strigide; Anneau Chevelu; Chevalière du Roi Joueur; Ceintacé; Chapeau Lisson; Voile d'encre; Bottes du Strigide; Dofus Turquoise; Dolmanax; Dofus Pourpre; Nomade; Vigoureux majeur; Remueur; Dragodinde en armure</t>
        </is>
      </c>
    </row>
    <row r="15389">
      <c r="A15389" t="inlineStr">
        <is>
          <t>Stuff 2</t>
        </is>
      </c>
      <c r="B15389">
        <f>HYPERLINK("https://www.dofusbook.net/fr/equipement/351167-stuff-2/objets", "link")</f>
        <v/>
      </c>
      <c r="C15389" t="n">
        <v>0</v>
      </c>
      <c r="D15389" t="inlineStr">
        <is>
          <t>Sceptre du Roi Joueur; Talisman Igans; Alliance Gloursonne; Bracelet des Fonds marins; Ceinture de la Reine des Voleurs; Kidibonnet; Cape du Sinistrofu; Bottes de la Reine des Voleurs; Dofus des Glaces; Dofus Pourpre; Nomade; Remueur; Chanceux majeur; Dévastateur Eau majeur; Kanigloups</t>
        </is>
      </c>
    </row>
    <row r="15390">
      <c r="A15390" t="inlineStr">
        <is>
          <t>Enutrof M 110</t>
        </is>
      </c>
      <c r="B15390">
        <f>HYPERLINK("https://www.dofusbook.net/fr/equipement/5977009-enutrof-m-110/objets", "link")</f>
        <v/>
      </c>
      <c r="C15390" t="n">
        <v>0</v>
      </c>
      <c r="D15390" t="inlineStr"/>
    </row>
    <row r="15391">
      <c r="A15391" t="inlineStr">
        <is>
          <t>Pandawa M 200</t>
        </is>
      </c>
      <c r="B15391">
        <f>HYPERLINK("https://www.dofusbook.net/fr/equipement/6016127-pandawa-m-200/objets", "link")</f>
        <v/>
      </c>
      <c r="C15391" t="n">
        <v>0</v>
      </c>
      <c r="D15391" t="inlineStr">
        <is>
          <t>Crocobur; Collier de Tourthon; Anneau Crustique; Anneau Crustique; Ceintouse; Chapoulpe; Bravoure de Rykke Errel; Tentassons; Dofus Vulbis; Dofus Ocre; Dofus Nébuleux; Dofus Ivoire; Dofus Pourpre; Dofus Ébène; Pioute vert</t>
        </is>
      </c>
    </row>
    <row r="15392">
      <c r="A15392" t="inlineStr">
        <is>
          <t>Stuff 1</t>
        </is>
      </c>
      <c r="B15392">
        <f>HYPERLINK("https://www.dofusbook.net/fr/equipement/954542-stuff-1/objets", "link")</f>
        <v/>
      </c>
      <c r="C15392" t="n">
        <v>0</v>
      </c>
      <c r="D15392" t="inlineStr">
        <is>
          <t>Baguette Range; Amulette du Strigide; Anneau de Padgref; Anneau Rifique; Ceinture du Strigide; Coiffe de Padgref; Cape d'Atcham; Bottes du Strigide; Dolmanax; Dofus Turquoise; Dofus Pourpre; Dofus Ocre; Dofus des Glaces; Fugitif majeur; Kramkram</t>
        </is>
      </c>
    </row>
    <row r="15393">
      <c r="A15393" t="inlineStr">
        <is>
          <t>Stuff 1</t>
        </is>
      </c>
      <c r="B15393">
        <f>HYPERLINK("https://www.dofusbook.net/fr/equipement/954535-stuff-1/objets", "link")</f>
        <v/>
      </c>
      <c r="C15393" t="n">
        <v>0</v>
      </c>
      <c r="D15393" t="inlineStr">
        <is>
          <t>Dagues Érhy; Amulette du Strigide; Anneau de Brouce; Bague Gloursonne; Ceinture du Strigide; Bonnet Ko; Voile d'encre; Chaussures Hau; Dofus Pourpre; Voyageur; Remueur; Vigoureux majeur; Turbulent; Nomade; Kramkram</t>
        </is>
      </c>
    </row>
    <row r="15394">
      <c r="A15394" t="inlineStr">
        <is>
          <t>Stuff 2</t>
        </is>
      </c>
      <c r="B15394">
        <f>HYPERLINK("https://www.dofusbook.net/fr/equipement/954523-stuff-2/objets", "link")</f>
        <v/>
      </c>
      <c r="C15394" t="n">
        <v>0</v>
      </c>
      <c r="D15394" t="inlineStr">
        <is>
          <t>Dagues Érhy; Amulette du Strigide; Bague Gloursonne; Bracelet du Piloztère; Ceinture de Gein; Chapeau de Gein; Voile d'encre; Sabots Minables; Dofus des Glaces; Dofus Turquoise; Dofus Pourpre; Dolmanax; Remueur; Nomade; Kramkram</t>
        </is>
      </c>
    </row>
    <row r="15395">
      <c r="A15395" t="inlineStr">
        <is>
          <t>Stuff 1</t>
        </is>
      </c>
      <c r="B15395">
        <f>HYPERLINK("https://www.dofusbook.net/fr/equipement/954545-stuff-1/objets", "link")</f>
        <v/>
      </c>
      <c r="C15395" t="n">
        <v>0</v>
      </c>
      <c r="D15395" t="inlineStr">
        <is>
          <t>Sabres d'Atcham; Amulette du Strigide; Alliance Gloursonne; Anneau Tique; Ceintacé; Chapeau des Malveilleurs; Voile d'encre; Sandales  d'Atcham; Dofus Pourpre; Dofus Turquoise; Dolmanax; Dofus des Glaces; Nomade; Remueur; Kramkram</t>
        </is>
      </c>
    </row>
    <row r="15396">
      <c r="A15396" t="inlineStr">
        <is>
          <t>Stuff 1</t>
        </is>
      </c>
      <c r="B15396">
        <f>HYPERLINK("https://www.dofusbook.net/fr/equipement/954537-stuff-1/objets", "link")</f>
        <v/>
      </c>
      <c r="C15396" t="n">
        <v>0</v>
      </c>
      <c r="D15396" t="inlineStr">
        <is>
          <t>Manthache; Collier du Valet Veinard; Alliance Gloursonne; Gant du Valet Veinard; Menoture; Casque des égarés; Cape Indescriptible; Palmes Trithons; Dofus des Glaces; Dolmanax; Vigoureux majeur; Cascadeur majeur; Nomade; Remueur; Croum</t>
        </is>
      </c>
    </row>
    <row r="15397">
      <c r="A15397" t="inlineStr">
        <is>
          <t>Stuff 2</t>
        </is>
      </c>
      <c r="B15397">
        <f>HYPERLINK("https://www.dofusbook.net/fr/equipement/954526-stuff-2/objets", "link")</f>
        <v/>
      </c>
      <c r="C15397" t="n">
        <v>0</v>
      </c>
      <c r="D15397" t="inlineStr">
        <is>
          <t>Arc Hétype; Amulette Ementaire Deluxe; Anneau Tique; Anneau de Nidas; Ceinture de Vortex; Cagoule de Vortex; Voile d'encre; Pataugastrique; Dolmanax; Érudit majeur; Nomade; Carapace Neutre majeur; Miraculé majeur; Remueur; Kramkram</t>
        </is>
      </c>
    </row>
    <row r="15398">
      <c r="A15398" t="inlineStr">
        <is>
          <t>Stuff 2</t>
        </is>
      </c>
      <c r="B15398">
        <f>HYPERLINK("https://www.dofusbook.net/fr/equipement/954517-stuff-2/objets", "link")</f>
        <v/>
      </c>
      <c r="C15398" t="n">
        <v>0</v>
      </c>
      <c r="D15398" t="inlineStr">
        <is>
          <t>Hache Ériphe; Amulette Ementaire Deluxe; Alliance du Lévitrof; Anneau de Brouce; Ceinture de la Cour Sombre; Le Kim; Voile d'encre; Bottes de la Cour Sombre; Dolmanax; Dofus Ocre; Cascadeur majeur; Nomade; Remueur; Enragé majeur; Kramkram</t>
        </is>
      </c>
    </row>
    <row r="15399">
      <c r="A15399" t="inlineStr">
        <is>
          <t>Stuff 2</t>
        </is>
      </c>
      <c r="B15399">
        <f>HYPERLINK("https://www.dofusbook.net/fr/equipement/954548-stuff-2/objets", "link")</f>
        <v/>
      </c>
      <c r="C15399" t="n">
        <v>0</v>
      </c>
      <c r="D15399" t="inlineStr">
        <is>
          <t>Dagues Érhy; Torquistik; Baguistik; Alliance du Lévitrof; Protopagne; Chapeau de Gein; Voile d'encre; Bottistik; Dofus Pourpre; Dofus Émeraude; Dolmanax; Dofus Ocre; Kramkram</t>
        </is>
      </c>
    </row>
    <row r="15400">
      <c r="A15400" t="inlineStr">
        <is>
          <t>Stuff 1</t>
        </is>
      </c>
      <c r="B15400">
        <f>HYPERLINK("https://www.dofusbook.net/fr/equipement/954541-stuff-1/objets", "link")</f>
        <v/>
      </c>
      <c r="C15400" t="n">
        <v>0</v>
      </c>
      <c r="D15400" t="inlineStr">
        <is>
          <t>Pelle de la Cour Sombre; Collier de Tourthon; Anneau des égarés; Bracelet du Piloztère; Ceintouse; Chapoulpe; Cape du Kamasterisk; Baleinabottes; Nomade; Remueur; Obstructeur majeur; Kramkram</t>
        </is>
      </c>
    </row>
    <row r="15401">
      <c r="A15401" t="inlineStr">
        <is>
          <t>Stuff 2</t>
        </is>
      </c>
      <c r="B15401">
        <f>HYPERLINK("https://www.dofusbook.net/fr/equipement/954532-stuff-2/objets", "link")</f>
        <v/>
      </c>
      <c r="C15401" t="n">
        <v>0</v>
      </c>
      <c r="D15401" t="inlineStr">
        <is>
          <t>Dagues de Srambad; Amulette Luminescente; Alliance Gloursonne; Anneau Crustique; Ceinture Luminescente; Kidibonnet; Voile d'encre; Bottes du Lévitrof</t>
        </is>
      </c>
    </row>
    <row r="15402">
      <c r="A15402" t="inlineStr">
        <is>
          <t>Stuff 1</t>
        </is>
      </c>
      <c r="B15402">
        <f>HYPERLINK("https://www.dofusbook.net/fr/equipement/954522-stuff-1/objets", "link")</f>
        <v/>
      </c>
      <c r="C15402" t="n">
        <v>0</v>
      </c>
      <c r="D15402" t="inlineStr">
        <is>
          <t>Arc Hétype; Amulette de Nileza; Anneau de Nidas; Anneau Tique; Ceinture Séculaire; Coiffe Séculaire; Voile d'encre; Pataugastrique; Dolmanax; Miraculé majeur; Nomade; Érudit majeur; Dévastateur Feu majeur; Remueur; Kramkram; Darclier</t>
        </is>
      </c>
    </row>
    <row r="15403">
      <c r="A15403" t="inlineStr">
        <is>
          <t>Stuff 1</t>
        </is>
      </c>
      <c r="B15403">
        <f>HYPERLINK("https://www.dofusbook.net/fr/equipement/954543-stuff-1/objets", "link")</f>
        <v/>
      </c>
      <c r="C15403" t="n">
        <v>3</v>
      </c>
      <c r="D15403" t="inlineStr">
        <is>
          <t>Sceptre du Roi Joueur; Talisman Glouti; Bracelet des Fonds marins; Alliance Gloursonne; Sangle Ouare; Kidibonnet; Cape de Mantaze; Sandales des Fonds marins; Chanceux majeur; Remueur; Obstructeur majeur; Carapace Eau majeur; Kramkram</t>
        </is>
      </c>
    </row>
    <row r="15404">
      <c r="A15404" t="inlineStr">
        <is>
          <t>Stuff 1</t>
        </is>
      </c>
      <c r="B15404">
        <f>HYPERLINK("https://www.dofusbook.net/fr/equipement/954536-stuff-1/objets", "link")</f>
        <v/>
      </c>
      <c r="C15404" t="n">
        <v>0</v>
      </c>
      <c r="D15404" t="inlineStr">
        <is>
          <t>Arc Hétype; Amulette de l'Indicible; Chevalière du Roi Joueur; Bague Gloursonne; Ceinture de Gein; Chapeau de Gein; Voile d'encre; Pataugastrique; Dolmanax; Dofus des Glaces; Carapace Eau majeur; Érudit majeur; Nomade; Remueur; Kramkram</t>
        </is>
      </c>
    </row>
    <row r="15405">
      <c r="A15405" t="inlineStr">
        <is>
          <t>Stuff 1</t>
        </is>
      </c>
      <c r="B15405">
        <f>HYPERLINK("https://www.dofusbook.net/fr/equipement/954525-stuff-1/objets", "link")</f>
        <v/>
      </c>
      <c r="C15405" t="n">
        <v>0</v>
      </c>
      <c r="D15405" t="inlineStr">
        <is>
          <t>Arc Hétype; Amulette Ementaire Deluxe; Anneau de Nidas; Anneau Tique; Ceinture de Vortex; Cagoule de Vortex; Voile d'encre; Pataugastrique; Miraculé majeur; Érudit majeur; Carapace Feu majeur; Remueur; Déserteur majeur; Nomade; Kramkram</t>
        </is>
      </c>
    </row>
    <row r="15406">
      <c r="A15406" t="inlineStr">
        <is>
          <t>Stuff 2</t>
        </is>
      </c>
      <c r="B15406">
        <f>HYPERLINK("https://www.dofusbook.net/fr/equipement/954526-stuff-2/objets", "link")</f>
        <v/>
      </c>
      <c r="C15406" t="n">
        <v>0</v>
      </c>
      <c r="D15406" t="inlineStr">
        <is>
          <t>Arc Hétype; Amulette Ementaire Deluxe; Anneau Tique; Anneau de Nidas; Ceinture de Vortex; Cagoule de Vortex; Voile d'encre; Pataugastrique; Dolmanax; Érudit majeur; Nomade; Carapace Neutre majeur; Miraculé majeur; Remueur; Kramkram</t>
        </is>
      </c>
    </row>
    <row r="15407">
      <c r="A15407" t="inlineStr">
        <is>
          <t>Stuff 2</t>
        </is>
      </c>
      <c r="B15407">
        <f>HYPERLINK("https://www.dofusbook.net/fr/equipement/954517-stuff-2/objets", "link")</f>
        <v/>
      </c>
      <c r="C15407" t="n">
        <v>0</v>
      </c>
      <c r="D15407" t="inlineStr">
        <is>
          <t>Hache Ériphe; Amulette Ementaire Deluxe; Anneau de Brouce; Alliance du Lévitrof; Ceinture de la Cour Sombre; Le Kim; Voile d'encre; Bottes de la Cour Sombre; Dolmanax; Dofus Ocre; Remueur; Enragé majeur; Cascadeur majeur; Nomade; Kramkram</t>
        </is>
      </c>
    </row>
    <row r="15408">
      <c r="A15408" t="inlineStr">
        <is>
          <t>Stuff 2</t>
        </is>
      </c>
      <c r="B15408">
        <f>HYPERLINK("https://www.dofusbook.net/fr/equipement/954548-stuff-2/objets", "link")</f>
        <v/>
      </c>
      <c r="C15408" t="n">
        <v>0</v>
      </c>
      <c r="D15408" t="inlineStr">
        <is>
          <t>Dagues Érhy; Torquistik; Baguistik; Alliance du Lévitrof; Protopagne; Chapeau de Gein; Voile d'encre; Bottistik; Dofus Pourpre; Dofus Émeraude; Dolmanax; Dofus Ocre; Kramkram</t>
        </is>
      </c>
    </row>
    <row r="15409">
      <c r="A15409" t="inlineStr">
        <is>
          <t>Stuff 1</t>
        </is>
      </c>
      <c r="B15409">
        <f>HYPERLINK("https://www.dofusbook.net/fr/equipement/954541-stuff-1/objets", "link")</f>
        <v/>
      </c>
      <c r="C15409" t="n">
        <v>0</v>
      </c>
      <c r="D15409" t="inlineStr">
        <is>
          <t>Pelle de la Cour Sombre; Collier de Tourthon; Anneau des égarés; Bracelet du Piloztère; Ceintouse; Chapoulpe; Cape du Kamasterisk; Baleinabottes; Obstructeur majeur; Nomade; Remueur; Kramkram</t>
        </is>
      </c>
    </row>
    <row r="15410">
      <c r="A15410" t="inlineStr">
        <is>
          <t>Stuff 2</t>
        </is>
      </c>
      <c r="B15410">
        <f>HYPERLINK("https://www.dofusbook.net/fr/equipement/954532-stuff-2/objets", "link")</f>
        <v/>
      </c>
      <c r="C15410" t="n">
        <v>0</v>
      </c>
      <c r="D15410" t="inlineStr">
        <is>
          <t>Dagues de Srambad; Amulette Luminescente; Anneau Crustique; Alliance Gloursonne; Ceinture Luminescente; Kidibonnet; Voile d'encre; Bottes du Lévitrof</t>
        </is>
      </c>
    </row>
    <row r="15411">
      <c r="A15411" t="inlineStr">
        <is>
          <t>Stuff 1</t>
        </is>
      </c>
      <c r="B15411">
        <f>HYPERLINK("https://www.dofusbook.net/fr/equipement/954522-stuff-1/objets", "link")</f>
        <v/>
      </c>
      <c r="C15411" t="n">
        <v>0</v>
      </c>
      <c r="D15411" t="inlineStr">
        <is>
          <t>Arc Hétype; Amulette de Nileza; Anneau de Nidas; Anneau Tique; Ceinture Séculaire; Coiffe Séculaire; Voile d'encre; Pataugastrique; Dolmanax; Dévastateur Feu majeur; Remueur; Miraculé majeur; Nomade; Érudit majeur; Kramkram; Darclier</t>
        </is>
      </c>
    </row>
    <row r="15412">
      <c r="A15412" t="inlineStr">
        <is>
          <t>Air eau feu 200</t>
        </is>
      </c>
      <c r="B15412">
        <f>HYPERLINK("https://www.dofusbook.net/fr/equipement/4900664-air-eau-feu-200/objets", "link")</f>
        <v/>
      </c>
      <c r="C15412" t="n">
        <v>3</v>
      </c>
      <c r="D15412" t="inlineStr">
        <is>
          <t>Arc corrompu; Amulette Volkorne; Anneau Volkorne; Anneau de Padgref; Quatre-feuilles; Ceinture Volkorne; Coiffe de Padgref; Cape de Diondin; Getas de Padgref; Dofus Pourpre; Dofus Abyssal; Dofus Turquoise; Dofus Ivoire; Dofus Ébène; Dofus des Glaces; Kokulte</t>
        </is>
      </c>
    </row>
    <row r="15413">
      <c r="A15413" t="inlineStr">
        <is>
          <t>terre 200</t>
        </is>
      </c>
      <c r="B15413">
        <f>HYPERLINK("https://www.dofusbook.net/fr/equipement/4040765-terre-200/objets", "link")</f>
        <v/>
      </c>
      <c r="C15413" t="n">
        <v>4</v>
      </c>
      <c r="D15413" t="inlineStr">
        <is>
          <t>Arc du Chalœil; Amulette Luminescente; Anneau Volkorne; Chevalière du Roi Joueur; Quatre-feuilles; Ceinture Luminescente; Couronne du Roi Joueur; Cape Luminescente; Bottes du Roi Joueur; Dofus Abyssal; Dofus Ébène; Dofus Vulbis; Dofus Pourpre; Dofus Ivoire; Dofus Turquoise; Pioute vert</t>
        </is>
      </c>
    </row>
    <row r="15414">
      <c r="A15414" t="inlineStr">
        <is>
          <t>Feu</t>
        </is>
      </c>
      <c r="B15414">
        <f>HYPERLINK("https://www.dofusbook.net/fr/equipement/5498636-feu/objets", "link")</f>
        <v/>
      </c>
      <c r="C15414" t="n">
        <v>1</v>
      </c>
      <c r="D15414" t="inlineStr">
        <is>
          <t>Dagues Ricol; Amulette Volkorne; Anneau Volkorne; Chevalière du Roi Joueur; Bouclier d'Ilyzaelle; Ceinture Volkorne; Couronne du Roi Joueur; Cape de Diondin; Bottes du Roi Joueur; Dofus Pourpre; Dofus des Glaces; Dofus Turquoise; Dofus Ivoire; Dofus Ébène; Dofus Abyssal; Brûlih</t>
        </is>
      </c>
    </row>
    <row r="15415">
      <c r="A15415" t="inlineStr">
        <is>
          <t>Sadida F 200</t>
        </is>
      </c>
      <c r="B15415">
        <f>HYPERLINK("https://www.dofusbook.net/fr/equipement/4002908-sadida-f-200/objets", "link")</f>
        <v/>
      </c>
      <c r="C15415" t="n">
        <v>3</v>
      </c>
      <c r="D15415" t="inlineStr">
        <is>
          <t>Hachoirs de Viandargh; Collier du Valet Veinard; Gant du Valet Veinard; Anneau d'Allister; Bouclier du Stalak; Menoture; Couronne d'Allister; Cape du Valet Veinard; Bottes d'Allister; Dofus Pourpre; Dofus Ébène; Dofus des Glaces; Entraveur majeur; Equilibriste majeur; Voyageur</t>
        </is>
      </c>
    </row>
    <row r="15416">
      <c r="A15416" t="inlineStr">
        <is>
          <t>pvm</t>
        </is>
      </c>
      <c r="B15416">
        <f>HYPERLINK("https://www.dofusbook.net/fr/equipement/1917675-pvm/objets", "link")</f>
        <v/>
      </c>
      <c r="C15416" t="n">
        <v>7</v>
      </c>
      <c r="D15416" t="inlineStr">
        <is>
          <t>Arc du Chalœil; Amulette Volkorne; Chevalière du Roi Joueur; Anneau Volkorne; Quatre-feuilles; Ceinture Volkorne; Couronne du Roi Joueur; Cape du Cœur Saignant; Bottes du Roi Joueur; Dofus des Glaces; Dofus Ivoire; Dofus Ébène; Dofus Turquoise; Dofus Pourpre; Dofus Abyssal; Volkorne Turquoise et Pourpre</t>
        </is>
      </c>
    </row>
    <row r="15417">
      <c r="A15417" t="inlineStr">
        <is>
          <t>retrait lowcoast</t>
        </is>
      </c>
      <c r="B15417">
        <f>HYPERLINK("https://www.dofusbook.net/fr/equipement/4339992-retrait-lowcoast/objets", "link")</f>
        <v/>
      </c>
      <c r="C15417" t="n">
        <v>7</v>
      </c>
      <c r="D15417" t="inlineStr">
        <is>
          <t>Dagues Ricol; Amulette Volkorne; Chevalière du Roi Joueur; Anneau Volkorne; Bouclier d'Ilyzaelle; Ceinture Volkorne; Couronne du Roi Joueur; Cape de Diondin; Bottes du Roi Joueur; Dofus des Glaces; Dofus Abyssal; Dofus Turquoise; Dofus Ivoire; Dofus Pourpre; Dofus Ébène; Brûlih</t>
        </is>
      </c>
    </row>
    <row r="15418">
      <c r="A15418" t="inlineStr">
        <is>
          <t>Pvm</t>
        </is>
      </c>
      <c r="B15418">
        <f>HYPERLINK("https://www.dofusbook.net/fr/equipement/1825185-pvm/objets", "link")</f>
        <v/>
      </c>
      <c r="C15418" t="n">
        <v>2</v>
      </c>
      <c r="D15418" t="inlineStr">
        <is>
          <t>Baguette Hique; Amulette de Shokkoth; Bracelet des Fonds marins; Anneau Volkorne; Quatre-feuilles; Pagne du Rykaon; Kidibonnet; Cape de la Dame du Hasard; Bottes de la Dame du Hasard; Dofus des Glaces; Dofus Pourpre; Dofus Turquoise; Nomade; Chanceux majeur; Remueur; Pioute bleu</t>
        </is>
      </c>
    </row>
    <row r="15419">
      <c r="A15419" t="inlineStr">
        <is>
          <t>Sadida F 200</t>
        </is>
      </c>
      <c r="B15419">
        <f>HYPERLINK("https://www.dofusbook.net/fr/equipement/3929365-sadida-f-200/objets", "link")</f>
        <v/>
      </c>
      <c r="C15419" t="n">
        <v>7</v>
      </c>
      <c r="D15419" t="inlineStr">
        <is>
          <t>Baguette des égarés; Amulette du Strigide; Pikano; Anneau Volkorne; Quatre-feuilles; Ceinture Volkorne; Masque de Funespadon; Cape Luminescente; Bottes Honyme; Dofus Ébène; Dofus Ivoire; Dofus Turquoise; Dofus des Glaces; Remueur; Nomade; Kokulte</t>
        </is>
      </c>
    </row>
    <row r="15420">
      <c r="A15420" t="inlineStr">
        <is>
          <t>Sadida F 200</t>
        </is>
      </c>
      <c r="B15420">
        <f>HYPERLINK("https://www.dofusbook.net/fr/equipement/4377513-sadida-f-200/objets", "link")</f>
        <v/>
      </c>
      <c r="C15420" t="n">
        <v>6</v>
      </c>
      <c r="D15420" t="inlineStr">
        <is>
          <t>Baguette Hique; Amulette Volkorne; Bracelet des Fonds marins; Anneau Volkorne; Quatre-feuilles; Ceinture Volkorne; Masque des Fonds marins; Cape Solution; Sandales des Fonds marins; Dofus Ébène; Dofus Ivoire; Dofus Pourpre; Dofus Turquoise; Dofus des Glaces; Dofus Abyssal; Dehluge</t>
        </is>
      </c>
    </row>
    <row r="15421">
      <c r="A15421" t="inlineStr">
        <is>
          <t>eau 200</t>
        </is>
      </c>
      <c r="B15421">
        <f>HYPERLINK("https://www.dofusbook.net/fr/equipement/4923417-eau-200/objets", "link")</f>
        <v/>
      </c>
      <c r="C15421" t="n">
        <v>3</v>
      </c>
      <c r="D15421" t="inlineStr">
        <is>
          <t>Dagues Açantes; Amulette de Shokkoth; Bracelet des Fonds marins; Anneau Volkorne; Bouclier d'Ilyzaelle; Pagne du Rykaon; Kidibonnet; Cape de la Dame du Hasard; Bottes de la Dame du Hasard; Dofus Turquoise; Dofus Pourpre; Dofus des Glaces; Dofus Ivoire; Nomade; Remueur; Dehluge</t>
        </is>
      </c>
    </row>
    <row r="15422">
      <c r="A15422" t="inlineStr">
        <is>
          <t>eau feu cac</t>
        </is>
      </c>
      <c r="B15422">
        <f>HYPERLINK("https://www.dofusbook.net/fr/equipement/4913718-eau-feu-cac/objets", "link")</f>
        <v/>
      </c>
      <c r="C15422" t="n">
        <v>3</v>
      </c>
      <c r="D15422" t="inlineStr">
        <is>
          <t>Pyraguette; Amulette Volkorne; Anneau Volkorne; Lavanneau; Bouclier du Stalak; Ceintrigue; Masque Paztek; Voilamibe; Pataugastrique; Dofus Abyssal; Dofus Pourpre; Dofus des Glaces; Robuste majeur; Vigoureux majeur; Remueur; Walk</t>
        </is>
      </c>
    </row>
    <row r="15423">
      <c r="A15423" t="inlineStr">
        <is>
          <t>air lowcoast</t>
        </is>
      </c>
      <c r="B15423">
        <f>HYPERLINK("https://www.dofusbook.net/fr/equipement/4383206-air-lowcoast/objets", "link")</f>
        <v/>
      </c>
      <c r="C15423" t="n">
        <v>0</v>
      </c>
      <c r="D15423" t="inlineStr">
        <is>
          <t>Karnak; Collier du Valet Veinard; Gant du Valet Veinard; Anneau d'Allister; Bouclier d'Ilyzaelle; Menoture; Couronne d'Allister; Cape du Valet Veinard; Bottes d'Allister; Dofus Pourpre; Dofus des Glaces; Dofus Abyssal; Dofus Ivoire; Robuste majeur; Equilibriste majeur; Siroko</t>
        </is>
      </c>
    </row>
    <row r="15424">
      <c r="A15424" t="inlineStr">
        <is>
          <t>Full force 184</t>
        </is>
      </c>
      <c r="B15424">
        <f>HYPERLINK("https://www.dofusbook.net/fr/equipement/3960948-full-force-184/objets", "link")</f>
        <v/>
      </c>
      <c r="C15424" t="n">
        <v>1</v>
      </c>
      <c r="D15424" t="inlineStr">
        <is>
          <t>Arc corrompu; Amulette Volkorne; Anneau Volkorne; Anneauræus; Quatre-feuilles; Ceinture Volkorne; Heaume Oplate; Cape de Diondin; Bottes Innommables; Dofus Abyssal; Dofus Pourpre; Dofus Turquoise; Dofus des Glaces; Dofus Ivoire; Voyageur; Brûlih</t>
        </is>
      </c>
    </row>
    <row r="15425">
      <c r="A15425" t="inlineStr">
        <is>
          <t>Sram F 200</t>
        </is>
      </c>
      <c r="B15425">
        <f>HYPERLINK("https://www.dofusbook.net/fr/equipement/5090499-sram-f-200/objets", "link")</f>
        <v/>
      </c>
      <c r="C15425" t="n">
        <v>4</v>
      </c>
      <c r="D15425" t="inlineStr">
        <is>
          <t>Karnak; Collier du Valet Veinard; Alliance Gloursonne; Gant du Valet Veinard; Bouclier du Stalak; Menoture; Couronne d'Allister; Palmes Trithons; Dofus Abyssal; Dofus Pourpre; Dokoko; Dofus des Glaces; Nomade; Remueur; Siroko</t>
        </is>
      </c>
    </row>
    <row r="15426">
      <c r="A15426" t="inlineStr">
        <is>
          <t>Retrait</t>
        </is>
      </c>
      <c r="B15426">
        <f>HYPERLINK("https://www.dofusbook.net/fr/equipement/2016628-retrait/objets", "link")</f>
        <v/>
      </c>
      <c r="C15426" t="n">
        <v>8</v>
      </c>
      <c r="D15426" t="inlineStr">
        <is>
          <t>Hache du Chalœil; Amulette Luminescente; Chevalière du Roi Joueur; Alliance du Lévitrof; Quatre-feuilles; Ceinture Luminescente; Coiffe du Lévitrof; Cape Luminescente; Bottes du Lévitrof; Dofus des Glaces; Dofus Abyssal; Dofus Pourpre; Dofus Ivoire; Dofus Turquoise; Muldo Doré</t>
        </is>
      </c>
    </row>
    <row r="15427">
      <c r="A15427" t="inlineStr">
        <is>
          <t>Eliotrope M 200</t>
        </is>
      </c>
      <c r="B15427">
        <f>HYPERLINK("https://www.dofusbook.net/fr/equipement/4402651-eliotrope-m-200/objets", "link")</f>
        <v/>
      </c>
      <c r="C15427" t="n">
        <v>2</v>
      </c>
      <c r="D15427" t="inlineStr">
        <is>
          <t>Manthache; Collier du Valet Veinard; Gant du Valet Veinard; Anneau d'Allister; Quatre-feuilles; Menoture; Couronne d'Allister; Cape du Valet Veinard; Bottes d'Allister; Dofus des Glaces; Dofus Pourpre; Robuste majeur; Saccageur Air majeur; Equilibriste majeur; Voyageur; Siroko</t>
        </is>
      </c>
    </row>
    <row r="15428">
      <c r="A15428" t="inlineStr">
        <is>
          <t>Sadida F 200</t>
        </is>
      </c>
      <c r="B15428">
        <f>HYPERLINK("https://www.dofusbook.net/fr/equipement/4095871-sadida-f-200/objets", "link")</f>
        <v/>
      </c>
      <c r="C15428" t="n">
        <v>0</v>
      </c>
      <c r="D15428" t="inlineStr">
        <is>
          <t>Héqache; Amulette du Strigide; Bracelet du Piloztère; Anneau de Brouce; Bouclier du Captain Amakna; Ceinture Volkorne; Casque Volkorne; Cape au Logis; Baleinabottes; Dofus Turquoise; Dofus Pourpre; Enragé majeur; Remueur; Nomade; Vigoureux majeur; Volkorne Jade et Emeraude</t>
        </is>
      </c>
    </row>
    <row r="15429">
      <c r="A15429" t="inlineStr">
        <is>
          <t>Sadida F 200</t>
        </is>
      </c>
      <c r="B15429">
        <f>HYPERLINK("https://www.dofusbook.net/fr/equipement/4064511-sadida-f-200/objets", "link")</f>
        <v/>
      </c>
      <c r="C15429" t="n">
        <v>0</v>
      </c>
      <c r="D15429" t="inlineStr">
        <is>
          <t>Baguette Range; Amulette du Strigide; Anneau de Padgref; Gelano; Quatre-feuilles; Ceinture du Strigide; Coiffe de Padgref; Chevelure de Tal Kasha; Getas de Padgref; Dofus Pourpre; Dofus Turquoise; Dofus des Glaces; Ralentisseur majeur; Entraveur majeur; Voyageur; Kokulte</t>
        </is>
      </c>
    </row>
    <row r="15430">
      <c r="A15430" t="inlineStr">
        <is>
          <t>multi 15x</t>
        </is>
      </c>
      <c r="B15430">
        <f>HYPERLINK("https://www.dofusbook.net/fr/equipement/2868742-multi-15x/objets", "link")</f>
        <v/>
      </c>
      <c r="C15430" t="n">
        <v>0</v>
      </c>
      <c r="D15430" t="inlineStr">
        <is>
          <t>Hache du Guerrier Zoth; Amulette d'El Piko; Gelano; Anneau d'El Piko; Bouclier Taverne; Ceinture Phossile; Sombrero d'El Piko; Cape Phossile; Bottes Phossiles; Dofus Émeraude; Dofus Pourpre; Dokoko; Puissant majeur; Forcené majeur; Robuste majeur; Kramkram</t>
        </is>
      </c>
    </row>
    <row r="15431">
      <c r="A15431" t="inlineStr">
        <is>
          <t>air 130</t>
        </is>
      </c>
      <c r="B15431">
        <f>HYPERLINK("https://www.dofusbook.net/fr/equipement/2792206-air-130/objets", "link")</f>
        <v/>
      </c>
      <c r="C15431" t="n">
        <v>0</v>
      </c>
      <c r="D15431" t="inlineStr">
        <is>
          <t>Hache du Guerrier Zoth; Gruchette; Anneau Cérémonial du Seigneur des Rats; Gelano; Ceinture Cérémoniale du Seigneur des Rats; Coiffe Cérémoniale du Seigneur des Rats; Gruchape; Gruchaussures; Siroko</t>
        </is>
      </c>
    </row>
    <row r="15432">
      <c r="A15432" t="inlineStr">
        <is>
          <t>epee ili</t>
        </is>
      </c>
      <c r="B15432">
        <f>HYPERLINK("https://www.dofusbook.net/fr/equipement/2060749-epee-ili/objets", "link")</f>
        <v/>
      </c>
      <c r="C15432" t="n">
        <v>2</v>
      </c>
      <c r="D15432" t="inlineStr">
        <is>
          <t>Lance corrompue; Collier de Tourthon; Anneau des égarés; Alliance Gloursonne; Ceinture de la Reine des Voleurs; Ankhape; Baleinabottes; Kramkram</t>
        </is>
      </c>
    </row>
    <row r="15433">
      <c r="A15433" t="inlineStr">
        <is>
          <t>pvm maxx</t>
        </is>
      </c>
      <c r="B15433">
        <f>HYPERLINK("https://www.dofusbook.net/fr/equipement/2012364-pvm-maxx/objets", "link")</f>
        <v/>
      </c>
      <c r="C15433" t="n">
        <v>3</v>
      </c>
      <c r="D15433" t="inlineStr">
        <is>
          <t>Hache du Chalœil; Amulette du Strigide; Bague Gloursonne; Alliance de Missiz Frizz; Bouclier du Captain Amakna; Ceinture du Strigide; Casque de Missiz Frizz; Voile d'encre; Bottes du Strigide; Dolmanax; Dofus Ocre; Dofus Pourpre; Dofus des Glaces; Turbulent; Forcené majeur; Muldo Prune et Doré</t>
        </is>
      </c>
    </row>
    <row r="15434">
      <c r="A15434" t="inlineStr">
        <is>
          <t>terre feu stat</t>
        </is>
      </c>
      <c r="B15434">
        <f>HYPERLINK("https://www.dofusbook.net/fr/equipement/2012305-terre-feu-stat/objets", "link")</f>
        <v/>
      </c>
      <c r="C15434" t="n">
        <v>3</v>
      </c>
      <c r="D15434" t="inlineStr">
        <is>
          <t>Hache Téroïde; Amulette du Strigide; Bague Gloursonne; Chevalière du Roi Joueur; Bouclier du Captain Amakna; Ceinture du Strigide; Couronne du Roi Joueur; Voile d'encre; Bottes du Roi Joueur; Dofus Pourpre; Dofus des Glaces; Dofus Turquoise; Dolmanax; Dofus Ocre; Turbulent; Muldo Doré et Emeraude</t>
        </is>
      </c>
    </row>
    <row r="15435">
      <c r="A15435" t="inlineStr">
        <is>
          <t>Pvm</t>
        </is>
      </c>
      <c r="B15435">
        <f>HYPERLINK("https://www.dofusbook.net/fr/equipement/2011602-pvm/objets", "link")</f>
        <v/>
      </c>
      <c r="C15435" t="n">
        <v>1</v>
      </c>
      <c r="D15435" t="inlineStr">
        <is>
          <t>Sabres d'Atcham; Amulette du Strigide; Bracelet du Piloztère; Bague Trithon; Quatre-feuilles; Ceinture du Strigide; Masque Trithon; Cape d'Atcham; Bottes du Strigide; Dofus Turquoise; Dolmanax; Dofus Ocre; Dofus Pourpre; Dofus des Glaces; Puissant majeur; Muldo Prune et Doré</t>
        </is>
      </c>
    </row>
    <row r="15436">
      <c r="A15436" t="inlineStr">
        <is>
          <t>terre feu stat</t>
        </is>
      </c>
      <c r="B15436">
        <f>HYPERLINK("https://www.dofusbook.net/fr/equipement/2001184-terre-feu-stat/objets", "link")</f>
        <v/>
      </c>
      <c r="C15436" t="n">
        <v>1</v>
      </c>
      <c r="D15436" t="inlineStr">
        <is>
          <t>Dagues du Dragoeuf; Amulette du Strigide; Alliance de Missiz Frizz; Bague Gloursonne; Bouclier du Captain Amakna; Ceinture du Strigide; Chapeau de Gein; Voile d'encre; Bottes du Roi Joueur; Dofus Pourpre; Dofus des Glaces; Dofus Turquoise; Dofus Ocre; Vigoureux majeur; Remueur; Muldo Prune et Doré</t>
        </is>
      </c>
    </row>
    <row r="15437">
      <c r="A15437" t="inlineStr">
        <is>
          <t>full terre</t>
        </is>
      </c>
      <c r="B15437">
        <f>HYPERLINK("https://www.dofusbook.net/fr/equipement/2000934-full-terre/objets", "link")</f>
        <v/>
      </c>
      <c r="C15437" t="n">
        <v>1</v>
      </c>
      <c r="D15437" t="inlineStr">
        <is>
          <t>Marteau R'ture; Collier de Tourthon; Anneau Crustique; Anneau du Comte Harebourg; Bouclier du Captain Amakna; Ceinture de Brouce; Coiffe du Comte Harebourg; Ankhape; Bottes de la Cour Sombre; Dofus Pourpre; Dofus Ocre; Turbulent; Remueur; Nomade; Enragé majeur; Kompost</t>
        </is>
      </c>
    </row>
    <row r="15438">
      <c r="A15438" t="inlineStr">
        <is>
          <t>feu eau</t>
        </is>
      </c>
      <c r="B15438">
        <f>HYPERLINK("https://www.dofusbook.net/fr/equipement/1994485-feu-eau/objets", "link")</f>
        <v/>
      </c>
      <c r="C15438" t="n">
        <v>0</v>
      </c>
      <c r="D15438" t="inlineStr">
        <is>
          <t>Épée Brûlâme; Collier de la Dame du Hasard; Bague Trithon; Anneau de Padgref; Bouclier du Captain Amakna; Ceintacé; Masque Trithon; Cape de la Dame du Hasard; Bottes Trithon; Dofus Pourpre; Dofus Abyssal; Dofus Turquoise; Dolmanax; Dofus des Glaces; Muldo Prune et Emeraude</t>
        </is>
      </c>
    </row>
    <row r="15439">
      <c r="A15439" t="inlineStr">
        <is>
          <t>terre/feu/air</t>
        </is>
      </c>
      <c r="B15439">
        <f>HYPERLINK("https://www.dofusbook.net/fr/equipement/1992338-terre-feu-air/objets", "link")</f>
        <v/>
      </c>
      <c r="C15439" t="n">
        <v>2</v>
      </c>
      <c r="D15439" t="inlineStr">
        <is>
          <t>Marteau de Katrepat; Amulette du Strigide; Anneau du Cycloïde; Alliance Gloursonne; Bouclier du Captain Amakna; Ceinture du Strigide; Chapeau de Gein; Voile d'encre; Baleinabottes; Dofus Turquoise; Enragé majeur; Nomade; Vigoureux majeur; Remueur; Cascadeur majeur; Kramkram</t>
        </is>
      </c>
    </row>
    <row r="15440">
      <c r="A15440" t="inlineStr">
        <is>
          <t>eau 5000</t>
        </is>
      </c>
      <c r="B15440">
        <f>HYPERLINK("https://www.dofusbook.net/fr/equipement/1966261-eau-5000/objets", "link")</f>
        <v/>
      </c>
      <c r="C15440" t="n">
        <v>1</v>
      </c>
      <c r="D15440" t="inlineStr">
        <is>
          <t>Sceptre du Roi Joueur; Amulette de Shokkoth; Bracelet des Fonds marins; Alliance Gloursonne; Cadran de Terre; Poulpagne; Casque Dragoeuf; Cape de Mantaze; Sandales des Fonds marins; Dofus Pourpre; Cavaleur majeur; Chanceux majeur; Miraculé majeur; Étourdisseur majeur; Remueur; Muldo Ebène et Indigo</t>
        </is>
      </c>
    </row>
    <row r="15441">
      <c r="A15441" t="inlineStr">
        <is>
          <t>Stuff 1</t>
        </is>
      </c>
      <c r="B15441">
        <f>HYPERLINK("https://www.dofusbook.net/fr/equipement/1938042-stuff-1/objets", "link")</f>
        <v/>
      </c>
      <c r="C15441" t="n">
        <v>1</v>
      </c>
      <c r="D15441" t="inlineStr">
        <is>
          <t>Arc du Chalœil; Amulette du Strigide; Anneau Chevelu; Bague Gloursonne; Ceintacé; Casque des égarés; Cape au Logis; Bottes du Strigide; Dofus Turquoise; Dolmanax; Dofus Pourpre; Enragé majeur; Remueur; Vigoureux majeur; Croum</t>
        </is>
      </c>
    </row>
    <row r="15442">
      <c r="A15442" t="inlineStr">
        <is>
          <t>terre air</t>
        </is>
      </c>
      <c r="B15442">
        <f>HYPERLINK("https://www.dofusbook.net/fr/equipement/1974036-terre-air/objets", "link")</f>
        <v/>
      </c>
      <c r="C15442" t="n">
        <v>3</v>
      </c>
      <c r="D15442" t="inlineStr">
        <is>
          <t>Hache Ériphe; Amulette du Kamasterisk; Anneau Chevelu; Gant du Valet Veinard; Quatre-feuilles; Ceintouse; Casque Dragoeuf; Cape du Kamasterisk; Bottes du Cœur Vaillant; Dofus Ocre; Dofus Turquoise; Dofus Pourpre; Remueur; Observateur; Nomade; Dragodinde en armure</t>
        </is>
      </c>
    </row>
    <row r="15443">
      <c r="A15443" t="inlineStr">
        <is>
          <t>reseauxxx</t>
        </is>
      </c>
      <c r="B15443">
        <f>HYPERLINK("https://www.dofusbook.net/fr/equipement/1968935-reseauxxx/objets", "link")</f>
        <v/>
      </c>
      <c r="C15443" t="n">
        <v>0</v>
      </c>
      <c r="D15443" t="inlineStr">
        <is>
          <t>Marteau de Katrepat; Amulette du Strigide; Bague Gloursonne; Anneau du Cycloïde; Bouclier du Stalak; Ceinture du Strigide; Le Dorado; Cape Reski; Bottes du Cycloïde; Dofus des Glaces; Dofus Pourpre; Dofus Ocre; Dolmanax; Dofus Nébuleux; Robuste majeur; Muldo Roux et Doré</t>
        </is>
      </c>
    </row>
    <row r="15444">
      <c r="A15444" t="inlineStr">
        <is>
          <t>multi gro deegat</t>
        </is>
      </c>
      <c r="B15444">
        <f>HYPERLINK("https://www.dofusbook.net/fr/equipement/1944208-multi-gro-deegat/objets", "link")</f>
        <v/>
      </c>
      <c r="C15444" t="n">
        <v>1</v>
      </c>
      <c r="D15444" t="inlineStr">
        <is>
          <t>Sabres d'Atcham; Amulette du Strigide; Bracelet du Piloztère; Anneau de Padgref; Quatre-feuilles; Ceinture du Strigide; Coiffe de Padgref; Cape d'Atcham; Getas de Padgref; Dofus Pourpre; Dofus Nébuleux; Dofus Turquoise; Dofus des Glaces; Dolmanax; Dofus Ocre; Muldo Emeraude</t>
        </is>
      </c>
    </row>
    <row r="15445">
      <c r="A15445" t="inlineStr">
        <is>
          <t>Full terre</t>
        </is>
      </c>
      <c r="B15445">
        <f>HYPERLINK("https://www.dofusbook.net/fr/equipement/1931496-full-terre/objets", "link")</f>
        <v/>
      </c>
      <c r="C15445" t="n">
        <v>1</v>
      </c>
      <c r="D15445" t="inlineStr">
        <is>
          <t>Marteau R'ture; Collier de Tourthon; Bague Gloursonne; Bracelet du Piloztère; Ceintacé; Chapoulpe; Cape de la Cour Sombre; Bottes de la Cour Sombre; Dofus Turquoise; Dofus Pourpre; Dofus Nébuleux; Dofus Ocre; Enragé majeur; Nomade; Kompost</t>
        </is>
      </c>
    </row>
    <row r="15446">
      <c r="A15446" t="inlineStr">
        <is>
          <t>Reseaux</t>
        </is>
      </c>
      <c r="B15446">
        <f>HYPERLINK("https://www.dofusbook.net/fr/equipement/1932765-reseaux/objets", "link")</f>
        <v/>
      </c>
      <c r="C15446" t="n">
        <v>0</v>
      </c>
      <c r="D15446" t="inlineStr">
        <is>
          <t>Marteau de Katrepat; Amulette du Strigide; Bague Gloursonne; Chevalière du Roi Joueur; Bouclier du Stalak; Ceinture du Strigide; Le Dorado; Cape Reski; Bottes du Cycloïde; Dofus Pourpre; Dofus Ocre; Dofus Nébuleux; Dofus des Glaces; Vigoureux majeur; Robuste majeur; Muldo Roux et Doré</t>
        </is>
      </c>
    </row>
    <row r="15447">
      <c r="A15447" t="inlineStr">
        <is>
          <t>un vs un</t>
        </is>
      </c>
      <c r="B15447">
        <f>HYPERLINK("https://www.dofusbook.net/fr/equipement/1931055-un-vs-un/objets", "link")</f>
        <v/>
      </c>
      <c r="C15447" t="n">
        <v>0</v>
      </c>
      <c r="D15447" t="inlineStr">
        <is>
          <t>Marteau de Katrepat; Amulette du Cycloïde; Alliance Gloursonne; Anneau Chevelu; Bouclier du Stalak; Ceintacé; Couronne du Roi Joueur; Voile d'encre; Bottes du Cycloïde; Dofus Turquoise; Dofus des Glaces; Dofus Ocre; Dokoko; Dolmanax; Dofus Abyssal; Muldo Pourpre</t>
        </is>
      </c>
    </row>
    <row r="15448">
      <c r="A15448" t="inlineStr">
        <is>
          <t>TERRE</t>
        </is>
      </c>
      <c r="B15448">
        <f>HYPERLINK("https://www.dofusbook.net/fr/equipement/1931016-terre/objets", "link")</f>
        <v/>
      </c>
      <c r="C15448" t="n">
        <v>0</v>
      </c>
      <c r="D15448" t="inlineStr">
        <is>
          <t>Marteau R'ture; Amulette du Kamasterisk; Anneau Chevelu; Anneau de Brouce; Ceinture de Gein; Masque de Koutoulou; Cape de la Cour Sombre; Bottes de la Cour Sombre; Dofus des Glaces; Dofus Pourpre; Dofus Turquoise; Dofus Ocre; Dofus Émeraude; Enragé majeur; Muldo Indigo et Pourpre</t>
        </is>
      </c>
    </row>
    <row r="15449">
      <c r="A15449" t="inlineStr">
        <is>
          <t>MULTI</t>
        </is>
      </c>
      <c r="B15449">
        <f>HYPERLINK("https://www.dofusbook.net/fr/equipement/1930996-multi/objets", "link")</f>
        <v/>
      </c>
      <c r="C15449" t="n">
        <v>0</v>
      </c>
      <c r="D15449" t="inlineStr">
        <is>
          <t>Dagues Érhy; Amulette du Strigide; Anneau Chevelu; Bague Gloursonne; Ceinture du Strigide; Masque de Koutoulou; Voile d'encre; Bottes de la Cour Sombre; Dofus Turquoise; Dofus Abyssal; Dofus Vulbis; Dofus Ocre; Dofus Émeraude; Dofus des Glaces; Dragodinde en armure</t>
        </is>
      </c>
    </row>
    <row r="15450">
      <c r="A15450" t="inlineStr">
        <is>
          <t>AIR</t>
        </is>
      </c>
      <c r="B15450">
        <f>HYPERLINK("https://www.dofusbook.net/fr/equipement/1930990-air/objets", "link")</f>
        <v/>
      </c>
      <c r="C15450" t="n">
        <v>4</v>
      </c>
      <c r="D15450" t="inlineStr">
        <is>
          <t>Manthache; Collier du Valet Veinard; Gant du Valet Veinard; Alliance Gloursonne; Menoture; Casque Dragoeuf; Cape Indescriptible; Palmes Trithons; Dofus Émeraude; Dofus des Glaces; Dofus Abyssal; Dofus Ocre; Carapace Air majeur; Cascadeur majeur; Muldo Ebène</t>
        </is>
      </c>
    </row>
    <row r="15451">
      <c r="A15451" t="inlineStr">
        <is>
          <t>eaupvp</t>
        </is>
      </c>
      <c r="B15451">
        <f>HYPERLINK("https://www.dofusbook.net/fr/equipement/1922004-eaupvp/objets", "link")</f>
        <v/>
      </c>
      <c r="C15451" t="n">
        <v>1</v>
      </c>
      <c r="D15451" t="inlineStr">
        <is>
          <t>Sceptre du Roi Joueur; Amulette de Shokkoth; Alliance Gloursonne; Bracelet des Fonds marins; Quatre-feuilles; Poulpagne; Casque Dragoeuf; Cape de la Dame du Hasard; Bottes de la Dame du Hasard; Dofus Pourpre; Dofus Turquoise; Dofus Abyssal; Chanceux majeur; Nomade; Remueur; Dragodinde en armure</t>
        </is>
      </c>
    </row>
    <row r="15452">
      <c r="A15452" t="inlineStr">
        <is>
          <t>eaupvp</t>
        </is>
      </c>
      <c r="B15452">
        <f>HYPERLINK("https://www.dofusbook.net/fr/equipement/1922003-eaupvp/objets", "link")</f>
        <v/>
      </c>
      <c r="C15452" t="n">
        <v>2</v>
      </c>
      <c r="D15452" t="inlineStr">
        <is>
          <t>Sceptre du Roi Joueur; Amulette de Shokkoth; Bracelet des Fonds marins; Alliance Gloursonne; Quatre-feuilles; Poulpagne; Casque Dragoeuf; Cape de la Dame du Hasard; Bottes de la Dame du Hasard; Dofus Turquoise; Dofus Abyssal; Dofus Pourpre; Nomade; Remueur; Chanceux majeur; Dragodinde en armure</t>
        </is>
      </c>
    </row>
    <row r="15453">
      <c r="A15453" t="inlineStr">
        <is>
          <t>eaupvp</t>
        </is>
      </c>
      <c r="B15453">
        <f>HYPERLINK("https://www.dofusbook.net/fr/equipement/1922002-eaupvp/objets", "link")</f>
        <v/>
      </c>
      <c r="C15453" t="n">
        <v>2</v>
      </c>
      <c r="D15453" t="inlineStr">
        <is>
          <t>Sceptre du Roi Joueur; Amulette de Shokkoth; Alliance Gloursonne; Bracelet des Fonds marins; Quatre-feuilles; Poulpagne; Casque Dragoeuf; Cape de la Dame du Hasard; Bottes de la Dame du Hasard; Dofus Pourpre; Dofus Turquoise; Dofus Abyssal; Chanceux majeur; Nomade; Remueur; Dragodinde en armure</t>
        </is>
      </c>
    </row>
    <row r="15454">
      <c r="A15454" t="inlineStr">
        <is>
          <t>agi classique</t>
        </is>
      </c>
      <c r="B15454">
        <f>HYPERLINK("https://www.dofusbook.net/fr/equipement/1921553-agi-classique/objets", "link")</f>
        <v/>
      </c>
      <c r="C15454" t="n">
        <v>0</v>
      </c>
      <c r="D15454" t="inlineStr">
        <is>
          <t>Manthache; Collier du Valet Veinard; Gant du Valet Veinard; Alliance Gloursonne; Jadis; Menoture; Casque Dragoeuf; Cape Indescriptible; Palmes Trithons; Dofus Pourpre; Dofus Émeraude; Cascadeur majeur; Remueur; Vigoureux majeur; Muldo Ebène</t>
        </is>
      </c>
    </row>
    <row r="15455">
      <c r="A15455" t="inlineStr">
        <is>
          <t>eau air</t>
        </is>
      </c>
      <c r="B15455">
        <f>HYPERLINK("https://www.dofusbook.net/fr/equipement/1921541-eau-air/objets", "link")</f>
        <v/>
      </c>
      <c r="C15455" t="n">
        <v>0</v>
      </c>
      <c r="D15455" t="inlineStr">
        <is>
          <t>Marteau des Anciens Steamers; Amulette du Strigide; Anneau Tique; Alliance Gloursonne; Quatre-feuilles; Ceinture du Barbétoal; Kidibonnet; Chevelure de Tal Kasha; Sandales de Tal Kasha; Dofus Turquoise; Dofus des Glaces; Dofus Pourpre; Remueur; Nomade; Dragodinde en armure</t>
        </is>
      </c>
    </row>
    <row r="15456">
      <c r="A15456" t="inlineStr">
        <is>
          <t>Terre air</t>
        </is>
      </c>
      <c r="B15456">
        <f>HYPERLINK("https://www.dofusbook.net/fr/equipement/1908185-terre-air/objets", "link")</f>
        <v/>
      </c>
      <c r="C15456" t="n">
        <v>0</v>
      </c>
      <c r="D15456" t="inlineStr">
        <is>
          <t>Héqache; Amulette du Kamasterisk; Anneau Chevelu; Alliance Gloursonne; Bouclier Taverne; Ceintouse; Casque Dragoeuf; Cape du Kamasterisk; Baleinabottes; Dofus Pourpre; Dofus des Glaces; Dofus Turquoise; Vigoureux majeur; Remueur; Évasif majeur; Muldo Prune et Ebène</t>
        </is>
      </c>
    </row>
    <row r="15457">
      <c r="A15457" t="inlineStr">
        <is>
          <t>Terre</t>
        </is>
      </c>
      <c r="B15457">
        <f>HYPERLINK("https://www.dofusbook.net/fr/equipement/1876065-terre/objets", "link")</f>
        <v/>
      </c>
      <c r="C15457" t="n">
        <v>0</v>
      </c>
      <c r="D15457" t="inlineStr">
        <is>
          <t>Marteau R'ture; Amulette Luminescente; Chevalière du Roi Joueur; Pikano; Quatre-feuilles; Ceinture Luminescente; Couronne du Roi Joueur; Cape Luminescente; Bottes du Roi Joueur; Dolmanax; Dofus Pourpre; Dofus Turquoise; Dofus Ocre; Dofus des Glaces; Forcené majeur; Muldo Prune et Doré</t>
        </is>
      </c>
    </row>
    <row r="15458">
      <c r="A15458" t="inlineStr">
        <is>
          <t>Terre retrait</t>
        </is>
      </c>
      <c r="B15458">
        <f>HYPERLINK("https://www.dofusbook.net/fr/equipement/1914075-terre-retrait/objets", "link")</f>
        <v/>
      </c>
      <c r="C15458" t="n">
        <v>0</v>
      </c>
      <c r="D15458" t="inlineStr">
        <is>
          <t>Marteau R'ture; Amulette Luminescente; Chevalière du Roi Joueur; Pikano; Bouclier cubiste; Ceinture Luminescente; Couronne du Roi Joueur; Cape Luminescente; Bottes du Roi Joueur; Dofus Pourpre; Dofus Ocre; Entraveur; Ralentisseur majeur; Entraveur majeur; Ralentisseur; Muldo Prune et Doré</t>
        </is>
      </c>
    </row>
    <row r="15459">
      <c r="A15459" t="inlineStr">
        <is>
          <t>Full retrait</t>
        </is>
      </c>
      <c r="B15459">
        <f>HYPERLINK("https://www.dofusbook.net/fr/equipement/1895769-full-retrait/objets", "link")</f>
        <v/>
      </c>
      <c r="C15459" t="n">
        <v>1</v>
      </c>
      <c r="D15459" t="inlineStr">
        <is>
          <t>Marteau R'ture; Amulette du Glourséleste; Pikano; Alliance Gloursonne; Bouclier cubiste; Ceinture Instable; Kidibonnet; Cape de la Dame du Hasard; Pikottes; Temporiseur; Temporiseur majeur; Remueur; Ralentisseur majeur; Entraveur; Entraveur majeur; Muldo Ebène et Indigo</t>
        </is>
      </c>
    </row>
    <row r="15460">
      <c r="A15460" t="inlineStr">
        <is>
          <t>Eau agi</t>
        </is>
      </c>
      <c r="B15460">
        <f>HYPERLINK("https://www.dofusbook.net/fr/equipement/1906590-eau-agi/objets", "link")</f>
        <v/>
      </c>
      <c r="C15460" t="n">
        <v>1</v>
      </c>
      <c r="D15460" t="inlineStr">
        <is>
          <t>Bâtonnet Ronien; Amulette du Strigide; Bracelet du Piloztère; Alliance Gloursonne; Quatre-feuilles; Ceinture du Strigide; Kidibonnet; Chevelure de Tal Kasha; Bottes de la Reine des Voleurs; Dofus des Glaces; Dofus Pourpre; Dofus Turquoise; Vigoureux majeur; Nomade; Remueur; Kramkram</t>
        </is>
      </c>
    </row>
    <row r="15461">
      <c r="A15461" t="inlineStr">
        <is>
          <t>feu</t>
        </is>
      </c>
      <c r="B15461">
        <f>HYPERLINK("https://www.dofusbook.net/fr/equipement/1852734-feu/objets", "link")</f>
        <v/>
      </c>
      <c r="C15461" t="n">
        <v>2</v>
      </c>
      <c r="D15461" t="inlineStr">
        <is>
          <t>Harpelle; Pendentif affamé; Anneau Tique; Kralano; Bivalve; Ceinture Séculaire; Coiffe Séculaire; Cape de Diondin; Bottes d'Otomaï; Dofus Turquoise; Remueur; Astucieux majeur; Érudit majeur; Vigoureux majeur; Nomade; Brûlih</t>
        </is>
      </c>
    </row>
    <row r="15462">
      <c r="A15462" t="inlineStr">
        <is>
          <t>Kakaz</t>
        </is>
      </c>
      <c r="B15462">
        <f>HYPERLINK("https://www.dofusbook.net/fr/equipement/1881137-kakaz/objets", "link")</f>
        <v/>
      </c>
      <c r="C15462" t="n">
        <v>2</v>
      </c>
      <c r="D15462" t="inlineStr">
        <is>
          <t>Epée Gloursonne; Amulette du Strigide; Bague Gloursonne; Alliance Gloursonne; Bouclier d'Anerice; Ceinture du Strigide; Masque d'Anerice; Cape d'Anerice; Bottes du Strigide</t>
        </is>
      </c>
    </row>
    <row r="15463">
      <c r="A15463" t="inlineStr">
        <is>
          <t>EAU FEU PVP</t>
        </is>
      </c>
      <c r="B15463">
        <f>HYPERLINK("https://www.dofusbook.net/fr/equipement/1870609-eau-feu-pvp/objets", "link")</f>
        <v/>
      </c>
      <c r="C15463" t="n">
        <v>0</v>
      </c>
      <c r="D15463" t="inlineStr">
        <is>
          <t>Pelle de Katrepat; Amulette Cryochrone; Anneauræus; Alliance Gloursonne; Poulpagne; Casqnoar; Cape de la Dame du Hasard</t>
        </is>
      </c>
    </row>
    <row r="15464">
      <c r="A15464" t="inlineStr">
        <is>
          <t>FEU ESQUIVE PA PM</t>
        </is>
      </c>
      <c r="B15464">
        <f>HYPERLINK("https://www.dofusbook.net/fr/equipement/1863195-feu-esquive-pa-pm/objets", "link")</f>
        <v/>
      </c>
      <c r="C15464" t="n">
        <v>1</v>
      </c>
      <c r="D15464" t="inlineStr">
        <is>
          <t>Rapière aux Glyphes; Amulette de Shokkoth; Alliance Gloursonne; Bracelet des Fonds marins; Bouclier du Sadida; Poulpagne; Casque Dragoeuf; Cape du Sinistrofu; Bottes du Sinistrofu; Dofus Émeraude; Dofus Abyssal; Dofus Ocre; Chanceux majeur; Évasif majeur; Cavaleur majeur; Muldo Indigo</t>
        </is>
      </c>
    </row>
    <row r="15465">
      <c r="A15465" t="inlineStr">
        <is>
          <t>EAU</t>
        </is>
      </c>
      <c r="B15465">
        <f>HYPERLINK("https://www.dofusbook.net/fr/equipement/1855671-eau/objets", "link")</f>
        <v/>
      </c>
      <c r="C15465" t="n">
        <v>0</v>
      </c>
      <c r="D15465" t="inlineStr">
        <is>
          <t>Rapière aux Glyphes; Amulette de Shokkoth; Bracelet des Fonds marins; Poulpagne; Casque Dragoeuf; Sandales des Fonds marins</t>
        </is>
      </c>
    </row>
    <row r="15466">
      <c r="A15466" t="inlineStr">
        <is>
          <t>Feu air</t>
        </is>
      </c>
      <c r="B15466">
        <f>HYPERLINK("https://www.dofusbook.net/fr/equipement/1825886-feu-air/objets", "link")</f>
        <v/>
      </c>
      <c r="C15466" t="n">
        <v>1</v>
      </c>
      <c r="D15466" t="inlineStr">
        <is>
          <t>Baguette Hernelle; Amulette Séculaire; Anneau de Padgref; Kralano; Quatre-feuilles; Ceintacé; Coiffe Séculaire; Cape Hiculteur; Sabots de Vortex; Dofus Turquoise; Cascadeur majeur; Remueur; Érudit majeur; Vigoureux majeur; Nomade; Muldo Prune et Doré</t>
        </is>
      </c>
    </row>
    <row r="15467">
      <c r="A15467" t="inlineStr">
        <is>
          <t>ruiiiik</t>
        </is>
      </c>
      <c r="B15467">
        <f>HYPERLINK("https://www.dofusbook.net/fr/equipement/962175-ruiiiik/objets", "link")</f>
        <v/>
      </c>
      <c r="C15467" t="n">
        <v>0</v>
      </c>
      <c r="D15467" t="inlineStr">
        <is>
          <t>Dagues Ruik; Amulette du Strigide; Anneau de Padgref; Alliance Gloursonne; Bouclier du Captain Amakna; Ceintacé; Chapibou; Cape Indescriptible; Getas de Padgref; Dofus Ocre; Dofus Pourpre; Dofus Turquoise; Dofus des Glaces; Dévastateur Air majeur; Vigoureux majeur; Muldo Prune et Emeraude</t>
        </is>
      </c>
    </row>
    <row r="15468">
      <c r="A15468" t="inlineStr">
        <is>
          <t>koutou</t>
        </is>
      </c>
      <c r="B15468">
        <f>HYPERLINK("https://www.dofusbook.net/fr/equipement/936559-koutou/objets", "link")</f>
        <v/>
      </c>
      <c r="C15468" t="n">
        <v>1</v>
      </c>
      <c r="D15468" t="inlineStr">
        <is>
          <t>Arc de Koutoulou; Amulette du Strigide; Bracelet du Piloztère; Alliance Gloursonne; Quatre-feuilles; Ceinture du Strigide; Némès de Tal Kasha; Chevelure de Tal Kasha; Bottes du Strigide; Dofus Turquoise; Dofus Ocre; Dofus des Glaces; Dofus Nébuleux; Dofus Pourpre; Dofus Émeraude; Muldo Indigo et Emeraude</t>
        </is>
      </c>
    </row>
    <row r="15469">
      <c r="A15469" t="inlineStr">
        <is>
          <t>chaloeil</t>
        </is>
      </c>
      <c r="B15469">
        <f>HYPERLINK("https://www.dofusbook.net/fr/equipement/808666-chaloeil/objets", "link")</f>
        <v/>
      </c>
      <c r="C15469" t="n">
        <v>0</v>
      </c>
      <c r="D15469" t="inlineStr">
        <is>
          <t>Hache du Chalœil; Amulette du Strigide; Alliance de Missiz Frizz; Bague Gloursonne; Bouclier du Captain Amakna; Ceinture du Strigide; Casque de Missiz Frizz; Voile d'encre; Bottes du Strigide; Dofus Turquoise; Dolmanax; Dofus Ocre; Dofus Pourpre; Dofus des Glaces; Forcené majeur; Kramkram</t>
        </is>
      </c>
    </row>
    <row r="15470">
      <c r="A15470" t="inlineStr">
        <is>
          <t>Stuff 1</t>
        </is>
      </c>
      <c r="B15470">
        <f>HYPERLINK("https://www.dofusbook.net/fr/equipement/104295-stuff-1/objets", "link")</f>
        <v/>
      </c>
      <c r="C15470" t="n">
        <v>0</v>
      </c>
      <c r="D15470" t="inlineStr">
        <is>
          <t>Pelle Rhon; Crolier; Gelano; Sceau Souverain du Roissingue; Ceinture de Soissanth; Casquoporth; Cape du Kaniblou; Les Maidartes; Dofus Turquoise; Chanceux majeur; Nomade; Remueur; Vigoureux majeur; Miraculé majeur; Dehluge</t>
        </is>
      </c>
    </row>
    <row r="15471">
      <c r="A15471" t="inlineStr">
        <is>
          <t>Stuff 3</t>
        </is>
      </c>
      <c r="B15471">
        <f>HYPERLINK("https://www.dofusbook.net/fr/equipement/104297-stuff-3/objets", "link")</f>
        <v/>
      </c>
      <c r="C15471" t="n">
        <v>0</v>
      </c>
      <c r="D15471" t="inlineStr">
        <is>
          <t>Az'tech; Pendentif Oton; Anneau Bliteré; Anneau Aimgéroks; Ceinture d'Ogivol; Binocle Airvoyant; Cape d'Hel Munster; Sandales Circulaires du Kimbo; Dofus Turquoise; Dofus Pourpre; Remueur; Vigoureux majeur; Miraculé majeur; Nomade</t>
        </is>
      </c>
    </row>
    <row r="15472">
      <c r="A15472" t="inlineStr">
        <is>
          <t>Stuff 2</t>
        </is>
      </c>
      <c r="B15472">
        <f>HYPERLINK("https://www.dofusbook.net/fr/equipement/104296-stuff-2/objets", "link")</f>
        <v/>
      </c>
      <c r="C15472" t="n">
        <v>0</v>
      </c>
      <c r="D15472" t="inlineStr">
        <is>
          <t>Bâton K'Tueuh; Crolier; Sceau Souverain du Roissingue; Gelano; Ceintrémorse; Bonnet Ko; Corbacape Mastralis; Bottes de Grozilla; Dofus Turquoise; Remueur; Vigoureux majeur; Miraculé majeur; Chanceux majeur; Nomade; Dehluge</t>
        </is>
      </c>
    </row>
    <row r="15473">
      <c r="A15473" t="inlineStr">
        <is>
          <t>Sram M 200</t>
        </is>
      </c>
      <c r="B15473">
        <f>HYPERLINK("https://www.dofusbook.net/fr/equipement/5905677-sram-m-200/objets", "link")</f>
        <v/>
      </c>
      <c r="C15473" t="n">
        <v>0</v>
      </c>
      <c r="D15473" t="inlineStr">
        <is>
          <t>Manthache; Collier du Valet Veinard; Alliance Gloursonne; Gant du Valet Veinard; Bouclier du Stalak; Menoture; Couronne d'Allister; Cape Indescriptible; Bottes de la Reine des Voleurs; Nomade; Carapace Neutre majeur; Remueur; Carapace Air majeur; Fonceur majeur; Cascadeur majeur; Pykur</t>
        </is>
      </c>
    </row>
    <row r="15474">
      <c r="A15474" t="inlineStr">
        <is>
          <t>Sram M 200</t>
        </is>
      </c>
      <c r="B15474">
        <f>HYPERLINK("https://www.dofusbook.net/fr/equipement/5633947-sram-m-200/objets", "link")</f>
        <v/>
      </c>
      <c r="C15474" t="n">
        <v>2</v>
      </c>
      <c r="D15474" t="inlineStr">
        <is>
          <t>Arc de Koutoulou; Amulette d'Ilyzaelle; Alliance Gloursonne; Gant du Valet Veinard; Bouclier du Stalak; Menoture; Casque d'Ilyzaelle; Cape d'Hel Munster; Bottes Voldelor; Cascadeur majeur; Remueur; Carapace Air majeur; Chanceux majeur; Carapace Eau majeur; Nomade; Mini Wa</t>
        </is>
      </c>
    </row>
    <row r="15475">
      <c r="A15475" t="inlineStr">
        <is>
          <t>Xélor M 200</t>
        </is>
      </c>
      <c r="B15475">
        <f>HYPERLINK("https://www.dofusbook.net/fr/equipement/4081048-xelor-m-200/objets", "link")</f>
        <v/>
      </c>
      <c r="C15475" t="n">
        <v>0</v>
      </c>
      <c r="D15475" t="inlineStr">
        <is>
          <t>Sceptre du Roi Joueur; Amulette de Shokkoth; Alliance Gloursonne; Pikano; Bouclier du Captain Amakna; Ceintacé; Némès de Tal Kasha; Chevelure de Tal Kasha; Bottes de la Reine des Voleurs; Dofus Turquoise; Carapace Air majeur; Nomade; Remueur; Carapace Terre majeur; Chanceux majeur; Muldo Indigo et Orchidée</t>
        </is>
      </c>
    </row>
    <row r="15476">
      <c r="A15476" t="inlineStr">
        <is>
          <t>terre/air</t>
        </is>
      </c>
      <c r="B15476">
        <f>HYPERLINK("https://www.dofusbook.net/fr/equipement/3167210-terre-air/objets", "link")</f>
        <v/>
      </c>
      <c r="C15476" t="n">
        <v>3</v>
      </c>
      <c r="D15476" t="inlineStr">
        <is>
          <t>Manthache; Amulette du Strigide; Alliance Gloursonne; Gant du Valet Veinard; Quatre-feuilles; Ceintacé; Némès de Tal Kasha; Chevelure de Tal Kasha; Bottes du Cycloïde; Dofus Turquoise; Cascadeur majeur; Carapace Air majeur; Vigoureux majeur; Carapace Feu majeur; Remueur; Muldo Indigo et Orchidée</t>
        </is>
      </c>
    </row>
    <row r="15477">
      <c r="A15477" t="inlineStr">
        <is>
          <t>Xélor M 200</t>
        </is>
      </c>
      <c r="B15477">
        <f>HYPERLINK("https://www.dofusbook.net/fr/equipement/3928608-xelor-m-200/objets", "link")</f>
        <v/>
      </c>
      <c r="C15477" t="n">
        <v>2</v>
      </c>
      <c r="D15477" t="inlineStr">
        <is>
          <t>Marteau R'ture; Collier de Tourthon; Anneau Chevelu; Bague Gloursonne; Bouclier du Captain Amakna; Ceinture de la Cour Sombre; Masque de Koutoulou; Cape au Logis; Bottes de la Cour Sombre; Dofus Turquoise; Vigoureux majeur; Carapace Eau majeur; Enragé majeur; Remueur; Carapace Terre majeur; Titard</t>
        </is>
      </c>
    </row>
    <row r="15478">
      <c r="A15478" t="inlineStr">
        <is>
          <t>Xélor M 200</t>
        </is>
      </c>
      <c r="B15478">
        <f>HYPERLINK("https://www.dofusbook.net/fr/equipement/3932650-xelor-m-200/objets", "link")</f>
        <v/>
      </c>
      <c r="C15478" t="n">
        <v>1</v>
      </c>
      <c r="D15478" t="inlineStr">
        <is>
          <t>Manthache; Collier du Valet Veinard; Gant du Valet Veinard; Alliance Gloursonne; Quatre-feuilles; Menoture; Dorabysses; Cape Indescriptible; Palmes Trithons; Remueur; Nomade; Carapace Terre majeur; Cascadeur majeur; Carapace Air majeur; Vigoureux majeur; Muldo Ebène</t>
        </is>
      </c>
    </row>
    <row r="15479">
      <c r="A15479" t="inlineStr">
        <is>
          <t>Stuff 1</t>
        </is>
      </c>
      <c r="B15479">
        <f>HYPERLINK("https://www.dofusbook.net/fr/equipement/238939-stuff-1/objets", "link")</f>
        <v/>
      </c>
      <c r="C15479" t="n">
        <v>0</v>
      </c>
      <c r="D15479" t="inlineStr">
        <is>
          <t>Arc de Koutoulou; Amulette du Strigide; Alliance Gloursonne; Quatre-feuilles; Ceintacé; Némès de Tal Kasha; Chevelure de Tal Kasha; Bottes de la Reine des Voleurs; Cascadeur majeur; Nomade; Vigoureux majeur; Chanceux majeur; Miraculé majeur; Remueur; Muldo Orchidée et Pourpre</t>
        </is>
      </c>
    </row>
    <row r="15480">
      <c r="A15480" t="inlineStr">
        <is>
          <t>Stuff 1</t>
        </is>
      </c>
      <c r="B15480">
        <f>HYPERLINK("https://www.dofusbook.net/fr/equipement/238930-stuff-1/objets", "link")</f>
        <v/>
      </c>
      <c r="C15480" t="n">
        <v>1</v>
      </c>
      <c r="D15480" t="inlineStr">
        <is>
          <t>Hache du Chalœil; Amulette du Strigide; Alliance du Lévitrof; Bague Gloursonne; Bouclier cubiste; Ceintacé; Masque de Koutoulou; Cape des Malveilleurs; Bottes du Strigide; Carapace Eau majeur; Remueur; Chanceux majeur; Vigoureux majeur; Enragé majeur; Nomade; Muldo Pourpre</t>
        </is>
      </c>
    </row>
    <row r="15481">
      <c r="A15481" t="inlineStr">
        <is>
          <t>Pandawa M 200</t>
        </is>
      </c>
      <c r="B15481">
        <f>HYPERLINK("https://www.dofusbook.net/fr/equipement/3250337-pandawa-m-200/objets", "link")</f>
        <v/>
      </c>
      <c r="C15481" t="n">
        <v>0</v>
      </c>
      <c r="D15481" t="inlineStr">
        <is>
          <t>Arc corrompu; Amulette d'Otomaï; Kralano; Anneau de Nidas; Bouclier cubiste; Ceinture Séculaire; Coiffe Séculaire; Cape de Diondin; Bottes du Cycloïde; Carapace Feu majeur; Nomade; Fonceur majeur; Érudit majeur; Carapace Eau majeur; Remueur; Muldo Pourpre</t>
        </is>
      </c>
    </row>
    <row r="15482">
      <c r="A15482" t="inlineStr">
        <is>
          <t>eau/air</t>
        </is>
      </c>
      <c r="B15482">
        <f>HYPERLINK("https://www.dofusbook.net/fr/equipement/2729337-eau-air/objets", "link")</f>
        <v/>
      </c>
      <c r="C15482" t="n">
        <v>0</v>
      </c>
      <c r="D15482" t="inlineStr">
        <is>
          <t>Sceptre du Roi Joueur; Amulette de Shokkoth; Alliance Gloursonne; Pikano; Bouclier cubiste; Ceintacé; Kidibonnet; Cape Ovri; Pikottes; Carapace Terre majeur; Remueur; Chanceux majeur; Carapace Air majeur; Temporiseur majeur; Nomade; Muldo Indigo</t>
        </is>
      </c>
    </row>
    <row r="15483">
      <c r="A15483" t="inlineStr">
        <is>
          <t>feu</t>
        </is>
      </c>
      <c r="B15483">
        <f>HYPERLINK("https://www.dofusbook.net/fr/equipement/3196148-feu/objets", "link")</f>
        <v/>
      </c>
      <c r="C15483" t="n">
        <v>0</v>
      </c>
      <c r="D15483" t="inlineStr">
        <is>
          <t>Dagues Ricol; Amulette du Strigide; Anneau de Padgref; Bague Gloursonne; Bouclier du Captain Amakna; Ceintacé; Coiffe Séculaire; Cape de Diondin; Bottes du Strigide; Carapace Terre majeur; Vigoureux majeur; Érudit majeur; Nomade; Enragé majeur; Remueur; Muldo Orchidée</t>
        </is>
      </c>
    </row>
    <row r="15484">
      <c r="A15484" t="inlineStr">
        <is>
          <t>feu</t>
        </is>
      </c>
      <c r="B15484">
        <f>HYPERLINK("https://www.dofusbook.net/fr/equipement/3162993-feu/objets", "link")</f>
        <v/>
      </c>
      <c r="C15484" t="n">
        <v>0</v>
      </c>
      <c r="D15484" t="inlineStr">
        <is>
          <t>Harpelle; Amulette du Strigide; Chevalière du Roi Joueur; Bague Gloursonne; Quatre-feuilles; Ceintacé; Couronne de Nidas; Cape de Diondin; Bottes du Strigide; Dofus Turquoise; Vigoureux majeur; Nomade; Érudit majeur; Carapace Terre majeur; Remueur; Muldo Indigo et Orchidée</t>
        </is>
      </c>
    </row>
    <row r="15485">
      <c r="A15485" t="inlineStr">
        <is>
          <t>stri/glour</t>
        </is>
      </c>
      <c r="B15485">
        <f>HYPERLINK("https://www.dofusbook.net/fr/equipement/1906892-stri-glour/objets", "link")</f>
        <v/>
      </c>
      <c r="C15485" t="n">
        <v>0</v>
      </c>
      <c r="D15485" t="inlineStr">
        <is>
          <t>Epée Gloursonne; Amulette du Strigide; Bague Gloursonne; Alliance Gloursonne; Bouclier cubiste; Ceinture du Strigide; Masque de Koutoulou; Cape au Logis; Bottes du Strigide; Dofus Turquoise; Dofus des Glaces; Savant majeur; Furibond majeur; Joueur majeur; Examinateur; Muldo Indigo et Pourpre</t>
        </is>
      </c>
    </row>
    <row r="15486">
      <c r="A15486" t="inlineStr">
        <is>
          <t>Terre</t>
        </is>
      </c>
      <c r="B15486">
        <f>HYPERLINK("https://www.dofusbook.net/fr/equipement/238924-terre/objets", "link")</f>
        <v/>
      </c>
      <c r="C15486" t="n">
        <v>0</v>
      </c>
      <c r="D15486" t="inlineStr">
        <is>
          <t>Marteau R'ture; Amulette du Strigide; Anneau de Brouce; Anneau Chevelu; Bouclier du Captain Amakna; Ceintacé; Masque de Koutoulou; Cape au Logis; Bottes de Brouce; Enragé majeur; Vigoureux majeur; Nomade; Carapace Terre majeur; Dévastateur Terre majeur; Remueur; Kramkram</t>
        </is>
      </c>
    </row>
    <row r="15487">
      <c r="A15487" t="inlineStr">
        <is>
          <t>eau/air</t>
        </is>
      </c>
      <c r="B15487">
        <f>HYPERLINK("https://www.dofusbook.net/fr/equipement/238928-eau-air/objets", "link")</f>
        <v/>
      </c>
      <c r="C15487" t="n">
        <v>0</v>
      </c>
      <c r="D15487" t="inlineStr">
        <is>
          <t>Arc de Koutoulou; Amulette du Strigide; Pikano; Alliance Gloursonne; Quatre-feuilles; Ceintacé; Némès de Tal Kasha; Chevelure de Tal Kasha; Bottes de la Reine des Voleurs; Dofus Turquoise; Cascadeur majeur; Remueur; Chanceux majeur; Carapace Air majeur; Nomade; Muldo Indigo et Orchidée</t>
        </is>
      </c>
    </row>
    <row r="15488">
      <c r="A15488" t="inlineStr">
        <is>
          <t>Eratz</t>
        </is>
      </c>
      <c r="B15488">
        <f>HYPERLINK("https://www.dofusbook.net/fr/equipement/2799847-eratz/objets", "link")</f>
        <v/>
      </c>
      <c r="C15488" t="n">
        <v>0</v>
      </c>
      <c r="D15488" t="inlineStr">
        <is>
          <t>Ougarteau; Kralamansion; Annolamour; Kralano; Ougature; Ougalurette; Voile d'encre; Sandales Circulaires du Kimbo</t>
        </is>
      </c>
    </row>
    <row r="15489">
      <c r="A15489" t="inlineStr">
        <is>
          <t>Stuff 1</t>
        </is>
      </c>
      <c r="B15489">
        <f>HYPERLINK("https://www.dofusbook.net/fr/equipement/238921-stuff-1/objets", "link")</f>
        <v/>
      </c>
      <c r="C15489" t="n">
        <v>1</v>
      </c>
      <c r="D15489" t="inlineStr">
        <is>
          <t>Harpelle; Amulette d'Otomaï; Anneau de Nidas; Bague Gloursonne; Bouclier Akwadala; Ceinture Séculaire; Coiffe Séculaire; Cape de Diondin; Pataugastrique; Carapace Terre majeur; Remueur; Dévastateur Feu majeur; Nomade; Érudit majeur; Guérisseur majeur; Muldo Orchidée</t>
        </is>
      </c>
    </row>
    <row r="15490">
      <c r="A15490" t="inlineStr">
        <is>
          <t>multi</t>
        </is>
      </c>
      <c r="B15490">
        <f>HYPERLINK("https://www.dofusbook.net/fr/equipement/696080-multi/objets", "link")</f>
        <v/>
      </c>
      <c r="C15490" t="n">
        <v>0</v>
      </c>
      <c r="D15490" t="inlineStr">
        <is>
          <t>Arc de Guten Tak; Amulette du Strigide; Pikano; Bracelet du Piloztère; Bouclier cubiste; Ceintacé; Casquipik; Cape Ovri; Pataugastrique; Dofus Pourpre; Dofus des Glaces; Nomade; Remueur; Vigoureux majeur; Carapace Eau majeur; Muldo Pourpre</t>
        </is>
      </c>
    </row>
    <row r="15491">
      <c r="A15491" t="inlineStr">
        <is>
          <t>air</t>
        </is>
      </c>
      <c r="B15491">
        <f>HYPERLINK("https://www.dofusbook.net/fr/equipement/1744096-air/objets", "link")</f>
        <v/>
      </c>
      <c r="C15491" t="n">
        <v>0</v>
      </c>
      <c r="D15491" t="inlineStr">
        <is>
          <t>Épée du Granduk; Pendentif Oton; Anneau d'Allister; Alliance Gloursonne; Bouclier cubiste; Ceintacé; Couronne d'Allister; Cape Matelassée; Bottes de la Reine des Voleurs; Acrobate majeur; Dévastateur Air majeur; Carapace Air majeur; Nomade; Cascadeur majeur; Remueur; Muldo Pourpre</t>
        </is>
      </c>
    </row>
    <row r="15492">
      <c r="A15492" t="inlineStr">
        <is>
          <t>fuji</t>
        </is>
      </c>
      <c r="B15492">
        <f>HYPERLINK("https://www.dofusbook.net/fr/equipement/1742728-fuji/objets", "link")</f>
        <v/>
      </c>
      <c r="C15492" t="n">
        <v>0</v>
      </c>
      <c r="D15492" t="inlineStr">
        <is>
          <t>Héqache; Amulette du Strigide; Gant du Valet Veinard; Bague Gloursonne; Bouclier du Captain Amakna; Ceintacé; Coiffe de la Fuji Givrefoux; Cape de la Fuji Givrefoux; Bottes du Cycloïde; Observateur; Remueur; Sanguinaire majeur; Vigoureux majeur; Cascadeur majeur; Enragé majeur; Muldo Orchidée et Pourpre</t>
        </is>
      </c>
    </row>
    <row r="15493">
      <c r="A15493" t="inlineStr">
        <is>
          <t>terre</t>
        </is>
      </c>
      <c r="B15493">
        <f>HYPERLINK("https://www.dofusbook.net/fr/equipement/1737101-terre/objets", "link")</f>
        <v/>
      </c>
      <c r="C15493" t="n">
        <v>0</v>
      </c>
      <c r="D15493" t="inlineStr">
        <is>
          <t>Héqache; Amulette du Strigide; Bague Gloursonne; Anneau de Brouce; Bouclier du Captain Amakna; Ceintacé; Masque de Koutoulou; Cape au Logis; Bottes de Brouce; Cascadeur majeur; Enragé majeur; Observateur; Remueur; Sanguinaire majeur; Vigoureux majeur; Muldo Pourpre</t>
        </is>
      </c>
    </row>
    <row r="15494">
      <c r="A15494" t="inlineStr">
        <is>
          <t>uk15</t>
        </is>
      </c>
      <c r="B15494">
        <f>HYPERLINK("https://www.dofusbook.net/fr/equipement/1691942-uk15/objets", "link")</f>
        <v/>
      </c>
      <c r="C15494" t="n">
        <v>0</v>
      </c>
      <c r="D15494" t="inlineStr">
        <is>
          <t>Hache du Chalœil; Amulette du Strigide; Alliance du Lévitrof; Bague Gloursonne; Bouclier cubiste; Ceintacé; Masque de Koutoulou; Cape des Malveilleurs; Bottes du Strigide; Dolmanax; Carapace Eau majeur; Nomade; Vigoureux majeur; Remueur; Muldo Pourpre</t>
        </is>
      </c>
    </row>
    <row r="15495">
      <c r="A15495" t="inlineStr">
        <is>
          <t>new</t>
        </is>
      </c>
      <c r="B15495">
        <f>HYPERLINK("https://www.dofusbook.net/fr/equipement/5193335-new/objets", "link")</f>
        <v/>
      </c>
      <c r="C15495" t="n">
        <v>2</v>
      </c>
      <c r="D15495" t="inlineStr">
        <is>
          <t>Arc du Chalœil; Amulette du Strigide; Anneau Volkorne; Bracelet du Piloztère; Quatre-feuilles; Ceinture Volkorne; Masque de Koutoulou; Cape au Logis; Bottes du Cœur Saignant; Dofus Turquoise; Dofus Ébène; Dofus Ocre; Dofus Ivoire; Dofus Abyssal; Enragé majeur; Pioute vert</t>
        </is>
      </c>
    </row>
    <row r="15496">
      <c r="A15496" t="inlineStr">
        <is>
          <t>Air/feu baguette</t>
        </is>
      </c>
      <c r="B15496">
        <f>HYPERLINK("https://www.dofusbook.net/fr/equipement/487095-air-feu-baguette/objets", "link")</f>
        <v/>
      </c>
      <c r="C15496" t="n">
        <v>3</v>
      </c>
      <c r="D15496" t="inlineStr">
        <is>
          <t>Baguette Range; Amulette du Strigide; Bague Gloursonne; Anneau de Padgref; Quatre-feuilles; Ceinture du Strigide; Coiffe de Padgref; Voile d'encre; Getas de Padgref; Dofus des Glaces; Dofus Nébuleux; Dofus Vulbis; Dofus Pourpre; Dofus Ocre; Dofus Turquoise; Kokulte</t>
        </is>
      </c>
    </row>
    <row r="15497">
      <c r="A15497" t="inlineStr">
        <is>
          <t>zinedeine3</t>
        </is>
      </c>
      <c r="B15497">
        <f>HYPERLINK("https://www.dofusbook.net/fr/equipement/5432895-zinedeine3/objets", "link")</f>
        <v/>
      </c>
      <c r="C15497" t="n">
        <v>1</v>
      </c>
      <c r="D15497" t="inlineStr">
        <is>
          <t>Dagues du Dragoeuf; Amulette du Strigide; Bague Gloursonne; Alliance Gloursonne; Bouclier Taverne; Ceinture du Strigide; Corne de Torkélonia; Carapace de Torkélonia; Bottes du Strigide; Dofus Turquoise; Dofus Ivoire; Dofus Vulbis; Dofus Ocre; Dofus Pourpre; Dofus Abyssal; Kokulte</t>
        </is>
      </c>
    </row>
    <row r="15498">
      <c r="A15498" t="inlineStr">
        <is>
          <t>terrairdist</t>
        </is>
      </c>
      <c r="B15498">
        <f>HYPERLINK("https://www.dofusbook.net/fr/equipement/5380583-terrairdist/objets", "link")</f>
        <v/>
      </c>
      <c r="C15498" t="n">
        <v>3</v>
      </c>
      <c r="D15498" t="inlineStr">
        <is>
          <t>Baguette de Torkélonia; Amulette du Strigide; Bague Gloursonne; Anneau des égarés; Quatre-feuilles; Ceinture du Strigide; Corne de Torkélonia; Carapace de Torkélonia; Bottes des égarés; Dofus Pourpre; Dofus Nébuleux; Dofus Turquoise; Dofus Ivoire; Dofus Vulbis; Dofus Ocre; Kokulte</t>
        </is>
      </c>
    </row>
    <row r="15499">
      <c r="A15499" t="inlineStr">
        <is>
          <t>eaurox</t>
        </is>
      </c>
      <c r="B15499">
        <f>HYPERLINK("https://www.dofusbook.net/fr/equipement/5397754-eaurox/objets", "link")</f>
        <v/>
      </c>
      <c r="C15499" t="n">
        <v>3</v>
      </c>
      <c r="D15499" t="inlineStr">
        <is>
          <t>Sceptre du Roi Joueur; Amulette de l'Œil Attentif; Anneau Volkorne; Bracelet des Fonds marins; Cadran d'Air; Poulpagne; Capuche de l'Œil Attentif; Cape du Sinistrofu; Bottes du Sinistrofu; Dofus Abyssal; Dofus Pourpre; Kanigloups</t>
        </is>
      </c>
    </row>
    <row r="15500">
      <c r="A15500" t="inlineStr">
        <is>
          <t>ZINEDINE2</t>
        </is>
      </c>
      <c r="B15500">
        <f>HYPERLINK("https://www.dofusbook.net/fr/equipement/5388542-zinedine2/objets", "link")</f>
        <v/>
      </c>
      <c r="C15500" t="n">
        <v>1</v>
      </c>
      <c r="D15500" t="inlineStr">
        <is>
          <t>Héqache; Amulette du Strigide; Bague Gloursonne; Bague Trithon; Bouclier Taverne; Ceinture du Strigide; Corne de Torkélonia; Carapace de Torkélonia; Bottes Trithon; Dofus Vulbis; Dofus Ocre; Dofus Pourpre; Dofus Abyssal; Dofus Turquoise; Dofus Ivoire; Kokulte</t>
        </is>
      </c>
    </row>
    <row r="15501">
      <c r="A15501" t="inlineStr">
        <is>
          <t>ZINEDIIIINE</t>
        </is>
      </c>
      <c r="B15501">
        <f>HYPERLINK("https://www.dofusbook.net/fr/equipement/5255417-zinediiiine/objets", "link")</f>
        <v/>
      </c>
      <c r="C15501" t="n">
        <v>3</v>
      </c>
      <c r="D15501" t="inlineStr">
        <is>
          <t>Héqache; Amulette du Strigide; Alliance Gloursonne; Bague Gloursonne; Bouclier Taverne; Ceinture du Strigide; Corne de Torkélonia; Carapace de Torkélonia; Bottes du Strigide; Dofus Turquoise; Dofus Ivoire; Dofus Vulbis; Dofus Ocre; Dofus Pourpre; Dofus Abyssal; Kokulte</t>
        </is>
      </c>
    </row>
    <row r="15502">
      <c r="A15502" t="inlineStr">
        <is>
          <t>terre feu volk</t>
        </is>
      </c>
      <c r="B15502">
        <f>HYPERLINK("https://www.dofusbook.net/fr/equipement/3685071-terre-feu-volk/objets", "link")</f>
        <v/>
      </c>
      <c r="C15502" t="n">
        <v>2</v>
      </c>
      <c r="D15502" t="inlineStr">
        <is>
          <t>Dagues du Dragoeuf; Amulette Volkorne; Bague Gloursonne; Chevalière du Roi Joueur; Cadran d'Eau; Ceinture Volkorne; Couronne du Roi Joueur; Cape de Jahash Jurgen; Bottes du Roi Joueur; Dofus Ébène; Dofus Vulbis; Dofus Pourpre; Dofus Ivoire; Dofus Turquoise; Dofus Ocre; Cromeugnon</t>
        </is>
      </c>
    </row>
    <row r="15503">
      <c r="A15503" t="inlineStr">
        <is>
          <t>jaichaud</t>
        </is>
      </c>
      <c r="B15503">
        <f>HYPERLINK("https://www.dofusbook.net/fr/equipement/2556805-jaichaud/objets", "link")</f>
        <v/>
      </c>
      <c r="C15503" t="n">
        <v>1</v>
      </c>
      <c r="D15503" t="inlineStr">
        <is>
          <t>Arc corrompu; Amulette Volkorne; Anneau Tique; Anneauræus; Cadran de Terre; Ceinture Volkorne; Heaume Oplate; Voile d'encre; Bottes Innommables; Dofus Vulbis; Dofus Pourpre; Dofus Abyssal; Dofus Ocre; Dofus Ivoire; Érudit majeur; Dragodinde Ivoire et Orchidée</t>
        </is>
      </c>
    </row>
    <row r="15504">
      <c r="A15504" t="inlineStr">
        <is>
          <t>mundofousstac</t>
        </is>
      </c>
      <c r="B15504">
        <f>HYPERLINK("https://www.dofusbook.net/fr/equipement/5331864-mundofousstac/objets", "link")</f>
        <v/>
      </c>
      <c r="C15504" t="n">
        <v>7</v>
      </c>
      <c r="D15504" t="inlineStr">
        <is>
          <t>Crocobur; Amulette de Shokkoth; Anneau Volkorne; Bracelet des Fonds marins; Bouclier d'Ilyzaelle; Poulpagne; Casque Dragoeuf; Cape Solution; Sandales des Fonds marins; Dofus Abyssal; Dofus Vulbis; Dofus Ébène; Dofus Pourpre; Dofus Ivoire; Chanceux majeur; Kanigloups</t>
        </is>
      </c>
    </row>
    <row r="15505">
      <c r="A15505" t="inlineStr">
        <is>
          <t>mundorox</t>
        </is>
      </c>
      <c r="B15505">
        <f>HYPERLINK("https://www.dofusbook.net/fr/equipement/5330691-mundorox/objets", "link")</f>
        <v/>
      </c>
      <c r="C15505" t="n">
        <v>12</v>
      </c>
      <c r="D15505" t="inlineStr">
        <is>
          <t>Crocobur; Amulette de l'Œil Attentif; Anneau Volkorne; Bracelet des Fonds marins; Bouclier d'Ilyzaelle; Ceinture Volkorne; Masque des Fonds marins; Cape de l'Œil Attentif; Sandales des Fonds marins; Dofus Ébène; Dofus Ocre; Dofus Pourpre; Dofus Ivoire; Dofus Abyssal; Dofus Vulbis; Kanigloups</t>
        </is>
      </c>
    </row>
    <row r="15506">
      <c r="A15506" t="inlineStr">
        <is>
          <t>DR.MUNDOFOUSSE</t>
        </is>
      </c>
      <c r="B15506">
        <f>HYPERLINK("https://www.dofusbook.net/fr/equipement/4361074-dr-mundofousse/objets", "link")</f>
        <v/>
      </c>
      <c r="C15506" t="n">
        <v>11</v>
      </c>
      <c r="D15506" t="inlineStr">
        <is>
          <t>Crocobur; Amulette d'Ilyzaelle; Anneau Volkorne; Alliance Gloursonne; Bouclier d'Ilyzaelle; Poulpagne; Casque Dragoeuf; Cape Solution; Bottes du Sinistrofu; Dofus Ébène; Dofus Pourpre; Dofus Ivoire; Dofus Abyssal; Dofus Vulbis; Chanceux majeur; Kanigloups</t>
        </is>
      </c>
    </row>
    <row r="15507">
      <c r="A15507" t="inlineStr">
        <is>
          <t>air feu zaram</t>
        </is>
      </c>
      <c r="B15507">
        <f>HYPERLINK("https://www.dofusbook.net/fr/equipement/5256575-air-feu-zaram/objets", "link")</f>
        <v/>
      </c>
      <c r="C15507" t="n">
        <v>2</v>
      </c>
      <c r="D15507" t="inlineStr">
        <is>
          <t>Baguette Range; Amulette du Strigide; Bague Gloursonne; Bague Trithon; Quatre-feuilles; Ceinture du Strigide; Masque Trithon; Voile d'encre; Bottes Trithon; Dofus Ocre; Dofus Nébuleux; Dofus des Glaces; Dofus Pourpre; Dofus Turquoise; Kokulte</t>
        </is>
      </c>
    </row>
    <row r="15508">
      <c r="A15508" t="inlineStr">
        <is>
          <t>Feu</t>
        </is>
      </c>
      <c r="B15508">
        <f>HYPERLINK("https://www.dofusbook.net/fr/equipement/2294126-feu/objets", "link")</f>
        <v/>
      </c>
      <c r="C15508" t="n">
        <v>10</v>
      </c>
      <c r="D15508" t="inlineStr">
        <is>
          <t>Arc corrompu; Amulette de Nileza; Anneauræus; Bague Gloursonne; Cadran de Terre; Heaume Oplate; Cape de Nileza; Bottes Innommables; Dofus Ivoire; Dofus Ocre; Dofus Turquoise; Dofus Ébène; Érudit majeur; Nomade; Dragodinde Ivoire et Orchidée</t>
        </is>
      </c>
    </row>
    <row r="15509">
      <c r="A15509" t="inlineStr">
        <is>
          <t>eau</t>
        </is>
      </c>
      <c r="B15509">
        <f>HYPERLINK("https://www.dofusbook.net/fr/equipement/5120485-eau/objets", "link")</f>
        <v/>
      </c>
      <c r="C15509" t="n">
        <v>3</v>
      </c>
      <c r="D15509" t="inlineStr">
        <is>
          <t>Sceptre du Roi Joueur; Amulette de Shokkoth; Alliance Gloursonne; Cadran de Terre; Culotte de Bethel; Masque de Funespadon; Cape Solution</t>
        </is>
      </c>
    </row>
    <row r="15510">
      <c r="A15510" t="inlineStr">
        <is>
          <t>tereau2</t>
        </is>
      </c>
      <c r="B15510">
        <f>HYPERLINK("https://www.dofusbook.net/fr/equipement/5228596-tereau2/objets", "link")</f>
        <v/>
      </c>
      <c r="C15510" t="n">
        <v>1</v>
      </c>
      <c r="D15510" t="inlineStr">
        <is>
          <t>Dagues de Srambad; Amulette Volkorne; Anneau en Grithril; Anneau Volkorne; Cadran d'Eau; Ceinture Volkorne; Casque en Grithril; Voile d'encre; Bottes Honyme; Dofus Ocre; Dofus des Glaces; Dofus Ivoire; Dofus Abyssal; Dofus Pourpre; Dofus Ébène; Bébé Pandawa</t>
        </is>
      </c>
    </row>
    <row r="15511">
      <c r="A15511" t="inlineStr">
        <is>
          <t>tereau</t>
        </is>
      </c>
      <c r="B15511">
        <f>HYPERLINK("https://www.dofusbook.net/fr/equipement/5204862-tereau/objets", "link")</f>
        <v/>
      </c>
      <c r="C15511" t="n">
        <v>2</v>
      </c>
      <c r="D15511" t="inlineStr">
        <is>
          <t>Dagues de Srambad; Amulette Volkorne; Anneau Volkorne; Anneau en Grithril; Cadran d'Eau; Ceinture Volkorne; Casque en Grithril; Voile d'encre; Bottes Honyme; Dofus Ivoire; Dofus Abyssal; Dofus Pourpre; Dofus Ébène; Dofus Ocre; Dofus des Glaces; Bébé Pandawa</t>
        </is>
      </c>
    </row>
    <row r="15512">
      <c r="A15512" t="inlineStr">
        <is>
          <t>ter</t>
        </is>
      </c>
      <c r="B15512">
        <f>HYPERLINK("https://www.dofusbook.net/fr/equipement/3161613-ter/objets", "link")</f>
        <v/>
      </c>
      <c r="C15512" t="n">
        <v>9</v>
      </c>
      <c r="D15512" t="inlineStr">
        <is>
          <t>Arc du Chalœil; Amulette de Gein; Bague Gloursonne; Anneau de Brouce; Quatre-feuilles; Ceinture de Brouce; Chapeau de Gein; Cape au Logis; Bottes de Brouce; Dofus Turquoise; Dofus Ébène; Dofus Ocre; Dofus Ivoire; Dofus Pourpre; Dofus Nébuleux; Bwak de Terre</t>
        </is>
      </c>
    </row>
    <row r="15513">
      <c r="A15513" t="inlineStr">
        <is>
          <t>saucisse</t>
        </is>
      </c>
      <c r="B15513">
        <f>HYPERLINK("https://www.dofusbook.net/fr/equipement/5193202-saucisse/objets", "link")</f>
        <v/>
      </c>
      <c r="C15513" t="n">
        <v>7</v>
      </c>
      <c r="D15513" t="inlineStr">
        <is>
          <t>Arc du Chalœil; Amulette du Cœur Saignant; Anneau Volkorne; Anneau du Comte Harebourg; Quatre-feuilles; Ceinture Volkorne; Masque de Koutoulou; Cape au Logis; Bottes du Cœur Saignant; Dofus Ocre; Dofus Ivoire; Dofus Pourpre; Dofus Nébuleux; Dofus Turquoise; Dofus Ébène; Bwak de Terre</t>
        </is>
      </c>
    </row>
    <row r="15514">
      <c r="A15514" t="inlineStr">
        <is>
          <t>Terre cac variante</t>
        </is>
      </c>
      <c r="B15514">
        <f>HYPERLINK("https://www.dofusbook.net/fr/equipement/4656039-terre-cac-variante/objets", "link")</f>
        <v/>
      </c>
      <c r="C15514" t="n">
        <v>5</v>
      </c>
      <c r="D15514" t="inlineStr">
        <is>
          <t>Bague Gloursonne; Anneau Chevelu; Ceinture Volkorne; Masque de Koutoulou; Cape au Logis; Dofus Ocre; Dofus Ivoire; Dofus Ébène; Dofus Pourpre; Bwak de Terre</t>
        </is>
      </c>
    </row>
    <row r="15515">
      <c r="A15515" t="inlineStr">
        <is>
          <t>antienu</t>
        </is>
      </c>
      <c r="B15515">
        <f>HYPERLINK("https://www.dofusbook.net/fr/equipement/5188720-antienu/objets", "link")</f>
        <v/>
      </c>
      <c r="C15515" t="n">
        <v>0</v>
      </c>
      <c r="D15515" t="inlineStr">
        <is>
          <t>Héqache</t>
        </is>
      </c>
    </row>
    <row r="15516">
      <c r="A15516" t="inlineStr">
        <is>
          <t>terpo</t>
        </is>
      </c>
      <c r="B15516">
        <f>HYPERLINK("https://www.dofusbook.net/fr/equipement/5170686-terpo/objets", "link")</f>
        <v/>
      </c>
      <c r="C15516" t="n">
        <v>5</v>
      </c>
      <c r="D15516" t="inlineStr">
        <is>
          <t>Arc du Chalœil; Amulette Volkorne; Anneau Chevelu; Anneau de Brouce; Quatre-feuilles; Ceinture Volkorne; Masque de Koutoulou; Voile d'encre; Bottes du Cœur Saignant; Dofus Ébène; Dofus Ocre; Dofus Ivoire; Dofus Turquoise; Enragé majeur; Nomade; Dragodinde Ivoire et Pourpre</t>
        </is>
      </c>
    </row>
    <row r="15517">
      <c r="A15517" t="inlineStr">
        <is>
          <t>Sram F 200</t>
        </is>
      </c>
      <c r="B15517">
        <f>HYPERLINK("https://www.dofusbook.net/fr/equipement/4958251-sram-f-200/objets", "link")</f>
        <v/>
      </c>
      <c r="C15517" t="n">
        <v>7</v>
      </c>
      <c r="D15517" t="inlineStr">
        <is>
          <t>Arc du Chalœil; Amulette Volkorne; Anneau Chevelu; Anneau de Brouce; Quatre-feuilles; Ceinture Volkorne; Masque de Koutoulou; Cape au Logis; Bottes du Cœur Saignant; Dofus Ébène; Dofus Ocre; Dofus Abyssal; Dofus Ivoire; Dofus Turquoise; Enragé majeur; Dragodinde Ivoire et Pourpre</t>
        </is>
      </c>
    </row>
    <row r="15518">
      <c r="A15518" t="inlineStr">
        <is>
          <t>Lavache</t>
        </is>
      </c>
      <c r="B15518">
        <f>HYPERLINK("https://www.dofusbook.net/fr/equipement/2975401-lavache/objets", "link")</f>
        <v/>
      </c>
      <c r="C15518" t="n">
        <v>5</v>
      </c>
      <c r="D15518" t="inlineStr">
        <is>
          <t>Lav'Hache; Collier de Tourthon; Anneau de Brouce; Anneau Chevelu; Bouclier alvéolé; Ceinture de la Reine des Voleurs; Coiffe de la Reine des Voleurs; Cape au Logis; Sabots Minables; Dofus Pourpre; Dofus des Glaces; Dofus Ivoire; Enragé majeur; Remueur</t>
        </is>
      </c>
    </row>
    <row r="15519">
      <c r="A15519" t="inlineStr">
        <is>
          <t>Terre arc chal</t>
        </is>
      </c>
      <c r="B15519">
        <f>HYPERLINK("https://www.dofusbook.net/fr/equipement/4962965-terre-arc-chal/objets", "link")</f>
        <v/>
      </c>
      <c r="C15519" t="n">
        <v>5</v>
      </c>
      <c r="D15519" t="inlineStr">
        <is>
          <t>Arc du Chalœil; Amulette du Strigide; Anneau Volkorne; Anneau Chevelu; Quatre-feuilles; Ceinture Volkorne; Masque de Koutoulou; Cape au Logis; Bottes du Cœur Saignant; Dofus Ébène; Dofus Pourpre; Dofus Abyssal; Dofus Ivoire; Dofus Ocre; Dofus Turquoise; Dragodinde Ivoire et Pourpre</t>
        </is>
      </c>
    </row>
    <row r="15520">
      <c r="A15520" t="inlineStr">
        <is>
          <t>canceraight</t>
        </is>
      </c>
      <c r="B15520">
        <f>HYPERLINK("https://www.dofusbook.net/fr/equipement/2613738-canceraight/objets", "link")</f>
        <v/>
      </c>
      <c r="C15520" t="n">
        <v>10</v>
      </c>
      <c r="D15520" t="inlineStr">
        <is>
          <t>Lav'Hache; Amulette du Strigide; Anneau Chevelu; Anneau Crustique; Sept ans de malheur; Ceintouse; Masque de Koutoulou; Cape au Logis; Tentassons; Dofus Ébène; Dofus Ocre; Dofus Ivoire; Dofus Émeraude; Enragé majeur; Étourdisseur majeur; Drakopin</t>
        </is>
      </c>
    </row>
    <row r="15521">
      <c r="A15521" t="inlineStr">
        <is>
          <t>conda</t>
        </is>
      </c>
      <c r="B15521">
        <f>HYPERLINK("https://www.dofusbook.net/fr/equipement/4934600-conda/objets", "link")</f>
        <v/>
      </c>
      <c r="C15521" t="n">
        <v>5</v>
      </c>
      <c r="D15521" t="inlineStr">
        <is>
          <t>Marteau Phossile; Amulette Martegel; Anneau Rifique; Alliance Brûlâme; Bouclier du Stalak; Menoture; Casque Cyclopéen; Cape Martegel; Pompes Funèbres; Dofus Ivoire; Dofus Ocre; Dofus Pourpre; Dofus des Glaces; Dofus Abyssal; Dofus Ébène; Willy le Relou</t>
        </is>
      </c>
    </row>
    <row r="15522">
      <c r="A15522" t="inlineStr">
        <is>
          <t>Terre cac basique</t>
        </is>
      </c>
      <c r="B15522">
        <f>HYPERLINK("https://www.dofusbook.net/fr/equipement/3075032-terre-cac-basique/objets", "link")</f>
        <v/>
      </c>
      <c r="C15522" t="n">
        <v>5</v>
      </c>
      <c r="D15522" t="inlineStr">
        <is>
          <t>Marteau R'ture; Amulette du Strigide; Bague Gloursonne; Anneau Chevelu; Cadran d'Eau; Ceinture Gence; Masque de Koutoulou; Cape au Logis; Bottes du Strigide; Dofus Turquoise; Dofus Pourpre; Dofus Abyssal; Dofus Ivoire; Enragé majeur; Vigoureux majeur; Bwak de Terre</t>
        </is>
      </c>
    </row>
    <row r="15523">
      <c r="A15523" t="inlineStr">
        <is>
          <t>terairmaisquoi</t>
        </is>
      </c>
      <c r="B15523">
        <f>HYPERLINK("https://www.dofusbook.net/fr/equipement/3741909-terairmaisquoi/objets", "link")</f>
        <v/>
      </c>
      <c r="C15523" t="n">
        <v>9</v>
      </c>
      <c r="D15523" t="inlineStr">
        <is>
          <t>Marteau R'ture; Amulette Volkorne; Bague Gloursonne; Anneau Chevelu; Cadran d'Eau; Ceinture Volkorne; Masque de Koutoulou; Bravoure de Rykke Errel; Dofus Ivoire; Dofus Turquoise; Dofus Nébuleux; Dofus Pourpre; Vigoureux majeur; Dragodinde Ivoire et Pourpre</t>
        </is>
      </c>
    </row>
    <row r="15524">
      <c r="A15524" t="inlineStr">
        <is>
          <t>teredopou</t>
        </is>
      </c>
      <c r="B15524">
        <f>HYPERLINK("https://www.dofusbook.net/fr/equipement/3759155-teredopou/objets", "link")</f>
        <v/>
      </c>
      <c r="C15524" t="n">
        <v>2</v>
      </c>
      <c r="D15524" t="inlineStr">
        <is>
          <t>Lav'Hache; Amulette du Cœur Vaillant; Bague Gloursonne; Anneau Chevelu; Bouclier Taverne; Ceinture Gence; Masque de Koutoulou; Cape au Logis; Bottes du Cœur Vaillant; Dofus Abyssal; Dofus Pourpre; Culbuteur majeur; Pousseur majeur; Enragé majeur; Bousculeur majeur</t>
        </is>
      </c>
    </row>
    <row r="15525">
      <c r="A15525" t="inlineStr">
        <is>
          <t>chacrainrien</t>
        </is>
      </c>
      <c r="B15525">
        <f>HYPERLINK("https://www.dofusbook.net/fr/equipement/4395826-chacrainrien/objets", "link")</f>
        <v/>
      </c>
      <c r="C15525" t="n">
        <v>3</v>
      </c>
      <c r="D15525" t="inlineStr">
        <is>
          <t>Couteaux Sacrificiels; Amulette Volkorne; Alliance Gloursonne; Anneau Volkorne; Droiture de Fallanster; Poulpagne; Masque Paztek; Cape Paztek; Sandales Paztek; Dofus Ébène; Dofus des Glaces; Dofus Abyssal; Dofus Ivoire; Dolmanax; Dofus Ocre; Walk</t>
        </is>
      </c>
    </row>
    <row r="15526">
      <c r="A15526" t="inlineStr">
        <is>
          <t>ter2</t>
        </is>
      </c>
      <c r="B15526">
        <f>HYPERLINK("https://www.dofusbook.net/fr/equipement/3933338-ter2/objets", "link")</f>
        <v/>
      </c>
      <c r="C15526" t="n">
        <v>3</v>
      </c>
      <c r="D15526" t="inlineStr">
        <is>
          <t>Arc du Chalœil; Amulette de Gein; Anneau de Brouce; Anneau Volkorne; Quatre-feuilles; Ceinture Volkorne; Chapeau de Gein; Cape au Logis; Bottes du Cœur Saignant; Dofus Turquoise; Dofus Abyssal; Dofus Ocre; Dofus Ivoire; Dofus Pourpre; Dofus Nébuleux</t>
        </is>
      </c>
    </row>
    <row r="15527">
      <c r="A15527" t="inlineStr">
        <is>
          <t>CRACOTTE</t>
        </is>
      </c>
      <c r="B15527">
        <f>HYPERLINK("https://www.dofusbook.net/fr/equipement/4496057-cracotte/objets", "link")</f>
        <v/>
      </c>
      <c r="C15527" t="n">
        <v>2</v>
      </c>
      <c r="D15527" t="inlineStr">
        <is>
          <t>Marteau R'ture; Amulette du Strigide; Bague Gloursonne; Cadran d'Eau; Ceinture Gence; Masque de Koutoulou; Cape au Logis; Dofus Ivoire; Dofus Abyssal; Dofus Pourpre; Dofus Émeraude; Dofus Ébène; Dofus Ocre; Kokulte</t>
        </is>
      </c>
    </row>
    <row r="15528">
      <c r="A15528" t="inlineStr">
        <is>
          <t>Colere nordes</t>
        </is>
      </c>
      <c r="B15528">
        <f>HYPERLINK("https://www.dofusbook.net/fr/equipement/4244766-colere-nordes/objets", "link")</f>
        <v/>
      </c>
      <c r="C15528" t="n">
        <v>4</v>
      </c>
      <c r="D15528" t="inlineStr">
        <is>
          <t>Torquistik; Goulano; Baguistik; Jadis; Ceinture de la Reine des Voleurs; Masque de Koutoulou; Cape au Logis; Goulbottes; Dofus Ivoire; Dofus Pourpre; Dokoko; Dofus Abyssal; Fortification majeure; Remueur; Bontique</t>
        </is>
      </c>
    </row>
    <row r="15529">
      <c r="A15529" t="inlineStr">
        <is>
          <t>SAH</t>
        </is>
      </c>
      <c r="B15529">
        <f>HYPERLINK("https://www.dofusbook.net/fr/equipement/4773703-sah/objets", "link")</f>
        <v/>
      </c>
      <c r="C15529" t="n">
        <v>1</v>
      </c>
      <c r="D15529" t="inlineStr">
        <is>
          <t>Baguette Range; Amulette du Strigide; Anneauræus; Anneau de Padgref; Quatre-feuilles; Ceinture du Strigide; Coiffe de Padgref; Voile d'encre; Getas de Padgref; Dofus Abyssal; Dofus Ocre; Dofus Ivoire; Dofus Turquoise; Dofus Pourpre; Muldo Prune et Emeraude</t>
        </is>
      </c>
    </row>
    <row r="15530">
      <c r="A15530" t="inlineStr">
        <is>
          <t>Terre</t>
        </is>
      </c>
      <c r="B15530">
        <f>HYPERLINK("https://www.dofusbook.net/fr/equipement/4628502-terre/objets", "link")</f>
        <v/>
      </c>
      <c r="C15530" t="n">
        <v>0</v>
      </c>
      <c r="D15530" t="inlineStr">
        <is>
          <t>Arc du Chalœil; Amulette Volkorne; Anneau Chevelu; Bague Gloursonne; Quatre-feuilles; Ceinture Volkorne; Masque de Koutoulou; Cape au Logis; Bottes du Cœur Saignant; Dofus Pourpre; Dofus Turquoise; Dofus Ébène; Dofus Ivoire; Remueur; Enragé majeur; Dragodinde Ivoire et Pourpre</t>
        </is>
      </c>
    </row>
    <row r="15531">
      <c r="A15531" t="inlineStr">
        <is>
          <t>gneuhhh</t>
        </is>
      </c>
      <c r="B15531">
        <f>HYPERLINK("https://www.dofusbook.net/fr/equipement/3992045-gneuhhh/objets", "link")</f>
        <v/>
      </c>
      <c r="C15531" t="n">
        <v>0</v>
      </c>
      <c r="D15531" t="inlineStr">
        <is>
          <t>Amulette du Strigide; Anneau Crustique; Anneau Crustique; Bouclier Taverne; Ceinture de la Reine des Voleurs; Bottes du Cœur Vaillant</t>
        </is>
      </c>
    </row>
    <row r="15532">
      <c r="A15532" t="inlineStr">
        <is>
          <t>Force brouce</t>
        </is>
      </c>
      <c r="B15532">
        <f>HYPERLINK("https://www.dofusbook.net/fr/equipement/2302613-force-brouce/objets", "link")</f>
        <v/>
      </c>
      <c r="C15532" t="n">
        <v>6</v>
      </c>
      <c r="D15532" t="inlineStr">
        <is>
          <t>Marteau R'ture; Amulette Volkorne; Bague Gloursonne; Anneau Chevelu; Cadran d'Eau; Ceinture Volkorne; Masque de Koutoulou; Cape au Logis; Bottes de la Cour Sombre; Dofus Ébène; Dofus Ivoire; Dofus Pourpre; Dofus Turquoise; Remueur; Enragé majeur; Dragodinde Ivoire et Pourpre</t>
        </is>
      </c>
    </row>
    <row r="15533">
      <c r="A15533" t="inlineStr">
        <is>
          <t>ollll</t>
        </is>
      </c>
      <c r="B15533">
        <f>HYPERLINK("https://www.dofusbook.net/fr/equipement/4395882-ollll/objets", "link")</f>
        <v/>
      </c>
      <c r="C15533" t="n">
        <v>1</v>
      </c>
      <c r="D15533" t="inlineStr">
        <is>
          <t>Amulette Volkorne; Anneau de Padgref; Alliance Gloursonne; Quatre-feuilles; Menoture; Casque Volkorne; Cape de Crânonier; Palmes Trithons; Dofus Ébène; Dofus Pourpre; Dofus Ivoire; Dofus Turquoise; Dofus Ocre; Cascadeur majeur; Bwak d'Air</t>
        </is>
      </c>
    </row>
    <row r="15534">
      <c r="A15534" t="inlineStr">
        <is>
          <t>CHACRAINRIEN</t>
        </is>
      </c>
      <c r="B15534">
        <f>HYPERLINK("https://www.dofusbook.net/fr/equipement/4360399-chacrainrien/objets", "link")</f>
        <v/>
      </c>
      <c r="C15534" t="n">
        <v>0</v>
      </c>
      <c r="D15534" t="inlineStr">
        <is>
          <t>Couteaux Sacrificiels; Amulette Volkorne; Anneau Volkorne; Alliance Gloursonne; Cadran d'Eau; Ceinture Volkorne; Masque Paztek; Cape Paztek; Pataugastrique; Dofus Pourpre; Dofus Ivoire; Dolmanax; Dofus Ocre; Dofus Ébène; Dofus des Glaces; Wabbit</t>
        </is>
      </c>
    </row>
    <row r="15535">
      <c r="A15535" t="inlineStr">
        <is>
          <t>WORKWORKWORKWORKWORK</t>
        </is>
      </c>
      <c r="B15535">
        <f>HYPERLINK("https://www.dofusbook.net/fr/equipement/4360267-workworkworkworkwork/objets", "link")</f>
        <v/>
      </c>
      <c r="C15535" t="n">
        <v>3</v>
      </c>
      <c r="D15535" t="inlineStr">
        <is>
          <t>Héqache; Amulette du Cœur Saignant; Bague Gloursonne; Alliance Gloursonne; Bouclier Taverne; Ceinture Volkorne; Casque Volkorne; Cape du Cœur Saignant; Bottes du Cœur Saignant; Dofus Turquoise; Dofus Ivoire; Dofus Pourpre; Dofus Abyssal; Dofus Ocre; Dofus des Glaces; Kokulte</t>
        </is>
      </c>
    </row>
    <row r="15536">
      <c r="A15536" t="inlineStr">
        <is>
          <t>gneukestufou</t>
        </is>
      </c>
      <c r="B15536">
        <f>HYPERLINK("https://www.dofusbook.net/fr/equipement/3826051-gneukestufou/objets", "link")</f>
        <v/>
      </c>
      <c r="C15536" t="n">
        <v>0</v>
      </c>
      <c r="D15536" t="inlineStr">
        <is>
          <t>Héqache; Amulette du Strigide; Alliance Gloursonne; Anneau Volkorne; Quatre-feuilles; Ceinture Volkorne; Casque Volkorne; Voile d'encre; Bottes du Strigide; Dofus Pourpre; Dofus Ivoire; Dofus Ocre; Dofus Turquoise; Dofus Abyssal; Sakochère</t>
        </is>
      </c>
    </row>
    <row r="15537">
      <c r="A15537" t="inlineStr">
        <is>
          <t>Sram F 200</t>
        </is>
      </c>
      <c r="B15537">
        <f>HYPERLINK("https://www.dofusbook.net/fr/equipement/4346500-sram-f-200/objets", "link")</f>
        <v/>
      </c>
      <c r="C15537" t="n">
        <v>1</v>
      </c>
      <c r="D15537" t="inlineStr"/>
    </row>
    <row r="15538">
      <c r="A15538" t="inlineStr">
        <is>
          <t>MAISAIEOMG</t>
        </is>
      </c>
      <c r="B15538">
        <f>HYPERLINK("https://www.dofusbook.net/fr/equipement/784502-maisaieomg/objets", "link")</f>
        <v/>
      </c>
      <c r="C15538" t="n">
        <v>2</v>
      </c>
      <c r="D15538" t="inlineStr">
        <is>
          <t>Héqache; Amulette du Strigide; Alliance Gloursonne; Bracelet du Piloztère; Bouclier Taverne; Ceinture Volkorne; Casque Volkorne; Cape au Logis; Baleinabottes; Dofus Ocre; Dofus des Glaces; Dofus Turquoise; Dofus Ivoire; Dofus Pourpre; Dofus Abyssal; Kokulte</t>
        </is>
      </c>
    </row>
    <row r="15539">
      <c r="A15539" t="inlineStr">
        <is>
          <t>kwakwakwak</t>
        </is>
      </c>
      <c r="B15539">
        <f>HYPERLINK("https://www.dofusbook.net/fr/equipement/2570839-kwakwakwak/objets", "link")</f>
        <v/>
      </c>
      <c r="C15539" t="n">
        <v>2</v>
      </c>
      <c r="D15539" t="inlineStr">
        <is>
          <t>Lav'Hache; Collier de Tourthon; Anneau de Brouce; Bague Gloursonne; Cadran de Terre; Ceinture de la Reine des Voleurs; Coiffe de la Reine des Voleurs; Cape au Logis; Sabots Minables; Dofus des Glaces; Dofus Pourpre; Dofus Ébène; Dofus Ivoire; Remueur; Enragé majeur; Bulbisou</t>
        </is>
      </c>
    </row>
    <row r="15540">
      <c r="A15540" t="inlineStr">
        <is>
          <t>feuh copie</t>
        </is>
      </c>
      <c r="B15540">
        <f>HYPERLINK("https://www.dofusbook.net/fr/equipement/1748694-feuh-copie/objets", "link")</f>
        <v/>
      </c>
      <c r="C15540" t="n">
        <v>12</v>
      </c>
      <c r="D15540" t="inlineStr">
        <is>
          <t>Arc corrompu; Amulette de Nileza; Anneauræus; Bague Gloursonne; Cadran de Terre; Ceinture de Vortex; Heaume Oplate; Cape de Nileza; Chaussures Ardentes; Dofus Ivoire; Remueur; Étourdisseur majeur; Érudit majeur; Nomade; Guérisseur majeur; Dragodinde Orchidée et Rousse</t>
        </is>
      </c>
    </row>
    <row r="15541">
      <c r="A15541" t="inlineStr">
        <is>
          <t>feuh</t>
        </is>
      </c>
      <c r="B15541">
        <f>HYPERLINK("https://www.dofusbook.net/fr/equipement/2565222-feuh/objets", "link")</f>
        <v/>
      </c>
      <c r="C15541" t="n">
        <v>1</v>
      </c>
      <c r="D15541" t="inlineStr">
        <is>
          <t>Arc corrompu; Amulette de Nileza; Anneau Tique; Anneau de Nidas; Cadran de Terre; Ceinture de Vortex; Couronne de Nidas; Cape de Diondin; Chaussures Ardentes; Dofus Ivoire; Érudit majeur; Nomade; Guérisseur majeur; Remueur; Étourdisseur majeur; Dragodinde Orchidée et Rousse</t>
        </is>
      </c>
    </row>
    <row r="15542">
      <c r="A15542" t="inlineStr">
        <is>
          <t>uuuuu</t>
        </is>
      </c>
      <c r="B15542">
        <f>HYPERLINK("https://www.dofusbook.net/fr/equipement/4320332-uuuuu/objets", "link")</f>
        <v/>
      </c>
      <c r="C15542" t="n">
        <v>0</v>
      </c>
      <c r="D15542" t="inlineStr">
        <is>
          <t>Sceptre du Roi Joueur; Amulette de Shokkoth; Alliance Gloursonne; Bracelet des Fonds marins; Bouclier du Stalak; Ceinture Glaciale; Kidibonnet; Cape du Sinistrofu; Bottes du Sinistrofu; Dofus Ivoire; Dofus Ébène; Dofus Pourpre; Dofus Ocre; Nomade; Chanceux majeur; Kanigloups</t>
        </is>
      </c>
    </row>
    <row r="15543">
      <c r="A15543" t="inlineStr">
        <is>
          <t>casquclass</t>
        </is>
      </c>
      <c r="B15543">
        <f>HYPERLINK("https://www.dofusbook.net/fr/equipement/3897256-casquclass/objets", "link")</f>
        <v/>
      </c>
      <c r="C15543" t="n">
        <v>2</v>
      </c>
      <c r="D15543" t="inlineStr">
        <is>
          <t>Baguette Héroclite; Amulette d'Ilyzaelle; Alliance Gloursonne; Anneau Volkorne; Bouclier d'Ilyzaelle; Sangle Ouare; Casque d'Ilyzaelle; Cape du Sinistrofu; Bottes du Sinistrofu; Dofus Ébène; Dofus Ocre; Dofus Abyssal; Dofus Ivoire; Dofus des Glaces; Dofus Pourpre; Dragodinde Indigo et Ivoire</t>
        </is>
      </c>
    </row>
    <row r="15544">
      <c r="A15544" t="inlineStr">
        <is>
          <t>Eliotrope terter 2</t>
        </is>
      </c>
      <c r="B15544">
        <f>HYPERLINK("https://www.dofusbook.net/fr/equipement/4157279-eliotrope-terter-2/objets", "link")</f>
        <v/>
      </c>
      <c r="C15544" t="n">
        <v>10</v>
      </c>
      <c r="D15544" t="inlineStr">
        <is>
          <t>Arc du Chalœil; Amulette du Strigide; Anneau Crustique; Bague Gloursonne; Bouclier du Stalak; Ceinture de la Cour Sombre; Masque de Koutoulou; Cape au Logis; Bottes de la Cour Sombre; Dofus Pourpre; Dofus Turquoise; Dofus Ocre; Vigoureux majeur; Carapace Terre majeur; Enragé majeur; Bulbisou</t>
        </is>
      </c>
    </row>
    <row r="15545">
      <c r="A15545" t="inlineStr">
        <is>
          <t>Eliotrope terter 1</t>
        </is>
      </c>
      <c r="B15545">
        <f>HYPERLINK("https://www.dofusbook.net/fr/equipement/4157235-eliotrope-terter-1/objets", "link")</f>
        <v/>
      </c>
      <c r="C15545" t="n">
        <v>1</v>
      </c>
      <c r="D15545" t="inlineStr">
        <is>
          <t>Arc du Chalœil; Amulette du Strigide; Anneau Crustique; Anneau Chevelu; Bouclier du Stalak; Ceinture du Strigide; Masque de Koutoulou; Cape au Logis; Bottes de la Cour Sombre; Dofus Abyssal; Dofus Pourpre; Dofus Ivoire; Dofus Ocre; Dofus Turquoise; Enragé majeur; Dragodinde Amande et Pourpre</t>
        </is>
      </c>
    </row>
    <row r="15546">
      <c r="A15546" t="inlineStr">
        <is>
          <t>terre</t>
        </is>
      </c>
      <c r="B15546">
        <f>HYPERLINK("https://www.dofusbook.net/fr/equipement/3001705-terre/objets", "link")</f>
        <v/>
      </c>
      <c r="C15546" t="n">
        <v>3</v>
      </c>
      <c r="D15546" t="inlineStr">
        <is>
          <t>Dagues Érhy; Amulette Ementaire Deluxe; Pikano; Anneau Chevelu; Cadran de Feu; Ceinture de la Reine des Voleurs; Coiffe de la Reine des Voleurs; Cape du Cœur Saignant; Sabots Minables; Dofus Ivoire; Dofus des Glaces; Dofus Abyssal; Remueur; Miraculé majeur; Enragé majeur; Muldo Indigo et Orchidée</t>
        </is>
      </c>
    </row>
    <row r="15547">
      <c r="A15547" t="inlineStr">
        <is>
          <t>eau</t>
        </is>
      </c>
      <c r="B15547">
        <f>HYPERLINK("https://www.dofusbook.net/fr/equipement/2905506-eau/objets", "link")</f>
        <v/>
      </c>
      <c r="C15547" t="n">
        <v>3</v>
      </c>
      <c r="D15547" t="inlineStr">
        <is>
          <t>Sceptre du Roi Joueur; Amulette de Shokkoth; Alliance du Lévitrof; Bracelet des Fonds marins; Bouclier d'Ilyzaelle; Poulpagne; Casque d'Ilyzaelle; Cape de l'Œil Attentif; Pataugastrique; Dofus des Glaces; Carapace Eau majeur; Saccageur Eau majeur; Chanceux majeur; Sanguinaire majeur; Taquin majeur; Muldo Indigo et Pourpre</t>
        </is>
      </c>
    </row>
    <row r="15548">
      <c r="A15548" t="inlineStr">
        <is>
          <t>nocrit</t>
        </is>
      </c>
      <c r="B15548">
        <f>HYPERLINK("https://www.dofusbook.net/fr/equipement/2314634-nocrit/objets", "link")</f>
        <v/>
      </c>
      <c r="C15548" t="n">
        <v>0</v>
      </c>
      <c r="D15548" t="inlineStr">
        <is>
          <t>Marteau R'ture; Amulette Volkorne; Bague Gloursonne; Anneau de Brouce; Bouclier du Captain Amakna; Ceinture Volkorne; Masque de Koutoulou; Cape au Logis; Bottes du Cœur Saignant; Dofus Turquoise; Dofus Ocre; Dofus Pourpre; Dofus Nébuleux; Vigoureux majeur; Enragé majeur; Bwak de Terre</t>
        </is>
      </c>
    </row>
    <row r="15549">
      <c r="A15549" t="inlineStr">
        <is>
          <t>Sram F 200</t>
        </is>
      </c>
      <c r="B15549">
        <f>HYPERLINK("https://www.dofusbook.net/fr/equipement/3329843-sram-f-200/objets", "link")</f>
        <v/>
      </c>
      <c r="C15549" t="n">
        <v>1</v>
      </c>
      <c r="D15549" t="inlineStr">
        <is>
          <t>Héqache; Amulette du Strigide; Bague Gloursonne; Alliance Gloursonne; Bouclier d'Ilyzaelle; Ceinture du Strigide; Coiffe de la Fuji Givrefoux; Cape de la Fuji Givrefoux; Bottes du Strigide; Dofus des Glaces; Dofus Ocre; Dofus Pourpre; Dofus Abyssal; Dofus Turquoise; Dofus Ivoire; Kokulte</t>
        </is>
      </c>
    </row>
    <row r="15550">
      <c r="A15550" t="inlineStr">
        <is>
          <t>Do pou</t>
        </is>
      </c>
      <c r="B15550">
        <f>HYPERLINK("https://www.dofusbook.net/fr/equipement/104969-do-pou/objets", "link")</f>
        <v/>
      </c>
      <c r="C15550" t="n">
        <v>4</v>
      </c>
      <c r="D15550" t="inlineStr">
        <is>
          <t>Arc du Chalœil; Torquistik; Bague Trithon; Bague Instable; Bouclier précieux; Ceinture Gence; Casque Dragoeuf; Cape des Malveilleurs; Bottistik; Bousculeur; Bousculeur majeur; Remueur; Culbuteur majeur; Pousseur majeur; Culbuteur; Balafreux</t>
        </is>
      </c>
    </row>
    <row r="15551">
      <c r="A15551" t="inlineStr">
        <is>
          <t>DOP</t>
        </is>
      </c>
      <c r="B15551">
        <f>HYPERLINK("https://www.dofusbook.net/fr/equipement/3756262-dop/objets", "link")</f>
        <v/>
      </c>
      <c r="C15551" t="n">
        <v>9</v>
      </c>
      <c r="D15551" t="inlineStr">
        <is>
          <t>Arc du Chalœil; Torquistik; Bague Trithon; Bague Instable; Bouclier précieux; Ceinture Gence; Casque Dragoeuf; Cape des Malveilleurs; Bottistik; Remueur; Culbuteur majeur; Pousseur majeur; Culbuteur; Bousculeur; Bousculeur majeur; Balafreux</t>
        </is>
      </c>
    </row>
    <row r="15552">
      <c r="A15552" t="inlineStr">
        <is>
          <t>Sram F 200</t>
        </is>
      </c>
      <c r="B15552">
        <f>HYPERLINK("https://www.dofusbook.net/fr/equipement/3816972-sram-f-200/objets", "link")</f>
        <v/>
      </c>
      <c r="C15552" t="n">
        <v>0</v>
      </c>
      <c r="D15552" t="inlineStr">
        <is>
          <t>Arc Honte; Amulette Ementaire Deluxe; Alliance Gloursonne; Alliance Brûlâme; Bouclier du Stalak; Ceintacé; Chapeau de Gein; Voile d'encre; Pompes Funèbres; Dofus Abyssal; Dofus Pourpre; Dofus Vulbis; Dofus des Glaces; Dolmanax; Dofus Ocre; Kramkram</t>
        </is>
      </c>
    </row>
    <row r="15553">
      <c r="A15553" t="inlineStr">
        <is>
          <t>Dopou</t>
        </is>
      </c>
      <c r="B15553">
        <f>HYPERLINK("https://www.dofusbook.net/fr/equipement/488039-dopou/objets", "link")</f>
        <v/>
      </c>
      <c r="C15553" t="n">
        <v>3</v>
      </c>
      <c r="D15553" t="inlineStr">
        <is>
          <t>Lav'Hache; Torquistik; Bague Trithon; Bague Instable; Bouclier précieux; Ceinture Gence; Casque Dragoeuf; Cape Solution; Bottistik; Bousculeur majeur; Pousseur majeur; Pousseur; Culbuteur; Bousculeur; Culbuteur majeur; Balafreux</t>
        </is>
      </c>
    </row>
    <row r="15554">
      <c r="A15554" t="inlineStr">
        <is>
          <t>hallalementhallal</t>
        </is>
      </c>
      <c r="B15554">
        <f>HYPERLINK("https://www.dofusbook.net/fr/equipement/2937335-hallalementhallal/objets", "link")</f>
        <v/>
      </c>
      <c r="C15554" t="n">
        <v>4</v>
      </c>
      <c r="D15554" t="inlineStr">
        <is>
          <t>Marteau R'ture; Amulette du Strigide; Bague Gloursonne; Anneau Chevelu; Cadran d'Eau; Ceinture du Strigide; Masque de Koutoulou; Cape au Logis; Bottes de la Cour Sombre; Dofus Abyssal; Dofus Pourpre; Dofus Ivoire; Dofus Turquoise; Enragé majeur; Chienchien Tigré</t>
        </is>
      </c>
    </row>
    <row r="15555">
      <c r="A15555" t="inlineStr">
        <is>
          <t>soin</t>
        </is>
      </c>
      <c r="B15555">
        <f>HYPERLINK("https://www.dofusbook.net/fr/equipement/3897388-soin/objets", "link")</f>
        <v/>
      </c>
      <c r="C15555" t="n">
        <v>5</v>
      </c>
      <c r="D15555" t="inlineStr">
        <is>
          <t>Arc corrompu; Amulette de Nileza; Anneau Tique; Anneauræus; Cadran de Terre; Ceinture de Vortex; Heaume Oplate; Cape de Nileza; Chaussures Ardentes; Dofus Ivoire; Dofus Abyssal; Dofus Ocre; Guérisseur majeur; Nomade; Érudit majeur; Meuch</t>
        </is>
      </c>
    </row>
    <row r="15556">
      <c r="A15556" t="inlineStr">
        <is>
          <t>soin2</t>
        </is>
      </c>
      <c r="B15556">
        <f>HYPERLINK("https://www.dofusbook.net/fr/equipement/3907159-soin2/objets", "link")</f>
        <v/>
      </c>
      <c r="C15556" t="n">
        <v>1</v>
      </c>
      <c r="D15556" t="inlineStr">
        <is>
          <t>Arc corrompu; Amulette Volkorne; Anneauræus; Anneauræus; Goulclier; Protopagne; Masque d'Anerice; Cape d'Anerice; Bottes Innommables; Dofus Ivoire; Dofus Abyssal; Dofus Ocre; Guérisseur majeur; Érudit majeur; Volkorne Doré et Orchidée</t>
        </is>
      </c>
    </row>
    <row r="15557">
      <c r="A15557" t="inlineStr">
        <is>
          <t>pou</t>
        </is>
      </c>
      <c r="B15557">
        <f>HYPERLINK("https://www.dofusbook.net/fr/equipement/3902672-pou/objets", "link")</f>
        <v/>
      </c>
      <c r="C15557" t="n">
        <v>1</v>
      </c>
      <c r="D15557" t="inlineStr">
        <is>
          <t>Arc du Chalœil; Torquistik; Bague Trithon; Bague Instable; Bouclier précieux; Ceinture Gence; Chapeau des Malveilleurs; Cape Solution; Bottistik; Dofus Ivoire; Pousseur majeur; Culbuteur; Bousculeur; Bousculeur majeur; Culbuteur majeur; Balafreux</t>
        </is>
      </c>
    </row>
    <row r="15558">
      <c r="A15558" t="inlineStr">
        <is>
          <t>Oulacarox</t>
        </is>
      </c>
      <c r="B15558">
        <f>HYPERLINK("https://www.dofusbook.net/fr/equipement/2213494-oulacarox/objets", "link")</f>
        <v/>
      </c>
      <c r="C15558" t="n">
        <v>1</v>
      </c>
      <c r="D15558" t="inlineStr">
        <is>
          <t>Hache du Chalœil; Amulette du Strigide; Bague Trithon; Alliance Gloursonne; Quatre-feuilles; Ceinture du Strigide; Masque Trithon; Voile d'encre; Bottes Trithon; Dofus Ivoire; Dofus des Glaces; Dofus Abyssal; Dofus Turquoise; Dofus Ocre; Dofus Pourpre; Kokulte</t>
        </is>
      </c>
    </row>
    <row r="15559">
      <c r="A15559" t="inlineStr">
        <is>
          <t>Stuff 3</t>
        </is>
      </c>
      <c r="B15559">
        <f>HYPERLINK("https://www.dofusbook.net/fr/equipement/105005-stuff-3/objets", "link")</f>
        <v/>
      </c>
      <c r="C15559" t="n">
        <v>10</v>
      </c>
      <c r="D15559" t="inlineStr">
        <is>
          <t>Marteau R'ture; Amulette du Strigide; Bague Gloursonne; Anneau Chevelu; Cadran d'Eau; Ceinture du Strigide; Masque de Koutoulou; Cape au Logis; Bottes de la Cour Sombre; Dofus Abyssal; Dofus Ivoire; Dofus Turquoise; Dofus Pourpre; Remueur; Enragé majeur; Dragodinde Ivoire et Pourpre</t>
        </is>
      </c>
    </row>
    <row r="15560">
      <c r="A15560" t="inlineStr">
        <is>
          <t>feuairPO</t>
        </is>
      </c>
      <c r="B15560">
        <f>HYPERLINK("https://www.dofusbook.net/fr/equipement/2585008-feuairpo/objets", "link")</f>
        <v/>
      </c>
      <c r="C15560" t="n">
        <v>0</v>
      </c>
      <c r="D15560" t="inlineStr">
        <is>
          <t>Baguette Range; Amulette du Strigide; Bague Gloursonne; Anneau Volkorne; Quatre-feuilles; Ceintacé; Casque Volkorne; Voile d'encre; Bottes Antrin; Dofus Turquoise; Dofus Ocre; Dofus Pourpre; Dofus Ivoire; Nomade; Vigoureux majeur</t>
        </is>
      </c>
    </row>
    <row r="15561">
      <c r="A15561" t="inlineStr">
        <is>
          <t>eauair</t>
        </is>
      </c>
      <c r="B15561">
        <f>HYPERLINK("https://www.dofusbook.net/fr/equipement/3604160-eauair/objets", "link")</f>
        <v/>
      </c>
      <c r="C15561" t="n">
        <v>3</v>
      </c>
      <c r="D15561" t="inlineStr">
        <is>
          <t>Hache du Korriandre; Amulette du Strigide; Alliance Gloursonne; Pikano; Bouclier alvéolé; Ceinture du Strigide; Némès de Tal Kasha; Chevelure de Tal Kasha; Sandales de Tal Kasha; Dofus Ivoire; Dofus des Glaces; Dofus Pourpre; Dofus Turquoise; Dofus Ocre; Voyageur; Kokulte</t>
        </is>
      </c>
    </row>
    <row r="15562">
      <c r="A15562" t="inlineStr">
        <is>
          <t>Air</t>
        </is>
      </c>
      <c r="B15562">
        <f>HYPERLINK("https://www.dofusbook.net/fr/equipement/104895-air/objets", "link")</f>
        <v/>
      </c>
      <c r="C15562" t="n">
        <v>1</v>
      </c>
      <c r="D15562" t="inlineStr">
        <is>
          <t>Manthache; Collier du Valet Veinard; Alliance Gloursonne; Gant du Valet Veinard; Cadran d'Air; Menoture; Couronne d'Allister; Cape Matelassée; Palmes Trithons; Dofus Ivoire; Dofus Pourpre; Dokoko; Cascadeur majeur; Nomade; Dragodinde Ebène et Ivoire</t>
        </is>
      </c>
    </row>
    <row r="15563">
      <c r="A15563" t="inlineStr">
        <is>
          <t>terraginocrit noub</t>
        </is>
      </c>
      <c r="B15563">
        <f>HYPERLINK("https://www.dofusbook.net/fr/equipement/3048588-terraginocrit-noub/objets", "link")</f>
        <v/>
      </c>
      <c r="C15563" t="n">
        <v>1</v>
      </c>
      <c r="D15563" t="inlineStr">
        <is>
          <t>Lance corrompue; Amulette du Kamasterisk; Pikano; Alliance Gloursonne; Bouclier d'Ilyzaelle; Ceinture Volkorne; Casque Volkorne; Cape du Kamasterisk; Bottes du Kamasterisk; Dofus Ivoire; Dofus Ocre; Dofus Abyssal; Dofus Nébuleux; Dofus des Glaces; Dofus Pourpre; Mékrabe</t>
        </is>
      </c>
    </row>
    <row r="15564">
      <c r="A15564" t="inlineStr">
        <is>
          <t>Iop F 200</t>
        </is>
      </c>
      <c r="B15564">
        <f>HYPERLINK("https://www.dofusbook.net/fr/equipement/3501319-iop-f-200/objets", "link")</f>
        <v/>
      </c>
      <c r="C15564" t="n">
        <v>0</v>
      </c>
      <c r="D15564" t="inlineStr">
        <is>
          <t>Hache Téroïde; Amulette du Strigide; Bague Gloursonne; Bague Trithon; Cadran d'Eau; Ceinture du Strigide; Masque Trithon; Cape au Logis; Bottes Trithon; Dofus Nébuleux; Dofus Ivoire; Dofus Turquoise; Dofus des Glaces; Dofus Pourpre; Dofus Ocre; Kokulte</t>
        </is>
      </c>
    </row>
    <row r="15565">
      <c r="A15565" t="inlineStr">
        <is>
          <t>NAAAAAT</t>
        </is>
      </c>
      <c r="B15565">
        <f>HYPERLINK("https://www.dofusbook.net/fr/equipement/3700101-naaaaat/objets", "link")</f>
        <v/>
      </c>
      <c r="C15565" t="n">
        <v>3</v>
      </c>
      <c r="D15565" t="inlineStr">
        <is>
          <t>Marteau R'ture; Amulette Volkorne; Bague Gloursonne; Anneau Chevelu; Cadran d'Eau; Ceinture Volkorne; Masque de Koutoulou; Cape au Logis; Bottes de la Cour Sombre; Dofus Pourpre; Dofus Ivoire; Dofus Ocre; Dofus Abyssal; Dofus Turquoise; Enragé majeur; Dragodinde Ivoire et Pourpre</t>
        </is>
      </c>
    </row>
    <row r="15566">
      <c r="A15566" t="inlineStr">
        <is>
          <t>Sadiair</t>
        </is>
      </c>
      <c r="B15566">
        <f>HYPERLINK("https://www.dofusbook.net/fr/equipement/3472439-sadiair/objets", "link")</f>
        <v/>
      </c>
      <c r="C15566" t="n">
        <v>1</v>
      </c>
      <c r="D15566" t="inlineStr">
        <is>
          <t>Pelle de la Cour Sombre; Collier du Valet Veinard; Alliance Gloursonne; Gant du Valet Veinard; Menoture; Couronne d'Allister; Cape Indescriptible; Palmes Trithons</t>
        </is>
      </c>
    </row>
    <row r="15567">
      <c r="A15567" t="inlineStr">
        <is>
          <t>gneuckoica</t>
        </is>
      </c>
      <c r="B15567">
        <f>HYPERLINK("https://www.dofusbook.net/fr/equipement/3825967-gneuckoica/objets", "link")</f>
        <v/>
      </c>
      <c r="C15567" t="n">
        <v>0</v>
      </c>
      <c r="D15567" t="inlineStr">
        <is>
          <t>Héqache; Amulette du Cœur Saignant; Alliance Gloursonne; Anneau Volkorne; Bouclier d'Ilyzaelle; Ceinture Volkorne; Casque Volkorne; Cape du Cœur Saignant; Bottes du Cœur Saignant; Dofus Turquoise; Dofus des Glaces; Dofus Pourpre; Dofus Abyssal; Dofus Ocre; Dofus Ivoire; Kokulte</t>
        </is>
      </c>
    </row>
    <row r="15568">
      <c r="A15568" t="inlineStr">
        <is>
          <t>pmpmpm</t>
        </is>
      </c>
      <c r="B15568">
        <f>HYPERLINK("https://www.dofusbook.net/fr/equipement/3014294-pmpmpm/objets", "link")</f>
        <v/>
      </c>
      <c r="C15568" t="n">
        <v>2</v>
      </c>
      <c r="D15568" t="inlineStr">
        <is>
          <t>Arc Honte; Amulette Volkorne; Anneau Volkorne; Alliance Gloursonne; Cadran d'Air; Ceinture de l'Esprit Salvateur; Masque de l'Esprit Salvateur; Cape de l'Œil Putride; Bottes de l'Esprit Salvateur; Dofus Ocre; Dofus Ivoire; Dolmanax; Dofus des Glaces; Dofus Pourpre; Dofus Abyssal</t>
        </is>
      </c>
    </row>
    <row r="15569">
      <c r="A15569" t="inlineStr">
        <is>
          <t>mtncestterreouR</t>
        </is>
      </c>
      <c r="B15569">
        <f>HYPERLINK("https://www.dofusbook.net/fr/equipement/1639417-mtncestterreour/objets", "link")</f>
        <v/>
      </c>
      <c r="C15569" t="n">
        <v>1</v>
      </c>
      <c r="D15569" t="inlineStr">
        <is>
          <t>Amrothiline; Amulette du Strigide; Bague Gloursonne; Anneau Chevelu; Quatre-feuilles; Ceinture de la Cour Sombre; Masque de Koutoulou; Cape au Logis; Bottes de la Cour Sombre; Dofus Abyssal; Dofus Turquoise; Dofus Ivoire; Dofus Pourpre; Enragé majeur; Remueur; Pioute jaune</t>
        </is>
      </c>
    </row>
    <row r="15570">
      <c r="A15570" t="inlineStr">
        <is>
          <t>feu eau</t>
        </is>
      </c>
      <c r="B15570">
        <f>HYPERLINK("https://www.dofusbook.net/fr/equipement/2958411-feu-eau/objets", "link")</f>
        <v/>
      </c>
      <c r="C15570" t="n">
        <v>3</v>
      </c>
      <c r="D15570" t="inlineStr">
        <is>
          <t>Pyraguette; Amulette Volkorne; Goulano; Anneau Volkorne; Cadran de Terre; Ceinture de l'Esprit Salvateur; Masque de l'Esprit Salvateur; Voile d'encre; Bottes de l'Esprit Salvateur; Dofus Pourpre; Dofus Abyssal; Dofus Ocre; Dofus Ivoire; Dolmanax; Dofus des Glaces; Muldo Orchidée et Pourpre</t>
        </is>
      </c>
    </row>
    <row r="15571">
      <c r="A15571" t="inlineStr">
        <is>
          <t>o lol</t>
        </is>
      </c>
      <c r="B15571">
        <f>HYPERLINK("https://www.dofusbook.net/fr/equipement/1901338-o-lol/objets", "link")</f>
        <v/>
      </c>
      <c r="C15571" t="n">
        <v>2</v>
      </c>
      <c r="D15571" t="inlineStr">
        <is>
          <t>Baguette Héroclite; Amulette Voldelor; Bracelet des Fonds marins; Alliance Gloursonne; Cadran de Terre; Ceinture Voldelor; Capuche de l'Œil Attentif; Cape du Sinistrofu; Pataugastrique; Dofus Ivoire; Remueur; Engourdisseur majeur; Chanceux majeur; Déserteur majeur; Étourdisseur majeur; Muldo Ebène</t>
        </is>
      </c>
    </row>
    <row r="15572">
      <c r="A15572" t="inlineStr">
        <is>
          <t>cacrit</t>
        </is>
      </c>
      <c r="B15572">
        <f>HYPERLINK("https://www.dofusbook.net/fr/equipement/3736938-cacrit/objets", "link")</f>
        <v/>
      </c>
      <c r="C15572" t="n">
        <v>2</v>
      </c>
      <c r="D15572" t="inlineStr">
        <is>
          <t>Amulette du Strigide; Alliance Gloursonne; Bague Gloursonne; Cadran de Terre; Ceinture du Strigide; Némès de Tal Kasha; Chevelure de Tal Kasha; Sandales de Tal Kasha; Dofus Turquoise; Dofus Ivoire; Dofus Pourpre; Dofus Ocre; Dofus Abyssal; Engourdisseur majeur; Muldo Ebène</t>
        </is>
      </c>
    </row>
    <row r="15573">
      <c r="A15573" t="inlineStr">
        <is>
          <t>euhmaiskestufou</t>
        </is>
      </c>
      <c r="B15573">
        <f>HYPERLINK("https://www.dofusbook.net/fr/equipement/3707905-euhmaiskestufou/objets", "link")</f>
        <v/>
      </c>
      <c r="C15573" t="n">
        <v>2</v>
      </c>
      <c r="D15573" t="inlineStr">
        <is>
          <t>Marteau R'ture; Amulette de Gein; Bague Gloursonne; Anneau Chevelu; Cadran d'Eau; Ceinture Gence; Chapeau de Gein; Cape au Logis; Bottes de la Cour Sombre; Dofus Turquoise; Dofus Pourpre; Remueur; Enragé majeur; Dragodinde Ivoire et Pourpre</t>
        </is>
      </c>
    </row>
    <row r="15574">
      <c r="A15574" t="inlineStr">
        <is>
          <t>TerretacPOPOPO</t>
        </is>
      </c>
      <c r="B15574">
        <f>HYPERLINK("https://www.dofusbook.net/fr/equipement/3245709-terretacpopopo/objets", "link")</f>
        <v/>
      </c>
      <c r="C15574" t="n">
        <v>2</v>
      </c>
      <c r="D15574" t="inlineStr">
        <is>
          <t>Arc du Chalœil; Amulette Volkorne; Bague Gloursonne; Anneau Chevelu; Quatre-feuilles; Ceinture Volkorne; Masque de Koutoulou; Cape au Logis; Bottes du Cœur Saignant; Dofus Abyssal; Dofus Ocre; Dofus Ivoire; Dofus Pourpre; Dolmanax; Enragé majeur; Croum</t>
        </is>
      </c>
    </row>
    <row r="15575">
      <c r="A15575" t="inlineStr">
        <is>
          <t>Cherchestuffnonoob</t>
        </is>
      </c>
      <c r="B15575">
        <f>HYPERLINK("https://www.dofusbook.net/fr/equipement/3329865-cherchestuffnonoob/objets", "link")</f>
        <v/>
      </c>
      <c r="C15575" t="n">
        <v>2</v>
      </c>
      <c r="D15575" t="inlineStr">
        <is>
          <t>Dagues Érhy; Amulette Volkorne; Bague Gloursonne; Chevalière du Roi Joueur; Cadran de Terre; Ceinture Volkorne; Couronne du Roi Joueur; Voile d'encre; Bottes du Roi Joueur; Dofus Ocre; Dolmanax; Dofus Ivoire; Dofus des Glaces; Dofus Pourpre; Dofus Abyssal; Volkorne Pourpre et Orchidée</t>
        </is>
      </c>
    </row>
    <row r="15576">
      <c r="A15576" t="inlineStr">
        <is>
          <t>eauair</t>
        </is>
      </c>
      <c r="B15576">
        <f>HYPERLINK("https://www.dofusbook.net/fr/equipement/2842408-eauair/objets", "link")</f>
        <v/>
      </c>
      <c r="C15576" t="n">
        <v>0</v>
      </c>
      <c r="D15576" t="inlineStr">
        <is>
          <t>Bâtonnet Ronien; Amulette d'Ilyzaelle; Pikano; Alliance Gloursonne; Bouclier d'Ilyzaelle; Ceinture du Barbétoal; Casque d'Ilyzaelle; Cape Matelassée; Bottes de la Reine des Voleurs; Dofus Ivoire; Dofus Abyssal; Dofus des Glaces; Féroce majeur; Sanguinaire majeur; Muldo Indigo et Orchidée</t>
        </is>
      </c>
    </row>
    <row r="15577">
      <c r="A15577" t="inlineStr">
        <is>
          <t>Stuff 2</t>
        </is>
      </c>
      <c r="B15577">
        <f>HYPERLINK("https://www.dofusbook.net/fr/equipement/105004-stuff-2/objets", "link")</f>
        <v/>
      </c>
      <c r="C15577" t="n">
        <v>6</v>
      </c>
      <c r="D15577" t="inlineStr">
        <is>
          <t>Héqache; Amulette du Cœur Vaillant; Bague Trithon; Bouclier du Stalak; Ceinture Gence; Masque Trithon; Cape du Cœur Vaillant; Bottes du Cœur Vaillant; Dolmanax; Dofus Ivoire; Dofus Pourpre; Dofus des Glaces; Kramkram</t>
        </is>
      </c>
    </row>
    <row r="15578">
      <c r="A15578" t="inlineStr">
        <is>
          <t>Reseau bienbienbien</t>
        </is>
      </c>
      <c r="B15578">
        <f>HYPERLINK("https://www.dofusbook.net/fr/equipement/3266359-reseau-bienbienbien/objets", "link")</f>
        <v/>
      </c>
      <c r="C15578" t="n">
        <v>2</v>
      </c>
      <c r="D15578" t="inlineStr">
        <is>
          <t>Dagues Érhy; Amulette de Gein; Bague Gloursonne; Chevalière du Roi Joueur; Bouclier du Stalak; Ceinture de Gein; Couronne du Roi Joueur; Bottes du Roi Joueur; Dofus des Glaces; Dofus Pourpre; Dofus Abyssal; Dofus Ocre; Dofus Ivoire; Dokoko</t>
        </is>
      </c>
    </row>
    <row r="15579">
      <c r="A15579" t="inlineStr">
        <is>
          <t>TerrefeuPOPOPOoh</t>
        </is>
      </c>
      <c r="B15579">
        <f>HYPERLINK("https://www.dofusbook.net/fr/equipement/3246632-terrefeupopopooh/objets", "link")</f>
        <v/>
      </c>
      <c r="C15579" t="n">
        <v>1</v>
      </c>
      <c r="D15579" t="inlineStr">
        <is>
          <t>Marteau d'Henual; Amulette de Gein; Bague Gloursonne; Alliance Brûlâme; Bouclier du Stalak; Ceinture de Gein; Masque Brûlâme; Voile d'encre; Pompes Funèbres; Dofus des Glaces; Dofus Abyssal; Dofus Ocre; Dofus Ivoire; Dofus Pourpre; Dolmanax</t>
        </is>
      </c>
    </row>
    <row r="15580">
      <c r="A15580" t="inlineStr">
        <is>
          <t>TerrfeuPOPOPO</t>
        </is>
      </c>
      <c r="B15580">
        <f>HYPERLINK("https://www.dofusbook.net/fr/equipement/3246583-terrfeupopopo/objets", "link")</f>
        <v/>
      </c>
      <c r="C15580" t="n">
        <v>2</v>
      </c>
      <c r="D15580" t="inlineStr">
        <is>
          <t>Marteau d'Henual; Amulette de Gein; Bague Gloursonne; Anneau de Brouce; Bouclier du Stalak; Ceinture de Gein; Chapeau de Gein; Sac Volcanique; Sabots Volcaniques; Dofus Turquoise; Dofus Abyssal; Dofus Ocre; Dofus Ivoire; Dofus Pourpre; Dolmanax</t>
        </is>
      </c>
    </row>
    <row r="15581">
      <c r="A15581" t="inlineStr">
        <is>
          <t>terrePOPOPO</t>
        </is>
      </c>
      <c r="B15581">
        <f>HYPERLINK("https://www.dofusbook.net/fr/equipement/3245600-terrepopopo/objets", "link")</f>
        <v/>
      </c>
      <c r="C15581" t="n">
        <v>2</v>
      </c>
      <c r="D15581" t="inlineStr">
        <is>
          <t>Marteau d'Henual; Amulette de Gein; Bague Gloursonne; Anneau de Brouce; Bouclier Taverne; Ceinture de Brouce; Chapeau de Gein; Cape au Logis; Bottes de Brouce; Dofus Pourpre; Dolmanax; Dofus Turquoise; Dofus Abyssal; Dofus Ocre; Dofus Ivoire</t>
        </is>
      </c>
    </row>
    <row r="15582">
      <c r="A15582" t="inlineStr">
        <is>
          <t>fireu</t>
        </is>
      </c>
      <c r="B15582">
        <f>HYPERLINK("https://www.dofusbook.net/fr/equipement/3149805-fireu/objets", "link")</f>
        <v/>
      </c>
      <c r="C15582" t="n">
        <v>0</v>
      </c>
      <c r="D15582" t="inlineStr">
        <is>
          <t>Arc corrompu; Amulette de Nileza; Anneauræus; Bague Gloursonne; Cadran de Terre; Ceinture de Vortex; Heaume Oplate; Cape de Nileza; Bottes Innommables; Dofus Turquoise; Dofus Abyssal; Dofus Pourpre; Dofus Ivoire; Remueur; Érudit majeur</t>
        </is>
      </c>
    </row>
    <row r="15583">
      <c r="A15583" t="inlineStr">
        <is>
          <t>terre feu cape class</t>
        </is>
      </c>
      <c r="B15583">
        <f>HYPERLINK("https://www.dofusbook.net/fr/equipement/3125163-terre-feu-cape-class/objets", "link")</f>
        <v/>
      </c>
      <c r="C15583" t="n">
        <v>3</v>
      </c>
      <c r="D15583" t="inlineStr">
        <is>
          <t>Dagues Érhy; Amulette du Cycloïde; Bracelet du Piloztère; Chevalière du Roi Joueur; Bouclier du Stalak; Ceinture de Gein; Couronne du Roi Joueur; Bottes du Roi Joueur; Dofus des Glaces; Dofus Ivoire; Dofus Pourpre; Dofus Ocre; Dofus Abyssal; Muldo Ebène et Pourpre</t>
        </is>
      </c>
    </row>
    <row r="15584">
      <c r="A15584" t="inlineStr">
        <is>
          <t>feu ret</t>
        </is>
      </c>
      <c r="B15584">
        <f>HYPERLINK("https://www.dofusbook.net/fr/equipement/3085154-feu-ret/objets", "link")</f>
        <v/>
      </c>
      <c r="C15584" t="n">
        <v>2</v>
      </c>
      <c r="D15584" t="inlineStr">
        <is>
          <t>Arc corrompu; Amulette de Nileza; Anneauræus; Anneau Tique; Bouclier du Stalak; Ceinture de Vortex; Heaume Oplate; Cape Ardente; Chaussures Ardentes; Dofus des Glaces; Dofus Abyssal; Dofus Ivoire; Érudit majeur; Remueur; Étourdisseur majeur</t>
        </is>
      </c>
    </row>
    <row r="15585">
      <c r="A15585" t="inlineStr">
        <is>
          <t>Lavache</t>
        </is>
      </c>
      <c r="B15585">
        <f>HYPERLINK("https://www.dofusbook.net/fr/equipement/3073595-lavache/objets", "link")</f>
        <v/>
      </c>
      <c r="C15585" t="n">
        <v>2</v>
      </c>
      <c r="D15585" t="inlineStr">
        <is>
          <t>Lav'Hache; Amulette du Strigide; Anneau de Brouce; Bracelet du Piloztère; Bouclier d'Ilyzaelle; Ceinture de la Reine des Voleurs; Coiffe de la Reine des Voleurs; Cape au Logis; Bottes Honyme; Dofus des Glaces; Dofus Ivoire; Dofus Turquoise; Dofus Pourpre; Enragé majeur; Remueur; Kramkram</t>
        </is>
      </c>
    </row>
    <row r="15586">
      <c r="A15586" t="inlineStr">
        <is>
          <t>Dopou1</t>
        </is>
      </c>
      <c r="B15586">
        <f>HYPERLINK("https://www.dofusbook.net/fr/equipement/3067629-dopou1/objets", "link")</f>
        <v/>
      </c>
      <c r="C15586" t="n">
        <v>1</v>
      </c>
      <c r="D15586" t="inlineStr">
        <is>
          <t>Lav'Hache; Amulette Luminescente; Alliance Gloursonne; Bague Trithon; Bouclier précieux; Masque d'Anerice; Cape d'Anerice; Pataugastrique; Dofus Émeraude; Survivant majeur; Remueur; Culbuteur majeur; Miraculé majeur; Bousculeur majeur; Péki</t>
        </is>
      </c>
    </row>
    <row r="15587">
      <c r="A15587" t="inlineStr">
        <is>
          <t>CQUOICADOUDOU</t>
        </is>
      </c>
      <c r="B15587">
        <f>HYPERLINK("https://www.dofusbook.net/fr/equipement/2970834-cquoicadoudou/objets", "link")</f>
        <v/>
      </c>
      <c r="C15587" t="n">
        <v>1</v>
      </c>
      <c r="D15587" t="inlineStr">
        <is>
          <t>Marteau R'ture; Amulette du Strigide; Anneau Crustique; Anneau Chevelu; Cadran d'Eau; Ceinture de la Cour Sombre; Masque de Koutoulou; Cape au Logis; Bottes de la Cour Sombre; Dofus Pourpre; Dolmanax; Dofus Turquoise; Dofus Nébuleux; Dofus Ocre; Dofus Ivoire; Muldo Indigo et Pourpre</t>
        </is>
      </c>
    </row>
    <row r="15588">
      <c r="A15588" t="inlineStr">
        <is>
          <t>tri</t>
        </is>
      </c>
      <c r="B15588">
        <f>HYPERLINK("https://www.dofusbook.net/fr/equipement/2454059-tri/objets", "link")</f>
        <v/>
      </c>
      <c r="C15588" t="n">
        <v>1</v>
      </c>
      <c r="D15588" t="inlineStr">
        <is>
          <t>Marteau de Katrepat; Amulette du Strigide; Alliance Gloursonne; Alliance Brûlâme; Bouclier d'Ilyzaelle; Ceinture du Strigide; Masque Brûlâme; Voile d'encre; Pompes Funèbres; Dofus Pourpre; Dofus Abyssal; Dofus Turquoise; Dofus Ivoire; Dolmanax; Dofus Ocre; Muldo Ebène et Pourpre</t>
        </is>
      </c>
    </row>
    <row r="15589">
      <c r="A15589" t="inlineStr">
        <is>
          <t>Force</t>
        </is>
      </c>
      <c r="B15589">
        <f>HYPERLINK("https://www.dofusbook.net/fr/equipement/3017487-force/objets", "link")</f>
        <v/>
      </c>
      <c r="C15589" t="n">
        <v>1</v>
      </c>
      <c r="D15589" t="inlineStr">
        <is>
          <t>Arc du Chalœil; Amulette du Cœur Saignant; Bague Gloursonne; Anneau Chevelu; Quatre-feuilles; Ceinture Gence; Chapeau de Gein; Voile d'encre; Bottes du Cœur Saignant; Dofus Abyssal; Dofus Pourpre; Dofus Ivoire; Dofus Turquoise; Enragé majeur; Remueur; Muldo Pourpre</t>
        </is>
      </c>
    </row>
    <row r="15590">
      <c r="A15590" t="inlineStr">
        <is>
          <t>ueueue</t>
        </is>
      </c>
      <c r="B15590">
        <f>HYPERLINK("https://www.dofusbook.net/fr/equipement/3014408-ueueue/objets", "link")</f>
        <v/>
      </c>
      <c r="C15590" t="n">
        <v>1</v>
      </c>
      <c r="D15590" t="inlineStr">
        <is>
          <t>Hache du Korriandre; Amulette Voldelor; Bracelet des Fonds marins; Alliance Gloursonne; Bouclier d'Ilyzaelle; Ceinture Voldelor; Casque d'Ilyzaelle; Cape Solution; Sandales des Fonds marins; Dofus Pourpre; Dofus Abyssal; Dofus Ocre; Dofus Ivoire; Dofus des Glaces; Féroce majeur; Muldo Ebène</t>
        </is>
      </c>
    </row>
    <row r="15591">
      <c r="A15591" t="inlineStr">
        <is>
          <t>pmpmpm</t>
        </is>
      </c>
      <c r="B15591">
        <f>HYPERLINK("https://www.dofusbook.net/fr/equipement/3014005-pmpmpm/objets", "link")</f>
        <v/>
      </c>
      <c r="C15591" t="n">
        <v>1</v>
      </c>
      <c r="D15591" t="inlineStr">
        <is>
          <t>Arc Nécrotique; Talisman Igans; Anneau Tique; Anneau Toriété; Cadran de Terre; Ceintrigue; Casquette de Meno; Cape de Meno; Bottes de Meno; Dofus Turquoise; Dofus des Glaces; Dofus Pourpre; Dofus Abyssal; Dofus Ocre; Dofus Ivoire</t>
        </is>
      </c>
    </row>
    <row r="15592">
      <c r="A15592" t="inlineStr">
        <is>
          <t>pellexa</t>
        </is>
      </c>
      <c r="B15592">
        <f>HYPERLINK("https://www.dofusbook.net/fr/equipement/3007271-pellexa/objets", "link")</f>
        <v/>
      </c>
      <c r="C15592" t="n">
        <v>4</v>
      </c>
      <c r="D15592" t="inlineStr">
        <is>
          <t>Pelle du Professeur Xa; Amulette du Cœur Vaillant; Anneau Chevelu; Anneau Crustique; Cadran d'Eau; Ceintouse; Chapoulpe; Cape du Cœur Vaillant; Tentassons; Dofus Pourpre; Dofus des Glaces; Dofus Turquoise; Dofus Abyssal; Dofus Ocre; Dofus Ivoire</t>
        </is>
      </c>
    </row>
    <row r="15593">
      <c r="A15593" t="inlineStr">
        <is>
          <t>pellexa</t>
        </is>
      </c>
      <c r="B15593">
        <f>HYPERLINK("https://www.dofusbook.net/fr/equipement/3007272-pellexa/objets", "link")</f>
        <v/>
      </c>
      <c r="C15593" t="n">
        <v>0</v>
      </c>
      <c r="D15593" t="inlineStr"/>
    </row>
    <row r="15594">
      <c r="A15594" t="inlineStr">
        <is>
          <t>Dopou2</t>
        </is>
      </c>
      <c r="B15594">
        <f>HYPERLINK("https://www.dofusbook.net/fr/equipement/2995522-dopou2/objets", "link")</f>
        <v/>
      </c>
      <c r="C15594" t="n">
        <v>0</v>
      </c>
      <c r="D15594" t="inlineStr">
        <is>
          <t>Lav'Hache; Amulette Luminescente; Alliance Gloursonne; Bague Trithon; Bouclier précieux; Sangle Ouare; Masque d'Anerice; Cape d'Anerice; Pataugastrique; Dofus Émeraude; Culbuteur majeur; Miraculé majeur; Bousculeur majeur; Survivant majeur; Remueur; Péki</t>
        </is>
      </c>
    </row>
    <row r="15595">
      <c r="A15595" t="inlineStr">
        <is>
          <t>oulatutcalmes2</t>
        </is>
      </c>
      <c r="B15595">
        <f>HYPERLINK("https://www.dofusbook.net/fr/equipement/2963973-oulatutcalmes2/objets", "link")</f>
        <v/>
      </c>
      <c r="C15595" t="n">
        <v>0</v>
      </c>
      <c r="D15595" t="inlineStr">
        <is>
          <t>Héqache; Amulette du Strigide; Alliance Gloursonne; Anneau des égarés; Bouclier d'Ilyzaelle; Ceinture du Strigide; Casque des égarés; Cape du Cœur Saignant; Bottes du Cœur Saignant; Dofus Turquoise; Dolmanax; Dofus Ocre; Dofus Ivoire; Dofus Pourpre; Dofus des Glaces</t>
        </is>
      </c>
    </row>
    <row r="15596">
      <c r="A15596" t="inlineStr">
        <is>
          <t>oulatutcalmes</t>
        </is>
      </c>
      <c r="B15596">
        <f>HYPERLINK("https://www.dofusbook.net/fr/equipement/2676884-oulatutcalmes/objets", "link")</f>
        <v/>
      </c>
      <c r="C15596" t="n">
        <v>1</v>
      </c>
      <c r="D15596" t="inlineStr">
        <is>
          <t>Héqache; Amulette du Strigide; Alliance Gloursonne; Anneau des égarés; Bouclier d'Ilyzaelle; Ceinture du Strigide; Casque des égarés; Cape au Logis; Bottes des égarés; Dofus des Glaces; Dofus Turquoise; Dolmanax; Dofus Ocre; Dofus Ivoire; Dofus Pourpre; Muldo Pourpre</t>
        </is>
      </c>
    </row>
    <row r="15597">
      <c r="A15597" t="inlineStr">
        <is>
          <t>ceamoiktuparle</t>
        </is>
      </c>
      <c r="B15597">
        <f>HYPERLINK("https://www.dofusbook.net/fr/equipement/2842410-ceamoiktuparle/objets", "link")</f>
        <v/>
      </c>
      <c r="C15597" t="n">
        <v>2</v>
      </c>
      <c r="D15597" t="inlineStr">
        <is>
          <t>Lance Horselé; Collier du Valet Veinard; Alliance Gloursonne; Gant du Valet Veinard; Cadran d'Air; Ceinture du Barbétoal; Casque d'Ilyzaelle; Cape du Valet Veinard; Palmes Trithons; Dofus Ocre; Dofus Ivoire; Dofus des Glaces; Dofus Abyssal; Turbulent; Saccageur Air majeur; Muldo Ebène</t>
        </is>
      </c>
    </row>
    <row r="15598">
      <c r="A15598" t="inlineStr">
        <is>
          <t>tournois</t>
        </is>
      </c>
      <c r="B15598">
        <f>HYPERLINK("https://www.dofusbook.net/fr/equipement/2203337-tournois/objets", "link")</f>
        <v/>
      </c>
      <c r="C15598" t="n">
        <v>1</v>
      </c>
      <c r="D15598" t="inlineStr">
        <is>
          <t>Pyraguette; Amulette de l'Œil Putride; Bague Gloursonne; Alliance Gloursonne; Bouclier du Stalak; Ceintrigue; Capuche de l'Œil Putride; Cape de l'Œil Putride; Bottes Owesli; Dofus Pourpre; Dolmanax; Dofus Ocre; Dofus des Glaces; Dofus Abyssal</t>
        </is>
      </c>
    </row>
    <row r="15599">
      <c r="A15599" t="inlineStr">
        <is>
          <t>Force</t>
        </is>
      </c>
      <c r="B15599">
        <f>HYPERLINK("https://www.dofusbook.net/fr/equipement/2936500-force/objets", "link")</f>
        <v/>
      </c>
      <c r="C15599" t="n">
        <v>0</v>
      </c>
      <c r="D15599" t="inlineStr">
        <is>
          <t>Arc du Chalœil; Amulette du Cœur Vaillant; Bague Gloursonne; Anneau Chevelu; Quatre-feuilles; Ceinture Gence; Masque de Koutoulou; Voile d'encre; Bottes du Cœur Vaillant; Dofus Abyssal; Dofus Pourpre; Dofus Ivoire; Enragé majeur; Bousculeur majeur; Culbuteur majeur; Muldo Pourpre</t>
        </is>
      </c>
    </row>
    <row r="15600">
      <c r="A15600" t="inlineStr">
        <is>
          <t>feau.</t>
        </is>
      </c>
      <c r="B15600">
        <f>HYPERLINK("https://www.dofusbook.net/fr/equipement/2928936-feau-/objets", "link")</f>
        <v/>
      </c>
      <c r="C15600" t="n">
        <v>1</v>
      </c>
      <c r="D15600" t="inlineStr">
        <is>
          <t>Arc Nécrotique; Amulette de l'Œil Putride; Anneau Kturne; Lavanneau; Quatre-feuilles; Ceinture de l'Esprit Malsain; Masque de l'Esprit Malsain; Voile d'encre; Bottes de l'Esprit Malsain; Dofus Pourpre; Dofus des Glaces; Dofus Turquoise; Dofus Abyssal; Dolmanax; Dofus Ocre; Muldo Indigo et Orchidée</t>
        </is>
      </c>
    </row>
    <row r="15601">
      <c r="A15601" t="inlineStr">
        <is>
          <t>drrrra</t>
        </is>
      </c>
      <c r="B15601">
        <f>HYPERLINK("https://www.dofusbook.net/fr/equipement/2928371-drrrra/objets", "link")</f>
        <v/>
      </c>
      <c r="C15601" t="n">
        <v>1</v>
      </c>
      <c r="D15601" t="inlineStr">
        <is>
          <t>Pyraguette; Amulette de l'Œil Putride; Alliance Gloursonne; Anneau Tique; Cadran de Terre; Ceintrigue; Capuche de l'Œil Putride; Cape de l'Œil Putride; Bottes Owesli; Dofus des Glaces; Dofus Ocre; Dofus Abyssal; Dofus Pourpre; Dofus Ivoire; Dolmanax</t>
        </is>
      </c>
    </row>
    <row r="15602">
      <c r="A15602" t="inlineStr">
        <is>
          <t>drrrra</t>
        </is>
      </c>
      <c r="B15602">
        <f>HYPERLINK("https://www.dofusbook.net/fr/equipement/2928322-drrrra/objets", "link")</f>
        <v/>
      </c>
      <c r="C15602" t="n">
        <v>0</v>
      </c>
      <c r="D15602" t="inlineStr">
        <is>
          <t>Pyraguette; Talisman Igans; Alliance Gloursonne; Anneau Tique; Cadran de Terre; Ceinture de l'Esprit Salvateur; Masque de l'Esprit Salvateur; Cape de l'Œil Putride; Pataugastrique; Dolmanax; Dofus des Glaces; Dofus Abyssal; Dofus Pourpre; Dofus Ivoire; Remueur</t>
        </is>
      </c>
    </row>
    <row r="15603">
      <c r="A15603" t="inlineStr">
        <is>
          <t>Stuff 3</t>
        </is>
      </c>
      <c r="B15603">
        <f>HYPERLINK("https://www.dofusbook.net/fr/equipement/104960-stuff-3/objets", "link")</f>
        <v/>
      </c>
      <c r="C15603" t="n">
        <v>0</v>
      </c>
      <c r="D15603" t="inlineStr">
        <is>
          <t>Baguette Hique; Collier de la Dame du Hasard; Anneau Tique; Lavanneau; Quatre-feuilles; Ceintacé; Casqnoar; Cape de la Dame du Hasard; Bottes de Meno; Dofus Ivoire; Dofus Turquoise; Dofus des Glaces; Dofus Pourpre; Remueur; Temporiseur majeur; Muldo Orchidée et Pourpre</t>
        </is>
      </c>
    </row>
    <row r="15604">
      <c r="A15604" t="inlineStr">
        <is>
          <t>feu</t>
        </is>
      </c>
      <c r="B15604">
        <f>HYPERLINK("https://www.dofusbook.net/fr/equipement/2921922-feu/objets", "link")</f>
        <v/>
      </c>
      <c r="C15604" t="n">
        <v>0</v>
      </c>
      <c r="D15604" t="inlineStr">
        <is>
          <t>Baguette de Malléfisk; Amulette Volcanique; Anneau Tique; Anneau de Nidas; Ceinture de Vortex; Couronne de Nidas; Cape de Diondin; Chaussures Ardentes</t>
        </is>
      </c>
    </row>
    <row r="15605">
      <c r="A15605" t="inlineStr">
        <is>
          <t>feu air ret</t>
        </is>
      </c>
      <c r="B15605">
        <f>HYPERLINK("https://www.dofusbook.net/fr/equipement/2918159-feu-air-ret/objets", "link")</f>
        <v/>
      </c>
      <c r="C15605" t="n">
        <v>1</v>
      </c>
      <c r="D15605" t="inlineStr">
        <is>
          <t>Arc Honte; Pendentif affamé; Anneau de Nidas; Anneau Tique; Cadran de Terre; Ceinture de Vortex; Heaume Oplate; Voile d'encre; Sabots de Vortex; Dofus des Glaces; Dofus Ivoire; Dévastateur Feu majeur; Étourdisseur majeur; Remueur; Érudit majeur; Muldo Orchidée et Pourpre</t>
        </is>
      </c>
    </row>
    <row r="15606">
      <c r="A15606" t="inlineStr">
        <is>
          <t>sbiboubioufffffff</t>
        </is>
      </c>
      <c r="B15606">
        <f>HYPERLINK("https://www.dofusbook.net/fr/equipement/2808049-sbiboubioufffffff/objets", "link")</f>
        <v/>
      </c>
      <c r="C15606" t="n">
        <v>0</v>
      </c>
      <c r="D15606" t="inlineStr">
        <is>
          <t>Héqache; Amulette du Strigide; Bracelet du Piloztère; Bague Trithon; Ceinture du Strigide; Masque Trithon; Voile d'encre; Bottes Trithon; Dofus Abyssal</t>
        </is>
      </c>
    </row>
    <row r="15607">
      <c r="A15607" t="inlineStr">
        <is>
          <t>terteer</t>
        </is>
      </c>
      <c r="B15607">
        <f>HYPERLINK("https://www.dofusbook.net/fr/equipement/2870778-terteer/objets", "link")</f>
        <v/>
      </c>
      <c r="C15607" t="n">
        <v>0</v>
      </c>
      <c r="D15607" t="inlineStr">
        <is>
          <t>Lav'Hache; Collier de Tourthon; Anneau de Brouce; Anneau Crustique; Bouclier du Stalak; Ceinture de la Reine des Voleurs; Masque de Koutoulou; Voile d'encre; Bottes de Brouce; Dofus Pourpre; Dofus Abyssal; Dofus des Glaces; Dofus Ivoire; Dofus Ocre; Dofus Nébuleux; Muldo Pourpre</t>
        </is>
      </c>
    </row>
    <row r="15608">
      <c r="A15608" t="inlineStr">
        <is>
          <t>Stuff 1</t>
        </is>
      </c>
      <c r="B15608">
        <f>HYPERLINK("https://www.dofusbook.net/fr/equipement/105003-stuff-1/objets", "link")</f>
        <v/>
      </c>
      <c r="C15608" t="n">
        <v>0</v>
      </c>
      <c r="D15608" t="inlineStr">
        <is>
          <t>Lance corrompue; Amulette du Cœur Vaillant; Anneau Chevelu; Anneau de Brouce; Bouclier Taverne; Ceinture Gence; Casque des égarés; Cape au Logis; Bottes du Cœur Vaillant; Dofus des Glaces; Dofus Pourpre; Remueur; Bousculeur majeur; Culbuteur majeur; Enragé majeur</t>
        </is>
      </c>
    </row>
    <row r="15609">
      <c r="A15609" t="inlineStr">
        <is>
          <t>Stuff 1</t>
        </is>
      </c>
      <c r="B15609">
        <f>HYPERLINK("https://www.dofusbook.net/fr/equipement/105007-stuff-1/objets", "link")</f>
        <v/>
      </c>
      <c r="C15609" t="n">
        <v>1</v>
      </c>
      <c r="D15609" t="inlineStr">
        <is>
          <t>Collier du Valet Veinard; Alliance Gloursonne; Gant du Valet Veinard; Dorabysses; Cape de Crânonier; Dofus Émeraude; Dofus Turquoise; Dofus des Glaces; Remueur; Dévastateur Eau majeur; Chanceux majeur</t>
        </is>
      </c>
    </row>
    <row r="15610">
      <c r="A15610" t="inlineStr">
        <is>
          <t>terter</t>
        </is>
      </c>
      <c r="B15610">
        <f>HYPERLINK("https://www.dofusbook.net/fr/equipement/2716626-terter/objets", "link")</f>
        <v/>
      </c>
      <c r="C15610" t="n">
        <v>0</v>
      </c>
      <c r="D15610" t="inlineStr">
        <is>
          <t>Marteau R'ture; Amulette de Gein; Anneau Crustique; Anneau de Brouce; Bouclier Taverne; Ceinture Gence; Chapeau de Gein; Voile d'encre; Bottes du Cœur Vaillant; Dofus Ivoire; Dofus Turquoise; Dofus Ocre; Dofus Abyssal; Dofus Pourpre; Enragé majeur; Muldo Pourpre</t>
        </is>
      </c>
    </row>
    <row r="15611">
      <c r="A15611" t="inlineStr">
        <is>
          <t>oulatutcalmes2</t>
        </is>
      </c>
      <c r="B15611">
        <f>HYPERLINK("https://www.dofusbook.net/fr/equipement/2676923-oulatutcalmes2/objets", "link")</f>
        <v/>
      </c>
      <c r="C15611" t="n">
        <v>0</v>
      </c>
      <c r="D15611" t="inlineStr">
        <is>
          <t>Epée Gloursonne; Amulette de l'Indicible; Bague Gloursonne; Alliance Gloursonne; Cadran d'Air; Ceinture de l'Indicible; Casque du Chalœil; Cape du Chalœil; Bottes de l'Indicible; Dofus Ocre; Dofus Ivoire; Dofus Pourpre; Dofus des Glaces; Dofus Turquoise; Dofus Abyssal; Muldo Indigo</t>
        </is>
      </c>
    </row>
    <row r="15612">
      <c r="A15612" t="inlineStr">
        <is>
          <t>terter</t>
        </is>
      </c>
      <c r="B15612">
        <f>HYPERLINK("https://www.dofusbook.net/fr/equipement/2674996-terter/objets", "link")</f>
        <v/>
      </c>
      <c r="C15612" t="n">
        <v>0</v>
      </c>
      <c r="D15612" t="inlineStr">
        <is>
          <t>Marteau R'ture; Amulette du Strigide; Bague Gloursonne; Anneau de Brouce; Cadran de Terre; Ceinture de Gein; Chapeau de Gein; Voile d'encre; Baleinabottes; Dofus Abyssal; Dofus Ivoire; Remueur; Enragé majeur; Déserteur majeur</t>
        </is>
      </c>
    </row>
    <row r="15613">
      <c r="A15613" t="inlineStr">
        <is>
          <t>cancer</t>
        </is>
      </c>
      <c r="B15613">
        <f>HYPERLINK("https://www.dofusbook.net/fr/equipement/2626500-cancer/objets", "link")</f>
        <v/>
      </c>
      <c r="C15613" t="n">
        <v>3</v>
      </c>
      <c r="D15613" t="inlineStr">
        <is>
          <t>Lav'Hache; Collier de Tourthon; Anneau Crustique; Anneau Crustique; Sept ans de malheur; Culotte de Bethel; Masque de Koutoulou; Voile d'encre; Chaussons de Macrab; Dolmanax; Dofus Ivoire; Étourdisseur majeur; Fonceur majeur; Remueur; Obstructeur majeur; Muldo Pourpre</t>
        </is>
      </c>
    </row>
    <row r="15614">
      <c r="A15614" t="inlineStr">
        <is>
          <t>oooooo sometimes</t>
        </is>
      </c>
      <c r="B15614">
        <f>HYPERLINK("https://www.dofusbook.net/fr/equipement/2647875-oooooo-sometimes/objets", "link")</f>
        <v/>
      </c>
      <c r="C15614" t="n">
        <v>0</v>
      </c>
      <c r="D15614" t="inlineStr">
        <is>
          <t>Baguette Héroclite; Amulette du Sinistrofu; Alliance Gloursonne; Bracelet des Fonds marins; Cadran d'Air; Ceinture Glaciale; Capuche de l'Œil Attentif; Cape Solution; Bottes du Sinistrofu; Dofus Pourpre; Dofus Abyssal; Dofus Turquoise; Dofus Ivoire; Remueur; Chanceux majeur</t>
        </is>
      </c>
    </row>
    <row r="15615">
      <c r="A15615" t="inlineStr">
        <is>
          <t>foul eau</t>
        </is>
      </c>
      <c r="B15615">
        <f>HYPERLINK("https://www.dofusbook.net/fr/equipement/2642496-foul-eau/objets", "link")</f>
        <v/>
      </c>
      <c r="C15615" t="n">
        <v>0</v>
      </c>
      <c r="D15615" t="inlineStr">
        <is>
          <t>Arc Ahique; Amulette de Shokkoth; Bracelet des Fonds marins; Alliance Gloursonne; Bouclier du Stalak; Ceinture de la Reine des Voleurs; Coiffe de la Reine des Voleurs; Cape du Sinistrofu; Bottes de la Reine des Voleurs; Dolmanax; Dofus des Glaces; Dofus Pourpre; Dofus Abyssal; Dofus Ocre; Dofus Ivoire; Muldo Ebène et Orchidée</t>
        </is>
      </c>
    </row>
    <row r="15616">
      <c r="A15616" t="inlineStr">
        <is>
          <t>tri</t>
        </is>
      </c>
      <c r="B15616">
        <f>HYPERLINK("https://www.dofusbook.net/fr/equipement/2642241-tri/objets", "link")</f>
        <v/>
      </c>
      <c r="C15616" t="n">
        <v>2</v>
      </c>
      <c r="D15616" t="inlineStr">
        <is>
          <t>Lav'Hache; Amulette du Strigide; Alliance Brûlâme; Alliance Gloursonne; Bouclier du Captain Amakna; Ceinture du Strigide; Masque Brûlâme; Voile d'encre; Pompes Funèbres; Dofus Pourpre; Dolmanax; Dofus Turquoise; Dofus Abyssal; Dofus Ocre; Dofus Ivoire</t>
        </is>
      </c>
    </row>
    <row r="15617">
      <c r="A15617" t="inlineStr">
        <is>
          <t>koutou</t>
        </is>
      </c>
      <c r="B15617">
        <f>HYPERLINK("https://www.dofusbook.net/fr/equipement/2641477-koutou/objets", "link")</f>
        <v/>
      </c>
      <c r="C15617" t="n">
        <v>0</v>
      </c>
      <c r="D15617" t="inlineStr">
        <is>
          <t>Arc de Koutoulou</t>
        </is>
      </c>
    </row>
    <row r="15618">
      <c r="A15618" t="inlineStr">
        <is>
          <t>nécro</t>
        </is>
      </c>
      <c r="B15618">
        <f>HYPERLINK("https://www.dofusbook.net/fr/equipement/2641105-necro/objets", "link")</f>
        <v/>
      </c>
      <c r="C15618" t="n">
        <v>1</v>
      </c>
      <c r="D15618" t="inlineStr">
        <is>
          <t>Arc Nécrotique; Talisman Igans; Anneau Tique; Bracelet du Piloztère; Cadran de Terre; Ceinture de Vortex; Kidibonnet; Cape de la Dame du Hasard; Bottes de la Dame du Hasard; Dofus Ivoire; Dofus Turquoise; Dofus Pourpre; Étourdisseur majeur; Vigoureux majeur; Remueur</t>
        </is>
      </c>
    </row>
    <row r="15619">
      <c r="A15619" t="inlineStr">
        <is>
          <t>scraa</t>
        </is>
      </c>
      <c r="B15619">
        <f>HYPERLINK("https://www.dofusbook.net/fr/equipement/2621314-scraa/objets", "link")</f>
        <v/>
      </c>
      <c r="C15619" t="n">
        <v>1</v>
      </c>
      <c r="D15619" t="inlineStr">
        <is>
          <t>Arc de Koutoulou; Amulette du Strigide; Alliance Gloursonne; Bracelet des Fonds marins; Quatre-feuilles; Ceinture du Barbétoal; Némès de Tal Kasha; Chevelure de Tal Kasha; Pataugastrique; Dofus des Glaces; Dofus Turquoise; Dofus Pourpre; Dofus Ivoire; Remueur; Vigoureux majeur; Muldo Ebène et Indigo</t>
        </is>
      </c>
    </row>
    <row r="15620">
      <c r="A15620" t="inlineStr">
        <is>
          <t>scraahhh</t>
        </is>
      </c>
      <c r="B15620">
        <f>HYPERLINK("https://www.dofusbook.net/fr/equipement/2621095-scraahhh/objets", "link")</f>
        <v/>
      </c>
      <c r="C15620" t="n">
        <v>0</v>
      </c>
      <c r="D15620" t="inlineStr">
        <is>
          <t>Arc de Koutoulou; Amulette du Strigide; Alliance Gloursonne; Bracelet des Fonds marins; Quatre-feuilles; Ceinture du Barbétoal; Némès de Tal Kasha; Cape Matelassée; Sandales de Tal Kasha; Dofus des Glaces; Dofus Turquoise; Dofus Pourpre; Dofus Ivoire; Remueur; Vigoureux majeur; Muldo Ebène et Indigo</t>
        </is>
      </c>
    </row>
    <row r="15621">
      <c r="A15621" t="inlineStr">
        <is>
          <t>scraa</t>
        </is>
      </c>
      <c r="B15621">
        <f>HYPERLINK("https://www.dofusbook.net/fr/equipement/2621202-scraa/objets", "link")</f>
        <v/>
      </c>
      <c r="C15621" t="n">
        <v>3</v>
      </c>
      <c r="D15621" t="inlineStr">
        <is>
          <t>Arc de Koutoulou; Amulette du Strigide; Bracelet des Fonds marins; Alliance Gloursonne; Quatre-feuilles; Ceintacé; Némès de Tal Kasha; Chevelure de Tal Kasha; Bottes Voldelor; Dofus Turquoise; Dofus Pourpre; Dofus Ivoire; Dofus des Glaces; Vigoureux majeur; Remueur; Muldo Ebène et Indigo</t>
        </is>
      </c>
    </row>
    <row r="15622">
      <c r="A15622" t="inlineStr">
        <is>
          <t>terre feu</t>
        </is>
      </c>
      <c r="B15622">
        <f>HYPERLINK("https://www.dofusbook.net/fr/equipement/2603944-terre-feu/objets", "link")</f>
        <v/>
      </c>
      <c r="C15622" t="n">
        <v>0</v>
      </c>
      <c r="D15622" t="inlineStr">
        <is>
          <t>Dagues Érhy; Pendentif affamé; Anneau Chevelu; Bague Gloursonne; Cadran de Terre; Ceinture du Comte Razof; Chapeau du Comte Razof; Cape de Diondin; Sabots Volcaniques; Dofus Pourpre; Dolmanax; Remueur; Guérisseur majeur; Déserteur majeur; Muldo Orchidée</t>
        </is>
      </c>
    </row>
    <row r="15623">
      <c r="A15623" t="inlineStr">
        <is>
          <t>Rangefeu</t>
        </is>
      </c>
      <c r="B15623">
        <f>HYPERLINK("https://www.dofusbook.net/fr/equipement/876371-rangefeu/objets", "link")</f>
        <v/>
      </c>
      <c r="C15623" t="n">
        <v>0</v>
      </c>
      <c r="D15623" t="inlineStr">
        <is>
          <t>Arc Nécrotique; Collier de la Dame du Hasard; Bague Gloursonne; Lavanneau; Quatre-feuilles; Ceinture de Vortex; Kidibonnet; Cape de la Dame du Hasard; Bottes de Meno; Dofus des Glaces; Dofus Turquoise; Dofus Pourpre; Dolmanax; Vigoureux majeur; Remueur; Muldo Orchidée</t>
        </is>
      </c>
    </row>
    <row r="15624">
      <c r="A15624" t="inlineStr">
        <is>
          <t>Drrrrrra</t>
        </is>
      </c>
      <c r="B15624">
        <f>HYPERLINK("https://www.dofusbook.net/fr/equipement/2570481-drrrrrra/objets", "link")</f>
        <v/>
      </c>
      <c r="C15624" t="n">
        <v>0</v>
      </c>
      <c r="D15624" t="inlineStr">
        <is>
          <t>Lance corrompue; Amulette de Pol Ouatnos; Anneau Chevelu; Anneau de Brouce; Cadran d'Eau; Ceinture de la Reine des Voleurs; Coiffe de la Reine des Voleurs; Voile d'encre; Dofus des Glaces; Dofus Émeraude; Miraculé majeur; Remueur; Sanguinaire majeur; Enragé majeur; Muldo Orchidée et Pourpre</t>
        </is>
      </c>
    </row>
    <row r="15625">
      <c r="A15625" t="inlineStr">
        <is>
          <t>eau terre</t>
        </is>
      </c>
      <c r="B15625">
        <f>HYPERLINK("https://www.dofusbook.net/fr/equipement/2556439-eau-terre/objets", "link")</f>
        <v/>
      </c>
      <c r="C15625" t="n">
        <v>1</v>
      </c>
      <c r="D15625" t="inlineStr">
        <is>
          <t>Arc de Koutoulou; Amulette de l'Indicible; Bracelet du Piloztère; Alliance Brûlâme; Bouclier du Stalak; Ceinture de l'Indicible; Chapeau des Malveilleurs; Voile d'encre; Bottes de l'Indicible; Dofus Vulbis; Dofus Turquoise; Dolmanax; Dofus Ocre; Dofus Pourpre; Dofus des Glaces; Kramkram</t>
        </is>
      </c>
    </row>
    <row r="15626">
      <c r="A15626" t="inlineStr">
        <is>
          <t>terre air</t>
        </is>
      </c>
      <c r="B15626">
        <f>HYPERLINK("https://www.dofusbook.net/fr/equipement/2533722-terre-air/objets", "link")</f>
        <v/>
      </c>
      <c r="C15626" t="n">
        <v>0</v>
      </c>
      <c r="D15626" t="inlineStr">
        <is>
          <t>Lance corrompue; Amulette du Cœur Vaillant; Bague Gloursonne; Alliance Gloursonne; Bouclier cubiste; Ceinture de la Reine des Voleurs; Coiffe de la Reine des Voleurs; Cape du Cœur Vaillant; Bottes Honyme</t>
        </is>
      </c>
    </row>
    <row r="15627">
      <c r="A15627" t="inlineStr">
        <is>
          <t>eauairdocrit</t>
        </is>
      </c>
      <c r="B15627">
        <f>HYPERLINK("https://www.dofusbook.net/fr/equipement/859946-eauairdocrit/objets", "link")</f>
        <v/>
      </c>
      <c r="C15627" t="n">
        <v>1</v>
      </c>
      <c r="D15627" t="inlineStr">
        <is>
          <t>Manthache; Amulette du Strigide; Gant du Valet Veinard; Alliance Gloursonne; Bouclier d'Ilyzaelle; Ceinture Voldelor; Capuche de Moum-Ra; Chevelure de Tal Kasha; Bottes Voldelor; Dofus Ocre; Dofus Turquoise; Dofus Pourpre; Dolmanax; Vigoureux majeur; Carapace Air majeur; Muldo Ebène et Emeraude</t>
        </is>
      </c>
    </row>
    <row r="15628">
      <c r="A15628" t="inlineStr">
        <is>
          <t>eau/air</t>
        </is>
      </c>
      <c r="B15628">
        <f>HYPERLINK("https://www.dofusbook.net/fr/equipement/2511015-eau-air/objets", "link")</f>
        <v/>
      </c>
      <c r="C15628" t="n">
        <v>0</v>
      </c>
      <c r="D15628" t="inlineStr">
        <is>
          <t>Arc de Koutoulou; Amulette du Strigide; Alliance Gloursonne; Bracelet des Fonds marins; Bouclier d'Ilyzaelle; Poulpagne; Némès de Tal Kasha; Chevelure de Tal Kasha; Bottes Voldelor; Dofus Turquoise; Dolmanax; Dofus Abyssal; Dofus Pourpre; Nomade; Remueur; Muldo Ebène et Indigo</t>
        </is>
      </c>
    </row>
    <row r="15629">
      <c r="A15629" t="inlineStr">
        <is>
          <t>ahi</t>
        </is>
      </c>
      <c r="B15629">
        <f>HYPERLINK("https://www.dofusbook.net/fr/equipement/2505761-ahi/objets", "link")</f>
        <v/>
      </c>
      <c r="C15629" t="n">
        <v>0</v>
      </c>
      <c r="D15629" t="inlineStr">
        <is>
          <t>Arc Ahique; Collier du Valet Veinard; Alliance Gloursonne; Gant du Valet Veinard; Bouclier du Stalak; Ceinture de la Reine des Voleurs; Coiffe de la Reine des Voleurs; Cape du Valet Veinard; Bottes de la Reine des Voleurs; Dofus Émeraude; Dofus des Glaces; Dolmanax; Dofus Ocre; Dofus Pourpre; Dofus Abyssal; Muldo Ebène</t>
        </is>
      </c>
    </row>
    <row r="15630">
      <c r="A15630" t="inlineStr">
        <is>
          <t>oooo</t>
        </is>
      </c>
      <c r="B15630">
        <f>HYPERLINK("https://www.dofusbook.net/fr/equipement/2505472-oooo/objets", "link")</f>
        <v/>
      </c>
      <c r="C15630" t="n">
        <v>0</v>
      </c>
      <c r="D15630" t="inlineStr">
        <is>
          <t>Dagoulinantes; Amulette de Shokkoth; Bracelet des Fonds marins; Alliance Gloursonne; Bouclier d'Ilyzaelle; Poulpagne; Casque Dragoeuf; Cape du Sinistrofu; Bottes du Sinistrofu; Dofus Pourpre; Dofus Turquoise; Dofus Ivoire; Dofus Abyssal; Chanceux majeur; Remueur; Muldo Indigo et Pourpre</t>
        </is>
      </c>
    </row>
    <row r="15631">
      <c r="A15631" t="inlineStr">
        <is>
          <t>oooo</t>
        </is>
      </c>
      <c r="B15631">
        <f>HYPERLINK("https://www.dofusbook.net/fr/equipement/2505440-oooo/objets", "link")</f>
        <v/>
      </c>
      <c r="C15631" t="n">
        <v>0</v>
      </c>
      <c r="D15631" t="inlineStr">
        <is>
          <t>Rapière aux Glyphes; Amulette de Shokkoth; Bracelet des Fonds marins; Alliance Gloursonne; Cadran d'Eau; Ceinture Glaciale; Kidibonnet; Cape du Sinistrofu; Bottes du Sinistrofu; Dofus Ivoire; Dofus Abyssal; Dofus Pourpre; Dofus des Glaces; Chanceux majeur; Remueur; Muldo Indigo et Pourpre</t>
        </is>
      </c>
    </row>
    <row r="15632">
      <c r="A15632" t="inlineStr">
        <is>
          <t>variante quadri elem</t>
        </is>
      </c>
      <c r="B15632">
        <f>HYPERLINK("https://www.dofusbook.net/fr/equipement/2475905-variante-quadri-elem/objets", "link")</f>
        <v/>
      </c>
      <c r="C15632" t="n">
        <v>2</v>
      </c>
      <c r="D15632" t="inlineStr">
        <is>
          <t>Marteau de Katrepat; Amulette de l'Indicible; Alliance Gloursonne; Bracelet du Piloztère; Bouclier d'Ilyzaelle; Ceinture de l'Indicible; Casque du Chalœil; Voile d'encre; Pataugastrique; Dolmanax; Dofus Ivoire; Dofus Pourpre; Dofus Abyssal; Dofus des Glaces; Vigoureux majeur; Muldo Orchidée et Pourpre</t>
        </is>
      </c>
    </row>
    <row r="15633">
      <c r="A15633" t="inlineStr">
        <is>
          <t>FIIIIIRE</t>
        </is>
      </c>
      <c r="B15633">
        <f>HYPERLINK("https://www.dofusbook.net/fr/equipement/2405615-fiiiiire/objets", "link")</f>
        <v/>
      </c>
      <c r="C15633" t="n">
        <v>0</v>
      </c>
      <c r="D15633" t="inlineStr">
        <is>
          <t>Arc Nécrotique; Collier de la Dame du Hasard; Bague Gloursonne; Anneau de Nidas; Quatre-feuilles; Ceintacé; Casque Dragoeuf; Voile d'encre; Bottes de la Dame du Hasard; Dofus Turquoise; Dofus Abyssal; Dofus Pourpre; Dofus des Glaces; Remueur; Érudit majeur; Muldo Orchidée et Pourpre</t>
        </is>
      </c>
    </row>
    <row r="15634">
      <c r="A15634" t="inlineStr">
        <is>
          <t>Stuff 1</t>
        </is>
      </c>
      <c r="B15634">
        <f>HYPERLINK("https://www.dofusbook.net/fr/equipement/487671-stuff-1/objets", "link")</f>
        <v/>
      </c>
      <c r="C15634" t="n">
        <v>0</v>
      </c>
      <c r="D15634" t="inlineStr">
        <is>
          <t>Baguette Hique; Collier de la Dame du Hasard; Bracelet du Piloztère; Pikano; Bouclier cubiste; Poulpagne; Kidibonnet; Cape de Meno; Bottes de Meno; Dofus Turquoise; Ralentisseur majeur; Entraveur majeur; Chanceux majeur; Temporiseur majeur; Muldo Prune et Emeraude</t>
        </is>
      </c>
    </row>
    <row r="15635">
      <c r="A15635" t="inlineStr">
        <is>
          <t>ooo</t>
        </is>
      </c>
      <c r="B15635">
        <f>HYPERLINK("https://www.dofusbook.net/fr/equipement/876795-ooo/objets", "link")</f>
        <v/>
      </c>
      <c r="C15635" t="n">
        <v>0</v>
      </c>
      <c r="D15635" t="inlineStr">
        <is>
          <t>Arc Nécrotique; Talisman Igans; Anneau Tique; Anneau Cryochrone; Bouclier du Stalak; Ceintrigue; Casquette de Meno; Cape de Meno; Bottes de Meno; Dofus Turquoise; Dolmanax; Dofus Ocre; Dofus Pourpre; Dofus des Glaces; Féroce majeur; Muldo Orchidée</t>
        </is>
      </c>
    </row>
    <row r="15636">
      <c r="A15636" t="inlineStr">
        <is>
          <t>Stuff 1</t>
        </is>
      </c>
      <c r="B15636">
        <f>HYPERLINK("https://www.dofusbook.net/fr/equipement/104959-stuff-1/objets", "link")</f>
        <v/>
      </c>
      <c r="C15636" t="n">
        <v>0</v>
      </c>
      <c r="D15636" t="inlineStr">
        <is>
          <t>Arc de Koutoulou; Amulette du Strigide; Bague Trithon; Alliance Gloursonne; Quatre-feuilles; Ceinture du Strigide; Némès de Tal Kasha; Chevelure de Tal Kasha; Sandales de Tal Kasha; Dofus Ocre; Dofus Nébuleux; Dofus Pourpre; Dolmanax; Dofus Turquoise; Dofus des Glaces; Muldo Prune et Emeraude</t>
        </is>
      </c>
    </row>
    <row r="15637">
      <c r="A15637" t="inlineStr">
        <is>
          <t>nocrit</t>
        </is>
      </c>
      <c r="B15637">
        <f>HYPERLINK("https://www.dofusbook.net/fr/equipement/2312108-nocrit/objets", "link")</f>
        <v/>
      </c>
      <c r="C15637" t="n">
        <v>0</v>
      </c>
      <c r="D15637" t="inlineStr">
        <is>
          <t>Pelle Emélaka; Amulette d'Ilyzaelle; Bracelet du Piloztère; Alliance Gloursonne; Bouclier d'Ilyzaelle; Ceinture de la Reine des Voleurs; Casque d'Ilyzaelle; Cape Matelassée; Bottes de la Reine des Voleurs; Dofus Émeraude; Dofus Ocre; Dolmanax; Dofus des Glaces; Dofus Pourpre; Dofus Ivoire; Muldo Ebène</t>
        </is>
      </c>
    </row>
    <row r="15638">
      <c r="A15638" t="inlineStr">
        <is>
          <t>Terre</t>
        </is>
      </c>
      <c r="B15638">
        <f>HYPERLINK("https://www.dofusbook.net/fr/equipement/774003-terre/objets", "link")</f>
        <v/>
      </c>
      <c r="C15638" t="n">
        <v>0</v>
      </c>
      <c r="D15638" t="inlineStr">
        <is>
          <t>Marteau R'ture; Collier de Tourthon; Bracelet du Piloztère; Anneau Crustique; Bouclier du Captain Amakna; Ceinture de la Reine des Voleurs; Masque de Koutoulou; Cape au Logis; Bottes de la Cour Sombre; Dofus Ocre; Dofus Pourpre; Dolmanax; Dofus Nébuleux; Dofus Turquoise; Enragé majeur; Kompost</t>
        </is>
      </c>
    </row>
    <row r="15639">
      <c r="A15639" t="inlineStr">
        <is>
          <t>DOPOUDOPOUDOPOU</t>
        </is>
      </c>
      <c r="B15639">
        <f>HYPERLINK("https://www.dofusbook.net/fr/equipement/2203402-dopoudopoudopou/objets", "link")</f>
        <v/>
      </c>
      <c r="C15639" t="n">
        <v>0</v>
      </c>
      <c r="D15639" t="inlineStr">
        <is>
          <t>Héqache; Pendentif affamé; Alliance Gloursonne; Bague Trithon; Bouclier précieux; Ceintacé; Masque Trithon; Cape du Cœur Vaillant; Bottistik; Dofus des Glaces; Dolmanax; Dofus Ocre; Dofus Émeraude; Culbuteur majeur; Bousculeur majeur; Muldo Ebène</t>
        </is>
      </c>
    </row>
    <row r="15640">
      <c r="A15640" t="inlineStr">
        <is>
          <t>dopou</t>
        </is>
      </c>
      <c r="B15640">
        <f>HYPERLINK("https://www.dofusbook.net/fr/equipement/2156473-dopou/objets", "link")</f>
        <v/>
      </c>
      <c r="C15640" t="n">
        <v>0</v>
      </c>
      <c r="D15640" t="inlineStr">
        <is>
          <t>Arc Nécrotique; Talisman Igans; Alliance Brûlâme; Ceintrigue; Capuche de l'Œil Putride; Cape de l'Œil Putride; Bottes Owesli</t>
        </is>
      </c>
    </row>
    <row r="15641">
      <c r="A15641" t="inlineStr">
        <is>
          <t>newstuffst</t>
        </is>
      </c>
      <c r="B15641">
        <f>HYPERLINK("https://www.dofusbook.net/fr/equipement/1893188-newstuffst/objets", "link")</f>
        <v/>
      </c>
      <c r="C15641" t="n">
        <v>0</v>
      </c>
      <c r="D15641" t="inlineStr">
        <is>
          <t>Marteau d'Henual; Amulette du Strigide; Anneau d'Henual; Chevalière du Roi Joueur; Bouclier du Stalak; Ceinture d'Henual; Couronne du Roi Joueur; Voile d'encre; Bottes du Roi Joueur; Dofus Ocre; Dofus Turquoise; Dolmanax; Dofus des Glaces; Dofus Pourpre; Dofus Abyssal; Muldo Indigo et Pourpre</t>
        </is>
      </c>
    </row>
    <row r="15642">
      <c r="A15642" t="inlineStr">
        <is>
          <t>newitems</t>
        </is>
      </c>
      <c r="B15642">
        <f>HYPERLINK("https://www.dofusbook.net/fr/equipement/1835704-newitems/objets", "link")</f>
        <v/>
      </c>
      <c r="C15642" t="n">
        <v>0</v>
      </c>
      <c r="D15642" t="inlineStr">
        <is>
          <t>Lance corrompue; Amulette de Nevark; Bracelet du Piloztère; Alliance Brûlâme; Bouclier Taverne; Ceinture de Nevark; Masque Brûlâme; Cape de Nevark; Pompes Funèbres; Dofus Ocre; Dofus des Glaces; Dofus Abyssal; Dofus Ivoire; Dofus Pourpre; Dolmanax; Muldo Ebène et Orchidée</t>
        </is>
      </c>
    </row>
    <row r="15643">
      <c r="A15643" t="inlineStr">
        <is>
          <t>bouboubobuobu</t>
        </is>
      </c>
      <c r="B15643">
        <f>HYPERLINK("https://www.dofusbook.net/fr/equipement/1831048-bouboubobuobu/objets", "link")</f>
        <v/>
      </c>
      <c r="C15643" t="n">
        <v>0</v>
      </c>
      <c r="D15643" t="inlineStr">
        <is>
          <t>Héqache; Amulette du Strigide; Bague Trithon; Bague Gloursonne; Ceinture du Strigide; Masque Trithon; Voile d'encre; Bottes Trithon; Dofus Ocre; Dolmanax; Dofus Pourpre; Dofus des Glaces; Dofus Turquoise</t>
        </is>
      </c>
    </row>
    <row r="15644">
      <c r="A15644" t="inlineStr">
        <is>
          <t>lalaaaa</t>
        </is>
      </c>
      <c r="B15644">
        <f>HYPERLINK("https://www.dofusbook.net/fr/equipement/1805182-lalaaaa/objets", "link")</f>
        <v/>
      </c>
      <c r="C15644" t="n">
        <v>0</v>
      </c>
      <c r="D15644" t="inlineStr">
        <is>
          <t>Marteau de Katrepat; Amulette du Strigide; Bracelet du Piloztère; Bague Trithon; Bouclier du Captain Amakna; Ceinture du Strigide; Masque Trithon; Voile d'encre; Bottes Trithon; Dofus Turquoise; Dofus des Glaces; Dofus Ocre; Dofus Abyssal; Dofus Pourpre; Dolmanax; Muldo Ebène et Pourpre</t>
        </is>
      </c>
    </row>
    <row r="15645">
      <c r="A15645" t="inlineStr">
        <is>
          <t>VNR FEU</t>
        </is>
      </c>
      <c r="B15645">
        <f>HYPERLINK("https://www.dofusbook.net/fr/equipement/487897-vnr-feu/objets", "link")</f>
        <v/>
      </c>
      <c r="C15645" t="n">
        <v>4</v>
      </c>
      <c r="D15645" t="inlineStr">
        <is>
          <t>Harpelle; Pendentif affamé; Bague Gloursonne; Anneau de Nidas; Bivalve; Ceinture de Vortex; Couronne de Nidas; Voile d'encre; Bottes Innommables; Dofus Pourpre; Dolmanax; Guérisseur majeur; Remueur; Érudit majeur; Astucieux majeur; Muldo Indigo et Orchidée</t>
        </is>
      </c>
    </row>
    <row r="15646">
      <c r="A15646" t="inlineStr">
        <is>
          <t>recherche</t>
        </is>
      </c>
      <c r="B15646">
        <f>HYPERLINK("https://www.dofusbook.net/fr/equipement/1748802-recherche/objets", "link")</f>
        <v/>
      </c>
      <c r="C15646" t="n">
        <v>0</v>
      </c>
      <c r="D15646" t="inlineStr">
        <is>
          <t>Arc Ahique; Amulette du Strigide; Alliance Gloursonne; Bracelet du Piloztère; Ceinture de la Reine des Voleurs; Coiffe de la Reine des Voleurs; Voile d'encre; Bottes de la Reine des Voleurs; Dofus Ocre; Dofus Abyssal; Dofus Pourpre; Dolmanax; Dofus Turquoise; Dofus des Glaces; Muldo Ebène et Orchidée</t>
        </is>
      </c>
    </row>
    <row r="15647">
      <c r="A15647" t="inlineStr">
        <is>
          <t>NEWSTUFFS</t>
        </is>
      </c>
      <c r="B15647">
        <f>HYPERLINK("https://www.dofusbook.net/fr/equipement/1459801-newstuffs/objets", "link")</f>
        <v/>
      </c>
      <c r="C15647" t="n">
        <v>0</v>
      </c>
      <c r="D15647" t="inlineStr">
        <is>
          <t>Héqache; Amulette du Strigide; Bague Gloursonne; Bracelet du Piloztère; Bouclier du Captain Amakna; Ceinture du Strigide; Voile d'encre; Dofus Ocre; Dofus Abyssal; Dofus Pourpre; Dolmanax; Dofus Turquoise; Dofus des Glaces; Muldo Orchidée et Pourpre</t>
        </is>
      </c>
    </row>
    <row r="15648">
      <c r="A15648" t="inlineStr">
        <is>
          <t>blkoli2</t>
        </is>
      </c>
      <c r="B15648">
        <f>HYPERLINK("https://www.dofusbook.net/fr/equipement/1285451-blkoli2/objets", "link")</f>
        <v/>
      </c>
      <c r="C15648" t="n">
        <v>0</v>
      </c>
      <c r="D15648" t="inlineStr">
        <is>
          <t>La Baguette des Limbes; Talisman du Chêne Mou; Anneau du Mansot Royal; Anneau du Chêne Mou; String Automnal du Chêne Mou; Bonnet Ko; Cape Usée du Chêne Mou; Tongues du dimanche du Chêne Mou; Dofus Pourpre; Dofus des Glaces; Dofus Émeraude; Dolmanax; Dofus Ocre; Robuste majeur</t>
        </is>
      </c>
    </row>
    <row r="15649">
      <c r="A15649" t="inlineStr">
        <is>
          <t>KOLIBL</t>
        </is>
      </c>
      <c r="B15649">
        <f>HYPERLINK("https://www.dofusbook.net/fr/equipement/1266537-kolibl/objets", "link")</f>
        <v/>
      </c>
      <c r="C15649" t="n">
        <v>0</v>
      </c>
      <c r="D15649" t="inlineStr">
        <is>
          <t>La Baguette des Limbes; Talisman d'Elya Wood; Anneau du Chêne Mou; Alliance d'Elya Wood; Bouclier Feudala; Xénature; Ruskauffe; Ortiz; Bottes Cérémoniales du Seigneur des Rats; Dofus Émeraude; Dolmanax; Remueur; Érudit majeur; Déserteur majeur; Carapace Eau majeur; Muldo Ebène et Indigo</t>
        </is>
      </c>
    </row>
    <row r="15650">
      <c r="A15650" t="inlineStr">
        <is>
          <t>bl 104</t>
        </is>
      </c>
      <c r="B15650">
        <f>HYPERLINK("https://www.dofusbook.net/fr/equipement/928299-bl-104/objets", "link")</f>
        <v/>
      </c>
      <c r="C15650" t="n">
        <v>0</v>
      </c>
      <c r="D15650" t="inlineStr"/>
    </row>
    <row r="15651">
      <c r="A15651" t="inlineStr">
        <is>
          <t>eau</t>
        </is>
      </c>
      <c r="B15651">
        <f>HYPERLINK("https://www.dofusbook.net/fr/equipement/876578-eau/objets", "link")</f>
        <v/>
      </c>
      <c r="C15651" t="n">
        <v>0</v>
      </c>
      <c r="D15651" t="inlineStr">
        <is>
          <t>Dagoulinantes; Amulette de Shokkoth; Bracelet des Fonds marins; Alliance Gloursonne; Quatre-feuilles; Poulpagne; Masque des Fonds marins; Cape de l'Œil Attentif; Dofus Turquoise; Dofus des Glaces; Dofus Pourpre; Chanceux majeur; Remueur; Dévastateur Eau majeur; Muldo Indigo et Pourpre</t>
        </is>
      </c>
    </row>
    <row r="15652">
      <c r="A15652" t="inlineStr">
        <is>
          <t>Lol</t>
        </is>
      </c>
      <c r="B15652">
        <f>HYPERLINK("https://www.dofusbook.net/fr/equipement/789938-lol/objets", "link")</f>
        <v/>
      </c>
      <c r="C15652" t="n">
        <v>0</v>
      </c>
      <c r="D15652" t="inlineStr">
        <is>
          <t>Héqache; Amulette du Strigide; Bracelet du Piloztère; Alliance Gloursonne; Bouclier du Captain Amakna; Ceintacé; Coiffe de la Fuji Givrefoux; Voile d'encre; Bottes du Cycloïde; Dofus Turquoise; Dofus Abyssal; Dofus Pourpre; Dofus Ocre; Dofus Émeraude; Dolmanax; Muldo Ebène et Pourpre</t>
        </is>
      </c>
    </row>
    <row r="15653">
      <c r="A15653" t="inlineStr">
        <is>
          <t>Portee terre feu put</t>
        </is>
      </c>
      <c r="B15653">
        <f>HYPERLINK("https://www.dofusbook.net/fr/equipement/783938-portee-terre-feu-put/objets", "link")</f>
        <v/>
      </c>
      <c r="C15653" t="n">
        <v>0</v>
      </c>
      <c r="D15653" t="inlineStr">
        <is>
          <t>Bâthon; Amulette de Gein; Bague Gloursonne; Bracelet du Piloztère; Bouclier du Stalak; Ceinture de Gein; Chapeau de Gein; Bottes du Roi Joueur; Dofus Ocre; Dolmanax; Dofus Pourpre; Dokoko; Dofus Émeraude; Dofus Abyssal; Muldo Ebène et Pourpre</t>
        </is>
      </c>
    </row>
    <row r="15654">
      <c r="A15654" t="inlineStr">
        <is>
          <t>Stuff 3</t>
        </is>
      </c>
      <c r="B15654">
        <f>HYPERLINK("https://www.dofusbook.net/fr/equipement/104950-stuff-3/objets", "link")</f>
        <v/>
      </c>
      <c r="C15654" t="n">
        <v>0</v>
      </c>
      <c r="D15654" t="inlineStr">
        <is>
          <t>Sceptre du Roi Joueur; Amulette de Shokkoth; Bracelet des Fonds marins; Alliance Gloursonne; Poulpagne; Casque Dragoeuf; Cape de Mantaze; Sandales des Fonds marins; Dofus Turquoise; Dofus des Glaces; Dofus Pourpre; Remueur; Chanceux majeur; Dévastateur Eau majeur; Muldo Ebène et Indigo</t>
        </is>
      </c>
    </row>
    <row r="15655">
      <c r="A15655" t="inlineStr">
        <is>
          <t>Stuff 2</t>
        </is>
      </c>
      <c r="B15655">
        <f>HYPERLINK("https://www.dofusbook.net/fr/equipement/104925-stuff-2/objets", "link")</f>
        <v/>
      </c>
      <c r="C15655" t="n">
        <v>1</v>
      </c>
      <c r="D15655" t="inlineStr">
        <is>
          <t>Harpelle; Amulette d'Otomaï; Anneau de Nidas; Bague Gloursonne; Ceinture de Vortex; Couronne de Nidas; Voile d'encre; Pataugastrique; Dolmanax; Érudit majeur; Guérisseur majeur; Remueur; Docteur majeur</t>
        </is>
      </c>
    </row>
    <row r="15656">
      <c r="A15656" t="inlineStr">
        <is>
          <t>Stuff 2</t>
        </is>
      </c>
      <c r="B15656">
        <f>HYPERLINK("https://www.dofusbook.net/fr/equipement/104971-stuff-2/objets", "link")</f>
        <v/>
      </c>
      <c r="C15656" t="n">
        <v>0</v>
      </c>
      <c r="D15656" t="inlineStr">
        <is>
          <t>Manthache; Collier du Valet Veinard; Anneau d'Allister; Gant du Valet Veinard; Ceinture Rasboulaire du Rasboul; Couronne d'Allister; Cape du Valet Veinard; Bottes d'Allister; Dofus Ocre; Dofus des Glaces; Dofus Nébuleux; Dofus Pourpre; Equilibriste majeur; Acrobate majeur</t>
        </is>
      </c>
    </row>
    <row r="15657">
      <c r="A15657" t="inlineStr">
        <is>
          <t>Stuff 3</t>
        </is>
      </c>
      <c r="B15657">
        <f>HYPERLINK("https://www.dofusbook.net/fr/equipement/104955-stuff-3/objets", "link")</f>
        <v/>
      </c>
      <c r="C15657" t="n">
        <v>1</v>
      </c>
      <c r="D15657" t="inlineStr">
        <is>
          <t>Dagues Érhy; Amulette du Strigide; Alliance de Missiz Frizz; Bague Gloursonne; Ceinture du Strigide; Casque de Missiz Frizz; Cape au Logis; Bottes du Strigide; Dofus Émeraude; Dofus Turquoise; Dofus Ocre; Dofus Pourpre; Survivant majeur; Forcené majeur; Péki</t>
        </is>
      </c>
    </row>
    <row r="15658">
      <c r="A15658" t="inlineStr">
        <is>
          <t>Stuff 1</t>
        </is>
      </c>
      <c r="B15658">
        <f>HYPERLINK("https://www.dofusbook.net/fr/equipement/104948-stuff-1/objets", "link")</f>
        <v/>
      </c>
      <c r="C15658" t="n">
        <v>0</v>
      </c>
      <c r="D15658" t="inlineStr">
        <is>
          <t>Arc Hétype; Amulette d'Otomaï; Anneau de Nidas; Bague Gloursonne; Ceinture Séculaire; Couronne de Nidas; Cape de Diondin; Bottes d'Otomaï; Miraculé majeur; Érudit majeur; Astucieux majeur; Remueur; Nomade; Savant majeur; Brûlih</t>
        </is>
      </c>
    </row>
    <row r="15659">
      <c r="A15659" t="inlineStr">
        <is>
          <t>Stuff 2</t>
        </is>
      </c>
      <c r="B15659">
        <f>HYPERLINK("https://www.dofusbook.net/fr/equipement/104942-stuff-2/objets", "link")</f>
        <v/>
      </c>
      <c r="C15659" t="n">
        <v>1</v>
      </c>
      <c r="D15659" t="inlineStr">
        <is>
          <t>Rouleau à Pâtisserie d'Aermyne; Talisman Glouti; Alliance Gloursonne; Anneau de Pol Ouatnos; Sangle Ouare; Dorabysses; Cape Matelassée; Bottes du Sinistrofu; Bloqueur; Tacleur majeur; Remueur; Obstructeur majeur; Obstructeur; Bloqueur majeur; Blokus</t>
        </is>
      </c>
    </row>
    <row r="15660">
      <c r="A15660" t="inlineStr">
        <is>
          <t>Stuff 1</t>
        </is>
      </c>
      <c r="B15660">
        <f>HYPERLINK("https://www.dofusbook.net/fr/equipement/104930-stuff-1/objets", "link")</f>
        <v/>
      </c>
      <c r="C15660" t="n">
        <v>1</v>
      </c>
      <c r="D15660" t="inlineStr">
        <is>
          <t>Dagues de Srambad; Amulette de Pol Ouatnos; Alliance Gloursonne; Bracelet du Piloztère; Ceinture de la Reine des Voleurs; Coiffe de la Reine des Voleurs; Voile d'encre; Pataugastrique; Dofus Pourpre; Dofus des Glaces; Engourdisseur majeur; Remueur; Étourdisseur majeur; Temporiseur majeur</t>
        </is>
      </c>
    </row>
    <row r="15661">
      <c r="A15661" t="inlineStr">
        <is>
          <t>Stuff 1</t>
        </is>
      </c>
      <c r="B15661">
        <f>HYPERLINK("https://www.dofusbook.net/fr/equipement/104944-stuff-1/objets", "link")</f>
        <v/>
      </c>
      <c r="C15661" t="n">
        <v>0</v>
      </c>
      <c r="D15661" t="inlineStr">
        <is>
          <t>Dagues de Srambad; Amulette du Strigide; Anneau de Brouce; Bague Gloursonne; Ceinture de la Reine des Voleurs; Coiffe de la Reine des Voleurs; Voile d'encre; Sabots Minables; Dolmanax; Dofus des Glaces; Dofus Pourpre; Nomade; Vigoureux majeur; Remueur</t>
        </is>
      </c>
    </row>
    <row r="15662">
      <c r="A15662" t="inlineStr">
        <is>
          <t>Stuff 1</t>
        </is>
      </c>
      <c r="B15662">
        <f>HYPERLINK("https://www.dofusbook.net/fr/equipement/104939-stuff-1/objets", "link")</f>
        <v/>
      </c>
      <c r="C15662" t="n">
        <v>1</v>
      </c>
      <c r="D15662" t="inlineStr">
        <is>
          <t>Dagues Érhy; Collier de Tourthon; Anneau Chevelu; Pikano; Ceinture de la Cour Sombre; Masque de Koutoulou; Cape du Kamasterisk; Bottes de la Cour Sombre; Dofus des Glaces; Dofus Pourpre; Dofus Turquoise; Vigoureux majeur; Enragé majeur; Remueur</t>
        </is>
      </c>
    </row>
    <row r="15663">
      <c r="A15663" t="inlineStr">
        <is>
          <t>Stuff 3</t>
        </is>
      </c>
      <c r="B15663">
        <f>HYPERLINK("https://www.dofusbook.net/fr/equipement/104932-stuff-3/objets", "link")</f>
        <v/>
      </c>
      <c r="C15663" t="n">
        <v>1</v>
      </c>
      <c r="D15663" t="inlineStr">
        <is>
          <t>Hache du Chalœil; Amulette du Strigide; Chevalière du Roi Joueur; Bague Gloursonne; Ceintacé; Casque du Chalœil; Voile d'encre; Bottes du Strigide; Dolmanax; Dofus Turquoise; Dofus Pourpre; Nomade; Vigoureux majeur; Remueur; Kramkram</t>
        </is>
      </c>
    </row>
    <row r="15664">
      <c r="A15664" t="inlineStr">
        <is>
          <t>Stuff 1</t>
        </is>
      </c>
      <c r="B15664">
        <f>HYPERLINK("https://www.dofusbook.net/fr/equipement/104924-stuff-1/objets", "link")</f>
        <v/>
      </c>
      <c r="C15664" t="n">
        <v>2</v>
      </c>
      <c r="D15664" t="inlineStr">
        <is>
          <t>Plumeau Bil; Amulette d'Otomaï; Anneau de Nidas; Bague Gloursonne; Ceinture de Vortex; Couronne de Nidas; Voile d'encre; Pataugastrique; Dofus Pourpre; Guérisseur majeur; Docteur majeur; Nomade; Érudit majeur; Remueur; Kramkram</t>
        </is>
      </c>
    </row>
    <row r="15665">
      <c r="A15665" t="inlineStr">
        <is>
          <t>Stuff 1</t>
        </is>
      </c>
      <c r="B15665">
        <f>HYPERLINK("https://www.dofusbook.net/fr/equipement/104970-stuff-1/objets", "link")</f>
        <v/>
      </c>
      <c r="C15665" t="n">
        <v>0</v>
      </c>
      <c r="D15665" t="inlineStr">
        <is>
          <t>Héqache; Collier de Tourthon; Anneau de Brouce; Anneau Chevelu; Ceinture de la Reine des Voleurs; Coiffe de la Reine des Voleurs; Cape au Logis; Sabots Minables; Dofus des Glaces; Dofus Pourpre; Dofus Turquoise; Remueur; Vigoureux majeur; Enragé majeur</t>
        </is>
      </c>
    </row>
    <row r="15666">
      <c r="A15666" t="inlineStr">
        <is>
          <t>Stuff 2</t>
        </is>
      </c>
      <c r="B15666">
        <f>HYPERLINK("https://www.dofusbook.net/fr/equipement/104954-stuff-2/objets", "link")</f>
        <v/>
      </c>
      <c r="C15666" t="n">
        <v>0</v>
      </c>
      <c r="D15666" t="inlineStr">
        <is>
          <t>Dagues Érhy; Amulette du Strigide; Anneau Chevelu; Bague Gloursonne; Ceintacé; Casque de Missiz Frizz; Cape au Logis; Bottes du Strigide; Dofus Pourpre; Dofus Turquoise; Vigoureux majeur; Enragé majeur; Remueur; Miraculé majeur; Péki</t>
        </is>
      </c>
    </row>
    <row r="15667">
      <c r="A15667" t="inlineStr">
        <is>
          <t>Stuff 2</t>
        </is>
      </c>
      <c r="B15667">
        <f>HYPERLINK("https://www.dofusbook.net/fr/equipement/104946-stuff-2/objets", "link")</f>
        <v/>
      </c>
      <c r="C15667" t="n">
        <v>0</v>
      </c>
      <c r="D15667" t="inlineStr">
        <is>
          <t>Rapière aux Glyphes; Talisman Glouti; Bracelet des Fonds marins; Alliance Gloursonne; Poulpagne; Kidibonnet; Cape de Mantaze; Sandales des Fonds marins; Dofus des Glaces; Dofus Turquoise; Chanceux majeur; Miraculé majeur; Remueur; Dévastateur Eau majeur</t>
        </is>
      </c>
    </row>
    <row r="15668">
      <c r="A15668" t="inlineStr">
        <is>
          <t>Stuff 1</t>
        </is>
      </c>
      <c r="B15668">
        <f>HYPERLINK("https://www.dofusbook.net/fr/equipement/104941-stuff-1/objets", "link")</f>
        <v/>
      </c>
      <c r="C15668" t="n">
        <v>0</v>
      </c>
      <c r="D15668" t="inlineStr">
        <is>
          <t>Dagues Érhy; Amulette du Strigide; Bracelet du Piloztère; Alliance Gloursonne; Ceintacé; Coiffe du Lévitrof; Voile d'encre; Getas Bernacle; Dofus Pourpre; Dofus Turquoise; Nomade; Vigoureux majeur; Remueur; Miraculé majeur; Kramkram</t>
        </is>
      </c>
    </row>
    <row r="15669">
      <c r="A15669" t="inlineStr">
        <is>
          <t>Stuff 1</t>
        </is>
      </c>
      <c r="B15669">
        <f>HYPERLINK("https://www.dofusbook.net/fr/equipement/104944-stuff-1/objets", "link")</f>
        <v/>
      </c>
      <c r="C15669" t="n">
        <v>0</v>
      </c>
      <c r="D15669" t="inlineStr">
        <is>
          <t>Dagues de Srambad; Amulette du Strigide; Bague Gloursonne; Anneau de Brouce; Ceinture de la Reine des Voleurs; Coiffe de la Reine des Voleurs; Voile d'encre; Sabots Minables; Dofus Pourpre; Dolmanax; Dofus des Glaces; Nomade; Vigoureux majeur; Remueur</t>
        </is>
      </c>
    </row>
    <row r="15670">
      <c r="A15670" t="inlineStr">
        <is>
          <t>Stuff 1</t>
        </is>
      </c>
      <c r="B15670">
        <f>HYPERLINK("https://www.dofusbook.net/fr/equipement/104939-stuff-1/objets", "link")</f>
        <v/>
      </c>
      <c r="C15670" t="n">
        <v>1</v>
      </c>
      <c r="D15670" t="inlineStr">
        <is>
          <t>Dagues Érhy; Collier de Tourthon; Pikano; Anneau Chevelu; Ceinture de la Cour Sombre; Masque de Koutoulou; Cape du Kamasterisk; Bottes de la Cour Sombre; Dofus des Glaces; Dofus Pourpre; Dofus Turquoise; Remueur; Vigoureux majeur; Enragé majeur</t>
        </is>
      </c>
    </row>
    <row r="15671">
      <c r="A15671" t="inlineStr">
        <is>
          <t>Stuff 3</t>
        </is>
      </c>
      <c r="B15671">
        <f>HYPERLINK("https://www.dofusbook.net/fr/equipement/104932-stuff-3/objets", "link")</f>
        <v/>
      </c>
      <c r="C15671" t="n">
        <v>1</v>
      </c>
      <c r="D15671" t="inlineStr">
        <is>
          <t>Hache du Chalœil; Amulette du Strigide; Chevalière du Roi Joueur; Bague Gloursonne; Ceintacé; Casque du Chalœil; Voile d'encre; Bottes du Strigide; Dofus Pourpre; Dolmanax; Dofus Turquoise; Nomade; Vigoureux majeur; Remueur; Kramkram</t>
        </is>
      </c>
    </row>
    <row r="15672">
      <c r="A15672" t="inlineStr">
        <is>
          <t>Stuff 1</t>
        </is>
      </c>
      <c r="B15672">
        <f>HYPERLINK("https://www.dofusbook.net/fr/equipement/104924-stuff-1/objets", "link")</f>
        <v/>
      </c>
      <c r="C15672" t="n">
        <v>2</v>
      </c>
      <c r="D15672" t="inlineStr">
        <is>
          <t>Plumeau Bil; Amulette d'Otomaï; Bague Gloursonne; Anneau de Nidas; Ceinture de Vortex; Couronne de Nidas; Voile d'encre; Pataugastrique; Dofus Pourpre; Érudit majeur; Remueur; Guérisseur majeur; Docteur majeur; Nomade; Kramkram</t>
        </is>
      </c>
    </row>
    <row r="15673">
      <c r="A15673" t="inlineStr">
        <is>
          <t>Stuff 1</t>
        </is>
      </c>
      <c r="B15673">
        <f>HYPERLINK("https://www.dofusbook.net/fr/equipement/104970-stuff-1/objets", "link")</f>
        <v/>
      </c>
      <c r="C15673" t="n">
        <v>0</v>
      </c>
      <c r="D15673" t="inlineStr">
        <is>
          <t>Héqache; Collier de Tourthon; Anneau Chevelu; Anneau de Brouce; Ceinture de la Reine des Voleurs; Coiffe de la Reine des Voleurs; Cape au Logis; Sabots Minables; Dofus des Glaces; Dofus Pourpre; Dofus Turquoise; Vigoureux majeur; Enragé majeur; Remueur</t>
        </is>
      </c>
    </row>
    <row r="15674">
      <c r="A15674" t="inlineStr">
        <is>
          <t>Stuff 2</t>
        </is>
      </c>
      <c r="B15674">
        <f>HYPERLINK("https://www.dofusbook.net/fr/equipement/104954-stuff-2/objets", "link")</f>
        <v/>
      </c>
      <c r="C15674" t="n">
        <v>0</v>
      </c>
      <c r="D15674" t="inlineStr">
        <is>
          <t>Dagues Érhy; Amulette du Strigide; Anneau Chevelu; Bague Gloursonne; Ceintacé; Casque de Missiz Frizz; Cape au Logis; Bottes du Strigide; Dofus Pourpre; Dofus Turquoise; Vigoureux majeur; Enragé majeur; Remueur; Miraculé majeur; Péki</t>
        </is>
      </c>
    </row>
    <row r="15675">
      <c r="A15675" t="inlineStr">
        <is>
          <t>Stuff 2</t>
        </is>
      </c>
      <c r="B15675">
        <f>HYPERLINK("https://www.dofusbook.net/fr/equipement/104946-stuff-2/objets", "link")</f>
        <v/>
      </c>
      <c r="C15675" t="n">
        <v>0</v>
      </c>
      <c r="D15675" t="inlineStr">
        <is>
          <t>Rapière aux Glyphes; Talisman Glouti; Bracelet des Fonds marins; Alliance Gloursonne; Poulpagne; Kidibonnet; Cape de Mantaze; Sandales des Fonds marins; Dofus des Glaces; Dofus Turquoise; Chanceux majeur; Miraculé majeur; Remueur; Dévastateur Eau majeur</t>
        </is>
      </c>
    </row>
    <row r="15676">
      <c r="A15676" t="inlineStr">
        <is>
          <t>Stuff 1</t>
        </is>
      </c>
      <c r="B15676">
        <f>HYPERLINK("https://www.dofusbook.net/fr/equipement/104941-stuff-1/objets", "link")</f>
        <v/>
      </c>
      <c r="C15676" t="n">
        <v>0</v>
      </c>
      <c r="D15676" t="inlineStr">
        <is>
          <t>Dagues Érhy; Amulette du Strigide; Alliance Gloursonne; Bracelet du Piloztère; Ceintacé; Coiffe du Lévitrof; Voile d'encre; Getas Bernacle; Dofus Pourpre; Dofus Turquoise; Nomade; Vigoureux majeur; Remueur; Miraculé majeur; Kramkram</t>
        </is>
      </c>
    </row>
    <row r="15677">
      <c r="A15677" t="inlineStr">
        <is>
          <t>Stuff 3</t>
        </is>
      </c>
      <c r="B15677">
        <f>HYPERLINK("https://www.dofusbook.net/fr/equipement/104926-stuff-3/objets", "link")</f>
        <v/>
      </c>
      <c r="C15677" t="n">
        <v>1</v>
      </c>
      <c r="D15677" t="inlineStr">
        <is>
          <t>Epée Loponèze; Amulette de Pol Ouatnos; Bracelet du Piloztère; Alliance Gloursonne; Ceinture du Barbétoal; Masque du Barbétoal; Cape Matelassée; Bottes de la Reine des Voleurs; Dofus Turquoise; Dofus des Glaces; Dolmanax; Dofus Pourpre; Vigoureux majeur; Remueur; Kramkram</t>
        </is>
      </c>
    </row>
    <row r="15678">
      <c r="A15678" t="inlineStr">
        <is>
          <t>Stuff 2</t>
        </is>
      </c>
      <c r="B15678">
        <f>HYPERLINK("https://www.dofusbook.net/fr/equipement/170592-stuff-2/objets", "link")</f>
        <v/>
      </c>
      <c r="C15678" t="n">
        <v>0</v>
      </c>
      <c r="D15678" t="inlineStr">
        <is>
          <t>Dagoulinantes; Amulette Cryochrone; Alliance du Lévitrof; Alliance Gloursonne; Ceinture Séculaire; Casquette de Meno; Cape de la Dame du Hasard; Bottes de Meno; Dofus Pourpre; Dofus Turquoise; Dofus Ocre; Dofus des Glaces; Nomade; Remueur; Kramkram</t>
        </is>
      </c>
    </row>
    <row r="15679">
      <c r="A15679" t="inlineStr">
        <is>
          <t>Stuff 3</t>
        </is>
      </c>
      <c r="B15679">
        <f>HYPERLINK("https://www.dofusbook.net/fr/equipement/170587-stuff-3/objets", "link")</f>
        <v/>
      </c>
      <c r="C15679" t="n">
        <v>0</v>
      </c>
      <c r="D15679" t="inlineStr">
        <is>
          <t>Arc du Chalœil; Amulette du Strigide; Anneau Chevelu; Anneau de Brouce; Ceinture de Brouce; Casque des égarés; Cape de Sylargh; Baleinabottes; Dofus des Glaces; Dofus Turquoise; Dofus Pourpre; Vigoureux majeur; Remueur; Nomade; Kramkram</t>
        </is>
      </c>
    </row>
    <row r="15680">
      <c r="A15680" t="inlineStr">
        <is>
          <t>Stuff 1</t>
        </is>
      </c>
      <c r="B15680">
        <f>HYPERLINK("https://www.dofusbook.net/fr/equipement/170591-stuff-1/objets", "link")</f>
        <v/>
      </c>
      <c r="C15680" t="n">
        <v>0</v>
      </c>
      <c r="D15680" t="inlineStr">
        <is>
          <t>Dagoulinantes; Amulette Cryochrone; Alliance Gloursonne; Anneau Cryochrone; Ceinture Séculaire; Kidibonnet; Cape de la Dame du Hasard; Bottes de Meno; Dofus Pourpre; Dofus Turquoise; Dofus Ocre; Dofus des Glaces; Nomade; Remueur; Muldo Doré</t>
        </is>
      </c>
    </row>
    <row r="15681">
      <c r="A15681" t="inlineStr">
        <is>
          <t>Stuff 2</t>
        </is>
      </c>
      <c r="B15681">
        <f>HYPERLINK("https://www.dofusbook.net/fr/equipement/170586-stuff-2/objets", "link")</f>
        <v/>
      </c>
      <c r="C15681" t="n">
        <v>0</v>
      </c>
      <c r="D15681" t="inlineStr">
        <is>
          <t>Épée de la Reine des Voleurs; Amulette du Strigide; Anneau de Brouce; Anneau Vicieux; Ceinture de Brouce; Masque du Katcheur; Cape de Sylargh; Baleinabottes; Dofus Turquoise; Dévastateur Air majeur; Nomade; Vigoureux majeur; Remueur; Obstructeur majeur; Kramkram</t>
        </is>
      </c>
    </row>
    <row r="15682">
      <c r="A15682" t="inlineStr">
        <is>
          <t>Stuff 1</t>
        </is>
      </c>
      <c r="B15682">
        <f>HYPERLINK("https://www.dofusbook.net/fr/equipement/170590-stuff-1/objets", "link")</f>
        <v/>
      </c>
      <c r="C15682" t="n">
        <v>0</v>
      </c>
      <c r="D15682" t="inlineStr">
        <is>
          <t>Bêche Asse; Amulule; Anneau de Brouce; Bague Gloursonne; Ceinture de Brouce; Casque de Missiz Frizz; Voile d'encre; Sabots Minables; Remueur; Obstructeur majeur; Enragé majeur; Vigoureux majeur; Miraculé majeur; Nomade; Dragodinde Prune et Ivoire</t>
        </is>
      </c>
    </row>
    <row r="15683">
      <c r="A15683" t="inlineStr">
        <is>
          <t>Stuff 1</t>
        </is>
      </c>
      <c r="B15683">
        <f>HYPERLINK("https://www.dofusbook.net/fr/equipement/170585-stuff-1/objets", "link")</f>
        <v/>
      </c>
      <c r="C15683" t="n">
        <v>0</v>
      </c>
      <c r="D15683" t="inlineStr">
        <is>
          <t>Épée de la Reine des Voleurs; Amulette du Strigide; Anneau Chevelu; Alliance Gloursonne; Ceinture du Strigide; Casque des égarés; Cape des Justiciers; Baleinabottes; Dofus Pourpre; Dofus Turquoise; Observateur; Remueur; Nomade; Vigoureux majeur; Kramkram</t>
        </is>
      </c>
    </row>
    <row r="15684">
      <c r="A15684" t="inlineStr">
        <is>
          <t>Stuff 3</t>
        </is>
      </c>
      <c r="B15684">
        <f>HYPERLINK("https://www.dofusbook.net/fr/equipement/407835-stuff-3/objets", "link")</f>
        <v/>
      </c>
      <c r="C15684" t="n">
        <v>20</v>
      </c>
      <c r="D15684" t="inlineStr">
        <is>
          <t>Rouleau à Pâtisserie d'Aermyne; Collier Rophante; Anneau Chevelu; Alliance Gloursonne; Bouclier précieux; Ceintacé; Casque Dragoeuf; Cape d'Aermyne; Sabots Minables; Dofus Émeraude; Dofus Ivoire; Dofus des Veilleurs; Miraculé majeur; Bloqueur majeur; Obstructeur majeur; Platypus</t>
        </is>
      </c>
    </row>
    <row r="15685">
      <c r="A15685" t="inlineStr">
        <is>
          <t>terre/air do crit pvm</t>
        </is>
      </c>
      <c r="B15685">
        <f>HYPERLINK("https://www.dofusbook.net/fr/equipement/5111714-terre-air-do-crit-pvm/objets", "link")</f>
        <v/>
      </c>
      <c r="C15685" t="n">
        <v>5</v>
      </c>
      <c r="D15685" t="inlineStr">
        <is>
          <t>Baguette de Torkélonia; Amulette du Strigide; Crocanneau; Anneau des égarés; Quatre-feuilles; Ceinture du Strigide; Corne de Torkélonia; Cape de Jahash Jurgen; Baleinabottes; Dofus Nébuleux; Dofus Ébène; Dofus Abyssal; Dofus Vulbis; Dofus Turquoise; Dofus Pourpre; Kokulte</t>
        </is>
      </c>
    </row>
    <row r="15686">
      <c r="A15686" t="inlineStr">
        <is>
          <t>Full air cc_os_t2</t>
        </is>
      </c>
      <c r="B15686">
        <f>HYPERLINK("https://www.dofusbook.net/fr/equipement/5907210-full-air-cc-os-t2/objets", "link")</f>
        <v/>
      </c>
      <c r="C15686" t="n">
        <v>6</v>
      </c>
      <c r="D15686" t="inlineStr">
        <is>
          <t>Baguette du Dragoeuf; Amulette du Strigide; Anneau Volkorne; Anneau d'Allister; Quatre-feuilles; Menoture; Casque Volkorne; Cape de Jahash Jurgen; Palmes Trithons; Dofus Ébène; Dofus Ocre; Dofus Turquoise; Dofus Vulbis; Vigoureux majeur; Cascadeur majeur; Kokulte</t>
        </is>
      </c>
    </row>
    <row r="15687">
      <c r="A15687" t="inlineStr">
        <is>
          <t>Full feu</t>
        </is>
      </c>
      <c r="B15687">
        <f>HYPERLINK("https://www.dofusbook.net/fr/equipement/2932882-full-feu/objets", "link")</f>
        <v/>
      </c>
      <c r="C15687" t="n">
        <v>297</v>
      </c>
      <c r="D15687" t="inlineStr">
        <is>
          <t>Arc corrompu; Amulette Volkorne; Anneauræus; Anneauræus; Bouclier du Stalak; Ceinture Volkorne; Heaume Oplate; Cape de Jahash Jurgen; Bottes Innommables; Dofus Pourpre; Dofus Ocre; Dofus Ébène; Dofus Vulbis; Vigoureux majeur; Érudit majeur; Brûlih</t>
        </is>
      </c>
    </row>
    <row r="15688">
      <c r="A15688" t="inlineStr">
        <is>
          <t>Do-crit</t>
        </is>
      </c>
      <c r="B15688">
        <f>HYPERLINK("https://www.dofusbook.net/fr/equipement/3541952-do-crit/objets", "link")</f>
        <v/>
      </c>
      <c r="C15688" t="n">
        <v>14</v>
      </c>
      <c r="D15688" t="inlineStr">
        <is>
          <t>Baguette de Torkélonia; Quatre-feuilles; Carapace de Torkélonia; Dofus Ocre; Dofus Vulbis; Dofus Turquoise; Dofus Abyssal; Dofus Ébène; Dofus Ivoire; Siroko</t>
        </is>
      </c>
    </row>
    <row r="15689">
      <c r="A15689" t="inlineStr">
        <is>
          <t>Full feu pvp</t>
        </is>
      </c>
      <c r="B15689">
        <f>HYPERLINK("https://www.dofusbook.net/fr/equipement/407831-full-feu-pvp/objets", "link")</f>
        <v/>
      </c>
      <c r="C15689" t="n">
        <v>33</v>
      </c>
      <c r="D15689" t="inlineStr">
        <is>
          <t>Arc corrompu; Amulette de Nileza; Anneauræus; Anneauræus; Bouclier du Stalak; Ceintrigue; Heaume Oplate; Cape de Nileza; Bottes Owesli; Dofus Ocre; Dofus des Glaces; Dofus Ébène; Dofus Vulbis; Dofus Pourpre; Dofus Ivoire; Brûlih</t>
        </is>
      </c>
    </row>
    <row r="15690">
      <c r="A15690" t="inlineStr">
        <is>
          <t>full feu pvm</t>
        </is>
      </c>
      <c r="B15690">
        <f>HYPERLINK("https://www.dofusbook.net/fr/equipement/1461691-full-feu-pvm/objets", "link")</f>
        <v/>
      </c>
      <c r="C15690" t="n">
        <v>276</v>
      </c>
      <c r="D15690" t="inlineStr">
        <is>
          <t>Épée d'Otomaï; Amulette Séculaire; Anneau Tamie; Anneau Tamie; Quatre-feuilles; Ceinture Séculaire; Heaume Oplate; Cape de Jahash Jurgen; Pataugastrique; Dofus Pourpre; Dofus Ébène; Dofus Vulbis; Dofus Turquoise; Astucieux majeur; Érudit majeur; Brûlih</t>
        </is>
      </c>
    </row>
    <row r="15691">
      <c r="A15691" t="inlineStr">
        <is>
          <t>feu/eau</t>
        </is>
      </c>
      <c r="B15691">
        <f>HYPERLINK("https://www.dofusbook.net/fr/equipement/5875863-feu-eau/objets", "link")</f>
        <v/>
      </c>
      <c r="C15691" t="n">
        <v>0</v>
      </c>
      <c r="D15691" t="inlineStr">
        <is>
          <t>Pyraguette; Amulette Volkorne; Anneau Cryochrone; Anneau Volkorne; Bouclier du Stalak; Ceintrigue; Coiffe Cryochrone; Cape de Jahash Jurgen; Pataugastrique; Dofus des Glaces; Dofus Vulbis; Dofus Pourpre; Dofus Ébène; Dofus Nébuleux; Dofus Ocre; Walk</t>
        </is>
      </c>
    </row>
    <row r="15692">
      <c r="A15692" t="inlineStr">
        <is>
          <t>Iop terre/eau</t>
        </is>
      </c>
      <c r="B15692">
        <f>HYPERLINK("https://www.dofusbook.net/fr/equipement/5875693-iop-terre-eau/objets", "link")</f>
        <v/>
      </c>
      <c r="C15692" t="n">
        <v>0</v>
      </c>
      <c r="D15692" t="inlineStr">
        <is>
          <t>Baguette des égarés; Amulette du Strigide; Anneau Volkorne; Crocanneau; Quatre-feuilles; Ceinture Volkorne; Masque de Funespadon; Cape de Jahash Jurgen; Chaussons de Macrab; Dofus Ocre; Dofus Abyssal; Dofus Ébène; Dofus Vulbis; Dofus Turquoise; Dofus Nébuleux; Kokulte</t>
        </is>
      </c>
    </row>
    <row r="15693">
      <c r="A15693" t="inlineStr">
        <is>
          <t>anti-osa</t>
        </is>
      </c>
      <c r="B15693">
        <f>HYPERLINK("https://www.dofusbook.net/fr/equipement/2514072-anti-osa/objets", "link")</f>
        <v/>
      </c>
      <c r="C15693" t="n">
        <v>3</v>
      </c>
      <c r="D15693" t="inlineStr">
        <is>
          <t>Lav'Hache; Torquistik; Bague Trithon; Bague Instable; Bouclier précieux; Sangle Ouare; Casque Dragoeuf; Cape Solution; Sabots Minables; Dokoko; Dofus Émeraude; Dofus Abyssal; Dofus Ivoire; Bousculeur majeur; Culbuteur majeur; Balafreux</t>
        </is>
      </c>
    </row>
    <row r="15694">
      <c r="A15694" t="inlineStr">
        <is>
          <t>do crit</t>
        </is>
      </c>
      <c r="B15694">
        <f>HYPERLINK("https://www.dofusbook.net/fr/equipement/407832-do-crit/objets", "link")</f>
        <v/>
      </c>
      <c r="C15694" t="n">
        <v>294</v>
      </c>
      <c r="D15694" t="inlineStr">
        <is>
          <t>Arc Volkorne; Amulette Volkorne; Anneau de Padgref; Anneau Volkorne; Quatre-feuilles; Ceinture Volkorne; Coiffe de Padgref; Cape de Jahash Jurgen; Getas de Padgref; Dofus Vulbis; Dofus Ébène; Dofus des Glaces; Dofus Turquoise; Dofus Ocre; Dofus Nébuleux; Sakochère</t>
        </is>
      </c>
    </row>
    <row r="15695">
      <c r="A15695" t="inlineStr">
        <is>
          <t>1.29-thl</t>
        </is>
      </c>
      <c r="B15695">
        <f>HYPERLINK("https://www.dofusbook.net/fr/equipement/5851002-1-29-thl/objets", "link")</f>
        <v/>
      </c>
      <c r="C15695" t="n">
        <v>0</v>
      </c>
      <c r="D15695" t="inlineStr">
        <is>
          <t>La Baguette des Limbes; Amunite; Anneau Bliteré; Alliance Boletée; String Tue-Mouche; Masque Vaudou Ark; Capignon; Bottes Répané; Dofus Vulbis; Dofus Turquoise; Dofus Ocre; Dofus Émeraude; Dofus Cawotte; Dofus Pourpre; Dragodinde Emeraude et Orchidée</t>
        </is>
      </c>
    </row>
    <row r="15696">
      <c r="A15696" t="inlineStr">
        <is>
          <t>terre/air</t>
        </is>
      </c>
      <c r="B15696">
        <f>HYPERLINK("https://www.dofusbook.net/fr/equipement/407821-terre-air/objets", "link")</f>
        <v/>
      </c>
      <c r="C15696" t="n">
        <v>58</v>
      </c>
      <c r="D15696" t="inlineStr">
        <is>
          <t>Baguette de Torkélonia; Amulette du Kamasterisk; Crocanneau; Bracelet du Piloztère; Quatre-feuilles; Ceinture de la Reine des Voleurs; Corne de Torkélonia; Cape du Kamasterisk; Bottes de la Reine des Voleurs; Dofus des Glaces; Dofus Pourpre; Dofus Vulbis; Dofus Ocre; Dofus Turquoise; Dofus Abyssal; Kokulte</t>
        </is>
      </c>
    </row>
    <row r="15697">
      <c r="A15697" t="inlineStr">
        <is>
          <t>tapey</t>
        </is>
      </c>
      <c r="B15697">
        <f>HYPERLINK("https://www.dofusbook.net/fr/equipement/5267474-tapey/objets", "link")</f>
        <v/>
      </c>
      <c r="C15697" t="n">
        <v>2</v>
      </c>
      <c r="D15697" t="inlineStr">
        <is>
          <t>Baguette de Torkélonia; Amulette du Strigide; Crocanneau; Anneau d'Allister; Bouclier du Captain Amakna; Ceinture du Strigide; Corne de Torkélonia; Cape de Jahash Jurgen; Bottes d'Allister; Dofus Ocre; Dofus Nébuleux; Dofus Ébène; Dofus Abyssal; Dofus Vulbis; Dofus Turquoise; Kokulte</t>
        </is>
      </c>
    </row>
    <row r="15698">
      <c r="A15698" t="inlineStr">
        <is>
          <t>Full do pou</t>
        </is>
      </c>
      <c r="B15698">
        <f>HYPERLINK("https://www.dofusbook.net/fr/equipement/3415475-full-do-pou/objets", "link")</f>
        <v/>
      </c>
      <c r="C15698" t="n">
        <v>7</v>
      </c>
      <c r="D15698" t="inlineStr">
        <is>
          <t>Lav'Hache; Torquistik; Bague Trithon; Bague Instable; Bouclier précieux; Ceinture Gence; Casque Dragoeuf; Cape Solution; Bottistik; Dokoko; Dofus Ivoire; Dofus Émeraude; Bousculeur majeur; Culbuteur majeur; Pousseur majeur; Balafreux</t>
        </is>
      </c>
    </row>
    <row r="15699">
      <c r="A15699" t="inlineStr">
        <is>
          <t>terre-air</t>
        </is>
      </c>
      <c r="B15699">
        <f>HYPERLINK("https://www.dofusbook.net/fr/equipement/407828-terre-air/objets", "link")</f>
        <v/>
      </c>
      <c r="C15699" t="n">
        <v>3</v>
      </c>
      <c r="D15699" t="inlineStr">
        <is>
          <t>Baguette de Torkélonia; Amulette du Strigide; Bague Trithon; Crocanneau; Quatre-feuilles; Ceinture du Strigide; Corne de Torkélonia; Cape de Jahash Jurgen; Bottes Trithon; Dofus Ébène; Dofus Nébuleux; Dofus Ocre; Dofus Turquoise; Dofus Pourpre; Dofus Vulbis; Kokulte</t>
        </is>
      </c>
    </row>
    <row r="15700">
      <c r="A15700" t="inlineStr">
        <is>
          <t>ret pm</t>
        </is>
      </c>
      <c r="B15700">
        <f>HYPERLINK("https://www.dofusbook.net/fr/equipement/4108091-ret-pm-/objets", "link")</f>
        <v/>
      </c>
      <c r="C15700" t="n">
        <v>2</v>
      </c>
      <c r="D15700" t="inlineStr">
        <is>
          <t>Dagoulinantes; Collier Lunaire; Chevalière du Roi Joueur; Crocanneau; Bouclier cubiste; Ceinture Gessant; Masque de Kao; Cape Peupret; Bottes Lunaires; Dofus Ocre; Temporiseur majeur; Temporiseur; Entraveur majeur; Fonceur majeur; Ralentisseur majeur; Gwo Tofu Ventripotent</t>
        </is>
      </c>
    </row>
    <row r="15701">
      <c r="A15701" t="inlineStr">
        <is>
          <t>terre air do crit</t>
        </is>
      </c>
      <c r="B15701">
        <f>HYPERLINK("https://www.dofusbook.net/fr/equipement/3368086-terre-air-do-crit/objets", "link")</f>
        <v/>
      </c>
      <c r="C15701" t="n">
        <v>31</v>
      </c>
      <c r="D15701" t="inlineStr">
        <is>
          <t>Baguette de Torkélonia; Amulette du Strigide; Bague Trithon; Crocanneau; Quatre-feuilles; Ceinture du Strigide; Corne de Torkélonia; Cape de Jahash Jurgen; Bottes Trithon; Dofus Ocre; Dofus Turquoise; Dofus Pourpre; Dofus Vulbis; Dofus Ébène; Dofus Nébuleux; Kokulte</t>
        </is>
      </c>
    </row>
    <row r="15702">
      <c r="A15702" t="inlineStr">
        <is>
          <t>ret pm et pp</t>
        </is>
      </c>
      <c r="B15702">
        <f>HYPERLINK("https://www.dofusbook.net/fr/equipement/1295733-ret-pm-et-pp/objets", "link")</f>
        <v/>
      </c>
      <c r="C15702" t="n">
        <v>3</v>
      </c>
      <c r="D15702" t="inlineStr">
        <is>
          <t>Hache à Lamelles; Chevalière du Roi Joueur; Anneau des Prophètes; Bouclier cubiste; Maskrobe; Cape de Léthaline; Dofus Kaliptus; Dofus Abyssal; Dokille; Dofus Ocre; Temporiseur majeur; Entraveur majeur; Tifoux Tigré</t>
        </is>
      </c>
    </row>
    <row r="15703">
      <c r="A15703" t="inlineStr">
        <is>
          <t>Ouginak M 200</t>
        </is>
      </c>
      <c r="B15703">
        <f>HYPERLINK("https://www.dofusbook.net/fr/equipement/5267549-ouginak-m-200/objets", "link")</f>
        <v/>
      </c>
      <c r="C15703" t="n">
        <v>2</v>
      </c>
      <c r="D15703" t="inlineStr">
        <is>
          <t>Lance Horselé; Collier du Valet Veinard; Gant du Valet Veinard; Alliance Gloursonne; Bouclier d'Ilyzaelle; Menoture; Couronne d'Allister; Cape Martegel; Palmes Trithons; Dofus Émeraude; Dofus Ocre; Dofus Ébène; Dofus Ivoire; Dofus Abyssal; Cascadeur majeur; Bwak d'Eau</t>
        </is>
      </c>
    </row>
    <row r="15704">
      <c r="A15704" t="inlineStr">
        <is>
          <t>Stuff 2</t>
        </is>
      </c>
      <c r="B15704">
        <f>HYPERLINK("https://www.dofusbook.net/fr/equipement/407837-stuff-2/objets", "link")</f>
        <v/>
      </c>
      <c r="C15704" t="n">
        <v>1</v>
      </c>
      <c r="D15704" t="inlineStr">
        <is>
          <t>Manthache; Collier du Valet Veinard; Alliance Gloursonne; Gant du Valet Veinard; Bouclier du Stalak; Menoture; Couronne d'Allister; Cape Indescriptible; Baleinabottes; Dofus des Glaces; Dofus Ébène; Dévastateur Air majeur; Nomade; Cascadeur majeur; Equilibriste majeur; Blérodoudou</t>
        </is>
      </c>
    </row>
    <row r="15705">
      <c r="A15705" t="inlineStr">
        <is>
          <t>Stuff 1</t>
        </is>
      </c>
      <c r="B15705">
        <f>HYPERLINK("https://www.dofusbook.net/fr/equipement/407836-stuff-1/objets", "link")</f>
        <v/>
      </c>
      <c r="C15705" t="n">
        <v>4</v>
      </c>
      <c r="D15705" t="inlineStr">
        <is>
          <t>Dagues du Dragoeuf; Amulette Volkorne; Anneau Volkorne; Chevalière du Roi Joueur; Bouclier du Stalak; Ceinture Volkorne; Couronne du Roi Joueur; Dofusteuse; Bottes du Roi Joueur; Dofus Ébène; Dofus Ocre; Dofus des Glaces; Furibond majeur; Saccageur Terre majeur; Forcené majeur; Bulbisou</t>
        </is>
      </c>
    </row>
    <row r="15706">
      <c r="A15706" t="inlineStr">
        <is>
          <t>RTJDTUYOILUI</t>
        </is>
      </c>
      <c r="B15706">
        <f>HYPERLINK("https://www.dofusbook.net/fr/equipement/1383204-rtjdtuyoilui/objets", "link")</f>
        <v/>
      </c>
      <c r="C15706" t="n">
        <v>0</v>
      </c>
      <c r="D15706" t="inlineStr">
        <is>
          <t>Pyraguette; Amulette Volkorne; Anneau Tamie; Anneau Tamie; Bouclier du Stalak; Ceintrigue; Heaume Oplate; Cape de Diondin; Bottes Owesli; Dofus Ébène; Dofus des Glaces; Astucieux majeur; Érudit majeur; Nomade; Dévastateur Feu majeur; Bisouglours</t>
        </is>
      </c>
    </row>
    <row r="15707">
      <c r="A15707" t="inlineStr">
        <is>
          <t>Stuff 3</t>
        </is>
      </c>
      <c r="B15707">
        <f>HYPERLINK("https://www.dofusbook.net/fr/equipement/407838-stuff-3/objets", "link")</f>
        <v/>
      </c>
      <c r="C15707" t="n">
        <v>5</v>
      </c>
      <c r="D15707" t="inlineStr">
        <is>
          <t>Pyraguette; Talisman Igans; Anneau Tamie; Anneau Tamie; Bouclier du Stalak; Ceintrigue; Heaume Oplate; Cape de Diondin; Bottes Innommables; Dofus des Glaces; Dofus Ébène; Astucieux majeur; Nomade; Dévastateur Feu majeur; Érudit majeur; Bisouglours</t>
        </is>
      </c>
    </row>
    <row r="15708">
      <c r="A15708" t="inlineStr">
        <is>
          <t>full eau</t>
        </is>
      </c>
      <c r="B15708">
        <f>HYPERLINK("https://www.dofusbook.net/fr/equipement/2766564-full-eau/objets", "link")</f>
        <v/>
      </c>
      <c r="C15708" t="n">
        <v>13</v>
      </c>
      <c r="D15708" t="inlineStr">
        <is>
          <t>Dagoulinantes; Amulette Voldelor; Alliance Gloursonne; Anneau Volkorne; Droiture de Fallanster; Ceinture Volkorne; Masque des Fonds marins; Cape Solution; Pataugastrique; Dofus Ébène; Dofus Abyssal; Dofus Argenté; Dofus Ivoire; Dofus Émeraude; Dofus Pourpre; Kramkram</t>
        </is>
      </c>
    </row>
    <row r="15709">
      <c r="A15709" t="inlineStr">
        <is>
          <t>anti-ougi</t>
        </is>
      </c>
      <c r="B15709">
        <f>HYPERLINK("https://www.dofusbook.net/fr/equipement/2375603-anti-ougi/objets", "link")</f>
        <v/>
      </c>
      <c r="C15709" t="n">
        <v>9</v>
      </c>
      <c r="D15709" t="inlineStr">
        <is>
          <t>Dagues de Srambad; Amulette de Pol Ouatnos; Anneau en Grithril; Goulano; Jadis; Ceinture de la Reine des Voleurs; Coiffe de la Reine des Voleurs; Cape Solution; Goulbottes; Dofus Ébène; Dofus Ivoire; Dofus Émeraude; Dofus Argenté; Dofus Abyssal; Wabbit</t>
        </is>
      </c>
    </row>
    <row r="15710">
      <c r="A15710" t="inlineStr">
        <is>
          <t>Stuff 1</t>
        </is>
      </c>
      <c r="B15710">
        <f>HYPERLINK("https://www.dofusbook.net/fr/equipement/407833-stuff-1/objets", "link")</f>
        <v/>
      </c>
      <c r="C15710" t="n">
        <v>9</v>
      </c>
      <c r="D15710" t="inlineStr">
        <is>
          <t>Collier Rophante; Alliance Gloursonne; Bague Trithon; Droiture de Fallanster; Ceinture de Dame Jhessica; Masque d'Anerice; Cape d'Anerice; Pataugastrique; Dofus Ébène; Dofus Pourpre; Dofus Ivoire; Dofus Ocre; Dofus Émeraude; Dofus Abyssal; Kougnard</t>
        </is>
      </c>
    </row>
    <row r="15711">
      <c r="A15711" t="inlineStr">
        <is>
          <t>iop lance corrompue</t>
        </is>
      </c>
      <c r="B15711">
        <f>HYPERLINK("https://www.dofusbook.net/fr/equipement/4999689-iop-lance-corrompue/objets", "link")</f>
        <v/>
      </c>
      <c r="C15711" t="n">
        <v>0</v>
      </c>
      <c r="D15711" t="inlineStr">
        <is>
          <t>Lance corrompue; Collier de Tourthon; Anneau Crustique; Anneau des égarés; Droiture de Fallanster; Ceinture de la Reine des Voleurs; Coiffe de la Reine des Voleurs; Cape au Logis; Baleinabottes; Dofus Abyssal; Dofus des Glaces; Dokoko; Dofus Ivoire; Dofus Argenté; Dofus Ébène; Bulbisou</t>
        </is>
      </c>
    </row>
    <row r="15712">
      <c r="A15712" t="inlineStr">
        <is>
          <t>terre feu</t>
        </is>
      </c>
      <c r="B15712">
        <f>HYPERLINK("https://www.dofusbook.net/fr/equipement/2766370-terre-feu/objets", "link")</f>
        <v/>
      </c>
      <c r="C15712" t="n">
        <v>8</v>
      </c>
      <c r="D15712" t="inlineStr">
        <is>
          <t>Dagues du Dragoeuf; Amulette Volkorne; Chevalière du Roi Joueur; Bague Gloursonne; Bivalve; Ceinture Volkorne; Couronne du Roi Joueur; Voile d'encre; Bottes du Roi Joueur; Dofus Abyssal; Dofus Ébène; Dofus Nébuleux; Dofus Turquoise; Dofus Ocre; Dofus Ivoire; Cromeugnon</t>
        </is>
      </c>
    </row>
    <row r="15713">
      <c r="A15713" t="inlineStr">
        <is>
          <t>Stuff 2</t>
        </is>
      </c>
      <c r="B15713">
        <f>HYPERLINK("https://www.dofusbook.net/fr/equipement/407825-stuff-2/objets", "link")</f>
        <v/>
      </c>
      <c r="C15713" t="n">
        <v>11</v>
      </c>
      <c r="D15713" t="inlineStr">
        <is>
          <t>Bâton K'Tueuh; Amulette du Strigide; Alliance Gloursonne; Anneau Volkorne; Bouclier du Stalak; Ceintacé; Némès de Tal Kasha; Chevelure de Tal Kasha; Pataugastrique; Dofus Turquoise; Dofus Pourpre; Dofus Nébuleux; Chanceux majeur; Robuste majeur; Vigoureux majeur; Pioute bleu</t>
        </is>
      </c>
    </row>
    <row r="15714">
      <c r="A15714" t="inlineStr">
        <is>
          <t>ret pm 0 do</t>
        </is>
      </c>
      <c r="B15714">
        <f>HYPERLINK("https://www.dofusbook.net/fr/equipement/4116080-ret-pm-0-do/objets", "link")</f>
        <v/>
      </c>
      <c r="C15714" t="n">
        <v>3</v>
      </c>
      <c r="D15714" t="inlineStr">
        <is>
          <t>Arc du Chalœil; Amulette du Strigide; Chevalière du Roi Joueur; Anneau Crustique; Quatre-feuilles; Ceinture du Strigide; Masque de Koutoulou; Cape de Jahash Jurgen; Bottes du Cœur Saignant; Dofus Turquoise; Dofus Ébène; Dofus Nébuleux; Dofus Ocre; Dofus Ivoire; Dofus Abyssal</t>
        </is>
      </c>
    </row>
    <row r="15715">
      <c r="A15715" t="inlineStr">
        <is>
          <t>full chance</t>
        </is>
      </c>
      <c r="B15715">
        <f>HYPERLINK("https://www.dofusbook.net/fr/equipement/407830-full-chance/objets", "link")</f>
        <v/>
      </c>
      <c r="C15715" t="n">
        <v>21</v>
      </c>
      <c r="D15715" t="inlineStr">
        <is>
          <t>Bâton K'Tueuh; Amulette de Shokkoth; Bracelet des Fonds marins; Alliance Gloursonne; Quatre-feuilles; Poulpagne; Capuche de l'Œil Attentif; Chevelure de Tal Kasha; Sandales de Tal Kasha; Dofus Ocre; Dofus Pourpre; Dofus Turquoise; Taquin majeur; Chanceux majeur; Joueur majeur; Kokulte</t>
        </is>
      </c>
    </row>
    <row r="15716">
      <c r="A15716" t="inlineStr">
        <is>
          <t>cra ret pm</t>
        </is>
      </c>
      <c r="B15716">
        <f>HYPERLINK("https://www.dofusbook.net/fr/equipement/1595430-cra-ret-pm/objets", "link")</f>
        <v/>
      </c>
      <c r="C15716" t="n">
        <v>46</v>
      </c>
      <c r="D15716" t="inlineStr">
        <is>
          <t>Amulette Volcanique; Anneau Tamie; Chevalière du Roi Joueur; Bouclier cubiste; Sangle Cible; Maskrobe; Cape de Léthaline; Bottes du Roi Joueur; Dofus Ocre; Temporiseur; Entraveur majeur; Remueur; Temporiseur majeur; Ralentisseur majeur; Gwo Tofu Ventripotent</t>
        </is>
      </c>
    </row>
    <row r="15717">
      <c r="A15717" t="inlineStr">
        <is>
          <t>eau tacle</t>
        </is>
      </c>
      <c r="B15717">
        <f>HYPERLINK("https://www.dofusbook.net/fr/equipement/3436771-eau-tacle/objets", "link")</f>
        <v/>
      </c>
      <c r="C15717" t="n">
        <v>2</v>
      </c>
      <c r="D15717" t="inlineStr">
        <is>
          <t>Rapière aux Glyphes; Amulette du Sinistrofu; Alliance Gloursonne; Anneau Volkorne; Trompe-la-Mort; Ceinture de Dame Jhessica; Kidibonnet; Cape Solution; Bottes du Sinistrofu; Dofus Ébène; Dofus Émeraude; Dofus Ivoire; Dofus Pourpre; Chanceux majeur; Vigoureux majeur; Muldo Ebène et Indigo</t>
        </is>
      </c>
    </row>
    <row r="15718">
      <c r="A15718" t="inlineStr">
        <is>
          <t>Sadida M 200</t>
        </is>
      </c>
      <c r="B15718">
        <f>HYPERLINK("https://www.dofusbook.net/fr/equipement/4212065-sadida-m-200/objets", "link")</f>
        <v/>
      </c>
      <c r="C15718" t="n">
        <v>0</v>
      </c>
      <c r="D15718" t="inlineStr">
        <is>
          <t>Marteau R'ture; Collier de Tourthon; Anneau Crustique; Anneau Volkorne; Bouclier du Stalak; Ceinture Volkorne; Diadème de Ganymède; Cape de Jahash Jurgen; Sabots Minables; Dofus Pourpre; Dofus Nébuleux; Enragé majeur; Forcené majeur; Robuste majeur; Vigoureux majeur; Kompost</t>
        </is>
      </c>
    </row>
    <row r="15719">
      <c r="A15719" t="inlineStr">
        <is>
          <t>Stuff 1</t>
        </is>
      </c>
      <c r="B15719">
        <f>HYPERLINK("https://www.dofusbook.net/fr/equipement/407846-stuff-1/objets", "link")</f>
        <v/>
      </c>
      <c r="C15719" t="n">
        <v>1</v>
      </c>
      <c r="D15719" t="inlineStr">
        <is>
          <t>Marteau R'ture; Amulette du Glourséleste; Anneau Tamie; Anneau Tamie; Bouclier cubiste; Ceinture de Kongoku; Coiffe d'Ogivol; Cape de Kongoku; Pikottes; Dofus Ocre; Remueur; Entraveur majeur; Temporiseur; Temporiseur majeur; Ralentisseur majeur; Volkorne Turquoise</t>
        </is>
      </c>
    </row>
    <row r="15720">
      <c r="A15720" t="inlineStr">
        <is>
          <t>Stuff 3</t>
        </is>
      </c>
      <c r="B15720">
        <f>HYPERLINK("https://www.dofusbook.net/fr/equipement/407829-stuff-3/objets", "link")</f>
        <v/>
      </c>
      <c r="C15720" t="n">
        <v>4</v>
      </c>
      <c r="D15720" t="inlineStr">
        <is>
          <t>Arc corrompu; Amulette Séculaire; Anneauræus; Anneauræus; Cadran d'Air; Ceinture Séculaire; Heaume Oplate; Cape de Diondin; Bottes Innommables; Dofus Pourpre; Dofus des Glaces; Dofus Abyssal; Nomade; Érudit majeur; Astucieux majeur; Bisouglours</t>
        </is>
      </c>
    </row>
    <row r="15721">
      <c r="A15721" t="inlineStr">
        <is>
          <t>Stuff 1</t>
        </is>
      </c>
      <c r="B15721">
        <f>HYPERLINK("https://www.dofusbook.net/fr/equipement/407827-stuff-1/objets", "link")</f>
        <v/>
      </c>
      <c r="C15721" t="n">
        <v>33</v>
      </c>
      <c r="D15721" t="inlineStr">
        <is>
          <t>Arc corrompu; Amulette Volkorne; Anneauræus; Anneauræus; Bouclier du Cycloïde; Ceinture Volkorne; Heaume Oplate; Voile d'encre; Pataugastrique; Dofus Ivoire; Dofus Abyssal; Carapace Terre majeur; Nomade; Érudit majeur; Carapace Feu majeur; Meuch</t>
        </is>
      </c>
    </row>
    <row r="15722">
      <c r="A15722" t="inlineStr">
        <is>
          <t>chance</t>
        </is>
      </c>
      <c r="B15722">
        <f>HYPERLINK("https://www.dofusbook.net/fr/equipement/407826-chance/objets", "link")</f>
        <v/>
      </c>
      <c r="C15722" t="n">
        <v>4</v>
      </c>
      <c r="D15722" t="inlineStr">
        <is>
          <t>Sceptre du Roi Joueur; Amulette de Shokkoth; Alliance Gloursonne; Bracelet des Fonds marins; Bouclier du Stalak; Sangle Ouare; Masque des Fonds marins; Cape Solution; Sandales Circulaires du Kimbo; Dofus Ocre; Dofus Turquoise; Dofus Pourpre; Dofus Ivoire; Vigoureux majeur; Chanceux majeur; Kanigloups</t>
        </is>
      </c>
    </row>
    <row r="15723">
      <c r="A15723" t="inlineStr">
        <is>
          <t>Stuff 3</t>
        </is>
      </c>
      <c r="B15723">
        <f>HYPERLINK("https://www.dofusbook.net/fr/equipement/407841-stuff-3/objets", "link")</f>
        <v/>
      </c>
      <c r="C15723" t="n">
        <v>3</v>
      </c>
      <c r="D15723" t="inlineStr">
        <is>
          <t>Amulette du Cœur Vaillant; Anneau Crustique; Anneau Crustique; Sept ans de malheur; Menoture; Chapoulpe; Cape du Cœur Vaillant; Tentassons; Dofus Ocre; Dofus Abyssal; Dofus Ivoire; Paralyseur majeur; Paralyseur; Engourdisseur majeur; Drakopin</t>
        </is>
      </c>
    </row>
    <row r="15724">
      <c r="A15724" t="inlineStr">
        <is>
          <t>Stuff 2</t>
        </is>
      </c>
      <c r="B15724">
        <f>HYPERLINK("https://www.dofusbook.net/fr/equipement/407840-stuff-2/objets", "link")</f>
        <v/>
      </c>
      <c r="C15724" t="n">
        <v>21</v>
      </c>
      <c r="D15724" t="inlineStr">
        <is>
          <t>Rouleau à Pâtisserie d'Aermyne; Amulette du Cœur Vaillant; Anneau Instable; Bague Instable; Sept ans de malheur; Ceinture Instable; Coiffe d'Aermyne; Cape d'Aermyne; Bottes du Cœur Vaillant; Dofus Ocre; Dofus Abyssal; Dofus Ivoire; Engourdisseur majeur; Paralyseur; Paralyseur majeur; Drakopin</t>
        </is>
      </c>
    </row>
    <row r="15725">
      <c r="A15725" t="inlineStr">
        <is>
          <t>Stuff 1</t>
        </is>
      </c>
      <c r="B15725">
        <f>HYPERLINK("https://www.dofusbook.net/fr/equipement/407848-stuff-1/objets", "link")</f>
        <v/>
      </c>
      <c r="C15725" t="n">
        <v>1</v>
      </c>
      <c r="D15725" t="inlineStr">
        <is>
          <t>Karnak; Collier du Valet Veinard; Alliance Gloursonne; Gant du Valet Veinard; Bouclier du Stalak; Ceinture Billonnante; Casque Dragoeuf; Cape du Valet Veinard; Palmes Trithons; Dofus Forgelave; Dofus Ivoire; Dofus Émeraude; Dofus Pourpre; Dofus Ocre</t>
        </is>
      </c>
    </row>
    <row r="15726">
      <c r="A15726" t="inlineStr">
        <is>
          <t>Stuff 1</t>
        </is>
      </c>
      <c r="B15726">
        <f>HYPERLINK("https://www.dofusbook.net/fr/equipement/407839-stuff-1/objets", "link")</f>
        <v/>
      </c>
      <c r="C15726" t="n">
        <v>0</v>
      </c>
      <c r="D15726" t="inlineStr">
        <is>
          <t>Karnak; Collier du Valet Veinard; Gant du Valet Veinard; Alliance Gloursonne; Sept ans de malheur; Menoture; Couronne d'Allister; Cape Indescriptible; Palmes Trithons; Dofus des Glaces; Dofus Pourpre; Dofus Abyssal; Dofus Ivoire; Dofus Ocre; Carapace Eau majeur; Tofu Givré</t>
        </is>
      </c>
    </row>
    <row r="15727">
      <c r="A15727" t="inlineStr">
        <is>
          <t>Sadida M 200</t>
        </is>
      </c>
      <c r="B15727">
        <f>HYPERLINK("https://www.dofusbook.net/fr/equipement/3661914-sadida-m-200/objets", "link")</f>
        <v/>
      </c>
      <c r="C15727" t="n">
        <v>0</v>
      </c>
      <c r="D15727" t="inlineStr">
        <is>
          <t>Dagoulinantes; Amulette du Sinistrofu; Anneau Volkorne; Bracelet des Fonds marins; Bouclier du Stalak; Poulpagne; Coiffe de Danathor; Cape Solution; Bottes du Sinistrofu; Dofus Nébuleux; Chanceux majeur; Robuste majeur; Vigoureux majeur; Taquin majeur; Nomade; Dragodinde Indigo et Ivoire</t>
        </is>
      </c>
    </row>
    <row r="15728">
      <c r="A15728" t="inlineStr">
        <is>
          <t>feu</t>
        </is>
      </c>
      <c r="B15728">
        <f>HYPERLINK("https://www.dofusbook.net/fr/equipement/1359396-feu/objets", "link")</f>
        <v/>
      </c>
      <c r="C15728" t="n">
        <v>3</v>
      </c>
      <c r="D15728" t="inlineStr">
        <is>
          <t>Arc Hétype; Amulette Séculaire; Anneauræus; Anneau Tique; Cadran de Feu; Ceinture Séculaire; Casque Dragoeuf; Cape de Diondin; Getas Bernacle; Dofus Ivoire; Dofus des Veilleurs; Dofus Ocre; Dofus Abyssal; Érudit majeur; Nomade; Brûlih</t>
        </is>
      </c>
    </row>
    <row r="15729">
      <c r="A15729" t="inlineStr">
        <is>
          <t>do pou</t>
        </is>
      </c>
      <c r="B15729">
        <f>HYPERLINK("https://www.dofusbook.net/fr/equipement/886442-do-pou/objets", "link")</f>
        <v/>
      </c>
      <c r="C15729" t="n">
        <v>11</v>
      </c>
      <c r="D15729" t="inlineStr">
        <is>
          <t>Lav'Hache; Torquistik; Bague Trithon; Bague Instable; Bouclier précieux; Ceinture Gence; Casque Dragoeuf; Cape Solution; Bottistik; Dofus Ivoire; Dofus Abyssal; Bousculeur majeur; Culbuteur; Culbuteur majeur; Pousseur majeur; Balafreux</t>
        </is>
      </c>
    </row>
    <row r="15730">
      <c r="A15730" t="inlineStr">
        <is>
          <t>Ouginak M 200</t>
        </is>
      </c>
      <c r="B15730">
        <f>HYPERLINK("https://www.dofusbook.net/fr/equipement/3821390-ouginak-m-200/objets", "link")</f>
        <v/>
      </c>
      <c r="C15730" t="n">
        <v>2</v>
      </c>
      <c r="D15730" t="inlineStr">
        <is>
          <t>Dagoulinantes; Amulette de Shokkoth; Bracelet des Fonds marins; Anneau Volkorne; Quatre-feuilles; Ceinture de la Reine des Voleurs; Kidibonnet; Cape Solution; Sandales des Fonds marins; Dofus Pourpre; Dofus Turquoise; Dofus Nébuleux; Chanceux majeur; Vigoureux majeur; Taquin majeur; Kanigloups</t>
        </is>
      </c>
    </row>
    <row r="15731">
      <c r="A15731" t="inlineStr">
        <is>
          <t>Stuff 1</t>
        </is>
      </c>
      <c r="B15731">
        <f>HYPERLINK("https://www.dofusbook.net/fr/equipement/407851-stuff-1/objets", "link")</f>
        <v/>
      </c>
      <c r="C15731" t="n">
        <v>0</v>
      </c>
      <c r="D15731" t="inlineStr">
        <is>
          <t>Marteau R'ture; Amulette du Strigide; Anneau Volkorne; Anneau de Brouce; Bouclier du Stalak; Ceinture Volkorne; Masque de Koutoulou; Dofusteuse; Bottes de Brouce; Dofus Pourpre; Dofus Ocre; Dofus Turquoise; Bousculeur majeur; Forcené majeur; Furibond majeur; Kompost</t>
        </is>
      </c>
    </row>
    <row r="15732">
      <c r="A15732" t="inlineStr">
        <is>
          <t>tank</t>
        </is>
      </c>
      <c r="B15732">
        <f>HYPERLINK("https://www.dofusbook.net/fr/equipement/1263247-tank/objets", "link")</f>
        <v/>
      </c>
      <c r="C15732" t="n">
        <v>2</v>
      </c>
      <c r="D15732" t="inlineStr">
        <is>
          <t>Épée de la Reine des Voleurs; Amulette du Kamasterisk; Bague Gloursonne; Alliance Gloursonne; Bouclier d'Ilyzaelle; Ceinture Volkorne; Casque Volkorne; Cape du Kamasterisk; Baleinabottes; Dofus Ivoire; Dofus Ocre; Dofus Turquoise; Dofus Abyssal; Dofus Pourpre; Dofus des Glaces; Kramkram</t>
        </is>
      </c>
    </row>
    <row r="15733">
      <c r="A15733" t="inlineStr">
        <is>
          <t>Sadida M 200</t>
        </is>
      </c>
      <c r="B15733">
        <f>HYPERLINK("https://www.dofusbook.net/fr/equipement/3661935-sadida-m-200/objets", "link")</f>
        <v/>
      </c>
      <c r="C15733" t="n">
        <v>2</v>
      </c>
      <c r="D15733" t="inlineStr">
        <is>
          <t>Arc du Chalœil; Collier de Tourthon; Anneau Crustique; Anneau de Brouce; Bouclier du Stalak; Ceinture Gence; Masque de Koutoulou; Cape au Logis; Bottes de Brouce; Dofus Nébuleux; Furibond majeur; Enragé majeur; Forcené majeur; Vigoureux majeur; Robuste majeur; Dragodinde Ivoire et Pourpre</t>
        </is>
      </c>
    </row>
    <row r="15734">
      <c r="A15734" t="inlineStr">
        <is>
          <t>air</t>
        </is>
      </c>
      <c r="B15734">
        <f>HYPERLINK("https://www.dofusbook.net/fr/equipement/2858631-air/objets", "link")</f>
        <v/>
      </c>
      <c r="C15734" t="n">
        <v>2</v>
      </c>
      <c r="D15734" t="inlineStr">
        <is>
          <t>Hachoirs de Viandargh; Collier du Valet Veinard; Anneau d'Allister; Gant du Valet Veinard; Bouclier du Stalak; Menoture; Couronne d'Allister; Cape du Valet Veinard; Bottes d'Allister; Dofus Nébuleux; Dofus Pourpre; Equilibriste majeur; Saccageur Air majeur; Vagabond majeur; Robuste majeur; Siroko</t>
        </is>
      </c>
    </row>
    <row r="15735">
      <c r="A15735" t="inlineStr">
        <is>
          <t>anti-xel</t>
        </is>
      </c>
      <c r="B15735">
        <f>HYPERLINK("https://www.dofusbook.net/fr/equipement/3343519-anti-xel/objets", "link")</f>
        <v/>
      </c>
      <c r="C15735" t="n">
        <v>2</v>
      </c>
      <c r="D15735" t="inlineStr">
        <is>
          <t>Lance corrompue; Collier de Tourthon; Anneau Crustique; Alliance Gloursonne; Bouclier alvéolé; Ceinture Volkorne; Masque de Koutoulou; Cape au Logis; Sabots Minables; Dofus Abyssal; Dokoko; Dofus Ivoire; Dofus Émeraude; Dofus des Glaces; Remueur</t>
        </is>
      </c>
    </row>
    <row r="15736">
      <c r="A15736" t="inlineStr">
        <is>
          <t>Stuff 3</t>
        </is>
      </c>
      <c r="B15736">
        <f>HYPERLINK("https://www.dofusbook.net/fr/equipement/407847-stuff-3/objets", "link")</f>
        <v/>
      </c>
      <c r="C15736" t="n">
        <v>1</v>
      </c>
      <c r="D15736" t="inlineStr">
        <is>
          <t>Rapière aux Glyphes; Amulette d'Ilyzaelle; Alliance Gloursonne; Bracelet des Fonds marins; Bouclier du Stalak; Poulpagne; Casque d'Ilyzaelle; Cape Solution; Bottes du Sinistrofu; Dévastateur Eau majeur; Saccageur Eau majeur; Nomade; Taquin majeur; Vigoureux majeur; Chanceux majeur; Dehluge</t>
        </is>
      </c>
    </row>
    <row r="15737">
      <c r="A15737" t="inlineStr">
        <is>
          <t>anti-roub</t>
        </is>
      </c>
      <c r="B15737">
        <f>HYPERLINK("https://www.dofusbook.net/fr/equipement/407819-anti-roub/objets", "link")</f>
        <v/>
      </c>
      <c r="C15737" t="n">
        <v>2</v>
      </c>
      <c r="D15737" t="inlineStr">
        <is>
          <t>Arc corrompu; Amulette Volcanique; Anneauræus; Anneauræus; Bouclier cubiste; Ceinture Séculaire; Heaume Oplate; Cape de Diondin; Sabots Volcaniques; Dofus Ivoire; Dokoko; Dofus Abyssal; Temporiseur majeur; Nomade; Érudit majeur; El Scarador</t>
        </is>
      </c>
    </row>
    <row r="15738">
      <c r="A15738" t="inlineStr">
        <is>
          <t>anti elio</t>
        </is>
      </c>
      <c r="B15738">
        <f>HYPERLINK("https://www.dofusbook.net/fr/equipement/2757202-anti-elio/objets", "link")</f>
        <v/>
      </c>
      <c r="C15738" t="n">
        <v>1</v>
      </c>
      <c r="D15738" t="inlineStr">
        <is>
          <t>Lance corrompue; Amulette du Kamasterisk; Alliance Gloursonne; Bague Gloursonne; Bouclier alvéolé; Ceinture de la Reine des Voleurs; Coiffe de la Reine des Voleurs; Cape du Kamasterisk; Bottes du Kamasterisk; Dofus Abyssal; Dofus Ocre; Dofus Ivoire; Dofus des Glaces; Dofus Émeraude; Dokoko; Muldo Ebène et Pourpre</t>
        </is>
      </c>
    </row>
    <row r="15739">
      <c r="A15739" t="inlineStr">
        <is>
          <t>anti-sacri</t>
        </is>
      </c>
      <c r="B15739">
        <f>HYPERLINK("https://www.dofusbook.net/fr/equipement/3388406-anti-sacri/objets", "link")</f>
        <v/>
      </c>
      <c r="C15739" t="n">
        <v>5</v>
      </c>
      <c r="D15739" t="inlineStr">
        <is>
          <t>Marteau R'ture; Collier de Tourthon; Bague Trithon; Anneau Chevelu; Bouclier d'Ilyzaelle; Ceintacé; Masque de Koutoulou; Cape au Logis; Bottes Trithon; Dofus Pourpre; Dofus Émeraude; Dofus Forgelave; Dofus Abyssal; Dokoko; Dofus Ivoire; Kramkram</t>
        </is>
      </c>
    </row>
    <row r="15740">
      <c r="A15740" t="inlineStr">
        <is>
          <t>anti-cra</t>
        </is>
      </c>
      <c r="B15740">
        <f>HYPERLINK("https://www.dofusbook.net/fr/equipement/407820-anti-cra/objets", "link")</f>
        <v/>
      </c>
      <c r="C15740" t="n">
        <v>3</v>
      </c>
      <c r="D15740" t="inlineStr">
        <is>
          <t>Sceptre du Roi Joueur; Amulette Luminescente; Alliance Gloursonne; Bracelet des Fonds marins; Bouclier d'Ilyzaelle; Ceinture Luminescente; Masque des Fonds marins; Cape Luminescente; Bottes Antrin; Dofus Forgelave; Dofus Ocre; Dofus Émeraude; Dofus Abyssal; Dokoko; Dofus Ivoire; Volkorne Améthyste et Prune</t>
        </is>
      </c>
    </row>
    <row r="15741">
      <c r="A15741" t="inlineStr">
        <is>
          <t>anti-osa</t>
        </is>
      </c>
      <c r="B15741">
        <f>HYPERLINK("https://www.dofusbook.net/fr/equipement/3368038-anti-osa/objets", "link")</f>
        <v/>
      </c>
      <c r="C15741" t="n">
        <v>2</v>
      </c>
      <c r="D15741" t="inlineStr">
        <is>
          <t>Harpelle; Amulette du Strigide; Anneauræus; Anneau de Padgref; Bouclier d'Ilyzaelle; Ceinture du Strigide; Coiffe de Padgref; Voile d'encre; Getas de Padgref; Dofus Nébuleux; Dofus Abyssal; Dokoko; Dofus Ivoire; Dofus Ocre; Dofus Turquoise; Kramkram</t>
        </is>
      </c>
    </row>
    <row r="15742">
      <c r="A15742" t="inlineStr">
        <is>
          <t>anti-sadi</t>
        </is>
      </c>
      <c r="B15742">
        <f>HYPERLINK("https://www.dofusbook.net/fr/equipement/2499598-anti-sadi/objets", "link")</f>
        <v/>
      </c>
      <c r="C15742" t="n">
        <v>2</v>
      </c>
      <c r="D15742" t="inlineStr">
        <is>
          <t>Dofus Cawotte; Dofus Abyssal; Dofus Ivoire</t>
        </is>
      </c>
    </row>
    <row r="15743">
      <c r="A15743" t="inlineStr">
        <is>
          <t>Stuff 1</t>
        </is>
      </c>
      <c r="B15743">
        <f>HYPERLINK("https://www.dofusbook.net/fr/equipement/407824-stuff-1/objets", "link")</f>
        <v/>
      </c>
      <c r="C15743" t="n">
        <v>2</v>
      </c>
      <c r="D15743" t="inlineStr">
        <is>
          <t>Lance corrompue; Amulette de l'Indicible; Alliance Gloursonne; Anneau des égarés; Bouclier alvéolé; Ceinture de la Reine des Voleurs; Coiffe de la Reine des Voleurs; Cape des Justiciers; Bottes de l'Indicible; Dofus Abyssal; Dofus Ocre; Dofus Nébuleux; Dofus Ivoire; Dofus des Glaces; Dofus Émeraude; Muldo Ebène et Pourpre</t>
        </is>
      </c>
    </row>
    <row r="15744">
      <c r="A15744" t="inlineStr">
        <is>
          <t>Stuff 3</t>
        </is>
      </c>
      <c r="B15744">
        <f>HYPERLINK("https://www.dofusbook.net/fr/equipement/407853-stuff-3/objets", "link")</f>
        <v/>
      </c>
      <c r="C15744" t="n">
        <v>0</v>
      </c>
      <c r="D15744" t="inlineStr">
        <is>
          <t>Baguette Range; Amulette du Strigide; Pikano; Anneau de Padgref; Bouclier Taverne; Ceinture du Strigide; Coiffe de Padgref; Chevelure de Tal Kasha; Getas de Padgref; Dofus Abyssal; Dofus Turquoise; Dofus des Glaces; Dofus Ivoire; Dofus Ocre; Dofus Pourpre; Muldo Prune et Orchidée</t>
        </is>
      </c>
    </row>
    <row r="15745">
      <c r="A15745" t="inlineStr">
        <is>
          <t>tank</t>
        </is>
      </c>
      <c r="B15745">
        <f>HYPERLINK("https://www.dofusbook.net/fr/equipement/1381761-tank/objets", "link")</f>
        <v/>
      </c>
      <c r="C15745" t="n">
        <v>3</v>
      </c>
      <c r="D15745" t="inlineStr">
        <is>
          <t>Rouleau à Pâtisserie d'Aermyne; Amulette du Strigide; Bague Gloursonne; Alliance Gloursonne; Bouclier d'Anerice; Ceinture du Strigide; Casque Dragoeuf; Cape d'Anerice; Bottes du Strigide; Dofus Émeraude; Dofus Ocre; Dofus Abyssal; Dofus Pourpre; Dofus Turquoise; Dofus des Glaces; Muldo Indigo et Orchidée</t>
        </is>
      </c>
    </row>
    <row r="15746">
      <c r="A15746" t="inlineStr">
        <is>
          <t>lvl 60</t>
        </is>
      </c>
      <c r="B15746">
        <f>HYPERLINK("https://www.dofusbook.net/fr/equipement/1240998-lvl-60/objets", "link")</f>
        <v/>
      </c>
      <c r="C15746" t="n">
        <v>0</v>
      </c>
      <c r="D15746" t="inlineStr">
        <is>
          <t>Ares; Amublop Multicolore Royale; Alliance du Capitaine Pirate; Gelano; Bouclier en Mousse; Blopture Multicolore Royale; Chapeau du Capitaine Pirate; Cape du Capitaine Pirate; Bloptes Multicolores Royales; Dofus Pourpre; Dofus Émeraude; Dolmanax; Dofus Turquoise; Dofus des Glaces; Dokoko; Muldo Prune</t>
        </is>
      </c>
    </row>
    <row r="15747">
      <c r="A15747" t="inlineStr">
        <is>
          <t>feu</t>
        </is>
      </c>
      <c r="B15747">
        <f>HYPERLINK("https://www.dofusbook.net/fr/equipement/1066182-feu/objets", "link")</f>
        <v/>
      </c>
      <c r="C15747" t="n">
        <v>2</v>
      </c>
      <c r="D15747" t="inlineStr">
        <is>
          <t>Harpelle; Amulette du Strigide; Bague Gloursonne; Anneau Tique; Bouclier du Stalak; Ceinture du Strigide; Chapeau de Gein; Cape de Nileza; Pataugastrique; Dokoko; Dofus Abyssal; Dofus Émeraude; Dofus Pourpre; Érudit majeur; Remueur; Muldo Pourpre</t>
        </is>
      </c>
    </row>
    <row r="15748">
      <c r="A15748" t="inlineStr">
        <is>
          <t>Stuff 3</t>
        </is>
      </c>
      <c r="B15748">
        <f>HYPERLINK("https://www.dofusbook.net/fr/equipement/407850-stuff-3/objets", "link")</f>
        <v/>
      </c>
      <c r="C15748" t="n">
        <v>1</v>
      </c>
      <c r="D15748" t="inlineStr">
        <is>
          <t>Amulette du Strigide; Ceinture Billonnante; Baleinabottes</t>
        </is>
      </c>
    </row>
    <row r="15749">
      <c r="A15749" t="inlineStr">
        <is>
          <t>Stuff 1</t>
        </is>
      </c>
      <c r="B15749">
        <f>HYPERLINK("https://www.dofusbook.net/fr/equipement/407845-stuff-1/objets", "link")</f>
        <v/>
      </c>
      <c r="C15749" t="n">
        <v>0</v>
      </c>
      <c r="D15749" t="inlineStr">
        <is>
          <t>Héqache; Amulette Voldelor; Alliance Gloursonne; Anneau de Pol Ouatnos; Ceintrigue; Kidibonnet; Voile d'encre; Bottes Owesli; Culbuteur; Culbuteur majeur; Remueur; Pousseur majeur; Bousculeur; Bousculeur majeur; Dragodinde en armure</t>
        </is>
      </c>
    </row>
    <row r="15750">
      <c r="A15750" t="inlineStr">
        <is>
          <t>Stuff 2</t>
        </is>
      </c>
      <c r="B15750">
        <f>HYPERLINK("https://www.dofusbook.net/fr/equipement/407852-stuff-2/objets", "link")</f>
        <v/>
      </c>
      <c r="C15750" t="n">
        <v>0</v>
      </c>
      <c r="D15750" t="inlineStr">
        <is>
          <t>Epée Gloursonne; Amulette de l'Œil Attentif; Alliance Gloursonne; Bague Gloursonne; Sangle Ouare; Capuche de l'Œil Attentif; Cape de l'Œil Attentif; Dofus Ocre; Dofus des Glaces; Dofus Turquoise; Dofus Émeraude; Chanceux majeur; Dragodinde en armure</t>
        </is>
      </c>
    </row>
    <row r="15751">
      <c r="A15751" t="inlineStr">
        <is>
          <t>Stuff 2</t>
        </is>
      </c>
      <c r="B15751">
        <f>HYPERLINK("https://www.dofusbook.net/fr/equipement/407849-stuff-2/objets", "link")</f>
        <v/>
      </c>
      <c r="C15751" t="n">
        <v>0</v>
      </c>
      <c r="D15751" t="inlineStr">
        <is>
          <t>Pelle de la Cour Sombre; Collier du Valet Veinard; Anneau d'Allister; Gant du Valet Veinard; Ceinture Billonnante; Couronne d'Allister; Cape du Valet Veinard; Bottes d'Allister; Dofus Turquoise; Dofus des Glaces; Dofus Pourpre; Dofus Ocre; Equilibriste majeur; Acrobate majeur; Muldo Doré et Ebène</t>
        </is>
      </c>
    </row>
    <row r="15752">
      <c r="A15752" t="inlineStr">
        <is>
          <t>Stuff 2</t>
        </is>
      </c>
      <c r="B15752">
        <f>HYPERLINK("https://www.dofusbook.net/fr/equipement/407834-stuff-2/objets", "link")</f>
        <v/>
      </c>
      <c r="C15752" t="n">
        <v>1</v>
      </c>
      <c r="D15752" t="inlineStr">
        <is>
          <t>Hache du Chalœil; Amulette du Strigide; Anneau de Padgref; Bracelet du Piloztère; Quatre-feuilles; Ceinture de Kongoku; Coiffe d'Ogivol; Voile d'encre; Bottes du Strigide; Dofus Ocre; Dofus Pourpre; Dofus des Glaces; Dofus Turquoise; Remueur; Vigoureux majeur; Muldo Prune et Pourpre</t>
        </is>
      </c>
    </row>
    <row r="15753">
      <c r="A15753" t="inlineStr">
        <is>
          <t>Stuff 2</t>
        </is>
      </c>
      <c r="B15753">
        <f>HYPERLINK("https://www.dofusbook.net/fr/equipement/407849-stuff-2/objets", "link")</f>
        <v/>
      </c>
      <c r="C15753" t="n">
        <v>0</v>
      </c>
      <c r="D15753" t="inlineStr">
        <is>
          <t>Pelle de la Cour Sombre; Collier du Valet Veinard; Anneau d'Allister; Gant du Valet Veinard; Ceinture Billonnante; Couronne d'Allister; Cape du Valet Veinard; Bottes d'Allister; Dofus Ocre; Dofus Turquoise; Dofus des Glaces; Dofus Pourpre; Acrobate majeur; Equilibriste majeur; Muldo Doré et Ebène</t>
        </is>
      </c>
    </row>
    <row r="15754">
      <c r="A15754" t="inlineStr">
        <is>
          <t>Féca M 200</t>
        </is>
      </c>
      <c r="B15754">
        <f>HYPERLINK("https://www.dofusbook.net/fr/equipement/5989790-feca-m-200/objets", "link")</f>
        <v/>
      </c>
      <c r="C15754" t="n">
        <v>0</v>
      </c>
      <c r="D15754" t="inlineStr">
        <is>
          <t>Arc Hétype; Amulette Volkorne; Anneauræus; Anneau Volkorne; Bouclier du Stalak; Croture; Heaume Oplate; Voile d'encre; Bottes Innommables; Dofus Pourpre; Dofus des Glaces; Dofus Ivoire; Érudit majeur; Remueur; Nomade; Bisouglours</t>
        </is>
      </c>
    </row>
    <row r="15755">
      <c r="A15755" t="inlineStr">
        <is>
          <t>Zobal M 200</t>
        </is>
      </c>
      <c r="B15755">
        <f>HYPERLINK("https://www.dofusbook.net/fr/equipement/5998977-zobal-m-200/objets", "link")</f>
        <v/>
      </c>
      <c r="C15755" t="n">
        <v>4</v>
      </c>
      <c r="D15755" t="inlineStr">
        <is>
          <t>Hache Téroïde; Amulette du Strigide; Bague Gloursonne; Bague Trithon; Bouclier du Captain Amakna; Ceinture du Strigide; Masque Trithon; Cape du Chalœil; Bottes Trithon; Dofus Turquoise; Dofus des Glaces; Dofus Ocre; Dofus Abyssal; Dofus Pourpre; Dofus Ivoire; Muldo Prune et Emeraude</t>
        </is>
      </c>
    </row>
    <row r="15756">
      <c r="A15756" t="inlineStr">
        <is>
          <t>zozo 2</t>
        </is>
      </c>
      <c r="B15756">
        <f>HYPERLINK("https://www.dofusbook.net/fr/equipement/5253880-zozo-2/objets", "link")</f>
        <v/>
      </c>
      <c r="C15756" t="n">
        <v>2</v>
      </c>
      <c r="D15756" t="inlineStr">
        <is>
          <t>Hache Téroïde; Amulette Volkorne; Bague Gloursonne; Chevalière du Roi Joueur; Bouclier du Captain Amakna; Ceinture Volkorne; Chapeau de Gein; Cape au Logis; Sabots Minables; Dofus Turquoise; Dofus des Glaces; Dofus Ocre; Dofus Pourpre; Vigoureux majeur; Enragé majeur; Dragodinde Emeraude et Pourpre</t>
        </is>
      </c>
    </row>
    <row r="15757">
      <c r="A15757" t="inlineStr">
        <is>
          <t>Zobal F 200</t>
        </is>
      </c>
      <c r="B15757">
        <f>HYPERLINK("https://www.dofusbook.net/fr/equipement/5994100-zobal-f-200/objets", "link")</f>
        <v/>
      </c>
      <c r="C15757" t="n">
        <v>0</v>
      </c>
      <c r="D15757" t="inlineStr">
        <is>
          <t>Hache Téroïde; Amulette Volkorne; Bague Gloursonne; Anneau Chevelu; Bouclier du Captain Amakna; Ceinture Volkorne; Couronne du Roi Joueur; Voile d'encre; Bottes Honyme; Dofus Ocre; Dofus Abyssal; Dofus Pourpre; Dofus Ivoire; Dofus Turquoise; Dofus des Glaces; Muldo Prune et Emeraude</t>
        </is>
      </c>
    </row>
    <row r="15758">
      <c r="A15758" t="inlineStr">
        <is>
          <t>Crâ M 200</t>
        </is>
      </c>
      <c r="B15758">
        <f>HYPERLINK("https://www.dofusbook.net/fr/equipement/5970143-cra-m-200/objets", "link")</f>
        <v/>
      </c>
      <c r="C15758" t="n">
        <v>0</v>
      </c>
      <c r="D15758" t="inlineStr">
        <is>
          <t>Arc du Chalœil; Amulette Volkorne; Bague Gloursonne; Bracelet du Piloztère; Bouclier du Stalak; Ceinture Volkorne; Cape au Logis; Bottes du Roi Joueur; Dofus Pourpre; Dofus Ivoire; Vigoureux majeur; Remueur; Carapace Terre majeur; Enragé majeur; Dragodinde Amande et Pourpre</t>
        </is>
      </c>
    </row>
    <row r="15759">
      <c r="A15759" t="inlineStr">
        <is>
          <t>Sadida M 200</t>
        </is>
      </c>
      <c r="B15759">
        <f>HYPERLINK("https://www.dofusbook.net/fr/equipement/5969238-sadida-m-200/objets", "link")</f>
        <v/>
      </c>
      <c r="C15759" t="n">
        <v>0</v>
      </c>
      <c r="D15759" t="inlineStr">
        <is>
          <t>Arc du Chalœil; Collier de Tourthon; Bague Gloursonne; Anneau de Brouce; Bouclier du Stalak; Ceinture Gence; Masque Vaudou Eth; Cape au Logis; Bottes de Brouce; Dofus Pourpre; Dofus Nébuleux; Vigoureux majeur; Nomade; Enragé majeur; Remueur; Kompost</t>
        </is>
      </c>
    </row>
    <row r="15760">
      <c r="A15760" t="inlineStr">
        <is>
          <t>Iop M 200</t>
        </is>
      </c>
      <c r="B15760">
        <f>HYPERLINK("https://www.dofusbook.net/fr/equipement/5497966-iop-m-200/objets", "link")</f>
        <v/>
      </c>
      <c r="C15760" t="n">
        <v>1</v>
      </c>
      <c r="D15760" t="inlineStr">
        <is>
          <t>Baguette de Torkélonia; Amulette du Strigide; Bracelet du Piloztère; Bague Trithon; Quatre-feuilles; Ceinture du Strigide; Masque Trithon; Carapace de Torkélonia; Bottes Trithon; Dofus des Glaces; Dofus Turquoise; Dofus Pourpre; Dofus Ivoire; Dofus Ocre; Dofus Ébène; Muldo Prune et Emeraude</t>
        </is>
      </c>
    </row>
    <row r="15761">
      <c r="A15761" t="inlineStr">
        <is>
          <t>Crâ M 200</t>
        </is>
      </c>
      <c r="B15761">
        <f>HYPERLINK("https://www.dofusbook.net/fr/equipement/5216816-cra-m-200/objets", "link")</f>
        <v/>
      </c>
      <c r="C15761" t="n">
        <v>25</v>
      </c>
      <c r="D15761" t="inlineStr">
        <is>
          <t>Hache du Chalœil; Amulette Volkorne; Chevalière du Roi Joueur; Anneau Volkorne; Bouclier du Captain Amakna; Ceinture Volkorne; Couronne du Roi Joueur; Cape du Chalœil; Bottes du Roi Joueur; Dofus Ocre; Dofus Nébuleux; Dofus Turquoise; Dofus des Glaces; Dofus Pourpre; Dofus Abyssal; Kokulte</t>
        </is>
      </c>
    </row>
    <row r="15762">
      <c r="A15762" t="inlineStr">
        <is>
          <t>Eniripsa M 200</t>
        </is>
      </c>
      <c r="B15762">
        <f>HYPERLINK("https://www.dofusbook.net/fr/equipement/5955816-eniripsa-m-200/objets", "link")</f>
        <v/>
      </c>
      <c r="C15762" t="n">
        <v>0</v>
      </c>
      <c r="D15762" t="inlineStr">
        <is>
          <t>Arc corrompu; Pendentif mignon de Koutoulou; Anneauræus; Anneau Rifique; Sept ans de malheur; Ceinture de Vortex; Couronne de Nidas; Voile d'encre; Pataugastrique; Dofus Ivoire; Dofus Pourpre; Dofus Ébène; Nomade; Érudit majeur; Étourdisseur majeur; Volkorne Ivoire et Orchidée</t>
        </is>
      </c>
    </row>
    <row r="15763">
      <c r="A15763" t="inlineStr">
        <is>
          <t>Crâ F 200</t>
        </is>
      </c>
      <c r="B15763">
        <f>HYPERLINK("https://www.dofusbook.net/fr/equipement/5954084-cra-f-200/objets", "link")</f>
        <v/>
      </c>
      <c r="C15763" t="n">
        <v>0</v>
      </c>
      <c r="D15763" t="inlineStr">
        <is>
          <t>Baguette de Torkélonia; Amulette du Strigide; Bague Gloursonne; Anneau de Padgref; Quatre-feuilles; Ceinture du Strigide; Coiffe de Padgref; Carapace de Torkélonia; Getas de Padgref; Dofus Pourpre; Dofus des Glaces; Dofus Ivoire; Dofus Turquoise; Dofus Ocre; Dofus Ébène; Muldo Prune et Emeraude</t>
        </is>
      </c>
    </row>
    <row r="15764">
      <c r="A15764" t="inlineStr">
        <is>
          <t>Ouginak M 200</t>
        </is>
      </c>
      <c r="B15764">
        <f>HYPERLINK("https://www.dofusbook.net/fr/equipement/5928517-ouginak-m-200/objets", "link")</f>
        <v/>
      </c>
      <c r="C15764" t="n">
        <v>0</v>
      </c>
      <c r="D15764" t="inlineStr">
        <is>
          <t>Crocobur; Amulette Volkorne; Bague Gloursonne; Anneau Chevelu; Droiture de Fallanster; Ceinture Volkorne; Masque de Koutoulou; Cape au Logis; Baleinabottes; Dofus Ébène; Dofus Pourpre; Dofus Abyssal; Dofus Ivoire; Enragé majeur; Bulbisou</t>
        </is>
      </c>
    </row>
    <row r="15765">
      <c r="A15765" t="inlineStr">
        <is>
          <t>Eniripsa M 200</t>
        </is>
      </c>
      <c r="B15765">
        <f>HYPERLINK("https://www.dofusbook.net/fr/equipement/5927091-eniripsa-m-200/objets", "link")</f>
        <v/>
      </c>
      <c r="C15765" t="n">
        <v>0</v>
      </c>
      <c r="D15765" t="inlineStr">
        <is>
          <t>Arc corrompu; Amulette Volkorne; Anneauræus; Anneau de Nidas; Bouclier du Cycloïde; Ceinture Volkorne; Heaume Oplate; Cape de Diondin; Bottes Innommables; Dofus Pourpre; Dofus Turquoise; Astucieux majeur; Érudit majeur; Guérisseur majeur; Nomade; Dragodinde Orchidée et Rousse</t>
        </is>
      </c>
    </row>
    <row r="15766">
      <c r="A15766" t="inlineStr">
        <is>
          <t>Eniripsa M 200</t>
        </is>
      </c>
      <c r="B15766">
        <f>HYPERLINK("https://www.dofusbook.net/fr/equipement/5928306-eniripsa-m-200/objets", "link")</f>
        <v/>
      </c>
      <c r="C15766" t="n">
        <v>0</v>
      </c>
      <c r="D15766" t="inlineStr">
        <is>
          <t>Arc corrompu; Amulette Volkorne; Anneau de Padgref; Anneauræus; Quatre-feuilles; Ceinture Séculaire; Heaume Oplate; Cape de Meno; Getas de Padgref; Dofus Turquoise; Dofus Pourpre; Remueur; Dévastateur Feu majeur; Nomade; Érudit majeur; Bisouglours</t>
        </is>
      </c>
    </row>
    <row r="15767">
      <c r="A15767" t="inlineStr">
        <is>
          <t>Féca F 200</t>
        </is>
      </c>
      <c r="B15767">
        <f>HYPERLINK("https://www.dofusbook.net/fr/equipement/5897634-feca-f-200/objets", "link")</f>
        <v/>
      </c>
      <c r="C15767" t="n">
        <v>0</v>
      </c>
      <c r="D15767" t="inlineStr">
        <is>
          <t>Arc corrompu; Amulette Volkorne; Anneauræus; Bague Gloursonne; Quatre-feuilles; Ceinture Volkorne; Heaume Oplate; Voile d'encre; Pompes Funèbres; Dofus Pourpre; Dofus Turquoise; Érudit majeur; Nomade; Vigoureux majeur; Remueur; Bisouglours</t>
        </is>
      </c>
    </row>
    <row r="15768">
      <c r="A15768" t="inlineStr">
        <is>
          <t>Féca F 200</t>
        </is>
      </c>
      <c r="B15768">
        <f>HYPERLINK("https://www.dofusbook.net/fr/equipement/5904183-feca-f-200/objets", "link")</f>
        <v/>
      </c>
      <c r="C15768" t="n">
        <v>1</v>
      </c>
      <c r="D15768" t="inlineStr">
        <is>
          <t>Arc Nécrotique; Amulette du Strigide; Bracelet du Piloztère; Anneau de Padgref; Quatre-feuilles; Ceintacé; Capuche de l'Œil Putride; Cape de la Dame du Hasard; Bottes de la Dame du Hasard; Dofus Pourpre; Dofus Turquoise; Vigoureux majeur; Nomade; Chanceux majeur; Remueur; Kokulte</t>
        </is>
      </c>
    </row>
    <row r="15769">
      <c r="A15769" t="inlineStr">
        <is>
          <t>Sadida M 200</t>
        </is>
      </c>
      <c r="B15769">
        <f>HYPERLINK("https://www.dofusbook.net/fr/equipement/5922425-sadida-m-200/objets", "link")</f>
        <v/>
      </c>
      <c r="C15769" t="n">
        <v>0</v>
      </c>
      <c r="D15769" t="inlineStr">
        <is>
          <t>Epée Toche; Amulette Volkorne; Bague Gloursonne; Anneau Chevelu; Bouclier du Captain Amakna; Ceinture Volkorne; Masque de Koutoulou; Cape au Logis; Pompes Funèbres; Dofus Pourpre; Dofus Abyssal; Dofus Turquoise; Dofus Nébuleux; Remueur; Vigoureux majeur; Dragodinde Emeraude et Pourpre</t>
        </is>
      </c>
    </row>
    <row r="15770">
      <c r="A15770" t="inlineStr">
        <is>
          <t>Iop F 200</t>
        </is>
      </c>
      <c r="B15770">
        <f>HYPERLINK("https://www.dofusbook.net/fr/equipement/5922208-iop-f-200/objets", "link")</f>
        <v/>
      </c>
      <c r="C15770" t="n">
        <v>0</v>
      </c>
      <c r="D15770" t="inlineStr">
        <is>
          <t>Baguette Héroclite; Amulette de Shokkoth; Alliance Gloursonne; Bracelet des Fonds marins; Bouclier d'Ilyzaelle; Ceinture du Barbétoal; Masque Paztek; Cape Matelassée; Sandales des Fonds marins; Dofus Pourpre; Dofus Ivoire; Dofus des Glaces; Chanceux majeur; Remueur; Nomade; Kanigloups</t>
        </is>
      </c>
    </row>
    <row r="15771">
      <c r="A15771" t="inlineStr">
        <is>
          <t>Féca M 200</t>
        </is>
      </c>
      <c r="B15771">
        <f>HYPERLINK("https://www.dofusbook.net/fr/equipement/5921959-feca-m-200/objets", "link")</f>
        <v/>
      </c>
      <c r="C15771" t="n">
        <v>0</v>
      </c>
      <c r="D15771" t="inlineStr">
        <is>
          <t>Sceptre du Roi Joueur; Amulette de Shokkoth; Alliance Gloursonne; Bracelet des Fonds marins; Bouclier d'Ilyzaelle; Sangle Ouare; Casque d'Ilyzaelle; Cape Solution; Bottes de la Dame du Hasard; Dofus Pourpre; Dofus Ivoire; Dofus Abyssal; Chanceux majeur; Remueur; Kanigloups</t>
        </is>
      </c>
    </row>
    <row r="15772">
      <c r="A15772" t="inlineStr">
        <is>
          <t>Féca M 200</t>
        </is>
      </c>
      <c r="B15772">
        <f>HYPERLINK("https://www.dofusbook.net/fr/equipement/5892703-feca-m-200/objets", "link")</f>
        <v/>
      </c>
      <c r="C15772" t="n">
        <v>0</v>
      </c>
      <c r="D15772" t="inlineStr">
        <is>
          <t>Arc corrompu; Amulette de Nileza; Chevalière du Roi Joueur; Anneauræus; Bouclier du Stalak; Croture; Chapeau de Gein; Cape de Nileza; Pataugastrique; Dofus Pourpre; Dofus Turquoise; Remueur; Érudit majeur; Miraculé majeur; Nomade; Bisouglours</t>
        </is>
      </c>
    </row>
    <row r="15773">
      <c r="A15773" t="inlineStr">
        <is>
          <t>Féca M 200</t>
        </is>
      </c>
      <c r="B15773">
        <f>HYPERLINK("https://www.dofusbook.net/fr/equipement/5914415-feca-m-200/objets", "link")</f>
        <v/>
      </c>
      <c r="C15773" t="n">
        <v>0</v>
      </c>
      <c r="D15773" t="inlineStr">
        <is>
          <t>Hachoirs de Viandargh; Amulette du Strigide; Anneau de Padgref; Anneau d'Allister; Bouclier du Captain Amakna; Ceinture du Strigide; Coiffe de Padgref; Chevelure de Tal Kasha; Getas de Padgref; Dofus Turquoise; Dofus Pourpre; Dofus des Glaces; Dofus Ocre; Dofus Abyssal; Kokulte</t>
        </is>
      </c>
    </row>
    <row r="15774">
      <c r="A15774" t="inlineStr">
        <is>
          <t>Iop M 200</t>
        </is>
      </c>
      <c r="B15774">
        <f>HYPERLINK("https://www.dofusbook.net/fr/equipement/5666952-iop-m-200/objets", "link")</f>
        <v/>
      </c>
      <c r="C15774" t="n">
        <v>8</v>
      </c>
      <c r="D15774" t="inlineStr">
        <is>
          <t>Epée Maudite du Saigneur Guerrier; Amulette du Strigide; Anneau de Padgref; Alliance de Missiz Frizz; Bouclier du Captain Amakna; Ceinture du Strigide; Coiffe de Padgref; Cape de la Dame du Hasard; Getas de Padgref; Dofus Turquoise; Dofus Abyssal; Dofus Pourpre; Dofus des Glaces; Dofus Ocre; Puissant majeur; Kokulte</t>
        </is>
      </c>
    </row>
    <row r="15775">
      <c r="A15775" t="inlineStr">
        <is>
          <t>Sram M 200</t>
        </is>
      </c>
      <c r="B15775">
        <f>HYPERLINK("https://www.dofusbook.net/fr/equipement/5309832-sram-m-200/objets", "link")</f>
        <v/>
      </c>
      <c r="C15775" t="n">
        <v>0</v>
      </c>
      <c r="D15775" t="inlineStr">
        <is>
          <t>Hache Ériphe; Collier du Valet Veinard; Gant du Valet Veinard; Anneau Volkorne; Bouclier d'Ilyzaelle; Ceinture Volkorne; Casque Volkorne; Cape du Valet Veinard; Bottes du Kamasterisk; Dofus Ocre; Dofus Abyssal; Dofus Ivoire; Dofus des Glaces; Dofus Pourpre; Dofus Ébène; Volkorne Améthyste et Ebène</t>
        </is>
      </c>
    </row>
    <row r="15776">
      <c r="A15776" t="inlineStr">
        <is>
          <t>Sram F 200</t>
        </is>
      </c>
      <c r="B15776">
        <f>HYPERLINK("https://www.dofusbook.net/fr/equipement/5892682-sram-f-200/objets", "link")</f>
        <v/>
      </c>
      <c r="C15776" t="n">
        <v>0</v>
      </c>
      <c r="D15776" t="inlineStr">
        <is>
          <t>Dagues d'Ilyzaelle; Amulette du Cœur Saignant; Anneau Volkorne; Anneau de Brouce; Bouclier du Captain Amakna; Ceinture Volkorne; Casque Volkorne; Cape du Cœur Saignant; Bottes du Cœur Saignant; Dofus Turquoise; Dofus Ivoire; Dofus Ocre; Dofus Ébène; Dofus Pourpre; Dofus Abyssal; Volkorne Saphir et Pourpre</t>
        </is>
      </c>
    </row>
    <row r="15777">
      <c r="A15777" t="inlineStr">
        <is>
          <t>Crâ M 200</t>
        </is>
      </c>
      <c r="B15777">
        <f>HYPERLINK("https://www.dofusbook.net/fr/equipement/5890985-cra-m-200/objets", "link")</f>
        <v/>
      </c>
      <c r="C15777" t="n">
        <v>2</v>
      </c>
      <c r="D15777" t="inlineStr">
        <is>
          <t>Baguette de Torkélonia; Amulette du Strigide; Anneau de Padgref; Alliance de Missiz Frizz; Quatre-feuilles; Ceinture du Strigide; Corne de Torkélonia; Carapace de Torkélonia; Bottes du Strigide; Dofus Ocre; Dofus Ébène; Dofus Turquoise; Dofus des Glaces; Dofus Nébuleux; Dofus Pourpre; Sakochère</t>
        </is>
      </c>
    </row>
    <row r="15778">
      <c r="A15778" t="inlineStr">
        <is>
          <t>Crâ F 200</t>
        </is>
      </c>
      <c r="B15778">
        <f>HYPERLINK("https://www.dofusbook.net/fr/equipement/5878723-cra-f-200/objets", "link")</f>
        <v/>
      </c>
      <c r="C15778" t="n">
        <v>1</v>
      </c>
      <c r="D15778" t="inlineStr">
        <is>
          <t>Epée Maudite du Saigneur Guerrier; Amulette du Strigide; Anneau de Padgref; Bague Trithon; Bouclier du Captain Amakna; Ceinture du Strigide; Masque Trithon; Chevelure de Tal Kasha; Bottes Trithon; Dofus Turquoise; Dofus Abyssal; Dofus Ocre; Dofus Ébène; Dofus Pourpre; Dofus des Glaces; Kokulte</t>
        </is>
      </c>
    </row>
    <row r="15779">
      <c r="A15779" t="inlineStr">
        <is>
          <t>Eniripsa F 200</t>
        </is>
      </c>
      <c r="B15779">
        <f>HYPERLINK("https://www.dofusbook.net/fr/equipement/5853401-eniripsa-f-200/objets", "link")</f>
        <v/>
      </c>
      <c r="C15779" t="n">
        <v>0</v>
      </c>
      <c r="D15779" t="inlineStr">
        <is>
          <t>Arc corrompu; Amulette Volkorne; Anneau Tamie; Bague Gloursonne; Bouclier du Stalak; Ceinture Volkorne; Chapeau de Gein; Cape de Diondin; Bottes Innommables; Dofus Pourpre; Dofus Turquoise; Érudit majeur; Vigoureux majeur; Nomade; Bisouglours</t>
        </is>
      </c>
    </row>
    <row r="15780">
      <c r="A15780" t="inlineStr">
        <is>
          <t>Ecaflip M 200</t>
        </is>
      </c>
      <c r="B15780">
        <f>HYPERLINK("https://www.dofusbook.net/fr/equipement/5288336-ecaflip-m-200/objets", "link")</f>
        <v/>
      </c>
      <c r="C15780" t="n">
        <v>33</v>
      </c>
      <c r="D15780" t="inlineStr">
        <is>
          <t>Manthache; Collier du Valet Veinard; Alliance Gloursonne; Gant du Valet Veinard; Bouclier du Stalak; Menoture; Dorabysses; Cape Martegel; Baleinabottes; Dofus Pourpre; Dofus Ébène; Dofus Ivoire; Dofus Abyssal; Nomade; Cascadeur majeur; Siroko</t>
        </is>
      </c>
    </row>
    <row r="15781">
      <c r="A15781" t="inlineStr">
        <is>
          <t>Osamodas F 200</t>
        </is>
      </c>
      <c r="B15781">
        <f>HYPERLINK("https://www.dofusbook.net/fr/equipement/5837593-osamodas-f-200/objets", "link")</f>
        <v/>
      </c>
      <c r="C15781" t="n">
        <v>0</v>
      </c>
      <c r="D15781" t="inlineStr">
        <is>
          <t>Arc corrompu; Amulette Volkorne; Bague Gloursonne; Anneauræus; Bouclier du Stalak; Ceinture Volkorne; Chapeau de Gein; Voile d'encre; Pataugastrique; Dofus Ivoire; Dofus Ébène; Dofus Pourpre; Remueur; Érudit majeur; Nomade; Bisouglours</t>
        </is>
      </c>
    </row>
    <row r="15782">
      <c r="A15782" t="inlineStr">
        <is>
          <t>Iop M 200</t>
        </is>
      </c>
      <c r="B15782">
        <f>HYPERLINK("https://www.dofusbook.net/fr/equipement/5841460-iop-m-200/objets", "link")</f>
        <v/>
      </c>
      <c r="C15782" t="n">
        <v>1</v>
      </c>
      <c r="D15782" t="inlineStr">
        <is>
          <t>Héqache; Amulette du Cœur Saignant; Anneau Volkorne; Anneau Chevelu; Bouclier d'Ilyzaelle; Ceinture Volkorne; Casque Volkorne; Cape du Cœur Saignant; Bottes du Cœur Saignant; Dofus Turquoise; Dofus Ivoire; Dofus Pourpre; Dofus Ébène; Dofus Ocre; Dofus Abyssal; Volkorne Rubis et Pourpre</t>
        </is>
      </c>
    </row>
    <row r="15783">
      <c r="A15783" t="inlineStr">
        <is>
          <t>Enutrof M 200</t>
        </is>
      </c>
      <c r="B15783">
        <f>HYPERLINK("https://www.dofusbook.net/fr/equipement/5316407-enutrof-m-200/objets", "link")</f>
        <v/>
      </c>
      <c r="C15783" t="n">
        <v>6</v>
      </c>
      <c r="D15783" t="inlineStr">
        <is>
          <t>Baguette Hique; Amulette de Shokkoth; Anneau Volkorne; Alliance Gloursonne; Bouclier cubiste; Sangle Ouare; Kidibonnet; Cape de Meno; Bottes de Meno; Dofus Turquoise; Dofus Pourpre; Entraveur majeur; Chanceux majeur; Temporiseur majeur; Remueur; Kanigloups</t>
        </is>
      </c>
    </row>
    <row r="15784">
      <c r="A15784" t="inlineStr">
        <is>
          <t>Zobal M 200</t>
        </is>
      </c>
      <c r="B15784">
        <f>HYPERLINK("https://www.dofusbook.net/fr/equipement/5788469-zobal-m-200/objets", "link")</f>
        <v/>
      </c>
      <c r="C15784" t="n">
        <v>14</v>
      </c>
      <c r="D15784" t="inlineStr">
        <is>
          <t>Hache du Chalœil; Amulette du Strigide; Alliance de Missiz Frizz; Anneau de Padgref; Bouclier du Captain Amakna; Ceinture du Strigide; Casque du Chalœil; Cape au Logis; Bottes Honyme; Dofus Turquoise; Dofus Abyssal; Dofus Pourpre; Dofus des Glaces; Vigoureux majeur; Remueur; Kokulte</t>
        </is>
      </c>
    </row>
    <row r="15785">
      <c r="A15785" t="inlineStr">
        <is>
          <t>Zobal M 200</t>
        </is>
      </c>
      <c r="B15785">
        <f>HYPERLINK("https://www.dofusbook.net/fr/equipement/5788446-zobal-m-200/objets", "link")</f>
        <v/>
      </c>
      <c r="C15785" t="n">
        <v>0</v>
      </c>
      <c r="D15785" t="inlineStr">
        <is>
          <t>Hache du Chalœil; Amulette du Strigide; Alliance de Missiz Frizz; Anneau Volkorne; Bouclier du Captain Amakna; Ceinture du Strigide; Casque Volkorne; Cape au Logis; Bottes Honyme; Dofus Turquoise; Dofus des Glaces; Dofus Pourpre; Dofus Abyssal; Kokulte</t>
        </is>
      </c>
    </row>
    <row r="15786">
      <c r="A15786" t="inlineStr">
        <is>
          <t>Iop F 200</t>
        </is>
      </c>
      <c r="B15786">
        <f>HYPERLINK("https://www.dofusbook.net/fr/equipement/5420149-iop-f-200/objets", "link")</f>
        <v/>
      </c>
      <c r="C15786" t="n">
        <v>1</v>
      </c>
      <c r="D15786" t="inlineStr">
        <is>
          <t>Hache du Chalœil; Amulette du Strigide; Anneau Chevelu; Bague Gloursonne; Bouclier du Captain Amakna; Ceinture du Strigide; Corne de Torkélonia; Carapace de Torkélonia; Bottes du Strigide; Dofus Turquoise; Dofus des Glaces; Dofus Nébuleux; Dofus Émeraude; Dofus Pourpre; Dofus Abyssal; Sakochère</t>
        </is>
      </c>
    </row>
    <row r="15787">
      <c r="A15787" t="inlineStr">
        <is>
          <t>Pandawa M 200</t>
        </is>
      </c>
      <c r="B15787">
        <f>HYPERLINK("https://www.dofusbook.net/fr/equipement/5229507-pandawa-m-200/objets", "link")</f>
        <v/>
      </c>
      <c r="C15787" t="n">
        <v>29</v>
      </c>
      <c r="D15787" t="inlineStr">
        <is>
          <t>Arc Nécrotique; Amulette du Strigide; Alliance Gloursonne; Bracelet du Piloztère; Quatre-feuilles; Ceintacé; Casquette de Meno; Cape de la Dame du Hasard; Bottes de la Dame du Hasard; Dofus Pourpre; Dofus Turquoise; Dofus des Glaces; Remueur; Vigoureux majeur; Nomade; Kokulte</t>
        </is>
      </c>
    </row>
    <row r="15788">
      <c r="A15788" t="inlineStr">
        <is>
          <t>Ecaflip M 200</t>
        </is>
      </c>
      <c r="B15788">
        <f>HYPERLINK("https://www.dofusbook.net/fr/equipement/5760356-ecaflip-m-200/objets", "link")</f>
        <v/>
      </c>
      <c r="C15788" t="n">
        <v>1</v>
      </c>
      <c r="D15788" t="inlineStr">
        <is>
          <t>Arc du Chalœil; Torquistik; Bague Trithon; Bague Instable; Bouclier précieux; Ceinture Gence; Casque Dragoeuf; Cape du Cœur Vaillant; Bottistik; Dofus Pourpre; Dofus Abyssal; Dofus Ivoire; Remueur; Enragé majeur; Culbuteur majeur; Balafreux</t>
        </is>
      </c>
    </row>
    <row r="15789">
      <c r="A15789" t="inlineStr">
        <is>
          <t>Iop F 200</t>
        </is>
      </c>
      <c r="B15789">
        <f>HYPERLINK("https://www.dofusbook.net/fr/equipement/5736389-iop-f-200/objets", "link")</f>
        <v/>
      </c>
      <c r="C15789" t="n">
        <v>1</v>
      </c>
      <c r="D15789" t="inlineStr">
        <is>
          <t>Marteau R'ture; Amulette Volkorne; Anneau Chevelu; Bague Gloursonne; Bouclier d'Ilyzaelle; Ceinture Volkorne; Casque Dragoeuf; Cape au Logis; Baleinabottes; Dofus Pourpre; Dofus Ivoire; Dofus Abyssal; Remueur; Enragé majeur; Dragodinde Amande et Pourpre</t>
        </is>
      </c>
    </row>
    <row r="15790">
      <c r="A15790" t="inlineStr">
        <is>
          <t>Crâ M 200</t>
        </is>
      </c>
      <c r="B15790">
        <f>HYPERLINK("https://www.dofusbook.net/fr/equipement/5554108-cra-m-200/objets", "link")</f>
        <v/>
      </c>
      <c r="C15790" t="n">
        <v>0</v>
      </c>
      <c r="D15790" t="inlineStr">
        <is>
          <t>Marteau R'ture; Amulette du Strigide; Bague Gloursonne; Anneau Chevelu; Bouclier d'Ilyzaelle; Ceinture Volkorne; Masque de Koutoulou; Cape au Logis; Sabots Minables; Dofus Pourpre; Dofus Abyssal; Dofus Ivoire; Enragé majeur; Dragodinde Amande et Pourpre</t>
        </is>
      </c>
    </row>
    <row r="15791">
      <c r="A15791" t="inlineStr">
        <is>
          <t>Crâ F 200</t>
        </is>
      </c>
      <c r="B15791">
        <f>HYPERLINK("https://www.dofusbook.net/fr/equipement/5747075-cra-f-200/objets", "link")</f>
        <v/>
      </c>
      <c r="C15791" t="n">
        <v>0</v>
      </c>
      <c r="D15791" t="inlineStr">
        <is>
          <t>Arc du Chalœil; Amulette de Gein; Anneau de Brouce; Anneau Volkorne; Quatre-feuilles; Ceinture Volkorne; Masque de Koutoulou; Cape au Logis; Bottes du Cœur Saignant; Dofus Turquoise; Dofus Pourpre; Dofus Ivoire; Dofus Ébène; Enragé majeur; Remueur; Dragodinde Amande et Pourpre</t>
        </is>
      </c>
    </row>
    <row r="15792">
      <c r="A15792" t="inlineStr">
        <is>
          <t>Iop F 200</t>
        </is>
      </c>
      <c r="B15792">
        <f>HYPERLINK("https://www.dofusbook.net/fr/equipement/5746159-iop-f-200/objets", "link")</f>
        <v/>
      </c>
      <c r="C15792" t="n">
        <v>0</v>
      </c>
      <c r="D15792" t="inlineStr">
        <is>
          <t>Arc du Chalœil; Amulette du Strigide; Bague Trithon; Anneau Volkorne; Quatre-feuilles; Ceinture Volkorne; Masque Trithon; Cape au Logis; Bottes Honyme; Dofus Ivoire; Dofus Abyssal; Dofus Pourpre; Dofus Ébène; Dofus Turquoise; Dofus Ocre; Dragodinde Emeraude et Pourpre</t>
        </is>
      </c>
    </row>
    <row r="15793">
      <c r="A15793" t="inlineStr">
        <is>
          <t>Eniripsa M 200</t>
        </is>
      </c>
      <c r="B15793">
        <f>HYPERLINK("https://www.dofusbook.net/fr/equipement/5740192-eniripsa-m-200/objets", "link")</f>
        <v/>
      </c>
      <c r="C15793" t="n">
        <v>0</v>
      </c>
      <c r="D15793" t="inlineStr">
        <is>
          <t>Arc corrompu; Pendentif mignon de Koutoulou; Bague Gloursonne; Anneauræus; Bouclier du Stalak; Ceinture de Vortex; Casque Cyclopéen; Voile d'encre; Pataugastrique; Dofus Pourpre; Dofus Ivoire; Remueur; Nomade; Érudit majeur; Bwak de Terre</t>
        </is>
      </c>
    </row>
    <row r="15794">
      <c r="A15794" t="inlineStr">
        <is>
          <t>Eniripsa F 200</t>
        </is>
      </c>
      <c r="B15794">
        <f>HYPERLINK("https://www.dofusbook.net/fr/equipement/5645375-eniripsa-f-200/objets", "link")</f>
        <v/>
      </c>
      <c r="C15794" t="n">
        <v>2</v>
      </c>
      <c r="D15794" t="inlineStr">
        <is>
          <t>Dagues Ricol; Amulette Volkorne; Anneauræus; Anneauræus; Bouclier du Captain Amakna; Ceinture Volkorne; Heaume Oplate; Voile d'encre; Bottes Innommables; Dofus Pourpre; Dofus Turquoise; Nomade; Érudit majeur; Remueur; Astucieux majeur; Dragodinde Emeraude et Orchidée</t>
        </is>
      </c>
    </row>
    <row r="15795">
      <c r="A15795" t="inlineStr">
        <is>
          <t>Iop F 200</t>
        </is>
      </c>
      <c r="B15795">
        <f>HYPERLINK("https://www.dofusbook.net/fr/equipement/5736211-iop-f-200/objets", "link")</f>
        <v/>
      </c>
      <c r="C15795" t="n">
        <v>0</v>
      </c>
      <c r="D15795" t="inlineStr">
        <is>
          <t>Sceptre du Roi Joueur; Amulette Voldelor; Lavanneau; Alliance Gloursonne; Bouclier d'Ilyzaelle; Ceinture de la Reine des Voleurs; Masque des Fonds marins; Cape Matelassée; Bottes de la Reine des Voleurs; Dofus Pourpre; Dofus Ivoire; Dofus Abyssal; Dofus Ébène; Nomade; Remueur; Dragodinde Indigo et Ivoire</t>
        </is>
      </c>
    </row>
    <row r="15796">
      <c r="A15796" t="inlineStr">
        <is>
          <t>Féca M 200</t>
        </is>
      </c>
      <c r="B15796">
        <f>HYPERLINK("https://www.dofusbook.net/fr/equipement/5722369-feca-m-200/objets", "link")</f>
        <v/>
      </c>
      <c r="C15796" t="n">
        <v>0</v>
      </c>
      <c r="D15796" t="inlineStr">
        <is>
          <t>Dagoulinantes; Amulette de Shokkoth; Alliance Gloursonne; Anneau Volkorne; Bouclier d'Ilyzaelle; Sangle Ouare; Masque des Fonds marins; Cape Solution; Sandales des Fonds marins; Dofus Ivoire; Dofus Ébène; Dofus Pourpre; Dofus Abyssal; Chanceux majeur; Remueur; Kanigloups</t>
        </is>
      </c>
    </row>
    <row r="15797">
      <c r="A15797" t="inlineStr">
        <is>
          <t>Eniripsa M 200</t>
        </is>
      </c>
      <c r="B15797">
        <f>HYPERLINK("https://www.dofusbook.net/fr/equipement/4116674-eniripsa-m-200/objets", "link")</f>
        <v/>
      </c>
      <c r="C15797" t="n">
        <v>6</v>
      </c>
      <c r="D15797" t="inlineStr">
        <is>
          <t>Arc Nécrotique; Amulette du Strigide; Bague Trithon; Anneau de Padgref; Quatre-feuilles; Ceintacé; Masque Trithon; Cape de la Dame du Hasard; Bottes de la Dame du Hasard; Dofus Ocre; Dofus Abyssal; Dofus Pourpre; Dofus Turquoise; Dofus Ivoire; Voyageur; Kokulte</t>
        </is>
      </c>
    </row>
    <row r="15798">
      <c r="A15798" t="inlineStr">
        <is>
          <t>Pandawa M 200</t>
        </is>
      </c>
      <c r="B15798">
        <f>HYPERLINK("https://www.dofusbook.net/fr/equipement/5722312-pandawa-m-200/objets", "link")</f>
        <v/>
      </c>
      <c r="C15798" t="n">
        <v>0</v>
      </c>
      <c r="D15798" t="inlineStr">
        <is>
          <t>Arc Nécrotique; Amulette Volkorne; Bracelet du Piloztère; Anneau Volkorne; Quatre-feuilles; Ceintacé; Heaume Oplate; Cape de la Dame du Hasard; Bottes de la Dame du Hasard; Dofus des Glaces; Dofus Pourpre; Dofus Abyssal; Dofus Turquoise; Puissant majeur; Examinateur; Muldo Prune et Emeraude</t>
        </is>
      </c>
    </row>
    <row r="15799">
      <c r="A15799" t="inlineStr">
        <is>
          <t>Iop F 200</t>
        </is>
      </c>
      <c r="B15799">
        <f>HYPERLINK("https://www.dofusbook.net/fr/equipement/5699211-iop-f-200/objets", "link")</f>
        <v/>
      </c>
      <c r="C15799" t="n">
        <v>0</v>
      </c>
      <c r="D15799" t="inlineStr">
        <is>
          <t>Marteau R'ture; Amulette du Strigide; Bague Gloursonne; Anneau Chevelu; Cadran d'Eau; Ceinture de la Reine des Voleurs; Coiffe de la Reine des Voleurs; Cape au Logis; Baleinabottes; Dofus Pourpre; Dofus Abyssal; Dofus Turquoise; Dofus Ivoire; Enragé majeur; Remueur; Dragodinde Emeraude et Pourpre</t>
        </is>
      </c>
    </row>
    <row r="15800">
      <c r="A15800" t="inlineStr">
        <is>
          <t>Iop M 200</t>
        </is>
      </c>
      <c r="B15800">
        <f>HYPERLINK("https://www.dofusbook.net/fr/equipement/5645751-iop-m-200/objets", "link")</f>
        <v/>
      </c>
      <c r="C15800" t="n">
        <v>7</v>
      </c>
      <c r="D15800" t="inlineStr">
        <is>
          <t>Amulette Volkorne; Bague Gloursonne; Anneau de Padgref; Bouclier du Captain Amakna; Ceintacé; Coiffe de Padgref; Cape de la Dame du Hasard; Sandales  d'Atcham; Dofus Pourpre; Dofus des Glaces; Dofus Turquoise; Dofus Abyssal; Remueur; Nomade; Kokulte</t>
        </is>
      </c>
    </row>
    <row r="15801">
      <c r="A15801" t="inlineStr">
        <is>
          <t>Iop M 200</t>
        </is>
      </c>
      <c r="B15801">
        <f>HYPERLINK("https://www.dofusbook.net/fr/equipement/5686823-iop-m-200/objets", "link")</f>
        <v/>
      </c>
      <c r="C15801" t="n">
        <v>0</v>
      </c>
      <c r="D15801" t="inlineStr">
        <is>
          <t>Sceptre du Roi Joueur; Amulette Voldelor; Bracelet des Fonds marins; Alliance Gloursonne; Bouclier d'Ilyzaelle; Sangle Ouare; Kidibonnet; Cape du Sinistrofu; Bottes du Sinistrofu; Dofus Ivoire; Dofus Émeraude; Dofus Ébène; Dofus Pourpre; Remueur; Chanceux majeur; Dragodinde Indigo et Ivoire</t>
        </is>
      </c>
    </row>
    <row r="15802">
      <c r="A15802" t="inlineStr">
        <is>
          <t>feunouveau</t>
        </is>
      </c>
      <c r="B15802">
        <f>HYPERLINK("https://www.dofusbook.net/fr/equipement/3996088-feunouveau/objets", "link")</f>
        <v/>
      </c>
      <c r="C15802" t="n">
        <v>0</v>
      </c>
      <c r="D15802" t="inlineStr">
        <is>
          <t>Arc corrompu; Amulette Volkorne; Chevalière du Roi Joueur; Anneauræus; Bouclier du Stalak; Ceinture Volkorne; Heaume Oplate; Voile d'encre; Pompes Funèbres; Dofus Ivoire; Dofus Pourpre; Dofus Turquoise; Dofus Ocre; Érudit majeur; Nomade; Bisouglours</t>
        </is>
      </c>
    </row>
    <row r="15803">
      <c r="A15803" t="inlineStr">
        <is>
          <t>Pandawa M 200</t>
        </is>
      </c>
      <c r="B15803">
        <f>HYPERLINK("https://www.dofusbook.net/fr/equipement/5667071-pandawa-m-200/objets", "link")</f>
        <v/>
      </c>
      <c r="C15803" t="n">
        <v>4</v>
      </c>
      <c r="D15803" t="inlineStr">
        <is>
          <t>Dagues d'Ilyzaelle; Amulette du Strigide; Alliance de Missiz Frizz; Bague Gloursonne; Bouclier du Captain Amakna; Ceinture Gence; Corne de Torkélonia; Carapace de Torkélonia; Bottes du Cœur Saignant; Dofus Pourpre; Dofus Ébène; Dofus Turquoise; Enragé majeur; Nomade; Remueur; Kokulte</t>
        </is>
      </c>
    </row>
    <row r="15804">
      <c r="A15804" t="inlineStr">
        <is>
          <t>Iop F 200</t>
        </is>
      </c>
      <c r="B15804">
        <f>HYPERLINK("https://www.dofusbook.net/fr/equipement/5535505-iop-f-200/objets", "link")</f>
        <v/>
      </c>
      <c r="C15804" t="n">
        <v>2</v>
      </c>
      <c r="D15804" t="inlineStr">
        <is>
          <t>Epée Maudite du Saigneur Guerrier; Amulette du Strigide; Bague Gloursonne; Anneau de Padgref; Quatre-feuilles; Ceintacé; Corne de Torkélonia; Carapace de Torkélonia; Bottes du Roi Joueur; Dofus Pourpre; Dofus Turquoise; Dofus des Glaces; Remueur; Nomade; Vigoureux majeur; Kokulte</t>
        </is>
      </c>
    </row>
    <row r="15805">
      <c r="A15805" t="inlineStr">
        <is>
          <t>Crâ M 200</t>
        </is>
      </c>
      <c r="B15805">
        <f>HYPERLINK("https://www.dofusbook.net/fr/equipement/5169489-cra-m-200/objets", "link")</f>
        <v/>
      </c>
      <c r="C15805" t="n">
        <v>2</v>
      </c>
      <c r="D15805" t="inlineStr">
        <is>
          <t>Epée Maudite du Saigneur Guerrier; Amulette du Strigide; Alliance de Missiz Frizz; Anneau de Padgref; Bouclier du Captain Amakna; Ceintacé; Coiffe de Padgref; Cape de la Dame du Hasard; Sandales  d'Atcham; Dofus Nébuleux; Dofus Turquoise; Dofus Pourpre; Vigoureux majeur; Nomade; Remueur; Kokulte</t>
        </is>
      </c>
    </row>
    <row r="15806">
      <c r="A15806" t="inlineStr">
        <is>
          <t>Crâ M 200</t>
        </is>
      </c>
      <c r="B15806">
        <f>HYPERLINK("https://www.dofusbook.net/fr/equipement/5167821-cra-m-200/objets", "link")</f>
        <v/>
      </c>
      <c r="C15806" t="n">
        <v>0</v>
      </c>
      <c r="D15806" t="inlineStr">
        <is>
          <t>Amulette du Strigide; Bracelet du Piloztère; Anneau de Padgref; Quatre-feuilles; Ceintacé; Coiffe de Padgref; Chevelure de Tal Kasha; Sandales  d'Atcham; Dofus Nébuleux; Dofus Turquoise; Dofus Pourpre; Remueur; Vigoureux majeur; Nomade; Kokulte</t>
        </is>
      </c>
    </row>
    <row r="15807">
      <c r="A15807" t="inlineStr">
        <is>
          <t>Ouginak M 200</t>
        </is>
      </c>
      <c r="B15807">
        <f>HYPERLINK("https://www.dofusbook.net/fr/equipement/5492439-ouginak-m-200/objets", "link")</f>
        <v/>
      </c>
      <c r="C15807" t="n">
        <v>16</v>
      </c>
      <c r="D15807" t="inlineStr">
        <is>
          <t>Arc de Koutoulou; Amulette Voldelor; Anneau Volkorne; Alliance Gloursonne; Bouclier du Stalak; Ceintacé; Casque Volkorne; Cape des Justiciers; Sandales de Tal Kasha; Dofus Pourpre; Remueur; Vigoureux majeur; Nomade; Chanceux majeur; Dragodinde Prune et Ivoire</t>
        </is>
      </c>
    </row>
    <row r="15808">
      <c r="A15808" t="inlineStr">
        <is>
          <t>Iop M 200</t>
        </is>
      </c>
      <c r="B15808">
        <f>HYPERLINK("https://www.dofusbook.net/fr/equipement/5645735-iop-m-200/objets", "link")</f>
        <v/>
      </c>
      <c r="C15808" t="n">
        <v>10</v>
      </c>
      <c r="D15808" t="inlineStr">
        <is>
          <t>Epée Maudite du Saigneur Guerrier; Amulette du Strigide; Alliance de Missiz Frizz; Anneau de Padgref; Bouclier du Captain Amakna; Ceintacé; Coiffe de Padgref; Cape de la Dame du Hasard; Sandales de Tal Kasha; Dofus Abyssal; Dofus Turquoise; Dofus des Glaces; Dofus Pourpre; Vigoureux majeur; Remueur; Kokulte</t>
        </is>
      </c>
    </row>
    <row r="15809">
      <c r="A15809" t="inlineStr">
        <is>
          <t>Eliotrope F 200</t>
        </is>
      </c>
      <c r="B15809">
        <f>HYPERLINK("https://www.dofusbook.net/fr/equipement/5661950-eliotrope-f-200/objets", "link")</f>
        <v/>
      </c>
      <c r="C15809" t="n">
        <v>1</v>
      </c>
      <c r="D15809" t="inlineStr">
        <is>
          <t>Hachoirs de Viandargh; Collier du Valet Veinard; Gant du Valet Veinard; Alliance Gloursonne; Bouclier du Stalak; Menoture; Couronne d'Allister; Cape Matelassée; Palmes Trithons; Dofus Pourpre; Nomade; Remueur; Equilibriste majeur; Cascadeur majeur; Dragodinde Amande et Ebène</t>
        </is>
      </c>
    </row>
    <row r="15810">
      <c r="A15810" t="inlineStr">
        <is>
          <t>Steamer M 200</t>
        </is>
      </c>
      <c r="B15810">
        <f>HYPERLINK("https://www.dofusbook.net/fr/equipement/5660839-steamer-m-200/objets", "link")</f>
        <v/>
      </c>
      <c r="C15810" t="n">
        <v>0</v>
      </c>
      <c r="D15810" t="inlineStr">
        <is>
          <t>Arc Volkorne; Amulette du Strigide; Bague Gloursonne; Alliance Gloursonne; Quatre-feuilles; Ceinture du Strigide; Corne de Torkélonia; Carapace de Torkélonia; Bottes Honyme; Dofus Ébène; Dofus Ocre; Dofus des Glaces; Dofus Ivoire; Dofus Pourpre; Dofus Turquoise; Muldo Prune et Emeraude</t>
        </is>
      </c>
    </row>
    <row r="15811">
      <c r="A15811" t="inlineStr">
        <is>
          <t>Ouginak M 200</t>
        </is>
      </c>
      <c r="B15811">
        <f>HYPERLINK("https://www.dofusbook.net/fr/equipement/5660807-ouginak-m-200/objets", "link")</f>
        <v/>
      </c>
      <c r="C15811" t="n">
        <v>0</v>
      </c>
      <c r="D15811" t="inlineStr">
        <is>
          <t>Marteau R'ture; Amulette du Strigide; Anneau Chevelu; Bague Gloursonne; Bouclier d'Ilyzaelle; Ceinture Volkorne; Masque de Koutoulou; Cape au Logis; Bottes du Strigide; Dofus Pourpre; Dofus Abyssal; Dofus Ivoire; Dofus Ébène; Enragé majeur; Vigoureux majeur; Bulbisou</t>
        </is>
      </c>
    </row>
    <row r="15812">
      <c r="A15812" t="inlineStr">
        <is>
          <t>Osamodas M 200</t>
        </is>
      </c>
      <c r="B15812">
        <f>HYPERLINK("https://www.dofusbook.net/fr/equipement/5660759-osamodas-m-200/objets", "link")</f>
        <v/>
      </c>
      <c r="C15812" t="n">
        <v>0</v>
      </c>
      <c r="D15812" t="inlineStr">
        <is>
          <t>Arc corrompu; Amulette Volkorne; Anneauræus; Anneauræus; Droiture de Fallanster; Croture; Casque Cyclopéen; Voile d'encre; Pataugastrique; Dofus Émeraude; Dofus Ivoire; Remueur; Miraculé majeur; Érudit majeur; Carapace Neutre majeur; Muldo Orchidée et Pourpre</t>
        </is>
      </c>
    </row>
    <row r="15813">
      <c r="A15813" t="inlineStr">
        <is>
          <t>Eniripsa M 200</t>
        </is>
      </c>
      <c r="B15813">
        <f>HYPERLINK("https://www.dofusbook.net/fr/equipement/5645054-eniripsa-m-200/objets", "link")</f>
        <v/>
      </c>
      <c r="C15813" t="n">
        <v>0</v>
      </c>
      <c r="D15813" t="inlineStr">
        <is>
          <t>Arc corrompu; Pendentif mignon de Koutoulou; Anneauræus; Anneau Rifique; Bouclier du Stalak; Ceinture de Vortex; Coiffe Séculaire; Cape Martegel; Pataugastrique; Dofus Pourpre; Dofus Ivoire; Dévastateur Feu majeur; Nomade; Érudit majeur; Remueur; Bisouglours</t>
        </is>
      </c>
    </row>
    <row r="15814">
      <c r="A15814" t="inlineStr">
        <is>
          <t>Crâ M 200</t>
        </is>
      </c>
      <c r="B15814">
        <f>HYPERLINK("https://www.dofusbook.net/fr/equipement/5597974-cra-m-200/objets", "link")</f>
        <v/>
      </c>
      <c r="C15814" t="n">
        <v>6</v>
      </c>
      <c r="D15814" t="inlineStr">
        <is>
          <t>Arc Volkorne; Amulette du Strigide; Bracelet du Piloztère; Alliance de Missiz Frizz; Quatre-feuilles; Ceinture du Strigide; Maskrobe; Cape du Chalœil; Bottes Honyme; Dofus Nébuleux; Dofus Pourpre; Dofus Turquoise; Cascadeur majeur; Remueur; Vigoureux majeur; Muldo Prune et Emeraude</t>
        </is>
      </c>
    </row>
    <row r="15815">
      <c r="A15815" t="inlineStr">
        <is>
          <t>Pandawa F 200</t>
        </is>
      </c>
      <c r="B15815">
        <f>HYPERLINK("https://www.dofusbook.net/fr/equipement/5639586-pandawa-f-200/objets", "link")</f>
        <v/>
      </c>
      <c r="C15815" t="n">
        <v>0</v>
      </c>
      <c r="D15815" t="inlineStr">
        <is>
          <t>Baguette Hique; Collier de la Dame du Hasard; Bracelet du Piloztère; Anneau Cryochrone; Quatre-feuilles; Ceintacé; Coiffe Cryochrone; Cape de la Dame du Hasard; Bottes de la Dame du Hasard; Dofus Nébuleux; Dofus Pourpre; Dofus des Glaces; Dofus Turquoise; Dragodinde Emeraude et Ivoire</t>
        </is>
      </c>
    </row>
    <row r="15816">
      <c r="A15816" t="inlineStr">
        <is>
          <t>Crâ M 200</t>
        </is>
      </c>
      <c r="B15816">
        <f>HYPERLINK("https://www.dofusbook.net/fr/equipement/5637339-cra-m-200/objets", "link")</f>
        <v/>
      </c>
      <c r="C15816" t="n">
        <v>1</v>
      </c>
      <c r="D15816" t="inlineStr">
        <is>
          <t>Arc du Chalœil; Amulette du Strigide; Bracelet du Piloztère; Anneau Chevelu; Bouclier du Stalak; Ceinture du Strigide; Masque de Koutoulou; Cape au Logis; Bottes Honyme; Dofus Nébuleux; Dofus Pourpre; Dofus Ivoire; Enragé majeur; Vigoureux majeur; Dragodinde Amande et Pourpre</t>
        </is>
      </c>
    </row>
    <row r="15817">
      <c r="A15817" t="inlineStr">
        <is>
          <t>eca do pou</t>
        </is>
      </c>
      <c r="B15817">
        <f>HYPERLINK("https://www.dofusbook.net/fr/equipement/3010156-eca-do-pou/objets", "link")</f>
        <v/>
      </c>
      <c r="C15817" t="n">
        <v>0</v>
      </c>
      <c r="D15817" t="inlineStr">
        <is>
          <t>Héqache; Amulette du Cœur Vaillant; Bague Instable; Bague Trithon; Bouclier précieux; Ceinture Gence; Masque d'Anerice; Cape d'Anerice; Bottistik; Dofus Pourpre; Dofus Ivoire; Dofus Abyssal; Remueur; Bousculeur majeur; Culbuteur majeur; Balafreux</t>
        </is>
      </c>
    </row>
    <row r="15818">
      <c r="A15818" t="inlineStr">
        <is>
          <t>Pandawa M 200</t>
        </is>
      </c>
      <c r="B15818">
        <f>HYPERLINK("https://www.dofusbook.net/fr/equipement/5635722-pandawa-m-200/objets", "link")</f>
        <v/>
      </c>
      <c r="C15818" t="n">
        <v>0</v>
      </c>
      <c r="D15818" t="inlineStr">
        <is>
          <t>Arc corrompu; Amulette du Strigide; Bague Gloursonne; Anneauræus; Bouclier du Stalak; Ceinture du Strigide; Heaume Oplate; Cape de Diondin; Bottes Innommables; Dofus Pourpre; Dofus Ivoire; Vigoureux majeur; Érudit majeur; Carapace Feu majeur; Nomade; Dragodinde Ivoire et Orchidée</t>
        </is>
      </c>
    </row>
    <row r="15819">
      <c r="A15819" t="inlineStr">
        <is>
          <t>Iop F 200</t>
        </is>
      </c>
      <c r="B15819">
        <f>HYPERLINK("https://www.dofusbook.net/fr/equipement/5632942-iop-f-200/objets", "link")</f>
        <v/>
      </c>
      <c r="C15819" t="n">
        <v>0</v>
      </c>
      <c r="D15819" t="inlineStr">
        <is>
          <t>Sceptre du Roi Joueur; Amulette du Sinistrofu; Bracelet des Fonds marins; Alliance Gloursonne; Bouclier précieux; Sangle Ouare; Masque Paztek; Cape Paztek; Pataugastrique; Dofus Émeraude; Dofus Ivoire; Remueur; Chanceux majeur; Culbuteur majeur; Écumouth</t>
        </is>
      </c>
    </row>
    <row r="15820">
      <c r="A15820" t="inlineStr">
        <is>
          <t>Crâ M 200</t>
        </is>
      </c>
      <c r="B15820">
        <f>HYPERLINK("https://www.dofusbook.net/fr/equipement/5624131-cra-m-200/objets", "link")</f>
        <v/>
      </c>
      <c r="C15820" t="n">
        <v>2</v>
      </c>
      <c r="D15820" t="inlineStr">
        <is>
          <t>Arc Volkorne; Amulette Volkorne; Anneau Volkorne; Bague Trithon; Quatre-feuilles; Ceinture Volkorne; Masque Trithon; Cape du Chalœil; Bottes Trithon; Dofus Ocre; Dofus des Glaces; Dofus Pourpre; Dofus Nébuleux; Dofus Turquoise; Dofus Ébène; Sakochère</t>
        </is>
      </c>
    </row>
    <row r="15821">
      <c r="A15821" t="inlineStr">
        <is>
          <t>feu tank</t>
        </is>
      </c>
      <c r="B15821">
        <f>HYPERLINK("https://www.dofusbook.net/fr/equipement/5521000-feu-tank/objets", "link")</f>
        <v/>
      </c>
      <c r="C15821" t="n">
        <v>8</v>
      </c>
      <c r="D15821" t="inlineStr">
        <is>
          <t>Arc Hétype; Amulette de Nileza; Bague Gloursonne; Anneauræus; Bouclier du Stalak; Croture; Coiffe Séculaire; Cape de Nileza; Pataugastrique; Dofus Pourpre; Érudit majeur; Nomade; Remueur; Vigoureux majeur; Bwak de Feu</t>
        </is>
      </c>
    </row>
    <row r="15822">
      <c r="A15822" t="inlineStr">
        <is>
          <t>Crâ M 200</t>
        </is>
      </c>
      <c r="B15822">
        <f>HYPERLINK("https://www.dofusbook.net/fr/equipement/5619882-cra-m-200/objets", "link")</f>
        <v/>
      </c>
      <c r="C15822" t="n">
        <v>1</v>
      </c>
      <c r="D15822" t="inlineStr">
        <is>
          <t>Arc du Chalœil; Amulette du Strigide; Anneau Chevelu; Bracelet du Piloztère; Bouclier du Stalak; Ceinture du Strigide; Coiffe de la Reine des Voleurs; Cape au Logis; Bottes Honyme; Dofus Pourpre; Dofus Ivoire; Dofus Nébuleux; Remueur; Enragé majeur; Vigoureux majeur; Dragodinde Amande et Pourpre</t>
        </is>
      </c>
    </row>
    <row r="15823">
      <c r="A15823" t="inlineStr">
        <is>
          <t>Iop F 200</t>
        </is>
      </c>
      <c r="B15823">
        <f>HYPERLINK("https://www.dofusbook.net/fr/equipement/5618430-iop-f-200/objets", "link")</f>
        <v/>
      </c>
      <c r="C15823" t="n">
        <v>0</v>
      </c>
      <c r="D15823" t="inlineStr">
        <is>
          <t>Amulette du Strigide; Ceinture du Strigide</t>
        </is>
      </c>
    </row>
    <row r="15824">
      <c r="A15824" t="inlineStr">
        <is>
          <t>Iop M 200</t>
        </is>
      </c>
      <c r="B15824">
        <f>HYPERLINK("https://www.dofusbook.net/fr/equipement/5618155-iop-m-200/objets", "link")</f>
        <v/>
      </c>
      <c r="C15824" t="n">
        <v>2</v>
      </c>
      <c r="D15824" t="inlineStr">
        <is>
          <t>Héqache; Amulette du Strigide; Bague Gloursonne; Anneau Chevelu; Bouclier du Captain Amakna; Ceinture du Strigide; Masque de Koutoulou; Cape du Cœur Saignant; Bottes du Cœur Saignant; Dofus Pourpre; Dofus Ivoire; Dofus Turquoise; Dofus Nébuleux; Dofus Ocre; Dofus Ébène; Muldo Orchidée et Emeraude</t>
        </is>
      </c>
    </row>
    <row r="15825">
      <c r="A15825" t="inlineStr">
        <is>
          <t>Crâ M 200</t>
        </is>
      </c>
      <c r="B15825">
        <f>HYPERLINK("https://www.dofusbook.net/fr/equipement/5614236-cra-m-200/objets", "link")</f>
        <v/>
      </c>
      <c r="C15825" t="n">
        <v>3</v>
      </c>
      <c r="D15825" t="inlineStr">
        <is>
          <t>Arc Volkorne; Amulette Volkorne; Crocanneau; Anneau de Padgref; Quatre-feuilles; Ceinture Volkorne; Casque Volkorne; Cape du Chalœil; Getas de Padgref; Dofus Turquoise; Dofus Ébène; Dofus Nébuleux; Dofus des Glaces; Dofus Pourpre; Dofus Ivoire; Sakochère</t>
        </is>
      </c>
    </row>
    <row r="15826">
      <c r="A15826" t="inlineStr">
        <is>
          <t>Zobal M 200</t>
        </is>
      </c>
      <c r="B15826">
        <f>HYPERLINK("https://www.dofusbook.net/fr/equipement/5229552-zobal-m-200/objets", "link")</f>
        <v/>
      </c>
      <c r="C15826" t="n">
        <v>35</v>
      </c>
      <c r="D15826" t="inlineStr">
        <is>
          <t>Lav'Hache; Collier de Tourthon; Bague Gloursonne; Anneau Chevelu; Cadran d'Eau; Ceinture Volkorne; Masque de Koutoulou; Cape au Logis; Sabots Minables; Dofus Émeraude; Bloqueur majeur; Enragé majeur; Obstructeur majeur; Remueur; Bulbisou</t>
        </is>
      </c>
    </row>
    <row r="15827">
      <c r="A15827" t="inlineStr">
        <is>
          <t>Pandawa M 200</t>
        </is>
      </c>
      <c r="B15827">
        <f>HYPERLINK("https://www.dofusbook.net/fr/equipement/5415427-pandawa-m-200/objets", "link")</f>
        <v/>
      </c>
      <c r="C15827" t="n">
        <v>4</v>
      </c>
      <c r="D15827" t="inlineStr">
        <is>
          <t>Rouleau à Pâtisserie d'Aermyne; Collier Rophante; Anneau de Pol Ouatnos; Alliance Gloursonne; Sept ans de malheur; Poulpagne; Masque d'Anerice; Cape d'Anerice; Pataugastrique; Dofus Émeraude; Obstructeur majeur; Remueur; Bloqueur majeur; Miraculé majeur; Muldo Roux et Indigo</t>
        </is>
      </c>
    </row>
    <row r="15828">
      <c r="A15828" t="inlineStr">
        <is>
          <t>Pandawa M 200</t>
        </is>
      </c>
      <c r="B15828">
        <f>HYPERLINK("https://www.dofusbook.net/fr/equipement/5601397-pandawa-m-200/objets", "link")</f>
        <v/>
      </c>
      <c r="C15828" t="n">
        <v>1</v>
      </c>
      <c r="D15828" t="inlineStr">
        <is>
          <t>Dagoulinantes; Amulette du Strigide; Anneau Toriété; Alliance Gloursonne; Quatre-feuilles; Ceinture du Strigide; Capuche de l'Œil Attentif; Cape Solution; Pataugastrique; Dofus Pourpre; Dofus Turquoise; Remueur; Vigoureux majeur; Nomade; Chanceux majeur; Dragodinde Emeraude et Indigo</t>
        </is>
      </c>
    </row>
    <row r="15829">
      <c r="A15829" t="inlineStr">
        <is>
          <t>Pandawa F 200</t>
        </is>
      </c>
      <c r="B15829">
        <f>HYPERLINK("https://www.dofusbook.net/fr/equipement/5601319-pandawa-f-200/objets", "link")</f>
        <v/>
      </c>
      <c r="C15829" t="n">
        <v>0</v>
      </c>
      <c r="D15829" t="inlineStr">
        <is>
          <t>Dagoulinantes; Amulette de Shokkoth; Crocanneau; Alliance Gloursonne; Bouclier du Stalak; Sangle Ouare; Kidibonnet; Cape du Sinistrofu; Bottes du Sinistrofu; Dofus Pourpre; Vigoureux majeur; Nomade; Chanceux majeur; Remueur; Dragodinde Indigo et Ivoire</t>
        </is>
      </c>
    </row>
    <row r="15830">
      <c r="A15830" t="inlineStr">
        <is>
          <t>Pandawa F 200</t>
        </is>
      </c>
      <c r="B15830">
        <f>HYPERLINK("https://www.dofusbook.net/fr/equipement/5290848-pandawa-f-200/objets", "link")</f>
        <v/>
      </c>
      <c r="C15830" t="n">
        <v>31</v>
      </c>
      <c r="D15830" t="inlineStr">
        <is>
          <t>Rouleau à Pâtisserie d'Aermyne; Collier Rophante; Alliance Gloursonne; Bouclier précieux; Ceintacé; Masque d'Anerice; Cape d'Anerice; Pataugastrique; Dofus Émeraude; Dofus Abyssal; Fonceur majeur; Obstructeur majeur; Remueur; Miraculé majeur; Muldo Roux</t>
        </is>
      </c>
    </row>
    <row r="15831">
      <c r="A15831" t="inlineStr">
        <is>
          <t>Enutrof M 200</t>
        </is>
      </c>
      <c r="B15831">
        <f>HYPERLINK("https://www.dofusbook.net/fr/equipement/5599299-enutrof-m-200/objets", "link")</f>
        <v/>
      </c>
      <c r="C15831" t="n">
        <v>0</v>
      </c>
      <c r="D15831" t="inlineStr">
        <is>
          <t>Arc Nécrotique; Amulette du Strigide; Anneauræus; Alliance Gloursonne; Quatre-feuilles; Ceintacé; Coiffe de Padgref; Cape de la Dame du Hasard; Bottes de la Dame du Hasard; Dofus Pourpre; Dofus Turquoise; Chanceux majeur; Nomade; Vigoureux majeur; Remueur; Kokulte</t>
        </is>
      </c>
    </row>
    <row r="15832">
      <c r="A15832" t="inlineStr">
        <is>
          <t>Eniripsa F 200</t>
        </is>
      </c>
      <c r="B15832">
        <f>HYPERLINK("https://www.dofusbook.net/fr/equipement/5444808-eniripsa-f-200/objets", "link")</f>
        <v/>
      </c>
      <c r="C15832" t="n">
        <v>4</v>
      </c>
      <c r="D15832" t="inlineStr">
        <is>
          <t>Dagues Ricol; Amulette Volkorne; Bague Gloursonne; Anneauræus; Cadran d'Eau; Ceinture Séculaire; Coiffe Séculaire; Cape de Diondin; Pompes Funèbres; Dofus Turquoise; Dofus Pourpre; Guérisseur majeur; Remueur; Érudit majeur; Nomade; Dragodinde Emeraude et Orchidée</t>
        </is>
      </c>
    </row>
    <row r="15833">
      <c r="A15833" t="inlineStr">
        <is>
          <t>Zobal M 200</t>
        </is>
      </c>
      <c r="B15833">
        <f>HYPERLINK("https://www.dofusbook.net/fr/equipement/5578628-zobal-m-200/objets", "link")</f>
        <v/>
      </c>
      <c r="C15833" t="n">
        <v>10</v>
      </c>
      <c r="D15833" t="inlineStr">
        <is>
          <t>Epée Maudite du Saigneur Guerrier; Amulette du Strigide; Alliance de Missiz Frizz; Anneau de Padgref; Bouclier du Captain Amakna; Ceinture du Strigide; Corne de Torkélonia; Carapace de Torkélonia; Bottes du Strigide; Dofus Ocre; Dofus Pourpre; Dofus Nébuleux; Dofus Turquoise; Dofus des Glaces; Kokulte</t>
        </is>
      </c>
    </row>
    <row r="15834">
      <c r="A15834" t="inlineStr">
        <is>
          <t>Eniripsa F 200</t>
        </is>
      </c>
      <c r="B15834">
        <f>HYPERLINK("https://www.dofusbook.net/fr/equipement/5562252-eniripsa-f-200/objets", "link")</f>
        <v/>
      </c>
      <c r="C15834" t="n">
        <v>0</v>
      </c>
      <c r="D15834" t="inlineStr">
        <is>
          <t>Baguette Hernelle; Amulette du Strigide; Bague Gloursonne; Anneau de Padgref; Quatre-feuilles; Ceintacé; Coiffe de Padgref; Cape d'Atcham; Pataugastrique; Dofus Turquoise; Dofus Pourpre; Vigoureux majeur; Érudit majeur; Nomade; Cascadeur majeur; Dragodinde Emeraude et Ivoire</t>
        </is>
      </c>
    </row>
    <row r="15835">
      <c r="A15835" t="inlineStr">
        <is>
          <t>Iop F 200</t>
        </is>
      </c>
      <c r="B15835">
        <f>HYPERLINK("https://www.dofusbook.net/fr/equipement/5552341-iop-f-200/objets", "link")</f>
        <v/>
      </c>
      <c r="C15835" t="n">
        <v>2</v>
      </c>
      <c r="D15835" t="inlineStr">
        <is>
          <t>Dagoulinantes; Amulette de Shokkoth; Anneau Volkorne; Alliance Gloursonne; Bouclier d'Ilyzaelle; Poulpagne; Kidibonnet; Cape du Sinistrofu; Bottes du Sinistrofu; Dofus Ébène; Dofus Émeraude; Dofus Pourpre; Chanceux majeur; Nomade; Vigoureux majeur; Muldo Indigo et Pourpre</t>
        </is>
      </c>
    </row>
    <row r="15836">
      <c r="A15836" t="inlineStr">
        <is>
          <t>Iop M 200</t>
        </is>
      </c>
      <c r="B15836">
        <f>HYPERLINK("https://www.dofusbook.net/fr/equipement/5523117-iop-m-200/objets", "link")</f>
        <v/>
      </c>
      <c r="C15836" t="n">
        <v>3</v>
      </c>
      <c r="D15836" t="inlineStr">
        <is>
          <t>Épouvante; Amulette du Strigide; Anneau Volkorne; Pikano; Bouclier d'Ilyzaelle; Ceinture Volkorne; Casque en Grithril; Cape au Logis; Baleinabottes; Dofus Émeraude; Dofus Pourpre; Enragé majeur; Remueur; Chanceux majeur; Vigoureux majeur; Dragodinde en armure</t>
        </is>
      </c>
    </row>
    <row r="15837">
      <c r="A15837" t="inlineStr">
        <is>
          <t>eni soin</t>
        </is>
      </c>
      <c r="B15837">
        <f>HYPERLINK("https://www.dofusbook.net/fr/equipement/5446606-eni-soin/objets", "link")</f>
        <v/>
      </c>
      <c r="C15837" t="n">
        <v>2</v>
      </c>
      <c r="D15837" t="inlineStr">
        <is>
          <t>Arc corrompu; Amulette Volkorne; Anneau de Nidas; Bague Gloursonne; Bouclier du Cycloïde; Ceinture de Vortex; Couronne de Nidas; Cape de Diondin; Bottes Innommables; Dofus Turquoise; Dofus Pourpre; Guérisseur majeur; Remueur; Érudit majeur; Nomade; Dragodinde Emeraude et Orchidée</t>
        </is>
      </c>
    </row>
    <row r="15838">
      <c r="A15838" t="inlineStr">
        <is>
          <t>Eniripsa F 200</t>
        </is>
      </c>
      <c r="B15838">
        <f>HYPERLINK("https://www.dofusbook.net/fr/equipement/5445530-eniripsa-f-200/objets", "link")</f>
        <v/>
      </c>
      <c r="C15838" t="n">
        <v>0</v>
      </c>
      <c r="D15838" t="inlineStr">
        <is>
          <t>Arc corrompu; Amulette Volkorne; Bague Gloursonne; Anneau de Padgref; Quatre-feuilles; Sangle Aise; Heaume Oplate; Cape de la Dame du Hasard; Getas de Padgref; Dofus Turquoise; Dofus Pourpre; Érudit majeur; Vigoureux majeur; Nomade; Savant majeur; Dragodinde Emeraude et Orchidée</t>
        </is>
      </c>
    </row>
    <row r="15839">
      <c r="A15839" t="inlineStr">
        <is>
          <t>Crâ M 200</t>
        </is>
      </c>
      <c r="B15839">
        <f>HYPERLINK("https://www.dofusbook.net/fr/equipement/5488264-cra-m-200/objets", "link")</f>
        <v/>
      </c>
      <c r="C15839" t="n">
        <v>1</v>
      </c>
      <c r="D15839" t="inlineStr">
        <is>
          <t>Dagoulinantes; Amulette de Shokkoth; Alliance Gloursonne; Anneau Volkorne; Cadran de Terre; Sangle Ouare; Masque des Fonds marins; Cape Solution; Sandales des Fonds marins; Dofus Nébuleux; Dofus Pourpre; Remueur; Chanceux majeur; Étourdisseur majeur; Vigoureux majeur; Dragodinde Amande et Indigo</t>
        </is>
      </c>
    </row>
    <row r="15840">
      <c r="A15840" t="inlineStr">
        <is>
          <t>Ecaflip F 200</t>
        </is>
      </c>
      <c r="B15840">
        <f>HYPERLINK("https://www.dofusbook.net/fr/equipement/5122294-ecaflip-f-200/objets", "link")</f>
        <v/>
      </c>
      <c r="C15840" t="n">
        <v>24</v>
      </c>
      <c r="D15840" t="inlineStr">
        <is>
          <t>Hache du Chalœil; Amulette du Strigide; Bracelet du Piloztère; Alliance de Missiz Frizz; Bouclier Taverne; Ceinture du Strigide; Maskrobe; Cape du Chalœil; Bottes Honyme; Dofus Nébuleux; Dofus Turquoise; Dofus Pourpre; Enragé majeur; Vigoureux majeur; Nomade; Volkorne Pourpre et Indigo</t>
        </is>
      </c>
    </row>
    <row r="15841">
      <c r="A15841" t="inlineStr">
        <is>
          <t>Iop M 200</t>
        </is>
      </c>
      <c r="B15841">
        <f>HYPERLINK("https://www.dofusbook.net/fr/equipement/5483926-iop-m-200/objets", "link")</f>
        <v/>
      </c>
      <c r="C15841" t="n">
        <v>0</v>
      </c>
      <c r="D15841" t="inlineStr">
        <is>
          <t>Dagues du Dragoeuf; Amulette du Strigide; Anneau Chevelu; Bague Gloursonne; Bouclier du Captain Amakna; Ceinture du Strigide; Chapeau de Gein; Carapace de Torkélonia; Bottes Honyme; Dofus Pourpre; Dofus Turquoise; Enragé majeur; Vigoureux majeur; Nomade; Chanceux majeur; Dragodinde Emeraude et Ivoire</t>
        </is>
      </c>
    </row>
    <row r="15842">
      <c r="A15842" t="inlineStr">
        <is>
          <t>Iop M 200</t>
        </is>
      </c>
      <c r="B15842">
        <f>HYPERLINK("https://www.dofusbook.net/fr/equipement/5115411-iop-m-200/objets", "link")</f>
        <v/>
      </c>
      <c r="C15842" t="n">
        <v>1</v>
      </c>
      <c r="D15842" t="inlineStr">
        <is>
          <t>Dagues du Dragoeuf; Amulette du Strigide; Bague Gloursonne; Chevalière du Roi Joueur; Bouclier du Captain Amakna; Ceinture du Strigide; Chapeau de Gein; Cape au Logis; Bottes de la Cour Sombre; Dofus Pourpre; Dofus Nébuleux; Dofus Turquoise; Vigoureux majeur; Remueur; Enragé majeur; Kokulte</t>
        </is>
      </c>
    </row>
    <row r="15843">
      <c r="A15843" t="inlineStr">
        <is>
          <t>cra koli 200</t>
        </is>
      </c>
      <c r="B15843">
        <f>HYPERLINK("https://www.dofusbook.net/fr/equipement/2206558-cra-koli-200/objets", "link")</f>
        <v/>
      </c>
      <c r="C15843" t="n">
        <v>1</v>
      </c>
      <c r="D15843" t="inlineStr">
        <is>
          <t>Dagues du Dragoeuf; Amulette du Strigide; Bague Trithon; Anneau de Padgref; Bouclier du Captain Amakna; Ceinture du Strigide; Masque Trithon; Voile d'encre; Bottes du Strigide; Dofus Pourpre; Dofus des Glaces; Dofus Turquoise; Dofus Nébuleux; Dolmanax; Dofus Ocre; Muldo Prune et Emeraude</t>
        </is>
      </c>
    </row>
    <row r="15844">
      <c r="A15844" t="inlineStr">
        <is>
          <t>Crâ F 200</t>
        </is>
      </c>
      <c r="B15844">
        <f>HYPERLINK("https://www.dofusbook.net/fr/equipement/5472351-cra-f-200/objets", "link")</f>
        <v/>
      </c>
      <c r="C15844" t="n">
        <v>1</v>
      </c>
      <c r="D15844" t="inlineStr">
        <is>
          <t>Arc du Chalœil; Amulette du Strigide; Anneau Chevelu; Bracelet du Piloztère; Quatre-feuilles; Ceinture du Strigide; Masque de Koutoulou; Cape au Logis; Bottes de la Cour Sombre; Dofus Nébuleux; Dofus Pourpre; Enragé majeur; Vigoureux majeur; Remueur; Observateur; Dragodinde Amande et Pourpre</t>
        </is>
      </c>
    </row>
    <row r="15845">
      <c r="A15845" t="inlineStr">
        <is>
          <t>Eniripsa F 200</t>
        </is>
      </c>
      <c r="B15845">
        <f>HYPERLINK("https://www.dofusbook.net/fr/equipement/5444284-eniripsa-f-200/objets", "link")</f>
        <v/>
      </c>
      <c r="C15845" t="n">
        <v>0</v>
      </c>
      <c r="D15845" t="inlineStr">
        <is>
          <t>Arc corrompu; Amulette Volkorne; Bague Gloursonne; Anneau de Padgref; Quatre-feuilles; Ceinture Séculaire; Heaume Oplate; Cape de la Dame du Hasard; Getas de Padgref; Dofus Pourpre; Érudit majeur; Nomade; Vigoureux majeur; Remueur; Guérisseur majeur; Dragodinde Emeraude et Orchidée</t>
        </is>
      </c>
    </row>
    <row r="15846">
      <c r="A15846" t="inlineStr">
        <is>
          <t>Iop F 200</t>
        </is>
      </c>
      <c r="B15846">
        <f>HYPERLINK("https://www.dofusbook.net/fr/equipement/5414642-iop-f-200/objets", "link")</f>
        <v/>
      </c>
      <c r="C15846" t="n">
        <v>0</v>
      </c>
      <c r="D15846" t="inlineStr">
        <is>
          <t>Marteau R'ture; Amulette du Cœur Saignant; Bague Gloursonne; Anneau Chevelu; Bouclier d'Ilyzaelle; Ceinture Volkorne; Casque Dragoeuf; Cape au Logis; Sabots Minables; Dofus Nébuleux; Dofus Pourpre; Dofus Turquoise; Remueur; Vigoureux majeur; Enragé majeur; Dragodinde Emeraude et Pourpre</t>
        </is>
      </c>
    </row>
    <row r="15847">
      <c r="A15847" t="inlineStr">
        <is>
          <t>Iop F 200</t>
        </is>
      </c>
      <c r="B15847">
        <f>HYPERLINK("https://www.dofusbook.net/fr/equipement/5010113-iop-f-200/objets", "link")</f>
        <v/>
      </c>
      <c r="C15847" t="n">
        <v>2</v>
      </c>
      <c r="D15847" t="inlineStr">
        <is>
          <t>Baguette de Torkélonia; Amulette du Strigide; Bague Gloursonne; Anneau Chevelu; Quatre-feuilles; Ceinture du Strigide; Masque de Koutoulou; Cape au Logis; Baleinabottes; Dofus Nébuleux; Dofus Pourpre; Dofus Turquoise; Cascadeur majeur; Enragé majeur; Vigoureux majeur; Kokulte</t>
        </is>
      </c>
    </row>
    <row r="15848">
      <c r="A15848" t="inlineStr">
        <is>
          <t>Sacrieur F 200</t>
        </is>
      </c>
      <c r="B15848">
        <f>HYPERLINK("https://www.dofusbook.net/fr/equipement/5250167-sacrieur-f-200/objets", "link")</f>
        <v/>
      </c>
      <c r="C15848" t="n">
        <v>9</v>
      </c>
      <c r="D15848" t="inlineStr">
        <is>
          <t>Rapière aux Glyphes; Amulette de Shokkoth; Alliance Gloursonne; Bracelet des Fonds marins; Bouclier d'Ilyzaelle; Sangle Ouare; Kidibonnet; Cape Solution; Sandales des Fonds marins; Dofus Pourpre; Vigoureux majeur; Remueur; Nomade; Dévastateur Eau majeur; Chanceux majeur; Dragodinde Indigo et Ivoire</t>
        </is>
      </c>
    </row>
    <row r="15849">
      <c r="A15849" t="inlineStr">
        <is>
          <t>Ouginak M 200</t>
        </is>
      </c>
      <c r="B15849">
        <f>HYPERLINK("https://www.dofusbook.net/fr/equipement/5329482-ouginak-m-200/objets", "link")</f>
        <v/>
      </c>
      <c r="C15849" t="n">
        <v>5</v>
      </c>
      <c r="D15849" t="inlineStr">
        <is>
          <t>Dagoulinantes; Amulette de Shokkoth; Anneau Volkorne; Alliance Gloursonne; Bouclier d'Ilyzaelle; Sangle Ouare; Kidibonnet; Cape du Sinistrofu; Bottes du Sinistrofu; Dofus Pourpre; Dévastateur Eau majeur; Remueur; Chanceux majeur; Nomade; Vigoureux majeur; Dragodinde Indigo et Ivoire</t>
        </is>
      </c>
    </row>
    <row r="15850">
      <c r="A15850" t="inlineStr">
        <is>
          <t>Ouginak F 200</t>
        </is>
      </c>
      <c r="B15850">
        <f>HYPERLINK("https://www.dofusbook.net/fr/equipement/5329450-ouginak-f-200/objets", "link")</f>
        <v/>
      </c>
      <c r="C15850" t="n">
        <v>0</v>
      </c>
      <c r="D15850" t="inlineStr">
        <is>
          <t>Rapière aux Glyphes; Amulette de Shokkoth; Anneau Volkorne; Alliance Gloursonne; Bouclier du Stalak; Sangle Ouare; Kidibonnet; Cape de la Dame du Hasard; Pataugastrique; Dofus Pourpre; Nomade; Vigoureux majeur; Remueur; Chanceux majeur; Dragodinde Indigo et Ivoire</t>
        </is>
      </c>
    </row>
    <row r="15851">
      <c r="A15851" t="inlineStr">
        <is>
          <t>Crâ F 200</t>
        </is>
      </c>
      <c r="B15851">
        <f>HYPERLINK("https://www.dofusbook.net/fr/equipement/5329311-cra-f-200/objets", "link")</f>
        <v/>
      </c>
      <c r="C15851" t="n">
        <v>4</v>
      </c>
      <c r="D15851" t="inlineStr">
        <is>
          <t>Arc du Chalœil; Collier de Tourthon; Bague Gloursonne; Anneau de Brouce; Quatre-feuilles; Ceinture de Brouce; Masque de Koutoulou; Cape au Logis; Bottes du Cœur Saignant; Dofus Nébuleux; Dofus Turquoise; Dofus Pourpre; Remueur; Forcené majeur; Enragé majeur; Pioute vert</t>
        </is>
      </c>
    </row>
    <row r="15852">
      <c r="A15852" t="inlineStr">
        <is>
          <t>Sadida M 200</t>
        </is>
      </c>
      <c r="B15852">
        <f>HYPERLINK("https://www.dofusbook.net/fr/equipement/5328739-sadida-m-200/objets", "link")</f>
        <v/>
      </c>
      <c r="C15852" t="n">
        <v>1</v>
      </c>
      <c r="D15852" t="inlineStr">
        <is>
          <t>Arc du Chalœil; Amulette de l'Indicible; Anneau Chevelu; Bague Gloursonne; Bouclier du Stalak; Ceinture de Gein; Chapeau de Gein; Cape au Logis; Baleinabottes; Dokoko; Dofus Pourpre; Déserteur majeur; Remueur; Enragé majeur; Vigoureux majeur; Dragodinde Dorée et Pourpre</t>
        </is>
      </c>
    </row>
    <row r="15853">
      <c r="A15853" t="inlineStr">
        <is>
          <t>aragog</t>
        </is>
      </c>
      <c r="B15853">
        <f>HYPERLINK("https://www.dofusbook.net/fr/equipement/3032668-aragog/objets", "link")</f>
        <v/>
      </c>
      <c r="C15853" t="n">
        <v>2</v>
      </c>
      <c r="D15853" t="inlineStr">
        <is>
          <t>Arc du Chalœil; Amulette Héroclite; Anneau Chevelu; Bague Gloursonne; Bouclier Taverne; Ceinture Gence; Chapeau du Comte Razof; Cape au Logis; Baleinabottes; Dokoko; Dofus Pourpre; Vigoureux majeur; Carapace Terre majeur; Enragé majeur; Dragodinde Amande et Pourpre</t>
        </is>
      </c>
    </row>
    <row r="15854">
      <c r="A15854" t="inlineStr">
        <is>
          <t>Iop M 200</t>
        </is>
      </c>
      <c r="B15854">
        <f>HYPERLINK("https://www.dofusbook.net/fr/equipement/5074295-iop-m-200/objets", "link")</f>
        <v/>
      </c>
      <c r="C15854" t="n">
        <v>13</v>
      </c>
      <c r="D15854" t="inlineStr">
        <is>
          <t>Arc du Chalœil; Amulette Héroclite; Anneau Chevelu; Bague Gloursonne; Cadran de Terre; Ceinture de la Cour Sombre; Coiffe de la Fuji Givrefoux; Cape de la Cour Sombre; Baleinabottes; Dokoko; Dofus Pourpre; Enragé majeur; Vigoureux majeur; Nomade; Remueur; Dragodinde Amande et Pourpre</t>
        </is>
      </c>
    </row>
    <row r="15855">
      <c r="A15855" t="inlineStr">
        <is>
          <t>Iop M 200</t>
        </is>
      </c>
      <c r="B15855">
        <f>HYPERLINK("https://www.dofusbook.net/fr/equipement/5295217-iop-m-200/objets", "link")</f>
        <v/>
      </c>
      <c r="C15855" t="n">
        <v>1</v>
      </c>
      <c r="D15855" t="inlineStr">
        <is>
          <t>Hache du Chalœil; Amulette Volkorne; Bracelet du Piloztère; Anneau Volkorne; Bouclier d'Ilyzaelle; Ceinture Volkorne; Casque du Chalœil; Cape du Chalœil; Bottes du Chalœil; Dofus Turquoise; Dofus Abyssal; Dofus Émeraude; Dofus Nébuleux; Dofus Pourpre; Dofus des Glaces; Volkorne Pourpre et Orchidée</t>
        </is>
      </c>
    </row>
    <row r="15856">
      <c r="A15856" t="inlineStr">
        <is>
          <t>Crâ M 200</t>
        </is>
      </c>
      <c r="B15856">
        <f>HYPERLINK("https://www.dofusbook.net/fr/equipement/5308787-cra-m-200/objets", "link")</f>
        <v/>
      </c>
      <c r="C15856" t="n">
        <v>17</v>
      </c>
      <c r="D15856" t="inlineStr">
        <is>
          <t>Arc du Chalœil; Amulette Volkorne; Chevalière du Roi Joueur; Anneau Volkorne; Bouclier du Stalak; Ceinture Volkorne; Couronne du Roi Joueur; Cape du Cœur Saignant; Bottes du Roi Joueur; Dofus Ivoire; Dofus Ébène; Dofus Ocre; Dofus Abyssal; Dofus Nébuleux; Dofus Pourpre; Kougnard</t>
        </is>
      </c>
    </row>
    <row r="15857">
      <c r="A15857" t="inlineStr">
        <is>
          <t>Iop F 200</t>
        </is>
      </c>
      <c r="B15857">
        <f>HYPERLINK("https://www.dofusbook.net/fr/equipement/5295251-iop-f-200/objets", "link")</f>
        <v/>
      </c>
      <c r="C15857" t="n">
        <v>0</v>
      </c>
      <c r="D15857" t="inlineStr">
        <is>
          <t>Hache du Chalœil; Amulette du Strigide; Bracelet du Piloztère; Bague Gloursonne; Bouclier d'Ilyzaelle; Ceintacé; Casque du Chalœil; Cape du Chalœil; Bottes Honyme; Dofus Pourpre; Dofus Turquoise; Dofus Nébuleux; Carapace Feu majeur; Vigoureux majeur; Nomade; Kokulte</t>
        </is>
      </c>
    </row>
    <row r="15858">
      <c r="A15858" t="inlineStr">
        <is>
          <t>Sadida M 199</t>
        </is>
      </c>
      <c r="B15858">
        <f>HYPERLINK("https://www.dofusbook.net/fr/equipement/5169888-sadida-m-199/objets", "link")</f>
        <v/>
      </c>
      <c r="C15858" t="n">
        <v>9</v>
      </c>
      <c r="D15858" t="inlineStr">
        <is>
          <t>Marteau d'Henual; Amulette du K.O.; Anneau de Brouce; Bague Gloursonne; Quatre-feuilles; Ceinture d'Henual; Casque de Missiz Frizz; Cape au Logis; Sabots Minables; Dofus Pourpre; Dofus Nébuleux; Vigoureux majeur; Érudit majeur; Remueur; Enragé majeur; Dragodinde Orchidée et Pourpre</t>
        </is>
      </c>
    </row>
    <row r="15859">
      <c r="A15859" t="inlineStr">
        <is>
          <t>Crâ M 200</t>
        </is>
      </c>
      <c r="B15859">
        <f>HYPERLINK("https://www.dofusbook.net/fr/equipement/5291081-cra-m-200/objets", "link")</f>
        <v/>
      </c>
      <c r="C15859" t="n">
        <v>4</v>
      </c>
      <c r="D15859" t="inlineStr">
        <is>
          <t>Arc Nécrotique; Amulette du Strigide; Bracelet du Piloztère; Anneau de Padgref; Quatre-feuilles; Ceintacé; Coiffe de Padgref; Cape de la Dame du Hasard; Bottes Honyme; Dofus Turquoise; Dofus Pourpre; Dofus Nébuleux; Chanceux majeur; Vigoureux majeur; Enragé majeur; Muldo Prune et Emeraude</t>
        </is>
      </c>
    </row>
    <row r="15860">
      <c r="A15860" t="inlineStr">
        <is>
          <t>Sram M 200</t>
        </is>
      </c>
      <c r="B15860">
        <f>HYPERLINK("https://www.dofusbook.net/fr/equipement/5290665-sram-m-200/objets", "link")</f>
        <v/>
      </c>
      <c r="C15860" t="n">
        <v>0</v>
      </c>
      <c r="D15860" t="inlineStr">
        <is>
          <t>Arc du Chalœil; Amulette du Kamasterisk; Alliance Gloursonne; Anneau Volkorne; Bouclier du Stalak; Ceinture Volkorne; Casque Volkorne; Cape du Kamasterisk; Bottes du Kamasterisk; Dofus Ivoire; Dofus des Glaces; Dofus Ocre; Dofus Nébuleux; Dofus Pourpre; Dofus Abyssal; Volkorne Pourpre et Ebène</t>
        </is>
      </c>
    </row>
    <row r="15861">
      <c r="A15861" t="inlineStr">
        <is>
          <t>Enutrof M 200</t>
        </is>
      </c>
      <c r="B15861">
        <f>HYPERLINK("https://www.dofusbook.net/fr/equipement/4236875-enutrof-m-200/objets", "link")</f>
        <v/>
      </c>
      <c r="C15861" t="n">
        <v>1</v>
      </c>
      <c r="D15861" t="inlineStr">
        <is>
          <t>Pelle Dorado; Amulette de Shokkoth; Alliance Gloursonne; Pikano; Bouclier cubiste; Sangle Ouare; Casquipik; Cape Solution; Sandales Circulaires du Kimbo; Temporiseur majeur; Fonceur majeur; Temporiseur; Nomade; Chanceux majeur; Entraveur majeur; Volkorne Turquoise et Indigo</t>
        </is>
      </c>
    </row>
    <row r="15862">
      <c r="A15862" t="inlineStr">
        <is>
          <t>Crâ M 200</t>
        </is>
      </c>
      <c r="B15862">
        <f>HYPERLINK("https://www.dofusbook.net/fr/equipement/5242719-cra-m-200/objets", "link")</f>
        <v/>
      </c>
      <c r="C15862" t="n">
        <v>57</v>
      </c>
      <c r="D15862" t="inlineStr">
        <is>
          <t>Arc du Chalœil; Collier de Tourthon; Bracelet du Piloztère; Bague Gloursonne; Bouclier du Stalak; Ceinture Volkorne; Coiffe de la Reine des Voleurs; Cape au Logis; Baleinabottes; Dofus Nébuleux; Dofus Pourpre; Enragé majeur; Forcené majeur; Remueur; Vigoureux majeur; Kompost</t>
        </is>
      </c>
    </row>
    <row r="15863">
      <c r="A15863" t="inlineStr">
        <is>
          <t>zozo pierre teroide</t>
        </is>
      </c>
      <c r="B15863">
        <f>HYPERLINK("https://www.dofusbook.net/fr/equipement/5047491-zozo-pierre-teroide/objets", "link")</f>
        <v/>
      </c>
      <c r="C15863" t="n">
        <v>18</v>
      </c>
      <c r="D15863" t="inlineStr">
        <is>
          <t>Arc du Chalœil; Amulette Volkorne; Bague Gloursonne; Chevalière du Roi Joueur; Quatre-feuilles; Ceinture Volkorne; Chapeau de Gein; Cape au Logis; Sabots Minables; Dofus Pourpre; Dofus Turquoise; Dofus des Glaces; Remueur; Miraculé majeur; Vigoureux majeur; Kokulte</t>
        </is>
      </c>
    </row>
    <row r="15864">
      <c r="A15864" t="inlineStr">
        <is>
          <t>Eniripsa M 200</t>
        </is>
      </c>
      <c r="B15864">
        <f>HYPERLINK("https://www.dofusbook.net/fr/equipement/5193023-eniripsa-m-200/objets", "link")</f>
        <v/>
      </c>
      <c r="C15864" t="n">
        <v>0</v>
      </c>
      <c r="D15864" t="inlineStr">
        <is>
          <t>Arc corrompu; Pendentif affamé; Anneauræus; Bague Gloursonne; Bouclier du Stalak; Ceinture Séculaire; Coiffe Séculaire; Voile d'encre; Pataugastrique; Dofus Pourpre; Dofus Nébuleux; Dofus Turquoise; Nomade; Remueur; Érudit majeur; Brûlih</t>
        </is>
      </c>
    </row>
    <row r="15865">
      <c r="A15865" t="inlineStr">
        <is>
          <t>cra 200 terre</t>
        </is>
      </c>
      <c r="B15865">
        <f>HYPERLINK("https://www.dofusbook.net/fr/equipement/3148923-cra-200-terre/objets", "link")</f>
        <v/>
      </c>
      <c r="C15865" t="n">
        <v>4</v>
      </c>
      <c r="D15865" t="inlineStr">
        <is>
          <t>Arc du Chalœil; Collier de Tourthon; Anneau Chevelu; Anneau Crustique; Quatre-feuilles; Ceinture de la Cour Sombre; Masque de Koutoulou; Cape du Cœur Saignant; Bottes de la Cour Sombre; Dofus Nébuleux; Dofus Pourpre; Dofus Turquoise; Nomade; Enragé majeur; Remueur; Kompost</t>
        </is>
      </c>
    </row>
    <row r="15866">
      <c r="A15866" t="inlineStr">
        <is>
          <t>Zobal M 200</t>
        </is>
      </c>
      <c r="B15866">
        <f>HYPERLINK("https://www.dofusbook.net/fr/equipement/5240965-zobal-m-200/objets", "link")</f>
        <v/>
      </c>
      <c r="C15866" t="n">
        <v>1</v>
      </c>
      <c r="D15866" t="inlineStr">
        <is>
          <t>Hache du Chalœil; Amulette Volkorne; Bague Trithon; Anneau Volkorne; Quatre-feuilles; Ceinture Volkorne; Masque Trithon; Cape du Chalœil; Bottes Trithon; Dofus Pourpre; Dofus Nébuleux; Dofus Turquoise; Dofus des Glaces; Dofus Ocre; Dofus Abyssal; Sakochère</t>
        </is>
      </c>
    </row>
    <row r="15867">
      <c r="A15867" t="inlineStr">
        <is>
          <t>Crâ F 200</t>
        </is>
      </c>
      <c r="B15867">
        <f>HYPERLINK("https://www.dofusbook.net/fr/equipement/5248672-cra-f-200/objets", "link")</f>
        <v/>
      </c>
      <c r="C15867" t="n">
        <v>1</v>
      </c>
      <c r="D15867" t="inlineStr">
        <is>
          <t>Hache du Chalœil; Amulette Volkorne; Alliance de Missiz Frizz; Anneau Volkorne; Quatre-feuilles; Ceinture Volkorne; Casque de Missiz Frizz; Cape du Chalœil; Bottes de Missiz Frizz; Dofus Turquoise; Dofus Pourpre; Dofus Nébuleux; Sakochère</t>
        </is>
      </c>
    </row>
    <row r="15868">
      <c r="A15868" t="inlineStr">
        <is>
          <t>Crâ M 200</t>
        </is>
      </c>
      <c r="B15868">
        <f>HYPERLINK("https://www.dofusbook.net/fr/equipement/4782240-cra-m-200/objets", "link")</f>
        <v/>
      </c>
      <c r="C15868" t="n">
        <v>5</v>
      </c>
      <c r="D15868" t="inlineStr">
        <is>
          <t>Bâton Beau; Amulette du Strigide; Bracelet du Piloztère; Anneau Toriété; Quatre-feuilles; Ceinture du Strigide; Masque Vaudou Tam; Cape Reski; Pataugastrique; Dofus Turquoise; Dofus Nébuleux; Dofus Pourpre; Enragé majeur; Érudit majeur; Vigoureux majeur; Volkorne Orchidée et Indigo</t>
        </is>
      </c>
    </row>
    <row r="15869">
      <c r="A15869" t="inlineStr">
        <is>
          <t>Crâ M 200</t>
        </is>
      </c>
      <c r="B15869">
        <f>HYPERLINK("https://www.dofusbook.net/fr/equipement/5242756-cra-m-200/objets", "link")</f>
        <v/>
      </c>
      <c r="C15869" t="n">
        <v>0</v>
      </c>
      <c r="D15869" t="inlineStr">
        <is>
          <t>Bêche Asse; Amulette Nécrotique; Anneau de Brouce; Bague Gloursonne; Bouclier Taverne; Ceinture de Brouce; Coiffe de la Fuji Givrefoux; Cape au Logis; Sabots Minables; Dofus Pourpre; Dofus Nébuleux; Nomade; Remueur; Carapace Terre majeur; Enragé majeur; Dragodinde Amande et Pourpre</t>
        </is>
      </c>
    </row>
    <row r="15870">
      <c r="A15870" t="inlineStr">
        <is>
          <t>eni feu</t>
        </is>
      </c>
      <c r="B15870">
        <f>HYPERLINK("https://www.dofusbook.net/fr/equipement/5178676-eni-feu/objets", "link")</f>
        <v/>
      </c>
      <c r="C15870" t="n">
        <v>3</v>
      </c>
      <c r="D15870" t="inlineStr">
        <is>
          <t>Arc corrompu; Amulette Volkorne; Bague Gloursonne; Anneauræus; Cadran de Terre; Ceinture Séculaire; Coiffe Séculaire; Cape de Diondin; Pompes Funèbres; Dofus Nébuleux; Dofus Ivoire; Dofus Pourpre; Remueur; Érudit majeur; Nomade; Dragodinde Amande et Orchidée</t>
        </is>
      </c>
    </row>
    <row r="15871">
      <c r="A15871" t="inlineStr">
        <is>
          <t>Iop M 200</t>
        </is>
      </c>
      <c r="B15871">
        <f>HYPERLINK("https://www.dofusbook.net/fr/equipement/5238037-iop-m-200/objets", "link")</f>
        <v/>
      </c>
      <c r="C15871" t="n">
        <v>0</v>
      </c>
      <c r="D15871" t="inlineStr">
        <is>
          <t>Marteau R'ture; Collier de Tourthon; Bague Gloursonne; Anneau de Brouce; Bouclier du Captain Amakna; Ceinture de Brouce; Masque de Koutoulou; Cape au Logis; Sabots Minables; Dofus Nébuleux; Dofus Turquoise; Dofus Pourpre; Enragé majeur; Vigoureux majeur; Forcené majeur; Kompost</t>
        </is>
      </c>
    </row>
    <row r="15872">
      <c r="A15872" t="inlineStr">
        <is>
          <t>Iop M 200</t>
        </is>
      </c>
      <c r="B15872">
        <f>HYPERLINK("https://www.dofusbook.net/fr/equipement/5178283-iop-m-200/objets", "link")</f>
        <v/>
      </c>
      <c r="C15872" t="n">
        <v>3</v>
      </c>
      <c r="D15872" t="inlineStr">
        <is>
          <t>Marteau R'ture; Amulette du Strigide; Anneau Crustique; Anneau du Comte Harebourg; Bouclier du Captain Amakna; Ceinture du Strigide; Masque de Koutoulou; Cape au Logis; Bottes de la Cour Sombre; Dofus Pourpre; Dofus Nébuleux; Dofus Turquoise; Vigoureux majeur; Forcené majeur; Enragé majeur; Kompost</t>
        </is>
      </c>
    </row>
    <row r="15873">
      <c r="A15873" t="inlineStr">
        <is>
          <t>panda-terre</t>
        </is>
      </c>
      <c r="B15873">
        <f>HYPERLINK("https://www.dofusbook.net/fr/equipement/1859005-panda-terre/objets", "link")</f>
        <v/>
      </c>
      <c r="C15873" t="n">
        <v>1</v>
      </c>
      <c r="D15873" t="inlineStr">
        <is>
          <t>Marteau R'ture; Amulette du Strigide; Anneau Crustique; Anneau Chevelu; Bouclier du Captain Amakna; Ceinture de la Cour Sombre; Masque de Koutoulou; Cape au Logis; Bottes de la Cour Sombre; Dofus Pourpre; Dofus Turquoise; Vigoureux majeur; Enragé majeur; Remueur; Nomade</t>
        </is>
      </c>
    </row>
    <row r="15874">
      <c r="A15874" t="inlineStr">
        <is>
          <t>Iop M 200</t>
        </is>
      </c>
      <c r="B15874">
        <f>HYPERLINK("https://www.dofusbook.net/fr/equipement/5158457-iop-m-200/objets", "link")</f>
        <v/>
      </c>
      <c r="C15874" t="n">
        <v>0</v>
      </c>
      <c r="D15874" t="inlineStr">
        <is>
          <t>Marteau R'ture; Amulette Volkorne; Bague Gloursonne; Anneau Chevelu; Cadran d'Eau; Ceinture Volkorne; Masque de Koutoulou; Cape au Logis; Bottes Honyme; Dofus Pourpre; Dofus Nébuleux; Dofus Turquoise; Enragé majeur; Vigoureux majeur; Forcené majeur; Kokulte</t>
        </is>
      </c>
    </row>
    <row r="15875">
      <c r="A15875" t="inlineStr">
        <is>
          <t>Crâ M 200</t>
        </is>
      </c>
      <c r="B15875">
        <f>HYPERLINK("https://www.dofusbook.net/fr/equipement/5229626-cra-m-200/objets", "link")</f>
        <v/>
      </c>
      <c r="C15875" t="n">
        <v>0</v>
      </c>
      <c r="D15875" t="inlineStr">
        <is>
          <t>Arc Volkorne; Amulette Volkorne; Bracelet du Piloztère; Anneau Volkorne; Quatre-feuilles; Ceinture Volkorne; Casque du Chalœil; Cape du Chalœil; Bottes du Chalœil; Dofus Nébuleux; Dofus Pourpre; Dofus des Glaces; Dofus Turquoise; Puissant majeur; Furibond majeur; Sakochère</t>
        </is>
      </c>
    </row>
    <row r="15876">
      <c r="A15876" t="inlineStr">
        <is>
          <t>Pandawa M 200</t>
        </is>
      </c>
      <c r="B15876">
        <f>HYPERLINK("https://www.dofusbook.net/fr/equipement/5229476-pandawa-m-200/objets", "link")</f>
        <v/>
      </c>
      <c r="C15876" t="n">
        <v>0</v>
      </c>
      <c r="D15876" t="inlineStr">
        <is>
          <t>La Bêche à Mel; Amulette Cryochrone; Anneau Cryochrone; Alliance Gloursonne; Bouclier Feudala; Sangle Ouare; Casqnoar; Cape de Diondin; Pataugastrique; Dofus Abyssal; Dofus Émeraude; Dofus Pourpre; Obstructeur majeur; Vigoureux majeur; Miraculé majeur; Muldo Roux et Doré</t>
        </is>
      </c>
    </row>
    <row r="15877">
      <c r="A15877" t="inlineStr">
        <is>
          <t>Pandawa M 200</t>
        </is>
      </c>
      <c r="B15877">
        <f>HYPERLINK("https://www.dofusbook.net/fr/equipement/5229451-pandawa-m-200/objets", "link")</f>
        <v/>
      </c>
      <c r="C15877" t="n">
        <v>0</v>
      </c>
      <c r="D15877" t="inlineStr">
        <is>
          <t>Arc Nécrotique; Amulette du Strigide; Alliance de Missiz Frizz; Bracelet du Piloztère; Quatre-feuilles; Ceintacé; Coiffe Cryochrone; Cape de la Dame du Hasard; Bottes du Strigide; Dofus Pourpre; Dofus des Glaces; Dofus Turquoise; Vigoureux majeur; Nomade; Observateur; Volkorne Emeraude et Indigo</t>
        </is>
      </c>
    </row>
    <row r="15878">
      <c r="A15878" t="inlineStr">
        <is>
          <t>Eniripsa F 200</t>
        </is>
      </c>
      <c r="B15878">
        <f>HYPERLINK("https://www.dofusbook.net/fr/equipement/5226281-eniripsa-f-200/objets", "link")</f>
        <v/>
      </c>
      <c r="C15878" t="n">
        <v>0</v>
      </c>
      <c r="D15878" t="inlineStr">
        <is>
          <t>Arc corrompu; Amulette Séculaire; Bague Gloursonne; Anneauræus; Cadran de Terre; Ceintacé; Coiffe Séculaire; Voile d'encre; Pataugastrique; Dofus Pourpre; Carapace Terre majeur; Nomade; Vigoureux majeur; Carapace Feu majeur; Érudit majeur; Dragodinde Amande et Orchidée</t>
        </is>
      </c>
    </row>
    <row r="15879">
      <c r="A15879" t="inlineStr">
        <is>
          <t>Féca M 200</t>
        </is>
      </c>
      <c r="B15879">
        <f>HYPERLINK("https://www.dofusbook.net/fr/equipement/5197515-feca-m-200/objets", "link")</f>
        <v/>
      </c>
      <c r="C15879" t="n">
        <v>0</v>
      </c>
      <c r="D15879" t="inlineStr"/>
    </row>
    <row r="15880">
      <c r="A15880" t="inlineStr">
        <is>
          <t>Féca M 200</t>
        </is>
      </c>
      <c r="B15880">
        <f>HYPERLINK("https://www.dofusbook.net/fr/equipement/5191031-feca-m-200/objets", "link")</f>
        <v/>
      </c>
      <c r="C15880" t="n">
        <v>0</v>
      </c>
      <c r="D15880" t="inlineStr">
        <is>
          <t>Dagoulinantes; Amulette de Shokkoth; Alliance Gloursonne; Anneau Volkorne; Bouclier d'Ilyzaelle; Sangle Ouare; Némès de Tal Kasha; Cape Matelassée; Pataugastrique; Dofus Pourpre; Dofus Abyssal; Dévastateur Eau majeur; Vigoureux majeur; Miraculé majeur; Chanceux majeur; Dragodinde Indigo et Ivoire</t>
        </is>
      </c>
    </row>
    <row r="15881">
      <c r="A15881" t="inlineStr">
        <is>
          <t>Sadida M 200</t>
        </is>
      </c>
      <c r="B15881">
        <f>HYPERLINK("https://www.dofusbook.net/fr/equipement/5178603-sadida-m-200/objets", "link")</f>
        <v/>
      </c>
      <c r="C15881" t="n">
        <v>1</v>
      </c>
      <c r="D15881" t="inlineStr">
        <is>
          <t>Bâton K'Tueuh; Amulette de Shokkoth; Alliance Gloursonne; Anneau Volkorne; Bouclier du Stalak; Poulpagne; Kidibonnet; Cape du Sinistrofu; Bottes du Sinistrofu; Dofus Nébuleux; Dofus Pourpre; Nomade; Chanceux majeur; Remueur; Vigoureux majeur; Dragodinde Indigo et Turquoise</t>
        </is>
      </c>
    </row>
    <row r="15882">
      <c r="A15882" t="inlineStr">
        <is>
          <t>Zobal F 200</t>
        </is>
      </c>
      <c r="B15882">
        <f>HYPERLINK("https://www.dofusbook.net/fr/equipement/5178492-zobal-f-200/objets", "link")</f>
        <v/>
      </c>
      <c r="C15882" t="n">
        <v>2</v>
      </c>
      <c r="D15882" t="inlineStr">
        <is>
          <t>Sabres d'Atcham; Amulette du Strigide; Anneau de Padgref; Bracelet du Piloztère; Quatre-feuilles; Ceinture du Strigide; Coiffe de Padgref; Cape d'Atcham; Getas de Padgref; Dofus Pourpre; Dofus Abyssal; Dofus des Glaces; Dofus Nébuleux; Dofus Turquoise; Voyageur; Sakochère</t>
        </is>
      </c>
    </row>
    <row r="15883">
      <c r="A15883" t="inlineStr">
        <is>
          <t>Féca M 200</t>
        </is>
      </c>
      <c r="B15883">
        <f>HYPERLINK("https://www.dofusbook.net/fr/equipement/5178452-feca-m-200/objets", "link")</f>
        <v/>
      </c>
      <c r="C15883" t="n">
        <v>1</v>
      </c>
      <c r="D15883" t="inlineStr">
        <is>
          <t>Arc Nécrotique; Amulette Volkorne; Bracelet du Piloztère; Anneau Volkorne; Quatre-feuilles; Ceintacé; Coiffe Cryochrone; Cape de la Dame du Hasard; Bottes de Meno; Dofus Turquoise; Dofus Abyssal; Dofus Pourpre; Vigoureux majeur; Nomade; Remueur; Kokulte</t>
        </is>
      </c>
    </row>
    <row r="15884">
      <c r="A15884" t="inlineStr">
        <is>
          <t>eni arc koutoulou</t>
        </is>
      </c>
      <c r="B15884">
        <f>HYPERLINK("https://www.dofusbook.net/fr/equipement/667767-eni-arc-koutoulou/objets", "link")</f>
        <v/>
      </c>
      <c r="C15884" t="n">
        <v>0</v>
      </c>
      <c r="D15884" t="inlineStr">
        <is>
          <t>Hache du Korriandre; Amulette du Strigide; Anneau de Padgref; Alliance Gloursonne; Quatre-feuilles; Ceinture du Strigide; Némès de Tal Kasha; Chevelure de Tal Kasha; Sandales de Tal Kasha; Dofus Ivoire; Dofus Ocre; Dofus Émeraude; Dofus des Glaces; Dofus Turquoise; Dofus Nébuleux; Muldo Ebène et Indigo</t>
        </is>
      </c>
    </row>
    <row r="15885">
      <c r="A15885" t="inlineStr">
        <is>
          <t>Féca M 200</t>
        </is>
      </c>
      <c r="B15885">
        <f>HYPERLINK("https://www.dofusbook.net/fr/equipement/5178416-feca-m-200/objets", "link")</f>
        <v/>
      </c>
      <c r="C15885" t="n">
        <v>0</v>
      </c>
      <c r="D15885" t="inlineStr"/>
    </row>
    <row r="15886">
      <c r="A15886" t="inlineStr">
        <is>
          <t>Eniripsa F 200</t>
        </is>
      </c>
      <c r="B15886">
        <f>HYPERLINK("https://www.dofusbook.net/fr/equipement/5177322-eniripsa-f-200/objets", "link")</f>
        <v/>
      </c>
      <c r="C15886" t="n">
        <v>1</v>
      </c>
      <c r="D15886" t="inlineStr">
        <is>
          <t>Baguette Range; Amulette Séculaire; Bague Gloursonne; Anneau Rifique; Bouclier du Cycloïde; Ceinture Séculaire; Coiffe de Padgref; Cape Lati; Pantoufles Émar; Dofus Turquoise; Dofus Pourpre; Nomade; Guérisseur majeur; Remueur; Vigoureux majeur; Dragodinde Emeraude et Orchidée</t>
        </is>
      </c>
    </row>
    <row r="15887">
      <c r="A15887" t="inlineStr">
        <is>
          <t>panda</t>
        </is>
      </c>
      <c r="B15887">
        <f>HYPERLINK("https://www.dofusbook.net/fr/equipement/866557-panda/objets", "link")</f>
        <v/>
      </c>
      <c r="C15887" t="n">
        <v>0</v>
      </c>
      <c r="D15887" t="inlineStr">
        <is>
          <t>Masse Ossiale; Amulette du Strigide; Alliance Gloursonne; Anneau Tamie; La Rondelle; Ceinture du Strigide; Casquette de Meno; Cape Matelassée; Pataugastrique; Nomade; Vigoureux majeur; Muldo Indigo et Orchidée</t>
        </is>
      </c>
    </row>
    <row r="15888">
      <c r="A15888" t="inlineStr">
        <is>
          <t>Pandawa M 200</t>
        </is>
      </c>
      <c r="B15888">
        <f>HYPERLINK("https://www.dofusbook.net/fr/equipement/5169796-pandawa-m-200/objets", "link")</f>
        <v/>
      </c>
      <c r="C15888" t="n">
        <v>0</v>
      </c>
      <c r="D15888" t="inlineStr">
        <is>
          <t>Crocobur; Amulette du Strigide; Anneau du Cycloïde; Alliance Gloursonne; La Rondelle; Sangle Ouare; Boucle d'oreille de Kongoku; Cape de Kongoku; Pataugastrique</t>
        </is>
      </c>
    </row>
    <row r="15889">
      <c r="A15889" t="inlineStr">
        <is>
          <t>Pandawa F 200</t>
        </is>
      </c>
      <c r="B15889">
        <f>HYPERLINK("https://www.dofusbook.net/fr/equipement/5169738-pandawa-f-200/objets", "link")</f>
        <v/>
      </c>
      <c r="C15889" t="n">
        <v>1</v>
      </c>
      <c r="D15889" t="inlineStr">
        <is>
          <t>Baguette Héroclite; Talisman Glouti; Bracelet des Fonds marins; Alliance Gloursonne; La Rondelle; Sangle Ouare; Masque des Fonds marins; Cape de la Dame du Hasard; Pataugastrique; Dofus Émeraude; Dofus Abyssal; Chanceux majeur; Obstructeur majeur; Remueur; Miraculé majeur; Muldo Roux et Indigo</t>
        </is>
      </c>
    </row>
    <row r="15890">
      <c r="A15890" t="inlineStr">
        <is>
          <t>Iop M 200</t>
        </is>
      </c>
      <c r="B15890">
        <f>HYPERLINK("https://www.dofusbook.net/fr/equipement/5047427-iop-m-200/objets", "link")</f>
        <v/>
      </c>
      <c r="C15890" t="n">
        <v>0</v>
      </c>
      <c r="D15890" t="inlineStr">
        <is>
          <t>Marteau R'ture; Collier de Tourthon; Anneau Chevelu; Anneau de Brouce; Bouclier du Captain Amakna; Ceinture Gence; Masque de Koutoulou; Cape au Logis; Bottes de Brouce; Dofus Turquoise; Dofus Nébuleux; Dofus Pourpre; Forcené majeur; Enragé majeur; Vigoureux majeur; Kokulte</t>
        </is>
      </c>
    </row>
    <row r="15891">
      <c r="A15891" t="inlineStr">
        <is>
          <t>Enutrof M 200</t>
        </is>
      </c>
      <c r="B15891">
        <f>HYPERLINK("https://www.dofusbook.net/fr/equipement/5121806-enutrof-m-200/objets", "link")</f>
        <v/>
      </c>
      <c r="C15891" t="n">
        <v>0</v>
      </c>
      <c r="D15891" t="inlineStr">
        <is>
          <t>Dagues Açantes; Collier de la Dame du Hasard; Pikano; Poulpagne; Kidibonnet; Cape de Meno; Pikottes</t>
        </is>
      </c>
    </row>
    <row r="15892">
      <c r="A15892" t="inlineStr">
        <is>
          <t>Pandawa M 200</t>
        </is>
      </c>
      <c r="B15892">
        <f>HYPERLINK("https://www.dofusbook.net/fr/equipement/4873495-pandawa-m-200/objets", "link")</f>
        <v/>
      </c>
      <c r="C15892" t="n">
        <v>6</v>
      </c>
      <c r="D15892" t="inlineStr">
        <is>
          <t>Lav'Hache; Collier de Tourthon; Bague Gloursonne; Anneau Chevelu; Bouclier d'Ilyzaelle; Ceintouse; Masque de Koutoulou; Cape au Logis; Tentassons; Dofus Pourpre; Dofus Abyssal; Dofus Émeraude; Enragé majeur; Obstructeur majeur; Remueur; Platypus</t>
        </is>
      </c>
    </row>
    <row r="15893">
      <c r="A15893" t="inlineStr">
        <is>
          <t>Crâ M 200</t>
        </is>
      </c>
      <c r="B15893">
        <f>HYPERLINK("https://www.dofusbook.net/fr/equipement/4689686-cra-m-200/objets", "link")</f>
        <v/>
      </c>
      <c r="C15893" t="n">
        <v>4</v>
      </c>
      <c r="D15893" t="inlineStr">
        <is>
          <t>Bâton Beau; Amulette du Strigide; Bracelet du Piloztère; Gelano; Quatre-feuilles; Ceinture du Strigide; Masque Vaudou Tam; Cape Reski; Bottes Honyme; Dofus Turquoise; Dofus Pourpre; Enragé majeur; Vigoureux majeur; Remueur; Nomade; Muldo Prune et Emeraude</t>
        </is>
      </c>
    </row>
    <row r="15894">
      <c r="A15894" t="inlineStr">
        <is>
          <t>Crâ F 200</t>
        </is>
      </c>
      <c r="B15894">
        <f>HYPERLINK("https://www.dofusbook.net/fr/equipement/4688236-cra-f-200/objets", "link")</f>
        <v/>
      </c>
      <c r="C15894" t="n">
        <v>1</v>
      </c>
      <c r="D15894" t="inlineStr">
        <is>
          <t>Pelle de la Cour Sombre; Amulette Voldelor; Anneau du Cycloïde; Gant du Valet Veinard; Cadran d'Air; Ceinture Voldelor; Casque Volkorne; Cape Indescriptible; Baleinabottes; Dofus Pourpre; Dofus Turquoise; Nomade; Cascadeur majeur; Remueur; Vigoureux majeur; Blérodoudou</t>
        </is>
      </c>
    </row>
    <row r="15895">
      <c r="A15895" t="inlineStr">
        <is>
          <t>Zobal M 200</t>
        </is>
      </c>
      <c r="B15895">
        <f>HYPERLINK("https://www.dofusbook.net/fr/equipement/4143578-zobal-m-200/objets", "link")</f>
        <v/>
      </c>
      <c r="C15895" t="n">
        <v>2</v>
      </c>
      <c r="D15895" t="inlineStr">
        <is>
          <t>Bêche Asse; Amulette du Strigide; Anneau de Brouce; Bague Gloursonne; Cadran d'Eau; Ceinture Gence; Masque de Koutoulou; Cape au Logis; Bottes de Brouce; Miraculé majeur; Nomade; Enragé majeur; Remueur; Vigoureux majeur; Dragodinde Ivoire et Pourpre</t>
        </is>
      </c>
    </row>
    <row r="15896">
      <c r="A15896" t="inlineStr">
        <is>
          <t>toche</t>
        </is>
      </c>
      <c r="B15896">
        <f>HYPERLINK("https://www.dofusbook.net/fr/equipement/746175-toche/objets", "link")</f>
        <v/>
      </c>
      <c r="C15896" t="n">
        <v>1</v>
      </c>
      <c r="D15896" t="inlineStr">
        <is>
          <t>Marteau de Katrepat; Amulette du Strigide; Anneau Chevelu; Chevalière du Roi Joueur; Bouclier du Captain Amakna; Ceintacé; Masque du Katcheur; Voile d'encre; Bottes du Cycloïde; Dofus Turquoise; Dofus Pourpre; Remueur; Vigoureux majeur; Enragé majeur; Kompost</t>
        </is>
      </c>
    </row>
    <row r="15897">
      <c r="A15897" t="inlineStr">
        <is>
          <t>Ouginak M 200</t>
        </is>
      </c>
      <c r="B15897">
        <f>HYPERLINK("https://www.dofusbook.net/fr/equipement/4260086-ouginak-m-200/objets", "link")</f>
        <v/>
      </c>
      <c r="C15897" t="n">
        <v>0</v>
      </c>
      <c r="D15897" t="inlineStr">
        <is>
          <t>Arc du Chalœil; Collier de Tourthon; Anneau de Brouce; Bague Gloursonne; Bouclier d'Ilyzaelle; Ceinture Volkorne; Masque de Koutoulou; Voile d'encre; Bottes de la Cour Sombre; Dofus Ocre; Dofus Vulbis; Dofus Pourpre; Vigoureux majeur; Enragé majeur; Carapace Terre majeur; Kompost</t>
        </is>
      </c>
    </row>
    <row r="15898">
      <c r="A15898" t="inlineStr">
        <is>
          <t>Enutrof M 200</t>
        </is>
      </c>
      <c r="B15898">
        <f>HYPERLINK("https://www.dofusbook.net/fr/equipement/4236920-enutrof-m-200/objets", "link")</f>
        <v/>
      </c>
      <c r="C15898" t="n">
        <v>0</v>
      </c>
      <c r="D15898" t="inlineStr">
        <is>
          <t>Lance Horselé; Collier du Valet Veinard; Alliance Gloursonne; Gant du Valet Veinard; Cadran de Terre; Menoture; Casque Volkorne; Cape du Kamasterisk; Baleinabottes; Dofus Vulbis; Dofus Ivoire; Carapace Feu majeur; Étourdisseur majeur; Carapace Air majeur; Cascadeur majeur; Koalak Sanguin</t>
        </is>
      </c>
    </row>
    <row r="15899">
      <c r="A15899" t="inlineStr">
        <is>
          <t>Eniripsa M 200</t>
        </is>
      </c>
      <c r="B15899">
        <f>HYPERLINK("https://www.dofusbook.net/fr/equipement/4236806-eniripsa-m-200/objets", "link")</f>
        <v/>
      </c>
      <c r="C15899" t="n">
        <v>4</v>
      </c>
      <c r="D15899" t="inlineStr">
        <is>
          <t>Arc corrompu; Pendentif mignon de Koutoulou; Bague Gloursonne; Anneau Rifique; Cadran de Terre; Ceinture de Vortex; Chapeau du Comte Razof; Cape de Nileza; Pataugastrique; Dofus Pourpre; Dofus Ocre; Dofus Ivoire; Érudit majeur; Carapace Feu majeur; Dragodinde Orchidée et Rousse</t>
        </is>
      </c>
    </row>
    <row r="15900">
      <c r="A15900" t="inlineStr">
        <is>
          <t>feu</t>
        </is>
      </c>
      <c r="B15900">
        <f>HYPERLINK("https://www.dofusbook.net/fr/equipement/4201901-feu/objets", "link")</f>
        <v/>
      </c>
      <c r="C15900" t="n">
        <v>3</v>
      </c>
      <c r="D15900" t="inlineStr">
        <is>
          <t>Arc corrompu; Amulette Volkorne; Anneau Rifique; Anneauræus; Bouclier du Stalak; Ceinture Volkorne; Heaume Oplate; Cape de Diondin; Bottes Innommables; Dokoko; Dofus Ivoire; Dofus Pourpre; Dofus Vulbis; Dofus Abyssal; Érudit majeur; Brûlih</t>
        </is>
      </c>
    </row>
    <row r="15901">
      <c r="A15901" t="inlineStr">
        <is>
          <t>sacri feu air</t>
        </is>
      </c>
      <c r="B15901">
        <f>HYPERLINK("https://www.dofusbook.net/fr/equipement/3109546-sacri-feu-air-/objets", "link")</f>
        <v/>
      </c>
      <c r="C15901" t="n">
        <v>2</v>
      </c>
      <c r="D15901" t="inlineStr">
        <is>
          <t>Marteau Phossile; Pendentif mignon de Koutoulou; Alliance Gloursonne; Anneau Rifique; Bouclier du Stalak; Ceinture de Vortex; Casque Cyclopéen; Voile d'encre; Sabots de Vortex; Dofus Abyssal; Dofus Ocre; Dofus Ivoire; Dofus des Glaces; Dofus Pourpre</t>
        </is>
      </c>
    </row>
    <row r="15902">
      <c r="A15902" t="inlineStr">
        <is>
          <t>eau resis roxx</t>
        </is>
      </c>
      <c r="B15902">
        <f>HYPERLINK("https://www.dofusbook.net/fr/equipement/1527120-eau-resis-roxx-/objets", "link")</f>
        <v/>
      </c>
      <c r="C15902" t="n">
        <v>6</v>
      </c>
      <c r="D15902" t="inlineStr">
        <is>
          <t>Dagoulinantes; Amulette du Sinistrofu; Alliance Gloursonne; Bracelet des Fonds marins; Bouclier du Stalak; Ceinture Glaciale; Capuche de l'Œil Attentif; Cape Solution; Bottes du Sinistrofu; Dofus Pourpre; Dofus Vulbis; Dofus des Glaces; Dofus Ivoire; Remueur; Chanceux majeur; Kanigloups</t>
        </is>
      </c>
    </row>
    <row r="15903">
      <c r="A15903" t="inlineStr">
        <is>
          <t>Sadida M 200</t>
        </is>
      </c>
      <c r="B15903">
        <f>HYPERLINK("https://www.dofusbook.net/fr/equipement/4134352-sadida-m-200/objets", "link")</f>
        <v/>
      </c>
      <c r="C15903" t="n">
        <v>2</v>
      </c>
      <c r="D15903" t="inlineStr">
        <is>
          <t>Sceptre du Roi Joueur; Amulette de l'Œil Attentif; Anneau Volkorne; Alliance Gloursonne; Bouclier Taverne; Ceinture Volkorne; Capuche de l'Œil Attentif; Cape de l'Œil Attentif; Sandales des Fonds marins; Dokoko; Dofus Abyssal; Dofus Pourpre; Dofus Ivoire; Dofus Vulbis; Dofus Ocre; Kanigloups</t>
        </is>
      </c>
    </row>
    <row r="15904">
      <c r="A15904" t="inlineStr">
        <is>
          <t>zeub</t>
        </is>
      </c>
      <c r="B15904">
        <f>HYPERLINK("https://www.dofusbook.net/fr/equipement/2098112-zeub/objets", "link")</f>
        <v/>
      </c>
      <c r="C15904" t="n">
        <v>3</v>
      </c>
      <c r="D15904" t="inlineStr">
        <is>
          <t>Hache Euvale; Amibou; Alliance Gloursonne; Bague Trithon; Bouclier précieux; Ceinture Luminescente; Masque d'Anerice; Cape d'Anerice; Pataugastrique; Dofus Émeraude; Nomade; Culbuteur majeur; Bousculeur majeur; Remueur; Miraculé majeur; Cube</t>
        </is>
      </c>
    </row>
    <row r="15905">
      <c r="A15905" t="inlineStr">
        <is>
          <t>Osamodas F 200</t>
        </is>
      </c>
      <c r="B15905">
        <f>HYPERLINK("https://www.dofusbook.net/fr/equipement/4079704-osamodas-f-200/objets", "link")</f>
        <v/>
      </c>
      <c r="C15905" t="n">
        <v>3</v>
      </c>
      <c r="D15905" t="inlineStr">
        <is>
          <t>Lance Horselé; Collier du Valet Veinard; Alliance Gloursonne; Gant du Valet Veinard; Cadran d'Air; Menoture; Chapeau de Tournoyé; Cape Indescriptible; Bottes du Katcheur; Dofus Ocre; Dofus Nébuleux; Dofus Ivoire; Dokoko; Cascadeur majeur</t>
        </is>
      </c>
    </row>
    <row r="15906">
      <c r="A15906" t="inlineStr">
        <is>
          <t>Sram F 200</t>
        </is>
      </c>
      <c r="B15906">
        <f>HYPERLINK("https://www.dofusbook.net/fr/equipement/4172583-sram-f-200/objets", "link")</f>
        <v/>
      </c>
      <c r="C15906" t="n">
        <v>3</v>
      </c>
      <c r="D15906" t="inlineStr">
        <is>
          <t>Arc de Koutoulou; Amulette d'Ilyzaelle; Anneau Volkorne; Alliance Gloursonne; Bouclier du Stalak; Ceinture Voldelor; Casque Volkorne; Chevelure de Tal Kasha; Pataugastrique; Dofus Pourpre; Dokoko; Dofus Ocre; Dofus Vulbis; Dofus Ivoire; Vigoureux majeur; Mini Wa</t>
        </is>
      </c>
    </row>
    <row r="15907">
      <c r="A15907" t="inlineStr">
        <is>
          <t>Eniripsa M 200</t>
        </is>
      </c>
      <c r="B15907">
        <f>HYPERLINK("https://www.dofusbook.net/fr/equipement/4116733-eniripsa-m-200/objets", "link")</f>
        <v/>
      </c>
      <c r="C15907" t="n">
        <v>1</v>
      </c>
      <c r="D15907" t="inlineStr">
        <is>
          <t>Arc de Koutoulou; Amulette d'Ilyzaelle; Alliance Gloursonne; Anneau Volkorne; Bouclier du Stalak; Ceinture du Barbétoal; Casque d'Ilyzaelle; Cape du Barbétoal; Pataugastrique; Dofus Ocre; Dofus Vulbis; Dofus Abyssal; Dofus Pourpre; Dofus Ivoire; Mini Wa</t>
        </is>
      </c>
    </row>
    <row r="15908">
      <c r="A15908" t="inlineStr">
        <is>
          <t>terre res</t>
        </is>
      </c>
      <c r="B15908">
        <f>HYPERLINK("https://www.dofusbook.net/fr/equipement/456627-terre-res/objets", "link")</f>
        <v/>
      </c>
      <c r="C15908" t="n">
        <v>3</v>
      </c>
      <c r="D15908" t="inlineStr">
        <is>
          <t>Marteau R'ture; Amulette Volkorne; Anneau Chevelu; Bague Gloursonne; Bouclier du Stalak; Ceinture Volkorne; Masque de Koutoulou; Cape au Logis; Sabots Minables; Dofus Ivoire; Dofus Émeraude; Dofus Pourpre; Dofus Abyssal; Vigoureux majeur; Enragé majeur; Bulbisou</t>
        </is>
      </c>
    </row>
    <row r="15909">
      <c r="A15909" t="inlineStr">
        <is>
          <t>Sadida F 200</t>
        </is>
      </c>
      <c r="B15909">
        <f>HYPERLINK("https://www.dofusbook.net/fr/equipement/4134509-sadida-f-200/objets", "link")</f>
        <v/>
      </c>
      <c r="C15909" t="n">
        <v>0</v>
      </c>
      <c r="D15909" t="inlineStr">
        <is>
          <t>Epée Gloursonne; Amulette du Strigide; Bague Gloursonne; Alliance Gloursonne; Bouclier du Stalak; Ceinture du Strigide; Capuche de l'Œil Putride; Cape de l'Œil Putride; Bottes du Strigide; Dofus Ocre; Dokoko; Dofus Ivoire; Dofus Turquoise; Dofus Pourpre; Dofus Vulbis</t>
        </is>
      </c>
    </row>
    <row r="15910">
      <c r="A15910" t="inlineStr">
        <is>
          <t>3ele no cc</t>
        </is>
      </c>
      <c r="B15910">
        <f>HYPERLINK("https://www.dofusbook.net/fr/equipement/456626-3ele-no-cc/objets", "link")</f>
        <v/>
      </c>
      <c r="C15910" t="n">
        <v>1</v>
      </c>
      <c r="D15910" t="inlineStr">
        <is>
          <t>Hache du Chalœil; Amulette du Strigide; Anneau Toriété; Bracelet du Piloztère; Bouclier du Stalak; Ceinture de l'Esprit Salvateur; Masque de l'Esprit Salvateur; Cape du Chalœil; Bottes de l'Esprit Salvateur; Dofus Pourpre; Dolmanax; Dofus des Glaces; Dofus Ocre; Dofus Ivoire; Robuste majeur; Kramkram</t>
        </is>
      </c>
    </row>
    <row r="15911">
      <c r="A15911" t="inlineStr">
        <is>
          <t>Ecaflip F 200</t>
        </is>
      </c>
      <c r="B15911">
        <f>HYPERLINK("https://www.dofusbook.net/fr/equipement/4167514-ecaflip-f-200/objets", "link")</f>
        <v/>
      </c>
      <c r="C15911" t="n">
        <v>1</v>
      </c>
      <c r="D15911" t="inlineStr">
        <is>
          <t>Dagoulinantes; Amulette de l'Œil Putride; Alliance Gloursonne; Anneau Volkorne; Bouclier du Stalak; Poulpagne; Capuche de l'Œil Attentif; Cape de l'Œil Putride; Pataugastrique; Dofus Abyssal; Dofus Ivoire; Dofus Pourpre; Nomade; Chanceux majeur</t>
        </is>
      </c>
    </row>
    <row r="15912">
      <c r="A15912" t="inlineStr">
        <is>
          <t>Sacrieur M 200</t>
        </is>
      </c>
      <c r="B15912">
        <f>HYPERLINK("https://www.dofusbook.net/fr/equipement/4155648-sacrieur-m-200/objets", "link")</f>
        <v/>
      </c>
      <c r="C15912" t="n">
        <v>1</v>
      </c>
      <c r="D15912" t="inlineStr">
        <is>
          <t>Arc corrompu; Amulette Volkorne; Anneau Tamie; Chevalière du Roi Joueur; Cadran de Terre; Ceinture Volkorne; Cape de Diondin; Bottes Innommables; Dofus Abyssal; Dofus Émeraude; Dofus Ivoire; Dofus Pourpre; Érudit majeur; Bisouglours</t>
        </is>
      </c>
    </row>
    <row r="15913">
      <c r="A15913" t="inlineStr">
        <is>
          <t>feu air</t>
        </is>
      </c>
      <c r="B15913">
        <f>HYPERLINK("https://www.dofusbook.net/fr/equipement/4155680-feu-air/objets", "link")</f>
        <v/>
      </c>
      <c r="C15913" t="n">
        <v>0</v>
      </c>
      <c r="D15913" t="inlineStr">
        <is>
          <t>Arc corrompu; Amulette Volkorne; Kralano; Anneau Rifique; Cadran de Terre; Ceinture de Vortex; Casque Volkorne; Cape Martegel; Pantoufles Émar; Dokoko; Dofus Abyssal; Dofus Émeraude; Dofus Ivoire; Dofus Ocre</t>
        </is>
      </c>
    </row>
    <row r="15914">
      <c r="A15914" t="inlineStr">
        <is>
          <t>air tank</t>
        </is>
      </c>
      <c r="B15914">
        <f>HYPERLINK("https://www.dofusbook.net/fr/equipement/2215702-air-tank/objets", "link")</f>
        <v/>
      </c>
      <c r="C15914" t="n">
        <v>4</v>
      </c>
      <c r="D15914" t="inlineStr">
        <is>
          <t>Collier du Valet Veinard; Alliance Gloursonne; Anneau Rifique; Détourné; Menoture; Casque Cyclopéen; Cape Indescriptible; Palmes Trithons; Dokoko; Dofus Ivoire; Dofus Pourpre; Dofus Abyssal; Remueur; Cascadeur majeur</t>
        </is>
      </c>
    </row>
    <row r="15915">
      <c r="A15915" t="inlineStr">
        <is>
          <t>Sadida F 200</t>
        </is>
      </c>
      <c r="B15915">
        <f>HYPERLINK("https://www.dofusbook.net/fr/equipement/4134540-sadida-f-200/objets", "link")</f>
        <v/>
      </c>
      <c r="C15915" t="n">
        <v>2</v>
      </c>
      <c r="D15915" t="inlineStr">
        <is>
          <t>Dagues de Srambad; Amulette du Strigide; Anneau Volkorne; Goulano; Bouclier Taverne; Ceinture Volkorne; Masque de Funespadon; Cape Luminescente; Chaussons de Macrab; Dofus des Glaces; Dofus Abyssal; Dofus Vulbis; Dofus Ocre; Dofus Pourpre; Dofus Ivoire; Fëanor</t>
        </is>
      </c>
    </row>
    <row r="15916">
      <c r="A15916" t="inlineStr">
        <is>
          <t>terre air</t>
        </is>
      </c>
      <c r="B15916">
        <f>HYPERLINK("https://www.dofusbook.net/fr/equipement/456622-terre-air-/objets", "link")</f>
        <v/>
      </c>
      <c r="C15916" t="n">
        <v>2</v>
      </c>
      <c r="D15916" t="inlineStr">
        <is>
          <t>Collier du Valet Veinard; Anneau des égarés; Gant du Valet Veinard; Bouclier d'Ilyzaelle; Menoture; Couronne d'Allister; Cape du Valet Veinard; Palmes Trithons; Dofus Pourpre; Dofus Vulbis; Dofus Ivoire; Dofus des Glaces; Dofus Abyssal; Dragoune Noire</t>
        </is>
      </c>
    </row>
    <row r="15917">
      <c r="A15917" t="inlineStr">
        <is>
          <t>Sacrieur F 200</t>
        </is>
      </c>
      <c r="B15917">
        <f>HYPERLINK("https://www.dofusbook.net/fr/equipement/4134378-sacrieur-f-200/objets", "link")</f>
        <v/>
      </c>
      <c r="C15917" t="n">
        <v>0</v>
      </c>
      <c r="D15917" t="inlineStr">
        <is>
          <t>Amulette Volkorne; Masque de l'Esprit Malsain</t>
        </is>
      </c>
    </row>
    <row r="15918">
      <c r="A15918" t="inlineStr">
        <is>
          <t>Féca M 200</t>
        </is>
      </c>
      <c r="B15918">
        <f>HYPERLINK("https://www.dofusbook.net/fr/equipement/4107977-feca-m-200/objets", "link")</f>
        <v/>
      </c>
      <c r="C15918" t="n">
        <v>1</v>
      </c>
      <c r="D15918" t="inlineStr">
        <is>
          <t>Amulette Volkorne; Anneau Rifique; Anneauræus; Cadran d'Air; Ceinture Séculaire; Heaume Oplate; Cape de Diondin; Chaussures Ardentes; Dofus Abyssal; Dokoko; Dofus Ivoire; Dofus Vulbis; Muraille Air majeure; Érudit majeur; Tiwabbit Kiafin</t>
        </is>
      </c>
    </row>
    <row r="15919">
      <c r="A15919" t="inlineStr">
        <is>
          <t>feu tank</t>
        </is>
      </c>
      <c r="B15919">
        <f>HYPERLINK("https://www.dofusbook.net/fr/equipement/3106806-feu-tank/objets", "link")</f>
        <v/>
      </c>
      <c r="C15919" t="n">
        <v>3</v>
      </c>
      <c r="D15919" t="inlineStr">
        <is>
          <t>Amulette de Nileza; Anneauræus; Bague Gloursonne; Bouclier du Stalak; Ceinture de Vortex; Heaume Oplate; Cape de Nileza; Bottes Innommables; Dofus Pourpre; Dofus Ivoire; Dofus Turquoise; Remueur; Érudit majeur; Muldo Orchidée et Pourpre</t>
        </is>
      </c>
    </row>
    <row r="15920">
      <c r="A15920" t="inlineStr">
        <is>
          <t>eni koli 200</t>
        </is>
      </c>
      <c r="B15920">
        <f>HYPERLINK("https://www.dofusbook.net/fr/equipement/2206587-eni-koli-200/objets", "link")</f>
        <v/>
      </c>
      <c r="C15920" t="n">
        <v>0</v>
      </c>
      <c r="D15920" t="inlineStr">
        <is>
          <t>Dagoulinantes; Amulette Voldelor; Bracelet des Fonds marins; Alliance Gloursonne; Cadran de Terre; Sangle Ouare; Kidibonnet; Cape du Sinistrofu; Bottes du Sinistrofu; Dofus Turquoise; Dofus Ocre; Dolmanax; Chanceux majeur; Étourdisseur majeur</t>
        </is>
      </c>
    </row>
    <row r="15921">
      <c r="A15921" t="inlineStr">
        <is>
          <t>nevark</t>
        </is>
      </c>
      <c r="B15921">
        <f>HYPERLINK("https://www.dofusbook.net/fr/equipement/1195692-nevark/objets", "link")</f>
        <v/>
      </c>
      <c r="C15921" t="n">
        <v>0</v>
      </c>
      <c r="D15921" t="inlineStr">
        <is>
          <t>Marteau Reine; Amulette de Nevark; Bracelet Ventré; Anneau de Brouce; Bouclier du Captain Amakna; Sangle de Sylargh; Coiffe de la Fuji Givrefoux; Cape de Nevark; Sabots Minables; Dofus Pourpre; Vigoureux majeur; Nomade; Robuste majeur; Enragé majeur; Remueur; Muldo Doré et Pourpre</t>
        </is>
      </c>
    </row>
    <row r="15922">
      <c r="A15922" t="inlineStr">
        <is>
          <t>feca</t>
        </is>
      </c>
      <c r="B15922">
        <f>HYPERLINK("https://www.dofusbook.net/fr/equipement/2042245-feca/objets", "link")</f>
        <v/>
      </c>
      <c r="C15922" t="n">
        <v>0</v>
      </c>
      <c r="D15922" t="inlineStr">
        <is>
          <t>Marteau R'ture; Collier de Tourthon; Anneau de Brouce; Anneau Chevelu; Bouclier du Captain Amakna; Ceinture Volkorne; Masque de Koutoulou; Cape au Logis; Bottes de la Cour Sombre; Dofus Émeraude; Dofus Pourpre; Dofus Ivoire; Dofus Ocre; Dofus Abyssal; Enragé majeur; Gupin</t>
        </is>
      </c>
    </row>
    <row r="15923">
      <c r="A15923" t="inlineStr">
        <is>
          <t>full feu</t>
        </is>
      </c>
      <c r="B15923">
        <f>HYPERLINK("https://www.dofusbook.net/fr/equipement/1411903-full-feu/objets", "link")</f>
        <v/>
      </c>
      <c r="C15923" t="n">
        <v>2</v>
      </c>
      <c r="D15923" t="inlineStr">
        <is>
          <t>Baguette Range; Amulette de l'Œil Putride; Gant du Valet Veinard; Anneau Rifique; Bouclier du Stalak; Ceinture de l'Esprit Malsain; Capuche de l'Œil Putride; Cape de l'Œil Putride; Bottes de l'Esprit Malsain; Dofus Ocre; Dofus Ivoire; Dofus Vulbis; Dofus Turquoise; Dofus Pourpre; Dofus Abyssal</t>
        </is>
      </c>
    </row>
    <row r="15924">
      <c r="A15924" t="inlineStr">
        <is>
          <t>strigi glour anerice</t>
        </is>
      </c>
      <c r="B15924">
        <f>HYPERLINK("https://www.dofusbook.net/fr/equipement/2219251-strigi-glour-anerice/objets", "link")</f>
        <v/>
      </c>
      <c r="C15924" t="n">
        <v>3</v>
      </c>
      <c r="D15924" t="inlineStr">
        <is>
          <t>Epée Gloursonne; Amulette du Strigide; Bague Gloursonne; Alliance Gloursonne; Bouclier du Stalak; Ceinture du Strigide; Boucle d'oreille de Kongoku; Cape de Kongoku; Bottes du Strigide; Dofus Pourpre; Dofus des Glaces; Dofus Vulbis; Dofus Nébuleux; Dolmanax; Dofus Ocre; Chacha Angora</t>
        </is>
      </c>
    </row>
    <row r="15925">
      <c r="A15925" t="inlineStr">
        <is>
          <t>Stuff 2</t>
        </is>
      </c>
      <c r="B15925">
        <f>HYPERLINK("https://www.dofusbook.net/fr/equipement/456628-stuff-2/objets", "link")</f>
        <v/>
      </c>
      <c r="C15925" t="n">
        <v>1</v>
      </c>
      <c r="D15925" t="inlineStr">
        <is>
          <t>Arc du Chalœil; Collier de Tourthon; Anneau Crustique; Anneau Chevelu; Ceinture de la Reine des Voleurs; Masque de Koutoulou; Voile d'encre; Bottes de la Cour Sombre; Dofus Turquoise; Dofus Émeraude; Dofus Pourpre; Enragé majeur; Remueur; Dragodinde en armure</t>
        </is>
      </c>
    </row>
    <row r="15926">
      <c r="A15926" t="inlineStr">
        <is>
          <t>Ouginak M 200</t>
        </is>
      </c>
      <c r="B15926">
        <f>HYPERLINK("https://www.dofusbook.net/fr/equipement/4072219-ouginak-m-200/objets", "link")</f>
        <v/>
      </c>
      <c r="C15926" t="n">
        <v>2</v>
      </c>
      <c r="D15926" t="inlineStr">
        <is>
          <t>Epée Loponèze; Collier du Valet Veinard; Gant du Valet Veinard; Anneau du Cycloïde; Détourné; Ceinture Volkorne; Casque Volkorne; Cape du Valet Veinard; Palmes Trithons; Dofus Pourpre; Dofus Ivoire; Dofus Vulbis; Dofus Ocre; Dokoko; Dofus Abyssal</t>
        </is>
      </c>
    </row>
    <row r="15927">
      <c r="A15927" t="inlineStr">
        <is>
          <t>Ouginak M 200</t>
        </is>
      </c>
      <c r="B15927">
        <f>HYPERLINK("https://www.dofusbook.net/fr/equipement/4072084-ouginak-m-200/objets", "link")</f>
        <v/>
      </c>
      <c r="C15927" t="n">
        <v>1</v>
      </c>
      <c r="D15927" t="inlineStr">
        <is>
          <t>Lav'Hache; Amulette du Kamasterisk; Chevalière du Roi Joueur; Anneau de Brouce; Bouclier d'Ilyzaelle; Ceinture de la Reine des Voleurs; Coiffe de la Reine des Voleurs; Cape au Logis; Bottes de la Reine des Voleurs; Dofus Ocre; Dokoko; Dofus Abyssal; Dofus Pourpre; Dofus Ivoire</t>
        </is>
      </c>
    </row>
    <row r="15928">
      <c r="A15928" t="inlineStr">
        <is>
          <t>Crâ M 200</t>
        </is>
      </c>
      <c r="B15928">
        <f>HYPERLINK("https://www.dofusbook.net/fr/equipement/4011783-cra-m-200/objets", "link")</f>
        <v/>
      </c>
      <c r="C15928" t="n">
        <v>6</v>
      </c>
      <c r="D15928" t="inlineStr">
        <is>
          <t>Arc du Chalœil; Collier de Tourthon; Baguistik; Anneau Chevelu; Bouclier du Stalak; Ceinture Volkorne; Masque de Koutoulou; Cape au Logis; Bottes du Cœur Saignant; Dofus Pourpre; Dofus Turquoise; Dofus Ocre; Dofus Ivoire; Dofus Nébuleux; Enragé majeur; Bulbisou</t>
        </is>
      </c>
    </row>
    <row r="15929">
      <c r="A15929" t="inlineStr">
        <is>
          <t>feca ecache</t>
        </is>
      </c>
      <c r="B15929">
        <f>HYPERLINK("https://www.dofusbook.net/fr/equipement/670948-feca-ecache/objets", "link")</f>
        <v/>
      </c>
      <c r="C15929" t="n">
        <v>4</v>
      </c>
      <c r="D15929" t="inlineStr">
        <is>
          <t>Lav'Hache; Amulette du Strigide; Anneau Chevelu; Anneau Crustique; Sept ans de malheur; Ceintouse; Masque de Koutoulou; Cape au Logis; Tentassons; Dofus Ivoire; Dofus Pourpre; Dofus Émeraude; Dofus Ocre; Enragé majeur; Étourdisseur majeur</t>
        </is>
      </c>
    </row>
    <row r="15930">
      <c r="A15930" t="inlineStr">
        <is>
          <t>Zobal M 200</t>
        </is>
      </c>
      <c r="B15930">
        <f>HYPERLINK("https://www.dofusbook.net/fr/equipement/4011712-zobal-m-200/objets", "link")</f>
        <v/>
      </c>
      <c r="C15930" t="n">
        <v>1</v>
      </c>
      <c r="D15930" t="inlineStr">
        <is>
          <t>Baguette Héroclite; Amulette du Sinistrofu; Bague Trithon; Alliance Gloursonne; Bouclier précieux; Sangle Ouare; Masque des Fonds marins; Cape Solution; Bottes Owesli; Dofus Abyssal; Dofus Ocre; Dofus Ivoire; Chanceux majeur; Culbuteur majeur; Bousculeur majeur; Écumouth</t>
        </is>
      </c>
    </row>
    <row r="15931">
      <c r="A15931" t="inlineStr">
        <is>
          <t>Sram M 200</t>
        </is>
      </c>
      <c r="B15931">
        <f>HYPERLINK("https://www.dofusbook.net/fr/equipement/4011401-sram-m-200/objets", "link")</f>
        <v/>
      </c>
      <c r="C15931" t="n">
        <v>5</v>
      </c>
      <c r="D15931" t="inlineStr">
        <is>
          <t>Dagues d'Ilyzaelle; Amulette du Cœur Saignant; Anneau Crustique; Anneau Crustique; Bouclier du Captain Amakna; Ceinture de la Cour Sombre; Masque de Funespadon; Cape de la Cour Sombre; Bottes de la Cour Sombre; Dofus Turquoise; Dofus Vulbis; Dofus Nébuleux; Dofus Ivoire; Dofus Pourpre; Dofus Ocre; Pioute vert</t>
        </is>
      </c>
    </row>
    <row r="15932">
      <c r="A15932" t="inlineStr">
        <is>
          <t>Ecaflip F 200</t>
        </is>
      </c>
      <c r="B15932">
        <f>HYPERLINK("https://www.dofusbook.net/fr/equipement/3963245-ecaflip-f-200/objets", "link")</f>
        <v/>
      </c>
      <c r="C15932" t="n">
        <v>4</v>
      </c>
      <c r="D15932" t="inlineStr">
        <is>
          <t>Pyraguette; Amulette du Strigide; Anneau Volkorne; Alliance Gloursonne; Bouclier du Stalak; Ceinture Voldelor; Casque d'Ilyzaelle; Cape Solution; Bottes du Strigide; Dofus Nébuleux; Dofus Abyssal; Dofus Pourpre; Dofus Ivoire; Remueur; Nomade; Pioute bleu</t>
        </is>
      </c>
    </row>
    <row r="15933">
      <c r="A15933" t="inlineStr">
        <is>
          <t>Féca M 200</t>
        </is>
      </c>
      <c r="B15933">
        <f>HYPERLINK("https://www.dofusbook.net/fr/equipement/3481818-feca-m-200/objets", "link")</f>
        <v/>
      </c>
      <c r="C15933" t="n">
        <v>0</v>
      </c>
      <c r="D15933" t="inlineStr"/>
    </row>
    <row r="15934">
      <c r="A15934" t="inlineStr">
        <is>
          <t>iop105</t>
        </is>
      </c>
      <c r="B15934">
        <f>HYPERLINK("https://www.dofusbook.net/fr/equipement/1905927-iop105/objets", "link")</f>
        <v/>
      </c>
      <c r="C15934" t="n">
        <v>0</v>
      </c>
      <c r="D15934" t="inlineStr">
        <is>
          <t>Bâton Beau; Amulette Héroclite; Anneau Nobstant; Anneau du Père Fwetar; Quatre-feuilles; Ceinture du Père Fwetar; Casque de Missiz Frizz; Cape Peupret; Pantoufles Émar; Dofus Pourpre; Érudit majeur; Vigoureux majeur; Remueur; Enragé majeur; Nomade; Muldo Prune et Doré</t>
        </is>
      </c>
    </row>
    <row r="15935">
      <c r="A15935" t="inlineStr">
        <is>
          <t>cra multi</t>
        </is>
      </c>
      <c r="B15935">
        <f>HYPERLINK("https://www.dofusbook.net/fr/equipement/3079991-cra-multi/objets", "link")</f>
        <v/>
      </c>
      <c r="C15935" t="n">
        <v>1</v>
      </c>
      <c r="D15935" t="inlineStr">
        <is>
          <t>Dagues du Dragoeuf; Racine Hueuse; Bague Gloursonne; Anneau Chevelu; Quatre-feuilles; Ceinture du Père Fwetar; Chapeau Lisson; Voile d'encre; Bottes du Père Fwetar; Dofus Turquoise; Dofus Pourpre; Nomade; Remueur; Enragé majeur; Vigoureux majeur; Muldo Prune et Emeraude</t>
        </is>
      </c>
    </row>
    <row r="15936">
      <c r="A15936" t="inlineStr">
        <is>
          <t>cra multi</t>
        </is>
      </c>
      <c r="B15936">
        <f>HYPERLINK("https://www.dofusbook.net/fr/equipement/1838348-cra-multi/objets", "link")</f>
        <v/>
      </c>
      <c r="C15936" t="n">
        <v>0</v>
      </c>
      <c r="D15936" t="inlineStr">
        <is>
          <t>Marteau R'ture; Amulette du Strigide; Anneau Crustique; Anneau de Brouce; Bouclier du Captain Amakna; Ceinture Gence; Masque de Koutoulou; Cape de la Cour Sombre; Bottes de la Cour Sombre; Dofus Nébuleux; Dofus Ocre; Dofus Pourpre; Dofus Ivoire; Nomade; Enragé majeur; Kompost</t>
        </is>
      </c>
    </row>
    <row r="15937">
      <c r="A15937" t="inlineStr">
        <is>
          <t>panda eau feu</t>
        </is>
      </c>
      <c r="B15937">
        <f>HYPERLINK("https://www.dofusbook.net/fr/equipement/968277-panda-eau-feu/objets", "link")</f>
        <v/>
      </c>
      <c r="C15937" t="n">
        <v>0</v>
      </c>
      <c r="D15937" t="inlineStr">
        <is>
          <t>Hache du Chalœil; Amulette du Strigide; Anneau Toriété; Bracelet du Piloztère; Quatre-feuilles; Ceinture de l'Esprit Salvateur; Casque du Chalœil; Cape du Chalœil; Bottes Honyme; Dofus Pourpre; Dofus Ivoire; Dofus Turquoise; Remueur; Vigoureux majeur; Chanceux majeur; Muldo Indigo et Orchidée</t>
        </is>
      </c>
    </row>
    <row r="15938">
      <c r="A15938" t="inlineStr">
        <is>
          <t>iop terre</t>
        </is>
      </c>
      <c r="B15938">
        <f>HYPERLINK("https://www.dofusbook.net/fr/equipement/1935068-iop-terre/objets", "link")</f>
        <v/>
      </c>
      <c r="C15938" t="n">
        <v>0</v>
      </c>
      <c r="D15938" t="inlineStr">
        <is>
          <t>Marteau R'ture; Amulette du Strigide; Anneau Chevelu; Bague Gloursonne; Bouclier du Captain Amakna; Ceinture Gence; Masque de Koutoulou; Cape au Logis; Bottes du Strigide; Dofus Nébuleux; Dofus Abyssal; Dofus Pourpre; Dofus Ivoire; Dofus Turquoise; Enragé majeur</t>
        </is>
      </c>
    </row>
    <row r="15939">
      <c r="A15939" t="inlineStr">
        <is>
          <t>eca terre dopou</t>
        </is>
      </c>
      <c r="B15939">
        <f>HYPERLINK("https://www.dofusbook.net/fr/equipement/3080834-eca-terre-dopou/objets", "link")</f>
        <v/>
      </c>
      <c r="C15939" t="n">
        <v>0</v>
      </c>
      <c r="D15939" t="inlineStr">
        <is>
          <t>Héqache; Torquistik; Anneau Chevelu; Bague Trithon; Goulclier; Ceinture Gence; Casque Dragoeuf; Cape du Cœur Vaillant; Bottistik; Dokoko; Dofus Ivoire; Dofus Abyssal; Remueur; Culbuteur majeur; Culbuteur majeur; Muldo Indigo et Pourpre</t>
        </is>
      </c>
    </row>
    <row r="15940">
      <c r="A15940" t="inlineStr">
        <is>
          <t>ougi air</t>
        </is>
      </c>
      <c r="B15940">
        <f>HYPERLINK("https://www.dofusbook.net/fr/equipement/3062554-ougi-air/objets", "link")</f>
        <v/>
      </c>
      <c r="C15940" t="n">
        <v>3</v>
      </c>
      <c r="D15940" t="inlineStr">
        <is>
          <t>Pelle de la Cour Sombre; Collier du Valet Veinard; Gant du Valet Veinard; Alliance Gloursonne; Bouclier d'Ilyzaelle; Menoture; Dorabysses; Cape Indescriptible; Palmes Trithons; Dofus Émeraude; Dofus Ivoire; Dofus Pourpre; Dofus Abyssal; Remueur; Cascadeur majeur</t>
        </is>
      </c>
    </row>
    <row r="15941">
      <c r="A15941" t="inlineStr">
        <is>
          <t>cra feu air</t>
        </is>
      </c>
      <c r="B15941">
        <f>HYPERLINK("https://www.dofusbook.net/fr/equipement/2941203-cra-feu-air/objets", "link")</f>
        <v/>
      </c>
      <c r="C15941" t="n">
        <v>1</v>
      </c>
      <c r="D15941" t="inlineStr">
        <is>
          <t>Baguette Hernelle; Frimamulette; Gelano; Anneau de Padgref; Quatre-feuilles; Ceinture du Glourséleste; Coiffe de Padgref; Cape Hiculteur; Pantoufles Émar; Remueur; Cascadeur majeur; Nomade; Vigoureux majeur; Vigoureux; Érudit majeur; Muldo Prune et Emeraude</t>
        </is>
      </c>
    </row>
    <row r="15942">
      <c r="A15942" t="inlineStr">
        <is>
          <t>iop terre</t>
        </is>
      </c>
      <c r="B15942">
        <f>HYPERLINK("https://www.dofusbook.net/fr/equipement/2952312-iop-terre/objets", "link")</f>
        <v/>
      </c>
      <c r="C15942" t="n">
        <v>0</v>
      </c>
      <c r="D15942" t="inlineStr">
        <is>
          <t>Bêche Asse; Amulette Héroclite; Anneau du Meulou; Anneau de Brouce; Bouclier Taverne; Ceinture de Brouce; Casque de Missiz Frizz; Cape au Logis; Sabots Minables; Nomade; Enragé majeur; Furibond majeur; Vigoureux majeur; Remueur; Robuste majeur; Kompost</t>
        </is>
      </c>
    </row>
    <row r="15943">
      <c r="A15943" t="inlineStr">
        <is>
          <t>cra105</t>
        </is>
      </c>
      <c r="B15943">
        <f>HYPERLINK("https://www.dofusbook.net/fr/equipement/1905928-cra105/objets", "link")</f>
        <v/>
      </c>
      <c r="C15943" t="n">
        <v>0</v>
      </c>
      <c r="D15943" t="inlineStr">
        <is>
          <t>Bâton Beau; Racine Hueuse; Anneau Nobstant; Gelano; Cadran de Terre; Ceinture du Père Fwetar; Casque de Missiz Frizz; Cape Peupret; Bottes du Père Fwetar; Dofus Pourpre; Remueur; Enragé majeur; Nomade; Érudit majeur; Vigoureux majeur; Muldo Prune et Doré</t>
        </is>
      </c>
    </row>
    <row r="15944">
      <c r="A15944" t="inlineStr">
        <is>
          <t>enu105</t>
        </is>
      </c>
      <c r="B15944">
        <f>HYPERLINK("https://www.dofusbook.net/fr/equipement/1905926-enu105/objets", "link")</f>
        <v/>
      </c>
      <c r="C15944" t="n">
        <v>1</v>
      </c>
      <c r="D15944" t="inlineStr">
        <is>
          <t>Baguette Hique; Amulette du Glourséleste; Pikano; Bouclier cubiste; Ceinture Glaciale; Coiffe d'Ogivol; Cape Matelassée; Pikottes; Nomade; Temporiseur majeur; Entraveur majeur; Temporiseur; Remueur; Érudit majeur; Dragodinde Prune et Indigo</t>
        </is>
      </c>
    </row>
    <row r="15945">
      <c r="A15945" t="inlineStr">
        <is>
          <t>eni105</t>
        </is>
      </c>
      <c r="B15945">
        <f>HYPERLINK("https://www.dofusbook.net/fr/equipement/1905930-eni105/objets", "link")</f>
        <v/>
      </c>
      <c r="C15945" t="n">
        <v>0</v>
      </c>
      <c r="D15945" t="inlineStr">
        <is>
          <t>La Baguette des Limbes; Amulette d'Otomaï; Anneau Tamie; Gelano; Bouclier du Mont Kipou; Ceinture du Tengu Givrefoux; Chapeau Lochon; Cape de Nileza; Bottes d'Otomaï; Remueur; Savant majeur; Nomade; Vigoureux majeur; Astucieux majeur; Érudit majeur; Dragodinde Prune et Orchidée</t>
        </is>
      </c>
    </row>
    <row r="15946">
      <c r="A15946" t="inlineStr">
        <is>
          <t>air 160</t>
        </is>
      </c>
      <c r="B15946">
        <f>HYPERLINK("https://www.dofusbook.net/fr/equipement/2952046-air-160/objets", "link")</f>
        <v/>
      </c>
      <c r="C15946" t="n">
        <v>0</v>
      </c>
      <c r="D15946" t="inlineStr">
        <is>
          <t>Hache du Guerrier Zoth; Amulette de l'Orfélin; Sceau Souverain du Roissingue; Gelano; Bouclier Taverne; Ceinture de l'Orfélin; Masque du Frelon Noir; Cape Itaineflam; Sandales Titude; Remueur; Cascadeur majeur; Nomade; Vigoureux majeur; Acrobate majeur; Siroko</t>
        </is>
      </c>
    </row>
    <row r="15947">
      <c r="A15947" t="inlineStr">
        <is>
          <t>terre air 200</t>
        </is>
      </c>
      <c r="B15947">
        <f>HYPERLINK("https://www.dofusbook.net/fr/equipement/2248412-terre-air-200/objets", "link")</f>
        <v/>
      </c>
      <c r="C15947" t="n">
        <v>1</v>
      </c>
      <c r="D15947" t="inlineStr">
        <is>
          <t>Marteau R'ture; Amulette du Strigide; Anneau Crustique; Anneau Crustique; Bouclier du Captain Amakna; Ceinture du Strigide; Masque de Koutoulou; Cape du Cœur Saignant; Bottes du Cœur Saignant; Dofus Ocre; Dofus Pourpre; Dofus Nébuleux; Dofus Turquoise</t>
        </is>
      </c>
    </row>
    <row r="15948">
      <c r="A15948" t="inlineStr">
        <is>
          <t>air 12pa</t>
        </is>
      </c>
      <c r="B15948">
        <f>HYPERLINK("https://www.dofusbook.net/fr/equipement/2247841-air-12pa/objets", "link")</f>
        <v/>
      </c>
      <c r="C15948" t="n">
        <v>1</v>
      </c>
      <c r="D15948" t="inlineStr">
        <is>
          <t>Manthache; Collier du Valet Veinard; Alliance Gloursonne; Gant du Valet Veinard; Bouclier du Stalak; Ceinture de la Reine des Voleurs; Coiffe de la Reine des Voleurs; Cape du Valet Veinard; Bottes de la Reine des Voleurs; Dofus Ocre; Dofus des Glaces; Dofus Pourpre; Dofus Abyssal; Robuste majeur; Muldo Ebène et Orchidée</t>
        </is>
      </c>
    </row>
    <row r="15949">
      <c r="A15949" t="inlineStr">
        <is>
          <t>enu ret pm</t>
        </is>
      </c>
      <c r="B15949">
        <f>HYPERLINK("https://www.dofusbook.net/fr/equipement/899252-enu-ret-pm-/objets", "link")</f>
        <v/>
      </c>
      <c r="C15949" t="n">
        <v>0</v>
      </c>
      <c r="D15949" t="inlineStr">
        <is>
          <t>Baguette Hique; Collier de la Dame du Hasard; Pikano; Anneau Tamie; Bouclier cubiste; Ceinture du Glourséleste; Casquipik; Cape de Meno; Pataugastrique; Remueur; Temporiseur majeur; Ralentisseur majeur; Entraveur majeur; Nomade; Chanceux majeur; Muldo Indigo et Pourpre</t>
        </is>
      </c>
    </row>
    <row r="15950">
      <c r="A15950" t="inlineStr">
        <is>
          <t>feu eau</t>
        </is>
      </c>
      <c r="B15950">
        <f>HYPERLINK("https://www.dofusbook.net/fr/equipement/1873373-feu-eau/objets", "link")</f>
        <v/>
      </c>
      <c r="C15950" t="n">
        <v>0</v>
      </c>
      <c r="D15950" t="inlineStr">
        <is>
          <t>Arc Nécrotique; Collier de la Dame du Hasard; Alliance Gloursonne; Bracelet du Piloztère; Quatre-feuilles; Ceintrigue; Kidibonnet; Cape de Meno; Bottes de Meno; Dofus Pourpre; Dofus Turquoise; Nomade; Vigoureux majeur; Remueur; Chanceux majeur; Kramkram</t>
        </is>
      </c>
    </row>
    <row r="15951">
      <c r="A15951" t="inlineStr">
        <is>
          <t>eni eau air rret</t>
        </is>
      </c>
      <c r="B15951">
        <f>HYPERLINK("https://www.dofusbook.net/fr/equipement/2120692-eni-eau-air-rret/objets", "link")</f>
        <v/>
      </c>
      <c r="C15951" t="n">
        <v>1</v>
      </c>
      <c r="D15951" t="inlineStr">
        <is>
          <t>Arc de Koutoulou; Amulette Voldelor; Bracelet des Fonds marins; Alliance Gloursonne; Ceintacé; Masque du Barbétoal; Chevelure de Tal Kasha; Sandales de Tal Kasha</t>
        </is>
      </c>
    </row>
    <row r="15952">
      <c r="A15952" t="inlineStr">
        <is>
          <t>air no cc</t>
        </is>
      </c>
      <c r="B15952">
        <f>HYPERLINK("https://www.dofusbook.net/fr/equipement/2103343-air-no-cc/objets", "link")</f>
        <v/>
      </c>
      <c r="C15952" t="n">
        <v>0</v>
      </c>
      <c r="D15952" t="inlineStr">
        <is>
          <t>Arc Ahique; Collier du Valet Veinard; Gant du Valet Veinard; Alliance Gloursonne; Bouclier du Stalak; Ceinture de la Reine des Voleurs; Coiffe de la Reine des Voleurs; Cape du Valet Veinard; Bottes de la Reine des Voleurs; Dofus Ocre; Dofus Abyssal; Dofus des Glaces; Dofus Pourpre; Dofus Nébuleux</t>
        </is>
      </c>
    </row>
    <row r="15953">
      <c r="A15953" t="inlineStr">
        <is>
          <t>iop nevark</t>
        </is>
      </c>
      <c r="B15953">
        <f>HYPERLINK("https://www.dofusbook.net/fr/equipement/2004733-iop-nevark/objets", "link")</f>
        <v/>
      </c>
      <c r="C15953" t="n">
        <v>0</v>
      </c>
      <c r="D15953" t="inlineStr">
        <is>
          <t>Héqache; Torquistik; Bague Instable; Anneau Chevelu; Bouclier précieux; Ceinture Luminescente; Masque de Koutoulou; Voile d'encre; Bottistik; Dofus Ocre; Bousculeur majeur; Culbuteur majeur; Carapace Eau majeur; Carapace Terre majeur; Muldo Indigo et Pourpre</t>
        </is>
      </c>
    </row>
    <row r="15954">
      <c r="A15954" t="inlineStr">
        <is>
          <t>resis cc</t>
        </is>
      </c>
      <c r="B15954">
        <f>HYPERLINK("https://www.dofusbook.net/fr/equipement/2092218-resis-cc/objets", "link")</f>
        <v/>
      </c>
      <c r="C15954" t="n">
        <v>0</v>
      </c>
      <c r="D15954" t="inlineStr">
        <is>
          <t>Lance corrompue; Amulette du Kamasterisk; Goulano; Baguistik; Goulclier; Ceinture de Kongoku; Boucle d'oreille de Kongoku; Cape de Kongoku; Goulbottes; Dofus Pourpre; Dofus Ocre; Dolmanax; Dofus des Glaces; Muldo Ebène et Pourpre</t>
        </is>
      </c>
    </row>
    <row r="15955">
      <c r="A15955" t="inlineStr">
        <is>
          <t>EAu air</t>
        </is>
      </c>
      <c r="B15955">
        <f>HYPERLINK("https://www.dofusbook.net/fr/equipement/1873415-eau-air/objets", "link")</f>
        <v/>
      </c>
      <c r="C15955" t="n">
        <v>0</v>
      </c>
      <c r="D15955" t="inlineStr">
        <is>
          <t>Arc de Koutoulou; Amulette Voldelor; Alliance Gloursonne; Alliance Brûlâme; Quatre-feuilles; Ceintacé; Masque du Barbétoal; Chevelure de Tal Kasha; Bottes Voldelor; Dofus Turquoise; Dofus Nébuleux; Dofus Pourpre; Vigoureux majeur; Remueur; Nomade; Muldo Prune et Ebène</t>
        </is>
      </c>
    </row>
    <row r="15956">
      <c r="A15956" t="inlineStr">
        <is>
          <t>iop 12</t>
        </is>
      </c>
      <c r="B15956">
        <f>HYPERLINK("https://www.dofusbook.net/fr/equipement/1860619-iop-12/objets", "link")</f>
        <v/>
      </c>
      <c r="C15956" t="n">
        <v>0</v>
      </c>
      <c r="D15956" t="inlineStr">
        <is>
          <t>Héqache; Amulette du Strigide; Bague Gloursonne; Bouclier du Captain Amakna; Voile d'encre; Bottes du Strigide; Dofus Turquoise; Dofus Pourpre; Dofus Ocre; Muldo Prune et Emeraude</t>
        </is>
      </c>
    </row>
    <row r="15957">
      <c r="A15957" t="inlineStr">
        <is>
          <t>cra multi terre</t>
        </is>
      </c>
      <c r="B15957">
        <f>HYPERLINK("https://www.dofusbook.net/fr/equipement/2025522-cra-multi-terre/objets", "link")</f>
        <v/>
      </c>
      <c r="C15957" t="n">
        <v>0</v>
      </c>
      <c r="D15957" t="inlineStr">
        <is>
          <t>Sabres d'Atcham; Amulette du Strigide; Alliance Gloursonne; Anneau de Padgref; Quatre-feuilles; Ceinture du Strigide; Coiffe de Padgref; Cape d'Atcham; Sandales  d'Atcham; Dofus Pourpre; Dofus des Glaces; Dofus Turquoise; Dolmanax; Dofus Ocre; Muldo Prune et Emeraude</t>
        </is>
      </c>
    </row>
    <row r="15958">
      <c r="A15958" t="inlineStr">
        <is>
          <t>multi no cc</t>
        </is>
      </c>
      <c r="B15958">
        <f>HYPERLINK("https://www.dofusbook.net/fr/equipement/2021598-multi-no-cc/objets", "link")</f>
        <v/>
      </c>
      <c r="C15958" t="n">
        <v>0</v>
      </c>
      <c r="D15958" t="inlineStr">
        <is>
          <t>Epée Gloursonne; Amulette de Pol Ouatnos; Bague Gloursonne; Alliance Gloursonne; Bouclier du Stalak; Ceinture de l'Esprit Salvateur; Masque de l'Esprit Salvateur; Cape du Chalœil; Bottes de l'Esprit Salvateur; Dofus Ocre; Dolmanax; Dofus Pourpre; Dofus des Glaces; Robuste majeur; Kramkram</t>
        </is>
      </c>
    </row>
    <row r="15959">
      <c r="A15959" t="inlineStr">
        <is>
          <t>iop terre air do pou</t>
        </is>
      </c>
      <c r="B15959">
        <f>HYPERLINK("https://www.dofusbook.net/fr/equipement/2016620-iop-terre-air-do-pou/objets", "link")</f>
        <v/>
      </c>
      <c r="C15959" t="n">
        <v>0</v>
      </c>
      <c r="D15959" t="inlineStr">
        <is>
          <t>Lance corrompue; Amulette du Cœur Vaillant; Anneau Chevelu; Anneau des égarés; Bouclier alvéolé; Ceinture de l'Esprit Salvateur; Masque de Koutoulou; Cape du Kamasterisk; Bottes du Cœur Vaillant; Dofus Ocre; Dofus des Glaces; Dofus Pourpre; Enragé majeur; Nomade; Culbuteur majeur</t>
        </is>
      </c>
    </row>
    <row r="15960">
      <c r="A15960" t="inlineStr">
        <is>
          <t>elio air</t>
        </is>
      </c>
      <c r="B15960">
        <f>HYPERLINK("https://www.dofusbook.net/fr/equipement/2008703-elio-air/objets", "link")</f>
        <v/>
      </c>
      <c r="C15960" t="n">
        <v>0</v>
      </c>
      <c r="D15960" t="inlineStr">
        <is>
          <t>Pelle de la Cour Sombre; Collier du Valet Veinard; Gant du Valet Veinard; Alliance Gloursonne; Cadran d'Air; Menoture; Dorabysses; Cape Indescriptible; Palmes Trithons; Dofus Pourpre; Equilibriste majeur; Cascadeur majeur; Remueur; Vigoureux majeur; Nomade; Siroko</t>
        </is>
      </c>
    </row>
    <row r="15961">
      <c r="A15961" t="inlineStr">
        <is>
          <t>eaufeuterre</t>
        </is>
      </c>
      <c r="B15961">
        <f>HYPERLINK("https://www.dofusbook.net/fr/equipement/1859638-eaufeuterre/objets", "link")</f>
        <v/>
      </c>
      <c r="C15961" t="n">
        <v>5</v>
      </c>
      <c r="D15961" t="inlineStr">
        <is>
          <t>Hache du Chalœil; Amulette du Strigide; Alliance Gloursonne; Bracelet du Piloztère; Quatre-feuilles; Ceintacé; Casque du Chalœil; Cape du Chalœil; Bottes Honyme; Dolmanax; Dofus des Glaces; Dofus Pourpre; Dofus Nébuleux; Dofus Ocre; Muldo Prune et Emeraude</t>
        </is>
      </c>
    </row>
    <row r="15962">
      <c r="A15962" t="inlineStr">
        <is>
          <t>enusoin</t>
        </is>
      </c>
      <c r="B15962">
        <f>HYPERLINK("https://www.dofusbook.net/fr/equipement/1859295-enusoin/objets", "link")</f>
        <v/>
      </c>
      <c r="C15962" t="n">
        <v>1</v>
      </c>
      <c r="D15962" t="inlineStr">
        <is>
          <t>Arc Hétype; Amulette du Glourséleste; Anneau Tamie; Pikano; Bouclier cubiste; Ceinture Instable; Kidibonnet; Cape de Meno; Bottes de Meno; Temporiseur majeur; Remueur; Entraveur majeur; Muldo Ebène et Orchidée</t>
        </is>
      </c>
    </row>
    <row r="15963">
      <c r="A15963" t="inlineStr">
        <is>
          <t>enu feu</t>
        </is>
      </c>
      <c r="B15963">
        <f>HYPERLINK("https://www.dofusbook.net/fr/equipement/1873460-enu-feu/objets", "link")</f>
        <v/>
      </c>
      <c r="C15963" t="n">
        <v>0</v>
      </c>
      <c r="D15963" t="inlineStr">
        <is>
          <t>Arc corrompu; Amulette d'Otomaï; Anneau Tamie; Bague Gloursonne; Bouclier du Cycloïde; Ceinture Séculaire; Coiffe Séculaire; Cape de Diondin; Bottes de Meno; Dofus Turquoise; Nomade; Érudit majeur; Astucieux majeur; Remueur; Guérisseur majeur; Muldo Orchidée et Pourpre</t>
        </is>
      </c>
    </row>
    <row r="15964">
      <c r="A15964" t="inlineStr">
        <is>
          <t>panda eau</t>
        </is>
      </c>
      <c r="B15964">
        <f>HYPERLINK("https://www.dofusbook.net/fr/equipement/883467-panda-eau/objets", "link")</f>
        <v/>
      </c>
      <c r="C15964" t="n">
        <v>0</v>
      </c>
      <c r="D15964" t="inlineStr">
        <is>
          <t>Sabres d'Atcham; Amulette du Strigide; Anneau de Padgref; Alliance Gloursonne; Quatre-feuilles; Ceinture du Strigide; Coiffe de Padgref; Cape d'Atcham; Getas de Padgref; Dofus Ocre; Dofus Turquoise; Dofus Pourpre; Puissant majeur; Joueur majeur; Muldo Prune et Emeraude</t>
        </is>
      </c>
    </row>
    <row r="15965">
      <c r="A15965" t="inlineStr">
        <is>
          <t>feca cancer</t>
        </is>
      </c>
      <c r="B15965">
        <f>HYPERLINK("https://www.dofusbook.net/fr/equipement/1486823-feca-cancer/objets", "link")</f>
        <v/>
      </c>
      <c r="C15965" t="n">
        <v>0</v>
      </c>
      <c r="D15965" t="inlineStr">
        <is>
          <t>Héqache; Amulette du Strigide; Anneau Crustique; Bracelet du Piloztère; Sept ans de malheur; Menoture; Masque d'Anerice; Cape d'Anerice; Tentassons; Dofus Turquoise; Dofus Pourpre; Nomade; Étourdisseur majeur; Vigoureux majeur; Remueur; Muldo Ebène et Orchidée</t>
        </is>
      </c>
    </row>
    <row r="15966">
      <c r="A15966" t="inlineStr">
        <is>
          <t>Stuff 2</t>
        </is>
      </c>
      <c r="B15966">
        <f>HYPERLINK("https://www.dofusbook.net/fr/equipement/456625-stuff-2/objets", "link")</f>
        <v/>
      </c>
      <c r="C15966" t="n">
        <v>0</v>
      </c>
      <c r="D15966" t="inlineStr">
        <is>
          <t>Héqache; Amulette du Strigide; Chevalière du Roi Joueur; Bague Gloursonne; Bouclier du Captain Amakna; Ceinture du Strigide; Masque de Koutoulou; Voile d'encre; Tentassons; Dofus Pourpre; Dofus Turquoise; Vigoureux majeur; Carapace Neutre majeur; Remueur; Nomade; Muldo Prune et Pourpre</t>
        </is>
      </c>
    </row>
    <row r="15967">
      <c r="A15967" t="inlineStr">
        <is>
          <t>cra multi</t>
        </is>
      </c>
      <c r="B15967">
        <f>HYPERLINK("https://www.dofusbook.net/fr/equipement/1392961-cra-multi/objets", "link")</f>
        <v/>
      </c>
      <c r="C15967" t="n">
        <v>0</v>
      </c>
      <c r="D15967" t="inlineStr">
        <is>
          <t>Sabres d'Atcham; Amulette du Strigide; Alliance Gloursonne; Anneau de Padgref; Quatre-feuilles; Ceinture du Strigide; Coiffe de Padgref; Cape d'Atcham; Getas de Padgref; Dofus Émeraude; Dofus Turquoise; Dofus Ocre; Dolmanax; Dofus Pourpre; Dofus des Glaces; Muldo Prune et Emeraude</t>
        </is>
      </c>
    </row>
    <row r="15968">
      <c r="A15968" t="inlineStr">
        <is>
          <t>Stuff 1</t>
        </is>
      </c>
      <c r="B15968">
        <f>HYPERLINK("https://www.dofusbook.net/fr/equipement/456630-stuff-1/objets", "link")</f>
        <v/>
      </c>
      <c r="C15968" t="n">
        <v>0</v>
      </c>
      <c r="D15968" t="inlineStr">
        <is>
          <t>Bêche Asse; Amulette Héroclite; Anneau de Brouce; Anneau Chevelu; Bouclier Taverne; Ceinture de Brouce; Casque de Missiz Frizz; Cape au Logis; Sabots Minables; Dofus Émeraude; Nomade; Vigoureux majeur; Remueur; Enragé majeur; Dragodinde en armure</t>
        </is>
      </c>
    </row>
    <row r="15969">
      <c r="A15969" t="inlineStr">
        <is>
          <t>arkam</t>
        </is>
      </c>
      <c r="B15969">
        <f>HYPERLINK("https://www.dofusbook.net/fr/equipement/1412645-arkam/objets", "link")</f>
        <v/>
      </c>
      <c r="C15969" t="n">
        <v>0</v>
      </c>
      <c r="D15969" t="inlineStr">
        <is>
          <t>Epée Toche; Racine Hueuse; Anneau de Brouce; Bague Gloursonne; Bouclier Taverne; Ceinture du Comte Razof; Chapeau du Comte Razof; Cape au Logis; Sabots Minables; Nomade; Vigoureux majeur; Enragé majeur; Remueur; Érudit majeur; Kramkram</t>
        </is>
      </c>
    </row>
    <row r="15970">
      <c r="A15970" t="inlineStr">
        <is>
          <t>iop toche</t>
        </is>
      </c>
      <c r="B15970">
        <f>HYPERLINK("https://www.dofusbook.net/fr/equipement/1221543-iop-toche/objets", "link")</f>
        <v/>
      </c>
      <c r="C15970" t="n">
        <v>0</v>
      </c>
      <c r="D15970" t="inlineStr">
        <is>
          <t>Epée Toche; Amulette du Strigide; Anneau Chevelu; Bague Gloursonne; Bouclier du Captain Amakna; Ceinture du Strigide; Bonnet Ko; Voile d'encre; Bottes de la Cour Sombre; Dofus Turquoise; Dofus Pourpre; Nomade; Remueur; Vigoureux majeur; Muldo Indigo et Orchidée</t>
        </is>
      </c>
    </row>
    <row r="15971">
      <c r="A15971" t="inlineStr">
        <is>
          <t>Stuff 1</t>
        </is>
      </c>
      <c r="B15971">
        <f>HYPERLINK("https://www.dofusbook.net/fr/equipement/456624-stuff-1/objets", "link")</f>
        <v/>
      </c>
      <c r="C15971" t="n">
        <v>0</v>
      </c>
      <c r="D15971" t="inlineStr">
        <is>
          <t>Hache du Korriandre; Amulette du Strigide; Anneau de Padgref; Alliance Gloursonne; Bouclier du Captain Amakna; Ceintacé; Masque du Barbétoal; Chevelure de Tal Kasha; Sandales de Tal Kasha; Dofus Turquoise; Vigoureux majeur; Nomade; Chanceux majeur; Cascadeur majeur; Remueur; Muldo Prune et Emeraude</t>
        </is>
      </c>
    </row>
    <row r="15972">
      <c r="A15972" t="inlineStr">
        <is>
          <t>sram air</t>
        </is>
      </c>
      <c r="B15972">
        <f>HYPERLINK("https://www.dofusbook.net/fr/equipement/1235009-sram-air/objets", "link")</f>
        <v/>
      </c>
      <c r="C15972" t="n">
        <v>0</v>
      </c>
      <c r="D15972" t="inlineStr">
        <is>
          <t>Pelle de la Cour Sombre; Collier du Valet Veinard; Gant du Valet Veinard; Alliance Gloursonne; Bouclier du Stalak; Menoture; Couronne d'Allister; Cape Indescriptible; Palmes Trithons; Dofus Pourpre; Cascadeur majeur; Remueur; Vigoureux majeur; Nomade; Siroko</t>
        </is>
      </c>
    </row>
    <row r="15973">
      <c r="A15973" t="inlineStr">
        <is>
          <t>eni soin</t>
        </is>
      </c>
      <c r="B15973">
        <f>HYPERLINK("https://www.dofusbook.net/fr/equipement/1085437-eni-soin/objets", "link")</f>
        <v/>
      </c>
      <c r="C15973" t="n">
        <v>1</v>
      </c>
      <c r="D15973" t="inlineStr">
        <is>
          <t>Arc corrompu; Amulette d'Otomaï; Anneau Tamie; Anneau Tamie; Bouclier du Cycloïde; Ceinture Séculaire; Coiffe Séculaire; Cape de Diondin; Bottes Innommables; Dofus Turquoise; Remueur; Guérisseur majeur; Nomade; Astucieux majeur; Érudit majeur; Brûlih</t>
        </is>
      </c>
    </row>
    <row r="15974">
      <c r="A15974" t="inlineStr">
        <is>
          <t>Stuff 3</t>
        </is>
      </c>
      <c r="B15974">
        <f>HYPERLINK("https://www.dofusbook.net/fr/equipement/456629-stuff-3/objets", "link")</f>
        <v/>
      </c>
      <c r="C15974" t="n">
        <v>1</v>
      </c>
      <c r="D15974" t="inlineStr">
        <is>
          <t>Epée Loponèze; Amulette du Strigide; Anneau de Padgref; Alliance Gloursonne; Ceinture du Strigide; Coiffe de Padgref; Voile d'encre; Getas de Padgref; Dofus des Glaces; Dofus Ocre; Dofus Turquoise; Dofus Nébuleux; Dofus Émeraude; Dofus Pourpre; Muldo Prune et Emeraude</t>
        </is>
      </c>
    </row>
    <row r="15975">
      <c r="A15975" t="inlineStr">
        <is>
          <t>Stuff 2</t>
        </is>
      </c>
      <c r="B15975">
        <f>HYPERLINK("https://www.dofusbook.net/fr/equipement/456631-stuff-2/objets", "link")</f>
        <v/>
      </c>
      <c r="C15975" t="n">
        <v>0</v>
      </c>
      <c r="D15975" t="inlineStr">
        <is>
          <t>La Baguette des Limbes; Fourbamulette; Gelano; Anneau Ouroboulos; Ceinture Précieuse; Kabuto; Capitrouille; Bottes Précieuses; Dofus Pourpre; Dofus Émeraude; Robuste; Remueur; Vigoureux; Nomade; Dragodinde en armure</t>
        </is>
      </c>
    </row>
    <row r="15976">
      <c r="A15976" t="inlineStr">
        <is>
          <t>Stuff 2</t>
        </is>
      </c>
      <c r="B15976">
        <f>HYPERLINK("https://www.dofusbook.net/fr/equipement/456631-stuff-2/objets", "link")</f>
        <v/>
      </c>
      <c r="C15976" t="n">
        <v>0</v>
      </c>
      <c r="D15976" t="inlineStr">
        <is>
          <t>La Baguette des Limbes; Fourbamulette; Anneau Ouroboulos; Gelano; Ceinture Précieuse; Kabuto; Capitrouille; Bottes Précieuses; Dofus Émeraude; Dofus Pourpre; Nomade; Robuste; Remueur; Vigoureux; Dragodinde en armure</t>
        </is>
      </c>
    </row>
    <row r="15977">
      <c r="A15977" t="inlineStr">
        <is>
          <t>Stuff</t>
        </is>
      </c>
      <c r="B15977">
        <f>HYPERLINK("https://www.dofusbook.net/fr/equipement/2139145-stuff/objets", "link")</f>
        <v/>
      </c>
      <c r="C15977" t="n">
        <v>2</v>
      </c>
      <c r="D15977" t="inlineStr">
        <is>
          <t>Hache du Chalœil; Amulette du Strigide; Bracelet du Piloztère; Chevalière du Roi Joueur; Quatre-feuilles; Ceinture du Strigide; Bonnet Ko; Cape de la Dame du Hasard; Bottes du Chalœil; Dofus Ocre; Dofus Pourpre; Dofus Turquoise; Remueur; Vigoureux majeur; Nomade; Muldo Prune et Emeraude</t>
        </is>
      </c>
    </row>
    <row r="15978">
      <c r="A15978" t="inlineStr">
        <is>
          <t>Eau RetPM</t>
        </is>
      </c>
      <c r="B15978">
        <f>HYPERLINK("https://www.dofusbook.net/fr/equipement/2045445-eau-retpm/objets", "link")</f>
        <v/>
      </c>
      <c r="C15978" t="n">
        <v>1</v>
      </c>
      <c r="D15978" t="inlineStr">
        <is>
          <t>Sceptre du Roi Joueur; Amulette Hale; Pikano; Bracelet des Fonds marins; Bouclier cubiste; Poulpagne; Kidibonnet; Cape de la Dame du Hasard; Pikottes; Dofus Turquoise; Chanceux majeur; Temporiseur majeur; Ralentisseur majeur; Vigoureux majeur; Entraveur majeur; Muldo Prune et Emeraude</t>
        </is>
      </c>
    </row>
    <row r="15979">
      <c r="A15979" t="inlineStr">
        <is>
          <t>Intell</t>
        </is>
      </c>
      <c r="B15979">
        <f>HYPERLINK("https://www.dofusbook.net/fr/equipement/2045386-intell/objets", "link")</f>
        <v/>
      </c>
      <c r="C15979" t="n">
        <v>0</v>
      </c>
      <c r="D15979" t="inlineStr">
        <is>
          <t>Harpelle; Amulette d'Otomaï; Anneau de Padgref; Anneauræus; Bouclier du Cycloïde; Ceinture Séculaire; Coiffe de Padgref; Cape de Diondin; Bottes de la Dame du Hasard; Dofus Turquoise; Dofus Pourpre; Érudit majeur; Nomade; Remueur; Savant majeur; Brûlih</t>
        </is>
      </c>
    </row>
    <row r="15980">
      <c r="A15980" t="inlineStr">
        <is>
          <t>Stuff Opti</t>
        </is>
      </c>
      <c r="B15980">
        <f>HYPERLINK("https://www.dofusbook.net/fr/equipement/2045295-stuff-opti/objets", "link")</f>
        <v/>
      </c>
      <c r="C15980" t="n">
        <v>1</v>
      </c>
      <c r="D15980" t="inlineStr">
        <is>
          <t>Hache du Chalœil; Amulette du Strigide; Alliance de Missiz Frizz; Bracelet du Piloztère; Bouclier du Captain Amakna; Ceinture du Strigide; Bonnet Ko; Cape du Chalœil; Bottes du Cycloïde; Dofus Pourpre; Dofus Turquoise; Dofus Ocre; Nomade; Remueur; Vigoureux majeur; Muldo Prune et Doré</t>
        </is>
      </c>
    </row>
    <row r="15981">
      <c r="A15981" t="inlineStr">
        <is>
          <t>Stuff 1</t>
        </is>
      </c>
      <c r="B15981">
        <f>HYPERLINK("https://www.dofusbook.net/fr/equipement/732671-stuff-1/objets", "link")</f>
        <v/>
      </c>
      <c r="C15981" t="n">
        <v>1</v>
      </c>
      <c r="D15981" t="inlineStr">
        <is>
          <t>Epée Loponèze; Amulette du Strigide; Alliance Gloursonne; Bracelet du Piloztère; Ceinture de la Reine des Voleurs; Coiffe de la Reine des Voleurs; Voile d'encre; Baleinabottes; Dofus Pourpre; Dofus Turquoise; Nomade; Vigoureux majeur; Remueur; Déserteur majeur; Kramkram</t>
        </is>
      </c>
    </row>
    <row r="15982">
      <c r="A15982" t="inlineStr">
        <is>
          <t>Stuff 3</t>
        </is>
      </c>
      <c r="B15982">
        <f>HYPERLINK("https://www.dofusbook.net/fr/equipement/732703-stuff-3/objets", "link")</f>
        <v/>
      </c>
      <c r="C15982" t="n">
        <v>1</v>
      </c>
      <c r="D15982" t="inlineStr">
        <is>
          <t>Pelle de la Cour Sombre; Amulette du Strigide; Gant du Valet Veinard; Alliance Gloursonne; Ceinture Voldelor; Casque des égarés; Cape du Kamasterisk; Bottes Voldelor; Dofus Ocre; Dofus Turquoise; Remueur; Nomade; Cascadeur majeur; Miraculé majeur; Siroko</t>
        </is>
      </c>
    </row>
    <row r="15983">
      <c r="A15983" t="inlineStr">
        <is>
          <t>Stuff 2</t>
        </is>
      </c>
      <c r="B15983">
        <f>HYPERLINK("https://www.dofusbook.net/fr/equipement/732666-stuff-2/objets", "link")</f>
        <v/>
      </c>
      <c r="C15983" t="n">
        <v>0</v>
      </c>
      <c r="D15983" t="inlineStr">
        <is>
          <t>Dagues Érhy; Amulette du Strigide; Bracelet du Piloztère; Chevalière du Roi Joueur; Ceinture du Strigide; Casque de Missiz Frizz; Cape des Justiciers; Bottes du Chalœil; Dofus Turquoise; Dofus des Glaces; Dofus Pourpre; Nomade; Vigoureux majeur; Remueur; Kramkram</t>
        </is>
      </c>
    </row>
    <row r="15984">
      <c r="A15984" t="inlineStr">
        <is>
          <t>Stuff 3</t>
        </is>
      </c>
      <c r="B15984">
        <f>HYPERLINK("https://www.dofusbook.net/fr/equipement/732661-stuff-3/objets", "link")</f>
        <v/>
      </c>
      <c r="C15984" t="n">
        <v>0</v>
      </c>
      <c r="D15984" t="inlineStr">
        <is>
          <t>Dagues Érhy; Amulette du Strigide; Bague Gloursonne; Bracelet du Piloztère; Ceinture du Strigide; Masque du Katcheur; Voile d'encre; Bottes du Cycloïde; Dofus Turquoise; Dofus Pourpre; Dofus Ocre; Vigoureux majeur; Remueur; Nomade; Kwaltess</t>
        </is>
      </c>
    </row>
    <row r="15985">
      <c r="A15985" t="inlineStr">
        <is>
          <t>Stuff 1</t>
        </is>
      </c>
      <c r="B15985">
        <f>HYPERLINK("https://www.dofusbook.net/fr/equipement/732725-stuff-1/objets", "link")</f>
        <v/>
      </c>
      <c r="C15985" t="n">
        <v>0</v>
      </c>
      <c r="D15985" t="inlineStr">
        <is>
          <t>Dagues de Srambad; Amulette du Strigide; Alliance Gloursonne; Bracelet du Piloztère; Ceinture de la Reine des Voleurs; Coiffe de la Reine des Voleurs; Voile d'encre; Baleinabottes; Dofus Pourpre; Chanceux majeur; Remueur; Enragé majeur; Vigoureux majeur; Nomade; Kramkram</t>
        </is>
      </c>
    </row>
    <row r="15986">
      <c r="A15986" t="inlineStr">
        <is>
          <t>Stuff 2</t>
        </is>
      </c>
      <c r="B15986">
        <f>HYPERLINK("https://www.dofusbook.net/fr/equipement/732720-stuff-2/objets", "link")</f>
        <v/>
      </c>
      <c r="C15986" t="n">
        <v>0</v>
      </c>
      <c r="D15986" t="inlineStr">
        <is>
          <t>Pelle de Nidas; Amulette du Strigide; Bracelet du Piloztère; Pikano; Ceintacé; Coiffe d'Ogivol; Cape du Chalœil; Bottes du Strigide; Dofus Pourpre; Dofus Turquoise; Remueur; Miraculé majeur; Vigoureux majeur; Nomade; Kramkram</t>
        </is>
      </c>
    </row>
    <row r="15987">
      <c r="A15987" t="inlineStr">
        <is>
          <t>Stuff 1</t>
        </is>
      </c>
      <c r="B15987">
        <f>HYPERLINK("https://www.dofusbook.net/fr/equipement/732683-stuff-1/objets", "link")</f>
        <v/>
      </c>
      <c r="C15987" t="n">
        <v>0</v>
      </c>
      <c r="D15987" t="inlineStr">
        <is>
          <t>Dagues Érhy; Amulette du Strigide; Bague Gloursonne; Chevalière du Roi Joueur; Ceinture du Strigide; Chapeau de Gein; Voile d'encre; Bottes de la Cour Sombre; Dofus Ocre; Dofus Turquoise; Dofus Pourpre; Remueur; Turbulent; Nomade; Kramkram</t>
        </is>
      </c>
    </row>
    <row r="15988">
      <c r="A15988" t="inlineStr">
        <is>
          <t>Stuff 3</t>
        </is>
      </c>
      <c r="B15988">
        <f>HYPERLINK("https://www.dofusbook.net/fr/equipement/732715-stuff-3/objets", "link")</f>
        <v/>
      </c>
      <c r="C15988" t="n">
        <v>1</v>
      </c>
      <c r="D15988" t="inlineStr">
        <is>
          <t>Sceptre du Roi Joueur; Talisman Igans; Bracelet des Fonds marins; Alliance Gloursonne; Ceintrigue; Kidibonnet; Cape Glaciale; Bottes du Sinistrofu; Dofus des Glaces; Miraculé majeur; Remueur; Dévastateur Eau majeur; Nomade; Chanceux majeur; Dehluge</t>
        </is>
      </c>
    </row>
    <row r="15989">
      <c r="A15989" t="inlineStr">
        <is>
          <t>Stuff 1</t>
        </is>
      </c>
      <c r="B15989">
        <f>HYPERLINK("https://www.dofusbook.net/fr/equipement/732731-stuff-1/objets", "link")</f>
        <v/>
      </c>
      <c r="C15989" t="n">
        <v>2</v>
      </c>
      <c r="D15989" t="inlineStr">
        <is>
          <t>Pelle de la Cour Sombre; Collier du Valet Veinard; Alliance Gloursonne; Gant du Valet Veinard; Ceinture du Barbétoal; Dorabysses; Cape du Kamasterisk; Baleinabottes; Dofus Pourpre; Cascadeur majeur; Nomade; Vigoureux majeur; Miraculé majeur; Remueur; Croum</t>
        </is>
      </c>
    </row>
    <row r="15990">
      <c r="A15990" t="inlineStr">
        <is>
          <t>Stuff 2</t>
        </is>
      </c>
      <c r="B15990">
        <f>HYPERLINK("https://www.dofusbook.net/fr/equipement/732726-stuff-2/objets", "link")</f>
        <v/>
      </c>
      <c r="C15990" t="n">
        <v>0</v>
      </c>
      <c r="D15990" t="inlineStr">
        <is>
          <t>Dagues Érhy; Amulette du Strigide; Bague Gloursonne; Bracelet du Piloztère; Ceinture du Strigide; Coiffe du Lévitrof; Voile d'encre; Bottes du Chalœil; Dofus Pourpre; Dofus Ocre; Dofus Turquoise; Remueur; Vigoureux majeur; Nomade; Kwaltess</t>
        </is>
      </c>
    </row>
    <row r="15991">
      <c r="A15991" t="inlineStr">
        <is>
          <t>Stuff 1</t>
        </is>
      </c>
      <c r="B15991">
        <f>HYPERLINK("https://www.dofusbook.net/fr/equipement/732689-stuff-1/objets", "link")</f>
        <v/>
      </c>
      <c r="C15991" t="n">
        <v>0</v>
      </c>
      <c r="D15991" t="inlineStr">
        <is>
          <t>Dagues de Srambad; Amulette du Strigide; Alliance Gloursonne; Bracelet du Piloztère; Ceinture de la Reine des Voleurs; Coiffe de la Reine des Voleurs; Voile d'encre; Sandales des Fonds marins; Dofus Pourpre; Dofus Ocre; Dofus Nébuleux; Remueur; Temporiseur majeur; Nomade; Croum</t>
        </is>
      </c>
    </row>
    <row r="15992">
      <c r="A15992" t="inlineStr">
        <is>
          <t>Stuff 3</t>
        </is>
      </c>
      <c r="B15992">
        <f>HYPERLINK("https://www.dofusbook.net/fr/equipement/732721-stuff-3/objets", "link")</f>
        <v/>
      </c>
      <c r="C15992" t="n">
        <v>1</v>
      </c>
      <c r="D15992" t="inlineStr">
        <is>
          <t>Masse Ossiale; Talisman Igans; Bracelet du Piloztère; Bracelet des Fonds marins; Sangle Ouare; Kidibonnet; Cape des Malveilleurs; Bottes Owesli; Remueur; Culbuteur majeur; Nomade; Miraculé majeur; Chanceux majeur; Bousculeur majeur; Tanuk</t>
        </is>
      </c>
    </row>
    <row r="15993">
      <c r="A15993" t="inlineStr">
        <is>
          <t>Stuff 2</t>
        </is>
      </c>
      <c r="B15993">
        <f>HYPERLINK("https://www.dofusbook.net/fr/equipement/732684-stuff-2/objets", "link")</f>
        <v/>
      </c>
      <c r="C15993" t="n">
        <v>0</v>
      </c>
      <c r="D15993" t="inlineStr">
        <is>
          <t>Dagues Érhy; Amulette du Strigide; Bague Gloursonne; Alliance Gloursonne; Ceintacé; Chapeau de Gein; Voile d'encre; Bottes de la Cour Sombre; Dofus Nébuleux; Dofus Pourpre; Dofus Turquoise; Nomade; Remueur; Vigoureux majeur; Croum</t>
        </is>
      </c>
    </row>
    <row r="15994">
      <c r="A15994" t="inlineStr">
        <is>
          <t>Stuff 1</t>
        </is>
      </c>
      <c r="B15994">
        <f>HYPERLINK("https://www.dofusbook.net/fr/equipement/732743-stuff-1/objets", "link")</f>
        <v/>
      </c>
      <c r="C15994" t="n">
        <v>0</v>
      </c>
      <c r="D15994" t="inlineStr">
        <is>
          <t>Dagues Érhy; Amulette du Strigide; Bague Gloursonne; Bracelet du Piloztère; Ceintacé; Coiffe du Lévitrof; Voile d'encre; Bottes du Lévitrof; Dofus Turquoise; Dofus des Glaces; Déserteur majeur; Remueur; Vigoureux majeur; Nomade; Croum</t>
        </is>
      </c>
    </row>
    <row r="15995">
      <c r="A15995" t="inlineStr">
        <is>
          <t>Stuff 3</t>
        </is>
      </c>
      <c r="B15995">
        <f>HYPERLINK("https://www.dofusbook.net/fr/equipement/732679-stuff-3/objets", "link")</f>
        <v/>
      </c>
      <c r="C15995" t="n">
        <v>0</v>
      </c>
      <c r="D15995" t="inlineStr">
        <is>
          <t>Dagues Érhy; Amulette d'Otomaï; Kralano; Anneau de Padgref; Ceinture Séculaire; Coiffe de Padgref; Cape Lati; Pataugastrique; Dofus Turquoise; Nomade; Érudit majeur; Remueur; Miraculé majeur; Guérisseur majeur; Brûlih</t>
        </is>
      </c>
    </row>
    <row r="15996">
      <c r="A15996" t="inlineStr">
        <is>
          <t>Stuff 2</t>
        </is>
      </c>
      <c r="B15996">
        <f>HYPERLINK("https://www.dofusbook.net/fr/equipement/732738-stuff-2/objets", "link")</f>
        <v/>
      </c>
      <c r="C15996" t="n">
        <v>0</v>
      </c>
      <c r="D15996" t="inlineStr">
        <is>
          <t>Dagues Érhy; Amulette du Strigide; Chevalière du Roi Joueur; Bracelet du Piloztère; Ceinture du Strigide; Casque de Missiz Frizz; Cape des Justiciers; Bottes du Chalœil; Dofus des Glaces; Dofus Pourpre; Dofus Turquoise; Nomade; Vigoureux majeur; Remueur; Kramkram</t>
        </is>
      </c>
    </row>
    <row r="15997">
      <c r="A15997" t="inlineStr">
        <is>
          <t>Stuff 1</t>
        </is>
      </c>
      <c r="B15997">
        <f>HYPERLINK("https://www.dofusbook.net/fr/equipement/732701-stuff-1/objets", "link")</f>
        <v/>
      </c>
      <c r="C15997" t="n">
        <v>0</v>
      </c>
      <c r="D15997" t="inlineStr">
        <is>
          <t>Hache Ériphe; Amulette du Strigide; Alliance Gloursonne; Bague Gloursonne; Ceinture Voldelor; Casque des égarés; Cape du Kamasterisk; Baleinabottes; Dofus Pourpre; Vigoureux majeur; Nomade; Cascadeur majeur; Remueur; Miraculé majeur; Croum</t>
        </is>
      </c>
    </row>
    <row r="15998">
      <c r="A15998" t="inlineStr">
        <is>
          <t>Stuff 3</t>
        </is>
      </c>
      <c r="B15998">
        <f>HYPERLINK("https://www.dofusbook.net/fr/equipement/732733-stuff-3/objets", "link")</f>
        <v/>
      </c>
      <c r="C15998" t="n">
        <v>0</v>
      </c>
      <c r="D15998" t="inlineStr">
        <is>
          <t>Dagues Érhy; Amulette du Strigide; Kralano; Anneau de Padgref; Ceintacé; Coiffe de Padgref; Cape des Malveilleurs; Sandales  d'Atcham; Dofus Pourpre; Dofus Turquoise; Cascadeur majeur; Érudit majeur; Remueur; Nomade; Kramkram</t>
        </is>
      </c>
    </row>
    <row r="15999">
      <c r="A15999" t="inlineStr">
        <is>
          <t>Stuff 2</t>
        </is>
      </c>
      <c r="B15999">
        <f>HYPERLINK("https://www.dofusbook.net/fr/equipement/732738-stuff-2/objets", "link")</f>
        <v/>
      </c>
      <c r="C15999" t="n">
        <v>0</v>
      </c>
      <c r="D15999" t="inlineStr">
        <is>
          <t>Dagues Érhy; Amulette du Strigide; Chevalière du Roi Joueur; Bracelet du Piloztère; Ceinture du Strigide; Casque de Missiz Frizz; Cape des Justiciers; Bottes du Chalœil; Dofus des Glaces; Dofus Pourpre; Dofus Turquoise; Nomade; Vigoureux majeur; Remueur; Kramkram</t>
        </is>
      </c>
    </row>
    <row r="16000">
      <c r="A16000" t="inlineStr">
        <is>
          <t>Stuff 1</t>
        </is>
      </c>
      <c r="B16000">
        <f>HYPERLINK("https://www.dofusbook.net/fr/equipement/732701-stuff-1/objets", "link")</f>
        <v/>
      </c>
      <c r="C16000" t="n">
        <v>0</v>
      </c>
      <c r="D16000" t="inlineStr">
        <is>
          <t>Hache Ériphe; Amulette du Strigide; Alliance Gloursonne; Bague Gloursonne; Ceinture Voldelor; Casque des égarés; Cape du Kamasterisk; Baleinabottes; Dofus Pourpre; Vigoureux majeur; Nomade; Cascadeur majeur; Remueur; Miraculé majeur; Croum</t>
        </is>
      </c>
    </row>
    <row r="16001">
      <c r="A16001" t="inlineStr">
        <is>
          <t>Stuff 3</t>
        </is>
      </c>
      <c r="B16001">
        <f>HYPERLINK("https://www.dofusbook.net/fr/equipement/732733-stuff-3/objets", "link")</f>
        <v/>
      </c>
      <c r="C16001" t="n">
        <v>0</v>
      </c>
      <c r="D16001" t="inlineStr">
        <is>
          <t>Dagues Érhy; Amulette du Strigide; Kralano; Anneau de Padgref; Ceintacé; Coiffe de Padgref; Cape des Malveilleurs; Sandales  d'Atcham; Dofus Pourpre; Dofus Turquoise; Cascadeur majeur; Érudit majeur; Remueur; Nomade; Kramkram</t>
        </is>
      </c>
    </row>
    <row r="16002">
      <c r="A16002" t="inlineStr">
        <is>
          <t>Stuff 2</t>
        </is>
      </c>
      <c r="B16002">
        <f>HYPERLINK("https://www.dofusbook.net/fr/equipement/732696-stuff-2/objets", "link")</f>
        <v/>
      </c>
      <c r="C16002" t="n">
        <v>0</v>
      </c>
      <c r="D16002" t="inlineStr">
        <is>
          <t>Dagues Érhy; Amulette du Strigide; Chevalière du Roi Joueur; Bracelet du Piloztère; Ceinture du Strigide; Coiffe du Lévitrof; Voile d'encre; Pataugastrique; Dofus Pourpre; Dofus Turquoise; Temporiseur majeur; Remueur; Entraveur majeur; Nomade; Kramkram</t>
        </is>
      </c>
    </row>
    <row r="16003">
      <c r="A16003" t="inlineStr">
        <is>
          <t>Stuff 1</t>
        </is>
      </c>
      <c r="B16003">
        <f>HYPERLINK("https://www.dofusbook.net/fr/equipement/732659-stuff-1/objets", "link")</f>
        <v/>
      </c>
      <c r="C16003" t="n">
        <v>0</v>
      </c>
      <c r="D16003" t="inlineStr">
        <is>
          <t>Dagues Érhy; Amulette du Strigide; Bague Gloursonne; Bracelet du Piloztère; Ceinture de Gein; Chapeau de Gein; Voile d'encre; Baleinabottes; Dofus Pourpre; Érudit majeur; Nomade; Vigoureux majeur; Enragé majeur; Remueur; Kramkram</t>
        </is>
      </c>
    </row>
    <row r="16004">
      <c r="A16004" t="inlineStr">
        <is>
          <t>Stuff 3</t>
        </is>
      </c>
      <c r="B16004">
        <f>HYPERLINK("https://www.dofusbook.net/fr/equipement/732691-stuff-3/objets", "link")</f>
        <v/>
      </c>
      <c r="C16004" t="n">
        <v>0</v>
      </c>
      <c r="D16004" t="inlineStr">
        <is>
          <t>Dagues Érhy; Amulette du Strigide; Bague Gloursonne; Bracelet du Piloztère; Ceinture du Strigide; Couronne du Roi Joueur; Cape de la Dame du Hasard; Bottes du Chalœil; Dofus Ocre; Dofus Pourpre; Dofus Turquoise; Temporiseur majeur; Remueur; Nomade; Kwaltess</t>
        </is>
      </c>
    </row>
    <row r="16005">
      <c r="A16005" t="inlineStr">
        <is>
          <t>Stuff 1</t>
        </is>
      </c>
      <c r="B16005">
        <f>HYPERLINK("https://www.dofusbook.net/fr/equipement/732750-stuff-1/objets", "link")</f>
        <v/>
      </c>
      <c r="C16005" t="n">
        <v>0</v>
      </c>
      <c r="D16005" t="inlineStr">
        <is>
          <t>Baguette Hernelle; Amulette d'Otomaï; Gelano; Anneau de Padgref; Ceinture Hanium; Coiffe de Padgref; Cape Hiculteur; Pantoufles Émar; Miraculé majeur; Remueur; Savant majeur; Nomade; Guérisseur majeur; Érudit majeur; Kramkram</t>
        </is>
      </c>
    </row>
    <row r="16006">
      <c r="A16006" t="inlineStr">
        <is>
          <t>Stuff 2</t>
        </is>
      </c>
      <c r="B16006">
        <f>HYPERLINK("https://www.dofusbook.net/fr/equipement/732654-stuff-2/objets", "link")</f>
        <v/>
      </c>
      <c r="C16006" t="n">
        <v>0</v>
      </c>
      <c r="D16006" t="inlineStr">
        <is>
          <t>Epée Toche; Amulette du Strigide; Pikano; Bracelet du Piloztère; Ceintacé; Coiffe du Lévitrof; Cape de la Dame du Hasard; Pikottes; Dofus Turquoise; Dofus Pourpre; Nomade; Entraveur majeur; Remueur; Temporiseur majeur; Kramkram</t>
        </is>
      </c>
    </row>
    <row r="16007">
      <c r="A16007" t="inlineStr">
        <is>
          <t>Stuff 3</t>
        </is>
      </c>
      <c r="B16007">
        <f>HYPERLINK("https://www.dofusbook.net/fr/equipement/732745-stuff-3/objets", "link")</f>
        <v/>
      </c>
      <c r="C16007" t="n">
        <v>0</v>
      </c>
      <c r="D16007" t="inlineStr">
        <is>
          <t>Rouleau à Pâtisserie d'Aermyne; Amulette de Nileza; Alliance Gloursonne; Anneau Tique; Ceinture de Vortex; Ruskauffe; Voile d'encre; Sabots Minables; Carapace Neutre majeur; Observateur; Carapace Terre majeur; Nomade; Miraculé majeur; Remueur; Croum</t>
        </is>
      </c>
    </row>
    <row r="16008">
      <c r="A16008" t="inlineStr">
        <is>
          <t>Stuff 1</t>
        </is>
      </c>
      <c r="B16008">
        <f>HYPERLINK("https://www.dofusbook.net/fr/equipement/732713-stuff-1/objets", "link")</f>
        <v/>
      </c>
      <c r="C16008" t="n">
        <v>0</v>
      </c>
      <c r="D16008" t="inlineStr">
        <is>
          <t>Pelle de la Cour Sombre; Collier du Valet Veinard; Gant du Valet Veinard; Alliance Gloursonne; Ceinture du Barbétoal; Dorabysses; Cape du Kamasterisk; Baleinabottes; Dofus des Glaces; Dévastateur Air majeur; Remueur; Cascadeur majeur; Nomade; Miraculé majeur; Croum</t>
        </is>
      </c>
    </row>
    <row r="16009">
      <c r="A16009" t="inlineStr">
        <is>
          <t>Stuff 1</t>
        </is>
      </c>
      <c r="B16009">
        <f>HYPERLINK("https://www.dofusbook.net/fr/equipement/732719-stuff-1/objets", "link")</f>
        <v/>
      </c>
      <c r="C16009" t="n">
        <v>0</v>
      </c>
      <c r="D16009" t="inlineStr">
        <is>
          <t>Hache Ériphe; Amulette du Strigide; Alliance Gloursonne; Bague Gloursonne; Ceinture de la Cour Sombre; Coiffe de la Reine des Voleurs; Cape du Kamasterisk; Baleinabottes; Dofus Pourpre; Vigoureux majeur; Nomade; Cascadeur majeur; Remueur; Miraculé majeur; Croum</t>
        </is>
      </c>
    </row>
    <row r="16010">
      <c r="A16010" t="inlineStr">
        <is>
          <t>Stuff 1</t>
        </is>
      </c>
      <c r="B16010">
        <f>HYPERLINK("https://www.dofusbook.net/fr/equipement/732751-stuff-1/objets", "link")</f>
        <v/>
      </c>
      <c r="C16010" t="n">
        <v>0</v>
      </c>
      <c r="D16010" t="inlineStr">
        <is>
          <t>Épée du Granduk; Amulette du Strigide; Anneau d'Allister; Alliance Gloursonne; Ceinture du Barbétoal; Coiffe de Padgref; Cape Matelassée; Getas de Padgref; Dofus Turquoise; Vigoureux majeur; Miraculé majeur; Nomade; Cascadeur majeur; Remueur; Muldo Doré</t>
        </is>
      </c>
    </row>
    <row r="16011">
      <c r="A16011" t="inlineStr">
        <is>
          <t>Stuff 3</t>
        </is>
      </c>
      <c r="B16011">
        <f>HYPERLINK("https://www.dofusbook.net/fr/equipement/732655-stuff-3/objets", "link")</f>
        <v/>
      </c>
      <c r="C16011" t="n">
        <v>0</v>
      </c>
      <c r="D16011" t="inlineStr">
        <is>
          <t>Sceptre du Roi Joueur; Collier de la Dame du Hasard; Bracelet des Fonds marins; Bracelet du Piloztère; Ceinture de la Reine des Voleurs; Coiffe de Danathor; Cape de la Dame du Hasard; Pataugastrique; Dofus Turquoise; Temporiseur majeur; Chanceux majeur; Nomade; Entraveur majeur; Remueur; Dehluge</t>
        </is>
      </c>
    </row>
    <row r="16012">
      <c r="A16012" t="inlineStr">
        <is>
          <t>Stuff 2</t>
        </is>
      </c>
      <c r="B16012">
        <f>HYPERLINK("https://www.dofusbook.net/fr/equipement/732714-stuff-2/objets", "link")</f>
        <v/>
      </c>
      <c r="C16012" t="n">
        <v>0</v>
      </c>
      <c r="D16012" t="inlineStr">
        <is>
          <t>Arc Hétype; Amulette d'Otomaï; Anneau Tamie; Anneau Tamie; Ceinture Séculaire; Coiffe Séculaire; Cape de Nileza; Pataugastrique; Dévastateur Feu majeur; Remueur; Guérisseur majeur; Érudit majeur; Miraculé majeur; Nomade; Brûlih</t>
        </is>
      </c>
    </row>
    <row r="16013">
      <c r="A16013" t="inlineStr">
        <is>
          <t>Stuff 1</t>
        </is>
      </c>
      <c r="B16013">
        <f>HYPERLINK("https://www.dofusbook.net/fr/equipement/732677-stuff-1/objets", "link")</f>
        <v/>
      </c>
      <c r="C16013" t="n">
        <v>0</v>
      </c>
      <c r="D16013" t="inlineStr">
        <is>
          <t>Sabres d'Atcham; Talisman Igans; Alliance Gloursonne; Anneau Tique; Ceinture de Vortex; Dorabysses; Voile d'encre; Pataugastrique; Dofus Pourpre; Étourdisseur majeur; Remueur; Engourdisseur majeur; Vigoureux majeur; Nomade; Croum</t>
        </is>
      </c>
    </row>
    <row r="16014">
      <c r="A16014" t="inlineStr">
        <is>
          <t>Stuff 3</t>
        </is>
      </c>
      <c r="B16014">
        <f>HYPERLINK("https://www.dofusbook.net/fr/equipement/732709-stuff-3/objets", "link")</f>
        <v/>
      </c>
      <c r="C16014" t="n">
        <v>0</v>
      </c>
      <c r="D16014" t="inlineStr">
        <is>
          <t>Bâton Beau; Amulette du Strigide; Bague Gloursonne; Bracelet du Piloztère; Ceintacé; Casque du Chalœil; Cape Reski; Bottes du Chalœil; Dofus Pourpre; Dofus Turquoise; Nomade; Remueur; Miraculé majeur; Vigoureux majeur; Kramkram</t>
        </is>
      </c>
    </row>
    <row r="16015">
      <c r="A16015" t="inlineStr">
        <is>
          <t>Stuff 2</t>
        </is>
      </c>
      <c r="B16015">
        <f>HYPERLINK("https://www.dofusbook.net/fr/equipement/732672-stuff-2/objets", "link")</f>
        <v/>
      </c>
      <c r="C16015" t="n">
        <v>0</v>
      </c>
      <c r="D16015" t="inlineStr">
        <is>
          <t>Dagues Érhy; Amulette du Strigide; Bracelet du Piloztère; Chevalière du Roi Joueur; Ceinture du Strigide; Casque de Missiz Frizz; Cape des Justiciers; Bottes du Chalœil; Dofus Turquoise; Dofus des Glaces; Dofus Pourpre; Nomade; Vigoureux majeur; Remueur; Kramkram</t>
        </is>
      </c>
    </row>
    <row r="16016">
      <c r="A16016" t="inlineStr">
        <is>
          <t>Stuff 1</t>
        </is>
      </c>
      <c r="B16016">
        <f>HYPERLINK("https://www.dofusbook.net/fr/equipement/732731-stuff-1/objets", "link")</f>
        <v/>
      </c>
      <c r="C16016" t="n">
        <v>2</v>
      </c>
      <c r="D16016" t="inlineStr">
        <is>
          <t>Pelle de la Cour Sombre; Collier du Valet Veinard; Alliance Gloursonne; Gant du Valet Veinard; Ceinture du Barbétoal; Dorabysses; Cape du Kamasterisk; Baleinabottes; Dofus Pourpre; Remueur; Cascadeur majeur; Nomade; Vigoureux majeur; Miraculé majeur; Croum</t>
        </is>
      </c>
    </row>
    <row r="16017">
      <c r="A16017" t="inlineStr">
        <is>
          <t>Stuff 3</t>
        </is>
      </c>
      <c r="B16017">
        <f>HYPERLINK("https://www.dofusbook.net/fr/equipement/732667-stuff-3/objets", "link")</f>
        <v/>
      </c>
      <c r="C16017" t="n">
        <v>0</v>
      </c>
      <c r="D16017" t="inlineStr">
        <is>
          <t>Dagues Érhy; Amulette du Strigide; Bague Gloursonne; Bracelet du Piloztère; Ceinture du Strigide; Casque de Missiz Frizz; Voile d'encre; Bottes du Chalœil; Dofus Turquoise; Dofus Ocre; Dofus Pourpre; Nomade; Vigoureux majeur; Remueur; Kwaltess</t>
        </is>
      </c>
    </row>
    <row r="16018">
      <c r="A16018" t="inlineStr">
        <is>
          <t>Stuff 2</t>
        </is>
      </c>
      <c r="B16018">
        <f>HYPERLINK("https://www.dofusbook.net/fr/equipement/732726-stuff-2/objets", "link")</f>
        <v/>
      </c>
      <c r="C16018" t="n">
        <v>0</v>
      </c>
      <c r="D16018" t="inlineStr">
        <is>
          <t>Dagues Érhy; Amulette du Strigide; Bague Gloursonne; Bracelet du Piloztère; Ceinture du Strigide; Coiffe du Lévitrof; Voile d'encre; Bottes du Chalœil; Dofus Ocre; Dofus Turquoise; Dofus Pourpre; Vigoureux majeur; Nomade; Remueur; Kwaltess</t>
        </is>
      </c>
    </row>
    <row r="16019">
      <c r="A16019" t="inlineStr">
        <is>
          <t>Stuff 1</t>
        </is>
      </c>
      <c r="B16019">
        <f>HYPERLINK("https://www.dofusbook.net/fr/equipement/732689-stuff-1/objets", "link")</f>
        <v/>
      </c>
      <c r="C16019" t="n">
        <v>0</v>
      </c>
      <c r="D16019" t="inlineStr">
        <is>
          <t>Dagues de Srambad; Amulette du Strigide; Bracelet du Piloztère; Alliance Gloursonne; Ceinture de la Reine des Voleurs; Coiffe de la Reine des Voleurs; Voile d'encre; Sandales des Fonds marins; Dofus Ocre; Dofus Nébuleux; Dofus Pourpre; Temporiseur majeur; Nomade; Remueur; Croum</t>
        </is>
      </c>
    </row>
    <row r="16020">
      <c r="A16020" t="inlineStr">
        <is>
          <t>Stuff 3</t>
        </is>
      </c>
      <c r="B16020">
        <f>HYPERLINK("https://www.dofusbook.net/fr/equipement/732673-stuff-3/objets", "link")</f>
        <v/>
      </c>
      <c r="C16020" t="n">
        <v>3</v>
      </c>
      <c r="D16020" t="inlineStr">
        <is>
          <t>Dagues Érhy; Amulette du Strigide; Bague Gloursonne; Bracelet du Piloztère; Ceinture du Strigide; Casque de Missiz Frizz; Voile d'encre; Bottes du Chalœil; Dofus Ocre; Dofus Pourpre; Dofus Turquoise; Nomade; Vigoureux majeur; Remueur; Kwaltess</t>
        </is>
      </c>
    </row>
    <row r="16021">
      <c r="A16021" t="inlineStr">
        <is>
          <t>Stuff 1</t>
        </is>
      </c>
      <c r="B16021">
        <f>HYPERLINK("https://www.dofusbook.net/fr/equipement/732737-stuff-1/objets", "link")</f>
        <v/>
      </c>
      <c r="C16021" t="n">
        <v>0</v>
      </c>
      <c r="D16021" t="inlineStr">
        <is>
          <t>Dagues Érhy; Amulette du Strigide; Alliance Gloursonne; Anneau Tique; Ceinture de Vortex; Cagoule de Vortex; Voile d'encre; Pataugastrique; Dofus Pourpre; Cascadeur majeur; Étourdisseur majeur; Vigoureux majeur; Remueur; Nomade; Kramkram</t>
        </is>
      </c>
    </row>
    <row r="16022">
      <c r="A16022" t="inlineStr">
        <is>
          <t>Stuff 2</t>
        </is>
      </c>
      <c r="B16022">
        <f>HYPERLINK("https://www.dofusbook.net/fr/equipement/732732-stuff-2/objets", "link")</f>
        <v/>
      </c>
      <c r="C16022" t="n">
        <v>0</v>
      </c>
      <c r="D16022" t="inlineStr">
        <is>
          <t>Dagues Érhy; Amulette du Strigide; Chevalière du Roi Joueur; Bracelet du Piloztère; Ceinture du Strigide; Casque de Missiz Frizz; Cape des Justiciers; Bottes du Chalœil; Dofus des Glaces; Dofus Pourpre; Dofus Turquoise; Nomade; Vigoureux majeur; Remueur; Kramkram</t>
        </is>
      </c>
    </row>
    <row r="16023">
      <c r="A16023" t="inlineStr">
        <is>
          <t>Stuff 1</t>
        </is>
      </c>
      <c r="B16023">
        <f>HYPERLINK("https://www.dofusbook.net/fr/equipement/732695-stuff-1/objets", "link")</f>
        <v/>
      </c>
      <c r="C16023" t="n">
        <v>0</v>
      </c>
      <c r="D16023" t="inlineStr">
        <is>
          <t>Dagues Érhy; Amulette du Strigide; Bracelet du Piloztère; Bague Gloursonne; Ceinture de Kongoku; Coiffe du Lévitrof; Voile d'encre; Bottes du Lévitrof; Dofus Ocre; Temporiseur majeur; Nomade; Déserteur majeur; Ralentisseur majeur; Remueur; Croum</t>
        </is>
      </c>
    </row>
    <row r="16024">
      <c r="A16024" t="inlineStr">
        <is>
          <t>Stuff 3</t>
        </is>
      </c>
      <c r="B16024">
        <f>HYPERLINK("https://www.dofusbook.net/fr/equipement/732727-stuff-3/objets", "link")</f>
        <v/>
      </c>
      <c r="C16024" t="n">
        <v>0</v>
      </c>
      <c r="D16024" t="inlineStr">
        <is>
          <t>Arc Hétype; Talisman Igans; Anneau Cryochrone; Alliance de Missiz Frizz; Ceintrigue; Masque du Katcheur; Voile d'encre; Pataugastrique; Dofus Pourpre; Guérisseur majeur; Remueur; Érudit majeur; Vigoureux majeur; Nomade; Kramkram</t>
        </is>
      </c>
    </row>
    <row r="16025">
      <c r="A16025" t="inlineStr">
        <is>
          <t>Stuff 2</t>
        </is>
      </c>
      <c r="B16025">
        <f>HYPERLINK("https://www.dofusbook.net/fr/equipement/732690-stuff-2/objets", "link")</f>
        <v/>
      </c>
      <c r="C16025" t="n">
        <v>1</v>
      </c>
      <c r="D16025" t="inlineStr">
        <is>
          <t>Dagues Érhy; Amulette du Strigide; Chevalière du Roi Joueur; Bracelet du Piloztère; Ceintacé; Couronne du Roi Joueur; Cape de la Dame du Hasard; Bottes du Chalœil; Dofus des Glaces; Dofus Pourpre; Dofus Turquoise; Temporiseur majeur; Remueur; Nomade; Kramkram</t>
        </is>
      </c>
    </row>
    <row r="16026">
      <c r="A16026" t="inlineStr">
        <is>
          <t>Stuff 1</t>
        </is>
      </c>
      <c r="B16026">
        <f>HYPERLINK("https://www.dofusbook.net/fr/equipement/732749-stuff-1/objets", "link")</f>
        <v/>
      </c>
      <c r="C16026" t="n">
        <v>0</v>
      </c>
      <c r="D16026" t="inlineStr">
        <is>
          <t>Couteaux à Champignons; Collier du Valet Veinard; Gant du Valet Veinard; Alliance Gloursonne; Ceinture du Barbétoal; Dorabysses; Cape du Kamasterisk; Baleinabottes; Nomade; Cascadeur majeur; Observateur; Remueur; Carapace Neutre majeur; Acrobate majeur; Muldo Ebène et Pourpre</t>
        </is>
      </c>
    </row>
    <row r="16027">
      <c r="A16027" t="inlineStr">
        <is>
          <t>Stuff 1</t>
        </is>
      </c>
      <c r="B16027">
        <f>HYPERLINK("https://www.dofusbook.net/fr/equipement/732653-stuff-1/objets", "link")</f>
        <v/>
      </c>
      <c r="C16027" t="n">
        <v>0</v>
      </c>
      <c r="D16027" t="inlineStr">
        <is>
          <t>Arc Hétype; Collier de la Dame du Hasard; Alliance Gloursonne; Anneau Tique; Ceinture de Kongoku; Couronne de Nidas; Cape de la Dame du Hasard; Pataugastrique; Dofus Turquoise; Dofus Pourpre; Nomade; Remueur; Déserteur majeur; Temporiseur majeur; Croum</t>
        </is>
      </c>
    </row>
    <row r="16028">
      <c r="A16028" t="inlineStr">
        <is>
          <t>Stuff 3</t>
        </is>
      </c>
      <c r="B16028">
        <f>HYPERLINK("https://www.dofusbook.net/fr/equipement/732685-stuff-3/objets", "link")</f>
        <v/>
      </c>
      <c r="C16028" t="n">
        <v>0</v>
      </c>
      <c r="D16028" t="inlineStr">
        <is>
          <t>Dagues Érhy; Amulette du Strigide; Bague Gloursonne; Chevalière du Roi Joueur; Ceinture du Strigide; Bonnet Ko; Voile d'encre; Bottes du Cycloïde; Dofus Turquoise; Dofus Pourpre; Dofus Ocre; Nomade; Remueur; Vigoureux majeur; Muldo Prune et Doré</t>
        </is>
      </c>
    </row>
    <row r="16029">
      <c r="A16029" t="inlineStr">
        <is>
          <t>Stuff 2</t>
        </is>
      </c>
      <c r="B16029">
        <f>HYPERLINK("https://www.dofusbook.net/fr/equipement/732744-stuff-2/objets", "link")</f>
        <v/>
      </c>
      <c r="C16029" t="n">
        <v>1</v>
      </c>
      <c r="D16029" t="inlineStr">
        <is>
          <t>Arc Hétype; Amulette de Nileza; Anneau de Nidas; Anneau Tique; Ceinture de Vortex; Couronne de Nidas; Voile d'encre; Pataugastrique; Guérisseur majeur; Nomade; Miraculé majeur; Remueur; Observateur; Érudit majeur; Kramkram</t>
        </is>
      </c>
    </row>
    <row r="16030">
      <c r="A16030" t="inlineStr">
        <is>
          <t>Stuff 3</t>
        </is>
      </c>
      <c r="B16030">
        <f>HYPERLINK("https://www.dofusbook.net/fr/equipement/732709-stuff-3/objets", "link")</f>
        <v/>
      </c>
      <c r="C16030" t="n">
        <v>0</v>
      </c>
      <c r="D16030" t="inlineStr">
        <is>
          <t>Bâton Beau; Amulette du Strigide; Bracelet du Piloztère; Bague Gloursonne; Ceintacé; Casque du Chalœil; Cape Reski; Bottes du Chalœil; Dofus Pourpre; Dofus Turquoise; Nomade; Remueur; Miraculé majeur; Vigoureux majeur; Kramkram</t>
        </is>
      </c>
    </row>
    <row r="16031">
      <c r="A16031" t="inlineStr">
        <is>
          <t>Stuff 2</t>
        </is>
      </c>
      <c r="B16031">
        <f>HYPERLINK("https://www.dofusbook.net/fr/equipement/732672-stuff-2/objets", "link")</f>
        <v/>
      </c>
      <c r="C16031" t="n">
        <v>0</v>
      </c>
      <c r="D16031" t="inlineStr">
        <is>
          <t>Dagues Érhy; Amulette du Strigide; Chevalière du Roi Joueur; Bracelet du Piloztère; Ceinture du Strigide; Casque de Missiz Frizz; Cape des Justiciers; Bottes du Chalœil; Dofus Turquoise; Dofus des Glaces; Dofus Pourpre; Nomade; Vigoureux majeur; Remueur; Kramkram</t>
        </is>
      </c>
    </row>
    <row r="16032">
      <c r="A16032" t="inlineStr">
        <is>
          <t>Stuff 1</t>
        </is>
      </c>
      <c r="B16032">
        <f>HYPERLINK("https://www.dofusbook.net/fr/equipement/732635-stuff-1/objets", "link")</f>
        <v/>
      </c>
      <c r="C16032" t="n">
        <v>0</v>
      </c>
      <c r="D16032" t="inlineStr">
        <is>
          <t>Dagues de Srambad; Amulette Ementaire Deluxe; Alliance Gloursonne; Pikano; Ceinture de la Reine des Voleurs; Coiffe de la Reine des Voleurs; Voile d'encre; Sandales des Fonds marins; Dofus Pourpre; Dofus Ocre; Dofus des Glaces; Remueur; Nomade; Miraculé majeur; Croum</t>
        </is>
      </c>
    </row>
    <row r="16033">
      <c r="A16033" t="inlineStr">
        <is>
          <t>Stuff 1</t>
        </is>
      </c>
      <c r="B16033">
        <f>HYPERLINK("https://www.dofusbook.net/fr/equipement/732647-stuff-1/objets", "link")</f>
        <v/>
      </c>
      <c r="C16033" t="n">
        <v>0</v>
      </c>
      <c r="D16033" t="inlineStr">
        <is>
          <t>Dagues Érhy; Amulette du Strigide; Bague Gloursonne; Bracelet du Piloztère; Ceinture du Strigide; Coiffe du Lévitrof; Voile d'encre; Bottes du Chalœil; Dofus Turquoise; Dofus Ocre; Dofus Pourpre; Remueur; Vigoureux majeur; Nomade; Kwaltess</t>
        </is>
      </c>
    </row>
    <row r="16034">
      <c r="A16034" t="inlineStr">
        <is>
          <t>Stuff 2</t>
        </is>
      </c>
      <c r="B16034">
        <f>HYPERLINK("https://www.dofusbook.net/fr/equipement/732642-stuff-2/objets", "link")</f>
        <v/>
      </c>
      <c r="C16034" t="n">
        <v>0</v>
      </c>
      <c r="D16034" t="inlineStr">
        <is>
          <t>Bêche Asse; Amulette Ementaire Deluxe; Bague Gloursonne; Bracelet du Piloztère; Ceinture de la Cour Sombre; Chapeau de Gein; Voile d'encre; Bottes de la Cour Sombre; Dofus Ocre; Enragé majeur; Remueur; Étourdisseur majeur; Miraculé majeur; Nomade; Kramkram</t>
        </is>
      </c>
    </row>
    <row r="16035">
      <c r="A16035" t="inlineStr">
        <is>
          <t>Stuff 3</t>
        </is>
      </c>
      <c r="B16035">
        <f>HYPERLINK("https://www.dofusbook.net/fr/equipement/732637-stuff-3/objets", "link")</f>
        <v/>
      </c>
      <c r="C16035" t="n">
        <v>0</v>
      </c>
      <c r="D16035" t="inlineStr">
        <is>
          <t>Hache Ériphe; Amulette du Strigide; Alliance Gloursonne; Bague Gloursonne; Ceinture de la Cour Sombre; Coiffe de la Reine des Voleurs; Cape du Kamasterisk; Baleinabottes; Dofus Pourpre; Vigoureux majeur; Nomade; Cascadeur majeur; Remueur; Miraculé majeur; Croum</t>
        </is>
      </c>
    </row>
    <row r="16036">
      <c r="A16036" t="inlineStr">
        <is>
          <t>Stuff 3</t>
        </is>
      </c>
      <c r="B16036">
        <f>HYPERLINK("https://www.dofusbook.net/fr/equipement/732649-stuff-3/objets", "link")</f>
        <v/>
      </c>
      <c r="C16036" t="n">
        <v>0</v>
      </c>
      <c r="D16036" t="inlineStr">
        <is>
          <t>Sabres d'Atcham; Amulette du Strigide; Alliance Gloursonne; Anneau Tique; Ceinture Voldelor; Chapeau des Malveilleurs; Cape Matelassée; Sandales  d'Atcham; Dofus Pourpre; Dofus des Glaces; Dofus Turquoise; Remueur; Étourdisseur majeur; Nomade; Croum</t>
        </is>
      </c>
    </row>
    <row r="16037">
      <c r="A16037" t="inlineStr">
        <is>
          <t>Stuff 1</t>
        </is>
      </c>
      <c r="B16037">
        <f>HYPERLINK("https://www.dofusbook.net/fr/equipement/732644-stuff-1/objets", "link")</f>
        <v/>
      </c>
      <c r="C16037" t="n">
        <v>0</v>
      </c>
      <c r="D16037" t="inlineStr">
        <is>
          <t>Sabres d'Atcham; Amulette Voldelor; Alliance Gloursonne; Anneau Tique; Ceinture de Vortex; Masque du Barbétoal; Cape d'Atcham; Pataugastrique; Dofus Turquoise; Dofus Pourpre; Remueur; Nomade; Vigoureux majeur; Étourdisseur majeur; Kramkram</t>
        </is>
      </c>
    </row>
    <row r="16038">
      <c r="A16038" t="inlineStr">
        <is>
          <t>Stuff 2</t>
        </is>
      </c>
      <c r="B16038">
        <f>HYPERLINK("https://www.dofusbook.net/fr/equipement/732639-stuff-2/objets", "link")</f>
        <v/>
      </c>
      <c r="C16038" t="n">
        <v>0</v>
      </c>
      <c r="D16038" t="inlineStr">
        <is>
          <t>Arc Nécrotique; Amulette Ementaire Deluxe; Anneau Tique; Alliance Gloursonne; Ceintrigue; Kidibonnet; Voile d'encre; Bottes Owesli; Dofus des Glaces; Dofus Pourpre; Nomade; Remueur; Vigoureux majeur; Miraculé majeur; Kramkram</t>
        </is>
      </c>
    </row>
    <row r="16039">
      <c r="A16039" t="inlineStr">
        <is>
          <t>Stuff 3</t>
        </is>
      </c>
      <c r="B16039">
        <f>HYPERLINK("https://www.dofusbook.net/fr/equipement/732646-stuff-3/objets", "link")</f>
        <v/>
      </c>
      <c r="C16039" t="n">
        <v>0</v>
      </c>
      <c r="D16039" t="inlineStr">
        <is>
          <t>Dagues Érhy; Amulette du Strigide; Bague Gloursonne; Alliance Gloursonne; Ceintacé; Chapeau de Gein; Voile d'encre; Bottes de la Cour Sombre; Dofus des Glaces; Dofus Pourpre; Remueur; Vigoureux majeur; Nomade; Croum</t>
        </is>
      </c>
    </row>
    <row r="16040">
      <c r="A16040" t="inlineStr">
        <is>
          <t>Stuff 1</t>
        </is>
      </c>
      <c r="B16040">
        <f>HYPERLINK("https://www.dofusbook.net/fr/equipement/732641-stuff-1/objets", "link")</f>
        <v/>
      </c>
      <c r="C16040" t="n">
        <v>0</v>
      </c>
      <c r="D16040" t="inlineStr">
        <is>
          <t>Bêche Asse; Amulette du Strigide; Alliance Gloursonne; Anneau de Brouce; Ceinture de Brouce; Chapeau de Gein; Voile d'encre; Baleinabottes; Enragé majeur; Remueur; Paralyseur majeur; Nomade; Étourdisseur majeur; Kramkram</t>
        </is>
      </c>
    </row>
    <row r="16041">
      <c r="A16041" t="inlineStr">
        <is>
          <t>Stuff 2</t>
        </is>
      </c>
      <c r="B16041">
        <f>HYPERLINK("https://www.dofusbook.net/fr/equipement/732636-stuff-2/objets", "link")</f>
        <v/>
      </c>
      <c r="C16041" t="n">
        <v>0</v>
      </c>
      <c r="D16041" t="inlineStr">
        <is>
          <t>Marteau des égarés; Amulette du Strigide; Alliance Gloursonne; Anneau de Padgref; Ceinture du Strigide; Coiffe d'Ogivol; Voile d'encre; Pataugastrique; Dofus Turquoise; Dofus Pourpre; Dofus des Glaces; Remueur; Vigoureux majeur; Nomade; Kramkram</t>
        </is>
      </c>
    </row>
    <row r="16042">
      <c r="A16042" t="inlineStr">
        <is>
          <t>Stuff 2</t>
        </is>
      </c>
      <c r="B16042">
        <f>HYPERLINK("https://www.dofusbook.net/fr/equipement/732648-stuff-2/objets", "link")</f>
        <v/>
      </c>
      <c r="C16042" t="n">
        <v>0</v>
      </c>
      <c r="D16042" t="inlineStr">
        <is>
          <t>Dagues Érhy; Amulette du Strigide; Alliance de Missiz Frizz; Bracelet du Piloztère; Ceinture du Strigide; Coiffe du Glourséleste; Cape Matelassée; Pantoufles Émar; Dofus des Glaces; Dofus Turquoise; Nomade; Vigoureux majeur; Miraculé majeur; Remueur; Dragodinde Prune et Emeraude</t>
        </is>
      </c>
    </row>
    <row r="16043">
      <c r="A16043" t="inlineStr">
        <is>
          <t>Stuff 3</t>
        </is>
      </c>
      <c r="B16043">
        <f>HYPERLINK("https://www.dofusbook.net/fr/equipement/732643-stuff-3/objets", "link")</f>
        <v/>
      </c>
      <c r="C16043" t="n">
        <v>0</v>
      </c>
      <c r="D16043" t="inlineStr">
        <is>
          <t>Arc Hétype; Amulette Séculaire; Anneau de Nidas; Anneau Tique; Ceinture de Vortex; Cagoule de Vortex; Voile d'encre; Pataugastrique; Étourdisseur majeur; Nomade; Temporiseur majeur; Remueur; Érudit majeur; Guérisseur majeur; Kramkram</t>
        </is>
      </c>
    </row>
    <row r="16044">
      <c r="A16044" t="inlineStr">
        <is>
          <t>Stuff 1</t>
        </is>
      </c>
      <c r="B16044">
        <f>HYPERLINK("https://www.dofusbook.net/fr/equipement/732638-stuff-1/objets", "link")</f>
        <v/>
      </c>
      <c r="C16044" t="n">
        <v>0</v>
      </c>
      <c r="D16044" t="inlineStr">
        <is>
          <t>Marteau des égarés; Amulette du Strigide; Alliance Gloursonne; Bracelet du Piloztère; Ceintacé; Coiffe de la Reine des Voleurs; Voile d'encre; Bottes de la Reine des Voleurs; Dofus Turquoise; Dofus Pourpre; Dofus des Glaces; Érudit majeur; Nomade; Remueur; Kramkram</t>
        </is>
      </c>
    </row>
    <row r="16045">
      <c r="A16045" t="inlineStr">
        <is>
          <t>Stuff 3</t>
        </is>
      </c>
      <c r="B16045">
        <f>HYPERLINK("https://www.dofusbook.net/fr/equipement/732649-stuff-3/objets", "link")</f>
        <v/>
      </c>
      <c r="C16045" t="n">
        <v>0</v>
      </c>
      <c r="D16045" t="inlineStr">
        <is>
          <t>Sabres d'Atcham; Amulette du Strigide; Alliance Gloursonne; Anneau Tique; Ceinture Voldelor; Chapeau des Malveilleurs; Cape Matelassée; Sandales  d'Atcham; Dofus des Glaces; Dofus Turquoise; Dofus Pourpre; Étourdisseur majeur; Nomade; Remueur; Croum</t>
        </is>
      </c>
    </row>
    <row r="16046">
      <c r="A16046" t="inlineStr">
        <is>
          <t>Stuff 1</t>
        </is>
      </c>
      <c r="B16046">
        <f>HYPERLINK("https://www.dofusbook.net/fr/equipement/732644-stuff-1/objets", "link")</f>
        <v/>
      </c>
      <c r="C16046" t="n">
        <v>0</v>
      </c>
      <c r="D16046" t="inlineStr">
        <is>
          <t>Sabres d'Atcham; Amulette Voldelor; Anneau Tique; Alliance Gloursonne; Ceinture de Vortex; Masque du Barbétoal; Cape d'Atcham; Pataugastrique; Dofus Pourpre; Dofus Turquoise; Vigoureux majeur; Étourdisseur majeur; Remueur; Nomade; Kramkram</t>
        </is>
      </c>
    </row>
    <row r="16047">
      <c r="A16047" t="inlineStr">
        <is>
          <t>Enutrof F 200</t>
        </is>
      </c>
      <c r="B16047">
        <f>HYPERLINK("https://www.dofusbook.net/fr/equipement/5455787-enutrof-f-200/objets", "link")</f>
        <v/>
      </c>
      <c r="C16047" t="n">
        <v>0</v>
      </c>
      <c r="D16047" t="inlineStr"/>
    </row>
    <row r="16048">
      <c r="A16048" t="inlineStr">
        <is>
          <t>Pandawa M 200</t>
        </is>
      </c>
      <c r="B16048">
        <f>HYPERLINK("https://www.dofusbook.net/fr/equipement/5416121-pandawa-m-200/objets", "link")</f>
        <v/>
      </c>
      <c r="C16048" t="n">
        <v>1</v>
      </c>
      <c r="D16048" t="inlineStr">
        <is>
          <t>L'Épée Nice; Kralamansion; Anneau Aimgéroks; Anneau de la Fuji Givrefoux; Ceinture Rasboulaire du Rasboul; Coiffe de la Fuji Givrefoux; Cape de la Fuji Givrefoux; Bottes de la Fuji Givrefoux; Dofus Cawotte; Dofus Kaliptus; Initiateur majeur; Tacleur majeur; Fugitif majeur; Acrobate majeur; Dragodinde en armure</t>
        </is>
      </c>
    </row>
    <row r="16049">
      <c r="A16049" t="inlineStr">
        <is>
          <t>Sacrieur F 200</t>
        </is>
      </c>
      <c r="B16049">
        <f>HYPERLINK("https://www.dofusbook.net/fr/equipement/5185684-sacrieur-f-200/objets", "link")</f>
        <v/>
      </c>
      <c r="C16049" t="n">
        <v>0</v>
      </c>
      <c r="D16049" t="inlineStr"/>
    </row>
    <row r="16050">
      <c r="A16050" t="inlineStr">
        <is>
          <t>Zobal M 200</t>
        </is>
      </c>
      <c r="B16050">
        <f>HYPERLINK("https://www.dofusbook.net/fr/equipement/5184977-zobal-m-200/objets", "link")</f>
        <v/>
      </c>
      <c r="C16050" t="n">
        <v>0</v>
      </c>
      <c r="D16050" t="inlineStr">
        <is>
          <t>Baguette de Malléfisk; Amulette d'Ilyzaelle; Bague Instable; Anneau Tique; Bouclier d'Ilyzaelle; Sangle Ouare; Kidibonnet; Cape Solution; Bottes Owesli; Remueur; Culbuteur majeur; Nomade; Docteur majeur; Guérisseur majeur; Ploup</t>
        </is>
      </c>
    </row>
    <row r="16051">
      <c r="A16051" t="inlineStr">
        <is>
          <t>Xélor F 200</t>
        </is>
      </c>
      <c r="B16051">
        <f>HYPERLINK("https://www.dofusbook.net/fr/equipement/5150786-xelor-f-200/objets", "link")</f>
        <v/>
      </c>
      <c r="C16051" t="n">
        <v>5</v>
      </c>
      <c r="D16051" t="inlineStr">
        <is>
          <t>Epée Loponèze; Amulette de Shokkoth; Alliance Gloursonne; Bracelet des Fonds marins; Sept ans de malheur; Ceinture du Barbétoal; Diadème de Ganymède; Chevelure de Tal Kasha; Bottes de la Reine des Voleurs; Dofus Ébène; Dofus Abyssal; Dofus Ivoire; Dofus Ocre; Nomade; Étourdisseur majeur; Kramkram</t>
        </is>
      </c>
    </row>
    <row r="16052">
      <c r="A16052" t="inlineStr">
        <is>
          <t>Ouginak F 200</t>
        </is>
      </c>
      <c r="B16052">
        <f>HYPERLINK("https://www.dofusbook.net/fr/equipement/5038234-ouginak-f-200/objets", "link")</f>
        <v/>
      </c>
      <c r="C16052" t="n">
        <v>9</v>
      </c>
      <c r="D16052" t="inlineStr">
        <is>
          <t>Marteau R'ture; Amulette du Strigide; Bague Trithon; Anneau Chevelu; Bouclier Taverne; Ceintacé; Masque de Koutoulou; Cape au Logis; Bottes du Strigide; Dokoko; Dofus Émeraude; Dofus Turquoise; Dofus Abyssal; Nomade; Remueur; Kramkram</t>
        </is>
      </c>
    </row>
    <row r="16053">
      <c r="A16053" t="inlineStr">
        <is>
          <t>Eniripsa F 200</t>
        </is>
      </c>
      <c r="B16053">
        <f>HYPERLINK("https://www.dofusbook.net/fr/equipement/5037156-eniripsa-f-200/objets", "link")</f>
        <v/>
      </c>
      <c r="C16053" t="n">
        <v>0</v>
      </c>
      <c r="D16053" t="inlineStr">
        <is>
          <t>Arc corrompu; Pendentif mignon de Koutoulou; Anneau Tique; Anneau Rifique; Bouclier cubiste; Ceinture de Vortex; Casque Dragoeuf; Cape de Diondin; Pataugastrique; Nomade; Remueur; Bwak de Terre</t>
        </is>
      </c>
    </row>
    <row r="16054">
      <c r="A16054" t="inlineStr">
        <is>
          <t>Pandawa F 200</t>
        </is>
      </c>
      <c r="B16054">
        <f>HYPERLINK("https://www.dofusbook.net/fr/equipement/4679342-pandawa-f-200/objets", "link")</f>
        <v/>
      </c>
      <c r="C16054" t="n">
        <v>2</v>
      </c>
      <c r="D16054" t="inlineStr">
        <is>
          <t>Rouleau à Pâtisserie d'Aermyne; Amulette du Glourséleste; Gelano; Anneau de XLII; Sept ans de malheur; Ceinture de XLII; Coiffe d'Aermyne; Cape d'Aermyne; Bottes de XLII; Dofus Abyssal; Dokoko; Dofus Ivoire; Dofus Émeraude; Bloqueur majeur; Givrefoux</t>
        </is>
      </c>
    </row>
    <row r="16055">
      <c r="A16055" t="inlineStr">
        <is>
          <t>Xélor F 200</t>
        </is>
      </c>
      <c r="B16055">
        <f>HYPERLINK("https://www.dofusbook.net/fr/equipement/4650914-xelor-f-200/objets", "link")</f>
        <v/>
      </c>
      <c r="C16055" t="n">
        <v>3</v>
      </c>
      <c r="D16055" t="inlineStr">
        <is>
          <t>Baguette des égarés; Amulette de Pol Ouatnos; Bague Gloursonne; Alliance Gloursonne; Cadran de Terre; Culotte de Bethel; Masque de Funespadon; Voile d'encre; Chaussons de Macrab; Dofus Ébène; Dofus Nébuleux; Dofus Émeraude; Dofus Ivoire; Dofus Pourpre; Dofus Ocre; Koalak Sanguin</t>
        </is>
      </c>
    </row>
    <row r="16056">
      <c r="A16056" t="inlineStr">
        <is>
          <t>Crâ F 200</t>
        </is>
      </c>
      <c r="B16056">
        <f>HYPERLINK("https://www.dofusbook.net/fr/equipement/4142359-cra-f-200/objets", "link")</f>
        <v/>
      </c>
      <c r="C16056" t="n">
        <v>6</v>
      </c>
      <c r="D16056" t="inlineStr">
        <is>
          <t>Marteau R'ture; Amulette Volcanique; Chevalière du Roi Joueur; Pikano; Bouclier cubiste; Sangle Cible; Casquipik; Cape de Kongoku; Bottes du Cœur Saignant; Ralentisseur majeur; Temporiseur majeur; Enragé majeur; Nomade; Entraveur majeur; Remueur; Volkorne Turquoise et Pourpre</t>
        </is>
      </c>
    </row>
    <row r="16057">
      <c r="A16057" t="inlineStr">
        <is>
          <t>Sadida F 200</t>
        </is>
      </c>
      <c r="B16057">
        <f>HYPERLINK("https://www.dofusbook.net/fr/equipement/4199884-sadida-f-200/objets", "link")</f>
        <v/>
      </c>
      <c r="C16057" t="n">
        <v>13</v>
      </c>
      <c r="D16057" t="inlineStr">
        <is>
          <t>Arc de Koutoulou; Amulette du Strigide; Anneau de Padgref; Bracelet du Piloztère; Bouclier du Stalak; Ceinture du Strigide; Némès de Tal Kasha; Chevelure de Tal Kasha; Bottes du Strigide; Dofus Argenté; Dofus Turquoise; Dofus des Glaces; Dokoko; Dofus Pourpre; Dofus Ocre; Muldo Prune et Emeraude</t>
        </is>
      </c>
    </row>
    <row r="16058">
      <c r="A16058" t="inlineStr">
        <is>
          <t>Enutrof M 200</t>
        </is>
      </c>
      <c r="B16058">
        <f>HYPERLINK("https://www.dofusbook.net/fr/equipement/4233134-enutrof-m-200/objets", "link")</f>
        <v/>
      </c>
      <c r="C16058" t="n">
        <v>2</v>
      </c>
      <c r="D16058" t="inlineStr">
        <is>
          <t>Arc Hétype; Amulette Séculaire; Anneau Tamie; Anneau de Nidas; Bouclier du serrurier; Ceinture Séculaire; Maskrobe; Cape de Diondin; Pantoufles Émar; Dolmanax; Temporiseur majeur; Entraveur majeur; Nomade; Fonceur majeur; Remueur; Médugivre</t>
        </is>
      </c>
    </row>
    <row r="16059">
      <c r="A16059" t="inlineStr">
        <is>
          <t>Crâ F 200</t>
        </is>
      </c>
      <c r="B16059">
        <f>HYPERLINK("https://www.dofusbook.net/fr/equipement/4215492-cra-f-200/objets", "link")</f>
        <v/>
      </c>
      <c r="C16059" t="n">
        <v>0</v>
      </c>
      <c r="D16059" t="inlineStr"/>
    </row>
    <row r="16060">
      <c r="A16060" t="inlineStr">
        <is>
          <t>Féca F 200</t>
        </is>
      </c>
      <c r="B16060">
        <f>HYPERLINK("https://www.dofusbook.net/fr/equipement/4215478-feca-f-200/objets", "link")</f>
        <v/>
      </c>
      <c r="C16060" t="n">
        <v>0</v>
      </c>
      <c r="D16060" t="inlineStr"/>
    </row>
    <row r="16061">
      <c r="A16061" t="inlineStr">
        <is>
          <t>Eniripsa F 200</t>
        </is>
      </c>
      <c r="B16061">
        <f>HYPERLINK("https://www.dofusbook.net/fr/equipement/4172646-eniripsa-f-200/objets", "link")</f>
        <v/>
      </c>
      <c r="C16061" t="n">
        <v>0</v>
      </c>
      <c r="D16061" t="inlineStr">
        <is>
          <t>Dagues Érhy; Amulette d'Otomaï; Kralano; Anneau de Padgref; Bouclier cubiste; Sangle Aise; Coiffe de Padgref; Cape de Nileza; Pantoufles Émar; Dofus Kaliptus; Érudit majeur; Remueur; Voyageur; Miraculé majeur; Nomade; Dragodinde Turquoise et Rousse</t>
        </is>
      </c>
    </row>
    <row r="16062">
      <c r="A16062" t="inlineStr">
        <is>
          <t>eau air</t>
        </is>
      </c>
      <c r="B16062">
        <f>HYPERLINK("https://www.dofusbook.net/fr/equipement/4172542-eau-air/objets", "link")</f>
        <v/>
      </c>
      <c r="C16062" t="n">
        <v>0</v>
      </c>
      <c r="D16062" t="inlineStr"/>
    </row>
    <row r="16063">
      <c r="A16063" t="inlineStr">
        <is>
          <t>Roublard F 200</t>
        </is>
      </c>
      <c r="B16063">
        <f>HYPERLINK("https://www.dofusbook.net/fr/equipement/4165075-roublard-f-200/objets", "link")</f>
        <v/>
      </c>
      <c r="C16063" t="n">
        <v>1</v>
      </c>
      <c r="D16063" t="inlineStr">
        <is>
          <t>La Baguette des Limbes; Amulette du Glourséleste; Gelano; Mitaine Aibre; Bouclier du Bawbawe; Sangle Hyssérine; Coiffe Ainte; Cape Endaison; Bottes Opsy; Dofus Kaliptus; Dofus Émeraude; Dofus Cawotte; Examinateur; Survivant; Survivant majeur; Dragodinde Prune et Turquoise</t>
        </is>
      </c>
    </row>
    <row r="16064">
      <c r="A16064" t="inlineStr">
        <is>
          <t>Eniripsa F 200</t>
        </is>
      </c>
      <c r="B16064">
        <f>HYPERLINK("https://www.dofusbook.net/fr/equipement/4156292-eniripsa-f-200/objets", "link")</f>
        <v/>
      </c>
      <c r="C16064" t="n">
        <v>0</v>
      </c>
      <c r="D16064" t="inlineStr">
        <is>
          <t>Baguette Hernelle; Amulette de Pol Ouatnos; Kralano; Anneau de Padgref; Bouclier du Stalak; Ceintacé; Coiffe de Padgref; Voile d'encre; Bottes du Chalœil; Dofus Kaliptus; Dofus Turquoise; Nomade; Vigoureux majeur; Remueur; Miraculé majeur</t>
        </is>
      </c>
    </row>
    <row r="16065">
      <c r="A16065" t="inlineStr">
        <is>
          <t>pas cher</t>
        </is>
      </c>
      <c r="B16065">
        <f>HYPERLINK("https://www.dofusbook.net/fr/equipement/4156267-pas-cher/objets", "link")</f>
        <v/>
      </c>
      <c r="C16065" t="n">
        <v>4</v>
      </c>
      <c r="D16065" t="inlineStr">
        <is>
          <t>Marteau Phossile; Amulette du Strigide; Anneau de Padgref; Bracelet du Piloztère; Quatre-feuilles; Ceintacé; Heaume Oplate; Cape des Malveilleurs; Getas de Padgref; Dofus Turquoise; Dofus Pourpre; Vigoureux majeur; Remueur; Sanguinaire majeur; Nomade; Muldo Orchidée et Emeraude</t>
        </is>
      </c>
    </row>
    <row r="16066">
      <c r="A16066" t="inlineStr">
        <is>
          <t>Sacrieur M 200</t>
        </is>
      </c>
      <c r="B16066">
        <f>HYPERLINK("https://www.dofusbook.net/fr/equipement/4151634-sacrieur-m-200/objets", "link")</f>
        <v/>
      </c>
      <c r="C16066" t="n">
        <v>8</v>
      </c>
      <c r="D16066" t="inlineStr">
        <is>
          <t>Rapière aux Glyphes; Amulette de Pol Ouatnos; Alliance Gloursonne; Bracelet des Fonds marins; Bouclier d'Ilyzaelle; Poulpagne; Masque des Fonds marins; Cape Solution; Bottes de la Reine des Voleurs; Dofus Pourpre; Dofus Émeraude; Obstructeur majeur; Nomade; Chanceux majeur; Remueur; Kanigloups</t>
        </is>
      </c>
    </row>
    <row r="16067">
      <c r="A16067" t="inlineStr">
        <is>
          <t>Pandawa F 200</t>
        </is>
      </c>
      <c r="B16067">
        <f>HYPERLINK("https://www.dofusbook.net/fr/equipement/4150801-pandawa-f-200/objets", "link")</f>
        <v/>
      </c>
      <c r="C16067" t="n">
        <v>2</v>
      </c>
      <c r="D16067" t="inlineStr">
        <is>
          <t>Lance Horselé; Amulette Martegel; Gant du Valet Veinard; Alliance Gloursonne; Bouclier Feudala; Menoture; Dorabysses; Cape Martegel; Baleinabottes; Dofus Kaliptus; Nomade; Remueur; Dragodinde Amande et Turquoise</t>
        </is>
      </c>
    </row>
    <row r="16068">
      <c r="A16068" t="inlineStr">
        <is>
          <t>aermyne</t>
        </is>
      </c>
      <c r="B16068">
        <f>HYPERLINK("https://www.dofusbook.net/fr/equipement/4116663-aermyne/objets", "link")</f>
        <v/>
      </c>
      <c r="C16068" t="n">
        <v>4</v>
      </c>
      <c r="D16068" t="inlineStr">
        <is>
          <t>Rouleau à Pâtisserie d'Aermyne; Amulette du Glourséleste; Anneau de XLII; Gelano; Bouclier Feudala; Ceinture de XLII; Coiffe d'Aermyne; Cape d'Aermyne; Bottes de XLII; Dokoko; Dofus Kaliptus; Dofus Émeraude; Survivant majeur; Précurseur majeur; Tacleur majeur; Dragodinde Amande et Turquoise</t>
        </is>
      </c>
    </row>
    <row r="16069">
      <c r="A16069" t="inlineStr">
        <is>
          <t>Ouginak F 200</t>
        </is>
      </c>
      <c r="B16069">
        <f>HYPERLINK("https://www.dofusbook.net/fr/equipement/4103301-ouginak-f-200/objets", "link")</f>
        <v/>
      </c>
      <c r="C16069" t="n">
        <v>1</v>
      </c>
      <c r="D16069" t="inlineStr">
        <is>
          <t>Épée du Granduk; Amulette du Granduk; Alliance Gloursonne; Anneau de Brouce; Bouclier d'Ilyzaelle; Ceinture de Brouce; Masque du Granduk; Cape du Chalœil; Bottes de Brouce; Dofus Émeraude; Dofus des Glaces; Dofus Pourpre; Dofus Abyssal; Dofus Turquoise; Dofus Ocre; Kramkram</t>
        </is>
      </c>
    </row>
    <row r="16070">
      <c r="A16070" t="inlineStr">
        <is>
          <t>airairair</t>
        </is>
      </c>
      <c r="B16070">
        <f>HYPERLINK("https://www.dofusbook.net/fr/equipement/4142352-airairair/objets", "link")</f>
        <v/>
      </c>
      <c r="C16070" t="n">
        <v>0</v>
      </c>
      <c r="D16070" t="inlineStr">
        <is>
          <t>Karnak; Frimamulette; Alliance Gloursonne; Anneau d'Allister; Ceinture Rasboulaire du Rasboul; Couronne d'Allister; Cape de Klime; Pantoufles Émar</t>
        </is>
      </c>
    </row>
    <row r="16071">
      <c r="A16071" t="inlineStr">
        <is>
          <t>feufeufeu</t>
        </is>
      </c>
      <c r="B16071">
        <f>HYPERLINK("https://www.dofusbook.net/fr/equipement/4142304-feufeufeu/objets", "link")</f>
        <v/>
      </c>
      <c r="C16071" t="n">
        <v>2</v>
      </c>
      <c r="D16071" t="inlineStr">
        <is>
          <t>Arc corrompu; Amulette de Nileza; Anneau de Padgref; Anneau Tique; Bouclier cubiste; Ceintacé; Couronne de Nidas; Cape de Nileza; Pataugastrique; Dofus Turquoise; Vigoureux majeur; Nomade; Érudit majeur; Remueur; Dragodinde Turquoise et Orchidée</t>
        </is>
      </c>
    </row>
    <row r="16072">
      <c r="A16072" t="inlineStr">
        <is>
          <t>Eniripsa F 200</t>
        </is>
      </c>
      <c r="B16072">
        <f>HYPERLINK("https://www.dofusbook.net/fr/equipement/4138258-eniripsa-f-200/objets", "link")</f>
        <v/>
      </c>
      <c r="C16072" t="n">
        <v>1</v>
      </c>
      <c r="D16072" t="inlineStr"/>
    </row>
    <row r="16073">
      <c r="A16073" t="inlineStr">
        <is>
          <t>Eliotrope F 200</t>
        </is>
      </c>
      <c r="B16073">
        <f>HYPERLINK("https://www.dofusbook.net/fr/equipement/4131863-eliotrope-f-200/objets", "link")</f>
        <v/>
      </c>
      <c r="C16073" t="n">
        <v>0</v>
      </c>
      <c r="D16073" t="inlineStr">
        <is>
          <t>Karnak; Amulette Voldelor; Anneau Tique; Alliance Gloursonne; Ambrouclier; Ceinture du Barbétoal; Masque du Barbétoal; Cape Matelassée; Pantoufles Émar; Dofus Kaliptus; Fonceur majeur; Nomade; Cascadeur majeur; Remueur; Miraculé majeur; Dragodinde Prune et Turquoise</t>
        </is>
      </c>
    </row>
    <row r="16074">
      <c r="A16074" t="inlineStr">
        <is>
          <t>Iop M 200</t>
        </is>
      </c>
      <c r="B16074">
        <f>HYPERLINK("https://www.dofusbook.net/fr/equipement/4132742-iop-m-200/objets", "link")</f>
        <v/>
      </c>
      <c r="C16074" t="n">
        <v>3</v>
      </c>
      <c r="D16074" t="inlineStr">
        <is>
          <t>Marteau des Anciens Steamers; Amulette du Strigide; Bague Trithon; Anneau Toriété; Bouclier du Captain Amakna; Menoture; Casque Dragoeuf; Cape Solution; Bottes Trithon; Dofus des Glaces; Dofus Turquoise; Dofus Pourpre; Nomade; Vigoureux majeur; Remueur; Kokulte</t>
        </is>
      </c>
    </row>
    <row r="16075">
      <c r="A16075" t="inlineStr">
        <is>
          <t>Iop M 200</t>
        </is>
      </c>
      <c r="B16075">
        <f>HYPERLINK("https://www.dofusbook.net/fr/equipement/4132741-iop-m-200/objets", "link")</f>
        <v/>
      </c>
      <c r="C16075" t="n">
        <v>0</v>
      </c>
      <c r="D16075" t="inlineStr"/>
    </row>
    <row r="16076">
      <c r="A16076" t="inlineStr">
        <is>
          <t>Iop M 200</t>
        </is>
      </c>
      <c r="B16076">
        <f>HYPERLINK("https://www.dofusbook.net/fr/equipement/4084351-iop-m-200/objets", "link")</f>
        <v/>
      </c>
      <c r="C16076" t="n">
        <v>3</v>
      </c>
      <c r="D16076" t="inlineStr">
        <is>
          <t>Epée Toche; Amulette du Strigide; Bague Gloursonne; Anneau Chevelu; Bouclier du Captain Amakna; Ceintacé; Masque de Koutoulou; Cape au Logis; Bottes du Strigide; Dofus Kaliptus; Dofus Pourpre; Dofus Turquoise; Nomade; Enragé majeur; Remueur; Dragodinde Ivoire et Turquoise</t>
        </is>
      </c>
    </row>
    <row r="16077">
      <c r="A16077" t="inlineStr">
        <is>
          <t>zob eau do pou</t>
        </is>
      </c>
      <c r="B16077">
        <f>HYPERLINK("https://www.dofusbook.net/fr/equipement/4076559-zob-eau-do-pou/objets", "link")</f>
        <v/>
      </c>
      <c r="C16077" t="n">
        <v>5</v>
      </c>
      <c r="D16077" t="inlineStr">
        <is>
          <t>Rapière aux Glyphes; Amulette du Sinistrofu; Bague Trithon; Alliance Gloursonne; Bouclier précieux; Sangle Ouare; Casque Dragoeuf; Cape Solution; Bottes Trithon; Dofus Émeraude; Dofus Abyssal; Dofus Ivoire; Culbuteur majeur; Remueur; Culbuteur; Péki</t>
        </is>
      </c>
    </row>
    <row r="16078">
      <c r="A16078" t="inlineStr">
        <is>
          <t>Ouginak F 200</t>
        </is>
      </c>
      <c r="B16078">
        <f>HYPERLINK("https://www.dofusbook.net/fr/equipement/4068397-ouginak-f-200/objets", "link")</f>
        <v/>
      </c>
      <c r="C16078" t="n">
        <v>12</v>
      </c>
      <c r="D16078" t="inlineStr">
        <is>
          <t>Marteau R'ture; Amulette du Strigide; Bague Trithon; Anneau Chevelu; Bouclier du Captain Amakna; Ceinture du Strigide; Masque de Koutoulou; Cape au Logis; Bottes de Brouce; Dofus Émeraude; Dofus Abyssal; Dofus Pourpre; Dofus Turquoise; Remueur; Vigoureux majeur; Kokulte</t>
        </is>
      </c>
    </row>
    <row r="16079">
      <c r="A16079" t="inlineStr">
        <is>
          <t>Sram F 200</t>
        </is>
      </c>
      <c r="B16079">
        <f>HYPERLINK("https://www.dofusbook.net/fr/equipement/4099892-sram-f-200/objets", "link")</f>
        <v/>
      </c>
      <c r="C16079" t="n">
        <v>0</v>
      </c>
      <c r="D16079" t="inlineStr"/>
    </row>
    <row r="16080">
      <c r="A16080" t="inlineStr">
        <is>
          <t>Eliotrope F 200</t>
        </is>
      </c>
      <c r="B16080">
        <f>HYPERLINK("https://www.dofusbook.net/fr/equipement/4099530-eliotrope-f-200/objets", "link")</f>
        <v/>
      </c>
      <c r="C16080" t="n">
        <v>13</v>
      </c>
      <c r="D16080" t="inlineStr">
        <is>
          <t>Hache Ériphe; Amulette de Pol Ouatnos; Alliance Gloursonne; Anneau des égarés; La Rondelle; Ceinture Volkorne; Casque des égarés; Voile d'encre; Baleinabottes; Dofus Abyssal; Dofus des Glaces; Dofus Pourpre; Temporiseur majeur; Vigoureux majeur; Remueur; Mékrabe</t>
        </is>
      </c>
    </row>
    <row r="16081">
      <c r="A16081" t="inlineStr">
        <is>
          <t>Eliotrope F 200</t>
        </is>
      </c>
      <c r="B16081">
        <f>HYPERLINK("https://www.dofusbook.net/fr/equipement/4089660-eliotrope-f-200/objets", "link")</f>
        <v/>
      </c>
      <c r="C16081" t="n">
        <v>9</v>
      </c>
      <c r="D16081" t="inlineStr">
        <is>
          <t>Karnak; Collier du Valet Veinard; Gant du Valet Veinard; Alliance Gloursonne; Ambrouclier; Menoture; Dorabysses; Cape Martegel; Baleinabottes; Dofus Abyssal; Dofus Pourpre; Remueur; Cascadeur majeur; Miraculé majeur; Nomade; Blérodoudou</t>
        </is>
      </c>
    </row>
    <row r="16082">
      <c r="A16082" t="inlineStr">
        <is>
          <t>iop F 200</t>
        </is>
      </c>
      <c r="B16082">
        <f>HYPERLINK("https://www.dofusbook.net/fr/equipement/4089401-iop-f-200/objets", "link")</f>
        <v/>
      </c>
      <c r="C16082" t="n">
        <v>6</v>
      </c>
      <c r="D16082" t="inlineStr">
        <is>
          <t>Lav'Hache; Torquistik; Anneau Chevelu; Bague Trithon; Bouclier précieux; Ceinture Gence; Casque Dragoeuf; Voile d'encre; Bottistik; Dofus des Glaces; Dofus Abyssal; Dofus Pourpre; Nomade; Remueur; Culbuteur majeur; Black Tiwabbit</t>
        </is>
      </c>
    </row>
    <row r="16083">
      <c r="A16083" t="inlineStr">
        <is>
          <t>Sacrieur F 200</t>
        </is>
      </c>
      <c r="B16083">
        <f>HYPERLINK("https://www.dofusbook.net/fr/equipement/4087939-sacrieur-f-200/objets", "link")</f>
        <v/>
      </c>
      <c r="C16083" t="n">
        <v>5</v>
      </c>
      <c r="D16083" t="inlineStr">
        <is>
          <t>Lance Horselé; Amulette Martegel; Gant du Valet Veinard; Alliance Gloursonne; Bouclier d'Ilyzaelle; Menoture; Casque Dragoeuf; Cape Martegel; Palmes Trithons; Dofus Émeraude; Dofus Ivoire; Dofus Ocre; Dofus Abyssal; Miraculé majeur; Nomade; Petit Chacha Blanc</t>
        </is>
      </c>
    </row>
    <row r="16084">
      <c r="A16084" t="inlineStr">
        <is>
          <t>Crâ F 200</t>
        </is>
      </c>
      <c r="B16084">
        <f>HYPERLINK("https://www.dofusbook.net/fr/equipement/4041777-cra-f-200/objets", "link")</f>
        <v/>
      </c>
      <c r="C16084" t="n">
        <v>8</v>
      </c>
      <c r="D16084" t="inlineStr">
        <is>
          <t>Hache du Chalœil; Amulette Luminescente; Bracelet du Piloztère; Chevalière du Roi Joueur; Quatre-feuilles; Ceinture Luminescente; Couronne du Roi Joueur; Cape Luminescente; Bottes du Roi Joueur; Dofus Nébuleux; Dofus Ocre; Dofus Pourpre; Dofus des Glaces; Dofus Turquoise; Ralentisseur majeur; Muldo Prune et Emeraude</t>
        </is>
      </c>
    </row>
    <row r="16085">
      <c r="A16085" t="inlineStr">
        <is>
          <t>Ouginak F 200</t>
        </is>
      </c>
      <c r="B16085">
        <f>HYPERLINK("https://www.dofusbook.net/fr/equipement/4068553-ouginak-f-200/objets", "link")</f>
        <v/>
      </c>
      <c r="C16085" t="n">
        <v>4</v>
      </c>
      <c r="D16085" t="inlineStr">
        <is>
          <t>Masse Ossiale; Amulette du Sinistrofu; Bague Instable; Alliance Gloursonne; Bouclier précieux; Sangle Ouare; Chapeau des Malveilleurs; Cape des Malveilleurs; Pataugastrique; Dofus des Glaces; Dofus Pourpre; Nomade; Vigoureux majeur; Remueur; Culbuteur majeur; El Scarador</t>
        </is>
      </c>
    </row>
    <row r="16086">
      <c r="A16086" t="inlineStr">
        <is>
          <t>full ret</t>
        </is>
      </c>
      <c r="B16086">
        <f>HYPERLINK("https://www.dofusbook.net/fr/equipement/985548-full-ret/objets", "link")</f>
        <v/>
      </c>
      <c r="C16086" t="n">
        <v>17</v>
      </c>
      <c r="D16086" t="inlineStr">
        <is>
          <t>Marteau R'ture; Amulette du Glourséleste; Anneau Tamie; Anneau Tamie; Bouclier du serrurier; Ceinture de Kongoku; Boucle d'oreille de Kongoku; Cape de Léthaline; Pantoufles Émar; Remueur; Temporiseur majeur; Temporiseur; Entraveur majeur; Entraveur; Ralentisseur majeur; Volkorne Turquoise</t>
        </is>
      </c>
    </row>
    <row r="16087">
      <c r="A16087" t="inlineStr">
        <is>
          <t>terre terre terre</t>
        </is>
      </c>
      <c r="B16087">
        <f>HYPERLINK("https://www.dofusbook.net/fr/equipement/4057106-terre-terre-terre/objets", "link")</f>
        <v/>
      </c>
      <c r="C16087" t="n">
        <v>0</v>
      </c>
      <c r="D16087" t="inlineStr"/>
    </row>
    <row r="16088">
      <c r="A16088" t="inlineStr">
        <is>
          <t>lepapytuningfeu</t>
        </is>
      </c>
      <c r="B16088">
        <f>HYPERLINK("https://www.dofusbook.net/fr/equipement/4043496-lepapytuningfeu/objets", "link")</f>
        <v/>
      </c>
      <c r="C16088" t="n">
        <v>4</v>
      </c>
      <c r="D16088" t="inlineStr">
        <is>
          <t>Arc Hétype; Amulette du Glourséleste; Anneau Tamie; Anneau Tamie; Bouclier du serrurier; Ceinture Hyolite; Chapeau Lochon; Cape Matelassée; Pantoufles Émar; Temporiseur majeur; Remueur; Précurseur majeur; Miraculé majeur; Fonceur majeur; Nomade; Médugivre</t>
        </is>
      </c>
    </row>
    <row r="16089">
      <c r="A16089" t="inlineStr">
        <is>
          <t>Sadida F 200</t>
        </is>
      </c>
      <c r="B16089">
        <f>HYPERLINK("https://www.dofusbook.net/fr/equipement/4014559-sadida-f-200/objets", "link")</f>
        <v/>
      </c>
      <c r="C16089" t="n">
        <v>1</v>
      </c>
      <c r="D16089" t="inlineStr"/>
    </row>
    <row r="16090">
      <c r="A16090" t="inlineStr">
        <is>
          <t>Huppermage M 200</t>
        </is>
      </c>
      <c r="B16090">
        <f>HYPERLINK("https://www.dofusbook.net/fr/equipement/4007226-huppermage-m-200/objets", "link")</f>
        <v/>
      </c>
      <c r="C16090" t="n">
        <v>5</v>
      </c>
      <c r="D16090" t="inlineStr">
        <is>
          <t>Arc du Chalœil; Amulette du Strigide; Anneau Chevelu; Bracelet du Piloztère; Cadran de Terre; Ceintacé; Masque de Koutoulou; Cape au Logis; Bottes du Strigide; Dofus Pourpre; Dofus des Glaces; Dofus Turquoise; Nomade; Enragé majeur; Vigoureux majeur; Dragodinde Emeraude et Pourpre</t>
        </is>
      </c>
    </row>
    <row r="16091">
      <c r="A16091" t="inlineStr">
        <is>
          <t>Osamodas F 200</t>
        </is>
      </c>
      <c r="B16091">
        <f>HYPERLINK("https://www.dofusbook.net/fr/equipement/4000586-osamodas-f-200/objets", "link")</f>
        <v/>
      </c>
      <c r="C16091" t="n">
        <v>2</v>
      </c>
      <c r="D16091" t="inlineStr"/>
    </row>
    <row r="16092">
      <c r="A16092" t="inlineStr">
        <is>
          <t>Eau/res/retrait</t>
        </is>
      </c>
      <c r="B16092">
        <f>HYPERLINK("https://www.dofusbook.net/fr/equipement/706978-eau-res-retrait/objets", "link")</f>
        <v/>
      </c>
      <c r="C16092" t="n">
        <v>6</v>
      </c>
      <c r="D16092" t="inlineStr">
        <is>
          <t>Sceptre du Roi Joueur; Amulette de Shokkoth; Pikano; Alliance Gloursonne; Bouclier cubiste; Poulpagne; Casquipik; Cape Matelassée; Bottes de la Reine des Voleurs; Temporiseur majeur; Remueur; Ralentisseur majeur; Entraveur majeur; Fonceur majeur; Nomade; Muldo Doré et Indigo</t>
        </is>
      </c>
    </row>
    <row r="16093">
      <c r="A16093" t="inlineStr">
        <is>
          <t>Ouginak F 200</t>
        </is>
      </c>
      <c r="B16093">
        <f>HYPERLINK("https://www.dofusbook.net/fr/equipement/5882302-ouginak-f-200/objets", "link")</f>
        <v/>
      </c>
      <c r="C16093" t="n">
        <v>0</v>
      </c>
      <c r="D16093" t="inlineStr">
        <is>
          <t>Marteau R'ture; Amulette du Cœur Saignant; Anneau Chevelu; Anneau Volkorne; Bouclier d'Ilyzaelle; Ceinture Volkorne; Masque de Koutoulou; Cape au Logis; Bottes du Cœur Saignant; Dofus Turquoise; Dofus Ébène; Dofus Ocre; Dofus Émeraude; Dofus Ivoire; Dofus Abyssal; Pioute vert</t>
        </is>
      </c>
    </row>
    <row r="16094">
      <c r="A16094" t="inlineStr">
        <is>
          <t>Crâ F 200</t>
        </is>
      </c>
      <c r="B16094">
        <f>HYPERLINK("https://www.dofusbook.net/fr/equipement/5834263-cra-f-200/objets", "link")</f>
        <v/>
      </c>
      <c r="C16094" t="n">
        <v>0</v>
      </c>
      <c r="D16094" t="inlineStr">
        <is>
          <t>Sabres d'Atcham; Amulette Volkorne; Anneau Volkorne; Anneau de Padgref; Quatre-feuilles; Ceinture Volkorne; Coiffe de Padgref; Chevelure de Tal Kasha; Getas de Padgref; Dofus Vulbis; Dofus des Glaces; Dofus Turquoise; Dofus Ivoire; Dofus Ocre; Dofus Ébène; Sakochère</t>
        </is>
      </c>
    </row>
    <row r="16095">
      <c r="A16095" t="inlineStr">
        <is>
          <t>Crâ F 200</t>
        </is>
      </c>
      <c r="B16095">
        <f>HYPERLINK("https://www.dofusbook.net/fr/equipement/5803756-cra-f-200/objets", "link")</f>
        <v/>
      </c>
      <c r="C16095" t="n">
        <v>0</v>
      </c>
      <c r="D16095" t="inlineStr">
        <is>
          <t>Dagoulinantes; Amulette de Shokkoth; Alliance Gloursonne; Anneau Volkorne; Cadran de Terre; Sangle Cible; Masque de Funespadon; Cape Solution; Chaussons de Macrab; Dofus Ivoire; Dofus Ocre; Dofus Ébène; Dofus Vulbis; Dofus des Glaces; Chanceux majeur; Dragodinde Amande et Indigo</t>
        </is>
      </c>
    </row>
    <row r="16096">
      <c r="A16096" t="inlineStr">
        <is>
          <t>Huppermage F 200</t>
        </is>
      </c>
      <c r="B16096">
        <f>HYPERLINK("https://www.dofusbook.net/fr/equipement/5790190-huppermage-f-200/objets", "link")</f>
        <v/>
      </c>
      <c r="C16096" t="n">
        <v>0</v>
      </c>
      <c r="D16096" t="inlineStr">
        <is>
          <t>Crocobur; Amulette d'Ilyzaelle; Anneau Tique; Alliance Gloursonne; Bouclier d'Ilyzaelle; Ceinture de Dame Jhessica; Casque d'Ilyzaelle; Cape de l'Œil Attentif; Bottes du Sinistrofu; Dofus Vulbis; Dofus Abyssal; Dofus Émeraude; Dofus Ivoire; Dofus Ocre; Dofus Ébène; Kanigloups</t>
        </is>
      </c>
    </row>
    <row r="16097">
      <c r="A16097" t="inlineStr">
        <is>
          <t>Crâ F 200</t>
        </is>
      </c>
      <c r="B16097">
        <f>HYPERLINK("https://www.dofusbook.net/fr/equipement/5765247-cra-f-200/objets", "link")</f>
        <v/>
      </c>
      <c r="C16097" t="n">
        <v>0</v>
      </c>
      <c r="D16097" t="inlineStr">
        <is>
          <t>Sabres d'Atcham; Amulette Volkorne; Anneau Tique; Anneau Volkorne; Quatre-feuilles; Ceinture de l'Esprit Malsain; Masque de l'Esprit Malsain; Cape d'Atcham; Sandales  d'Atcham; Dofus Turquoise; Dofus Ivoire; Dofus Ocre; Dofus Ébène; Dofus Vulbis; Dofus des Glaces; Sakochère</t>
        </is>
      </c>
    </row>
    <row r="16098">
      <c r="A16098" t="inlineStr">
        <is>
          <t>Steamer M 200</t>
        </is>
      </c>
      <c r="B16098">
        <f>HYPERLINK("https://www.dofusbook.net/fr/equipement/5354527-steamer-m-200/objets", "link")</f>
        <v/>
      </c>
      <c r="C16098" t="n">
        <v>0</v>
      </c>
      <c r="D16098" t="inlineStr">
        <is>
          <t>Hache du Chalœil; Amulette du Strigide; Bague Trithon; Crocanneau; Quatre-feuilles; Ceinture du Strigide; Masque Trithon; Cape de la Dame du Hasard; Bottes de la Dame du Hasard; Dofus Ocre; Dofus des Glaces; Dofus Ivoire; Dofus Vulbis; Dofus Turquoise; Dofus Ébène; Kokulte</t>
        </is>
      </c>
    </row>
    <row r="16099">
      <c r="A16099" t="inlineStr">
        <is>
          <t>Crâ F 200</t>
        </is>
      </c>
      <c r="B16099">
        <f>HYPERLINK("https://www.dofusbook.net/fr/equipement/5761056-cra-f-200/objets", "link")</f>
        <v/>
      </c>
      <c r="C16099" t="n">
        <v>2</v>
      </c>
      <c r="D16099" t="inlineStr">
        <is>
          <t>Arc de Koutoulou; Amulette Voldelor; Alliance Gloursonne; Anneau Volkorne; Cadran de Terre; Ceinture Voldelor; Casque Volkorne; Chevelure de Tal Kasha; Bottes Voldelor; Dofus Vulbis; Dofus des Glaces; Dofus Turquoise; Dofus Ivoire; Dofus Ocre; Dofus Ébène; Volkorne Ivoire et Indigo</t>
        </is>
      </c>
    </row>
    <row r="16100">
      <c r="A16100" t="inlineStr">
        <is>
          <t>Crâ F 200</t>
        </is>
      </c>
      <c r="B16100">
        <f>HYPERLINK("https://www.dofusbook.net/fr/equipement/5728266-cra-f-200/objets", "link")</f>
        <v/>
      </c>
      <c r="C16100" t="n">
        <v>1</v>
      </c>
      <c r="D16100" t="inlineStr">
        <is>
          <t>Lance Horselé; Collier du Valet Veinard; Anneau d'Allister; Gant du Valet Veinard; Bouclier du Stalak; Sangle Oriole; Couronne d'Allister; Cape du Valet Veinard; Bottes d'Allister; Dofus Vulbis; Dofus Ébène; Dofus Ocre; Dofus des Glaces; Dofus Ivoire; Dofus Nébuleux; Blérodoudou</t>
        </is>
      </c>
    </row>
    <row r="16101">
      <c r="A16101" t="inlineStr">
        <is>
          <t>Crâ F 200</t>
        </is>
      </c>
      <c r="B16101">
        <f>HYPERLINK("https://www.dofusbook.net/fr/equipement/5728063-cra-f-200/objets", "link")</f>
        <v/>
      </c>
      <c r="C16101" t="n">
        <v>1</v>
      </c>
      <c r="D16101" t="inlineStr">
        <is>
          <t>Sceptre du Roi Joueur; Amulette de Shokkoth; Bracelet des Fonds marins; Anneau Volkorne; Cadran de Terre; Sangle Cible; Masque des Fonds marins; Cape de l'Œil Attentif; Sandales des Fonds marins; Dofus Ocre; Dofus des Glaces; Dofus Abyssal; Dofus Ivoire; Dofus Vulbis; Dofus Ébène; Volkorne Ivoire et Indigo</t>
        </is>
      </c>
    </row>
    <row r="16102">
      <c r="A16102" t="inlineStr">
        <is>
          <t>Féca M 200</t>
        </is>
      </c>
      <c r="B16102">
        <f>HYPERLINK("https://www.dofusbook.net/fr/equipement/5728062-feca-m-200/objets", "link")</f>
        <v/>
      </c>
      <c r="C16102" t="n">
        <v>0</v>
      </c>
      <c r="D16102" t="inlineStr"/>
    </row>
    <row r="16103">
      <c r="A16103" t="inlineStr">
        <is>
          <t>Huppermage F 200</t>
        </is>
      </c>
      <c r="B16103">
        <f>HYPERLINK("https://www.dofusbook.net/fr/equipement/5691430-huppermage-f-200/objets", "link")</f>
        <v/>
      </c>
      <c r="C16103" t="n">
        <v>0</v>
      </c>
      <c r="D16103" t="inlineStr">
        <is>
          <t>Arc Volkorne; Amulette Volkorne; Bague Gloursonne; Anneau Volkorne; Bouclier du Stalak; Ceinture de la Reine des Voleurs; Coiffe de la Reine des Voleurs; Voilamibe; Bottes de la Reine des Voleurs; Dofus Pourpre; Dofus Ébène; Dofus Ocre; Dofus des Glaces; Dofus Ivoire; Dofus Abyssal; Bisouglours</t>
        </is>
      </c>
    </row>
    <row r="16104">
      <c r="A16104" t="inlineStr">
        <is>
          <t>Sadida F 200</t>
        </is>
      </c>
      <c r="B16104">
        <f>HYPERLINK("https://www.dofusbook.net/fr/equipement/5691127-sadida-f-200/objets", "link")</f>
        <v/>
      </c>
      <c r="C16104" t="n">
        <v>1</v>
      </c>
      <c r="D16104" t="inlineStr">
        <is>
          <t>Manthache; Collier du Valet Veinard; Alliance Gloursonne; Gant du Valet Veinard; Cadran d'Air; Ceinture de la Reine des Voleurs; Coiffe de la Reine des Voleurs; Cape du Valet Veinard; Bottes de la Reine des Voleurs; Dofus Ocre; Dofus Abyssal; Dofus Ébène; Dofus Ivoire; Dofus Vulbis; Dofus des Glaces; Blérodoudou</t>
        </is>
      </c>
    </row>
    <row r="16105">
      <c r="A16105" t="inlineStr">
        <is>
          <t>Sadida F 200</t>
        </is>
      </c>
      <c r="B16105">
        <f>HYPERLINK("https://www.dofusbook.net/fr/equipement/4237014-sadida-f-200/objets", "link")</f>
        <v/>
      </c>
      <c r="C16105" t="n">
        <v>3</v>
      </c>
      <c r="D16105" t="inlineStr">
        <is>
          <t>Dagoulinantes; Amulette du Sinistrofu; Alliance Gloursonne; Anneau Volkorne; Ceinture Volkorne; Masque Paztek; Cape du Sinistrofu; Bottes du Sinistrofu; Dofus Ivoire; Dofus Ébène; Dofus Vulbis; Dofus Ocre; Dofus des Glaces; Kanigloups</t>
        </is>
      </c>
    </row>
    <row r="16106">
      <c r="A16106" t="inlineStr">
        <is>
          <t>Zobal M 200</t>
        </is>
      </c>
      <c r="B16106">
        <f>HYPERLINK("https://www.dofusbook.net/fr/equipement/5678377-zobal-m-200/objets", "link")</f>
        <v/>
      </c>
      <c r="C16106" t="n">
        <v>0</v>
      </c>
      <c r="D16106" t="inlineStr">
        <is>
          <t>Baguette de Malléfisk; Ougamulette; Alliance Gloursonne; Bague Instable; Kloume; Ceinture Instable; Kanistère; Cape du Boufcoul; Bottines des sous-bois; Initiateur; Précurseur majeur; Précurseur; Initiateur majeur; Fonceur; Fonceur majeur; Dragodinde Amande</t>
        </is>
      </c>
    </row>
    <row r="16107">
      <c r="A16107" t="inlineStr">
        <is>
          <t>resi lance corrompu</t>
        </is>
      </c>
      <c r="B16107">
        <f>HYPERLINK("https://www.dofusbook.net/fr/equipement/2630630-resi--lance-corrompu/objets", "link")</f>
        <v/>
      </c>
      <c r="C16107" t="n">
        <v>8</v>
      </c>
      <c r="D16107" t="inlineStr">
        <is>
          <t>Amulette du Cœur Saignant; Chevalière du Roi Joueur; Anneau Volkorne; Ceinture Volkorne; Couronne du Roi Joueur; Cape du Cœur Saignant; Bottes du Cœur Saignant; Dofus Ocre; Dofus Ivoire; Dofus Vulbis; Dofus des Glaces; Dofus Turquoise; Dofus Abyssal; Sakochère</t>
        </is>
      </c>
    </row>
    <row r="16108">
      <c r="A16108" t="inlineStr">
        <is>
          <t>Féca F 200</t>
        </is>
      </c>
      <c r="B16108">
        <f>HYPERLINK("https://www.dofusbook.net/fr/equipement/5635384-feca-f-200/objets", "link")</f>
        <v/>
      </c>
      <c r="C16108" t="n">
        <v>1</v>
      </c>
      <c r="D16108" t="inlineStr">
        <is>
          <t>Dagoulinantes; Amulette de Shokkoth; Alliance Gloursonne; Anneau Volkorne; Quatre-feuilles; Ceinture Volkorne; Capuche de l'Œil Attentif; Cape Solution; Bottes Antouche; Dofus Turquoise; Dofus des Glaces; Dofus Pourpre; Dofus Vulbis; Dofus Ocre; Dofus Ébène; Kanigloups</t>
        </is>
      </c>
    </row>
    <row r="16109">
      <c r="A16109" t="inlineStr">
        <is>
          <t>Sadida F 200</t>
        </is>
      </c>
      <c r="B16109">
        <f>HYPERLINK("https://www.dofusbook.net/fr/equipement/5620787-sadida-f-200/objets", "link")</f>
        <v/>
      </c>
      <c r="C16109" t="n">
        <v>0</v>
      </c>
      <c r="D16109" t="inlineStr">
        <is>
          <t>Hache du Korriandre; Amulette du Strigide; Bague Trithon; Bouclier du Captain Amakna; Ceinture du Strigide; Masque Trithon; Chevelure de Tal Kasha; Sandales de Tal Kasha; Dokoko; Dofus Ocre; Dofus Émeraude; Dofus Ébène; Dofus Turquoise; Dofus des Glaces; Kokulte</t>
        </is>
      </c>
    </row>
    <row r="16110">
      <c r="A16110" t="inlineStr">
        <is>
          <t>Sacrieur F 200</t>
        </is>
      </c>
      <c r="B16110">
        <f>HYPERLINK("https://www.dofusbook.net/fr/equipement/4864003-sacrieur-f-200/objets", "link")</f>
        <v/>
      </c>
      <c r="C16110" t="n">
        <v>0</v>
      </c>
      <c r="D16110" t="inlineStr">
        <is>
          <t>Arc du Chalœil; Amulette du Cœur Saignant; Anneau Volkorne; Anneau Chevelu; Cadran d'Eau; Ceinture Volkorne; Casque Dragoeuf; Cape du Cœur Saignant; Bottes du Cœur Saignant; Dofus Turquoise; Dofus Ivoire; Dofus Ocre; Dofus Ébène; Dofus Vulbis; Dofus des Glaces; Pioute vert</t>
        </is>
      </c>
    </row>
    <row r="16111">
      <c r="A16111" t="inlineStr">
        <is>
          <t>Huppermage F 200</t>
        </is>
      </c>
      <c r="B16111">
        <f>HYPERLINK("https://www.dofusbook.net/fr/equipement/5582033-huppermage-f-200/objets", "link")</f>
        <v/>
      </c>
      <c r="C16111" t="n">
        <v>0</v>
      </c>
      <c r="D16111" t="inlineStr">
        <is>
          <t>Marteau R'ture; Amulette du Cœur Saignant; Anneau Volkorne; Chevalière du Roi Joueur; Cadran d'Eau; Ceinture Volkorne; Casque Dragoeuf; Cape du Cœur Saignant; Bottes du Cœur Saignant; Dofus Turquoise; Dofus Ivoire; Dofus Ocre; Dofus Ébène; Dofus Vulbis; Dofus des Glaces; Pioute vert</t>
        </is>
      </c>
    </row>
    <row r="16112">
      <c r="A16112" t="inlineStr">
        <is>
          <t>Stuff 3</t>
        </is>
      </c>
      <c r="B16112">
        <f>HYPERLINK("https://www.dofusbook.net/fr/equipement/186631-stuff-3/objets", "link")</f>
        <v/>
      </c>
      <c r="C16112" t="n">
        <v>1</v>
      </c>
      <c r="D16112" t="inlineStr">
        <is>
          <t>Rouleau à Pâtisserie d'Aermyne; Torquistik; Bague Instable; Anneau Instable; Bouclier précieux; Ceinture Gence; Casque Dragoeuf; Cape Solution; Bottes Trithon; Dofus Émeraude; Dofus Ivoire; Pousseur majeur; Culbuteur majeur; Bousculeur majeur; Tatouf</t>
        </is>
      </c>
    </row>
    <row r="16113">
      <c r="A16113" t="inlineStr">
        <is>
          <t>Crâ F 200</t>
        </is>
      </c>
      <c r="B16113">
        <f>HYPERLINK("https://www.dofusbook.net/fr/equipement/4617128-cra-f-200/objets", "link")</f>
        <v/>
      </c>
      <c r="C16113" t="n">
        <v>1</v>
      </c>
      <c r="D16113" t="inlineStr">
        <is>
          <t>Youyettes; Amulette du Cœur Saignant; Pikano; Bague Gloursonne; Bouclier du Captain Amakna; Ceinture Volkorne; Masque de Koutoulou; Cape du Cœur Saignant; Bottes du Roi Joueur; Dofus Émeraude; Dofus Ivoire; Dokoko; Dofus des Glaces; Dofus Turquoise; Muraille Air majeure; Pioute vert</t>
        </is>
      </c>
    </row>
    <row r="16114">
      <c r="A16114" t="inlineStr">
        <is>
          <t>Crâ M 200</t>
        </is>
      </c>
      <c r="B16114">
        <f>HYPERLINK("https://www.dofusbook.net/fr/equipement/5569430-cra-m-200/objets", "link")</f>
        <v/>
      </c>
      <c r="C16114" t="n">
        <v>3</v>
      </c>
      <c r="D16114" t="inlineStr">
        <is>
          <t>Marteau des égarés; Amulette Volkorne; Anneau Volkorne; Anneau de Padgref; Bouclier du Captain Amakna; Ceinture Volkorne; Coiffe de Padgref; Chevelure de Tal Kasha; Getas de Padgref; Dokoko; Dofus Turquoise; Dofus Émeraude; Dofus Ivoire; Dofus Pourpre; Dofus des Glaces; Sakochère</t>
        </is>
      </c>
    </row>
    <row r="16115">
      <c r="A16115" t="inlineStr">
        <is>
          <t>Huppermage F 200</t>
        </is>
      </c>
      <c r="B16115">
        <f>HYPERLINK("https://www.dofusbook.net/fr/equipement/5541114-huppermage-f-200/objets", "link")</f>
        <v/>
      </c>
      <c r="C16115" t="n">
        <v>3</v>
      </c>
      <c r="D16115" t="inlineStr">
        <is>
          <t>Poolache; Amulette Volkorne; Bague Gloursonne; Anneau de Padgref; Bouclier du Captain Amakna; Ceinture Volkorne; Coiffe de Padgref; Cape de la Dame du Hasard; Getas de Padgref; Dofus Vulbis; Dofus des Glaces; Dofus Ivoire; Dofus Ébène; Dofus Ocre; Dofus Turquoise; Sakochère</t>
        </is>
      </c>
    </row>
    <row r="16116">
      <c r="A16116" t="inlineStr">
        <is>
          <t>Pandawa M 200</t>
        </is>
      </c>
      <c r="B16116">
        <f>HYPERLINK("https://www.dofusbook.net/fr/equipement/5546004-pandawa-m-200/objets", "link")</f>
        <v/>
      </c>
      <c r="C16116" t="n">
        <v>0</v>
      </c>
      <c r="D16116" t="inlineStr">
        <is>
          <t>Hache du Chalœil; Amulette Volkorne; Alliance Gloursonne; Bague Gloursonne; Quatre-feuilles; Ceinture Volkorne; Casque du Chalœil; Cape du Chalœil; Bottes du Chalœil; Dofus Turquoise; Dofus des Glaces; Dofus Ocre; Dofus Pourpre; Dofus Ivoire; Sakochère</t>
        </is>
      </c>
    </row>
    <row r="16117">
      <c r="A16117" t="inlineStr">
        <is>
          <t>testbrice</t>
        </is>
      </c>
      <c r="B16117">
        <f>HYPERLINK("https://www.dofusbook.net/fr/equipement/2929478-testbrice/objets", "link")</f>
        <v/>
      </c>
      <c r="C16117" t="n">
        <v>28</v>
      </c>
      <c r="D16117" t="inlineStr">
        <is>
          <t>Hache du Chalœil; Amulette Volkorne; Alliance du Lévitrof; Alliance Gloursonne; Quatre-feuilles; Ceinture Volkorne; Coiffe du Lévitrof; Voile d'encre; Bottes du Lévitrof; Dofus Turquoise; Dofus Ocre; Dofus Pourpre; Dofus des Glaces; Dolmanax; Dofus Ivoire; Sakochère</t>
        </is>
      </c>
    </row>
    <row r="16118">
      <c r="A16118" t="inlineStr">
        <is>
          <t>Féca M 200</t>
        </is>
      </c>
      <c r="B16118">
        <f>HYPERLINK("https://www.dofusbook.net/fr/equipement/5541110-feca-m-200/objets", "link")</f>
        <v/>
      </c>
      <c r="C16118" t="n">
        <v>0</v>
      </c>
      <c r="D16118" t="inlineStr">
        <is>
          <t>Amulette Volkorne; Anneau Volkorne; Anneau de Padgref; Ceinture Volkorne; Coiffe de Padgref; Getas de Padgref</t>
        </is>
      </c>
    </row>
    <row r="16119">
      <c r="A16119" t="inlineStr">
        <is>
          <t>Ecaflip M 200</t>
        </is>
      </c>
      <c r="B16119">
        <f>HYPERLINK("https://www.dofusbook.net/fr/equipement/5541108-ecaflip-m-200/objets", "link")</f>
        <v/>
      </c>
      <c r="C16119" t="n">
        <v>0</v>
      </c>
      <c r="D16119" t="inlineStr"/>
    </row>
    <row r="16120">
      <c r="A16120" t="inlineStr">
        <is>
          <t>Huppermage F 200</t>
        </is>
      </c>
      <c r="B16120">
        <f>HYPERLINK("https://www.dofusbook.net/fr/equipement/5533716-huppermage-f-200/objets", "link")</f>
        <v/>
      </c>
      <c r="C16120" t="n">
        <v>2</v>
      </c>
      <c r="D16120" t="inlineStr">
        <is>
          <t>Poolache; Amulette Volkorne; Bague Gloursonne; Chevalière du Roi Joueur; Quatre-feuilles; Ceinture Volkorne; Couronne du Roi Joueur; Voile d'encre; Bottes du Roi Joueur; Dofus Ocre; Dofus Ivoire; Dofus Vulbis; Dofus des Glaces; Dofus Turquoise; Dofus Ébène; Sakochère</t>
        </is>
      </c>
    </row>
    <row r="16121">
      <c r="A16121" t="inlineStr">
        <is>
          <t>Féca M 200</t>
        </is>
      </c>
      <c r="B16121">
        <f>HYPERLINK("https://www.dofusbook.net/fr/equipement/5500877-feca-m-200/objets", "link")</f>
        <v/>
      </c>
      <c r="C16121" t="n">
        <v>13</v>
      </c>
      <c r="D16121" t="inlineStr">
        <is>
          <t>Héqache; Amulette du Strigide; Bague Gloursonne; Alliance Gloursonne; Droiture de Fallanster; Ceinture du Strigide; Corne de Torkélonia; Carapace de Torkélonia; Baleinabottes; Dofus Ocre; Dofus Ébène; Dofus Vulbis; Dofus des Glaces; Dofus Turquoise; Dofus Ivoire; Kokulte</t>
        </is>
      </c>
    </row>
    <row r="16122">
      <c r="A16122" t="inlineStr">
        <is>
          <t>Enutrof M 200</t>
        </is>
      </c>
      <c r="B16122">
        <f>HYPERLINK("https://www.dofusbook.net/fr/equipement/5472722-enutrof-m-200/objets", "link")</f>
        <v/>
      </c>
      <c r="C16122" t="n">
        <v>0</v>
      </c>
      <c r="D16122" t="inlineStr">
        <is>
          <t>Arc Honte; Collier Lunaire; Anneau de la Fuji Givrefoux; Pikano; Bouclier cubiste; Ceinture des Chocomanciens; Le Dorado; Voilamibe; Bottes Lunaires; Dolmanax; Dofus des Glaces; Dofus Pourpre; Dofus Ocre; Temporiseur majeur; Entraveur majeur; Léopardo</t>
        </is>
      </c>
    </row>
    <row r="16123">
      <c r="A16123" t="inlineStr">
        <is>
          <t>Steamer M 200</t>
        </is>
      </c>
      <c r="B16123">
        <f>HYPERLINK("https://www.dofusbook.net/fr/equipement/5383082-steamer-m-200/objets", "link")</f>
        <v/>
      </c>
      <c r="C16123" t="n">
        <v>0</v>
      </c>
      <c r="D16123" t="inlineStr">
        <is>
          <t>Arc Volkorne; Amulette du Strigide; Bracelet du Piloztère; Anneau de Padgref; Quatre-feuilles; Ceinture du Strigide; Coiffe de Padgref; Cape de Jahash Jurgen; Getas de Padgref; Dofus Ocre; Dofus Ébène; Dofus Vulbis; Dofus des Glaces; Dofus Turquoise; Dofus Ivoire; Sakochère</t>
        </is>
      </c>
    </row>
    <row r="16124">
      <c r="A16124" t="inlineStr">
        <is>
          <t>Huppermage M 200</t>
        </is>
      </c>
      <c r="B16124">
        <f>HYPERLINK("https://www.dofusbook.net/fr/equipement/5367611-huppermage-m-200/objets", "link")</f>
        <v/>
      </c>
      <c r="C16124" t="n">
        <v>0</v>
      </c>
      <c r="D16124" t="inlineStr">
        <is>
          <t>Harpelle; Amulette Volkorne; Anneau Volkorne; Anneauræus; Cadran d'Eau; Ceinture Séculaire; Heaume Oplate; Cape de la Dame du Hasard; Bottes de la Dame du Hasard; Dofus Ocre; Dofus des Glaces; Dofus Vulbis; Dofus Ivoire; Dofus Turquoise; Dofus Ébène; Kokulte</t>
        </is>
      </c>
    </row>
    <row r="16125">
      <c r="A16125" t="inlineStr">
        <is>
          <t>Stuff 3</t>
        </is>
      </c>
      <c r="B16125">
        <f>HYPERLINK("https://www.dofusbook.net/fr/equipement/186613-stuff-3/objets", "link")</f>
        <v/>
      </c>
      <c r="C16125" t="n">
        <v>1</v>
      </c>
      <c r="D16125" t="inlineStr">
        <is>
          <t>Héqache; Amulette Volkorne; Bracelet du Piloztère; Bague Trithon; Quatre-feuilles; Ceinture Volkorne; Casque des égarés; Cape du Kamasterisk; Pataugastrique; Dofus Turquoise; Dofus Ébène; Dofus Ocre; Dofus des Glaces; Dofus Vulbis; Dofus Ivoire; Kokulte</t>
        </is>
      </c>
    </row>
    <row r="16126">
      <c r="A16126" t="inlineStr">
        <is>
          <t>Ecaflip M 200</t>
        </is>
      </c>
      <c r="B16126">
        <f>HYPERLINK("https://www.dofusbook.net/fr/equipement/4211733-ecaflip-m-200/objets", "link")</f>
        <v/>
      </c>
      <c r="C16126" t="n">
        <v>0</v>
      </c>
      <c r="D16126" t="inlineStr">
        <is>
          <t>Plume de Buhorado; Collier du Valet Veinard; Alliance Gloursonne; Gant du Valet Veinard; Droiture de Fallanster; Menoture; Dorabysses; Bravoure de Rykke Errel; Palmes Trithons; Dofus des Glaces; Dofus Ébène; Dofus Ocre; Dofus Abyssal; Dofus Ivoire; Bousculeur majeur; Tofoudre</t>
        </is>
      </c>
    </row>
    <row r="16127">
      <c r="A16127" t="inlineStr">
        <is>
          <t>Féca M 200</t>
        </is>
      </c>
      <c r="B16127">
        <f>HYPERLINK("https://www.dofusbook.net/fr/equipement/5169842-feca-m-200/objets", "link")</f>
        <v/>
      </c>
      <c r="C16127" t="n">
        <v>0</v>
      </c>
      <c r="D16127" t="inlineStr">
        <is>
          <t>Hache Téroïde; Amulette Volkorne; Chevalière du Roi Joueur; Bague Gloursonne; Cadran d'Eau; Ceinture Volkorne; Couronne du Roi Joueur; Bravoure de Rykke Errel; Bottes du Roi Joueur; Dofus Ivoire; Dofus Vulbis; Dofus Turquoise; Dofus Ébène; Dofus Ocre; Dofus Abyssal; Kokulte</t>
        </is>
      </c>
    </row>
    <row r="16128">
      <c r="A16128" t="inlineStr">
        <is>
          <t>Féca M 200</t>
        </is>
      </c>
      <c r="B16128">
        <f>HYPERLINK("https://www.dofusbook.net/fr/equipement/5179506-feca-m-200/objets", "link")</f>
        <v/>
      </c>
      <c r="C16128" t="n">
        <v>0</v>
      </c>
      <c r="D16128" t="inlineStr">
        <is>
          <t>Arc du Chalœil; Amulette de Pol Ouatnos; Anneau de Brouce; Anneau Volkorne; Bouclier du Stalak; Ceinture Volkorne; Diadème de Ganymède; Cape de Jahash Jurgen; Bottes de la Cour Sombre; Dofus Ocre; Dofus des Glaces; Dofus Ivoire; Dofus Abyssal; Dofus Ébène; Enragé majeur; Bulbisou</t>
        </is>
      </c>
    </row>
    <row r="16129">
      <c r="A16129" t="inlineStr">
        <is>
          <t>Féca M 200</t>
        </is>
      </c>
      <c r="B16129">
        <f>HYPERLINK("https://www.dofusbook.net/fr/equipement/5073233-feca-m-200/objets", "link")</f>
        <v/>
      </c>
      <c r="C16129" t="n">
        <v>0</v>
      </c>
      <c r="D16129" t="inlineStr">
        <is>
          <t>Dagues Ricol; Amulette Volkorne; Anneau de Padgref; Anneau Volkorne; Droiture de Fallanster; Ceinture Séculaire; Coiffe de Padgref; Bravoure de Rykke Errel; Getas de Padgref; Dofus Turquoise; Dofus Abyssal; Dofus Ébène; Dofus Ocre; Dofus Vulbis; Dofus Ivoire; Pioute rouge</t>
        </is>
      </c>
    </row>
    <row r="16130">
      <c r="A16130" t="inlineStr">
        <is>
          <t>Iop M 200</t>
        </is>
      </c>
      <c r="B16130">
        <f>HYPERLINK("https://www.dofusbook.net/fr/equipement/4556015-iop-m-200/objets", "link")</f>
        <v/>
      </c>
      <c r="C16130" t="n">
        <v>2</v>
      </c>
      <c r="D16130" t="inlineStr">
        <is>
          <t>Dagues Érhy; Amulette du Strigide; Bague Trithon; Anneau de Padgref; Ceinture du Strigide; Coiffe de Padgref; Bravoure de Rykke Errel; Getas de Padgref; Dofus Nébuleux; Dofus Ébène; Dofus Turquoise; Dofus Vulbis; Dofus Ocre; Dofus Ivoire; Pioute rouge</t>
        </is>
      </c>
    </row>
    <row r="16131">
      <c r="A16131" t="inlineStr">
        <is>
          <t>Féca M 200</t>
        </is>
      </c>
      <c r="B16131">
        <f>HYPERLINK("https://www.dofusbook.net/fr/equipement/5162059-feca-m-200/objets", "link")</f>
        <v/>
      </c>
      <c r="C16131" t="n">
        <v>0</v>
      </c>
      <c r="D16131" t="inlineStr">
        <is>
          <t>Héqache; Amulette du Strigide; Bague Gloursonne; Alliance Gloursonne; Droiture de Fallanster; Ceinture Volkorne; Casque Volkorne; Bravoure de Rykke Errel; Baleinabottes; Dofus Turquoise; Dofus Ébène; Dofus Ocre; Dofus des Glaces; Dofus Vulbis; Dofus Ivoire; Kokulte</t>
        </is>
      </c>
    </row>
    <row r="16132">
      <c r="A16132" t="inlineStr">
        <is>
          <t>Féca M 200</t>
        </is>
      </c>
      <c r="B16132">
        <f>HYPERLINK("https://www.dofusbook.net/fr/equipement/5036885-feca-m-200/objets", "link")</f>
        <v/>
      </c>
      <c r="C16132" t="n">
        <v>0</v>
      </c>
      <c r="D16132" t="inlineStr">
        <is>
          <t>Épée Brûlâme; Amulette Volkorne; Anneau de Padgref; Anneau Volkorne; Cadran d'Eau; Ceintrigue; Heaume Oplate; Bravoure de Rykke Errel; Bottes Owesli; Dofus Turquoise; Dofus Ébène; Dofus Ocre; Dofus des Glaces; Dofus Vulbis; Dofus Ivoire; Kokulte</t>
        </is>
      </c>
    </row>
    <row r="16133">
      <c r="A16133" t="inlineStr">
        <is>
          <t>Zobal M 200</t>
        </is>
      </c>
      <c r="B16133">
        <f>HYPERLINK("https://www.dofusbook.net/fr/equipement/5065835-zobal-m-200/objets", "link")</f>
        <v/>
      </c>
      <c r="C16133" t="n">
        <v>0</v>
      </c>
      <c r="D16133" t="inlineStr">
        <is>
          <t>Lav'Hache; Torquistik; Bague Instable; Bague Trithon; Bouclier précieux; Ceinture Gence; Casque Dragoeuf; Bravoure de Rykke Errel; Bottistik; Dofus Ivoire; Dofus Émeraude; Dofus Abyssal; Dofus Ocre; Culbuteur majeur; Bousculeur majeur; Tatouf</t>
        </is>
      </c>
    </row>
    <row r="16134">
      <c r="A16134" t="inlineStr">
        <is>
          <t>iyy</t>
        </is>
      </c>
      <c r="B16134">
        <f>HYPERLINK("https://www.dofusbook.net/fr/equipement/873383-iyy/objets", "link")</f>
        <v/>
      </c>
      <c r="C16134" t="n">
        <v>8</v>
      </c>
      <c r="D16134" t="inlineStr">
        <is>
          <t>Sceptre du Roi Joueur; Amulette d'Ilyzaelle; Anneau Volkorne; Lavanneau; Bouclier d'Ilyzaelle; Ceinture de Dame Jhessica; Casque d'Ilyzaelle; Cape de l'Œil Attentif; Bottes de Théodoran Ax; Dofus Vulbis; Dofus Ébène; Dofus Pourpre; Dofus des Glaces; Dofus Ocre; Dofus Ivoire; Kanigloups</t>
        </is>
      </c>
    </row>
    <row r="16135">
      <c r="A16135" t="inlineStr">
        <is>
          <t>Sacrieur F 200</t>
        </is>
      </c>
      <c r="B16135">
        <f>HYPERLINK("https://www.dofusbook.net/fr/equipement/5055071-sacrieur-f-200/objets", "link")</f>
        <v/>
      </c>
      <c r="C16135" t="n">
        <v>0</v>
      </c>
      <c r="D16135" t="inlineStr">
        <is>
          <t>Marteau R'ture; Amulette Volkorne; Anneau Crustique; Chevalière du Roi Joueur; Cadran d'Eau; Ceinture Volkorne; Couronne du Roi Joueur; Bravoure de Rykke Errel; Bottes du Roi Joueur; Dofus Vulbis; Dofus Ivoire; Dofus Turquoise; Dofus Ébène; Dofus Ocre; Dofus des Glaces</t>
        </is>
      </c>
    </row>
    <row r="16136">
      <c r="A16136" t="inlineStr">
        <is>
          <t>Sacrieur F 200</t>
        </is>
      </c>
      <c r="B16136">
        <f>HYPERLINK("https://www.dofusbook.net/fr/equipement/5046885-sacrieur-f-200/objets", "link")</f>
        <v/>
      </c>
      <c r="C16136" t="n">
        <v>0</v>
      </c>
      <c r="D16136" t="inlineStr">
        <is>
          <t>Marteau Phossile; Amulette Volkorne; Anneau de Padgref; Anneau Volkorne; Cadran d'Eau; Ceinture Séculaire; Coiffe de Padgref; Bravoure de Rykke Errel; Getas de Padgref; Dofus Ocre; Dofus des Glaces; Dofus Vulbis; Dofus Ivoire; Dofus Turquoise; Dofus Ébène; Kokulte</t>
        </is>
      </c>
    </row>
    <row r="16137">
      <c r="A16137" t="inlineStr">
        <is>
          <t>Eniripsa M 200</t>
        </is>
      </c>
      <c r="B16137">
        <f>HYPERLINK("https://www.dofusbook.net/fr/equipement/5040206-eniripsa-m-200/objets", "link")</f>
        <v/>
      </c>
      <c r="C16137" t="n">
        <v>0</v>
      </c>
      <c r="D16137" t="inlineStr">
        <is>
          <t>Arc corrompu; Amulette Volkorne; Anneau de Nidas; Bague Gloursonne; Ceinture Volkorne; Coiffe Séculaire; Cape de Diondin; Bottes Innommables</t>
        </is>
      </c>
    </row>
    <row r="16138">
      <c r="A16138" t="inlineStr">
        <is>
          <t>Sacrieur F 200</t>
        </is>
      </c>
      <c r="B16138">
        <f>HYPERLINK("https://www.dofusbook.net/fr/equipement/5006669-sacrieur-f-200/objets", "link")</f>
        <v/>
      </c>
      <c r="C16138" t="n">
        <v>0</v>
      </c>
      <c r="D16138" t="inlineStr">
        <is>
          <t>Bâton du Koulosse; Amulette Volkorne; Anneau Volkorne; Anneau de Padgref; Cadran d'Eau; Ceintrigue; Heaume Oplate; Bravoure de Rykke Errel; Bottes Owesli; Dofus Ocre; Dofus des Glaces; Dofus Vulbis; Dofus Ivoire; Dofus Turquoise; Dofus Ébène; Kokulte</t>
        </is>
      </c>
    </row>
    <row r="16139">
      <c r="A16139" t="inlineStr">
        <is>
          <t>Stuff 1</t>
        </is>
      </c>
      <c r="B16139">
        <f>HYPERLINK("https://www.dofusbook.net/fr/equipement/186587-stuff-1/objets", "link")</f>
        <v/>
      </c>
      <c r="C16139" t="n">
        <v>7</v>
      </c>
      <c r="D16139" t="inlineStr">
        <is>
          <t>Amulette de Nileza; Anneauræus; Anneauræus; Bouclier du Stalak; Ceinture Séculaire; Heaume Oplate; Cape de Nileza; Bottes Innommables; Dofus Nébuleux; Dofus Ébène; Dofus Turquoise; Dofus Vulbis; Dofus Ocre; Dofus Ivoire; Dragodinde Amande et Orchidée</t>
        </is>
      </c>
    </row>
    <row r="16140">
      <c r="A16140" t="inlineStr">
        <is>
          <t>Sacrieur F 200</t>
        </is>
      </c>
      <c r="B16140">
        <f>HYPERLINK("https://www.dofusbook.net/fr/equipement/5016555-sacrieur-f-200/objets", "link")</f>
        <v/>
      </c>
      <c r="C16140" t="n">
        <v>1</v>
      </c>
      <c r="D16140" t="inlineStr">
        <is>
          <t>Epée du Dark Vlad; Amulette Volkorne; Anneauræus; Anneau Volkorne; Cadran d'Eau; Ceinture Séculaire; Heaume Oplate; Bravoure de Rykke Errel; Bottes Innommables; Dofus Ébène; Dofus des Glaces; Dofus Vulbis; Dofus Turquoise; Dofus Ivoire; Dofus Ocre; Kokulte</t>
        </is>
      </c>
    </row>
    <row r="16141">
      <c r="A16141" t="inlineStr">
        <is>
          <t>Pandawa M 200</t>
        </is>
      </c>
      <c r="B16141">
        <f>HYPERLINK("https://www.dofusbook.net/fr/equipement/4990568-pandawa-m-200/objets", "link")</f>
        <v/>
      </c>
      <c r="C16141" t="n">
        <v>3</v>
      </c>
      <c r="D16141" t="inlineStr">
        <is>
          <t>Arc de Koutoulou; Amulette Volkorne; Anneau Volkorne; Alliance Gloursonne; Quatre-feuilles; Menoture; Casque Volkorne; Cape Matelassée; Bottes de la Reine des Voleurs; Dofus Turquoise; Dofus des Glaces; Dolmanax; Dofus Ocre; Dofus Pourpre; Dofus Ivoire; Pioute bleu</t>
        </is>
      </c>
    </row>
    <row r="16142">
      <c r="A16142" t="inlineStr">
        <is>
          <t>Sacrieur F 200</t>
        </is>
      </c>
      <c r="B16142">
        <f>HYPERLINK("https://www.dofusbook.net/fr/equipement/5014825-sacrieur-f-200/objets", "link")</f>
        <v/>
      </c>
      <c r="C16142" t="n">
        <v>0</v>
      </c>
      <c r="D16142" t="inlineStr">
        <is>
          <t>Lav'Hache; Amulette Ementaire Deluxe; Pikano; Anneau Volkorne; Droiture de Fallanster; Ceinture Volkorne; Casque Dragoeuf; Bravoure de Rykke Errel; Bottes Honyme; Dofus Ocre; Dofus des Glaces; Dofus Ivoire; Dofus Abyssal; Dofus Vulbis; Dofus Ébène; Bulbisou</t>
        </is>
      </c>
    </row>
    <row r="16143">
      <c r="A16143" t="inlineStr">
        <is>
          <t>Pandawa M 200</t>
        </is>
      </c>
      <c r="B16143">
        <f>HYPERLINK("https://www.dofusbook.net/fr/equipement/4990720-pandawa-m-200/objets", "link")</f>
        <v/>
      </c>
      <c r="C16143" t="n">
        <v>3</v>
      </c>
      <c r="D16143" t="inlineStr">
        <is>
          <t>Arc Nécrotique; Amulette Volkorne; Anneau Tique; Anneau Volkorne; Quatre-feuilles; Ceinture Volkorne; Heaume Oplate; Cape de la Dame du Hasard; Bottes de la Dame du Hasard; Dofus Ivoire; Dofus Ocre; Dofus Pourpre; Dofus des Glaces; Dolmanax; Dofus Turquoise; Pioute rouge</t>
        </is>
      </c>
    </row>
    <row r="16144">
      <c r="A16144" t="inlineStr">
        <is>
          <t>Pandawa F 200</t>
        </is>
      </c>
      <c r="B16144">
        <f>HYPERLINK("https://www.dofusbook.net/fr/equipement/4990422-pandawa-f-200/objets", "link")</f>
        <v/>
      </c>
      <c r="C16144" t="n">
        <v>2</v>
      </c>
      <c r="D16144" t="inlineStr">
        <is>
          <t>Arc de Koutoulou; Amulette de l'Œil Attentif; Anneau d'Allister; Alliance Gloursonne; Quatre-feuilles; Menoture; Coiffe de la Reine des Voleurs; Chevelure de Tal Kasha; Bottes de la Reine des Voleurs; Dofus Turquoise; Dofus des Glaces; Dofus Pourpre; Nomade; Carapace Air majeur; Remueur; Pioute jaune</t>
        </is>
      </c>
    </row>
    <row r="16145">
      <c r="A16145" t="inlineStr">
        <is>
          <t>Stuff 2</t>
        </is>
      </c>
      <c r="B16145">
        <f>HYPERLINK("https://www.dofusbook.net/fr/equipement/186621-stuff-2/objets", "link")</f>
        <v/>
      </c>
      <c r="C16145" t="n">
        <v>4</v>
      </c>
      <c r="D16145" t="inlineStr">
        <is>
          <t>Arc de Koutoulou; Amulette de l'Œil Attentif; Anneau d'Allister; Alliance Gloursonne; Quatre-feuilles; Menoture; Coiffe de la Reine des Voleurs; Chevelure de Tal Kasha; Bottes de la Reine des Voleurs; Dofus Turquoise; Dofus des Glaces; Dofus Pourpre; Nomade; Carapace Air majeur; Remueur; Pioute jaune</t>
        </is>
      </c>
    </row>
    <row r="16146">
      <c r="A16146" t="inlineStr">
        <is>
          <t>Xélor F 200</t>
        </is>
      </c>
      <c r="B16146">
        <f>HYPERLINK("https://www.dofusbook.net/fr/equipement/4977779-xelor-f-200/objets", "link")</f>
        <v/>
      </c>
      <c r="C16146" t="n">
        <v>1</v>
      </c>
      <c r="D16146" t="inlineStr">
        <is>
          <t>Arc corrompu; Amulette de Nileza; Anneau Crustique; Anneau Chevelu; Droiture de Fallanster; Ceinture de Vortex; Masque d'Anerice; Cape d'Anerice; Pataugastrique; Dofus Vulbis; Dofus Ivoire; Dofus Émeraude; Dofus Ocre; Paralyseur majeur; Étourdisseur majeur; Dragoune Rose</t>
        </is>
      </c>
    </row>
    <row r="16147">
      <c r="A16147" t="inlineStr">
        <is>
          <t>Féca F 200</t>
        </is>
      </c>
      <c r="B16147">
        <f>HYPERLINK("https://www.dofusbook.net/fr/equipement/4977579-feca-f-200/objets", "link")</f>
        <v/>
      </c>
      <c r="C16147" t="n">
        <v>2</v>
      </c>
      <c r="D16147" t="inlineStr">
        <is>
          <t>Arc corrompu; Amulette Volkorne; Anneauræus; Chevalière du Roi Joueur; Bouclier du Stalak; Ceinture Volkorne; Heaume Oplate; Bravoure de Rykke Errel; Bottes Innommables; Dofus Ocre; Dofus des Glaces; Dofus Ivoire; Dofus Abyssal; Dofus Vulbis; Dofus Ébène; Bisouglours</t>
        </is>
      </c>
    </row>
    <row r="16148">
      <c r="A16148" t="inlineStr">
        <is>
          <t>Féca M 200</t>
        </is>
      </c>
      <c r="B16148">
        <f>HYPERLINK("https://www.dofusbook.net/fr/equipement/3562101-feca-m-200/objets", "link")</f>
        <v/>
      </c>
      <c r="C16148" t="n">
        <v>1</v>
      </c>
      <c r="D16148" t="inlineStr">
        <is>
          <t>Lav'Hache; Collier de Tourthon; Alliance Gloursonne; Anneau Crustique; Sept ans de malheur; Ceintouse; Chapoulpe; Cape du Cœur Vaillant; Baleinabottes; Dofus Ocre; Dofus Ivoire; Étourdisseur majeur; Carapace Air majeur; Carapace Terre majeur; Vigoureux majeur; Muldo Ebène et Pourpre</t>
        </is>
      </c>
    </row>
    <row r="16149">
      <c r="A16149" t="inlineStr">
        <is>
          <t>Xélor F 200</t>
        </is>
      </c>
      <c r="B16149">
        <f>HYPERLINK("https://www.dofusbook.net/fr/equipement/4974661-xelor-f-200/objets", "link")</f>
        <v/>
      </c>
      <c r="C16149" t="n">
        <v>0</v>
      </c>
      <c r="D16149" t="inlineStr">
        <is>
          <t>Baguette de Malléfisk; Amulette de Nileza; Chevalière du Roi Joueur; Anneau Tique; Bouclier du Mont Kipou; Menoture; Masque Ardent; Bravoure de Rykke Errel; Chaussures Ardentes; Dofus Vulbis; Dofus Ocre; Dofus Ivoire; Érudit majeur; Guérisseur majeur; Étourdisseur majeur; Ross</t>
        </is>
      </c>
    </row>
    <row r="16150">
      <c r="A16150" t="inlineStr">
        <is>
          <t>Sadida F 200</t>
        </is>
      </c>
      <c r="B16150">
        <f>HYPERLINK("https://www.dofusbook.net/fr/equipement/4709186-sadida-f-200/objets", "link")</f>
        <v/>
      </c>
      <c r="C16150" t="n">
        <v>3</v>
      </c>
      <c r="D16150" t="inlineStr">
        <is>
          <t>Arc Honte; Amulette de l'Indicible; Alliance Gloursonne; Bague Gloursonne; Bouclier du Stalak; Ceinture de l'Indicible; Capuche de l'Œil Putride; Cape de l'Œil Putride; Bottes de l'Indicible; Dofus des Glaces; Dofus Ébène; Dofus Vulbis; Dofus Abyssal; Dofus Ocre; Dofus Ivoire; Volkorne Turquoise et Orchidée</t>
        </is>
      </c>
    </row>
    <row r="16151">
      <c r="A16151" t="inlineStr">
        <is>
          <t>Xélor F 200</t>
        </is>
      </c>
      <c r="B16151">
        <f>HYPERLINK("https://www.dofusbook.net/fr/equipement/4962178-xelor-f-200/objets", "link")</f>
        <v/>
      </c>
      <c r="C16151" t="n">
        <v>0</v>
      </c>
      <c r="D16151" t="inlineStr">
        <is>
          <t>Marteau R'ture; Amulette du Cœur Saignant; Chevalière du Roi Joueur; Anneau Volkorne; Droiture de Fallanster; Ceinture Volkorne; Couronne du Roi Joueur; Bravoure de Rykke Errel; Bottes du Roi Joueur; Dofus Turquoise; Dofus Ébène; Dofus Ocre; Dofus des Glaces; Dofus Vulbis; Dofus Ivoire; Pioute vert</t>
        </is>
      </c>
    </row>
    <row r="16152">
      <c r="A16152" t="inlineStr">
        <is>
          <t>Xélor F 200</t>
        </is>
      </c>
      <c r="B16152">
        <f>HYPERLINK("https://www.dofusbook.net/fr/equipement/4899920-xelor-f-200/objets", "link")</f>
        <v/>
      </c>
      <c r="C16152" t="n">
        <v>4</v>
      </c>
      <c r="D16152" t="inlineStr">
        <is>
          <t>Dagoulinantes; Amulette de Shokkoth; Alliance Gloursonne; Anneau Volkorne; Droiture de Fallanster; Ceinture Volkorne; Masque du Barbétoal; Bravoure de Rykke Errel; Pataugastrique; Dofus Abyssal; Dofus des Glaces; Dofus Ivoire; Dofus Ocre; Dofus Vulbis; Dofus Ébène; Boskito</t>
        </is>
      </c>
    </row>
    <row r="16153">
      <c r="A16153" t="inlineStr">
        <is>
          <t>Xélor F 200</t>
        </is>
      </c>
      <c r="B16153">
        <f>HYPERLINK("https://www.dofusbook.net/fr/equipement/4949984-xelor-f-200/objets", "link")</f>
        <v/>
      </c>
      <c r="C16153" t="n">
        <v>0</v>
      </c>
      <c r="D16153" t="inlineStr">
        <is>
          <t>Pelle de la Cour Sombre; Collier du Valet Veinard; Alliance Gloursonne; Gant du Valet Veinard; Droiture de Fallanster; Menoture; Couronne d'Allister; Bravoure de Rykke Errel; Palmes Trithons; Dofus Ocre; Dofus Ébène; Dofus Ivoire; Dofus Abyssal; Dofus Vulbis; Dofus des Glaces; Blérodoudou</t>
        </is>
      </c>
    </row>
    <row r="16154">
      <c r="A16154" t="inlineStr">
        <is>
          <t>Iop M 200</t>
        </is>
      </c>
      <c r="B16154">
        <f>HYPERLINK("https://www.dofusbook.net/fr/equipement/4940979-iop-m-200/objets", "link")</f>
        <v/>
      </c>
      <c r="C16154" t="n">
        <v>8</v>
      </c>
      <c r="D16154" t="inlineStr">
        <is>
          <t>Dagues de Srambad; Torquistik; Goulano; Baguistik; Bouclier d'Ilyzaelle; Ceinture de la Reine des Voleurs; Coiffe de la Reine des Voleurs; Cape au Logis; Goulbottes; Dofus Émeraude; Dofus Ivoire; Dofus des Glaces; Dokoko; Dofus Argenté; Dofus Ocre; Wabbit</t>
        </is>
      </c>
    </row>
    <row r="16155">
      <c r="A16155" t="inlineStr">
        <is>
          <t>Xélor F 200</t>
        </is>
      </c>
      <c r="B16155">
        <f>HYPERLINK("https://www.dofusbook.net/fr/equipement/4940546-xelor-f-200/objets", "link")</f>
        <v/>
      </c>
      <c r="C16155" t="n">
        <v>0</v>
      </c>
      <c r="D16155" t="inlineStr">
        <is>
          <t>Marteau R'ture; Amulette du Cœur Saignant; Anneau Chevelu; Anneau Volkorne; Droiture de Fallanster; Ceinture Volkorne; Masque de Koutoulou; Bravoure de Rykke Errel; Bottes du Cœur Saignant; Dofus Ocre; Dofus des Glaces; Dofus Ivoire; Dofus Turquoise; Dofus Vulbis; Dofus Ébène; Pioute vert</t>
        </is>
      </c>
    </row>
    <row r="16156">
      <c r="A16156" t="inlineStr">
        <is>
          <t>Xélor F 200</t>
        </is>
      </c>
      <c r="B16156">
        <f>HYPERLINK("https://www.dofusbook.net/fr/equipement/4896975-xelor-f-200/objets", "link")</f>
        <v/>
      </c>
      <c r="C16156" t="n">
        <v>2</v>
      </c>
      <c r="D16156" t="inlineStr">
        <is>
          <t>Pyraguette; Amulette Volkorne; Anneau Volkorne; Anneau Tique; Droiture de Fallanster; Ceinture de l'Esprit Malsain; Capuche de l'Œil Attentif; Cape de l'Œil Attentif; Pataugastrique; Dofus Ivoire; Dofus Abyssal; Dofus Vulbis; Dofus Ébène; Dofus Ocre; Dofus des Glaces; Boskito</t>
        </is>
      </c>
    </row>
    <row r="16157">
      <c r="A16157" t="inlineStr">
        <is>
          <t>Xélor F 200</t>
        </is>
      </c>
      <c r="B16157">
        <f>HYPERLINK("https://www.dofusbook.net/fr/equipement/4901044-xelor-f-200/objets", "link")</f>
        <v/>
      </c>
      <c r="C16157" t="n">
        <v>0</v>
      </c>
      <c r="D16157" t="inlineStr">
        <is>
          <t>Dagoulinantes; Amulette de Shokkoth; Anneau Volkorne; Alliance Gloursonne; Droiture de Fallanster; Ceinture Volkorne; Némès de Tal Kasha; Chevelure de Tal Kasha; Sandales de Tal Kasha; Dofus Ivoire; Dofus Abyssal; Dofus Vulbis; Dofus Ébène; Dofus Ocre; Dofus des Glaces; Volkorne Ivoire et Indigo</t>
        </is>
      </c>
    </row>
    <row r="16158">
      <c r="A16158" t="inlineStr">
        <is>
          <t>Ouginak F 200</t>
        </is>
      </c>
      <c r="B16158">
        <f>HYPERLINK("https://www.dofusbook.net/fr/equipement/4887496-ouginak-f-200/objets", "link")</f>
        <v/>
      </c>
      <c r="C16158" t="n">
        <v>1</v>
      </c>
      <c r="D16158" t="inlineStr">
        <is>
          <t>Dagoulinantes; Amulette de Shokkoth; Alliance Gloursonne; Anneau Volkorne; Bouclier du Stalak; Sangle Ouare; Kidibonnet; Cape du Sinistrofu; Bottes du Sinistrofu; Dofus Pourpre; Dofus Ivoire; Dofus Ocre; Dofus des Glaces; Dofus Ébène; Chanceux majeur; Kanigloups</t>
        </is>
      </c>
    </row>
    <row r="16159">
      <c r="A16159" t="inlineStr">
        <is>
          <t>Xélor F 200</t>
        </is>
      </c>
      <c r="B16159">
        <f>HYPERLINK("https://www.dofusbook.net/fr/equipement/4823162-xelor-f-200/objets", "link")</f>
        <v/>
      </c>
      <c r="C16159" t="n">
        <v>1</v>
      </c>
      <c r="D16159" t="inlineStr">
        <is>
          <t>Amulette Volkorne; Anneau d'Allister; Anneau Volkorne; Menoture; Casque Volkorne; Cape Indescriptible; Bottes d'Allister; Dofus Ocre; Dofus Ébène; Dofus Pourpre; Dofus des Glaces; Dofus Turquoise; Dofus Ivoire; Pioute jaune</t>
        </is>
      </c>
    </row>
    <row r="16160">
      <c r="A16160" t="inlineStr">
        <is>
          <t>do cri mageule</t>
        </is>
      </c>
      <c r="B16160">
        <f>HYPERLINK("https://www.dofusbook.net/fr/equipement/2934319-do-cri-mageule/objets", "link")</f>
        <v/>
      </c>
      <c r="C16160" t="n">
        <v>4</v>
      </c>
      <c r="D16160" t="inlineStr">
        <is>
          <t>Baguette Range; Amulette du Strigide; Bague Trithon; Anneau de Padgref; Quatre-feuilles; Ceinture du Strigide; Coiffe de Padgref; Voile d'encre; Getas de Padgref; Dofus Abyssal; Dofus Ocre; Dofus Ivoire; Dolmanax; Dofus des Glaces; Dofus Turquoise; Muldo Orchidée et Emeraude</t>
        </is>
      </c>
    </row>
    <row r="16161">
      <c r="A16161" t="inlineStr">
        <is>
          <t>Ecaflip F 200</t>
        </is>
      </c>
      <c r="B16161">
        <f>HYPERLINK("https://www.dofusbook.net/fr/equipement/4629528-ecaflip-f-200/objets", "link")</f>
        <v/>
      </c>
      <c r="C16161" t="n">
        <v>3</v>
      </c>
      <c r="D16161" t="inlineStr">
        <is>
          <t>Plume de Buhorado; Torquistik; Bague Trithon; Baguistik; Droiture de Fallanster; Ceinture Gence; Casque Dragoeuf; Bravoure de Rykke Errel; Bottes du Cœur Vaillant; Dofus Ocre; Dofus Abyssal; Dofus Ivoire; Bousculeur majeur; Culbuteur majeur; Pousseur majeur; Black Tiwabbit</t>
        </is>
      </c>
    </row>
    <row r="16162">
      <c r="A16162" t="inlineStr">
        <is>
          <t>hup</t>
        </is>
      </c>
      <c r="B16162">
        <f>HYPERLINK("https://www.dofusbook.net/fr/equipement/187335-hup/objets", "link")</f>
        <v/>
      </c>
      <c r="C16162" t="n">
        <v>62</v>
      </c>
      <c r="D16162" t="inlineStr">
        <is>
          <t>Arc du Chalœil; Torquistik; Anneau Riginel; Bague Instable; Bouclier précieux; Sangle Ouare; Masque d'Anerice; Cape d'Anerice; Bottes Owesli; Dokoko; Dofus Émeraude; Dofus Ivoire; Dofus Ocre; Bousculeur majeur; Culbuteur majeur; Volkorne Roux</t>
        </is>
      </c>
    </row>
    <row r="16163">
      <c r="A16163" t="inlineStr">
        <is>
          <t>terre</t>
        </is>
      </c>
      <c r="B16163">
        <f>HYPERLINK("https://www.dofusbook.net/fr/equipement/4020157-terre/objets", "link")</f>
        <v/>
      </c>
      <c r="C16163" t="n">
        <v>0</v>
      </c>
      <c r="D16163" t="inlineStr">
        <is>
          <t>Marteau R'ture; Amulette du Cœur Saignant; Anneau Volkorne; Alliance de Missiz Frizz; Cadran d'Eau; Ceinture Volkorne; Casque de Missiz Frizz; Cape du Cœur Saignant; Bottes du Cœur Saignant; Dofus Turquoise; Dofus Ivoire; Dofus Ocre; Dofus Ébène; Dofus Vulbis; Dofus des Glaces; Pioute vert</t>
        </is>
      </c>
    </row>
    <row r="16164">
      <c r="A16164" t="inlineStr">
        <is>
          <t>Xélor F 200</t>
        </is>
      </c>
      <c r="B16164">
        <f>HYPERLINK("https://www.dofusbook.net/fr/equipement/4858274-xelor-f-200/objets", "link")</f>
        <v/>
      </c>
      <c r="C16164" t="n">
        <v>0</v>
      </c>
      <c r="D16164" t="inlineStr">
        <is>
          <t>Arc corrompu; Amulette Volkorne; Anneauræus; Anneau Volkorne; Droiture de Fallanster; Ceinture de Vortex; Masque Ardent; Cape Ardente; Chaussures Ardentes; Dofus Ocre; Dofus des Glaces; Dofus Ivoire; Dofus Abyssal; Dofus Vulbis; Dofus Ébène; Volkorne Ivoire et Orchidée</t>
        </is>
      </c>
    </row>
    <row r="16165">
      <c r="A16165" t="inlineStr">
        <is>
          <t>Xélor F 200</t>
        </is>
      </c>
      <c r="B16165">
        <f>HYPERLINK("https://www.dofusbook.net/fr/equipement/4868801-xelor-f-200/objets", "link")</f>
        <v/>
      </c>
      <c r="C16165" t="n">
        <v>0</v>
      </c>
      <c r="D16165" t="inlineStr">
        <is>
          <t>Arc Nécrotique; Amulette Volkorne; Anneau Volkorne; Bague Trithon; Quatre-feuilles; Ceintacé; Masque Trithon; Cape de la Dame du Hasard; Bottes de la Dame du Hasard; Dofus Vulbis; Dofus Ébène; Dofus Ocre; Dofus Nébuleux; Dofus Turquoise; Dofus des Glaces; Kokulte</t>
        </is>
      </c>
    </row>
    <row r="16166">
      <c r="A16166" t="inlineStr">
        <is>
          <t>Xélor F 200</t>
        </is>
      </c>
      <c r="B16166">
        <f>HYPERLINK("https://www.dofusbook.net/fr/equipement/4035947-xelor-f-200/objets", "link")</f>
        <v/>
      </c>
      <c r="C16166" t="n">
        <v>1</v>
      </c>
      <c r="D16166" t="inlineStr">
        <is>
          <t>Manthache; Collier du Valet Veinard; Gant du Valet Veinard; Anneau Volkorne; Bouclier du Stalak; Menoture; Casque Volkorne; Cape Indescriptible; Palmes Trithons; Dofus Ébène; Dofus des Glaces; Dofus Ivoire; Dofus Abyssal; Dofus Ocre; Dofus Vulbis; Blérodoudou</t>
        </is>
      </c>
    </row>
    <row r="16167">
      <c r="A16167" t="inlineStr">
        <is>
          <t>hup</t>
        </is>
      </c>
      <c r="B16167">
        <f>HYPERLINK("https://www.dofusbook.net/fr/equipement/2389082-hup/objets", "link")</f>
        <v/>
      </c>
      <c r="C16167" t="n">
        <v>13</v>
      </c>
      <c r="D16167" t="inlineStr">
        <is>
          <t>Rouleau à Pâtisserie d'Aermyne; Collier Rophante; Anneau de Pol Ouatnos; Alliance Gloursonne; Sept ans de malheur; Ceinture de Kongoku; Masque d'Anerice; Cape d'Anerice; Pataugastrique; Dofus Ivoire; Dofus Émeraude; Remueur; Carapace Eau majeur; Platypus</t>
        </is>
      </c>
    </row>
    <row r="16168">
      <c r="A16168" t="inlineStr">
        <is>
          <t>Ouginak M 200</t>
        </is>
      </c>
      <c r="B16168">
        <f>HYPERLINK("https://www.dofusbook.net/fr/equipement/4830491-ouginak-m-200/objets", "link")</f>
        <v/>
      </c>
      <c r="C16168" t="n">
        <v>0</v>
      </c>
      <c r="D16168" t="inlineStr">
        <is>
          <t>Dagoulinantes; Amulette de l'Œil Attentif; Anneau Volkorne; Bracelet des Fonds marins; Quatre-feuilles; Ceinture Volkorne; Capuche de l'Œil Attentif; Cape de l'Œil Attentif; Sandales des Fonds marins; Dofus Turquoise; Dofus Ébène; Dofus Pourpre; Dofus des Glaces; Dofus Ocre; Dofus Ivoire; Kanigloups</t>
        </is>
      </c>
    </row>
    <row r="16169">
      <c r="A16169" t="inlineStr">
        <is>
          <t>Stuff 3</t>
        </is>
      </c>
      <c r="B16169">
        <f>HYPERLINK("https://www.dofusbook.net/fr/equipement/186622-stuff-3/objets", "link")</f>
        <v/>
      </c>
      <c r="C16169" t="n">
        <v>5</v>
      </c>
      <c r="D16169" t="inlineStr">
        <is>
          <t>Baguette Hique; Amulette de Shokkoth; Bracelet des Fonds marins; Anneau Volkorne; Quatre-feuilles; Pagne du Rykaon; Kidibonnet; Cape de la Dame du Hasard; Bottes de la Dame du Hasard; Dofus Turquoise; Dofus Ivoire; Dofus Ocre; Dofus des Glaces; Nomade; Chanceux majeur; Pioute bleu</t>
        </is>
      </c>
    </row>
    <row r="16170">
      <c r="A16170" t="inlineStr">
        <is>
          <t>Xélor F 200</t>
        </is>
      </c>
      <c r="B16170">
        <f>HYPERLINK("https://www.dofusbook.net/fr/equipement/4823285-xelor-f-200/objets", "link")</f>
        <v/>
      </c>
      <c r="C16170" t="n">
        <v>0</v>
      </c>
      <c r="D16170" t="inlineStr">
        <is>
          <t>Arc de Koutoulou; Amulette Voldelor; Alliance Gloursonne; Anneau Volkorne; Quatre-feuilles; Ceinture Voldelor; Casque Volkorne; Chevelure de Tal Kasha; Bottes Voldelor; Dofus Ocre; Dofus Ivoire; Dofus des Glaces; Dofus Ébène; Dofus Turquoise; Dofus Vulbis; Volkorne Emeraude et Ebène</t>
        </is>
      </c>
    </row>
    <row r="16171">
      <c r="A16171" t="inlineStr">
        <is>
          <t>Stuff 2</t>
        </is>
      </c>
      <c r="B16171">
        <f>HYPERLINK("https://www.dofusbook.net/fr/equipement/2831943-stuff-2/objets", "link")</f>
        <v/>
      </c>
      <c r="C16171" t="n">
        <v>16</v>
      </c>
      <c r="D16171" t="inlineStr">
        <is>
          <t>Arc de Koutoulou; Amulette de Shokkoth; Anneau Tique; Alliance Gloursonne; Cadran d'Air; Ceinture Voldelor; Coiffe de la Reine des Voleurs; Cape Matelassée; Bottes de la Reine des Voleurs; Dofus Ocre; Dofus Ébène; Dofus des Glaces; Dofus Vulbis; Dofus Abyssal; Dofus Ivoire; Mini Wa</t>
        </is>
      </c>
    </row>
    <row r="16172">
      <c r="A16172" t="inlineStr">
        <is>
          <t>Sram F 200</t>
        </is>
      </c>
      <c r="B16172">
        <f>HYPERLINK("https://www.dofusbook.net/fr/equipement/4801522-sram-f-200/objets", "link")</f>
        <v/>
      </c>
      <c r="C16172" t="n">
        <v>1</v>
      </c>
      <c r="D16172" t="inlineStr">
        <is>
          <t>Arc du Chalœil; Amulette Volkorne; Anneau du Comte Harebourg; Anneau Volkorne; Quatre-feuilles; Ceinture Volkorne; Coiffe du Comte Harebourg; Cape du Cœur Saignant; Bottes du Comte Harebourg; Dofus Ocre; Dofus Ébène; Dofus Vulbis; Dofus des Glaces; Dofus Turquoise; Dofus Ivoire; Volkorne Pourpre</t>
        </is>
      </c>
    </row>
    <row r="16173">
      <c r="A16173" t="inlineStr">
        <is>
          <t>Sram F 200</t>
        </is>
      </c>
      <c r="B16173">
        <f>HYPERLINK("https://www.dofusbook.net/fr/equipement/4780136-sram-f-200/objets", "link")</f>
        <v/>
      </c>
      <c r="C16173" t="n">
        <v>0</v>
      </c>
      <c r="D16173" t="inlineStr">
        <is>
          <t>Plume de Buhorado; Collier du Valet Veinard; Gant du Valet Veinard; Alliance Gloursonne; Bouclier du Stalak; Menoture; Masquegel; Cape Martegel; Palmes Trithons; Dofus des Glaces; Dofus Ébène; Dofus Vulbis; Dofus Abyssal; Dofus Ocre; Dofus Ivoire; Blérodoudou</t>
        </is>
      </c>
    </row>
    <row r="16174">
      <c r="A16174" t="inlineStr">
        <is>
          <t>Sram F 200</t>
        </is>
      </c>
      <c r="B16174">
        <f>HYPERLINK("https://www.dofusbook.net/fr/equipement/4781851-sram-f-200/objets", "link")</f>
        <v/>
      </c>
      <c r="C16174" t="n">
        <v>3</v>
      </c>
      <c r="D16174" t="inlineStr">
        <is>
          <t>Manthache; Collier du Valet Veinard; Gant du Valet Veinard; Anneau d'Allister; Bouclier du Stalak; Ceinture du Barbétoal; Couronne d'Allister; Cape du Valet Veinard; Bottes d'Allister; Dofus Ocre; Dofus Ivoire; Dofus des Glaces; Dofus Ébène; Dofus Vulbis; Dofus Abyssal; Blérodoudou</t>
        </is>
      </c>
    </row>
    <row r="16175">
      <c r="A16175" t="inlineStr">
        <is>
          <t>erre</t>
        </is>
      </c>
      <c r="B16175">
        <f>HYPERLINK("https://www.dofusbook.net/fr/equipement/2804839-erre/objets", "link")</f>
        <v/>
      </c>
      <c r="C16175" t="n">
        <v>0</v>
      </c>
      <c r="D16175" t="inlineStr">
        <is>
          <t>Dagues de Srambad; Amulette d'Ilyzaelle; Alliance Gloursonne; Goulano; Bouclier d'Ilyzaelle; Ceinture de la Reine des Voleurs; Casque d'Ilyzaelle; Cape Solution; Bottes de la Reine des Voleurs; Wabbit</t>
        </is>
      </c>
    </row>
    <row r="16176">
      <c r="A16176" t="inlineStr">
        <is>
          <t>Sadida F 200</t>
        </is>
      </c>
      <c r="B16176">
        <f>HYPERLINK("https://www.dofusbook.net/fr/equipement/4719244-sadida-f-200/objets", "link")</f>
        <v/>
      </c>
      <c r="C16176" t="n">
        <v>2</v>
      </c>
      <c r="D16176" t="inlineStr">
        <is>
          <t>Sceptre du Roi Joueur; Amulette d'Ilyzaelle; Alliance Gloursonne; Anneau Volkorne; Bouclier d'Ilyzaelle; Ceinture Glaciale; Casque d'Ilyzaelle; Cape de l'Œil Attentif; Bottes du Nocturlabe; Dofus des Glaces; Dofus Ivoire; Dofus Vulbis; Dofus Ébène; Dofus Abyssal; Dofus Ocre; Kanigloups</t>
        </is>
      </c>
    </row>
    <row r="16177">
      <c r="A16177" t="inlineStr">
        <is>
          <t>err</t>
        </is>
      </c>
      <c r="B16177">
        <f>HYPERLINK("https://www.dofusbook.net/fr/equipement/2722282-err/objets", "link")</f>
        <v/>
      </c>
      <c r="C16177" t="n">
        <v>4</v>
      </c>
      <c r="D16177" t="inlineStr">
        <is>
          <t>Dagoulinantes; Amulette de l'Œil Attentif; Alliance Gloursonne; Anneau Volkorne; Bouclier du Stalak; Ceinture Volkorne; Capuche de l'Œil Attentif; Cape de l'Œil Attentif; Bottes du Sinistrofu; Dofus Ivoire; Dofus Vulbis; Dofus Turquoise; Dofus Ocre; Dofus Ébène; Dofus des Glaces; Kanigloups</t>
        </is>
      </c>
    </row>
    <row r="16178">
      <c r="A16178" t="inlineStr">
        <is>
          <t>Ecaflip M 200</t>
        </is>
      </c>
      <c r="B16178">
        <f>HYPERLINK("https://www.dofusbook.net/fr/equipement/4600879-ecaflip-m-200/objets", "link")</f>
        <v/>
      </c>
      <c r="C16178" t="n">
        <v>0</v>
      </c>
      <c r="D16178" t="inlineStr">
        <is>
          <t>Arc du Chalœil; Torquistik; Anneau Crustique; Bague Trithon; Bouclier d'Ilyzaelle; Ceinture Gence; Casque Dragoeuf; Bravoure de Rykke Errel; Bottistik; Dofus Abyssal; Dofus Vulbis; Dofus Ivoire; Dofus Ocre; Dofus Ébène; Culbuteur majeur; Black Tiwabbit</t>
        </is>
      </c>
    </row>
    <row r="16179">
      <c r="A16179" t="inlineStr">
        <is>
          <t>Sadida F 200</t>
        </is>
      </c>
      <c r="B16179">
        <f>HYPERLINK("https://www.dofusbook.net/fr/equipement/4705782-sadida-f-200/objets", "link")</f>
        <v/>
      </c>
      <c r="C16179" t="n">
        <v>2</v>
      </c>
      <c r="D16179" t="inlineStr">
        <is>
          <t>Le Thanos; Amulette d'Ilyzaelle; Anneau Volkorne; Lavanneau; Bouclier d'Ilyzaelle; Ceinture Volkorne; Casque d'Ilyzaelle; Cape de l'Œil Attentif; Bottes de Théodoran Ax; Dofus Vulbis; Dofus Ébène; Dofus Abyssal; Dofus Ocre; Dofus Ivoire; Docteur majeur; Kanigloups</t>
        </is>
      </c>
    </row>
    <row r="16180">
      <c r="A16180" t="inlineStr">
        <is>
          <t>Sadida F 200</t>
        </is>
      </c>
      <c r="B16180">
        <f>HYPERLINK("https://www.dofusbook.net/fr/equipement/4705689-sadida-f-200/objets", "link")</f>
        <v/>
      </c>
      <c r="C16180" t="n">
        <v>0</v>
      </c>
      <c r="D16180" t="inlineStr">
        <is>
          <t>Arc Honte; Amulette Martegel; Bague Gloursonne; Alliance Gloursonne; Ceinture de Vortex; Cagoule de Vortex; Cape Martegel; Sabots de Vortex; Blérodoudou</t>
        </is>
      </c>
    </row>
    <row r="16181">
      <c r="A16181" t="inlineStr">
        <is>
          <t>Sadida F 200</t>
        </is>
      </c>
      <c r="B16181">
        <f>HYPERLINK("https://www.dofusbook.net/fr/equipement/4533360-sadida-f-200/objets", "link")</f>
        <v/>
      </c>
      <c r="C16181" t="n">
        <v>7</v>
      </c>
      <c r="D16181" t="inlineStr">
        <is>
          <t>Arc Honte; Amulette Martegel; Bague Gloursonne; Alliance Gloursonne; Bouclier du Stalak; Ceinture de l'Esprit Salvateur; Masque de l'Esprit Salvateur; Cape Martegel; Bottes de l'Esprit Salvateur; Dofus Abyssal; Dofus Ocre; Dofus Ivoire; Dofus des Glaces; Dofus Ébène; Dofus Vulbis; Blérodoudou</t>
        </is>
      </c>
    </row>
    <row r="16182">
      <c r="A16182" t="inlineStr">
        <is>
          <t>Stuff 2</t>
        </is>
      </c>
      <c r="B16182">
        <f>HYPERLINK("https://www.dofusbook.net/fr/equipement/186585-stuff-2/objets", "link")</f>
        <v/>
      </c>
      <c r="C16182" t="n">
        <v>3</v>
      </c>
      <c r="D16182" t="inlineStr">
        <is>
          <t>Arc Ontanporin; Collier de la Dame du Hasard; Bracelet des Fonds marins; Anneau Volkorne; Quatre-feuilles; Ceinture Volkorne; Capuche de l'Œil Putride; Cape de la Dame du Hasard; Bottes de la Dame du Hasard; Dofus Vulbis; Dofus Abyssal; Dofus Turquoise; Dofus Ivoire; Dofus Ocre; Dofus Ébène; Pioute bleu</t>
        </is>
      </c>
    </row>
    <row r="16183">
      <c r="A16183" t="inlineStr">
        <is>
          <t>Pandawa M 200</t>
        </is>
      </c>
      <c r="B16183">
        <f>HYPERLINK("https://www.dofusbook.net/fr/equipement/4634085-pandawa-m-200/objets", "link")</f>
        <v/>
      </c>
      <c r="C16183" t="n">
        <v>4</v>
      </c>
      <c r="D16183" t="inlineStr">
        <is>
          <t>Baguette de Malléfisk; Amulette Volkorne; Anneauræus; Anneauræus; Droiture de Fallanster; Ceinture Volkorne; Casque Dragoeuf; Bravoure de Rykke Errel; Pataugastrique; Dofus Émeraude; Dokoko; Dofus Ocre; Dofus Ivoire; Érudit majeur; Guérisseur majeur; Chachyène</t>
        </is>
      </c>
    </row>
    <row r="16184">
      <c r="A16184" t="inlineStr">
        <is>
          <t>Crâ M 200</t>
        </is>
      </c>
      <c r="B16184">
        <f>HYPERLINK("https://www.dofusbook.net/fr/equipement/4624402-cra-m-200/objets", "link")</f>
        <v/>
      </c>
      <c r="C16184" t="n">
        <v>4</v>
      </c>
      <c r="D16184" t="inlineStr">
        <is>
          <t>Arc du Chalœil; Amulette du Cœur Saignant; Anneau Volkorne; Bague Gloursonne; Droiture de Fallanster; Ceinture Volkorne; Masque de Koutoulou; Cape de Jahash Jurgen; Bottes du Cœur Saignant; Dofus Ocre; Dofus Ébène; Dofus Turquoise; Dofus Nébuleux; Dofus Vulbis; Dofus Ivoire; Pioute vert</t>
        </is>
      </c>
    </row>
    <row r="16185">
      <c r="A16185" t="inlineStr">
        <is>
          <t>Osamodas F 200</t>
        </is>
      </c>
      <c r="B16185">
        <f>HYPERLINK("https://www.dofusbook.net/fr/equipement/4576871-osamodas-f-200/objets", "link")</f>
        <v/>
      </c>
      <c r="C16185" t="n">
        <v>1</v>
      </c>
      <c r="D16185" t="inlineStr">
        <is>
          <t>Rouleau à Pâtisserie d'Aermyne; Amulette Ementaire Deluxe; Anneau Tique; Alliance Gloursonne; Bouclier d'Anerice; Protopagne; Casque Dragoeuf; Cape d'Anerice; Bottes de Dremoan; Dofus Ocre; Carapace Terre majeur; Carapace Air majeur; Remueur; Carapace Feu majeur; Carapace Eau majeur; El Scarador</t>
        </is>
      </c>
    </row>
    <row r="16186">
      <c r="A16186" t="inlineStr">
        <is>
          <t>Stuff 3</t>
        </is>
      </c>
      <c r="B16186">
        <f>HYPERLINK("https://www.dofusbook.net/fr/equipement/186607-stuff-3/objets", "link")</f>
        <v/>
      </c>
      <c r="C16186" t="n">
        <v>41</v>
      </c>
      <c r="D16186" t="inlineStr">
        <is>
          <t>Arc Volkorne; Amulette Volkorne; Anneau de Padgref; Anneau Volkorne; Quatre-feuilles; Ceinture Volkorne; Coiffe de Padgref; Chevelure de Tal Kasha; Getas de Padgref; Dofus Turquoise; Dofus Nébuleux; Dofus Ocre; Dofus Ivoire; Dofus Pourpre; Dofus des Glaces; Sakochère</t>
        </is>
      </c>
    </row>
    <row r="16187">
      <c r="A16187" t="inlineStr">
        <is>
          <t>Stuff 3</t>
        </is>
      </c>
      <c r="B16187">
        <f>HYPERLINK("https://www.dofusbook.net/fr/equipement/186601-stuff-3/objets", "link")</f>
        <v/>
      </c>
      <c r="C16187" t="n">
        <v>6</v>
      </c>
      <c r="D16187" t="inlineStr">
        <is>
          <t>Epée Loponèze; Amulette Voldelor; Bague Trithon; Alliance Gloursonne; Bouclier du Stalak; Némès de Tal Kasha; Chevelure de Tal Kasha; Sandales de Tal Kasha; Dofus Ocre; Dofus Ébène; Dofus Vulbis; Dofus Abyssal; Dofus Turquoise; Dofus Ivoire; Pioute bleu</t>
        </is>
      </c>
    </row>
    <row r="16188">
      <c r="A16188" t="inlineStr">
        <is>
          <t>hyki</t>
        </is>
      </c>
      <c r="B16188">
        <f>HYPERLINK("https://www.dofusbook.net/fr/equipement/1234511-hyki/objets", "link")</f>
        <v/>
      </c>
      <c r="C16188" t="n">
        <v>2</v>
      </c>
      <c r="D16188" t="inlineStr">
        <is>
          <t>Lav'Hache; Collier de Tourthon; Anneau Crustique; Anneau du Comte Harebourg; Jadis; Ceinture Volkorne; Coiffe du Comte Harebourg; Cape au Logis; Baleinabottes; Dofus Émeraude; Dofus Ocre; Dofus Pourpre; Dofus Abyssal; Obstructeur majeur; Enragé majeur; Bulbisou</t>
        </is>
      </c>
    </row>
    <row r="16189">
      <c r="A16189" t="inlineStr">
        <is>
          <t>Stuff 3</t>
        </is>
      </c>
      <c r="B16189">
        <f>HYPERLINK("https://www.dofusbook.net/fr/equipement/186586-stuff-3/objets", "link")</f>
        <v/>
      </c>
      <c r="C16189" t="n">
        <v>2</v>
      </c>
      <c r="D16189" t="inlineStr">
        <is>
          <t>Baguette Hique; Amulette Volkorne; Anneau Volkorne; Anneau Tique; Quatre-feuilles; Pagne du Rykaon; Némès de Tal Kasha; Chevelure de Tal Kasha; Sandales de Tal Kasha; Dofus Ocre; Dofus Ébène; Dofus Vulbis; Dofus Nébuleux; Dofus Turquoise; Dofus Ivoire; Kokulte</t>
        </is>
      </c>
    </row>
    <row r="16190">
      <c r="A16190" t="inlineStr">
        <is>
          <t>Sadida F 200</t>
        </is>
      </c>
      <c r="B16190">
        <f>HYPERLINK("https://www.dofusbook.net/fr/equipement/4477424-sadida-f-200/objets", "link")</f>
        <v/>
      </c>
      <c r="C16190" t="n">
        <v>0</v>
      </c>
      <c r="D16190" t="inlineStr">
        <is>
          <t>Arc du Chalœil; Amulette du Cœur Saignant; Anneau Crustique; Anneau Crustique; Quatre-feuilles; Ceinture Volkorne; Chapeau de Gein; Cape du Cœur Saignant; Bottes du Cœur Saignant; Dofus Vulbis; Dofus Ébène; Dofus Turquoise; Dofus Abyssal; Dofus Ocre; Dofus Ivoire; Pioute vert</t>
        </is>
      </c>
    </row>
    <row r="16191">
      <c r="A16191" t="inlineStr">
        <is>
          <t>tereiro</t>
        </is>
      </c>
      <c r="B16191">
        <f>HYPERLINK("https://www.dofusbook.net/fr/equipement/2847604-tereiro/objets", "link")</f>
        <v/>
      </c>
      <c r="C16191" t="n">
        <v>5</v>
      </c>
      <c r="D16191" t="inlineStr">
        <is>
          <t>Manthache; Collier du Valet Veinard; Anneau d'Allister; Gant du Valet Veinard; Bouclier du Stalak; Ceinture de Klime; Couronne d'Allister; Cape du Valet Veinard; Bottes d'Allister; Blérodoudou</t>
        </is>
      </c>
    </row>
    <row r="16192">
      <c r="A16192" t="inlineStr">
        <is>
          <t>Stuff 1</t>
        </is>
      </c>
      <c r="B16192">
        <f>HYPERLINK("https://www.dofusbook.net/fr/equipement/186593-stuff-1/objets", "link")</f>
        <v/>
      </c>
      <c r="C16192" t="n">
        <v>3</v>
      </c>
      <c r="D16192" t="inlineStr">
        <is>
          <t>Marteau R'ture; Amulette du Strigide; Anneau Volkorne; Anneau Crustique; Cadran d'Eau; Ceinture Volkorne; Masque de Koutoulou; Cape au Logis; Bottes de la Cour Sombre; Dofus Ocre; Dofus Ivoire; Dofus Vulbis; Dofus des Glaces; Dofus Turquoise; Dofus Nébuleux; Pioute vert</t>
        </is>
      </c>
    </row>
    <row r="16193">
      <c r="A16193" t="inlineStr">
        <is>
          <t>intel</t>
        </is>
      </c>
      <c r="B16193">
        <f>HYPERLINK("https://www.dofusbook.net/fr/equipement/1057428-intel/objets", "link")</f>
        <v/>
      </c>
      <c r="C16193" t="n">
        <v>3</v>
      </c>
      <c r="D16193" t="inlineStr">
        <is>
          <t>Arc du Chalœil; Amulette de Gein; Anneau Crustique; Bague Gloursonne; Quatre-feuilles; Ceinture Volkorne; Chapeau de Gein; Cape au Logis; Bottes Honyme; Dofus Vulbis; Dofus Ébène; Dofus Turquoise; Dofus Nébuleux; Dofus Ocre; Dofus Ivoire; Pioute vert</t>
        </is>
      </c>
    </row>
    <row r="16194">
      <c r="A16194" t="inlineStr">
        <is>
          <t>Stuff 1</t>
        </is>
      </c>
      <c r="B16194">
        <f>HYPERLINK("https://www.dofusbook.net/fr/equipement/186605-stuff-1/objets", "link")</f>
        <v/>
      </c>
      <c r="C16194" t="n">
        <v>9</v>
      </c>
      <c r="D16194" t="inlineStr">
        <is>
          <t>Arc du Chalœil; Amulette du Strigide; Bracelet du Piloztère; Anneau Volkorne; Quatre-feuilles; Ceinture Volkorne; Masque de Koutoulou; Cape au Logis; Bottes du Strigide; Dofus Pourpre; Dofus Nébuleux; Dofus Turquoise; Dofus Ivoire; Dofus Ocre; Pioute vert</t>
        </is>
      </c>
    </row>
    <row r="16195">
      <c r="A16195" t="inlineStr">
        <is>
          <t>hgfds</t>
        </is>
      </c>
      <c r="B16195">
        <f>HYPERLINK("https://www.dofusbook.net/fr/equipement/1234159-hgfds/objets", "link")</f>
        <v/>
      </c>
      <c r="C16195" t="n">
        <v>11</v>
      </c>
      <c r="D16195" t="inlineStr">
        <is>
          <t>Sceptre du Roi Joueur; Amulette Voldelor; Alliance Gloursonne; Bouclier du Stalak; Sangle Ouare; Némès de Tal Kasha; Chevelure de Tal Kasha; Pataugastrique; Dofus Ébène; Dofus Ocre; Dofus Nébuleux; Dofus Ivoire; Dofus des Glaces; Chanceux majeur; Pioute bleu</t>
        </is>
      </c>
    </row>
    <row r="16196">
      <c r="A16196" t="inlineStr">
        <is>
          <t>Stuff 3</t>
        </is>
      </c>
      <c r="B16196">
        <f>HYPERLINK("https://www.dofusbook.net/fr/equipement/2233398-stuff-3/objets", "link")</f>
        <v/>
      </c>
      <c r="C16196" t="n">
        <v>8</v>
      </c>
      <c r="D16196" t="inlineStr">
        <is>
          <t>Arc corrompu; Pendentif affamé; Anneauræus; Anneauræus; Bouclier du Cycloïde; Ceinture de Vortex; Cagoule de Vortex; Cape de Diondin; Bottes Innommables; Dofus Ocre; Dofus Ivoire; Nomade; Carapace Feu majeur; Miraculé majeur; Érudit majeur; Bisouglours</t>
        </is>
      </c>
    </row>
    <row r="16197">
      <c r="A16197" t="inlineStr">
        <is>
          <t>Stuff 2</t>
        </is>
      </c>
      <c r="B16197">
        <f>HYPERLINK("https://www.dofusbook.net/fr/equipement/186594-stuff-2/objets", "link")</f>
        <v/>
      </c>
      <c r="C16197" t="n">
        <v>7</v>
      </c>
      <c r="D16197" t="inlineStr">
        <is>
          <t>Plume de Buhorado; Amulette du Granduk; Anneau d'Allister; Gant du Valet Veinard; Bouclier du Stalak; Menoture; Masque de Klime; Cape de Klime; Palmes Trithons; Dofus Vulbis; Dofus Ocre; Dofus Pourpre; Dofus des Glaces; Dofus Ivoire; Blérodoudou</t>
        </is>
      </c>
    </row>
    <row r="16198">
      <c r="A16198" t="inlineStr">
        <is>
          <t>Stuff 1</t>
        </is>
      </c>
      <c r="B16198">
        <f>HYPERLINK("https://www.dofusbook.net/fr/equipement/186614-stuff-1/objets", "link")</f>
        <v/>
      </c>
      <c r="C16198" t="n">
        <v>3</v>
      </c>
      <c r="D16198" t="inlineStr">
        <is>
          <t>Sceptre du Roi Joueur; Amulette de Shokkoth; Bracelet des Fonds marins; Anneau Volkorne; Bouclier du Stalak; Sangle Ouare; Masque des Fonds marins; Cape Solution; Sandales Circulaires du Kimbo; Dofus Pourpre; Dofus Ocre; Dofus Ivoire; Dofus Émeraude; Dofus des Glaces; Chanceux majeur; Kanigloups</t>
        </is>
      </c>
    </row>
    <row r="16199">
      <c r="A16199" t="inlineStr">
        <is>
          <t>feo</t>
        </is>
      </c>
      <c r="B16199">
        <f>HYPERLINK("https://www.dofusbook.net/fr/equipement/4343187-feo/objets", "link")</f>
        <v/>
      </c>
      <c r="C16199" t="n">
        <v>0</v>
      </c>
      <c r="D16199" t="inlineStr">
        <is>
          <t>Épée du Granduk; Amulette du Granduk; Gant du Valet Veinard; Anneau d'Allister; Quatre-feuilles; Ceinture de Klime; Masque du Granduk; Cape de Klime; Bottes d'Allister; Dofus Turquoise; Dofus Nébuleux; Dofus Ocre; Dofus Abyssal; Dofus des Glaces; Equilibriste majeur; Pioute jaune</t>
        </is>
      </c>
    </row>
    <row r="16200">
      <c r="A16200" t="inlineStr">
        <is>
          <t>air</t>
        </is>
      </c>
      <c r="B16200">
        <f>HYPERLINK("https://www.dofusbook.net/fr/equipement/3244375-air/objets", "link")</f>
        <v/>
      </c>
      <c r="C16200" t="n">
        <v>0</v>
      </c>
      <c r="D16200" t="inlineStr">
        <is>
          <t>Manthache; Collier du Valet Veinard; Gant du Valet Veinard; Alliance Gloursonne; Cadran d'Air; Menoture; Casque Dragoeuf; Cape Indescriptible; Palmes Trithons; Dofus Abyssal; Dofus Pourpre; Dofus Ivoire; Remueur; Cascadeur majeur; Nomade; Blérodoudou</t>
        </is>
      </c>
    </row>
    <row r="16201">
      <c r="A16201" t="inlineStr">
        <is>
          <t>Stuff 3</t>
        </is>
      </c>
      <c r="B16201">
        <f>HYPERLINK("https://www.dofusbook.net/fr/equipement/186634-stuff-3/objets", "link")</f>
        <v/>
      </c>
      <c r="C16201" t="n">
        <v>2</v>
      </c>
      <c r="D16201" t="inlineStr">
        <is>
          <t>Arc du Chalœil; Amulette de Gein; Anneau Chevelu; Bague Gloursonne; Quatre-feuilles; Ceinture Gence; Chapeau de Gein; Cape au Logis; Bottes du Cœur Saignant; Dofus Turquoise; Dofus Abyssal; Dofus Pourpre; Dofus Ivoire; Dofus Ocre; Enragé majeur; Dragodinde Amande et Pourpre</t>
        </is>
      </c>
    </row>
    <row r="16202">
      <c r="A16202" t="inlineStr">
        <is>
          <t>Stuff 1</t>
        </is>
      </c>
      <c r="B16202">
        <f>HYPERLINK("https://www.dofusbook.net/fr/equipement/186632-stuff-1/objets", "link")</f>
        <v/>
      </c>
      <c r="C16202" t="n">
        <v>1</v>
      </c>
      <c r="D16202" t="inlineStr">
        <is>
          <t>Hache Rot; Amulette de Shokkoth; Bracelet des Fonds marins; Anneau Volkorne; Quatre-feuilles; Ceinture de la Reine des Voleurs; Capuche de l'Œil Attentif; Cape Solution; Bottes de la Reine des Voleurs; Dofus Abyssal; Dofus Pourpre; Dofus Turquoise; Chanceux majeur; Nomade; Remueur; Kanigloups</t>
        </is>
      </c>
    </row>
    <row r="16203">
      <c r="A16203" t="inlineStr">
        <is>
          <t>pasfou</t>
        </is>
      </c>
      <c r="B16203">
        <f>HYPERLINK("https://www.dofusbook.net/fr/equipement/4296668-pasfou/objets", "link")</f>
        <v/>
      </c>
      <c r="C16203" t="n">
        <v>0</v>
      </c>
      <c r="D16203" t="inlineStr">
        <is>
          <t>Sabres d'Atcham; Amulette Volkorne; Anneau Volkorne; Anneau Tique; Quatre-feuilles; Ceinture du Barbétoal; Casque Volkorne; Cape d'Atcham; Sandales  d'Atcham; Dofus Ivoire; Dofus des Glaces; Dofus Turquoise; Dofus Nébuleux; Dofus Ocre; Paralyseur majeur; Pioute bleu</t>
        </is>
      </c>
    </row>
    <row r="16204">
      <c r="A16204" t="inlineStr">
        <is>
          <t>Eniripsa B</t>
        </is>
      </c>
      <c r="B16204">
        <f>HYPERLINK("https://www.dofusbook.net/fr/equipement/4357376-eniripsa-b/objets", "link")</f>
        <v/>
      </c>
      <c r="C16204" t="n">
        <v>2</v>
      </c>
      <c r="D16204" t="inlineStr">
        <is>
          <t>Arc corrompu; Amulette Volkorne; Anneauræus; Bague Gloursonne; Quatre-feuilles; Sangle Aise; Capuche de l'Œil Putride; Cape de la Dame du Hasard; Bottes de la Dame du Hasard; Dofus Turquoise; Dofus Ébène; Dofus Ocre; Dofus Ivoire; Érudit majeur; Nomade; Pioute rouge</t>
        </is>
      </c>
    </row>
    <row r="16205">
      <c r="A16205" t="inlineStr">
        <is>
          <t>Xélor M 20000</t>
        </is>
      </c>
      <c r="B16205">
        <f>HYPERLINK("https://www.dofusbook.net/fr/equipement/4337627-xelor-m-20000/objets", "link")</f>
        <v/>
      </c>
      <c r="C16205" t="n">
        <v>0</v>
      </c>
      <c r="D16205" t="inlineStr"/>
    </row>
    <row r="16206">
      <c r="A16206" t="inlineStr">
        <is>
          <t>Xélor M 200</t>
        </is>
      </c>
      <c r="B16206">
        <f>HYPERLINK("https://www.dofusbook.net/fr/equipement/4337593-xelor-m-200/objets", "link")</f>
        <v/>
      </c>
      <c r="C16206" t="n">
        <v>0</v>
      </c>
      <c r="D16206" t="inlineStr">
        <is>
          <t>Arc corrompu; Amulette Volkorne; Anneau Tique; Anneauræus; Quatre-feuilles; Ceinture de Vortex; Cagoule de Vortex; Cape d'Atcham; Pataugastrique; Dofus Ocre; Dofus Pourpre; Dofus Ivoire; Dofus Turquoise; Érudit majeur; Nomade; Pioute rouge</t>
        </is>
      </c>
    </row>
    <row r="16207">
      <c r="A16207" t="inlineStr">
        <is>
          <t>Iop M 200</t>
        </is>
      </c>
      <c r="B16207">
        <f>HYPERLINK("https://www.dofusbook.net/fr/equipement/4303272-iop-m-200/objets", "link")</f>
        <v/>
      </c>
      <c r="C16207" t="n">
        <v>0</v>
      </c>
      <c r="D16207" t="inlineStr">
        <is>
          <t>Arc corrompu; Amulette Volcanique; Bague Gloursonne; Anneau de Nidas; Bouclier cubiste; Ceinture Hanium; Casquette de Meno; Cape des Justiciers; Bottes de Meno; Dofus Ocre; Ralentisseur majeur; Temporiseur majeur; Entraveur majeur; Nomade; Érudit majeur; Léopardo</t>
        </is>
      </c>
    </row>
    <row r="16208">
      <c r="A16208" t="inlineStr">
        <is>
          <t>jaime bcp</t>
        </is>
      </c>
      <c r="B16208">
        <f>HYPERLINK("https://www.dofusbook.net/fr/equipement/4296544-jaime-bcp/objets", "link")</f>
        <v/>
      </c>
      <c r="C16208" t="n">
        <v>1</v>
      </c>
      <c r="D16208" t="inlineStr">
        <is>
          <t>Sabres d'Atcham; Amulette Volkorne; Anneau Tique; Anneau Volkorne; Cadran de Terre; Ceinture du Barbétoal; Casque Volkorne; Cape d'Atcham; Sandales  d'Atcham; Dofus Pourpre; Dofus Ivoire; Dofus Ocre; Dofus des Glaces; Dofus Nébuleux; Dofus Turquoise; Pioute bleu</t>
        </is>
      </c>
    </row>
    <row r="16209">
      <c r="A16209" t="inlineStr">
        <is>
          <t>Xélor M 200</t>
        </is>
      </c>
      <c r="B16209">
        <f>HYPERLINK("https://www.dofusbook.net/fr/equipement/4287858-xelor-m-200/objets", "link")</f>
        <v/>
      </c>
      <c r="C16209" t="n">
        <v>2</v>
      </c>
      <c r="D16209" t="inlineStr">
        <is>
          <t>Sceptre du Roi Joueur; Amulette de Shokkoth; Alliance Gloursonne; Anneau Volkorne; Quatre-feuilles; Culotte de Bethel; Kidibonnet; Chevelure de Tal Kasha; Chaussons de Macrab; Dofus Turquoise; Dofus Pourpre; Dofus Ocre; Étourdisseur majeur; Chanceux majeur; Nomade; Pioute bleu</t>
        </is>
      </c>
    </row>
    <row r="16210">
      <c r="A16210" t="inlineStr">
        <is>
          <t>Sacrieur M 200</t>
        </is>
      </c>
      <c r="B16210">
        <f>HYPERLINK("https://www.dofusbook.net/fr/equipement/4160446-sacrieur-m-200/objets", "link")</f>
        <v/>
      </c>
      <c r="C16210" t="n">
        <v>8</v>
      </c>
      <c r="D16210" t="inlineStr">
        <is>
          <t>Manthache; Collier du Valet Veinard; Alliance Gloursonne; Gant du Valet Veinard; Bouclier d'Ilyzaelle; Menoture; Casque Dragoeuf; Cape du Kamasterisk; Palmes Trithons; Dokoko; Dofus Ivoire; Dofus Émeraude; Dofus Ocre; Carapace Air majeur; Carapace Feu majeur; La Chose</t>
        </is>
      </c>
    </row>
    <row r="16211">
      <c r="A16211" t="inlineStr">
        <is>
          <t>Stuff 3</t>
        </is>
      </c>
      <c r="B16211">
        <f>HYPERLINK("https://www.dofusbook.net/fr/equipement/186604-stuff-3/objets", "link")</f>
        <v/>
      </c>
      <c r="C16211" t="n">
        <v>4</v>
      </c>
      <c r="D16211" t="inlineStr">
        <is>
          <t>Plumeau Bil; Pendentif mignon de Koutoulou; Anneauræus; Anneauræus; Carapar; Ceinture de Gein; Casque Cyclopéen; Cape de Diondin; Bottes Innommables; Dofus Ivoire; Dofus Émeraude; Nomade; Érudit majeur; Miraculé majeur; Remueur; Eliôme</t>
        </is>
      </c>
    </row>
    <row r="16212">
      <c r="A16212" t="inlineStr">
        <is>
          <t>Stuff 1</t>
        </is>
      </c>
      <c r="B16212">
        <f>HYPERLINK("https://www.dofusbook.net/fr/equipement/186608-stuff-1/objets", "link")</f>
        <v/>
      </c>
      <c r="C16212" t="n">
        <v>7</v>
      </c>
      <c r="D16212" t="inlineStr">
        <is>
          <t>Hache du Chalœil; Amulette Volkorne; Anneau Volkorne; Alliance Gloursonne; Quatre-feuilles; Ceinture Volkorne; Casque Dragoeuf; Dofusteuse; Bottes Honyme; Dofus Ocre; Dofus Ivoire; Dofus Pourpre; Dofus des Glaces; Dofus Turquoise; Dofus Abyssal; Kokulte</t>
        </is>
      </c>
    </row>
    <row r="16213">
      <c r="A16213" t="inlineStr">
        <is>
          <t>Stuff 1</t>
        </is>
      </c>
      <c r="B16213">
        <f>HYPERLINK("https://www.dofusbook.net/fr/equipement/186599-stuff-1/objets", "link")</f>
        <v/>
      </c>
      <c r="C16213" t="n">
        <v>5</v>
      </c>
      <c r="D16213" t="inlineStr">
        <is>
          <t>Rapière aux Glyphes; Amulette de Shokkoth; Alliance Gloursonne; Bracelet des Fonds marins; Bouclier du Stalak; Poulpagne; Kidibonnet; Cape de Mantaze; Sandales des Fonds marins; Dofus Nébuleux; Dofus Pourpre; Dévastateur Eau majeur; Vigoureux majeur; Nomade; Chanceux majeur; Bwak d'Eau</t>
        </is>
      </c>
    </row>
    <row r="16214">
      <c r="A16214" t="inlineStr">
        <is>
          <t>Ecaflip M 200</t>
        </is>
      </c>
      <c r="B16214">
        <f>HYPERLINK("https://www.dofusbook.net/fr/equipement/4031077-ecaflip-m-200/objets", "link")</f>
        <v/>
      </c>
      <c r="C16214" t="n">
        <v>6</v>
      </c>
      <c r="D16214" t="inlineStr">
        <is>
          <t>Arc du Chalœil; Torquistik; Bague Instable; Bague Trithon; Bouclier précieux; Ceinture Gence; Casque Dragoeuf; Cape Solution; Bottistik; Dokoko; Dofus Abyssal; Dofus Émeraude; Dofus Ivoire; Bousculeur majeur; Culbuteur majeur; Balafreux</t>
        </is>
      </c>
    </row>
    <row r="16215">
      <c r="A16215" t="inlineStr">
        <is>
          <t>intel</t>
        </is>
      </c>
      <c r="B16215">
        <f>HYPERLINK("https://www.dofusbook.net/fr/equipement/2750260-intel/objets", "link")</f>
        <v/>
      </c>
      <c r="C16215" t="n">
        <v>2</v>
      </c>
      <c r="D16215" t="inlineStr">
        <is>
          <t>Arc corrompu; Amulette de Nileza; Anneau de Nidas; Anneauræus; Quatre-feuilles; Ceinture Séculaire; Coiffe Séculaire; Voile d'encre; Bottes Honyme; Dofus Ivoire; Dofus Abyssal; Dofus Ocre; Érudit majeur; Nomade; Temporiseur majeur; Bisouglours</t>
        </is>
      </c>
    </row>
    <row r="16216">
      <c r="A16216" t="inlineStr">
        <is>
          <t>air eau</t>
        </is>
      </c>
      <c r="B16216">
        <f>HYPERLINK("https://www.dofusbook.net/fr/equipement/945129-air-eau/objets", "link")</f>
        <v/>
      </c>
      <c r="C16216" t="n">
        <v>1</v>
      </c>
      <c r="D16216" t="inlineStr">
        <is>
          <t>Dagoulinantes; Amulette de Shokkoth; Anneau Volkorne; Alliance Gloursonne; Bouclier du Stalak; Sangle Ouare; Kidibonnet; Cape du Sinistrofu; Bottes du Sinistrofu; Dofus Abyssal; Dofus Ocre; Dofus des Glaces; Chanceux majeur; Robuste majeur; Joueur majeur; Kanigloups</t>
        </is>
      </c>
    </row>
    <row r="16217">
      <c r="A16217" t="inlineStr">
        <is>
          <t>Stuff 1</t>
        </is>
      </c>
      <c r="B16217">
        <f>HYPERLINK("https://www.dofusbook.net/fr/equipement/186611-stuff-1/objets", "link")</f>
        <v/>
      </c>
      <c r="C16217" t="n">
        <v>2</v>
      </c>
      <c r="D16217" t="inlineStr">
        <is>
          <t>Hache du Chalœil; Amulette de Gein; Anneau de Padgref; Alliance Gloursonne; Quatre-feuilles; Ceinture de Gein; Chapeau de Gein; Cape de la Dame du Hasard; Bottes de la Dame du Hasard; Dofus Pourpre; Dolmanax; Dofus Turquoise; Dofus des Glaces; Dofus Ocre; Dofus Nébuleux; Muldo Prune et Emeraude</t>
        </is>
      </c>
    </row>
    <row r="16218">
      <c r="A16218" t="inlineStr">
        <is>
          <t>o_o</t>
        </is>
      </c>
      <c r="B16218">
        <f>HYPERLINK("https://www.dofusbook.net/fr/equipement/2824695-o-o/objets", "link")</f>
        <v/>
      </c>
      <c r="C16218" t="n">
        <v>7</v>
      </c>
      <c r="D16218" t="inlineStr">
        <is>
          <t>Héqache; Amulette du Strigide; Anneau de Padgref; Alliance Gloursonne; Quatre-feuilles; Ceinture du Strigide; Chapeau de Gein; Voile d'encre; Bottes Honyme; Dofus Pourpre; Dofus Turquoise; Dofus des Glaces; Remueur; Nomade; Vigoureux majeur; Kokulte</t>
        </is>
      </c>
    </row>
    <row r="16219">
      <c r="A16219" t="inlineStr">
        <is>
          <t>Stuff 1</t>
        </is>
      </c>
      <c r="B16219">
        <f>HYPERLINK("https://www.dofusbook.net/fr/equipement/186590-stuff-1/objets", "link")</f>
        <v/>
      </c>
      <c r="C16219" t="n">
        <v>4</v>
      </c>
      <c r="D16219" t="inlineStr">
        <is>
          <t>Arc du Chalœil; Amulette Volkorne; Anneau Volkorne; Chevalière du Roi Joueur; Quatre-feuilles; Ceinture Volkorne; Couronne du Roi Joueur; Voile d'encre; Bottes du Roi Joueur; Dofus Forgelave; Dofus Ivoire; Dofus Turquoise; Dofus Ocre; Dofus Pourpre; Dofus des Glaces; Sakochère</t>
        </is>
      </c>
    </row>
    <row r="16220">
      <c r="A16220" t="inlineStr">
        <is>
          <t>Stuff 3</t>
        </is>
      </c>
      <c r="B16220">
        <f>HYPERLINK("https://www.dofusbook.net/fr/equipement/186610-stuff-3/objets", "link")</f>
        <v/>
      </c>
      <c r="C16220" t="n">
        <v>7</v>
      </c>
      <c r="D16220" t="inlineStr">
        <is>
          <t>Sabres d'Atcham; Amulette Volkorne; Anneau Volkorne; Pikano; Bouclier du Captain Amakna; Ceinture Volkorne; Casque Dragoeuf; Cape d'Atcham; Sandales  d'Atcham; Dofus des Glaces; Dofus Ivoire; Dofus Turquoise; Dofus Nébuleux; Dofus Ocre; Dofus Émeraude; Sakochère</t>
        </is>
      </c>
    </row>
    <row r="16221">
      <c r="A16221" t="inlineStr">
        <is>
          <t>Stuff 2</t>
        </is>
      </c>
      <c r="B16221">
        <f>HYPERLINK("https://www.dofusbook.net/fr/equipement/186609-stuff-2/objets", "link")</f>
        <v/>
      </c>
      <c r="C16221" t="n">
        <v>9</v>
      </c>
      <c r="D16221" t="inlineStr">
        <is>
          <t>Hache du Chalœil; Amulette Volkorne; Anneau Tique; Anneau Volkorne; Quatre-feuilles; Ceinture Volkorne; Némès de Tal Kasha; Chevelure de Tal Kasha; Sandales de Tal Kasha; Dofus Turquoise; Dofus Nébuleux; Dofus Ocre; Dofus Abyssal; Dofus des Glaces; Dofus Ivoire; Sakochère</t>
        </is>
      </c>
    </row>
    <row r="16222">
      <c r="A16222" t="inlineStr">
        <is>
          <t>Stuff 1</t>
        </is>
      </c>
      <c r="B16222">
        <f>HYPERLINK("https://www.dofusbook.net/fr/equipement/186626-stuff-1/objets", "link")</f>
        <v/>
      </c>
      <c r="C16222" t="n">
        <v>2</v>
      </c>
      <c r="D16222" t="inlineStr">
        <is>
          <t>Dagoulinantes; Amulette de Shokkoth; Anneau Volkorne; Alliance Gloursonne; Cadran de Terre; Ceinture Glaciale; Capuche de l'Œil Attentif; Cape Glaciale; Pataugastrique; Dofus Pourpre; Dofus Ivoire; Dofus Ocre; Nomade; Chanceux majeur; Étourdisseur majeur; Kanigloups</t>
        </is>
      </c>
    </row>
    <row r="16223">
      <c r="A16223" t="inlineStr">
        <is>
          <t>Stuff 2</t>
        </is>
      </c>
      <c r="B16223">
        <f>HYPERLINK("https://www.dofusbook.net/fr/equipement/186606-stuff-2/objets", "link")</f>
        <v/>
      </c>
      <c r="C16223" t="n">
        <v>12</v>
      </c>
      <c r="D16223" t="inlineStr">
        <is>
          <t>Sceptre du Roi Joueur; Amulette de Shokkoth; Alliance Gloursonne; Anneau Volkorne; Cadran de Terre; Culotte de Bethel; Capuche de l'Œil Attentif; Cape de l'Œil Attentif; Chaussons de Macrab; Dofus Pourpre; Dofus Ocre; Dofus Vulbis; Dofus Ivoire; Étourdisseur majeur; Chanceux majeur; Boskito</t>
        </is>
      </c>
    </row>
    <row r="16224">
      <c r="A16224" t="inlineStr">
        <is>
          <t>test</t>
        </is>
      </c>
      <c r="B16224">
        <f>HYPERLINK("https://www.dofusbook.net/fr/equipement/1949914-test/objets", "link")</f>
        <v/>
      </c>
      <c r="C16224" t="n">
        <v>22</v>
      </c>
      <c r="D16224" t="inlineStr">
        <is>
          <t>Marteau R'ture; Amulette du Cœur Saignant; Bague Gloursonne; Anneau du Comte Harebourg; Bouclier du Captain Amakna; Ceinture de Brouce; Masque de Koutoulou; Cape au Logis; Bottes du Comte Harebourg; Dofus Turquoise; Dofus Pourpre; Nomade; Forcené majeur; Remueur; Enragé majeur; Dragodinde Ivoire et Pourpre</t>
        </is>
      </c>
    </row>
    <row r="16225">
      <c r="A16225" t="inlineStr">
        <is>
          <t>jhg</t>
        </is>
      </c>
      <c r="B16225">
        <f>HYPERLINK("https://www.dofusbook.net/fr/equipement/825959-jhg/objets", "link")</f>
        <v/>
      </c>
      <c r="C16225" t="n">
        <v>7</v>
      </c>
      <c r="D16225" t="inlineStr">
        <is>
          <t>Arc corrompu; Amulette Volkorne; Anneauræus; Anneauræus; Quatre-feuilles; Ceinture Séculaire; Capuche de l'Œil Putride; Cape de l'Œil Putride; Bottes Innommables; Dofus Ocre; Dolmanax; Dofus Nébuleux; Dofus Turquoise; Nomade; Remueur; Dragodinde Amande et Orchidée</t>
        </is>
      </c>
    </row>
    <row r="16226">
      <c r="A16226" t="inlineStr">
        <is>
          <t>Osamodas F 200</t>
        </is>
      </c>
      <c r="B16226">
        <f>HYPERLINK("https://www.dofusbook.net/fr/equipement/3610209-osamodas-f-200/objets", "link")</f>
        <v/>
      </c>
      <c r="C16226" t="n">
        <v>10</v>
      </c>
      <c r="D16226" t="inlineStr">
        <is>
          <t>Lance Horselé; Amulette Ementaire Deluxe; Gant du Valet Veinard; Alliance Gloursonne; Bouclier du Stalak; Menoture; Couronne d'Allister; Cape du Valet Veinard; Palmes Trithons; Dolmanax; Dofus Ivoire; Dofus Ocre; Dofus Nébuleux; Cascadeur majeur; Nomade; La Chose</t>
        </is>
      </c>
    </row>
    <row r="16227">
      <c r="A16227" t="inlineStr">
        <is>
          <t>Stuff 3</t>
        </is>
      </c>
      <c r="B16227">
        <f>HYPERLINK("https://www.dofusbook.net/fr/equipement/186628-stuff-3/objets", "link")</f>
        <v/>
      </c>
      <c r="C16227" t="n">
        <v>1</v>
      </c>
      <c r="D16227" t="inlineStr">
        <is>
          <t>Arc Volkorne; Amulette Volkorne; Anneau Volkorne; Anneau de Padgref; Quatre-feuilles; Ceinture Volkorne; Coiffe de Padgref; Cape d'Atcham; Getas de Padgref; Dofus Ocre; Dofus des Glaces; Dofus Turquoise; Dofus Nébuleux; Dofus Pourpre; Dofus Ivoire; Sakochère</t>
        </is>
      </c>
    </row>
    <row r="16228">
      <c r="A16228" t="inlineStr">
        <is>
          <t>Stuff 2</t>
        </is>
      </c>
      <c r="B16228">
        <f>HYPERLINK("https://www.dofusbook.net/fr/equipement/186591-stuff-2/objets", "link")</f>
        <v/>
      </c>
      <c r="C16228" t="n">
        <v>5</v>
      </c>
      <c r="D16228" t="inlineStr">
        <is>
          <t>Epée Maudite du Saigneur Guerrier; Amulette Volkorne; Anneau de Padgref; Anneau Volkorne; Bouclier du Captain Amakna; Ceinture Volkorne; Coiffe de Padgref; Cape d'Atcham; Getas de Padgref; Dofus Pourpre; Dofus Ivoire; Dofus Ocre; Dofus des Glaces; Dofus Turquoise; Dofus Nébuleux; Sakochère</t>
        </is>
      </c>
    </row>
    <row r="16229">
      <c r="A16229" t="inlineStr">
        <is>
          <t>yololololo</t>
        </is>
      </c>
      <c r="B16229">
        <f>HYPERLINK("https://www.dofusbook.net/fr/equipement/2934290-yololololo/objets", "link")</f>
        <v/>
      </c>
      <c r="C16229" t="n">
        <v>1</v>
      </c>
      <c r="D16229" t="inlineStr">
        <is>
          <t>Arc Volkorne; Amulette Volkorne; Anneau de Padgref; Anneau Volkorne; Quatre-feuilles; Ceinture Volkorne; Coiffe de Padgref; Cape d'Atcham; Getas de Padgref; Dofus Ocre; Dofus des Glaces; Dofus Turquoise; Dofus Nébuleux; Dofus Pourpre; Dofus Ivoire; Sakochère</t>
        </is>
      </c>
    </row>
    <row r="16230">
      <c r="A16230" t="inlineStr">
        <is>
          <t>hjo</t>
        </is>
      </c>
      <c r="B16230">
        <f>HYPERLINK("https://www.dofusbook.net/fr/equipement/3545359-hjo/objets", "link")</f>
        <v/>
      </c>
      <c r="C16230" t="n">
        <v>0</v>
      </c>
      <c r="D16230" t="inlineStr">
        <is>
          <t>Arc Volkorne; Amulette Volkorne; Anneau de Padgref; Anneau Volkorne; Quatre-feuilles; Ceinture Volkorne; Coiffe de Padgref; Cape d'Atcham; Getas de Padgref; Dofus Turquoise; Dofus Nébuleux; Dofus Pourpre; Dofus Ivoire; Dofus Ocre; Dofus des Glaces; Sakochère</t>
        </is>
      </c>
    </row>
    <row r="16231">
      <c r="A16231" t="inlineStr">
        <is>
          <t>Stuff 2</t>
        </is>
      </c>
      <c r="B16231">
        <f>HYPERLINK("https://www.dofusbook.net/fr/equipement/186600-stuff-2/objets", "link")</f>
        <v/>
      </c>
      <c r="C16231" t="n">
        <v>10</v>
      </c>
      <c r="D16231" t="inlineStr">
        <is>
          <t>Arc de Koutoulou; Amulette de Shokkoth; Anneau d'Allister; Alliance Gloursonne; Bouclier du Stalak; Menoture; Némès de Tal Kasha; Chevelure de Tal Kasha; Bottes de la Reine des Voleurs; Dofus Pourpre; Remueur; Chanceux majeur; Nomade; Vigoureux majeur; Cascadeur majeur; Pioute bleu</t>
        </is>
      </c>
    </row>
    <row r="16232">
      <c r="A16232" t="inlineStr">
        <is>
          <t>Stuff 2</t>
        </is>
      </c>
      <c r="B16232">
        <f>HYPERLINK("https://www.dofusbook.net/fr/equipement/186633-stuff-2/objets", "link")</f>
        <v/>
      </c>
      <c r="C16232" t="n">
        <v>5</v>
      </c>
      <c r="D16232" t="inlineStr">
        <is>
          <t>Baguette Hique; Collier de la Dame du Hasard; Bracelet des Fonds marins; Anneau Glacial; Quatre-feuilles; Sangle Ouare; Capuche de l'Œil Attentif; Cape Solution; Bottes de la Dame du Hasard; Dofus Turquoise; Dofus Abyssal; Dofus Ivoire; Dofus Pourpre; Remueur; Chanceux majeur; Pioute bleu</t>
        </is>
      </c>
    </row>
    <row r="16233">
      <c r="A16233" t="inlineStr">
        <is>
          <t>Oeil putride 1 item</t>
        </is>
      </c>
      <c r="B16233">
        <f>HYPERLINK("https://www.dofusbook.net/fr/equipement/2635452-oeil-putride-1-item/objets", "link")</f>
        <v/>
      </c>
      <c r="C16233" t="n">
        <v>3</v>
      </c>
      <c r="D16233" t="inlineStr">
        <is>
          <t>Arc corrompu; Collier de la Dame du Hasard; Anneauræus; Chevalière du Roi Joueur; Quatre-feuilles; Ceinture Séculaire; Heaume Oplate; Cape de la Dame du Hasard; Bottes de Meno; Dofus des Glaces; Dofus Ocre; Dofus Abyssal; Dofus Turquoise; Dofus Ivoire; Nomade; Pioute rouge</t>
        </is>
      </c>
    </row>
    <row r="16234">
      <c r="A16234" t="inlineStr">
        <is>
          <t>Stuff 3</t>
        </is>
      </c>
      <c r="B16234">
        <f>HYPERLINK("https://www.dofusbook.net/fr/equipement/186589-stuff-3/objets", "link")</f>
        <v/>
      </c>
      <c r="C16234" t="n">
        <v>22</v>
      </c>
      <c r="D16234" t="inlineStr">
        <is>
          <t>Hache à Lamelles; Amulette du Dragoeuf; Anneau Moutheur; Bracelet Ventré; Bouclier Fi'Squale; Tranche des Sous-bois; Casque Harnage; Cape du Minotot; Bottines des sous-bois; Dofus Kaliptus; Taquin mineur; Joueur; Joueur majeur; Taquin; Taquin majeur; Nomoon</t>
        </is>
      </c>
    </row>
    <row r="16235">
      <c r="A16235" t="inlineStr">
        <is>
          <t>terre feu</t>
        </is>
      </c>
      <c r="B16235">
        <f>HYPERLINK("https://www.dofusbook.net/fr/equipement/3135717-terre-feu/objets", "link")</f>
        <v/>
      </c>
      <c r="C16235" t="n">
        <v>1</v>
      </c>
      <c r="D16235" t="inlineStr">
        <is>
          <t>Arc du Chalœil; Collier de Tourthon; Anneau Chevelu; Anneau Volkorne; Quatre-feuilles; Ceinture Volkorne; Chapeau de Gein; Voile d'encre; Bottes du Cœur Saignant; Dofus Turquoise; Dofus Ocre; Dofus Ivoire; Enragé majeur; Remueur; Nomade; Dragodinde Amande et Pourpre</t>
        </is>
      </c>
    </row>
    <row r="16236">
      <c r="A16236" t="inlineStr">
        <is>
          <t>do pou</t>
        </is>
      </c>
      <c r="B16236">
        <f>HYPERLINK("https://www.dofusbook.net/fr/equipement/3313145-do-pou/objets", "link")</f>
        <v/>
      </c>
      <c r="C16236" t="n">
        <v>4</v>
      </c>
      <c r="D16236" t="inlineStr">
        <is>
          <t>Arc du Chalœil; Torquistik; Bague Instable; Bague Trithon; Bouclier précieux; Sangle Ouare; Masque d'Anerice; Cape d'Anerice; Bottes Owesli; Dokoko; Dofus Émeraude; Dofus Ivoire; Dofus Ocre; Bousculeur majeur; Culbuteur majeur; Volkorne Roux</t>
        </is>
      </c>
    </row>
    <row r="16237">
      <c r="A16237" t="inlineStr">
        <is>
          <t>Stuff 2</t>
        </is>
      </c>
      <c r="B16237">
        <f>HYPERLINK("https://www.dofusbook.net/fr/equipement/186588-stuff-2/objets", "link")</f>
        <v/>
      </c>
      <c r="C16237" t="n">
        <v>7</v>
      </c>
      <c r="D16237" t="inlineStr">
        <is>
          <t>Arc du Chalœil; Amulette Luminescente; Alliance Gloursonne; Bague Trithon; Bouclier Taverne; Ceinture Gence; Casque Dragoeuf; Cape Luminescente; Bottes du Cœur Vaillant; Dofus Émeraude; Dofus Ivoire; Culbuteur majeur; Bousculeur majeur; Enragé majeur; Nomade; Volkorne Roux et Pourpre</t>
        </is>
      </c>
    </row>
    <row r="16238">
      <c r="A16238" t="inlineStr">
        <is>
          <t>Stuff 3</t>
        </is>
      </c>
      <c r="B16238">
        <f>HYPERLINK("https://www.dofusbook.net/fr/equipement/186592-stuff-3/objets", "link")</f>
        <v/>
      </c>
      <c r="C16238" t="n">
        <v>21</v>
      </c>
      <c r="D16238" t="inlineStr">
        <is>
          <t>Arc corrompu; Amulette de Nileza; Anneauræus; Anneau de Nidas; Quatre-feuilles; Ceinture Séculaire; Coiffe Séculaire; Voile d'encre; Pataugastrique; Dofus Turquoise; Nomade; Astucieux majeur; Remueur; Carapace Feu majeur; Érudit majeur; Dragodinde Amande et Orchidée</t>
        </is>
      </c>
    </row>
    <row r="16239">
      <c r="A16239" t="inlineStr">
        <is>
          <t>soin</t>
        </is>
      </c>
      <c r="B16239">
        <f>HYPERLINK("https://www.dofusbook.net/fr/equipement/639488-soin/objets", "link")</f>
        <v/>
      </c>
      <c r="C16239" t="n">
        <v>9</v>
      </c>
      <c r="D16239" t="inlineStr">
        <is>
          <t>Arc corrompu; Talisman Igans; Anneauræus; Anneauræus; Quatre-feuilles; Ceinture Séculaire; Heaume Oplate; Voile d'encre; Bottes Owesli; Dofus Turquoise; Astucieux majeur; Remueur; Érudit majeur; Nomade; Carapace Feu majeur; Dragodinde Amande et Orchidée</t>
        </is>
      </c>
    </row>
    <row r="16240">
      <c r="A16240" t="inlineStr">
        <is>
          <t>guiuighljk</t>
        </is>
      </c>
      <c r="B16240">
        <f>HYPERLINK("https://www.dofusbook.net/fr/equipement/2189587-guiuighljk/objets", "link")</f>
        <v/>
      </c>
      <c r="C16240" t="n">
        <v>20</v>
      </c>
      <c r="D16240" t="inlineStr">
        <is>
          <t>Plumeau Bil; Amulette Séculaire; Anneauræus; Bouclier du Captain Amakna; Ceinture Séculaire; Heaume Oplate; Voile d'encre; Bottes Innommables; Dofus Turquoise; Dofus Ivoire; Dofus Ocre; Nomade; Astucieux majeur; Érudit majeur; Dragodinde Amande et Orchidée</t>
        </is>
      </c>
    </row>
    <row r="16241">
      <c r="A16241" t="inlineStr">
        <is>
          <t>zazae</t>
        </is>
      </c>
      <c r="B16241">
        <f>HYPERLINK("https://www.dofusbook.net/fr/equipement/2260588-zazae/objets", "link")</f>
        <v/>
      </c>
      <c r="C16241" t="n">
        <v>0</v>
      </c>
      <c r="D16241" t="inlineStr"/>
    </row>
    <row r="16242">
      <c r="A16242" t="inlineStr">
        <is>
          <t>Stuff 1</t>
        </is>
      </c>
      <c r="B16242">
        <f>HYPERLINK("https://www.dofusbook.net/fr/equipement/186620-stuff-1/objets", "link")</f>
        <v/>
      </c>
      <c r="C16242" t="n">
        <v>2</v>
      </c>
      <c r="D16242" t="inlineStr">
        <is>
          <t>Baguette Hernelle; Amulette du Strigide; Bracelet du Piloztère; Anneau Crustique; Quatre-feuilles; Ceinture du Strigide; Chapeau Lisson; Voile d'encre; Bottes Honyme; Dofus Pourpre; Dofus Turquoise; Dofus Abyssal; Dofus Ocre; Dofus Ivoire; Nomade; Dragodinde Orchidée et Pourpre</t>
        </is>
      </c>
    </row>
    <row r="16243">
      <c r="A16243" t="inlineStr">
        <is>
          <t>kikilollol</t>
        </is>
      </c>
      <c r="B16243">
        <f>HYPERLINK("https://www.dofusbook.net/fr/equipement/2305612-kikilollol/objets", "link")</f>
        <v/>
      </c>
      <c r="C16243" t="n">
        <v>1</v>
      </c>
      <c r="D16243" t="inlineStr">
        <is>
          <t>Bâton Brageut; Amulette du Strigide; Chevalière du Roi Joueur; Bague Gloursonne; Bouclier du Captain Amakna; Ceinture du Strigide; Chapeau de Gein; Voile d'encre; Bottes Honyme; Dofus Turquoise; Dofus Ivoire; Dofus Ocre; Dofus Pourpre; Dofus des Glaces; Nomade; Dragodinde Orchidée et Pourpre</t>
        </is>
      </c>
    </row>
    <row r="16244">
      <c r="A16244" t="inlineStr">
        <is>
          <t>Stuff 3</t>
        </is>
      </c>
      <c r="B16244">
        <f>HYPERLINK("https://www.dofusbook.net/fr/equipement/186619-stuff-3/objets", "link")</f>
        <v/>
      </c>
      <c r="C16244" t="n">
        <v>9</v>
      </c>
      <c r="D16244" t="inlineStr">
        <is>
          <t>Héqache; Torquistik; Bague Trithon; Bague Instable; Bouclier précieux; Sangle Ouare; Casque Dragoeuf; Cape Solution; Bottistik; Dofus Émeraude; Dokoko; Bousculeur majeur; Remueur; Culbuteur majeur; Pousseur majeur; Péki</t>
        </is>
      </c>
    </row>
    <row r="16245">
      <c r="A16245" t="inlineStr">
        <is>
          <t>Stuff 2</t>
        </is>
      </c>
      <c r="B16245">
        <f>HYPERLINK("https://www.dofusbook.net/fr/equipement/186618-stuff-2/objets", "link")</f>
        <v/>
      </c>
      <c r="C16245" t="n">
        <v>1</v>
      </c>
      <c r="D16245" t="inlineStr">
        <is>
          <t>Arc du Chalœil; Torquistik; Bague Trithon; Bague Instable; Bouclier précieux; Sangle Ouare; Masque d'Anerice; Cape d'Anerice; Pataugastrique; Pousseur majeur; Bousculeur majeur; Culbuteur majeur; Muldo Orchidée et Pourpre</t>
        </is>
      </c>
    </row>
    <row r="16246">
      <c r="A16246" t="inlineStr">
        <is>
          <t>arthur</t>
        </is>
      </c>
      <c r="B16246">
        <f>HYPERLINK("https://www.dofusbook.net/fr/equipement/1263345-arthur/objets", "link")</f>
        <v/>
      </c>
      <c r="C16246" t="n">
        <v>1</v>
      </c>
      <c r="D16246" t="inlineStr">
        <is>
          <t>Manthache; Collier du Valet Veinard; Alliance Gloursonne; Gant du Valet Veinard; Bouclier d'Ilyzaelle; Menoture; Casque Dragoeuf; Cape Indescriptible; Palmes Trithons; Dofus Émeraude; Remueur; Equilibriste majeur; Nomade; Carapace Air majeur; Cascadeur majeur; Muldo Ebène</t>
        </is>
      </c>
    </row>
    <row r="16247">
      <c r="A16247" t="inlineStr">
        <is>
          <t>kljhkujy</t>
        </is>
      </c>
      <c r="B16247">
        <f>HYPERLINK("https://www.dofusbook.net/fr/equipement/1299623-kljhkujy/objets", "link")</f>
        <v/>
      </c>
      <c r="C16247" t="n">
        <v>4</v>
      </c>
      <c r="D16247" t="inlineStr">
        <is>
          <t>Manthache; Collier du Valet Veinard; Gant du Valet Veinard; Alliance Gloursonne; Cadran d'Air; Menoture; Couronne d'Allister; Cape Indescriptible; Bottes de la Reine des Voleurs; Dofus Pourpre; Dofus Ivoire; Nomade; Equilibriste majeur; Remueur; Cascadeur majeur; Siroko</t>
        </is>
      </c>
    </row>
    <row r="16248">
      <c r="A16248" t="inlineStr">
        <is>
          <t>prosp</t>
        </is>
      </c>
      <c r="B16248">
        <f>HYPERLINK("https://www.dofusbook.net/fr/equipement/238885-prosp/objets", "link")</f>
        <v/>
      </c>
      <c r="C16248" t="n">
        <v>20</v>
      </c>
      <c r="D16248" t="inlineStr">
        <is>
          <t>Pyraguette; Collier de la Dame du Hasard; Chevalière du Roi Joueur; Alliance Gloursonne; Bouclier cubiste; Ceintrigue; Kidibonnet; Cape de la Dame du Hasard; Pataugastrique; Nomade; Ralentisseur majeur; Chanceux majeur; Temporiseur majeur; Remueur; Vigoureux majeur; Muldo Doré et Indigo</t>
        </is>
      </c>
    </row>
    <row r="16249">
      <c r="A16249" t="inlineStr">
        <is>
          <t>Stuff 3</t>
        </is>
      </c>
      <c r="B16249">
        <f>HYPERLINK("https://www.dofusbook.net/fr/equipement/186598-stuff-3/objets", "link")</f>
        <v/>
      </c>
      <c r="C16249" t="n">
        <v>0</v>
      </c>
      <c r="D16249" t="inlineStr">
        <is>
          <t>Manthache; Collier du Valet Veinard; Alliance Gloursonne; Gant du Valet Veinard; Cadran de Terre; Menoture; Dorabysses; Cape Indescriptible; Palmes Trithons; Remueur; Equilibriste majeur; Nomade; Cascadeur majeur; Acrobate majeur; Dévastateur Air majeur; Muldo Ebène</t>
        </is>
      </c>
    </row>
    <row r="16250">
      <c r="A16250" t="inlineStr">
        <is>
          <t>mescouilles</t>
        </is>
      </c>
      <c r="B16250">
        <f>HYPERLINK("https://www.dofusbook.net/fr/equipement/2335240-mescouilles/objets", "link")</f>
        <v/>
      </c>
      <c r="C16250" t="n">
        <v>1</v>
      </c>
      <c r="D16250" t="inlineStr">
        <is>
          <t>Arc de Koutoulou; Pendentif Oton; Alliance Gloursonne; Anneau Tique; Quatre-feuilles; Ceinture Glaciale; Kidibonnet; Chevelure de Tal Kasha; Sandales de Tal Kasha; Dofus des Glaces; Dolmanax; Dofus Turquoise; Nomade; Vigoureux majeur; Remueur; Muldo Prune et Pourpre</t>
        </is>
      </c>
    </row>
    <row r="16251">
      <c r="A16251" t="inlineStr">
        <is>
          <t>èrrrre</t>
        </is>
      </c>
      <c r="B16251">
        <f>HYPERLINK("https://www.dofusbook.net/fr/equipement/2855104-errrre/objets", "link")</f>
        <v/>
      </c>
      <c r="C16251" t="n">
        <v>0</v>
      </c>
      <c r="D16251" t="inlineStr">
        <is>
          <t>Lance Horselé; Collier du Valet Veinard; Alliance Gloursonne; Gant du Valet Veinard; Cadran d'Air; Menoture; Couronne d'Allister; Cape Indescriptible; Palmes Trithons; Dofus Abyssal; Dofus Pourpre; Dofus Ivoire; Dofus des Glaces; Remueur; Cascadeur majeur; Muldo Ebène et Indigo</t>
        </is>
      </c>
    </row>
    <row r="16252">
      <c r="A16252" t="inlineStr">
        <is>
          <t>teraaore</t>
        </is>
      </c>
      <c r="B16252">
        <f>HYPERLINK("https://www.dofusbook.net/fr/equipement/2841467-teraaore/objets", "link")</f>
        <v/>
      </c>
      <c r="C16252" t="n">
        <v>0</v>
      </c>
      <c r="D16252" t="inlineStr">
        <is>
          <t>L'Épée Nice; Amulette du Cycloïde; Alliance Gloursonne; Alliance Brûlâme; Bouclier du Stalak; Ceinture de la Reine des Voleurs; Coiffe de la Reine des Voleurs; Cape du Kamasterisk; Baleinabottes; Dolmanax; Dofus Ivoire; Dofus des Glaces; Dofus Abyssal; Remueur; Nomade; Kramkram</t>
        </is>
      </c>
    </row>
    <row r="16253">
      <c r="A16253" t="inlineStr">
        <is>
          <t>teraire</t>
        </is>
      </c>
      <c r="B16253">
        <f>HYPERLINK("https://www.dofusbook.net/fr/equipement/2824284-teraire/objets", "link")</f>
        <v/>
      </c>
      <c r="C16253" t="n">
        <v>0</v>
      </c>
      <c r="D16253" t="inlineStr">
        <is>
          <t>Hache Ériphe; Amulette Volcanique; Pikano; Alliance Gloursonne; Bouclier cubiste; Ceinture de la Reine des Voleurs; Coiffe de la Reine des Voleurs; Cape du Kamasterisk; Baleinabottes; Dolmanax; Dofus Ivoire; Dofus Pourpre; Dofus des Glaces; Remueur; Temporiseur majeur; Muldo Indigo et Orchidée</t>
        </is>
      </c>
    </row>
    <row r="16254">
      <c r="A16254" t="inlineStr">
        <is>
          <t>TESTBI</t>
        </is>
      </c>
      <c r="B16254">
        <f>HYPERLINK("https://www.dofusbook.net/fr/equipement/2799628-testbi/objets", "link")</f>
        <v/>
      </c>
      <c r="C16254" t="n">
        <v>0</v>
      </c>
      <c r="D16254" t="inlineStr">
        <is>
          <t>Hache du Chalœil; Amulette du Strigide; Alliance Gloursonne; Bague Gloursonne; Quatre-feuilles; Ceinture du Strigide; Casque du Chalœil; Voile d'encre; Bottes du Strigide; Dofus Ocre; Dofus Ivoire; Dolmanax; Dofus des Glaces; Dofus Turquoise; Dofus Abyssal; Muldo Prune et Indigo</t>
        </is>
      </c>
    </row>
    <row r="16255">
      <c r="A16255" t="inlineStr">
        <is>
          <t>Multi Docri</t>
        </is>
      </c>
      <c r="B16255">
        <f>HYPERLINK("https://www.dofusbook.net/fr/equipement/2798856-multi-docri/objets", "link")</f>
        <v/>
      </c>
      <c r="C16255" t="n">
        <v>0</v>
      </c>
      <c r="D16255" t="inlineStr">
        <is>
          <t>Dagues Érhy; Amulette du Strigide; Bague Gloursonne; Alliance Gloursonne; Quatre-feuilles; Ceinture du Strigide; Casque du Chalœil; Cape du Chalœil; Bottes du Chalœil; Dofus Turquoise; Dofus Abyssal; Dofus Ocre; Dofus Ivoire; Dolmanax; Dofus des Glaces; Muldo Orchidée et Emeraude</t>
        </is>
      </c>
    </row>
    <row r="16256">
      <c r="A16256" t="inlineStr">
        <is>
          <t>pvm rox</t>
        </is>
      </c>
      <c r="B16256">
        <f>HYPERLINK("https://www.dofusbook.net/fr/equipement/2744273-pvm-rox/objets", "link")</f>
        <v/>
      </c>
      <c r="C16256" t="n">
        <v>0</v>
      </c>
      <c r="D16256" t="inlineStr">
        <is>
          <t>Arc du Chalœil; Amulette du Strigide; Alliance Gloursonne; Bracelet du Piloztère; Quatre-feuilles; Ceintacé; Casque du Chalœil; Voile d'encre; Bottes du Strigide; Dolmanax; Dofus Abyssal; Dofus Turquoise; Dofus des Glaces; Remueur; Nomade; Muldo Prune et Pourpre</t>
        </is>
      </c>
    </row>
    <row r="16257">
      <c r="A16257" t="inlineStr">
        <is>
          <t>yukgo</t>
        </is>
      </c>
      <c r="B16257">
        <f>HYPERLINK("https://www.dofusbook.net/fr/equipement/1421842-yukgo/objets", "link")</f>
        <v/>
      </c>
      <c r="C16257" t="n">
        <v>0</v>
      </c>
      <c r="D16257" t="inlineStr">
        <is>
          <t>Arc Nécrotique; Collier de la Dame du Hasard; Alliance Gloursonne; Chevalière du Roi Joueur; Quatre-feuilles; Ceinture de Gein; Chapeau de Gein; Cape de la Dame du Hasard; Bottes de la Dame du Hasard; Dofus des Glaces; Dofus Ivoire; Dofus Turquoise; Dolmanax; Dofus Ocre; Dofus Abyssal; Muldo Prune et Indigo</t>
        </is>
      </c>
    </row>
    <row r="16258">
      <c r="A16258" t="inlineStr">
        <is>
          <t>eau</t>
        </is>
      </c>
      <c r="B16258">
        <f>HYPERLINK("https://www.dofusbook.net/fr/equipement/782680-eau/objets", "link")</f>
        <v/>
      </c>
      <c r="C16258" t="n">
        <v>0</v>
      </c>
      <c r="D16258" t="inlineStr">
        <is>
          <t>Baguette Hique; Collier de la Dame du Hasard; Chevalière du Roi Joueur; Alliance Gloursonne; Quatre-feuilles; Ceinture de l'Esprit Malsain; Casquette de Meno; Cape de la Dame du Hasard; Bottes de la Dame du Hasard; Dolmanax; Dofus des Glaces; Dofus Turquoise; Dofus Nébuleux; Dofus Ocre; Dofus Abyssal; Muldo Prune et Indigo</t>
        </is>
      </c>
    </row>
    <row r="16259">
      <c r="A16259" t="inlineStr">
        <is>
          <t>aaaaazezezezezezezez</t>
        </is>
      </c>
      <c r="B16259">
        <f>HYPERLINK("https://www.dofusbook.net/fr/equipement/2504979-aaaaazezezezezezezez/objets", "link")</f>
        <v/>
      </c>
      <c r="C16259" t="n">
        <v>0</v>
      </c>
      <c r="D16259" t="inlineStr">
        <is>
          <t>Marteau de Katrepat; Amulette du Strigide; Bague Gloursonne; Alliance Gloursonne; Bouclier du Captain Amakna; Ceinture du Strigide; Masque d'Anerice; Voile d'encre; Bottes du Strigide; Dolmanax; Dofus des Glaces; Dofus Turquoise; Dofus Nébuleux; Dofus Ocre; Dofus Abyssal; Muldo Pourpre et Emeraude</t>
        </is>
      </c>
    </row>
    <row r="16260">
      <c r="A16260" t="inlineStr">
        <is>
          <t>bopbop</t>
        </is>
      </c>
      <c r="B16260">
        <f>HYPERLINK("https://www.dofusbook.net/fr/equipement/2334876-bopbop/objets", "link")</f>
        <v/>
      </c>
      <c r="C16260" t="n">
        <v>0</v>
      </c>
      <c r="D16260" t="inlineStr">
        <is>
          <t>Manthache; Collier du Valet Veinard; Alliance Gloursonne; Gant du Valet Veinard; Cadran de Terre; Menoture; Dorabysses; Cape Indescriptible; Palmes Trithons; Dofus Nébuleux; Dofus des Glaces; Cascadeur majeur; Remueur; Dévastateur Air majeur; Equilibriste majeur; Muldo Ebène</t>
        </is>
      </c>
    </row>
    <row r="16261">
      <c r="A16261" t="inlineStr">
        <is>
          <t>Stuff 1</t>
        </is>
      </c>
      <c r="B16261">
        <f>HYPERLINK("https://www.dofusbook.net/fr/equipement/186629-stuff-1/objets", "link")</f>
        <v/>
      </c>
      <c r="C16261" t="n">
        <v>0</v>
      </c>
      <c r="D16261" t="inlineStr">
        <is>
          <t>Lance Horselé; Amulette de Shokkoth; Anneau de Padgref; Alliance Gloursonne; Quatre-feuilles; Menoture; Dorabysses; Chevelure de Tal Kasha; Sandales de Tal Kasha; Dofus des Glaces; Dolmanax; Dofus Nébuleux; Dofus Turquoise; Dofus Abyssal; Remueur; Muldo Pourpre et Emeraude</t>
        </is>
      </c>
    </row>
    <row r="16262">
      <c r="A16262" t="inlineStr">
        <is>
          <t>oeil putride</t>
        </is>
      </c>
      <c r="B16262">
        <f>HYPERLINK("https://www.dofusbook.net/fr/equipement/186636-oeil-putride/objets", "link")</f>
        <v/>
      </c>
      <c r="C16262" t="n">
        <v>0</v>
      </c>
      <c r="D16262" t="inlineStr">
        <is>
          <t>Arc Nécrotique; Amulette Ementaire Deluxe; Anneau Tique; Alliance Gloursonne; Bouclier cubiste; Ceinture de l'Esprit Malsain; Capuche de l'Œil Putride; Cape de l'Œil Putride; Pataugastrique; Dofus des Glaces; Dolmanax; Dofus Abyssal; Érudit majeur; Temporiseur majeur; Remueur; Muldo Indigo et Ivoire</t>
        </is>
      </c>
    </row>
    <row r="16263">
      <c r="A16263" t="inlineStr">
        <is>
          <t>dame hasard</t>
        </is>
      </c>
      <c r="B16263">
        <f>HYPERLINK("https://www.dofusbook.net/fr/equipement/2632853-dame-hasard-/objets", "link")</f>
        <v/>
      </c>
      <c r="C16263" t="n">
        <v>0</v>
      </c>
      <c r="D16263" t="inlineStr">
        <is>
          <t>Arc Nécrotique; Collier de la Dame du Hasard; Alliance Gloursonne; Anneau Tique; Bouclier cubiste; Ceintacé; Coiffe d'Ogivol; Cape de la Dame du Hasard; Bottes de Meno; Dofus des Glaces; Dolmanax; Dofus Turquoise; Remueur; Temporiseur majeur; Muldo Orchidée et Amande</t>
        </is>
      </c>
    </row>
    <row r="16264">
      <c r="A16264" t="inlineStr">
        <is>
          <t>Meno Deluxe Kibi</t>
        </is>
      </c>
      <c r="B16264">
        <f>HYPERLINK("https://www.dofusbook.net/fr/equipement/186635-meno-deluxe-kibi/objets", "link")</f>
        <v/>
      </c>
      <c r="C16264" t="n">
        <v>1</v>
      </c>
      <c r="D16264" t="inlineStr">
        <is>
          <t>Arc Nécrotique; Amulette Ementaire Deluxe; Alliance Gloursonne; Anneau Tique; Bouclier cubiste; Ceinture de l'Esprit Malsain; Kidibonnet; Cape de Meno; Bottes de Meno; Dofus Abyssal; Dolmanax; Dofus des Glaces; Remueur; Érudit majeur; Temporiseur majeur; Muldo Indigo et Ivoire</t>
        </is>
      </c>
    </row>
    <row r="16265">
      <c r="A16265" t="inlineStr">
        <is>
          <t>Erhy</t>
        </is>
      </c>
      <c r="B16265">
        <f>HYPERLINK("https://www.dofusbook.net/fr/equipement/2627150-erhy/objets", "link")</f>
        <v/>
      </c>
      <c r="C16265" t="n">
        <v>0</v>
      </c>
      <c r="D16265" t="inlineStr">
        <is>
          <t>Dagues Érhy; Amulette Volcanique; Goulano; Alliance Gloursonne; Bouclier cubiste; Ceintacé; Chapeau de Gein; Voile d'encre; Sabots Volcaniques; Dolmanax; Dofus des Glaces; Dofus Abyssal; Temporiseur majeur; Enragé majeur; Remueur; Muldo Ebène et Amande</t>
        </is>
      </c>
    </row>
    <row r="16266">
      <c r="A16266" t="inlineStr">
        <is>
          <t>kljhkujy</t>
        </is>
      </c>
      <c r="B16266">
        <f>HYPERLINK("https://www.dofusbook.net/fr/equipement/2568264-kljhkujy/objets", "link")</f>
        <v/>
      </c>
      <c r="C16266" t="n">
        <v>1</v>
      </c>
      <c r="D16266" t="inlineStr">
        <is>
          <t>Arc de Koutoulou; Collier du Valet Veinard; Gant du Valet Veinard; Alliance Gloursonne; Cadran d'Air; Ceinture de la Reine des Voleurs; Coiffe de la Reine des Voleurs; Cape du Valet Veinard; Bottes de la Reine des Voleurs; Dofus Ocre; Dofus Abyssal; Dolmanax; Dofus des Glaces; Dofus Pourpre; Dofus Nébuleux; Muldo Ebène</t>
        </is>
      </c>
    </row>
    <row r="16267">
      <c r="A16267" t="inlineStr">
        <is>
          <t>Stuff 1</t>
        </is>
      </c>
      <c r="B16267">
        <f>HYPERLINK("https://www.dofusbook.net/fr/equipement/186602-stuff-1/objets", "link")</f>
        <v/>
      </c>
      <c r="C16267" t="n">
        <v>0</v>
      </c>
      <c r="D16267" t="inlineStr">
        <is>
          <t>Le Thanos; Amulette d'Ilyzaelle; Alliance Gloursonne; Anneau Tique; Bouclier du Stalak; Menoture; Casque d'Ilyzaelle; Voile d'encre; Bottes de la Reine des Voleurs; Dolmanax; Dofus Abyssal; Dofus Pourpre; Dofus Ocre; Dofus des Glaces; Guérisseur majeur; Muldo Ebène et Amande</t>
        </is>
      </c>
    </row>
    <row r="16268">
      <c r="A16268" t="inlineStr">
        <is>
          <t>fgfgf</t>
        </is>
      </c>
      <c r="B16268">
        <f>HYPERLINK("https://www.dofusbook.net/fr/equipement/2539695-fgfgf/objets", "link")</f>
        <v/>
      </c>
      <c r="C16268" t="n">
        <v>0</v>
      </c>
      <c r="D16268" t="inlineStr">
        <is>
          <t>Rapière aux Glyphes; Amulette de Shokkoth; Pikano; Alliance Gloursonne; Bouclier du Captain Amakna; Ceinture Glaciale; Kidibonnet; Cape Glaciale; Bottes du Sinistrofu; Dofus Ocre; Dofus Nébuleux; Dofus Turquoise; Dofus Abyssal; Dofus Pourpre; Carapace Eau majeur; Muldo Indigo et Pourpre</t>
        </is>
      </c>
    </row>
    <row r="16269">
      <c r="A16269" t="inlineStr">
        <is>
          <t>Stuff 2</t>
        </is>
      </c>
      <c r="B16269">
        <f>HYPERLINK("https://www.dofusbook.net/fr/equipement/186624-stuff-2/objets", "link")</f>
        <v/>
      </c>
      <c r="C16269" t="n">
        <v>0</v>
      </c>
      <c r="D16269" t="inlineStr">
        <is>
          <t>Baguette Range; Amulette du Strigide; Bague Trithon; Anneau de Padgref; Quatre-feuilles; Ceinture du Strigide; Coiffe de Padgref; Voile d'encre; Getas de Padgref; Dofus Turquoise; Dofus Nébuleux; Dofus Ocre; Dofus Abyssal; Dolmanax; Dofus des Glaces; Muldo Orchidée et Emeraude</t>
        </is>
      </c>
    </row>
    <row r="16270">
      <c r="A16270" t="inlineStr">
        <is>
          <t>Stuff 1</t>
        </is>
      </c>
      <c r="B16270">
        <f>HYPERLINK("https://www.dofusbook.net/fr/equipement/186623-stuff-1/objets", "link")</f>
        <v/>
      </c>
      <c r="C16270" t="n">
        <v>0</v>
      </c>
      <c r="D16270" t="inlineStr">
        <is>
          <t>Hache du Chalœil; Amulette du Strigide; Bracelet du Piloztère; Alliance Gloursonne; Quatre-feuilles; Ceinture du Strigide; Némès de Tal Kasha; Voile d'encre; Bottes du Strigide; Dofus des Glaces; Dolmanax; Dofus Nébuleux; Dofus Turquoise; Dofus Abyssal; Muldo Indigo et Emeraude</t>
        </is>
      </c>
    </row>
    <row r="16271">
      <c r="A16271" t="inlineStr">
        <is>
          <t>Stuff 3</t>
        </is>
      </c>
      <c r="B16271">
        <f>HYPERLINK("https://www.dofusbook.net/fr/equipement/186595-stuff-3/objets", "link")</f>
        <v/>
      </c>
      <c r="C16271" t="n">
        <v>1</v>
      </c>
      <c r="D16271" t="inlineStr">
        <is>
          <t>Arc Nécrotique; Amulette de l'Œil Putride; Anneau Tique; Alliance Gloursonne; Quatre-feuilles; Ceinture de l'Esprit Malsain; Capuche de l'Œil Putride; Cape de l'Œil Putride; Sandales  d'Atcham; Dolmanax; Dofus des Glaces; Dofus Turquoise; Dofus Nébuleux; Dofus Ocre; Dofus Abyssal; Muldo Orchidée et Emeraude</t>
        </is>
      </c>
    </row>
    <row r="16272">
      <c r="A16272" t="inlineStr">
        <is>
          <t>Stuff 1</t>
        </is>
      </c>
      <c r="B16272">
        <f>HYPERLINK("https://www.dofusbook.net/fr/equipement/186617-stuff-1/objets", "link")</f>
        <v/>
      </c>
      <c r="C16272" t="n">
        <v>1</v>
      </c>
      <c r="D16272" t="inlineStr">
        <is>
          <t>Héqache; Amulette du Strigide; Baguistik; Alliance Gloursonne; Bouclier du Captain Amakna; Ceinture du Strigide; Chapeau de Tournoyé; Voile d'encre; Pataugastrique; Dofus Abyssal; Dofus des Glaces; Dofus Turquoise; Dofus Nébuleux; Remueur; Nomade; Dragodinde en armure</t>
        </is>
      </c>
    </row>
    <row r="16273">
      <c r="A16273" t="inlineStr">
        <is>
          <t>koli</t>
        </is>
      </c>
      <c r="B16273">
        <f>HYPERLINK("https://www.dofusbook.net/fr/equipement/349489-koli/objets", "link")</f>
        <v/>
      </c>
      <c r="C16273" t="n">
        <v>2</v>
      </c>
      <c r="D16273" t="inlineStr">
        <is>
          <t>Lav'Hache; Amulette Luminescente; Alliance Gloursonne; Anneau Tique; Bouclier précieux; Ceinture Luminescente; Masque du Barbétoal; Cape Solution; Bottes du Cœur Vaillant; Dofus Abyssal; Dofus Émeraude; Dofus des Glaces; Remueur; Culbuteur majeur; Bousculeur majeur; Muldo Ebène et Orchidée</t>
        </is>
      </c>
    </row>
    <row r="16274">
      <c r="A16274" t="inlineStr">
        <is>
          <t>fgfgf</t>
        </is>
      </c>
      <c r="B16274">
        <f>HYPERLINK("https://www.dofusbook.net/fr/equipement/2504309-fgfgf/objets", "link")</f>
        <v/>
      </c>
      <c r="C16274" t="n">
        <v>0</v>
      </c>
      <c r="D16274" t="inlineStr">
        <is>
          <t>Rapière aux Glyphes; Amulette de Shokkoth; Alliance Gloursonne; Pikano; Bouclier du Captain Amakna; Ceinture Glaciale; Kidibonnet; Cape Glaciale; Bottes du Sinistrofu; Dofus Pourpre; Dofus Ocre; Dofus Nébuleux; Dofus Turquoise; Dofus Abyssal; Carapace Eau majeur; Muldo Indigo et Pourpre</t>
        </is>
      </c>
    </row>
    <row r="16275">
      <c r="A16275" t="inlineStr">
        <is>
          <t>air</t>
        </is>
      </c>
      <c r="B16275">
        <f>HYPERLINK("https://www.dofusbook.net/fr/equipement/656392-air/objets", "link")</f>
        <v/>
      </c>
      <c r="C16275" t="n">
        <v>0</v>
      </c>
      <c r="D16275" t="inlineStr">
        <is>
          <t>Marteau de Katrepat; Amulette du Strigide; Alliance Brûlâme; Alliance Gloursonne; Bouclier du Captain Amakna; Ceinture du Strigide; Masque Brûlâme; Voile d'encre; Bottes du Strigide; Dolmanax; Dofus des Glaces; Dofus Turquoise; Dofus Nébuleux; Dofus Abyssal; Dofus Ocre; Muldo Pourpre et Emeraude</t>
        </is>
      </c>
    </row>
    <row r="16276">
      <c r="A16276" t="inlineStr">
        <is>
          <t>espoir</t>
        </is>
      </c>
      <c r="B16276">
        <f>HYPERLINK("https://www.dofusbook.net/fr/equipement/2414850-espoir/objets", "link")</f>
        <v/>
      </c>
      <c r="C16276" t="n">
        <v>0</v>
      </c>
      <c r="D16276" t="inlineStr">
        <is>
          <t>Manthache; Collier du Valet Veinard; Gant du Valet Veinard; Alliance Gloursonne; Bouclier du Captain Amakna; Menoture; Casque Dragoeuf; Cape Indescriptible; Palmes Trithons; Dofus des Glaces; Dofus Nébuleux; Dolmanax; Dofus Abyssal; Miraculé majeur; Remueur; Muldo Ebène</t>
        </is>
      </c>
    </row>
    <row r="16277">
      <c r="A16277" t="inlineStr">
        <is>
          <t>fgfgf</t>
        </is>
      </c>
      <c r="B16277">
        <f>HYPERLINK("https://www.dofusbook.net/fr/equipement/2432370-fgfgf/objets", "link")</f>
        <v/>
      </c>
      <c r="C16277" t="n">
        <v>0</v>
      </c>
      <c r="D16277" t="inlineStr">
        <is>
          <t>Le Thanos; Amulette d'Ilyzaelle; Anneau Tique; Alliance Gloursonne; Bouclier du Stalak; Menoture; Casque d'Ilyzaelle; Voile d'encre; Bottes de la Reine des Voleurs; Dofus des Glaces; Dolmanax; Dofus Abyssal; Dofus Pourpre; Dofus Ocre; Guérisseur majeur; Muldo Ebène et Amande</t>
        </is>
      </c>
    </row>
    <row r="16278">
      <c r="A16278" t="inlineStr">
        <is>
          <t>arthur</t>
        </is>
      </c>
      <c r="B16278">
        <f>HYPERLINK("https://www.dofusbook.net/fr/equipement/1332017-arthur/objets", "link")</f>
        <v/>
      </c>
      <c r="C16278" t="n">
        <v>1</v>
      </c>
      <c r="D16278" t="inlineStr">
        <is>
          <t>Arc Nécrotique; Amulette de l'Œil Putride; Alliance Gloursonne; Anneau de Padgref; Quatre-feuilles; Ceinture de l'Esprit Malsain; Capuche de l'Œil Putride; Voile d'encre; Pataugastrique; Dofus Turquoise; Dofus Nébuleux; Dofus Abyssal; Dofus Ocre; Dolmanax; Dofus des Glaces; Muldo Orchidée et Emeraude</t>
        </is>
      </c>
    </row>
    <row r="16279">
      <c r="A16279" t="inlineStr">
        <is>
          <t>Stuff 2</t>
        </is>
      </c>
      <c r="B16279">
        <f>HYPERLINK("https://www.dofusbook.net/fr/equipement/186630-stuff-2/objets", "link")</f>
        <v/>
      </c>
      <c r="C16279" t="n">
        <v>0</v>
      </c>
      <c r="D16279" t="inlineStr">
        <is>
          <t>Dagues Érhy; Amulette du Strigide; Bague Trithon; Anneau de Padgref; Bouclier du Captain Amakna; Ceinture du Strigide; Coiffe de Padgref; Voile d'encre; Getas de Padgref; Dofus Ocre; Dofus Turquoise; Dofus Nébuleux; Dofus des Glaces; Dolmanax; Dofus Abyssal; Muldo Orchidée et Emeraude</t>
        </is>
      </c>
    </row>
    <row r="16280">
      <c r="A16280" t="inlineStr">
        <is>
          <t>mescouilles</t>
        </is>
      </c>
      <c r="B16280">
        <f>HYPERLINK("https://www.dofusbook.net/fr/equipement/2335049-mescouilles/objets", "link")</f>
        <v/>
      </c>
      <c r="C16280" t="n">
        <v>0</v>
      </c>
      <c r="D16280" t="inlineStr">
        <is>
          <t>Arc Nécrotique; Amulette Ementaire Deluxe; Bague Gloursonne; Alliance Gloursonne; Quatre-feuilles; Ceintacé; Némès de Tal Kasha; Chevelure de Tal Kasha; Sandales de Tal Kasha; Dofus Ocre; Dofus des Glaces; Dolmanax; Dofus Nébuleux; Dofus Turquoise; Muldo Prune et Emeraude</t>
        </is>
      </c>
    </row>
    <row r="16281">
      <c r="A16281" t="inlineStr">
        <is>
          <t>Stuff 1</t>
        </is>
      </c>
      <c r="B16281">
        <f>HYPERLINK("https://www.dofusbook.net/fr/equipement/186596-stuff-1/objets", "link")</f>
        <v/>
      </c>
      <c r="C16281" t="n">
        <v>0</v>
      </c>
      <c r="D16281" t="inlineStr">
        <is>
          <t>Epée Maudite du Saigneur Guerrier; Amulette du Strigide; Alliance Gloursonne; Anneau de Padgref; Bouclier du Captain Amakna; Ceinture du Strigide; Cape d'Atcham; Sandales  d'Atcham; Dofus Turquoise; Dolmanax; Dofus des Glaces; Dofus Pourpre; Voyageur; Croum</t>
        </is>
      </c>
    </row>
    <row r="16282">
      <c r="A16282" t="inlineStr">
        <is>
          <t>Stuff 2</t>
        </is>
      </c>
      <c r="B16282">
        <f>HYPERLINK("https://www.dofusbook.net/fr/equipement/186597-stuff-2/objets", "link")</f>
        <v/>
      </c>
      <c r="C16282" t="n">
        <v>0</v>
      </c>
      <c r="D16282" t="inlineStr">
        <is>
          <t>Sabres d'Atcham; Amulette du Strigide; Alliance Gloursonne; Anneau de Padgref; Bouclier du Captain Amakna; Capuche de l'Œil Putride; Voile d'encre; Bottes du Strigide; Dofus Émeraude; Dofus des Glaces; Dolmanax; Dofus Turquoise; Remueur; Nomade; El Scarador</t>
        </is>
      </c>
    </row>
    <row r="16283">
      <c r="A16283" t="inlineStr">
        <is>
          <t>azeeeer</t>
        </is>
      </c>
      <c r="B16283">
        <f>HYPERLINK("https://www.dofusbook.net/fr/equipement/2260591-azeeeer/objets", "link")</f>
        <v/>
      </c>
      <c r="C16283" t="n">
        <v>0</v>
      </c>
      <c r="D16283" t="inlineStr">
        <is>
          <t>Epée Maudite du Saigneur Guerrier; Amulette Ementaire Deluxe; Kralano; Alliance Gloursonne; Bouclier du Captain Amakna; Ceinture de l'Esprit Malsain; Capuche de l'Œil Putride; Voile d'encre; Pataugastrique; Dofus Pourpre; Dofus Nébuleux; Dofus Turquoise; Dofus des Glaces; Dolmanax; Dofus Ocre; Muldo Prune et Emeraude</t>
        </is>
      </c>
    </row>
    <row r="16284">
      <c r="A16284" t="inlineStr">
        <is>
          <t>oiyhijp</t>
        </is>
      </c>
      <c r="B16284">
        <f>HYPERLINK("https://www.dofusbook.net/fr/equipement/2189594-oiyhijp/objets", "link")</f>
        <v/>
      </c>
      <c r="C16284" t="n">
        <v>0</v>
      </c>
      <c r="D16284" t="inlineStr">
        <is>
          <t>Arc Honte; Amulette d'Ilyzaelle; Alliance Gloursonne; Bague Gloursonne; Cadran de Terre; Ceinture de Vortex; Casque d'Ilyzaelle; Cape de Diondin; Sabots de Vortex; Dofus Pourpre; Dofus Abyssal; Dofus Cawotte; Dofus Ocre; Dolmanax; Dofus des Glaces; Muldo Ebène et Pourpre</t>
        </is>
      </c>
    </row>
    <row r="16285">
      <c r="A16285" t="inlineStr">
        <is>
          <t>nouvotai</t>
        </is>
      </c>
      <c r="B16285">
        <f>HYPERLINK("https://www.dofusbook.net/fr/equipement/2111534-nouvotai/objets", "link")</f>
        <v/>
      </c>
      <c r="C16285" t="n">
        <v>2</v>
      </c>
      <c r="D16285" t="inlineStr">
        <is>
          <t>Hache du Korriandre; Amulette du Professeur Xa; Anneau Tique; Alliance Gloursonne; Quatre-feuilles; Menoture; Némès de Tal Kasha; Chevelure de Tal Kasha; Sandales de Tal Kasha; Dolmanax; Dofus des Glaces; Dofus Turquoise; Dofus Abyssal; Dofus Pourpre; Dofus Ocre; Kramkram</t>
        </is>
      </c>
    </row>
    <row r="16286">
      <c r="A16286" t="inlineStr">
        <is>
          <t>Stuff 3</t>
        </is>
      </c>
      <c r="B16286">
        <f>HYPERLINK("https://www.dofusbook.net/fr/equipement/186625-stuff-3/objets", "link")</f>
        <v/>
      </c>
      <c r="C16286" t="n">
        <v>2</v>
      </c>
      <c r="D16286" t="inlineStr">
        <is>
          <t>Hache du Chalœil; Amulette du Strigide; Chevalière du Roi Joueur; Alliance Gloursonne; Quatre-feuilles; Ceinture du Strigide; Casque Dragoeuf; Voile d'encre; Baleinabottes; Dofus Turquoise; Dolmanax; Dofus des Glaces; Dofus Pourpre; Dofus Nébuleux; Remueur; Muldo Prune et Emeraude</t>
        </is>
      </c>
    </row>
    <row r="16287">
      <c r="A16287" t="inlineStr">
        <is>
          <t>Stuff 1</t>
        </is>
      </c>
      <c r="B16287">
        <f>HYPERLINK("https://www.dofusbook.net/fr/equipement/186584-stuff-1/objets", "link")</f>
        <v/>
      </c>
      <c r="C16287" t="n">
        <v>1</v>
      </c>
      <c r="D16287" t="inlineStr">
        <is>
          <t>Arc Nécrotique; Amulette de Shokkoth; Alliance Gloursonne; Chevalière du Roi Joueur; Quatre-feuilles; Poulpagne; Casquette de Meno; Cape de la Dame du Hasard; Bottes de Meno; Dofus des Glaces; Dofus Turquoise; Dolmanax; Temporiseur majeur; Remueur; Carapace Air majeur; Muldo Indigo et Emeraude</t>
        </is>
      </c>
    </row>
    <row r="16288">
      <c r="A16288" t="inlineStr">
        <is>
          <t>iyy</t>
        </is>
      </c>
      <c r="B16288">
        <f>HYPERLINK("https://www.dofusbook.net/fr/equipement/997621-iyy/objets", "link")</f>
        <v/>
      </c>
      <c r="C16288" t="n">
        <v>1</v>
      </c>
      <c r="D16288" t="inlineStr">
        <is>
          <t>Arc de Koutoulou; Amulette Ementaire Deluxe; Alliance Gloursonne; Anneau Tique; Quatre-feuilles; Ceintacé; Casque de Missiz Frizz; Chevelure de Tal Kasha; Sandales de Tal Kasha; Dofus Pourpre; Dolmanax; Dokoko; Dofus Turquoise; Dofus des Glaces; Remueur; Muldo Prune et Emeraude</t>
        </is>
      </c>
    </row>
    <row r="16289">
      <c r="A16289" t="inlineStr">
        <is>
          <t>azer</t>
        </is>
      </c>
      <c r="B16289">
        <f>HYPERLINK("https://www.dofusbook.net/fr/equipement/1013627-azer/objets", "link")</f>
        <v/>
      </c>
      <c r="C16289" t="n">
        <v>0</v>
      </c>
      <c r="D16289" t="inlineStr">
        <is>
          <t>Épée d'Otomaï; Amulette Cryochrone; Bracelet des Fonds marins; Anneau Tamie; Quatre-feuilles; Poulpagne; Coiffe Cryochrone; Cape de la Dame du Hasard; Pataugastrique; Dolmanax; Dofus des Glaces; Dofus Ivoire; Dofus Turquoise; Nomade; Remueur; Muldo Prune et Indigo</t>
        </is>
      </c>
    </row>
    <row r="16290">
      <c r="A16290" t="inlineStr">
        <is>
          <t>Stuff 3</t>
        </is>
      </c>
      <c r="B16290">
        <f>HYPERLINK("https://www.dofusbook.net/fr/equipement/186616-stuff-3/objets", "link")</f>
        <v/>
      </c>
      <c r="C16290" t="n">
        <v>2</v>
      </c>
      <c r="D16290" t="inlineStr">
        <is>
          <t>Dagues Érhy; Amulette du Cycloïde; Bague Gloursonne; Anneau de Nidas; Ceinture de Gein; Chapeau de Gein; Voile d'encre; Pataugastrique; Dolmanax; Dofus Turquoise; Dofus des Glaces; Nomade; Remueur; Carapace Neutre majeur; Kramkram</t>
        </is>
      </c>
    </row>
    <row r="16291">
      <c r="A16291" t="inlineStr">
        <is>
          <t>Stuff 2</t>
        </is>
      </c>
      <c r="B16291">
        <f>HYPERLINK("https://www.dofusbook.net/fr/equipement/186612-stuff-2/objets", "link")</f>
        <v/>
      </c>
      <c r="C16291" t="n">
        <v>0</v>
      </c>
      <c r="D16291" t="inlineStr">
        <is>
          <t>Dagues de Srambad; Amulette Ementaire Deluxe; Bracelet du Piloztère; Alliance Gloursonne; Ceinture de la Reine des Voleurs; Coiffe de la Reine des Voleurs; Voile d'encre; Pataugastrique; Dolmanax; Dofus des Glaces; Nomade; Remueur; Carapace Eau majeur; Kramkram</t>
        </is>
      </c>
    </row>
    <row r="16292">
      <c r="A16292" t="inlineStr">
        <is>
          <t>Stuff 2</t>
        </is>
      </c>
      <c r="B16292">
        <f>HYPERLINK("https://www.dofusbook.net/fr/equipement/186603-stuff-2/objets", "link")</f>
        <v/>
      </c>
      <c r="C16292" t="n">
        <v>0</v>
      </c>
      <c r="D16292" t="inlineStr">
        <is>
          <t>Arc Hétype; Amulette de Nileza; Anneau Tique; Anneau de Nidas; Ceinture de Vortex; Couronne de Nidas; Voile d'encre; Bottes Innommables; Dolmanax; Dofus Ocre; Remueur; Érudit majeur; Savant majeur; Nomade; Kramkram</t>
        </is>
      </c>
    </row>
    <row r="16293">
      <c r="A16293" t="inlineStr">
        <is>
          <t>blot</t>
        </is>
      </c>
      <c r="B16293">
        <f>HYPERLINK("https://www.dofusbook.net/fr/equipement/5312234-blot/objets", "link")</f>
        <v/>
      </c>
      <c r="C16293" t="n">
        <v>0</v>
      </c>
      <c r="D16293" t="inlineStr">
        <is>
          <t>Bâton Beau; Amulette du Strigide; Alliance Gloursonne; Bague Gloursonne; Quatre-feuilles; Ceinture Blot; Le Dorado; Cape de Jahash Jurgen; Bottes du Strigide; Dofus Turquoise; Dofus Ivoire; Dofus Pourpre; Dofus Ocre; Voyageur; Sakochère</t>
        </is>
      </c>
    </row>
    <row r="16294">
      <c r="A16294" t="inlineStr">
        <is>
          <t>Xellll</t>
        </is>
      </c>
      <c r="B16294">
        <f>HYPERLINK("https://www.dofusbook.net/fr/equipement/5560229-xellll/objets", "link")</f>
        <v/>
      </c>
      <c r="C16294" t="n">
        <v>0</v>
      </c>
      <c r="D16294" t="inlineStr">
        <is>
          <t>Hache du Chalœil; Amulette du Strigide; Anneau Volkorne; Anneau Toriété; Quatre-feuilles; Ceinture du Strigide; Casque Volkorne; Cape de Jahash Jurgen; Bottes du Strigide; Dofus des Glaces; Dofus Turquoise; Dofus Ébène; Dolmanax; Dofus Pourpre; Sakochère</t>
        </is>
      </c>
    </row>
    <row r="16295">
      <c r="A16295" t="inlineStr">
        <is>
          <t>jm roxxx</t>
        </is>
      </c>
      <c r="B16295">
        <f>HYPERLINK("https://www.dofusbook.net/fr/equipement/5473762-jm-roxxx/objets", "link")</f>
        <v/>
      </c>
      <c r="C16295" t="n">
        <v>0</v>
      </c>
      <c r="D16295" t="inlineStr">
        <is>
          <t>Hache du Chalœil; Amulette du Strigide; Anneau Volkorne; Anneau Toriété; Quatre-feuilles; Ceinture du Strigide; Casque Volkorne; Cape de Jahash Jurgen; Bottes du Strigide; Dofus des Glaces; Dofus Turquoise; Dofus Ébène; Dolmanax; Dofus Pourpre; Sakochère</t>
        </is>
      </c>
    </row>
    <row r="16296">
      <c r="A16296" t="inlineStr">
        <is>
          <t>jm roxx</t>
        </is>
      </c>
      <c r="B16296">
        <f>HYPERLINK("https://www.dofusbook.net/fr/equipement/5468009-jm-roxx/objets", "link")</f>
        <v/>
      </c>
      <c r="C16296" t="n">
        <v>0</v>
      </c>
      <c r="D16296" t="inlineStr">
        <is>
          <t>Hache du Chalœil; Amulette Volkorne; Bague Trithon; Anneau Volkorne; Quatre-feuilles; Ceinture Volkorne; Masque Trithon; Cape de Jahash Jurgen; Bottes Trithon; Dofus Turquoise; Dofus des Glaces; Dofus Pourpre; Dofus Ébène; Sakochère</t>
        </is>
      </c>
    </row>
    <row r="16297">
      <c r="A16297" t="inlineStr">
        <is>
          <t>bluntfullroxx</t>
        </is>
      </c>
      <c r="B16297">
        <f>HYPERLINK("https://www.dofusbook.net/fr/equipement/227146-bluntfullroxx/objets", "link")</f>
        <v/>
      </c>
      <c r="C16297" t="n">
        <v>2</v>
      </c>
      <c r="D16297" t="inlineStr">
        <is>
          <t>Hache du Chalœil; Amulette du Strigide; Anneau Toriété; Alliance de Missiz Frizz; Quatre-feuilles; Ceinture du Strigide; Casque de Missiz Frizz; Cape de Jahash Jurgen; Bottes du Strigide; Dofus Pourpre; Dofus Turquoise; Dofus des Glaces; Dofus Ivoire; Sakochère</t>
        </is>
      </c>
    </row>
    <row r="16298">
      <c r="A16298" t="inlineStr">
        <is>
          <t>bluntdopou</t>
        </is>
      </c>
      <c r="B16298">
        <f>HYPERLINK("https://www.dofusbook.net/fr/equipement/227148-bluntdopou/objets", "link")</f>
        <v/>
      </c>
      <c r="C16298" t="n">
        <v>2</v>
      </c>
      <c r="D16298" t="inlineStr">
        <is>
          <t>Lav'Hache; Torquistik; Bague Trithon; Bague Instable; Bouclier précieux; Sangle Ouare; Masque Paztek; Cape Paztek; Dofus Abyssal; Dofus Ocre; Dofus Ivoire; Bousculeur majeur; Pousseur majeur; Culbuteur majeur; Tatouf</t>
        </is>
      </c>
    </row>
    <row r="16299">
      <c r="A16299" t="inlineStr">
        <is>
          <t>jmdopou</t>
        </is>
      </c>
      <c r="B16299">
        <f>HYPERLINK("https://www.dofusbook.net/fr/equipement/5484244-jmdopou/objets", "link")</f>
        <v/>
      </c>
      <c r="C16299" t="n">
        <v>2</v>
      </c>
      <c r="D16299" t="inlineStr">
        <is>
          <t>Plume de Buhorado; Amibou; Bague Trithon; Bague Instable; Bouclier précieux; Menoture; Chapibou; Cape des Malveilleurs; Bottes du Cul Botté; Dofus Ivoire; Dofus Abyssal; Bousculeur majeur; Pousseur majeur; Tofoudre</t>
        </is>
      </c>
    </row>
    <row r="16300">
      <c r="A16300" t="inlineStr">
        <is>
          <t>steam jm</t>
        </is>
      </c>
      <c r="B16300">
        <f>HYPERLINK("https://www.dofusbook.net/fr/equipement/5417923-steam-jm/objets", "link")</f>
        <v/>
      </c>
      <c r="C16300" t="n">
        <v>0</v>
      </c>
      <c r="D16300" t="inlineStr">
        <is>
          <t>Baguette de Torkélonia; Amulette du Strigide; Anneau de Padgref; Anneau Toriété; Quatre-feuilles; Ceinture du Strigide; Corne de Torkélonia; Cape de Jahash Jurgen; Bottes du Strigide; Dofus des Glaces; Dofus Turquoise; Dofus Ébène; Dofus Pourpre; Sakochère</t>
        </is>
      </c>
    </row>
    <row r="16301">
      <c r="A16301" t="inlineStr">
        <is>
          <t>Enutrof M 200</t>
        </is>
      </c>
      <c r="B16301">
        <f>HYPERLINK("https://www.dofusbook.net/fr/equipement/5429357-enutrof-m-200/objets", "link")</f>
        <v/>
      </c>
      <c r="C16301" t="n">
        <v>4</v>
      </c>
      <c r="D16301" t="inlineStr">
        <is>
          <t>Baguette du Dragoeuf; Amibou; Anneau d'Allister; Anneau de Padgref; Quatre-feuilles; Menoture; Casque Volkorne; Chevelure de Tal Kasha; Bottes d'Allister; Dofus Turquoise; Dofus Ocre; Dofus Pourpre; Cascadeur majeur; Dévastateur Air majeur; Equilibriste majeur; Pioute jaune</t>
        </is>
      </c>
    </row>
    <row r="16302">
      <c r="A16302" t="inlineStr">
        <is>
          <t>bluntalkaroxx</t>
        </is>
      </c>
      <c r="B16302">
        <f>HYPERLINK("https://www.dofusbook.net/fr/equipement/227147-bluntalkaroxx/objets", "link")</f>
        <v/>
      </c>
      <c r="C16302" t="n">
        <v>4</v>
      </c>
      <c r="D16302" t="inlineStr">
        <is>
          <t>Baguette du Dragoeuf; Amulette Voldelor; Anneau de Padgref; Anneau d'Allister; Quatre-feuilles; Menoture; Casque Volkorne; Chevelure de Tal Kasha; Sandales de Tal Kasha; Dofus des Glaces; Dofus Pourpre; Dofus Turquoise; Dofus Ocre; Cascadeur majeur; Equilibriste majeur; Pioute jaune</t>
        </is>
      </c>
    </row>
    <row r="16303">
      <c r="A16303" t="inlineStr">
        <is>
          <t>zozoo</t>
        </is>
      </c>
      <c r="B16303">
        <f>HYPERLINK("https://www.dofusbook.net/fr/equipement/5417751-zozoo/objets", "link")</f>
        <v/>
      </c>
      <c r="C16303" t="n">
        <v>2</v>
      </c>
      <c r="D16303" t="inlineStr">
        <is>
          <t>Baguette du Dragoeuf; Amulette du Strigide; Bague Gloursonne; Bague Trithon; Bouclier du Captain Amakna; Ceinture du Strigide; Masque Trithon; Chevelure de Tal Kasha; Bottes Trithon; Dofus des Glaces; Dofus Turquoise; Dofus Ébène; Dofus Nébuleux; Dofus Pourpre; Sakochère</t>
        </is>
      </c>
    </row>
    <row r="16304">
      <c r="A16304" t="inlineStr">
        <is>
          <t>bluntnecroxx</t>
        </is>
      </c>
      <c r="B16304">
        <f>HYPERLINK("https://www.dofusbook.net/fr/equipement/5283129-bluntnecroxx/objets", "link")</f>
        <v/>
      </c>
      <c r="C16304" t="n">
        <v>2</v>
      </c>
      <c r="D16304" t="inlineStr">
        <is>
          <t>Arc Nécrotique; Collier de la Dame du Hasard; Anneau Toriété; Alliance de Missiz Frizz; Quatre-feuilles; Ceinture du Strigide; Casque de Missiz Frizz; Cape de la Dame du Hasard; Bottes de la Dame du Hasard; Dofus Ivoire; Dofus des Glaces; Dofus Pourpre; Dolmanax; Dofus Ébène; Dofus Turquoise; Sakochère</t>
        </is>
      </c>
    </row>
    <row r="16305">
      <c r="A16305" t="inlineStr">
        <is>
          <t>airr</t>
        </is>
      </c>
      <c r="B16305">
        <f>HYPERLINK("https://www.dofusbook.net/fr/equipement/5429469-airr/objets", "link")</f>
        <v/>
      </c>
      <c r="C16305" t="n">
        <v>0</v>
      </c>
      <c r="D16305" t="inlineStr">
        <is>
          <t>Épée du Granduk; Amulette du Granduk; Anneau d'Allister; Anneau de Padgref; Quatre-feuilles; Menoture; Masque du Granduk; Cape de Jahash Jurgen; Bottes d'Allister; Dolmanax; Dofus Pourpre; Dofus Turquoise; Dofus des Glaces; Equilibriste majeur; Acrobate majeur; Pioute jaune</t>
        </is>
      </c>
    </row>
    <row r="16306">
      <c r="A16306" t="inlineStr">
        <is>
          <t>Stuff 3</t>
        </is>
      </c>
      <c r="B16306">
        <f>HYPERLINK("https://www.dofusbook.net/fr/equipement/2516853-stuff-3/objets", "link")</f>
        <v/>
      </c>
      <c r="C16306" t="n">
        <v>3</v>
      </c>
      <c r="D16306" t="inlineStr">
        <is>
          <t>Dagues du Dragoeuf; Amulette Volkorne; Anneau Volkorne; Bague Trithon; Bouclier du Captain Amakna; Ceinture Volkorne; Masque Trithon; Chevelure de Tal Kasha; Bottes Trithon; Dofus Nébuleux; Dofus Pourpre; Dofus des Glaces; Dofus Turquoise; Dofus Ébène; Dofus Ocre; Chacha Angora</t>
        </is>
      </c>
    </row>
    <row r="16307">
      <c r="A16307" t="inlineStr">
        <is>
          <t>bluntfullpo</t>
        </is>
      </c>
      <c r="B16307">
        <f>HYPERLINK("https://www.dofusbook.net/fr/equipement/5274542-bluntfullpo/objets", "link")</f>
        <v/>
      </c>
      <c r="C16307" t="n">
        <v>4</v>
      </c>
      <c r="D16307" t="inlineStr">
        <is>
          <t>Lav'Hache; Torquistik; Bague Instable; Baguistik; Bouclier précieux; Ceinture Gence; Dorabysses; Cape Solution; Bottes du Cul Botté; Dofus Ocre; Dofus Abyssal; Dofus Ivoire; Bousculeur majeur; Culbuteur majeur; Balafreux</t>
        </is>
      </c>
    </row>
    <row r="16308">
      <c r="A16308" t="inlineStr">
        <is>
          <t>Brubru</t>
        </is>
      </c>
      <c r="B16308">
        <f>HYPERLINK("https://www.dofusbook.net/fr/equipement/5351933-brubru/objets", "link")</f>
        <v/>
      </c>
      <c r="C16308" t="n">
        <v>1</v>
      </c>
      <c r="D16308" t="inlineStr">
        <is>
          <t>Épée Brûlâme; Amulette du Strigide; Bague Trithon; Anneau Toriété; Bouclier alvéolé; Ceinture du Strigide; Bottes du Strigide; Dofus Nébuleux; Dofus Turquoise; Dofus Ivoire; Dofus des Glaces; Dofus Pourpre; Dofus Ocre; Chacha Angora</t>
        </is>
      </c>
    </row>
    <row r="16309">
      <c r="A16309" t="inlineStr">
        <is>
          <t>bluntrecri</t>
        </is>
      </c>
      <c r="B16309">
        <f>HYPERLINK("https://www.dofusbook.net/fr/equipement/5299751-bluntrecri/objets", "link")</f>
        <v/>
      </c>
      <c r="C16309" t="n">
        <v>3</v>
      </c>
      <c r="D16309" t="inlineStr">
        <is>
          <t>Lance corrompue; Amulette de Pol Ouatnos; Bague Gloursonne; Alliance Gloursonne; Bouclier du Stalak; Ceinture de la Reine des Voleurs; Coiffe de la Reine des Voleurs; Voile d'encre; Bottes de la Reine des Voleurs; Dofus des Glaces; Dofus Ivoire; Dofus Pourpre; Dokoko; Dofus Ocre; Robuste majeur; Kramkram</t>
        </is>
      </c>
    </row>
    <row r="16310">
      <c r="A16310" t="inlineStr">
        <is>
          <t>Steamer M 200</t>
        </is>
      </c>
      <c r="B16310">
        <f>HYPERLINK("https://www.dofusbook.net/fr/equipement/5263456-steamer-m-200/objets", "link")</f>
        <v/>
      </c>
      <c r="C16310" t="n">
        <v>1</v>
      </c>
      <c r="D16310" t="inlineStr">
        <is>
          <t>Sabres d'Atcham; Amulette Volkorne; Alliance Gloursonne; Alliance de Missiz Frizz; Quatre-feuilles; Ceinture Blot; Le Dorado; Cape de Jahash Jurgen; Sandales  d'Atcham; Dofus Pourpre; Dofus Ocre; Dofus Turquoise; Dofus Ivoire; Voyageur; Kokulte</t>
        </is>
      </c>
    </row>
    <row r="16311">
      <c r="A16311" t="inlineStr">
        <is>
          <t>ecca</t>
        </is>
      </c>
      <c r="B16311">
        <f>HYPERLINK("https://www.dofusbook.net/fr/equipement/5299402-ecca/objets", "link")</f>
        <v/>
      </c>
      <c r="C16311" t="n">
        <v>0</v>
      </c>
      <c r="D16311" t="inlineStr">
        <is>
          <t>Sabres d'Atcham; Amulette du Strigide; Alliance de Missiz Frizz; Anneau Volkorne; Quatre-feuilles; Ceinture du Strigide; Maskrobe; Cape d'Atcham; Bottes du Strigide; Dofus Turquoise; Dofus Nébuleux; Dolmanax; Dofus Pourpre; Dofus Ocre; Chacha Angora</t>
        </is>
      </c>
    </row>
    <row r="16312">
      <c r="A16312" t="inlineStr">
        <is>
          <t>panda</t>
        </is>
      </c>
      <c r="B16312">
        <f>HYPERLINK("https://www.dofusbook.net/fr/equipement/4285545-panda/objets", "link")</f>
        <v/>
      </c>
      <c r="C16312" t="n">
        <v>4</v>
      </c>
      <c r="D16312" t="inlineStr">
        <is>
          <t>Sceptre du Roi Joueur; Amulette de l'Œil Attentif; Anneau Volkorne; Bracelet des Fonds marins; Bouclier du Stalak; Poulpagne; Capuche de l'Œil Attentif; Cape de Jahash Jurgen; Pataugastrique; Dofus Ivoire; Dofus Pourpre; Dofus Nébuleux; Chanceux majeur; Nomade; Dévastateur Eau majeur; Pioute bleu</t>
        </is>
      </c>
    </row>
    <row r="16313">
      <c r="A16313" t="inlineStr">
        <is>
          <t>Sacrieur M 200</t>
        </is>
      </c>
      <c r="B16313">
        <f>HYPERLINK("https://www.dofusbook.net/fr/equipement/5109323-sacrieur-m-200/objets", "link")</f>
        <v/>
      </c>
      <c r="C16313" t="n">
        <v>1</v>
      </c>
      <c r="D16313" t="inlineStr">
        <is>
          <t>Sceptre du Roi Joueur; Amulette de l'Œil Attentif; Anneau Volkorne; Bracelet des Fonds marins; Quatre-feuilles; Ceinture du Strigide; Capuche de l'Œil Attentif; Cape de l'Œil Attentif; Bottes du Strigide; Dofus Ivoire; Dofus Ocre; Dofus Nébuleux; Dofus Turquoise; Dehluge</t>
        </is>
      </c>
    </row>
    <row r="16314">
      <c r="A16314" t="inlineStr">
        <is>
          <t>new</t>
        </is>
      </c>
      <c r="B16314">
        <f>HYPERLINK("https://www.dofusbook.net/fr/equipement/5220708-new/objets", "link")</f>
        <v/>
      </c>
      <c r="C16314" t="n">
        <v>0</v>
      </c>
      <c r="D16314" t="inlineStr">
        <is>
          <t>Dagues d'Ilyzaelle; Amulette du Strigide; Chevalière du Roi Joueur; Alliance Brûlâme; Quatre-feuilles; Ceinture du Strigide; Couronne du Roi Joueur; Cape au Logis; Bottes du Roi Joueur; Dofus Turquoise; Dofus Ocre; Dofus Émeraude; Dofus Ivoire; Dofus Pourpre; Dofus Abyssal; Kompost</t>
        </is>
      </c>
    </row>
    <row r="16315">
      <c r="A16315" t="inlineStr">
        <is>
          <t>iii</t>
        </is>
      </c>
      <c r="B16315">
        <f>HYPERLINK("https://www.dofusbook.net/fr/equipement/5235936-iii/objets", "link")</f>
        <v/>
      </c>
      <c r="C16315" t="n">
        <v>0</v>
      </c>
      <c r="D16315" t="inlineStr">
        <is>
          <t>Dagues d'Ilyzaelle; Amulette du Cœur Saignant; Alliance Brûlâme; Chevalière du Roi Joueur; Quatre-feuilles; Ceinture du Strigide; Couronne du Roi Joueur; Cape du Cœur Saignant; Bottes du Cœur Saignant; Dofus Turquoise; Dofus Ivoire; Dofus Pourpre; Dofus Abyssal; Dofus Ocre; Kompost</t>
        </is>
      </c>
    </row>
    <row r="16316">
      <c r="A16316" t="inlineStr">
        <is>
          <t>Ecaflip M 200</t>
        </is>
      </c>
      <c r="B16316">
        <f>HYPERLINK("https://www.dofusbook.net/fr/equipement/5220671-ecaflip-m-200/objets", "link")</f>
        <v/>
      </c>
      <c r="C16316" t="n">
        <v>0</v>
      </c>
      <c r="D16316" t="inlineStr">
        <is>
          <t>Sceptre du Roi Joueur; Amulette du Strigide; Anneau Volkorne; Bracelet des Fonds marins; Quatre-feuilles; Ceinture du Strigide; Capuche de l'Œil Attentif; Voilamibe; Bottes du Strigide; Dofus Nébuleux; Dofus Ivoire; Dofus Pourpre; Dofus Abyssal; Dofus Turquoise; Dofus Ocre; Dehluge</t>
        </is>
      </c>
    </row>
    <row r="16317">
      <c r="A16317" t="inlineStr">
        <is>
          <t>cra</t>
        </is>
      </c>
      <c r="B16317">
        <f>HYPERLINK("https://www.dofusbook.net/fr/equipement/5208991-cra/objets", "link")</f>
        <v/>
      </c>
      <c r="C16317" t="n">
        <v>3</v>
      </c>
      <c r="D16317" t="inlineStr">
        <is>
          <t>Épée de la Reine des Voleurs; Amulette du Strigide; Alliance Brûlâme; Alliance Gloursonne; Quatre-feuilles; Ceinture du Strigide; Coiffe Ranshi; Cape d'Atcham; Sandales  d'Atcham; Dofus Abyssal; Dofus Turquoise; Dofus Ivoire; Dofus Nébuleux; Dofus Pourpre; Dolmanax; Kwaltess</t>
        </is>
      </c>
    </row>
    <row r="16318">
      <c r="A16318" t="inlineStr">
        <is>
          <t>Stuff 1</t>
        </is>
      </c>
      <c r="B16318">
        <f>HYPERLINK("https://www.dofusbook.net/fr/equipement/1644273-stuff-1/objets", "link")</f>
        <v/>
      </c>
      <c r="C16318" t="n">
        <v>3</v>
      </c>
      <c r="D16318" t="inlineStr">
        <is>
          <t>Épée de la Reine des Voleurs; Amulette du Strigide; Alliance Brûlâme; Alliance Gloursonne; Quatre-feuilles; Ceinture du Strigide; Coiffe Ranshi; Cape d'Atcham; Sandales  d'Atcham; Dofus Pourpre; Dofus Ocre; Dofus Abyssal; Dofus Turquoise; Dofus Ivoire; Dofus Nébuleux; El Scarador</t>
        </is>
      </c>
    </row>
    <row r="16319">
      <c r="A16319" t="inlineStr">
        <is>
          <t>Stuff 3</t>
        </is>
      </c>
      <c r="B16319">
        <f>HYPERLINK("https://www.dofusbook.net/fr/equipement/227127-stuff-3/objets", "link")</f>
        <v/>
      </c>
      <c r="C16319" t="n">
        <v>1</v>
      </c>
      <c r="D16319" t="inlineStr">
        <is>
          <t>Épée de la Reine des Voleurs; Amulette du Strigide; Alliance Gloursonne; Alliance Brûlâme; Quatre-feuilles; Ceinture de Kongoku; Boucle d'oreille de Kongoku; Cape de Kongoku; Bottes du Strigide; Dofus Pourpre; Dofus Nébuleux; Dofus Ivoire; Dofus Turquoise; Dofus Ocre; El Scarador</t>
        </is>
      </c>
    </row>
    <row r="16320">
      <c r="A16320" t="inlineStr">
        <is>
          <t>Stuff 3</t>
        </is>
      </c>
      <c r="B16320">
        <f>HYPERLINK("https://www.dofusbook.net/fr/equipement/227097-stuff-3/objets", "link")</f>
        <v/>
      </c>
      <c r="C16320" t="n">
        <v>0</v>
      </c>
      <c r="D16320" t="inlineStr">
        <is>
          <t>Sceptre du Roi Joueur; Amulette de l'Œil Attentif; Anneau Glacial; Bracelet des Fonds marins; Quatre-feuilles; Ceinture Glaciale; Capuche de l'Œil Attentif; Cape de l'Œil Attentif; Sandales des Fonds marins; Dofus Turquoise; Dofus des Glaces; Dofus Ocre; Dofus Nébuleux; Taquin majeur; Dehluge</t>
        </is>
      </c>
    </row>
    <row r="16321">
      <c r="A16321" t="inlineStr">
        <is>
          <t>Stuff 3</t>
        </is>
      </c>
      <c r="B16321">
        <f>HYPERLINK("https://www.dofusbook.net/fr/equipement/227100-stuff-3/objets", "link")</f>
        <v/>
      </c>
      <c r="C16321" t="n">
        <v>1</v>
      </c>
      <c r="D16321" t="inlineStr">
        <is>
          <t>Marteau des égarés; Amulette du Strigide; Alliance Gloursonne; Bague Gloursonne; Quatre-feuilles; Ceinture du Strigide; Le Dorado; Cape de Jahash Jurgen; Bottes du Strigide; Dofus des Glaces; Dofus Ivoire; Dofus Pourpre; Dolmanax; Dofus Nébuleux; Chacha Angora</t>
        </is>
      </c>
    </row>
    <row r="16322">
      <c r="A16322" t="inlineStr">
        <is>
          <t>terre</t>
        </is>
      </c>
      <c r="B16322">
        <f>HYPERLINK("https://www.dofusbook.net/fr/equipement/4778583-terre/objets", "link")</f>
        <v/>
      </c>
      <c r="C16322" t="n">
        <v>2</v>
      </c>
      <c r="D16322" t="inlineStr">
        <is>
          <t>Dagues d'Ilyzaelle; Amulette du Cœur Saignant; Anneau Crustique; Anneau Crustique; Bouclier du Captain Amakna; Ceinture Gence; Masque de Koutoulou; Cape de Jahash Jurgen; Bottes du Cœur Saignant; Dofus Pourpre; Dofus Nébuleux; Dofus Turquoise; Enragé majeur; Forcené majeur; Pioute vert</t>
        </is>
      </c>
    </row>
    <row r="16323">
      <c r="A16323" t="inlineStr">
        <is>
          <t>air</t>
        </is>
      </c>
      <c r="B16323">
        <f>HYPERLINK("https://www.dofusbook.net/fr/equipement/4774983-air/objets", "link")</f>
        <v/>
      </c>
      <c r="C16323" t="n">
        <v>0</v>
      </c>
      <c r="D16323" t="inlineStr">
        <is>
          <t>Marteau Phossile; Amulette du Strigide; Anneau Tique; Anneau de Padgref; Quatre-feuilles; Ceinture du Strigide; Coiffe de Padgref; Cape Hulco; Bottes du Strigide; Dofus Pourpre; Dofus des Glaces; Dofus Nébuleux; Dofus Ocre; Dofus Turquoise; Muldo Doré et Emeraude</t>
        </is>
      </c>
    </row>
    <row r="16324">
      <c r="A16324" t="inlineStr">
        <is>
          <t>iop</t>
        </is>
      </c>
      <c r="B16324">
        <f>HYPERLINK("https://www.dofusbook.net/fr/equipement/4784823-iop/objets", "link")</f>
        <v/>
      </c>
      <c r="C16324" t="n">
        <v>0</v>
      </c>
      <c r="D16324" t="inlineStr">
        <is>
          <t>Épouvante; Amulette du Strigide; Pikano; Goulano; Bouclier d'Ilyzaelle; Ceinture du Strigide; Casquipik; Cape au Logis; Bottes du Strigide; Dofus Émeraude; Dofus Turquoise; Dofus Nébuleux; Dofus Pourpre; Dofus Ivoire; Muldo Doré et Emeraude</t>
        </is>
      </c>
    </row>
    <row r="16325">
      <c r="A16325" t="inlineStr">
        <is>
          <t>Stuff 3</t>
        </is>
      </c>
      <c r="B16325">
        <f>HYPERLINK("https://www.dofusbook.net/fr/equipement/227161-stuff-3/objets", "link")</f>
        <v/>
      </c>
      <c r="C16325" t="n">
        <v>1</v>
      </c>
      <c r="D16325" t="inlineStr">
        <is>
          <t>Marteau Phossile; Amulette du Strigide; Anneau de Padgref; Anneau d'Allister; Quatre-feuilles; Ceintacé; Coiffe de Padgref; Cape de Jahash Jurgen; Bottes Antrin; Dofus Turquoise; Dofus Pourpre; Dofus Ocre; Dofus Nébuleux; Dofus des Glaces; Pioute rouge</t>
        </is>
      </c>
    </row>
    <row r="16326">
      <c r="A16326" t="inlineStr">
        <is>
          <t>Ecaflip M 200</t>
        </is>
      </c>
      <c r="B16326">
        <f>HYPERLINK("https://www.dofusbook.net/fr/equipement/4276276-ecaflip-m-200/objets", "link")</f>
        <v/>
      </c>
      <c r="C16326" t="n">
        <v>2</v>
      </c>
      <c r="D16326" t="inlineStr">
        <is>
          <t>Sceptre du Roi Joueur; Amulette de l'Œil Attentif; Anneau Volkorne; Bracelet des Fonds marins; Quatre-feuilles; Sangle Ouare; Capuche de l'Œil Attentif; Cape de l'Œil Attentif; Sandales des Fonds marins; Dofus Pourpre; Dofus des Glaces; Dofus Nébuleux; Dofus Turquoise; Dofus Ocre; Dolmanax; Pioute bleu</t>
        </is>
      </c>
    </row>
    <row r="16327">
      <c r="A16327" t="inlineStr">
        <is>
          <t>panda</t>
        </is>
      </c>
      <c r="B16327">
        <f>HYPERLINK("https://www.dofusbook.net/fr/equipement/4270978-panda-/objets", "link")</f>
        <v/>
      </c>
      <c r="C16327" t="n">
        <v>0</v>
      </c>
      <c r="D16327" t="inlineStr">
        <is>
          <t>Plume de Buhorado; Amulette du Strigide; Anneau de Padgref; Bracelet du Piloztère; Quatre-feuilles; Ceinture du Strigide; Coiffe de Padgref; Cape Lati; Getas de Padgref; Dofus Turquoise; Dofus Nébuleux; Dofus Abyssal; Dofus des Glaces; Dofus Pourpre; Dofus Ocre; Willy le Relou</t>
        </is>
      </c>
    </row>
    <row r="16328">
      <c r="A16328" t="inlineStr">
        <is>
          <t>Stuff 3</t>
        </is>
      </c>
      <c r="B16328">
        <f>HYPERLINK("https://www.dofusbook.net/fr/equipement/227118-stuff-3/objets", "link")</f>
        <v/>
      </c>
      <c r="C16328" t="n">
        <v>1</v>
      </c>
      <c r="D16328" t="inlineStr">
        <is>
          <t>Plume de Buhorado; Amulette du Strigide; Anneau de Padgref; Bracelet du Piloztère; Quatre-feuilles; Ceinture du Strigide; Coiffe de Padgref; Cape Lati; Getas de Padgref; Dofus Turquoise; Dofus Nébuleux; Dofus Abyssal; Dofus des Glaces; Dofus Pourpre; Dofus Ocre; Willy le Relou</t>
        </is>
      </c>
    </row>
    <row r="16329">
      <c r="A16329" t="inlineStr">
        <is>
          <t>Stuff 3</t>
        </is>
      </c>
      <c r="B16329">
        <f>HYPERLINK("https://www.dofusbook.net/fr/equipement/227157-stuff-3/objets", "link")</f>
        <v/>
      </c>
      <c r="C16329" t="n">
        <v>4</v>
      </c>
      <c r="D16329" t="inlineStr">
        <is>
          <t>Bâton K'Tueuh; Amulette de l'Œil Attentif; Anneau Glacial; Bracelet des Fonds marins; Quatre-feuilles; Ceinture Glaciale; Capuche de l'Œil Attentif; Cape de l'Œil Attentif; Sandales des Fonds marins; Dofus Turquoise; Dofus Pourpre; Dofus Ocre; Dofus Nébuleux; Taquin majeur; Volkorne Ivoire et Indigo</t>
        </is>
      </c>
    </row>
    <row r="16330">
      <c r="A16330" t="inlineStr">
        <is>
          <t>Stuff 1</t>
        </is>
      </c>
      <c r="B16330">
        <f>HYPERLINK("https://www.dofusbook.net/fr/equipement/227140-stuff-1/objets", "link")</f>
        <v/>
      </c>
      <c r="C16330" t="n">
        <v>0</v>
      </c>
      <c r="D16330" t="inlineStr">
        <is>
          <t>Marteau Phossile; Amulette du Strigide; Anneau du Cycloïde; Anneau de Padgref; Bouclier cubiste; Ceinture du Strigide; Némès de Tal Kasha; Chevelure de Tal Kasha; Sandales de Tal Kasha; Dofus Ocre; Dolmanax; Dofus Nébuleux; Dofus des Glaces; Dofus Turquoise; Dofus Pourpre; Muldo Doré et Emeraude</t>
        </is>
      </c>
    </row>
    <row r="16331">
      <c r="A16331" t="inlineStr">
        <is>
          <t>Crâ M 200</t>
        </is>
      </c>
      <c r="B16331">
        <f>HYPERLINK("https://www.dofusbook.net/fr/equipement/4260610-cra-m-200/objets", "link")</f>
        <v/>
      </c>
      <c r="C16331" t="n">
        <v>0</v>
      </c>
      <c r="D16331" t="inlineStr">
        <is>
          <t>Épée du Granduk; Amulette du Granduk; Gant du Valet Veinard; Anneau d'Allister; Quatre-feuilles; Ceinture de Klime; Cape de Klime; Bottes d'Allister; Dofus Turquoise; Dofus Pourpre; Dofus Nébuleux; Dofus Ocre; Acrobate majeur; Equilibriste majeur; Siroko</t>
        </is>
      </c>
    </row>
    <row r="16332">
      <c r="A16332" t="inlineStr">
        <is>
          <t>iop eau 200</t>
        </is>
      </c>
      <c r="B16332">
        <f>HYPERLINK("https://www.dofusbook.net/fr/equipement/3273730-iop-eau-200/objets", "link")</f>
        <v/>
      </c>
      <c r="C16332" t="n">
        <v>2</v>
      </c>
      <c r="D16332" t="inlineStr">
        <is>
          <t>Sceptre du Roi Joueur; Amulette de l'Œil Attentif; Anneau Glacial; Bracelet des Fonds marins; Bouclier d'Ilyzaelle; Ceinture Glaciale; Capuche de l'Œil Attentif; Cape de l'Œil Attentif; Sandales des Fonds marins; Dofus Nébuleux; Dofus Ivoire; Dofus Pourpre; Dofus Ocre; Taquin majeur; Dragodinde Indigo et Ivoire</t>
        </is>
      </c>
    </row>
    <row r="16333">
      <c r="A16333" t="inlineStr">
        <is>
          <t>Stuff 1</t>
        </is>
      </c>
      <c r="B16333">
        <f>HYPERLINK("https://www.dofusbook.net/fr/equipement/227095-stuff-1/objets", "link")</f>
        <v/>
      </c>
      <c r="C16333" t="n">
        <v>1</v>
      </c>
      <c r="D16333" t="inlineStr">
        <is>
          <t>Crocobur; Amulette du Strigide; Alliance Gloursonne; Anneau de Padgref; Quatre-feuilles; Ceinture du Strigide; Coiffe de Padgref; Cape d'Atcham; Bottes du Strigide; Dofus Ocre; Dofus Turquoise; Dolmanax; Dofus Nébuleux; Dofus Pourpre; Muldo Doré et Emeraude</t>
        </is>
      </c>
    </row>
    <row r="16334">
      <c r="A16334" t="inlineStr">
        <is>
          <t>eca 200</t>
        </is>
      </c>
      <c r="B16334">
        <f>HYPERLINK("https://www.dofusbook.net/fr/equipement/3652581-eca-200-/objets", "link")</f>
        <v/>
      </c>
      <c r="C16334" t="n">
        <v>0</v>
      </c>
      <c r="D16334" t="inlineStr">
        <is>
          <t>Sabres d'Atcham; Amulette du Strigide; Anneau de Padgref; Bracelet du Piloztère; Quatre-feuilles; Ceinture du Strigide; Coiffe de Padgref; Cape d'Atcham; Bottes du Strigide; Dofus Nébuleux; Dolmanax; Dofus Turquoise; Dofus Pourpre; Dofus Ocre; Muldo Doré et Emeraude</t>
        </is>
      </c>
    </row>
    <row r="16335">
      <c r="A16335" t="inlineStr">
        <is>
          <t>cra</t>
        </is>
      </c>
      <c r="B16335">
        <f>HYPERLINK("https://www.dofusbook.net/fr/equipement/3419982-cra-/objets", "link")</f>
        <v/>
      </c>
      <c r="C16335" t="n">
        <v>1</v>
      </c>
      <c r="D16335" t="inlineStr">
        <is>
          <t>Sabres d'Atcham; Amulette du Strigide; Anneau de Padgref; Bracelet du Piloztère; Quatre-feuilles; Ceinture du Strigide; Coiffe de Padgref; Cape d'Atcham; Bottes du Strigide; Dolmanax; Dofus Turquoise; Dofus Pourpre; Dofus Ocre; Dofus Nébuleux; Muldo Doré et Emeraude</t>
        </is>
      </c>
    </row>
    <row r="16336">
      <c r="A16336" t="inlineStr">
        <is>
          <t>Stuff 3</t>
        </is>
      </c>
      <c r="B16336">
        <f>HYPERLINK("https://www.dofusbook.net/fr/equipement/2315299-stuff-3/objets", "link")</f>
        <v/>
      </c>
      <c r="C16336" t="n">
        <v>5</v>
      </c>
      <c r="D16336" t="inlineStr">
        <is>
          <t>Sabres d'Atcham; Amulette du Strigide; Anneau de Padgref; Bracelet du Piloztère; Quatre-feuilles; Ceinture du Strigide; Coiffe de Padgref; Cape d'Atcham; Bottes du Strigide; Dolmanax; Dofus Nébuleux; Dofus des Glaces; Dofus Turquoise; Dofus Pourpre; Dofus Ocre; Muldo Doré et Emeraude</t>
        </is>
      </c>
    </row>
    <row r="16337">
      <c r="A16337" t="inlineStr">
        <is>
          <t>cra 200</t>
        </is>
      </c>
      <c r="B16337">
        <f>HYPERLINK("https://www.dofusbook.net/fr/equipement/3515807-cra-200-/objets", "link")</f>
        <v/>
      </c>
      <c r="C16337" t="n">
        <v>0</v>
      </c>
      <c r="D16337" t="inlineStr">
        <is>
          <t>Bâton Beau; Amulette du Strigide; Bague Gloursonne; Alliance Gloursonne; Quatre-feuilles; Ceinture du Strigide; Maskrobe; Voile d'encre; Bottes du Strigide; Dofus Pourpre; Dofus Ivoire; Dofus Nébuleux; Dolmanax; Dofus Turquoise; Muldo Doré et Emeraude</t>
        </is>
      </c>
    </row>
    <row r="16338">
      <c r="A16338" t="inlineStr">
        <is>
          <t>Stuff 3</t>
        </is>
      </c>
      <c r="B16338">
        <f>HYPERLINK("https://www.dofusbook.net/fr/equipement/227121-stuff-3/objets", "link")</f>
        <v/>
      </c>
      <c r="C16338" t="n">
        <v>1</v>
      </c>
      <c r="D16338" t="inlineStr">
        <is>
          <t>Dagoulinantes; Sept ans de malheur; Némès de Tal Kasha; Chevelure de Tal Kasha; Sandales de Tal Kasha; Dofus Vulbis; Dofus Cawotte; Dofus Pourpre; Dofus Ocre; Taquin majeur; Paralyseur majeur; Dehluge</t>
        </is>
      </c>
    </row>
    <row r="16339">
      <c r="A16339" t="inlineStr">
        <is>
          <t>Stuff 3</t>
        </is>
      </c>
      <c r="B16339">
        <f>HYPERLINK("https://www.dofusbook.net/fr/equipement/3165295-stuff-3/objets", "link")</f>
        <v/>
      </c>
      <c r="C16339" t="n">
        <v>1</v>
      </c>
      <c r="D16339" t="inlineStr">
        <is>
          <t>Sceptre du Roi Joueur; Amulette de l'Œil Attentif; Anneau Glacial; Bracelet des Fonds marins; Quatre-feuilles; Ceinture Glaciale; Capuche de l'Œil Attentif; Cape de l'Œil Attentif; Sandales des Fonds marins; Dofus Nébuleux; Dofus Turquoise; Dofus Pourpre; Dofus Ocre; Taquin majeur; Dehluge</t>
        </is>
      </c>
    </row>
    <row r="16340">
      <c r="A16340" t="inlineStr">
        <is>
          <t>eca</t>
        </is>
      </c>
      <c r="B16340">
        <f>HYPERLINK("https://www.dofusbook.net/fr/equipement/3068563-eca/objets", "link")</f>
        <v/>
      </c>
      <c r="C16340" t="n">
        <v>0</v>
      </c>
      <c r="D16340" t="inlineStr">
        <is>
          <t>Lav'Hache; Amulette Luminescente; Bague Instable; Bague Trithon; Bouclier précieux; Ceinture Gence; Masque de Koutoulou; Cape Luminescente; Bottes du Cœur Vaillant; Dofus Émeraude; Dofus Ivoire; Culbuteur majeur; Pousseur majeur; Bousculeur majeur; Enragé majeur; Muldo Orchidée et Pourpre</t>
        </is>
      </c>
    </row>
    <row r="16341">
      <c r="A16341" t="inlineStr">
        <is>
          <t>Stuff 1</t>
        </is>
      </c>
      <c r="B16341">
        <f>HYPERLINK("https://www.dofusbook.net/fr/equipement/227113-stuff-1/objets", "link")</f>
        <v/>
      </c>
      <c r="C16341" t="n">
        <v>1</v>
      </c>
      <c r="D16341" t="inlineStr">
        <is>
          <t>Lav'Hache; Amulette Luminescente; Bague Trithon; Bague Instable; Bouclier précieux; Ceinture Gence; Masque d'Anerice; Cape d'Anerice; Bottistik; Dofus Émeraude; Dofus Ivoire; Pousseur majeur; Bousculeur majeur; Remueur; Culbuteur majeur; Muldo Orchidée et Pourpre</t>
        </is>
      </c>
    </row>
    <row r="16342">
      <c r="A16342" t="inlineStr">
        <is>
          <t>Stuff 3</t>
        </is>
      </c>
      <c r="B16342">
        <f>HYPERLINK("https://www.dofusbook.net/fr/equipement/227115-stuff-3/objets", "link")</f>
        <v/>
      </c>
      <c r="C16342" t="n">
        <v>12</v>
      </c>
      <c r="D16342" t="inlineStr">
        <is>
          <t>Lav'Hache; Torquistik; Bague Instable; Bague Trithon; Bouclier précieux; Ceinture Gence; Casque Dragoeuf; Cape du Cœur Vaillant; Bottistik; Dofus Émeraude; Dofus Ivoire; Dokoko; Remueur; Culbuteur majeur; Pousseur majeur; Tatouf</t>
        </is>
      </c>
    </row>
    <row r="16343">
      <c r="A16343" t="inlineStr">
        <is>
          <t>Stuff 2</t>
        </is>
      </c>
      <c r="B16343">
        <f>HYPERLINK("https://www.dofusbook.net/fr/equipement/227114-stuff-2/objets", "link")</f>
        <v/>
      </c>
      <c r="C16343" t="n">
        <v>6</v>
      </c>
      <c r="D16343" t="inlineStr">
        <is>
          <t>Lav'Hache; Amulette Luminescente; Bague Instable; Bague Trithon; Bouclier précieux; Ceinture Luminescente; Casque Dragoeuf; Cape Luminescente; Bottes Trithon; Dofus Ivoire; Dofus Ocre; Bousculeur majeur; Pousseur majeur; Muldo Ebène</t>
        </is>
      </c>
    </row>
    <row r="16344">
      <c r="A16344" t="inlineStr">
        <is>
          <t>Stuff 1</t>
        </is>
      </c>
      <c r="B16344">
        <f>HYPERLINK("https://www.dofusbook.net/fr/equipement/913415-stuff-1/objets", "link")</f>
        <v/>
      </c>
      <c r="C16344" t="n">
        <v>2</v>
      </c>
      <c r="D16344" t="inlineStr">
        <is>
          <t>Youyettes; Amulette du Cœur Saignant; Anneau de Brouce; Alliance de Missiz Frizz; Bouclier du Captain Amakna; Ceinture de Brouce; Casque de Missiz Frizz; Cape du Cœur Saignant; Bottes de Brouce; Dofus Turquoise; Dofus Nébuleux; Dofus Ocre; Dofus Vulbis; Précurseur majeur; Forcené majeur; Kompost</t>
        </is>
      </c>
    </row>
    <row r="16345">
      <c r="A16345" t="inlineStr">
        <is>
          <t>Stuff 1</t>
        </is>
      </c>
      <c r="B16345">
        <f>HYPERLINK("https://www.dofusbook.net/fr/equipement/227159-stuff-1/objets", "link")</f>
        <v/>
      </c>
      <c r="C16345" t="n">
        <v>2</v>
      </c>
      <c r="D16345" t="inlineStr">
        <is>
          <t>Amulette du Cœur Saignant; Anneau de Brouce; Alliance de Missiz Frizz; Bouclier du Captain Amakna; Ceinture de Brouce; Casque de Missiz Frizz; Cape du Cœur Saignant; Bottes de Brouce; Dofus Ocre; Dofus Vulbis; Dofus Turquoise; Dofus Nébuleux; Forcené majeur; Précurseur majeur; Kompost</t>
        </is>
      </c>
    </row>
    <row r="16346">
      <c r="A16346" t="inlineStr">
        <is>
          <t>Stuff 2</t>
        </is>
      </c>
      <c r="B16346">
        <f>HYPERLINK("https://www.dofusbook.net/fr/equipement/227102-stuff-2/objets", "link")</f>
        <v/>
      </c>
      <c r="C16346" t="n">
        <v>1</v>
      </c>
      <c r="D16346" t="inlineStr">
        <is>
          <t>Arc du Chalœil; Amulette du Cœur Saignant; Anneau de Brouce; Alliance de Missiz Frizz; Quatre-feuilles; Ceinture de Brouce; Casque de Missiz Frizz; Cape du Cœur Saignant; Bottes de Brouce; Dofus Vulbis; Dofus Turquoise; Dofus Nébuleux; Dofus Ocre; Précurseur majeur; Forcené majeur; Kompost</t>
        </is>
      </c>
    </row>
    <row r="16347">
      <c r="A16347" t="inlineStr">
        <is>
          <t>terre</t>
        </is>
      </c>
      <c r="B16347">
        <f>HYPERLINK("https://www.dofusbook.net/fr/equipement/3341409-terre/objets", "link")</f>
        <v/>
      </c>
      <c r="C16347" t="n">
        <v>1</v>
      </c>
      <c r="D16347" t="inlineStr">
        <is>
          <t>Arc du Chalœil; Amulette du Cœur Saignant; Anneau de Brouce; Alliance de Missiz Frizz; Quatre-feuilles; Ceinture de Brouce; Casque de Missiz Frizz; Cape du Cœur Saignant; Bottes de Brouce; Dofus Vulbis; Dofus Turquoise; Dofus Nébuleux; Dofus Ocre; Précurseur majeur; Forcené majeur; Kompost</t>
        </is>
      </c>
    </row>
    <row r="16348">
      <c r="A16348" t="inlineStr">
        <is>
          <t>Stuff 1</t>
        </is>
      </c>
      <c r="B16348">
        <f>HYPERLINK("https://www.dofusbook.net/fr/equipement/227128-stuff-1/objets", "link")</f>
        <v/>
      </c>
      <c r="C16348" t="n">
        <v>2</v>
      </c>
      <c r="D16348" t="inlineStr">
        <is>
          <t>Arc du Chalœil; Amulette du Cœur Saignant; Anneau de Brouce; Alliance de Missiz Frizz; Bouclier du Captain Amakna; Ceinture de Brouce; Casque de Missiz Frizz; Cape du Cœur Saignant; Bottes de Brouce; Dofus Ocre; Dofus Vulbis; Dofus Turquoise; Dofus Nébuleux; Forcené majeur; Précurseur majeur; Kompost</t>
        </is>
      </c>
    </row>
    <row r="16349">
      <c r="A16349" t="inlineStr">
        <is>
          <t>Stuff 3</t>
        </is>
      </c>
      <c r="B16349">
        <f>HYPERLINK("https://www.dofusbook.net/fr/equipement/227124-stuff-3/objets", "link")</f>
        <v/>
      </c>
      <c r="C16349" t="n">
        <v>1</v>
      </c>
      <c r="D16349" t="inlineStr">
        <is>
          <t>Arc du Chalœil; Amulette du Cœur Saignant; Anneau de Brouce; Alliance de Missiz Frizz; Quatre-feuilles; Ceinture de Brouce; Casque de Missiz Frizz; Cape du Cœur Saignant; Bottes de Brouce; Dofus Ocre; Dofus Vulbis; Dofus Turquoise; Dofus Nébuleux; Forcené majeur; Précurseur majeur; Kompost</t>
        </is>
      </c>
    </row>
    <row r="16350">
      <c r="A16350" t="inlineStr">
        <is>
          <t>Stuff 1</t>
        </is>
      </c>
      <c r="B16350">
        <f>HYPERLINK("https://www.dofusbook.net/fr/equipement/913386-stuff-1/objets", "link")</f>
        <v/>
      </c>
      <c r="C16350" t="n">
        <v>1</v>
      </c>
      <c r="D16350" t="inlineStr">
        <is>
          <t>Amulette d'Otomaï; Anneau Tique; Anneauræus; Bouclier du Stalak; Ceinture Séculaire; Coiffe Séculaire; Cape de Diondin; Bottes d'Otomaï; Dofus Vulbis; Dofus Turquoise; Dofus Pourpre; Dofus Nébuleux; Astucieux majeur; Brûlih</t>
        </is>
      </c>
    </row>
    <row r="16351">
      <c r="A16351" t="inlineStr">
        <is>
          <t>Stuff 1</t>
        </is>
      </c>
      <c r="B16351">
        <f>HYPERLINK("https://www.dofusbook.net/fr/equipement/227104-stuff-1/objets", "link")</f>
        <v/>
      </c>
      <c r="C16351" t="n">
        <v>6</v>
      </c>
      <c r="D16351" t="inlineStr">
        <is>
          <t>Épée d'Otomaï; Amulette d'Otomaï; Anneau Tique; Bague Gloursonne; Quatre-feuilles; Ceinture Séculaire; Coiffe Séculaire; Cape de Diondin; Bottes d'Otomaï; Dofus Pourpre; Dofus Ocre; Dofus Nébuleux; Dofus Vulbis; Dofus Turquoise; Astucieux majeur; Brûlih</t>
        </is>
      </c>
    </row>
    <row r="16352">
      <c r="A16352" t="inlineStr">
        <is>
          <t>Stuff 3</t>
        </is>
      </c>
      <c r="B16352">
        <f>HYPERLINK("https://www.dofusbook.net/fr/equipement/227130-stuff-3/objets", "link")</f>
        <v/>
      </c>
      <c r="C16352" t="n">
        <v>0</v>
      </c>
      <c r="D16352" t="inlineStr">
        <is>
          <t>Arc corrompu; Amulette d'Otomaï; Anneau Tique; Chevalière du Roi Joueur; Bouclier du Stalak; Ceinture Séculaire; Coiffe Séculaire; Cape de Diondin; Bottes d'Otomaï; Dofus Pourpre; Dofus Ocre; Dofus Nébuleux; Dofus Vulbis; Dofus Turquoise; Astucieux majeur; Brûlih</t>
        </is>
      </c>
    </row>
    <row r="16353">
      <c r="A16353" t="inlineStr">
        <is>
          <t>Stuff 3</t>
        </is>
      </c>
      <c r="B16353">
        <f>HYPERLINK("https://www.dofusbook.net/fr/equipement/3165255-stuff-3/objets", "link")</f>
        <v/>
      </c>
      <c r="C16353" t="n">
        <v>1</v>
      </c>
      <c r="D16353" t="inlineStr">
        <is>
          <t>Manthache; Collier du Valet Veinard; Gant du Valet Veinard; Quatre-feuilles; Menoture; Masque d'Anerice; Cape d'Anerice; Palmes Trithons; Dofus Nébuleux; Dofus Pourpre; Dofus Turquoise; Dolmanax; Dofus Vulbis; Muldo Doré et Emeraude</t>
        </is>
      </c>
    </row>
    <row r="16354">
      <c r="A16354" t="inlineStr">
        <is>
          <t>Stuff 1</t>
        </is>
      </c>
      <c r="B16354">
        <f>HYPERLINK("https://www.dofusbook.net/fr/equipement/227125-stuff-1/objets", "link")</f>
        <v/>
      </c>
      <c r="C16354" t="n">
        <v>0</v>
      </c>
      <c r="D16354" t="inlineStr">
        <is>
          <t>Épée Brûlâme; Talisman Glouti; Goulano; Anneau Tique; Bouclier d'Ilyzaelle; Ceinture du Strigide; Dorabysses; Voile d'encre; Bottes du Strigide; Dofus des Glaces; Dofus Pourpre; Dolmanax; Dofus Turquoise; Dofus Ocre; Kramkram</t>
        </is>
      </c>
    </row>
    <row r="16355">
      <c r="A16355" t="inlineStr">
        <is>
          <t>Stuff 1</t>
        </is>
      </c>
      <c r="B16355">
        <f>HYPERLINK("https://www.dofusbook.net/fr/equipement/3090893-stuff-1/objets", "link")</f>
        <v/>
      </c>
      <c r="C16355" t="n">
        <v>1</v>
      </c>
      <c r="D16355" t="inlineStr">
        <is>
          <t>Dagues d'Ilyzaelle; Amulette du Cœur Saignant; Alliance de Missiz Frizz; Anneau de Brouce; Bouclier du Captain Amakna; Ceinture de Brouce; Casque de Missiz Frizz; Cape du Cœur Saignant; Bottes de Brouce; Dofus Ocre; Dofus Vulbis; Dofus Turquoise; Dofus Nébuleux; Forcené majeur; Précurseur majeur; Kompost</t>
        </is>
      </c>
    </row>
    <row r="16356">
      <c r="A16356" t="inlineStr">
        <is>
          <t>Stuff 2</t>
        </is>
      </c>
      <c r="B16356">
        <f>HYPERLINK("https://www.dofusbook.net/fr/equipement/1509284-stuff-2/objets", "link")</f>
        <v/>
      </c>
      <c r="C16356" t="n">
        <v>0</v>
      </c>
      <c r="D16356" t="inlineStr">
        <is>
          <t>Pelle de Nidas; Amulette Luminescente; Pikano; Alliance Gloursonne; Bouclier cubiste; Ceinture Luminescente; Casquipik; Cape Luminescente; Pikottes; Dofus Ocre; Dofus Pourpre; Dofus des Glaces; Dofus Turquoise; Ralentisseur majeur; Entraveur majeur</t>
        </is>
      </c>
    </row>
    <row r="16357">
      <c r="A16357" t="inlineStr">
        <is>
          <t>Stuff 3</t>
        </is>
      </c>
      <c r="B16357">
        <f>HYPERLINK("https://www.dofusbook.net/fr/equipement/227106-stuff-3/objets", "link")</f>
        <v/>
      </c>
      <c r="C16357" t="n">
        <v>0</v>
      </c>
      <c r="D16357" t="inlineStr">
        <is>
          <t>Sabres d'Atcham; Amulette du Strigide; Anneau de Padgref; Alliance de Missiz Frizz; Quatre-feuilles; Ceinture du Strigide; Dorabysses; Cape d'Atcham; Sandales  d'Atcham; Dofus Turquoise; Dofus des Glaces; Dofus Ocre; Dofus Nébuleux; Dofus Pourpre; Dolmanax; Muldo Doré et Emeraude</t>
        </is>
      </c>
    </row>
    <row r="16358">
      <c r="A16358" t="inlineStr">
        <is>
          <t>Stuff 1</t>
        </is>
      </c>
      <c r="B16358">
        <f>HYPERLINK("https://www.dofusbook.net/fr/equipement/227116-stuff-1/objets", "link")</f>
        <v/>
      </c>
      <c r="C16358" t="n">
        <v>1</v>
      </c>
      <c r="D16358" t="inlineStr">
        <is>
          <t>Manthache; Amulette du Granduk; Anneau d'Allister; Gant du Valet Veinard; Quatre-feuilles; Ceinture de Klime; Couronne d'Allister; Cape de Klime; Bottes d'Allister; Dofus Ocre; Dofus Turquoise; Dofus Vulbis; Dofus Pourpre; Dofus Nébuleux; Equilibriste majeur; Siroko</t>
        </is>
      </c>
    </row>
    <row r="16359">
      <c r="A16359" t="inlineStr">
        <is>
          <t>Stuff 2</t>
        </is>
      </c>
      <c r="B16359">
        <f>HYPERLINK("https://www.dofusbook.net/fr/equipement/227108-stuff-2/objets", "link")</f>
        <v/>
      </c>
      <c r="C16359" t="n">
        <v>2</v>
      </c>
      <c r="D16359" t="inlineStr">
        <is>
          <t>Épée d'Otomaï; Amulette d'Otomaï; Anneau Tique; Anneau Tamie; Quatre-feuilles; Ceinture Séculaire; Coiffe Séculaire; Cape de la Dame du Hasard; Bottes d'Otomaï; Dofus Nébuleux; Dofus Vulbis; Dofus Turquoise; Dofus Pourpre; Dofus Ocre; Astucieux majeur; Brûlih</t>
        </is>
      </c>
    </row>
    <row r="16360">
      <c r="A16360" t="inlineStr">
        <is>
          <t>Stuff 1</t>
        </is>
      </c>
      <c r="B16360">
        <f>HYPERLINK("https://www.dofusbook.net/fr/equipement/227107-stuff-1/objets", "link")</f>
        <v/>
      </c>
      <c r="C16360" t="n">
        <v>4</v>
      </c>
      <c r="D16360" t="inlineStr">
        <is>
          <t>Arc corrompu; Pendentif affamé; Anneau Tamie; Anneau Tique; Quatre-feuilles; Ceinture Séculaire; Coiffe Séculaire; Cape de Diondin; Bottes Innommables; Dofus Pourpre; Dofus Nébuleux; Dofus Turquoise; Érudit majeur; Nomade; Brûlih</t>
        </is>
      </c>
    </row>
    <row r="16361">
      <c r="A16361" t="inlineStr">
        <is>
          <t>Stuff 1</t>
        </is>
      </c>
      <c r="B16361">
        <f>HYPERLINK("https://www.dofusbook.net/fr/equipement/1135563-stuff-1/objets", "link")</f>
        <v/>
      </c>
      <c r="C16361" t="n">
        <v>1</v>
      </c>
      <c r="D16361" t="inlineStr">
        <is>
          <t>Arc corrompu; Amulette du Strigide; Alliance Gloursonne; Anneau de Padgref; Quatre-feuilles; Ceinture du Strigide; Coiffe de Padgref; Cape d'Atcham; Bottes du Strigide; Dofus Turquoise; Dolmanax; Dofus Pourpre; Dofus Nébuleux; Dofus Ocre; Dofus Vulbis; Siroko</t>
        </is>
      </c>
    </row>
    <row r="16362">
      <c r="A16362" t="inlineStr">
        <is>
          <t>Stuff 2</t>
        </is>
      </c>
      <c r="B16362">
        <f>HYPERLINK("https://www.dofusbook.net/fr/equipement/227126-stuff-2/objets", "link")</f>
        <v/>
      </c>
      <c r="C16362" t="n">
        <v>0</v>
      </c>
      <c r="D16362" t="inlineStr">
        <is>
          <t>Épée Brûlâme; Amulette du Strigide; Alliance Gloursonne; Anneau Tique; Bouclier d'Ilyzaelle; Ceinture du Strigide; Casquette de Meno; Cape de Meno; Bottes du Strigide; Dofus Pourpre; Dofus Ocre; Dolmanax; Dofus Nébuleux; Dofus des Glaces; Dofus Turquoise; Muldo Doré et Emeraude</t>
        </is>
      </c>
    </row>
    <row r="16363">
      <c r="A16363" t="inlineStr">
        <is>
          <t>Stuff 1</t>
        </is>
      </c>
      <c r="B16363">
        <f>HYPERLINK("https://www.dofusbook.net/fr/equipement/918586-stuff-1/objets", "link")</f>
        <v/>
      </c>
      <c r="C16363" t="n">
        <v>0</v>
      </c>
      <c r="D16363" t="inlineStr">
        <is>
          <t>Épée d'Otomaï; Amulette d'Otomaï; Anneau Rifique; Anneau Tique; Quatre-feuilles; Ceinture Séculaire; Coiffe Séculaire; Voile d'encre; Bottes d'Otomaï; Dofus Pourpre; Dofus Nébuleux; Dofus Ocre; Dofus Vulbis; Dofus Turquoise; Astucieux majeur; Brûlih</t>
        </is>
      </c>
    </row>
    <row r="16364">
      <c r="A16364" t="inlineStr">
        <is>
          <t>Stuff 3</t>
        </is>
      </c>
      <c r="B16364">
        <f>HYPERLINK("https://www.dofusbook.net/fr/equipement/227103-stuff-3/objets", "link")</f>
        <v/>
      </c>
      <c r="C16364" t="n">
        <v>0</v>
      </c>
      <c r="D16364" t="inlineStr">
        <is>
          <t>Dagoulinantes; Amulette de l'Œil Attentif; Anneau Glacial; Bracelet des Fonds marins; Quatre-feuilles; Ceinture Glaciale; Capuche de l'Œil Attentif; Cape de l'Œil Attentif; Sandales des Fonds marins; Dofus Vulbis; Dofus Turquoise; Dofus Pourpre; Dofus Ocre; Dofus Nébuleux; Taquin majeur; Dehluge</t>
        </is>
      </c>
    </row>
    <row r="16365">
      <c r="A16365" t="inlineStr">
        <is>
          <t>Stuff 1</t>
        </is>
      </c>
      <c r="B16365">
        <f>HYPERLINK("https://www.dofusbook.net/fr/equipement/2306337-stuff-1/objets", "link")</f>
        <v/>
      </c>
      <c r="C16365" t="n">
        <v>1</v>
      </c>
      <c r="D16365" t="inlineStr">
        <is>
          <t>Sabres d'Atcham; Amulette du Strigide; Bague Trithon; Alliance Gloursonne; Quatre-feuilles; Ceinture du Strigide; Masque Trithon; Cape d'Atcham; Bottes Trithon; Dofus Pourpre; Dofus Ocre; Dolmanax; Dofus Nébuleux; Dofus Vulbis; Dofus Turquoise; Muldo Doré et Emeraude</t>
        </is>
      </c>
    </row>
    <row r="16366">
      <c r="A16366" t="inlineStr">
        <is>
          <t>Stuff 2</t>
        </is>
      </c>
      <c r="B16366">
        <f>HYPERLINK("https://www.dofusbook.net/fr/equipement/227096-stuff-2/objets", "link")</f>
        <v/>
      </c>
      <c r="C16366" t="n">
        <v>0</v>
      </c>
      <c r="D16366" t="inlineStr">
        <is>
          <t>Arc de Koutoulou; Amulette du Strigide; Bracelet du Piloztère; Alliance Gloursonne; Quatre-feuilles; Ceinture du Strigide; Némès de Tal Kasha; Chevelure de Tal Kasha; Sandales de Tal Kasha; Dofus Pourpre; Dofus Ocre; Dolmanax; Dofus Nébuleux; Dofus des Glaces; Dofus Turquoise; Muldo Doré et Emeraude</t>
        </is>
      </c>
    </row>
    <row r="16367">
      <c r="A16367" t="inlineStr">
        <is>
          <t>Stuff 3</t>
        </is>
      </c>
      <c r="B16367">
        <f>HYPERLINK("https://www.dofusbook.net/fr/equipement/2535190-stuff-3/objets", "link")</f>
        <v/>
      </c>
      <c r="C16367" t="n">
        <v>0</v>
      </c>
      <c r="D16367" t="inlineStr">
        <is>
          <t>Dagues d'Ilyzaelle; Amulette du Cœur Saignant; Anneau de Brouce; Alliance de Missiz Frizz; Quatre-feuilles; Ceinture de Brouce; Casque de Missiz Frizz; Cape du Cœur Saignant; Bottes de Brouce; Dofus Turquoise; Dofus Nébuleux; Dofus Ocre; Furibond majeur; Précurseur majeur; Forcené majeur; Muldo Doré et Emeraude</t>
        </is>
      </c>
    </row>
    <row r="16368">
      <c r="A16368" t="inlineStr">
        <is>
          <t>Stuff 3</t>
        </is>
      </c>
      <c r="B16368">
        <f>HYPERLINK("https://www.dofusbook.net/fr/equipement/2535189-stuff-3/objets", "link")</f>
        <v/>
      </c>
      <c r="C16368" t="n">
        <v>1</v>
      </c>
      <c r="D16368" t="inlineStr">
        <is>
          <t>Marteau Phossile; Amulette du Strigide; Anneau de Padgref; Anneau du Cycloïde; Ceinture du Strigide; Coiffe de Padgref; Cape Lati; Bottes du Strigide; Dolmanax; Dofus Nébuleux; Dofus des Glaces; Dofus Turquoise; Dofus Pourpre; Dofus Ocre; Muldo Doré et Emeraude</t>
        </is>
      </c>
    </row>
    <row r="16369">
      <c r="A16369" t="inlineStr">
        <is>
          <t>Stuff 1</t>
        </is>
      </c>
      <c r="B16369">
        <f>HYPERLINK("https://www.dofusbook.net/fr/equipement/227137-stuff-1/objets", "link")</f>
        <v/>
      </c>
      <c r="C16369" t="n">
        <v>0</v>
      </c>
      <c r="D16369" t="inlineStr">
        <is>
          <t>Épée du Granduk; Amulette du Granduk; Gant du Valet Veinard; Anneau d'Allister; Quatre-feuilles; Ceinture de Klime; Masque du Granduk; Cape de Klime; Bottes d'Allister; Dofus Turquoise; Dofus Pourpre; Dofus Nébuleux; Dolmanax; Dofus Ocre; Equilibriste majeur; Siroko</t>
        </is>
      </c>
    </row>
    <row r="16370">
      <c r="A16370" t="inlineStr">
        <is>
          <t>Stuff 2</t>
        </is>
      </c>
      <c r="B16370">
        <f>HYPERLINK("https://www.dofusbook.net/fr/equipement/227138-stuff-2/objets", "link")</f>
        <v/>
      </c>
      <c r="C16370" t="n">
        <v>0</v>
      </c>
      <c r="D16370" t="inlineStr">
        <is>
          <t>Sabres d'Atcham; Amulette du Strigide; Bague Trithon; Alliance Gloursonne; Quatre-feuilles; Ceinture du Strigide; Masque Trithon; Cape d'Atcham; Bottes Trithon; Dofus Pourpre; Dofus Ocre; Dofus des Glaces; Dofus Nébuleux; Dolmanax; Dofus Turquoise; Kramkram</t>
        </is>
      </c>
    </row>
    <row r="16371">
      <c r="A16371" t="inlineStr">
        <is>
          <t>Stuff 3</t>
        </is>
      </c>
      <c r="B16371">
        <f>HYPERLINK("https://www.dofusbook.net/fr/equipement/227151-stuff-3/objets", "link")</f>
        <v/>
      </c>
      <c r="C16371" t="n">
        <v>0</v>
      </c>
      <c r="D16371" t="inlineStr">
        <is>
          <t>Sabres d'Atcham; Amulette du Strigide; Alliance de Missiz Frizz; Bague Trithon; Quatre-feuilles; Ceinture du Strigide; Masque Trithon; Cape d'Atcham; Bottes Trithon; Dolmanax; Dofus Ocre; Dofus des Glaces; Dofus Turquoise; Dofus Pourpre; Dofus Nébuleux; Muldo Doré et Emeraude</t>
        </is>
      </c>
    </row>
    <row r="16372">
      <c r="A16372" t="inlineStr">
        <is>
          <t>Stuff 3</t>
        </is>
      </c>
      <c r="B16372">
        <f>HYPERLINK("https://www.dofusbook.net/fr/equipement/227109-stuff-3/objets", "link")</f>
        <v/>
      </c>
      <c r="C16372" t="n">
        <v>2</v>
      </c>
      <c r="D16372" t="inlineStr">
        <is>
          <t>Sabres d'Atcham; Amulette du Strigide; Alliance Gloursonne; Bague Gloursonne; Quatre-feuilles; Ceinture du Strigide; Le Dorado; Cape d'Atcham; Bottes du Strigide; Dofus Nébuleux; Dofus Pourpre; Dofus Turquoise; Dolmanax; Dofus Vulbis; Muldo Doré et Emeraude</t>
        </is>
      </c>
    </row>
    <row r="16373">
      <c r="A16373" t="inlineStr">
        <is>
          <t>Stuff 1</t>
        </is>
      </c>
      <c r="B16373">
        <f>HYPERLINK("https://www.dofusbook.net/fr/equipement/227098-stuff-1/objets", "link")</f>
        <v/>
      </c>
      <c r="C16373" t="n">
        <v>0</v>
      </c>
      <c r="D16373" t="inlineStr">
        <is>
          <t>Dague Adou; Amulette du Strigide; Bague Gloursonne; Alliance Gloursonne; Quatre-feuilles; Ceinture du Strigide; Némès de Tal Kasha; Chevelure de Tal Kasha; Sandales de Tal Kasha; Dolmanax; Dofus Ocre; Dofus des Glaces; Dofus Turquoise; Dofus Pourpre; Dofus Nébuleux; Muldo Doré et Emeraude</t>
        </is>
      </c>
    </row>
    <row r="16374">
      <c r="A16374" t="inlineStr">
        <is>
          <t>Stuff 2</t>
        </is>
      </c>
      <c r="B16374">
        <f>HYPERLINK("https://www.dofusbook.net/fr/equipement/227099-stuff-2/objets", "link")</f>
        <v/>
      </c>
      <c r="C16374" t="n">
        <v>2</v>
      </c>
      <c r="D16374" t="inlineStr">
        <is>
          <t>Hachoirs de Viandargh; Amulette du Strigide; Bague Trithon; Alliance Gloursonne; Bouclier du Captain Amakna; Ceinture du Strigide; Chapibou; Capibou; Bottes du Strigide; Dolmanax; Dofus Pourpre; Dofus des Glaces; Dofus Ocre; Dofus Nébuleux; Dokoko; Muldo Doré et Emeraude</t>
        </is>
      </c>
    </row>
    <row r="16375">
      <c r="A16375" t="inlineStr">
        <is>
          <t>Stuff 3</t>
        </is>
      </c>
      <c r="B16375">
        <f>HYPERLINK("https://www.dofusbook.net/fr/equipement/227142-stuff-3/objets", "link")</f>
        <v/>
      </c>
      <c r="C16375" t="n">
        <v>0</v>
      </c>
      <c r="D16375" t="inlineStr">
        <is>
          <t>Dagues de Srambad; Amulette de Pol Ouatnos; Alliance Gloursonne; Bague Gloursonne; Ceinture de la Reine des Voleurs; Coiffe de la Reine des Voleurs; Voile d'encre; Bottes de la Reine des Voleurs; Dofus des Glaces; Dofus Ocre; Dofus Nébuleux; Dokoko; Dolmanax; Dofus Pourpre; Kramkram</t>
        </is>
      </c>
    </row>
    <row r="16376">
      <c r="A16376" t="inlineStr">
        <is>
          <t>Stuff 2</t>
        </is>
      </c>
      <c r="B16376">
        <f>HYPERLINK("https://www.dofusbook.net/fr/equipement/1516181-stuff-2/objets", "link")</f>
        <v/>
      </c>
      <c r="C16376" t="n">
        <v>2</v>
      </c>
      <c r="D16376" t="inlineStr">
        <is>
          <t>Héqache; Torquistik; Bague Instable; Bague Trithon; Bouclier précieux; Ceintacé; Casque Dragoeuf; Cape Luminescente; Bottistik; Dofus Émeraude; Dofus Ocre; Carapace Feu majeur; Culbuteur majeur; Carapace Terre majeur; Muldo Ebène et Pourpre</t>
        </is>
      </c>
    </row>
    <row r="16377">
      <c r="A16377" t="inlineStr">
        <is>
          <t>Stuff 2</t>
        </is>
      </c>
      <c r="B16377">
        <f>HYPERLINK("https://www.dofusbook.net/fr/equipement/1513211-stuff-2/objets", "link")</f>
        <v/>
      </c>
      <c r="C16377" t="n">
        <v>0</v>
      </c>
      <c r="D16377" t="inlineStr">
        <is>
          <t>Epée Gloursonne; Amulette du Strigide; Alliance Gloursonne; Bague Gloursonne; Quatre-feuilles; Ceinture du Strigide; Capuche de l'Œil Attentif; Cape de l'Œil Attentif; Bottes du Strigide; Dofus Nébuleux; Dofus Ocre; Dofus Turquoise; Dofus Pourpre; Dofus des Glaces; Muldo Doré et Emeraude</t>
        </is>
      </c>
    </row>
    <row r="16378">
      <c r="A16378" t="inlineStr">
        <is>
          <t>Stuff 1</t>
        </is>
      </c>
      <c r="B16378">
        <f>HYPERLINK("https://www.dofusbook.net/fr/equipement/227149-stuff-1/objets", "link")</f>
        <v/>
      </c>
      <c r="C16378" t="n">
        <v>0</v>
      </c>
      <c r="D16378" t="inlineStr">
        <is>
          <t>Hache du Chalœil; Amulette du Strigide; Bracelet du Piloztère; Bague Trithon; Quatre-feuilles; Ceinture du Strigide; Masque Trithon; Voile d'encre; Bottes du Strigide; Dofus Ocre; Dofus Turquoise; Dofus Pourpre; Dolmanax; Dolmanax; Dofus Nébuleux; Muldo Doré et Emeraude</t>
        </is>
      </c>
    </row>
    <row r="16379">
      <c r="A16379" t="inlineStr">
        <is>
          <t>Stuff 1</t>
        </is>
      </c>
      <c r="B16379">
        <f>HYPERLINK("https://www.dofusbook.net/fr/equipement/810648-stuff-1/objets", "link")</f>
        <v/>
      </c>
      <c r="C16379" t="n">
        <v>0</v>
      </c>
      <c r="D16379" t="inlineStr">
        <is>
          <t>Hache du Chalœil; Amulette du Strigide; Alliance de Missiz Frizz; Anneau de Padgref; Quatre-feuilles; Ceinture du Strigide; Coiffe de Padgref; Dofusteuse; Bottes du Strigide; Dofus des Glaces; Dofus Turquoise; Dofus Pourpre; Dolmanax; Dofus Nébuleux; Dofus Ocre; Muldo Doré et Emeraude</t>
        </is>
      </c>
    </row>
    <row r="16380">
      <c r="A16380" t="inlineStr">
        <is>
          <t>Stuff 3</t>
        </is>
      </c>
      <c r="B16380">
        <f>HYPERLINK("https://www.dofusbook.net/fr/equipement/1796167-stuff-3/objets", "link")</f>
        <v/>
      </c>
      <c r="C16380" t="n">
        <v>4</v>
      </c>
      <c r="D16380" t="inlineStr">
        <is>
          <t>Dagoulinantes; Amulette de l'Œil Attentif; Anneau Glacial; Bracelet des Fonds marins; Quatre-feuilles; Ceinture Glaciale; Capuche de l'Œil Attentif; Cape de l'Œil Attentif; Sandales des Fonds marins; Dofus Vulbis; Dofus Turquoise; Dofus Pourpre; Dofus Ocre; Dofus Nébuleux; Taquin majeur; Dehluge</t>
        </is>
      </c>
    </row>
    <row r="16381">
      <c r="A16381" t="inlineStr">
        <is>
          <t>Stuff 3</t>
        </is>
      </c>
      <c r="B16381">
        <f>HYPERLINK("https://www.dofusbook.net/fr/equipement/1314418-stuff-3/objets", "link")</f>
        <v/>
      </c>
      <c r="C16381" t="n">
        <v>2</v>
      </c>
      <c r="D16381" t="inlineStr">
        <is>
          <t>Dagoulinantes; Amulette de Danathor; Bracelet des Fonds marins; Anneau Glacial; Quatre-feuilles; Ceinture de Danathor; Coiffe de Danathor; Cape Glaciale; Sandales des Fonds marins; Dofus Nébuleux; Dofus Vulbis; Dofus Turquoise; Dofus Pourpre; Dofus Ocre; Taquin majeur; Dehluge</t>
        </is>
      </c>
    </row>
    <row r="16382">
      <c r="A16382" t="inlineStr">
        <is>
          <t>Stuff 2</t>
        </is>
      </c>
      <c r="B16382">
        <f>HYPERLINK("https://www.dofusbook.net/fr/equipement/227129-stuff-2/objets", "link")</f>
        <v/>
      </c>
      <c r="C16382" t="n">
        <v>0</v>
      </c>
      <c r="D16382" t="inlineStr">
        <is>
          <t>Dagoulinantes; Amulette de Danathor; Bracelet des Fonds marins; Anneau Glacial; Quatre-feuilles; Ceinture de Danathor; Coiffe de Danathor; Cape Glaciale; Sandales des Fonds marins; Dofus Pourpre; Dofus Ocre; Dofus Nébuleux; Dofus Vulbis; Dofus Turquoise; Taquin majeur; Dehluge</t>
        </is>
      </c>
    </row>
    <row r="16383">
      <c r="A16383" t="inlineStr">
        <is>
          <t>Stuff 2</t>
        </is>
      </c>
      <c r="B16383">
        <f>HYPERLINK("https://www.dofusbook.net/fr/equipement/227117-stuff-2/objets", "link")</f>
        <v/>
      </c>
      <c r="C16383" t="n">
        <v>3</v>
      </c>
      <c r="D16383" t="inlineStr">
        <is>
          <t>Dagues d'Ilyzaelle; Amulette du Strigide; Bague Gloursonne; Alliance de Missiz Frizz; Bouclier du Captain Amakna; Ceinture de la Cour Sombre; Casque de Missiz Frizz; Cape de la Cour Sombre; Bottes de la Cour Sombre; Dofus Turquoise; Dofus Pourpre; Dofus Nébuleux; Dofus Vulbis; Dofus Ocre; Forcené majeur; Kompost</t>
        </is>
      </c>
    </row>
    <row r="16384">
      <c r="A16384" t="inlineStr">
        <is>
          <t>Stuff 2</t>
        </is>
      </c>
      <c r="B16384">
        <f>HYPERLINK("https://www.dofusbook.net/fr/equipement/1509418-stuff-2/objets", "link")</f>
        <v/>
      </c>
      <c r="C16384" t="n">
        <v>1</v>
      </c>
      <c r="D16384" t="inlineStr">
        <is>
          <t>Arc du Chalœil; Amulette du Strigide; Anneau de Brouce; Alliance de Missiz Frizz; Quatre-feuilles; Ceinture de Brouce; Casque de Missiz Frizz; Cape au Logis; Bottes de Brouce; Dofus Pourpre; Dofus Ocre; Dofus Turquoise; Dofus Nébuleux; Dofus Vulbis; Forcené majeur; Kompost</t>
        </is>
      </c>
    </row>
    <row r="16385">
      <c r="A16385" t="inlineStr">
        <is>
          <t>Stuff 2</t>
        </is>
      </c>
      <c r="B16385">
        <f>HYPERLINK("https://www.dofusbook.net/fr/equipement/227123-stuff-2/objets", "link")</f>
        <v/>
      </c>
      <c r="C16385" t="n">
        <v>1</v>
      </c>
      <c r="D16385" t="inlineStr">
        <is>
          <t>Hache du Chalœil; Talisman Glouti; Anneau Tique; Pikano; Bouclier cubiste; Ceinture du Strigide; Dorabysses; Voile d'encre; Bottes du Strigide; Dofus Pourpre; Dofus Ocre; Dofus Nébuleux; Dolmanax; Dofus Turquoise; Muldo Doré et Emeraude</t>
        </is>
      </c>
    </row>
    <row r="16386">
      <c r="A16386" t="inlineStr">
        <is>
          <t>Stuff 1</t>
        </is>
      </c>
      <c r="B16386">
        <f>HYPERLINK("https://www.dofusbook.net/fr/equipement/227122-stuff-1/objets", "link")</f>
        <v/>
      </c>
      <c r="C16386" t="n">
        <v>0</v>
      </c>
      <c r="D16386" t="inlineStr">
        <is>
          <t>Dagoulinantes; Amulette de Danathor; Anneau Glacial; Bracelet des Fonds marins; Quatre-feuilles; Ceinture de Danathor; Coiffe de Danathor; Cape Glaciale; Bottes de Meno; Dofus Vulbis; Dofus Turquoise; Dofus Pourpre; Dofus Ocre; Dofus Nébuleux; Taquin majeur; Dehluge</t>
        </is>
      </c>
    </row>
    <row r="16387">
      <c r="A16387" t="inlineStr">
        <is>
          <t>Stuff 1</t>
        </is>
      </c>
      <c r="B16387">
        <f>HYPERLINK("https://www.dofusbook.net/fr/equipement/227134-stuff-1/objets", "link")</f>
        <v/>
      </c>
      <c r="C16387" t="n">
        <v>2</v>
      </c>
      <c r="D16387" t="inlineStr">
        <is>
          <t>Épée du Granduk; Amulette du Granduk; Gant du Valet Veinard; Anneau d'Allister; Quatre-feuilles; Ceinture de Klime; Couronne d'Allister; Cape de Klime; Bottes d'Allister; Dofus Turquoise; Dofus Vulbis; Dofus Pourpre; Dofus Nébuleux; Dofus Ocre; Equilibriste majeur; Siroko</t>
        </is>
      </c>
    </row>
    <row r="16388">
      <c r="A16388" t="inlineStr">
        <is>
          <t>Stuff 1</t>
        </is>
      </c>
      <c r="B16388">
        <f>HYPERLINK("https://www.dofusbook.net/fr/equipement/1618758-stuff-1/objets", "link")</f>
        <v/>
      </c>
      <c r="C16388" t="n">
        <v>3</v>
      </c>
      <c r="D16388" t="inlineStr">
        <is>
          <t>Baguette Range; Amulette du Strigide; Anneau de Padgref; Bracelet du Piloztère; Quatre-feuilles; Ceinture du Strigide; Coiffe de Padgref; Cape Lati; Getas de Padgref; Dofus Nébuleux; Dofus Ocre; Dofus Vulbis; Dofus Turquoise; Dofus Pourpre; Muldo Doré et Emeraude</t>
        </is>
      </c>
    </row>
    <row r="16389">
      <c r="A16389" t="inlineStr">
        <is>
          <t>Stuff 2</t>
        </is>
      </c>
      <c r="B16389">
        <f>HYPERLINK("https://www.dofusbook.net/fr/equipement/227111-stuff-2/objets", "link")</f>
        <v/>
      </c>
      <c r="C16389" t="n">
        <v>5</v>
      </c>
      <c r="D16389" t="inlineStr">
        <is>
          <t>Baguette Range; Amulette du Strigide; Bracelet du Piloztère; Anneau de Padgref; Quatre-feuilles; Ceinture du Strigide; Coiffe de Padgref; Cape d'Atcham; Getas de Padgref; Dofus des Glaces; Dolmanax; Dofus Nébuleux; Dofus Turquoise; Dofus Pourpre; Dofus Ocre; Muldo Doré et Emeraude</t>
        </is>
      </c>
    </row>
    <row r="16390">
      <c r="A16390" t="inlineStr">
        <is>
          <t>Stuff 3</t>
        </is>
      </c>
      <c r="B16390">
        <f>HYPERLINK("https://www.dofusbook.net/fr/equipement/227112-stuff-3/objets", "link")</f>
        <v/>
      </c>
      <c r="C16390" t="n">
        <v>4</v>
      </c>
      <c r="D16390" t="inlineStr">
        <is>
          <t>Sabres d'Atcham; Amulette du Strigide; Alliance Gloursonne; Bague Gloursonne; Quatre-feuilles; Ceinture du Strigide; Le Dorado; Cape d'Atcham; Sandales  d'Atcham; Dofus Pourpre; Dofus des Glaces; Dolmanax; Dofus Nébuleux; Dofus Turquoise; Puissant majeur; Muldo Doré et Emeraude</t>
        </is>
      </c>
    </row>
    <row r="16391">
      <c r="A16391" t="inlineStr">
        <is>
          <t>Stuff 1</t>
        </is>
      </c>
      <c r="B16391">
        <f>HYPERLINK("https://www.dofusbook.net/fr/equipement/913550-stuff-1/objets", "link")</f>
        <v/>
      </c>
      <c r="C16391" t="n">
        <v>1</v>
      </c>
      <c r="D16391" t="inlineStr">
        <is>
          <t>Baguette Range; Amulette du Strigide; Anneau de Padgref; Anneau du Cycloïde; Ceinture du Strigide; Coiffe de Padgref; Cape Lati; Getas de Padgref; Dofus des Glaces; Dofus Turquoise; Dofus Pourpre; Dofus Nébuleux; Dolmanax; Dofus Ocre; Muldo Doré et Emeraude</t>
        </is>
      </c>
    </row>
    <row r="16392">
      <c r="A16392" t="inlineStr">
        <is>
          <t>Stuff 2</t>
        </is>
      </c>
      <c r="B16392">
        <f>HYPERLINK("https://www.dofusbook.net/fr/equipement/640220-stuff-2/objets", "link")</f>
        <v/>
      </c>
      <c r="C16392" t="n">
        <v>2</v>
      </c>
      <c r="D16392" t="inlineStr">
        <is>
          <t>Dague Adou; Amulette du Strigide; Alliance Gloursonne; Bracelet du Piloztère; Bouclier du Captain Amakna; Ceinture du Strigide; Némès de Tal Kasha; Chevelure de Tal Kasha; Sandales de Tal Kasha; Dofus des Glaces; Dofus Turquoise; Dofus Pourpre; Dofus Ocre; Dolmanax; Dofus Nébuleux; Muldo Doré et Emeraude</t>
        </is>
      </c>
    </row>
    <row r="16393">
      <c r="A16393" t="inlineStr">
        <is>
          <t>Stuff 1</t>
        </is>
      </c>
      <c r="B16393">
        <f>HYPERLINK("https://www.dofusbook.net/fr/equipement/227119-stuff-1/objets", "link")</f>
        <v/>
      </c>
      <c r="C16393" t="n">
        <v>1</v>
      </c>
      <c r="D16393" t="inlineStr">
        <is>
          <t>Dague Adou; Amulette du Strigide; Alliance Gloursonne; Bague Gloursonne; Ceinture du Strigide; Le Dorado; Cape d'Atcham; Bottes du Strigide; Dofus Pourpre; Dolmanax; Dofus Nébuleux; Dofus des Glaces; Dofus Turquoise; Puissant majeur; Muldo Doré et Emeraude</t>
        </is>
      </c>
    </row>
    <row r="16394">
      <c r="A16394" t="inlineStr">
        <is>
          <t>Stuff 2</t>
        </is>
      </c>
      <c r="B16394">
        <f>HYPERLINK("https://www.dofusbook.net/fr/equipement/227132-stuff-2/objets", "link")</f>
        <v/>
      </c>
      <c r="C16394" t="n">
        <v>0</v>
      </c>
      <c r="D16394" t="inlineStr">
        <is>
          <t>Hache du Chalœil; Amulette du Strigide; Bague Gloursonne; Alliance de Missiz Frizz; Ceinture du Strigide; Casque de Missiz Frizz; Dofusteuse; Bottes du Strigide; Dofus des Glaces; Dofus Ocre; Dofus Abyssal; Dofus Turquoise; Dolmanax; Dofus Pourpre; Muldo Doré et Emeraude</t>
        </is>
      </c>
    </row>
    <row r="16395">
      <c r="A16395" t="inlineStr">
        <is>
          <t>Stuff 1</t>
        </is>
      </c>
      <c r="B16395">
        <f>HYPERLINK("https://www.dofusbook.net/fr/equipement/227131-stuff-1/objets", "link")</f>
        <v/>
      </c>
      <c r="C16395" t="n">
        <v>0</v>
      </c>
      <c r="D16395" t="inlineStr">
        <is>
          <t>Hache du Chalœil; Amulette du Strigide; Bague Trithon; Alliance de Missiz Frizz; Quatre-feuilles; Ceinture du Strigide; Masque Trithon; Dofusteuse; Bottes Trithon; Dolmanax; Dofus Abyssal; Dofus Pourpre; Dofus Turquoise; Dofus des Glaces; Dofus Ocre; Muldo Doré et Emeraude</t>
        </is>
      </c>
    </row>
    <row r="16396">
      <c r="A16396" t="inlineStr">
        <is>
          <t>Stuff 1</t>
        </is>
      </c>
      <c r="B16396">
        <f>HYPERLINK("https://www.dofusbook.net/fr/equipement/227143-stuff-1/objets", "link")</f>
        <v/>
      </c>
      <c r="C16396" t="n">
        <v>0</v>
      </c>
      <c r="D16396" t="inlineStr">
        <is>
          <t>Sabres d'Atcham; Amulette du Strigide; Alliance Gloursonne; Bague Gloursonne; Ceinture du Strigide; Le Dorado; Cape d'Atcham; Bottes du Strigide; Dolmanax; Dofus Nébuleux; Dofus des Glaces; Dofus Turquoise; Dofus Pourpre; Puissant majeur; Muldo Doré</t>
        </is>
      </c>
    </row>
    <row r="16397">
      <c r="A16397" t="inlineStr">
        <is>
          <t>Stuff 1</t>
        </is>
      </c>
      <c r="B16397">
        <f>HYPERLINK("https://www.dofusbook.net/fr/equipement/227110-stuff-1/objets", "link")</f>
        <v/>
      </c>
      <c r="C16397" t="n">
        <v>4</v>
      </c>
      <c r="D16397" t="inlineStr">
        <is>
          <t>Manthache; Collier du Valet Veinard; Gant du Valet Veinard; Alliance Gloursonne; Menoture; Dorabysses; Cape Indescriptible; Palmes Trithons; Dofus Pourpre; Dofus Ocre; Dolmanax; Dofus Nébuleux; Cascadeur majeur; Vigoureux majeur; Muldo Ebène et Pourpre</t>
        </is>
      </c>
    </row>
    <row r="16398">
      <c r="A16398" t="inlineStr">
        <is>
          <t>Stuff 2</t>
        </is>
      </c>
      <c r="B16398">
        <f>HYPERLINK("https://www.dofusbook.net/fr/equipement/227105-stuff-2/objets", "link")</f>
        <v/>
      </c>
      <c r="C16398" t="n">
        <v>0</v>
      </c>
      <c r="D16398" t="inlineStr">
        <is>
          <t>Arc du Chalœil; Amulette de Gein; Bague Gloursonne; Anneau de Brouce; Ceinture de la Reine des Voleurs; Coiffe de la Reine des Voleurs; Cape au Logis; Baleinabottes; Dofus Turquoise; Dofus Émeraude; Enragé majeur; Remueur; Vigoureux majeur; Miraculé majeur; Péki</t>
        </is>
      </c>
    </row>
    <row r="16399">
      <c r="A16399" t="inlineStr">
        <is>
          <t>Stuff 2</t>
        </is>
      </c>
      <c r="B16399">
        <f>HYPERLINK("https://www.dofusbook.net/fr/equipement/227150-stuff-2/objets", "link")</f>
        <v/>
      </c>
      <c r="C16399" t="n">
        <v>1</v>
      </c>
      <c r="D16399" t="inlineStr">
        <is>
          <t>Sabres d'Atcham; Amulette du Strigide; Alliance Gloursonne; Bague Trithon; Quatre-feuilles; Ceinture du Strigide; Masque Trithon; Cape d'Atcham; Bottes Trithon; Dofus Pourpre; Dofus Ocre; Dolmanax; Dofus Nébuleux; Dofus des Glaces; Dofus Turquoise; Muldo Doré et Emeraude</t>
        </is>
      </c>
    </row>
    <row r="16400">
      <c r="A16400" t="inlineStr">
        <is>
          <t>Stuff 3</t>
        </is>
      </c>
      <c r="B16400">
        <f>HYPERLINK("https://www.dofusbook.net/fr/equipement/227145-stuff-3/objets", "link")</f>
        <v/>
      </c>
      <c r="C16400" t="n">
        <v>0</v>
      </c>
      <c r="D16400" t="inlineStr">
        <is>
          <t>Arc du Chalœil; Amulette du Strigide; Alliance de Missiz Frizz; Bague Gloursonne; Ceintacé; Coiffe de la Reine des Voleurs; Cape au Logis; Bottes du Strigide; Dofus Pourpre; Dofus Nébuleux; Dofus Turquoise; Enragé majeur; Remueur; Vigoureux majeur; Kramkram</t>
        </is>
      </c>
    </row>
    <row r="16401">
      <c r="A16401" t="inlineStr">
        <is>
          <t>Stuff 3</t>
        </is>
      </c>
      <c r="B16401">
        <f>HYPERLINK("https://www.dofusbook.net/fr/equipement/227163-stuff-3/objets", "link")</f>
        <v/>
      </c>
      <c r="C16401" t="n">
        <v>0</v>
      </c>
      <c r="D16401" t="inlineStr">
        <is>
          <t>Sabres d'Atcham; Amulette du Strigide; Alliance Gloursonne; Bague Gloursonne; Ceinture du Strigide; Le Dorado; Cape d'Atcham; Bottes du Strigide; Dofus Pourpre; Dolmanax; Dofus Nébuleux; Dofus des Glaces; Dofus Turquoise; Muldo Doré et Emeraude</t>
        </is>
      </c>
    </row>
    <row r="16402">
      <c r="A16402" t="inlineStr">
        <is>
          <t>Stuff 1</t>
        </is>
      </c>
      <c r="B16402">
        <f>HYPERLINK("https://www.dofusbook.net/fr/equipement/227152-stuff-1/objets", "link")</f>
        <v/>
      </c>
      <c r="C16402" t="n">
        <v>0</v>
      </c>
      <c r="D16402" t="inlineStr">
        <is>
          <t>Sabres d'Atcham; Amulette du Strigide; Bague Gloursonne; Alliance Gloursonne; Ceinture du Strigide; Maskrobe; Cape d'Atcham; Bottes du Strigide; Dofus Pourpre; Dofus Ocre; Dolmanax; Dofus Nébuleux; Dofus des Glaces; Dofus Turquoise; Kramkram</t>
        </is>
      </c>
    </row>
    <row r="16403">
      <c r="A16403" t="inlineStr">
        <is>
          <t>Stuff 3</t>
        </is>
      </c>
      <c r="B16403">
        <f>HYPERLINK("https://www.dofusbook.net/fr/equipement/227136-stuff-3/objets", "link")</f>
        <v/>
      </c>
      <c r="C16403" t="n">
        <v>2</v>
      </c>
      <c r="D16403" t="inlineStr">
        <is>
          <t>Arc du Chalœil; Amulette de Gein; Anneau de Brouce; Alliance de Missiz Frizz; Ceinture de Brouce; Chapeau de Gein; Cape au Logis; Bottes de Brouce; Dofus Pourpre; Dofus Ocre; Dofus Nébuleux; Dofus Turquoise; Forcené majeur; Furibond majeur; Kompost</t>
        </is>
      </c>
    </row>
    <row r="16404">
      <c r="A16404" t="inlineStr">
        <is>
          <t>Stuff 2</t>
        </is>
      </c>
      <c r="B16404">
        <f>HYPERLINK("https://www.dofusbook.net/fr/equipement/227160-stuff-2/objets", "link")</f>
        <v/>
      </c>
      <c r="C16404" t="n">
        <v>0</v>
      </c>
      <c r="D16404" t="inlineStr">
        <is>
          <t>Dagues Imauve; Amulette du K.O.; Anneau Bliteré; Infernano; Slip Iholo; Chapeau de Dremoan; Cape de Dremoan; Pantoufles de Soissanth; Dofus Nébuleux; Dofus Turquoise; Dofus Ocre; Nomade; Érudit majeur; Remueur; Muldo Doré</t>
        </is>
      </c>
    </row>
    <row r="16405">
      <c r="A16405" t="inlineStr">
        <is>
          <t>Stuff 2</t>
        </is>
      </c>
      <c r="B16405">
        <f>HYPERLINK("https://www.dofusbook.net/fr/equipement/227120-stuff-2/objets", "link")</f>
        <v/>
      </c>
      <c r="C16405" t="n">
        <v>1</v>
      </c>
      <c r="D16405" t="inlineStr">
        <is>
          <t>Collier du Valet Veinard; Gant du Valet Veinard; Menoture; Masque du Barbétoal; Sandales de Tal Kasha; Dofus Pourpre; Dofus Ocre; Dolmanax; Nomade; Vigoureux majeur; Étourdisseur majeur; Kramkram</t>
        </is>
      </c>
    </row>
    <row r="16406">
      <c r="A16406" t="inlineStr">
        <is>
          <t>Stuff 1</t>
        </is>
      </c>
      <c r="B16406">
        <f>HYPERLINK("https://www.dofusbook.net/fr/equipement/227143-stuff-1/objets", "link")</f>
        <v/>
      </c>
      <c r="C16406" t="n">
        <v>0</v>
      </c>
      <c r="D16406" t="inlineStr">
        <is>
          <t>Sabres d'Atcham; Amulette du Strigide; Alliance Gloursonne; Bague Gloursonne; Ceinture du Strigide; Le Dorado; Cape d'Atcham; Bottes du Strigide; Dofus Pourpre; Dolmanax; Dofus Nébuleux; Dofus des Glaces; Dofus Turquoise; Puissant majeur; Muldo Doré</t>
        </is>
      </c>
    </row>
    <row r="16407">
      <c r="A16407" t="inlineStr">
        <is>
          <t>Stuff 1</t>
        </is>
      </c>
      <c r="B16407">
        <f>HYPERLINK("https://www.dofusbook.net/fr/equipement/227110-stuff-1/objets", "link")</f>
        <v/>
      </c>
      <c r="C16407" t="n">
        <v>4</v>
      </c>
      <c r="D16407" t="inlineStr">
        <is>
          <t>Manthache; Collier du Valet Veinard; Alliance Gloursonne; Gant du Valet Veinard; Menoture; Dorabysses; Cape Indescriptible; Palmes Trithons; Dofus Nébuleux; Dofus Pourpre; Dofus Ocre; Dolmanax; Vigoureux majeur; Cascadeur majeur; Muldo Ebène et Pourpre</t>
        </is>
      </c>
    </row>
    <row r="16408">
      <c r="A16408" t="inlineStr">
        <is>
          <t>Stuff 2</t>
        </is>
      </c>
      <c r="B16408">
        <f>HYPERLINK("https://www.dofusbook.net/fr/equipement/227105-stuff-2/objets", "link")</f>
        <v/>
      </c>
      <c r="C16408" t="n">
        <v>0</v>
      </c>
      <c r="D16408" t="inlineStr">
        <is>
          <t>Arc du Chalœil; Amulette de Gein; Anneau de Brouce; Bague Gloursonne; Ceinture de la Reine des Voleurs; Coiffe de la Reine des Voleurs; Cape au Logis; Baleinabottes; Dofus Émeraude; Dofus Turquoise; Miraculé majeur; Enragé majeur; Remueur; Vigoureux majeur; Péki</t>
        </is>
      </c>
    </row>
    <row r="16409">
      <c r="A16409" t="inlineStr">
        <is>
          <t>Stuff 2</t>
        </is>
      </c>
      <c r="B16409">
        <f>HYPERLINK("https://www.dofusbook.net/fr/equipement/227150-stuff-2/objets", "link")</f>
        <v/>
      </c>
      <c r="C16409" t="n">
        <v>1</v>
      </c>
      <c r="D16409" t="inlineStr">
        <is>
          <t>Sabres d'Atcham; Amulette du Strigide; Alliance Gloursonne; Bague Trithon; Quatre-feuilles; Ceinture du Strigide; Masque Trithon; Cape d'Atcham; Bottes Trithon; Dofus des Glaces; Dofus Turquoise; Dofus Pourpre; Dofus Ocre; Dolmanax; Dofus Nébuleux; Muldo Doré et Emeraude</t>
        </is>
      </c>
    </row>
    <row r="16410">
      <c r="A16410" t="inlineStr">
        <is>
          <t>Stuff 3</t>
        </is>
      </c>
      <c r="B16410">
        <f>HYPERLINK("https://www.dofusbook.net/fr/equipement/227145-stuff-3/objets", "link")</f>
        <v/>
      </c>
      <c r="C16410" t="n">
        <v>0</v>
      </c>
      <c r="D16410" t="inlineStr">
        <is>
          <t>Arc du Chalœil; Amulette du Strigide; Alliance de Missiz Frizz; Bague Gloursonne; Ceintacé; Coiffe de la Reine des Voleurs; Cape au Logis; Bottes du Strigide; Dofus Pourpre; Dofus Nébuleux; Dofus Turquoise; Enragé majeur; Remueur; Vigoureux majeur; Kramkram</t>
        </is>
      </c>
    </row>
    <row r="16411">
      <c r="A16411" t="inlineStr">
        <is>
          <t>Stuff 3</t>
        </is>
      </c>
      <c r="B16411">
        <f>HYPERLINK("https://www.dofusbook.net/fr/equipement/227163-stuff-3/objets", "link")</f>
        <v/>
      </c>
      <c r="C16411" t="n">
        <v>0</v>
      </c>
      <c r="D16411" t="inlineStr">
        <is>
          <t>Sabres d'Atcham; Amulette du Strigide; Alliance Gloursonne; Bague Gloursonne; Ceinture du Strigide; Le Dorado; Cape d'Atcham; Bottes du Strigide; Dofus des Glaces; Dofus Turquoise; Dofus Pourpre; Dolmanax; Dofus Nébuleux; Muldo Doré et Emeraude</t>
        </is>
      </c>
    </row>
    <row r="16412">
      <c r="A16412" t="inlineStr">
        <is>
          <t>Stuff 1</t>
        </is>
      </c>
      <c r="B16412">
        <f>HYPERLINK("https://www.dofusbook.net/fr/equipement/227152-stuff-1/objets", "link")</f>
        <v/>
      </c>
      <c r="C16412" t="n">
        <v>0</v>
      </c>
      <c r="D16412" t="inlineStr">
        <is>
          <t>Sabres d'Atcham; Amulette du Strigide; Alliance Gloursonne; Bague Gloursonne; Ceinture du Strigide; Maskrobe; Cape d'Atcham; Bottes du Strigide; Dofus Pourpre; Dofus Ocre; Dolmanax; Dofus Nébuleux; Dofus des Glaces; Dofus Turquoise; Kramkram</t>
        </is>
      </c>
    </row>
    <row r="16413">
      <c r="A16413" t="inlineStr">
        <is>
          <t>Stuff 3</t>
        </is>
      </c>
      <c r="B16413">
        <f>HYPERLINK("https://www.dofusbook.net/fr/equipement/227136-stuff-3/objets", "link")</f>
        <v/>
      </c>
      <c r="C16413" t="n">
        <v>2</v>
      </c>
      <c r="D16413" t="inlineStr">
        <is>
          <t>Arc du Chalœil; Amulette de Gein; Alliance de Missiz Frizz; Anneau de Brouce; Ceinture de Brouce; Chapeau de Gein; Cape au Logis; Bottes de Brouce; Dofus Pourpre; Dofus Ocre; Dofus Nébuleux; Dofus Turquoise; Forcené majeur; Furibond majeur; Kompost</t>
        </is>
      </c>
    </row>
    <row r="16414">
      <c r="A16414" t="inlineStr">
        <is>
          <t>Stuff 1</t>
        </is>
      </c>
      <c r="B16414">
        <f>HYPERLINK("https://www.dofusbook.net/fr/equipement/227101-stuff-1/objets", "link")</f>
        <v/>
      </c>
      <c r="C16414" t="n">
        <v>0</v>
      </c>
      <c r="D16414" t="inlineStr">
        <is>
          <t>La Baguette des Limbes; Amulette du K.O.; Anneau Bliteré; Infernano; Slip Noze; Chapeau de Dremoan; Cape de Dremoan; Pantoufles de Soissanth; Dofus Nébuleux; Dofus Turquoise; Dofus Pourpre; Nomade; Guérisseur majeur; Remueur; Brûlih</t>
        </is>
      </c>
    </row>
    <row r="16415">
      <c r="A16415" t="inlineStr">
        <is>
          <t>Panda tacle</t>
        </is>
      </c>
      <c r="B16415">
        <f>HYPERLINK("https://www.dofusbook.net/fr/equipement/1052244-panda-tacle/objets", "link")</f>
        <v/>
      </c>
      <c r="C16415" t="n">
        <v>21</v>
      </c>
      <c r="D16415" t="inlineStr">
        <is>
          <t>Rouleau à Pâtisserie d'Aermyne; Amulette du Strigide; Alliance Gloursonne; Anneau Tique; Sept ans de malheur; Ceinture de Kongoku; Dorabysses; Cape Matelassée; Pataugastrique; Dofus Ivoire; Dofus Émeraude; Remueur; Bloqueur majeur; Miraculé majeur; Obstructeur majeur; Muldo Roux et Pourpre</t>
        </is>
      </c>
    </row>
    <row r="16416">
      <c r="A16416" t="inlineStr">
        <is>
          <t>DO FEU RALL FULL MENO</t>
        </is>
      </c>
      <c r="B16416">
        <f>HYPERLINK("https://www.dofusbook.net/fr/equipement/4329137-do-feu-rall-full-meno/objets", "link")</f>
        <v/>
      </c>
      <c r="C16416" t="n">
        <v>0</v>
      </c>
      <c r="D16416" t="inlineStr">
        <is>
          <t>Arc Honte; Collier de la Dame du Hasard; Anneau Tamie; Anneau Tamie; Bouclier cubiste; Ceinture de Kongoku; Casquette de Meno; Cape de Meno; Bottes de Meno; Dofus Ocre; Ralentisseur majeur; Entraveur majeur; Volkorne Turquoise et Orchidée</t>
        </is>
      </c>
    </row>
    <row r="16417">
      <c r="A16417" t="inlineStr">
        <is>
          <t>Arc Volkorne</t>
        </is>
      </c>
      <c r="B16417">
        <f>HYPERLINK("https://www.dofusbook.net/fr/equipement/1358111-arc-volkorne/objets", "link")</f>
        <v/>
      </c>
      <c r="C16417" t="n">
        <v>17</v>
      </c>
      <c r="D16417" t="inlineStr">
        <is>
          <t>Baguette Range; Amulette du Strigide; Bracelet du Piloztère; Anneau de Padgref; Quatre-feuilles; Ceinture du Strigide; Coiffe de Padgref; Cape de Jahash Jurgen; Getas de Padgref; Dofus des Glaces; Dofus Turquoise; Dofus Pourpre; Dofus Ocre; Dofus Nébuleux; Dolmanax; Kokulte</t>
        </is>
      </c>
    </row>
    <row r="16418">
      <c r="A16418" t="inlineStr">
        <is>
          <t>Kush</t>
        </is>
      </c>
      <c r="B16418">
        <f>HYPERLINK("https://www.dofusbook.net/fr/equipement/4238733-kush/objets", "link")</f>
        <v/>
      </c>
      <c r="C16418" t="n">
        <v>0</v>
      </c>
      <c r="D16418" t="inlineStr">
        <is>
          <t>Arc corrompu; Amulette Séculaire; Anneauræus; Anneau Toriété; Bouclier du Stalak; Ceinture Séculaire; Coiffe Séculaire; Cape de Diondin; Bottes Innommables; Dolmanax; Dofus des Glaces; Dofus Pourpre; Dofus Nébuleux; Dofus Ocre; Astucieux majeur; Bisouglours</t>
        </is>
      </c>
    </row>
    <row r="16419">
      <c r="A16419" t="inlineStr">
        <is>
          <t>multi 200</t>
        </is>
      </c>
      <c r="B16419">
        <f>HYPERLINK("https://www.dofusbook.net/fr/equipement/4004697-multi-200/objets", "link")</f>
        <v/>
      </c>
      <c r="C16419" t="n">
        <v>10</v>
      </c>
      <c r="D16419" t="inlineStr">
        <is>
          <t>Arc Volkorne; Amulette Ementaire Deluxe; Bracelet du Piloztère; Anneau Volkorne; Quatre-feuilles; Ceinture du Strigide; Casque Volkorne; Cape du Professeur Xa; Bottes du Strigide; Dolmanax; Dofus des Glaces; Dofus Pourpre; Dofus Ocre; Dofus Nébuleux; Dofus Turquoise; Volkorne Doré et Emeraude</t>
        </is>
      </c>
    </row>
    <row r="16420">
      <c r="A16420" t="inlineStr">
        <is>
          <t>DO FEU RALL</t>
        </is>
      </c>
      <c r="B16420">
        <f>HYPERLINK("https://www.dofusbook.net/fr/equipement/2522042-do-feu-rall/objets", "link")</f>
        <v/>
      </c>
      <c r="C16420" t="n">
        <v>9</v>
      </c>
      <c r="D16420" t="inlineStr">
        <is>
          <t>Arc Honte; Collier de la Dame du Hasard; Anneau Tamie; Anneau Tamie; Bouclier cubiste; Ceinture de Kongoku; Capuche de l'Œil Putride; Cape de Meno; Bottes de Meno; Dofus Ocre; Temporiseur majeur; Remueur; Nomade; Ralentisseur majeur; Entraveur majeur; Volkorne Turquoise et Orchidée</t>
        </is>
      </c>
    </row>
    <row r="16421">
      <c r="A16421" t="inlineStr">
        <is>
          <t>6000init</t>
        </is>
      </c>
      <c r="B16421">
        <f>HYPERLINK("https://www.dofusbook.net/fr/equipement/3963743-6000init/objets", "link")</f>
        <v/>
      </c>
      <c r="C16421" t="n">
        <v>0</v>
      </c>
      <c r="D16421" t="inlineStr">
        <is>
          <t>Marteau des Anciens Steamers; Alliance du Lévitrof; Alliance Gloursonne; Xénature; Kanistère; Les Maidartes; Dolmanax; Fonceur majeur; Précurseur majeur</t>
        </is>
      </c>
    </row>
    <row r="16422">
      <c r="A16422" t="inlineStr">
        <is>
          <t>Stuff 3</t>
        </is>
      </c>
      <c r="B16422">
        <f>HYPERLINK("https://www.dofusbook.net/fr/equipement/195509-stuff-3/objets", "link")</f>
        <v/>
      </c>
      <c r="C16422" t="n">
        <v>5</v>
      </c>
      <c r="D16422" t="inlineStr">
        <is>
          <t>Arc Honte; Collier de la Dame du Hasard; Anneau Tamie; Chevalière du Roi Joueur; Bouclier cubiste; Ceinture de Kongoku; Couronne du Roi Joueur; Cape de Meno; Tongues de Nidas; Dofus Ocre; Temporiseur majeur; Nomade; Remueur; Temporiseur; Entraveur majeur; Gwo Tofu Ventripotent</t>
        </is>
      </c>
    </row>
    <row r="16423">
      <c r="A16423" t="inlineStr">
        <is>
          <t>200 en team</t>
        </is>
      </c>
      <c r="B16423">
        <f>HYPERLINK("https://www.dofusbook.net/fr/equipement/3719199-200-en-team/objets", "link")</f>
        <v/>
      </c>
      <c r="C16423" t="n">
        <v>8</v>
      </c>
      <c r="D16423" t="inlineStr">
        <is>
          <t>Arc Hétype; Amulette Luminescente; Pikano; Anneau de la Fuji Givrefoux; Bouclier cubiste; Ceinture Luminescente; Casquipik; Cape Luminescente; Pikottes; Dofus Pourpre; Dofus Ocre; Dofus Émeraude; Dolmanax; Dofus des Glaces; Entraveur majeur; Muldo Doré et Indigo</t>
        </is>
      </c>
    </row>
    <row r="16424">
      <c r="A16424" t="inlineStr">
        <is>
          <t>AirFeu DoCC</t>
        </is>
      </c>
      <c r="B16424">
        <f>HYPERLINK("https://www.dofusbook.net/fr/equipement/1514367-airfeu-docc/objets", "link")</f>
        <v/>
      </c>
      <c r="C16424" t="n">
        <v>0</v>
      </c>
      <c r="D16424" t="inlineStr">
        <is>
          <t>Arc de Koutoulou; Amulette du Strigide; Anneau de Padgref; Bracelet du Piloztère; Bouclier Taverne; Ceinture du Strigide; Coiffe de Padgref; Cape d'Atcham; Getas de Padgref; Dofus Nébuleux; Dofus Pourpre; Dolmanax; Dofus Ocre; Dofus des Glaces; Dofus Turquoise; Muldo Prune et Emeraude</t>
        </is>
      </c>
    </row>
    <row r="16425">
      <c r="A16425" t="inlineStr">
        <is>
          <t>Drop</t>
        </is>
      </c>
      <c r="B16425">
        <f>HYPERLINK("https://www.dofusbook.net/fr/equipement/3847214-drop/objets", "link")</f>
        <v/>
      </c>
      <c r="C16425" t="n">
        <v>9</v>
      </c>
      <c r="D16425" t="inlineStr">
        <is>
          <t>Arc Hétype; Amulette du Glourséleste; Anneau Tamie; Alliance Gloursonne; Bouclier cubiste; Ceinture Instable; Couronne de Nidas; Cape du Professeur Xa; Pikottes; Dofus des Veilleurs; Dofus Ocre; Temporiseur majeur; Ralentisseur majeur; Temporiseur; Entraveur majeur; Gwo Tofu Ventripotent</t>
        </is>
      </c>
    </row>
    <row r="16426">
      <c r="A16426" t="inlineStr">
        <is>
          <t>full intel</t>
        </is>
      </c>
      <c r="B16426">
        <f>HYPERLINK("https://www.dofusbook.net/fr/equipement/3744330-full-intel/objets", "link")</f>
        <v/>
      </c>
      <c r="C16426" t="n">
        <v>10</v>
      </c>
      <c r="D16426" t="inlineStr">
        <is>
          <t>Arc corrompu; Amulette Volkorne; Anneau Volkorne; Anneau Tamie; Quatre-feuilles; Ceinture Séculaire; Coiffe Séculaire; Cape de Diondin; Bottes Innommables; Dofus Ocre; Dofus Turquoise; Dolmanax; Dofus des Glaces; Dofus Pourpre; Dofus Nébuleux; Muldo Prune et Doré</t>
        </is>
      </c>
    </row>
    <row r="16427">
      <c r="A16427" t="inlineStr">
        <is>
          <t>Sram F 200</t>
        </is>
      </c>
      <c r="B16427">
        <f>HYPERLINK("https://www.dofusbook.net/fr/equipement/3739933-sram-f-200/objets", "link")</f>
        <v/>
      </c>
      <c r="C16427" t="n">
        <v>13</v>
      </c>
      <c r="D16427" t="inlineStr">
        <is>
          <t>Dagues d'Ilyzaelle; Collier de Tourthon; Anneau Volkorne; Anneau du Comte Harebourg; Bouclier Taverne; Ceinture Volkorne; Coiffe du Comte Harebourg; Cape au Logis; Bottes du Comte Harebourg; Dolmanax; Dofus Pourpre; Dofus Nébuleux; Dofus Turquoise; Dofus Abyssal; Forcené majeur; Volkorne Doré et Pourpre</t>
        </is>
      </c>
    </row>
    <row r="16428">
      <c r="A16428" t="inlineStr">
        <is>
          <t>Sadi force crit</t>
        </is>
      </c>
      <c r="B16428">
        <f>HYPERLINK("https://www.dofusbook.net/fr/equipement/3732195-sadi-force-crit/objets", "link")</f>
        <v/>
      </c>
      <c r="C16428" t="n">
        <v>2</v>
      </c>
      <c r="D16428" t="inlineStr">
        <is>
          <t>Arc du Chalœil; Amulette du Cœur Saignant; Anneau en Grithril; Bracelet du Piloztère; Quatre-feuilles; Ceinture en Grithril; Casque en Grithril; Cape du Cœur Saignant; Bottes du Cœur Saignant; Dofus Pourpre; Dofus Nébuleux; Dolmanax; Dofus Ocre; Dofus Turquoise; Dofus des Glaces; Muldo Prune et Doré</t>
        </is>
      </c>
    </row>
    <row r="16429">
      <c r="A16429" t="inlineStr">
        <is>
          <t>la solution sur enu</t>
        </is>
      </c>
      <c r="B16429">
        <f>HYPERLINK("https://www.dofusbook.net/fr/equipement/3723510-la-solution-sur-enu/objets", "link")</f>
        <v/>
      </c>
      <c r="C16429" t="n">
        <v>10</v>
      </c>
      <c r="D16429" t="inlineStr">
        <is>
          <t>Sabres d'Atcham; Amulette du Strigide; Bracelet du Piloztère; Anneau de Padgref; Quatre-feuilles; Ceinture du Strigide; Coiffe de Padgref; Cape d'Atcham; Getas de Padgref; Dofus Pourpre; Dofus des Glaces; Dofus Turquoise; Dofus Nébuleux; Dolmanax; Dofus Ocre; Muldo Prune et Emeraude</t>
        </is>
      </c>
    </row>
    <row r="16430">
      <c r="A16430" t="inlineStr">
        <is>
          <t>Volkornisé</t>
        </is>
      </c>
      <c r="B16430">
        <f>HYPERLINK("https://www.dofusbook.net/fr/equipement/195506-volkornise/objets", "link")</f>
        <v/>
      </c>
      <c r="C16430" t="n">
        <v>7</v>
      </c>
      <c r="D16430" t="inlineStr">
        <is>
          <t>Arc Honte; Amulette Ementaire Deluxe; Anneau Volkorne; Alliance Gloursonne; Bouclier du Stalak; Ceinture Volkorne; Chapeau de Gein; Cape du Professeur Xa; Bottes du Chalœil; Dofus Pourpre; Dolmanax; Dofus des Glaces; Dofus Ocre; Remueur; Vigoureux majeur; Kramkram</t>
        </is>
      </c>
    </row>
    <row r="16431">
      <c r="A16431" t="inlineStr">
        <is>
          <t>200 solo contact</t>
        </is>
      </c>
      <c r="B16431">
        <f>HYPERLINK("https://www.dofusbook.net/fr/equipement/3719259-200-solo-contact/objets", "link")</f>
        <v/>
      </c>
      <c r="C16431" t="n">
        <v>0</v>
      </c>
      <c r="D16431" t="inlineStr">
        <is>
          <t>Dagues de Srambad; Amulette Luminescente; Anneau de la Fuji Givrefoux; Pikano; Bouclier Taverne; Ceinture Luminescente; Casquipik; Cape Luminescente; Pikottes; Dofus Émeraude; Dokoko; Dolmanax; Dofus des Glaces; Dofus Pourpre; Dofus Ocre; Muldo Doré et Indigo</t>
        </is>
      </c>
    </row>
    <row r="16432">
      <c r="A16432" t="inlineStr">
        <is>
          <t>200 solo distance</t>
        </is>
      </c>
      <c r="B16432">
        <f>HYPERLINK("https://www.dofusbook.net/fr/equipement/3719249-200-solo-distance/objets", "link")</f>
        <v/>
      </c>
      <c r="C16432" t="n">
        <v>0</v>
      </c>
      <c r="D16432" t="inlineStr">
        <is>
          <t>Baguette des égarés; Amulette Luminescente; Anneau de la Fuji Givrefoux; Pikano; Quatre-feuilles; Ceinture Luminescente; Casquipik; Cape Luminescente; Pikottes; Dofus Pourpre; Dofus Ocre; Dofus Émeraude; Dokoko; Dolmanax; Dofus des Glaces; Muldo Doré et Indigo</t>
        </is>
      </c>
    </row>
    <row r="16433">
      <c r="A16433" t="inlineStr">
        <is>
          <t>Osamodas F 200</t>
        </is>
      </c>
      <c r="B16433">
        <f>HYPERLINK("https://www.dofusbook.net/fr/equipement/3693813-osamodas-f-200/objets", "link")</f>
        <v/>
      </c>
      <c r="C16433" t="n">
        <v>4</v>
      </c>
      <c r="D16433" t="inlineStr">
        <is>
          <t>Hache Téroïde; Kralamansion; Anneau de la Fuji Givrefoux; Bague Gloursonne; Bouclier Taverne; Ceinture du Comte Razof; Chapeau du Comte Razof; Cape du Professeur Xa; Chaussons du Comte Razof; Dofus Émeraude; Dofus Ocre; Dofus Turquoise; Dolmanax; Dokoko; Dofus Pourpre; Dragodinde Prune et Ivoire</t>
        </is>
      </c>
    </row>
    <row r="16434">
      <c r="A16434" t="inlineStr">
        <is>
          <t>Volokrne</t>
        </is>
      </c>
      <c r="B16434">
        <f>HYPERLINK("https://www.dofusbook.net/fr/equipement/3691090-volokrne/objets", "link")</f>
        <v/>
      </c>
      <c r="C16434" t="n">
        <v>0</v>
      </c>
      <c r="D16434" t="inlineStr">
        <is>
          <t>Hache du Chalœil; Amulette du Strigide; Bracelet du Piloztère; Anneau Volkorne; Bouclier Taverne; Ceinture du Strigide; Casque Volkorne; Cape du Professeur Xa; Bottes du Strigide; Dolmanax; Dofus Ocre; Dofus Pourpre; Dofus des Glaces; Dofus Turquoise; Dofus Nébuleux; Kramkram</t>
        </is>
      </c>
    </row>
    <row r="16435">
      <c r="A16435" t="inlineStr">
        <is>
          <t>Sram F 200</t>
        </is>
      </c>
      <c r="B16435">
        <f>HYPERLINK("https://www.dofusbook.net/fr/equipement/3667287-sram-f-200/objets", "link")</f>
        <v/>
      </c>
      <c r="C16435" t="n">
        <v>1</v>
      </c>
      <c r="D16435" t="inlineStr">
        <is>
          <t>Arc à Lamelles; Amulette du Strigide; Bracelet du Piloztère; Chevalière du Roi Joueur; Quatre-feuilles; Ceinture du Strigide; Couronne du Roi Joueur; Voile d'encre; Bottes du Strigide; Dofus Pourpre; Dofus Ivoire; Dofus Turquoise; Dofus Abyssal; Dofus Ocre; Dofus Nébuleux; Muldo Prune et Doré</t>
        </is>
      </c>
    </row>
    <row r="16436">
      <c r="A16436" t="inlineStr">
        <is>
          <t>TerreTacleLifeSteal</t>
        </is>
      </c>
      <c r="B16436">
        <f>HYPERLINK("https://www.dofusbook.net/fr/equipement/3451486-terretaclelifesteal/objets", "link")</f>
        <v/>
      </c>
      <c r="C16436" t="n">
        <v>4</v>
      </c>
      <c r="D16436" t="inlineStr">
        <is>
          <t>Lav'Hache; Collier de Tourthon; Bague Gloursonne; Anneau Chevelu; Bouclier précieux; Ceinture de Kongoku; Casque Dragoeuf; Cape au Logis; Baleinabottes; Dofus Émeraude; Dofus Abyssal; Remueur; Enragé majeur; Bloqueur majeur; Obstructeur majeur; Dragodinde Amande et Pourpre</t>
        </is>
      </c>
    </row>
    <row r="16437">
      <c r="A16437" t="inlineStr">
        <is>
          <t>Eniripsa F 200</t>
        </is>
      </c>
      <c r="B16437">
        <f>HYPERLINK("https://www.dofusbook.net/fr/equipement/3332781-eniripsa-f-200/objets", "link")</f>
        <v/>
      </c>
      <c r="C16437" t="n">
        <v>8</v>
      </c>
      <c r="D16437" t="inlineStr">
        <is>
          <t>Sabres d'Atcham; Amulette du Strigide; Anneau de Padgref; Bracelet du Piloztère; Quatre-feuilles; Ceinture du Strigide; Coiffe de Padgref; Cape d'Atcham; Getas de Padgref; Dofus Pourpre; Dofus des Glaces; Dofus Nébuleux; Dofus Turquoise; Dolmanax; Dofus Ocre; Muldo Prune et Doré</t>
        </is>
      </c>
    </row>
    <row r="16438">
      <c r="A16438" t="inlineStr">
        <is>
          <t>multi 190 low cost</t>
        </is>
      </c>
      <c r="B16438">
        <f>HYPERLINK("https://www.dofusbook.net/fr/equipement/2866450-multi-190-low-cost/objets", "link")</f>
        <v/>
      </c>
      <c r="C16438" t="n">
        <v>0</v>
      </c>
      <c r="D16438" t="inlineStr">
        <is>
          <t>La Baguette des Limbes; Ougamulette; Gelano; Bague de Boréale; Cadran de Terre; Ceinture de Boréale; Coiffe de Boréale; Cape Peupret; Bottes de Boréale; Dofus Turquoise; Dofus Nébuleux; Dofus Ocre; Dofus Pourpre; Dofus des Glaces; Turbulent; Kramkram</t>
        </is>
      </c>
    </row>
    <row r="16439">
      <c r="A16439" t="inlineStr">
        <is>
          <t>Multimulti</t>
        </is>
      </c>
      <c r="B16439">
        <f>HYPERLINK("https://www.dofusbook.net/fr/equipement/2848732-multimulti/objets", "link")</f>
        <v/>
      </c>
      <c r="C16439" t="n">
        <v>0</v>
      </c>
      <c r="D16439" t="inlineStr">
        <is>
          <t>Faux Maudite du Saigneur Guerrier; Amulette du Strigide; Bracelet du Piloztère; Anneau du Père Fwetar; Bouclier Taverne; Ceinture du Strigide; Bonnet Ko; Cape Reski; Bottes du Strigide; Dofus Turquoise; Dofus Nébuleux; Dolmanax; Dofus Ocre; Dofus Pourpre; Dofus des Glaces; Muldo Prune et Doré</t>
        </is>
      </c>
    </row>
    <row r="16440">
      <c r="A16440" t="inlineStr">
        <is>
          <t>ForceIntelChance</t>
        </is>
      </c>
      <c r="B16440">
        <f>HYPERLINK("https://www.dofusbook.net/fr/equipement/2834879-forceintelchance/objets", "link")</f>
        <v/>
      </c>
      <c r="C16440" t="n">
        <v>0</v>
      </c>
      <c r="D16440" t="inlineStr">
        <is>
          <t>Dagues Érhy; Amulette de l'Indicible; Goulano; Alliance du Lévitrof; Quatre-feuilles; Ceinture de l'Indicible; Coiffe du Lévitrof; Capille; Bottes du Lévitrof; Dofus Nébuleux; Dofus Ocre; Dolmanax; Dofus des Glaces; Dofus Pourpre; Dofus Turquoise; Dragodinde Prune et Emeraude</t>
        </is>
      </c>
    </row>
    <row r="16441">
      <c r="A16441" t="inlineStr">
        <is>
          <t>ChanceAgiDegats</t>
        </is>
      </c>
      <c r="B16441">
        <f>HYPERLINK("https://www.dofusbook.net/fr/equipement/2608086-chanceagidegats/objets", "link")</f>
        <v/>
      </c>
      <c r="C16441" t="n">
        <v>0</v>
      </c>
      <c r="D16441" t="inlineStr">
        <is>
          <t>Rapière aux Glyphes; Amulette Voldelor; Bracelet du Piloztère; Alliance Gloursonne; Bouclier Taverne; Ceinture Voldelor; Chapeau des Malveilleurs; Cape des Malveilleurs; Bottes Voldelor; Dolmanax; Dofus Ocre; Dofus Nébuleux; Dofus Pourpre; Dofus Turquoise; Bousculeur majeur; Dragodinde Emeraude et Rousse</t>
        </is>
      </c>
    </row>
    <row r="16442">
      <c r="A16442" t="inlineStr">
        <is>
          <t>ChanceAgiVita</t>
        </is>
      </c>
      <c r="B16442">
        <f>HYPERLINK("https://www.dofusbook.net/fr/equipement/2832869-chanceagivita/objets", "link")</f>
        <v/>
      </c>
      <c r="C16442" t="n">
        <v>0</v>
      </c>
      <c r="D16442" t="inlineStr">
        <is>
          <t>Rapière aux Glyphes; Amulette Voldelor; Bracelet du Piloztère; Alliance Gloursonne; Bouclier d'Anerice; Ceinture Voldelor; Masque d'Anerice; Cape d'Anerice; Bottes Voldelor; Dolmanax; Dofus Ocre; Dofus Ivoire; Dofus Pourpre; Dofus Émeraude; Dofus Turquoise; Dragodinde Emeraude et Rousse</t>
        </is>
      </c>
    </row>
    <row r="16443">
      <c r="A16443" t="inlineStr">
        <is>
          <t>multi dommages</t>
        </is>
      </c>
      <c r="B16443">
        <f>HYPERLINK("https://www.dofusbook.net/fr/equipement/2807774-multi-dommages/objets", "link")</f>
        <v/>
      </c>
      <c r="C16443" t="n">
        <v>4</v>
      </c>
      <c r="D16443" t="inlineStr">
        <is>
          <t>Sabres d'Atcham; Amulette de l'Œil Putride; Anneau du Père Fwetar; Bracelet du Piloztère; Bouclier cubiste; Ceinture du Père Fwetar; Capuche de l'Œil Putride; Cape de l'Œil Putride; Sandales  d'Atcham; Dofus Pourpre; Dofus des Glaces; Dofus Turquoise; Dofus Nébuleux; Dolmanax; Dofus Ocre; Muldo Prune et Ebène</t>
        </is>
      </c>
    </row>
    <row r="16444">
      <c r="A16444" t="inlineStr">
        <is>
          <t>multi 185</t>
        </is>
      </c>
      <c r="B16444">
        <f>HYPERLINK("https://www.dofusbook.net/fr/equipement/2747248-multi-185/objets", "link")</f>
        <v/>
      </c>
      <c r="C16444" t="n">
        <v>0</v>
      </c>
      <c r="D16444" t="inlineStr">
        <is>
          <t>Hache du Guerrier Zoth; Amulette Ementaire Deluxe; Gelano; Bague de Boréale; Cadran d'Air; Ceinture de Boréale; Coiffe de Boréale; Cape Peupret; Bottes de Boréale; Dofus Émeraude; Dofus Turquoise; Dolmanax; Dofus Ocre; Dofus Pourpre; Puissant majeur; Muldo Prune et Doré</t>
        </is>
      </c>
    </row>
    <row r="16445">
      <c r="A16445" t="inlineStr">
        <is>
          <t>multi 189</t>
        </is>
      </c>
      <c r="B16445">
        <f>HYPERLINK("https://www.dofusbook.net/fr/equipement/2790630-multi-189/objets", "link")</f>
        <v/>
      </c>
      <c r="C16445" t="n">
        <v>0</v>
      </c>
      <c r="D16445" t="inlineStr">
        <is>
          <t>Hache du Guerrier Zoth; Amulette Ementaire Deluxe; Bague de Boréale; Gelano; Cadran d'Air; Ceinture de Boréale; Coiffe de Boréale; Cape Peupret; Bottes de Boréale; Dolmanax; Dofus Ocre; Dofus des Glaces; Dofus Pourpre; Dofus Nébuleux; Dofus Turquoise; Muldo Prune et Doré</t>
        </is>
      </c>
    </row>
    <row r="16446">
      <c r="A16446" t="inlineStr">
        <is>
          <t>Stuff 2</t>
        </is>
      </c>
      <c r="B16446">
        <f>HYPERLINK("https://www.dofusbook.net/fr/equipement/195511-stuff-2/objets", "link")</f>
        <v/>
      </c>
      <c r="C16446" t="n">
        <v>0</v>
      </c>
      <c r="D16446" t="inlineStr">
        <is>
          <t>Hache Téroïde; Amulette du Strigide; Bracelet du Piloztère; Bague Gloursonne; Bouclier Taverne; Ceinture du Strigide; Casque de Missiz Frizz; Cape du Professeur Xa; Bottes du Cycloïde; Dofus Nébuleux; Dofus Turquoise; Dofus Ocre; Dofus Pourpre; Vigoureux majeur; Remueur; Muldo Prune et Doré</t>
        </is>
      </c>
    </row>
    <row r="16447">
      <c r="A16447" t="inlineStr">
        <is>
          <t>stuff full sagesse</t>
        </is>
      </c>
      <c r="B16447">
        <f>HYPERLINK("https://www.dofusbook.net/fr/equipement/195501-stuff-full-sagesse/objets", "link")</f>
        <v/>
      </c>
      <c r="C16447" t="n">
        <v>0</v>
      </c>
      <c r="D16447" t="inlineStr">
        <is>
          <t>Racine de Floribonde; Collier du Minotoror; Anneau Nobstant; Anneau Nobstant; Ceinture Meulante; Dora Bora; Cape Phossile; Bottes d'Hogmeiser; Dofus Cawotte; Drakopin</t>
        </is>
      </c>
    </row>
    <row r="16448">
      <c r="A16448" t="inlineStr">
        <is>
          <t>rayponse</t>
        </is>
      </c>
      <c r="B16448">
        <f>HYPERLINK("https://www.dofusbook.net/fr/equipement/195499-rayponse/objets", "link")</f>
        <v/>
      </c>
      <c r="C16448" t="n">
        <v>0</v>
      </c>
      <c r="D16448" t="inlineStr">
        <is>
          <t>Sabres d'Atcham; Amulette du Strigide; Bracelet du Piloztère; Anneau de Padgref; Quatre-feuilles; Ceinture du Strigide; Coiffe de Padgref; Cape d'Atcham; Getas de Padgref; Dolmanax; Dofus Turquoise; Dofus Nébuleux; Dofus Pourpre; Dofus des Glaces; Dofus Ocre; Muldo Prune et Emeraude</t>
        </is>
      </c>
    </row>
    <row r="16449">
      <c r="A16449" t="inlineStr">
        <is>
          <t>rayponse low cost</t>
        </is>
      </c>
      <c r="B16449">
        <f>HYPERLINK("https://www.dofusbook.net/fr/equipement/2702011-rayponse-low-cost/objets", "link")</f>
        <v/>
      </c>
      <c r="C16449" t="n">
        <v>0</v>
      </c>
      <c r="D16449" t="inlineStr">
        <is>
          <t>Pelle du Professeur Xa; Amulette du Strigide; Bracelet du Piloztère; Anneau de Padgref; Quatre-feuilles; Ceinture du Strigide; Coiffe de Padgref; Cape du Professeur Xa; Getas de Padgref; Dofus Pourpre; Dofus des Glaces; Dofus Turquoise; Dofus Nébuleux; Dofus Ocre; Dolmanax; Muldo Prune et Emeraude</t>
        </is>
      </c>
    </row>
    <row r="16450">
      <c r="A16450" t="inlineStr">
        <is>
          <t>pex 185</t>
        </is>
      </c>
      <c r="B16450">
        <f>HYPERLINK("https://www.dofusbook.net/fr/equipement/2785874-pex-185/objets", "link")</f>
        <v/>
      </c>
      <c r="C16450" t="n">
        <v>0</v>
      </c>
      <c r="D16450" t="inlineStr">
        <is>
          <t>La Baguette des Limbes; Ougamulette; Alliance Sorcelée; Anneau des Prophètes; Cadran de Terre; Slip Iholo; Bonnet Ko; Cape Peupret; Bottes Répané; Dofus des Glaces; Dofus Ocre; Dofus Pourpre; Dofus Turquoise; Dofus Nébuleux; Remueur; Dragodinde Prune et Emeraude</t>
        </is>
      </c>
    </row>
    <row r="16451">
      <c r="A16451" t="inlineStr">
        <is>
          <t>rall eau</t>
        </is>
      </c>
      <c r="B16451">
        <f>HYPERLINK("https://www.dofusbook.net/fr/equipement/2774178-rall-eau/objets", "link")</f>
        <v/>
      </c>
      <c r="C16451" t="n">
        <v>1</v>
      </c>
      <c r="D16451" t="inlineStr">
        <is>
          <t>Epée Gloursonne; Amulette du Glourséleste; Alliance Gloursonne; Bague Gloursonne; Bouclier cubiste; Ceinture du Glourséleste; Masque du Glourséleste; Cape du Glourséleste; Bottes du Glourséleste; Dofus Cawotte; Dofus Ocre; Dofus Pourpre; Dofus Kaliptus; Dofus Turquoise; Entraveur majeur; Kwaltess</t>
        </is>
      </c>
    </row>
    <row r="16452">
      <c r="A16452" t="inlineStr">
        <is>
          <t>multi dofusteuse</t>
        </is>
      </c>
      <c r="B16452">
        <f>HYPERLINK("https://www.dofusbook.net/fr/equipement/1514330-multi-dofusteuse/objets", "link")</f>
        <v/>
      </c>
      <c r="C16452" t="n">
        <v>0</v>
      </c>
      <c r="D16452" t="inlineStr">
        <is>
          <t>Marteau des égarés; Amulette Ementaire Deluxe; Bague Gloursonne; Alliance Gloursonne; Quatre-feuilles; Ceinture du Strigide; Le Dorado; Dofusteuse; Bottes du Strigide; Dofus Pourpre; Dofus des Glaces; Dofus Turquoise; Dofus Nébuleux; Dolmanax; Dofus Ocre; Muldo Prune et Emeraude</t>
        </is>
      </c>
    </row>
    <row r="16453">
      <c r="A16453" t="inlineStr">
        <is>
          <t>ForIneInvoc</t>
        </is>
      </c>
      <c r="B16453">
        <f>HYPERLINK("https://www.dofusbook.net/fr/equipement/2710215-forineinvoc/objets", "link")</f>
        <v/>
      </c>
      <c r="C16453" t="n">
        <v>0</v>
      </c>
      <c r="D16453" t="inlineStr">
        <is>
          <t>Hache Téroïde; Amulette de Gein; Alliance du Lévitrof; Bracelet du Piloztère; Quatre-feuilles; Ceinture de Gein; Chapeau de Gein; Voile d'encre; Bottes Dogues; Dofus Pourpre; Dofus des Glaces; Dofus Nébuleux; Dofus Turquoise; Dolmanax; Dofus Ocre; Kramkram</t>
        </is>
      </c>
    </row>
    <row r="16454">
      <c r="A16454" t="inlineStr">
        <is>
          <t>multi low cost</t>
        </is>
      </c>
      <c r="B16454">
        <f>HYPERLINK("https://www.dofusbook.net/fr/equipement/2702315-multi-low-cost/objets", "link")</f>
        <v/>
      </c>
      <c r="C16454" t="n">
        <v>0</v>
      </c>
      <c r="D16454" t="inlineStr">
        <is>
          <t>Pelle du Professeur Xa; Amulette du Strigide; Anneau de Padgref; Bracelet du Piloztère; Bouclier cubiste; Ceinture du Strigide; Coiffe de Padgref; Cape du Professeur Xa; Getas de Padgref; Dofus Pourpre; Dofus des Glaces; Dofus Émeraude; Dofus Turquoise; Dolmanax; Dofus Ocre; Muldo Prune et Doré</t>
        </is>
      </c>
    </row>
    <row r="16455">
      <c r="A16455" t="inlineStr">
        <is>
          <t>pvvvvvvvv</t>
        </is>
      </c>
      <c r="B16455">
        <f>HYPERLINK("https://www.dofusbook.net/fr/equipement/2702348-pvvvvvvvv/objets", "link")</f>
        <v/>
      </c>
      <c r="C16455" t="n">
        <v>0</v>
      </c>
      <c r="D16455" t="inlineStr">
        <is>
          <t>Epée Gloursonne; Amulette Séculaire; Bague Gloursonne; Alliance Gloursonne; Quatre-feuilles; Ceinture Séculaire; Coiffe Séculaire; Cape des Malveilleurs; Bottes des Malveilleurs; Dolmanax; Dofus Émeraude; Dofus des Glaces; Dofus Turquoise; Dofus Pourpre; Dofus Ocre; Muldo Prune et Emeraude</t>
        </is>
      </c>
    </row>
    <row r="16456">
      <c r="A16456" t="inlineStr">
        <is>
          <t>pex 110</t>
        </is>
      </c>
      <c r="B16456">
        <f>HYPERLINK("https://www.dofusbook.net/fr/equipement/2699181-pex-110/objets", "link")</f>
        <v/>
      </c>
      <c r="C16456" t="n">
        <v>0</v>
      </c>
      <c r="D16456" t="inlineStr">
        <is>
          <t>La Baguette des Limbes; Médaille Kido; Anneau Xélomorphe; Anneau Truche; Le Karde Cœur; Ceintruche; Chapeau Truche; Cape Xélomorphe; Bottes Xélomorphes; Dofus Cawotte; Dragodinde Prune et Emeraude</t>
        </is>
      </c>
    </row>
    <row r="16457">
      <c r="A16457" t="inlineStr">
        <is>
          <t>REPONSE</t>
        </is>
      </c>
      <c r="B16457">
        <f>HYPERLINK("https://www.dofusbook.net/fr/equipement/2667131-reponse/objets", "link")</f>
        <v/>
      </c>
      <c r="C16457" t="n">
        <v>8</v>
      </c>
      <c r="D16457" t="inlineStr">
        <is>
          <t>Sabres d'Atcham; Amulette du Strigide; Anneau de Padgref; Bracelet du Piloztère; Quatre-feuilles; Ceinture du Strigide; Coiffe de Padgref; Cape d'Atcham; Getas de Padgref; Dofus des Glaces; Dofus Nébuleux; Dofus Turquoise; Dolmanax; Dofus Ocre; Dofus Pourpre; Muldo Prune et Doré</t>
        </is>
      </c>
    </row>
    <row r="16458">
      <c r="A16458" t="inlineStr">
        <is>
          <t>intel chance agi</t>
        </is>
      </c>
      <c r="B16458">
        <f>HYPERLINK("https://www.dofusbook.net/fr/equipement/2642765-intel-chance-agi/objets", "link")</f>
        <v/>
      </c>
      <c r="C16458" t="n">
        <v>1</v>
      </c>
      <c r="D16458" t="inlineStr">
        <is>
          <t>Epée Kari; Amulette d'Ilyzaelle; Alliance Gloursonne; Bracelet du Piloztère; Bouclier d'Ilyzaelle; Ceinture de l'Esprit Salvateur; Chapeau des Malveilleurs; Cape des Malveilleurs; Bottes des Malveilleurs; Dofus Pourpre; Dofus Abyssal; Dofus des Glaces; Dofus Nébuleux; Dolmanax; Dofus Ocre; Muldo Roux et Doré</t>
        </is>
      </c>
    </row>
    <row r="16459">
      <c r="A16459" t="inlineStr">
        <is>
          <t>QuadElement</t>
        </is>
      </c>
      <c r="B16459">
        <f>HYPERLINK("https://www.dofusbook.net/fr/equipement/2615029-quadelement/objets", "link")</f>
        <v/>
      </c>
      <c r="C16459" t="n">
        <v>0</v>
      </c>
      <c r="D16459" t="inlineStr">
        <is>
          <t>Marteau du Glouragan; Amulette Ementaire Deluxe; Bracelet du Piloztère; Grésilanneau; Bouclier Taverne; Ceinture du Strigide; Bonnet Ko; Capille; Bottes du Strigide; Dofus Pourpre; Dofus Nébuleux; Dofus Turquoise; Dofus Ocre; Nomade; Remueur; Muldo Prune et Doré</t>
        </is>
      </c>
    </row>
    <row r="16460">
      <c r="A16460" t="inlineStr">
        <is>
          <t>QuadriElements-stri</t>
        </is>
      </c>
      <c r="B16460">
        <f>HYPERLINK("https://www.dofusbook.net/fr/equipement/2556676-quadrielements-stri/objets", "link")</f>
        <v/>
      </c>
      <c r="C16460" t="n">
        <v>0</v>
      </c>
      <c r="D16460" t="inlineStr">
        <is>
          <t>Sabres d'Atcham; Amulette du Strigide; Bracelet du Piloztère; Anneau de Padgref; Bouclier Taverne; Ceinture du Strigide; Coiffe de Padgref; Cape d'Atcham; Sandales  d'Atcham; Dofus Pourpre; Dofus des Glaces; Dofus Turquoise; Dofus Nébuleux; Dolmanax; Dofus Ocre; Muldo Prune et Doré</t>
        </is>
      </c>
    </row>
    <row r="16461">
      <c r="A16461" t="inlineStr">
        <is>
          <t>chance/agi/do pou</t>
        </is>
      </c>
      <c r="B16461">
        <f>HYPERLINK("https://www.dofusbook.net/fr/equipement/2579832-chance-agi-do-pou/objets", "link")</f>
        <v/>
      </c>
      <c r="C16461" t="n">
        <v>0</v>
      </c>
      <c r="D16461" t="inlineStr">
        <is>
          <t>Rapière aux Glyphes; Amulette Voldelor; Alliance Gloursonne; Bracelet du Piloztère; Bouclier Taverne; Ceinture du Barbétoal; Masque du Barbétoal; Cape du Barbétoal; Bottes Voldelor; Dofus Turquoise; Dofus Nébuleux; Dolmanax; Dofus Ocre; Dofus Pourpre; Dofus Émeraude; Muldo Prune et Emeraude</t>
        </is>
      </c>
    </row>
    <row r="16462">
      <c r="A16462" t="inlineStr">
        <is>
          <t>FoAgeInvoc</t>
        </is>
      </c>
      <c r="B16462">
        <f>HYPERLINK("https://www.dofusbook.net/fr/equipement/2578233-foageinvoc/objets", "link")</f>
        <v/>
      </c>
      <c r="C16462" t="n">
        <v>0</v>
      </c>
      <c r="D16462" t="inlineStr">
        <is>
          <t>Arc du Chalœil; Amulette du Cycloïde; Bracelet du Piloztère; Alliance Brûlâme; Quatre-feuilles; Ceinture de la Cour Sombre; Coiffe de la Reine des Voleurs; Cape du Kamasterisk; Bottes du Kamasterisk; Dofus Turquoise; Dofus Pourpre; Dofus Ocre; Dolmanax; Remueur; Nomade; Dragodinde Prune et Amande</t>
        </is>
      </c>
    </row>
    <row r="16463">
      <c r="A16463" t="inlineStr">
        <is>
          <t>Sram Replacement</t>
        </is>
      </c>
      <c r="B16463">
        <f>HYPERLINK("https://www.dofusbook.net/fr/equipement/2521303-sram-replacement/objets", "link")</f>
        <v/>
      </c>
      <c r="C16463" t="n">
        <v>0</v>
      </c>
      <c r="D16463" t="inlineStr">
        <is>
          <t>Sabres d'Atcham; Amulette du Strigide; Anneau de Padgref; Bracelet du Piloztère; Bouclier du Cycloïde; Ceinture du Strigide; Coiffe de Padgref; Cape d'Atcham; Getas de Padgref; Dofus Nébuleux; Dolmanax; Dofus Ocre; Dofus Pourpre; Dofus des Glaces; Dofus Turquoise; Bouflux</t>
        </is>
      </c>
    </row>
    <row r="16464">
      <c r="A16464" t="inlineStr">
        <is>
          <t>La réponse</t>
        </is>
      </c>
      <c r="B16464">
        <f>HYPERLINK("https://www.dofusbook.net/fr/equipement/2514053-la-reponse/objets", "link")</f>
        <v/>
      </c>
      <c r="C16464" t="n">
        <v>0</v>
      </c>
      <c r="D16464" t="inlineStr">
        <is>
          <t>Pelle du Professeur Xa; Amulette du Strigide; Bracelet du Piloztère; Anneau de Padgref; Quatre-feuilles; Ceinture du Strigide; Coiffe de Padgref; Cape du Professeur Xa; Getas de Padgref; Dofus Pourpre; Dofus des Glaces; Dofus Turquoise; Dofus Nébuleux; Dolmanax; Dofus Ocre; Muldo Prune et Emeraude</t>
        </is>
      </c>
    </row>
    <row r="16465">
      <c r="A16465" t="inlineStr">
        <is>
          <t>chance/agi</t>
        </is>
      </c>
      <c r="B16465">
        <f>HYPERLINK("https://www.dofusbook.net/fr/equipement/2402780-chance-agi/objets", "link")</f>
        <v/>
      </c>
      <c r="C16465" t="n">
        <v>3</v>
      </c>
      <c r="D16465" t="inlineStr">
        <is>
          <t>Arc de Koutoulou; Amulette Voldelor; Alliance Gloursonne; Bracelet du Piloztère; Sept ans de malheur; Ceinture du Barbétoal; Masque du Barbétoal; Cape Matelassée; Bottes de la Reine des Voleurs; Dofus Émeraude; Dofus Turquoise; Dolmanax; Dofus Pourpre; Remueur; Nomade; Kramkram</t>
        </is>
      </c>
    </row>
    <row r="16466">
      <c r="A16466" t="inlineStr">
        <is>
          <t>Stuff 1</t>
        </is>
      </c>
      <c r="B16466">
        <f>HYPERLINK("https://www.dofusbook.net/fr/equipement/195513-stuff-1/objets", "link")</f>
        <v/>
      </c>
      <c r="C16466" t="n">
        <v>0</v>
      </c>
      <c r="D16466" t="inlineStr">
        <is>
          <t>Arc Hétype; Amulette d'Otomaï; Anneau Tamie; Anneau de Nidas; Cadran d'Air; Ceinture Séculaire; Coiffe Séculaire; Voile d'encre; Bottes de Dremoan; Dofus Ocre; Érudit majeur; Miraculé majeur; Nomade; Dévastateur Feu majeur; Remueur; Muldo Orchidée et Pourpre</t>
        </is>
      </c>
    </row>
    <row r="16467">
      <c r="A16467" t="inlineStr">
        <is>
          <t>tre</t>
        </is>
      </c>
      <c r="B16467">
        <f>HYPERLINK("https://www.dofusbook.net/fr/equipement/2255142-tre/objets", "link")</f>
        <v/>
      </c>
      <c r="C16467" t="n">
        <v>0</v>
      </c>
      <c r="D16467" t="inlineStr">
        <is>
          <t>Arc corrompu; Amulette de Nileza; Anneau Tamie; Anneau Tamie; Quatre-feuilles; Sangle Aise; Coiffe Séculaire; Cape de Nileza; Bottes d'Otomaï; Dofus des Glaces; Dofus Pourpre; Nomade; Vigoureux majeur; Dévastateur Feu majeur; Remueur; Muldo Prune et Doré</t>
        </is>
      </c>
    </row>
    <row r="16468">
      <c r="A16468" t="inlineStr">
        <is>
          <t>multi 200</t>
        </is>
      </c>
      <c r="B16468">
        <f>HYPERLINK("https://www.dofusbook.net/fr/equipement/2246520-multi-200/objets", "link")</f>
        <v/>
      </c>
      <c r="C16468" t="n">
        <v>0</v>
      </c>
      <c r="D16468" t="inlineStr">
        <is>
          <t>Arc corrompu; Amulette Séculaire; Alliance Gloursonne; Bracelet du Piloztère; Bouclier du Cycloïde; Ceinture Séculaire; Coiffe Séculaire; Cape d'Atcham; Sandales  d'Atcham; Dolmanax; Dofus Ocre; Dofus Pourpre; Dofus des Glaces; Dofus Turquoise; Dofus Nébuleux; Muldo Prune et Emeraude</t>
        </is>
      </c>
    </row>
    <row r="16469">
      <c r="A16469" t="inlineStr">
        <is>
          <t>Sram tacle duo</t>
        </is>
      </c>
      <c r="B16469">
        <f>HYPERLINK("https://www.dofusbook.net/fr/equipement/2069191-sram-tacle-duo/objets", "link")</f>
        <v/>
      </c>
      <c r="C16469" t="n">
        <v>0</v>
      </c>
      <c r="D16469" t="inlineStr">
        <is>
          <t>Héqache; Amulette du Strigide; Alliance Gloursonne; Anneau du Cycloïde; Bouclier du Stalak; Ceintouse; Dorabysses; Cape du Valet Veinard; Tentassons; Dofus Ocre; Dofus Pourpre; Obstructeur majeur; Remueur; Cascadeur majeur; Nomade; Kramkram</t>
        </is>
      </c>
    </row>
    <row r="16470">
      <c r="A16470" t="inlineStr">
        <is>
          <t>multi CC</t>
        </is>
      </c>
      <c r="B16470">
        <f>HYPERLINK("https://www.dofusbook.net/fr/equipement/195502-multi-cc/objets", "link")</f>
        <v/>
      </c>
      <c r="C16470" t="n">
        <v>0</v>
      </c>
      <c r="D16470" t="inlineStr">
        <is>
          <t>Hache Téroïde; Amulette du Strigide; Bague Gloursonne; Bracelet du Piloztère; Bouclier Taverne; Ceinture du Strigide; Casque de Missiz Frizz; Cape du Professeur Xa; Bottes du Cycloïde; Dofus des Glaces; Dofus Turquoise; Dofus Pourpre; Dofus Ocre; Remueur; Nomade; Kramkram</t>
        </is>
      </c>
    </row>
    <row r="16471">
      <c r="A16471" t="inlineStr">
        <is>
          <t>stuff162</t>
        </is>
      </c>
      <c r="B16471">
        <f>HYPERLINK("https://www.dofusbook.net/fr/equipement/2059762-stuff162/objets", "link")</f>
        <v/>
      </c>
      <c r="C16471" t="n">
        <v>0</v>
      </c>
      <c r="D16471" t="inlineStr">
        <is>
          <t>Hache du Guerrier Zoth; La Meulette; Gelano; Anneau Nobstant; Bouclier Taverne; Ceinture Phossile; Bonnet Ko; Cape du Bretteur Céleste; Bottes Phossiles; Dofus Pourpre; Dofus Émeraude; Remueur; Vigoureux majeur; Nomade; Observateur; Muldo Prune et Doré</t>
        </is>
      </c>
    </row>
    <row r="16472">
      <c r="A16472" t="inlineStr">
        <is>
          <t>bi elem chance intel</t>
        </is>
      </c>
      <c r="B16472">
        <f>HYPERLINK("https://www.dofusbook.net/fr/equipement/2032981-bi-elem-chance-intel/objets", "link")</f>
        <v/>
      </c>
      <c r="C16472" t="n">
        <v>0</v>
      </c>
      <c r="D16472" t="inlineStr">
        <is>
          <t>Arc Nécrotique; Collier de la Dame du Hasard; Bracelet du Piloztère; Anneau Tique; Bouclier d'Anerice; Ceinture de l'Esprit Malsain; Masque de l'Esprit Malsain; Cape de la Dame du Hasard; Bottes de la Dame du Hasard; Dofus Nébuleux; Dofus des Glaces; Dofus Turquoise; Dofus Émeraude; Dofus Ocre; Dofus Pourpre; Muldo Prune et Doré</t>
        </is>
      </c>
    </row>
    <row r="16473">
      <c r="A16473" t="inlineStr">
        <is>
          <t>road</t>
        </is>
      </c>
      <c r="B16473">
        <f>HYPERLINK("https://www.dofusbook.net/fr/equipement/1995913-road/objets", "link")</f>
        <v/>
      </c>
      <c r="C16473" t="n">
        <v>0</v>
      </c>
      <c r="D16473" t="inlineStr">
        <is>
          <t>Baguette des égarés; Amulette du Strigide; Pikano; Bracelet du Piloztère; Quatre-feuilles; Ceinture de la Reine des Voleurs; Kidibonnet; Voilamibe; Pantoufles du Piloztère; Dofus Pourpre; Dofus Ocre; Dofus des Glaces; Vigoureux majeur; Nomade; Remueur; Kramkram</t>
        </is>
      </c>
    </row>
    <row r="16474">
      <c r="A16474" t="inlineStr">
        <is>
          <t>force/agi pour coual</t>
        </is>
      </c>
      <c r="B16474">
        <f>HYPERLINK("https://www.dofusbook.net/fr/equipement/1385226-force-agi-pour-coual/objets", "link")</f>
        <v/>
      </c>
      <c r="C16474" t="n">
        <v>1</v>
      </c>
      <c r="D16474" t="inlineStr">
        <is>
          <t>Héqache; Amulette du Cœur Vaillant; Bague Trithon; Bracelet du Piloztère; Bouclier d'Ilyzaelle; Ceintouse; Masque Trithon; Cape du Cœur Vaillant; Bottes du Cœur Vaillant; Dofus Pourpre; Dofus des Glaces; Dofus Turquoise; Dofus Abyssal; Dofus Ocre; Dolmanax; Muldo Prune et Emeraude</t>
        </is>
      </c>
    </row>
    <row r="16475">
      <c r="A16475" t="inlineStr">
        <is>
          <t>force Agi Dopou</t>
        </is>
      </c>
      <c r="B16475">
        <f>HYPERLINK("https://www.dofusbook.net/fr/equipement/1949705-force-agi-dopou/objets", "link")</f>
        <v/>
      </c>
      <c r="C16475" t="n">
        <v>0</v>
      </c>
      <c r="D16475" t="inlineStr">
        <is>
          <t>Héqache; Amulette du Cœur Vaillant; Anneau des égarés; Bague Trithon; Bivalve; Ceinture du Strigide; Masque Trithon; Cape du Cœur Vaillant; Bottes du Cœur Vaillant; Dofus des Glaces; Dofus Pourpre; Dofus Nébuleux; Dofus Turquoise; Dofus Abyssal; Dofus Ocre; Muldo Prune et Emeraude</t>
        </is>
      </c>
    </row>
    <row r="16476">
      <c r="A16476" t="inlineStr">
        <is>
          <t>chance agi 198</t>
        </is>
      </c>
      <c r="B16476">
        <f>HYPERLINK("https://www.dofusbook.net/fr/equipement/1915909-chance-agi-198/objets", "link")</f>
        <v/>
      </c>
      <c r="C16476" t="n">
        <v>0</v>
      </c>
      <c r="D16476" t="inlineStr">
        <is>
          <t>Marteau des Anciens Steamers; Amulette d'Hel Munster; Anneau du Père Fwetar; Alliance Gloursonne; Quatre-feuilles; Ceinture du Père Fwetar; Coiffe d'Hel Munster; Cape d'Hel Munster; Bottes du Père Fwetar; Dofus Turquoise; Dofus Ocre; Dofus Pourpre; Turbulent; Puissant; Puissant majeur; Muldo Prune et Emeraude</t>
        </is>
      </c>
    </row>
    <row r="16477">
      <c r="A16477" t="inlineStr">
        <is>
          <t>Resists</t>
        </is>
      </c>
      <c r="B16477">
        <f>HYPERLINK("https://www.dofusbook.net/fr/equipement/1620965-resists/objets", "link")</f>
        <v/>
      </c>
      <c r="C16477" t="n">
        <v>1</v>
      </c>
      <c r="D16477" t="inlineStr">
        <is>
          <t>Rouleau à Pâtisserie d'Aermyne; Amulette du Glourséleste; Anneau de XLII; Alliance Gloursonne; Cadran de Feu; Ceinture de XLII; Coiffe d'Aermyne; Cape d'Aermyne; Bottes de XLII; Dokoko; Dofus Émeraude; Dofus des Veilleurs; Survivant; Survivant majeur; Voyageur; Kramkram</t>
        </is>
      </c>
    </row>
    <row r="16478">
      <c r="A16478" t="inlineStr">
        <is>
          <t>Anerice</t>
        </is>
      </c>
      <c r="B16478">
        <f>HYPERLINK("https://www.dofusbook.net/fr/equipement/1552203-anerice/objets", "link")</f>
        <v/>
      </c>
      <c r="C16478" t="n">
        <v>0</v>
      </c>
      <c r="D16478" t="inlineStr">
        <is>
          <t>Epée Maudite du Saigneur Guerrier; Amulette Ementaire Deluxe; Anneau de Pol Ouatnos; Anneau de XLII; Bouclier d'Anerice; Ceinture de XLII; Masque d'Anerice; Cape d'Anerice; Bottes de XLII; Dofus Émeraude; Dofus des Veilleurs; Dofus Turquoise; Dofus Abyssal; Dolmanax; Bloqueur majeur; Kramkram</t>
        </is>
      </c>
    </row>
    <row r="16479">
      <c r="A16479" t="inlineStr">
        <is>
          <t>Stuff zero</t>
        </is>
      </c>
      <c r="B16479">
        <f>HYPERLINK("https://www.dofusbook.net/fr/equipement/195510-stuff-zero/objets", "link")</f>
        <v/>
      </c>
      <c r="C16479" t="n">
        <v>0</v>
      </c>
      <c r="D16479" t="inlineStr">
        <is>
          <t>Hache Téroïde; Amulette du Strigide; Bague Gloursonne; Bracelet du Piloztère; Bouclier Taverne; Ceinture du Strigide; Casque de Missiz Frizz; Cape du Professeur Xa; Bottes du Cycloïde; Dofus Turquoise; Dofus Ocre; Dofus Pourpre; Nomade; Vigoureux majeur; Remueur; Kramkram</t>
        </is>
      </c>
    </row>
    <row r="16480">
      <c r="A16480" t="inlineStr">
        <is>
          <t>prospection</t>
        </is>
      </c>
      <c r="B16480">
        <f>HYPERLINK("https://www.dofusbook.net/fr/equipement/1530030-prospection/objets", "link")</f>
        <v/>
      </c>
      <c r="C16480" t="n">
        <v>6</v>
      </c>
      <c r="D16480" t="inlineStr">
        <is>
          <t>Hache à Lamelles; Collier du Minotot; Bracelet du Minotot; Anneau Bliteré; Bouclier du Mont Kipou; Tranche des Sous-bois; Casque Harnage; Cape du Minotot; Bottines des sous-bois; Dokille; Dofus Kaliptus; Joueur; Taquin majeur; Taquin; Joueur majeur; Pykur</t>
        </is>
      </c>
    </row>
    <row r="16481">
      <c r="A16481" t="inlineStr">
        <is>
          <t>Stuff 1</t>
        </is>
      </c>
      <c r="B16481">
        <f>HYPERLINK("https://www.dofusbook.net/fr/equipement/1474656-stuff-1/objets", "link")</f>
        <v/>
      </c>
      <c r="C16481" t="n">
        <v>0</v>
      </c>
      <c r="D16481" t="inlineStr">
        <is>
          <t>Sabres d'Atcham; Amulette du Strigide; Bracelet du Piloztère; Anneau de Padgref; Quatre-feuilles; Ceinture du Strigide; Coiffe de Padgref; Cape d'Atcham; Getas de Padgref; Dolmanax; Dofus Turquoise; Dofus Nébuleux; Dofus Pourpre; Dofus des Glaces; Dofus Ocre; Muldo Prune et Emeraude</t>
        </is>
      </c>
    </row>
    <row r="16482">
      <c r="A16482" t="inlineStr">
        <is>
          <t>nouvelle pano</t>
        </is>
      </c>
      <c r="B16482">
        <f>HYPERLINK("https://www.dofusbook.net/fr/equipement/1417607-nouvelle-pano/objets", "link")</f>
        <v/>
      </c>
      <c r="C16482" t="n">
        <v>0</v>
      </c>
      <c r="D16482" t="inlineStr"/>
    </row>
    <row r="16483">
      <c r="A16483" t="inlineStr">
        <is>
          <t>chance/agi</t>
        </is>
      </c>
      <c r="B16483">
        <f>HYPERLINK("https://www.dofusbook.net/fr/equipement/1385304-chance-agi/objets", "link")</f>
        <v/>
      </c>
      <c r="C16483" t="n">
        <v>0</v>
      </c>
      <c r="D16483" t="inlineStr">
        <is>
          <t>Amulette d'Ilyzaelle; Bouclier d'Ilyzaelle; Ceinture de l'Esprit Salvateur; Casque d'Ilyzaelle; Voilamibe; Bottes de l'Esprit Salvateur</t>
        </is>
      </c>
    </row>
    <row r="16484">
      <c r="A16484" t="inlineStr">
        <is>
          <t>lvl45</t>
        </is>
      </c>
      <c r="B16484">
        <f>HYPERLINK("https://www.dofusbook.net/fr/equipement/1328961-lvl45/objets", "link")</f>
        <v/>
      </c>
      <c r="C16484" t="n">
        <v>0</v>
      </c>
      <c r="D16484" t="inlineStr">
        <is>
          <t>Marteau du Chafer Draugr; Abramu; Abranneau Mou; Bouclier Abraknyde; Pagne du Chafer Rōnin; Kabuto du Chafer Rōnin; Abracapa; Bottes du Chafer Primitif</t>
        </is>
      </c>
    </row>
    <row r="16485">
      <c r="A16485" t="inlineStr">
        <is>
          <t>feu low cost</t>
        </is>
      </c>
      <c r="B16485">
        <f>HYPERLINK("https://www.dofusbook.net/fr/equipement/1325859-feu-low-cost/objets", "link")</f>
        <v/>
      </c>
      <c r="C16485" t="n">
        <v>0</v>
      </c>
      <c r="D16485" t="inlineStr">
        <is>
          <t>Arc Hétype; Amulette de Nileza; Gelano; Anneau Tamie; Quatre-feuilles; Sangle Aise; Coiffe Séculaire; Cape de Nileza; Bottes d'Otomaï; Dévastateur Feu majeur; Érudit majeur; Vigoureux majeur; Nomade; Astucieux majeur; Remueur; Brûlih</t>
        </is>
      </c>
    </row>
    <row r="16486">
      <c r="A16486" t="inlineStr">
        <is>
          <t>stuff135</t>
        </is>
      </c>
      <c r="B16486">
        <f>HYPERLINK("https://www.dofusbook.net/fr/equipement/1323960-stuff135/objets", "link")</f>
        <v/>
      </c>
      <c r="C16486" t="n">
        <v>0</v>
      </c>
      <c r="D16486" t="inlineStr">
        <is>
          <t>Dagues du Dragoeuf; Plimclik; Anneau Tranchant; Gant du Capitaine Ekarlatte; Bouclier du Sadida; Ceinture du Capitaine Ekarlatte; Masque de Pantèroz; Caracape Minotoris; Bottes du Capitaine Ekarlatte; Dofus Pourpre; Dofus Émeraude; Remueur; Sanguinaire; Vigoureux; Nomade; Kramkram</t>
        </is>
      </c>
    </row>
    <row r="16487">
      <c r="A16487" t="inlineStr">
        <is>
          <t>OS harpille dom dist</t>
        </is>
      </c>
      <c r="B16487">
        <f>HYPERLINK("https://www.dofusbook.net/fr/equipement/1294098-os-harpille-dom-dist/objets", "link")</f>
        <v/>
      </c>
      <c r="C16487" t="n">
        <v>0</v>
      </c>
      <c r="D16487" t="inlineStr">
        <is>
          <t>Arc corrompu; Amulette de Nileza; Anneau Tamie; Anneau Tamie; Bouclier du Stalak; Sangle Aise; Coiffe Séculaire; Cape de Diondin; Bottes de Nileza; Dofus des Glaces; Saccageur Feu majeur; Érudit majeur; Dévastateur Feu majeur; Remueur; Nomade; Brûlih</t>
        </is>
      </c>
    </row>
    <row r="16488">
      <c r="A16488" t="inlineStr">
        <is>
          <t>OS harpille</t>
        </is>
      </c>
      <c r="B16488">
        <f>HYPERLINK("https://www.dofusbook.net/fr/equipement/1292654-os-harpille/objets", "link")</f>
        <v/>
      </c>
      <c r="C16488" t="n">
        <v>0</v>
      </c>
      <c r="D16488" t="inlineStr">
        <is>
          <t>Arc Hétype; Amulette de Nileza; Anneau Tamie; Anneau Tamie; Bouclier du Stalak; Sangle Aise; Coiffe Séculaire; Cape de Diondin; Bottes de Nileza; Dofus des Glaces; Nomade; Saccageur Feu majeur; Érudit majeur; Dévastateur Feu majeur; Remueur; Brûlih</t>
        </is>
      </c>
    </row>
    <row r="16489">
      <c r="A16489" t="inlineStr">
        <is>
          <t>chance/ intel</t>
        </is>
      </c>
      <c r="B16489">
        <f>HYPERLINK("https://www.dofusbook.net/fr/equipement/1275425-chance--intel/objets", "link")</f>
        <v/>
      </c>
      <c r="C16489" t="n">
        <v>0</v>
      </c>
      <c r="D16489" t="inlineStr">
        <is>
          <t>Épée Brûlâme; Collier de la Dame du Hasard; Goulano; Bracelet du Piloztère; Bouclier précieux; Ceinture de l'Esprit Malsain; Masque de l'Esprit Malsain; Cape de la Dame du Hasard; Bottes de l'Esprit Malsain; Dofus Émeraude; Dofus Turquoise; Dolmanax; Dofus Ocre; Dofus Pourpre; Dofus Nébuleux; Muldo Prune et Emeraude</t>
        </is>
      </c>
    </row>
    <row r="16490">
      <c r="A16490" t="inlineStr">
        <is>
          <t>Force Intel</t>
        </is>
      </c>
      <c r="B16490">
        <f>HYPERLINK("https://www.dofusbook.net/fr/equipement/1266520-force-intel/objets", "link")</f>
        <v/>
      </c>
      <c r="C16490" t="n">
        <v>3</v>
      </c>
      <c r="D16490" t="inlineStr">
        <is>
          <t>Hache Téroïde; Amulette de Gein; Chevalière du Roi Joueur; Bracelet du Piloztère; Quatre-feuilles; Ceinture de Gein; Chapeau de Gein; Voile d'encre; Bottes du Roi Joueur; Dofus Pourpre; Dofus des Glaces; Dolmanax; Dofus Ocre; Dofus Turquoise; Dofus Émeraude; Muldo Prune et Emeraude</t>
        </is>
      </c>
    </row>
    <row r="16491">
      <c r="A16491" t="inlineStr">
        <is>
          <t>ROXX100</t>
        </is>
      </c>
      <c r="B16491">
        <f>HYPERLINK("https://www.dofusbook.net/fr/equipement/1222023-roxx100/objets", "link")</f>
        <v/>
      </c>
      <c r="C16491" t="n">
        <v>0</v>
      </c>
      <c r="D16491" t="inlineStr">
        <is>
          <t>Baguette de Kouartz; Amublop Multicolore Royale; Gantelet du Gorgouille; Gelano; Bouclier Akwadala; Ceinture Précieuse; Masque de l'Abrakleur sombre; Cape du Krokilleur; Bottes du Gorgouille; Dévastateur Neutre; Observateur; Furibond; Nomade; Enragé; Remueur; Kompost</t>
        </is>
      </c>
    </row>
    <row r="16492">
      <c r="A16492" t="inlineStr">
        <is>
          <t>ROXX80</t>
        </is>
      </c>
      <c r="B16492">
        <f>HYPERLINK("https://www.dofusbook.net/fr/equipement/1213586-roxx80/objets", "link")</f>
        <v/>
      </c>
      <c r="C16492" t="n">
        <v>0</v>
      </c>
      <c r="D16492" t="inlineStr">
        <is>
          <t>Baguette de Kouartz; Amublop Reinette Royale; Gelano; Blopanneau Reinette Royal; Bouclier Akwadala; Blopture Reinette Royale; Couronne du Wa Wobot; Cape du Wa Wobot; Bloptes Reinette Royales; Dofus Cawotte; Ravageur Terre mineur; Examinateur; Puissant mineur; Robuste mineur; Furibond mineur; Kompost</t>
        </is>
      </c>
    </row>
    <row r="16493">
      <c r="A16493" t="inlineStr">
        <is>
          <t>ROXX60</t>
        </is>
      </c>
      <c r="B16493">
        <f>HYPERLINK("https://www.dofusbook.net/fr/equipement/1210539-roxx60/objets", "link")</f>
        <v/>
      </c>
      <c r="C16493" t="n">
        <v>0</v>
      </c>
      <c r="D16493" t="inlineStr">
        <is>
          <t>Razielle; Pendentiffre; Alliance de Corail; Gelano; Bouclier Fi'Squale; Ceinture Tortue Verte; Phéro-Cape; Bottoduvet; Miraculé mineur; Furibond mineur; Ravageur Terre mineur; Enragé mineur; Dévastateur Terre mineur; Observateur; Kompost; Capuche de Joris</t>
        </is>
      </c>
    </row>
    <row r="16494">
      <c r="A16494" t="inlineStr">
        <is>
          <t>Atcham Stri</t>
        </is>
      </c>
      <c r="B16494">
        <f>HYPERLINK("https://www.dofusbook.net/fr/equipement/1209333-atcham-stri/objets", "link")</f>
        <v/>
      </c>
      <c r="C16494" t="n">
        <v>1</v>
      </c>
      <c r="D16494" t="inlineStr">
        <is>
          <t>Sabres d'Atcham; Amulette du Strigide; Bracelet du Piloztère; Anneau de Padgref; Quatre-feuilles; Ceinture du Strigide; Coiffe de Padgref; Cape d'Atcham; Getas de Padgref; Dofus Ocre; Dofus Nébuleux; Dofus Turquoise; Dolmanax; Dofus Pourpre; Dofus des Glaces; Muldo Prune et Emeraude</t>
        </is>
      </c>
    </row>
    <row r="16495">
      <c r="A16495" t="inlineStr">
        <is>
          <t>Eca Soin</t>
        </is>
      </c>
      <c r="B16495">
        <f>HYPERLINK("https://www.dofusbook.net/fr/equipement/1142829-eca-soin/objets", "link")</f>
        <v/>
      </c>
      <c r="C16495" t="n">
        <v>0</v>
      </c>
      <c r="D16495" t="inlineStr">
        <is>
          <t>Le Thanos; Amulette Séculaire; Kralano; Anneau de Padgref; Bouclier du Cycloïde; Ceinture Séculaire; Coiffe de Padgref; Cape du Professeur Xa; Getas de Padgref; Dofus Turquoise; Dofus Pourpre; Dofus Ocre; Dofus Émeraude; Dolmanax; Soigneur majeur; Muldo Prune et Emeraude</t>
        </is>
      </c>
    </row>
    <row r="16496">
      <c r="A16496" t="inlineStr">
        <is>
          <t>koly</t>
        </is>
      </c>
      <c r="B16496">
        <f>HYPERLINK("https://www.dofusbook.net/fr/equipement/195496-koly/objets", "link")</f>
        <v/>
      </c>
      <c r="C16496" t="n">
        <v>0</v>
      </c>
      <c r="D16496" t="inlineStr">
        <is>
          <t>Hache du Chalœil; Amulette Ementaire Deluxe; Anneau Tique; Alliance Gloursonne; Quatre-feuilles; Ceintacé; Casque Dragoeuf; Dofusteuse; Bottes du Chalœil; Dolmanax; Dofus Pourpre; Miraculé majeur; Remueur; Nomade; Carapace Terre majeur; Kramkram</t>
        </is>
      </c>
    </row>
    <row r="16497">
      <c r="A16497" t="inlineStr">
        <is>
          <t>Stuff 3</t>
        </is>
      </c>
      <c r="B16497">
        <f>HYPERLINK("https://www.dofusbook.net/fr/equipement/195498-stuff-3/objets", "link")</f>
        <v/>
      </c>
      <c r="C16497" t="n">
        <v>0</v>
      </c>
      <c r="D16497" t="inlineStr">
        <is>
          <t>Dagues Érhy; Amulette du Strigide; Bracelet du Piloztère; Anneau de Padgref; Bouclier du Captain Amakna; Ceinture du Strigide; Coiffe de Padgref; Cape du Professeur Xa; Getas de Padgref; Dofus Émeraude; Dolmanax; Dofus des Glaces; Dofus Turquoise; Dofus Pourpre; Dofus Ocre; Muldo Prune et Emeraude</t>
        </is>
      </c>
    </row>
    <row r="16498">
      <c r="A16498" t="inlineStr">
        <is>
          <t>Stuff 3</t>
        </is>
      </c>
      <c r="B16498">
        <f>HYPERLINK("https://www.dofusbook.net/fr/equipement/195515-stuff-3/objets", "link")</f>
        <v/>
      </c>
      <c r="C16498" t="n">
        <v>0</v>
      </c>
      <c r="D16498" t="inlineStr">
        <is>
          <t>Épée du Granduk; Amulette du Granduk; Anneau d'Allister; Alliance Gloursonne; Ceinture de Klime; Masque de Klime; Cape de Klime; Bottes d'Allister; Dofus des Glaces; Dofus Pourpre; Dofus Ocre; Ravageur Air majeur; Saccageur Air majeur; Turbulent; Dragodinde Prune et Ebène</t>
        </is>
      </c>
    </row>
    <row r="16499">
      <c r="A16499" t="inlineStr">
        <is>
          <t>Stuff 2</t>
        </is>
      </c>
      <c r="B16499">
        <f>HYPERLINK("https://www.dofusbook.net/fr/equipement/195500-stuff-2/objets", "link")</f>
        <v/>
      </c>
      <c r="C16499" t="n">
        <v>0</v>
      </c>
      <c r="D16499" t="inlineStr"/>
    </row>
    <row r="16500">
      <c r="A16500" t="inlineStr">
        <is>
          <t>Stuff 2</t>
        </is>
      </c>
      <c r="B16500">
        <f>HYPERLINK("https://www.dofusbook.net/fr/equipement/195520-stuff-2/objets", "link")</f>
        <v/>
      </c>
      <c r="C16500" t="n">
        <v>0</v>
      </c>
      <c r="D16500" t="inlineStr">
        <is>
          <t>La Baguette des Limbes; Médaille Kido; Anneau du Minotoror; Alliance d'Elya Wood; String Fouetteur; Masque de Pantèroz; Ortiz; Bottes Xélomorphes; Dofus Émeraude; Dofus Ocre; Dofus Pourpre; Remueur; Observateur; Nomade; Dragodinde Prune</t>
        </is>
      </c>
    </row>
    <row r="16501">
      <c r="A16501" t="inlineStr">
        <is>
          <t>Stuff 3</t>
        </is>
      </c>
      <c r="B16501">
        <f>HYPERLINK("https://www.dofusbook.net/fr/equipement/195512-stuff-3/objets", "link")</f>
        <v/>
      </c>
      <c r="C16501" t="n">
        <v>0</v>
      </c>
      <c r="D16501" t="inlineStr">
        <is>
          <t>Héqache; Amulette du Strigide; Bracelet du Piloztère; Bague Gloursonne; Ceinture du Strigide; Casque de Missiz Frizz; Voile d'encre; Tentassons; Dofus Ocre; Dofus Turquoise; Dofus Pourpre; Dofus Nébuleux; Nomade; Remueur; Kramkram</t>
        </is>
      </c>
    </row>
    <row r="16502">
      <c r="A16502" t="inlineStr">
        <is>
          <t>Stuff 2</t>
        </is>
      </c>
      <c r="B16502">
        <f>HYPERLINK("https://www.dofusbook.net/fr/equipement/195497-stuff-2/objets", "link")</f>
        <v/>
      </c>
      <c r="C16502" t="n">
        <v>0</v>
      </c>
      <c r="D16502" t="inlineStr">
        <is>
          <t>Baguette Houffe-Craitien; Amulette du Strigide; Anneau de Padgref; Bracelet du Piloztère; Quatre-feuilles; Ceinture du Strigide; Coiffe de Padgref; Cape du Professeur Xa; Getas de Padgref; Dofus Pourpre; Dofus Ocre; Dofus Nébuleux; Dolmanax; Dofus des Glaces; Dofus Turquoise; Bouflux</t>
        </is>
      </c>
    </row>
    <row r="16503">
      <c r="A16503" t="inlineStr">
        <is>
          <t>Stuff 1</t>
        </is>
      </c>
      <c r="B16503">
        <f>HYPERLINK("https://www.dofusbook.net/fr/equipement/195519-stuff-1/objets", "link")</f>
        <v/>
      </c>
      <c r="C16503" t="n">
        <v>0</v>
      </c>
      <c r="D16503" t="inlineStr">
        <is>
          <t>Arc Hétype; Amulette d'Otomaï; Anneau Tique; Anneau de Nidas; Ceinture Séculaire; Coiffe Séculaire; Voile d'encre; Bottes de Dremoan; Dévastateur Feu majeur; Remueur; Savant majeur; Érudit majeur; Miraculé majeur; Nomade; Brûlih</t>
        </is>
      </c>
    </row>
    <row r="16504">
      <c r="A16504" t="inlineStr">
        <is>
          <t>Stuff 3</t>
        </is>
      </c>
      <c r="B16504">
        <f>HYPERLINK("https://www.dofusbook.net/fr/equipement/195521-stuff-3/objets", "link")</f>
        <v/>
      </c>
      <c r="C16504" t="n">
        <v>0</v>
      </c>
      <c r="D16504" t="inlineStr">
        <is>
          <t>Dagues Érhy; Amulette du Cycloïde; Anneau Rifique; Anneau du Katcheur; Ceinture de l'Indicible; Casque du Chalœil; Voile d'encre; Bottes de l'Indicible; Dofus Pourpre; Dofus des Glaces; Dofus Ocre; Dolmanax; Remueur; Nomade; Dragodinde en armure</t>
        </is>
      </c>
    </row>
    <row r="16505">
      <c r="A16505" t="inlineStr">
        <is>
          <t>Stuff 3</t>
        </is>
      </c>
      <c r="B16505">
        <f>HYPERLINK("https://www.dofusbook.net/fr/equipement/195498-stuff-3/objets", "link")</f>
        <v/>
      </c>
      <c r="C16505" t="n">
        <v>0</v>
      </c>
      <c r="D16505" t="inlineStr">
        <is>
          <t>Dagues Érhy; Amulette du Strigide; Bracelet du Piloztère; Anneau de Padgref; Bouclier du Captain Amakna; Ceinture du Strigide; Coiffe de Padgref; Cape du Professeur Xa; Getas de Padgref; Dofus des Glaces; Dofus Turquoise; Dofus Pourpre; Dofus Ocre; Dofus Émeraude; Dolmanax; Muldo Prune et Emeraude</t>
        </is>
      </c>
    </row>
    <row r="16506">
      <c r="A16506" t="inlineStr">
        <is>
          <t>Multi</t>
        </is>
      </c>
      <c r="B16506">
        <f>HYPERLINK("https://www.dofusbook.net/fr/equipement/420273-multi/objets", "link")</f>
        <v/>
      </c>
      <c r="C16506" t="n">
        <v>17</v>
      </c>
      <c r="D16506" t="inlineStr">
        <is>
          <t>Hache du Chalœil; Amulette Volkorne; Bague Trithon; Anneau Volkorne; Quatre-feuilles; Ceinture Volkorne; Le Dorado; Voile d'encre; Bottes Trithon; Dofus Ocre; Dofus Ivoire; Dofus Turquoise; Dofus Ébène; Dofus Abyssal; Dofus Pourpre; El Scarador</t>
        </is>
      </c>
    </row>
    <row r="16507">
      <c r="A16507" t="inlineStr">
        <is>
          <t>Full Fo 11/6</t>
        </is>
      </c>
      <c r="B16507">
        <f>HYPERLINK("https://www.dofusbook.net/fr/equipement/4076536-full-fo-11-6/objets", "link")</f>
        <v/>
      </c>
      <c r="C16507" t="n">
        <v>2</v>
      </c>
      <c r="D16507" t="inlineStr">
        <is>
          <t>Arc du Chalœil; Amulette du Strigide; Bague Trithon; Anneau Volkorne; Bouclier du Stalak; Ceinture Volkorne; Masque de Koutoulou; Cape au Logis; Bottes Trithon; Dokoko; Dofus Ivoire; Dofus Pourpre; Dofus Ocre; Dofus Abyssal; Dofus Ébène; Black Tiwabbit</t>
        </is>
      </c>
    </row>
    <row r="16508">
      <c r="A16508" t="inlineStr">
        <is>
          <t>Fo- Empujes</t>
        </is>
      </c>
      <c r="B16508">
        <f>HYPERLINK("https://www.dofusbook.net/fr/equipement/3922133-fo--empujes/objets", "link")</f>
        <v/>
      </c>
      <c r="C16508" t="n">
        <v>5</v>
      </c>
      <c r="D16508" t="inlineStr">
        <is>
          <t>Arc du Chalœil; Amulette Luminescente; Anneau Chevelu; Bague Trithon; Bouclier du Stalak; Ceinture Gence; Masque de Koutoulou; Cape au Logis; Bottes Trithon; Dofus Ébène; Dofus Pourpre; Dofus Abyssal; Dokoko; Dofus Ivoire; Culbuteur majeur; Black Tiwabbit</t>
        </is>
      </c>
    </row>
    <row r="16509">
      <c r="A16509" t="inlineStr">
        <is>
          <t>Agi-Resis</t>
        </is>
      </c>
      <c r="B16509">
        <f>HYPERLINK("https://www.dofusbook.net/fr/equipement/3259142-agi-resis/objets", "link")</f>
        <v/>
      </c>
      <c r="C16509" t="n">
        <v>11</v>
      </c>
      <c r="D16509" t="inlineStr">
        <is>
          <t>Crocobur; Collier du Valet Veinard; Gant du Valet Veinard; Alliance Gloursonne; Bouclier d'Ilyzaelle; Menoture; Dorabysses; Cape d'Anerice; Palmes Trithons; Dofus Abyssal; Dofus Ocre; Dofus Ivoire; Dofus Ébène; Cascadeur majeur; Nomade; Blérodoudou</t>
        </is>
      </c>
    </row>
    <row r="16510">
      <c r="A16510" t="inlineStr">
        <is>
          <t>Sacrieur F 200</t>
        </is>
      </c>
      <c r="B16510">
        <f>HYPERLINK("https://www.dofusbook.net/fr/equipement/4230311-sacrieur-f-200/objets", "link")</f>
        <v/>
      </c>
      <c r="C16510" t="n">
        <v>1</v>
      </c>
      <c r="D16510" t="inlineStr">
        <is>
          <t>Crocobur; Amulette de l'Œil Attentif; Alliance Gloursonne; Anneau Volkorne; Bouclier Taverne; Poulpagne; Casque Dragoeuf; Cape de l'Œil Attentif; Bottes du Sinistrofu; Dofus Turquoise; Dofus Ébène; Dofus Abyssal; Dofus Ivoire; Remueur; Nomade; Kokulte</t>
        </is>
      </c>
    </row>
    <row r="16511">
      <c r="A16511" t="inlineStr">
        <is>
          <t>Agi</t>
        </is>
      </c>
      <c r="B16511">
        <f>HYPERLINK("https://www.dofusbook.net/fr/equipement/4229640-agi/objets", "link")</f>
        <v/>
      </c>
      <c r="C16511" t="n">
        <v>0</v>
      </c>
      <c r="D16511" t="inlineStr">
        <is>
          <t>Plume de Buhorado; Collier du Valet Veinard; Gant du Valet Veinard; Alliance Gloursonne; Bouclier du Stalak; Menoture; Casque Dragoeuf; Cape Indescriptible; Palmes Trithons; Dofus Ocre; Dofus Ébène; Dofus Abyssal; Dofus Pourpre; Dofus Ivoire; Cascadeur majeur; Blérodoudou</t>
        </is>
      </c>
    </row>
    <row r="16512">
      <c r="A16512" t="inlineStr">
        <is>
          <t>Inte Ret</t>
        </is>
      </c>
      <c r="B16512">
        <f>HYPERLINK("https://www.dofusbook.net/fr/equipement/3484989-inte-ret/objets", "link")</f>
        <v/>
      </c>
      <c r="C16512" t="n">
        <v>6</v>
      </c>
      <c r="D16512" t="inlineStr">
        <is>
          <t>Baguette de Malléfisk; Pendentif affamé; Anneauræus; Bague Gloursonne; Sept ans de malheur; Menoture; Masque Ardent; Voile d'encre; Chaussures Ardentes; Dokoko; Étourdisseur majeur; Nomade; Guérisseur majeur; Carapace Feu majeur; Remueur; Dragoune Rose</t>
        </is>
      </c>
    </row>
    <row r="16513">
      <c r="A16513" t="inlineStr">
        <is>
          <t>Inte-Resis</t>
        </is>
      </c>
      <c r="B16513">
        <f>HYPERLINK("https://www.dofusbook.net/fr/equipement/3968691-inte-resis/objets", "link")</f>
        <v/>
      </c>
      <c r="C16513" t="n">
        <v>1</v>
      </c>
      <c r="D16513" t="inlineStr">
        <is>
          <t>Arc corrompu; Amulette Séculaire; Anneauræus; Anneauræus; Quatre-feuilles; Ceinture Séculaire; Casque Dragoeuf; Cape de Diondin; Bottes d'Otomaï; Dofus Ébène; Dofus Turquoise; Remueur; Carapace Feu majeur; Nomade; Érudit majeur; Bisouglours</t>
        </is>
      </c>
    </row>
    <row r="16514">
      <c r="A16514" t="inlineStr">
        <is>
          <t>Full Agi</t>
        </is>
      </c>
      <c r="B16514">
        <f>HYPERLINK("https://www.dofusbook.net/fr/equipement/420257-full-agi/objets", "link")</f>
        <v/>
      </c>
      <c r="C16514" t="n">
        <v>3</v>
      </c>
      <c r="D16514" t="inlineStr">
        <is>
          <t>Plume de Buhorado; Collier du Valet Veinard; Gant du Valet Veinard; Alliance Gloursonne; Bouclier du Stalak; Menoture; Casque Dragoeuf; Cape du Kamasterisk; Palmes Trithons; Dofus Ébène; Dofus Ocre; Dofus Abyssal; Dofus Ivoire; Cascadeur majeur; Étourdisseur majeur; Boskito</t>
        </is>
      </c>
    </row>
    <row r="16515">
      <c r="A16515" t="inlineStr">
        <is>
          <t>Criticos</t>
        </is>
      </c>
      <c r="B16515">
        <f>HYPERLINK("https://www.dofusbook.net/fr/equipement/1651242-criticos/objets", "link")</f>
        <v/>
      </c>
      <c r="C16515" t="n">
        <v>11</v>
      </c>
      <c r="D16515" t="inlineStr">
        <is>
          <t>Arc Volkorne; Amulette Volkorne; Anneau Volkorne; Bracelet du Piloztère; Quatre-feuilles; Ceinture Volkorne; Casque du Chalœil; Cape du Chalœil; Bottes du Chalœil; Dofus Ocre; Dofus Turquoise; Dofus Nébuleux; Dolmanax; Dofus Pourpre; Dofus des Glaces; Fëanor</t>
        </is>
      </c>
    </row>
    <row r="16516">
      <c r="A16516" t="inlineStr">
        <is>
          <t>12/6 Fuerza</t>
        </is>
      </c>
      <c r="B16516">
        <f>HYPERLINK("https://www.dofusbook.net/fr/equipement/3736747-12-6-fuerza/objets", "link")</f>
        <v/>
      </c>
      <c r="C16516" t="n">
        <v>22</v>
      </c>
      <c r="D16516" t="inlineStr">
        <is>
          <t>Arc du Chalœil; Amulette Héroclite; Anneau Volkorne; Bague Gloursonne; Bouclier du Stalak; Ceinture Volkorne; Casque Dragoeuf; Cape du Kamasterisk; Bottes de la Cour Sombre; Dofus Ivoire; Dofus Ocre; Dofus Abyssal; Enragé majeur; Remueur; Nomade; Volkorne Pourpre</t>
        </is>
      </c>
    </row>
    <row r="16517">
      <c r="A16517" t="inlineStr">
        <is>
          <t>Suerte</t>
        </is>
      </c>
      <c r="B16517">
        <f>HYPERLINK("https://www.dofusbook.net/fr/equipement/1807733-suerte/objets", "link")</f>
        <v/>
      </c>
      <c r="C16517" t="n">
        <v>13</v>
      </c>
      <c r="D16517" t="inlineStr">
        <is>
          <t>Sceptre du Roi Joueur; Amulette de Shokkoth; Alliance Gloursonne; Anneau Volkorne; Bouclier d'Ilyzaelle; Poulpagne; Capuche de l'Œil Attentif; Cape de l'Œil Attentif; Bottes du Sinistrofu; Dofus Abyssal; Dofus Ivoire; Dofus Émeraude; Remueur; Chanceux majeur; Nomade; El Scarador</t>
        </is>
      </c>
    </row>
    <row r="16518">
      <c r="A16518" t="inlineStr">
        <is>
          <t>PVM</t>
        </is>
      </c>
      <c r="B16518">
        <f>HYPERLINK("https://www.dofusbook.net/fr/equipement/3554481-pvm/objets", "link")</f>
        <v/>
      </c>
      <c r="C16518" t="n">
        <v>1</v>
      </c>
      <c r="D16518" t="inlineStr">
        <is>
          <t>Epée Toche; Amulette du Strigide; Bague Gloursonne; Alliance de Missiz Frizz; Bouclier du Captain Amakna; Ceinture du Strigide; Casque de Missiz Frizz; Voile d'encre; Bottes du Strigide; Dofus Ocre; Dofus Pourpre; Dofus des Glaces; Dofus Turquoise; Puissant majeur; Forcené majeur; Fëanor</t>
        </is>
      </c>
    </row>
    <row r="16519">
      <c r="A16519" t="inlineStr">
        <is>
          <t>Féca Fo 200</t>
        </is>
      </c>
      <c r="B16519">
        <f>HYPERLINK("https://www.dofusbook.net/fr/equipement/3817374-feca-fo-200/objets", "link")</f>
        <v/>
      </c>
      <c r="C16519" t="n">
        <v>6</v>
      </c>
      <c r="D16519" t="inlineStr">
        <is>
          <t>Lav'Hache; Collier de Tourthon; Anneau Chevelu; Bague Gloursonne; Bouclier d'Ilyzaelle; Ceintouse; Masque de Koutoulou; Cape au Logis; Tentassons; Dofus Émeraude; Dokoko; Étourdisseur majeur; Carapace Terre majeur; Enragé majeur; Remueur; Drakopin</t>
        </is>
      </c>
    </row>
    <row r="16520">
      <c r="A16520" t="inlineStr">
        <is>
          <t>Fuerza</t>
        </is>
      </c>
      <c r="B16520">
        <f>HYPERLINK("https://www.dofusbook.net/fr/equipement/4113494-fuerza/objets", "link")</f>
        <v/>
      </c>
      <c r="C16520" t="n">
        <v>0</v>
      </c>
      <c r="D16520" t="inlineStr">
        <is>
          <t>Arc du Chalœil; Amulette du Strigide; Anneau Crustique; Anneau Chevelu; Quatre-feuilles; Ceintouse; Masque de Koutoulou; Cape au Logis; Bottes du Strigide; Dofus Ocre; Dofus Ivoire; Dofus Abyssal; Dofus Pourpre; Dofus Turquoise; Étourdisseur majeur; Boskito</t>
        </is>
      </c>
    </row>
    <row r="16521">
      <c r="A16521" t="inlineStr">
        <is>
          <t>Agua Empujes</t>
        </is>
      </c>
      <c r="B16521">
        <f>HYPERLINK("https://www.dofusbook.net/fr/equipement/2251136-agua-empujes/objets", "link")</f>
        <v/>
      </c>
      <c r="C16521" t="n">
        <v>2</v>
      </c>
      <c r="D16521" t="inlineStr">
        <is>
          <t>Hache Téroïde; Amulette du Strigide; Bracelet du Piloztère; Bague Gloursonne; Bouclier du Captain Amakna; Ceintacé; Chapeau de Gein; Cape au Logis; Bottes du Strigide; Dofus Turquoise; Dofus Ivoire; Dofus Pourpre; Dofus des Glaces; Dofus Ocre; Vigoureux majeur; Pioute vert</t>
        </is>
      </c>
    </row>
    <row r="16522">
      <c r="A16522" t="inlineStr">
        <is>
          <t>Aguante</t>
        </is>
      </c>
      <c r="B16522">
        <f>HYPERLINK("https://www.dofusbook.net/fr/equipement/4080336-aguante/objets", "link")</f>
        <v/>
      </c>
      <c r="C16522" t="n">
        <v>0</v>
      </c>
      <c r="D16522" t="inlineStr">
        <is>
          <t>Rouleau à Pâtisserie d'Aermyne; Amulette de Nileza; Anneau de Pol Ouatnos; Alliance Gloursonne; Sept ans de malheur; Ceintacé; Masque d'Anerice; Cape d'Anerice; Sabots Minables; Dofus Émeraude; Dofus Abyssal; Remueur; Fonceur majeur; Nomade; Obstructeur majeur; Givrefoux</t>
        </is>
      </c>
    </row>
    <row r="16523">
      <c r="A16523" t="inlineStr">
        <is>
          <t>Fo 12/6</t>
        </is>
      </c>
      <c r="B16523">
        <f>HYPERLINK("https://www.dofusbook.net/fr/equipement/420274-fo-12-6/objets", "link")</f>
        <v/>
      </c>
      <c r="C16523" t="n">
        <v>9</v>
      </c>
      <c r="D16523" t="inlineStr">
        <is>
          <t>Marteau R'ture; Amulette du Strigide; Anneau de Brouce; Bague Gloursonne; Bouclier du Captain Amakna; Ceinture Volkorne; Chapeau de Gein; Voile d'encre; Bottes de Brouce; Dofus Nébuleux; Dofus Ocre; Dofus Turquoise; Enragé majeur; Remueur; Nomade; Volkorne Pourpre</t>
        </is>
      </c>
    </row>
    <row r="16524">
      <c r="A16524" t="inlineStr">
        <is>
          <t>Full Inte</t>
        </is>
      </c>
      <c r="B16524">
        <f>HYPERLINK("https://www.dofusbook.net/fr/equipement/3813307-full-inte/objets", "link")</f>
        <v/>
      </c>
      <c r="C16524" t="n">
        <v>3</v>
      </c>
      <c r="D16524" t="inlineStr">
        <is>
          <t>Arc corrompu; Amulette Volkorne; Anneauræus; Anneauræus; Bouclier du Stalak; Ceinture de Vortex; Masquegel; Cape Martegel; Bottes Innommables; Dofus Nébuleux; Dofus Pourpre; Dofus Ocre; Érudit majeur; Remueur; Nomade; Kougnard</t>
        </is>
      </c>
    </row>
    <row r="16525">
      <c r="A16525" t="inlineStr">
        <is>
          <t>Suerte</t>
        </is>
      </c>
      <c r="B16525">
        <f>HYPERLINK("https://www.dofusbook.net/fr/equipement/3339448-suerte/objets", "link")</f>
        <v/>
      </c>
      <c r="C16525" t="n">
        <v>17</v>
      </c>
      <c r="D16525" t="inlineStr">
        <is>
          <t>Sceptre du Roi Joueur; Amulette de l'Œil Attentif; Anneau Volkorne; Alliance Gloursonne; Bouclier du Stalak; Sangle Ouare; Kidibonnet; Cape de l'Œil Attentif; Bottes du Sinistrofu; Dofus Ocre; Dofus Abyssal; Dofus Pourpre; Dofus Nébuleux; Dofus Ivoire; Chanceux majeur; Petit Chacha Blanc</t>
        </is>
      </c>
    </row>
    <row r="16526">
      <c r="A16526" t="inlineStr">
        <is>
          <t>Osamodas F 200</t>
        </is>
      </c>
      <c r="B16526">
        <f>HYPERLINK("https://www.dofusbook.net/fr/equipement/4011275-osamodas-f-200/objets", "link")</f>
        <v/>
      </c>
      <c r="C16526" t="n">
        <v>1</v>
      </c>
      <c r="D16526" t="inlineStr">
        <is>
          <t>Baguette de Malléfisk; Pendentif mignon de Koutoulou; Anneau de Nidas; Bague Gloursonne; Carapar; Sangle Aise; Casque Cyclopéen; Voile d'encre; Bottes Innommables; Soigneur majeur; Guérisseur majeur; Astucieux majeur; Remueur; Érudit majeur; Nomade; Willy le Relou</t>
        </is>
      </c>
    </row>
    <row r="16527">
      <c r="A16527" t="inlineStr">
        <is>
          <t>Mejia</t>
        </is>
      </c>
      <c r="B16527">
        <f>HYPERLINK("https://www.dofusbook.net/fr/equipement/1283725-mejia/objets", "link")</f>
        <v/>
      </c>
      <c r="C16527" t="n">
        <v>13</v>
      </c>
      <c r="D16527" t="inlineStr">
        <is>
          <t>Hache du Chalœil; Amulette du Strigide; Anneau Toriété; Bracelet du Piloztère; Quatre-feuilles; Ceintacé; Casque Dragoeuf; Cape au Logis; Bottes du Strigide; Dolmanax; Dofus Turquoise; Dofus Pourpre; Remueur; Carapace Terre majeur; Vigoureux majeur; Kokulte</t>
        </is>
      </c>
    </row>
    <row r="16528">
      <c r="A16528" t="inlineStr">
        <is>
          <t>Inte</t>
        </is>
      </c>
      <c r="B16528">
        <f>HYPERLINK("https://www.dofusbook.net/fr/equipement/3860257-inte/objets", "link")</f>
        <v/>
      </c>
      <c r="C16528" t="n">
        <v>1</v>
      </c>
      <c r="D16528" t="inlineStr">
        <is>
          <t>Harpelle; Amulette Séculaire; Anneau Toriété; Anneau de Nidas; Bivalve; Sangle Aise; Couronne de Nidas; Cape de Nileza; Pantoufles Émar; Dofus Turquoise; Vigoureux majeur; Remueur; Miraculé majeur; Nomade; Érudit majeur; Brûlih</t>
        </is>
      </c>
    </row>
    <row r="16529">
      <c r="A16529" t="inlineStr">
        <is>
          <t>Pot</t>
        </is>
      </c>
      <c r="B16529">
        <f>HYPERLINK("https://www.dofusbook.net/fr/equipement/2902352-pot/objets", "link")</f>
        <v/>
      </c>
      <c r="C16529" t="n">
        <v>4</v>
      </c>
      <c r="D16529" t="inlineStr">
        <is>
          <t>Hache du Chalœil; Amulette du Strigide; Anneau de Padgref; Bracelet du Piloztère; Quatre-feuilles; Ceinture du Strigide; Casque du Chalœil; Cape du Chalœil; Bottes du Strigide; Dofus Pourpre; Dofus Nébuleux; Dofus Ocre; Dofus Turquoise; Dolmanax; Dofus des Glaces; Fëanor</t>
        </is>
      </c>
    </row>
    <row r="16530">
      <c r="A16530" t="inlineStr">
        <is>
          <t>Hacha</t>
        </is>
      </c>
      <c r="B16530">
        <f>HYPERLINK("https://www.dofusbook.net/fr/equipement/3296013-hacha/objets", "link")</f>
        <v/>
      </c>
      <c r="C16530" t="n">
        <v>17</v>
      </c>
      <c r="D16530" t="inlineStr">
        <is>
          <t>Héqache; Amulette du Strigide; Bague Gloursonne; Anneau Chevelu; Bouclier du Captain Amakna; Ceinture Volkorne; Masque de Koutoulou; Cape au Logis; Bottes du Strigide; Dofus Ivoire; Dofus Abyssal; Dofus Turquoise; Dofus Ocre; Dofus Pourpre; Enragé majeur; Kokulte</t>
        </is>
      </c>
    </row>
    <row r="16531">
      <c r="A16531" t="inlineStr">
        <is>
          <t>Diego</t>
        </is>
      </c>
      <c r="B16531">
        <f>HYPERLINK("https://www.dofusbook.net/fr/equipement/3818093-diego/objets", "link")</f>
        <v/>
      </c>
      <c r="C16531" t="n">
        <v>15</v>
      </c>
      <c r="D16531" t="inlineStr">
        <is>
          <t>Arc de Guten Tak; Amulette du Strigide; Anneau Toriété; Anneau en Grithril; Quatre-feuilles; Ceintacé; Masque de Koutoulou; Cape au Logis; Bottes du Strigide; Dofus Turquoise; Dokoko; Dofus Pourpre; Remueur; Vigoureux majeur; Carapace Air majeur; Bwak de Terre</t>
        </is>
      </c>
    </row>
    <row r="16532">
      <c r="A16532" t="inlineStr">
        <is>
          <t>Inte-Agi</t>
        </is>
      </c>
      <c r="B16532">
        <f>HYPERLINK("https://www.dofusbook.net/fr/equipement/3860318-inte-agi/objets", "link")</f>
        <v/>
      </c>
      <c r="C16532" t="n">
        <v>2</v>
      </c>
      <c r="D16532" t="inlineStr">
        <is>
          <t>Baguette Range; Pendentif mignon de Koutoulou; Kralano; Anneau Rifique; Quatre-feuilles; Ceinture Séculaire; Capuche de l'Œil Putride; Cape de Diondin; Bottes Dogues; Dofus Turquoise; Dolmanax; Érudit majeur; Nomade; Remueur; Cascadeur majeur; Willy le Relou</t>
        </is>
      </c>
    </row>
    <row r="16533">
      <c r="A16533" t="inlineStr">
        <is>
          <t>Actual</t>
        </is>
      </c>
      <c r="B16533">
        <f>HYPERLINK("https://www.dofusbook.net/fr/equipement/2345779-actual/objets", "link")</f>
        <v/>
      </c>
      <c r="C16533" t="n">
        <v>0</v>
      </c>
      <c r="D16533" t="inlineStr">
        <is>
          <t>Hache du Chalœil; Amulette du Strigide; Anneau de Pol Ouatnos; Alliance Gloursonne; Quatre-feuilles; Ceintacé; Le Dorado; Voile d'encre; Bottes du Strigide; Dofus Abyssal; Dolmanax; Dofus Turquoise; Nomade; Fonceur majeur; Remueur; Titard</t>
        </is>
      </c>
    </row>
    <row r="16534">
      <c r="A16534" t="inlineStr">
        <is>
          <t>Full-Fo</t>
        </is>
      </c>
      <c r="B16534">
        <f>HYPERLINK("https://www.dofusbook.net/fr/equipement/3510183-full-fo/objets", "link")</f>
        <v/>
      </c>
      <c r="C16534" t="n">
        <v>2</v>
      </c>
      <c r="D16534" t="inlineStr">
        <is>
          <t>Marteau R'ture; Collier de Tourthon; Bracelet du Piloztère; Bague Gloursonne; Bouclier d'Ilyzaelle; Ceinture de la Cour Sombre; Masque de Koutoulou; Cape au Logis; Bottes de la Cour Sombre; Dofus Abyssal; Dofus Ivoire; Dofus Turquoise; Enragé majeur; Remueur; Miraculé majeur; Bwak de Terre</t>
        </is>
      </c>
    </row>
    <row r="16535">
      <c r="A16535" t="inlineStr">
        <is>
          <t>Inte</t>
        </is>
      </c>
      <c r="B16535">
        <f>HYPERLINK("https://www.dofusbook.net/fr/equipement/1194047-inte/objets", "link")</f>
        <v/>
      </c>
      <c r="C16535" t="n">
        <v>8</v>
      </c>
      <c r="D16535" t="inlineStr">
        <is>
          <t>Baguette de Malléfisk; Amulette de l'Œil Putride; Anneau Toriété; Anneauræus; Carapar; Ceinture Séculaire; Casque Dragoeuf; Cape de l'Œil Putride; Pataugastrique; Dofus Abyssal; Dofus Ivoire; Guérisseur majeur; Remueur; Fonceur majeur; Érudit majeur; Muldo Orchidée et Pourpre</t>
        </is>
      </c>
    </row>
    <row r="16536">
      <c r="A16536" t="inlineStr">
        <is>
          <t>Enutrof M 200</t>
        </is>
      </c>
      <c r="B16536">
        <f>HYPERLINK("https://www.dofusbook.net/fr/equipement/3462666-enutrof-m-200/objets", "link")</f>
        <v/>
      </c>
      <c r="C16536" t="n">
        <v>1</v>
      </c>
      <c r="D16536" t="inlineStr">
        <is>
          <t>Hache du Chalœil; Amulette du Strigide; Bague Trithon; Bracelet du Piloztère; Quatre-feuilles; Ceinture du Strigide; Masque Trithon; Bottes du Strigide; Dofus Pourpre; Dofus Abyssal; Dofus Turquoise; Dofus Ivoire; Dolmanax; Dofus Ocre</t>
        </is>
      </c>
    </row>
    <row r="16537">
      <c r="A16537" t="inlineStr">
        <is>
          <t>Ret PM</t>
        </is>
      </c>
      <c r="B16537">
        <f>HYPERLINK("https://www.dofusbook.net/fr/equipement/2736666-ret-pm/objets", "link")</f>
        <v/>
      </c>
      <c r="C16537" t="n">
        <v>0</v>
      </c>
      <c r="D16537" t="inlineStr">
        <is>
          <t>Baguette Hique; Collier de la Dame du Hasard; Anneau de la Fuji Givrefoux; Pikano; Bouclier cubiste; Ceinture Instable; Capuche de l'Œil Putride; Cape de Léthaline; Pikottes; Dofus Abyssal; Dofus Ocre; Temporiseur majeur; Remueur; Nomade; Entraveur majeur; Gwo Tofu Ventripotent</t>
        </is>
      </c>
    </row>
    <row r="16538">
      <c r="A16538" t="inlineStr">
        <is>
          <t>Miau</t>
        </is>
      </c>
      <c r="B16538">
        <f>HYPERLINK("https://www.dofusbook.net/fr/equipement/3652923-miau/objets", "link")</f>
        <v/>
      </c>
      <c r="C16538" t="n">
        <v>1</v>
      </c>
      <c r="D16538" t="inlineStr">
        <is>
          <t>Hache du Chalœil; Amulette du Strigide; Bracelet du Piloztère; Anneau Toriété; Quatre-feuilles; Ceinture du Strigide; Casque du Chalœil; Cape du Chalœil; Bottes du Chalœil; Dolmanax; Dofus Ocre; Dofus Pourpre; Dofus Abyssal; Dofus Turquoise; Dofus Ivoire; Muldo Indigo et Orchidée</t>
        </is>
      </c>
    </row>
    <row r="16539">
      <c r="A16539" t="inlineStr">
        <is>
          <t>Agua-Agi</t>
        </is>
      </c>
      <c r="B16539">
        <f>HYPERLINK("https://www.dofusbook.net/fr/equipement/2019890-agua-agi/objets", "link")</f>
        <v/>
      </c>
      <c r="C16539" t="n">
        <v>0</v>
      </c>
      <c r="D16539" t="inlineStr">
        <is>
          <t>Baguette de Malléfisk; Pendentif mignon de Koutoulou; Anneau Tamie; Anneau Rifique; Bouclier du Stalak; Sangle Aise; Capuche de l'Œil Putride; Cape de Diondin; Bottes Innommables; Érudit majeur; Guérisseur majeur; Remueur; Astucieux majeur; Nomade; Miraculé majeur; Pioute rouge</t>
        </is>
      </c>
    </row>
    <row r="16540">
      <c r="A16540" t="inlineStr">
        <is>
          <t>Agi</t>
        </is>
      </c>
      <c r="B16540">
        <f>HYPERLINK("https://www.dofusbook.net/fr/equipement/420275-agi/objets", "link")</f>
        <v/>
      </c>
      <c r="C16540" t="n">
        <v>1</v>
      </c>
      <c r="D16540" t="inlineStr">
        <is>
          <t>Manthache; Collier du Valet Veinard; Alliance Gloursonne; Gant du Valet Veinard; Quatre-feuilles; Menoture; Couronne d'Allister; Palmes Trithons; Dofus Abyssal; Dofus Pourpre; Dofus des Glaces; Remueur; Cascadeur majeur; Nomade; Siroko</t>
        </is>
      </c>
    </row>
    <row r="16541">
      <c r="A16541" t="inlineStr">
        <is>
          <t>Agi-koli</t>
        </is>
      </c>
      <c r="B16541">
        <f>HYPERLINK("https://www.dofusbook.net/fr/equipement/420280-agi-koli/objets", "link")</f>
        <v/>
      </c>
      <c r="C16541" t="n">
        <v>0</v>
      </c>
      <c r="D16541" t="inlineStr">
        <is>
          <t>Manthache; Collier du Valet Veinard; Alliance Gloursonne; Gant du Valet Veinard; Bouclier du Stalak; Menoture; Capuche de Moum-Ra; Cape Matelassée; Palmes Trithons; Dofus Pourpre; Cascadeur majeur; Miraculé majeur; Nomade; Dévastateur Air majeur; Remueur; Muldo Ebène</t>
        </is>
      </c>
    </row>
    <row r="16542">
      <c r="A16542" t="inlineStr">
        <is>
          <t>Agua Koli</t>
        </is>
      </c>
      <c r="B16542">
        <f>HYPERLINK("https://www.dofusbook.net/fr/equipement/1060367-agua-koli/objets", "link")</f>
        <v/>
      </c>
      <c r="C16542" t="n">
        <v>1</v>
      </c>
      <c r="D16542" t="inlineStr">
        <is>
          <t>Baguette Héroclite; Amulette de Shokkoth; Bracelet des Fonds marins; Alliance Gloursonne; Bouclier du Stalak; Poulpagne; Kidibonnet; Cape du Sinistrofu; Bottes du Sinistrofu; Chanceux majeur; Nomade; Observateur; Dévastateur Eau majeur; Taquin majeur; Remueur; Pioute bleu</t>
        </is>
      </c>
    </row>
    <row r="16543">
      <c r="A16543" t="inlineStr">
        <is>
          <t>anti roub</t>
        </is>
      </c>
      <c r="B16543">
        <f>HYPERLINK("https://www.dofusbook.net/fr/equipement/1213584-anti-roub/objets", "link")</f>
        <v/>
      </c>
      <c r="C16543" t="n">
        <v>1</v>
      </c>
      <c r="D16543" t="inlineStr">
        <is>
          <t>Arc de Koutoulou; Amulette Voldelor; Anneau Tique; Grésilanneau; Bouclier en Slip; Slip du Roi de Bonta; Dorabysses; Chevelure de Tal Kasha; Chaussures Face; Dofus Ocre; Dokoko; Dofus Pourpre; Dolmanax; Dofus Turquoise; Remueur; Muldo Orchidée et Pourpre</t>
        </is>
      </c>
    </row>
    <row r="16544">
      <c r="A16544" t="inlineStr">
        <is>
          <t>anti cra</t>
        </is>
      </c>
      <c r="B16544">
        <f>HYPERLINK("https://www.dofusbook.net/fr/equipement/1212055-anti-cra/objets", "link")</f>
        <v/>
      </c>
      <c r="C16544" t="n">
        <v>0</v>
      </c>
      <c r="D16544" t="inlineStr">
        <is>
          <t>Arc de Koutoulou; Amulette de Pol Ouatnos; Willkillsano; Alliance Gloursonne; Bouclier en Slip; Ceinture de Kongoku; Masque du Barbétoal; Cape du Chalœil; Bottes du Chalœil; Dofus Ocre; Dofus Abyssal; Dofus Pourpre; Fortification majeure; Remueur; Carapace Air majeur; Muldo Orchidée et Pourpre</t>
        </is>
      </c>
    </row>
    <row r="16545">
      <c r="A16545" t="inlineStr">
        <is>
          <t>anti enu</t>
        </is>
      </c>
      <c r="B16545">
        <f>HYPERLINK("https://www.dofusbook.net/fr/equipement/1211870-anti-enu/objets", "link")</f>
        <v/>
      </c>
      <c r="C16545" t="n">
        <v>0</v>
      </c>
      <c r="D16545" t="inlineStr">
        <is>
          <t>Arc de Koutoulou; Collier du Valet Veinard; Bracelet des Fonds marins; Gant du Valet Veinard; Bouclier alvéolé; Ceintacé; Masque des Fonds marins; Cape du Valet Veinard; Sandales des Fonds marins; Dofus Émeraude; Dofus Abyssal; Dolmanax; Dofus Pourpre; Dokoko; Robuste majeur; Muldo Orchidée et Pourpre</t>
        </is>
      </c>
    </row>
    <row r="16546">
      <c r="A16546" t="inlineStr">
        <is>
          <t>anti xel</t>
        </is>
      </c>
      <c r="B16546">
        <f>HYPERLINK("https://www.dofusbook.net/fr/equipement/1211744-anti-xel/objets", "link")</f>
        <v/>
      </c>
      <c r="C16546" t="n">
        <v>0</v>
      </c>
      <c r="D16546" t="inlineStr">
        <is>
          <t>Arc de Koutoulou; Amulette du Strigide; Anneau d'Allister; Bague Trithon; Bouclier du Captain Amakna; Poulpagne; Capuche de Moum-Ra; Chevelure de Tal Kasha; Bottes Trithon; Dofus Émeraude; Dofus Turquoise; Dofus Pourpre; Remueur; Évasif majeur; Carapace Air majeur; Muldo Orchidée et Pourpre</t>
        </is>
      </c>
    </row>
    <row r="16547">
      <c r="A16547" t="inlineStr">
        <is>
          <t>anti iop distance</t>
        </is>
      </c>
      <c r="B16547">
        <f>HYPERLINK("https://www.dofusbook.net/fr/equipement/1210139-anti-iop-distance/objets", "link")</f>
        <v/>
      </c>
      <c r="C16547" t="n">
        <v>0</v>
      </c>
      <c r="D16547" t="inlineStr">
        <is>
          <t>Arc de Koutoulou; Amulette du Strigide; Alliance Gloursonne; Bracelet du Piloztère; Ambrouclier; Ceintacé; Némès de Tal Kasha; Cape des Justiciers; Sandales de Tal Kasha; Dofus Pourpre; Dofus Émeraude; Dofus Turquoise; Carapace Air majeur; Vigoureux majeur; Carapace Feu majeur; Muldo Orchidée et Pourpre</t>
        </is>
      </c>
    </row>
    <row r="16548">
      <c r="A16548" t="inlineStr">
        <is>
          <t>anti iop cac</t>
        </is>
      </c>
      <c r="B16548">
        <f>HYPERLINK("https://www.dofusbook.net/fr/equipement/1209688-anti-iop-cac/objets", "link")</f>
        <v/>
      </c>
      <c r="C16548" t="n">
        <v>0</v>
      </c>
      <c r="D16548" t="inlineStr">
        <is>
          <t>Hache du Korriandre; Amulette du Strigide; Bracelet du Piloztère; Alliance Gloursonne; Jadis; Ceintacé; Némès de Tal Kasha; Cape des Justiciers; Sandales de Tal Kasha; Dofus Émeraude; Dofus Turquoise; Dofus Pourpre; Carapace Feu majeur; Carapace Air majeur; Vigoureux majeur; Muldo Orchidée et Pourpre</t>
        </is>
      </c>
    </row>
    <row r="16549">
      <c r="A16549" t="inlineStr">
        <is>
          <t>anti sadi</t>
        </is>
      </c>
      <c r="B16549">
        <f>HYPERLINK("https://www.dofusbook.net/fr/equipement/1209556-anti-sadi/objets", "link")</f>
        <v/>
      </c>
      <c r="C16549" t="n">
        <v>0</v>
      </c>
      <c r="D16549" t="inlineStr">
        <is>
          <t>L'Épée Nice; Amulette du Sinistrofu; Bracelet des Fonds marins; Alliance Gloursonne; Bouclier du Captain Amakna; Ceintacé; Casqnoar; Cape de la Dame du Hasard; Sandales des Fonds marins; Dofus Émeraude; Dofus Pourpre; Dofus Turquoise; Obstructeur majeur; Remueur; Cavaleur majeur; Muldo Orchidée et Pourpre</t>
        </is>
      </c>
    </row>
    <row r="16550">
      <c r="A16550" t="inlineStr">
        <is>
          <t>Stuff 1</t>
        </is>
      </c>
      <c r="B16550">
        <f>HYPERLINK("https://www.dofusbook.net/fr/equipement/311286-stuff-1/objets", "link")</f>
        <v/>
      </c>
      <c r="C16550" t="n">
        <v>0</v>
      </c>
      <c r="D16550" t="inlineStr">
        <is>
          <t>Bâton Beau; Amulette du Strigide; Alliance Gloursonne; Bracelet du Piloztère; Quatre-feuilles; Ceinture du Strigide; Maskrobe; Cape Reski; Pataugastrique; Dofus Pourpre; Dofus Turquoise; Enragé majeur; Vigoureux majeur; Sanguinaire majeur; Remueur; Muldo Prune et Doré</t>
        </is>
      </c>
    </row>
    <row r="16551">
      <c r="A16551" t="inlineStr">
        <is>
          <t>Stuff 1</t>
        </is>
      </c>
      <c r="B16551">
        <f>HYPERLINK("https://www.dofusbook.net/fr/equipement/311271-stuff-1/objets", "link")</f>
        <v/>
      </c>
      <c r="C16551" t="n">
        <v>0</v>
      </c>
      <c r="D16551" t="inlineStr">
        <is>
          <t>Bâton Beau; Amulette du Strigide; Alliance Gloursonne; Bracelet du Piloztère; Quatre-feuilles; Ceintacé; Maskrobe; Cape Reski; Bottes du Strigide; Dofus Pourpre; Dofus des Glaces; Dofus Turquoise; Dofus Ocre; Dolmanax; Vigoureux majeur; Muldo Prune et Doré</t>
        </is>
      </c>
    </row>
    <row r="16552">
      <c r="A16552" t="inlineStr">
        <is>
          <t>Stuff 1</t>
        </is>
      </c>
      <c r="B16552">
        <f>HYPERLINK("https://www.dofusbook.net/fr/equipement/311277-stuff-1/objets", "link")</f>
        <v/>
      </c>
      <c r="C16552" t="n">
        <v>0</v>
      </c>
      <c r="D16552" t="inlineStr">
        <is>
          <t>Bâton Fracass; Amulette du Glourséleste; Pikano; Alliance Gloursonne; Ceinture Instable; Kidibonnet; Cape Matelassée; Pikottes; Temporiseur; Nomade; Temporiseur majeur; Remueur; Ralentisseur majeur; Entraveur majeur; Gwo Tofu Ventripotent</t>
        </is>
      </c>
    </row>
    <row r="16553">
      <c r="A16553" t="inlineStr">
        <is>
          <t>roub nidas</t>
        </is>
      </c>
      <c r="B16553">
        <f>HYPERLINK("https://www.dofusbook.net/fr/equipement/1018921-roub-nidas/objets", "link")</f>
        <v/>
      </c>
      <c r="C16553" t="n">
        <v>0</v>
      </c>
      <c r="D16553" t="inlineStr">
        <is>
          <t>Chakra Style; Collier du Tanukouï San; Mitaine Aibre; Gelano; Coiffe Ainte; Cape Endaison; Pantoufles Émar; Initiateur mineur; Précurseur; Initiateur; Précurseur majeur; Initiateur majeur; Précurseur mineur; Chachyène</t>
        </is>
      </c>
    </row>
    <row r="16554">
      <c r="A16554" t="inlineStr">
        <is>
          <t>Stuff 3</t>
        </is>
      </c>
      <c r="B16554">
        <f>HYPERLINK("https://www.dofusbook.net/fr/equipement/311305-stuff-3/objets", "link")</f>
        <v/>
      </c>
      <c r="C16554" t="n">
        <v>0</v>
      </c>
      <c r="D16554" t="inlineStr">
        <is>
          <t>Sabres d'Atcham; Amulette de Pol Ouatnos; Bracelet du Piloztère; Alliance Gloursonne; Quatre-feuilles; Ceintacé; Chapeau des Malveilleurs; Cape des Malveilleurs; Pataugastrique; Dolmanax; Dofus Émeraude; Dofus Turquoise; Dofus Pourpre; Vigoureux majeur; Remueur; Muldo Indigo et Orchidée</t>
        </is>
      </c>
    </row>
    <row r="16555">
      <c r="A16555" t="inlineStr">
        <is>
          <t>Stuff 2</t>
        </is>
      </c>
      <c r="B16555">
        <f>HYPERLINK("https://www.dofusbook.net/fr/equipement/311304-stuff-2/objets", "link")</f>
        <v/>
      </c>
      <c r="C16555" t="n">
        <v>0</v>
      </c>
      <c r="D16555" t="inlineStr">
        <is>
          <t>Baguette Hique; Amulette du Strigide; Anneau Tique; Bracelet du Piloztère; Quatre-feuilles; Poulpagne; Casquette de Meno; Cape de la Dame du Hasard; Bottes de Meno; Dofus Pourpre; Dofus Turquoise; Dolmanax; Miraculé majeur; Remueur; Fonceur majeur; Muldo Orchidée</t>
        </is>
      </c>
    </row>
    <row r="16556">
      <c r="A16556" t="inlineStr">
        <is>
          <t>Stuff 1</t>
        </is>
      </c>
      <c r="B16556">
        <f>HYPERLINK("https://www.dofusbook.net/fr/equipement/311294-stuff-1/objets", "link")</f>
        <v/>
      </c>
      <c r="C16556" t="n">
        <v>0</v>
      </c>
      <c r="D16556" t="inlineStr">
        <is>
          <t>Arc du Chalœil; Amulette du Strigide; Alliance de Missiz Frizz; Bague Gloursonne; Quatre-feuilles; Ceinture du Strigide; Casque de Missiz Frizz; Cape du Professeur Xa; Bottes du Strigide; Dofus Ocre; Dofus Pourpre; Dofus des Glaces; Dofus Turquoise; Dofus Nébuleux; Dofus Émeraude; Muldo Doré</t>
        </is>
      </c>
    </row>
    <row r="16557">
      <c r="A16557" t="inlineStr">
        <is>
          <t>Stuff 2</t>
        </is>
      </c>
      <c r="B16557">
        <f>HYPERLINK("https://www.dofusbook.net/fr/equipement/311284-stuff-2/objets", "link")</f>
        <v/>
      </c>
      <c r="C16557" t="n">
        <v>0</v>
      </c>
      <c r="D16557" t="inlineStr">
        <is>
          <t>Pelle de la Cour Sombre; Collier du Valet Veinard; Gant du Valet Veinard; Alliance Gloursonne; Menoture; Dorabysses; Cape Indescriptible; Palmes Trithons; Dofus Pourpre; Dofus des Glaces; Dokoko; Dofus Ocre; Carapace Air majeur; Cascadeur majeur; Muldo Ebène</t>
        </is>
      </c>
    </row>
    <row r="16558">
      <c r="A16558" t="inlineStr">
        <is>
          <t>feu air</t>
        </is>
      </c>
      <c r="B16558">
        <f>HYPERLINK("https://www.dofusbook.net/fr/equipement/623837-feu-air/objets", "link")</f>
        <v/>
      </c>
      <c r="C16558" t="n">
        <v>0</v>
      </c>
      <c r="D16558" t="inlineStr">
        <is>
          <t>Baguette Range; Amulette du Strigide; Anneau Rifique; Anneau de Padgref; Ceinture du Strigide; Coiffe de Padgref; Cape de la Dame du Hasard; Getas de Padgref; Dofus Pourpre; Dofus Ocre; Dofus Émeraude; Dolmanax; Dofus Turquoise; Dofus des Glaces; Muldo Ebène et Orchidée</t>
        </is>
      </c>
    </row>
    <row r="16559">
      <c r="A16559" t="inlineStr">
        <is>
          <t>Stuff 3</t>
        </is>
      </c>
      <c r="B16559">
        <f>HYPERLINK("https://www.dofusbook.net/fr/equipement/311308-stuff-3/objets", "link")</f>
        <v/>
      </c>
      <c r="C16559" t="n">
        <v>0</v>
      </c>
      <c r="D16559" t="inlineStr">
        <is>
          <t>Dague Adou; Amulette du Strigide; Alliance Gloursonne; Anneau Tique; Ceinture du Strigide; Némès de Tal Kasha; Chevelure de Tal Kasha; Sandales de Tal Kasha; Dofus Ocre; Dofus Pourpre; Dolmanax; Dofus Turquoise; Dofus des Glaces; Dofus Émeraude; Muldo Indigo et Orchidée</t>
        </is>
      </c>
    </row>
    <row r="16560">
      <c r="A16560" t="inlineStr">
        <is>
          <t>tal kasha korriandre</t>
        </is>
      </c>
      <c r="B16560">
        <f>HYPERLINK("https://www.dofusbook.net/fr/equipement/570127-tal-kasha-korriandre/objets", "link")</f>
        <v/>
      </c>
      <c r="C16560" t="n">
        <v>0</v>
      </c>
      <c r="D16560" t="inlineStr">
        <is>
          <t>Dague Adou; Amulette du Strigide; Alliance Gloursonne; Anneau Tique; Ceinture du Strigide; Némès de Tal Kasha; Chevelure de Tal Kasha; Sandales de Tal Kasha; Dofus des Glaces; Dofus Émeraude; Dofus Ocre; Dofus Pourpre; Dolmanax; Dofus Turquoise; Muldo Indigo et Orchidée</t>
        </is>
      </c>
    </row>
    <row r="16561">
      <c r="A16561" t="inlineStr">
        <is>
          <t>sadi eau</t>
        </is>
      </c>
      <c r="B16561">
        <f>HYPERLINK("https://www.dofusbook.net/fr/equipement/493675-sadi-eau/objets", "link")</f>
        <v/>
      </c>
      <c r="C16561" t="n">
        <v>0</v>
      </c>
      <c r="D16561" t="inlineStr">
        <is>
          <t>Rapière aux Glyphes; Amulette de Shokkoth; Alliance Gloursonne; Bracelet des Fonds marins; Poulpagne; Kidibonnet; Cape de Mantaze; Sandales des Fonds marins; Dofus Pourpre; Dofus Émeraude; Robuste majeur; Vigoureux majeur; Chanceux majeur; Dévastateur Eau majeur; Muldo Indigo</t>
        </is>
      </c>
    </row>
    <row r="16562">
      <c r="A16562" t="inlineStr">
        <is>
          <t>PVM iop terre</t>
        </is>
      </c>
      <c r="B16562">
        <f>HYPERLINK("https://www.dofusbook.net/fr/equipement/332272-pvm-iop-terre/objets", "link")</f>
        <v/>
      </c>
      <c r="C16562" t="n">
        <v>1</v>
      </c>
      <c r="D16562" t="inlineStr">
        <is>
          <t>Marteau R'ture; Amulette du Strigide; Anneau Crustique; Anneau Crustique; Ceinture du Strigide; Casque de Missiz Frizz; Cape au Logis; Bottes du Comte Harebourg; Dofus Turquoise; Dofus Ocre; Dofus Pourpre; Dofus des Glaces; Remueur; Enragé majeur; Kompost</t>
        </is>
      </c>
    </row>
    <row r="16563">
      <c r="A16563" t="inlineStr">
        <is>
          <t>Stuff 1</t>
        </is>
      </c>
      <c r="B16563">
        <f>HYPERLINK("https://www.dofusbook.net/fr/equipement/311303-stuff-1/objets", "link")</f>
        <v/>
      </c>
      <c r="C16563" t="n">
        <v>0</v>
      </c>
      <c r="D16563" t="inlineStr">
        <is>
          <t>Hache du Chalœil; Amulette du Strigide; Bracelet du Piloztère; Bague Trithon; Quatre-feuilles; Ceintacé; Masque Trithon; Voile d'encre; Pataugastrique; Dofus Pourpre; Dofus Turquoise; Dolmanax; Carapace Feu majeur; Carapace Terre majeur; Vigoureux majeur; Muldo Prune et Pourpre</t>
        </is>
      </c>
    </row>
    <row r="16564">
      <c r="A16564" t="inlineStr">
        <is>
          <t>Stuff 2</t>
        </is>
      </c>
      <c r="B16564">
        <f>HYPERLINK("https://www.dofusbook.net/fr/equipement/311298-stuff-2/objets", "link")</f>
        <v/>
      </c>
      <c r="C16564" t="n">
        <v>0</v>
      </c>
      <c r="D16564" t="inlineStr">
        <is>
          <t>Dague Adou; Amulette du Strigide; Alliance Gloursonne; Bague Gloursonne; Ceinture du Strigide; Némès de Tal Kasha; Chevelure de Tal Kasha; Sandales de Tal Kasha; Dofus Abyssal; Dofus Turquoise; Dofus des Glaces; Dofus Émeraude; Dofus Ocre; Dofus Pourpre; Muldo Ebène et Indigo</t>
        </is>
      </c>
    </row>
    <row r="16565">
      <c r="A16565" t="inlineStr">
        <is>
          <t>Stuff 2</t>
        </is>
      </c>
      <c r="B16565">
        <f>HYPERLINK("https://www.dofusbook.net/fr/equipement/311315-stuff-2/objets", "link")</f>
        <v/>
      </c>
      <c r="C16565" t="n">
        <v>0</v>
      </c>
      <c r="D16565" t="inlineStr">
        <is>
          <t>Hache du Korriandre; Amulette du Strigide; Anneau Tique; Alliance Gloursonne; Ceinture du Strigide; Némès de Tal Kasha; Chevelure de Tal Kasha; Sandales de Tal Kasha; Dofus des Glaces; Dofus Émeraude; Dofus Ocre; Dofus Pourpre; Dolmanax; Dofus Turquoise; Muldo Indigo et Orchidée</t>
        </is>
      </c>
    </row>
    <row r="16566">
      <c r="A16566" t="inlineStr">
        <is>
          <t>Stuff 2</t>
        </is>
      </c>
      <c r="B16566">
        <f>HYPERLINK("https://www.dofusbook.net/fr/equipement/311310-stuff-2/objets", "link")</f>
        <v/>
      </c>
      <c r="C16566" t="n">
        <v>0</v>
      </c>
      <c r="D16566" t="inlineStr">
        <is>
          <t>Épouvante; Amulette Luminescente; Bracelet du Piloztère; Alliance du Lévitrof; Ceinture Luminescente; Coiffe du Lévitrof; Cape Luminescente; Bottes du Lévitrof; Dofus Ocre; Dofus Pourpre; Dofus des Glaces; Dofus Turquoise; Dolmanax; Dofus Émeraude; Muldo Prune et Indigo</t>
        </is>
      </c>
    </row>
    <row r="16567">
      <c r="A16567" t="inlineStr">
        <is>
          <t>Stuff 1</t>
        </is>
      </c>
      <c r="B16567">
        <f>HYPERLINK("https://www.dofusbook.net/fr/equipement/311300-stuff-1/objets", "link")</f>
        <v/>
      </c>
      <c r="C16567" t="n">
        <v>0</v>
      </c>
      <c r="D16567" t="inlineStr">
        <is>
          <t>Pelle de la Cour Sombre; Collier du Valet Veinard; Gant du Valet Veinard; Alliance Gloursonne; Menoture; Dorabysses; Cape Indescriptible; Palmes Trithons; Dofus Pourpre; Remueur; Dévastateur Air majeur; Vigoureux majeur; Acrobate majeur; Cascadeur majeur; Muldo Ebène</t>
        </is>
      </c>
    </row>
    <row r="16568">
      <c r="A16568" t="inlineStr">
        <is>
          <t>Stuff 1</t>
        </is>
      </c>
      <c r="B16568">
        <f>HYPERLINK("https://www.dofusbook.net/fr/equipement/311317-stuff-1/objets", "link")</f>
        <v/>
      </c>
      <c r="C16568" t="n">
        <v>0</v>
      </c>
      <c r="D16568" t="inlineStr">
        <is>
          <t>Épouvante; Amulette Luminescente; Bracelet du Piloztère; Alliance du Lévitrof; Ceinture Luminescente; Coiffe du Lévitrof; Cape Luminescente; Bottes du Lévitrof; Dofus Ocre; Dofus Pourpre; Dolmanax; Dofus Turquoise; Dofus des Glaces; Dofus Émeraude; Kramkram</t>
        </is>
      </c>
    </row>
    <row r="16569">
      <c r="A16569" t="inlineStr">
        <is>
          <t>Stuff 2</t>
        </is>
      </c>
      <c r="B16569">
        <f>HYPERLINK("https://www.dofusbook.net/fr/equipement/311307-stuff-2/objets", "link")</f>
        <v/>
      </c>
      <c r="C16569" t="n">
        <v>0</v>
      </c>
      <c r="D16569" t="inlineStr">
        <is>
          <t>Marteau des Anciens Steamers; Amulette du Strigide; Anneau Tique; Alliance Gloursonne; Ceinture du Strigide; Némès de Tal Kasha; Chevelure de Tal Kasha; Sandales de Tal Kasha; Dofus Émeraude; Dofus Ocre; Dofus Pourpre; Dolmanax; Dofus Turquoise; Dofus des Glaces; Muldo Ebène et Indigo</t>
        </is>
      </c>
    </row>
    <row r="16570">
      <c r="A16570" t="inlineStr">
        <is>
          <t>Stuff 3</t>
        </is>
      </c>
      <c r="B16570">
        <f>HYPERLINK("https://www.dofusbook.net/fr/equipement/311302-stuff-3/objets", "link")</f>
        <v/>
      </c>
      <c r="C16570" t="n">
        <v>0</v>
      </c>
      <c r="D16570" t="inlineStr">
        <is>
          <t>Arc Hétype; Pendentif affamé; Anneau Tique; Anneau de Nidas; Ceinture de Vortex; Couronne de Nidas; Cape de Diondin; Pataugastrique; Temporiseur majeur; Déserteur majeur; Savant majeur; Érudit majeur; Ralentisseur majeur; Carapace Eau majeur; Muldo Orchidée</t>
        </is>
      </c>
    </row>
    <row r="16571">
      <c r="A16571" t="inlineStr">
        <is>
          <t>Stuff 1</t>
        </is>
      </c>
      <c r="B16571">
        <f>HYPERLINK("https://www.dofusbook.net/fr/equipement/311297-stuff-1/objets", "link")</f>
        <v/>
      </c>
      <c r="C16571" t="n">
        <v>0</v>
      </c>
      <c r="D16571" t="inlineStr">
        <is>
          <t>Dagues Érhy; Amulette de l'Indicible; Chevalière du Roi Joueur; Anneau Rifique; Ceinture de l'Indicible; Chapeau de Gein; Voile d'encre; Baleinabottes; Dolmanax; Dofus Pourpre; Dofus des Glaces; Remueur; Vigoureux majeur; Carapace Terre majeur; Muldo Ebène et Orchidée</t>
        </is>
      </c>
    </row>
    <row r="16572">
      <c r="A16572" t="inlineStr">
        <is>
          <t>Stuff 1</t>
        </is>
      </c>
      <c r="B16572">
        <f>HYPERLINK("https://www.dofusbook.net/fr/equipement/311314-stuff-1/objets", "link")</f>
        <v/>
      </c>
      <c r="C16572" t="n">
        <v>0</v>
      </c>
      <c r="D16572" t="inlineStr">
        <is>
          <t>Marteau des Anciens Steamers; Amulette du Strigide; Anneau Tique; Alliance Gloursonne; Ceinture du Strigide; Némès de Tal Kasha; Chevelure de Tal Kasha; Sandales de Tal Kasha; Dofus des Glaces; Dofus Émeraude; Dofus Ocre; Dofus Pourpre; Dolmanax; Dofus Turquoise; Muldo Ebène et Indigo</t>
        </is>
      </c>
    </row>
    <row r="16573">
      <c r="A16573" t="inlineStr">
        <is>
          <t>Stuff 1</t>
        </is>
      </c>
      <c r="B16573">
        <f>HYPERLINK("https://www.dofusbook.net/fr/equipement/311309-stuff-1/objets", "link")</f>
        <v/>
      </c>
      <c r="C16573" t="n">
        <v>1</v>
      </c>
      <c r="D16573" t="inlineStr">
        <is>
          <t>Hache Ériphe; Collier du Valet Veinard; Anneau du Cycloïde; Gant du Valet Veinard; Ceintouse; Chapoulpe; Cape du Valet Veinard; Tentassons; Dolmanax; Dofus Pourpre; Dofus Ocre; Dofus Émeraude; Robuste majeur; Survivant majeur; Muldo Ebène et Pourpre</t>
        </is>
      </c>
    </row>
    <row r="16574">
      <c r="A16574" t="inlineStr">
        <is>
          <t>Stuff 3</t>
        </is>
      </c>
      <c r="B16574">
        <f>HYPERLINK("https://www.dofusbook.net/fr/equipement/311299-stuff-3/objets", "link")</f>
        <v/>
      </c>
      <c r="C16574" t="n">
        <v>0</v>
      </c>
      <c r="D16574" t="inlineStr">
        <is>
          <t>Hache du Chalœil; Amulette du Strigide; Bague Gloursonne; Alliance Gloursonne; Ceinture de Kongoku; Boucle d'oreille de Kongoku; Cape de Kongoku; Bottes du Strigide; Dolmanax; Dofus Émeraude; Dofus Ocre; Dofus Pourpre; Dofus des Glaces; Dofus Turquoise; Muldo Ebène et Pourpre</t>
        </is>
      </c>
    </row>
    <row r="16575">
      <c r="A16575" t="inlineStr">
        <is>
          <t>Stuff 3</t>
        </is>
      </c>
      <c r="B16575">
        <f>HYPERLINK("https://www.dofusbook.net/fr/equipement/311316-stuff-3/objets", "link")</f>
        <v/>
      </c>
      <c r="C16575" t="n">
        <v>0</v>
      </c>
      <c r="D16575" t="inlineStr">
        <is>
          <t>Arc de Koutoulou; Amulette du Strigide; Anneau Tique; Alliance Gloursonne; Ceinture du Strigide; Némès de Tal Kasha; Chevelure de Tal Kasha; Sandales de Tal Kasha; Dofus Ocre; Dofus Pourpre; Dolmanax; Dofus Turquoise; Dofus des Glaces; Dofus Émeraude; Muldo Ebène et Indigo</t>
        </is>
      </c>
    </row>
    <row r="16576">
      <c r="A16576" t="inlineStr">
        <is>
          <t>Stuff 1</t>
        </is>
      </c>
      <c r="B16576">
        <f>HYPERLINK("https://www.dofusbook.net/fr/equipement/311306-stuff-1/objets", "link")</f>
        <v/>
      </c>
      <c r="C16576" t="n">
        <v>0</v>
      </c>
      <c r="D16576" t="inlineStr">
        <is>
          <t>Hache du Korriandre; Amulette du Strigide; Anneau Tique; Alliance Gloursonne; Ceinture du Strigide; Némès de Tal Kasha; Chevelure de Tal Kasha; Sandales de Tal Kasha; Dofus des Glaces; Dofus Émeraude; Dofus Ocre; Dofus Pourpre; Dolmanax; Dofus Turquoise; Muldo Indigo et Orchidée</t>
        </is>
      </c>
    </row>
    <row r="16577">
      <c r="A16577" t="inlineStr">
        <is>
          <t>Stuff 2</t>
        </is>
      </c>
      <c r="B16577">
        <f>HYPERLINK("https://www.dofusbook.net/fr/equipement/311301-stuff-2/objets", "link")</f>
        <v/>
      </c>
      <c r="C16577" t="n">
        <v>0</v>
      </c>
      <c r="D16577" t="inlineStr">
        <is>
          <t>Marteau des Anciens Steamers; Amulette du Strigide; Anneau Tique; Alliance Gloursonne; Ceinture du Strigide; Némès de Tal Kasha; Chevelure de Tal Kasha; Sandales de Tal Kasha; Dofus Ocre; Dofus Pourpre; Dolmanax; Dofus Turquoise; Dofus des Glaces; Dofus Émeraude; Muldo Ebène et Indigo</t>
        </is>
      </c>
    </row>
    <row r="16578">
      <c r="A16578" t="inlineStr">
        <is>
          <t>Stuff 2</t>
        </is>
      </c>
      <c r="B16578">
        <f>HYPERLINK("https://www.dofusbook.net/fr/equipement/311289-stuff-2/objets", "link")</f>
        <v/>
      </c>
      <c r="C16578" t="n">
        <v>0</v>
      </c>
      <c r="D16578" t="inlineStr">
        <is>
          <t>Hache du Korriandre; Amulette du Strigide; Anneau Tique; Alliance Gloursonne; Quatre-feuilles; Ceinture du Strigide; Némès de Tal Kasha; Chevelure de Tal Kasha; Sandales de Tal Kasha; Dofus Ocre; Dofus Pourpre; Dofus Turquoise; Dofus des Glaces; Dofus Émeraude; Engourdisseur majeur; Muldo Indigo et Orchidée</t>
        </is>
      </c>
    </row>
    <row r="16579">
      <c r="A16579" t="inlineStr">
        <is>
          <t>Stuff 2</t>
        </is>
      </c>
      <c r="B16579">
        <f>HYPERLINK("https://www.dofusbook.net/fr/equipement/311278-stuff-2/objets", "link")</f>
        <v/>
      </c>
      <c r="C16579" t="n">
        <v>0</v>
      </c>
      <c r="D16579" t="inlineStr">
        <is>
          <t>Bêche Asse; Amulette du Strigide; Chevalière du Roi Joueur; Bague Gloursonne; Ceinture du Strigide; Couronne du Roi Joueur; Voile d'encre; Bottes du Roi Joueur; Dolmanax; Dofus Turquoise; Dofus des Glaces; Dofus Pourpre; Dofus Émeraude; Dofus Ocre; Muldo Pourpre</t>
        </is>
      </c>
    </row>
    <row r="16580">
      <c r="A16580" t="inlineStr">
        <is>
          <t>Stuff 3</t>
        </is>
      </c>
      <c r="B16580">
        <f>HYPERLINK("https://www.dofusbook.net/fr/equipement/311273-stuff-3/objets", "link")</f>
        <v/>
      </c>
      <c r="C16580" t="n">
        <v>0</v>
      </c>
      <c r="D16580" t="inlineStr">
        <is>
          <t>Pelle de la Cour Sombre; Collier du Valet Veinard; Alliance Gloursonne; Gant du Valet Veinard; Menoture; Dorabysses; Cape Indescriptible; Palmes Trithons; Carapace Eau majeur; Carapace Neutre majeur; Remueur; Carapace Feu majeur; Carapace Air majeur; Carapace Terre majeur; Muldo Ebène</t>
        </is>
      </c>
    </row>
    <row r="16581">
      <c r="A16581" t="inlineStr">
        <is>
          <t>Stuff 3</t>
        </is>
      </c>
      <c r="B16581">
        <f>HYPERLINK("https://www.dofusbook.net/fr/equipement/311296-stuff-3/objets", "link")</f>
        <v/>
      </c>
      <c r="C16581" t="n">
        <v>1</v>
      </c>
      <c r="D16581" t="inlineStr">
        <is>
          <t>Hache Téroïde; Amulette du Strigide; Bague Trithon; Bague Gloursonne; Ceinture du Strigide; Masque Trithon; Voile d'encre; Bottes Trithon; Dofus Nébuleux; Dofus Émeraude; Dofus Ocre; Dofus Pourpre; Dofus des Glaces; Dofus Turquoise; Muldo Pourpre</t>
        </is>
      </c>
    </row>
    <row r="16582">
      <c r="A16582" t="inlineStr">
        <is>
          <t>Stuff 1</t>
        </is>
      </c>
      <c r="B16582">
        <f>HYPERLINK("https://www.dofusbook.net/fr/equipement/311291-stuff-1/objets", "link")</f>
        <v/>
      </c>
      <c r="C16582" t="n">
        <v>0</v>
      </c>
      <c r="D16582" t="inlineStr">
        <is>
          <t>Héqache; Amulette du Strigide; Anneau Chevelu; Bague Gloursonne; Ceintouse; Chapoulpe; Voile d'encre; Baleinabottes; Étourdisseur majeur; Carapace Neutre majeur; Remueur; Engourdisseur majeur; Obstructeur majeur; Muldo Pourpre</t>
        </is>
      </c>
    </row>
    <row r="16583">
      <c r="A16583" t="inlineStr">
        <is>
          <t>Stuff 1</t>
        </is>
      </c>
      <c r="B16583">
        <f>HYPERLINK("https://www.dofusbook.net/fr/equipement/311280-stuff-1/objets", "link")</f>
        <v/>
      </c>
      <c r="C16583" t="n">
        <v>0</v>
      </c>
      <c r="D16583" t="inlineStr">
        <is>
          <t>Hache du Chalœil; Amulette du Strigide; Alliance du Lévitrof; Bracelet du Piloztère; Ceinture du Strigide; Coiffe du Lévitrof; Cape de Diondin; Bottes du Lévitrof; Dofus des Glaces; Dofus Turquoise; Dolmanax; Dofus Pourpre; Dofus Ocre; Muldo Prune et Indigo</t>
        </is>
      </c>
    </row>
    <row r="16584">
      <c r="A16584" t="inlineStr">
        <is>
          <t>Stuff 2</t>
        </is>
      </c>
      <c r="B16584">
        <f>HYPERLINK("https://www.dofusbook.net/fr/equipement/311275-stuff-2/objets", "link")</f>
        <v/>
      </c>
      <c r="C16584" t="n">
        <v>0</v>
      </c>
      <c r="D16584" t="inlineStr">
        <is>
          <t>Dagues Érhy; Amulette de Gein; Bague Gloursonne; Chevalière du Roi Joueur; Ceinture de l'Indicible; Couronne du Roi Joueur; Cape Routh; Bottes du Cycloïde; Dofus Ocre; Dofus Pourpre; Dofus des Glaces; Vigoureux majeur; Sanguinaire majeur; Remueur; Muldo Orchidée et Pourpre</t>
        </is>
      </c>
    </row>
    <row r="16585">
      <c r="A16585" t="inlineStr">
        <is>
          <t>Stuff 3</t>
        </is>
      </c>
      <c r="B16585">
        <f>HYPERLINK("https://www.dofusbook.net/fr/equipement/311293-stuff-3/objets", "link")</f>
        <v/>
      </c>
      <c r="C16585" t="n">
        <v>1</v>
      </c>
      <c r="D16585" t="inlineStr">
        <is>
          <t>Hache du Korriandre; Amulette du Strigide; Alliance Gloursonne; Anneau Tique; Ceinture du Strigide; Némès de Tal Kasha; Chevelure de Tal Kasha; Sandales de Tal Kasha; Dofus Turquoise; Dofus des Glaces; Dofus Émeraude; Dofus Ocre; Dofus Pourpre; Engourdisseur majeur; Muldo Indigo et Orchidée</t>
        </is>
      </c>
    </row>
    <row r="16586">
      <c r="A16586" t="inlineStr">
        <is>
          <t>Stuff 1</t>
        </is>
      </c>
      <c r="B16586">
        <f>HYPERLINK("https://www.dofusbook.net/fr/equipement/311288-stuff-1/objets", "link")</f>
        <v/>
      </c>
      <c r="C16586" t="n">
        <v>0</v>
      </c>
      <c r="D16586" t="inlineStr">
        <is>
          <t>Pelle de la Cour Sombre; Collier du Valet Veinard; Anneau Tilus; Gant du Valet Veinard; Menoture; Dorabysses; Cape Indescriptible; Palmes Trithons; Dofus Pourpre; Remueur; Étourdisseur majeur; Vigoureux majeur; Engourdisseur majeur; Cascadeur majeur; Muldo Ebène</t>
        </is>
      </c>
    </row>
    <row r="16587">
      <c r="A16587" t="inlineStr">
        <is>
          <t>Stuff 1</t>
        </is>
      </c>
      <c r="B16587">
        <f>HYPERLINK("https://www.dofusbook.net/fr/equipement/311283-stuff-1/objets", "link")</f>
        <v/>
      </c>
      <c r="C16587" t="n">
        <v>0</v>
      </c>
      <c r="D16587" t="inlineStr">
        <is>
          <t>Dague Adou; Amulette du Strigide; Bague Gloursonne; Alliance Gloursonne; Ceinture du Strigide; Némès de Tal Kasha; Chevelure de Tal Kasha; Sandales de Tal Kasha; Dofus des Glaces; Dofus Émeraude; Dofus Ocre; Dofus Pourpre; Dofus Abyssal; Dofus Turquoise; Muldo Ebène et Indigo</t>
        </is>
      </c>
    </row>
    <row r="16588">
      <c r="A16588" t="inlineStr">
        <is>
          <t>Stuff 2</t>
        </is>
      </c>
      <c r="B16588">
        <f>HYPERLINK("https://www.dofusbook.net/fr/equipement/311272-stuff-2/objets", "link")</f>
        <v/>
      </c>
      <c r="C16588" t="n">
        <v>0</v>
      </c>
      <c r="D16588" t="inlineStr">
        <is>
          <t>Bâton Brelle; Amulette d'Hel Munster; Alliance Gloursonne; Anneau d'Allister; Ceinture Billonnante; Couronne d'Allister; Cape de Klime; Pantoufles Émar; Miraculé majeur; Remueur; Equilibriste majeur; Vigoureux majeur; Cascadeur majeur; Nomade; Muldo Doré</t>
        </is>
      </c>
    </row>
    <row r="16589">
      <c r="A16589" t="inlineStr">
        <is>
          <t>Stuff 2</t>
        </is>
      </c>
      <c r="B16589">
        <f>HYPERLINK("https://www.dofusbook.net/fr/equipement/311295-stuff-2/objets", "link")</f>
        <v/>
      </c>
      <c r="C16589" t="n">
        <v>0</v>
      </c>
      <c r="D16589" t="inlineStr">
        <is>
          <t>Hache du Chalœil; Amulette du Strigide; Bague Gloursonne; Bague Trithon; Ceinture du Strigide; Masque Trithon; Cape de la Dame du Hasard; Bottes Trithon; Dofus des Glaces; Dofus Ocre; Dofus Nébuleux; Dofus Turquoise; Dolmanax; Dofus Pourpre; Muldo Doré et Orchidée</t>
        </is>
      </c>
    </row>
    <row r="16590">
      <c r="A16590" t="inlineStr">
        <is>
          <t>Stuff 3</t>
        </is>
      </c>
      <c r="B16590">
        <f>HYPERLINK("https://www.dofusbook.net/fr/equipement/311290-stuff-3/objets", "link")</f>
        <v/>
      </c>
      <c r="C16590" t="n">
        <v>0</v>
      </c>
      <c r="D16590" t="inlineStr">
        <is>
          <t>Arc du Chalœil; Amulette du Strigide; Anneau Chevelu; Anneau Crustique; Ceintacé; Casque de Missiz Frizz; Cape au Logis; Bottes du Strigide; Dofus Pourpre; Dofus Nébuleux; Dofus Turquoise; Remueur; Vigoureux majeur; Enragé majeur; Muldo Prune et Pourpre</t>
        </is>
      </c>
    </row>
    <row r="16591">
      <c r="A16591" t="inlineStr">
        <is>
          <t>Stuff 3</t>
        </is>
      </c>
      <c r="B16591">
        <f>HYPERLINK("https://www.dofusbook.net/fr/equipement/311285-stuff-3/objets", "link")</f>
        <v/>
      </c>
      <c r="C16591" t="n">
        <v>0</v>
      </c>
      <c r="D16591" t="inlineStr">
        <is>
          <t>Rapière aux Glyphes; Talisman Glouti; Alliance Gloursonne; Bracelet des Fonds marins; Pagne du Rykaon; Kidibonnet; Cape de Mantaze; Sandales des Fonds marins; Carapace Air majeur; Chanceux majeur; Déserteur majeur; Dévastateur Eau majeur; Carapace Eau majeur; Remueur; Muldo Indigo</t>
        </is>
      </c>
    </row>
    <row r="16592">
      <c r="A16592" t="inlineStr">
        <is>
          <t>Stuff 3</t>
        </is>
      </c>
      <c r="B16592">
        <f>HYPERLINK("https://www.dofusbook.net/fr/equipement/311279-stuff-3/objets", "link")</f>
        <v/>
      </c>
      <c r="C16592" t="n">
        <v>0</v>
      </c>
      <c r="D16592" t="inlineStr">
        <is>
          <t>Arc Hétype; Pendentif affamé; Anneau de Nidas; Anneau Tique; Ceinture de Vortex; Couronne de Nidas; Cape de Diondin; Pataugastrique; Temporiseur majeur; Déserteur majeur; Érudit majeur; Savant majeur; Carapace Eau majeur; Muldo Orchidée</t>
        </is>
      </c>
    </row>
    <row r="16593">
      <c r="A16593" t="inlineStr">
        <is>
          <t>Stuff 1</t>
        </is>
      </c>
      <c r="B16593">
        <f>HYPERLINK("https://www.dofusbook.net/fr/equipement/311274-stuff-1/objets", "link")</f>
        <v/>
      </c>
      <c r="C16593" t="n">
        <v>0</v>
      </c>
      <c r="D16593" t="inlineStr">
        <is>
          <t>Epée Maudite du Saigneur Guerrier; Amulette du Strigide; Alliance Gloursonne; Bague Gloursonne; Ceinture du Strigide; Casque du Chalœil; Cape du Chalœil; Bottes du Chalœil; Dofus des Glaces; Dofus Turquoise; Dolmanax; Dofus Émeraude; Dofus Ocre; Dofus Pourpre; Muldo Prune et Indigo</t>
        </is>
      </c>
    </row>
    <row r="16594">
      <c r="A16594" t="inlineStr">
        <is>
          <t>Stuff 2</t>
        </is>
      </c>
      <c r="B16594">
        <f>HYPERLINK("https://www.dofusbook.net/fr/equipement/311292-stuff-2/objets", "link")</f>
        <v/>
      </c>
      <c r="C16594" t="n">
        <v>0</v>
      </c>
      <c r="D16594" t="inlineStr">
        <is>
          <t>Pelle de la Cour Sombre; Collier du Valet Veinard; Alliance Gloursonne; Gant du Valet Veinard; Menoture; Dorabysses; Cape Indescriptible; Palmes Trithons; Étourdisseur majeur; Miraculé majeur; Obstructeur majeur; Engourdisseur majeur; Remueur; Étourdisseur; Muldo Ebène</t>
        </is>
      </c>
    </row>
    <row r="16595">
      <c r="A16595" t="inlineStr">
        <is>
          <t>Stuff 3</t>
        </is>
      </c>
      <c r="B16595">
        <f>HYPERLINK("https://www.dofusbook.net/fr/equipement/311287-stuff-3/objets", "link")</f>
        <v/>
      </c>
      <c r="C16595" t="n">
        <v>0</v>
      </c>
      <c r="D16595" t="inlineStr">
        <is>
          <t>Dagues de Srambad; Amulette Luminescente; Bracelet du Piloztère; Pikano; Quatre-feuilles; Ceinture Luminescente; Casquipik; Cape Luminescente; Pikottes; Dofus Turquoise; Dofus Pourpre; Dolmanax; Dofus Ocre; Dofus Nébuleux; Entraveur majeur; Muldo Doré et Indigo</t>
        </is>
      </c>
    </row>
    <row r="16596">
      <c r="A16596" t="inlineStr">
        <is>
          <t>Stuff 2</t>
        </is>
      </c>
      <c r="B16596">
        <f>HYPERLINK("https://www.dofusbook.net/fr/equipement/311281-stuff-2/objets", "link")</f>
        <v/>
      </c>
      <c r="C16596" t="n">
        <v>0</v>
      </c>
      <c r="D16596" t="inlineStr">
        <is>
          <t>La Racine Hagogue; Talisman Igans; Anneau Pwal; Anneau Tamie; Ceinture Instable; Casquette de Meno; Cape de Meno; Pataugastrique; Dofus Pourpre; Dofus Turquoise; Entraveur majeur; Vigoureux majeur; Temporiseur majeur; Remueur; Muldo Prune et Emeraude</t>
        </is>
      </c>
    </row>
    <row r="16597">
      <c r="A16597" t="inlineStr">
        <is>
          <t>Stuff 3</t>
        </is>
      </c>
      <c r="B16597">
        <f>HYPERLINK("https://www.dofusbook.net/fr/equipement/311276-stuff-3/objets", "link")</f>
        <v/>
      </c>
      <c r="C16597" t="n">
        <v>0</v>
      </c>
      <c r="D16597" t="inlineStr">
        <is>
          <t>Bâthon; Amulette de Gein; Chevalière du Roi Joueur; Bague Gloursonne; Ceinture de Gein; Couronne du Roi Joueur; Cape Routh; Bottes du Roi Joueur; Dofus Ocre; Dofus des Glaces; Dofus Pourpre; Dofus Émeraude; Robuste majeur; Féroce majeur; Muldo Pourpre</t>
        </is>
      </c>
    </row>
    <row r="16598">
      <c r="A16598" t="inlineStr">
        <is>
          <t>Stuff 1</t>
        </is>
      </c>
      <c r="B16598">
        <f>HYPERLINK("https://www.dofusbook.net/fr/equipement/1193778-stuff-1/objets", "link")</f>
        <v/>
      </c>
      <c r="C16598" t="n">
        <v>0</v>
      </c>
      <c r="D16598" t="inlineStr">
        <is>
          <t>Marteau des Anciens Steamers; Amulette du Strigide; Anneau de Padgref; Alliance Gloursonne; Ceinture du Strigide; Némès de Tal Kasha; Chevelure de Tal Kasha; Sandales de Tal Kasha; Dofus Émeraude; Dofus des Glaces; Dofus Turquoise; Dofus Ocre; Dolmanax; Dofus Pourpre; Muldo Ebène et Indigo</t>
        </is>
      </c>
    </row>
    <row r="16599">
      <c r="A16599" t="inlineStr">
        <is>
          <t>Stuff 1</t>
        </is>
      </c>
      <c r="B16599">
        <f>HYPERLINK("https://www.dofusbook.net/fr/equipement/1193769-stuff-1/objets", "link")</f>
        <v/>
      </c>
      <c r="C16599" t="n">
        <v>0</v>
      </c>
      <c r="D16599" t="inlineStr">
        <is>
          <t>Bêche Asse; Amulette de Gein; Anneau Chevelu; Bague Gloursonne; Ceinture de la Cour Sombre; Masque de Koutoulou; Cape au Logis; Bottes de la Cour Sombre; Dolmanax; Dofus Turquoise; Dofus des Glaces; Dofus Pourpre; Enragé majeur; Remueur; Kramkram</t>
        </is>
      </c>
    </row>
    <row r="16600">
      <c r="A16600" t="inlineStr">
        <is>
          <t>Stuff 2</t>
        </is>
      </c>
      <c r="B16600">
        <f>HYPERLINK("https://www.dofusbook.net/fr/equipement/1193779-stuff-2/objets", "link")</f>
        <v/>
      </c>
      <c r="C16600" t="n">
        <v>0</v>
      </c>
      <c r="D16600" t="inlineStr">
        <is>
          <t>Marteau des Anciens Steamers; Amulette du Strigide; Bracelet du Piloztère; Alliance Gloursonne; Ceintacé; Coiffe d'Hel Munster; Dofusteuse; Bottes du Strigide; Dofus Turquoise; Dofus Nébuleux; Dofus Pourpre; Dolmanax; Vigoureux majeur; Remueur; Muldo Ebène et Indigo</t>
        </is>
      </c>
    </row>
    <row r="16601">
      <c r="A16601" t="inlineStr">
        <is>
          <t>Iop F 200</t>
        </is>
      </c>
      <c r="B16601">
        <f>HYPERLINK("https://www.dofusbook.net/fr/equipement/5223708-iop-f-200/objets", "link")</f>
        <v/>
      </c>
      <c r="C16601" t="n">
        <v>7</v>
      </c>
      <c r="D16601" t="inlineStr">
        <is>
          <t>Epée du Dark Vlad; Amulette Séculaire; Anneauræus; Gelano; Bouclier du Captain Amakna; Ceinture Séculaire; Coiffe Séculaire; Cape de Diondin; Bottes Innommables; Dofus Ivoire; Dofus Turquoise; Dofus Nébuleux; Dofus Abyssal; Dofus Vulbis; Dofus Pourpre; Dragodinde Ivoire et Orchidée</t>
        </is>
      </c>
    </row>
    <row r="16602">
      <c r="A16602" t="inlineStr">
        <is>
          <t>Sram F 200</t>
        </is>
      </c>
      <c r="B16602">
        <f>HYPERLINK("https://www.dofusbook.net/fr/equipement/5995558-sram-f-200/objets", "link")</f>
        <v/>
      </c>
      <c r="C16602" t="n">
        <v>0</v>
      </c>
      <c r="D16602" t="inlineStr">
        <is>
          <t>Gelano; Bouclier du Captain Amakna; Dofus Vulbis; Dofus Pourpre; Dofus Ocre; Dofus Turquoise; Dofus Nébuleux; Dofus Abyssal</t>
        </is>
      </c>
    </row>
    <row r="16603">
      <c r="A16603" t="inlineStr">
        <is>
          <t>Zobal M 200</t>
        </is>
      </c>
      <c r="B16603">
        <f>HYPERLINK("https://www.dofusbook.net/fr/equipement/5957251-zobal-m-200/objets", "link")</f>
        <v/>
      </c>
      <c r="C16603" t="n">
        <v>0</v>
      </c>
      <c r="D16603" t="inlineStr">
        <is>
          <t>Bêche Asse; Amulette Héroclite; Gelano; Anneau Chevelu; Bouclier du Captain Amakna; Ceinture Gence; Masque de Koutoulou; Cape au Logis; Bottes de Brouce; Dofus Nébuleux; Dofus Abyssal; Dofus Émeraude; Dofus Pourpre; Dofus Vulbis; Dofus Turquoise; Dragodinde Ivoire et Pourpre</t>
        </is>
      </c>
    </row>
    <row r="16604">
      <c r="A16604" t="inlineStr">
        <is>
          <t>Enutrof M 200</t>
        </is>
      </c>
      <c r="B16604">
        <f>HYPERLINK("https://www.dofusbook.net/fr/equipement/5954887-enutrof-m-200/objets", "link")</f>
        <v/>
      </c>
      <c r="C16604" t="n">
        <v>0</v>
      </c>
      <c r="D16604" t="inlineStr">
        <is>
          <t>Dagoulinantes; Amulette du Sinistrofu; Anneau Volkorne; Gelano; Bouclier du Captain Amakna; Sangle Ouare; Kidibonnet; Cape du Sinistrofu; Bottes du Sinistrofu; Dofus Abyssal; Dofus Nébuleux; Dofus Pourpre; Dofus Émeraude; Dofus Turquoise; Dofus Vulbis; Dragodinde Indigo et Ivoire</t>
        </is>
      </c>
    </row>
    <row r="16605">
      <c r="A16605" t="inlineStr">
        <is>
          <t>Xélor F 200</t>
        </is>
      </c>
      <c r="B16605">
        <f>HYPERLINK("https://www.dofusbook.net/fr/equipement/5957087-xelor-f-200/objets", "link")</f>
        <v/>
      </c>
      <c r="C16605" t="n">
        <v>0</v>
      </c>
      <c r="D16605" t="inlineStr">
        <is>
          <t>Karnak; Collier du Valet Veinard; Gelano; Gant du Valet Veinard; Bouclier du Captain Amakna; Menoture; Dorabysses; Cape du Valet Veinard; Palmes Trithons; Dofus Turquoise; Dofus Vulbis; Dofus Abyssal; Dofus Nébuleux; Dofus Pourpre; Dofus Émeraude; Dragodinde Ebène et Ivoire</t>
        </is>
      </c>
    </row>
    <row r="16606">
      <c r="A16606" t="inlineStr">
        <is>
          <t>Mutli</t>
        </is>
      </c>
      <c r="B16606">
        <f>HYPERLINK("https://www.dofusbook.net/fr/equipement/2985156-mutli/objets", "link")</f>
        <v/>
      </c>
      <c r="C16606" t="n">
        <v>0</v>
      </c>
      <c r="D16606" t="inlineStr">
        <is>
          <t>Hache du Chalœil; Amulette du Strigide; Alliance du Lévitrof; Goulano; Bouclier cubiste; Ceinture de Kongoku; Coiffe du Lévitrof; Voile d'encre; Bottes Honyme; Dofus Ocre; Dolmanax; Dofus des Glaces; Dofus Pourpre; Vigoureux majeur; Temporiseur majeur; Muldo Indigo et Pourpre</t>
        </is>
      </c>
    </row>
    <row r="16607">
      <c r="A16607" t="inlineStr">
        <is>
          <t>Stuff 3</t>
        </is>
      </c>
      <c r="B16607">
        <f>HYPERLINK("https://www.dofusbook.net/fr/equipement/84354-stuff-3/objets", "link")</f>
        <v/>
      </c>
      <c r="C16607" t="n">
        <v>0</v>
      </c>
      <c r="D16607" t="inlineStr">
        <is>
          <t>Arc Nécrotique; Collier de la Dame du Hasard; Alliance Gloursonne; Anneau Tique; Bouclier cubiste; Ceintrigue; Casquette de Meno; Voile d'encre; Bottes de Meno; Dofus Pourpre; Dofus Ocre; Temporiseur majeur; Remueur; Carapace Terre majeur; Chanceux majeur; Muldo Indigo et Orchidée</t>
        </is>
      </c>
    </row>
    <row r="16608">
      <c r="A16608" t="inlineStr">
        <is>
          <t>multi3</t>
        </is>
      </c>
      <c r="B16608">
        <f>HYPERLINK("https://www.dofusbook.net/fr/equipement/2757791-multi3/objets", "link")</f>
        <v/>
      </c>
      <c r="C16608" t="n">
        <v>0</v>
      </c>
      <c r="D16608" t="inlineStr">
        <is>
          <t>Hache du Chalœil; Amulette du Strigide; Bracelet du Piloztère; Alliance Gloursonne; Quatre-feuilles; Ceinture du Strigide; Le Dorado; Cape d'Atcham; Sandales  d'Atcham; Dolmanax; Dofus Ocre; Dofus Pourpre; Dofus des Glaces; Dofus Turquoise; Dofus Nébuleux; Muldo Doré et Emeraude</t>
        </is>
      </c>
    </row>
    <row r="16609">
      <c r="A16609" t="inlineStr">
        <is>
          <t>Juliezrhhgdhehdh</t>
        </is>
      </c>
      <c r="B16609">
        <f>HYPERLINK("https://www.dofusbook.net/fr/equipement/2754797-juliezrhhgdhehdh/objets", "link")</f>
        <v/>
      </c>
      <c r="C16609" t="n">
        <v>0</v>
      </c>
      <c r="D16609" t="inlineStr">
        <is>
          <t>Lance corrompue; Collier du Valet Veinard; Anneau Crustique; Alliance Gloursonne; Sept ans de malheur; Ceintouse; Chapoulpe; Cape du Valet Veinard; Tentassons; Dofus des Glaces; Dofus Pourpre; Dofus Abyssal; Dofus Émeraude; Dofus Ocre; Paralyseur majeur; Muldo Ebène</t>
        </is>
      </c>
    </row>
    <row r="16610">
      <c r="A16610" t="inlineStr">
        <is>
          <t>Julienaizprojethp</t>
        </is>
      </c>
      <c r="B16610">
        <f>HYPERLINK("https://www.dofusbook.net/fr/equipement/2742752-julienaizprojethp/objets", "link")</f>
        <v/>
      </c>
      <c r="C16610" t="n">
        <v>0</v>
      </c>
      <c r="D16610" t="inlineStr">
        <is>
          <t>Arc de Koutoulou; Amulette du Strigide; Alliance Gloursonne; Bracelet du Piloztère; Quatre-feuilles; Menoture; Némès de Tal Kasha; Chevelure de Tal Kasha; Bottes de la Reine des Voleurs; Dofus Pourpre; Dolmanax; Dofus des Glaces; Remueur; Étourdisseur majeur; Carapace Eau majeur; Muldo Ebène et Orchidée</t>
        </is>
      </c>
    </row>
    <row r="16611">
      <c r="A16611" t="inlineStr">
        <is>
          <t>Eau</t>
        </is>
      </c>
      <c r="B16611">
        <f>HYPERLINK("https://www.dofusbook.net/fr/equipement/2638610-eau/objets", "link")</f>
        <v/>
      </c>
      <c r="C16611" t="n">
        <v>0</v>
      </c>
      <c r="D16611" t="inlineStr">
        <is>
          <t>Dagoulinantes; Amulette de l'Œil Attentif; Alliance Gloursonne; Bracelet des Fonds marins; Bouclier cubiste; Pagne du Rykaon; Capuche de l'Œil Attentif; Cape Solution; Bottes de la Dame du Hasard; Muldo Ebène et Indigo</t>
        </is>
      </c>
    </row>
    <row r="16612">
      <c r="A16612" t="inlineStr">
        <is>
          <t>multi2</t>
        </is>
      </c>
      <c r="B16612">
        <f>HYPERLINK("https://www.dofusbook.net/fr/equipement/1715704-multi2/objets", "link")</f>
        <v/>
      </c>
      <c r="C16612" t="n">
        <v>0</v>
      </c>
      <c r="D16612" t="inlineStr">
        <is>
          <t>Sabres d'Atcham; Amulette du Strigide; Bracelet du Piloztère; Anneau de Padgref; Quatre-feuilles; Ceinture du Strigide; Coiffe de Padgref; Cape d'Atcham; Getas de Padgref; Dofus Abyssal; Dolmanax; Dofus Pourpre; Dofus des Glaces; Dofus Ocre; Dofus Nébuleux; Muldo Prune et Emeraude</t>
        </is>
      </c>
    </row>
    <row r="16613">
      <c r="A16613" t="inlineStr">
        <is>
          <t>stuff feu fuite</t>
        </is>
      </c>
      <c r="B16613">
        <f>HYPERLINK("https://www.dofusbook.net/fr/equipement/2409907-stuff-feu-fuite/objets", "link")</f>
        <v/>
      </c>
      <c r="C16613" t="n">
        <v>0</v>
      </c>
      <c r="D16613" t="inlineStr">
        <is>
          <t>Arc Hétype; Pendentif affamé; Anneau Tique; Anneau de Nidas; Bouclier cubiste; Ceinture de Gein; Couronne de Nidas; Voile d'encre; Pataugastrique; Carapace Air majeur; Temporiseur majeur; Déserteur majeur; Remueur; Carapace Eau majeur; Érudit majeur; Muldo Indigo et Orchidée</t>
        </is>
      </c>
    </row>
    <row r="16614">
      <c r="A16614" t="inlineStr">
        <is>
          <t>mallefisk</t>
        </is>
      </c>
      <c r="B16614">
        <f>HYPERLINK("https://www.dofusbook.net/fr/equipement/2409746-mallefisk/objets", "link")</f>
        <v/>
      </c>
      <c r="C16614" t="n">
        <v>3</v>
      </c>
      <c r="D16614" t="inlineStr">
        <is>
          <t>Baguette de Malléfisk; Pendentif affamé; Anneau Tique; Anneau de Nidas; Bouclier cubiste; Ceinture Séculaire; Casque Cyclopéen; Cape de Diondin; Tongues de Nidas; Érudit majeur; Temporiseur majeur; Déserteur majeur; Carapace Terre majeur; Miraculé majeur; Remueur; Muldo Indigo et Orchidée</t>
        </is>
      </c>
    </row>
    <row r="16615">
      <c r="A16615" t="inlineStr">
        <is>
          <t>stuff full eau</t>
        </is>
      </c>
      <c r="B16615">
        <f>HYPERLINK("https://www.dofusbook.net/fr/equipement/2407178-stuff-full-eau-/objets", "link")</f>
        <v/>
      </c>
      <c r="C16615" t="n">
        <v>0</v>
      </c>
      <c r="D16615" t="inlineStr">
        <is>
          <t>Sceptre du Roi Joueur; Amulette de l'Œil Attentif; Alliance Gloursonne; Bracelet des Fonds marins; Bouclier cubiste; Ceinture Glaciale; Capuche de l'Œil Attentif; Cape de l'Œil Attentif; Sandales des Fonds marins; Dofus Vulbis; Dofus Abyssal; Dofus Pourpre; Dofus Nébuleux; Dofus Ocre; Dofus Ivoire; Muldo Ebène et Indigo</t>
        </is>
      </c>
    </row>
    <row r="16616">
      <c r="A16616" t="inlineStr">
        <is>
          <t>Stuff 4</t>
        </is>
      </c>
      <c r="B16616">
        <f>HYPERLINK("https://www.dofusbook.net/fr/equipement/2150921-stuff-4/objets", "link")</f>
        <v/>
      </c>
      <c r="C16616" t="n">
        <v>2</v>
      </c>
      <c r="D16616" t="inlineStr">
        <is>
          <t>Héqache; Amulette Luminescente; Anneau Crustique; Bague Trithon; Bouclier Taverne; Ceintacé; Masque de Koutoulou; Cape du Cœur Vaillant; Bottes du Cœur Vaillant; Dofus Pourpre; Dofus Abyssal; Culbuteur majeur; Pousseur majeur; Carapace Terre majeur; Bousculeur majeur; Muldo Ebène et Pourpre</t>
        </is>
      </c>
    </row>
    <row r="16617">
      <c r="A16617" t="inlineStr">
        <is>
          <t>stuff do pou 2</t>
        </is>
      </c>
      <c r="B16617">
        <f>HYPERLINK("https://www.dofusbook.net/fr/equipement/2278954-stuff-do-pou-2-/objets", "link")</f>
        <v/>
      </c>
      <c r="C16617" t="n">
        <v>1</v>
      </c>
      <c r="D16617" t="inlineStr">
        <is>
          <t>Héqache; Amulette Luminescente; Anneau Crustique; Bague Trithon; Bouclier précieux; Ceinture Luminescente; Masque Trithon; Cape Luminescente; Bottes Trithon; Dofus Abyssal; Dofus Turquoise; Dofus Ivoire; Dolmanax; Dofus Ocre; Dofus Pourpre; Muldo Ebène et Pourpre</t>
        </is>
      </c>
    </row>
    <row r="16618">
      <c r="A16618" t="inlineStr">
        <is>
          <t>Stuff eau feu</t>
        </is>
      </c>
      <c r="B16618">
        <f>HYPERLINK("https://www.dofusbook.net/fr/equipement/1172869-stuff-eau-feu-/objets", "link")</f>
        <v/>
      </c>
      <c r="C16618" t="n">
        <v>0</v>
      </c>
      <c r="D16618" t="inlineStr">
        <is>
          <t>Arc Nécrotique; Collier de la Dame du Hasard; Alliance Gloursonne; Anneau Tique; Bouclier cubiste; Ceintrigue; Casquette de Meno; Voile d'encre; Bottes de Meno; Dofus Pourpre; Dofus Ocre; Carapace Feu majeur; Remueur; Carapace Terre majeur; Chanceux majeur; Muldo Indigo et Pourpre</t>
        </is>
      </c>
    </row>
    <row r="16619">
      <c r="A16619" t="inlineStr">
        <is>
          <t>stuff eau tacle</t>
        </is>
      </c>
      <c r="B16619">
        <f>HYPERLINK("https://www.dofusbook.net/fr/equipement/2196449-stuff-eau-tacle/objets", "link")</f>
        <v/>
      </c>
      <c r="C16619" t="n">
        <v>0</v>
      </c>
      <c r="D16619" t="inlineStr">
        <is>
          <t>Rapière aux Glyphes; Amulette Luminescente; Alliance Gloursonne; Bracelet des Fonds marins; Bouclier d'Ilyzaelle; Ceinture Luminescente; Masque des Fonds marins; Cape Luminescente; Sandales des Fonds marins; Dofus Ocre; Dolmanax; Dofus Abyssal; Dofus Pourpre; Dofus Turquoise; Précurseur majeur; Muldo Roux et Indigo</t>
        </is>
      </c>
    </row>
    <row r="16620">
      <c r="A16620" t="inlineStr">
        <is>
          <t>Stuff 4</t>
        </is>
      </c>
      <c r="B16620">
        <f>HYPERLINK("https://www.dofusbook.net/fr/equipement/1092760-stuff-4/objets", "link")</f>
        <v/>
      </c>
      <c r="C16620" t="n">
        <v>1</v>
      </c>
      <c r="D16620" t="inlineStr">
        <is>
          <t>Héqache; Torquistik; Alliance Gloursonne; Bague Trithon; Bouclier précieux; Ceintacé; Casque Dragoeuf; Voile d'encre; Bottistik; Dofus Abyssal; Culbuteur majeur; Pousseur majeur; Remueur; Carapace Terre majeur; Bousculeur majeur; Muldo Ebène et Pourpre</t>
        </is>
      </c>
    </row>
    <row r="16621">
      <c r="A16621" t="inlineStr">
        <is>
          <t>Stuff 2</t>
        </is>
      </c>
      <c r="B16621">
        <f>HYPERLINK("https://www.dofusbook.net/fr/equipement/1440712-stuff-2/objets", "link")</f>
        <v/>
      </c>
      <c r="C16621" t="n">
        <v>0</v>
      </c>
      <c r="D16621" t="inlineStr">
        <is>
          <t>Rapière aux Glyphes; Amulette Luminescente; Bracelet des Fonds marins; Alliance Gloursonne; Bouclier précieux; Sangle Ouare; Masque d'Anerice; Cape d'Anerice; Bottes Trithon; Dofus Émeraude; Dofus Ocre; Miraculé majeur; Culbuteur majeur; Remueur; Bousculeur majeur; Péki</t>
        </is>
      </c>
    </row>
    <row r="16622">
      <c r="A16622" t="inlineStr">
        <is>
          <t>Eau fuite</t>
        </is>
      </c>
      <c r="B16622">
        <f>HYPERLINK("https://www.dofusbook.net/fr/equipement/84363-eau-fuite/objets", "link")</f>
        <v/>
      </c>
      <c r="C16622" t="n">
        <v>0</v>
      </c>
      <c r="D16622" t="inlineStr">
        <is>
          <t>Dagoulinantes; Amulette de l'Œil Attentif; Alliance Gloursonne; Bracelet des Fonds marins; Bouclier Bontarien; Poulpagne; Capuche de l'Œil Attentif; Cape Glaciale; Bottes de la Dame du Hasard; Dofus des Glaces; Dofus Ocre; Déserteur majeur; Miraculé majeur; Chanceux majeur; Carapace Eau majeur; Muldo Ebène et Pourpre</t>
        </is>
      </c>
    </row>
    <row r="16623">
      <c r="A16623" t="inlineStr">
        <is>
          <t>Stuff 3</t>
        </is>
      </c>
      <c r="B16623">
        <f>HYPERLINK("https://www.dofusbook.net/fr/equipement/2087547-stuff-3/objets", "link")</f>
        <v/>
      </c>
      <c r="C16623" t="n">
        <v>0</v>
      </c>
      <c r="D16623" t="inlineStr">
        <is>
          <t>Dagoulinantes; Amulette de Shokkoth; Alliance Gloursonne; Bracelet des Fonds marins; Bouclier Akwadala; Poulpagne; Masque des Fonds marins; Cape de Mantaze; Bottes du Sinistrofu; Dofus des Glaces; Dofus Ocre; Dévastateur Eau majeur; Miraculé majeur; Chanceux majeur; Carapace Eau majeur; Muldo Indigo et Pourpre</t>
        </is>
      </c>
    </row>
    <row r="16624">
      <c r="A16624" t="inlineStr">
        <is>
          <t>Eau air 2</t>
        </is>
      </c>
      <c r="B16624">
        <f>HYPERLINK("https://www.dofusbook.net/fr/equipement/84358-eau-air-2-/objets", "link")</f>
        <v/>
      </c>
      <c r="C16624" t="n">
        <v>0</v>
      </c>
      <c r="D16624" t="inlineStr">
        <is>
          <t>Arc de Koutoulou; Amulette Voldelor; Gant du Valet Veinard; Alliance Gloursonne; Ambrouclier; Ceinture Voldelor; Casque d'Ilyzaelle; Cape d'Hel Munster; Bottes de la Reine des Voleurs; Dofus Ocre; Dofus Pourpre; Dofus des Glaces; Remueur; Miraculé majeur; Carapace Air majeur; Muldo Ebène et Pourpre</t>
        </is>
      </c>
    </row>
    <row r="16625">
      <c r="A16625" t="inlineStr">
        <is>
          <t>Stuff 1</t>
        </is>
      </c>
      <c r="B16625">
        <f>HYPERLINK("https://www.dofusbook.net/fr/equipement/2029536-stuff-1/objets", "link")</f>
        <v/>
      </c>
      <c r="C16625" t="n">
        <v>0</v>
      </c>
      <c r="D16625" t="inlineStr">
        <is>
          <t>Marteau des Anciens Steamers; Amulette Voldelor; Bracelet des Fonds marins; Alliance Gloursonne; Carapar; Ceinture Voldelor; Masque du Barbétoal; Cape d'Hel Munster; Bottes de la Reine des Voleurs; Dofus Ocre; Dofus Pourpre; Dofus des Glaces; Remueur; Vigoureux majeur; Carapace Air majeur; Muldo Ebène et Pourpre</t>
        </is>
      </c>
    </row>
    <row r="16626">
      <c r="A16626" t="inlineStr">
        <is>
          <t>eau3</t>
        </is>
      </c>
      <c r="B16626">
        <f>HYPERLINK("https://www.dofusbook.net/fr/equipement/2014619-eau3/objets", "link")</f>
        <v/>
      </c>
      <c r="C16626" t="n">
        <v>0</v>
      </c>
      <c r="D16626" t="inlineStr">
        <is>
          <t>Dagoulinantes; Amulette de Shokkoth; Alliance Gloursonne; Bracelet des Fonds marins; Bouclier Akwadala; Poulpagne; Capuche de l'Œil Attentif; Cape de l'Œil Attentif; Bottes du Sinistrofu; Dofus des Glaces; Remueur; Dévastateur Eau majeur; Miraculé majeur; Carapace Terre majeur; Chanceux majeur; Muldo Indigo</t>
        </is>
      </c>
    </row>
    <row r="16627">
      <c r="A16627" t="inlineStr">
        <is>
          <t>Stuff 3</t>
        </is>
      </c>
      <c r="B16627">
        <f>HYPERLINK("https://www.dofusbook.net/fr/equipement/84342-stuff-3/objets", "link")</f>
        <v/>
      </c>
      <c r="C16627" t="n">
        <v>0</v>
      </c>
      <c r="D16627" t="inlineStr">
        <is>
          <t>Arc de Koutoulou; Amulette du Strigide; Pikano; Alliance Gloursonne; Quatre-feuilles; Menoture; Dorabysses; Chevelure de Tal Kasha; Sandales de Tal Kasha; Dofus Pourpre; Dolmanax; Dofus Turquoise; Dofus des Glaces; Vigoureux majeur; Remueur; Muldo Ebène et Indigo</t>
        </is>
      </c>
    </row>
    <row r="16628">
      <c r="A16628" t="inlineStr">
        <is>
          <t>Arc chaloeil</t>
        </is>
      </c>
      <c r="B16628">
        <f>HYPERLINK("https://www.dofusbook.net/fr/equipement/1876129-arc-chaloeil/objets", "link")</f>
        <v/>
      </c>
      <c r="C16628" t="n">
        <v>1</v>
      </c>
      <c r="D16628" t="inlineStr">
        <is>
          <t>Arc du Chalœil; Amulette du Strigide; Anneau Chevelu; Anneau Crustique; Quatre-feuilles; Ceintacé; Masque de Koutoulou; Voile d'encre; Bottes du Strigide; Dofus Nébuleux; Dofus Pourpre; Dofus Abyssal; Dofus Turquoise; Dolmanax; Vigoureux majeur; Muldo Indigo et Pourpre</t>
        </is>
      </c>
    </row>
    <row r="16629">
      <c r="A16629" t="inlineStr">
        <is>
          <t>Cape de classe</t>
        </is>
      </c>
      <c r="B16629">
        <f>HYPERLINK("https://www.dofusbook.net/fr/equipement/1865311-cape-de-classe/objets", "link")</f>
        <v/>
      </c>
      <c r="C16629" t="n">
        <v>0</v>
      </c>
      <c r="D16629" t="inlineStr">
        <is>
          <t>Dagoulinantes; Amulette de Shokkoth; Alliance Gloursonne; Bracelet des Fonds marins; Bouclier Aerdala; Poulpagne; Kidibonnet; Cape Endaison; Bottes du Sinistrofu; Dofus des Glaces; Miraculé majeur; Carapace Eau majeur; Dévastateur Eau majeur; Chanceux majeur; Carapace Air majeur; Muldo Indigo et Pourpre</t>
        </is>
      </c>
    </row>
    <row r="16630">
      <c r="A16630" t="inlineStr">
        <is>
          <t>Stuff 3</t>
        </is>
      </c>
      <c r="B16630">
        <f>HYPERLINK("https://www.dofusbook.net/fr/equipement/1827156-stuff-3/objets", "link")</f>
        <v/>
      </c>
      <c r="C16630" t="n">
        <v>0</v>
      </c>
      <c r="D16630" t="inlineStr">
        <is>
          <t>Arc de Koutoulou; Amulette du Strigide; Alliance Gloursonne; Pikano; Quatre-feuilles; Menoture; Dorabysses; Chevelure de Tal Kasha; Sandales de Tal Kasha; Dofus des Glaces; Dofus Pourpre; Dolmanax; Dofus Turquoise; Remueur; Vigoureux majeur; Muldo Ebène et Indigo</t>
        </is>
      </c>
    </row>
    <row r="16631">
      <c r="A16631" t="inlineStr">
        <is>
          <t>Stuff 2</t>
        </is>
      </c>
      <c r="B16631">
        <f>HYPERLINK("https://www.dofusbook.net/fr/equipement/1826761-stuff-2/objets", "link")</f>
        <v/>
      </c>
      <c r="C16631" t="n">
        <v>0</v>
      </c>
      <c r="D16631" t="inlineStr">
        <is>
          <t>Hache du Chalœil; Amulette du Strigide; Alliance Gloursonne; Anneau Tique; Bouclier du Stalak; Ceinture du Strigide; Chapeau des Malveilleurs; Voile d'encre; Pataugastrique; Dofus des Glaces; Dolmanax; Dofus Pourpre; Dofus Émeraude; Remueur; Vigoureux majeur; Muldo Indigo et Orchidée</t>
        </is>
      </c>
    </row>
    <row r="16632">
      <c r="A16632" t="inlineStr">
        <is>
          <t>Stuff agi</t>
        </is>
      </c>
      <c r="B16632">
        <f>HYPERLINK("https://www.dofusbook.net/fr/equipement/1826696-stuff-agi/objets", "link")</f>
        <v/>
      </c>
      <c r="C16632" t="n">
        <v>0</v>
      </c>
      <c r="D16632" t="inlineStr">
        <is>
          <t>Manthache; Collier du Valet Veinard; Alliance Gloursonne; Gant du Valet Veinard; Bouclier du Stalak; Menoture; Couronne d'Allister; Cape Indescriptible; Palmes Trithons; Dofus Émeraude; Dofus des Glaces; Dofus Pourpre; Dofus Ocre; Vigoureux majeur; Cascadeur majeur; Muldo Ebène et Indigo</t>
        </is>
      </c>
    </row>
    <row r="16633">
      <c r="A16633" t="inlineStr">
        <is>
          <t>Eau 2</t>
        </is>
      </c>
      <c r="B16633">
        <f>HYPERLINK("https://www.dofusbook.net/fr/equipement/1786859-eau-2/objets", "link")</f>
        <v/>
      </c>
      <c r="C16633" t="n">
        <v>1</v>
      </c>
      <c r="D16633" t="inlineStr">
        <is>
          <t>Dagoulinantes; Amulette de Shokkoth; Alliance Gloursonne; Bracelet des Fonds marins; Bouclier Aerdala; Poulpagne; Kidibonnet; Cape du Sinistrofu; Bottes du Sinistrofu; Dofus des Glaces; Miraculé majeur; Carapace Eau majeur; Dévastateur Eau majeur; Chanceux majeur; Carapace Air majeur; Muldo Indigo et Pourpre</t>
        </is>
      </c>
    </row>
    <row r="16634">
      <c r="A16634" t="inlineStr">
        <is>
          <t>feu eau</t>
        </is>
      </c>
      <c r="B16634">
        <f>HYPERLINK("https://www.dofusbook.net/fr/equipement/1683516-feu-eau/objets", "link")</f>
        <v/>
      </c>
      <c r="C16634" t="n">
        <v>0</v>
      </c>
      <c r="D16634" t="inlineStr">
        <is>
          <t>Sceptre du Roi Joueur; Collier de la Dame du Hasard; Alliance Gloursonne; Bracelet des Fonds marins; Bouclier cubiste; Ceinture Glaciale; Casquette de Meno; Cape de la Dame du Hasard; Bottes du Sinistrofu; Remueur; Miraculé majeur; Entraveur majeur; Chanceux majeur; Nomade; Temporiseur majeur; Kramkram</t>
        </is>
      </c>
    </row>
    <row r="16635">
      <c r="A16635" t="inlineStr">
        <is>
          <t>multi</t>
        </is>
      </c>
      <c r="B16635">
        <f>HYPERLINK("https://www.dofusbook.net/fr/equipement/1680186-multi/objets", "link")</f>
        <v/>
      </c>
      <c r="C16635" t="n">
        <v>0</v>
      </c>
      <c r="D16635" t="inlineStr">
        <is>
          <t>Sabres d'Atcham; Amulette du Strigide; Alliance Gloursonne; Bracelet du Piloztère; Quatre-feuilles; Ceinture du Strigide; Coiffe Ranshi; Cape d'Atcham; Bottes du Strigide; Dofus Ocre; Dofus Nébuleux; Dofus Abyssal; Dolmanax; Dofus Pourpre; Dofus des Glaces; Muldo Prune et Emeraude</t>
        </is>
      </c>
    </row>
    <row r="16636">
      <c r="A16636" t="inlineStr">
        <is>
          <t>feu/ini</t>
        </is>
      </c>
      <c r="B16636">
        <f>HYPERLINK("https://www.dofusbook.net/fr/equipement/1573506-feu-ini/objets", "link")</f>
        <v/>
      </c>
      <c r="C16636" t="n">
        <v>0</v>
      </c>
      <c r="D16636" t="inlineStr">
        <is>
          <t>Épée d'Otomaï; Pendentif affamé; Anneau Tique; Anneau du Katcheur; Bouclier cubiste; Ceinture Séculaire; Masque du Katcheur; Voile d'encre; Bottes Innommables; Dofus Pourpre; Dofus Ocre; Dofus des Glaces; Remueur; Érudit majeur; Miraculé majeur; Muldo Indigo et Orchidée</t>
        </is>
      </c>
    </row>
    <row r="16637">
      <c r="A16637" t="inlineStr">
        <is>
          <t>Stuff 3</t>
        </is>
      </c>
      <c r="B16637">
        <f>HYPERLINK("https://www.dofusbook.net/fr/equipement/1527376-stuff-3/objets", "link")</f>
        <v/>
      </c>
      <c r="C16637" t="n">
        <v>0</v>
      </c>
      <c r="D16637" t="inlineStr">
        <is>
          <t>Arc Nécrotique; Collier de la Dame du Hasard; Anneau Tique; Alliance Gloursonne; Bouclier du Cycloïde; Ceintrigue; Casquette de Meno; Voile d'encre; Bottes de Meno; Dofus Ocre; Carapace Terre majeur; Chanceux majeur; Carapace Feu majeur; Guérisseur majeur; Remueur; Muldo Indigo et Pourpre</t>
        </is>
      </c>
    </row>
    <row r="16638">
      <c r="A16638" t="inlineStr">
        <is>
          <t>Stuff 2</t>
        </is>
      </c>
      <c r="B16638">
        <f>HYPERLINK("https://www.dofusbook.net/fr/equipement/84338-stuff-2/objets", "link")</f>
        <v/>
      </c>
      <c r="C16638" t="n">
        <v>0</v>
      </c>
      <c r="D16638" t="inlineStr">
        <is>
          <t>Hache du Chalœil; Amulette du Strigide; Anneau Tique; Alliance Gloursonne; Sept ans de malheur; Ceinture du Strigide; Chapeau des Malveilleurs; Voile d'encre; Pataugastrique; Dofus Pourpre; Dofus Émeraude; Dofus des Glaces; Dofus Turquoise; Remueur; Vigoureux majeur; Muldo Indigo et Orchidée</t>
        </is>
      </c>
    </row>
    <row r="16639">
      <c r="A16639" t="inlineStr">
        <is>
          <t>Feca terre ret pa</t>
        </is>
      </c>
      <c r="B16639">
        <f>HYPERLINK("https://www.dofusbook.net/fr/equipement/1486653-feca-terre-ret-pa/objets", "link")</f>
        <v/>
      </c>
      <c r="C16639" t="n">
        <v>0</v>
      </c>
      <c r="D16639" t="inlineStr">
        <is>
          <t>Marteau R'ture; Amulette du Strigide; Alliance Gloursonne; Anneau Crustique; Sept ans de malheur; Ceintouse; Masque de Koutoulou; Voile d'encre; Bottes du Strigide; Dofus Ocre; Dofus Pourpre; Carapace Eau majeur; Étourdisseur majeur; Remueur; Enragé majeur; Muldo Indigo et Pourpre</t>
        </is>
      </c>
    </row>
    <row r="16640">
      <c r="A16640" t="inlineStr">
        <is>
          <t>iop hetype proto</t>
        </is>
      </c>
      <c r="B16640">
        <f>HYPERLINK("https://www.dofusbook.net/fr/equipement/1444112-iop-hetype-proto/objets", "link")</f>
        <v/>
      </c>
      <c r="C16640" t="n">
        <v>0</v>
      </c>
      <c r="D16640" t="inlineStr">
        <is>
          <t>Baguette de Malléfisk; Amulette du Strigide; Anneau Tique; Bague Gloursonne; Quatre-feuilles; Ceinture Séculaire; Chapeau de Gein; Voile d'encre; Baleinabottes; Dofus Abyssal; Dolmanax; Dofus Pourpre; Dofus des Veilleurs; Vigoureux majeur; Remueur; Muldo Doré et Orchidée</t>
        </is>
      </c>
    </row>
    <row r="16641">
      <c r="A16641" t="inlineStr">
        <is>
          <t>stuff duo proto</t>
        </is>
      </c>
      <c r="B16641">
        <f>HYPERLINK("https://www.dofusbook.net/fr/equipement/1443442-stuff-duo-proto/objets", "link")</f>
        <v/>
      </c>
      <c r="C16641" t="n">
        <v>0</v>
      </c>
      <c r="D16641" t="inlineStr">
        <is>
          <t>Epée Maudite du Saigneur Guerrier; Amulette Ementaire Deluxe; Alliance Gloursonne; Bracelet du Piloztère; Carapar; Ceintouse; Masque de Koutoulou; Voile d'encre; Bottes du Cycloïde; Dofus des Veilleurs; Dokoko; Dofus Émeraude; Miraculé majeur; Remueur; Obstructeur majeur; Muldo Roux et Amande</t>
        </is>
      </c>
    </row>
    <row r="16642">
      <c r="A16642" t="inlineStr">
        <is>
          <t>stuff res</t>
        </is>
      </c>
      <c r="B16642">
        <f>HYPERLINK("https://www.dofusbook.net/fr/equipement/1441443-stuff-res/objets", "link")</f>
        <v/>
      </c>
      <c r="C16642" t="n">
        <v>0</v>
      </c>
      <c r="D16642" t="inlineStr">
        <is>
          <t>Rouleau à Pâtisserie d'Aermyne; Amulette du Strigide; Alliance Gloursonne; Anneau de XLII; Bouclier d'Anerice; Ceinture de XLII; Masque d'Anerice; Cape d'Anerice; Bottes de XLII; Dofus Ocre; Dofus Émeraude; Bloqueur majeur; Tacleur majeur; Précurseur majeur; Bloqueur; Muldo Roux et Indigo</t>
        </is>
      </c>
    </row>
    <row r="16643">
      <c r="A16643" t="inlineStr">
        <is>
          <t>Stuff 5</t>
        </is>
      </c>
      <c r="B16643">
        <f>HYPERLINK("https://www.dofusbook.net/fr/equipement/1256195-stuff-5-/objets", "link")</f>
        <v/>
      </c>
      <c r="C16643" t="n">
        <v>0</v>
      </c>
      <c r="D16643" t="inlineStr">
        <is>
          <t>Epée Toche; Amulette du Strigide; Gelano; Bague Gloursonne; Bouclier du Captain Amakna; Ceinture de Gein; Chapeau de Gein; Voile d'encre; Bottes de la Cour Sombre; Dofus Nébuleux; Dofus Pourpre; Dofus Ocre; Enragé majeur; Vigoureux majeur; Remueur; Muldo Ebène et Indigo</t>
        </is>
      </c>
    </row>
    <row r="16644">
      <c r="A16644" t="inlineStr">
        <is>
          <t>Stuff 3</t>
        </is>
      </c>
      <c r="B16644">
        <f>HYPERLINK("https://www.dofusbook.net/fr/equipement/1225915-stuff-3/objets", "link")</f>
        <v/>
      </c>
      <c r="C16644" t="n">
        <v>0</v>
      </c>
      <c r="D16644" t="inlineStr">
        <is>
          <t>Arc de Koutoulou; Amulette du Strigide; Pikano; Alliance Gloursonne; Quatre-feuilles; Menoture; Dorabysses; Chevelure de Tal Kasha; Sandales de Tal Kasha; Dofus Pourpre; Dolmanax; Dofus Turquoise; Dofus des Glaces; Vigoureux majeur; Remueur; Muldo Ebène et Indigo</t>
        </is>
      </c>
    </row>
    <row r="16645">
      <c r="A16645" t="inlineStr">
        <is>
          <t>Stuff 3</t>
        </is>
      </c>
      <c r="B16645">
        <f>HYPERLINK("https://www.dofusbook.net/fr/equipement/1144580-stuff-3/objets", "link")</f>
        <v/>
      </c>
      <c r="C16645" t="n">
        <v>0</v>
      </c>
      <c r="D16645" t="inlineStr">
        <is>
          <t>Arc de Koutoulou; Amulette du Strigide; Alliance Gloursonne; Pikano; Quatre-feuilles; Menoture; Dorabysses; Chevelure de Tal Kasha; Sandales de Tal Kasha; Dofus des Glaces; Dofus Pourpre; Dolmanax; Dofus Turquoise; Remueur; Vigoureux majeur; Muldo Ebène et Indigo</t>
        </is>
      </c>
    </row>
    <row r="16646">
      <c r="A16646" t="inlineStr">
        <is>
          <t>Stuff 3</t>
        </is>
      </c>
      <c r="B16646">
        <f>HYPERLINK("https://www.dofusbook.net/fr/equipement/84336-stuff-3/objets", "link")</f>
        <v/>
      </c>
      <c r="C16646" t="n">
        <v>0</v>
      </c>
      <c r="D16646" t="inlineStr">
        <is>
          <t>Hache du Chalœil; Amulette du Strigide; Bracelet du Piloztère; Alliance Gloursonne; Bouclier Feudala; Ceinture de Kongoku; Coiffe du Lévitrof; Voile d'encre; Bottes du Strigide; Dofus Ocre; Dofus Pourpre; Carapace Eau majeur; Carapace Terre majeur; Vigoureux majeur; Remueur; Muldo Indigo et Pourpre</t>
        </is>
      </c>
    </row>
    <row r="16647">
      <c r="A16647" t="inlineStr">
        <is>
          <t>Stuff 3</t>
        </is>
      </c>
      <c r="B16647">
        <f>HYPERLINK("https://www.dofusbook.net/fr/equipement/804917-stuff-3/objets", "link")</f>
        <v/>
      </c>
      <c r="C16647" t="n">
        <v>0</v>
      </c>
      <c r="D16647" t="inlineStr">
        <is>
          <t>Baguette Range; Amulette du Strigide; Anneau de Padgref; Bague Trithon; Quatre-feuilles; Ceinture du Strigide; Coiffe de Padgref; Cape d'Atcham; Getas de Padgref; Dofus des Glaces; Dofus Turquoise; Dofus Pourpre; Dolmanax; Dofus Ocre; Dofus Nébuleux; Muldo Prune et Emeraude</t>
        </is>
      </c>
    </row>
    <row r="16648">
      <c r="A16648" t="inlineStr">
        <is>
          <t>Stuff 2</t>
        </is>
      </c>
      <c r="B16648">
        <f>HYPERLINK("https://www.dofusbook.net/fr/equipement/84341-stuff-2/objets", "link")</f>
        <v/>
      </c>
      <c r="C16648" t="n">
        <v>0</v>
      </c>
      <c r="D16648" t="inlineStr">
        <is>
          <t>Héqache; Amulette du Strigide; Anneau des égarés; Alliance Gloursonne; Bouclier du Captain Amakna; Ceintouse; Casque des égarés; Voile d'encre; Baleinabottes; Dofus Nébuleux; Dofus Pourpre; Dofus Émeraude; Dofus Turquoise; Remueur; Vigoureux majeur; Muldo Indigo et Pourpre</t>
        </is>
      </c>
    </row>
    <row r="16649">
      <c r="A16649" t="inlineStr">
        <is>
          <t>Stuff 3</t>
        </is>
      </c>
      <c r="B16649">
        <f>HYPERLINK("https://www.dofusbook.net/fr/equipement/84348-stuff-3/objets", "link")</f>
        <v/>
      </c>
      <c r="C16649" t="n">
        <v>2</v>
      </c>
      <c r="D16649" t="inlineStr">
        <is>
          <t>Hache du Chalœil; Amulette du Strigide; Alliance Gloursonne; Bracelet du Piloztère; Bouclier Feudala; Ceinture de Kongoku; Coiffe du Lévitrof; Voile d'encre; Bottes du Strigide; Dofus Pourpre; Dofus Ocre; Carapace Terre majeur; Vigoureux majeur; Remueur; Carapace Eau majeur; Muldo Indigo et Pourpre</t>
        </is>
      </c>
    </row>
    <row r="16650">
      <c r="A16650" t="inlineStr">
        <is>
          <t>Stuff 3</t>
        </is>
      </c>
      <c r="B16650">
        <f>HYPERLINK("https://www.dofusbook.net/fr/equipement/84339-stuff-3/objets", "link")</f>
        <v/>
      </c>
      <c r="C16650" t="n">
        <v>0</v>
      </c>
      <c r="D16650" t="inlineStr">
        <is>
          <t>Pelle de la Cour Sombre; Amulette du Strigide; Alliance Gloursonne; Gant du Valet Veinard; Sept ans de malheur; Ceinture de Kongoku; Dorabysses; Voile d'encre; Sandales de Tal Kasha; Dofus Émeraude; Dofus Ocre; Paralyseur majeur; Cascadeur majeur; Étourdisseur majeur; Remueur; Muldo Ebène et Indigo</t>
        </is>
      </c>
    </row>
    <row r="16651">
      <c r="A16651" t="inlineStr">
        <is>
          <t>Stuff 3</t>
        </is>
      </c>
      <c r="B16651">
        <f>HYPERLINK("https://www.dofusbook.net/fr/equipement/84371-stuff-3/objets", "link")</f>
        <v/>
      </c>
      <c r="C16651" t="n">
        <v>0</v>
      </c>
      <c r="D16651" t="inlineStr">
        <is>
          <t>La Baguette des Limbes; Amulette de Nileza; Anneau Tamie; Anneau Tamie; Ceinture du Strigide; Coiffe Séculaire; Cape de Nileza; Pantoufles Émar; Dofus Pourpre; Savant majeur; Vigoureux majeur; Nomade; Érudit majeur; Remueur; Brûlih</t>
        </is>
      </c>
    </row>
    <row r="16652">
      <c r="A16652" t="inlineStr">
        <is>
          <t>Stuff 1</t>
        </is>
      </c>
      <c r="B16652">
        <f>HYPERLINK("https://www.dofusbook.net/fr/equipement/84366-stuff-1/objets", "link")</f>
        <v/>
      </c>
      <c r="C16652" t="n">
        <v>0</v>
      </c>
      <c r="D16652" t="inlineStr">
        <is>
          <t>Hache du Chalœil; Amulette de Pol Ouatnos; Bracelet du Piloztère; Alliance Gloursonne; Ceintacé; Casque du Chalœil; Cape des Justiciers; Bottes du Chalœil; Dofus Pourpre; Dolmanax; Dofus des Glaces; Remueur; Vigoureux majeur; Nomade</t>
        </is>
      </c>
    </row>
    <row r="16653">
      <c r="A16653" t="inlineStr">
        <is>
          <t>Stuff 2</t>
        </is>
      </c>
      <c r="B16653">
        <f>HYPERLINK("https://www.dofusbook.net/fr/equipement/84359-stuff-2/objets", "link")</f>
        <v/>
      </c>
      <c r="C16653" t="n">
        <v>0</v>
      </c>
      <c r="D16653" t="inlineStr">
        <is>
          <t>Marteau Phossile; Pendentif mignon de Koutoulou; Anneau Tique; Alliance Gloursonne; Bouclier cubiste; Ceinture Séculaire; Casque Cyclopéen; Voile d'encre; Pataugastrique; Dofus des Glaces; Dofus Pourpre; Remueur; Miraculé majeur; Vigoureux majeur; Carapace Feu majeur; Muldo Indigo et Pourpre</t>
        </is>
      </c>
    </row>
    <row r="16654">
      <c r="A16654" t="inlineStr">
        <is>
          <t>Stuff 1</t>
        </is>
      </c>
      <c r="B16654">
        <f>HYPERLINK("https://www.dofusbook.net/fr/equipement/84346-stuff-1/objets", "link")</f>
        <v/>
      </c>
      <c r="C16654" t="n">
        <v>0</v>
      </c>
      <c r="D16654" t="inlineStr">
        <is>
          <t>Rouleau à Pâtisserie d'Aermyne; Amulette de Pol Ouatnos; Anneau de XLII; Alliance Gloursonne; Bouclier alvéolé; Ceinture de XLII; Coiffe d'Aermyne; Cape d'Aermyne; Bottes de XLII; Dofus Émeraude; Dofus Ocre; Bloqueur majeur; Bloqueur; Précurseur majeur; Tacleur majeur; Muldo Ebène et Orchidée</t>
        </is>
      </c>
    </row>
    <row r="16655">
      <c r="A16655" t="inlineStr">
        <is>
          <t>Stuff 3</t>
        </is>
      </c>
      <c r="B16655">
        <f>HYPERLINK("https://www.dofusbook.net/fr/equipement/84368-stuff-3/objets", "link")</f>
        <v/>
      </c>
      <c r="C16655" t="n">
        <v>0</v>
      </c>
      <c r="D16655" t="inlineStr">
        <is>
          <t>Baguette Range; Amulette du Strigide; Anneau de Padgref; Bracelet du Piloztère; Quatre-feuilles; Ceinture du Strigide; Coiffe de Padgref; Cape Lati; Getas de Padgref; Dofus des Glaces; Dofus Turquoise; Dofus Pourpre; Dolmanax; Dofus Ocre; Dofus Nébuleux; Muldo Prune et Emeraude</t>
        </is>
      </c>
    </row>
    <row r="16656">
      <c r="A16656" t="inlineStr">
        <is>
          <t>Stuff 1</t>
        </is>
      </c>
      <c r="B16656">
        <f>HYPERLINK("https://www.dofusbook.net/fr/equipement/84361-stuff-1/objets", "link")</f>
        <v/>
      </c>
      <c r="C16656" t="n">
        <v>0</v>
      </c>
      <c r="D16656" t="inlineStr">
        <is>
          <t>Manthache; Collier du Valet Veinard; Gant du Valet Veinard; Alliance Gloursonne; Bouclier Feudala; Menoture; Couronne d'Allister; Cape Indescriptible; Palmes Trithons; Dofus des Glaces; Dévastateur Air majeur; Remueur; Miraculé majeur; Carapace Terre majeur; Cascadeur majeur; Muldo Ebène et Indigo</t>
        </is>
      </c>
    </row>
    <row r="16657">
      <c r="A16657" t="inlineStr">
        <is>
          <t>Stuff 2</t>
        </is>
      </c>
      <c r="B16657">
        <f>HYPERLINK("https://www.dofusbook.net/fr/equipement/84353-stuff-2/objets", "link")</f>
        <v/>
      </c>
      <c r="C16657" t="n">
        <v>0</v>
      </c>
      <c r="D16657" t="inlineStr">
        <is>
          <t>Arc Hétype; Pendentif affamé; Anneau Tique; Anneau de Nidas; Bouclier cubiste; Ceinture Séculaire; Couronne de Nidas; Cape de Diondin; Bottes Innommables; Dofus Turquoise; Carapace Eau majeur; Érudit majeur; Carapace Feu majeur; Remueur; Temporiseur majeur; Muldo Indigo et Orchidée</t>
        </is>
      </c>
    </row>
    <row r="16658">
      <c r="A16658" t="inlineStr">
        <is>
          <t>Stuff 2</t>
        </is>
      </c>
      <c r="B16658">
        <f>HYPERLINK("https://www.dofusbook.net/fr/equipement/84370-stuff-2/objets", "link")</f>
        <v/>
      </c>
      <c r="C16658" t="n">
        <v>0</v>
      </c>
      <c r="D16658" t="inlineStr">
        <is>
          <t>La Baguette des Limbes; Amulette de Nileza; Anneau Tamie; Anneau Tamie; String Tue-Mouche; Masque Vaudou Ark; Cape de Nileza; Pantoufles Émar; Dofus Pourpre; Savant majeur; Vigoureux majeur; Nomade; Érudit majeur; Remueur; Brûlih</t>
        </is>
      </c>
    </row>
    <row r="16659">
      <c r="A16659" t="inlineStr">
        <is>
          <t>Stuff 2</t>
        </is>
      </c>
      <c r="B16659">
        <f>HYPERLINK("https://www.dofusbook.net/fr/equipement/84367-stuff-2/objets", "link")</f>
        <v/>
      </c>
      <c r="C16659" t="n">
        <v>0</v>
      </c>
      <c r="D16659" t="inlineStr">
        <is>
          <t>Hache du Chalœil; Amulette de Pol Ouatnos; Alliance Gloursonne; Bracelet du Piloztère; Ceintacé; Casque du Chalœil; Voile d'encre; Bottes du Chalœil; Dofus Pourpre; Dolmanax; Remueur; Miraculé majeur; Nomade; Fonceur majeur</t>
        </is>
      </c>
    </row>
    <row r="16660">
      <c r="A16660" t="inlineStr">
        <is>
          <t>Stuff 3</t>
        </is>
      </c>
      <c r="B16660">
        <f>HYPERLINK("https://www.dofusbook.net/fr/equipement/84360-stuff-3/objets", "link")</f>
        <v/>
      </c>
      <c r="C16660" t="n">
        <v>0</v>
      </c>
      <c r="D16660" t="inlineStr">
        <is>
          <t>Arc Nécrotique; Collier de la Dame du Hasard; Anneau Tique; Alliance Gloursonne; Bouclier cubiste; Ceintrigue; Casqnoar; Voile d'encre; Bottes de Meno; Dofus Pourpre; Dofus Ocre; Dofus des Glaces; Remueur; Érudit majeur; Miraculé majeur; Muldo Orchidée et Pourpre</t>
        </is>
      </c>
    </row>
    <row r="16661">
      <c r="A16661" t="inlineStr">
        <is>
          <t>Stuff 1</t>
        </is>
      </c>
      <c r="B16661">
        <f>HYPERLINK("https://www.dofusbook.net/fr/equipement/84352-stuff-1/objets", "link")</f>
        <v/>
      </c>
      <c r="C16661" t="n">
        <v>0</v>
      </c>
      <c r="D16661" t="inlineStr">
        <is>
          <t>Dagues de Srambad; Amulette Luminescente; Alliance Gloursonne; Pikano; Bouclier cubiste; Ceinture de la Reine des Voleurs; Boucle d'oreille de Kongoku; Voile d'encre; Baleinabottes; Dofus Pourpre; Entraveur majeur; Remueur; Chanceux majeur; Enragé majeur; Temporiseur majeur; Muldo Ebène et Indigo</t>
        </is>
      </c>
    </row>
    <row r="16662">
      <c r="A16662" t="inlineStr">
        <is>
          <t>Stuff 2</t>
        </is>
      </c>
      <c r="B16662">
        <f>HYPERLINK("https://www.dofusbook.net/fr/equipement/84347-stuff-2/objets", "link")</f>
        <v/>
      </c>
      <c r="C16662" t="n">
        <v>0</v>
      </c>
      <c r="D16662" t="inlineStr">
        <is>
          <t>Rapière aux Glyphes; Amulette de Shokkoth; Alliance Gloursonne; Bracelet des Fonds marins; Bouclier Feudala; Ceinture Glaciale; Kidibonnet; Cape du Sinistrofu; Bottes du Sinistrofu; Dofus Pourpre; Chanceux majeur; Carapace Eau majeur; Carapace Feu majeur; Fonceur majeur; Remueur; Muldo Indigo et Pourpre</t>
        </is>
      </c>
    </row>
    <row r="16663">
      <c r="A16663" t="inlineStr">
        <is>
          <t>Stuff 1</t>
        </is>
      </c>
      <c r="B16663">
        <f>HYPERLINK("https://www.dofusbook.net/fr/equipement/84369-stuff-1/objets", "link")</f>
        <v/>
      </c>
      <c r="C16663" t="n">
        <v>0</v>
      </c>
      <c r="D16663" t="inlineStr">
        <is>
          <t>La Baguette des Limbes; Talisman du Chêne Mou; Anneau Nobstant; Gelano; Ceinture du Père Phorreur; Masque Vaudou Ark; Cape Usée du Chêne Mou; Bottes d'Inferno; Dofus Pourpre; Remueur; Savant majeur; Vigoureux majeur; Nomade; Érudit majeur; Brûlih</t>
        </is>
      </c>
    </row>
    <row r="16664">
      <c r="A16664" t="inlineStr">
        <is>
          <t>Stuff 3</t>
        </is>
      </c>
      <c r="B16664">
        <f>HYPERLINK("https://www.dofusbook.net/fr/equipement/84371-stuff-3/objets", "link")</f>
        <v/>
      </c>
      <c r="C16664" t="n">
        <v>0</v>
      </c>
      <c r="D16664" t="inlineStr">
        <is>
          <t>La Baguette des Limbes; Amulette de Nileza; Anneau Tamie; Anneau Tamie; Ceinture du Strigide; Coiffe Séculaire; Cape de Nileza; Pantoufles Émar; Dofus Pourpre; Remueur; Savant majeur; Vigoureux majeur; Nomade; Érudit majeur; Brûlih</t>
        </is>
      </c>
    </row>
    <row r="16665">
      <c r="A16665" t="inlineStr">
        <is>
          <t>Stuff 2</t>
        </is>
      </c>
      <c r="B16665">
        <f>HYPERLINK("https://www.dofusbook.net/fr/equipement/84329-stuff-2/objets", "link")</f>
        <v/>
      </c>
      <c r="C16665" t="n">
        <v>0</v>
      </c>
      <c r="D16665" t="inlineStr">
        <is>
          <t>Pelle de la Cour Sombre; Collier du Valet Veinard; Alliance Gloursonne; Gant du Valet Veinard; Ceinture du Barbétoal; Couronne d'Allister; Cape du Kamasterisk; Baleinabottes; Dofus des Glaces; Cascadeur majeur; Dévastateur Air majeur; Remueur; Miraculé majeur; Nomade</t>
        </is>
      </c>
    </row>
    <row r="16666">
      <c r="A16666" t="inlineStr">
        <is>
          <t>Stuff 1</t>
        </is>
      </c>
      <c r="B16666">
        <f>HYPERLINK("https://www.dofusbook.net/fr/equipement/84331-stuff-1/objets", "link")</f>
        <v/>
      </c>
      <c r="C16666" t="n">
        <v>0</v>
      </c>
      <c r="D16666" t="inlineStr">
        <is>
          <t>Epée Toche; Amulette du Strigide; Chevalière du Roi Joueur; Bague Gloursonne; Bouclier du Captain Amakna; Ceinture de Gein; Bonnet Ko; Voile d'encre; Bottes du Cycloïde; Dofus Ocre; Dofus Nébuleux; Dofus Pourpre; Remueur; Nomade; Enragé majeur; Muldo Indigo et Pourpre</t>
        </is>
      </c>
    </row>
    <row r="16667">
      <c r="A16667" t="inlineStr">
        <is>
          <t>Stuff 2</t>
        </is>
      </c>
      <c r="B16667">
        <f>HYPERLINK("https://www.dofusbook.net/fr/equipement/84326-stuff-2/objets", "link")</f>
        <v/>
      </c>
      <c r="C16667" t="n">
        <v>0</v>
      </c>
      <c r="D16667" t="inlineStr">
        <is>
          <t>Harpelle; Pendentif affamé; Anneau de Nidas; Anneau Tique; Bouclier du Cycloïde; Ceinture de Vortex; Couronne de Nidas; Voile d'encre; Bottes Innommables; Dofus Ocre; Fonceur majeur; Carapace Feu majeur; Érudit majeur; Remueur; Guérisseur majeur; Muldo Indigo et Pourpre</t>
        </is>
      </c>
    </row>
    <row r="16668">
      <c r="A16668" t="inlineStr">
        <is>
          <t>Stuff 1</t>
        </is>
      </c>
      <c r="B16668">
        <f>HYPERLINK("https://www.dofusbook.net/fr/equipement/84343-stuff-1/objets", "link")</f>
        <v/>
      </c>
      <c r="C16668" t="n">
        <v>1</v>
      </c>
      <c r="D16668" t="inlineStr">
        <is>
          <t>Dagues de Srambad; Amulette du Strigide; Pikano; Alliance Gloursonne; Bouclier précieux; Ceinture de la Reine des Voleurs; Coiffe de la Reine des Voleurs; Voile d'encre; Baleinabottes; Dofus Émeraude; Dofus Pourpre; Remueur; Chanceux majeur; Miraculé majeur; Fonceur majeur; Muldo Indigo et Pourpre</t>
        </is>
      </c>
    </row>
    <row r="16669">
      <c r="A16669" t="inlineStr">
        <is>
          <t>Stuff 3</t>
        </is>
      </c>
      <c r="B16669">
        <f>HYPERLINK("https://www.dofusbook.net/fr/equipement/84333-stuff-3/objets", "link")</f>
        <v/>
      </c>
      <c r="C16669" t="n">
        <v>0</v>
      </c>
      <c r="D16669" t="inlineStr">
        <is>
          <t>Dagues Érhy; Amulette du Strigide; Anneau Chevelu; Bague Gloursonne; Bouclier du Captain Amakna; Ceinture de Gein; Chapeau de Gein; Voile d'encre; Bottes du Cycloïde; Dofus Ocre; Dofus Pourpre; Dofus Turquoise; Remueur; Vigoureux majeur; Muldo Indigo et Pourpre</t>
        </is>
      </c>
    </row>
    <row r="16670">
      <c r="A16670" t="inlineStr">
        <is>
          <t>Stuff 1</t>
        </is>
      </c>
      <c r="B16670">
        <f>HYPERLINK("https://www.dofusbook.net/fr/equipement/84328-stuff-1/objets", "link")</f>
        <v/>
      </c>
      <c r="C16670" t="n">
        <v>0</v>
      </c>
      <c r="D16670" t="inlineStr">
        <is>
          <t>Arc Hétype; Amulette de Nileza; Anneau Tique; Bague Gloursonne; Ceinture de Gein; Coiffe Séculaire; Cape de Nileza; Pataugastrique; Dofus des Glaces; Nomade; Érudit majeur; Miraculé majeur; Remueur; Dévastateur Feu majeur</t>
        </is>
      </c>
    </row>
    <row r="16671">
      <c r="A16671" t="inlineStr">
        <is>
          <t>Stuff 3</t>
        </is>
      </c>
      <c r="B16671">
        <f>HYPERLINK("https://www.dofusbook.net/fr/equipement/84345-stuff-3/objets", "link")</f>
        <v/>
      </c>
      <c r="C16671" t="n">
        <v>0</v>
      </c>
      <c r="D16671" t="inlineStr">
        <is>
          <t>Dagues Érhy; Amulette du Strigide; Chevalière du Roi Joueur; Bague Gloursonne; Bouclier précieux; Ceinture de Kongoku; Chapeau de Gein; Voile d'encre; Bottes du Strigide; Dofus Ocre; Dofus Émeraude; Enragé majeur; Miraculé majeur; Carapace Terre majeur; Remueur; Muldo Ebène et Pourpre</t>
        </is>
      </c>
    </row>
    <row r="16672">
      <c r="A16672" t="inlineStr">
        <is>
          <t>Stuff 1</t>
        </is>
      </c>
      <c r="B16672">
        <f>HYPERLINK("https://www.dofusbook.net/fr/equipement/84340-stuff-1/objets", "link")</f>
        <v/>
      </c>
      <c r="C16672" t="n">
        <v>0</v>
      </c>
      <c r="D16672" t="inlineStr">
        <is>
          <t>Dagues Érhy; Amulette du Strigide; Bracelet du Piloztère; Alliance Gloursonne; Bouclier Aerdala; Ceintacé; Chapeau de Gein; Voile d'encre; Bottes du Strigide; Dolmanax; Dofus Turquoise; Dofus Nébuleux; Dofus Pourpre; Vigoureux majeur; Remueur; Muldo Orchidée et Pourpre</t>
        </is>
      </c>
    </row>
    <row r="16673">
      <c r="A16673" t="inlineStr">
        <is>
          <t>Stuff 2</t>
        </is>
      </c>
      <c r="B16673">
        <f>HYPERLINK("https://www.dofusbook.net/fr/equipement/84335-stuff-2/objets", "link")</f>
        <v/>
      </c>
      <c r="C16673" t="n">
        <v>0</v>
      </c>
      <c r="D16673" t="inlineStr">
        <is>
          <t>Dagues Érhy; Amulette de Pol Ouatnos; Chevalière du Roi Joueur; Bague Gloursonne; Ceintacé; Couronne du Roi Joueur; Voile d'encre; Bottes du Cycloïde; Dofus Pourpre; Temporiseur majeur; Vigoureux majeur; Remueur; Carapace Terre majeur; Carapace Feu majeur</t>
        </is>
      </c>
    </row>
    <row r="16674">
      <c r="A16674" t="inlineStr">
        <is>
          <t>Stuff 3</t>
        </is>
      </c>
      <c r="B16674">
        <f>HYPERLINK("https://www.dofusbook.net/fr/equipement/84330-stuff-3/objets", "link")</f>
        <v/>
      </c>
      <c r="C16674" t="n">
        <v>0</v>
      </c>
      <c r="D16674" t="inlineStr">
        <is>
          <t>Rapière aux Glyphes; Talisman Glouti; Alliance Gloursonne; Bracelet des Fonds marins; Sangle Ouare; Kidibonnet; Cape du Sinistrofu; Sandales des Fonds marins; Dofus des Glaces; Dévastateur Eau majeur; Remueur; Chanceux majeur; Carapace Eau majeur; Observateur</t>
        </is>
      </c>
    </row>
    <row r="16675">
      <c r="A16675" t="inlineStr">
        <is>
          <t>Stuff 1</t>
        </is>
      </c>
      <c r="B16675">
        <f>HYPERLINK("https://www.dofusbook.net/fr/equipement/84325-stuff-1/objets", "link")</f>
        <v/>
      </c>
      <c r="C16675" t="n">
        <v>0</v>
      </c>
      <c r="D16675" t="inlineStr">
        <is>
          <t>Arc Nécrotique; Collier de la Dame du Hasard; Anneau Tique; Alliance Gloursonne; Bouclier du Cycloïde; Ceintrigue; Casquette de Meno; Voile d'encre; Bottes de Meno; Dofus Turquoise; Dofus Pourpre; Étourdisseur majeur; Guérisseur majeur; Remueur; Vigoureux majeur; Muldo Orchidée et Pourpre</t>
        </is>
      </c>
    </row>
    <row r="16676">
      <c r="A16676" t="inlineStr">
        <is>
          <t>Stuff 1</t>
        </is>
      </c>
      <c r="B16676">
        <f>HYPERLINK("https://www.dofusbook.net/fr/equipement/84337-stuff-1/objets", "link")</f>
        <v/>
      </c>
      <c r="C16676" t="n">
        <v>0</v>
      </c>
      <c r="D16676" t="inlineStr">
        <is>
          <t>Marteau des Anciens Steamers; Amulette de Pol Ouatnos; Anneau Tique; Alliance Gloursonne; Sept ans de malheur; Ceintacé; Dorabysses; Voile d'encre; Bottes du Strigide; Dofus Émeraude; Dofus Turquoise; Dofus Pourpre; Vigoureux majeur; Remueur; Étourdisseur majeur; Muldo Ebène et Pourpre</t>
        </is>
      </c>
    </row>
    <row r="16677">
      <c r="A16677" t="inlineStr">
        <is>
          <t>Stuff 2</t>
        </is>
      </c>
      <c r="B16677">
        <f>HYPERLINK("https://www.dofusbook.net/fr/equipement/84332-stuff-2/objets", "link")</f>
        <v/>
      </c>
      <c r="C16677" t="n">
        <v>0</v>
      </c>
      <c r="D16677" t="inlineStr">
        <is>
          <t>Héqache; Amulette du Strigide; Anneau Chevelu; Bague Gloursonne; Bouclier du Captain Amakna; Ceinture du Strigide; Coiffe de la Reine des Voleurs; Voile d'encre; Bottes du Strigide; Dofus Nébuleux; Dofus Pourpre; Dofus Abyssal; Dofus des Glaces; Dofus Turquoise; Dofus Ocre; Muldo Doré et Emeraude</t>
        </is>
      </c>
    </row>
    <row r="16678">
      <c r="A16678" t="inlineStr">
        <is>
          <t>Stuff 3</t>
        </is>
      </c>
      <c r="B16678">
        <f>HYPERLINK("https://www.dofusbook.net/fr/equipement/84327-stuff-3/objets", "link")</f>
        <v/>
      </c>
      <c r="C16678" t="n">
        <v>0</v>
      </c>
      <c r="D16678" t="inlineStr">
        <is>
          <t>Sabres d'Atcham; Amulette de Pol Ouatnos; Anneau Tique; Alliance Gloursonne; Cadran de Terre; Ceinture du Barbétoal; Chapeau des Malveilleurs; Voile d'encre; Pataugastrique; Dofus Pourpre; Miraculé majeur; Étourdisseur majeur; Remueur; Carapace Eau majeur; Vigoureux majeur; Muldo Ebène et Pourpre</t>
        </is>
      </c>
    </row>
    <row r="16679">
      <c r="A16679" t="inlineStr">
        <is>
          <t>Stuff 2</t>
        </is>
      </c>
      <c r="B16679">
        <f>HYPERLINK("https://www.dofusbook.net/fr/equipement/84344-stuff-2/objets", "link")</f>
        <v/>
      </c>
      <c r="C16679" t="n">
        <v>0</v>
      </c>
      <c r="D16679" t="inlineStr">
        <is>
          <t>Rapière aux Glyphes; Talisman Igans; Alliance Gloursonne; Pikano; Bouclier précieux; Ceinture Glaciale; Kidibonnet; Voile d'encre; Bottes Owesli; Dofus Émeraude; Carapace Eau majeur; Bousculeur majeur; Miraculé majeur; Culbuteur majeur; Remueur; Muldo Indigo et Pourpre</t>
        </is>
      </c>
    </row>
    <row r="16680">
      <c r="A16680" t="inlineStr">
        <is>
          <t>Stuff 1</t>
        </is>
      </c>
      <c r="B16680">
        <f>HYPERLINK("https://www.dofusbook.net/fr/equipement/84334-stuff-1/objets", "link")</f>
        <v/>
      </c>
      <c r="C16680" t="n">
        <v>0</v>
      </c>
      <c r="D16680" t="inlineStr">
        <is>
          <t>Dagues Açantes; Amulette Luminescente; Alliance Gloursonne; Pikano; Ceinture Instable; Casquipik; Cape de Léthaline; Bottes du Glourséleste; Dofus Ocre; Ralentisseur majeur; Chanceux majeur; Temporiseur majeur; Entraveur majeur; Remueur; Dragoune Rose</t>
        </is>
      </c>
    </row>
    <row r="16681">
      <c r="A16681" t="inlineStr">
        <is>
          <t>Féca F 200</t>
        </is>
      </c>
      <c r="B16681">
        <f>HYPERLINK("https://www.dofusbook.net/fr/equipement/5382153-feca-f-200/objets", "link")</f>
        <v/>
      </c>
      <c r="C16681" t="n">
        <v>3</v>
      </c>
      <c r="D16681" t="inlineStr">
        <is>
          <t>Arc corrompu; Anneauræus; Anneauræus; Croture; Heaume Oplate; Voile d'encre; Drakopin</t>
        </is>
      </c>
    </row>
    <row r="16682">
      <c r="A16682" t="inlineStr">
        <is>
          <t>Stuff 3</t>
        </is>
      </c>
      <c r="B16682">
        <f>HYPERLINK("https://www.dofusbook.net/fr/equipement/720826-stuff-3/objets", "link")</f>
        <v/>
      </c>
      <c r="C16682" t="n">
        <v>0</v>
      </c>
      <c r="D16682" t="inlineStr">
        <is>
          <t>Dagues Érhy; Amulette du Strigide; Bague Gloursonne; Anneau de Padgref; Quatre-feuilles; Ceinture du Strigide; Coiffe de Padgref; Cape d'Atcham; Getas de Padgref; Dolmanax; Dofus Turquoise; Dofus Nébuleux; Dofus Pourpre; Dofus Ocre; Dofus des Glaces</t>
        </is>
      </c>
    </row>
    <row r="16683">
      <c r="A16683" t="inlineStr">
        <is>
          <t>Stuff 3</t>
        </is>
      </c>
      <c r="B16683">
        <f>HYPERLINK("https://www.dofusbook.net/fr/equipement/720817-stuff-3/objets", "link")</f>
        <v/>
      </c>
      <c r="C16683" t="n">
        <v>10</v>
      </c>
      <c r="D16683" t="inlineStr">
        <is>
          <t>Dagues de Srambad; Amulette du Strigide; Bracelet du Piloztère; Anneau Volkorne; Bouclier du Stalak; Ceinture Volkorne; Masque de Funespadon; Cape de Jahash Jurgen; Bottes Honyme; Dolmanax; Dokoko; Kramkram</t>
        </is>
      </c>
    </row>
    <row r="16684">
      <c r="A16684" t="inlineStr">
        <is>
          <t>feu</t>
        </is>
      </c>
      <c r="B16684">
        <f>HYPERLINK("https://www.dofusbook.net/fr/equipement/3423502-feu/objets", "link")</f>
        <v/>
      </c>
      <c r="C16684" t="n">
        <v>1</v>
      </c>
      <c r="D16684" t="inlineStr">
        <is>
          <t>Arc corrompu; Amulette Volkorne; Anneauræus; Anneau Tique; Cadran de Terre; Ceinture de Vortex; Heaume Oplate; Cape Ardente; Chaussures Ardentes; Dofus Ocre; Dofus Abyssal; Dofus Pourpre; Dofus Ivoire; Érudit majeur; Nomade; Bisouglours</t>
        </is>
      </c>
    </row>
    <row r="16685">
      <c r="A16685" t="inlineStr">
        <is>
          <t>Stuff 3</t>
        </is>
      </c>
      <c r="B16685">
        <f>HYPERLINK("https://www.dofusbook.net/fr/equipement/720808-stuff-3/objets", "link")</f>
        <v/>
      </c>
      <c r="C16685" t="n">
        <v>2</v>
      </c>
      <c r="D16685" t="inlineStr">
        <is>
          <t>Arc du Chalœil; Amulette du Cœur Saignant; Anneau Volkorne; Chevalière du Roi Joueur; Quatre-feuilles; Ceinture Volkorne; Couronne du Roi Joueur; Cape du Cœur Saignant; Bottes du Cœur Saignant; Dofus Nébuleux; Dofus Pourpre</t>
        </is>
      </c>
    </row>
    <row r="16686">
      <c r="A16686" t="inlineStr">
        <is>
          <t>Stuff 1</t>
        </is>
      </c>
      <c r="B16686">
        <f>HYPERLINK("https://www.dofusbook.net/fr/equipement/720821-stuff-1/objets", "link")</f>
        <v/>
      </c>
      <c r="C16686" t="n">
        <v>11</v>
      </c>
      <c r="D16686" t="inlineStr">
        <is>
          <t>Dagoulinantes; Amulette de Shokkoth; Alliance Gloursonne; Anneau Volkorne; Cadran de Terre; Poulpagne; Capuche de l'Œil Attentif; Cape de l'Œil Attentif; Bottes du Sinistrofu; Dofus des Glaces; Dofus Ivoire; Dofus Ocre; Kanigloups</t>
        </is>
      </c>
    </row>
    <row r="16687">
      <c r="A16687" t="inlineStr">
        <is>
          <t>Stuff 3</t>
        </is>
      </c>
      <c r="B16687">
        <f>HYPERLINK("https://www.dofusbook.net/fr/equipement/720814-stuff-3/objets", "link")</f>
        <v/>
      </c>
      <c r="C16687" t="n">
        <v>0</v>
      </c>
      <c r="D16687" t="inlineStr">
        <is>
          <t>Arc du Chalœil; Amulette du Strigide; Anneau Volkorne; Bracelet du Piloztère; Quatre-feuilles; Ceinture Volkorne; Masque de Koutoulou; Cape au Logis; Bottes du Cœur Saignant; Dofus Turquoise; Dofus Nébuleux</t>
        </is>
      </c>
    </row>
    <row r="16688">
      <c r="A16688" t="inlineStr">
        <is>
          <t>Stuff 2</t>
        </is>
      </c>
      <c r="B16688">
        <f>HYPERLINK("https://www.dofusbook.net/fr/equipement/720813-stuff-2/objets", "link")</f>
        <v/>
      </c>
      <c r="C16688" t="n">
        <v>34</v>
      </c>
      <c r="D16688" t="inlineStr">
        <is>
          <t>Arc du Chalœil; Anneau Chevelu; Bague Gloursonne; Bouclier du Stalak; Ceinture de la Reine des Voleurs; Coiffe de la Reine des Voleurs; Cape au Logis; Baleinabottes; Dofus Pourpre; Dofus Ivoire; Dokoko; Dofus Nébuleux; Dofus Ocre; Enragé majeur</t>
        </is>
      </c>
    </row>
    <row r="16689">
      <c r="A16689" t="inlineStr">
        <is>
          <t>Stuff 2</t>
        </is>
      </c>
      <c r="B16689">
        <f>HYPERLINK("https://www.dofusbook.net/fr/equipement/720807-stuff-2/objets", "link")</f>
        <v/>
      </c>
      <c r="C16689" t="n">
        <v>0</v>
      </c>
      <c r="D16689" t="inlineStr">
        <is>
          <t>Hache Téroïde; Amulette Volkorne; Bague Gloursonne; Chevalière du Roi Joueur; Bouclier du Stalak; Ceinture Volkorne; Couronne du Roi Joueur; Voile d'encre; Bottes du Roi Joueur; Dofus Pourpre; Dolmanax; Dofus Turquoise</t>
        </is>
      </c>
    </row>
    <row r="16690">
      <c r="A16690" t="inlineStr">
        <is>
          <t>Stuff 1</t>
        </is>
      </c>
      <c r="B16690">
        <f>HYPERLINK("https://www.dofusbook.net/fr/equipement/720815-stuff-1/objets", "link")</f>
        <v/>
      </c>
      <c r="C16690" t="n">
        <v>0</v>
      </c>
      <c r="D16690" t="inlineStr">
        <is>
          <t>Sceptre du Roi Joueur; Amulette de Shokkoth; Alliance Gloursonne; Bracelet des Fonds marins; Bouclier du Stalak; Poulpagne; Masque de Funespadon; Cape du Sinistrofu; Bottes du Sinistrofu; Dofus Ocre; Dofus Ivoire; Dofus des Glaces; Dofus Pourpre; Dofus Nébuleux</t>
        </is>
      </c>
    </row>
    <row r="16691">
      <c r="A16691" t="inlineStr">
        <is>
          <t>Stuff 1</t>
        </is>
      </c>
      <c r="B16691">
        <f>HYPERLINK("https://www.dofusbook.net/fr/equipement/720824-stuff-1/objets", "link")</f>
        <v/>
      </c>
      <c r="C16691" t="n">
        <v>1</v>
      </c>
      <c r="D16691" t="inlineStr">
        <is>
          <t>Arc de Koutoulou; Amulette du Strigide; Alliance Gloursonne; Bague Gloursonne; Quatre-feuilles; Ceinture du Strigide; Némès de Tal Kasha; Chevelure de Tal Kasha; Sandales de Tal Kasha; Dofus des Glaces; Dofus Pourpre; Dofus Nébuleux; Dolmanax; Dofus Turquoise</t>
        </is>
      </c>
    </row>
    <row r="16692">
      <c r="A16692" t="inlineStr">
        <is>
          <t>Stuff 1</t>
        </is>
      </c>
      <c r="B16692">
        <f>HYPERLINK("https://www.dofusbook.net/fr/equipement/720812-stuff-1/objets", "link")</f>
        <v/>
      </c>
      <c r="C16692" t="n">
        <v>1</v>
      </c>
      <c r="D16692" t="inlineStr">
        <is>
          <t>Hache du Chalœil; Amulette du Strigide; Grésilanneau; Anneau Volkorne; Bouclier du Stalak; Ceinture Volkorne; Le Dorado; Voile d'encre; Bottes du Strigide; Dofus Ocre; Dofus Pourpre; Dofus des Glaces; Dofus Abyssal</t>
        </is>
      </c>
    </row>
    <row r="16693">
      <c r="A16693" t="inlineStr">
        <is>
          <t>Stuff 1</t>
        </is>
      </c>
      <c r="B16693">
        <f>HYPERLINK("https://www.dofusbook.net/fr/equipement/720806-stuff-1/objets", "link")</f>
        <v/>
      </c>
      <c r="C16693" t="n">
        <v>1</v>
      </c>
      <c r="D16693" t="inlineStr">
        <is>
          <t>Sabres d'Atcham; Amulette Volkorne; Anneau Volkorne; Anneau de Padgref; Quatre-feuilles; Ceinture Volkorne; Coiffe de Padgref; Cape d'Atcham; Getas de Padgref; Dofus Pourpre; Dofus des Glaces; Dofus Turquoise; Dofus Nébuleux; Dofus Ocre; Dolmanax; Sakochère</t>
        </is>
      </c>
    </row>
    <row r="16694">
      <c r="A16694" t="inlineStr">
        <is>
          <t>Stuff 2</t>
        </is>
      </c>
      <c r="B16694">
        <f>HYPERLINK("https://www.dofusbook.net/fr/equipement/720825-stuff-2/objets", "link")</f>
        <v/>
      </c>
      <c r="C16694" t="n">
        <v>0</v>
      </c>
      <c r="D16694" t="inlineStr">
        <is>
          <t>Arc du Chalœil; Amulette du Strigide; Bague Gloursonne; Bague Trithon; Bouclier du Stalak; Ceinture du Strigide; Masque Trithon; Voile d'encre; Bottes Trithon; Dofus Pourpre; Dofus Ivoire</t>
        </is>
      </c>
    </row>
    <row r="16695">
      <c r="A16695" t="inlineStr">
        <is>
          <t>Crâ M 200</t>
        </is>
      </c>
      <c r="B16695">
        <f>HYPERLINK("https://www.dofusbook.net/fr/equipement/3613617-cra-m-200/objets", "link")</f>
        <v/>
      </c>
      <c r="C16695" t="n">
        <v>0</v>
      </c>
      <c r="D16695" t="inlineStr">
        <is>
          <t>Dagues de Srambad; Amulette Luminescente; Alliance Gloursonne; Pikano; Bouclier du Stalak; Ceinture Luminescente; Casquipik; Cape Luminescente; Pikottes; Phortiche</t>
        </is>
      </c>
    </row>
    <row r="16696">
      <c r="A16696" t="inlineStr">
        <is>
          <t>Stuff 2</t>
        </is>
      </c>
      <c r="B16696">
        <f>HYPERLINK("https://www.dofusbook.net/fr/equipement/720816-stuff-2/objets", "link")</f>
        <v/>
      </c>
      <c r="C16696" t="n">
        <v>1</v>
      </c>
      <c r="D16696" t="inlineStr">
        <is>
          <t>Marteau des Anciens Steamers; Amulette Ementaire Deluxe; Alliance Gloursonne; Pikano; Bouclier du Bawbawe cassé; Ceintacé; Coiffe de la Reine des Voleurs; Voile d'encre; Bottes de la Reine des Voleurs; Dokoko; Dofus Pourpre; Dofus Nébuleux; Dolmanax; Nomade; Remueur; Kramkram</t>
        </is>
      </c>
    </row>
    <row r="16697">
      <c r="A16697" t="inlineStr">
        <is>
          <t>Stuff 3</t>
        </is>
      </c>
      <c r="B16697">
        <f>HYPERLINK("https://www.dofusbook.net/fr/equipement/720811-stuff-3/objets", "link")</f>
        <v/>
      </c>
      <c r="C16697" t="n">
        <v>0</v>
      </c>
      <c r="D16697" t="inlineStr">
        <is>
          <t>Rapière aux Glyphes; Amulette de Shokkoth; Alliance Gloursonne; Bracelet des Fonds marins; Poulpagne; Casque Dragoeuf; Cape de Mantaze; Sandales des Fonds marins; Évasif majeur; Nomade; Cavaleur majeur; Carapace Terre majeur; Obstructeur majeur; Remueur; Croum</t>
        </is>
      </c>
    </row>
    <row r="16698">
      <c r="A16698" t="inlineStr">
        <is>
          <t>Stuff 1</t>
        </is>
      </c>
      <c r="B16698">
        <f>HYPERLINK("https://www.dofusbook.net/fr/equipement/720828-stuff-1/objets", "link")</f>
        <v/>
      </c>
      <c r="C16698" t="n">
        <v>0</v>
      </c>
      <c r="D16698" t="inlineStr">
        <is>
          <t>Sabres d'Atcham; Talisman Igans; Anneau de Padgref; Alliance Gloursonne; Quatre-feuilles; Ceintrigue; Kidibonnet; Cape d'Atcham; Bottes Owesli; Dofus Turquoise; Dolmanax; Dofus Nébuleux; Dofus des Glaces</t>
        </is>
      </c>
    </row>
    <row r="16699">
      <c r="A16699" t="inlineStr">
        <is>
          <t>Stuff 1</t>
        </is>
      </c>
      <c r="B16699">
        <f>HYPERLINK("https://www.dofusbook.net/fr/equipement/720818-stuff-1/objets", "link")</f>
        <v/>
      </c>
      <c r="C16699" t="n">
        <v>0</v>
      </c>
      <c r="D16699" t="inlineStr">
        <is>
          <t>Hache du Guerrier Zoth; Amulette du Glourséleste; Anneau Tamie; Pikano; Ceinture Instable; Casquipik; Cape de Léthaline; Pantoufles Émar; Dofus Cawotte; Remueur; Entraveur majeur; Temporiseur; Temporiseur majeur; Ralentisseur majeur; Dragoune Rose</t>
        </is>
      </c>
    </row>
    <row r="16700">
      <c r="A16700" t="inlineStr">
        <is>
          <t>Féca F 200</t>
        </is>
      </c>
      <c r="B16700">
        <f>HYPERLINK("https://www.dofusbook.net/fr/equipement/5320357-feca-f-200/objets", "link")</f>
        <v/>
      </c>
      <c r="C16700" t="n">
        <v>1</v>
      </c>
      <c r="D16700" t="inlineStr">
        <is>
          <t>Baguette Hique; Collier de la Dame du Hasard; Alliance Gloursonne; Anneau Volkorne; Quatre-feuilles; Pagne du Rykaon; Némès de Tal Kasha; Cape de la Dame du Hasard; Pataugastrique; Dofus des Glaces; Dofus Turquoise; Dofus Abyssal; Nomade; Pioute bleu</t>
        </is>
      </c>
    </row>
    <row r="16701">
      <c r="A16701" t="inlineStr">
        <is>
          <t>do crit cac 3 invo</t>
        </is>
      </c>
      <c r="B16701">
        <f>HYPERLINK("https://www.dofusbook.net/fr/equipement/5307502-do-crit-cac-3-invo/objets", "link")</f>
        <v/>
      </c>
      <c r="C16701" t="n">
        <v>1</v>
      </c>
      <c r="D16701" t="inlineStr">
        <is>
          <t>Hache du Chalœil; Amulette Volkorne; Anneau Volkorne; Bague Trithon; Quatre-feuilles; Ceinture Volkorne; Masque Trithon; Voile d'encre; Bottes Trithon; Dofus Pourpre; Dolmanax; Dofus des Glaces; Dofus Turquoise; Dofus Abyssal; Puissant majeur; Sakochère</t>
        </is>
      </c>
    </row>
    <row r="16702">
      <c r="A16702" t="inlineStr">
        <is>
          <t>full terre crit</t>
        </is>
      </c>
      <c r="B16702">
        <f>HYPERLINK("https://www.dofusbook.net/fr/equipement/5291638-full-terre-crit/objets", "link")</f>
        <v/>
      </c>
      <c r="C16702" t="n">
        <v>1</v>
      </c>
      <c r="D16702" t="inlineStr">
        <is>
          <t>Arc du Chalœil; Collier de Tourthon; Anneau de Brouce; Bague Gloursonne; Quatre-feuilles; Ceinture Volkorne; Masque de Koutoulou; Cape au Logis; Bottes de Brouce; Dofus Turquoise; Dofus des Glaces; Dofus Abyssal; Dévastateur Terre majeur; Enragé majeur; Remueur; Bulbisou</t>
        </is>
      </c>
    </row>
    <row r="16703">
      <c r="A16703" t="inlineStr">
        <is>
          <t>terre-feu</t>
        </is>
      </c>
      <c r="B16703">
        <f>HYPERLINK("https://www.dofusbook.net/fr/equipement/5238809-terre-feu/objets", "link")</f>
        <v/>
      </c>
      <c r="C16703" t="n">
        <v>1</v>
      </c>
      <c r="D16703" t="inlineStr">
        <is>
          <t>Dagues Érhy; Amulette Volkorne; Bague Gloursonne; Bracelet du Piloztère; Bouclier du Stalak; Ceinture Volkorne; Masque de Koutoulou; Voile d'encre; Bottes du Strigide; Dofus Turquoise; Dofus Abyssal; Dofus des Glaces; Dofus Pourpre; Nomade; Enragé majeur; Volkorne Pourpre et Orchidée</t>
        </is>
      </c>
    </row>
    <row r="16704">
      <c r="A16704" t="inlineStr">
        <is>
          <t>feu cac</t>
        </is>
      </c>
      <c r="B16704">
        <f>HYPERLINK("https://www.dofusbook.net/fr/equipement/5293693-feu-cac/objets", "link")</f>
        <v/>
      </c>
      <c r="C16704" t="n">
        <v>1</v>
      </c>
      <c r="D16704" t="inlineStr">
        <is>
          <t>Dagues Ricol; Amulette Volkorne; Anneauræus; Anneauræus; Cadran d'Eau; Ceinture Volkorne; Heaume Oplate; Cape de la Dame du Hasard; Pataugastrique; Dofus des Glaces; Dofus Turquoise; Dofus Émeraude; Dofus Abyssal; Érudit majeur; Nomade; Bisouglours</t>
        </is>
      </c>
    </row>
    <row r="16705">
      <c r="A16705" t="inlineStr">
        <is>
          <t>arc hique</t>
        </is>
      </c>
      <c r="B16705">
        <f>HYPERLINK("https://www.dofusbook.net/fr/equipement/5291772-arc-hique/objets", "link")</f>
        <v/>
      </c>
      <c r="C16705" t="n">
        <v>1</v>
      </c>
      <c r="D16705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des Glaces; Dolmanax; Dofus Abyssal; Voyageur; Blérodoudou</t>
        </is>
      </c>
    </row>
    <row r="16706">
      <c r="A16706" t="inlineStr">
        <is>
          <t>full terre</t>
        </is>
      </c>
      <c r="B16706">
        <f>HYPERLINK("https://www.dofusbook.net/fr/equipement/5245883-full-terre/objets", "link")</f>
        <v/>
      </c>
      <c r="C16706" t="n">
        <v>2</v>
      </c>
      <c r="D16706" t="inlineStr">
        <is>
          <t>Arc du Chalœil; Collier de Tourthon; Anneau Crustique; Anneau de Brouce; Bouclier d'Ilyzaelle; Ceinture Volkorne; Masque de Koutoulou; Cape au Logis; Bottes de Brouce; Dofus Turquoise; Dofus des Glaces; Dofus Pourpre; Dofus Abyssal; Remueur; Enragé majeur; Bulbisou</t>
        </is>
      </c>
    </row>
    <row r="16707">
      <c r="A16707" t="inlineStr">
        <is>
          <t>do crit</t>
        </is>
      </c>
      <c r="B16707">
        <f>HYPERLINK("https://www.dofusbook.net/fr/equipement/5252167-do-crit/objets", "link")</f>
        <v/>
      </c>
      <c r="C16707" t="n">
        <v>2</v>
      </c>
      <c r="D16707" t="inlineStr">
        <is>
          <t>Arc Volkorne; Amulette Volkorne; Anneau Volkorne; Bague Trithon; Quatre-feuilles; Ceinture Volkorne; Masque Trithon; Chevelure de Tal Kasha; Bottes Trithon; Dolmanax; Dofus des Glaces; Dofus Pourpre; Dofus Abyssal; Dofus Turquoise; Puissant majeur; Sakochère</t>
        </is>
      </c>
    </row>
    <row r="16708">
      <c r="A16708" t="inlineStr">
        <is>
          <t>eau-feu CAC</t>
        </is>
      </c>
      <c r="B16708">
        <f>HYPERLINK("https://www.dofusbook.net/fr/equipement/5210508-eau-feu-cac/objets", "link")</f>
        <v/>
      </c>
      <c r="C16708" t="n">
        <v>1</v>
      </c>
      <c r="D16708" t="inlineStr">
        <is>
          <t>Couteaux Sacrificiels; Amulette Volkorne; Anneau Volkorne; Bracelet du Piloztère; Bouclier alvéolé; Ceintrigue; Casqnoar; Cape Paztek; Pataugastrique; Dofus Émeraude; Dofus Abyssal; Dofus Pourpre; Dofus des Glaces; Nomade; Remueur; Dragodinde Indigo et Ivoire</t>
        </is>
      </c>
    </row>
    <row r="16709">
      <c r="A16709" t="inlineStr">
        <is>
          <t>fourbe 2</t>
        </is>
      </c>
      <c r="B16709">
        <f>HYPERLINK("https://www.dofusbook.net/fr/equipement/5849728-fourbe-2/objets", "link")</f>
        <v/>
      </c>
      <c r="C16709" t="n">
        <v>0</v>
      </c>
      <c r="D16709" t="inlineStr">
        <is>
          <t>Racine Sauvageonne; Abramu; Anneau de Satisfaction; Anneau Ha; Ceinture Cristalline; Korko Kousto; Vegacape; Boufbottes Royales</t>
        </is>
      </c>
    </row>
    <row r="16710">
      <c r="A16710" t="inlineStr">
        <is>
          <t>sadi fourbe</t>
        </is>
      </c>
      <c r="B16710">
        <f>HYPERLINK("https://www.dofusbook.net/fr/equipement/5849691-sadi-fourbe/objets", "link")</f>
        <v/>
      </c>
      <c r="C16710" t="n">
        <v>0</v>
      </c>
      <c r="D16710" t="inlineStr">
        <is>
          <t>Hache du Guerrier Zoth; Collier du Minotot; Gelano; Bracelet du Minotot; Ceinture Meulante; Dora Bora; Cape du Minotot; Sandales du Minotot</t>
        </is>
      </c>
    </row>
    <row r="16711">
      <c r="A16711" t="inlineStr">
        <is>
          <t>test cac</t>
        </is>
      </c>
      <c r="B16711">
        <f>HYPERLINK("https://www.dofusbook.net/fr/equipement/4492775-test-cac/objets", "link")</f>
        <v/>
      </c>
      <c r="C16711" t="n">
        <v>0</v>
      </c>
      <c r="D16711" t="inlineStr">
        <is>
          <t>Epée Gloursonne; Amulette du Strigide; Bague Gloursonne; Alliance Gloursonne; Quatre-feuilles; Ceinture du Strigide; Masque Vaudou Tam; Cape de Jahash Jurgen; Bottes du Strigide; Dofus Ocre; Dofus Pourpre; Dofus des Glaces; Dofus Turquoise; Astucieux majeur; Voyageur</t>
        </is>
      </c>
    </row>
    <row r="16712">
      <c r="A16712" t="inlineStr">
        <is>
          <t>full crit</t>
        </is>
      </c>
      <c r="B16712">
        <f>HYPERLINK("https://www.dofusbook.net/fr/equipement/735357-full-crit/objets", "link")</f>
        <v/>
      </c>
      <c r="C16712" t="n">
        <v>1</v>
      </c>
      <c r="D16712" t="inlineStr">
        <is>
          <t>Amulette du Strigide; Bracelet du Piloztère; Anneau de Padgref; Quatre-feuilles; Ceinture du Strigide; Coiffe de Padgref; Cape d'Atcham; Bottes du Strigide; Dofus des Glaces; Dofus Ocre; Dofus Nébuleux; Dofus Pourpre; Dofus Abyssal; Dofus Turquoise; Muldo Prune et Emeraude</t>
        </is>
      </c>
    </row>
    <row r="16713">
      <c r="A16713" t="inlineStr">
        <is>
          <t>jepltouslesdoux</t>
        </is>
      </c>
      <c r="B16713">
        <f>HYPERLINK("https://www.dofusbook.net/fr/equipement/4475531-jepltouslesdoux/objets", "link")</f>
        <v/>
      </c>
      <c r="C16713" t="n">
        <v>0</v>
      </c>
      <c r="D16713" t="inlineStr">
        <is>
          <t>Sceptre du Roi Joueur; Amulette de Shokkoth; Alliance Gloursonne; Anneau Volkorne; Cadran de Terre; Culotte de Bethel; Masque de Funespadon; Cape de l'Œil Attentif; Pataugastrique; Étourdisseur majeur; Dévastateur Eau majeur; Chanceux majeur; Remueur; Vigoureux majeur; Nomade; Kanigloups</t>
        </is>
      </c>
    </row>
    <row r="16714">
      <c r="A16714" t="inlineStr">
        <is>
          <t>iop full cac nobrain</t>
        </is>
      </c>
      <c r="B16714">
        <f>HYPERLINK("https://www.dofusbook.net/fr/equipement/4157692-iop-full-cac-nobrain/objets", "link")</f>
        <v/>
      </c>
      <c r="C16714" t="n">
        <v>0</v>
      </c>
      <c r="D16714" t="inlineStr">
        <is>
          <t>Dagues Cacterre; Amulette Volkorne; Lavanneau; Anneau Volkorne; Bouclier alvéolé; Ceintrigue; Casquette de Meno; Voilamibe; Pataugastrique; Dofus Ocre; Dofus Pourpre; Dofus Ivoire; Dofus Abyssal; Carapace Feu majeur; Carapace Terre majeur; Titard</t>
        </is>
      </c>
    </row>
    <row r="16715">
      <c r="A16715" t="inlineStr">
        <is>
          <t>Ecaflip terre koli</t>
        </is>
      </c>
      <c r="B16715">
        <f>HYPERLINK("https://www.dofusbook.net/fr/equipement/3730539-ecaflip-terre-koli/objets", "link")</f>
        <v/>
      </c>
      <c r="C16715" t="n">
        <v>0</v>
      </c>
      <c r="D16715" t="inlineStr">
        <is>
          <t>Marteau R'ture; Amulette du Strigide; Anneau Crustique; Anneau Crustique; Bouclier du Captain Amakna; Ceinture du Strigide; Masque de Koutoulou; Cape au Logis; Bottes du Cœur Saignant; Dofus Abyssal; Dofus Turquoise; Dofus Ocre; Dofus Pourpre; Dofus des Glaces; Enragé majeur; Bulbisou</t>
        </is>
      </c>
    </row>
    <row r="16716">
      <c r="A16716" t="inlineStr">
        <is>
          <t>Iop tumulte/étype</t>
        </is>
      </c>
      <c r="B16716">
        <f>HYPERLINK("https://www.dofusbook.net/fr/equipement/3699590-iop-tumulte-etype/objets", "link")</f>
        <v/>
      </c>
      <c r="C16716" t="n">
        <v>4</v>
      </c>
      <c r="D16716" t="inlineStr">
        <is>
          <t>Arc Hétype; Pendentif mignon de Koutoulou; Bague Gloursonne; Anneau Rifique; Bouclier du Stalak; Ceinture de Vortex; Heaume Oplate; Voile d'encre; Bottes Innommables; Dofus Abyssal; Dofus Ivoire; Dofus Ocre; Carapace Feu majeur; Érudit majeur; Évasif majeur; Muldo Pourpre</t>
        </is>
      </c>
    </row>
    <row r="16717">
      <c r="A16717" t="inlineStr">
        <is>
          <t>Zobal M 200</t>
        </is>
      </c>
      <c r="B16717">
        <f>HYPERLINK("https://www.dofusbook.net/fr/equipement/3699547-zobal-m-200/objets", "link")</f>
        <v/>
      </c>
      <c r="C16717" t="n">
        <v>1</v>
      </c>
      <c r="D16717" t="inlineStr">
        <is>
          <t>Héqache; Amulette du Strigide; Bague Gloursonne; Bague Trithon; Bouclier du Captain Amakna; Ceinture du Strigide; Masque Trithon; Cape au Logis; Bottes Trithon; Dofus Turquoise; Dofus Ocre; Dofus des Glaces; Dofus Abyssal; Dofus Pourpre; Dofus Ivoire; Dragodinde Emeraude et Ivoire</t>
        </is>
      </c>
    </row>
    <row r="16718">
      <c r="A16718" t="inlineStr">
        <is>
          <t>Stuff 3</t>
        </is>
      </c>
      <c r="B16718">
        <f>HYPERLINK("https://www.dofusbook.net/fr/equipement/735228-stuff-3/objets", "link")</f>
        <v/>
      </c>
      <c r="C16718" t="n">
        <v>0</v>
      </c>
      <c r="D16718" t="inlineStr">
        <is>
          <t>Epée Gloursonne; Amulette du Strigide; Bague Gloursonne; Alliance Gloursonne; Quatre-feuilles; Ceinture du Strigide; Masque du Glourséleste; Cape Reski; Bottes du Strigide; Dofus Turquoise; Dofus Pourpre; Dofus des Glaces; Voyageur; Puissant majeur; Kwaltess</t>
        </is>
      </c>
    </row>
    <row r="16719">
      <c r="A16719" t="inlineStr">
        <is>
          <t>Zobal M 200</t>
        </is>
      </c>
      <c r="B16719">
        <f>HYPERLINK("https://www.dofusbook.net/fr/equipement/3487426-zobal-m-200/objets", "link")</f>
        <v/>
      </c>
      <c r="C16719" t="n">
        <v>0</v>
      </c>
      <c r="D16719" t="inlineStr">
        <is>
          <t>Bêche Asse; Collier de Tourthon; Anneau du Katcheur; Anneau de Brouce; Bouclier d'Ilyzaelle; Ceinture de la Reine des Voleurs; Masque du Katcheur; Cape au Logis; Baleinabottes; Dofus Pourpre; Dofus Émeraude; Nomade; Enragé majeur; Remueur; Miraculé majeur; Dragodinde Ivoire et Pourpre</t>
        </is>
      </c>
    </row>
    <row r="16720">
      <c r="A16720" t="inlineStr">
        <is>
          <t>full terre cac</t>
        </is>
      </c>
      <c r="B16720">
        <f>HYPERLINK("https://www.dofusbook.net/fr/equipement/3201450-full-terre-cac/objets", "link")</f>
        <v/>
      </c>
      <c r="C16720" t="n">
        <v>0</v>
      </c>
      <c r="D16720" t="inlineStr">
        <is>
          <t>Marteau R'ture; Amulette du Strigide; Bague Gloursonne; Anneau Crustique; Bouclier du Captain Amakna; Ceinture du Strigide; Chapeau de Gein; Cape au Logis; Baleinabottes; Dofus Pourpre; Dofus Turquoise; Dofus Ocre; Dolmanax; Vigoureux majeur; Enragé majeur; Muldo Prune et Doré</t>
        </is>
      </c>
    </row>
    <row r="16721">
      <c r="A16721" t="inlineStr">
        <is>
          <t>iop multi</t>
        </is>
      </c>
      <c r="B16721">
        <f>HYPERLINK("https://www.dofusbook.net/fr/equipement/3486528-iop-multi/objets", "link")</f>
        <v/>
      </c>
      <c r="C16721" t="n">
        <v>0</v>
      </c>
      <c r="D16721" t="inlineStr">
        <is>
          <t>Marteau de Katrepat; Amulette du Strigide; Bague Gloursonne; Alliance Brûlâme; Bouclier du Captain Amakna; Ceinture du Strigide; Masque Brûlâme; Cape au Logis; Pompes Funèbres; Dofus des Glaces; Dofus Turquoise; Dolmanax; Dofus Ocre; Dofus Nébuleux; Dofus Pourpre; Muldo Prune et Emeraude</t>
        </is>
      </c>
    </row>
    <row r="16722">
      <c r="A16722" t="inlineStr">
        <is>
          <t>panda PVM</t>
        </is>
      </c>
      <c r="B16722">
        <f>HYPERLINK("https://www.dofusbook.net/fr/equipement/3486600-panda-pvm/objets", "link")</f>
        <v/>
      </c>
      <c r="C16722" t="n">
        <v>2</v>
      </c>
      <c r="D16722" t="inlineStr">
        <is>
          <t>Rouleau à Pâtisserie d'Aermyne; Collier de Tourthon; Alliance Gloursonne; Anneau de Pol Ouatnos; Bouclier d'Anerice; Ceintacé; Casque Dragoeuf; Cape d'Anerice; Getas Bernacle; Dofus Émeraude; Obstructeur majeur; Fonceur majeur; Remueur; Bloqueur majeur; Nomade; Dragodinde Amande</t>
        </is>
      </c>
    </row>
    <row r="16723">
      <c r="A16723" t="inlineStr">
        <is>
          <t>elio air</t>
        </is>
      </c>
      <c r="B16723">
        <f>HYPERLINK("https://www.dofusbook.net/fr/equipement/3496214-elio-air/objets", "link")</f>
        <v/>
      </c>
      <c r="C16723" t="n">
        <v>0</v>
      </c>
      <c r="D16723" t="inlineStr">
        <is>
          <t>Manthache; Collier du Valet Veinard; Anneau de Pol Ouatnos; Alliance Gloursonne; Bouclier du Stalak; Menoture; Couronne d'Allister; Cape du Valet Veinard; Palmes Trithons; Nomade; Vigoureux majeur; Remueur; Miraculé majeur; Equilibriste majeur; Cascadeur majeur; Dragodinde Amande et Ebène</t>
        </is>
      </c>
    </row>
    <row r="16724">
      <c r="A16724" t="inlineStr">
        <is>
          <t>eca multi</t>
        </is>
      </c>
      <c r="B16724">
        <f>HYPERLINK("https://www.dofusbook.net/fr/equipement/3496077-eca-multi/objets", "link")</f>
        <v/>
      </c>
      <c r="C16724" t="n">
        <v>3</v>
      </c>
      <c r="D16724" t="inlineStr">
        <is>
          <t>Marteau des égarés; Amulette du Strigide; Bracelet du Piloztère; Bague Gloursonne; Quatre-feuilles; Ceintacé; Maskrobe; Voile d'encre; Bottes du Strigide; Dofus Pourpre; Dofus Turquoise; Dolmanax; Nomade; Remueur; Vigoureux majeur; Kramkram</t>
        </is>
      </c>
    </row>
    <row r="16725">
      <c r="A16725" t="inlineStr">
        <is>
          <t>eni feu</t>
        </is>
      </c>
      <c r="B16725">
        <f>HYPERLINK("https://www.dofusbook.net/fr/equipement/3486557-eni-feu/objets", "link")</f>
        <v/>
      </c>
      <c r="C16725" t="n">
        <v>0</v>
      </c>
      <c r="D16725" t="inlineStr">
        <is>
          <t>Arc corrompu; Amulette Séculaire; Kralano; Anneau Rifique; Quatre-feuilles; Sangle Aise; Coiffe Séculaire; Cape de Diondin; Bottes Innommables; Dofus Turquoise; Dofus Pourpre; Guérisseur majeur; Érudit majeur; Dévastateur Feu majeur; Dragodinde Emeraude et Orchidée</t>
        </is>
      </c>
    </row>
    <row r="16726">
      <c r="A16726" t="inlineStr">
        <is>
          <t>enu ret PM</t>
        </is>
      </c>
      <c r="B16726">
        <f>HYPERLINK("https://www.dofusbook.net/fr/equipement/3477533-enu-ret-pm/objets", "link")</f>
        <v/>
      </c>
      <c r="C16726" t="n">
        <v>0</v>
      </c>
      <c r="D16726" t="inlineStr">
        <is>
          <t>Baguette Hique; Amulette du Glourséleste; Pikano; Anneau Tamie; Bouclier cubiste; Ceinture Instable; Casquipik; Cape de Léthaline; Pantoufles Émar; Temporiseur; Temporiseur majeur; Remueur; Ralentisseur majeur; Entraveur; Entraveur majeur; Dragodinde Amande</t>
        </is>
      </c>
    </row>
    <row r="16727">
      <c r="A16727" t="inlineStr">
        <is>
          <t>terre/air PvP</t>
        </is>
      </c>
      <c r="B16727">
        <f>HYPERLINK("https://www.dofusbook.net/fr/equipement/2780149-terre-air-pvp/objets", "link")</f>
        <v/>
      </c>
      <c r="C16727" t="n">
        <v>1</v>
      </c>
      <c r="D16727" t="inlineStr">
        <is>
          <t>Lance corrompue; Amulette du Kamasterisk; Anneau des égarés; Alliance Gloursonne; Bouclier alvéolé; Ceinture de la Reine des Voleurs; Coiffe de la Reine des Voleurs; Cape du Chalœil; Baleinabottes; Dofus Pourpre; Dofus des Glaces; Vigoureux majeur; Remueur; Carapace Neutre majeur; Carapace Feu majeur; Muldo Ebène</t>
        </is>
      </c>
    </row>
    <row r="16728">
      <c r="A16728" t="inlineStr">
        <is>
          <t>air DPS</t>
        </is>
      </c>
      <c r="B16728">
        <f>HYPERLINK("https://www.dofusbook.net/fr/equipement/2729592-air-dps/objets", "link")</f>
        <v/>
      </c>
      <c r="C16728" t="n">
        <v>0</v>
      </c>
      <c r="D16728" t="inlineStr">
        <is>
          <t>Baguette Range; Pendentif mignon de Koutoulou; Anneau Rifique; Chapeau des Malveilleurs; Sabots de Vortex</t>
        </is>
      </c>
    </row>
    <row r="16729">
      <c r="A16729" t="inlineStr">
        <is>
          <t>terre full res</t>
        </is>
      </c>
      <c r="B16729">
        <f>HYPERLINK("https://www.dofusbook.net/fr/equipement/2723639-terre-full-res/objets", "link")</f>
        <v/>
      </c>
      <c r="C16729" t="n">
        <v>0</v>
      </c>
      <c r="D16729" t="inlineStr">
        <is>
          <t>Bêche Asse; Collier de Tourthon; Anneau Chevelu; Bracelet du Piloztère; Bouclier Feudala; Ceinture de XLII; Casque Dragoeuf; Cape au Logis; Bottes de XLII; Dofus Pourpre; Dofus Ocre; Remueur; Carapace Neutre majeur; Nomade; Carapace Eau majeur; Kompost</t>
        </is>
      </c>
    </row>
    <row r="16730">
      <c r="A16730" t="inlineStr">
        <is>
          <t>full res low cost</t>
        </is>
      </c>
      <c r="B16730">
        <f>HYPERLINK("https://www.dofusbook.net/fr/equipement/2707594-full-res-low-cost/objets", "link")</f>
        <v/>
      </c>
      <c r="C16730" t="n">
        <v>1</v>
      </c>
      <c r="D16730" t="inlineStr">
        <is>
          <t>Rouleau à Pâtisserie d'Aermyne; Amulette du Glourséleste; Gelano; Anneau de XLII; Cadran de Feu; Ceinture de XLII; Coiffe d'Aermyne; Cape d'Aermyne; Bottes de XLII; Dofus Émeraude; Dofus Ocre; Dokoko; Tacleur majeur; Bloqueur majeur; Bloqueur; Dragodinde Amande</t>
        </is>
      </c>
    </row>
    <row r="16731">
      <c r="A16731" t="inlineStr">
        <is>
          <t>terre dps</t>
        </is>
      </c>
      <c r="B16731">
        <f>HYPERLINK("https://www.dofusbook.net/fr/equipement/2707438-terre-dps/objets", "link")</f>
        <v/>
      </c>
      <c r="C16731" t="n">
        <v>0</v>
      </c>
      <c r="D16731" t="inlineStr">
        <is>
          <t>Epée Kari; Kralamansion; Anneau de Brouce; Alliance de Missiz Frizz; Ceinture de Brouce; Casque de Missiz Frizz; Cape au Logis; Bottes de Brouce; Dofus Pourpre; Dofus Turquoise; Dofus Ocre; Voyageur; Furibond majeur; Kompost</t>
        </is>
      </c>
    </row>
    <row r="16732">
      <c r="A16732" t="inlineStr">
        <is>
          <t>air/tac/res</t>
        </is>
      </c>
      <c r="B16732">
        <f>HYPERLINK("https://www.dofusbook.net/fr/equipement/2601542-air-tac-res/objets", "link")</f>
        <v/>
      </c>
      <c r="C16732" t="n">
        <v>1</v>
      </c>
      <c r="D16732" t="inlineStr">
        <is>
          <t>Karnak; Frimamulette; Alliance Gloursonne; Gelano; Bouclier Feudala; Ceinture de XLII; Casque Dragoeuf; Cape Matelassée; Bottes de XLII; Dokoko; Dofus Émeraude; Bloqueur majeur; Remueur; Carapace Eau majeur; Obstructeur majeur; Siroko</t>
        </is>
      </c>
    </row>
    <row r="16733">
      <c r="A16733" t="inlineStr">
        <is>
          <t>terre res</t>
        </is>
      </c>
      <c r="B16733">
        <f>HYPERLINK("https://www.dofusbook.net/fr/equipement/2605052-terre-res/objets", "link")</f>
        <v/>
      </c>
      <c r="C16733" t="n">
        <v>0</v>
      </c>
      <c r="D16733" t="inlineStr">
        <is>
          <t>Bêche Asse; Collier de Tourthon; Bracelet du Piloztère; Anneau Chevelu; Cadran de Feu; Ceinture de Brouce; Casque Dragoeuf; Cape au Logis; Bottes de Brouce; Dofus Ocre; Dofus Pourpre; Remueur; Vigoureux majeur; Nomade; Enragé majeur; Kompost</t>
        </is>
      </c>
    </row>
    <row r="16734">
      <c r="A16734" t="inlineStr">
        <is>
          <t>air/res</t>
        </is>
      </c>
      <c r="B16734">
        <f>HYPERLINK("https://www.dofusbook.net/fr/equipement/2584503-air-res/objets", "link")</f>
        <v/>
      </c>
      <c r="C16734" t="n">
        <v>0</v>
      </c>
      <c r="D16734" t="inlineStr">
        <is>
          <t>Pelle de la Cour Sombre; Frimamulette; Alliance Gloursonne; Gelano; Bouclier Feudala; Ceinture de Klime; Couronne d'Allister; Cape d'Hel Munster; Bottes d'Allister; Dofus Ocre; Dofus Pourpre; Vigoureux majeur; Nomade; Cascadeur majeur; Remueur; Siroko</t>
        </is>
      </c>
    </row>
    <row r="16735">
      <c r="A16735" t="inlineStr">
        <is>
          <t>mule pvp</t>
        </is>
      </c>
      <c r="B16735">
        <f>HYPERLINK("https://www.dofusbook.net/fr/equipement/2565334-mule-pvp/objets", "link")</f>
        <v/>
      </c>
      <c r="C16735" t="n">
        <v>0</v>
      </c>
      <c r="D16735" t="inlineStr">
        <is>
          <t>Marteau des Anciens Steamers; Ougamulette; Alliance Gloursonne; Gelano; Bouclier du Bûcheron; Ceinture d'Ogivol; Coiffe d'Hel Munster; Cape d'Hel Munster; Bottes du Glourséleste; Dofus Pourpre; Cascadeur majeur; Vigoureux majeur; Remueur; Carapace Air majeur; Chanceux majeur; Phorror</t>
        </is>
      </c>
    </row>
    <row r="16736">
      <c r="A16736" t="inlineStr">
        <is>
          <t>Stuff 1</t>
        </is>
      </c>
      <c r="B16736">
        <f>HYPERLINK("https://www.dofusbook.net/fr/equipement/735226-stuff-1/objets", "link")</f>
        <v/>
      </c>
      <c r="C16736" t="n">
        <v>1</v>
      </c>
      <c r="D16736" t="inlineStr">
        <is>
          <t>Epée Gloursonne; Amulette du Strigide; Bague Gloursonne; Alliance Gloursonne; Quatre-feuilles; Ceinture du Strigide; Masque Vaudou Tam; Cape Reski; Bottes du Strigide; Dofus Pourpre; Dofus des Glaces; Dofus Turquoise; Dofus Ocre; Joueur majeur; Puissant majeur; Muldo Prune et Emeraude</t>
        </is>
      </c>
    </row>
    <row r="16737">
      <c r="A16737" t="inlineStr">
        <is>
          <t>Stuff 3</t>
        </is>
      </c>
      <c r="B16737">
        <f>HYPERLINK("https://www.dofusbook.net/fr/equipement/735221-stuff-3/objets", "link")</f>
        <v/>
      </c>
      <c r="C16737" t="n">
        <v>0</v>
      </c>
      <c r="D16737" t="inlineStr">
        <is>
          <t>Epée Gloursonne; Amulette du Strigide; Bague Gloursonne; Alliance Gloursonne; Ceinture du Strigide; Masque du Glourséleste; Cape Reski; Bottes du Strigide; Dofus Turquoise; Dolmanax; Dofus des Glaces; Dofus Pourpre; Dofus Ocre; Puissant majeur; Muldo Prune et Emeraude</t>
        </is>
      </c>
    </row>
    <row r="16738">
      <c r="A16738" t="inlineStr">
        <is>
          <t>eau/ret PM opti</t>
        </is>
      </c>
      <c r="B16738">
        <f>HYPERLINK("https://www.dofusbook.net/fr/equipement/993434-eau-ret-pm-opti/objets", "link")</f>
        <v/>
      </c>
      <c r="C16738" t="n">
        <v>0</v>
      </c>
      <c r="D16738" t="inlineStr">
        <is>
          <t>Amulette du Glourséleste; Anneau Tamie; Anneau Tamie</t>
        </is>
      </c>
    </row>
    <row r="16739">
      <c r="A16739" t="inlineStr">
        <is>
          <t>test boubou</t>
        </is>
      </c>
      <c r="B16739">
        <f>HYPERLINK("https://www.dofusbook.net/fr/equipement/735243-test-boubou/objets", "link")</f>
        <v/>
      </c>
      <c r="C16739" t="n">
        <v>0</v>
      </c>
      <c r="D16739" t="inlineStr">
        <is>
          <t>Héqache; Amulette du Strigide; Bracelet du Piloztère; Bague Gloursonne; Bouclier du Captain Amakna; Ceinture du Strigide; Masque Brûlâme; Cape au Logis; Bottes du Cycloïde; Dofus Pourpre; Dofus Turquoise; Dofus Ocre; Remueur; Enragé majeur; Vigoureux majeur; Muldo Prune et Emeraude</t>
        </is>
      </c>
    </row>
    <row r="16740">
      <c r="A16740" t="inlineStr">
        <is>
          <t>Stuff 1</t>
        </is>
      </c>
      <c r="B16740">
        <f>HYPERLINK("https://www.dofusbook.net/fr/equipement/735238-stuff-1/objets", "link")</f>
        <v/>
      </c>
      <c r="C16740" t="n">
        <v>0</v>
      </c>
      <c r="D16740" t="inlineStr">
        <is>
          <t>Hache du Chalœil; Amulette du Strigide; Bracelet du Piloztère; Alliance du Lévitrof; Ceintacé; Masque Vaudou Tam; Cape Reski; Bottes du Strigide; Dolmanax; Dofus Pourpre; Dofus des Glaces; Vigoureux majeur; Vigoureux; Puissant majeur; Kramkram</t>
        </is>
      </c>
    </row>
    <row r="16741">
      <c r="A16741" t="inlineStr">
        <is>
          <t>Stuff 1</t>
        </is>
      </c>
      <c r="B16741">
        <f>HYPERLINK("https://www.dofusbook.net/fr/equipement/735225-stuff-1/objets", "link")</f>
        <v/>
      </c>
      <c r="C16741" t="n">
        <v>0</v>
      </c>
      <c r="D16741" t="inlineStr">
        <is>
          <t>Héqache; Amulette du Strigide; Alliance Gloursonne; Bracelet du Piloztère; Ceinture du Strigide; Coiffe d'Ogivol; Cape du Kamasterisk; Baleinabottes; Dofus Turquoise; Dofus Pourpre; Cascadeur majeur; Vigoureux majeur; Nomade; Remueur; Muldo Prune et Doré</t>
        </is>
      </c>
    </row>
    <row r="16742">
      <c r="A16742" t="inlineStr">
        <is>
          <t>Stuff 1</t>
        </is>
      </c>
      <c r="B16742">
        <f>HYPERLINK("https://www.dofusbook.net/fr/equipement/735219-stuff-1/objets", "link")</f>
        <v/>
      </c>
      <c r="C16742" t="n">
        <v>0</v>
      </c>
      <c r="D16742" t="inlineStr">
        <is>
          <t>Marteau des égarés; Amulette du Strigide; Bague Gloursonne; Bracelet du Piloztère; Ceintacé; Masque du Glourséleste; Voilamibe; Bottes du Strigide; Dofus Turquoise; Dofus Pourpre; Remueur; Chanceux majeur; Vigoureux majeur; Nomade; Kramkram</t>
        </is>
      </c>
    </row>
    <row r="16743">
      <c r="A16743" t="inlineStr">
        <is>
          <t>Stuff 2</t>
        </is>
      </c>
      <c r="B16743">
        <f>HYPERLINK("https://www.dofusbook.net/fr/equipement/735239-stuff-2/objets", "link")</f>
        <v/>
      </c>
      <c r="C16743" t="n">
        <v>0</v>
      </c>
      <c r="D16743" t="inlineStr">
        <is>
          <t>Hache du Chalœil; Amulette du Strigide; Bague Gloursonne; Bracelet du Piloztère; Ceintacé; Coiffe du Lévitrof; Voile d'encre; Bottes du Strigide; Dofus des Glaces; Dolmanax; Dofus Pourpre; Puissant majeur; Vigoureux majeur; Vigoureux; Kramkram</t>
        </is>
      </c>
    </row>
    <row r="16744">
      <c r="A16744" t="inlineStr">
        <is>
          <t>Stuff 2</t>
        </is>
      </c>
      <c r="B16744">
        <f>HYPERLINK("https://www.dofusbook.net/fr/equipement/735236-stuff-2/objets", "link")</f>
        <v/>
      </c>
      <c r="C16744" t="n">
        <v>0</v>
      </c>
      <c r="D16744" t="inlineStr">
        <is>
          <t>Rapière aux Glyphes; Talisman Glouti; Alliance Gloursonne; Pikano; Sangle Ouare; Kidibonnet; Cape du Sinistrofu; Bottes du Sinistrofu; Dofus Pourpre; Dofus Turquoise; Remueur; Chanceux majeur; Nomade; Vigoureux majeur; Kramkram</t>
        </is>
      </c>
    </row>
    <row r="16745">
      <c r="A16745" t="inlineStr">
        <is>
          <t>Stuff 2</t>
        </is>
      </c>
      <c r="B16745">
        <f>HYPERLINK("https://www.dofusbook.net/fr/equipement/735223-stuff-2/objets", "link")</f>
        <v/>
      </c>
      <c r="C16745" t="n">
        <v>0</v>
      </c>
      <c r="D16745" t="inlineStr">
        <is>
          <t>Arc de Guten Tak; Kralamansion; Anneau de Brouce; Alliance de Missiz Frizz; Ceinture de Brouce; Casque de Missiz Frizz; Cape au Logis; Bottes de Brouce; Dofus Pourpre; Dofus Émeraude; Puissant majeur; Joueur majeur; Forcené majeur; Furibond majeur; Dragodinde Emeraude et Turquoise</t>
        </is>
      </c>
    </row>
    <row r="16746">
      <c r="A16746" t="inlineStr">
        <is>
          <t>Stuff 1</t>
        </is>
      </c>
      <c r="B16746">
        <f>HYPERLINK("https://www.dofusbook.net/fr/equipement/735238-stuff-1/objets", "link")</f>
        <v/>
      </c>
      <c r="C16746" t="n">
        <v>0</v>
      </c>
      <c r="D16746" t="inlineStr">
        <is>
          <t>Hache du Chalœil; Amulette du Strigide; Alliance du Lévitrof; Bracelet du Piloztère; Ceintacé; Masque Vaudou Tam; Cape Reski; Bottes du Strigide; Dofus des Glaces; Dolmanax; Dofus Pourpre; Puissant majeur; Vigoureux majeur; Vigoureux; Kramkram</t>
        </is>
      </c>
    </row>
    <row r="16747">
      <c r="A16747" t="inlineStr">
        <is>
          <t>Stuff 1</t>
        </is>
      </c>
      <c r="B16747">
        <f>HYPERLINK("https://www.dofusbook.net/fr/equipement/735225-stuff-1/objets", "link")</f>
        <v/>
      </c>
      <c r="C16747" t="n">
        <v>0</v>
      </c>
      <c r="D16747" t="inlineStr">
        <is>
          <t>Héqache; Amulette du Strigide; Alliance Gloursonne; Bracelet du Piloztère; Ceinture du Strigide; Coiffe d'Ogivol; Cape du Kamasterisk; Baleinabottes; Dofus Pourpre; Dofus Turquoise; Remueur; Cascadeur majeur; Vigoureux majeur; Nomade; Muldo Prune et Doré</t>
        </is>
      </c>
    </row>
    <row r="16748">
      <c r="A16748" t="inlineStr">
        <is>
          <t>Stuff 2</t>
        </is>
      </c>
      <c r="B16748">
        <f>HYPERLINK("https://www.dofusbook.net/fr/equipement/735220-stuff-2/objets", "link")</f>
        <v/>
      </c>
      <c r="C16748" t="n">
        <v>0</v>
      </c>
      <c r="D16748" t="inlineStr">
        <is>
          <t>Marteau des égarés; Amulette du Strigide; Bracelet du Piloztère; Alliance Gloursonne; Ceintacé; Masque du Glourséleste; Voile d'encre; Bottes du Strigide; Dofus Pourpre; Dofus Turquoise; Vigoureux majeur; Remueur; Enragé majeur; Nomade; Kramkram; Rondache qui pète</t>
        </is>
      </c>
    </row>
    <row r="16749">
      <c r="A16749" t="inlineStr">
        <is>
          <t>Stuff 3</t>
        </is>
      </c>
      <c r="B16749">
        <f>HYPERLINK("https://www.dofusbook.net/fr/equipement/735240-stuff-3/objets", "link")</f>
        <v/>
      </c>
      <c r="C16749" t="n">
        <v>0</v>
      </c>
      <c r="D16749" t="inlineStr">
        <is>
          <t>Épée du Granduk; Amulette du Granduk; Alliance Gloursonne; Anneau d'Allister; Ceinture de Klime; Masque du Granduk; Cape de Klime; Bottes d'Allister; Dofus des Glaces; Dofus Turquoise; Dolmanax; Dofus Pourpre; Dofus Ocre; Equilibriste majeur; Kramkram</t>
        </is>
      </c>
    </row>
    <row r="16750">
      <c r="A16750" t="inlineStr">
        <is>
          <t>Stuff 1</t>
        </is>
      </c>
      <c r="B16750">
        <f>HYPERLINK("https://www.dofusbook.net/fr/equipement/735235-stuff-1/objets", "link")</f>
        <v/>
      </c>
      <c r="C16750" t="n">
        <v>0</v>
      </c>
      <c r="D16750" t="inlineStr">
        <is>
          <t>Épée de la Reine des Voleurs; Amulette du Strigide; Alliance Gloursonne; Anneau Chevelu; Ceinture du Strigide; Bonnet Vicieux; Cape du Kamasterisk; Baleinabottes; Dofus Pourpre; Remueur; Enragé majeur; Nomade; Vigoureux majeur; Cascadeur majeur; Kramkram</t>
        </is>
      </c>
    </row>
    <row r="16751">
      <c r="A16751" t="inlineStr">
        <is>
          <t>Stuff 2</t>
        </is>
      </c>
      <c r="B16751">
        <f>HYPERLINK("https://www.dofusbook.net/fr/equipement/735227-stuff-2/objets", "link")</f>
        <v/>
      </c>
      <c r="C16751" t="n">
        <v>1</v>
      </c>
      <c r="D16751" t="inlineStr">
        <is>
          <t>Marteau des égarés; Amulette du Strigide; Bracelet du Piloztère; Alliance Gloursonne; Ceinture du Strigide; Maskrobe; Voile d'encre; Pataugastrique; Dofus Turquoise; Dofus Pourpre; Sanguinaire majeur; Remueur; Nomade; Vigoureux majeur; Kramkram</t>
        </is>
      </c>
    </row>
    <row r="16752">
      <c r="A16752" t="inlineStr">
        <is>
          <t>Stuff 1</t>
        </is>
      </c>
      <c r="B16752">
        <f>HYPERLINK("https://www.dofusbook.net/fr/equipement/735222-stuff-1/objets", "link")</f>
        <v/>
      </c>
      <c r="C16752" t="n">
        <v>0</v>
      </c>
      <c r="D16752" t="inlineStr">
        <is>
          <t>Epée Toche; Amulette de Gein; Bracelet du Piloztère; Bague Gloursonne; Ceintacé; Chapeau de Gein; Voile d'encre; Bottes du Cycloïde; Dofus Pourpre; Érudit majeur; Nomade; Carapace Feu majeur; Remueur; Carapace Terre majeur; Dragodinde Prune et Emeraude</t>
        </is>
      </c>
    </row>
    <row r="16753">
      <c r="A16753" t="inlineStr">
        <is>
          <t>Stuff 2</t>
        </is>
      </c>
      <c r="B16753">
        <f>HYPERLINK("https://www.dofusbook.net/fr/equipement/735214-stuff-2/objets", "link")</f>
        <v/>
      </c>
      <c r="C16753" t="n">
        <v>56</v>
      </c>
      <c r="D16753" t="inlineStr">
        <is>
          <t>Rapière aux Glyphes; Amulette du Sinistrofu; Alliance Gloursonne; Bracelet du Piloztère; Ceintacé; Coiffe de Danathor; Cape du Sinistrofu; Bottes du Comte Harebourg; Remueur; Obstructeur majeur; Obstructeur; Fonceur majeur; Nomade; Bloqueur majeur; Dragodinde Amande et Emeraude</t>
        </is>
      </c>
    </row>
    <row r="16754">
      <c r="A16754" t="inlineStr">
        <is>
          <t>Stuff 2</t>
        </is>
      </c>
      <c r="B16754">
        <f>HYPERLINK("https://www.dofusbook.net/fr/equipement/735209-stuff-2/objets", "link")</f>
        <v/>
      </c>
      <c r="C16754" t="n">
        <v>0</v>
      </c>
      <c r="D16754" t="inlineStr">
        <is>
          <t>Bêche Asse; Racine Hueuse; Anneau de Brouce; Anneau Chevelu; Ceinture de Brouce; Coiffe d'Ogivol; Cape au Logis; Sabots Minables; Dofus Turquoise; Enragé majeur; Remueur; Vigoureux majeur; Miraculé majeur; Nomade; Kramkram</t>
        </is>
      </c>
    </row>
    <row r="16755">
      <c r="A16755" t="inlineStr">
        <is>
          <t>Stuff 1</t>
        </is>
      </c>
      <c r="B16755">
        <f>HYPERLINK("https://www.dofusbook.net/fr/equipement/735204-stuff-1/objets", "link")</f>
        <v/>
      </c>
      <c r="C16755" t="n">
        <v>0</v>
      </c>
      <c r="D16755" t="inlineStr">
        <is>
          <t>Arc Hétype; Amulette d'Otomaï; Anneau Tamie; Bague Gloursonne; Ceinture Séculaire; Coiffe Séculaire; Voile d'encre; Pataugastrique; Astucieux majeur; Remueur; Érudit majeur; Nomade; Savant majeur; Dévastateur Feu majeur; Brûlih</t>
        </is>
      </c>
    </row>
    <row r="16756">
      <c r="A16756" t="inlineStr">
        <is>
          <t>Stuff 1</t>
        </is>
      </c>
      <c r="B16756">
        <f>HYPERLINK("https://www.dofusbook.net/fr/equipement/735216-stuff-1/objets", "link")</f>
        <v/>
      </c>
      <c r="C16756" t="n">
        <v>0</v>
      </c>
      <c r="D16756" t="inlineStr">
        <is>
          <t>Pikano; Casquipik; Pantoufles Émar; Entraveur majeur; Remueur; Entraveur; Temporiseur majeur; Temporiseur; Nomade</t>
        </is>
      </c>
    </row>
    <row r="16757">
      <c r="A16757" t="inlineStr">
        <is>
          <t>Stuff 1</t>
        </is>
      </c>
      <c r="B16757">
        <f>HYPERLINK("https://www.dofusbook.net/fr/equipement/735211-stuff-1/objets", "link")</f>
        <v/>
      </c>
      <c r="C16757" t="n">
        <v>0</v>
      </c>
      <c r="D16757" t="inlineStr">
        <is>
          <t>Héqache; Amulette du Strigide; Bracelet du Piloztère; Bague Gloursonne; Bouclier du Captain Amakna; Ceinture du Strigide; Casque de Missiz Frizz; Voile d'encre; Bottes du Cycloïde; Dofus Turquoise; Dofus Pourpre; Dofus Ocre; Nomade; Remueur; Vigoureux majeur; Muldo Prune et Emeraude</t>
        </is>
      </c>
    </row>
    <row r="16758">
      <c r="A16758" t="inlineStr">
        <is>
          <t>Stuff 1</t>
        </is>
      </c>
      <c r="B16758">
        <f>HYPERLINK("https://www.dofusbook.net/fr/equipement/735206-stuff-1/objets", "link")</f>
        <v/>
      </c>
      <c r="C16758" t="n">
        <v>5</v>
      </c>
      <c r="D16758" t="inlineStr">
        <is>
          <t>Harpelle; Amulette d'Otomaï; Kralano; Anneau de Nidas; Ceinture Séculaire; Coiffe Séculaire; Cape de Diondin; Bottes Refois; Dofus Turquoise; Remueur; Miraculé majeur; Érudit majeur; Savant majeur; Nomade; Brûlih</t>
        </is>
      </c>
    </row>
    <row r="16759">
      <c r="A16759" t="inlineStr">
        <is>
          <t>Stuff 3</t>
        </is>
      </c>
      <c r="B16759">
        <f>HYPERLINK("https://www.dofusbook.net/fr/equipement/735218-stuff-3/objets", "link")</f>
        <v/>
      </c>
      <c r="C16759" t="n">
        <v>0</v>
      </c>
      <c r="D16759" t="inlineStr">
        <is>
          <t>Rapière aux Glyphes; Ougamulette; Pikano; Alliance Gloursonne; Ceinture Glaciale; Kidibonnet; Cape du Glourséleste; Pikottes; Remueur; Temporiseur majeur; Ralentisseur majeur; Temporiseur; Nomade; Entraveur majeur; Dragodinde Prune et Emeraude</t>
        </is>
      </c>
    </row>
    <row r="16760">
      <c r="A16760" t="inlineStr">
        <is>
          <t>Stuff 2</t>
        </is>
      </c>
      <c r="B16760">
        <f>HYPERLINK("https://www.dofusbook.net/fr/equipement/735209-stuff-2/objets", "link")</f>
        <v/>
      </c>
      <c r="C16760" t="n">
        <v>0</v>
      </c>
      <c r="D16760" t="inlineStr">
        <is>
          <t>Bêche Asse; Racine Hueuse; Anneau de Brouce; Anneau Chevelu; Ceinture de Brouce; Coiffe d'Ogivol; Cape au Logis; Sabots Minables; Dofus Turquoise; Remueur; Vigoureux majeur; Miraculé majeur; Nomade; Enragé majeur; Kramkram</t>
        </is>
      </c>
    </row>
    <row r="16761">
      <c r="A16761" t="inlineStr">
        <is>
          <t>Stuff 1</t>
        </is>
      </c>
      <c r="B16761">
        <f>HYPERLINK("https://www.dofusbook.net/fr/equipement/735204-stuff-1/objets", "link")</f>
        <v/>
      </c>
      <c r="C16761" t="n">
        <v>0</v>
      </c>
      <c r="D16761" t="inlineStr">
        <is>
          <t>Arc Hétype; Amulette d'Otomaï; Bague Gloursonne; Anneau Tamie; Ceinture Séculaire; Coiffe Séculaire; Voile d'encre; Pataugastrique; Savant majeur; Dévastateur Feu majeur; Astucieux majeur; Remueur; Érudit majeur; Nomade; Brûlih</t>
        </is>
      </c>
    </row>
    <row r="16762">
      <c r="A16762" t="inlineStr">
        <is>
          <t>Stuff 1</t>
        </is>
      </c>
      <c r="B16762">
        <f>HYPERLINK("https://www.dofusbook.net/fr/equipement/735216-stuff-1/objets", "link")</f>
        <v/>
      </c>
      <c r="C16762" t="n">
        <v>0</v>
      </c>
      <c r="D16762" t="inlineStr">
        <is>
          <t>Pikano; Casquipik; Pantoufles Émar; Entraveur; Temporiseur majeur; Temporiseur; Nomade; Entraveur majeur; Remueur</t>
        </is>
      </c>
    </row>
    <row r="16763">
      <c r="A16763" t="inlineStr">
        <is>
          <t>Stuff 1</t>
        </is>
      </c>
      <c r="B16763">
        <f>HYPERLINK("https://www.dofusbook.net/fr/equipement/735211-stuff-1/objets", "link")</f>
        <v/>
      </c>
      <c r="C16763" t="n">
        <v>0</v>
      </c>
      <c r="D16763" t="inlineStr">
        <is>
          <t>Héqache; Amulette du Strigide; Bracelet du Piloztère; Bague Gloursonne; Bouclier du Captain Amakna; Ceinture du Strigide; Casque de Missiz Frizz; Voile d'encre; Bottes du Cycloïde; Dofus Turquoise; Dofus Pourpre; Dofus Ocre; Nomade; Remueur; Vigoureux majeur; Muldo Prune et Emeraude</t>
        </is>
      </c>
    </row>
    <row r="16764">
      <c r="A16764" t="inlineStr">
        <is>
          <t>Stuff 1</t>
        </is>
      </c>
      <c r="B16764">
        <f>HYPERLINK("https://www.dofusbook.net/fr/equipement/735206-stuff-1/objets", "link")</f>
        <v/>
      </c>
      <c r="C16764" t="n">
        <v>5</v>
      </c>
      <c r="D16764" t="inlineStr">
        <is>
          <t>Harpelle; Amulette d'Otomaï; Anneau de Nidas; Kralano; Ceinture Séculaire; Coiffe Séculaire; Cape de Diondin; Bottes Refois; Dofus Turquoise; Savant majeur; Nomade; Remueur; Miraculé majeur; Érudit majeur; Brûlih</t>
        </is>
      </c>
    </row>
    <row r="16765">
      <c r="A16765" t="inlineStr">
        <is>
          <t>Stuff 3</t>
        </is>
      </c>
      <c r="B16765">
        <f>HYPERLINK("https://www.dofusbook.net/fr/equipement/735218-stuff-3/objets", "link")</f>
        <v/>
      </c>
      <c r="C16765" t="n">
        <v>0</v>
      </c>
      <c r="D16765" t="inlineStr">
        <is>
          <t>Rapière aux Glyphes; Ougamulette; Pikano; Alliance Gloursonne; Ceinture Glaciale; Kidibonnet; Cape du Glourséleste; Pikottes; Remueur; Temporiseur majeur; Ralentisseur majeur; Temporiseur; Nomade; Entraveur majeur; Dragodinde Prune et Emeraude</t>
        </is>
      </c>
    </row>
    <row r="16766">
      <c r="A16766" t="inlineStr">
        <is>
          <t>Stuff 3</t>
        </is>
      </c>
      <c r="B16766">
        <f>HYPERLINK("https://www.dofusbook.net/fr/equipement/735213-stuff-3/objets", "link")</f>
        <v/>
      </c>
      <c r="C16766" t="n">
        <v>0</v>
      </c>
      <c r="D16766" t="inlineStr">
        <is>
          <t>Dagues Érhy; Amulette du Strigide; Anneau du Comte Harebourg; Bague Gloursonne; Ceinture du Strigide; Casque de Missiz Frizz; Cape au Logis; Baleinabottes; Dofus Pourpre; Dofus Turquoise; Remueur; Nomade; Vigoureux majeur; Enragé majeur; Kramkram</t>
        </is>
      </c>
    </row>
    <row r="16767">
      <c r="A16767" t="inlineStr">
        <is>
          <t>Stuff 1</t>
        </is>
      </c>
      <c r="B16767">
        <f>HYPERLINK("https://www.dofusbook.net/fr/equipement/735208-stuff-1/objets", "link")</f>
        <v/>
      </c>
      <c r="C16767" t="n">
        <v>0</v>
      </c>
      <c r="D16767" t="inlineStr">
        <is>
          <t>Bêche Asse; Amulette du Strigide; Bague Gloursonne; Annolamour; Bouclier du Captain Amakna; Ceinture du Strigide; Casque de Missiz Frizz; Cape au Logis; Baleinabottes; Dofus Turquoise; Dofus Pourpre; Dofus Émeraude; Vigoureux majeur; Remueur; Miraculé majeur; Muldo Prune et Emeraude</t>
        </is>
      </c>
    </row>
    <row r="16768">
      <c r="A16768" t="inlineStr">
        <is>
          <t>Feu pvp</t>
        </is>
      </c>
      <c r="B16768">
        <f>HYPERLINK("https://www.dofusbook.net/fr/equipement/1204696-feu-pvp/objets", "link")</f>
        <v/>
      </c>
      <c r="C16768" t="n">
        <v>1</v>
      </c>
      <c r="D16768" t="inlineStr">
        <is>
          <t>Plumeau Bil; Amulette Ementaire Deluxe; Anneau de Nidas; Alliance du Lévitrof; Ceinture de Vortex; Coiffe du Lévitrof; Voile d'encre; Pataugastrique</t>
        </is>
      </c>
    </row>
    <row r="16769">
      <c r="A16769" t="inlineStr">
        <is>
          <t>Feu air</t>
        </is>
      </c>
      <c r="B16769">
        <f>HYPERLINK("https://www.dofusbook.net/fr/equipement/1195707-feu-air/objets", "link")</f>
        <v/>
      </c>
      <c r="C16769" t="n">
        <v>0</v>
      </c>
      <c r="D16769" t="inlineStr">
        <is>
          <t>Épée d'Otomaï; Kralamansion; Anneau de Padgref; Bague Gloursonne; Ceinture Séculaire; Coiffe de Padgref; Voile d'encre; Getas de Padgref; Dofus Pourpre; Dofus des Glaces; Dofus Émeraude; Dokoko; Dofus Ocre; Dragodinde Amande</t>
        </is>
      </c>
    </row>
    <row r="16770">
      <c r="A16770" t="inlineStr">
        <is>
          <t>terre</t>
        </is>
      </c>
      <c r="B16770">
        <f>HYPERLINK("https://www.dofusbook.net/fr/equipement/1192910-terre/objets", "link")</f>
        <v/>
      </c>
      <c r="C16770" t="n">
        <v>0</v>
      </c>
      <c r="D16770" t="inlineStr">
        <is>
          <t>Pelle Aigante; Amulette Ementaire Deluxe; Bague Gloursonne; Alliance Gloursonne; Ceinture de Vortex; Coiffe du Lévitrof; Voile d'encre; Pataugastrique; Dofus Émeraude; Dofus des Glaces; Dokoko; Nomade; Remueur; Miraculé majeur; Croum</t>
        </is>
      </c>
    </row>
    <row r="16771">
      <c r="A16771" t="inlineStr">
        <is>
          <t>pvp</t>
        </is>
      </c>
      <c r="B16771">
        <f>HYPERLINK("https://www.dofusbook.net/fr/equipement/1100665-pvp/objets", "link")</f>
        <v/>
      </c>
      <c r="C16771" t="n">
        <v>0</v>
      </c>
      <c r="D16771" t="inlineStr"/>
    </row>
    <row r="16772">
      <c r="A16772" t="inlineStr">
        <is>
          <t>bjp</t>
        </is>
      </c>
      <c r="B16772">
        <f>HYPERLINK("https://www.dofusbook.net/fr/equipement/1170567-bjp/objets", "link")</f>
        <v/>
      </c>
      <c r="C16772" t="n">
        <v>0</v>
      </c>
      <c r="D16772" t="inlineStr">
        <is>
          <t>Pelle Aigante; Amulette Ementaire Deluxe; Alliance Boletée; Alliance du Lévitrof; Ceinture de Vortex; Coiffe du Lévitrof; Voile d'encre; Bottes du Lévitrof; Dofus Ocre; Dofus des Glaces; Dokoko; Érudit majeur; Miraculé majeur; Remueur; Dragodinde Amande et Emeraude</t>
        </is>
      </c>
    </row>
    <row r="16773">
      <c r="A16773" t="inlineStr">
        <is>
          <t>Stuff 1</t>
        </is>
      </c>
      <c r="B16773">
        <f>HYPERLINK("https://www.dofusbook.net/fr/equipement/1100655-stuff-1/objets", "link")</f>
        <v/>
      </c>
      <c r="C16773" t="n">
        <v>0</v>
      </c>
      <c r="D16773" t="inlineStr">
        <is>
          <t>Marteau des égarés; Amulette Ementaire Deluxe; Bague Gloursonne; Alliance Gloursonne; Ceinture de la Reine des Voleurs; Coiffe de la Reine des Voleurs; Voile d'encre; Bottes de la Reine des Voleurs; Dokoko; Dofus Pourpre; Dofus des Glaces; Dofus Ocre; Dofus Émeraude; Ralentisseur majeur; Dragodinde Amande et Emeraude</t>
        </is>
      </c>
    </row>
    <row r="16774">
      <c r="A16774" t="inlineStr">
        <is>
          <t>Stuff 1</t>
        </is>
      </c>
      <c r="B16774">
        <f>HYPERLINK("https://www.dofusbook.net/fr/equipement/1100650-stuff-1/objets", "link")</f>
        <v/>
      </c>
      <c r="C16774" t="n">
        <v>0</v>
      </c>
      <c r="D16774" t="inlineStr">
        <is>
          <t>Pelle Emélaka; Amulette de Danathor; Anneau Glacial; Alliance Gloursonne; Ceinture de Danathor; Coiffe de Danathor; Cape Glaciale; Sandales Circulaires du Kimbo; Dofus des Glaces; Dofus Ocre; Taquin majeur; Ravageur Eau majeur; Saccageur Eau majeur; Joueur majeur</t>
        </is>
      </c>
    </row>
    <row r="16775">
      <c r="A16775" t="inlineStr">
        <is>
          <t>Stuff 1</t>
        </is>
      </c>
      <c r="B16775">
        <f>HYPERLINK("https://www.dofusbook.net/fr/equipement/1100657-stuff-1/objets", "link")</f>
        <v/>
      </c>
      <c r="C16775" t="n">
        <v>0</v>
      </c>
      <c r="D16775" t="inlineStr">
        <is>
          <t>Marteau des égarés; Amulette Ementaire Deluxe; Bague Gloursonne; Alliance Gloursonne; Ceinture de la Reine des Voleurs; Coiffe de la Reine des Voleurs; Voile d'encre; Bottes de la Reine des Voleurs; Dofus des Glaces; Dofus Ocre; Dofus Émeraude; Dokoko; Dofus Pourpre; Dragodinde Emeraude et Rousse</t>
        </is>
      </c>
    </row>
    <row r="16776">
      <c r="A16776" t="inlineStr">
        <is>
          <t>Stuff 1</t>
        </is>
      </c>
      <c r="B16776">
        <f>HYPERLINK("https://www.dofusbook.net/fr/equipement/1100652-stuff-1/objets", "link")</f>
        <v/>
      </c>
      <c r="C16776" t="n">
        <v>0</v>
      </c>
      <c r="D16776" t="inlineStr">
        <is>
          <t>Sabres d'Atcham; Amulette du Strigide; Alliance Gloursonne; Bracelet du Piloztère; Ceintacé; Chapeau des Malveilleurs; Voile d'encre; Bottes du Strigide; Dolmanax; Dofus Pourpre; Dofus des Glaces; Remueur; Nomade; Vigoureux majeur</t>
        </is>
      </c>
    </row>
    <row r="16777">
      <c r="A16777" t="inlineStr">
        <is>
          <t>Stuff 3</t>
        </is>
      </c>
      <c r="B16777">
        <f>HYPERLINK("https://www.dofusbook.net/fr/equipement/1100654-stuff-3/objets", "link")</f>
        <v/>
      </c>
      <c r="C16777" t="n">
        <v>0</v>
      </c>
      <c r="D16777" t="inlineStr">
        <is>
          <t>Sabres d'Atcham; Amulette du Glourséleste; Alliance Gloursonne; Bague Gloursonne; Sangle Aise; Chapeau des Malveilleurs; Cape d'Atcham; Sandales  d'Atcham; Dofus Turquoise; Dofus Émeraude; Dofus Pourpre; Insaisissable majeur; Fugitif majeur; Examinateur</t>
        </is>
      </c>
    </row>
    <row r="16778">
      <c r="A16778" t="inlineStr">
        <is>
          <t>Stuff 1</t>
        </is>
      </c>
      <c r="B16778">
        <f>HYPERLINK("https://www.dofusbook.net/fr/equipement/1100656-stuff-1/objets", "link")</f>
        <v/>
      </c>
      <c r="C16778" t="n">
        <v>0</v>
      </c>
      <c r="D16778" t="inlineStr">
        <is>
          <t>Épée du Granduk; Amulette du Granduk; Gelano; Anneau d'Allister; Ceinture Rasboulaire du Rasboul; Masque du Granduk; Cape des Justiciers; Bottes d'Allister; Dofus Turquoise; Dofus Émeraude; Saccageur Air majeur; Equilibriste majeur; Ravageur Air majeur; Acrobate majeur; Siroko</t>
        </is>
      </c>
    </row>
    <row r="16779">
      <c r="A16779" t="inlineStr">
        <is>
          <t>Stuff 2</t>
        </is>
      </c>
      <c r="B16779">
        <f>HYPERLINK("https://www.dofusbook.net/fr/equipement/1100651-stuff-2/objets", "link")</f>
        <v/>
      </c>
      <c r="C16779" t="n">
        <v>0</v>
      </c>
      <c r="D16779" t="inlineStr">
        <is>
          <t>Arc Hétype; Talisman Igans; Anneau Tamie; Anneau de Nidas; Sangle Aise; Couronne de Nidas; Cape des Justiciers; Tongues de Nidas; Dokoko; Ravageur Feu majeur; Vagabond majeur; Ralentisseur majeur; Fuyard majeur; Vagabond; Dragodinde Prune et Emeraude</t>
        </is>
      </c>
    </row>
    <row r="16780">
      <c r="A16780" t="inlineStr">
        <is>
          <t>Stuff 2</t>
        </is>
      </c>
      <c r="B16780">
        <f>HYPERLINK("https://www.dofusbook.net/fr/equipement/1100653-stuff-2/objets", "link")</f>
        <v/>
      </c>
      <c r="C16780" t="n">
        <v>0</v>
      </c>
      <c r="D16780" t="inlineStr">
        <is>
          <t>Sabres d'Atcham; Amulette du Strigide; Alliance Gloursonne; Bague Gloursonne; Ceinture du Strigide; Chapeau des Malveilleurs; Cape d'Atcham; Sandales  d'Atcham</t>
        </is>
      </c>
    </row>
    <row r="16781">
      <c r="A16781" t="inlineStr">
        <is>
          <t>stuff eau</t>
        </is>
      </c>
      <c r="B16781">
        <f>HYPERLINK("https://www.dofusbook.net/fr/equipement/2836836-stuff-eau/objets", "link")</f>
        <v/>
      </c>
      <c r="C16781" t="n">
        <v>6</v>
      </c>
      <c r="D16781" t="inlineStr">
        <is>
          <t>Rapière aux Glyphes; Amulette de Shokkoth; Bracelet des Fonds marins; Alliance Gloursonne; Bouclier du Stalak; Sangle Ouare; Masque des Fonds marins; Cape Solution; Bottes Honyme; Dofus Ivoire; Dofus Abyssal; Dofus Ébène; Dofus Argenté; Dokoko; Chanceux majeur; Bwak d'Eau</t>
        </is>
      </c>
    </row>
    <row r="16782">
      <c r="A16782" t="inlineStr">
        <is>
          <t>Ecaflip M 200</t>
        </is>
      </c>
      <c r="B16782">
        <f>HYPERLINK("https://www.dofusbook.net/fr/equipement/5889952-ecaflip-m-200/objets", "link")</f>
        <v/>
      </c>
      <c r="C16782" t="n">
        <v>1</v>
      </c>
      <c r="D16782" t="inlineStr">
        <is>
          <t>Arc corrompu; Amulette de Pol Ouatnos; Anneau Tique; Anneauræus; Droiture de Fallanster; Ceinture de Gein; Chapeau de Gein; Cape de Diondin; Bottes Honyme; Dokoko; Dofus Ébène; Dofus Abyssal; Dofus Ivoire; Carapace Feu majeur; Érudit majeur; Dragodinde Ivoire et Orchidée</t>
        </is>
      </c>
    </row>
    <row r="16783">
      <c r="A16783" t="inlineStr">
        <is>
          <t>air</t>
        </is>
      </c>
      <c r="B16783">
        <f>HYPERLINK("https://www.dofusbook.net/fr/equipement/954204-air/objets", "link")</f>
        <v/>
      </c>
      <c r="C16783" t="n">
        <v>8</v>
      </c>
      <c r="D16783" t="inlineStr">
        <is>
          <t>L'Épée Nice; Collier du Valet Veinard; Alliance Gloursonne; Gant du Valet Veinard; Bouclier du Stalak; Menoture; Masquegel; Cape Martegel; Palmes Trithons; Dofus Ocre; Dokoko; Dofus Ivoire; Dofus Ébène; Dofus Abyssal; Dragodinde Ebène et Ivoire</t>
        </is>
      </c>
    </row>
    <row r="16784">
      <c r="A16784" t="inlineStr">
        <is>
          <t>terre-dopou</t>
        </is>
      </c>
      <c r="B16784">
        <f>HYPERLINK("https://www.dofusbook.net/fr/equipement/5659224-terre-dopou/objets", "link")</f>
        <v/>
      </c>
      <c r="C16784" t="n">
        <v>5</v>
      </c>
      <c r="D16784" t="inlineStr">
        <is>
          <t>Arc du Chalœil; Amulette Luminescente; Bague Gloursonne; Bague Trithon; Bouclier précieux; Ceinture Luminescente; Masque Trithon; Cape Luminescente; Bottes Trithon; Dofus Ocre; Dofus Ébène; Dofus Ivoire; Dofus Abyssal; Bousculeur majeur; Balafreux</t>
        </is>
      </c>
    </row>
    <row r="16785">
      <c r="A16785" t="inlineStr">
        <is>
          <t>terre</t>
        </is>
      </c>
      <c r="B16785">
        <f>HYPERLINK("https://www.dofusbook.net/fr/equipement/693469-terre/objets", "link")</f>
        <v/>
      </c>
      <c r="C16785" t="n">
        <v>2</v>
      </c>
      <c r="D16785" t="inlineStr">
        <is>
          <t>Crocobur; Amulette Volkorne; Bague Gloursonne; Anneau Chevelu; Droiture de Fallanster; Ceinture Volkorne; Masque de Koutoulou; Cape au Logis; Sabots Minables; Dofus Abyssal; Dofus Ébène; Dofus Ivoire; Dokoko; Dofus Émeraude; Enragé majeur; Dragodinde Ivoire et Pourpre</t>
        </is>
      </c>
    </row>
    <row r="16786">
      <c r="A16786" t="inlineStr">
        <is>
          <t>Sram M 200</t>
        </is>
      </c>
      <c r="B16786">
        <f>HYPERLINK("https://www.dofusbook.net/fr/equipement/5768870-sram-m-200/objets", "link")</f>
        <v/>
      </c>
      <c r="C16786" t="n">
        <v>0</v>
      </c>
      <c r="D16786" t="inlineStr">
        <is>
          <t>Plume de Buhorado; Collier du Valet Veinard; Gant du Valet Veinard; Alliance Gloursonne; Bouclier du Stalak; Menoture; Dorabysses; Cape Martegel; Palmes Trithons; Dofus Ébène; Dofus Abyssal; Dofus Ocre; Dokoko; Dofus Ivoire; Cascadeur majeur; Dragodinde Amande et Ebène</t>
        </is>
      </c>
    </row>
    <row r="16787">
      <c r="A16787" t="inlineStr">
        <is>
          <t>Air</t>
        </is>
      </c>
      <c r="B16787">
        <f>HYPERLINK("https://www.dofusbook.net/fr/equipement/5659373-air/objets", "link")</f>
        <v/>
      </c>
      <c r="C16787" t="n">
        <v>5</v>
      </c>
      <c r="D16787" t="inlineStr">
        <is>
          <t>Collier du Valet Veinard; Alliance Gloursonne; Gant du Valet Veinard; Bouclier du Stalak; Menoture; Palmes Trithons; Dokoko; Dofus Ivoire; Dofus Ébène; Dofus Abyssal; Dofus Ocre; Cascadeur majeur; Dragodinde Ebène et Ivoire</t>
        </is>
      </c>
    </row>
    <row r="16788">
      <c r="A16788" t="inlineStr">
        <is>
          <t>Crâ M 200</t>
        </is>
      </c>
      <c r="B16788">
        <f>HYPERLINK("https://www.dofusbook.net/fr/equipement/5862521-cra-m-200/objets", "link")</f>
        <v/>
      </c>
      <c r="C16788" t="n">
        <v>0</v>
      </c>
      <c r="D16788" t="inlineStr">
        <is>
          <t>Dagues de Srambad; Amulette Luminescente; Alliance du Lévitrof; Anneau en Grithril; Quatre-feuilles; Ceinture Luminescente; Coiffe du Lévitrof; Cape Luminescente; Bottes du Lévitrof; Dofus Abyssal; Dofus Ébène; Dofus Vulbis; Dofus Ocre; Dofus Nébuleux; Dofus Ivoire; Dragodinde Ivoire et Pourpre</t>
        </is>
      </c>
    </row>
    <row r="16789">
      <c r="A16789" t="inlineStr">
        <is>
          <t>Crâ M 200</t>
        </is>
      </c>
      <c r="B16789">
        <f>HYPERLINK("https://www.dofusbook.net/fr/equipement/5861528-cra-m-200/objets", "link")</f>
        <v/>
      </c>
      <c r="C16789" t="n">
        <v>0</v>
      </c>
      <c r="D16789" t="inlineStr">
        <is>
          <t>Baguette Hique; Amulette Volkorne; Bague Trithon; Anneau Volkorne; Quatre-feuilles; Ceinture Volkorne; Masque Trithon; Chevelure de Tal Kasha; Bottes Trithon; Dofus Turquoise; Dofus Abyssal; Dofus Ocre; Dofus Ébène; Dofus des Glaces; Dofus Ivoire; Sakochère</t>
        </is>
      </c>
    </row>
    <row r="16790">
      <c r="A16790" t="inlineStr">
        <is>
          <t>stuff terre</t>
        </is>
      </c>
      <c r="B16790">
        <f>HYPERLINK("https://www.dofusbook.net/fr/equipement/3024800-stuff-terre/objets", "link")</f>
        <v/>
      </c>
      <c r="C16790" t="n">
        <v>8</v>
      </c>
      <c r="D16790" t="inlineStr">
        <is>
          <t>Arc du Chalœil; Amulette du Cœur Saignant; Chevalière du Roi Joueur; Anneau Volkorne; Quatre-feuilles; Ceinture Volkorne; Couronne du Roi Joueur; Cape du Cœur Saignant; Bottes du Cœur Saignant; Dofus Ivoire; Dofus Ocre; Dofus Abyssal; Dofus Turquoise; Dofus Ébène; Voyageur; Volkorne Emeraude et Pourpre</t>
        </is>
      </c>
    </row>
    <row r="16791">
      <c r="A16791" t="inlineStr">
        <is>
          <t>stuff soutient</t>
        </is>
      </c>
      <c r="B16791">
        <f>HYPERLINK("https://www.dofusbook.net/fr/equipement/693448-stuff-soutient/objets", "link")</f>
        <v/>
      </c>
      <c r="C16791" t="n">
        <v>3</v>
      </c>
      <c r="D16791" t="inlineStr">
        <is>
          <t>Arc Ontanporin; Amulette de Shokkoth; Anneau Volkorne; Alliance Gloursonne; Quatre-feuilles; Sangle Ouare; Capuche de l'Œil Attentif; Cape de l'Œil Attentif; Bottes Honyme; Dofus Turquoise; Dofus Ocre; Dofus Abyssal; Dofus Ébène; Dofus Ivoire; Chanceux majeur; Dragodinde Amande et Indigo</t>
        </is>
      </c>
    </row>
    <row r="16792">
      <c r="A16792" t="inlineStr">
        <is>
          <t>stuff 4</t>
        </is>
      </c>
      <c r="B16792">
        <f>HYPERLINK("https://www.dofusbook.net/fr/equipement/3067654-stuff-4/objets", "link")</f>
        <v/>
      </c>
      <c r="C16792" t="n">
        <v>1</v>
      </c>
      <c r="D16792" t="inlineStr">
        <is>
          <t>Baguette de Torkélonia; Amulette du Strigide; Alliance Gloursonne; Bague Gloursonne; Quatre-feuilles; Ceinture du Strigide; Corne de Torkélonia; Carapace de Torkélonia; Bottes du Strigide; Dofus Ivoire; Dofus Abyssal; Dofus Turquoise; Dofus Ébène; Dofus des Glaces; Dofus Ocre; Kokulte</t>
        </is>
      </c>
    </row>
    <row r="16793">
      <c r="A16793" t="inlineStr">
        <is>
          <t>Stuff do crit</t>
        </is>
      </c>
      <c r="B16793">
        <f>HYPERLINK("https://www.dofusbook.net/fr/equipement/201257-stuff-do-crit/objets", "link")</f>
        <v/>
      </c>
      <c r="C16793" t="n">
        <v>4</v>
      </c>
      <c r="D16793" t="inlineStr">
        <is>
          <t>Baguette de Torkélonia; Amulette du Strigide; Bague Gloursonne; Alliance Gloursonne; Quatre-feuilles; Ceinture du Strigide; Corne de Torkélonia; Carapace de Torkélonia; Bottes du Strigide; Dofus Ocre; Dofus Ivoire; Dofus Abyssal; Dofus Turquoise; Dofus Ébène; Dofus des Glaces; Kokulte</t>
        </is>
      </c>
    </row>
    <row r="16794">
      <c r="A16794" t="inlineStr">
        <is>
          <t>eau</t>
        </is>
      </c>
      <c r="B16794">
        <f>HYPERLINK("https://www.dofusbook.net/fr/equipement/3182882-eau/objets", "link")</f>
        <v/>
      </c>
      <c r="C16794" t="n">
        <v>2</v>
      </c>
      <c r="D16794" t="inlineStr">
        <is>
          <t>Plume de Buhorado; Collier du Valet Veinard; Gant du Valet Veinard; Alliance Gloursonne; Bouclier du Stalak; Menoture; Dorabysses; Cape du Kamasterisk; Palmes Trithons; Dofus Ébène; Dofus Abyssal; Dofus Ocre; Dofus Argenté; Dofus Ivoire; Cascadeur majeur; Dragodinde Dorée et Ebène</t>
        </is>
      </c>
    </row>
    <row r="16795">
      <c r="A16795" t="inlineStr">
        <is>
          <t>vaudou 11 pa</t>
        </is>
      </c>
      <c r="B16795">
        <f>HYPERLINK("https://www.dofusbook.net/fr/equipement/5662423-vaudou-11-pa/objets", "link")</f>
        <v/>
      </c>
      <c r="C16795" t="n">
        <v>2</v>
      </c>
      <c r="D16795" t="inlineStr">
        <is>
          <t>Arc corrompu; Amulette Volkorne; Anneauræus; Anneauræus; Bouclier du Stalak; Ceinture Volkorne; Casque Cyclopéen; Cape de Diondin; Bottes Innommables; Dofus Ébène; Dofus Ocre; Dofus Abyssal; Dofus Ivoire; Érudit majeur; Nomade; Dragodinde Amande et Orchidée</t>
        </is>
      </c>
    </row>
    <row r="16796">
      <c r="A16796" t="inlineStr">
        <is>
          <t>vaudou 12pa</t>
        </is>
      </c>
      <c r="B16796">
        <f>HYPERLINK("https://www.dofusbook.net/fr/equipement/5662299-vaudou-12pa/objets", "link")</f>
        <v/>
      </c>
      <c r="C16796" t="n">
        <v>0</v>
      </c>
      <c r="D16796" t="inlineStr">
        <is>
          <t>Arc Honte; Amulette de l'Œil Putride; Alliance Gloursonne; Anneau Tique; Bouclier cubiste; Ceinture de l'Esprit Salvateur; Masque de l'Esprit Salvateur; Cape de l'Œil Putride; Bottes de l'Esprit Salvateur; Dofus Ocre; Dofus Abyssal; Dofus Ébène; Dofus Ivoire; Dolmanax; Dofus des Glaces; Volkorne Turquoise et Orchidée</t>
        </is>
      </c>
    </row>
    <row r="16797">
      <c r="A16797" t="inlineStr">
        <is>
          <t>Stuff 1</t>
        </is>
      </c>
      <c r="B16797">
        <f>HYPERLINK("https://www.dofusbook.net/fr/equipement/201250-stuff-1/objets", "link")</f>
        <v/>
      </c>
      <c r="C16797" t="n">
        <v>5</v>
      </c>
      <c r="D16797" t="inlineStr">
        <is>
          <t>Manthache; Collier du Valet Veinard; Alliance Gloursonne; Gant du Valet Veinard; Bouclier du Stalak; Menoture; Couronne d'Allister; Cape Indescriptible; Palmes Trithons; Dofus Ivoire; Dofus Pourpre; Dofus Ébène; Dofus Ocre; Cascadeur majeur; Nomade; Dragodinde Ebène et Ivoire</t>
        </is>
      </c>
    </row>
    <row r="16798">
      <c r="A16798" t="inlineStr">
        <is>
          <t>stuff feu</t>
        </is>
      </c>
      <c r="B16798">
        <f>HYPERLINK("https://www.dofusbook.net/fr/equipement/2518070-stuff-feu/objets", "link")</f>
        <v/>
      </c>
      <c r="C16798" t="n">
        <v>2</v>
      </c>
      <c r="D16798" t="inlineStr">
        <is>
          <t>Arc corrompu; Amulette Volkorne; Anneauræus; Anneauræus; Bouclier du Stalak; Ceinture Volkorne; Heaume Oplate; Voile d'encre; Bottes d'Otomaï; Dofus Ivoire; Dofus Ébène; Dofus Ocre; Dofus Abyssal; Érudit majeur; Nomade; Dragodinde Dorée et Orchidée</t>
        </is>
      </c>
    </row>
    <row r="16799">
      <c r="A16799" t="inlineStr">
        <is>
          <t>stuff terre</t>
        </is>
      </c>
      <c r="B16799">
        <f>HYPERLINK("https://www.dofusbook.net/fr/equipement/3083333-stuff-terre/objets", "link")</f>
        <v/>
      </c>
      <c r="C16799" t="n">
        <v>4</v>
      </c>
      <c r="D16799" t="inlineStr">
        <is>
          <t>Marteau R'ture; Amulette Volkorne; Anneau Crustique; Anneau Chevelu; Cadran d'Eau; Ceinture Volkorne; Masque de Koutoulou; Cape au Logis; Sabots Minables; Dofus Émeraude; Dofus Ébène; Dofus Abyssal; Dofus Ivoire; Miraculé majeur; Enragé majeur; Bulbisou</t>
        </is>
      </c>
    </row>
    <row r="16800">
      <c r="A16800" t="inlineStr">
        <is>
          <t>tacle/ret pa</t>
        </is>
      </c>
      <c r="B16800">
        <f>HYPERLINK("https://www.dofusbook.net/fr/equipement/4640739-tacle-ret-pa/objets", "link")</f>
        <v/>
      </c>
      <c r="C16800" t="n">
        <v>1</v>
      </c>
      <c r="D16800" t="inlineStr">
        <is>
          <t>Marteau R'ture; Amulette du Strigide; Anneau Crustique; Anneau Crustique; Bouclier alvéolé; Ceintouse; Masque de Koutoulou; Cape au Logis; Tentassons; Dofus Ébène; Dofus Ivoire; Dofus Ocre; Dofus Abyssal; Enragé majeur; Étourdisseur majeur; Drakopin</t>
        </is>
      </c>
    </row>
    <row r="16801">
      <c r="A16801" t="inlineStr">
        <is>
          <t>terre/feu</t>
        </is>
      </c>
      <c r="B16801">
        <f>HYPERLINK("https://www.dofusbook.net/fr/equipement/201251-terre-feu/objets", "link")</f>
        <v/>
      </c>
      <c r="C16801" t="n">
        <v>0</v>
      </c>
      <c r="D16801" t="inlineStr">
        <is>
          <t>Arc Hétype; Amulette Volkorne; Anneau Volkorne; Chevalière du Roi Joueur; Bouclier du Stalak; Ceinture Volkorne; Couronne du Roi Joueur; Voile d'encre; Bottes du Roi Joueur; Dofus Ébène; Dofus Abyssal; Dofus Pourpre; Dofus Ivoire; Dofus Ocre; Dofus Émeraude; Cromeugnon</t>
        </is>
      </c>
    </row>
    <row r="16802">
      <c r="A16802" t="inlineStr">
        <is>
          <t>terre</t>
        </is>
      </c>
      <c r="B16802">
        <f>HYPERLINK("https://www.dofusbook.net/fr/equipement/201252-terre/objets", "link")</f>
        <v/>
      </c>
      <c r="C16802" t="n">
        <v>1</v>
      </c>
      <c r="D16802" t="inlineStr">
        <is>
          <t>Marteau R'ture; Amulette Volkorne; Anneau Crustique; Anneau Chevelu; Cadran d'Eau; Ceinture Volkorne; Masque de Koutoulou; Cape au Logis; Bottes du Cœur Saignant; Dofus Nébuleux; Dofus Abyssal; Dofus Ocre; Dofus Ivoire; Dofus Ébène; Enragé majeur; Dragodinde Ivoire et Pourpre</t>
        </is>
      </c>
    </row>
    <row r="16803">
      <c r="A16803" t="inlineStr">
        <is>
          <t>terre</t>
        </is>
      </c>
      <c r="B16803">
        <f>HYPERLINK("https://www.dofusbook.net/fr/equipement/3023875-terre/objets", "link")</f>
        <v/>
      </c>
      <c r="C16803" t="n">
        <v>2</v>
      </c>
      <c r="D16803" t="inlineStr">
        <is>
          <t>Arc du Chalœil; Amulette Volkorne; Anneau Chevelu; Anneau Crustique; Quatre-feuilles; Ceinture Volkorne; Masque de Koutoulou; Cape au Logis; Bottes du Cœur Saignant; Dofus Ivoire; Dofus Ocre; Dofus Ébène; Dofus Turquoise; Dofus Abyssal; Enragé majeur; Dragodinde Ivoire et Pourpre</t>
        </is>
      </c>
    </row>
    <row r="16804">
      <c r="A16804" t="inlineStr">
        <is>
          <t>stuff feu/soin</t>
        </is>
      </c>
      <c r="B16804">
        <f>HYPERLINK("https://www.dofusbook.net/fr/equipement/2846279-stuff-feu-soin/objets", "link")</f>
        <v/>
      </c>
      <c r="C16804" t="n">
        <v>11</v>
      </c>
      <c r="D16804" t="inlineStr">
        <is>
          <t>Arc Hétype; Amulette Volkorne; Anneauræus; Anneauræus; Cadran de Feu; Ceinture Volkorne; Heaume Oplate; Bravoure de Rykke Errel; Bottistik; Dofus Ivoire; Dofus Ébène; Dofus Ocre; Dofus Abyssal; Nomade; Érudit majeur; Dragodinde Orchidée</t>
        </is>
      </c>
    </row>
    <row r="16805">
      <c r="A16805" t="inlineStr">
        <is>
          <t>Stuff 1</t>
        </is>
      </c>
      <c r="B16805">
        <f>HYPERLINK("https://www.dofusbook.net/fr/equipement/201247-stuff-1/objets", "link")</f>
        <v/>
      </c>
      <c r="C16805" t="n">
        <v>6</v>
      </c>
      <c r="D16805" t="inlineStr">
        <is>
          <t>Arc du Chalœil; Amulette du Strigide; Anneau Crustique; Bracelet du Piloztère; Quatre-feuilles; Ceinture Volkorne; Masque de Koutoulou; Cape au Logis; Pantoufles du Piloztère; Dofus Abyssal; Dofus Nébuleux; Dofus Ivoire; Dofus Pourpre; Dofus Ocre; Enragé majeur; Dragodinde Ivoire et Pourpre</t>
        </is>
      </c>
    </row>
    <row r="16806">
      <c r="A16806" t="inlineStr">
        <is>
          <t>une</t>
        </is>
      </c>
      <c r="B16806">
        <f>HYPERLINK("https://www.dofusbook.net/fr/equipement/1052875-une/objets", "link")</f>
        <v/>
      </c>
      <c r="C16806" t="n">
        <v>0</v>
      </c>
      <c r="D16806" t="inlineStr">
        <is>
          <t>Rapière aux Glyphes; Amulette Volkorne; Anneau Volkorne; Bracelet des Fonds marins; Bouclier d'Ilyzaelle; Ceinture Volkorne; Masque des Fonds marins; Cape de l'Œil Attentif; Sandales des Fonds marins; Dofus Pourpre; Dofus Émeraude; Dokoko; Dofus Abyssal; Dofus Ocre; Dofus Ivoire; Kanigloups</t>
        </is>
      </c>
    </row>
    <row r="16807">
      <c r="A16807" t="inlineStr">
        <is>
          <t>Osamodas M 200</t>
        </is>
      </c>
      <c r="B16807">
        <f>HYPERLINK("https://www.dofusbook.net/fr/equipement/3890083-osamodas-m-200/objets", "link")</f>
        <v/>
      </c>
      <c r="C16807" t="n">
        <v>1</v>
      </c>
      <c r="D16807" t="inlineStr">
        <is>
          <t>Lance Horselé; Collier du Valet Veinard; Alliance Gloursonne; Gant du Valet Veinard; Cadran d'Air; Menoture; Casque d'Ilyzaelle; Cape du Kamasterisk; Palmes Trithons; Dofus Pourpre; Dofus Nébuleux; Dofus Ivoire; Dofus Ocre; Cascadeur majeur; Nomade; Dragodinde Amande et Ebène</t>
        </is>
      </c>
    </row>
    <row r="16808">
      <c r="A16808" t="inlineStr">
        <is>
          <t>terre/ret pa</t>
        </is>
      </c>
      <c r="B16808">
        <f>HYPERLINK("https://www.dofusbook.net/fr/equipement/4230890-terre-ret-pa/objets", "link")</f>
        <v/>
      </c>
      <c r="C16808" t="n">
        <v>1</v>
      </c>
      <c r="D16808" t="inlineStr">
        <is>
          <t>Arc du Chalœil; Amulette du Strigide; Anneau Crustique; Anneau Crustique; Quatre-feuilles; Ceinture Volkorne; Masque de Koutoulou; Cape au Logis; Bottes du Strigide; Dofus Abyssal; Dofus Ivoire; Dofus Nébuleux; Dofus Pourpre; Dofus Ocre; Enragé majeur; Dragodinde Ivoire et Pourpre</t>
        </is>
      </c>
    </row>
    <row r="16809">
      <c r="A16809" t="inlineStr">
        <is>
          <t>Eliotrope M 200</t>
        </is>
      </c>
      <c r="B16809">
        <f>HYPERLINK("https://www.dofusbook.net/fr/equipement/4639978-eliotrope-m-200/objets", "link")</f>
        <v/>
      </c>
      <c r="C16809" t="n">
        <v>0</v>
      </c>
      <c r="D16809" t="inlineStr">
        <is>
          <t>Dagoulinantes; Amulette de Shokkoth; Anneau Volkorne; Alliance Gloursonne; Bouclier du Stalak; Poulpagne; Capuche de l'Œil Attentif; Cape de l'Œil Attentif; Bottes du Sinistrofu; Dofus Nébuleux; Dofus Ocre; Dofus Pourpre; Dofus Ivoire; Chanceux majeur; Nomade; Dragodinde Amande et Indigo</t>
        </is>
      </c>
    </row>
    <row r="16810">
      <c r="A16810" t="inlineStr">
        <is>
          <t>stuff terre/do pou</t>
        </is>
      </c>
      <c r="B16810">
        <f>HYPERLINK("https://www.dofusbook.net/fr/equipement/2678164-stuff-terre-do-pou/objets", "link")</f>
        <v/>
      </c>
      <c r="C16810" t="n">
        <v>4</v>
      </c>
      <c r="D16810" t="inlineStr">
        <is>
          <t>Lav'Hache; Amulette du Cœur Vaillant; Bague Trithon; Anneau Chevelu; Bouclier Taverne; Ceinture Gence; Masque de Koutoulou; Cape au Logis; Bottes du Cœur Vaillant; Dofus Pourpre; Dofus Abyssal; Culbuteur majeur; Enragé majeur; Bousculeur majeur; Black Tiwabbit</t>
        </is>
      </c>
    </row>
    <row r="16811">
      <c r="A16811" t="inlineStr">
        <is>
          <t>stuff do crit</t>
        </is>
      </c>
      <c r="B16811">
        <f>HYPERLINK("https://www.dofusbook.net/fr/equipement/4197723-stuff-do-crit/objets", "link")</f>
        <v/>
      </c>
      <c r="C16811" t="n">
        <v>0</v>
      </c>
      <c r="D16811" t="inlineStr">
        <is>
          <t>Arc Nécrotique; Amulette Volkorne; Anneau Volkorne; Bague Trithon; Quatre-feuilles; Ceinture Volkorne; Masque Trithon; Cape de la Dame du Hasard; Bottes Trithon; Dofus des Glaces; Dofus Turquoise; Dofus Abyssal; Dofus Ocre; Dofus Pourpre; Dofus Ivoire; Kokulte</t>
        </is>
      </c>
    </row>
    <row r="16812">
      <c r="A16812" t="inlineStr">
        <is>
          <t>stuff air</t>
        </is>
      </c>
      <c r="B16812">
        <f>HYPERLINK("https://www.dofusbook.net/fr/equipement/2848789-stuff-air/objets", "link")</f>
        <v/>
      </c>
      <c r="C16812" t="n">
        <v>3</v>
      </c>
      <c r="D16812" t="inlineStr">
        <is>
          <t>Pelle de la Cour Sombre; Collier du Valet Veinard; Alliance Gloursonne; Gant du Valet Veinard; Bouclier d'Ilyzaelle; Menoture; Dorabysses; Cape Indescriptible; Baleinabottes; Dofus Abyssal; Dofus Ivoire; Dofus Émeraude; Dofus Pourpre; Cascadeur majeur; Nomade; Bwak d'Air</t>
        </is>
      </c>
    </row>
    <row r="16813">
      <c r="A16813" t="inlineStr">
        <is>
          <t>Stuff do pou</t>
        </is>
      </c>
      <c r="B16813">
        <f>HYPERLINK("https://www.dofusbook.net/fr/equipement/201258-stuff-do-pou/objets", "link")</f>
        <v/>
      </c>
      <c r="C16813" t="n">
        <v>1</v>
      </c>
      <c r="D16813" t="inlineStr">
        <is>
          <t>Arc du Chalœil; Torquistik; Bague Trithon; Bague Instable; Bouclier précieux; Ceinture Gence; Casque Dragoeuf; Cape Solution; Bottistik; Dofus Abyssal; Dofus Ivoire; Pousseur majeur; Bousculeur majeur; Culbuteur; Culbuteur majeur; Balafreux</t>
        </is>
      </c>
    </row>
    <row r="16814">
      <c r="A16814" t="inlineStr">
        <is>
          <t>air ini</t>
        </is>
      </c>
      <c r="B16814">
        <f>HYPERLINK("https://www.dofusbook.net/fr/equipement/2860987-air-ini/objets", "link")</f>
        <v/>
      </c>
      <c r="C16814" t="n">
        <v>3</v>
      </c>
      <c r="D16814" t="inlineStr">
        <is>
          <t>L'Épée Nice; Collier du Valet Veinard; Alliance Gloursonne; Gant du Valet Veinard; Bouclier d'Ilyzaelle; Menoture; Masquegel; Cape Martegel; Palmes Trithons; Dofus Pourpre; Dofus Ébène; Dofus Ocre; Dofus Abyssal; Dofus Émeraude; Dofus Ivoire; Dragodinde Amande et Ebène</t>
        </is>
      </c>
    </row>
    <row r="16815">
      <c r="A16815" t="inlineStr">
        <is>
          <t>Enutrof M 200</t>
        </is>
      </c>
      <c r="B16815">
        <f>HYPERLINK("https://www.dofusbook.net/fr/equipement/3636310-enutrof-m-200/objets", "link")</f>
        <v/>
      </c>
      <c r="C16815" t="n">
        <v>4</v>
      </c>
      <c r="D16815" t="inlineStr">
        <is>
          <t>Arc corrompu; Amulette Volkorne; Chevalière du Roi Joueur; Anneau Tamie; Bouclier du Stalak; Croture; Heaume Oplate; Voilamibe; Bottes Innommables; Dofus Ébène; Dofus Pourpre; Dofus Ivoire; Vigoureux majeur; Érudit majeur; Remueur; Dragodinde Ivoire et Orchidée</t>
        </is>
      </c>
    </row>
    <row r="16816">
      <c r="A16816" t="inlineStr">
        <is>
          <t>air ocre</t>
        </is>
      </c>
      <c r="B16816">
        <f>HYPERLINK("https://www.dofusbook.net/fr/equipement/948104-air-ocre/objets", "link")</f>
        <v/>
      </c>
      <c r="C16816" t="n">
        <v>26</v>
      </c>
      <c r="D16816" t="inlineStr">
        <is>
          <t>Dofus Ébène; Dofus Abyssal; Dofus Ivoire; Dofus Pourpre; Dofus Ocre</t>
        </is>
      </c>
    </row>
    <row r="16817">
      <c r="A16817" t="inlineStr">
        <is>
          <t>Pandawa M 200</t>
        </is>
      </c>
      <c r="B16817">
        <f>HYPERLINK("https://www.dofusbook.net/fr/equipement/5582097-pandawa-m-200/objets", "link")</f>
        <v/>
      </c>
      <c r="C16817" t="n">
        <v>1</v>
      </c>
      <c r="D16817" t="inlineStr">
        <is>
          <t>Baguette de Torkélonia; Amulette du Cœur Saignant; Anneau Volkorne; Anneau Crustique; Quatre-feuilles; Ceinture Volkorne; Corne de Torkélonia; Cape du Cœur Saignant; Bottes du Cœur Saignant; Dofus Ocre; Dofus des Glaces; Dofus Pourpre; Dofus Ivoire; Dofus Turquoise; Dofus Ébène; Muldo Ebène et Orchidée</t>
        </is>
      </c>
    </row>
    <row r="16818">
      <c r="A16818" t="inlineStr">
        <is>
          <t>reine</t>
        </is>
      </c>
      <c r="B16818">
        <f>HYPERLINK("https://www.dofusbook.net/fr/equipement/4701671-reine/objets", "link")</f>
        <v/>
      </c>
      <c r="C16818" t="n">
        <v>5</v>
      </c>
      <c r="D16818" t="inlineStr">
        <is>
          <t>Baguette de Torkélonia; Amulette du Cœur Saignant; Anneau Volkorne; Chevalière du Roi Joueur; Bouclier du Stalak; Ceinture Volkorne; Corne de Torkélonia; Cape du Cœur Saignant; Bottes du Cœur Saignant; Dofus Ivoire; Dofus Ébène; Dofus des Glaces; Dofus Turquoise; Dofus Ocre; Voyageur; Bulbisou</t>
        </is>
      </c>
    </row>
    <row r="16819">
      <c r="A16819" t="inlineStr">
        <is>
          <t>Roublard M 200</t>
        </is>
      </c>
      <c r="B16819">
        <f>HYPERLINK("https://www.dofusbook.net/fr/equipement/4978190-roublard-m-200/objets", "link")</f>
        <v/>
      </c>
      <c r="C16819" t="n">
        <v>7</v>
      </c>
      <c r="D16819" t="inlineStr"/>
    </row>
    <row r="16820">
      <c r="A16820" t="inlineStr">
        <is>
          <t>Sadida M 200</t>
        </is>
      </c>
      <c r="B16820">
        <f>HYPERLINK("https://www.dofusbook.net/fr/equipement/5540040-sadida-m-200/objets", "link")</f>
        <v/>
      </c>
      <c r="C16820" t="n">
        <v>1</v>
      </c>
      <c r="D16820" t="inlineStr"/>
    </row>
    <row r="16821">
      <c r="A16821" t="inlineStr">
        <is>
          <t>Féca M 200</t>
        </is>
      </c>
      <c r="B16821">
        <f>HYPERLINK("https://www.dofusbook.net/fr/equipement/5539971-feca-m-200/objets", "link")</f>
        <v/>
      </c>
      <c r="C16821" t="n">
        <v>0</v>
      </c>
      <c r="D16821" t="inlineStr">
        <is>
          <t>Arc corrompu; Amulette Volkorne; Anneau Tamie; Chevalière du Roi Joueur; Bouclier du Stalak; Croture; Casque Dragoeuf; Voilamibe; Bottes Innommables; Dofus Ébène; Dofus Pourpre; Dofus Ivoire; Dofus Ocre; Remueur; Érudit majeur; Dragodinde Ivoire et Orchidée</t>
        </is>
      </c>
    </row>
    <row r="16822">
      <c r="A16822" t="inlineStr">
        <is>
          <t>Pandawa F 200</t>
        </is>
      </c>
      <c r="B16822">
        <f>HYPERLINK("https://www.dofusbook.net/fr/equipement/5489569-pandawa-f-200/objets", "link")</f>
        <v/>
      </c>
      <c r="C16822" t="n">
        <v>1</v>
      </c>
      <c r="D16822" t="inlineStr">
        <is>
          <t>Baguette de Malléfisk; Amulette Volkorne; Chevalière du Roi Joueur; Anneau Tamie; Droiture de Fallanster; Croture; Casque Dragoeuf; Voilamibe; Bottes Innommables; Dofus Ivoire; Dofus Ocre; Dofus Ébène; Dofus Pourpre; Érudit majeur; Remueur; Dragodinde Ivoire et Orchidée</t>
        </is>
      </c>
    </row>
    <row r="16823">
      <c r="A16823" t="inlineStr">
        <is>
          <t>Roublard F 200</t>
        </is>
      </c>
      <c r="B16823">
        <f>HYPERLINK("https://www.dofusbook.net/fr/equipement/5435432-roublard-f-200/objets", "link")</f>
        <v/>
      </c>
      <c r="C16823" t="n">
        <v>0</v>
      </c>
      <c r="D16823" t="inlineStr">
        <is>
          <t>Baguette de Torkélonia; Amulette Volkorne; Anneau Volkorne; Bague Trithon; Quatre-feuilles; Ceinture Volkorne; Masque Trithon; Carapace de Torkélonia; Bottes Trithon; Dofus Ivoire; Dofus Turquoise; Dofus Ébène; Dofus Ocre; Dofus des Glaces; Dofus Pourpre; Kokulte</t>
        </is>
      </c>
    </row>
    <row r="16824">
      <c r="A16824" t="inlineStr">
        <is>
          <t>Roublard F 200</t>
        </is>
      </c>
      <c r="B16824">
        <f>HYPERLINK("https://www.dofusbook.net/fr/equipement/5248562-roublard-f-200/objets", "link")</f>
        <v/>
      </c>
      <c r="C16824" t="n">
        <v>2</v>
      </c>
      <c r="D16824" t="inlineStr">
        <is>
          <t>Baguette de Torkélonia; Amulette du Strigide; Bague Trithon; Crocanneau; Bouclier du Stalak; Ceinture du Strigide; Corne de Torkélonia; Carapace de Torkélonia; Bottes Trithon; Dofus Ivoire; Dofus Abyssal; Dofus Turquoise; Dofus Ébène; Dofus Ocre; Dofus des Glaces; Kokulte</t>
        </is>
      </c>
    </row>
    <row r="16825">
      <c r="A16825" t="inlineStr">
        <is>
          <t>Roublard F 200</t>
        </is>
      </c>
      <c r="B16825">
        <f>HYPERLINK("https://www.dofusbook.net/fr/equipement/5199141-roublard-f-200/objets", "link")</f>
        <v/>
      </c>
      <c r="C16825" t="n">
        <v>0</v>
      </c>
      <c r="D16825" t="inlineStr">
        <is>
          <t>Arc corrompu; Amulette Volkorne; Anneauræus; Anneau Volkorne; Bouclier du Stalak; Protopagne; Heaume Oplate; Cape de Diondin; Bottes Innommables; Dofus Ivoire; Dofus Ébène; Dofus Pourpre; Dofus des Glaces; Dofus Abyssal; Érudit majeur; Bisouglours</t>
        </is>
      </c>
    </row>
    <row r="16826">
      <c r="A16826" t="inlineStr">
        <is>
          <t>Roublard M 200</t>
        </is>
      </c>
      <c r="B16826">
        <f>HYPERLINK("https://www.dofusbook.net/fr/equipement/5103064-roublard-m-200/objets", "link")</f>
        <v/>
      </c>
      <c r="C16826" t="n">
        <v>0</v>
      </c>
      <c r="D16826" t="inlineStr">
        <is>
          <t>Hache Téroïde; Amulette du Strigide; Bague Trithon; Anneau Toriété; Bouclier Pandawa; Ceinture du Strigide; Masque Trithon; Bravoure de Rykke Errel; Bottes Trithon; Dofus Ivoire; Dofus Pourpre; Dofus Ébène; Dofus Ocre; Dofus des Glaces; Dofus Abyssal; Kokulte</t>
        </is>
      </c>
    </row>
    <row r="16827">
      <c r="A16827" t="inlineStr">
        <is>
          <t>Roublard M 200</t>
        </is>
      </c>
      <c r="B16827">
        <f>HYPERLINK("https://www.dofusbook.net/fr/equipement/5105972-roublard-m-200/objets", "link")</f>
        <v/>
      </c>
      <c r="C16827" t="n">
        <v>0</v>
      </c>
      <c r="D16827" t="inlineStr">
        <is>
          <t>Marteau R'ture; Collier de Tourthon; Anneau Volkorne; Anneau Crustique; Cadran d'Eau; Ceinture Volkorne; Masque de Koutoulou; Cape au Logis; Bottes de la Cour Sombre; Dofus Ivoire; Dofus Abyssal; Dofus Turquoise; Dofus Ocre; Dofus des Glaces; Enragé majeur; Kokulte</t>
        </is>
      </c>
    </row>
    <row r="16828">
      <c r="A16828" t="inlineStr">
        <is>
          <t>Roublard F 200</t>
        </is>
      </c>
      <c r="B16828">
        <f>HYPERLINK("https://www.dofusbook.net/fr/equipement/4932585-roublard-f-200/objets", "link")</f>
        <v/>
      </c>
      <c r="C16828" t="n">
        <v>4</v>
      </c>
      <c r="D16828" t="inlineStr">
        <is>
          <t>Manthache; Collier du Valet Veinard; Gant du Valet Veinard; Anneau Toriété; Bouclier du Stalak; Menoture; Couronne d'Allister; Cape Indescriptible; Palmes Trithons; Dofus Ivoire; Dofus des Glaces; Dofus Ocre; Dofus Ébène; Dofus Pourpre; Dofus Abyssal; Gwo Tofu Ventripotent</t>
        </is>
      </c>
    </row>
    <row r="16829">
      <c r="A16829" t="inlineStr">
        <is>
          <t>Roublard M 200</t>
        </is>
      </c>
      <c r="B16829">
        <f>HYPERLINK("https://www.dofusbook.net/fr/equipement/4866101-roublard-m-200/objets", "link")</f>
        <v/>
      </c>
      <c r="C16829" t="n">
        <v>0</v>
      </c>
      <c r="D16829" t="inlineStr">
        <is>
          <t>Manthache; Collier du Valet Veinard; Alliance Gloursonne; Gant du Valet Veinard; Cadran d'Air; Menoture; Coiffe de la Reine des Voleurs; Voilamibe; Bottes de la Reine des Voleurs; Dofus Ébène; Dofus Pourpre; Dofus Abyssal; Dofus Ivoire; Dofus des Glaces; Dofus Ocre; Blérodoudou</t>
        </is>
      </c>
    </row>
    <row r="16830">
      <c r="A16830" t="inlineStr">
        <is>
          <t>Feu thanos</t>
        </is>
      </c>
      <c r="B16830">
        <f>HYPERLINK("https://www.dofusbook.net/fr/equipement/4909170-feu-thanos/objets", "link")</f>
        <v/>
      </c>
      <c r="C16830" t="n">
        <v>0</v>
      </c>
      <c r="D16830" t="inlineStr">
        <is>
          <t>Le Thanos; Amulette Volkorne; Bague Gloursonne; Anneauræus; Cadran de Feu; Sangle Ouare; Heaume Oplate; Voile d'encre; Bottes Innommables; Dofus Ocre; Dofus Ivoire; Dofus Abyssal; Guérisseur majeur; Érudit majeur; Docteur majeur; Dragodinde Dorée et Rousse</t>
        </is>
      </c>
    </row>
    <row r="16831">
      <c r="A16831" t="inlineStr">
        <is>
          <t>Roublard M 200</t>
        </is>
      </c>
      <c r="B16831">
        <f>HYPERLINK("https://www.dofusbook.net/fr/equipement/4865718-roublard-m-200/objets", "link")</f>
        <v/>
      </c>
      <c r="C16831" t="n">
        <v>0</v>
      </c>
      <c r="D16831" t="inlineStr">
        <is>
          <t>Collier de Tourthon; Bracelet du Piloztère; Anneau Crustique; Ceinture de la Reine des Voleurs; Coiffe de la Reine des Voleurs; Cape au Logis; Bottes Honyme; Dofus Ivoire; Dofus Abyssal; Dofus Ocre; Dofus Ébène; Dofus Pourpre; Dofus des Glaces; Bulbisou</t>
        </is>
      </c>
    </row>
    <row r="16832">
      <c r="A16832" t="inlineStr">
        <is>
          <t>Roublard M 200</t>
        </is>
      </c>
      <c r="B16832">
        <f>HYPERLINK("https://www.dofusbook.net/fr/equipement/4920083-roublard-m-200/objets", "link")</f>
        <v/>
      </c>
      <c r="C16832" t="n">
        <v>2</v>
      </c>
      <c r="D16832" t="inlineStr">
        <is>
          <t>Hache Téroïde; Amulette du Strigide; Baguistik; Bague Gloursonne; Bouclier alvéolé; Ceinture du Strigide; Couronne de Brâm Barbe-Monde; Cape au Logis; Bottes Honyme; Dofus Ébène; Dofus Ocre; Dofus des Glaces; Dofus Ivoire; Dofus Abyssal; Dofus Turquoise; Kokulte</t>
        </is>
      </c>
    </row>
    <row r="16833">
      <c r="A16833" t="inlineStr">
        <is>
          <t>feu diondin</t>
        </is>
      </c>
      <c r="B16833">
        <f>HYPERLINK("https://www.dofusbook.net/fr/equipement/3787181-feu-diondin/objets", "link")</f>
        <v/>
      </c>
      <c r="C16833" t="n">
        <v>41</v>
      </c>
      <c r="D16833" t="inlineStr">
        <is>
          <t>Baguette de Malléfisk; Amulette Volkorne; Anneauræus; Anneau Rifique; Cadran de Feu; Sangle Ouare; Casque Cyclopéen; Cape de Diondin; Chaussures Ardentes; Dofus Ocre; Dofus Ivoire; Dofus Abyssal; Érudit majeur; Docteur majeur; Guérisseur majeur; Dragodinde Dorée et Rousse</t>
        </is>
      </c>
    </row>
    <row r="16834">
      <c r="A16834" t="inlineStr">
        <is>
          <t>feu oplate</t>
        </is>
      </c>
      <c r="B16834">
        <f>HYPERLINK("https://www.dofusbook.net/fr/equipement/3565266-feu-oplate/objets", "link")</f>
        <v/>
      </c>
      <c r="C16834" t="n">
        <v>48</v>
      </c>
      <c r="D16834" t="inlineStr">
        <is>
          <t>Baguette de Malléfisk; Amulette Volkorne; Anneauræus; Anneauræus; Cadran de Feu; Sangle Ouare; Heaume Oplate; Voile d'encre; Chaussures Ardentes; Dofus Abyssal; Dofus Ocre; Dofus Ivoire; Guérisseur majeur; Érudit majeur; Docteur majeur; Dragodinde Dorée et Rousse</t>
        </is>
      </c>
    </row>
    <row r="16835">
      <c r="A16835" t="inlineStr">
        <is>
          <t>Roublard F 200</t>
        </is>
      </c>
      <c r="B16835">
        <f>HYPERLINK("https://www.dofusbook.net/fr/equipement/4869943-roublard-f-200/objets", "link")</f>
        <v/>
      </c>
      <c r="C16835" t="n">
        <v>0</v>
      </c>
      <c r="D16835" t="inlineStr">
        <is>
          <t>Baguette de Malléfisk</t>
        </is>
      </c>
    </row>
    <row r="16836">
      <c r="A16836" t="inlineStr">
        <is>
          <t>Roublard F 200</t>
        </is>
      </c>
      <c r="B16836">
        <f>HYPERLINK("https://www.dofusbook.net/fr/equipement/4864625-roublard-f-200/objets", "link")</f>
        <v/>
      </c>
      <c r="C16836" t="n">
        <v>1</v>
      </c>
      <c r="D16836" t="inlineStr">
        <is>
          <t>Lance corrompue; Amulette du Kamasterisk; Bracelet du Piloztère; Anneau Toriété; Bouclier du Stalak; Ceinture Volkorne; Casque Volkorne; Cape du Kamasterisk; Bottes du Kamasterisk; Dofus Pourpre; Dofus Ébène; Dofus Ocre; Dofus des Glaces; Dofus Ivoire; Dofus Abyssal; Fëanor</t>
        </is>
      </c>
    </row>
    <row r="16837">
      <c r="A16837" t="inlineStr">
        <is>
          <t>Roublard M 200</t>
        </is>
      </c>
      <c r="B16837">
        <f>HYPERLINK("https://www.dofusbook.net/fr/equipement/4814737-roublard-m-200/objets", "link")</f>
        <v/>
      </c>
      <c r="C16837" t="n">
        <v>1</v>
      </c>
      <c r="D16837" t="inlineStr">
        <is>
          <t>Arc Hétype; Amulette Volkorne; Lavanneau; Anneau Tique; Bouclier du Stalak; Ceintrigue; Heaume Oplate; Bravoure de Rykke Errel; Bottes Owesli; Dofus Abyssal; Dofus Pourpre; Dofus Ivoire; Dofus des Glaces; Remueur; Nomade; Bisouglours</t>
        </is>
      </c>
    </row>
    <row r="16838">
      <c r="A16838" t="inlineStr">
        <is>
          <t>Pandawa M 200</t>
        </is>
      </c>
      <c r="B16838">
        <f>HYPERLINK("https://www.dofusbook.net/fr/equipement/4213722-pandawa-m-200/objets", "link")</f>
        <v/>
      </c>
      <c r="C16838" t="n">
        <v>0</v>
      </c>
      <c r="D16838" t="inlineStr">
        <is>
          <t>L'Épée Nice; Amulette Volkorne; Anneauræus; Bracelet du Piloztère; Droiture de Fallanster; Ceinture Volkorne; Masque de Koutoulou; Voile d'encre; Dofus Pourpre; Dofus Abyssal; Dofus Émeraude; Dofus Ivoire; Dofus Ocre</t>
        </is>
      </c>
    </row>
    <row r="16839">
      <c r="A16839" t="inlineStr">
        <is>
          <t>Roublard M 200</t>
        </is>
      </c>
      <c r="B16839">
        <f>HYPERLINK("https://www.dofusbook.net/fr/equipement/4726436-roublard-m-200/objets", "link")</f>
        <v/>
      </c>
      <c r="C16839" t="n">
        <v>0</v>
      </c>
      <c r="D16839" t="inlineStr"/>
    </row>
    <row r="16840">
      <c r="A16840" t="inlineStr">
        <is>
          <t>Sacrieur F 200</t>
        </is>
      </c>
      <c r="B16840">
        <f>HYPERLINK("https://www.dofusbook.net/fr/equipement/4103549-sacrieur-f-200/objets", "link")</f>
        <v/>
      </c>
      <c r="C16840" t="n">
        <v>1</v>
      </c>
      <c r="D16840" t="inlineStr">
        <is>
          <t>Pelle de la Cour Sombre; Collier du Valet Veinard; Alliance Gloursonne; Gant du Valet Veinard; Bouclier d'Ilyzaelle; Menoture; Dorabysses; Cape Martegel; Palmes Trithons; Dofus Émeraude; Dofus Ivoire; Cascadeur majeur</t>
        </is>
      </c>
    </row>
    <row r="16841">
      <c r="A16841" t="inlineStr">
        <is>
          <t>Roublard M 200</t>
        </is>
      </c>
      <c r="B16841">
        <f>HYPERLINK("https://www.dofusbook.net/fr/equipement/4722063-roublard-m-200/objets", "link")</f>
        <v/>
      </c>
      <c r="C16841" t="n">
        <v>0</v>
      </c>
      <c r="D16841" t="inlineStr"/>
    </row>
    <row r="16842">
      <c r="A16842" t="inlineStr">
        <is>
          <t>actuel</t>
        </is>
      </c>
      <c r="B16842">
        <f>HYPERLINK("https://www.dofusbook.net/fr/equipement/4703767-actuel/objets", "link")</f>
        <v/>
      </c>
      <c r="C16842" t="n">
        <v>0</v>
      </c>
      <c r="D16842" t="inlineStr">
        <is>
          <t>Arc du Chalœil; Collier de Tourthon; Anneau Crustique; Bracelet du Piloztère; Bouclier du Stalak; Ceinture Volkorne; Masque de Koutoulou; Cape au Logis; Pantoufles du Piloztère; Dofus Abyssal; Dofus Ocre; Dofus des Glaces; Dofus Pourpre; Dofus Ivoire; Enragé majeur; Bulbisou</t>
        </is>
      </c>
    </row>
    <row r="16843">
      <c r="A16843" t="inlineStr">
        <is>
          <t>Roublard F 200</t>
        </is>
      </c>
      <c r="B16843">
        <f>HYPERLINK("https://www.dofusbook.net/fr/equipement/4379436-roublard-f-200/objets", "link")</f>
        <v/>
      </c>
      <c r="C16843" t="n">
        <v>9</v>
      </c>
      <c r="D16843" t="inlineStr">
        <is>
          <t>Lance corrompue; Amulette du Kamasterisk; Bracelet du Piloztère; Bouclier du Stalak; Ceinture Volkorne; Casque Volkorne; Cape du Kamasterisk; Bottes du Kamasterisk; Dofus Pourpre; Dofus des Glaces; Dofus Ocre; Dofus Ivoire; Dolmanax; Dofus Abyssal</t>
        </is>
      </c>
    </row>
    <row r="16844">
      <c r="A16844" t="inlineStr">
        <is>
          <t>Roublard F 200</t>
        </is>
      </c>
      <c r="B16844">
        <f>HYPERLINK("https://www.dofusbook.net/fr/equipement/4700181-roublard-f-200/objets", "link")</f>
        <v/>
      </c>
      <c r="C16844" t="n">
        <v>0</v>
      </c>
      <c r="D16844" t="inlineStr">
        <is>
          <t>Lance corrompue; Amulette du Kamasterisk; Anneau Toriété; Bracelet du Piloztère; Bouclier du Stalak; Ceinture Volkorne; Casque Volkorne; Cape du Kamasterisk; Bottes du Kamasterisk; Dolmanax; Dofus des Glaces; Dofus Ocre; Dofus Ivoire; Dofus Pourpre; Dofus Abyssal; Dragodinde Ebène et Pourpre</t>
        </is>
      </c>
    </row>
    <row r="16845">
      <c r="A16845" t="inlineStr">
        <is>
          <t>test</t>
        </is>
      </c>
      <c r="B16845">
        <f>HYPERLINK("https://www.dofusbook.net/fr/equipement/2037522-test/objets", "link")</f>
        <v/>
      </c>
      <c r="C16845" t="n">
        <v>16</v>
      </c>
      <c r="D16845" t="inlineStr">
        <is>
          <t>L'Épée Nice; Amulette du Strigide; Anneau Chevelu; Bracelet du Piloztère; Bouclier cubiste; Ceinture du Strigide; Masque de Koutoulou; Cape au Logis; Baleinabottes; Dofus Pourpre; Dofus Turquoise; Remueur; Observateur; Enragé majeur; Kompost</t>
        </is>
      </c>
    </row>
    <row r="16846">
      <c r="A16846" t="inlineStr">
        <is>
          <t>bistouille</t>
        </is>
      </c>
      <c r="B16846">
        <f>HYPERLINK("https://www.dofusbook.net/fr/equipement/4369848-bistouille/objets", "link")</f>
        <v/>
      </c>
      <c r="C16846" t="n">
        <v>2</v>
      </c>
      <c r="D16846" t="inlineStr">
        <is>
          <t>L'Épée Nice; Amulette du Strigide; Bague Gloursonne; Anneau Chevelu; Bouclier précieux; Masque de Koutoulou; Cape au Logis; Baleinabottes; Dofus Ivoire; Dofus Émeraude; Remueur; Bloqueur majeur; Obstructeur majeur</t>
        </is>
      </c>
    </row>
    <row r="16847">
      <c r="A16847" t="inlineStr">
        <is>
          <t>terre test</t>
        </is>
      </c>
      <c r="B16847">
        <f>HYPERLINK("https://www.dofusbook.net/fr/equipement/4142198-terre-test/objets", "link")</f>
        <v/>
      </c>
      <c r="C16847" t="n">
        <v>4</v>
      </c>
      <c r="D16847" t="inlineStr">
        <is>
          <t>Pelle de la Cour Sombre; Collier du Valet Veinard; Gant du Valet Veinard; Alliance Gloursonne; Bouclier d'Ilyzaelle; Menoture; Couronne d'Allister; Cape Matelassée; Palmes Trithons; Dofus Ivoire; Dofus Émeraude; Dofus Pourpre; Miraculé majeur; Cascadeur majeur; Muldo Ebène et Orchidée</t>
        </is>
      </c>
    </row>
    <row r="16848">
      <c r="A16848" t="inlineStr">
        <is>
          <t>eau volkorne</t>
        </is>
      </c>
      <c r="B16848">
        <f>HYPERLINK("https://www.dofusbook.net/fr/equipement/4190402-eau-volkorne/objets", "link")</f>
        <v/>
      </c>
      <c r="C16848" t="n">
        <v>1</v>
      </c>
      <c r="D16848" t="inlineStr">
        <is>
          <t>Dagoulinantes; Amulette de Shokkoth; Alliance Gloursonne; Anneau Volkorne; Cadran de Terre; Sangle Ouare; Casque Volkorne; Cape Matelassée; Bottes Honyme; Dofus Turquoise; Dofus Ivoire; Dofus Ébène; Étourdisseur majeur; Chanceux majeur; Paralyseur majeur; Dragodinde Amande et Indigo</t>
        </is>
      </c>
    </row>
    <row r="16849">
      <c r="A16849" t="inlineStr">
        <is>
          <t>Roublard F 200</t>
        </is>
      </c>
      <c r="B16849">
        <f>HYPERLINK("https://www.dofusbook.net/fr/equipement/4115798-roublard-f-200/objets", "link")</f>
        <v/>
      </c>
      <c r="C16849" t="n">
        <v>1</v>
      </c>
      <c r="D16849" t="inlineStr">
        <is>
          <t>Arc du Chalœil; Collier de Tourthon; Bracelet du Piloztère; Anneau Crustique; Bouclier du Stalak; Ceinture Volkorne; Masque de Koutoulou; Cape au Logis; Pantoufles du Piloztère; Dofus des Glaces; Dofus Pourpre; Dofus Abyssal; Dévastateur Terre majeur; Remueur; Enragé majeur; Bulbisou</t>
        </is>
      </c>
    </row>
    <row r="16850">
      <c r="A16850" t="inlineStr">
        <is>
          <t>eau ret pa opti</t>
        </is>
      </c>
      <c r="B16850">
        <f>HYPERLINK("https://www.dofusbook.net/fr/equipement/4190100-eau-ret-pa-opti/objets", "link")</f>
        <v/>
      </c>
      <c r="C16850" t="n">
        <v>5</v>
      </c>
      <c r="D16850" t="inlineStr">
        <is>
          <t>Dagoulinantes; Amulette de Shokkoth; Alliance Gloursonne; Anneau Volkorne; Cadran de Terre; Culotte de Bethel; Capuche de l'Œil Attentif; Cape de l'Œil Attentif; Pataugastrique; Dofus Pourpre; Dofus Ocre; Dofus Ivoire; Paralyseur majeur; Étourdisseur majeur; Chanceux majeur; Muldo Turquoise et Indigo</t>
        </is>
      </c>
    </row>
    <row r="16851">
      <c r="A16851" t="inlineStr">
        <is>
          <t>Roublard F 200</t>
        </is>
      </c>
      <c r="B16851">
        <f>HYPERLINK("https://www.dofusbook.net/fr/equipement/4146241-roublard-f-200/objets", "link")</f>
        <v/>
      </c>
      <c r="C16851" t="n">
        <v>0</v>
      </c>
      <c r="D16851" t="inlineStr">
        <is>
          <t>Arc du Chalœil; Collier de Tourthon; Bracelet du Piloztère; Anneau de Brouce; Bouclier du Stalak; Ceinture Volkorne; Masque de Koutoulou; Cape au Logis; Bottes de Brouce; Dofus Ocre; Dofus Abyssal; Dofus des Glaces; Dofus Ivoire; Dofus Pourpre; Enragé majeur; Bulbisou</t>
        </is>
      </c>
    </row>
    <row r="16852">
      <c r="A16852" t="inlineStr">
        <is>
          <t>Eliotrope F 200</t>
        </is>
      </c>
      <c r="B16852">
        <f>HYPERLINK("https://www.dofusbook.net/fr/equipement/4143788-eliotrope-f-200/objets", "link")</f>
        <v/>
      </c>
      <c r="C16852" t="n">
        <v>0</v>
      </c>
      <c r="D16852" t="inlineStr">
        <is>
          <t>Dagoulinantes; Amulette de Shokkoth; Anneau Toriété; Alliance Gloursonne; Quatre-feuilles; Poulpagne; Capuche de l'Œil Attentif; Cape de l'Œil Attentif; Bottes Honyme; Dofus Ocre; Dofus Pourpre; Dofus Abyssal; Dofus Ivoire; Chanceux majeur; Dragodinde Amande et Indigo</t>
        </is>
      </c>
    </row>
    <row r="16853">
      <c r="A16853" t="inlineStr">
        <is>
          <t>Zobal M 200</t>
        </is>
      </c>
      <c r="B16853">
        <f>HYPERLINK("https://www.dofusbook.net/fr/equipement/4142184-zobal-m-200/objets", "link")</f>
        <v/>
      </c>
      <c r="C16853" t="n">
        <v>1</v>
      </c>
      <c r="D16853" t="inlineStr">
        <is>
          <t>Dagoulinantes; Amulette de Shokkoth; Anneau Toriété; Anneau Volkorne; Quatre-feuilles; Poulpagne; Capuche de l'Œil Attentif; Cape de l'Œil Attentif; Bottes de l'Esprit Salvateur; Dofus Ocre; Dofus Abyssal; Dofus Ivoire; Chanceux majeur; Dragodinde Amande et Indigo</t>
        </is>
      </c>
    </row>
    <row r="16854">
      <c r="A16854" t="inlineStr">
        <is>
          <t>Steamer M 200</t>
        </is>
      </c>
      <c r="B16854">
        <f>HYPERLINK("https://www.dofusbook.net/fr/equipement/3725862-steamer-m-200/objets", "link")</f>
        <v/>
      </c>
      <c r="C16854" t="n">
        <v>2</v>
      </c>
      <c r="D16854" t="inlineStr">
        <is>
          <t>Arc Volkorne; Amulette du Strigide; Bracelet du Piloztère; Anneau Volkorne; Quatre-feuilles; Ceinture du Strigide; Casque Volkorne; Dofusteuse; Bottes du Strigide; Dofus Pourpre; Dofus des Glaces; Dofus Turquoise; Dolmanax; Dofus Ocre; Dofus Ivoire</t>
        </is>
      </c>
    </row>
    <row r="16855">
      <c r="A16855" t="inlineStr">
        <is>
          <t>Sacrieur F 200</t>
        </is>
      </c>
      <c r="B16855">
        <f>HYPERLINK("https://www.dofusbook.net/fr/equipement/4105704-sacrieur-f-200/objets", "link")</f>
        <v/>
      </c>
      <c r="C16855" t="n">
        <v>0</v>
      </c>
      <c r="D16855" t="inlineStr">
        <is>
          <t>Sceptre du Roi Joueur; Amulette de Shokkoth; Casque Dragoeuf; Cape Solution</t>
        </is>
      </c>
    </row>
    <row r="16856">
      <c r="A16856" t="inlineStr">
        <is>
          <t>Sacrieur F 200</t>
        </is>
      </c>
      <c r="B16856">
        <f>HYPERLINK("https://www.dofusbook.net/fr/equipement/4103570-sacrieur-f-200/objets", "link")</f>
        <v/>
      </c>
      <c r="C16856" t="n">
        <v>3</v>
      </c>
      <c r="D16856" t="inlineStr">
        <is>
          <t>Harpelle; Amulette de Gein; Bague Gloursonne; Anneau Toriété; Bouclier d'Ilyzaelle; Ceinture de Gein; Casque Dragoeuf; Cape de Diondin; Bottes Innommables; Dofus Abyssal; Dofus Émeraude; Dofus Ivoire; Dofus Ocre; Dofus des Glaces; Érudit majeur; Bwak de Terre</t>
        </is>
      </c>
    </row>
    <row r="16857">
      <c r="A16857" t="inlineStr">
        <is>
          <t>Steamer F 200</t>
        </is>
      </c>
      <c r="B16857">
        <f>HYPERLINK("https://www.dofusbook.net/fr/equipement/3704614-steamer-f-200/objets", "link")</f>
        <v/>
      </c>
      <c r="C16857" t="n">
        <v>3</v>
      </c>
      <c r="D16857" t="inlineStr">
        <is>
          <t>Hache du Chalœil; Amulette Volkorne; Anneau Volkorne; Bague Trithon; Quatre-feuilles; Ceinture Volkorne; Masque Trithon; Voile d'encre; Bottes Trithon; Dofus Pourpre; Dofus des Glaces; Dofus Turquoise; Dofus Abyssal; Dofus Ocre; Dofus Ivoire; Kokulte</t>
        </is>
      </c>
    </row>
    <row r="16858">
      <c r="A16858" t="inlineStr">
        <is>
          <t>Sacrieur F 200</t>
        </is>
      </c>
      <c r="B16858">
        <f>HYPERLINK("https://www.dofusbook.net/fr/equipement/4065626-sacrieur-f-200/objets", "link")</f>
        <v/>
      </c>
      <c r="C16858" t="n">
        <v>2</v>
      </c>
      <c r="D16858" t="inlineStr">
        <is>
          <t>Hache du Chalœil; Amulette Volkorne; Anneau Volkorne; Bague Trithon; Quatre-feuilles; Ceinture Volkorne; Masque Trithon; Voile d'encre; Bottes Trithon; Dofus Pourpre; Dofus des Glaces; Dofus Turquoise; Dofus Abyssal; Dofus Ocre; Dofus Ivoire; Chacha Angora</t>
        </is>
      </c>
    </row>
    <row r="16859">
      <c r="A16859" t="inlineStr">
        <is>
          <t>Sacrieur F 200</t>
        </is>
      </c>
      <c r="B16859">
        <f>HYPERLINK("https://www.dofusbook.net/fr/equipement/4044449-sacrieur-f-200/objets", "link")</f>
        <v/>
      </c>
      <c r="C16859" t="n">
        <v>3</v>
      </c>
      <c r="D16859" t="inlineStr">
        <is>
          <t>Hache du Chalœil; Amulette Volkorne; Bague Trithon; Anneau Volkorne; Quatre-feuilles; Ceinture Volkorne; Boucle d'oreille de Kongoku; Cape de Kongoku; Bottes Trithon; Dofus Pourpre; Dofus Ivoire; Dofus des Glaces; Dofus Ocre; Dofus Turquoise; Dofus Abyssal; Volkorne Rubis et Emeraude</t>
        </is>
      </c>
    </row>
    <row r="16860">
      <c r="A16860" t="inlineStr">
        <is>
          <t>Sacrieur F 200</t>
        </is>
      </c>
      <c r="B16860">
        <f>HYPERLINK("https://www.dofusbook.net/fr/equipement/4060282-sacrieur-f-200/objets", "link")</f>
        <v/>
      </c>
      <c r="C16860" t="n">
        <v>0</v>
      </c>
      <c r="D16860" t="inlineStr">
        <is>
          <t>Ceinture Volkorne; Casque Volkorne</t>
        </is>
      </c>
    </row>
    <row r="16861">
      <c r="A16861" t="inlineStr">
        <is>
          <t>Ecaflip M 200</t>
        </is>
      </c>
      <c r="B16861">
        <f>HYPERLINK("https://www.dofusbook.net/fr/equipement/4029012-ecaflip-m-200/objets", "link")</f>
        <v/>
      </c>
      <c r="C16861" t="n">
        <v>1</v>
      </c>
      <c r="D16861" t="inlineStr">
        <is>
          <t>Hache du Chalœil; Amulette Volkorne; Anneau Volkorne; Bracelet du Piloztère; Quatre-feuilles; Ceinture Volkorne; Casque du Chalœil; Cape du Chalœil; Bottes du Chalœil; Dofus Pourpre; Dofus Ivoire; Dofus des Glaces; Dofus Ocre; Dofus Turquoise; Dofus Abyssal; Kokulte</t>
        </is>
      </c>
    </row>
    <row r="16862">
      <c r="A16862" t="inlineStr">
        <is>
          <t>Sacrieur M 200</t>
        </is>
      </c>
      <c r="B16862">
        <f>HYPERLINK("https://www.dofusbook.net/fr/equipement/4040615-sacrieur-m-200/objets", "link")</f>
        <v/>
      </c>
      <c r="C16862" t="n">
        <v>2</v>
      </c>
      <c r="D16862" t="inlineStr">
        <is>
          <t>Amulette Volkorne; Bracelet du Piloztère; Bague Trithon; Quatre-feuilles; Ceinture Volkorne; Masque Trithon; Cape au Logis; Bottes Trithon; Dofus Turquoise; Dofus Abyssal; Dofus Ocre; Dofus Ivoire; Dofus Pourpre; Dofus des Glaces; Kokulte</t>
        </is>
      </c>
    </row>
    <row r="16863">
      <c r="A16863" t="inlineStr">
        <is>
          <t>Sacrieur F 200</t>
        </is>
      </c>
      <c r="B16863">
        <f>HYPERLINK("https://www.dofusbook.net/fr/equipement/4042018-sacrieur-f-200/objets", "link")</f>
        <v/>
      </c>
      <c r="C16863" t="n">
        <v>1</v>
      </c>
      <c r="D16863" t="inlineStr">
        <is>
          <t>Baguette Range; Amulette Volkorne; Anneau de Padgref; Ceinture Volkorne; Coiffe de Padgref; Getas de Padgref</t>
        </is>
      </c>
    </row>
    <row r="16864">
      <c r="A16864" t="inlineStr">
        <is>
          <t>Sacrieur M 200</t>
        </is>
      </c>
      <c r="B16864">
        <f>HYPERLINK("https://www.dofusbook.net/fr/equipement/4039309-sacrieur-m-200/objets", "link")</f>
        <v/>
      </c>
      <c r="C16864" t="n">
        <v>0</v>
      </c>
      <c r="D16864" t="inlineStr">
        <is>
          <t>Hache du Chalœil; Amulette Volkorne; Alliance du Lévitrof; Bracelet du Piloztère; Bouclier du Captain Amakna; Ceinture Volkorne; Coiffe du Lévitrof; Cape au Logis; Bottes du Lévitrof; Dofus Pourpre; Dofus des Glaces; Dofus Turquoise; Dofus Abyssal; Dofus Ocre; Dofus Ivoire; Chacha Angora</t>
        </is>
      </c>
    </row>
    <row r="16865">
      <c r="A16865" t="inlineStr">
        <is>
          <t>Sacrieur F 200</t>
        </is>
      </c>
      <c r="B16865">
        <f>HYPERLINK("https://www.dofusbook.net/fr/equipement/3430157-sacrieur-f-200/objets", "link")</f>
        <v/>
      </c>
      <c r="C16865" t="n">
        <v>1</v>
      </c>
      <c r="D16865" t="inlineStr">
        <is>
          <t>Hache Téroïde; Amulette Volkorne; Bague Trithon; Bague Gloursonne; Quatre-feuilles; Ceinture Volkorne; Masque Trithon; Cape au Logis; Bottes Trithon; Dofus Ocre; Dofus Ivoire; Dofus Pourpre; Dofus des Glaces; Dofus Turquoise; Dofus Abyssal; Chacha Angora</t>
        </is>
      </c>
    </row>
    <row r="16866">
      <c r="A16866" t="inlineStr">
        <is>
          <t>Sadida M 200</t>
        </is>
      </c>
      <c r="B16866">
        <f>HYPERLINK("https://www.dofusbook.net/fr/equipement/4027300-sadida-m-200/objets", "link")</f>
        <v/>
      </c>
      <c r="C16866" t="n">
        <v>0</v>
      </c>
      <c r="D16866" t="inlineStr">
        <is>
          <t>Bâthon; Amulette Volkorne; Bague Gloursonne; Chevalière du Roi Joueur; Bouclier cubiste; Ceinture Volkorne; Couronne du Roi Joueur; Cape au Logis; Bottes du Roi Joueur; Dolmanax; Dofus des Glaces; Dofus Pourpre; Dofus Abyssal; Dofus Ocre; Dofus Ivoire; Dragodinde Amande et Ivoire</t>
        </is>
      </c>
    </row>
    <row r="16867">
      <c r="A16867" t="inlineStr">
        <is>
          <t>terre</t>
        </is>
      </c>
      <c r="B16867">
        <f>HYPERLINK("https://www.dofusbook.net/fr/equipement/2831462-terre/objets", "link")</f>
        <v/>
      </c>
      <c r="C16867" t="n">
        <v>59</v>
      </c>
      <c r="D16867" t="inlineStr">
        <is>
          <t>Arc Volkorne; Amulette Volkorne; Bracelet du Piloztère; Anneau Volkorne; Quatre-feuilles; Ceinture Volkorne; Casque du Chalœil; Cape du Chalœil; Bottes du Chalœil; Dofus Pourpre; Dofus des Glaces; Dofus Turquoise; Dofus Abyssal; Dofus Ocre; Dofus Ivoire; Dragodinde Emeraude et Ivoire</t>
        </is>
      </c>
    </row>
    <row r="16868">
      <c r="A16868" t="inlineStr">
        <is>
          <t>Roublard F 200</t>
        </is>
      </c>
      <c r="B16868">
        <f>HYPERLINK("https://www.dofusbook.net/fr/equipement/4021476-roublard-f-200/objets", "link")</f>
        <v/>
      </c>
      <c r="C16868" t="n">
        <v>0</v>
      </c>
      <c r="D16868" t="inlineStr">
        <is>
          <t>Mitaine Aibre</t>
        </is>
      </c>
    </row>
    <row r="16869">
      <c r="A16869" t="inlineStr">
        <is>
          <t>Zobal F 200</t>
        </is>
      </c>
      <c r="B16869">
        <f>HYPERLINK("https://www.dofusbook.net/fr/equipement/3823994-zobal-f-200/objets", "link")</f>
        <v/>
      </c>
      <c r="C16869" t="n">
        <v>4</v>
      </c>
      <c r="D16869" t="inlineStr">
        <is>
          <t>Poolache; Amulette Volkorne; Bague Gloursonne; Chevalière du Roi Joueur; Quatre-feuilles; Ceinture Volkorne; Couronne du Roi Joueur; Cape au Logis; Bottes du Roi Joueur; Dofus Turquoise; Dofus Abyssal; Dofus Ocre; Dofus Ivoire; Dofus Pourpre; Dofus des Glaces; Kokulte</t>
        </is>
      </c>
    </row>
    <row r="16870">
      <c r="A16870" t="inlineStr">
        <is>
          <t>Zobal M 200</t>
        </is>
      </c>
      <c r="B16870">
        <f>HYPERLINK("https://www.dofusbook.net/fr/equipement/4010961-zobal-m-200/objets", "link")</f>
        <v/>
      </c>
      <c r="C16870" t="n">
        <v>3</v>
      </c>
      <c r="D16870" t="inlineStr">
        <is>
          <t>Baguette Hernelle; Amulette du Strigide; Anneau Toriété; Bague Trithon; Quatre-feuilles; Ceinture du Strigide; Masque Trithon; Cape des Justiciers; Bottes Trithon; Dofus Pourpre; Dofus Abyssal; Dofus Turquoise; Dofus Ivoire; Dolmanax; Dofus des Glaces; Kokulte</t>
        </is>
      </c>
    </row>
    <row r="16871">
      <c r="A16871" t="inlineStr">
        <is>
          <t>eau</t>
        </is>
      </c>
      <c r="B16871">
        <f>HYPERLINK("https://www.dofusbook.net/fr/equipement/1658437-eau/objets", "link")</f>
        <v/>
      </c>
      <c r="C16871" t="n">
        <v>1</v>
      </c>
      <c r="D16871" t="inlineStr">
        <is>
          <t>Sceptre du Roi Joueur; Amulette de Shokkoth; Anneau Toriété; Alliance Gloursonne; Quatre-feuilles; Ceinture Glaciale; Capuche de l'Œil Attentif; Cape Glaciale; Pataugastrique; Dofus Ivoire; Dofus Pourpre; Dofus Abyssal; Dofus Turquoise; Remueur; Chanceux majeur; Dragodinde Amande et Indigo</t>
        </is>
      </c>
    </row>
    <row r="16872">
      <c r="A16872" t="inlineStr">
        <is>
          <t>Pandawa F 200</t>
        </is>
      </c>
      <c r="B16872">
        <f>HYPERLINK("https://www.dofusbook.net/fr/equipement/3710046-pandawa-f-200/objets", "link")</f>
        <v/>
      </c>
      <c r="C16872" t="n">
        <v>2</v>
      </c>
      <c r="D16872" t="inlineStr">
        <is>
          <t>Sceptre du Roi Joueur; Amulette de Shokkoth; Anneau Toriété; Alliance Gloursonne; Quatre-feuilles; Ceinture Glaciale; Casque Dragoeuf; Cape Glaciale; Pataugastrique; Dofus Ivoire; Dofus Pourpre; Dofus Abyssal; Dofus Turquoise; Remueur; Chanceux majeur; Dragodinde Indigo et Ivoire</t>
        </is>
      </c>
    </row>
    <row r="16873">
      <c r="A16873" t="inlineStr">
        <is>
          <t>Xélor F 200</t>
        </is>
      </c>
      <c r="B16873">
        <f>HYPERLINK("https://www.dofusbook.net/fr/equipement/3976873-xelor-f-200/objets", "link")</f>
        <v/>
      </c>
      <c r="C16873" t="n">
        <v>1</v>
      </c>
      <c r="D16873" t="inlineStr">
        <is>
          <t>Marteau R'ture; Anneau Chevelu; Bouclier du Captain Amakna; Masque de Koutoulou; Cape au Logis; Baleinabottes; Dofus Turquoise; Dofus Ivoire; Dofus Nébuleux; Dofus Pourpre; Dofus Abyssal; Enragé majeur; Dragodinde Ivoire et Pourpre</t>
        </is>
      </c>
    </row>
    <row r="16874">
      <c r="A16874" t="inlineStr">
        <is>
          <t>Xélor F 200</t>
        </is>
      </c>
      <c r="B16874">
        <f>HYPERLINK("https://www.dofusbook.net/fr/equipement/3971286-xelor-f-200/objets", "link")</f>
        <v/>
      </c>
      <c r="C16874" t="n">
        <v>3</v>
      </c>
      <c r="D16874" t="inlineStr">
        <is>
          <t>Marteau R'ture; Collier de Tourthon; Anneau Volkorne; Anneau Chevelu; Bouclier du Captain Amakna; Ceinture Volkorne; Masque d'Anerice; Cape au Logis; Baleinabottes; Dofus Abyssal; Dofus Pourpre; Dofus Nébuleux; Dofus Turquoise; Dofus Ivoire; Remueur; Dragodinde Ivoire et Pourpre</t>
        </is>
      </c>
    </row>
    <row r="16875">
      <c r="A16875" t="inlineStr">
        <is>
          <t>Enutrof M 200</t>
        </is>
      </c>
      <c r="B16875">
        <f>HYPERLINK("https://www.dofusbook.net/fr/equipement/3907655-enutrof-m-200/objets", "link")</f>
        <v/>
      </c>
      <c r="C16875" t="n">
        <v>6</v>
      </c>
      <c r="D16875" t="inlineStr">
        <is>
          <t>Sceptre du Roi Joueur; Amulette de Shokkoth; Alliance Gloursonne; Anneau Toriété; Quatre-feuilles; Ceinture Glaciale; Casque Dragoeuf; Cape Glaciale; Pataugastrique; Dofus Pourpre; Dofus Nébuleux; Dofus Turquoise; Dofus Ivoire; Chanceux majeur; Remueur; Dragodinde Amande et Indigo</t>
        </is>
      </c>
    </row>
    <row r="16876">
      <c r="A16876" t="inlineStr">
        <is>
          <t>Enutrof M 200</t>
        </is>
      </c>
      <c r="B16876">
        <f>HYPERLINK("https://www.dofusbook.net/fr/equipement/3927500-enutrof-m-200/objets", "link")</f>
        <v/>
      </c>
      <c r="C16876" t="n">
        <v>3</v>
      </c>
      <c r="D16876" t="inlineStr">
        <is>
          <t>Arc Volkorne; Amulette de l'Indicible; Bague Trithon; Anneau Toriété; Quatre-feuilles; Ceinture de l'Indicible; Masque Trithon; Cape des Justiciers; Bottes de l'Indicible; Dofus Turquoise; Dofus Ivoire; Dolmanax; Dofus Nébuleux; Dofus Pourpre; Dofus Abyssal; Dragodinde Prune et Ivoire</t>
        </is>
      </c>
    </row>
    <row r="16877">
      <c r="A16877" t="inlineStr">
        <is>
          <t>Zobal F 200</t>
        </is>
      </c>
      <c r="B16877">
        <f>HYPERLINK("https://www.dofusbook.net/fr/equipement/3927497-zobal-f-200/objets", "link")</f>
        <v/>
      </c>
      <c r="C16877" t="n">
        <v>0</v>
      </c>
      <c r="D16877" t="inlineStr"/>
    </row>
    <row r="16878">
      <c r="A16878" t="inlineStr">
        <is>
          <t>Enutrof M 200</t>
        </is>
      </c>
      <c r="B16878">
        <f>HYPERLINK("https://www.dofusbook.net/fr/equipement/3911649-enutrof-m-200/objets", "link")</f>
        <v/>
      </c>
      <c r="C16878" t="n">
        <v>5</v>
      </c>
      <c r="D16878" t="inlineStr">
        <is>
          <t>Manthache; Amulette du Cœur Vaillant; Alliance Gloursonne; Anneau Toriété; Quatre-feuilles; Menoture; Casque Volkorne; Cape Indescriptible; Bottes du Cœur Vaillant; Dofus Turquoise; Dofus Abyssal; Dofus Ocre; Dofus Ivoire; Cascadeur majeur; Étourdisseur majeur; Dragodinde Amande et Ebène</t>
        </is>
      </c>
    </row>
    <row r="16879">
      <c r="A16879" t="inlineStr">
        <is>
          <t>Enutrof M 200</t>
        </is>
      </c>
      <c r="B16879">
        <f>HYPERLINK("https://www.dofusbook.net/fr/equipement/3911544-enutrof-m-200/objets", "link")</f>
        <v/>
      </c>
      <c r="C16879" t="n">
        <v>3</v>
      </c>
      <c r="D16879" t="inlineStr">
        <is>
          <t>Arc corrompu; Amulette Volkorne; Anneau Tique; Anneau Toriété; Quatre-feuilles; Ceinture de Gein; Chapeau de Gein; Voile d'encre; Pataugastrique; Dofus Ocre; Dofus Ivoire; Dofus Turquoise; Dofus Pourpre; Dofus Abyssal; Érudit majeur; Dragodinde Amande et Orchidée</t>
        </is>
      </c>
    </row>
    <row r="16880">
      <c r="A16880" t="inlineStr">
        <is>
          <t>Enutrof M 200</t>
        </is>
      </c>
      <c r="B16880">
        <f>HYPERLINK("https://www.dofusbook.net/fr/equipement/3907520-enutrof-m-200/objets", "link")</f>
        <v/>
      </c>
      <c r="C16880" t="n">
        <v>1</v>
      </c>
      <c r="D16880" t="inlineStr">
        <is>
          <t>Arc du Chalœil; Collier de Tourthon; Bracelet du Piloztère; Anneau en Grithril; Quatre-feuilles; Ceinture Volkorne; Casque en Grithril; Cape au Logis; Baleinabottes; Dofus Ocre; Dofus Abyssal; Dofus Pourpre; Dofus des Glaces; Dofus Turquoise; Dofus Ivoire; Dragodinde Amande et Pourpre</t>
        </is>
      </c>
    </row>
    <row r="16881">
      <c r="A16881" t="inlineStr">
        <is>
          <t>Enutrof M 200</t>
        </is>
      </c>
      <c r="B16881">
        <f>HYPERLINK("https://www.dofusbook.net/fr/equipement/3893532-enutrof-m-200/objets", "link")</f>
        <v/>
      </c>
      <c r="C16881" t="n">
        <v>3</v>
      </c>
      <c r="D16881" t="inlineStr">
        <is>
          <t>Manthache; Amulette du Cœur Vaillant; Gant du Valet Veinard; Anneau Toriété; Quatre-feuilles; Menoture; Casque Volkorne; Cape Indescriptible; Bottes du Cœur Vaillant; Dofus Pourpre; Dofus Ocre; Dofus Ivoire; Dofus Abyssal; Cascadeur majeur; Étourdisseur majeur; Chaperlipopette</t>
        </is>
      </c>
    </row>
    <row r="16882">
      <c r="A16882" t="inlineStr">
        <is>
          <t>Enutrof M 200</t>
        </is>
      </c>
      <c r="B16882">
        <f>HYPERLINK("https://www.dofusbook.net/fr/equipement/3894897-enutrof-m-200/objets", "link")</f>
        <v/>
      </c>
      <c r="C16882" t="n">
        <v>1</v>
      </c>
      <c r="D16882" t="inlineStr">
        <is>
          <t>Amulette du Strigide; Anneau Toriété; Quatre-feuilles; Ceinture du Strigide; Chapeau de Gein; Cape de Diondin; Bottes Innommables; Pioute rouge</t>
        </is>
      </c>
    </row>
    <row r="16883">
      <c r="A16883" t="inlineStr">
        <is>
          <t>Enutrof M 200</t>
        </is>
      </c>
      <c r="B16883">
        <f>HYPERLINK("https://www.dofusbook.net/fr/equipement/3842517-enutrof-m-200/objets", "link")</f>
        <v/>
      </c>
      <c r="C16883" t="n">
        <v>0</v>
      </c>
      <c r="D16883" t="inlineStr">
        <is>
          <t>Arc Volkorne; Amulette du Strigide; Bague Trithon; Anneau Toriété; Quatre-feuilles; Ceinture du Strigide; Masque Trithon; Cape des Justiciers; Bottes Trithon; Dofus des Glaces; Dofus Ivoire; Dofus Pourpre; Dolmanax; Dofus Turquoise; Dofus Abyssal; Kokulte</t>
        </is>
      </c>
    </row>
    <row r="16884">
      <c r="A16884" t="inlineStr">
        <is>
          <t>Crâ F 200</t>
        </is>
      </c>
      <c r="B16884">
        <f>HYPERLINK("https://www.dofusbook.net/fr/equipement/3887029-cra-f-200/objets", "link")</f>
        <v/>
      </c>
      <c r="C16884" t="n">
        <v>0</v>
      </c>
      <c r="D16884" t="inlineStr">
        <is>
          <t>Sabres d'Atcham; Amulette de l'Œil Attentif; Anneau Toriété; Bracelet du Piloztère; Cadran de Terre; Culotte de Bethel; Masque de Funespadon; Cape d'Atcham; Chaussons de Macrab; Dragodinde Amande et Indigo</t>
        </is>
      </c>
    </row>
    <row r="16885">
      <c r="A16885" t="inlineStr">
        <is>
          <t>feu</t>
        </is>
      </c>
      <c r="B16885">
        <f>HYPERLINK("https://www.dofusbook.net/fr/equipement/2884232-feu/objets", "link")</f>
        <v/>
      </c>
      <c r="C16885" t="n">
        <v>0</v>
      </c>
      <c r="D16885" t="inlineStr">
        <is>
          <t>Lav'Hache; Torquistik; Bague Instable; Bague Trithon; Bouclier précieux; Ceinture Gence; Casque Dragoeuf; Cape Solution; Bottistik; Dofus Abyssal; Dofus Ivoire; Culbuteur; Culbuteur majeur; Pousseur majeur; Bousculeur majeur; Balafreux</t>
        </is>
      </c>
    </row>
    <row r="16886">
      <c r="A16886" t="inlineStr">
        <is>
          <t>Zobal M 200</t>
        </is>
      </c>
      <c r="B16886">
        <f>HYPERLINK("https://www.dofusbook.net/fr/equipement/3884914-zobal-m-200/objets", "link")</f>
        <v/>
      </c>
      <c r="C16886" t="n">
        <v>1</v>
      </c>
      <c r="D16886" t="inlineStr">
        <is>
          <t>Baguette Hique; Amulette de Shokkoth; Anneau Toriété; Anneau Volkorne; Quatre-feuilles; Ceintrigue; Capuche de l'Œil Attentif; Cape Solution; Bottes Owesli; Dofus des Glaces; Dofus Turquoise; Dofus Abyssal; Dofus Ocre; Dofus Ivoire</t>
        </is>
      </c>
    </row>
    <row r="16887">
      <c r="A16887" t="inlineStr">
        <is>
          <t>Zobal M 200</t>
        </is>
      </c>
      <c r="B16887">
        <f>HYPERLINK("https://www.dofusbook.net/fr/equipement/3803102-zobal-m-200/objets", "link")</f>
        <v/>
      </c>
      <c r="C16887" t="n">
        <v>6</v>
      </c>
      <c r="D16887" t="inlineStr">
        <is>
          <t>Arc Volkorne; Amulette du Strigide; Bracelet du Piloztère; Bague Trithon; Quatre-feuilles; Ceinture du Strigide; Masque Trithon; Cape au Logis; Bottes Trithon; Dolmanax; Dofus des Glaces; Dofus Turquoise; Dofus Abyssal; Dofus Ocre; Dofus Ivoire; Kokulte</t>
        </is>
      </c>
    </row>
    <row r="16888">
      <c r="A16888" t="inlineStr">
        <is>
          <t>Zobal F 200</t>
        </is>
      </c>
      <c r="B16888">
        <f>HYPERLINK("https://www.dofusbook.net/fr/equipement/3760036-zobal-f-200/objets", "link")</f>
        <v/>
      </c>
      <c r="C16888" t="n">
        <v>3</v>
      </c>
      <c r="D16888" t="inlineStr">
        <is>
          <t>Hache Téroïde; Amulette du Strigide; Bague Gloursonne; Chevalière du Roi Joueur; Bouclier du Captain Amakna; Ceinture du Strigide; Couronne du Roi Joueur; Cape au Logis; Bottes du Roi Joueur; Dofus Ocre; Dofus Ivoire; Dofus des Glaces; Dofus Pourpre; Dofus Abyssal</t>
        </is>
      </c>
    </row>
    <row r="16889">
      <c r="A16889" t="inlineStr">
        <is>
          <t>Enutrof M 200</t>
        </is>
      </c>
      <c r="B16889">
        <f>HYPERLINK("https://www.dofusbook.net/fr/equipement/3839172-enutrof-m-200/objets", "link")</f>
        <v/>
      </c>
      <c r="C16889" t="n">
        <v>0</v>
      </c>
      <c r="D16889" t="inlineStr">
        <is>
          <t>Bracelet du Piloztère; Anneau Toriété; Quatre-feuilles; Bottes du Chalœil; Dofus Émeraude; Dofus des Glaces; Dofus Turquoise; Dofus Abyssal; Dofus Ocre; Dofus Ivoire; Kokulte</t>
        </is>
      </c>
    </row>
    <row r="16890">
      <c r="A16890" t="inlineStr">
        <is>
          <t>Zobal M 200</t>
        </is>
      </c>
      <c r="B16890">
        <f>HYPERLINK("https://www.dofusbook.net/fr/equipement/3831948-zobal-m-200/objets", "link")</f>
        <v/>
      </c>
      <c r="C16890" t="n">
        <v>3</v>
      </c>
      <c r="D16890" t="inlineStr">
        <is>
          <t>Héqache; Amulette du Strigide; Anneau Chevelu; Anneau des égarés; Bouclier du Captain Amakna; Ceinture du Strigide; Casque des égarés; Cape au Logis; Baleinabottes; Dofus Pourpre; Dofus des Glaces; Dofus Turquoise; Dofus Ivoire; Dolmanax; Dofus Ocre; Kokulte</t>
        </is>
      </c>
    </row>
    <row r="16891">
      <c r="A16891" t="inlineStr">
        <is>
          <t>Enutrof M 200</t>
        </is>
      </c>
      <c r="B16891">
        <f>HYPERLINK("https://www.dofusbook.net/fr/equipement/3821335-enutrof-m-200/objets", "link")</f>
        <v/>
      </c>
      <c r="C16891" t="n">
        <v>0</v>
      </c>
      <c r="D16891" t="inlineStr">
        <is>
          <t>Marteau R'ture; Amulette du Cœur Saignant; Alliance du Lévitrof; Anneau Toriété; Bouclier cubiste; Ceinture Volkorne; Coiffe du Lévitrof; Cape du Cœur Saignant; Bottes du Lévitrof; Tofu Givré</t>
        </is>
      </c>
    </row>
    <row r="16892">
      <c r="A16892" t="inlineStr">
        <is>
          <t>Zobal M 200</t>
        </is>
      </c>
      <c r="B16892">
        <f>HYPERLINK("https://www.dofusbook.net/fr/equipement/3796997-zobal-m-200/objets", "link")</f>
        <v/>
      </c>
      <c r="C16892" t="n">
        <v>3</v>
      </c>
      <c r="D16892" t="inlineStr">
        <is>
          <t>Hache Téroïde; Amulette du Strigide; Anneau Toriété; Chevalière du Roi Joueur; Bouclier cubiste; Ceinture du Strigide; Couronne du Roi Joueur; Voile d'encre; Bottes du Strigide; Dofus Abyssal; Dofus des Glaces; Dofus Ivoire; Dofus Turquoise; Dofus Ocre; Entraveur majeur; Bulbisou</t>
        </is>
      </c>
    </row>
    <row r="16893">
      <c r="A16893" t="inlineStr">
        <is>
          <t>Ecaflip M 200</t>
        </is>
      </c>
      <c r="B16893">
        <f>HYPERLINK("https://www.dofusbook.net/fr/equipement/3812561-ecaflip-m-200/objets", "link")</f>
        <v/>
      </c>
      <c r="C16893" t="n">
        <v>3</v>
      </c>
      <c r="D16893" t="inlineStr">
        <is>
          <t>Lav'Hache; Collier de Tourthon; Bague Trithon; Baguistik; Bouclier d'Ilyzaelle; Ceinture Gence; Masque de Koutoulou; Cape au Logis; Bottistik; Dofus Pourpre; Dofus Abyssal; Dofus Ivoire; Culbuteur majeur; Enragé majeur; Bousculeur majeur; Black Tiwabbit</t>
        </is>
      </c>
    </row>
    <row r="16894">
      <c r="A16894" t="inlineStr">
        <is>
          <t>Ecaflip F 200</t>
        </is>
      </c>
      <c r="B16894">
        <f>HYPERLINK("https://www.dofusbook.net/fr/equipement/3808674-ecaflip-f-200/objets", "link")</f>
        <v/>
      </c>
      <c r="C16894" t="n">
        <v>1</v>
      </c>
      <c r="D16894" t="inlineStr">
        <is>
          <t>Lav'Hache; Torquistik; Bague Trithon; Bracelet du Piloztère; Quatre-feuilles; Ceinture Gence; Masque Trithon; Cape au Logis; Bottistik; Dolmanax; Dofus Abyssal; Dofus Ocre; Dofus Ivoire; Dofus Pourpre; Dofus des Glaces; Black Tiwabbit</t>
        </is>
      </c>
    </row>
    <row r="16895">
      <c r="A16895" t="inlineStr">
        <is>
          <t>Huppermage F 200</t>
        </is>
      </c>
      <c r="B16895">
        <f>HYPERLINK("https://www.dofusbook.net/fr/equipement/3682671-huppermage-f-200/objets", "link")</f>
        <v/>
      </c>
      <c r="C16895" t="n">
        <v>1</v>
      </c>
      <c r="D16895" t="inlineStr">
        <is>
          <t>Sabres d'Atcham; Amulette de l'Œil Putride; Anneau Toriété; Bracelet du Piloztère; Quatre-feuilles; Ceinture de Vortex; Cagoule de Vortex; Cape d'Atcham; Sandales  d'Atcham; Dofus Ocre; Dofus Ivoire; Dofus Pourpre; Dofus des Glaces; Dofus des Veilleurs; Dofus Abyssal; Boskito</t>
        </is>
      </c>
    </row>
    <row r="16896">
      <c r="A16896" t="inlineStr">
        <is>
          <t>Ouginak M 200</t>
        </is>
      </c>
      <c r="B16896">
        <f>HYPERLINK("https://www.dofusbook.net/fr/equipement/3786015-ouginak-m-200/objets", "link")</f>
        <v/>
      </c>
      <c r="C16896" t="n">
        <v>2</v>
      </c>
      <c r="D16896" t="inlineStr">
        <is>
          <t>Lav'Hache; Torquistik; Bague Trithon; Bague Instable; Bouclier précieux; Ceinture Gence; Casque Dragoeuf; Cape Solution; Bottistik; Dofus Abyssal; Dofus Ivoire; Culbuteur; Culbuteur majeur; Pousseur majeur; Bousculeur majeur; Balafreux</t>
        </is>
      </c>
    </row>
    <row r="16897">
      <c r="A16897" t="inlineStr">
        <is>
          <t>Eniripsa M 200</t>
        </is>
      </c>
      <c r="B16897">
        <f>HYPERLINK("https://www.dofusbook.net/fr/equipement/3738204-eniripsa-m-200/objets", "link")</f>
        <v/>
      </c>
      <c r="C16897" t="n">
        <v>1</v>
      </c>
      <c r="D16897" t="inlineStr"/>
    </row>
    <row r="16898">
      <c r="A16898" t="inlineStr">
        <is>
          <t>Ecaflip F 200</t>
        </is>
      </c>
      <c r="B16898">
        <f>HYPERLINK("https://www.dofusbook.net/fr/equipement/3736572-ecaflip-f-200/objets", "link")</f>
        <v/>
      </c>
      <c r="C16898" t="n">
        <v>3</v>
      </c>
      <c r="D16898" t="inlineStr">
        <is>
          <t>Arc du Chalœil; Collier de Tourthon; Bracelet du Piloztère; Anneau de Brouce; Quatre-feuilles; Ceinture de la Reine des Voleurs; Coiffe de la Reine des Voleurs; Cape au Logis; Baleinabottes; Dofus Pourpre; Dofus Abyssal; Dofus Ocre; Dofus Ivoire; Enragé majeur; Culbuteur majeur; Dragodinde Amande et Pourpre</t>
        </is>
      </c>
    </row>
    <row r="16899">
      <c r="A16899" t="inlineStr">
        <is>
          <t>Eliotrope M 200</t>
        </is>
      </c>
      <c r="B16899">
        <f>HYPERLINK("https://www.dofusbook.net/fr/equipement/3731430-eliotrope-m-200/objets", "link")</f>
        <v/>
      </c>
      <c r="C16899" t="n">
        <v>0</v>
      </c>
      <c r="D16899" t="inlineStr">
        <is>
          <t>Arc du Chalœil; Collier de Tourthon; Anneau de Brouce; Bracelet du Piloztère; Quatre-feuilles; Ceinture de la Reine des Voleurs; Coiffe de la Reine des Voleurs; Cape au Logis; Baleinabottes; Dofus Ocre; Dofus Ivoire; Dofus Nébuleux; Dofus Pourpre; Dofus Abyssal; Enragé majeur; Dragodinde Amande et Pourpre</t>
        </is>
      </c>
    </row>
    <row r="16900">
      <c r="A16900" t="inlineStr">
        <is>
          <t>Crâ F 200</t>
        </is>
      </c>
      <c r="B16900">
        <f>HYPERLINK("https://www.dofusbook.net/fr/equipement/3721789-cra-f-200/objets", "link")</f>
        <v/>
      </c>
      <c r="C16900" t="n">
        <v>2</v>
      </c>
      <c r="D16900" t="inlineStr">
        <is>
          <t>Arc du Chalœil; Collier de Tourthon; Bracelet du Piloztère; Anneau de Brouce; Quatre-feuilles; Ceinture de la Reine des Voleurs; Coiffe de la Reine des Voleurs; Cape au Logis; Baleinabottes; Dofus Pourpre; Dofus Abyssal; Dofus Ocre; Dofus Ivoire; Dofus Nébuleux; Enragé majeur; Dragodinde Amande et Pourpre</t>
        </is>
      </c>
    </row>
    <row r="16901">
      <c r="A16901" t="inlineStr">
        <is>
          <t>Enutrof M 200</t>
        </is>
      </c>
      <c r="B16901">
        <f>HYPERLINK("https://www.dofusbook.net/fr/equipement/3589376-enutrof-m-200/objets", "link")</f>
        <v/>
      </c>
      <c r="C16901" t="n">
        <v>2</v>
      </c>
      <c r="D16901" t="inlineStr"/>
    </row>
    <row r="16902">
      <c r="A16902" t="inlineStr">
        <is>
          <t>Enutrof M 200</t>
        </is>
      </c>
      <c r="B16902">
        <f>HYPERLINK("https://www.dofusbook.net/fr/equipement/3697277-enutrof-m-200/objets", "link")</f>
        <v/>
      </c>
      <c r="C16902" t="n">
        <v>1</v>
      </c>
      <c r="D16902" t="inlineStr"/>
    </row>
    <row r="16903">
      <c r="A16903" t="inlineStr">
        <is>
          <t>Roublard F 200</t>
        </is>
      </c>
      <c r="B16903">
        <f>HYPERLINK("https://www.dofusbook.net/fr/equipement/3479580-roublard-f-200/objets", "link")</f>
        <v/>
      </c>
      <c r="C16903" t="n">
        <v>6</v>
      </c>
      <c r="D16903" t="inlineStr">
        <is>
          <t>Marteau des égarés; Amulette du Strigide; Bracelet du Piloztère; Anneau Toriété; Bouclier du Captain Amakna; Ceinture du Strigide; Casque du Chalœil; Cape du Chalœil; Bottes du Chalœil; Dofus Pourpre; Dofus des Glaces; Dofus Turquoise; Dofus Abyssal; Dofus Ivoire; Dofus Ocre; Dragodinde Emeraude et Ivoire</t>
        </is>
      </c>
    </row>
    <row r="16904">
      <c r="A16904" t="inlineStr">
        <is>
          <t>Sacrieur F 200</t>
        </is>
      </c>
      <c r="B16904">
        <f>HYPERLINK("https://www.dofusbook.net/fr/equipement/3690417-sacrieur-f-200/objets", "link")</f>
        <v/>
      </c>
      <c r="C16904" t="n">
        <v>0</v>
      </c>
      <c r="D16904" t="inlineStr"/>
    </row>
    <row r="16905">
      <c r="A16905" t="inlineStr">
        <is>
          <t>Enutrof M 200</t>
        </is>
      </c>
      <c r="B16905">
        <f>HYPERLINK("https://www.dofusbook.net/fr/equipement/3688261-enutrof-m-200/objets", "link")</f>
        <v/>
      </c>
      <c r="C16905" t="n">
        <v>0</v>
      </c>
      <c r="D16905" t="inlineStr"/>
    </row>
    <row r="16906">
      <c r="A16906" t="inlineStr">
        <is>
          <t>Zobal M 200</t>
        </is>
      </c>
      <c r="B16906">
        <f>HYPERLINK("https://www.dofusbook.net/fr/equipement/3672647-zobal-m-200/objets", "link")</f>
        <v/>
      </c>
      <c r="C16906" t="n">
        <v>0</v>
      </c>
      <c r="D16906" t="inlineStr">
        <is>
          <t>Collier de Tourthon; Bracelet du Piloztère; Anneau de Brouce; Bouclier du Captain Amakna; Ceinture de la Reine des Voleurs; Coiffe de la Reine des Voleurs; Cape au Logis; Baleinabottes; Dofus Émeraude; Dofus Pourpre; Dofus Abyssal; Dofus Turquoise; Dofus Ocre; Enragé majeur; Dragodinde Amande et Pourpre</t>
        </is>
      </c>
    </row>
    <row r="16907">
      <c r="A16907" t="inlineStr">
        <is>
          <t>dopou</t>
        </is>
      </c>
      <c r="B16907">
        <f>HYPERLINK("https://www.dofusbook.net/fr/equipement/884226-dopou/objets", "link")</f>
        <v/>
      </c>
      <c r="C16907" t="n">
        <v>4</v>
      </c>
      <c r="D16907" t="inlineStr">
        <is>
          <t>Arc du Chalœil; Amulette Luminescente; Bague Trithon; Baguistik; Bouclier précieux; Ceinture Gence; Masque Trithon; Cape au Logis; Bottes du Cœur Vaillant; Dokoko; Dofus Émeraude; Dofus Abyssal; Bousculeur majeur; Culbuteur majeur; Volkorne Roux</t>
        </is>
      </c>
    </row>
    <row r="16908">
      <c r="A16908" t="inlineStr">
        <is>
          <t>stri</t>
        </is>
      </c>
      <c r="B16908">
        <f>HYPERLINK("https://www.dofusbook.net/fr/equipement/3653080-stri/objets", "link")</f>
        <v/>
      </c>
      <c r="C16908" t="n">
        <v>2</v>
      </c>
      <c r="D16908" t="inlineStr">
        <is>
          <t>Arc Volkorne; Amulette du Strigide; Bracelet du Piloztère; Anneau Volkorne; Quatre-feuilles; Ceinture Volkorne; Casque Volkorne; Dofusteuse; Bottes du Strigide; Volkorne Emeraude</t>
        </is>
      </c>
    </row>
    <row r="16909">
      <c r="A16909" t="inlineStr">
        <is>
          <t>Ecaflip F 200</t>
        </is>
      </c>
      <c r="B16909">
        <f>HYPERLINK("https://www.dofusbook.net/fr/equipement/3612184-ecaflip-f-200/objets", "link")</f>
        <v/>
      </c>
      <c r="C16909" t="n">
        <v>2</v>
      </c>
      <c r="D16909" t="inlineStr">
        <is>
          <t>Marteau des Anciens Steamers; Amulette d'Ilyzaelle; Anneau Toriété; Alliance Gloursonne; Bouclier d'Ilyzaelle; Ceinture de la Reine des Voleurs; Casque d'Ilyzaelle; Dofusteuse; Bottes de la Reine des Voleurs; Dofus Ocre; Dofus Abyssal; Dofus Émeraude; Dofus Ivoire; Dofus Pourpre; Dofus Nébuleux</t>
        </is>
      </c>
    </row>
    <row r="16910">
      <c r="A16910" t="inlineStr">
        <is>
          <t>Sram M 200</t>
        </is>
      </c>
      <c r="B16910">
        <f>HYPERLINK("https://www.dofusbook.net/fr/equipement/3641612-sram-m-200/objets", "link")</f>
        <v/>
      </c>
      <c r="C16910" t="n">
        <v>1</v>
      </c>
      <c r="D16910" t="inlineStr">
        <is>
          <t>Arc du Chalœil; Collier de Tourthon; Anneau de Brouce; Bracelet du Piloztère; Bouclier du Stalak; Ceinture de la Reine des Voleurs; Coiffe de la Reine des Voleurs; Cape au Logis; Baleinabottes; Dofus Ocre; Dofus Abyssal; Dofus Pourpre; Dofus Ivoire; Enragé majeur; Dragodinde Amande et Pourpre</t>
        </is>
      </c>
    </row>
    <row r="16911">
      <c r="A16911" t="inlineStr">
        <is>
          <t>Sram M 200</t>
        </is>
      </c>
      <c r="B16911">
        <f>HYPERLINK("https://www.dofusbook.net/fr/equipement/3643968-sram-m-200/objets", "link")</f>
        <v/>
      </c>
      <c r="C16911" t="n">
        <v>1</v>
      </c>
      <c r="D16911" t="inlineStr"/>
    </row>
    <row r="16912">
      <c r="A16912" t="inlineStr">
        <is>
          <t>Crâ F 200</t>
        </is>
      </c>
      <c r="B16912">
        <f>HYPERLINK("https://www.dofusbook.net/fr/equipement/3535612-cra-f-200/objets", "link")</f>
        <v/>
      </c>
      <c r="C16912" t="n">
        <v>4</v>
      </c>
      <c r="D16912" t="inlineStr">
        <is>
          <t>Arc du Chalœil; Collier de Tourthon; Baguistik; Anneau de Brouce; Bouclier du Stalak; Ceinture de la Reine des Voleurs; Coiffe de la Reine des Voleurs; Cape au Logis; Baleinabottes; Dofus Nébuleux; Dofus Ocre; Dofus Abyssal; Dofus Turquoise; Dofus Ivoire; Enragé majeur; Dragodinde Prune et Pourpre</t>
        </is>
      </c>
    </row>
    <row r="16913">
      <c r="A16913" t="inlineStr">
        <is>
          <t>Zobal M 200</t>
        </is>
      </c>
      <c r="B16913">
        <f>HYPERLINK("https://www.dofusbook.net/fr/equipement/3627655-zobal-m-200/objets", "link")</f>
        <v/>
      </c>
      <c r="C16913" t="n">
        <v>4</v>
      </c>
      <c r="D16913" t="inlineStr">
        <is>
          <t>Manthache; Collier du Valet Veinard; Anneau Toriété; Gant du Valet Veinard; Bouclier du Stalak; Menoture; Casque Dragoeuf; Cape Indescriptible; Palmes Trithons; Dofus Pourpre; Dofus Ivoire; Dofus Ocre; Dofus Abyssal; Carapace Air majeur; Cascadeur majeur; Dragodinde Ebène et Ivoire</t>
        </is>
      </c>
    </row>
    <row r="16914">
      <c r="A16914" t="inlineStr">
        <is>
          <t>Enutrof M 200</t>
        </is>
      </c>
      <c r="B16914">
        <f>HYPERLINK("https://www.dofusbook.net/fr/equipement/3612046-enutrof-m-200/objets", "link")</f>
        <v/>
      </c>
      <c r="C16914" t="n">
        <v>1</v>
      </c>
      <c r="D16914" t="inlineStr">
        <is>
          <t>Arc de Koutoulou; Amulette Voldelor; Anneau Toriété; Anneau Volkorne; Bouclier du Stalak; Ceintacé; Casque Volkorne; Dofusteuse; Bottes Voldelor; Dofus Nébuleux; Dofus Ocre; Dofus Abyssal; Dofus des Glaces; Dofus Ivoire; Dofus Pourpre; Dragodinde Amande et Ivoire</t>
        </is>
      </c>
    </row>
    <row r="16915">
      <c r="A16915" t="inlineStr">
        <is>
          <t>Ouginak M 200</t>
        </is>
      </c>
      <c r="B16915">
        <f>HYPERLINK("https://www.dofusbook.net/fr/equipement/3430199-ouginak-m-200/objets", "link")</f>
        <v/>
      </c>
      <c r="C16915" t="n">
        <v>1</v>
      </c>
      <c r="D16915" t="inlineStr">
        <is>
          <t>Marteau R'ture; Collier de Tourthon; Baguistik; Anneau de Brouce; Bouclier d'Ilyzaelle; Ceinture de la Reine des Voleurs; Coiffe de la Reine des Voleurs; Cape au Logis; Baleinabottes; Dofus Ivoire; Dofus Turquoise; Dofus Émeraude; Dofus Ocre; Dofus Abyssal; Enragé majeur; Dragodinde Amande et Pourpre</t>
        </is>
      </c>
    </row>
    <row r="16916">
      <c r="A16916" t="inlineStr">
        <is>
          <t>Pandawa M 200</t>
        </is>
      </c>
      <c r="B16916">
        <f>HYPERLINK("https://www.dofusbook.net/fr/equipement/3560957-pandawa-m-200/objets", "link")</f>
        <v/>
      </c>
      <c r="C16916" t="n">
        <v>1</v>
      </c>
      <c r="D16916" t="inlineStr">
        <is>
          <t>Arc du Chalœil; Collier de Tourthon; Baguistik; Anneau de Brouce; Quatre-feuilles; Ceinture de la Reine des Voleurs; Coiffe de la Reine des Voleurs; Cape au Logis; Baleinabottes; Dofus Turquoise; Dofus Ocre; Dofus Abyssal; Dofus Pourpre; Dofus Ivoire; Enragé majeur; Dragodinde Amande et Pourpre</t>
        </is>
      </c>
    </row>
    <row r="16917">
      <c r="A16917" t="inlineStr">
        <is>
          <t>Ecaflip F 200</t>
        </is>
      </c>
      <c r="B16917">
        <f>HYPERLINK("https://www.dofusbook.net/fr/equipement/3535559-ecaflip-f-200/objets", "link")</f>
        <v/>
      </c>
      <c r="C16917" t="n">
        <v>3</v>
      </c>
      <c r="D16917" t="inlineStr">
        <is>
          <t>Baguette des égarés; Amulette du Nocturlabe; Anneau en Grithril; Anneau Volkorne; Quatre-feuilles; Ceinture Volkorne; Le Dorado; Cape au Logis; Bottes du Nocturlabe; Dofus Pourpre; Dofus Abyssal; Dofus des Glaces; Dofus Ivoire; Dolmanax; Dofus Ocre; Dragodinde Ivoire et Pourpre</t>
        </is>
      </c>
    </row>
    <row r="16918">
      <c r="A16918" t="inlineStr">
        <is>
          <t>Ouginak M 200</t>
        </is>
      </c>
      <c r="B16918">
        <f>HYPERLINK("https://www.dofusbook.net/fr/equipement/3427016-ouginak-m-200/objets", "link")</f>
        <v/>
      </c>
      <c r="C16918" t="n">
        <v>2</v>
      </c>
      <c r="D16918" t="inlineStr"/>
    </row>
    <row r="16919">
      <c r="A16919" t="inlineStr">
        <is>
          <t>Enutrof M 200</t>
        </is>
      </c>
      <c r="B16919">
        <f>HYPERLINK("https://www.dofusbook.net/fr/equipement/3573678-enutrof-m-200/objets", "link")</f>
        <v/>
      </c>
      <c r="C16919" t="n">
        <v>4</v>
      </c>
      <c r="D16919" t="inlineStr">
        <is>
          <t>Épée Brûlâme; Amulette de l'Œil Putride; Bracelet du Piloztère; Anneau Toriété; Ceintrigue; Capuche de l'Œil Putride; Cape de l'Œil Putride; Bottes Owesli; Dofus Ocre; Dofus Ivoire; Dofus Pourpre; Dofus des Glaces; Dofus Turquoise; Dofus Abyssal; Dragodinde Emeraude et Ivoire</t>
        </is>
      </c>
    </row>
    <row r="16920">
      <c r="A16920" t="inlineStr">
        <is>
          <t>Sadida M 200</t>
        </is>
      </c>
      <c r="B16920">
        <f>HYPERLINK("https://www.dofusbook.net/fr/equipement/3564438-sadida-m-200/objets", "link")</f>
        <v/>
      </c>
      <c r="C16920" t="n">
        <v>1</v>
      </c>
      <c r="D16920" t="inlineStr">
        <is>
          <t>Dagues Érhy; Amulette Volcanique; Anneau Chevelu; Chevalière du Roi Joueur; Bouclier cubiste; Ceinture Volkorne; Couronne du Roi Joueur; Cape au Logis; Baleinabottes; Dofus Abyssal; Dofus Ivoire; Dofus Pourpre; Remueur; Enragé majeur; Temporiseur majeur; Dragodinde Amande et Pourpre</t>
        </is>
      </c>
    </row>
    <row r="16921">
      <c r="A16921" t="inlineStr">
        <is>
          <t>Xélor M 200</t>
        </is>
      </c>
      <c r="B16921">
        <f>HYPERLINK("https://www.dofusbook.net/fr/equipement/3564325-xelor-m-200/objets", "link")</f>
        <v/>
      </c>
      <c r="C16921" t="n">
        <v>2</v>
      </c>
      <c r="D16921" t="inlineStr">
        <is>
          <t>Marteau R'ture; Collier de Tourthon; Anneau de Brouce; Anneau Crustique; Bouclier du Captain Amakna; Ceintouse; Chapoulpe; Cape au Logis; Baleinabottes</t>
        </is>
      </c>
    </row>
    <row r="16922">
      <c r="A16922" t="inlineStr">
        <is>
          <t>Steamer F 200</t>
        </is>
      </c>
      <c r="B16922">
        <f>HYPERLINK("https://www.dofusbook.net/fr/equipement/3558320-steamer-f-200/objets", "link")</f>
        <v/>
      </c>
      <c r="C16922" t="n">
        <v>0</v>
      </c>
      <c r="D16922" t="inlineStr"/>
    </row>
    <row r="16923">
      <c r="A16923" t="inlineStr">
        <is>
          <t>Stuff 2</t>
        </is>
      </c>
      <c r="B16923">
        <f>HYPERLINK("https://www.dofusbook.net/fr/equipement/1351882-stuff-2/objets", "link")</f>
        <v/>
      </c>
      <c r="C16923" t="n">
        <v>0</v>
      </c>
      <c r="D16923" t="inlineStr">
        <is>
          <t>Lav'Hache; Collier de Tourthon; Anneau de Brouce; Baguistik; Quatre-feuilles; Ceinture de la Reine des Voleurs; Coiffe de la Reine des Voleurs; Cape au Logis; Baleinabottes; Dofus des Glaces; Dofus Abyssal; Dofus Pourpre; Dofus Ivoire; Dofus Ocre; Enragé majeur; Dragodinde Prune et Pourpre</t>
        </is>
      </c>
    </row>
    <row r="16924">
      <c r="A16924" t="inlineStr">
        <is>
          <t>Sram M 200</t>
        </is>
      </c>
      <c r="B16924">
        <f>HYPERLINK("https://www.dofusbook.net/fr/equipement/3546338-sram-m-200/objets", "link")</f>
        <v/>
      </c>
      <c r="C16924" t="n">
        <v>0</v>
      </c>
      <c r="D16924" t="inlineStr"/>
    </row>
    <row r="16925">
      <c r="A16925" t="inlineStr">
        <is>
          <t>Enutrof M 200</t>
        </is>
      </c>
      <c r="B16925">
        <f>HYPERLINK("https://www.dofusbook.net/fr/equipement/3546323-enutrof-m-200/objets", "link")</f>
        <v/>
      </c>
      <c r="C16925" t="n">
        <v>0</v>
      </c>
      <c r="D16925" t="inlineStr"/>
    </row>
    <row r="16926">
      <c r="A16926" t="inlineStr">
        <is>
          <t>Pandawa F 200</t>
        </is>
      </c>
      <c r="B16926">
        <f>HYPERLINK("https://www.dofusbook.net/fr/equipement/3535550-pandawa-f-200/objets", "link")</f>
        <v/>
      </c>
      <c r="C16926" t="n">
        <v>0</v>
      </c>
      <c r="D16926" t="inlineStr">
        <is>
          <t>Baguette Héroclite; Amulette de Shokkoth; Anneau Volkorne; Anneau Toriété; Bouclier du Stalak; Poulpagne; Capuche de l'Œil Attentif; Cape de l'Œil Attentif; Bottes du Nocturlabe; Dofus Pourpre; Dofus Abyssal; Dofus Ivoire; Chanceux majeur; Vigoureux majeur; Remueur; Dragodinde Prune et Indigo</t>
        </is>
      </c>
    </row>
    <row r="16927">
      <c r="A16927" t="inlineStr">
        <is>
          <t>Roublard M 200</t>
        </is>
      </c>
      <c r="B16927">
        <f>HYPERLINK("https://www.dofusbook.net/fr/equipement/3505729-roublard-m-200/objets", "link")</f>
        <v/>
      </c>
      <c r="C16927" t="n">
        <v>2</v>
      </c>
      <c r="D16927" t="inlineStr">
        <is>
          <t>Talisman Igans; Lavanneau; Anneau Toriété; Bouclier du Cycloïde; Ceintrigue; Masque de l'Esprit Malsain; Cape de la Dame du Hasard; Pataugastrique; Dofus des Glaces; Dofus Abyssal; Dofus Pourpre; Dofus Ivoire; Vigoureux majeur; Remueur; Dragodinde Prune et Ivoire</t>
        </is>
      </c>
    </row>
    <row r="16928">
      <c r="A16928" t="inlineStr">
        <is>
          <t>Roublard F 200</t>
        </is>
      </c>
      <c r="B16928">
        <f>HYPERLINK("https://www.dofusbook.net/fr/equipement/3535618-roublard-f-200/objets", "link")</f>
        <v/>
      </c>
      <c r="C16928" t="n">
        <v>1</v>
      </c>
      <c r="D16928" t="inlineStr"/>
    </row>
    <row r="16929">
      <c r="A16929" t="inlineStr">
        <is>
          <t>Enutrof M 200</t>
        </is>
      </c>
      <c r="B16929">
        <f>HYPERLINK("https://www.dofusbook.net/fr/equipement/3535611-enutrof-m-200/objets", "link")</f>
        <v/>
      </c>
      <c r="C16929" t="n">
        <v>0</v>
      </c>
      <c r="D16929" t="inlineStr"/>
    </row>
    <row r="16930">
      <c r="A16930" t="inlineStr">
        <is>
          <t>Iop M 200</t>
        </is>
      </c>
      <c r="B16930">
        <f>HYPERLINK("https://www.dofusbook.net/fr/equipement/3535599-iop-m-200/objets", "link")</f>
        <v/>
      </c>
      <c r="C16930" t="n">
        <v>0</v>
      </c>
      <c r="D16930" t="inlineStr"/>
    </row>
    <row r="16931">
      <c r="A16931" t="inlineStr">
        <is>
          <t>Steamer F 200</t>
        </is>
      </c>
      <c r="B16931">
        <f>HYPERLINK("https://www.dofusbook.net/fr/equipement/3535556-steamer-f-200/objets", "link")</f>
        <v/>
      </c>
      <c r="C16931" t="n">
        <v>0</v>
      </c>
      <c r="D16931" t="inlineStr"/>
    </row>
    <row r="16932">
      <c r="A16932" t="inlineStr">
        <is>
          <t>Steamer M 200</t>
        </is>
      </c>
      <c r="B16932">
        <f>HYPERLINK("https://www.dofusbook.net/fr/equipement/3523240-steamer-m-200/objets", "link")</f>
        <v/>
      </c>
      <c r="C16932" t="n">
        <v>0</v>
      </c>
      <c r="D16932" t="inlineStr">
        <is>
          <t>Arc Volkorne; Amulette du Strigide; Anneau Toriété; Anneau Volkorne; Quatre-feuilles; Ceinture du Strigide; Casque du Chalœil; Cape du Chalœil; Bottes du Strigide; Dofus Turquoise; Dofus Abyssal; Dofus Ocre; Dofus Ivoire; Dofus Pourpre; Dofus des Glaces; Dragodinde Prune et Ivoire</t>
        </is>
      </c>
    </row>
    <row r="16933">
      <c r="A16933" t="inlineStr">
        <is>
          <t>Enutrof M 200</t>
        </is>
      </c>
      <c r="B16933">
        <f>HYPERLINK("https://www.dofusbook.net/fr/equipement/3523239-enutrof-m-200/objets", "link")</f>
        <v/>
      </c>
      <c r="C16933" t="n">
        <v>0</v>
      </c>
      <c r="D16933" t="inlineStr"/>
    </row>
    <row r="16934">
      <c r="A16934" t="inlineStr">
        <is>
          <t>Ouginak M 200</t>
        </is>
      </c>
      <c r="B16934">
        <f>HYPERLINK("https://www.dofusbook.net/fr/equipement/3520236-ouginak-m-200/objets", "link")</f>
        <v/>
      </c>
      <c r="C16934" t="n">
        <v>1</v>
      </c>
      <c r="D16934" t="inlineStr">
        <is>
          <t>Lav'Hache; Collier de Tourthon; Anneau de Brouce; Baguistik; Bouclier d'Ilyzaelle; Ceinture de la Reine des Voleurs; Coiffe de la Reine des Voleurs; Cape au Logis; Baleinabottes; Dofus Pourpre; Dofus Abyssal; Dofus des Glaces; Dofus Ivoire; Enragé majeur; Remueur; Dragodinde Ivoire et Pourpre</t>
        </is>
      </c>
    </row>
    <row r="16935">
      <c r="A16935" t="inlineStr">
        <is>
          <t>Roublard F 200</t>
        </is>
      </c>
      <c r="B16935">
        <f>HYPERLINK("https://www.dofusbook.net/fr/equipement/3514358-roublard-f-200/objets", "link")</f>
        <v/>
      </c>
      <c r="C16935" t="n">
        <v>1</v>
      </c>
      <c r="D16935" t="inlineStr"/>
    </row>
    <row r="16936">
      <c r="A16936" t="inlineStr">
        <is>
          <t>Féca M 200</t>
        </is>
      </c>
      <c r="B16936">
        <f>HYPERLINK("https://www.dofusbook.net/fr/equipement/3514357-feca-m-200/objets", "link")</f>
        <v/>
      </c>
      <c r="C16936" t="n">
        <v>1</v>
      </c>
      <c r="D16936" t="inlineStr"/>
    </row>
    <row r="16937">
      <c r="A16937" t="inlineStr">
        <is>
          <t>Ouginak F 200</t>
        </is>
      </c>
      <c r="B16937">
        <f>HYPERLINK("https://www.dofusbook.net/fr/equipement/3505979-ouginak-f-200/objets", "link")</f>
        <v/>
      </c>
      <c r="C16937" t="n">
        <v>0</v>
      </c>
      <c r="D16937" t="inlineStr"/>
    </row>
    <row r="16938">
      <c r="A16938" t="inlineStr">
        <is>
          <t>eau</t>
        </is>
      </c>
      <c r="B16938">
        <f>HYPERLINK("https://www.dofusbook.net/fr/equipement/1447727-eau/objets", "link")</f>
        <v/>
      </c>
      <c r="C16938" t="n">
        <v>0</v>
      </c>
      <c r="D16938" t="inlineStr">
        <is>
          <t>Arc du Chalœil; Collier de Tourthon; Baguistik; Anneau de Brouce; Bouclier du Stalak; Ceinture de la Reine des Voleurs; Coiffe de la Reine des Voleurs; Cape au Logis; Baleinabottes; Dofus Pourpre; Dofus Ivoire; Dofus des Glaces; Dofus Abyssal; Enragé majeur; Remueur; Dragodinde Prune et Pourpre</t>
        </is>
      </c>
    </row>
    <row r="16939">
      <c r="A16939" t="inlineStr">
        <is>
          <t>Gui</t>
        </is>
      </c>
      <c r="B16939">
        <f>HYPERLINK("https://www.dofusbook.net/fr/equipement/3130312-gui/objets", "link")</f>
        <v/>
      </c>
      <c r="C16939" t="n">
        <v>0</v>
      </c>
      <c r="D16939" t="inlineStr">
        <is>
          <t>Arc du Chalœil; Collier de Tourthon; Anneau de Brouce; Baguistik; Bouclier du Stalak; Ceinture de la Reine des Voleurs; Coiffe de la Reine des Voleurs; Cape au Logis; Baleinabottes; Dofus Abyssal; Dofus Pourpre; Dofus Ivoire; Dofus des Glaces; Remueur; Enragé majeur; Dragodinde Prune et Pourpre</t>
        </is>
      </c>
    </row>
    <row r="16940">
      <c r="A16940" t="inlineStr">
        <is>
          <t>Enutrof M 200</t>
        </is>
      </c>
      <c r="B16940">
        <f>HYPERLINK("https://www.dofusbook.net/fr/equipement/3505917-enutrof-m-200/objets", "link")</f>
        <v/>
      </c>
      <c r="C16940" t="n">
        <v>0</v>
      </c>
      <c r="D16940" t="inlineStr">
        <is>
          <t>Arc du Chalœil; Collier de Tourthon; Anneau de Brouce; Baguistik; Bouclier du Stalak; Ceinture de la Reine des Voleurs; Coiffe de la Reine des Voleurs; Cape au Logis; Baleinabottes; Dofus Pourpre; Dofus Ivoire; Dofus des Glaces; Dofus Abyssal; Enragé majeur; Remueur; Dragodinde Prune et Pourpre</t>
        </is>
      </c>
    </row>
    <row r="16941">
      <c r="A16941" t="inlineStr">
        <is>
          <t>Roublard M 200</t>
        </is>
      </c>
      <c r="B16941">
        <f>HYPERLINK("https://www.dofusbook.net/fr/equipement/3505617-roublard-m-200/objets", "link")</f>
        <v/>
      </c>
      <c r="C16941" t="n">
        <v>0</v>
      </c>
      <c r="D16941" t="inlineStr">
        <is>
          <t>Amulette de l'Œil Putride; Bouclier du Stalak; Capuche de l'Œil Putride; Cape de l'Œil Putride; Dofus des Glaces; Dofus Abyssal; Dofus Pourpre; Dofus Ivoire</t>
        </is>
      </c>
    </row>
    <row r="16942">
      <c r="A16942" t="inlineStr">
        <is>
          <t>Roublard F 200</t>
        </is>
      </c>
      <c r="B16942">
        <f>HYPERLINK("https://www.dofusbook.net/fr/equipement/3479445-roublard-f-200/objets", "link")</f>
        <v/>
      </c>
      <c r="C16942" t="n">
        <v>0</v>
      </c>
      <c r="D16942" t="inlineStr">
        <is>
          <t>Baguette des égarés; Amulette du Nocturlabe; Anneau Volkorne; Anneau en Grithril; Bouclier du Stalak; Ceinture Volkorne; Le Dorado; Cape au Logis; Bottes du Nocturlabe; Dofus des Glaces; Dofus Ivoire; Dolmanax; Dofus Ocre; Dofus Pourpre; Dofus Abyssal; Dragodinde Ivoire et Pourpre</t>
        </is>
      </c>
    </row>
    <row r="16943">
      <c r="A16943" t="inlineStr">
        <is>
          <t>Roublard F 200</t>
        </is>
      </c>
      <c r="B16943">
        <f>HYPERLINK("https://www.dofusbook.net/fr/equipement/3501808-roublard-f-200/objets", "link")</f>
        <v/>
      </c>
      <c r="C16943" t="n">
        <v>2</v>
      </c>
      <c r="D16943" t="inlineStr">
        <is>
          <t>Baguette des égarés; Amulette du Nocturlabe; Anneau en Grithril; Anneau Volkorne; Bouclier du Stalak; Ceinture Volkorne; Le Dorado; Cape au Logis; Bottes du Nocturlabe; Dofus Pourpre; Dofus Abyssal; Dofus Ocre; Dofus Ivoire; Dolmanax; Dofus des Glaces; Dragodinde Ivoire et Pourpre</t>
        </is>
      </c>
    </row>
    <row r="16944">
      <c r="A16944" t="inlineStr">
        <is>
          <t>Féca M 200</t>
        </is>
      </c>
      <c r="B16944">
        <f>HYPERLINK("https://www.dofusbook.net/fr/equipement/3427015-feca-m-200/objets", "link")</f>
        <v/>
      </c>
      <c r="C16944" t="n">
        <v>0</v>
      </c>
      <c r="D16944" t="inlineStr"/>
    </row>
    <row r="16945">
      <c r="A16945" t="inlineStr">
        <is>
          <t>Enutrof M 200</t>
        </is>
      </c>
      <c r="B16945">
        <f>HYPERLINK("https://www.dofusbook.net/fr/equipement/3370655-enutrof-m-200/objets", "link")</f>
        <v/>
      </c>
      <c r="C16945" t="n">
        <v>0</v>
      </c>
      <c r="D16945" t="inlineStr">
        <is>
          <t>Baguette Héroclite; Amulette de Shokkoth; Alliance Gloursonne; Pikano; Quatre-feuilles; Poulpagne; Casquette de Meno; Cape de Mantaze; Bottes de Meno</t>
        </is>
      </c>
    </row>
    <row r="16946">
      <c r="A16946" t="inlineStr">
        <is>
          <t>Ecaflip M 200</t>
        </is>
      </c>
      <c r="B16946">
        <f>HYPERLINK("https://www.dofusbook.net/fr/equipement/3370652-ecaflip-m-200/objets", "link")</f>
        <v/>
      </c>
      <c r="C16946" t="n">
        <v>0</v>
      </c>
      <c r="D16946" t="inlineStr"/>
    </row>
    <row r="16947">
      <c r="A16947" t="inlineStr">
        <is>
          <t>Eliotrope F 200</t>
        </is>
      </c>
      <c r="B16947">
        <f>HYPERLINK("https://www.dofusbook.net/fr/equipement/3319754-eliotrope-f-200/objets", "link")</f>
        <v/>
      </c>
      <c r="C16947" t="n">
        <v>0</v>
      </c>
      <c r="D16947" t="inlineStr">
        <is>
          <t>Dagoulinantes; Amulette de Shokkoth; Alliance Gloursonne; Bracelet des Fonds marins; Quatre-feuilles; Poulpagne; Casque Dragoeuf; Cape de Mantaze; Sandales des Fonds marins; Dofus Pourpre; Dofus Abyssal; Dofus Ocre; Dofus des Glaces; Chanceux majeur; Muldo Indigo</t>
        </is>
      </c>
    </row>
    <row r="16948">
      <c r="A16948" t="inlineStr">
        <is>
          <t>final stuff</t>
        </is>
      </c>
      <c r="B16948">
        <f>HYPERLINK("https://www.dofusbook.net/fr/equipement/1562111-final-stuff/objets", "link")</f>
        <v/>
      </c>
      <c r="C16948" t="n">
        <v>1</v>
      </c>
      <c r="D16948" t="inlineStr">
        <is>
          <t>Sabres d'Atcham; Pendentif mignon de Koutoulou; Anneau de XLII; Anneau Rifique; Quatre-feuilles; Ceinture de XLII; Casque Cyclopéen; Cape d'Atcham; Sandales  d'Atcham; Dofus Ocre; Dofus Abyssal; Dofus des Glaces; Dokoko; Dofus Turquoise; Dofus Pourpre; Muldo Prune et Doré</t>
        </is>
      </c>
    </row>
    <row r="16949">
      <c r="A16949" t="inlineStr">
        <is>
          <t>feu low level</t>
        </is>
      </c>
      <c r="B16949">
        <f>HYPERLINK("https://www.dofusbook.net/fr/equipement/2284897-feu-low-level/objets", "link")</f>
        <v/>
      </c>
      <c r="C16949" t="n">
        <v>0</v>
      </c>
      <c r="D16949" t="inlineStr">
        <is>
          <t>L'Épée Nice; Porte-Malheur du Nowel Cauchemardesque; Gelano; Alliance Gloursonne; Cadran d'Air; Ceinture de XLII; Couronne d'Allister; Cape Matelassée; Bottes de XLII; Dokoko; Dofus Émeraude; Cascadeur majeur; Miraculé majeur; Remueur; Dévastateur Air majeur; Muldo Indigo et Pourpre</t>
        </is>
      </c>
    </row>
    <row r="16950">
      <c r="A16950" t="inlineStr">
        <is>
          <t>current goal</t>
        </is>
      </c>
      <c r="B16950">
        <f>HYPERLINK("https://www.dofusbook.net/fr/equipement/2673989-current-goal/objets", "link")</f>
        <v/>
      </c>
      <c r="C16950" t="n">
        <v>1</v>
      </c>
      <c r="D16950" t="inlineStr">
        <is>
          <t>Collier du Valet Veinard; Gant du Valet Veinard; Alliance Gloursonne; Cadran d'Air; Ceinture du Barbétoal; Couronne d'Allister; Cape Matelassée; Chaussures Face; Dofus Émeraude; Dokoko; Dévastateur Air majeur; Cascadeur majeur; Remueur; Muldo Indigo</t>
        </is>
      </c>
    </row>
    <row r="16951">
      <c r="A16951" t="inlineStr">
        <is>
          <t>wtf resist</t>
        </is>
      </c>
      <c r="B16951">
        <f>HYPERLINK("https://www.dofusbook.net/fr/equipement/3166316-wtf-resist/objets", "link")</f>
        <v/>
      </c>
      <c r="C16951" t="n">
        <v>0</v>
      </c>
      <c r="D16951" t="inlineStr">
        <is>
          <t>L'Épée Nice; Amulette du Strigide; Anneau de XLII; Alliance Gloursonne; Bouclier d'Anerice; Ceinture du Strigide; Masque d'Anerice; Cape d'Anerice; Bottes de XLII; Dofus Ocre; Dofus Pourpre; Dofus des Glaces; Dofus Abyssal; Dofus Turquoise; Dofus Ivoire; Kramkram</t>
        </is>
      </c>
    </row>
    <row r="16952">
      <c r="A16952" t="inlineStr">
        <is>
          <t>terre</t>
        </is>
      </c>
      <c r="B16952">
        <f>HYPERLINK("https://www.dofusbook.net/fr/equipement/3135564-terre/objets", "link")</f>
        <v/>
      </c>
      <c r="C16952" t="n">
        <v>0</v>
      </c>
      <c r="D16952" t="inlineStr">
        <is>
          <t>Lav'Hache; Collier de Tourthon; Bague Gloursonne; Bracelet du Piloztère; Ambrouclier; Ceinture de la Cour Sombre; Masque de Koutoulou; Cape du Cœur Saignant; Bottes de la Cour Sombre</t>
        </is>
      </c>
    </row>
    <row r="16953">
      <c r="A16953" t="inlineStr">
        <is>
          <t>sdfsdf</t>
        </is>
      </c>
      <c r="B16953">
        <f>HYPERLINK("https://www.dofusbook.net/fr/equipement/1516617-sdfsdf/objets", "link")</f>
        <v/>
      </c>
      <c r="C16953" t="n">
        <v>0</v>
      </c>
      <c r="D16953" t="inlineStr">
        <is>
          <t>Marteau R'ture; Amulette du Strigide; Bague Gloursonne; Bague Trithon; Bouclier précieux; Ceinture du Strigide; Masque Trithon; Voile d'encre; Bottes Trithon; Dokoko; Dofus Ocre; Dofus Pourpre; Dofus des Glaces; Dofus Turquoise; Bousculeur majeur; Muldo Prune et Pourpre</t>
        </is>
      </c>
    </row>
    <row r="16954">
      <c r="A16954" t="inlineStr">
        <is>
          <t>terre air opti</t>
        </is>
      </c>
      <c r="B16954">
        <f>HYPERLINK("https://www.dofusbook.net/fr/equipement/3128982-terre-air-opti/objets", "link")</f>
        <v/>
      </c>
      <c r="C16954" t="n">
        <v>5</v>
      </c>
      <c r="D16954" t="inlineStr">
        <is>
          <t>Hache Ériphe; Collier du Valet Veinard; Alliance Gloursonne; Gant du Valet Veinard; Bouclier du Stalak; Ceinture de la Reine des Voleurs; Coiffe de la Reine des Voleurs; Cape du Valet Veinard; Bottes de la Reine des Voleurs; Dofus Ocre; Dofus Pourpre; Dofus des Glaces; Dofus Abyssal; Dofus Ivoire; Dokoko; Muldo Ebène et Orchidée</t>
        </is>
      </c>
    </row>
    <row r="16955">
      <c r="A16955" t="inlineStr">
        <is>
          <t>Eau</t>
        </is>
      </c>
      <c r="B16955">
        <f>HYPERLINK("https://www.dofusbook.net/fr/equipement/3128851-eau/objets", "link")</f>
        <v/>
      </c>
      <c r="C16955" t="n">
        <v>0</v>
      </c>
      <c r="D16955" t="inlineStr">
        <is>
          <t>Baguette Héroclite; Amulette de Shokkoth; Bracelet des Fonds marins; Alliance Gloursonne; Bouclier du Stalak; Ceinture de la Reine des Voleurs; Kidibonnet; Cape de Mantaze; Bottes de la Reine des Voleurs; Dofus Pourpre; Dofus Abyssal; Dofus Ocre; Dofus des Glaces; Chanceux majeur; Dévastateur Eau majeur; Muldo Indigo et Pourpre</t>
        </is>
      </c>
    </row>
    <row r="16956">
      <c r="A16956" t="inlineStr">
        <is>
          <t>Terre</t>
        </is>
      </c>
      <c r="B16956">
        <f>HYPERLINK("https://www.dofusbook.net/fr/equipement/3128714-terre/objets", "link")</f>
        <v/>
      </c>
      <c r="C16956" t="n">
        <v>1</v>
      </c>
      <c r="D16956" t="inlineStr">
        <is>
          <t>Arc du Chalœil; Collier de Tourthon; Anneau de Brouce; Bracelet du Piloztère; Bouclier du Stalak; Ceinture de la Reine des Voleurs; Coiffe de la Reine des Voleurs; Cape au Logis; Bottes de la Cour Sombre; Dofus Ocre; Dofus des Glaces; Dofus Pourpre; Dofus Abyssal; Remueur; Enragé majeur; Pioute vert</t>
        </is>
      </c>
    </row>
    <row r="16957">
      <c r="A16957" t="inlineStr">
        <is>
          <t>terre air</t>
        </is>
      </c>
      <c r="B16957">
        <f>HYPERLINK("https://www.dofusbook.net/fr/equipement/1447903-terre-air/objets", "link")</f>
        <v/>
      </c>
      <c r="C16957" t="n">
        <v>1</v>
      </c>
      <c r="D16957" t="inlineStr">
        <is>
          <t>Épée de la Reine des Voleurs; Collier du Valet Veinard; Gant du Valet Veinard; Bracelet du Piloztère; Bouclier du Stalak; Ceinture de la Reine des Voleurs; Coiffe de la Reine des Voleurs; Cape du Valet Veinard; Bottes de la Reine des Voleurs; Dokoko; Dofus Ocre; Dofus Pourpre; Dofus des Glaces; Dofus Argenté; Dofus Émeraude; Muldo Ebène</t>
        </is>
      </c>
    </row>
    <row r="16958">
      <c r="A16958" t="inlineStr">
        <is>
          <t>Nouveau</t>
        </is>
      </c>
      <c r="B16958">
        <f>HYPERLINK("https://www.dofusbook.net/fr/equipement/2039333-nouveau/objets", "link")</f>
        <v/>
      </c>
      <c r="C16958" t="n">
        <v>0</v>
      </c>
      <c r="D16958" t="inlineStr"/>
    </row>
    <row r="16959">
      <c r="A16959" t="inlineStr">
        <is>
          <t>feu eau</t>
        </is>
      </c>
      <c r="B16959">
        <f>HYPERLINK("https://www.dofusbook.net/fr/equipement/2090718-feu-eau/objets", "link")</f>
        <v/>
      </c>
      <c r="C16959" t="n">
        <v>1</v>
      </c>
      <c r="D16959" t="inlineStr">
        <is>
          <t>Épée Brûlâme; Talisman Igans; Bracelet du Piloztère; Lavanneau; Quatre-feuilles; Ceinture de l'Esprit Malsain; Casqnoar; Cape de la Dame du Hasard; Bottes de la Dame du Hasard; Dofus Turquoise; Dofus des Glaces; Dofus Ocre; Dofus Pourpre; Vigoureux majeur; Remueur; Muldo Prune et Orchidée</t>
        </is>
      </c>
    </row>
    <row r="16960">
      <c r="A16960" t="inlineStr">
        <is>
          <t>feu</t>
        </is>
      </c>
      <c r="B16960">
        <f>HYPERLINK("https://www.dofusbook.net/fr/equipement/153619-feu/objets", "link")</f>
        <v/>
      </c>
      <c r="C16960" t="n">
        <v>0</v>
      </c>
      <c r="D16960" t="inlineStr">
        <is>
          <t>Baguette de Malléfisk; Pendentif affamé; Anneauræus; Anneau Rifique; Ceinture de Gein; Casque Cyclopéen; Cape de Diondin; Bottes Innommables; Dokoko; Dolmanax; Observateur; Astucieux majeur; Remueur; Érudit majeur; Muldo Orchidée et Pourpre</t>
        </is>
      </c>
    </row>
    <row r="16961">
      <c r="A16961" t="inlineStr">
        <is>
          <t>terre air graine</t>
        </is>
      </c>
      <c r="B16961">
        <f>HYPERLINK("https://www.dofusbook.net/fr/equipement/153618-terre-air-graine/objets", "link")</f>
        <v/>
      </c>
      <c r="C16961" t="n">
        <v>1</v>
      </c>
      <c r="D16961" t="inlineStr">
        <is>
          <t>L'Épée Nice; Amulette du Strigide; Anneau des égarés; Anneau du Cycloïde; Cadran d'Air; Ceintouse; Bonnet Ko; Cape du Chalœil; Bottes des égarés; Dolmanax; Dofus Abyssal; Dofus Pourpre; Dofus Ocre; Nomade; Remueur; Muldo Indigo et Pourpre</t>
        </is>
      </c>
    </row>
    <row r="16962">
      <c r="A16962" t="inlineStr">
        <is>
          <t>air res</t>
        </is>
      </c>
      <c r="B16962">
        <f>HYPERLINK("https://www.dofusbook.net/fr/equipement/153617-air-res/objets", "link")</f>
        <v/>
      </c>
      <c r="C16962" t="n">
        <v>1</v>
      </c>
      <c r="D16962" t="inlineStr">
        <is>
          <t>Manthache; Collier du Valet Veinard; Gant du Valet Veinard; Alliance Gloursonne; Bouclier du Stalak; Menoture; Dorabysses; Cape Indescriptible; Palmes Trithons; Dofus des Glaces; Dofus Ocre; Dofus Pourpre; Cascadeur majeur; Dévastateur Air majeur; Muldo Doré et Ebène</t>
        </is>
      </c>
    </row>
    <row r="16963">
      <c r="A16963" t="inlineStr">
        <is>
          <t>stuff astraal</t>
        </is>
      </c>
      <c r="B16963">
        <f>HYPERLINK("https://www.dofusbook.net/fr/equipement/2644559-stuff-astraal/objets", "link")</f>
        <v/>
      </c>
      <c r="C16963" t="n">
        <v>1</v>
      </c>
      <c r="D16963" t="inlineStr">
        <is>
          <t>Dagues Érhy; Collier du Valet Veinard; Alliance Gloursonne; Gant du Valet Veinard; Cadran d'Air; Ceinture du Barbétoal; Couronne d'Allister; Cape Indescriptible; Palmes Trithons; Dofus des Glaces; Dofus Ocre; Dévastateur Air majeur; Remueur; Cascadeur majeur; Nomade; Siroko</t>
        </is>
      </c>
    </row>
    <row r="16964">
      <c r="A16964" t="inlineStr">
        <is>
          <t>opti cour sombre</t>
        </is>
      </c>
      <c r="B16964">
        <f>HYPERLINK("https://www.dofusbook.net/fr/equipement/948108-opti-cour-sombre/objets", "link")</f>
        <v/>
      </c>
      <c r="C16964" t="n">
        <v>0</v>
      </c>
      <c r="D16964" t="inlineStr">
        <is>
          <t>Pelle de la Cour Sombre; Collier du Valet Veinard; Gant du Valet Veinard; Alliance Gloursonne; Cadran d'Air; Ceinture du Barbétoal; Couronne d'Allister; Cape du Kamasterisk; Palmes Trithons; Dofus Ocre; Dofus Ivoire; Dofus des Glaces; Cascadeur majeur; Remueur; Dévastateur Air majeur; Muldo Indigo et Orchidée</t>
        </is>
      </c>
    </row>
    <row r="16965">
      <c r="A16965" t="inlineStr">
        <is>
          <t>opti erhy</t>
        </is>
      </c>
      <c r="B16965">
        <f>HYPERLINK("https://www.dofusbook.net/fr/equipement/2813229-opti-erhy/objets", "link")</f>
        <v/>
      </c>
      <c r="C16965" t="n">
        <v>3</v>
      </c>
      <c r="D16965" t="inlineStr">
        <is>
          <t>Dagues Érhy; Collier du Valet Veinard; Gant du Valet Veinard; Alliance Gloursonne; Cadran d'Air; Ceinture du Barbétoal; Couronne d'Allister; Cape du Kamasterisk; Palmes Trithons; Dofus des Glaces; Dofus Ivoire; Cascadeur majeur; Remueur; Dévastateur Air majeur; Muldo Indigo et Orchidée</t>
        </is>
      </c>
    </row>
    <row r="16966">
      <c r="A16966" t="inlineStr">
        <is>
          <t>anneau toriété</t>
        </is>
      </c>
      <c r="B16966">
        <f>HYPERLINK("https://www.dofusbook.net/fr/equipement/3022487-anneau-toriete/objets", "link")</f>
        <v/>
      </c>
      <c r="C16966" t="n">
        <v>2</v>
      </c>
      <c r="D16966" t="inlineStr">
        <is>
          <t>Amulette du Strigide; Anneau Toriété; Anneau Toriété; Quatre-feuilles; Ceinture du Strigide; Bonnet Ko; Sandales  d'Atcham; Dofus Ocre; Dofus Pourpre; Dofus des Glaces; Dofus Turquoise; Muldo Prune et Emeraude</t>
        </is>
      </c>
    </row>
    <row r="16967">
      <c r="A16967" t="inlineStr">
        <is>
          <t>terre feu bad</t>
        </is>
      </c>
      <c r="B16967">
        <f>HYPERLINK("https://www.dofusbook.net/fr/equipement/2888069-terre-feu-bad/objets", "link")</f>
        <v/>
      </c>
      <c r="C16967" t="n">
        <v>0</v>
      </c>
      <c r="D16967" t="inlineStr">
        <is>
          <t>Dagues du Dragoeuf; Amulette Hendart; Gelano; Bague Gloursonne; Le Karde Cœur; Ceinture du K.O.; Coiffe du Glourséleste; Cape Reski; Bottes du K.O.; Dofus Cawotte; Dokoko; Dofus Pourpre; Remueur; Miraculé majeur; Vigoureux majeur; Muldo Doré</t>
        </is>
      </c>
    </row>
    <row r="16968">
      <c r="A16968" t="inlineStr">
        <is>
          <t>FullDofus</t>
        </is>
      </c>
      <c r="B16968">
        <f>HYPERLINK("https://www.dofusbook.net/fr/equipement/2888047-fulldofus/objets", "link")</f>
        <v/>
      </c>
      <c r="C16968" t="n">
        <v>1</v>
      </c>
      <c r="D16968" t="inlineStr">
        <is>
          <t>Sabres d'Atcham; Amulette du Strigide; Anneau de Padgref; Alliance Gloursonne; Quatre-feuilles; Ceinture du Strigide; Coiffe de Padgref; Cape d'Atcham; Getas de Padgref; Dofus Émeraude; Dofus Turquoise; Dolmanax; Dofus Ocre; Dofus Pourpre; Dofus des Glaces; Muldo Prune et Indigo</t>
        </is>
      </c>
    </row>
    <row r="16969">
      <c r="A16969" t="inlineStr">
        <is>
          <t>Eau feu</t>
        </is>
      </c>
      <c r="B16969">
        <f>HYPERLINK("https://www.dofusbook.net/fr/equipement/2832525-eau-feu/objets", "link")</f>
        <v/>
      </c>
      <c r="C16969" t="n">
        <v>0</v>
      </c>
      <c r="D16969" t="inlineStr">
        <is>
          <t>Pyraguette; Amulette de l'Œil Putride; Lavanneau; Baguistik; Bouclier du Stalak; Ceintrigue; Capuche de l'Œil Putride; Cape de l'Œil Putride; Bottes Owesli; Dofus Pourpre; Dofus Abyssal; Dofus Émeraude; Dofus Ocre; Dolmanax; Dofus des Glaces; Muldo Orchidée et Pourpre</t>
        </is>
      </c>
    </row>
    <row r="16970">
      <c r="A16970" t="inlineStr">
        <is>
          <t>sasa</t>
        </is>
      </c>
      <c r="B16970">
        <f>HYPERLINK("https://www.dofusbook.net/fr/equipement/2718795-sasa/objets", "link")</f>
        <v/>
      </c>
      <c r="C16970" t="n">
        <v>0</v>
      </c>
      <c r="D16970" t="inlineStr">
        <is>
          <t>L'Épée Nice; Kralamansion; Gelano; Alliance Gloursonne; Bouclier du Bawbawe; Ceinture Fulgurante; Coiffe d'Aermyne; Cape Tif; Chaussures Face; Dofus Cawotte; Dofus Émeraude; Dokoko; Entraveur majeur; Temporiseur majeur; Remueur; Siroko</t>
        </is>
      </c>
    </row>
    <row r="16971">
      <c r="A16971" t="inlineStr">
        <is>
          <t>Range</t>
        </is>
      </c>
      <c r="B16971">
        <f>HYPERLINK("https://www.dofusbook.net/fr/equipement/968447-range/objets", "link")</f>
        <v/>
      </c>
      <c r="C16971" t="n">
        <v>0</v>
      </c>
      <c r="D16971" t="inlineStr">
        <is>
          <t>Baguette Range; Amulette de l'Œil Putride; Bracelet du Piloztère; Anneau de Padgref; Bivalve; Ceinture Séculaire; Bonnet Ko; Cape du Chalœil; Bottes du Chalœil; Dolmanax; Dofus des Glaces; Dofus Pourpre; Dofus Ocre; Nomade; Remueur; Muldo Prune et Orchidée</t>
        </is>
      </c>
    </row>
    <row r="16972">
      <c r="A16972" t="inlineStr">
        <is>
          <t>wtfstuff</t>
        </is>
      </c>
      <c r="B16972">
        <f>HYPERLINK("https://www.dofusbook.net/fr/equipement/948146-wtfstuff/objets", "link")</f>
        <v/>
      </c>
      <c r="C16972" t="n">
        <v>0</v>
      </c>
      <c r="D16972" t="inlineStr">
        <is>
          <t>Pyraguette; Amulette de l'Œil Putride; Alliance Gloursonne; Bague Gloursonne; Bouclier du Stalak; Ceintrigue; Capuche de l'Œil Putride; Cape de l'Œil Putride; Bottes Owesli; Dolmanax; Dofus Ocre; Dofus des Glaces; Dofus Pourpre; Dofus Abyssal; Robuste majeur; Muldo Indigo et Orchidée</t>
        </is>
      </c>
    </row>
    <row r="16973">
      <c r="A16973" t="inlineStr">
        <is>
          <t>air</t>
        </is>
      </c>
      <c r="B16973">
        <f>HYPERLINK("https://www.dofusbook.net/fr/equipement/2524643-air/objets", "link")</f>
        <v/>
      </c>
      <c r="C16973" t="n">
        <v>1</v>
      </c>
      <c r="D16973" t="inlineStr">
        <is>
          <t>Manthache; Collier du Valet Veinard; Gant du Valet Veinard; Alliance Gloursonne; Bouclier du Stalak; Menoture; Couronne d'Allister; Cape Indescriptible; Baleinabottes; Equilibriste majeur; Cascadeur majeur; Remueur; Paralyseur majeur; Étourdisseur majeur; Nomade; Muldo Doré et Ebène</t>
        </is>
      </c>
    </row>
    <row r="16974">
      <c r="A16974" t="inlineStr">
        <is>
          <t>air</t>
        </is>
      </c>
      <c r="B16974">
        <f>HYPERLINK("https://www.dofusbook.net/fr/equipement/954087-air/objets", "link")</f>
        <v/>
      </c>
      <c r="C16974" t="n">
        <v>0</v>
      </c>
      <c r="D16974" t="inlineStr">
        <is>
          <t>Manthache; Anneau du Père Fwetar; Bouclier du Stalak; Cape Indescriptible; Bottes du Père Fwetar</t>
        </is>
      </c>
    </row>
    <row r="16975">
      <c r="A16975" t="inlineStr">
        <is>
          <t>dopou</t>
        </is>
      </c>
      <c r="B16975">
        <f>HYPERLINK("https://www.dofusbook.net/fr/equipement/2086073-dopou/objets", "link")</f>
        <v/>
      </c>
      <c r="C16975" t="n">
        <v>2</v>
      </c>
      <c r="D16975" t="inlineStr">
        <is>
          <t>Dagoulinantes; Amulette Luminescente; Alliance Gloursonne; Bracelet des Fonds marins; Bouclier précieux; Ceinture Luminescente; Capuche de l'Œil Attentif; Cape Solution; Bottes Owesli; Dofus Émeraude; Dofus Abyssal; Chanceux majeur; Remueur; Bousculeur majeur; Culbuteur majeur; Muldo Indigo</t>
        </is>
      </c>
    </row>
    <row r="16976">
      <c r="A16976" t="inlineStr">
        <is>
          <t>lol</t>
        </is>
      </c>
      <c r="B16976">
        <f>HYPERLINK("https://www.dofusbook.net/fr/equipement/2124033-lol/objets", "link")</f>
        <v/>
      </c>
      <c r="C16976" t="n">
        <v>0</v>
      </c>
      <c r="D16976" t="inlineStr"/>
    </row>
    <row r="16977">
      <c r="A16977" t="inlineStr">
        <is>
          <t>tank heal</t>
        </is>
      </c>
      <c r="B16977">
        <f>HYPERLINK("https://www.dofusbook.net/fr/equipement/2037174-tank-heal/objets", "link")</f>
        <v/>
      </c>
      <c r="C16977" t="n">
        <v>0</v>
      </c>
      <c r="D16977" t="inlineStr">
        <is>
          <t>Baguette de Malléfisk; Torquistik; Goulano; Baguistik; Bouclier du Stalak; Ceinture de Vortex; Bonnet Ko; Voile d'encre; Bottes Innommables; Dokoko; Dofus Ocre; Érudit majeur; Nomade; Fortification majeure; Remueur; Muldo Pourpre</t>
        </is>
      </c>
    </row>
    <row r="16978">
      <c r="A16978" t="inlineStr">
        <is>
          <t>resfixe</t>
        </is>
      </c>
      <c r="B16978">
        <f>HYPERLINK("https://www.dofusbook.net/fr/equipement/2037614-resfixe/objets", "link")</f>
        <v/>
      </c>
      <c r="C16978" t="n">
        <v>2</v>
      </c>
      <c r="D16978" t="inlineStr">
        <is>
          <t>Baguette Iots; Torquistik; Goulano; Baguistik; Bouclier d'Anerice; Ceintacé; Masque d'Anerice; Cape de Léthaline; Goulbottes; Dofus Ocre; Dofus des Glaces; Dokoko; Dofus Ivoire; Dolmanax</t>
        </is>
      </c>
    </row>
    <row r="16979">
      <c r="A16979" t="inlineStr">
        <is>
          <t>Range</t>
        </is>
      </c>
      <c r="B16979">
        <f>HYPERLINK("https://www.dofusbook.net/fr/equipement/2011130-range/objets", "link")</f>
        <v/>
      </c>
      <c r="C16979" t="n">
        <v>1</v>
      </c>
      <c r="D16979" t="inlineStr">
        <is>
          <t>Arc du Chalœil; Torquistik; Bague Trithon; Baguistik; Bivalve; Ceinture Luminescente; Coiffe du Glourséleste; Cape de Léthaline; Bottes du Cœur Vaillant; Dofus Ocre; Dofus Ivoire; Dokoko; Culbuteur majeur; Remueur; Bousculeur majeur; Muldo Ebène et Pourpre</t>
        </is>
      </c>
    </row>
    <row r="16980">
      <c r="A16980" t="inlineStr">
        <is>
          <t>eau</t>
        </is>
      </c>
      <c r="B16980">
        <f>HYPERLINK("https://www.dofusbook.net/fr/equipement/948117-eau/objets", "link")</f>
        <v/>
      </c>
      <c r="C16980" t="n">
        <v>0</v>
      </c>
      <c r="D16980" t="inlineStr"/>
    </row>
    <row r="16981">
      <c r="A16981" t="inlineStr">
        <is>
          <t>Res crit</t>
        </is>
      </c>
      <c r="B16981">
        <f>HYPERLINK("https://www.dofusbook.net/fr/equipement/1877474-res-crit/objets", "link")</f>
        <v/>
      </c>
      <c r="C16981" t="n">
        <v>0</v>
      </c>
      <c r="D16981" t="inlineStr">
        <is>
          <t>Arc corrompu; Pendentif affamé; Goulano; Baguistik; Bouclier du Stalak; Ceinture de Gein; Casque Cyclopéen; Cape de Diondin; Goulbottes; Dofus des Glaces; Dofus Abyssal; Dévastateur Feu majeur; Remueur; Érudit majeur; Miraculé majeur; Muldo Indigo et Pourpre</t>
        </is>
      </c>
    </row>
    <row r="16982">
      <c r="A16982" t="inlineStr">
        <is>
          <t>Stuff 3</t>
        </is>
      </c>
      <c r="B16982">
        <f>HYPERLINK("https://www.dofusbook.net/fr/equipement/153613-stuff-3/objets", "link")</f>
        <v/>
      </c>
      <c r="C16982" t="n">
        <v>4</v>
      </c>
      <c r="D16982" t="inlineStr">
        <is>
          <t>Hache Euvale; Amulette Luminescente; Alliance Gloursonne; Bracelet du Piloztère; Bivalve; Poulpagne; Chapeau des Malveilleurs; Cape Luminescente; Bottes Owesli; Chanceux majeur; Carapace Air majeur; Remueur; Culbuteur majeur; Carapace Eau majeur; Bousculeur majeur; Muldo Ebène et Indigo</t>
        </is>
      </c>
    </row>
    <row r="16983">
      <c r="A16983" t="inlineStr">
        <is>
          <t>Stuff 2</t>
        </is>
      </c>
      <c r="B16983">
        <f>HYPERLINK("https://www.dofusbook.net/fr/equipement/153622-stuff-2/objets", "link")</f>
        <v/>
      </c>
      <c r="C16983" t="n">
        <v>1</v>
      </c>
      <c r="D16983" t="inlineStr">
        <is>
          <t>Manthache; Collier du Valet Veinard; Alliance Gloursonne; Gant du Valet Veinard; Bouclier du Cycloïde; Menoture; Couronne d'Allister; Cape Indescriptible; Palmes Trithons; Dofus Pourpre; Dofus des Glaces; Equilibriste majeur; Cascadeur majeur; Remueur; Dévastateur Air majeur; Muldo Doré et Ebène</t>
        </is>
      </c>
    </row>
    <row r="16984">
      <c r="A16984" t="inlineStr">
        <is>
          <t>gui</t>
        </is>
      </c>
      <c r="B16984">
        <f>HYPERLINK("https://www.dofusbook.net/fr/equipement/1577021-gui/objets", "link")</f>
        <v/>
      </c>
      <c r="C16984" t="n">
        <v>0</v>
      </c>
      <c r="D16984" t="inlineStr">
        <is>
          <t>Arc du Chalœil; Amulette du Strigide; Bague Gloursonne; Baguistik; Bivalve; Ceinture du Strigide; Bonnet Ko; Capille; Bottes du Lévitrof; Dofus Ocre; Dofus Pourpre; Dolmanax; Dofus Turquoise; Nomade; Remueur; Muldo Prune et Ebène</t>
        </is>
      </c>
    </row>
    <row r="16985">
      <c r="A16985" t="inlineStr">
        <is>
          <t>Toche</t>
        </is>
      </c>
      <c r="B16985">
        <f>HYPERLINK("https://www.dofusbook.net/fr/equipement/1557130-toche/objets", "link")</f>
        <v/>
      </c>
      <c r="C16985" t="n">
        <v>1</v>
      </c>
      <c r="D16985" t="inlineStr">
        <is>
          <t>Epée Toche; Amulette du Strigide; Baguistik; Bague Gloursonne; Bouclier du Captain Amakna; Ceinture du Strigide; Bonnet Ko; Voile d'encre; Bottes de la Cour Sombre; Dofus Turquoise; Dofus Pourpre; Dolmanax; Dofus Ocre; Nomade; Remueur; Muldo Prune et Emeraude</t>
        </is>
      </c>
    </row>
    <row r="16986">
      <c r="A16986" t="inlineStr">
        <is>
          <t>dps</t>
        </is>
      </c>
      <c r="B16986">
        <f>HYPERLINK("https://www.dofusbook.net/fr/equipement/1454739-dps/objets", "link")</f>
        <v/>
      </c>
      <c r="C16986" t="n">
        <v>2</v>
      </c>
      <c r="D16986" t="inlineStr">
        <is>
          <t>Epée Maudite du Saigneur Guerrier; Amulette du Strigide; Anneau du Comte Harebourg; Bague Gloursonne; Bouclier du Captain Amakna; Ceinture du Strigide; Bonnet Ko; Cape de la Fuji Givrefoux; Bottes du Strigide; Dofus Pourpre; Dofus Nébuleux; Dofus Ocre; Dofus Turquoise; Dofus Abyssal; Dofus des Glaces; Muldo Prune et Emeraude</t>
        </is>
      </c>
    </row>
    <row r="16987">
      <c r="A16987" t="inlineStr">
        <is>
          <t>Eau ou feu/eau</t>
        </is>
      </c>
      <c r="B16987">
        <f>HYPERLINK("https://www.dofusbook.net/fr/equipement/1513621-eau-ou-feu-eau/objets", "link")</f>
        <v/>
      </c>
      <c r="C16987" t="n">
        <v>0</v>
      </c>
      <c r="D16987" t="inlineStr">
        <is>
          <t>Arc Nécrotique; Talisman Igans; Bracelet du Piloztère; Anneau Cryochrone; Quatre-feuilles; Ceintacé; Coiffe Cryochrone; Cape de la Dame du Hasard; Sandales de Tal Kasha; Dofus des Glaces; Dofus Pourpre; Dolmanax; Dofus Turquoise; Vigoureux majeur; Remueur; Muldo Prune et Emeraude</t>
        </is>
      </c>
    </row>
    <row r="16988">
      <c r="A16988" t="inlineStr">
        <is>
          <t>secu atcham</t>
        </is>
      </c>
      <c r="B16988">
        <f>HYPERLINK("https://www.dofusbook.net/fr/equipement/1462199-secu-atcham/objets", "link")</f>
        <v/>
      </c>
      <c r="C16988" t="n">
        <v>0</v>
      </c>
      <c r="D16988" t="inlineStr">
        <is>
          <t>Baguette de Frigostine; Amulette de Shokkoth; Bracelet des Fonds marins; Alliance Gloursonne; Quatre-feuilles; Pagne du Rykaon; Kidibonnet; Chevelure de Tal Kasha; Sandales de Tal Kasha; Dofus Turquoise; Dofus Pourpre; Étourdisseur majeur; Vigoureux majeur; Remueur; Chanceux majeur; Muldo Indigo et Emeraude</t>
        </is>
      </c>
    </row>
    <row r="16989">
      <c r="A16989" t="inlineStr">
        <is>
          <t>ret pa</t>
        </is>
      </c>
      <c r="B16989">
        <f>HYPERLINK("https://www.dofusbook.net/fr/equipement/1167872-ret-pa/objets", "link")</f>
        <v/>
      </c>
      <c r="C16989" t="n">
        <v>2</v>
      </c>
      <c r="D16989" t="inlineStr">
        <is>
          <t>Baguette Hique; Amulette de Pol Ouatnos; Bracelet des Fonds marins; Bracelet du Piloztère; Bouclier d'Anerice; Ceinture de la Reine des Voleurs; Masque d'Anerice; Chevelure de Tal Kasha; Bottes de la Reine des Voleurs; Dofus des Glaces; Dofus Pourpre; Dofus Turquoise; Remueur; Chanceux majeur; Étourdisseur majeur; Muldo Prune et Emeraude</t>
        </is>
      </c>
    </row>
    <row r="16990">
      <c r="A16990" t="inlineStr">
        <is>
          <t>eau-air</t>
        </is>
      </c>
      <c r="B16990">
        <f>HYPERLINK("https://www.dofusbook.net/fr/equipement/1158859-eau-air/objets", "link")</f>
        <v/>
      </c>
      <c r="C16990" t="n">
        <v>0</v>
      </c>
      <c r="D16990" t="inlineStr">
        <is>
          <t>Baguette Hique; Amulette du Strigide; Bracelet du Piloztère; Alliance Gloursonne; Quatre-feuilles; Ceintacé; Casquette de Meno; Chevelure de Tal Kasha; Bottes du Strigide; Dofus Turquoise; Dofus Pourpre; Étourdisseur majeur; Vigoureux majeur; Chanceux majeur; Remueur; Muldo Prune et Emeraude</t>
        </is>
      </c>
    </row>
    <row r="16991">
      <c r="A16991" t="inlineStr">
        <is>
          <t>eau</t>
        </is>
      </c>
      <c r="B16991">
        <f>HYPERLINK("https://www.dofusbook.net/fr/equipement/1447750-eau/objets", "link")</f>
        <v/>
      </c>
      <c r="C16991" t="n">
        <v>0</v>
      </c>
      <c r="D16991" t="inlineStr">
        <is>
          <t>Baguette Hique; Amulette de Shokkoth; Alliance Gloursonne; Bracelet des Fonds marins; Quatre-feuilles; Ceintacé; Kidibonnet; Chevelure de Tal Kasha; Sandales de Tal Kasha; Dofus Turquoise; Dofus Pourpre; Vigoureux majeur; Remueur; Étourdisseur majeur; Chanceux majeur; Muldo Prune et Emeraude</t>
        </is>
      </c>
    </row>
    <row r="16992">
      <c r="A16992" t="inlineStr">
        <is>
          <t>maudite</t>
        </is>
      </c>
      <c r="B16992">
        <f>HYPERLINK("https://www.dofusbook.net/fr/equipement/1456247-maudite-/objets", "link")</f>
        <v/>
      </c>
      <c r="C16992" t="n">
        <v>2</v>
      </c>
      <c r="D16992" t="inlineStr">
        <is>
          <t>Epée Maudite du Saigneur Guerrier; Amulette du Strigide; Bague Gloursonne; Alliance Gloursonne; Bouclier du Captain Amakna; Ceinture du Strigide; Bonnet Ko; Cape de la Fuji Givrefoux; Bottes du Strigide; Dofus Ocre; Dofus des Glaces; Dofus Turquoise; Dofus Nébuleux; Dofus Pourpre; Dolmanax; Muldo Prune et Emeraude</t>
        </is>
      </c>
    </row>
    <row r="16993">
      <c r="A16993" t="inlineStr">
        <is>
          <t>Force intel chance</t>
        </is>
      </c>
      <c r="B16993">
        <f>HYPERLINK("https://www.dofusbook.net/fr/equipement/1456196-force-intel-chance/objets", "link")</f>
        <v/>
      </c>
      <c r="C16993" t="n">
        <v>0</v>
      </c>
      <c r="D16993" t="inlineStr">
        <is>
          <t>Goulano; Goulclier; Ceinture de Kongoku; Boucle d'oreille de Kongoku; Cape de Kongoku; Goulbottes</t>
        </is>
      </c>
    </row>
    <row r="16994">
      <c r="A16994" t="inlineStr">
        <is>
          <t>Stuff 1</t>
        </is>
      </c>
      <c r="B16994">
        <f>HYPERLINK("https://www.dofusbook.net/fr/equipement/153624-stuff-1/objets", "link")</f>
        <v/>
      </c>
      <c r="C16994" t="n">
        <v>0</v>
      </c>
      <c r="D16994" t="inlineStr"/>
    </row>
    <row r="16995">
      <c r="A16995" t="inlineStr">
        <is>
          <t>Stuff 1</t>
        </is>
      </c>
      <c r="B16995">
        <f>HYPERLINK("https://www.dofusbook.net/fr/equipement/1376131-stuff-1/objets", "link")</f>
        <v/>
      </c>
      <c r="C16995" t="n">
        <v>1</v>
      </c>
      <c r="D16995" t="inlineStr">
        <is>
          <t>Hache Ériphe; Collier du Valet Veinard; Gant du Valet Veinard; Alliance Gloursonne; Quatre-feuilles; Ceintouse; Coiffe de la Reine des Voleurs; Cape Indescriptible; Palmes Trithons; Dofus Turquoise; Dofus Ocre; Remueur; Cascadeur majeur; Dévastateur Air majeur; Saccageur Air majeur; Muldo Prune et Doré</t>
        </is>
      </c>
    </row>
    <row r="16996">
      <c r="A16996" t="inlineStr">
        <is>
          <t>Stuff 1</t>
        </is>
      </c>
      <c r="B16996">
        <f>HYPERLINK("https://www.dofusbook.net/fr/equipement/1351887-stuff-1/objets", "link")</f>
        <v/>
      </c>
      <c r="C16996" t="n">
        <v>0</v>
      </c>
      <c r="D16996" t="inlineStr">
        <is>
          <t>Manthache; Collier du Valet Veinard; Alliance Gloursonne; Gant du Valet Veinard; Bouclier du Cycloïde; Menoture; Couronne d'Allister; Cape Indescriptible; Palmes Trithons; Dofus Ocre; Dofus des Glaces; Cascadeur majeur; Dévastateur Air majeur; Nomade; Saccageur Air majeur; Siroko</t>
        </is>
      </c>
    </row>
    <row r="16997">
      <c r="A16997" t="inlineStr">
        <is>
          <t>Stuff 2</t>
        </is>
      </c>
      <c r="B16997">
        <f>HYPERLINK("https://www.dofusbook.net/fr/equipement/153625-stuff-2/objets", "link")</f>
        <v/>
      </c>
      <c r="C16997" t="n">
        <v>1</v>
      </c>
      <c r="D16997" t="inlineStr">
        <is>
          <t>Baguette Range; Amulette du Strigide; Anneau Tique; Anneau Rifique; Bouclier du Stalak; Ceinture du Strigide; Coiffe de Padgref; Cape de Diondin; Sabots de Vortex; Dofus Turquoise; Dofus des Glaces; Dofus Pourpre; Dofus Nébuleux; Muldo Prune et Orchidée</t>
        </is>
      </c>
    </row>
    <row r="16998">
      <c r="A16998" t="inlineStr">
        <is>
          <t>Stuff 1</t>
        </is>
      </c>
      <c r="B16998">
        <f>HYPERLINK("https://www.dofusbook.net/fr/equipement/153620-stuff-1/objets", "link")</f>
        <v/>
      </c>
      <c r="C16998" t="n">
        <v>0</v>
      </c>
      <c r="D16998" t="inlineStr">
        <is>
          <t>Baguette des égarés; Amulette Luminescente; Pikano; Alliance Gloursonne; Quatre-feuilles; Ceinture Luminescente; Casquipik; Cape Luminescente; Pikottes; Dofus Pourpre; Dofus des Glaces; Dofus Turquoise; Dofus Ocre; Dolmanax; Muldo Prune et Indigo</t>
        </is>
      </c>
    </row>
    <row r="16999">
      <c r="A16999" t="inlineStr">
        <is>
          <t>Toche</t>
        </is>
      </c>
      <c r="B16999">
        <f>HYPERLINK("https://www.dofusbook.net/fr/equipement/942724-toche/objets", "link")</f>
        <v/>
      </c>
      <c r="C16999" t="n">
        <v>0</v>
      </c>
      <c r="D16999" t="inlineStr">
        <is>
          <t>Epée Toche; Amulette du Strigide; Bracelet du Piloztère; Bague Gloursonne; Ceinture de Gein; Masque de Koutoulou; Voile d'encre; Bottes du Strigide; Dofus des Glaces; Dofus Pourpre; Dofus Émeraude; Dofus Turquoise; Remueur; Nomade; Kramkram</t>
        </is>
      </c>
    </row>
    <row r="17000">
      <c r="A17000" t="inlineStr">
        <is>
          <t>terre</t>
        </is>
      </c>
      <c r="B17000">
        <f>HYPERLINK("https://www.dofusbook.net/fr/equipement/857287-terre/objets", "link")</f>
        <v/>
      </c>
      <c r="C17000" t="n">
        <v>0</v>
      </c>
      <c r="D17000" t="inlineStr">
        <is>
          <t>Epée Toche; Amulette du Strigide; Chevalière du Roi Joueur; Anneau Crustique; Bouclier du Captain Amakna; Ceinture du Strigide; Couronne du Roi Joueur; Voile d'encre; Bottes du Strigide; Dofus Ocre; Dofus Abyssal; Dofus Pourpre; Dofus des Glaces; Dofus Turquoise; Dofus Nébuleux; Muldo Prune et Emeraude</t>
        </is>
      </c>
    </row>
    <row r="17001">
      <c r="A17001" t="inlineStr">
        <is>
          <t>lol</t>
        </is>
      </c>
      <c r="B17001">
        <f>HYPERLINK("https://www.dofusbook.net/fr/equipement/283854-lol/objets", "link")</f>
        <v/>
      </c>
      <c r="C17001" t="n">
        <v>0</v>
      </c>
      <c r="D17001" t="inlineStr">
        <is>
          <t>Hache du Chalœil; Kralamansion; Kralano; Annolamour; Ceinture de Kongoku; Boucle d'oreille de Kongoku; Cape de Kongoku; Chaussures Hau; Dofus Turquoise; Dofus Pourpre; Dofus des Glaces; Dofus Émeraude; Dolmanax; Dokoko; Muldo Indigo et Pourpre</t>
        </is>
      </c>
    </row>
    <row r="17002">
      <c r="A17002" t="inlineStr">
        <is>
          <t>Stuff 3</t>
        </is>
      </c>
      <c r="B17002">
        <f>HYPERLINK("https://www.dofusbook.net/fr/equipement/153623-stuff-3/objets", "link")</f>
        <v/>
      </c>
      <c r="C17002" t="n">
        <v>0</v>
      </c>
      <c r="D17002" t="inlineStr">
        <is>
          <t>Hache du Chalœil; Amulette du Strigide; Anneau de Padgref; Bracelet du Piloztère; Ceintacé; Casque du Chalœil; Dofusteuse; Bottes du Strigide; Dofus Émeraude; Dofus des Glaces; Dolmanax; Dofus Turquoise; Dofus Pourpre; Remueur; Muldo Doré et Orchidée</t>
        </is>
      </c>
    </row>
    <row r="17003">
      <c r="A17003" t="inlineStr">
        <is>
          <t>stuff 4</t>
        </is>
      </c>
      <c r="B17003">
        <f>HYPERLINK("https://www.dofusbook.net/fr/equipement/417419-stuff-4/objets", "link")</f>
        <v/>
      </c>
      <c r="C17003" t="n">
        <v>0</v>
      </c>
      <c r="D17003" t="inlineStr">
        <is>
          <t>Hache du Chalœil; Amulette du Strigide; Anneau de Padgref; Anneau Tique; Ceinture du Strigide; Le Dorado; Cape du Chalœil; Baleinabottes</t>
        </is>
      </c>
    </row>
    <row r="17004">
      <c r="A17004" t="inlineStr">
        <is>
          <t>Stuff 1</t>
        </is>
      </c>
      <c r="B17004">
        <f>HYPERLINK("https://www.dofusbook.net/fr/equipement/153614-stuff-1/objets", "link")</f>
        <v/>
      </c>
      <c r="C17004" t="n">
        <v>0</v>
      </c>
      <c r="D17004" t="inlineStr">
        <is>
          <t>Pelle de la Cour Sombre; Amulette du Strigide; Gant du Valet Veinard; Alliance Gloursonne; Menoture; Dorabysses; Cape du Kamasterisk; Bottes du Strigide; Dofus Turquoise; Dofus Pourpre; Vigoureux majeur; Cascadeur majeur; Remueur; Nomade; Siroko</t>
        </is>
      </c>
    </row>
    <row r="17005">
      <c r="A17005" t="inlineStr">
        <is>
          <t>Stuff 3</t>
        </is>
      </c>
      <c r="B17005">
        <f>HYPERLINK("https://www.dofusbook.net/fr/equipement/153616-stuff-3/objets", "link")</f>
        <v/>
      </c>
      <c r="C17005" t="n">
        <v>2</v>
      </c>
      <c r="D17005" t="inlineStr">
        <is>
          <t>Dagoulinantes; Amulette de Shokkoth; Alliance Gloursonne; Bracelet des Fonds marins; Ceinture du Barbétoal; Masque du Barbétoal; Cape de Mantaze; Pataugastrique; Dofus Turquoise; Étourdisseur majeur; Nomade; Carapace Eau majeur; Chanceux majeur; Remueur; Dragodinde en armure</t>
        </is>
      </c>
    </row>
    <row r="17006">
      <c r="A17006" t="inlineStr">
        <is>
          <t>Stuff 1</t>
        </is>
      </c>
      <c r="B17006">
        <f>HYPERLINK("https://www.dofusbook.net/fr/equipement/153611-stuff-1/objets", "link")</f>
        <v/>
      </c>
      <c r="C17006" t="n">
        <v>0</v>
      </c>
      <c r="D17006" t="inlineStr">
        <is>
          <t>Lance corrompue; Amulette du Kamasterisk; Anneau des égarés; Alliance Brûlâme; Jadis; Ceintacé; Casque Dragoeuf; Cape du Chalœil; Pompes Funèbres; Dofus Émeraude; Dokoko; Dofus Ivoire; Fortification majeure; Remueur</t>
        </is>
      </c>
    </row>
    <row r="17007">
      <c r="A17007" t="inlineStr">
        <is>
          <t>Stuff 2</t>
        </is>
      </c>
      <c r="B17007">
        <f>HYPERLINK("https://www.dofusbook.net/fr/equipement/153615-stuff-2/objets", "link")</f>
        <v/>
      </c>
      <c r="C17007" t="n">
        <v>0</v>
      </c>
      <c r="D17007" t="inlineStr">
        <is>
          <t>Manthache; Collier du Valet Veinard; Gant du Valet Veinard; Alliance Gloursonne; Menoture; Dorabysses; Cape du Kamasterisk; Palmes Trithons; Dofus Pourpre; Vigoureux majeur; Étourdisseur majeur; Cascadeur majeur; Remueur; Paralyseur majeur; Muldo Ebène et Pourpre</t>
        </is>
      </c>
    </row>
    <row r="17008">
      <c r="A17008" t="inlineStr">
        <is>
          <t>Stuff 2</t>
        </is>
      </c>
      <c r="B17008">
        <f>HYPERLINK("https://www.dofusbook.net/fr/equipement/153612-stuff-2/objets", "link")</f>
        <v/>
      </c>
      <c r="C17008" t="n">
        <v>0</v>
      </c>
      <c r="D17008" t="inlineStr">
        <is>
          <t>Héqache; Amulette du Strigide; Anneau des égarés; Bague Gloursonne; Bouclier du Captain Amakna; Ceinture du Strigide; Chapoulpe; Cape du Kamasterisk; Baleinabottes; Dofus Pourpre; Dokoko; Dofus Turquoise; Dolmanax; Vigoureux majeur; Remueur; Muldo Ebène et Pourpre</t>
        </is>
      </c>
    </row>
    <row r="17009">
      <c r="A17009" t="inlineStr">
        <is>
          <t>Stuff 2</t>
        </is>
      </c>
      <c r="B17009">
        <f>HYPERLINK("https://www.dofusbook.net/fr/equipement/153609-stuff-2/objets", "link")</f>
        <v/>
      </c>
      <c r="C17009" t="n">
        <v>4</v>
      </c>
      <c r="D17009" t="inlineStr">
        <is>
          <t>Marteau des Anciens Steamers; Amulette Voldelor; Gant du Valet Veinard; Alliance Gloursonne; Ceinture du Nocturlabe; Kidibonnet; Cape des Malveilleurs; Bottes du Nocturlabe; Dofus Pourpre; Dofus Nébuleux; Dokoko; Dofus Turquoise; Remueur; Vigoureux majeur; Muldo Doré et Ebène</t>
        </is>
      </c>
    </row>
    <row r="17010">
      <c r="A17010" t="inlineStr">
        <is>
          <t>Stuff 1</t>
        </is>
      </c>
      <c r="B17010">
        <f>HYPERLINK("https://www.dofusbook.net/fr/equipement/153608-stuff-1/objets", "link")</f>
        <v/>
      </c>
      <c r="C17010" t="n">
        <v>1</v>
      </c>
      <c r="D17010" t="inlineStr">
        <is>
          <t>Arc Ahique; Collier du Valet Veinard; Alliance Gloursonne; Gant du Valet Veinard; Menoture; Casque du Chalœil; Cape Indescriptible; Palmes Trithons; Dolmanax; Dofus Émeraude; Cascadeur majeur; Miraculé majeur; Carapace Air majeur; Remueur; Muldo Ebène</t>
        </is>
      </c>
    </row>
    <row r="17011">
      <c r="A17011" t="inlineStr">
        <is>
          <t>Stuff 3</t>
        </is>
      </c>
      <c r="B17011">
        <f>HYPERLINK("https://www.dofusbook.net/fr/equipement/153610-stuff-3/objets", "link")</f>
        <v/>
      </c>
      <c r="C17011" t="n">
        <v>2</v>
      </c>
      <c r="D17011" t="inlineStr">
        <is>
          <t>Dagoulinantes; Amulette de Shokkoth; Bracelet des Fonds marins; Alliance Gloursonne; Pagne du Rykaon; Kidibonnet; Cape de Mantaze; Sandales des Fonds marins; Dofus Turquoise; Dofus Émeraude; Carapace Terre majeur; Remueur; Nomade; Carapace Eau majeur; Muldo Indigo</t>
        </is>
      </c>
    </row>
    <row r="17012">
      <c r="A17012" t="inlineStr">
        <is>
          <t>force</t>
        </is>
      </c>
      <c r="B17012">
        <f>HYPERLINK("https://www.dofusbook.net/fr/equipement/2521960-force/objets", "link")</f>
        <v/>
      </c>
      <c r="C17012" t="n">
        <v>0</v>
      </c>
      <c r="D17012" t="inlineStr">
        <is>
          <t>Lav'Hache; Collier de Tourthon; Bague Gloursonne; Alliance du Lévitrof; Bouclier Taverne; Ceinture de l'Indicible; Masque d'Anerice; Cape d'Anerice; Baleinabottes; Dolmanax; Dofus Émeraude; Enragé majeur; Furibond majeur; Remueur; Miraculé majeur; Muldo Orchidée et Pourpre</t>
        </is>
      </c>
    </row>
    <row r="17013">
      <c r="A17013" t="inlineStr">
        <is>
          <t>MultiDégat</t>
        </is>
      </c>
      <c r="B17013">
        <f>HYPERLINK("https://www.dofusbook.net/fr/equipement/2522276-multidegat/objets", "link")</f>
        <v/>
      </c>
      <c r="C17013" t="n">
        <v>0</v>
      </c>
      <c r="D17013" t="inlineStr">
        <is>
          <t>Marteau de Katrepat; Amulette de l'Indicible; Bague Gloursonne; Alliance du Lévitrof; Bouclier Taverne; Ceinture de l'Indicible; Masque Brûlâme; Voile d'encre; Bottes du Katcheur; Dolmanax; Érudit majeur; Nomade; Enragé majeur; Remueur; Turbulent; Muldo Orchidée et Pourpre</t>
        </is>
      </c>
    </row>
    <row r="17014">
      <c r="A17014" t="inlineStr">
        <is>
          <t>Stuff 3</t>
        </is>
      </c>
      <c r="B17014">
        <f>HYPERLINK("https://www.dofusbook.net/fr/equipement/443898-stuff-3/objets", "link")</f>
        <v/>
      </c>
      <c r="C17014" t="n">
        <v>0</v>
      </c>
      <c r="D17014" t="inlineStr">
        <is>
          <t>Dagues Érhy; Amulette du Cycloïde; Bague Gloursonne; Anneau de Brouce; Bouclier précieux; Ceinture de Brouce; Le Kim; Cape au Logis; Baleinabottes; Dolmanax; Miraculé majeur; Enragé majeur; Carapace Air majeur; Furibond majeur; Remueur; Muldo Pourpre</t>
        </is>
      </c>
    </row>
    <row r="17015">
      <c r="A17015" t="inlineStr">
        <is>
          <t>Stuff 3</t>
        </is>
      </c>
      <c r="B17015">
        <f>HYPERLINK("https://www.dofusbook.net/fr/equipement/443904-stuff-3/objets", "link")</f>
        <v/>
      </c>
      <c r="C17015" t="n">
        <v>0</v>
      </c>
      <c r="D17015" t="inlineStr">
        <is>
          <t>Marteau des égarés; Amulette du Strigide; Alliance du Lévitrof; Bracelet du Piloztère; Quatre-feuilles; Ceintacé; Coiffe d'Ogivol; Cape des Justiciers; Bottes du Strigide; Dofus Turquoise; Dofus Pourpre; Dolmanax; Remueur; Nomade; Vigoureux majeur; Muldo Prune et Doré</t>
        </is>
      </c>
    </row>
    <row r="17016">
      <c r="A17016" t="inlineStr">
        <is>
          <t>Stuff 3</t>
        </is>
      </c>
      <c r="B17016">
        <f>HYPERLINK("https://www.dofusbook.net/fr/equipement/443901-stuff-3/objets", "link")</f>
        <v/>
      </c>
      <c r="C17016" t="n">
        <v>0</v>
      </c>
      <c r="D17016" t="inlineStr">
        <is>
          <t>Sabres d'Atcham; Kralamansion; Annolamour; Kralano; Ceinture du Strigide; Chapeau des Malveilleurs; Cape des Malveilleurs; Bottes des Malveilleurs; Dofus Turquoise; Dofus Pourpre; Dolmanax; Joueur majeur; Acrobate majeur; Savant majeur; Dragodinde Emeraude et Rousse</t>
        </is>
      </c>
    </row>
    <row r="17017">
      <c r="A17017" t="inlineStr">
        <is>
          <t>Stuff 2</t>
        </is>
      </c>
      <c r="B17017">
        <f>HYPERLINK("https://www.dofusbook.net/fr/equipement/443903-stuff-2/objets", "link")</f>
        <v/>
      </c>
      <c r="C17017" t="n">
        <v>0</v>
      </c>
      <c r="D17017" t="inlineStr">
        <is>
          <t>Marteau des égarés; Amulette du Strigide; Alliance du Lévitrof; Bracelet du Piloztère; Ceintacé; Masque du Katcheur; Cape des Justiciers; Bottes du Strigide; Dofus Turquoise; Dofus Pourpre; Dolmanax; Remueur; Vigoureux majeur; Nomade; Muldo Prune et Doré</t>
        </is>
      </c>
    </row>
    <row r="17018">
      <c r="A17018" t="inlineStr">
        <is>
          <t>Stuff 1</t>
        </is>
      </c>
      <c r="B17018">
        <f>HYPERLINK("https://www.dofusbook.net/fr/equipement/443902-stuff-1/objets", "link")</f>
        <v/>
      </c>
      <c r="C17018" t="n">
        <v>0</v>
      </c>
      <c r="D17018" t="inlineStr">
        <is>
          <t>Hache du Chalœil; Amulette du Strigide; Pikano; Bracelet du Piloztère; Ceintacé; Le Dorado; Cape de la Dame du Hasard; Bottes du Strigide; Dolmanax; Dofus Turquoise; Dofus Pourpre; Remueur; Vigoureux majeur; Nomade; Kramkram</t>
        </is>
      </c>
    </row>
    <row r="17019">
      <c r="A17019" t="inlineStr">
        <is>
          <t>Stuff 2</t>
        </is>
      </c>
      <c r="B17019">
        <f>HYPERLINK("https://www.dofusbook.net/fr/equipement/443876-stuff-2/objets", "link")</f>
        <v/>
      </c>
      <c r="C17019" t="n">
        <v>0</v>
      </c>
      <c r="D17019" t="inlineStr">
        <is>
          <t>Epée Toche; Amulette du Cycloïde; Bague Gloursonne; Anneau de Brouce; Carapar; Ceinture de Brouce; Le Kim; Cape des Justiciers; Bottes Dogues; Dolmanax; Érudit majeur; Nomade; Enragé majeur; Miraculé majeur; Remueur; Dragodinde Orchidée et Pourpre</t>
        </is>
      </c>
    </row>
    <row r="17020">
      <c r="A17020" t="inlineStr">
        <is>
          <t>Stuff 1</t>
        </is>
      </c>
      <c r="B17020">
        <f>HYPERLINK("https://www.dofusbook.net/fr/equipement/443899-stuff-1/objets", "link")</f>
        <v/>
      </c>
      <c r="C17020" t="n">
        <v>0</v>
      </c>
      <c r="D17020" t="inlineStr">
        <is>
          <t>Dagues Érhy; Amulette d'Otomaï; Anneau Tamie; Kralano; Ceinture Séculaire; Coiffe Séculaire; Cape Hiculteur; Pantoufles Émar; Dolmanax; Savant majeur; Nomade; Remueur; Guérisseur majeur; Érudit majeur; Kramkram</t>
        </is>
      </c>
    </row>
    <row r="17021">
      <c r="A17021" t="inlineStr">
        <is>
          <t>Stuff 2</t>
        </is>
      </c>
      <c r="B17021">
        <f>HYPERLINK("https://www.dofusbook.net/fr/equipement/443894-stuff-2/objets", "link")</f>
        <v/>
      </c>
      <c r="C17021" t="n">
        <v>0</v>
      </c>
      <c r="D17021" t="inlineStr">
        <is>
          <t>Pelle de Nidas; Amulette du Strigide; Bracelet du Piloztère; Alliance de Missiz Frizz; Ceintacé; Solomonk; Cape d'Ogivol; Bottes du Strigide; Dofus Turquoise; Dofus Pourpre; Dolmanax; Nomade; Remueur; Vigoureux majeur; Dragodinde Prune et Ivoire</t>
        </is>
      </c>
    </row>
    <row r="17022">
      <c r="A17022" t="inlineStr">
        <is>
          <t>Stuff 1</t>
        </is>
      </c>
      <c r="B17022">
        <f>HYPERLINK("https://www.dofusbook.net/fr/equipement/443884-stuff-1/objets", "link")</f>
        <v/>
      </c>
      <c r="C17022" t="n">
        <v>0</v>
      </c>
      <c r="D17022" t="inlineStr">
        <is>
          <t>Epée Maudite du Saigneur Guerrier; Amulette du Strigide; Pikano; Alliance Gloursonne; Ceintacé; Coiffe Ranshi; Voilamibe; Bottes du Strigide; Dolmanax; Dofus Pourpre; Remueur; Vigoureux majeur; Nomade; Sanguinaire majeur; Dragodinde Prune et Ivoire</t>
        </is>
      </c>
    </row>
    <row r="17023">
      <c r="A17023" t="inlineStr">
        <is>
          <t>Stuff 1</t>
        </is>
      </c>
      <c r="B17023">
        <f>HYPERLINK("https://www.dofusbook.net/fr/equipement/443896-stuff-1/objets", "link")</f>
        <v/>
      </c>
      <c r="C17023" t="n">
        <v>1</v>
      </c>
      <c r="D17023" t="inlineStr">
        <is>
          <t>Dagues Érhy; Pendentif mignon de Koutoulou; Anneau Rifique; Kralano; Ceinture du Glourséleste; Coiffe Séculaire; Cape de Diondin; Pantoufles Émar; Dolmanax; Nomade; Cascadeur majeur; Érudit majeur; Remueur; Savant majeur; Muldo Orchidée et Pourpre</t>
        </is>
      </c>
    </row>
    <row r="17024">
      <c r="A17024" t="inlineStr">
        <is>
          <t>Stuff 3</t>
        </is>
      </c>
      <c r="B17024">
        <f>HYPERLINK("https://www.dofusbook.net/fr/equipement/443886-stuff-3/objets", "link")</f>
        <v/>
      </c>
      <c r="C17024" t="n">
        <v>0</v>
      </c>
      <c r="D17024" t="inlineStr">
        <is>
          <t>Epée Maudite du Saigneur Guerrier; Amulette du Strigide; Bracelet du Piloztère; Alliance Gloursonne; Ceintacé; Coiffe d'Ogivol; Cape des Justiciers; Bottes du Strigide; Dolmanax; Dofus Turquoise; Dofus Pourpre; Nomade; Remueur; Vigoureux majeur; Kramkram</t>
        </is>
      </c>
    </row>
    <row r="17025">
      <c r="A17025" t="inlineStr">
        <is>
          <t>Stuff 1</t>
        </is>
      </c>
      <c r="B17025">
        <f>HYPERLINK("https://www.dofusbook.net/fr/equipement/443875-stuff-1/objets", "link")</f>
        <v/>
      </c>
      <c r="C17025" t="n">
        <v>1</v>
      </c>
      <c r="D17025" t="inlineStr">
        <is>
          <t>Dagues Érhy; Pendentif mignon de Koutoulou; Anneau Rifique; Kralano; Cadran de Feu; Ceinture de Vortex; Coiffe Séculaire; Cape Hiculteur; Pantoufles Émar; Dolmanax; Remueur; Acrobate majeur; Nomade; Cascadeur majeur; Érudit majeur; Dragodinde Prune et Orchidée</t>
        </is>
      </c>
    </row>
    <row r="17026">
      <c r="A17026" t="inlineStr">
        <is>
          <t>Stuff 3</t>
        </is>
      </c>
      <c r="B17026">
        <f>HYPERLINK("https://www.dofusbook.net/fr/equipement/443886-stuff-3/objets", "link")</f>
        <v/>
      </c>
      <c r="C17026" t="n">
        <v>0</v>
      </c>
      <c r="D17026" t="inlineStr">
        <is>
          <t>Epée Maudite du Saigneur Guerrier; Amulette du Strigide; Bracelet du Piloztère; Alliance Gloursonne; Ceintacé; Coiffe d'Ogivol; Cape des Justiciers; Bottes du Strigide; Dolmanax; Dofus Turquoise; Dofus Pourpre; Remueur; Vigoureux majeur; Nomade; Kramkram</t>
        </is>
      </c>
    </row>
    <row r="17027">
      <c r="A17027" t="inlineStr">
        <is>
          <t>Stuff 1</t>
        </is>
      </c>
      <c r="B17027">
        <f>HYPERLINK("https://www.dofusbook.net/fr/equipement/443875-stuff-1/objets", "link")</f>
        <v/>
      </c>
      <c r="C17027" t="n">
        <v>1</v>
      </c>
      <c r="D17027" t="inlineStr">
        <is>
          <t>Dagues Érhy; Pendentif mignon de Koutoulou; Kralano; Anneau Rifique; Cadran de Feu; Ceinture de Vortex; Coiffe Séculaire; Cape Hiculteur; Pantoufles Émar; Dolmanax; Nomade; Cascadeur majeur; Érudit majeur; Remueur; Acrobate majeur; Dragodinde Prune et Orchidée</t>
        </is>
      </c>
    </row>
    <row r="17028">
      <c r="A17028" t="inlineStr">
        <is>
          <t>Stuff 1</t>
        </is>
      </c>
      <c r="B17028">
        <f>HYPERLINK("https://www.dofusbook.net/fr/equipement/443893-stuff-1/objets", "link")</f>
        <v/>
      </c>
      <c r="C17028" t="n">
        <v>0</v>
      </c>
      <c r="D17028" t="inlineStr">
        <is>
          <t>Pelle de Nidas; Amulette du Strigide; Pikano; Anneau Tamie; Ceinture Instable; Solomonk; Cape du Professeur Xa; Bottes du Strigide; Dolmanax; Dofus Turquoise; Nomade; Ralentisseur majeur; Remueur; Temporiseur majeur; Kramkram</t>
        </is>
      </c>
    </row>
    <row r="17029">
      <c r="A17029" t="inlineStr">
        <is>
          <t>Stuff 3</t>
        </is>
      </c>
      <c r="B17029">
        <f>HYPERLINK("https://www.dofusbook.net/fr/equipement/443877-stuff-3/objets", "link")</f>
        <v/>
      </c>
      <c r="C17029" t="n">
        <v>0</v>
      </c>
      <c r="D17029" t="inlineStr">
        <is>
          <t>Dagues Érhy; Amulette d'Otomaï; Anneau Rifique; Kralano; Bouclier Feudala; Ceinture Séculaire; Coiffe Séculaire; Cape Hiculteur; Pantoufles Émar; Dolmanax; Remueur; Nomade; Savant majeur; Érudit majeur; Cascadeur majeur; Dragodinde Prune et Orchidée</t>
        </is>
      </c>
    </row>
    <row r="17030">
      <c r="A17030" t="inlineStr">
        <is>
          <t>Stuff 2</t>
        </is>
      </c>
      <c r="B17030">
        <f>HYPERLINK("https://www.dofusbook.net/fr/equipement/443900-stuff-2/objets", "link")</f>
        <v/>
      </c>
      <c r="C17030" t="n">
        <v>0</v>
      </c>
      <c r="D17030" t="inlineStr">
        <is>
          <t>Sabres d'Atcham; Amulette de Pol Ouatnos; Bracelet du Piloztère; Alliance Gloursonne; Sangle Aise; Chapeau des Malveilleurs; Cape des Justiciers; Bottes des Malveilleurs; Dolmanax; Érudit majeur; Nomade; Vigoureux majeur; Remueur; Chanceux majeur; Kramkram</t>
        </is>
      </c>
    </row>
    <row r="17031">
      <c r="A17031" t="inlineStr">
        <is>
          <t>Stuff 3</t>
        </is>
      </c>
      <c r="B17031">
        <f>HYPERLINK("https://www.dofusbook.net/fr/equipement/443895-stuff-3/objets", "link")</f>
        <v/>
      </c>
      <c r="C17031" t="n">
        <v>0</v>
      </c>
      <c r="D17031" t="inlineStr">
        <is>
          <t>Marteau des égarés; Amulette du Strigide; Bracelet du Piloztère; Alliance de Missiz Frizz; Ceintacé; Le Dorado; Cape d'Ogivol; Bottes du Strigide; Dofus Turquoise; Dofus Pourpre; Dolmanax; Remueur; Vigoureux majeur; Nomade; Muldo Prune et Doré</t>
        </is>
      </c>
    </row>
    <row r="17032">
      <c r="A17032" t="inlineStr">
        <is>
          <t>Stuff 2</t>
        </is>
      </c>
      <c r="B17032">
        <f>HYPERLINK("https://www.dofusbook.net/fr/equipement/443885-stuff-2/objets", "link")</f>
        <v/>
      </c>
      <c r="C17032" t="n">
        <v>1</v>
      </c>
      <c r="D17032" t="inlineStr">
        <is>
          <t>Marteau des Anciens Steamers; Kralamansion; Alliance Gloursonne; Anneau de Pol Ouatnos; Ceinture du Barbétoal; Masque du Barbétoal; Cape du Barbétoal; Bottes de la Reine des Voleurs; Dofus Pourpre; Dofus Ocre; Dolmanax; Dofus Turquoise; Dofus Émeraude; Dofus des Glaces; Kramkram</t>
        </is>
      </c>
    </row>
    <row r="17033">
      <c r="A17033" t="inlineStr">
        <is>
          <t>Eniripsa F 200</t>
        </is>
      </c>
      <c r="B17033">
        <f>HYPERLINK("https://www.dofusbook.net/fr/equipement/5942233-eniripsa-f-200/objets", "link")</f>
        <v/>
      </c>
      <c r="C17033" t="n">
        <v>0</v>
      </c>
      <c r="D17033" t="inlineStr">
        <is>
          <t>Baguette de Torkélonia; Amulette du Strigide; Bague Gloursonne; Alliance Gloursonne; Quatre-feuilles; Ceinture du Strigide; Corne de Torkélonia; Carapace de Torkélonia; Bottes du Strigide; Dofus Ocre; Dofus des Glaces; Dofus Pourpre; Dofus Ébène; Dofus Turquoise; Dofus Ivoire; Chacha Angora</t>
        </is>
      </c>
    </row>
    <row r="17034">
      <c r="A17034" t="inlineStr">
        <is>
          <t>Eniripsa M 200</t>
        </is>
      </c>
      <c r="B17034">
        <f>HYPERLINK("https://www.dofusbook.net/fr/equipement/5935002-eniripsa-m-200/objets", "link")</f>
        <v/>
      </c>
      <c r="C17034" t="n">
        <v>2</v>
      </c>
      <c r="D17034" t="inlineStr">
        <is>
          <t>Harpelle; Pendentif mignon de Koutoulou; Anneauræus; Anneauræus; Croture; Casque Cyclopéen; Voile d'encre; Pataugastrique</t>
        </is>
      </c>
    </row>
    <row r="17035">
      <c r="A17035" t="inlineStr">
        <is>
          <t>Eniripsa M 200</t>
        </is>
      </c>
      <c r="B17035">
        <f>HYPERLINK("https://www.dofusbook.net/fr/equipement/5934848-eniripsa-m-200/objets", "link")</f>
        <v/>
      </c>
      <c r="C17035" t="n">
        <v>0</v>
      </c>
      <c r="D17035" t="inlineStr">
        <is>
          <t>Baguette Héroclite; Amulette de Shokkoth; Anneau Volkorne; Alliance Gloursonne; Bouclier du Stalak; Poulpagne; Cape du Sinistrofu; Bottes du Sinistrofu; Dofus des Glaces; Dofus Vulbis; Dofus Ivoire; Dofus Ocre; Dofus Pourpre; Chanceux majeur; Dragodinde Indigo et Ivoire</t>
        </is>
      </c>
    </row>
    <row r="17036">
      <c r="A17036" t="inlineStr">
        <is>
          <t>Eniripsa M 200</t>
        </is>
      </c>
      <c r="B17036">
        <f>HYPERLINK("https://www.dofusbook.net/fr/equipement/5934387-eniripsa-m-200/objets", "link")</f>
        <v/>
      </c>
      <c r="C17036" t="n">
        <v>1</v>
      </c>
      <c r="D17036" t="inlineStr">
        <is>
          <t>Manthache; Collier du Valet Veinard; Alliance Gloursonne; Gant du Valet Veinard; Bouclier du Stalak; Menoture; Casque Volkorne; Cape Indescriptible; Palmes Trithons; Dofus Ocre; Dofus des Glaces; Dofus Vulbis; Dofus Pourpre; Dofus Ivoire; Cascadeur majeur; Dragodinde Ebène et Ivoire</t>
        </is>
      </c>
    </row>
    <row r="17037">
      <c r="A17037" t="inlineStr">
        <is>
          <t>Eniripsa M 200</t>
        </is>
      </c>
      <c r="B17037">
        <f>HYPERLINK("https://www.dofusbook.net/fr/equipement/5894829-eniripsa-m-200/objets", "link")</f>
        <v/>
      </c>
      <c r="C17037" t="n">
        <v>1</v>
      </c>
      <c r="D17037" t="inlineStr">
        <is>
          <t>Baguette de Torkélonia; Amulette du Strigide; Alliance Brûlâme; Alliance Gloursonne; Quatre-feuilles; Ceinture du Strigide; Corne de Torkélonia; Carapace de Torkélonia; Bottes du Strigide; Dofus Ivoire; Dofus Pourpre; Dofus Turquoise; Dofus Ébène; Dofus Ocre; Dofus des Glaces; Chacha Angora</t>
        </is>
      </c>
    </row>
    <row r="17038">
      <c r="A17038" t="inlineStr">
        <is>
          <t>Eniripsa M 200</t>
        </is>
      </c>
      <c r="B17038">
        <f>HYPERLINK("https://www.dofusbook.net/fr/equipement/5547376-eniripsa-m-200/objets", "link")</f>
        <v/>
      </c>
      <c r="C17038" t="n">
        <v>0</v>
      </c>
      <c r="D17038" t="inlineStr">
        <is>
          <t>Arc du Xueluom; Amulette Paysanne; Mos Kitano; L'Ecaliseur; Bouclier du Bouftou; Ceinturemuda du Paysan; Houde; Cape de Bonne Espérance; Bottes de Frakacia</t>
        </is>
      </c>
    </row>
    <row r="17039">
      <c r="A17039" t="inlineStr">
        <is>
          <t>Enutrof M 200</t>
        </is>
      </c>
      <c r="B17039">
        <f>HYPERLINK("https://www.dofusbook.net/fr/equipement/5363699-enutrof-m-200/objets", "link")</f>
        <v/>
      </c>
      <c r="C17039" t="n">
        <v>0</v>
      </c>
      <c r="D17039" t="inlineStr"/>
    </row>
    <row r="17040">
      <c r="A17040" t="inlineStr">
        <is>
          <t>Enutrof M 200</t>
        </is>
      </c>
      <c r="B17040">
        <f>HYPERLINK("https://www.dofusbook.net/fr/equipement/5363643-enutrof-m-200/objets", "link")</f>
        <v/>
      </c>
      <c r="C17040" t="n">
        <v>1</v>
      </c>
      <c r="D17040" t="inlineStr">
        <is>
          <t>Sceptre du Roi Joueur; Amulette Voldelor; Bracelet des Fonds marins; Alliance Gloursonne; Quatre-feuilles; Sangle Ouare; Capuche de l'Œil Attentif; Chevelure de Tal Kasha; Sandales de Tal Kasha; Dofus des Glaces; Dofus Ocre; Dofus Turquoise; Dofus Pourpre; Chanceux majeur; Pioute bleu</t>
        </is>
      </c>
    </row>
    <row r="17041">
      <c r="A17041" t="inlineStr">
        <is>
          <t>Eniripsa F 200</t>
        </is>
      </c>
      <c r="B17041">
        <f>HYPERLINK("https://www.dofusbook.net/fr/equipement/5316005-eniripsa-f-200/objets", "link")</f>
        <v/>
      </c>
      <c r="C17041" t="n">
        <v>0</v>
      </c>
      <c r="D17041" t="inlineStr">
        <is>
          <t>Manthache; Collier du Valet Veinard; Alliance Gloursonne; Gant du Valet Veinard; Cadran d'Eau; Menoture; Dorabysses; Cape Indescriptible; Palmes Trithons; Dofus Pourpre; Dofus Ivoire; Dofus Turquoise; Dofus Ébène; Dofus Ocre; Dofus des Glaces; Bwak d'Air</t>
        </is>
      </c>
    </row>
    <row r="17042">
      <c r="A17042" t="inlineStr">
        <is>
          <t>Eniripsa F 200</t>
        </is>
      </c>
      <c r="B17042">
        <f>HYPERLINK("https://www.dofusbook.net/fr/equipement/5315957-eniripsa-f-200/objets", "link")</f>
        <v/>
      </c>
      <c r="C17042" t="n">
        <v>0</v>
      </c>
      <c r="D17042" t="inlineStr">
        <is>
          <t>Épée Brûlâme; Amulette du Strigide; Alliance Gloursonne; Anneauræus; Cadran d'Eau; Ceinture de l'Esprit Malsain; Casqnoar; Cape de la Dame du Hasard; Pataugastrique; Dofus Turquoise; Dofus Abyssal; Dofus Pourpre; Dofus Ivoire; Dofus Ocre; Dofus des Glaces; Walk</t>
        </is>
      </c>
    </row>
    <row r="17043">
      <c r="A17043" t="inlineStr">
        <is>
          <t>sacri</t>
        </is>
      </c>
      <c r="B17043">
        <f>HYPERLINK("https://www.dofusbook.net/fr/equipement/5315774-sacri/objets", "link")</f>
        <v/>
      </c>
      <c r="C17043" t="n">
        <v>0</v>
      </c>
      <c r="D17043" t="inlineStr">
        <is>
          <t>Crocobur; Amulette du Strigide; Anneau Chevelu; Bague Gloursonne; Cadran d'Eau; Ceinture du Strigide; Masque de Koutoulou; Cape au Logis; Bottes du Cœur Saignant; Dofus Pourpre; Dofus Ivoire; Dofus Turquoise; Dofus des Glaces; Dofus Ocre; Dofus Abyssal; Pioute vert</t>
        </is>
      </c>
    </row>
    <row r="17044">
      <c r="A17044" t="inlineStr">
        <is>
          <t>Eniripsa F 200</t>
        </is>
      </c>
      <c r="B17044">
        <f>HYPERLINK("https://www.dofusbook.net/fr/equipement/5170762-eniripsa-f-200/objets", "link")</f>
        <v/>
      </c>
      <c r="C17044" t="n">
        <v>0</v>
      </c>
      <c r="D17044" t="inlineStr">
        <is>
          <t>Marteau d'Henual; Amulette Volcanique; Alliance Brûlâme; Bague Gloursonne; Bouclier Taverne; Ceinture du Comte Razof; Chapeau du Comte Razof; Voile d'encre; Chaussons du Comte Razof; Dofus Ivoire; Dofus Turquoise; Dofus des Glaces; Dofus Pourpre; Dofus Vulbis; Dofus Ocre; Cromeugnon</t>
        </is>
      </c>
    </row>
    <row r="17045">
      <c r="A17045" t="inlineStr">
        <is>
          <t>Eniripsa F 200</t>
        </is>
      </c>
      <c r="B17045">
        <f>HYPERLINK("https://www.dofusbook.net/fr/equipement/5134181-eniripsa-f-200/objets", "link")</f>
        <v/>
      </c>
      <c r="C17045" t="n">
        <v>1</v>
      </c>
      <c r="D17045" t="inlineStr">
        <is>
          <t>Arc corrompu; Amulette Volkorne; Anneauræus; Anneauræus; Quatre-feuilles; Ceinture Volkorne; Heaume Oplate; Bravoure de Rykke Errel; Pataugastrique; Dofus Turquoise; Dofus des Glaces; Dofus Pourpre; Dofus Ivoire; Dofus Vulbis; Érudit majeur; Dragodinde Ivoire et Orchidée</t>
        </is>
      </c>
    </row>
    <row r="17046">
      <c r="A17046" t="inlineStr">
        <is>
          <t>Eniripsa F 200</t>
        </is>
      </c>
      <c r="B17046">
        <f>HYPERLINK("https://www.dofusbook.net/fr/equipement/5133142-eniripsa-f-200/objets", "link")</f>
        <v/>
      </c>
      <c r="C17046" t="n">
        <v>0</v>
      </c>
      <c r="D17046" t="inlineStr">
        <is>
          <t>Crocobur; Amulette du Strigide; Anneau Volkorne; Alliance Gloursonne; Bouclier alvéolé; Ceinture Volkorne; Casque Volkorne; Cape Matelassée; Bottes du Strigide; Dofus Ivoire; Dofus Ocre; Dofus des Glaces; Dofus Pourpre; Dofus Abyssal; Dofus Turquoise; Chacha Angora</t>
        </is>
      </c>
    </row>
    <row r="17047">
      <c r="A17047" t="inlineStr">
        <is>
          <t>Eniripsa F 200</t>
        </is>
      </c>
      <c r="B17047">
        <f>HYPERLINK("https://www.dofusbook.net/fr/equipement/5133080-eniripsa-f-200/objets", "link")</f>
        <v/>
      </c>
      <c r="C17047" t="n">
        <v>0</v>
      </c>
      <c r="D17047" t="inlineStr">
        <is>
          <t>Épée Brûlâme; Collier de la Dame du Hasard; Alliance Gloursonne; Anneau Tique; Bouclier alvéolé; Ceinture de l'Esprit Malsain; Casquette de Meno; Cape de la Dame du Hasard; Pataugastrique; Dofus Abyssal; Dofus Turquoise; Dofus Vulbis; Dofus Pourpre; Dofus Ocre; Dofus Ivoire; Walk</t>
        </is>
      </c>
    </row>
    <row r="17048">
      <c r="A17048" t="inlineStr">
        <is>
          <t>Eniripsa M 200</t>
        </is>
      </c>
      <c r="B17048">
        <f>HYPERLINK("https://www.dofusbook.net/fr/equipement/5132971-eniripsa-m-200/objets", "link")</f>
        <v/>
      </c>
      <c r="C17048" t="n">
        <v>0</v>
      </c>
      <c r="D17048" t="inlineStr">
        <is>
          <t>Couteaux Sacrificiels; Talisman Igans; Alliance Gloursonne; Bague Gloursonne; Bouclier alvéolé; Ceintrigue; Masque Paztek; Cape Paztek; Pataugastrique; Dofus Ocre; Dofus des Glaces; Dofus Abyssal; Dofus Pourpre; Dofus Vulbis; Dofus Ivoire; Walk</t>
        </is>
      </c>
    </row>
    <row r="17049">
      <c r="A17049" t="inlineStr">
        <is>
          <t>Eniripsa M 200</t>
        </is>
      </c>
      <c r="B17049">
        <f>HYPERLINK("https://www.dofusbook.net/fr/equipement/5132850-eniripsa-m-200/objets", "link")</f>
        <v/>
      </c>
      <c r="C17049" t="n">
        <v>2</v>
      </c>
      <c r="D17049" t="inlineStr">
        <is>
          <t>Arc Volkorne; Amulette du Strigide; Anneau Volkorne; Bague Trithon; Quatre-feuilles; Ceinture du Strigide; Casque Volkorne; Dofusteuse; Bottes du Strigide; Dofus Vulbis; Dofus Turquoise; Dofus Pourpre; Dofus Ivoire; Dofus Ocre; Dofus des Glaces; Chacha Angora</t>
        </is>
      </c>
    </row>
    <row r="17050">
      <c r="A17050" t="inlineStr">
        <is>
          <t>Eniripsa M 200</t>
        </is>
      </c>
      <c r="B17050">
        <f>HYPERLINK("https://www.dofusbook.net/fr/equipement/5121898-eniripsa-m-200/objets", "link")</f>
        <v/>
      </c>
      <c r="C17050" t="n">
        <v>0</v>
      </c>
      <c r="D17050" t="inlineStr">
        <is>
          <t>Dagoulinantes; Amulette du Strigide; Anneau Volkorne; Alliance Gloursonne; Cadran d'Eau; Pagne du Rykaon; Némès de Tal Kasha; Chevelure de Tal Kasha; Pataugastrique; Dofus Ocre; Dofus Ivoire; Dofus Pourpre; Dofus Vulbis; Dofus Turquoise; Chanceux majeur; Pioute bleu</t>
        </is>
      </c>
    </row>
    <row r="17051">
      <c r="A17051" t="inlineStr">
        <is>
          <t>Eniripsa F 200</t>
        </is>
      </c>
      <c r="B17051">
        <f>HYPERLINK("https://www.dofusbook.net/fr/equipement/5117110-eniripsa-f-200/objets", "link")</f>
        <v/>
      </c>
      <c r="C17051" t="n">
        <v>0</v>
      </c>
      <c r="D17051" t="inlineStr">
        <is>
          <t>Arc de Koutoulou; Amulette Voldelor; Anneau Volkorne; Alliance Gloursonne; Quatre-feuilles; Ceinture Voldelor; Casque Volkorne; Chevelure de Tal Kasha; Bottes Voldelor; Dofus Vulbis; Dofus Pourpre; Dofus Ocre; Dofus Ivoire; Dofus Turquoise; Dofus des Glaces; Chacha Angora</t>
        </is>
      </c>
    </row>
    <row r="17052">
      <c r="A17052" t="inlineStr">
        <is>
          <t>Iop M 200</t>
        </is>
      </c>
      <c r="B17052">
        <f>HYPERLINK("https://www.dofusbook.net/fr/equipement/5086068-iop-m-200/objets", "link")</f>
        <v/>
      </c>
      <c r="C17052" t="n">
        <v>0</v>
      </c>
      <c r="D17052" t="inlineStr"/>
    </row>
    <row r="17053">
      <c r="A17053" t="inlineStr">
        <is>
          <t>Eniripsa M 200</t>
        </is>
      </c>
      <c r="B17053">
        <f>HYPERLINK("https://www.dofusbook.net/fr/equipement/5079266-eniripsa-m-200/objets", "link")</f>
        <v/>
      </c>
      <c r="C17053" t="n">
        <v>0</v>
      </c>
      <c r="D17053" t="inlineStr">
        <is>
          <t>Épée d'Otomaï; Amulette d'Otomaï; Anneau Bliteré; Ceinture Toré; Casque Harnage; Voile d'encre; Bottes d'Otomaï; Dofus Émeraude; Dofus Turquoise; Dofus Pourpre; Dofus Cawotte; Dofus Ocre; Dragodinde Prune et Emeraude</t>
        </is>
      </c>
    </row>
    <row r="17054">
      <c r="A17054" t="inlineStr">
        <is>
          <t>Eniripsa M 200</t>
        </is>
      </c>
      <c r="B17054">
        <f>HYPERLINK("https://www.dofusbook.net/fr/equipement/5078923-eniripsa-m-200/objets", "link")</f>
        <v/>
      </c>
      <c r="C17054" t="n">
        <v>0</v>
      </c>
      <c r="D17054" t="inlineStr">
        <is>
          <t>Alliance Gloursonne; Ceinture Rasboulaire du Rasboul; Cape Matelassée</t>
        </is>
      </c>
    </row>
    <row r="17055">
      <c r="A17055" t="inlineStr">
        <is>
          <t>Eniripsa M 200</t>
        </is>
      </c>
      <c r="B17055">
        <f>HYPERLINK("https://www.dofusbook.net/fr/equipement/4787422-eniripsa-m-200/objets", "link")</f>
        <v/>
      </c>
      <c r="C17055" t="n">
        <v>0</v>
      </c>
      <c r="D17055" t="inlineStr">
        <is>
          <t>Arc de Koutoulou; Amulette Voldelor; Alliance Gloursonne; Bague Gloursonne; Quatre-feuilles; Ceinture Voldelor; Némès de Tal Kasha; Chevelure de Tal Kasha; Sandales de Tal Kasha; Dofus Vulbis; Dofus Ocre; Dofus Pourpre; Dofus des Glaces; Dofus Turquoise; Dofus Ivoire; Chacha Angora</t>
        </is>
      </c>
    </row>
    <row r="17056">
      <c r="A17056" t="inlineStr">
        <is>
          <t>new eau</t>
        </is>
      </c>
      <c r="B17056">
        <f>HYPERLINK("https://www.dofusbook.net/fr/equipement/4787379-new-eau/objets", "link")</f>
        <v/>
      </c>
      <c r="C17056" t="n">
        <v>0</v>
      </c>
      <c r="D17056" t="inlineStr">
        <is>
          <t>Baguette Héroclite; Amulette Voldelor; Alliance Gloursonne; Anneau Volkorne; Quatre-feuilles; Ceinture Voldelor; Capuche de l'Œil Attentif; Cape Solution; Sandales de Tal Kasha; Dofus des Glaces; Dofus Ocre; Dofus Pourpre; Dofus Turquoise; Dofus Vulbis; Chanceux majeur; Pioute bleu</t>
        </is>
      </c>
    </row>
    <row r="17057">
      <c r="A17057" t="inlineStr">
        <is>
          <t>Eniripsa F 200</t>
        </is>
      </c>
      <c r="B17057">
        <f>HYPERLINK("https://www.dofusbook.net/fr/equipement/4787348-eniripsa-f-200/objets", "link")</f>
        <v/>
      </c>
      <c r="C17057" t="n">
        <v>8</v>
      </c>
      <c r="D17057" t="inlineStr">
        <is>
          <t>Sceptre du Roi Joueur; Amulette Voldelor; Bague Trithon; Alliance Gloursonne; Quatre-feuilles; Ceinture Voldelor; Masque des Fonds marins; Chevelure de Tal Kasha; Pataugastrique; Dofus Vulbis; Dofus des Glaces; Dofus Ocre; Dofus Pourpre; Dofus Turquoise; Chanceux majeur; Pioute bleu</t>
        </is>
      </c>
    </row>
    <row r="17058">
      <c r="A17058" t="inlineStr">
        <is>
          <t>Eniripsa F 200</t>
        </is>
      </c>
      <c r="B17058">
        <f>HYPERLINK("https://www.dofusbook.net/fr/equipement/4776686-eniripsa-f-200/objets", "link")</f>
        <v/>
      </c>
      <c r="C17058" t="n">
        <v>0</v>
      </c>
      <c r="D17058" t="inlineStr">
        <is>
          <t>Arc corrompu; Amulette de Nileza; Anneauræus; Anneauræus; Quatre-feuilles; Ceinture de Gein; Chapeau de Gein; Voile d'encre; Pataugastrique; Dofus Vulbis; Dofus des Glaces; Dofus Turquoise; Dofus Ivoire; Dofus Ocre; Érudit majeur; Pioute rouge</t>
        </is>
      </c>
    </row>
    <row r="17059">
      <c r="A17059" t="inlineStr">
        <is>
          <t>Eniripsa M 200</t>
        </is>
      </c>
      <c r="B17059">
        <f>HYPERLINK("https://www.dofusbook.net/fr/equipement/4775141-eniripsa-m-200/objets", "link")</f>
        <v/>
      </c>
      <c r="C17059" t="n">
        <v>6</v>
      </c>
      <c r="D17059" t="inlineStr">
        <is>
          <t>Arc corrompu; Amulette Volkorne; Anneauræus; Anneauræus; Cadran de Terre; Ceinture de Vortex; Heaume Oplate; Voile d'encre; Pompes Funèbres; Dofus Ocre; Dofus Vulbis; Dofus Ivoire; Dofus Turquoise; Érudit majeur; Pioute rouge</t>
        </is>
      </c>
    </row>
    <row r="17060">
      <c r="A17060" t="inlineStr">
        <is>
          <t>Eniripsa M 200</t>
        </is>
      </c>
      <c r="B17060">
        <f>HYPERLINK("https://www.dofusbook.net/fr/equipement/4774998-eniripsa-m-200/objets", "link")</f>
        <v/>
      </c>
      <c r="C17060" t="n">
        <v>0</v>
      </c>
      <c r="D17060" t="inlineStr">
        <is>
          <t>Arc corrompu; Pendentif mignon de Koutoulou; Chevalière du Roi Joueur; Anneau Rifique; Quatre-feuilles; Ceinture de l'Esprit Malsain; Voile d'encre; Pataugastrique; Dofus Turquoise; Dofus Ivoire; Dofus Ocre; Dofus Vulbis; Dofus des Glaces; Érudit majeur; Bwak de Feu</t>
        </is>
      </c>
    </row>
    <row r="17061">
      <c r="A17061" t="inlineStr">
        <is>
          <t>Eniripsa M 200</t>
        </is>
      </c>
      <c r="B17061">
        <f>HYPERLINK("https://www.dofusbook.net/fr/equipement/4774951-eniripsa-m-200/objets", "link")</f>
        <v/>
      </c>
      <c r="C17061" t="n">
        <v>0</v>
      </c>
      <c r="D17061" t="inlineStr">
        <is>
          <t>Arc corrompu; Amulette d'Otomaï; Anneauræus; Anneauræus; Cadran de Terre; Ceinture de Gein; Heaume Oplate; Voile d'encre; Bottes d'Otomaï; Dofus Turquoise; Dofus Ivoire; Dofus Ocre; Dofus Vulbis; Dofus des Glaces; Érudit majeur; Pioute rouge</t>
        </is>
      </c>
    </row>
    <row r="17062">
      <c r="A17062" t="inlineStr">
        <is>
          <t>Eniripsa M 200</t>
        </is>
      </c>
      <c r="B17062">
        <f>HYPERLINK("https://www.dofusbook.net/fr/equipement/4774793-eniripsa-m-200/objets", "link")</f>
        <v/>
      </c>
      <c r="C17062" t="n">
        <v>0</v>
      </c>
      <c r="D17062" t="inlineStr">
        <is>
          <t>Arc corrompu; Amulette Volkorne; Anneauræus; Anneau Rifique; Cadran de Terre; Ceinture de Vortex; Casque Cyclopéen; Voile d'encre; Pataugastrique; Dofus Vulbis; Dofus Ocre; Dofus Turquoise; Dofus Ivoire; Carapace Terre majeur; Érudit majeur; Pioute rouge</t>
        </is>
      </c>
    </row>
    <row r="17063">
      <c r="A17063" t="inlineStr">
        <is>
          <t>Eniripsa M 200</t>
        </is>
      </c>
      <c r="B17063">
        <f>HYPERLINK("https://www.dofusbook.net/fr/equipement/4769475-eniripsa-m-200/objets", "link")</f>
        <v/>
      </c>
      <c r="C17063" t="n">
        <v>6</v>
      </c>
      <c r="D17063" t="inlineStr">
        <is>
          <t>Arc corrompu; Amulette Volkorne; Anneauræus; Anneau Tique; Quatre-feuilles; Ceinture de l'Esprit Malsain; Heaume Oplate; Cape de la Dame du Hasard; Bottes de la Dame du Hasard; Dofus Vulbis; Dofus Ocre; Dofus des Glaces; Dofus Turquoise; Dofus Ivoire; Érudit majeur; Pioute rouge</t>
        </is>
      </c>
    </row>
    <row r="17064">
      <c r="A17064" t="inlineStr">
        <is>
          <t>Eniripsa M 200</t>
        </is>
      </c>
      <c r="B17064">
        <f>HYPERLINK("https://www.dofusbook.net/fr/equipement/4770284-eniripsa-m-200/objets", "link")</f>
        <v/>
      </c>
      <c r="C17064" t="n">
        <v>0</v>
      </c>
      <c r="D17064" t="inlineStr">
        <is>
          <t>Arc corrompu; Amulette Séculaire; Anneauræus; Anneau de Padgref; Quatre-feuilles; Ceinture Séculaire; Coiffe de Padgref; Voile d'encre; Getas de Padgref; Dofus Ocre; Dofus Ivoire; Dofus Pourpre; Dofus des Glaces; Dofus Turquoise; Dofus Vulbis; Pioute rouge</t>
        </is>
      </c>
    </row>
    <row r="17065">
      <c r="A17065" t="inlineStr">
        <is>
          <t>Eniripsa M 200</t>
        </is>
      </c>
      <c r="B17065">
        <f>HYPERLINK("https://www.dofusbook.net/fr/equipement/4769827-eniripsa-m-200/objets", "link")</f>
        <v/>
      </c>
      <c r="C17065" t="n">
        <v>4</v>
      </c>
      <c r="D17065" t="inlineStr">
        <is>
          <t>Plume de Buhorado; Amulette du Strigide; Alliance Gloursonne; Gant du Valet Veinard; Quatre-feuilles; Menoture; Couronne d'Allister; Chevelure de Tal Kasha; Sandales de Tal Kasha; Dofus Turquoise; Dofus Ivoire; Dofus Ocre; Dofus Pourpre; Dofus des Glaces; Cascadeur majeur; Pioute jaune</t>
        </is>
      </c>
    </row>
    <row r="17066">
      <c r="A17066" t="inlineStr">
        <is>
          <t>Eniripsa M 200</t>
        </is>
      </c>
      <c r="B17066">
        <f>HYPERLINK("https://www.dofusbook.net/fr/equipement/4770025-eniripsa-m-200/objets", "link")</f>
        <v/>
      </c>
      <c r="C17066" t="n">
        <v>0</v>
      </c>
      <c r="D17066" t="inlineStr">
        <is>
          <t>Plume de Buhorado; Amulette Martegel; Alliance Gloursonne; Gant du Valet Veinard; Bouclier du Stalak; Menoture; Casque Dragoeuf; Cape Martegel; Palmes Trithons; Dofus Ocre; Dofus Vulbis; Dofus des Glaces; Dofus Pourpre; Dofus Ivoire; Cascadeur majeur; Minimino</t>
        </is>
      </c>
    </row>
    <row r="17067">
      <c r="A17067" t="inlineStr">
        <is>
          <t>Eniripsa M 200</t>
        </is>
      </c>
      <c r="B17067">
        <f>HYPERLINK("https://www.dofusbook.net/fr/equipement/4761028-eniripsa-m-200/objets", "link")</f>
        <v/>
      </c>
      <c r="C17067" t="n">
        <v>7</v>
      </c>
      <c r="D17067" t="inlineStr">
        <is>
          <t>Plume de Buhorado; Amulette du Strigide; Alliance Gloursonne; Alliance Brûlâme; Quatre-feuilles; Sangle Oriole; Casque Volkorne; Cape de Crânonier; Baleinabottes; Dofus Turquoise; Dofus des Glaces; Dofus Ocre; Dofus Pourpre; Dofus Ivoire; Cascadeur majeur; Pioute jaune</t>
        </is>
      </c>
    </row>
    <row r="17068">
      <c r="A17068" t="inlineStr">
        <is>
          <t>Eniripsa M 200</t>
        </is>
      </c>
      <c r="B17068">
        <f>HYPERLINK("https://www.dofusbook.net/fr/equipement/4760845-eniripsa-m-200/objets", "link")</f>
        <v/>
      </c>
      <c r="C17068" t="n">
        <v>2</v>
      </c>
      <c r="D17068" t="inlineStr">
        <is>
          <t>Arc corrompu; Amulette Volkorne; Anneauræus; Anneauræus; Quatre-feuilles; Ceinture de Vortex; Cagoule de Vortex; Voile d'encre; Pataugastrique; Dofus Vulbis; Dofus des Glaces; Dofus Turquoise; Dofus Ocre; Dofus Ivoire; Érudit majeur; Pioute rouge</t>
        </is>
      </c>
    </row>
    <row r="17069">
      <c r="A17069" t="inlineStr">
        <is>
          <t>Eniripsa M 200</t>
        </is>
      </c>
      <c r="B17069">
        <f>HYPERLINK("https://www.dofusbook.net/fr/equipement/4760280-eniripsa-m-200/objets", "link")</f>
        <v/>
      </c>
      <c r="C17069" t="n">
        <v>0</v>
      </c>
      <c r="D17069" t="inlineStr">
        <is>
          <t>Bâthon; Amulette Volcanique; Bague Gloursonne; Alliance Brûlâme; Bouclier du Stalak; Ceinture de Gein; Couronne de Brâm Barbe-Monde; Voile d'encre; Sabots Volcaniques</t>
        </is>
      </c>
    </row>
    <row r="17070">
      <c r="A17070" t="inlineStr">
        <is>
          <t>Crâ M 200</t>
        </is>
      </c>
      <c r="B17070">
        <f>HYPERLINK("https://www.dofusbook.net/fr/equipement/3971132-cra-m-200/objets", "link")</f>
        <v/>
      </c>
      <c r="C17070" t="n">
        <v>2</v>
      </c>
      <c r="D17070" t="inlineStr">
        <is>
          <t>Massier; Amulette du Strigide; Anneau de Padgref; Bague Gloursonne; Quatre-feuilles; Ceinture du Strigide; Coiffe de Padgref; Voile d'encre; Getas de Padgref; Dofus Turquoise; Dofus des Glaces; Dofus Vulbis; Dofus Ocre; Dofus Pourpre; Dofus Émeraude</t>
        </is>
      </c>
    </row>
    <row r="17071">
      <c r="A17071" t="inlineStr">
        <is>
          <t>Crâ M 200</t>
        </is>
      </c>
      <c r="B17071">
        <f>HYPERLINK("https://www.dofusbook.net/fr/equipement/3993542-cra-m-200/objets", "link")</f>
        <v/>
      </c>
      <c r="C17071" t="n">
        <v>0</v>
      </c>
      <c r="D17071" t="inlineStr">
        <is>
          <t>Sceptre du Roi Joueur; Amulette Voldelor; Bracelet des Fonds marins; Alliance Gloursonne; Quatre-feuilles; Ceinture Voldelor; Capuche de l'Œil Attentif; Chevelure de Tal Kasha; Pataugastrique; Dofus Abyssal; Dofus Vulbis; Dofus des Glaces; Dofus Pourpre; Dofus Ocre; Dofus Turquoise</t>
        </is>
      </c>
    </row>
    <row r="17072">
      <c r="A17072" t="inlineStr">
        <is>
          <t>Crâ M 200</t>
        </is>
      </c>
      <c r="B17072">
        <f>HYPERLINK("https://www.dofusbook.net/fr/equipement/3970898-cra-m-200/objets", "link")</f>
        <v/>
      </c>
      <c r="C17072" t="n">
        <v>1</v>
      </c>
      <c r="D17072" t="inlineStr">
        <is>
          <t>Lav'Hache; Amulette du Strigide; Bague Gloursonne; Anneau Chevelu; Quatre-feuilles; Ceinture du Strigide; Masque de Koutoulou; Cape au Logis; Bottes de la Cour Sombre; Dofus Nébuleux; Dofus Turquoise; Dofus Abyssal; Dofus Pourpre; Dofus Ocre; Enragé majeur; Pioute vert</t>
        </is>
      </c>
    </row>
    <row r="17073">
      <c r="A17073" t="inlineStr">
        <is>
          <t>Eniripsa M 200</t>
        </is>
      </c>
      <c r="B17073">
        <f>HYPERLINK("https://www.dofusbook.net/fr/equipement/3908763-eniripsa-m-200/objets", "link")</f>
        <v/>
      </c>
      <c r="C17073" t="n">
        <v>2</v>
      </c>
      <c r="D17073" t="inlineStr">
        <is>
          <t>Arc corrompu; Pendentif affamé; Anneauræus; Anneauræus; Quatre-feuilles; Ceinture de l'Esprit Malsain; Heaume Oplate; Voile d'encre; Bottes Innommables; Dofus Turquoise; Dofus des Glaces; Dofus Pourpre; Dofus Ivoire; Dofus Vulbis; Dofus Ocre; Pioute rouge</t>
        </is>
      </c>
    </row>
    <row r="17074">
      <c r="A17074" t="inlineStr">
        <is>
          <t>Zobal M 200</t>
        </is>
      </c>
      <c r="B17074">
        <f>HYPERLINK("https://www.dofusbook.net/fr/equipement/3835461-zobal-m-200/objets", "link")</f>
        <v/>
      </c>
      <c r="C17074" t="n">
        <v>0</v>
      </c>
      <c r="D17074" t="inlineStr">
        <is>
          <t>Massier; Pendentif mignon de Koutoulou; Anneauræus; Anneauræus; Cadran d'Eau; Ceinture de Vortex; Casque Cyclopéen; Voile d'encre; Bottes Innommables; Dofus Turquoise; Dofus Pourpre; Dofus Ocre; Remueur; Érudit majeur; Nomade; Pioute rouge</t>
        </is>
      </c>
    </row>
    <row r="17075">
      <c r="A17075" t="inlineStr">
        <is>
          <t>Zobal M 200</t>
        </is>
      </c>
      <c r="B17075">
        <f>HYPERLINK("https://www.dofusbook.net/fr/equipement/3908430-zobal-m-200/objets", "link")</f>
        <v/>
      </c>
      <c r="C17075" t="n">
        <v>2</v>
      </c>
      <c r="D17075" t="inlineStr">
        <is>
          <t>Marteau R'ture; Amulette du Strigide; Bague Gloursonne; Anneau Chevelu; Cadran d'Eau; Ceinture du Strigide; Masque de Koutoulou; Cape au Logis; Bottes de la Cour Sombre; Dofus des Glaces; Dofus Pourpre; Dofus Ocre; Dofus Turquoise; Dofus Abyssal; Enragé majeur; Pioute vert</t>
        </is>
      </c>
    </row>
    <row r="17076">
      <c r="A17076" t="inlineStr">
        <is>
          <t>Enutrof M 200</t>
        </is>
      </c>
      <c r="B17076">
        <f>HYPERLINK("https://www.dofusbook.net/fr/equipement/3840519-enutrof-m-200/objets", "link")</f>
        <v/>
      </c>
      <c r="C17076" t="n">
        <v>0</v>
      </c>
      <c r="D17076" t="inlineStr">
        <is>
          <t>Sceptre du Roi Joueur; Amulette du Strigide; Bracelet des Fonds marins; Alliance Gloursonne; Quatre-feuilles; Pagne du Rykaon; Kidibonnet; Chevelure de Tal Kasha; Sandales de Tal Kasha; Dofus Turquoise; Dofus des Glaces; Dofus Pourpre; Dofus Vulbis; Dofus Ocre; Chanceux majeur; Pioute bleu</t>
        </is>
      </c>
    </row>
    <row r="17077">
      <c r="A17077" t="inlineStr">
        <is>
          <t>Enutrof M 200</t>
        </is>
      </c>
      <c r="B17077">
        <f>HYPERLINK("https://www.dofusbook.net/fr/equipement/3840219-enutrof-m-200/objets", "link")</f>
        <v/>
      </c>
      <c r="C17077" t="n">
        <v>0</v>
      </c>
      <c r="D17077" t="inlineStr">
        <is>
          <t>Sceptre du Roi Joueur; Amulette du Strigide; Alliance Gloursonne; Bracelet des Fonds marins; Quatre-feuilles; Pagne du Rykaon; Némès de Tal Kasha; Chevelure de Tal Kasha; Pataugastrique; Dofus Turquoise; Dofus Pourpre; Dofus Ocre; Dofus des Glaces; Dofus Vulbis; Chanceux majeur; Pioute bleu</t>
        </is>
      </c>
    </row>
    <row r="17078">
      <c r="A17078" t="inlineStr">
        <is>
          <t>terre 2</t>
        </is>
      </c>
      <c r="B17078">
        <f>HYPERLINK("https://www.dofusbook.net/fr/equipement/3801745-terre-2/objets", "link")</f>
        <v/>
      </c>
      <c r="C17078" t="n">
        <v>12</v>
      </c>
      <c r="D17078" t="inlineStr">
        <is>
          <t>Lav'Hache; Amulette du Strigide; Anneau Chevelu; Bague Gloursonne; Quatre-feuilles; Ceinture Volkorne; Masque de Koutoulou; Cape au Logis; Bottes du Strigide; Dofus Pourpre; Dofus des Glaces; Dofus Turquoise; Dofus Ivoire; Dofus Ocre; Enragé majeur; Pioute jaune</t>
        </is>
      </c>
    </row>
    <row r="17079">
      <c r="A17079" t="inlineStr">
        <is>
          <t>terre 1</t>
        </is>
      </c>
      <c r="B17079">
        <f>HYPERLINK("https://www.dofusbook.net/fr/equipement/3801875-terre-1/objets", "link")</f>
        <v/>
      </c>
      <c r="C17079" t="n">
        <v>3</v>
      </c>
      <c r="D17079" t="inlineStr">
        <is>
          <t>Lav'Hache; Amulette du Strigide; Bague Gloursonne; Anneau Chevelu; Quatre-feuilles; Ceinture du Strigide; Masque de Koutoulou; Cape au Logis; Bottes de la Cour Sombre; Dofus des Glaces; Dofus Pourpre; Dofus Ocre; Dofus Turquoise; Dofus Ivoire; Enragé majeur; Pioute jaune</t>
        </is>
      </c>
    </row>
    <row r="17080">
      <c r="A17080" t="inlineStr">
        <is>
          <t>Steamer F 200</t>
        </is>
      </c>
      <c r="B17080">
        <f>HYPERLINK("https://www.dofusbook.net/fr/equipement/3764749-steamer-f-200/objets", "link")</f>
        <v/>
      </c>
      <c r="C17080" t="n">
        <v>3</v>
      </c>
      <c r="D17080" t="inlineStr">
        <is>
          <t>Arc Nécrotique; Collier de la Dame du Hasard; Bague Trithon; Alliance Gloursonne; Quatre-feuilles; Ceinture de l'Esprit Malsain; Masque Trithon; Cape de la Dame du Hasard; Bottes de la Dame du Hasard; Dofus Ivoire; Dofus Pourpre; Dofus Vulbis; Dofus Ocre; Dofus Turquoise; Dofus des Glaces; Minikrone</t>
        </is>
      </c>
    </row>
    <row r="17081">
      <c r="A17081" t="inlineStr">
        <is>
          <t>Iop M 200</t>
        </is>
      </c>
      <c r="B17081">
        <f>HYPERLINK("https://www.dofusbook.net/fr/equipement/3745016-iop-m-200/objets", "link")</f>
        <v/>
      </c>
      <c r="C17081" t="n">
        <v>0</v>
      </c>
      <c r="D17081" t="inlineStr"/>
    </row>
    <row r="17082">
      <c r="A17082" t="inlineStr">
        <is>
          <t>Iop M 200</t>
        </is>
      </c>
      <c r="B17082">
        <f>HYPERLINK("https://www.dofusbook.net/fr/equipement/3721928-iop-m-200/objets", "link")</f>
        <v/>
      </c>
      <c r="C17082" t="n">
        <v>1</v>
      </c>
      <c r="D17082" t="inlineStr">
        <is>
          <t>Massier; Pendentif mignon de Koutoulou; Anneauræus; Anneauræus; Bouclier Taverne; Ceinture de l'Esprit Malsain; Casque Cyclopéen; Voile d'encre; Pataugastrique; Dofus Turquoise; Dofus des Glaces; Dofus Pourpre; Dofus Ivoire; Dofus Vulbis; Dofus Ocre; Mandrog</t>
        </is>
      </c>
    </row>
    <row r="17083">
      <c r="A17083" t="inlineStr">
        <is>
          <t>Crâ F 200</t>
        </is>
      </c>
      <c r="B17083">
        <f>HYPERLINK("https://www.dofusbook.net/fr/equipement/3705155-cra-f-200/objets", "link")</f>
        <v/>
      </c>
      <c r="C17083" t="n">
        <v>0</v>
      </c>
      <c r="D17083" t="inlineStr">
        <is>
          <t>Amulette du Strigide; Ceinture du Strigide; Cape du Sinistrofu; Bottes du Sinistrofu</t>
        </is>
      </c>
    </row>
    <row r="17084">
      <c r="A17084" t="inlineStr">
        <is>
          <t>Eniripsa F 200</t>
        </is>
      </c>
      <c r="B17084">
        <f>HYPERLINK("https://www.dofusbook.net/fr/equipement/3705070-eniripsa-f-200/objets", "link")</f>
        <v/>
      </c>
      <c r="C17084" t="n">
        <v>2</v>
      </c>
      <c r="D17084" t="inlineStr">
        <is>
          <t>Baguette Héroclite; Amulette de l'Œil Attentif; Alliance Gloursonne; Bague Trithon; Quatre-feuilles; Pagne du Rykaon; Capuche de l'Œil Attentif; Cape de l'Œil Attentif; Bottes Trithon; Dofus des Glaces; Dofus Pourpre; Dofus Ivoire; Dofus Vulbis; Dofus Ocre; Dofus Turquoise; Volkorne Améthyste et Indigo</t>
        </is>
      </c>
    </row>
    <row r="17085">
      <c r="A17085" t="inlineStr">
        <is>
          <t>Eniripsa M 200</t>
        </is>
      </c>
      <c r="B17085">
        <f>HYPERLINK("https://www.dofusbook.net/fr/equipement/3704137-eniripsa-m-200/objets", "link")</f>
        <v/>
      </c>
      <c r="C17085" t="n">
        <v>1</v>
      </c>
      <c r="D17085" t="inlineStr">
        <is>
          <t>Arc de Koutoulou; Amulette Voldelor; Bague Gloursonne; Alliance Gloursonne; Quatre-feuilles; Ceinture Voldelor; Némès de Tal Kasha; Chevelure de Tal Kasha; Sandales de Tal Kasha; Dofus Vulbis; Dofus Ocre; Dofus Turquoise; Dofus des Glaces; Dofus Pourpre; Dofus Ivoire; Volkorne Améthyste</t>
        </is>
      </c>
    </row>
    <row r="17086">
      <c r="A17086" t="inlineStr">
        <is>
          <t>nik d fdp</t>
        </is>
      </c>
      <c r="B17086">
        <f>HYPERLINK("https://www.dofusbook.net/fr/equipement/3686933-nik-d-fdp/objets", "link")</f>
        <v/>
      </c>
      <c r="C17086" t="n">
        <v>1</v>
      </c>
      <c r="D17086" t="inlineStr">
        <is>
          <t>Marteau R'ture; Amulette du Cœur Saignant; Bague Trithon; Anneau de Brouce; Quatre-feuilles; Ceinture de Brouce; Masque Trithon; Cape du Cœur Saignant; Bottes du Cœur Saignant; Dofus Vulbis; Dofus Ocre; Dofus Ivoire; Dofus Turquoise; Dofus des Glaces; Dofus Pourpre; Volkorne Emeraude et Pourpre</t>
        </is>
      </c>
    </row>
    <row r="17087">
      <c r="A17087" t="inlineStr">
        <is>
          <t>NIK D GM</t>
        </is>
      </c>
      <c r="B17087">
        <f>HYPERLINK("https://www.dofusbook.net/fr/equipement/3686695-nik-d-gm/objets", "link")</f>
        <v/>
      </c>
      <c r="C17087" t="n">
        <v>0</v>
      </c>
      <c r="D17087" t="inlineStr">
        <is>
          <t>Lav'Hache; Amulette du Strigide; Bague Gloursonne; Anneau Chevelu; Quatre-feuilles; Ceinture Volkorne; Masque de Koutoulou; Voile d'encre; Bottes du Strigide; Dofus Vulbis; Dofus des Glaces; Dofus Pourpre; Dofus Abyssal; Dofus Ocre; Dofus Ivoire; Dragodinde Ivoire et Pourpre</t>
        </is>
      </c>
    </row>
    <row r="17088">
      <c r="A17088" t="inlineStr">
        <is>
          <t>do pou 2.45</t>
        </is>
      </c>
      <c r="B17088">
        <f>HYPERLINK("https://www.dofusbook.net/fr/equipement/2744669-do-pou-2-45/objets", "link")</f>
        <v/>
      </c>
      <c r="C17088" t="n">
        <v>2</v>
      </c>
      <c r="D17088" t="inlineStr">
        <is>
          <t>Arc du Chalœil; Torquistik; Bague Instable; Bague Trithon; Bouclier précieux; Ceinture Gence; Casque Dragoeuf; Capchalot; Bottistik; Dofus Émeraude; Dofus Abyssal; Dofus Ivoire; Pousseur majeur; Bousculeur majeur; Culbuteur majeur; Muldo Pourpre</t>
        </is>
      </c>
    </row>
    <row r="17089">
      <c r="A17089" t="inlineStr">
        <is>
          <t>Eniripsa M 200</t>
        </is>
      </c>
      <c r="B17089">
        <f>HYPERLINK("https://www.dofusbook.net/fr/equipement/3517118-eniripsa-m-200/objets", "link")</f>
        <v/>
      </c>
      <c r="C17089" t="n">
        <v>0</v>
      </c>
      <c r="D17089" t="inlineStr">
        <is>
          <t>Arc de Koutoulou; Amulette Voldelor; Bague Trithon; Alliance Gloursonne; Quatre-feuilles; Ceinture Voldelor; Némès de Tal Kasha; Chevelure de Tal Kasha; Sandales de Tal Kasha; Dofus Abyssal; Dofus Ocre; Dofus Vulbis; Dofus Turquoise; Dofus des Glaces; Dofus Pourpre; Volkorne Indigo et Ebène</t>
        </is>
      </c>
    </row>
    <row r="17090">
      <c r="A17090" t="inlineStr">
        <is>
          <t>feu été</t>
        </is>
      </c>
      <c r="B17090">
        <f>HYPERLINK("https://www.dofusbook.net/fr/equipement/3677496-feu-ete/objets", "link")</f>
        <v/>
      </c>
      <c r="C17090" t="n">
        <v>1</v>
      </c>
      <c r="D17090" t="inlineStr">
        <is>
          <t>Arc corrompu; Pendentif mignon de Koutoulou; Anneauræus; Anneau Rifique; Bouclier du Stalak; Ceinture de Vortex; Casque Cyclopéen; Cape Ardente; Chaussures Ardentes; Dofus Abyssal; Dofus Ocre; Dofus Ivoire; Dofus Émeraude; Dofus Vulbis; Dofus Pourpre; Volkorne Jade et Améthyste</t>
        </is>
      </c>
    </row>
    <row r="17091">
      <c r="A17091" t="inlineStr">
        <is>
          <t>Eniripsa M 200</t>
        </is>
      </c>
      <c r="B17091">
        <f>HYPERLINK("https://www.dofusbook.net/fr/equipement/3517159-eniripsa-m-200/objets", "link")</f>
        <v/>
      </c>
      <c r="C17091" t="n">
        <v>8</v>
      </c>
      <c r="D17091" t="inlineStr">
        <is>
          <t>Sabres d'Atcham; Amulette du Strigide; Alliance Gloursonne; Bague Trithon; Bouclier alvéolé; Ceinture du Strigide; Masque Trithon; Cape d'Atcham; Bottes Trithon; Dofus Ivoire; Dofus Turquoise; Dofus Pourpre; Dofus Ocre; Dofus des Glaces; Dofus Vulbis; Volkorne Emeraude et Ivoire</t>
        </is>
      </c>
    </row>
    <row r="17092">
      <c r="A17092" t="inlineStr">
        <is>
          <t>Eniripsa M 200</t>
        </is>
      </c>
      <c r="B17092">
        <f>HYPERLINK("https://www.dofusbook.net/fr/equipement/3517067-eniripsa-m-200/objets", "link")</f>
        <v/>
      </c>
      <c r="C17092" t="n">
        <v>1</v>
      </c>
      <c r="D17092" t="inlineStr">
        <is>
          <t>Arc corrompu; Pendentif mignon de Koutoulou; Anneauræus; Anneau Rifique; Bouclier du Stalak; Ceinture de Vortex; Casque Cyclopéen; Voile d'encre; Bottes Innommables; Dofus Pourpre; Dofus Ocre; Dofus Abyssal; Dofus Vulbis; Dofus Ivoire; Dofus Turquoise; Dragodinde Emeraude et Orchidée</t>
        </is>
      </c>
    </row>
    <row r="17093">
      <c r="A17093" t="inlineStr">
        <is>
          <t>Eniripsa M 200</t>
        </is>
      </c>
      <c r="B17093">
        <f>HYPERLINK("https://www.dofusbook.net/fr/equipement/3517026-eniripsa-m-200/objets", "link")</f>
        <v/>
      </c>
      <c r="C17093" t="n">
        <v>2</v>
      </c>
      <c r="D17093" t="inlineStr">
        <is>
          <t>Manthache; Collier du Valet Veinard; Gant du Valet Veinard; Alliance Gloursonne; Bouclier du Stalak; Sangle Oriole; Casque Volkorne; Cape Indescriptible; Palmes Trithons; Dofus Ocre; Dofus Pourpre; Dofus Ivoire; Cascadeur majeur; Nomade; Remueur; Volkorne Améthyste</t>
        </is>
      </c>
    </row>
    <row r="17094">
      <c r="A17094" t="inlineStr">
        <is>
          <t>Eniripsa M 200</t>
        </is>
      </c>
      <c r="B17094">
        <f>HYPERLINK("https://www.dofusbook.net/fr/equipement/3516995-eniripsa-m-200/objets", "link")</f>
        <v/>
      </c>
      <c r="C17094" t="n">
        <v>1</v>
      </c>
      <c r="D17094" t="inlineStr">
        <is>
          <t>Dagoulinantes; Amulette du Strigide; Alliance Gloursonne; Anneau Volkorne; Bouclier alvéolé; Pagne du Rykaon; Masque des Fonds marins; Chevelure de Tal Kasha; Sandales de Tal Kasha; Dofus Turquoise; Dofus Pourpre; Dofus Vulbis; Dofus Ocre; Chanceux majeur; Remueur; Volkorne Indigo</t>
        </is>
      </c>
    </row>
    <row r="17095">
      <c r="A17095" t="inlineStr">
        <is>
          <t>eau terre nul</t>
        </is>
      </c>
      <c r="B17095">
        <f>HYPERLINK("https://www.dofusbook.net/fr/equipement/3516970-eau-terre-nul/objets", "link")</f>
        <v/>
      </c>
      <c r="C17095" t="n">
        <v>2</v>
      </c>
      <c r="D17095" t="inlineStr">
        <is>
          <t>Épouvante; Amulette du Piloztère; Anneau en Grithril; Bracelet du Piloztère; Bouclier alvéolé; Ceinture de la Reine des Voleurs; Coiffe de la Reine des Voleurs; Cape Luminescente; Pantoufles du Piloztère; Dofus Ocre; Dofus Ivoire; Dofus Vulbis; Dofus Turquoise; Dofus Pourpre; Dofus des Glaces; Volkorne Améthyste</t>
        </is>
      </c>
    </row>
    <row r="17096">
      <c r="A17096" t="inlineStr">
        <is>
          <t>arc de merde</t>
        </is>
      </c>
      <c r="B17096">
        <f>HYPERLINK("https://www.dofusbook.net/fr/equipement/3516936-arc-de-merde/objets", "link")</f>
        <v/>
      </c>
      <c r="C17096" t="n">
        <v>0</v>
      </c>
      <c r="D17096" t="inlineStr">
        <is>
          <t>Arc Volkorne; Amulette Volkorne; Bague Trithon; Anneau Volkorne; Quatre-feuilles; Ceinture Volkorne; Casque Volkorne; Cape du Chalœil; Bottes du Chalœil; Dofus Ocre; Dofus Turquoise; Dofus des Glaces; Dofus Pourpre; Dofus Ivoire; Dolmanax; Volkorne Ivoire</t>
        </is>
      </c>
    </row>
    <row r="17097">
      <c r="A17097" t="inlineStr">
        <is>
          <t>air</t>
        </is>
      </c>
      <c r="B17097">
        <f>HYPERLINK("https://www.dofusbook.net/fr/equipement/3023520-air/objets", "link")</f>
        <v/>
      </c>
      <c r="C17097" t="n">
        <v>2</v>
      </c>
      <c r="D17097" t="inlineStr"/>
    </row>
    <row r="17098">
      <c r="A17098" t="inlineStr">
        <is>
          <t>eau 2.45. 2</t>
        </is>
      </c>
      <c r="B17098">
        <f>HYPERLINK("https://www.dofusbook.net/fr/equipement/2970572-eau-2-45--2/objets", "link")</f>
        <v/>
      </c>
      <c r="C17098" t="n">
        <v>2</v>
      </c>
      <c r="D17098" t="inlineStr">
        <is>
          <t>Dagoulinantes; Amulette du Strigide; Alliance Gloursonne; Bague Trithon; Cadran d'Air; Ceintacé; Némès de Tal Kasha; Chevelure de Tal Kasha; Bottes du Sinistrofu; Dofus des Glaces; Dofus Pourpre; Dofus Ivoire; Remueur; Chanceux majeur; Évasif majeur; Muldo Ebène et Orchidée</t>
        </is>
      </c>
    </row>
    <row r="17099">
      <c r="A17099" t="inlineStr">
        <is>
          <t>terre</t>
        </is>
      </c>
      <c r="B17099">
        <f>HYPERLINK("https://www.dofusbook.net/fr/equipement/2970362-terre/objets", "link")</f>
        <v/>
      </c>
      <c r="C17099" t="n">
        <v>1</v>
      </c>
      <c r="D17099" t="inlineStr">
        <is>
          <t>Dagues Érhy; Collier de Tourthon; Bague Gloursonne; Anneau Chevelu; Bouclier d'Ilyzaelle; Ceinture de la Cour Sombre; Masque de Koutoulou; Cape du Cœur Saignant; Bottes de la Cour Sombre; Dofus des Glaces; Dofus Ivoire; Dofus Émeraude; Enragé majeur; Remueur; Forcené majeur; Muldo Indigo et Pourpre</t>
        </is>
      </c>
    </row>
    <row r="17100">
      <c r="A17100" t="inlineStr">
        <is>
          <t>enu sad xel</t>
        </is>
      </c>
      <c r="B17100">
        <f>HYPERLINK("https://www.dofusbook.net/fr/equipement/2967988-enu-sad-xel/objets", "link")</f>
        <v/>
      </c>
      <c r="C17100" t="n">
        <v>0</v>
      </c>
      <c r="D17100" t="inlineStr">
        <is>
          <t>Baguette de Malléfisk; Pendentif mignon de Koutoulou; Anneau Tique; Anneauræus; Cadran de Feu; Ceinture de l'Esprit Malsain; Casque Cyclopéen; Voile d'encre; Bottes Innommables; Dofus Ocre; Dofus Abyssal; Dofus Ivoire; Remueur; Cavaleur majeur; Érudit majeur; Muldo Pourpre</t>
        </is>
      </c>
    </row>
    <row r="17101">
      <c r="A17101" t="inlineStr">
        <is>
          <t>sadi enu xel</t>
        </is>
      </c>
      <c r="B17101">
        <f>HYPERLINK("https://www.dofusbook.net/fr/equipement/2968039-sadi-enu-xel/objets", "link")</f>
        <v/>
      </c>
      <c r="C17101" t="n">
        <v>12</v>
      </c>
      <c r="D17101" t="inlineStr">
        <is>
          <t>Rapière aux Glyphes; Amulette de l'Œil Attentif; Bague Trithon; Alliance Gloursonne; Bouclier du Stalak; Poulpagne; Masque des Fonds marins; Cape de l'Œil Attentif; Bottes du Sinistrofu; Dofus des Glaces; Dofus Pourpre; Dofus Ivoire; Remueur; Cavaleur majeur; Chanceux majeur; Muldo Indigo et Pourpre</t>
        </is>
      </c>
    </row>
    <row r="17102">
      <c r="A17102" t="inlineStr">
        <is>
          <t>enu sadi xel</t>
        </is>
      </c>
      <c r="B17102">
        <f>HYPERLINK("https://www.dofusbook.net/fr/equipement/2968025-enu-sadi-xel/objets", "link")</f>
        <v/>
      </c>
      <c r="C17102" t="n">
        <v>1</v>
      </c>
      <c r="D17102" t="inlineStr">
        <is>
          <t>Pelle de la Cour Sombre; Collier du Valet Veinard; Alliance Gloursonne; Gant du Valet Veinard; Cadran de Feu; Menoture; Dorabysses; Cape du Kamasterisk; Palmes Trithons; Dofus Abyssal; Dofus Émeraude; Dofus Ivoire; Cascadeur majeur; Remueur; Fonceur majeur; Muldo Ebène</t>
        </is>
      </c>
    </row>
    <row r="17103">
      <c r="A17103" t="inlineStr">
        <is>
          <t>enu sadi xel</t>
        </is>
      </c>
      <c r="B17103">
        <f>HYPERLINK("https://www.dofusbook.net/fr/equipement/2967496-enu-sadi-xel/objets", "link")</f>
        <v/>
      </c>
      <c r="C17103" t="n">
        <v>0</v>
      </c>
      <c r="D17103" t="inlineStr">
        <is>
          <t>Anneau Tique; Anneauræus; Cadran de Feu; Ceinture de Vortex; Heaume Oplate; Chaussures Ardentes</t>
        </is>
      </c>
    </row>
    <row r="17104">
      <c r="A17104" t="inlineStr">
        <is>
          <t>eau eni panda</t>
        </is>
      </c>
      <c r="B17104">
        <f>HYPERLINK("https://www.dofusbook.net/fr/equipement/2965140-eau-eni-panda/objets", "link")</f>
        <v/>
      </c>
      <c r="C17104" t="n">
        <v>4</v>
      </c>
      <c r="D17104" t="inlineStr">
        <is>
          <t>Dagoulinantes; Talisman Glouti; Alliance Gloursonne; Bague Trithon; Bouclier du Stalak; Ceintacé; Némès de Tal Kasha; Chevelure de Tal Kasha; Bottes du Sinistrofu; Dofus Ivoire; Dofus Abyssal; Dofus Pourpre; Évasif majeur; Chanceux majeur; Remueur; Muldo Ebène et Orchidée</t>
        </is>
      </c>
    </row>
    <row r="17105">
      <c r="A17105" t="inlineStr">
        <is>
          <t>terre reflexe</t>
        </is>
      </c>
      <c r="B17105">
        <f>HYPERLINK("https://www.dofusbook.net/fr/equipement/2959439-terre-reflexe/objets", "link")</f>
        <v/>
      </c>
      <c r="C17105" t="n">
        <v>0</v>
      </c>
      <c r="D17105" t="inlineStr">
        <is>
          <t>Bêche Asse; Amulette du Strigide; Bague Gloursonne; Anneau Chevelu; Ceinture du Strigide; Masque de Koutoulou; Cape au Logis; Bottes du Cœur Saignant</t>
        </is>
      </c>
    </row>
    <row r="17106">
      <c r="A17106" t="inlineStr">
        <is>
          <t>ré pou 2</t>
        </is>
      </c>
      <c r="B17106">
        <f>HYPERLINK("https://www.dofusbook.net/fr/equipement/2948796-re-pou-2/objets", "link")</f>
        <v/>
      </c>
      <c r="C17106" t="n">
        <v>0</v>
      </c>
      <c r="D17106" t="inlineStr">
        <is>
          <t>Arc corrompu; Amulette de Nileza; Anneau de Nidas; Anneauræus; Quatre-feuilles; Ceinture de Vortex; Couronne de Nidas; Voile d'encre; Pataugastrique; Dofus Turquoise; Dofus Ivoire; Dofus Pourpre; Dofus Abyssal; Remueur; Érudit majeur; Muldo Orchidée et Pourpre</t>
        </is>
      </c>
    </row>
    <row r="17107">
      <c r="A17107" t="inlineStr">
        <is>
          <t>eni panda roub</t>
        </is>
      </c>
      <c r="B17107">
        <f>HYPERLINK("https://www.dofusbook.net/fr/equipement/2943152-eni-panda-roub/objets", "link")</f>
        <v/>
      </c>
      <c r="C17107" t="n">
        <v>0</v>
      </c>
      <c r="D17107" t="inlineStr">
        <is>
          <t>Arc corrompu; Pendentif mignon de Koutoulou; Anneauræus; Anneau Tique; Bouclier à hélice; Ceinture de Vortex; Casque Cyclopéen; Cape de Diondin; Bottes Innommables; Dofus Abyssal; Dofus Ivoire; Dofus Pourpre; Érudit majeur; Remueur; Déserteur majeur; Muldo Orchidée</t>
        </is>
      </c>
    </row>
    <row r="17108">
      <c r="A17108" t="inlineStr">
        <is>
          <t>feu eni steam iop</t>
        </is>
      </c>
      <c r="B17108">
        <f>HYPERLINK("https://www.dofusbook.net/fr/equipement/2861500-feu-eni-steam-iop/objets", "link")</f>
        <v/>
      </c>
      <c r="C17108" t="n">
        <v>0</v>
      </c>
      <c r="D17108" t="inlineStr">
        <is>
          <t>Plumeau Bil; Amulette de Nileza; Anneauræus; Anneau Tique; Bouclier du Stalak; Ceinture de Vortex; Heaume Oplate; Cape Ardente; Chaussures Ardentes; Dofus Abyssal; Dofus Forgelave; Dofus Ivoire; Dofus Pourpre; Remueur; Érudit majeur; Muldo Orchidée et Pourpre</t>
        </is>
      </c>
    </row>
    <row r="17109">
      <c r="A17109" t="inlineStr">
        <is>
          <t>ré pou</t>
        </is>
      </c>
      <c r="B17109">
        <f>HYPERLINK("https://www.dofusbook.net/fr/equipement/2939572-re-pou/objets", "link")</f>
        <v/>
      </c>
      <c r="C17109" t="n">
        <v>0</v>
      </c>
      <c r="D17109" t="inlineStr">
        <is>
          <t>Baguette de Malléfisk; Amulette de Nileza; Anneau de Nidas; Anneauræus; Bouclier de Solar; Ceinture de Vortex; Heaume Oplate; Cape Ardente; Chaussures Ardentes; Dofus Forgelave; Dofus Ivoire; Dofus Abyssal; Remueur; Solide majeur; Érudit majeur; Muldo Ebène et Pourpre</t>
        </is>
      </c>
    </row>
    <row r="17110">
      <c r="A17110" t="inlineStr">
        <is>
          <t>draft</t>
        </is>
      </c>
      <c r="B17110">
        <f>HYPERLINK("https://www.dofusbook.net/fr/equipement/2936501-draft/objets", "link")</f>
        <v/>
      </c>
      <c r="C17110" t="n">
        <v>0</v>
      </c>
      <c r="D17110" t="inlineStr">
        <is>
          <t>Sceptre du Roi Joueur; Amulette du Strigide; Bracelet des Fonds marins; Alliance Gloursonne; Cadran de Terre; Poulpagne; Kidibonnet; Cape du Sinistrofu; Bottes du Sinistrofu; Dofus Abyssal; Dofus Émeraude; Dofus Ivoire; Étourdisseur majeur; Chanceux majeur; Muldo Ebène et Indigo</t>
        </is>
      </c>
    </row>
    <row r="17111">
      <c r="A17111" t="inlineStr">
        <is>
          <t>air fui</t>
        </is>
      </c>
      <c r="B17111">
        <f>HYPERLINK("https://www.dofusbook.net/fr/equipement/2936269-air-fui/objets", "link")</f>
        <v/>
      </c>
      <c r="C17111" t="n">
        <v>1</v>
      </c>
      <c r="D17111" t="inlineStr">
        <is>
          <t>Manthache; Collier du Valet Veinard; Alliance Gloursonne; Gant du Valet Veinard; Bouclier du Stalak; Menoture; Casque Dragoeuf; Cape du Kamasterisk; Palmes Trithons; Dofus Ivoire; Dofus Émeraude; Dofus Abyssal; Étourdisseur majeur; Cascadeur majeur; Remueur; Muldo Ebène et Amande</t>
        </is>
      </c>
    </row>
    <row r="17112">
      <c r="A17112" t="inlineStr">
        <is>
          <t>xel roub zob</t>
        </is>
      </c>
      <c r="B17112">
        <f>HYPERLINK("https://www.dofusbook.net/fr/equipement/2932750-xel-roub-zob/objets", "link")</f>
        <v/>
      </c>
      <c r="C17112" t="n">
        <v>0</v>
      </c>
      <c r="D17112" t="inlineStr">
        <is>
          <t>Manthache; Collier du Valet Veinard; Gant du Valet Veinard; Alliance Gloursonne; Bouclier d'Ilyzaelle; Menoture; Casque Dragoeuf; Cape du Kamasterisk; Palmes Trithons; Dofus Pourpre; Dofus Abyssal; Dofus Ivoire; Remueur; Évasif majeur; Cascadeur majeur; Muldo Ebène</t>
        </is>
      </c>
    </row>
    <row r="17113">
      <c r="A17113" t="inlineStr">
        <is>
          <t>xel roub zob</t>
        </is>
      </c>
      <c r="B17113">
        <f>HYPERLINK("https://www.dofusbook.net/fr/equipement/2932677-xel-roub-zob/objets", "link")</f>
        <v/>
      </c>
      <c r="C17113" t="n">
        <v>0</v>
      </c>
      <c r="D17113" t="inlineStr">
        <is>
          <t>Plumeau Bil; Pendentif mignon de Koutoulou; Anneau Tique; Anneau Rifique; Bouclier du Stalak; Ceinture de l'Esprit Malsain; Heaume Oplate; Voile d'encre; Bottes Innommables; Dofus Pourpre; Dofus Ivoire; Déserteur majeur; Érudit majeur; Remueur; Solide majeur; Muldo Ebène et Pourpre</t>
        </is>
      </c>
    </row>
    <row r="17114">
      <c r="A17114" t="inlineStr">
        <is>
          <t>feu fui</t>
        </is>
      </c>
      <c r="B17114">
        <f>HYPERLINK("https://www.dofusbook.net/fr/equipement/2930893-feu-fui/objets", "link")</f>
        <v/>
      </c>
      <c r="C17114" t="n">
        <v>1</v>
      </c>
      <c r="D17114" t="inlineStr">
        <is>
          <t>Arc corrompu; Pendentif affamé; Anneauræus; Anneau de Nidas; Quatre-feuilles; Ceinture de Vortex; Couronne de Nidas; Voile d'encre; Bottes Innommables; Dofus Ocre; Dofus Pourpre; Dofus Ivoire; Érudit majeur; Déserteur majeur; Remueur</t>
        </is>
      </c>
    </row>
    <row r="17115">
      <c r="A17115" t="inlineStr">
        <is>
          <t>eau do cri</t>
        </is>
      </c>
      <c r="B17115">
        <f>HYPERLINK("https://www.dofusbook.net/fr/equipement/2917398-eau-do-cri/objets", "link")</f>
        <v/>
      </c>
      <c r="C17115" t="n">
        <v>0</v>
      </c>
      <c r="D17115" t="inlineStr">
        <is>
          <t>Sceptre du Roi Joueur; Amulette Voldelor; Alliance Gloursonne; Bague Trithon; Quatre-feuilles; Ceinture Voldelor; Masque des Fonds marins; Chevelure de Tal Kasha; Pataugastrique; Dofus des Glaces; Dofus Turquoise; Dofus Ivoire; Dofus Pourpre; Remueur; Chanceux majeur; Muldo Ebène et Pourpre</t>
        </is>
      </c>
    </row>
    <row r="17116">
      <c r="A17116" t="inlineStr">
        <is>
          <t>terre</t>
        </is>
      </c>
      <c r="B17116">
        <f>HYPERLINK("https://www.dofusbook.net/fr/equipement/2916966-terre/objets", "link")</f>
        <v/>
      </c>
      <c r="C17116" t="n">
        <v>0</v>
      </c>
      <c r="D17116" t="inlineStr">
        <is>
          <t>Lav'Hache; Amulette du Strigide; Anneau Chevelu; Bague Gloursonne; Quatre-feuilles; Ceinture du Strigide; Masque de Koutoulou; Cape au Logis; Bottes du Cœur Saignant; Dofus Abyssal; Dofus Ivoire; Dofus Turquoise; Dofus Pourpre; Enragé majeur; Remueur; Croum</t>
        </is>
      </c>
    </row>
    <row r="17117">
      <c r="A17117" t="inlineStr">
        <is>
          <t>eau do cri</t>
        </is>
      </c>
      <c r="B17117">
        <f>HYPERLINK("https://www.dofusbook.net/fr/equipement/2831768-eau-do-cri/objets", "link")</f>
        <v/>
      </c>
      <c r="C17117" t="n">
        <v>0</v>
      </c>
      <c r="D17117" t="inlineStr">
        <is>
          <t>Sceptre du Roi Joueur; Amulette Voldelor; Alliance Gloursonne; Bague Trithon; Cadran de Terre; Ceinture Voldelor; Masque des Fonds marins; Chevelure de Tal Kasha; Pataugastrique; Dofus Turquoise; Dofus Pourpre; Dofus Ivoire; Étourdisseur majeur; Remueur; Chanceux majeur; Muldo Ebène et Pourpre</t>
        </is>
      </c>
    </row>
    <row r="17118">
      <c r="A17118" t="inlineStr">
        <is>
          <t>duo ily lolo</t>
        </is>
      </c>
      <c r="B17118">
        <f>HYPERLINK("https://www.dofusbook.net/fr/equipement/2903029-duo-ily-lolo/objets", "link")</f>
        <v/>
      </c>
      <c r="C17118" t="n">
        <v>2</v>
      </c>
      <c r="D17118" t="inlineStr">
        <is>
          <t>Baguette Héroclite; Talisman Glouti; Alliance Gloursonne; Bracelet des Fonds marins; Bouclier du Stalak; Poulpagne; Casque d'Ilyzaelle; Cape du Sinistrofu; Bottes du Sinistrofu; Dofus Abyssal; Dofus Pourpre; Dofus des Glaces; Vigoureux majeur; Remueur; Chanceux majeur; Muldo Indigo</t>
        </is>
      </c>
    </row>
    <row r="17119">
      <c r="A17119" t="inlineStr">
        <is>
          <t>feu demi</t>
        </is>
      </c>
      <c r="B17119">
        <f>HYPERLINK("https://www.dofusbook.net/fr/equipement/2903001-feu-demi/objets", "link")</f>
        <v/>
      </c>
      <c r="C17119" t="n">
        <v>1</v>
      </c>
      <c r="D17119" t="inlineStr">
        <is>
          <t>Arc corrompu; Pendentif mignon de Koutoulou; Anneauræus; Anneauræus; Sept ans de malheur; Ceinture de Vortex; Casque Cyclopéen; Voile d'encre; Bottes Innommables; Dofus Ocre; Dofus Ivoire; Dofus Abyssal; Étourdisseur majeur; Érudit majeur; Remueur; Muldo Pourpre et Amande</t>
        </is>
      </c>
    </row>
    <row r="17120">
      <c r="A17120" t="inlineStr">
        <is>
          <t>eau demi</t>
        </is>
      </c>
      <c r="B17120">
        <f>HYPERLINK("https://www.dofusbook.net/fr/equipement/2902841-eau-demi/objets", "link")</f>
        <v/>
      </c>
      <c r="C17120" t="n">
        <v>0</v>
      </c>
      <c r="D17120" t="inlineStr">
        <is>
          <t>Sceptre du Roi Joueur; Amulette de l'Œil Attentif; Bracelet des Fonds marins; Alliance Gloursonne; Sept ans de malheur; Poulpagne; Cape du Sinistrofu; Bottes du Sinistrofu; Dofus Émeraude; Dofus Ivoire; Dofus Pourpre; Dofus Abyssal; Étourdisseur majeur; Chanceux majeur; Muldo Ebène</t>
        </is>
      </c>
    </row>
    <row r="17121">
      <c r="A17121" t="inlineStr">
        <is>
          <t>eau fui</t>
        </is>
      </c>
      <c r="B17121">
        <f>HYPERLINK("https://www.dofusbook.net/fr/equipement/2876262-eau-fui/objets", "link")</f>
        <v/>
      </c>
      <c r="C17121" t="n">
        <v>0</v>
      </c>
      <c r="D17121" t="inlineStr">
        <is>
          <t>Sceptre du Roi Joueur; Amulette de l'Œil Attentif; Alliance Gloursonne; Anneau Tique; Bouclier du Stalak; Poulpagne; Cape de l'Œil Attentif; Bottes du Sinistrofu; Dofus Ivoire; Étourdisseur majeur; Cavaleur majeur; Remueur; Déserteur majeur; Chanceux majeur; Muldo Indigo et Amande</t>
        </is>
      </c>
    </row>
    <row r="17122">
      <c r="A17122" t="inlineStr">
        <is>
          <t>eau air fui</t>
        </is>
      </c>
      <c r="B17122">
        <f>HYPERLINK("https://www.dofusbook.net/fr/equipement/2875938-eau-air-fui/objets", "link")</f>
        <v/>
      </c>
      <c r="C17122" t="n">
        <v>2</v>
      </c>
      <c r="D17122" t="inlineStr">
        <is>
          <t>Sceptre du Roi Joueur; Amulette d'Ilyzaelle; Anneau Tique; Alliance Gloursonne; Bouclier du Stalak; Ceinture Voldelor; Casque d'Ilyzaelle; Cape Matelassée; Bottes de la Reine des Voleurs; Dofus Ivoire; Dofus Abyssal; Étourdisseur majeur; Évasif majeur; Remueur; Déserteur majeur; Muldo Ebène et Amande</t>
        </is>
      </c>
    </row>
    <row r="17123">
      <c r="A17123" t="inlineStr">
        <is>
          <t>eau f3s 2</t>
        </is>
      </c>
      <c r="B17123">
        <f>HYPERLINK("https://www.dofusbook.net/fr/equipement/2886714-eau-f3s-2/objets", "link")</f>
        <v/>
      </c>
      <c r="C17123" t="n">
        <v>0</v>
      </c>
      <c r="D17123" t="inlineStr">
        <is>
          <t>Sceptre du Roi Joueur; Amulette de l'Œil Attentif; Alliance Gloursonne; Bracelet des Fonds marins; Bouclier du Stalak; Ceinture Voldelor; Kidibonnet; Cape du Sinistrofu; Bottes du Sinistrofu; Dofus Ivoire; Dofus Abyssal; Déserteur majeur; Chanceux majeur; Remueur; Étourdisseur majeur; Muldo Ebène</t>
        </is>
      </c>
    </row>
    <row r="17124">
      <c r="A17124" t="inlineStr">
        <is>
          <t>eau fsss</t>
        </is>
      </c>
      <c r="B17124">
        <f>HYPERLINK("https://www.dofusbook.net/fr/equipement/2886636-eau-fsss/objets", "link")</f>
        <v/>
      </c>
      <c r="C17124" t="n">
        <v>0</v>
      </c>
      <c r="D17124" t="inlineStr">
        <is>
          <t>Sceptre du Roi Joueur; Amulette de l'Œil Attentif; Alliance Gloursonne; Anneau Tique; Cadran de Terre; Poulpagne; Masque des Fonds marins; Cape de l'Œil Attentif; Bottes du Sinistrofu; Dofus Abyssal; Dofus Ivoire; Étourdisseur majeur; Cavaleur majeur; Chanceux majeur; Remueur; Muldo Indigo</t>
        </is>
      </c>
    </row>
    <row r="17125">
      <c r="A17125" t="inlineStr">
        <is>
          <t>eau r4</t>
        </is>
      </c>
      <c r="B17125">
        <f>HYPERLINK("https://www.dofusbook.net/fr/equipement/2413084-eau-r4/objets", "link")</f>
        <v/>
      </c>
      <c r="C17125" t="n">
        <v>0</v>
      </c>
      <c r="D17125" t="inlineStr">
        <is>
          <t>Sceptre du Roi Joueur; Amulette de l'Œil Attentif; Anneau Tique; Alliance Gloursonne; Bouclier du Stalak; Poulpagne; Masque des Fonds marins; Cape de l'Œil Attentif; Bottes du Sinistrofu; Dofus Ivoire; Étourdisseur majeur; Remueur; Chanceux majeur; Déserteur majeur; Cavaleur majeur; Muldo Indigo et Amande</t>
        </is>
      </c>
    </row>
    <row r="17126">
      <c r="A17126" t="inlineStr">
        <is>
          <t>Air</t>
        </is>
      </c>
      <c r="B17126">
        <f>HYPERLINK("https://www.dofusbook.net/fr/equipement/2872618-air/objets", "link")</f>
        <v/>
      </c>
      <c r="C17126" t="n">
        <v>1</v>
      </c>
      <c r="D17126" t="inlineStr">
        <is>
          <t>Lance Horselé; Collier du Valet Veinard; Gant du Valet Veinard; Alliance Gloursonne; Bouclier cubiste; Menoture; Chapeau de Tournoyé; Cape du Kamasterisk; Palmes Trithons; Dofus Ivoire; Dofus Pourpre; Dofus Abyssal; Remueur; Cascadeur majeur; Temporiseur majeur; Muldo Ebène</t>
        </is>
      </c>
    </row>
    <row r="17127">
      <c r="A17127" t="inlineStr">
        <is>
          <t>eau</t>
        </is>
      </c>
      <c r="B17127">
        <f>HYPERLINK("https://www.dofusbook.net/fr/equipement/2864930-eau/objets", "link")</f>
        <v/>
      </c>
      <c r="C17127" t="n">
        <v>1</v>
      </c>
      <c r="D17127" t="inlineStr">
        <is>
          <t>Sceptre du Roi Joueur; Amulette de l'Œil Attentif; Anneau Tique; Alliance Gloursonne; Bouclier d'Ilyzaelle; Poulpagne; Masque des Fonds marins; Cape de l'Œil Attentif; Bottes du Sinistrofu; Dofus Émeraude; Dofus Ivoire; Dofus Pourpre; Dofus Abyssal; Remueur; Chanceux majeur; Muldo Indigo et Pourpre</t>
        </is>
      </c>
    </row>
    <row r="17128">
      <c r="A17128" t="inlineStr">
        <is>
          <t>feu arc 4</t>
        </is>
      </c>
      <c r="B17128">
        <f>HYPERLINK("https://www.dofusbook.net/fr/equipement/2861484-feu-arc-4/objets", "link")</f>
        <v/>
      </c>
      <c r="C17128" t="n">
        <v>1</v>
      </c>
      <c r="D17128" t="inlineStr">
        <is>
          <t>Arc corrompu; Pendentif affamé; Anneau de Nidas; Anneauræus; Quatre-feuilles; Ceinture de l'Esprit Malsain; Casque Dragoeuf; Cape de Diondin; Bottes Innommables; Dofus Pourpre; Dofus Turquoise; Dofus Abyssal; Dofus Ivoire; Remueur; Érudit majeur; Muldo Indigo et Orchidée</t>
        </is>
      </c>
    </row>
    <row r="17129">
      <c r="A17129" t="inlineStr">
        <is>
          <t>feu arc3 fuite</t>
        </is>
      </c>
      <c r="B17129">
        <f>HYPERLINK("https://www.dofusbook.net/fr/equipement/2861469-feu-arc3-fuite/objets", "link")</f>
        <v/>
      </c>
      <c r="C17129" t="n">
        <v>0</v>
      </c>
      <c r="D17129" t="inlineStr">
        <is>
          <t>Arc corrompu; Pendentif affamé; Anneauræus; Anneau Rifique; Quatre-feuilles; Ceinture de Vortex; Casque Cyclopéen; Voile d'encre; Bottes Innommables; Dofus Turquoise; Dofus Ocre; Dofus Pourpre; Dofus Ivoire; Érudit majeur; Remueur; Muldo Ebène et Pourpre</t>
        </is>
      </c>
    </row>
    <row r="17130">
      <c r="A17130" t="inlineStr">
        <is>
          <t>feu arc</t>
        </is>
      </c>
      <c r="B17130">
        <f>HYPERLINK("https://www.dofusbook.net/fr/equipement/2719721-feu-arc/objets", "link")</f>
        <v/>
      </c>
      <c r="C17130" t="n">
        <v>0</v>
      </c>
      <c r="D17130" t="inlineStr">
        <is>
          <t>Arc corrompu; Pendentif mignon de Koutoulou; Anneauræus; Anneauræus; Quatre-feuilles; Ceinture de l'Esprit Malsain; Casque Cyclopéen; Voile d'encre; Bottes Innommables; Dofus Pourpre; Dofus Turquoise; Dofus Ocre; Dofus Ivoire; Remueur; Érudit majeur; Muldo Ebène et Pourpre</t>
        </is>
      </c>
    </row>
    <row r="17131">
      <c r="A17131" t="inlineStr">
        <is>
          <t>feu arc 2</t>
        </is>
      </c>
      <c r="B17131">
        <f>HYPERLINK("https://www.dofusbook.net/fr/equipement/2831799-feu-arc-2/objets", "link")</f>
        <v/>
      </c>
      <c r="C17131" t="n">
        <v>0</v>
      </c>
      <c r="D17131" t="inlineStr">
        <is>
          <t>Arc corrompu; Pendentif mignon de Koutoulou; Anneauræus; Anneau Tique; Quatre-feuilles; Ceinture de l'Esprit Malsain; Heaume Oplate; Voile d'encre; Bottes Innommables; Dofus Turquoise; Dofus Ivoire; Dofus Pourpre; Érudit majeur; Remueur; Muldo Pourpre</t>
        </is>
      </c>
    </row>
    <row r="17132">
      <c r="A17132" t="inlineStr">
        <is>
          <t>dws</t>
        </is>
      </c>
      <c r="B17132">
        <f>HYPERLINK("https://www.dofusbook.net/fr/equipement/1615761-dws/objets", "link")</f>
        <v/>
      </c>
      <c r="C17132" t="n">
        <v>0</v>
      </c>
      <c r="D17132" t="inlineStr">
        <is>
          <t>Arc corrompu; Pendentif mignon de Koutoulou; Anneau Tique; Anneauræus; Quatre-feuilles; Ceinture de Vortex; Casque Cyclopéen; Voile d'encre; Bottes Innommables; Dofus Pourpre; Dofus Ocre; Dofus Ivoire; Dofus Turquoise; Remueur; Érudit majeur; Muldo Pourpre</t>
        </is>
      </c>
    </row>
    <row r="17133">
      <c r="A17133" t="inlineStr">
        <is>
          <t>eau-feu</t>
        </is>
      </c>
      <c r="B17133">
        <f>HYPERLINK("https://www.dofusbook.net/fr/equipement/2860469-eau-feu/objets", "link")</f>
        <v/>
      </c>
      <c r="C17133" t="n">
        <v>3</v>
      </c>
      <c r="D17133" t="inlineStr">
        <is>
          <t>Arc Nécrotique; Amulette du Strigide; Alliance Gloursonne; Anneau Tique; Bouclier cubiste; Ceinture de l'Esprit Malsain; Kidibonnet; Cape de la Dame du Hasard; Bottes de la Dame du Hasard; Dofus Turquoise; Dofus Ivoire; Dofus des Glaces; Dofus Pourpre; Remueur; Temporiseur majeur; Muldo Indigo et Orchidée</t>
        </is>
      </c>
    </row>
    <row r="17134">
      <c r="A17134" t="inlineStr">
        <is>
          <t>eau ret-eni2</t>
        </is>
      </c>
      <c r="B17134">
        <f>HYPERLINK("https://www.dofusbook.net/fr/equipement/2860413-eau-ret-eni2/objets", "link")</f>
        <v/>
      </c>
      <c r="C17134" t="n">
        <v>0</v>
      </c>
      <c r="D17134" t="inlineStr">
        <is>
          <t>Baguette Héroclite; Amulette de Pol Ouatnos; Alliance Gloursonne; Bracelet des Fonds marins; Bouclier cubiste; Pagne du Rykaon; Masque des Fonds marins; Cape Solution; Bottes du Sinistrofu; Dofus Pourpre; Dofus des Glaces; Dofus Ivoire; Temporiseur majeur; Chanceux majeur; Remueur; Croum</t>
        </is>
      </c>
    </row>
    <row r="17135">
      <c r="A17135" t="inlineStr">
        <is>
          <t>eau ret-eni</t>
        </is>
      </c>
      <c r="B17135">
        <f>HYPERLINK("https://www.dofusbook.net/fr/equipement/2859595-eau-ret-eni/objets", "link")</f>
        <v/>
      </c>
      <c r="C17135" t="n">
        <v>0</v>
      </c>
      <c r="D17135" t="inlineStr">
        <is>
          <t>Baguette Héroclite; Amulette de l'Œil Attentif; Alliance Gloursonne; Anneau Tique; Bouclier cubiste; Ceinture Glaciale; Kidibonnet; Cape du Sinistrofu; Bottes du Sinistrofu; Dofus Ivoire; Dofus Pourpre; Dofus des Glaces; Remueur; Chanceux majeur; Temporiseur majeur; Muldo Pourpre</t>
        </is>
      </c>
    </row>
    <row r="17136">
      <c r="A17136" t="inlineStr">
        <is>
          <t>air</t>
        </is>
      </c>
      <c r="B17136">
        <f>HYPERLINK("https://www.dofusbook.net/fr/equipement/2858675-air/objets", "link")</f>
        <v/>
      </c>
      <c r="C17136" t="n">
        <v>0</v>
      </c>
      <c r="D17136" t="inlineStr">
        <is>
          <t>Manthache; Collier du Valet Veinard; Alliance Gloursonne; Gant du Valet Veinard; Cadran d'Air; Menoture; Dorabysses; Cape de Crânonier; Palmes Trithons; Dofus Pourpre; Dofus des Glaces; Dofus Abyssal; Dofus Ivoire; Remueur; Cascadeur majeur; Muldo Ebène</t>
        </is>
      </c>
    </row>
    <row r="17137">
      <c r="A17137" t="inlineStr">
        <is>
          <t>eau agro</t>
        </is>
      </c>
      <c r="B17137">
        <f>HYPERLINK("https://www.dofusbook.net/fr/equipement/2858603-eau-agro/objets", "link")</f>
        <v/>
      </c>
      <c r="C17137" t="n">
        <v>1</v>
      </c>
      <c r="D17137" t="inlineStr">
        <is>
          <t>Dagoulinantes; Amulette de l'Œil Attentif; Alliance Gloursonne; Anneau Tique; Bouclier d'Ilyzaelle; Pagne du Rykaon; Kidibonnet; Cape de l'Œil Attentif; Bottes du Sinistrofu; Dofus Turquoise; Dofus Ivoire; Dofus Pourpre; Dofus Abyssal; Remueur; Chanceux majeur; Muldo Ebène et Pourpre</t>
        </is>
      </c>
    </row>
    <row r="17138">
      <c r="A17138" t="inlineStr">
        <is>
          <t>feu ricol</t>
        </is>
      </c>
      <c r="B17138">
        <f>HYPERLINK("https://www.dofusbook.net/fr/equipement/2858538-feu-ricol/objets", "link")</f>
        <v/>
      </c>
      <c r="C17138" t="n">
        <v>0</v>
      </c>
      <c r="D17138" t="inlineStr">
        <is>
          <t>Dagues Ricol; Pendentif mignon de Koutoulou; Anneauræus; Anneauræus; Cadran d'Eau; Ceinture de Vortex; Casque Cyclopéen; Voile d'encre; Bottes Innommables; Dofus Turquoise; Dofus Pourpre; Dofus Ocre; Dofus Ivoire; Remueur; Érudit majeur; Muldo Ebène et Pourpre</t>
        </is>
      </c>
    </row>
    <row r="17139">
      <c r="A17139" t="inlineStr">
        <is>
          <t>eau xela</t>
        </is>
      </c>
      <c r="B17139">
        <f>HYPERLINK("https://www.dofusbook.net/fr/equipement/2833693-eau-xela/objets", "link")</f>
        <v/>
      </c>
      <c r="C17139" t="n">
        <v>0</v>
      </c>
      <c r="D17139" t="inlineStr">
        <is>
          <t>Sceptre du Roi Joueur; Amulette de l'Œil Attentif; Pikano; Alliance Gloursonne; Sept ans de malheur; Poulpagne; Kidibonnet; Cape de l'Œil Attentif; Bottes du Sinistrofu; Dofus Émeraude; Dofus Pourpre; Dofus Abyssal; Dofus Ivoire; Étourdisseur majeur; Chanceux majeur; Muldo Ebène et Indigo</t>
        </is>
      </c>
    </row>
    <row r="17140">
      <c r="A17140" t="inlineStr">
        <is>
          <t>corrompu 2</t>
        </is>
      </c>
      <c r="B17140">
        <f>HYPERLINK("https://www.dofusbook.net/fr/equipement/2811949-corrompu-2/objets", "link")</f>
        <v/>
      </c>
      <c r="C17140" t="n">
        <v>0</v>
      </c>
      <c r="D17140" t="inlineStr">
        <is>
          <t>Arc corrompu; Pendentif mignon de Koutoulou; Anneauræus; Anneauræus; Cadran de Terre; Ceinture de Vortex; Casque Cyclopéen; Voile d'encre; Bottes Innommables; Dofus Ocre; Dofus Turquoise; Dofus Ivoire; Érudit majeur; Étourdisseur majeur; Remueur; Muldo Orchidée et Pourpre</t>
        </is>
      </c>
    </row>
    <row r="17141">
      <c r="A17141" t="inlineStr">
        <is>
          <t>eau rox</t>
        </is>
      </c>
      <c r="B17141">
        <f>HYPERLINK("https://www.dofusbook.net/fr/equipement/2811788-eau--rox/objets", "link")</f>
        <v/>
      </c>
      <c r="C17141" t="n">
        <v>0</v>
      </c>
      <c r="D17141" t="inlineStr">
        <is>
          <t>Amulette de l'Œil Attentif; Alliance Gloursonne; Bracelet des Fonds marins; Poulpagne; Kidibonnet; Cape de l'Œil Attentif; Bottes du Sinistrofu</t>
        </is>
      </c>
    </row>
    <row r="17142">
      <c r="A17142" t="inlineStr">
        <is>
          <t>neymar</t>
        </is>
      </c>
      <c r="B17142">
        <f>HYPERLINK("https://www.dofusbook.net/fr/equipement/1768289-neymar/objets", "link")</f>
        <v/>
      </c>
      <c r="C17142" t="n">
        <v>0</v>
      </c>
      <c r="D17142" t="inlineStr">
        <is>
          <t>Arc de Koutoulou; Amulette Voldelor; Alliance Gloursonne; Anneau Tique; Quatre-feuilles; Ceinture Voldelor; Némès de Tal Kasha; Chevelure de Tal Kasha; Sandales de Tal Kasha; Dofus Pourpre; Dofus Émeraude; Dofus Ivoire; Dofus Turquoise; Dofus Abyssal; Dofus Ocre; Muldo Ebène</t>
        </is>
      </c>
    </row>
    <row r="17143">
      <c r="A17143" t="inlineStr">
        <is>
          <t>neymar</t>
        </is>
      </c>
      <c r="B17143">
        <f>HYPERLINK("https://www.dofusbook.net/fr/equipement/2580645-neymar/objets", "link")</f>
        <v/>
      </c>
      <c r="C17143" t="n">
        <v>1</v>
      </c>
      <c r="D17143" t="inlineStr">
        <is>
          <t>Arc de Koutoulou; Amulette Voldelor; Bague Gloursonne; Alliance Gloursonne; Quatre-feuilles; Ceinture Voldelor; Némès de Tal Kasha; Chevelure de Tal Kasha; Sandales de Tal Kasha; Dofus Pourpre; Dofus des Glaces; Dofus Turquoise; Dofus Ivoire; Dofus Abyssal; Dofus Ocre; Muldo Ebène</t>
        </is>
      </c>
    </row>
    <row r="17144">
      <c r="A17144" t="inlineStr">
        <is>
          <t>multi 1</t>
        </is>
      </c>
      <c r="B17144">
        <f>HYPERLINK("https://www.dofusbook.net/fr/equipement/2806047-multi-1/objets", "link")</f>
        <v/>
      </c>
      <c r="C17144" t="n">
        <v>0</v>
      </c>
      <c r="D17144" t="inlineStr">
        <is>
          <t>Amulette du Strigide; Bague Trithon; Ceinture du Strigide; Bottes du Strigide</t>
        </is>
      </c>
    </row>
    <row r="17145">
      <c r="A17145" t="inlineStr">
        <is>
          <t>do cri multi</t>
        </is>
      </c>
      <c r="B17145">
        <f>HYPERLINK("https://www.dofusbook.net/fr/equipement/2805823-do-cri-multi/objets", "link")</f>
        <v/>
      </c>
      <c r="C17145" t="n">
        <v>2</v>
      </c>
      <c r="D17145" t="inlineStr">
        <is>
          <t>Arc de Koutoulou; Amulette du Strigide; Bague Gloursonne; Alliance Gloursonne; Quatre-feuilles; Ceinture du Strigide; Némès de Tal Kasha; Chevelure de Tal Kasha; Sandales de Tal Kasha; Dofus Ocre; Dofus Ivoire; Dofus Pourpre; Dofus des Glaces; Dofus Turquoise; Dofus Abyssal; Muldo Ebène et Indigo</t>
        </is>
      </c>
    </row>
    <row r="17146">
      <c r="A17146" t="inlineStr">
        <is>
          <t>terre stri</t>
        </is>
      </c>
      <c r="B17146">
        <f>HYPERLINK("https://www.dofusbook.net/fr/equipement/2789026-terre-stri/objets", "link")</f>
        <v/>
      </c>
      <c r="C17146" t="n">
        <v>0</v>
      </c>
      <c r="D17146" t="inlineStr">
        <is>
          <t>Lav'Hache; Amulette du Strigide; Anneau Chevelu; Bague Gloursonne; Quatre-feuilles; Ceinture du Strigide; Masque de Koutoulou; Cape au Logis; Bottes du Cœur Saignant; Dofus Abyssal; Dofus Pourpre; Dofus Ivoire; Dofus des Glaces; Enragé majeur; Remueur; Croum</t>
        </is>
      </c>
    </row>
    <row r="17147">
      <c r="A17147" t="inlineStr">
        <is>
          <t>terre t2</t>
        </is>
      </c>
      <c r="B17147">
        <f>HYPERLINK("https://www.dofusbook.net/fr/equipement/2786485-terre-t2/objets", "link")</f>
        <v/>
      </c>
      <c r="C17147" t="n">
        <v>1</v>
      </c>
      <c r="D17147" t="inlineStr">
        <is>
          <t>Bêche Asse; Collier de Tourthon; Anneau de Brouce; Anneau Crustique; Bouclier d'Ilyzaelle; Ceinture Gence; Masque de Koutoulou; Dofusteuse; Bottes de Brouce; Dofus Pourpre; Dofus Vulbis; Enragé majeur; Robuste majeur; Forcené majeur; Vigoureux majeur; Croum</t>
        </is>
      </c>
    </row>
    <row r="17148">
      <c r="A17148" t="inlineStr">
        <is>
          <t>percutante</t>
        </is>
      </c>
      <c r="B17148">
        <f>HYPERLINK("https://www.dofusbook.net/fr/equipement/2753009-percutante/objets", "link")</f>
        <v/>
      </c>
      <c r="C17148" t="n">
        <v>8</v>
      </c>
      <c r="D17148" t="inlineStr">
        <is>
          <t>Arc corrompu; Amulette de Pol Ouatnos; Alliance Gloursonne; Anneau Tique; Cadran de Terre; Sangle Cible; Masque Ardent; Cape Ardente; Pataugastrique; Dofus Ivoire; Dofus Émeraude; Dofus Abyssal; Remueur; Paralyseur majeur; Étourdisseur majeur; Croum</t>
        </is>
      </c>
    </row>
    <row r="17149">
      <c r="A17149" t="inlineStr">
        <is>
          <t>terre 2.45</t>
        </is>
      </c>
      <c r="B17149">
        <f>HYPERLINK("https://www.dofusbook.net/fr/equipement/2777085-terre-2-45/objets", "link")</f>
        <v/>
      </c>
      <c r="C17149" t="n">
        <v>0</v>
      </c>
      <c r="D17149" t="inlineStr">
        <is>
          <t>Bêche Asse; Amulette du Strigide; Anneau Chevelu; Bague Trithon; Bouclier d'Ilyzaelle; Ceinture de Gein; Masque de Koutoulou; Cape au Logis; Bottes du Strigide; Dofus Pourpre; Dofus Abyssal; Dofus Turquoise; Vigoureux majeur; Robuste majeur; Remueur; Muldo Pourpre et Ivoire</t>
        </is>
      </c>
    </row>
    <row r="17150">
      <c r="A17150" t="inlineStr">
        <is>
          <t>feu esq</t>
        </is>
      </c>
      <c r="B17150">
        <f>HYPERLINK("https://www.dofusbook.net/fr/equipement/2776726-feu-esq/objets", "link")</f>
        <v/>
      </c>
      <c r="C17150" t="n">
        <v>0</v>
      </c>
      <c r="D17150" t="inlineStr">
        <is>
          <t>Harpelle; Pendentif mignon de Koutoulou; Anneauræus; Anneauræus; Sept ans de malheur; Ceinture de Vortex; Casque Cyclopéen; Voile d'encre; Bottes Innommables; Dofus Ivoire; Dofus Ocre; Érudit majeur; Remueur; Évasif majeur; Étourdisseur majeur; Muldo Ebène et Ivoire</t>
        </is>
      </c>
    </row>
    <row r="17151">
      <c r="A17151" t="inlineStr">
        <is>
          <t>eau esq</t>
        </is>
      </c>
      <c r="B17151">
        <f>HYPERLINK("https://www.dofusbook.net/fr/equipement/2776689-eau-esq/objets", "link")</f>
        <v/>
      </c>
      <c r="C17151" t="n">
        <v>0</v>
      </c>
      <c r="D17151" t="inlineStr">
        <is>
          <t>Sceptre du Roi Joueur; Amulette de l'Œil Attentif; Anneau Tique; Alliance Gloursonne; Cadran de Terre; Poulpagne; Masque des Fonds marins; Cape de l'Œil Attentif; Bottes du Sinistrofu; Dofus Ivoire; Dofus Abyssal; Étourdisseur majeur; Évasif majeur; Remueur; Chanceux majeur; Muldo Indigo</t>
        </is>
      </c>
    </row>
    <row r="17152">
      <c r="A17152" t="inlineStr">
        <is>
          <t>air esq</t>
        </is>
      </c>
      <c r="B17152">
        <f>HYPERLINK("https://www.dofusbook.net/fr/equipement/2776623-air-esq/objets", "link")</f>
        <v/>
      </c>
      <c r="C17152" t="n">
        <v>0</v>
      </c>
      <c r="D17152" t="inlineStr">
        <is>
          <t>Manthache; Collier du Valet Veinard; Alliance Gloursonne; Gant du Valet Veinard; Bouclier de Solar; Menoture; Casque Dragoeuf; Cape du Kamasterisk; Palmes Trithons; Dofus Abyssal; Dofus Ivoire; Évasif majeur; Étourdisseur majeur; Cascadeur majeur; Remueur; Muldo Ebène et Ivoire</t>
        </is>
      </c>
    </row>
    <row r="17153">
      <c r="A17153" t="inlineStr">
        <is>
          <t>basique</t>
        </is>
      </c>
      <c r="B17153">
        <f>HYPERLINK("https://www.dofusbook.net/fr/equipement/1660768-basique/objets", "link")</f>
        <v/>
      </c>
      <c r="C17153" t="n">
        <v>1</v>
      </c>
      <c r="D17153" t="inlineStr">
        <is>
          <t>Sceptre du Roi Joueur; Amulette du Sinistrofu; Bague Trithon; Alliance Gloursonne; Bouclier précieux; Sangle Ouare; Masque d'Anerice; Cape d'Anerice; Pataugastrique; Dofus Émeraude; Bousculeur majeur; Culbuteur majeur; Remueur; Pousseur majeur; Miraculé majeur; Péki</t>
        </is>
      </c>
    </row>
    <row r="17154">
      <c r="A17154" t="inlineStr">
        <is>
          <t>eau mallé</t>
        </is>
      </c>
      <c r="B17154">
        <f>HYPERLINK("https://www.dofusbook.net/fr/equipement/2752499-eau-malle/objets", "link")</f>
        <v/>
      </c>
      <c r="C17154" t="n">
        <v>1</v>
      </c>
      <c r="D17154" t="inlineStr">
        <is>
          <t>Baguette de Malléfisk; Amulette d'Ilyzaelle; Alliance Gloursonne; Anneau Tique; Carapar; Sangle Ouare; Casque d'Ilyzaelle; Cape de Meno; Pataugastrique; Dofus Émeraude; Remueur; Miraculé majeur; Guérisseur majeur; Chanceux majeur; Croum</t>
        </is>
      </c>
    </row>
    <row r="17155">
      <c r="A17155" t="inlineStr">
        <is>
          <t>terre 2.45</t>
        </is>
      </c>
      <c r="B17155">
        <f>HYPERLINK("https://www.dofusbook.net/fr/equipement/2744583-terre-2-45/objets", "link")</f>
        <v/>
      </c>
      <c r="C17155" t="n">
        <v>0</v>
      </c>
      <c r="D17155" t="inlineStr">
        <is>
          <t>Arc du Chalœil; Amulette du Cœur Vaillant; Anneau Chevelu; Bague Gloursonne; Quatre-feuilles; Ceinture Gence; Casque Dragoeuf; Voile d'encre; Bottes du Cœur Vaillant; Dofus Ivoire; Dofus Pourpre; Enragé majeur; Miraculé majeur; Culbuteur majeur; Remueur; Muldo Pourpre</t>
        </is>
      </c>
    </row>
    <row r="17156">
      <c r="A17156" t="inlineStr">
        <is>
          <t>corrompu</t>
        </is>
      </c>
      <c r="B17156">
        <f>HYPERLINK("https://www.dofusbook.net/fr/equipement/2744412-corrompu/objets", "link")</f>
        <v/>
      </c>
      <c r="C17156" t="n">
        <v>0</v>
      </c>
      <c r="D17156" t="inlineStr">
        <is>
          <t>Lance corrompue; Anneau Chevelu; Anneau Crustique; Cadran d'Eau; Ceinture de la Reine des Voleurs; Coiffe de la Reine des Voleurs; Voile d'encre; Sabots Minables; Dofus Abyssal; Dofus Émeraude; Dofus Ivoire; Dofus des Glaces; Remueur; Étourdisseur majeur; Muldo Ebène et Pourpre</t>
        </is>
      </c>
    </row>
    <row r="17157">
      <c r="A17157" t="inlineStr">
        <is>
          <t>terre 2.45</t>
        </is>
      </c>
      <c r="B17157">
        <f>HYPERLINK("https://www.dofusbook.net/fr/equipement/2737970-terre-2-45/objets", "link")</f>
        <v/>
      </c>
      <c r="C17157" t="n">
        <v>0</v>
      </c>
      <c r="D17157" t="inlineStr">
        <is>
          <t>Arc du Chalœil; Amulette du Strigide; Anneau Chevelu; Bague Gloursonne; Quatre-feuilles; Ceinture de la Cour Sombre; Masque de Koutoulou; Voile d'encre; Bottes du Strigide; Dofus Turquoise; Dofus Pourpre; Dofus Abyssal; Remueur; Enragé majeur; Muldo Pourpre</t>
        </is>
      </c>
    </row>
    <row r="17158">
      <c r="A17158" t="inlineStr">
        <is>
          <t>eau air new</t>
        </is>
      </c>
      <c r="B17158">
        <f>HYPERLINK("https://www.dofusbook.net/fr/equipement/2568303-eau-air-new/objets", "link")</f>
        <v/>
      </c>
      <c r="C17158" t="n">
        <v>3</v>
      </c>
      <c r="D17158" t="inlineStr">
        <is>
          <t>Sceptre du Roi Joueur; Amulette d'Ilyzaelle; Anneau Tique; Alliance Gloursonne; Sept ans de malheur; Ceinture Voldelor; Casque d'Ilyzaelle; Cape Matelassée; Bottes de la Reine des Voleurs; Dofus Pourpre; Dofus des Glaces; Dofus Ivoire; Étourdisseur majeur; Remueur; Muldo Ebène</t>
        </is>
      </c>
    </row>
    <row r="17159">
      <c r="A17159" t="inlineStr">
        <is>
          <t>air</t>
        </is>
      </c>
      <c r="B17159">
        <f>HYPERLINK("https://www.dofusbook.net/fr/equipement/2719653-air/objets", "link")</f>
        <v/>
      </c>
      <c r="C17159" t="n">
        <v>0</v>
      </c>
      <c r="D17159" t="inlineStr">
        <is>
          <t>Manthache; Collier du Valet Veinard; Alliance Gloursonne; Gant du Valet Veinard; Bouclier d'Ilyzaelle; Menoture; Casque Dragoeuf; Cape Indescriptible; Palmes Trithons; Dofus Émeraude; Dofus Abyssal; Dofus Pourpre; Dofus Ivoire; Cascadeur majeur; Remueur; Muldo Ebène</t>
        </is>
      </c>
    </row>
    <row r="17160">
      <c r="A17160" t="inlineStr">
        <is>
          <t>agi</t>
        </is>
      </c>
      <c r="B17160">
        <f>HYPERLINK("https://www.dofusbook.net/fr/equipement/2719391-agi/objets", "link")</f>
        <v/>
      </c>
      <c r="C17160" t="n">
        <v>1</v>
      </c>
      <c r="D17160" t="inlineStr">
        <is>
          <t>Lance Horselé; Collier du Valet Veinard; Alliance Gloursonne; Gant du Valet Veinard; Cadran d'Air; Menoture; Chapeau de Tournoyé; Cape du Kamasterisk; Palmes Trithons; Dofus Abyssal; Dofus Émeraude; Dofus Ivoire; Dofus Pourpre; Cascadeur majeur; Remueur; Muldo Ebène</t>
        </is>
      </c>
    </row>
    <row r="17161">
      <c r="A17161" t="inlineStr">
        <is>
          <t>eau full esq pm</t>
        </is>
      </c>
      <c r="B17161">
        <f>HYPERLINK("https://www.dofusbook.net/fr/equipement/2686434-eau-full-esq-pm/objets", "link")</f>
        <v/>
      </c>
      <c r="C17161" t="n">
        <v>0</v>
      </c>
      <c r="D17161" t="inlineStr">
        <is>
          <t>Sceptre du Roi Joueur; Amulette de Shokkoth; Alliance Gloursonne; Bracelet des Fonds marins; Cadran de Terre; Poulpagne; Masque d'Anerice; Cape d'Anerice; Bottes du Sinistrofu; Dofus Abyssal; Dofus Ivoire; Étourdisseur majeur; Remueur; Cavaleur majeur; Chanceux majeur; Muldo Indigo</t>
        </is>
      </c>
    </row>
    <row r="17162">
      <c r="A17162" t="inlineStr">
        <is>
          <t>corromp do pou</t>
        </is>
      </c>
      <c r="B17162">
        <f>HYPERLINK("https://www.dofusbook.net/fr/equipement/2684174-corromp-do-pou/objets", "link")</f>
        <v/>
      </c>
      <c r="C17162" t="n">
        <v>2</v>
      </c>
      <c r="D17162" t="inlineStr">
        <is>
          <t>Lance corrompue; Amulette du Cœur Vaillant; Bague Gloursonne; Anneau Chevelu; Cadran d'Eau; Ceinture de la Reine des Voleurs; Coiffe de la Reine des Voleurs; Cape au Logis; Sabots Minables; Dofus des Glaces; Dofus Ivoire; Dofus Abyssal; Culbuteur majeur; Enragé majeur; Remueur; Croum</t>
        </is>
      </c>
    </row>
    <row r="17163">
      <c r="A17163" t="inlineStr">
        <is>
          <t>feu eau</t>
        </is>
      </c>
      <c r="B17163">
        <f>HYPERLINK("https://www.dofusbook.net/fr/equipement/2683805-feu-eau/objets", "link")</f>
        <v/>
      </c>
      <c r="C17163" t="n">
        <v>0</v>
      </c>
      <c r="D17163" t="inlineStr">
        <is>
          <t>Baguette de Malléfisk; Amulette d'Ilyzaelle; Alliance du Lévitrof; Lavanneau; Carapar; Sangle Ouare; Casque d'Ilyzaelle; Cape de Meno; Pataugastrique; Dofus Émeraude; Dofus Ivoire; Dolmanax; Dofus Abyssal; Chanceux majeur; Remueur; Muldo Indigo et Orchidée</t>
        </is>
      </c>
    </row>
    <row r="17164">
      <c r="A17164" t="inlineStr">
        <is>
          <t>terre ret</t>
        </is>
      </c>
      <c r="B17164">
        <f>HYPERLINK("https://www.dofusbook.net/fr/equipement/2677351-terre-ret/objets", "link")</f>
        <v/>
      </c>
      <c r="C17164" t="n">
        <v>0</v>
      </c>
      <c r="D17164" t="inlineStr">
        <is>
          <t>Lav'Hache; Collier de Tourthon; Anneau Chevelu; Anneau Crustique; Bouclier d'Ilyzaelle; Ceintouse; Masque de Koutoulou; Voile d'encre; Tentassons; Dofus Émeraude; Dofus Pourpre; Obstructeur majeur; Enragé majeur; Étourdisseur majeur; Remueur; Muldo Pourpre</t>
        </is>
      </c>
    </row>
    <row r="17165">
      <c r="A17165" t="inlineStr">
        <is>
          <t>lance corrom 2</t>
        </is>
      </c>
      <c r="B17165">
        <f>HYPERLINK("https://www.dofusbook.net/fr/equipement/2677332-lance-corrom-2/objets", "link")</f>
        <v/>
      </c>
      <c r="C17165" t="n">
        <v>0</v>
      </c>
      <c r="D17165" t="inlineStr">
        <is>
          <t>Lance corrompue; Amulette du Kamasterisk; Bague Gloursonne; Alliance Gloursonne; Cadran d'Eau; Ceinture de la Reine des Voleurs; Coiffe de la Reine des Voleurs; Cape du Kamasterisk; Bottes du Kamasterisk; Dofus Abyssal; Dofus Émeraude; Dofus Ocre; Dofus Pourpre; Dofus des Glaces; Féroce majeur; Muldo Ebène</t>
        </is>
      </c>
    </row>
    <row r="17166">
      <c r="A17166" t="inlineStr">
        <is>
          <t>eau 2.45</t>
        </is>
      </c>
      <c r="B17166">
        <f>HYPERLINK("https://www.dofusbook.net/fr/equipement/2675467-eau-2-45/objets", "link")</f>
        <v/>
      </c>
      <c r="C17166" t="n">
        <v>0</v>
      </c>
      <c r="D17166" t="inlineStr">
        <is>
          <t>Sceptre du Roi Joueur; Amulette du Strigide; Bague Trithon; Alliance Gloursonne; Bouclier du Stalak; Sangle Ouare; Némès de Tal Kasha; Chevelure de Tal Kasha; Pataugastrique; Dofus Pourpre; Dofus Turquoise; Dofus des Glaces; Chanceux majeur; Miraculé majeur; Remueur; Muldo Indigo et Orchidée</t>
        </is>
      </c>
    </row>
    <row r="17167">
      <c r="A17167" t="inlineStr">
        <is>
          <t>air test</t>
        </is>
      </c>
      <c r="B17167">
        <f>HYPERLINK("https://www.dofusbook.net/fr/equipement/2673345-air-test/objets", "link")</f>
        <v/>
      </c>
      <c r="C17167" t="n">
        <v>0</v>
      </c>
      <c r="D17167" t="inlineStr">
        <is>
          <t>Chapeau de Tournoyé; Cape de Crânonier</t>
        </is>
      </c>
    </row>
    <row r="17168">
      <c r="A17168" t="inlineStr">
        <is>
          <t>eau solar</t>
        </is>
      </c>
      <c r="B17168">
        <f>HYPERLINK("https://www.dofusbook.net/fr/equipement/2657149-eau-solar/objets", "link")</f>
        <v/>
      </c>
      <c r="C17168" t="n">
        <v>1</v>
      </c>
      <c r="D17168" t="inlineStr">
        <is>
          <t>Baguette Héroclite; Amulette de l'Œil Attentif; Alliance Gloursonne; Anneau Tique; Bouclier cubiste; Ceinture Glaciale; Capuche de l'Œil Attentif; Cape Solution; Bottes du Sinistrofu; Dofus Ivoire; Dofus Pourpre; Miraculé majeur; Chanceux majeur; Temporiseur majeur; Remueur; Muldo Indigo et Orchidée</t>
        </is>
      </c>
    </row>
    <row r="17169">
      <c r="A17169" t="inlineStr">
        <is>
          <t>Marquinios</t>
        </is>
      </c>
      <c r="B17169">
        <f>HYPERLINK("https://www.dofusbook.net/fr/equipement/2667164-marquinios/objets", "link")</f>
        <v/>
      </c>
      <c r="C17169" t="n">
        <v>0</v>
      </c>
      <c r="D17169" t="inlineStr">
        <is>
          <t>Lav'Hache; Collier de Tourthon; Anneau Crustique; Anneau Chevelu; Cadran de Terre; Ceintouse; Masque de Koutoulou; Voile d'encre; Tentassons; Dofus Ivoire; Dofus des Glaces; Dofus Pourpre; Remueur; Étourdisseur majeur; Enragé majeur; Muldo Indigo et Pourpre</t>
        </is>
      </c>
    </row>
    <row r="17170">
      <c r="A17170" t="inlineStr">
        <is>
          <t>thiago motta</t>
        </is>
      </c>
      <c r="B17170">
        <f>HYPERLINK("https://www.dofusbook.net/fr/equipement/2667033-thiago-motta/objets", "link")</f>
        <v/>
      </c>
      <c r="C17170" t="n">
        <v>0</v>
      </c>
      <c r="D17170" t="inlineStr">
        <is>
          <t>Lav'Hache; Amulette du Strigide; Anneau Chevelu; Bague Gloursonne; Cadran de Terre; Ceintouse; Masque de Koutoulou; Cape du Cœur Vaillant; Tentassons; Dofus Pourpre; Dofus des Glaces; Dofus Abyssal; Enragé majeur; Remueur; Nomade; Dragodinde en armure</t>
        </is>
      </c>
    </row>
    <row r="17171">
      <c r="A17171" t="inlineStr">
        <is>
          <t>neymar</t>
        </is>
      </c>
      <c r="B17171">
        <f>HYPERLINK("https://www.dofusbook.net/fr/equipement/2666896-neymar/objets", "link")</f>
        <v/>
      </c>
      <c r="C17171" t="n">
        <v>0</v>
      </c>
      <c r="D17171" t="inlineStr">
        <is>
          <t>Lance corrompue; Amulette du Cycloïde; Bague Gloursonne; Cadran d'Eau; Ceinture de la Reine des Voleurs; Coiffe de la Reine des Voleurs; Voile d'encre; Sabots Minables; Dofus Pourpre; Dofus Ivoire; Dofus des Glaces; Féroce majeur; Étourdisseur majeur; Muldo Orchidée et Pourpre</t>
        </is>
      </c>
    </row>
    <row r="17172">
      <c r="A17172" t="inlineStr">
        <is>
          <t>eau feu neymar</t>
        </is>
      </c>
      <c r="B17172">
        <f>HYPERLINK("https://www.dofusbook.net/fr/equipement/1933112-eau-feu-neymar/objets", "link")</f>
        <v/>
      </c>
      <c r="C17172" t="n">
        <v>2</v>
      </c>
      <c r="D17172" t="inlineStr">
        <is>
          <t>Arc Nécrotique; Amulette du Strigide; Alliance Gloursonne; Anneau Tique; Quatre-feuilles; Sangle Ouare; Kidibonnet; Cape de la Dame du Hasard; Bottes de la Dame du Hasard; Dolmanax; Dofus Ivoire; Dofus Pourpre; Dofus des Glaces; Dofus Turquoise; Remueur; Croum</t>
        </is>
      </c>
    </row>
    <row r="17173">
      <c r="A17173" t="inlineStr">
        <is>
          <t>lance</t>
        </is>
      </c>
      <c r="B17173">
        <f>HYPERLINK("https://www.dofusbook.net/fr/equipement/2451430-lance/objets", "link")</f>
        <v/>
      </c>
      <c r="C17173" t="n">
        <v>0</v>
      </c>
      <c r="D17173" t="inlineStr">
        <is>
          <t>Lance corrompue; Amulette du Kamasterisk; Alliance Gloursonne; Bague Gloursonne; Bouclier alvéolé; Ceinture de la Reine des Voleurs; Coiffe de la Reine des Voleurs; Cape du Kamasterisk; Bottes du Kamasterisk; Dofus Abyssal; Dofus des Glaces; Dofus Pourpre; Dofus Ivoire; Dofus Ocre; Féroce majeur; Muldo Ebène et Orchidée</t>
        </is>
      </c>
    </row>
    <row r="17174">
      <c r="A17174" t="inlineStr">
        <is>
          <t>feu arc</t>
        </is>
      </c>
      <c r="B17174">
        <f>HYPERLINK("https://www.dofusbook.net/fr/equipement/2130475-feu-arc/objets", "link")</f>
        <v/>
      </c>
      <c r="C17174" t="n">
        <v>0</v>
      </c>
      <c r="D17174" t="inlineStr">
        <is>
          <t>Arc corrompu; Pendentif mignon de Koutoulou; Anneauræus; Anneauræus; Cadran de Terre; Ceinture de Vortex; Casque Cyclopéen; Voile d'encre; Bottes Innommables; Dofus Ivoire; Dofus Ocre; Étourdisseur majeur; Déserteur majeur; Érudit majeur; Remueur; Muldo Orchidée et Pourpre</t>
        </is>
      </c>
    </row>
    <row r="17175">
      <c r="A17175" t="inlineStr">
        <is>
          <t>feu solar 2</t>
        </is>
      </c>
      <c r="B17175">
        <f>HYPERLINK("https://www.dofusbook.net/fr/equipement/2657025-feu-solar-2/objets", "link")</f>
        <v/>
      </c>
      <c r="C17175" t="n">
        <v>0</v>
      </c>
      <c r="D17175" t="inlineStr">
        <is>
          <t>Arc corrompu; Pendentif mignon de Koutoulou; Anneauræus; Anneauræus; Bouclier du Stalak; Ceinture de Vortex; Heaume Oplate; Cape Ardente; Chaussures Ardentes; Dofus Ivoire; Dofus Abyssal; Déserteur majeur; Étourdisseur majeur; Remueur; Érudit majeur; Muldo Ebène et Orchidée</t>
        </is>
      </c>
    </row>
    <row r="17176">
      <c r="A17176" t="inlineStr">
        <is>
          <t>feu solar</t>
        </is>
      </c>
      <c r="B17176">
        <f>HYPERLINK("https://www.dofusbook.net/fr/equipement/2656983-feu-solar/objets", "link")</f>
        <v/>
      </c>
      <c r="C17176" t="n">
        <v>0</v>
      </c>
      <c r="D17176" t="inlineStr">
        <is>
          <t>Arc corrompu; Pendentif mignon de Koutoulou; Anneau Rifique; Anneau Tique; Cadran de Terre; Ceinture de Vortex; Masque Ardent; Cape Ardente; Chaussures Ardentes; Dofus Vulbis; Dofus des Glaces; Dofus Pourpre; Dofus Abyssal; Dofus Ocre; Dofus Ivoire; Dragodinde en armure</t>
        </is>
      </c>
    </row>
    <row r="17177">
      <c r="A17177" t="inlineStr">
        <is>
          <t>giroud</t>
        </is>
      </c>
      <c r="B17177">
        <f>HYPERLINK("https://www.dofusbook.net/fr/equipement/2649680-giroud/objets", "link")</f>
        <v/>
      </c>
      <c r="C17177" t="n">
        <v>1</v>
      </c>
      <c r="D17177" t="inlineStr">
        <is>
          <t>Arc Ahique; Collier du Valet Veinard; Alliance Gloursonne; Gant du Valet Veinard; Bouclier du Stalak; Menoture; Dorabysses; Cape Indescriptible; Palmes Trithons; Dofus Pourpre; Dofus Ivoire; Dofus des Glaces; Dofus Abyssal; Remueur; Étourdisseur majeur; Muldo Ebène</t>
        </is>
      </c>
    </row>
    <row r="17178">
      <c r="A17178" t="inlineStr">
        <is>
          <t>evra</t>
        </is>
      </c>
      <c r="B17178">
        <f>HYPERLINK("https://www.dofusbook.net/fr/equipement/2642621-evra/objets", "link")</f>
        <v/>
      </c>
      <c r="C17178" t="n">
        <v>0</v>
      </c>
      <c r="D17178" t="inlineStr">
        <is>
          <t>Marteau R'ture; Collier de Tourthon; Alliance Gloursonne; Anneau Chevelu; Bouclier du Stalak; Ceintouse; Masque de Koutoulou; Cape du Cœur Vaillant; Tentassons; Dofus Pourpre; Dofus Ivoire; Miraculé majeur; Déserteur majeur; Étourdisseur majeur; Remueur; Muldo Indigo</t>
        </is>
      </c>
    </row>
    <row r="17179">
      <c r="A17179" t="inlineStr">
        <is>
          <t>Wola jdetacle</t>
        </is>
      </c>
      <c r="B17179">
        <f>HYPERLINK("https://www.dofusbook.net/fr/equipement/2639104-wola-jdetacle/objets", "link")</f>
        <v/>
      </c>
      <c r="C17179" t="n">
        <v>1</v>
      </c>
      <c r="D17179" t="inlineStr">
        <is>
          <t>Marteau R'ture; Amulette de l'Indicible; Anneau Chevelu; Alliance Brûlâme; Bouclier du Stalak; Ceinture de l'Indicible; Casque Dragoeuf; Cape du Cœur Vaillant; Baleinabottes; Dofus Ivoire; Dofus Pourpre; Déserteur majeur; Vagabond majeur; Remueur; Enragé majeur; Muldo Amande</t>
        </is>
      </c>
    </row>
    <row r="17180">
      <c r="A17180" t="inlineStr">
        <is>
          <t>ahique potable</t>
        </is>
      </c>
      <c r="B17180">
        <f>HYPERLINK("https://www.dofusbook.net/fr/equipement/2636449-ahique-potable/objets", "link")</f>
        <v/>
      </c>
      <c r="C17180" t="n">
        <v>1</v>
      </c>
      <c r="D17180" t="inlineStr">
        <is>
          <t>Arc Ahique; Collier du Valet Veinard; Gant du Valet Veinard; Alliance Gloursonne; Cadran d'Air; Menoture; Dorabysses; Cape Indescriptible; Palmes Trithons; Dofus Ivoire; Dofus Pourpre; Dofus Abyssal; Dofus des Glaces; Étourdisseur majeur; Remueur; Muldo Ebène et Indigo</t>
        </is>
      </c>
    </row>
    <row r="17181">
      <c r="A17181" t="inlineStr">
        <is>
          <t>rgzr</t>
        </is>
      </c>
      <c r="B17181">
        <f>HYPERLINK("https://www.dofusbook.net/fr/equipement/2633120-rgzr/objets", "link")</f>
        <v/>
      </c>
      <c r="C17181" t="n">
        <v>0</v>
      </c>
      <c r="D17181" t="inlineStr"/>
    </row>
    <row r="17182">
      <c r="A17182" t="inlineStr">
        <is>
          <t>terre eau</t>
        </is>
      </c>
      <c r="B17182">
        <f>HYPERLINK("https://www.dofusbook.net/fr/equipement/2632897-terre-eau/objets", "link")</f>
        <v/>
      </c>
      <c r="C17182" t="n">
        <v>0</v>
      </c>
      <c r="D17182" t="inlineStr">
        <is>
          <t>Dagues de Srambad; Pikano; Alliance Gloursonne; Ceinture Luminescente; Masque de Koutoulou; Cape Luminescente; Bottes de la Cour Sombre</t>
        </is>
      </c>
    </row>
    <row r="17183">
      <c r="A17183" t="inlineStr">
        <is>
          <t>terre fuite</t>
        </is>
      </c>
      <c r="B17183">
        <f>HYPERLINK("https://www.dofusbook.net/fr/equipement/2573885-terre-fuite-/objets", "link")</f>
        <v/>
      </c>
      <c r="C17183" t="n">
        <v>1</v>
      </c>
      <c r="D17183" t="inlineStr">
        <is>
          <t>Arc du Chalœil; Amulette du Strigide; Anneau Chevelu; Anneau Crustique; Bouclier du Stalak; Culotte de Bethel; Masque de Funespadon; Voile d'encre; Sabots Minables; Dofus Abyssal; Dofus Ivoire; Dofus Pourpre; Étourdisseur majeur; Enragé majeur; Remueur; Muldo Pourpre</t>
        </is>
      </c>
    </row>
    <row r="17184">
      <c r="A17184" t="inlineStr">
        <is>
          <t>eau air de base</t>
        </is>
      </c>
      <c r="B17184">
        <f>HYPERLINK("https://www.dofusbook.net/fr/equipement/2571361-eau-air-de-base/objets", "link")</f>
        <v/>
      </c>
      <c r="C17184" t="n">
        <v>1</v>
      </c>
      <c r="D17184" t="inlineStr">
        <is>
          <t>Arc de Koutoulou; Amulette du Strigide; Alliance Gloursonne; Anneau Tique; Quatre-feuilles; Menoture; Casque Dragoeuf; Chevelure de Tal Kasha; Sandales de Tal Kasha; Dofus Ivoire; Dofus Turquoise; Dofus Pourpre; Dofus des Glaces; Étourdisseur majeur; Remueur; Muldo Indigo et Orchidée</t>
        </is>
      </c>
    </row>
    <row r="17185">
      <c r="A17185" t="inlineStr">
        <is>
          <t>neymar bis</t>
        </is>
      </c>
      <c r="B17185">
        <f>HYPERLINK("https://www.dofusbook.net/fr/equipement/2558167-neymar-bis/objets", "link")</f>
        <v/>
      </c>
      <c r="C17185" t="n">
        <v>1</v>
      </c>
      <c r="D17185" t="inlineStr">
        <is>
          <t>Marteau des Anciens Steamers; Amulette du Strigide; Bague Gloursonne; Alliance Gloursonne; Sept ans de malheur; Ceinture du Strigide; Némès de Tal Kasha; Chevelure de Tal Kasha; Sandales de Tal Kasha; Dofus Abyssal; Dofus des Glaces; Dofus Pourpre; Dofus Ocre; Dofus Turquoise; Dofus Ivoire; Muldo Ebène et Indigo</t>
        </is>
      </c>
    </row>
    <row r="17186">
      <c r="A17186" t="inlineStr">
        <is>
          <t>ahique</t>
        </is>
      </c>
      <c r="B17186">
        <f>HYPERLINK("https://www.dofusbook.net/fr/equipement/2548149-ahique/objets", "link")</f>
        <v/>
      </c>
      <c r="C17186" t="n">
        <v>0</v>
      </c>
      <c r="D17186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Abyssal; Dofus Ocre; Dofus Ivoire; Dofus des Glaces; Féroce majeur; Muldo Ebène</t>
        </is>
      </c>
    </row>
    <row r="17187">
      <c r="A17187" t="inlineStr">
        <is>
          <t>lance cor</t>
        </is>
      </c>
      <c r="B17187">
        <f>HYPERLINK("https://www.dofusbook.net/fr/equipement/2548003-lance-cor/objets", "link")</f>
        <v/>
      </c>
      <c r="C17187" t="n">
        <v>0</v>
      </c>
      <c r="D17187" t="inlineStr">
        <is>
          <t>Lance corrompue; Collier de Tourthon; Bague Gloursonne; Alliance Gloursonne; Bouclier alvéolé; Ceinture de la Reine des Voleurs; Coiffe de la Reine des Voleurs; Voile d'encre; Sabots Minables; Dofus des Glaces; Dofus Pourpre; Dofus Abyssal; Dofus Ocre; Dofus Ivoire; Féroce majeur; Muldo Orchidée et Pourpre</t>
        </is>
      </c>
    </row>
    <row r="17188">
      <c r="A17188" t="inlineStr">
        <is>
          <t>feu air</t>
        </is>
      </c>
      <c r="B17188">
        <f>HYPERLINK("https://www.dofusbook.net/fr/equipement/2531671-feu-air/objets", "link")</f>
        <v/>
      </c>
      <c r="C17188" t="n">
        <v>0</v>
      </c>
      <c r="D17188" t="inlineStr">
        <is>
          <t>Baguette Range; Amulette du Strigide; Anneau Tique; Anneau de Padgref; Bouclier Taverne; Ceinture du Strigide; Coiffe de Padgref; Voile d'encre; Getas de Padgref; Dofus Vulbis; Dofus Pourpre; Dofus Nébuleux; Dofus Ocre; Dofus des Glaces; Dofus Turquoise; Dragodinde en armure</t>
        </is>
      </c>
    </row>
    <row r="17189">
      <c r="A17189" t="inlineStr">
        <is>
          <t>eau ret 2</t>
        </is>
      </c>
      <c r="B17189">
        <f>HYPERLINK("https://www.dofusbook.net/fr/equipement/2528982-eau-ret-2/objets", "link")</f>
        <v/>
      </c>
      <c r="C17189" t="n">
        <v>0</v>
      </c>
      <c r="D17189" t="inlineStr">
        <is>
          <t>Sceptre du Roi Joueur; Alliance Gloursonne; Cadran de Terre; Poulpagne; Cape de l'Œil Attentif; Bottes du Sinistrofu; Dofus Pourpre; Étourdisseur majeur; Remueur; Chanceux majeur; Muldo Indigo</t>
        </is>
      </c>
    </row>
    <row r="17190">
      <c r="A17190" t="inlineStr">
        <is>
          <t>zlatan</t>
        </is>
      </c>
      <c r="B17190">
        <f>HYPERLINK("https://www.dofusbook.net/fr/equipement/2524476-zlatan/objets", "link")</f>
        <v/>
      </c>
      <c r="C17190" t="n">
        <v>0</v>
      </c>
      <c r="D17190" t="inlineStr">
        <is>
          <t>Arc Nécrotique; Amulette du Strigide; Alliance Gloursonne; Anneau Tique; Quatre-feuilles; Ceinture du Strigide; Kidibonnet; Cape de la Dame du Hasard; Bottes de la Dame du Hasard; Dofus Vulbis; Dofus Ocre; Dofus Pourpre; Dofus des Glaces; Dolmanax; Dofus Turquoise; Dragodinde en armure</t>
        </is>
      </c>
    </row>
    <row r="17191">
      <c r="A17191" t="inlineStr">
        <is>
          <t>eau ret pm</t>
        </is>
      </c>
      <c r="B17191">
        <f>HYPERLINK("https://www.dofusbook.net/fr/equipement/2510946-eau-ret-pm/objets", "link")</f>
        <v/>
      </c>
      <c r="C17191" t="n">
        <v>0</v>
      </c>
      <c r="D17191" t="inlineStr">
        <is>
          <t>Baguette Héroclite; Amulette de l'Œil Attentif; Alliance Gloursonne; Bracelet des Fonds marins; Bouclier cubiste; Poulpagne; Casque Dragoeuf; Cape de la Dame du Hasard; Bottes de la Dame du Hasard; Dofus Pourpre; Dofus Ivoire; Temporiseur majeur; Remueur; Chanceux majeur; Miraculé majeur; Muldo Indigo et Pourpre</t>
        </is>
      </c>
    </row>
    <row r="17192">
      <c r="A17192" t="inlineStr">
        <is>
          <t>terre</t>
        </is>
      </c>
      <c r="B17192">
        <f>HYPERLINK("https://www.dofusbook.net/fr/equipement/2510631-terre/objets", "link")</f>
        <v/>
      </c>
      <c r="C17192" t="n">
        <v>0</v>
      </c>
      <c r="D17192" t="inlineStr">
        <is>
          <t>Lav'Hache; Collier de Tourthon; Anneau Crustique; Anneau Chevelu; Bouclier du Stalak; Ceinture Gence; Masque d'Anerice; Cape d'Anerice; Bottes du Cœur Saignant; Dofus Pourpre; Dofus Abyssal; Dofus Ivoire; Étourdisseur majeur; Enragé majeur; Remueur; Muldo Orchidée et Pourpre</t>
        </is>
      </c>
    </row>
    <row r="17193">
      <c r="A17193" t="inlineStr">
        <is>
          <t>terre air</t>
        </is>
      </c>
      <c r="B17193">
        <f>HYPERLINK("https://www.dofusbook.net/fr/equipement/2482659-terre-air/objets", "link")</f>
        <v/>
      </c>
      <c r="C17193" t="n">
        <v>0</v>
      </c>
      <c r="D17193" t="inlineStr">
        <is>
          <t>Hache Ériphe; Collier du Valet Veinard; Anneau Chevelu; Alliance Gloursonne; Bouclier d'Ilyzaelle; Ceintouse; Masque de Koutoulou; Cape du Kamasterisk; Dofus Émeraude; Dofus Ivoire; Dofus Pourpre; Dofus Abyssal; Remueur; Miraculé majeur; Muldo Indigo et Pourpre</t>
        </is>
      </c>
    </row>
    <row r="17194">
      <c r="A17194" t="inlineStr">
        <is>
          <t>agi 12/6</t>
        </is>
      </c>
      <c r="B17194">
        <f>HYPERLINK("https://www.dofusbook.net/fr/equipement/2477701-agi-12-6/objets", "link")</f>
        <v/>
      </c>
      <c r="C17194" t="n">
        <v>0</v>
      </c>
      <c r="D17194" t="inlineStr">
        <is>
          <t>Pelle de la Cour Sombre; Collier du Valet Veinard; Alliance Gloursonne; Gant du Valet Veinard; Bouclier du Stalak; Ceintouse; Chapoulpe; Cape du Valet Veinard; Tentassons; Dofus des Glaces; Dofus Pourpre; Dofus Ivoire; Dofus Ocre; Dofus Émeraude; Dofus Vulbis; Dragodinde en armure</t>
        </is>
      </c>
    </row>
    <row r="17195">
      <c r="A17195" t="inlineStr">
        <is>
          <t>Terre ret</t>
        </is>
      </c>
      <c r="B17195">
        <f>HYPERLINK("https://www.dofusbook.net/fr/equipement/2426674-terre-ret/objets", "link")</f>
        <v/>
      </c>
      <c r="C17195" t="n">
        <v>0</v>
      </c>
      <c r="D17195" t="inlineStr">
        <is>
          <t>Lav'Hache; Collier de Tourthon; Anneau Crustique; Anneau Chevelu; Cadran de Terre; Ceintouse; Masque de Koutoulou; Voile d'encre; Tentassons; Dofus Ivoire; Dofus Abyssal; Dofus Pourpre; Dofus des Glaces; Remueur; Enragé majeur; Muldo Indigo et Pourpre</t>
        </is>
      </c>
    </row>
    <row r="17196">
      <c r="A17196" t="inlineStr">
        <is>
          <t>necro</t>
        </is>
      </c>
      <c r="B17196">
        <f>HYPERLINK("https://www.dofusbook.net/fr/equipement/2397146-necro/objets", "link")</f>
        <v/>
      </c>
      <c r="C17196" t="n">
        <v>0</v>
      </c>
      <c r="D17196" t="inlineStr">
        <is>
          <t>Arc Nécrotique; Amulette du Strigide; Alliance Gloursonne; Bague Trithon; Quatre-feuilles; Ceintacé; Casque Dragoeuf; Cape de la Dame du Hasard; Bottes de la Dame du Hasard; Dofus Pourpre; Dofus Turquoise; Dolmanax; Dofus des Glaces; Remueur; Érudit majeur</t>
        </is>
      </c>
    </row>
    <row r="17197">
      <c r="A17197" t="inlineStr">
        <is>
          <t>Feu 5000</t>
        </is>
      </c>
      <c r="B17197">
        <f>HYPERLINK("https://www.dofusbook.net/fr/equipement/2391973-feu-5000/objets", "link")</f>
        <v/>
      </c>
      <c r="C17197" t="n">
        <v>0</v>
      </c>
      <c r="D17197" t="inlineStr">
        <is>
          <t>Amulette Ementaire Deluxe; Anneau Rifique; Anneauræus; Carapar; Ceinture de Vortex; Casque Cyclopéen; Voile d'encre; Bottes Innommables; Dolmanax; Dofus Ocre; Guérisseur majeur; Miraculé majeur; Érudit majeur; Remueur; Muldo Pourpre</t>
        </is>
      </c>
    </row>
    <row r="17198">
      <c r="A17198" t="inlineStr">
        <is>
          <t>Terre</t>
        </is>
      </c>
      <c r="B17198">
        <f>HYPERLINK("https://www.dofusbook.net/fr/equipement/2348073-terre/objets", "link")</f>
        <v/>
      </c>
      <c r="C17198" t="n">
        <v>1</v>
      </c>
      <c r="D17198" t="inlineStr"/>
    </row>
    <row r="17199">
      <c r="A17199" t="inlineStr">
        <is>
          <t>Eau 5000</t>
        </is>
      </c>
      <c r="B17199">
        <f>HYPERLINK("https://www.dofusbook.net/fr/equipement/2346165-eau-5000/objets", "link")</f>
        <v/>
      </c>
      <c r="C17199" t="n">
        <v>0</v>
      </c>
      <c r="D17199" t="inlineStr">
        <is>
          <t>Sceptre du Roi Joueur; Amulette de Shokkoth; Bracelet des Fonds marins; Alliance Gloursonne; Bouclier du Stalak; Poulpagne; Masque d'Anerice; Cape d'Anerice; Bottes du Sinistrofu; Dofus des Glaces; Dofus Abyssal; Dofus Pourpre; Miraculé majeur; Chanceux majeur; Remueur; Muldo Indigo</t>
        </is>
      </c>
    </row>
    <row r="17200">
      <c r="A17200" t="inlineStr">
        <is>
          <t>air</t>
        </is>
      </c>
      <c r="B17200">
        <f>HYPERLINK("https://www.dofusbook.net/fr/equipement/2339679-air/objets", "link")</f>
        <v/>
      </c>
      <c r="C17200" t="n">
        <v>1</v>
      </c>
      <c r="D17200" t="inlineStr">
        <is>
          <t>Manthache; Collier du Valet Veinard; Gant du Valet Veinard; Alliance Gloursonne; Bouclier du Stalak; Menoture; Casque Dragoeuf; Cape Indescriptible; Palmes Trithons; Dofus Abyssal; Dofus Ivoire; Cascadeur majeur; Remueur; Étourdisseur majeur; Muldo Ebène</t>
        </is>
      </c>
    </row>
    <row r="17201">
      <c r="A17201" t="inlineStr">
        <is>
          <t>Feu 2</t>
        </is>
      </c>
      <c r="B17201">
        <f>HYPERLINK("https://www.dofusbook.net/fr/equipement/2338572-feu-2/objets", "link")</f>
        <v/>
      </c>
      <c r="C17201" t="n">
        <v>0</v>
      </c>
      <c r="D17201" t="inlineStr">
        <is>
          <t>Baguette de Malléfisk; Amulette de Nileza; Anneau Tique; Anneau Rifique; Carapar; Ceinture de Vortex; Casque Cyclopéen; Voile d'encre; Bottes Innommables; Dofus Ocre; Remueur; Érudit majeur; Obstructeur majeur; Carapace Terre majeur; Miraculé majeur; Muldo Pourpre</t>
        </is>
      </c>
    </row>
    <row r="17202">
      <c r="A17202" t="inlineStr">
        <is>
          <t>Feu</t>
        </is>
      </c>
      <c r="B17202">
        <f>HYPERLINK("https://www.dofusbook.net/fr/equipement/2338413-feu/objets", "link")</f>
        <v/>
      </c>
      <c r="C17202" t="n">
        <v>0</v>
      </c>
      <c r="D17202" t="inlineStr">
        <is>
          <t>Baguette de Malléfisk; Pendentif affamé; Anneauræus; Anneau Rifique; Sept ans de malheur; Ceinture de Vortex; Casque Cyclopéen; Voile d'encre; Bottes Innommables; Dofus Ocre; Dofus Ivoire; Remueur; Obstructeur majeur; Miraculé majeur; Érudit majeur; Muldo Orchidée et Pourpre</t>
        </is>
      </c>
    </row>
    <row r="17203">
      <c r="A17203" t="inlineStr">
        <is>
          <t>eau 6000</t>
        </is>
      </c>
      <c r="B17203">
        <f>HYPERLINK("https://www.dofusbook.net/fr/equipement/2335482-eau-6000/objets", "link")</f>
        <v/>
      </c>
      <c r="C17203" t="n">
        <v>0</v>
      </c>
      <c r="D17203" t="inlineStr">
        <is>
          <t>Sceptre du Roi Joueur; Amulette de Shokkoth; Alliance Gloursonne; Bracelet des Fonds marins; Bouclier d'Ilyzaelle; Poulpagne; Masque d'Anerice; Cape d'Anerice; Bottes du Sinistrofu; Dofus Abyssal; Dofus Émeraude; Dofus Pourpre; Chanceux majeur; Remueur; Miraculé majeur; Muldo Roux et Indigo</t>
        </is>
      </c>
    </row>
    <row r="17204">
      <c r="A17204" t="inlineStr">
        <is>
          <t>cavani</t>
        </is>
      </c>
      <c r="B17204">
        <f>HYPERLINK("https://www.dofusbook.net/fr/equipement/2334587-cavani/objets", "link")</f>
        <v/>
      </c>
      <c r="C17204" t="n">
        <v>0</v>
      </c>
      <c r="D17204" t="inlineStr">
        <is>
          <t>Arc du Chalœil; Amulette du Strigide; Anneau Chevelu; Bague Gloursonne; Quatre-feuilles; Ceinture du Strigide; Masque de Koutoulou; Voile d'encre; Bottes de la Cour Sombre; Dofus Pourpre; Dofus des Glaces; Vigoureux majeur; Remueur; Miraculé majeur; Carapace Eau majeur; Muldo Indigo et Pourpre</t>
        </is>
      </c>
    </row>
    <row r="17205">
      <c r="A17205" t="inlineStr">
        <is>
          <t>mbappé</t>
        </is>
      </c>
      <c r="B17205">
        <f>HYPERLINK("https://www.dofusbook.net/fr/equipement/2334458-mbappe/objets", "link")</f>
        <v/>
      </c>
      <c r="C17205" t="n">
        <v>0</v>
      </c>
      <c r="D17205" t="inlineStr">
        <is>
          <t>Hache du Chalœil; Amulette du Strigide; Bague Trithon; Alliance Gloursonne; Quatre-feuilles; Ceinture du Strigide; Masque Trithon; Voile d'encre; Bottes du Strigide; Dofus Turquoise; Dofus Ivoire; Dofus Ocre; Dofus Pourpre; Dofus des Glaces; Muldo Ebène et Pourpre</t>
        </is>
      </c>
    </row>
    <row r="17206">
      <c r="A17206" t="inlineStr">
        <is>
          <t>neymar</t>
        </is>
      </c>
      <c r="B17206">
        <f>HYPERLINK("https://www.dofusbook.net/fr/equipement/2333491-neymar/objets", "link")</f>
        <v/>
      </c>
      <c r="C17206" t="n">
        <v>0</v>
      </c>
      <c r="D17206" t="inlineStr">
        <is>
          <t>Arc du Chalœil; Amulette du Strigide; Anneau Chevelu; Bague Trithon; Quatre-feuilles; Ceinture du Strigide; Masque Trithon; Voile d'encre; Bottes du Strigide; Dofus Ivoire; Dofus Ocre; Dofus Pourpre; Dofus des Glaces; Dofus Turquoise; Muldo Prune et Emeraude</t>
        </is>
      </c>
    </row>
    <row r="17207">
      <c r="A17207" t="inlineStr">
        <is>
          <t>full re pou</t>
        </is>
      </c>
      <c r="B17207">
        <f>HYPERLINK("https://www.dofusbook.net/fr/equipement/2305116-full-re-pou/objets", "link")</f>
        <v/>
      </c>
      <c r="C17207" t="n">
        <v>0</v>
      </c>
      <c r="D17207" t="inlineStr">
        <is>
          <t>Baguette de Malléfisk; Pendentif mignon de Koutoulou; Anneau Rifique; Anneau Tique; Cadran de Terre; Ceinture de Vortex; Casque Dragoeuf; Voile d'encre; Bottes Innommables; Dofus Ocre; Étourdisseur majeur; Érudit majeur; Solide majeur; Remueur; Inflexible majeur; Muldo Orchidée et Pourpre</t>
        </is>
      </c>
    </row>
    <row r="17208">
      <c r="A17208" t="inlineStr">
        <is>
          <t>Neymar</t>
        </is>
      </c>
      <c r="B17208">
        <f>HYPERLINK("https://www.dofusbook.net/fr/equipement/2294182-neymar/objets", "link")</f>
        <v/>
      </c>
      <c r="C17208" t="n">
        <v>2</v>
      </c>
      <c r="D17208" t="inlineStr">
        <is>
          <t>Marteau des Anciens Steamers; Amulette Voldelor; Bague Gloursonne; Alliance Gloursonne; Cadran de Terre; Ceinture Voldelor; Némès de Tal Kasha; Chevelure de Tal Kasha; Sandales de Tal Kasha; Dofus Émeraude; Dofus des Glaces; Dofus Pourpre; Dofus Ocre; Dofus Turquoise; Evanescent majeur; Muldo Ebène</t>
        </is>
      </c>
    </row>
    <row r="17209">
      <c r="A17209" t="inlineStr">
        <is>
          <t>do pou 2</t>
        </is>
      </c>
      <c r="B17209">
        <f>HYPERLINK("https://www.dofusbook.net/fr/equipement/2281375-do-pou-2/objets", "link")</f>
        <v/>
      </c>
      <c r="C17209" t="n">
        <v>2</v>
      </c>
      <c r="D17209" t="inlineStr">
        <is>
          <t>Héqache; Amulette Luminescente; Bague Trithon; Anneau Chevelu; Bouclier précieux; Ceinture Luminescente; Masque de Koutoulou; Voile d'encre; Bottes du Cœur Vaillant; Dolmanax; Culbuteur majeur; Miraculé majeur; Bousculeur majeur; Remueur; Muldo Ebène et Pourpre</t>
        </is>
      </c>
    </row>
    <row r="17210">
      <c r="A17210" t="inlineStr">
        <is>
          <t>ronde 2</t>
        </is>
      </c>
      <c r="B17210">
        <f>HYPERLINK("https://www.dofusbook.net/fr/equipement/2264440-ronde-2/objets", "link")</f>
        <v/>
      </c>
      <c r="C17210" t="n">
        <v>1</v>
      </c>
      <c r="D17210" t="inlineStr">
        <is>
          <t>Marteau des Anciens Steamers; Amulette du Strigide; Anneau Tique; Alliance Gloursonne; Cadran de Feu; Ceintacé; Casque Dragoeuf; Chevelure de Tal Kasha; Sandales de Tal Kasha; Dofus Pourpre; Dofus Turquoise; Dofus des Glaces; Remueur; Solide majeur; Étourdisseur majeur; Muldo Ebène et Emeraude</t>
        </is>
      </c>
    </row>
    <row r="17211">
      <c r="A17211" t="inlineStr">
        <is>
          <t>eau 5000 2</t>
        </is>
      </c>
      <c r="B17211">
        <f>HYPERLINK("https://www.dofusbook.net/fr/equipement/2235069-eau-5000-2/objets", "link")</f>
        <v/>
      </c>
      <c r="C17211" t="n">
        <v>0</v>
      </c>
      <c r="D17211" t="inlineStr">
        <is>
          <t>Sceptre du Roi Joueur; Amulette de Shokkoth; Alliance Gloursonne; Bracelet des Fonds marins; Cadran de Terre; Poulpagne; Masque d'Anerice; Cape d'Anerice; Bottes du Sinistrofu; Dofus Pourpre; Dofus des Glaces; Étourdisseur majeur; Chanceux majeur; Remueur; Miraculé majeur; Muldo Indigo</t>
        </is>
      </c>
    </row>
    <row r="17212">
      <c r="A17212" t="inlineStr">
        <is>
          <t>eau air de merde</t>
        </is>
      </c>
      <c r="B17212">
        <f>HYPERLINK("https://www.dofusbook.net/fr/equipement/2179301-eau-air-de-merde/objets", "link")</f>
        <v/>
      </c>
      <c r="C17212" t="n">
        <v>0</v>
      </c>
      <c r="D17212" t="inlineStr">
        <is>
          <t>Baguette de Malléfisk; Amulette d'Ilyzaelle; Alliance Gloursonne; Anneau Tique; Carapar; Ceinture du Barbétoal; Casque d'Ilyzaelle; Chevelure de Tal Kasha; Pataugastrique; Dolmanax; Déserteur majeur; Remueur; Docteur majeur; Guérisseur majeur; Étourdisseur majeur; Muldo Indigo et Pourpre</t>
        </is>
      </c>
    </row>
    <row r="17213">
      <c r="A17213" t="inlineStr">
        <is>
          <t>Eau 5000 bourin</t>
        </is>
      </c>
      <c r="B17213">
        <f>HYPERLINK("https://www.dofusbook.net/fr/equipement/2181615-eau-5000-bourin/objets", "link")</f>
        <v/>
      </c>
      <c r="C17213" t="n">
        <v>0</v>
      </c>
      <c r="D17213" t="inlineStr">
        <is>
          <t>Amulette de l'Œil Attentif; Capuche de l'Œil Attentif; Cape de l'Œil Attentif</t>
        </is>
      </c>
    </row>
    <row r="17214">
      <c r="A17214" t="inlineStr">
        <is>
          <t>mbappe</t>
        </is>
      </c>
      <c r="B17214">
        <f>HYPERLINK("https://www.dofusbook.net/fr/equipement/2172345-mbappe/objets", "link")</f>
        <v/>
      </c>
      <c r="C17214" t="n">
        <v>0</v>
      </c>
      <c r="D17214" t="inlineStr">
        <is>
          <t>Arc corrompu; Pendentif mignon de Koutoulou; Anneau Tique; Anneauræus; Cadran de Terre; Ceinture de Vortex; Casque Cyclopéen; Voile d'encre; Bottes Innommables; Dofus Ocre; Miraculé majeur; Remueur; Étourdisseur majeur; Érudit majeur; Muldo Orchidée et Pourpre</t>
        </is>
      </c>
    </row>
    <row r="17215">
      <c r="A17215" t="inlineStr">
        <is>
          <t>re cri</t>
        </is>
      </c>
      <c r="B17215">
        <f>HYPERLINK("https://www.dofusbook.net/fr/equipement/2137804-re-cri/objets", "link")</f>
        <v/>
      </c>
      <c r="C17215" t="n">
        <v>0</v>
      </c>
      <c r="D17215" t="inlineStr">
        <is>
          <t>Arc Hétype; Pendentif mignon de Koutoulou; Anneau Rifique; Anneau de Nidas; Ceinture de Vortex; Casque Dragoeuf; Voile d'encre; Bottes Innommables; Dolmanax; Dofus Ocre; Érudit majeur; Fortification majeure; Remueur; Miraculé majeur; Muldo Ebène et Orchidée</t>
        </is>
      </c>
    </row>
    <row r="17216">
      <c r="A17216" t="inlineStr">
        <is>
          <t>re cri</t>
        </is>
      </c>
      <c r="B17216">
        <f>HYPERLINK("https://www.dofusbook.net/fr/equipement/2137669-re-cri/objets", "link")</f>
        <v/>
      </c>
      <c r="C17216" t="n">
        <v>0</v>
      </c>
      <c r="D17216" t="inlineStr">
        <is>
          <t>Dagues de Srambad; Amulette de Pol Ouatnos; Anneau Chevelu; Alliance Gloursonne; Ceinture de la Reine des Voleurs; Coiffe de la Reine des Voleurs; Voile d'encre; Sabots Minables; Dolmanax; Dofus Pourpre; Dofus des Glaces; Remueur; Carapace Air majeur; Miraculé majeur; Muldo Ebène et Orchidée</t>
        </is>
      </c>
    </row>
    <row r="17217">
      <c r="A17217" t="inlineStr">
        <is>
          <t>re cri</t>
        </is>
      </c>
      <c r="B17217">
        <f>HYPERLINK("https://www.dofusbook.net/fr/equipement/2137575-re-cri/objets", "link")</f>
        <v/>
      </c>
      <c r="C17217" t="n">
        <v>1</v>
      </c>
      <c r="D17217" t="inlineStr">
        <is>
          <t>Héqache; Torquistik; Anneau Chevelu; Bague Trithon; Ceintacé; Casque Dragoeuf; Voile d'encre; Bottistik; Bousculeur majeur; Remueur; Miraculé majeur; Culbuteur majeur; Fortification majeure; Enragé majeur; Muldo Ebène et Pourpre</t>
        </is>
      </c>
    </row>
    <row r="17218">
      <c r="A17218" t="inlineStr">
        <is>
          <t>anerice</t>
        </is>
      </c>
      <c r="B17218">
        <f>HYPERLINK("https://www.dofusbook.net/fr/equipement/2136613-anerice/objets", "link")</f>
        <v/>
      </c>
      <c r="C17218" t="n">
        <v>0</v>
      </c>
      <c r="D17218" t="inlineStr">
        <is>
          <t>Sceptre du Roi Joueur; Amulette de Shokkoth; Bracelet des Fonds marins; Alliance Gloursonne; Bouclier du Stalak; Poulpagne; Masque d'Anerice; Cape d'Anerice; Bottes du Sinistrofu; Dofus Ivoire; Étourdisseur majeur; Remueur; Cavaleur majeur; Chanceux majeur; Déserteur majeur; Muldo Indigo</t>
        </is>
      </c>
    </row>
    <row r="17219">
      <c r="A17219" t="inlineStr">
        <is>
          <t>test</t>
        </is>
      </c>
      <c r="B17219">
        <f>HYPERLINK("https://www.dofusbook.net/fr/equipement/2136146-test/objets", "link")</f>
        <v/>
      </c>
      <c r="C17219" t="n">
        <v>0</v>
      </c>
      <c r="D17219" t="inlineStr">
        <is>
          <t>Hache du Chalœil; Amulette du Strigide; Bague Trithon; Alliance Gloursonne; Ceintacé; Masque d'Anerice; Cape d'Anerice; Bottes Trithon; Dofus Émeraude; Dofus Ocre; Dolmanax; Dofus des Glaces; Dofus Turquoise; Muldo Orchidée</t>
        </is>
      </c>
    </row>
    <row r="17220">
      <c r="A17220" t="inlineStr">
        <is>
          <t>reine</t>
        </is>
      </c>
      <c r="B17220">
        <f>HYPERLINK("https://www.dofusbook.net/fr/equipement/2136015-reine/objets", "link")</f>
        <v/>
      </c>
      <c r="C17220" t="n">
        <v>0</v>
      </c>
      <c r="D17220" t="inlineStr">
        <is>
          <t>Dagues de Srambad; Anneau Chevelu; Alliance Gloursonne; Ceinture de la Reine des Voleurs; Coiffe de la Reine des Voleurs; Voile d'encre; Sabots Minables</t>
        </is>
      </c>
    </row>
    <row r="17221">
      <c r="A17221" t="inlineStr">
        <is>
          <t>nouv atcham</t>
        </is>
      </c>
      <c r="B17221">
        <f>HYPERLINK("https://www.dofusbook.net/fr/equipement/2108491-nouv-atcham/objets", "link")</f>
        <v/>
      </c>
      <c r="C17221" t="n">
        <v>0</v>
      </c>
      <c r="D17221" t="inlineStr"/>
    </row>
    <row r="17222">
      <c r="A17222" t="inlineStr">
        <is>
          <t>Air</t>
        </is>
      </c>
      <c r="B17222">
        <f>HYPERLINK("https://www.dofusbook.net/fr/equipement/327741-air/objets", "link")</f>
        <v/>
      </c>
      <c r="C17222" t="n">
        <v>0</v>
      </c>
      <c r="D17222" t="inlineStr">
        <is>
          <t>Manthache; Collier du Valet Veinard; Alliance Gloursonne; Gant du Valet Veinard; Bouclier du Stalak; Menoture; Casque Dragoeuf; Cape Indescriptible; Palmes Trithons; Dofus Pourpre; Miraculé majeur; Étourdisseur majeur; Cascadeur majeur; Remueur; Muldo Ebène</t>
        </is>
      </c>
    </row>
    <row r="17223">
      <c r="A17223" t="inlineStr">
        <is>
          <t>Stuff 3</t>
        </is>
      </c>
      <c r="B17223">
        <f>HYPERLINK("https://www.dofusbook.net/fr/equipement/2085910-stuff-3/objets", "link")</f>
        <v/>
      </c>
      <c r="C17223" t="n">
        <v>0</v>
      </c>
      <c r="D17223" t="inlineStr">
        <is>
          <t>Baguette de Malléfisk; Torquistik; Bague Trithon; Alliance Gloursonne; Bouclier précieux; Ceintrigue; Casque Dragoeuf; Capchalot; Bottistik; Dofus Émeraude; Bousculeur majeur; Miraculé majeur; Culbuteur majeur; Guérisseur majeur; Remueur</t>
        </is>
      </c>
    </row>
    <row r="17224">
      <c r="A17224" t="inlineStr">
        <is>
          <t>mallefisk</t>
        </is>
      </c>
      <c r="B17224">
        <f>HYPERLINK("https://www.dofusbook.net/fr/equipement/2085766-mallefisk/objets", "link")</f>
        <v/>
      </c>
      <c r="C17224" t="n">
        <v>0</v>
      </c>
      <c r="D17224" t="inlineStr">
        <is>
          <t>Baguette de Malléfisk; Torquistik; Anneau Chevelu; Bague Trithon; Carapar; Ceintacé; Casque Dragoeuf; Voile d'encre; Bottistik; Dofus Émeraude; Enragé majeur; Guérisseur majeur; Miraculé majeur; Remueur; Muldo Orchidée et Pourpre</t>
        </is>
      </c>
    </row>
    <row r="17225">
      <c r="A17225" t="inlineStr">
        <is>
          <t>do pou prorpe</t>
        </is>
      </c>
      <c r="B17225">
        <f>HYPERLINK("https://www.dofusbook.net/fr/equipement/2071410-do-pou-prorpe/objets", "link")</f>
        <v/>
      </c>
      <c r="C17225" t="n">
        <v>2</v>
      </c>
      <c r="D17225" t="inlineStr">
        <is>
          <t>Héqache; Amulette du Strigide; Bague Gloursonne; Anneau Chevelu; Bouclier précieux; Ceinture Luminescente; Casque Dragoeuf; Cape Luminescente; Sabots Minables; Enragé majeur; Culbuteur majeur; Miraculé majeur; Remueur; Évasif majeur; Bousculeur majeur; Muldo Orchidée et Pourpre</t>
        </is>
      </c>
    </row>
    <row r="17226">
      <c r="A17226" t="inlineStr">
        <is>
          <t>terre air baton</t>
        </is>
      </c>
      <c r="B17226">
        <f>HYPERLINK("https://www.dofusbook.net/fr/equipement/2041380-terre-air-baton/objets", "link")</f>
        <v/>
      </c>
      <c r="C17226" t="n">
        <v>0</v>
      </c>
      <c r="D17226" t="inlineStr">
        <is>
          <t>Collier du Valet Veinard; Gant du Valet Veinard; Ceintouse; Chapoulpe; Cape du Valet Veinard; Tentassons</t>
        </is>
      </c>
    </row>
    <row r="17227">
      <c r="A17227" t="inlineStr">
        <is>
          <t>terre air 12/6</t>
        </is>
      </c>
      <c r="B17227">
        <f>HYPERLINK("https://www.dofusbook.net/fr/equipement/2033787-terre-air-12-6-/objets", "link")</f>
        <v/>
      </c>
      <c r="C17227" t="n">
        <v>0</v>
      </c>
      <c r="D17227" t="inlineStr">
        <is>
          <t>Pelle de la Cour Sombre; Collier du Valet Veinard; Gant du Valet Veinard; Alliance Gloursonne; Cadran d'Air; Ceintouse; Chapoulpe; Cape du Valet Veinard; Tentassons; Dofus Vulbis; Dofus des Glaces; Dofus Pourpre; Dofus Abyssal; Dofus Ocre; Dofus Ivoire; Dragodinde en armure</t>
        </is>
      </c>
    </row>
    <row r="17228">
      <c r="A17228" t="inlineStr">
        <is>
          <t>Terre airr</t>
        </is>
      </c>
      <c r="B17228">
        <f>HYPERLINK("https://www.dofusbook.net/fr/equipement/2021693-terre-airr/objets", "link")</f>
        <v/>
      </c>
      <c r="C17228" t="n">
        <v>0</v>
      </c>
      <c r="D17228" t="inlineStr">
        <is>
          <t>Epée Gloursonne; Amulette du Kamasterisk; Alliance Gloursonne; Bague Gloursonne; Bouclier du Sadida; Ceintouse; Chapoulpe; Cape du Kamasterisk; Tentassons; Dofus des Glaces; Dofus Pourpre; Dofus Ocre</t>
        </is>
      </c>
    </row>
    <row r="17229">
      <c r="A17229" t="inlineStr">
        <is>
          <t>eau 5000</t>
        </is>
      </c>
      <c r="B17229">
        <f>HYPERLINK("https://www.dofusbook.net/fr/equipement/1946985-eau-5000/objets", "link")</f>
        <v/>
      </c>
      <c r="C17229" t="n">
        <v>0</v>
      </c>
      <c r="D17229" t="inlineStr">
        <is>
          <t>Sceptre du Roi Joueur; Amulette de Shokkoth; Bracelet des Fonds marins; Alliance Gloursonne; Cadran de Terre; Poulpagne; Casque Dragoeuf; Cape de Mantaze; Sandales des Fonds marins; Dofus Pourpre; Étourdisseur majeur; Remueur; Cavaleur majeur; Chanceux majeur; Miraculé majeur; Muldo Ebène et Indigo</t>
        </is>
      </c>
    </row>
    <row r="17230">
      <c r="A17230" t="inlineStr">
        <is>
          <t>feu 5000</t>
        </is>
      </c>
      <c r="B17230">
        <f>HYPERLINK("https://www.dofusbook.net/fr/equipement/1949900-feu-5000/objets", "link")</f>
        <v/>
      </c>
      <c r="C17230" t="n">
        <v>0</v>
      </c>
      <c r="D17230" t="inlineStr">
        <is>
          <t>Harpelle; Pendentif mignon de Koutoulou; Anneauræus; Anneauræus; Sept ans de malheur; Ceinture de Vortex; Casque Cyclopéen; Voile d'encre; Bottes Innommables; Dofus Ocre; Déserteur majeur; Étourdisseur majeur; Remueur; Cavaleur majeur; Érudit majeur; Muldo Ebène et Orchidée</t>
        </is>
      </c>
    </row>
    <row r="17231">
      <c r="A17231" t="inlineStr">
        <is>
          <t>eau air 5000pv</t>
        </is>
      </c>
      <c r="B17231">
        <f>HYPERLINK("https://www.dofusbook.net/fr/equipement/1946899-eau-air-5000pv/objets", "link")</f>
        <v/>
      </c>
      <c r="C17231" t="n">
        <v>1</v>
      </c>
      <c r="D17231" t="inlineStr">
        <is>
          <t>Marteau des Anciens Steamers; Amulette du Strigide; Alliance Gloursonne; Anneau Tique; Cadran d'Air; Ceintacé; Casque Dragoeuf; Chevelure de Tal Kasha; Sandales de Tal Kasha; Dofus Turquoise; Dofus Émeraude; Dofus des Glaces; Dofus Pourpre; Remueur; Miraculé majeur; Muldo Prune et Emeraude</t>
        </is>
      </c>
    </row>
    <row r="17232">
      <c r="A17232" t="inlineStr">
        <is>
          <t>gros fdp de merde</t>
        </is>
      </c>
      <c r="B17232">
        <f>HYPERLINK("https://www.dofusbook.net/fr/equipement/1946555-gros-fdp-de-merde-/objets", "link")</f>
        <v/>
      </c>
      <c r="C17232" t="n">
        <v>3</v>
      </c>
      <c r="D17232" t="inlineStr">
        <is>
          <t>Arc du Chalœil; Amulette Luminescente; Bague Trithon; Anneau Chevelu; Bouclier précieux; Sangle Ouare; Masque d'Anerice; Cape d'Anerice; Sabots Minables; Dofus Émeraude; Dofus Émeraude; Bousculeur majeur; Miraculé majeur; Culbuteur majeur; Remueur; Kafarce</t>
        </is>
      </c>
    </row>
    <row r="17233">
      <c r="A17233" t="inlineStr">
        <is>
          <t>eau feu rox</t>
        </is>
      </c>
      <c r="B17233">
        <f>HYPERLINK("https://www.dofusbook.net/fr/equipement/1938946-eau-feu-rox/objets", "link")</f>
        <v/>
      </c>
      <c r="C17233" t="n">
        <v>0</v>
      </c>
      <c r="D17233" t="inlineStr">
        <is>
          <t>Épée Brûlâme; Collier de la Dame du Hasard; Alliance Gloursonne; Bague Gloursonne; Bouclier cubiste; Ceinture de l'Esprit Malsain; Masque de l'Esprit Malsain; Cape de la Dame du Hasard; Bottes de la Dame du Hasard; Dofus Ocre; Dofus Ivoire; Dofus Pourpre; Dolmanax; Dofus Turquoise; Dofus des Glaces; Muldo Indigo et Orchidée</t>
        </is>
      </c>
    </row>
    <row r="17234">
      <c r="A17234" t="inlineStr">
        <is>
          <t>eau feu brulame</t>
        </is>
      </c>
      <c r="B17234">
        <f>HYPERLINK("https://www.dofusbook.net/fr/equipement/1938898-eau-feu-brulame/objets", "link")</f>
        <v/>
      </c>
      <c r="C17234" t="n">
        <v>0</v>
      </c>
      <c r="D17234" t="inlineStr">
        <is>
          <t>Épée Brûlâme; Amulette de l'Œil Attentif; Alliance Gloursonne; Anneau Tique; Bouclier du Sadida; Ceinture de l'Esprit Malsain; Casque Dragoeuf; Cape de la Dame du Hasard; Bottes de la Dame du Hasard; Dofus Turquoise; Dofus Ocre; Dofus Pourpre; Érudit majeur; Étourdisseur majeur; Remueur; Muldo Orchidée</t>
        </is>
      </c>
    </row>
    <row r="17235">
      <c r="A17235" t="inlineStr">
        <is>
          <t>eau air anti-feca</t>
        </is>
      </c>
      <c r="B17235">
        <f>HYPERLINK("https://www.dofusbook.net/fr/equipement/1936370-eau-air-anti-feca/objets", "link")</f>
        <v/>
      </c>
      <c r="C17235" t="n">
        <v>5</v>
      </c>
      <c r="D17235" t="inlineStr">
        <is>
          <t>Marteau des Anciens Steamers; Amulette d'Ilyzaelle; Anneau Tique; Alliance Gloursonne; Cadran de Terre; Ceinture Voldelor; Casque d'Ilyzaelle; Chevelure de Tal Kasha; Bottes de la Reine des Voleurs; Dofus Ivoire; Dofus des Glaces; Dofus Ocre; Dofus Pourpre; Étourdisseur majeur; Remueur; Muldo Ebène</t>
        </is>
      </c>
    </row>
    <row r="17236">
      <c r="A17236" t="inlineStr">
        <is>
          <t>terre air</t>
        </is>
      </c>
      <c r="B17236">
        <f>HYPERLINK("https://www.dofusbook.net/fr/equipement/1928544-terre-air/objets", "link")</f>
        <v/>
      </c>
      <c r="C17236" t="n">
        <v>0</v>
      </c>
      <c r="D17236" t="inlineStr">
        <is>
          <t>Hache Ériphe; Amulette du Strigide; Anneau Crustique; Anneau Crustique; Cadran de Terre; Ceintouse; Casque Dragoeuf; Cape du Cœur Vaillant; Bottes du Cœur Vaillant; Dofus Ocre; Dofus Pourpre; Dofus Turquoise; Étourdisseur majeur; Remueur; Enragé majeur; Muldo Orchidée et Pourpre</t>
        </is>
      </c>
    </row>
    <row r="17237">
      <c r="A17237" t="inlineStr">
        <is>
          <t>base iop</t>
        </is>
      </c>
      <c r="B17237">
        <f>HYPERLINK("https://www.dofusbook.net/fr/equipement/1932618-base-iop/objets", "link")</f>
        <v/>
      </c>
      <c r="C17237" t="n">
        <v>2</v>
      </c>
      <c r="D17237" t="inlineStr">
        <is>
          <t>Marteau R'ture; Amulette du Strigide; Anneau Chevelu; Bague Gloursonne; Bouclier Taverne; Ceintacé; Casque Dragoeuf; Voile d'encre; Bottes du Strigide; Dofus Pourpre; Dofus Ocre; Dofus des Glaces; Dofus Turquoise; Vigoureux majeur; Enragé majeur; Muldo Orchidée et Pourpre</t>
        </is>
      </c>
    </row>
    <row r="17238">
      <c r="A17238" t="inlineStr">
        <is>
          <t>pvm2</t>
        </is>
      </c>
      <c r="B17238">
        <f>HYPERLINK("https://www.dofusbook.net/fr/equipement/1932585-pvm2/objets", "link")</f>
        <v/>
      </c>
      <c r="C17238" t="n">
        <v>0</v>
      </c>
      <c r="D17238" t="inlineStr">
        <is>
          <t>Marteau de Katrepat; Amulette du Strigide; Alliance Brûlâme; Alliance Gloursonne; Bouclier Taverne; Ceinture du Strigide; Masque Brûlâme; Voile d'encre; Pompes Funèbres; Dofus Ocre; Dofus Ivoire; Dofus Pourpre; Dofus Vulbis; Dofus Turquoise; Dofus des Glaces; Dragodinde en armure</t>
        </is>
      </c>
    </row>
    <row r="17239">
      <c r="A17239" t="inlineStr">
        <is>
          <t>terre air vaillant</t>
        </is>
      </c>
      <c r="B17239">
        <f>HYPERLINK("https://www.dofusbook.net/fr/equipement/1831820-terre-air-vaillant/objets", "link")</f>
        <v/>
      </c>
      <c r="C17239" t="n">
        <v>5</v>
      </c>
      <c r="D17239" t="inlineStr">
        <is>
          <t>Héqache; Amulette du Strigide; Alliance Gloursonne; Anneau Chevelu; Bouclier Taverne; Ceintouse; Casque Dragoeuf; Cape du Cœur Vaillant; Bottes du Cœur Vaillant; Dofus Pourpre; Dofus Ocre; Dofus Turquoise; Dofus des Glaces; Culbuteur majeur; Remueur; Muldo Prune et Ebène</t>
        </is>
      </c>
    </row>
    <row r="17240">
      <c r="A17240" t="inlineStr">
        <is>
          <t>max soin</t>
        </is>
      </c>
      <c r="B17240">
        <f>HYPERLINK("https://www.dofusbook.net/fr/equipement/1886058-max-soin/objets", "link")</f>
        <v/>
      </c>
      <c r="C17240" t="n">
        <v>0</v>
      </c>
      <c r="D17240" t="inlineStr">
        <is>
          <t>Baguette de Malléfisk; Pendentif affamé; Anneau Tique; Anneau de Nidas; Carapar; Ceinture de Vortex; Couronne de Nidas; Cape de Diondin; Bottes Innommables; Guérisseur majeur; Carapace Eau majeur; Érudit majeur; Docteur majeur; Remueur; Muldo Orchidée</t>
        </is>
      </c>
    </row>
    <row r="17241">
      <c r="A17241" t="inlineStr">
        <is>
          <t>eau air 1111111111</t>
        </is>
      </c>
      <c r="B17241">
        <f>HYPERLINK("https://www.dofusbook.net/fr/equipement/1863192-eau-air-1111111111/objets", "link")</f>
        <v/>
      </c>
      <c r="C17241" t="n">
        <v>6</v>
      </c>
      <c r="D17241" t="inlineStr">
        <is>
          <t>Arc de Koutoulou; Amulette du Strigide; Anneau Tique; Alliance Gloursonne; Cadran d'Air; Poulpagne; Casque Dragoeuf; Chevelure de Tal Kasha; Sandales de Tal Kasha; Dofus Pourpre; Dofus des Glaces; Dofus Turquoise; Remueur; Étourdisseur majeur; Évasif majeur; Muldo Indigo et Emeraude</t>
        </is>
      </c>
    </row>
    <row r="17242">
      <c r="A17242" t="inlineStr">
        <is>
          <t>classique goulta</t>
        </is>
      </c>
      <c r="B17242">
        <f>HYPERLINK("https://www.dofusbook.net/fr/equipement/1859868-classique-goulta/objets", "link")</f>
        <v/>
      </c>
      <c r="C17242" t="n">
        <v>3</v>
      </c>
      <c r="D17242" t="inlineStr">
        <is>
          <t>Marteau R'ture; Amulette du Strigide; Anneau Chevelu; Bague Gloursonne; Bouclier Taverne; Ceintouse; Casque Dragoeuf; Cape du Professeur Xa; Bottes du Strigide; Dofus Ocre; Dofus Pourpre; Dofus Nébuleux; Dofus Turquoise; Remueur; Dragodinde en armure</t>
        </is>
      </c>
    </row>
    <row r="17243">
      <c r="A17243" t="inlineStr">
        <is>
          <t>eau air 784587</t>
        </is>
      </c>
      <c r="B17243">
        <f>HYPERLINK("https://www.dofusbook.net/fr/equipement/1856748-eau-air-784587/objets", "link")</f>
        <v/>
      </c>
      <c r="C17243" t="n">
        <v>4</v>
      </c>
      <c r="D17243" t="inlineStr">
        <is>
          <t>Arc de Koutoulou; Amulette du Strigide; Alliance Gloursonne; Anneau Tique; Cadran d'Air; Ceintacé; Casque Dragoeuf; Chevelure de Tal Kasha; Sandales de Tal Kasha; Dofus Turquoise; Dofus Pourpre; Dofus des Glaces; Évasif majeur; Étourdisseur majeur; Remueur; Muldo Prune et Emeraude</t>
        </is>
      </c>
    </row>
    <row r="17244">
      <c r="A17244" t="inlineStr">
        <is>
          <t>eau air test</t>
        </is>
      </c>
      <c r="B17244">
        <f>HYPERLINK("https://www.dofusbook.net/fr/equipement/1856717-eau-air-test/objets", "link")</f>
        <v/>
      </c>
      <c r="C17244" t="n">
        <v>1</v>
      </c>
      <c r="D17244" t="inlineStr">
        <is>
          <t>Marteau des Anciens Steamers; Amulette Voldelor; Alliance Gloursonne; Bague Gloursonne; Cadran de Terre; Ceinture Voldelor; Némès de Tal Kasha; Chevelure de Tal Kasha; Sandales de Tal Kasha; Dofus Turquoise; Dofus Abyssal; Dofus Ocre; Dofus Pourpre; Dofus des Glaces; Muldo Turquoise et Ebène</t>
        </is>
      </c>
    </row>
    <row r="17245">
      <c r="A17245" t="inlineStr">
        <is>
          <t>pano sidi</t>
        </is>
      </c>
      <c r="B17245">
        <f>HYPERLINK("https://www.dofusbook.net/fr/equipement/1457110-pano-sidi/objets", "link")</f>
        <v/>
      </c>
      <c r="C17245" t="n">
        <v>0</v>
      </c>
      <c r="D17245" t="inlineStr">
        <is>
          <t>Dagues de Srambad; Torquistik; Baguistik; Goulano; Goulclier; Ceinture de la Reine des Voleurs; Coiffe de la Reine des Voleurs; Voile d'encre; Bottes de la Reine des Voleurs; Dolmanax; Dofus des Glaces; Dofus Vulbis; Dokoko; Dofus Ocre; Dofus Abyssal; Dragodinde en armure</t>
        </is>
      </c>
    </row>
    <row r="17246">
      <c r="A17246" t="inlineStr">
        <is>
          <t>turfu</t>
        </is>
      </c>
      <c r="B17246">
        <f>HYPERLINK("https://www.dofusbook.net/fr/equipement/1773475-turfu/objets", "link")</f>
        <v/>
      </c>
      <c r="C17246" t="n">
        <v>0</v>
      </c>
      <c r="D17246" t="inlineStr">
        <is>
          <t>Baguette de Malléfisk; Amulette Ementaire Deluxe; Anneauræus; Anneau Rifique; Carapar; Ceinture de Vortex; Casque Cyclopéen; Voile d'encre; Bottes Innommables; Dolmanax; Dofus Ocre; Remueur; Érudit majeur; Déserteur majeur; Muldo Pourpre</t>
        </is>
      </c>
    </row>
    <row r="17247">
      <c r="A17247" t="inlineStr">
        <is>
          <t>eau terre</t>
        </is>
      </c>
      <c r="B17247">
        <f>HYPERLINK("https://www.dofusbook.net/fr/equipement/1823607-eau-terre/objets", "link")</f>
        <v/>
      </c>
      <c r="C17247" t="n">
        <v>0</v>
      </c>
      <c r="D17247" t="inlineStr">
        <is>
          <t>Héqache; Amulette Luminescente; Baguistik; Alliance Gloursonne; Bouclier d'Anerice; Ceinture Luminescente; Masque d'Anerice; Cape Luminescente; Bottistik; Dofus Vulbis; Dofus Abyssal; Dofus Émeraude; Dofus Ocre; Dofus Pourpre; Dofus des Glaces; Dragodinde en armure</t>
        </is>
      </c>
    </row>
    <row r="17248">
      <c r="A17248" t="inlineStr">
        <is>
          <t>turfu</t>
        </is>
      </c>
      <c r="B17248">
        <f>HYPERLINK("https://www.dofusbook.net/fr/equipement/1823465-turfu/objets", "link")</f>
        <v/>
      </c>
      <c r="C17248" t="n">
        <v>1</v>
      </c>
      <c r="D17248" t="inlineStr">
        <is>
          <t>Bâthon; Amulette de Gein; Bague Gloursonne; Chevalière du Roi Joueur; Bouclier du Stalak; Ceinture de Gein; Chapeau de Gein; Voile d'encre; Bottes du Roi Joueur; Dolmanax; Dofus des Glaces; Dofus Pourpre; Dofus Abyssal; Dofus Ocre; Vagabond majeur; Muldo Pourpre</t>
        </is>
      </c>
    </row>
    <row r="17249">
      <c r="A17249" t="inlineStr">
        <is>
          <t>arabe</t>
        </is>
      </c>
      <c r="B17249">
        <f>HYPERLINK("https://www.dofusbook.net/fr/equipement/1804917-arabe/objets", "link")</f>
        <v/>
      </c>
      <c r="C17249" t="n">
        <v>0</v>
      </c>
      <c r="D17249" t="inlineStr">
        <is>
          <t>Dagues de Srambad; Amulette Ementaire Deluxe; Pikano; Alliance Gloursonne; Bouclier Taverne; Ceintacé; Coiffe de la Reine des Voleurs; Voile d'encre; Bottes de la Reine des Voleurs; Dofus Pourpre; Dofus Ivoire; Dofus des Glaces; Dofus Émeraude; Remueur; Muldo Ebène et Pourpre</t>
        </is>
      </c>
    </row>
    <row r="17250">
      <c r="A17250" t="inlineStr">
        <is>
          <t>air</t>
        </is>
      </c>
      <c r="B17250">
        <f>HYPERLINK("https://www.dofusbook.net/fr/equipement/1804401-air/objets", "link")</f>
        <v/>
      </c>
      <c r="C17250" t="n">
        <v>1</v>
      </c>
      <c r="D17250" t="inlineStr">
        <is>
          <t>Manthache; Collier du Valet Veinard; Gant du Valet Veinard; Alliance Gloursonne; Menoture; Casque Dragoeuf; Cape Indescriptible; Palmes Trithons; Dofus Ocre; Dofus Abyssal; Dofus Pourpre; Cascadeur majeur; Muldo Ebène</t>
        </is>
      </c>
    </row>
    <row r="17251">
      <c r="A17251" t="inlineStr">
        <is>
          <t>agi</t>
        </is>
      </c>
      <c r="B17251">
        <f>HYPERLINK("https://www.dofusbook.net/fr/equipement/1799724-agi/objets", "link")</f>
        <v/>
      </c>
      <c r="C17251" t="n">
        <v>0</v>
      </c>
      <c r="D17251" t="inlineStr"/>
    </row>
    <row r="17252">
      <c r="A17252" t="inlineStr">
        <is>
          <t>full feu</t>
        </is>
      </c>
      <c r="B17252">
        <f>HYPERLINK("https://www.dofusbook.net/fr/equipement/974205-full-feu/objets", "link")</f>
        <v/>
      </c>
      <c r="C17252" t="n">
        <v>362</v>
      </c>
      <c r="D17252" t="inlineStr">
        <is>
          <t>Arc Hétype; Pendentif affamé; Anneau de Nidas; Anneau Tique; Bouclier cubiste; Ceinture de Vortex; Couronne de Nidas; Voile d'encre; Pataugastrique; Vagabond majeur; Nomade; Déserteur majeur; Érudit majeur; Temporiseur majeur; Remueur; Dragodinde en armure</t>
        </is>
      </c>
    </row>
    <row r="17253">
      <c r="A17253" t="inlineStr">
        <is>
          <t>aller fatra</t>
        </is>
      </c>
      <c r="B17253">
        <f>HYPERLINK("https://www.dofusbook.net/fr/equipement/1761608-aller-fatra/objets", "link")</f>
        <v/>
      </c>
      <c r="C17253" t="n">
        <v>1</v>
      </c>
      <c r="D17253" t="inlineStr">
        <is>
          <t>Marteau R'ture; Amulette du Strigide; Anneau Chevelu; Bague Gloursonne; Bouclier du Captain Amakna; Ceinture du Strigide; Masque de Koutoulou; Dofusteuse; Bottes de la Cour Sombre; Dofus Pourpre; Dofus Ocre; Dofus Turquoise; Dofus des Glaces; Dofus Vulbis; Enragé majeur; Dragodinde en armure</t>
        </is>
      </c>
    </row>
    <row r="17254">
      <c r="A17254" t="inlineStr">
        <is>
          <t>chelou</t>
        </is>
      </c>
      <c r="B17254">
        <f>HYPERLINK("https://www.dofusbook.net/fr/equipement/1759006-chelou/objets", "link")</f>
        <v/>
      </c>
      <c r="C17254" t="n">
        <v>0</v>
      </c>
      <c r="D17254" t="inlineStr">
        <is>
          <t>Hache du Chalœil; Amulette du Strigide; Bague Trithon; Alliance Gloursonne; Quatre-feuilles; Ceinture du Strigide; Masque Trithon; Voile d'encre; Bottes Trithon; Dofus Pourpre; Dofus des Glaces; Dolmanax; Dofus Turquoise; Dofus Vulbis; Dofus Ocre; Dragodinde en armure</t>
        </is>
      </c>
    </row>
    <row r="17255">
      <c r="A17255" t="inlineStr">
        <is>
          <t>feu</t>
        </is>
      </c>
      <c r="B17255">
        <f>HYPERLINK("https://www.dofusbook.net/fr/equipement/1756939-feu/objets", "link")</f>
        <v/>
      </c>
      <c r="C17255" t="n">
        <v>0</v>
      </c>
      <c r="D17255" t="inlineStr"/>
    </row>
    <row r="17256">
      <c r="A17256" t="inlineStr">
        <is>
          <t>terre air</t>
        </is>
      </c>
      <c r="B17256">
        <f>HYPERLINK("https://www.dofusbook.net/fr/equipement/1729304-terre-air/objets", "link")</f>
        <v/>
      </c>
      <c r="C17256" t="n">
        <v>0</v>
      </c>
      <c r="D17256" t="inlineStr">
        <is>
          <t>Héqache; Amulette du Kamasterisk; Alliance Gloursonne; Anneau Chevelu; Bouclier Taverne; Ceintouse; Casque Dragoeuf; Cape du Kamasterisk; Baleinabottes; Dofus des Glaces; Dofus Turquoise; Dofus Pourpre; Vigoureux majeur; Remueur; Évasif majeur; Muldo Prune et Ebène</t>
        </is>
      </c>
    </row>
    <row r="17257">
      <c r="A17257" t="inlineStr">
        <is>
          <t>eau air</t>
        </is>
      </c>
      <c r="B17257">
        <f>HYPERLINK("https://www.dofusbook.net/fr/equipement/1729269-eau-air/objets", "link")</f>
        <v/>
      </c>
      <c r="C17257" t="n">
        <v>0</v>
      </c>
      <c r="D17257" t="inlineStr">
        <is>
          <t>Marteau des Anciens Steamers; Amulette du Strigide; Alliance Gloursonne; Anneau Tique; Quatre-feuilles; Ceinture du Barbétoal; Kidibonnet; Chevelure de Tal Kasha; Sandales de Tal Kasha; Dofus des Glaces; Dofus Pourpre; Dofus Turquoise; Nomade; Remueur; Dragodinde en armure</t>
        </is>
      </c>
    </row>
    <row r="17258">
      <c r="A17258" t="inlineStr">
        <is>
          <t>eau air</t>
        </is>
      </c>
      <c r="B17258">
        <f>HYPERLINK("https://www.dofusbook.net/fr/equipement/1729068-eau-air/objets", "link")</f>
        <v/>
      </c>
      <c r="C17258" t="n">
        <v>3</v>
      </c>
      <c r="D17258" t="inlineStr">
        <is>
          <t>Marteau des Anciens Steamers; Amulette du Strigide; Anneau Tique; Alliance Gloursonne; Quatre-feuilles; Ceinture du Barbétoal; Kidibonnet; Chevelure de Tal Kasha; Sandales de Tal Kasha; Dofus des Glaces; Dofus Pourpre; Dofus Turquoise; Nomade; Remueur; Dragodinde en armure</t>
        </is>
      </c>
    </row>
    <row r="17259">
      <c r="A17259" t="inlineStr">
        <is>
          <t>aller fatra</t>
        </is>
      </c>
      <c r="B17259">
        <f>HYPERLINK("https://www.dofusbook.net/fr/equipement/1199236-aller-fatra/objets", "link")</f>
        <v/>
      </c>
      <c r="C17259" t="n">
        <v>0</v>
      </c>
      <c r="D17259" t="inlineStr">
        <is>
          <t>Sabres d'Atcham; Amulette du Strigide; Bague Gloursonne; Anneau de Padgref; Quatre-feuilles; Ceinture du Strigide; Coiffe de Padgref; Cape d'Atcham; Getas de Padgref; Dofus des Glaces; Dofus Vulbis; Dofus Pourpre; Dofus Ocre; Dolmanax; Dofus Turquoise; Dragodinde en armure</t>
        </is>
      </c>
    </row>
    <row r="17260">
      <c r="A17260" t="inlineStr">
        <is>
          <t>kavezae</t>
        </is>
      </c>
      <c r="B17260">
        <f>HYPERLINK("https://www.dofusbook.net/fr/equipement/1690482-kavezae/objets", "link")</f>
        <v/>
      </c>
      <c r="C17260" t="n">
        <v>0</v>
      </c>
      <c r="D17260" t="inlineStr">
        <is>
          <t>Hache du Chalœil; Amulette du Strigide; Alliance Gloursonne; Bague Gloursonne; Quatre-feuilles; Ceintacé; Masque d'Anerice; Cape d'Anerice; Bottes du Strigide; Dofus Pourpre; Dofus des Glaces; Dofus Ocre; Dofus Abyssal; Dofus Turquoise; Dolmanax; Muldo Prune et Emeraude</t>
        </is>
      </c>
    </row>
    <row r="17261">
      <c r="A17261" t="inlineStr">
        <is>
          <t>fefzef</t>
        </is>
      </c>
      <c r="B17261">
        <f>HYPERLINK("https://www.dofusbook.net/fr/equipement/1684158-fefzef/objets", "link")</f>
        <v/>
      </c>
      <c r="C17261" t="n">
        <v>0</v>
      </c>
      <c r="D17261" t="inlineStr">
        <is>
          <t>Capibou</t>
        </is>
      </c>
    </row>
    <row r="17262">
      <c r="A17262" t="inlineStr">
        <is>
          <t>pvm</t>
        </is>
      </c>
      <c r="B17262">
        <f>HYPERLINK("https://www.dofusbook.net/fr/equipement/1682364-pvm/objets", "link")</f>
        <v/>
      </c>
      <c r="C17262" t="n">
        <v>0</v>
      </c>
      <c r="D17262" t="inlineStr">
        <is>
          <t>Harpelle; Pendentif affamé; Anneauræus; Anneauræus; Bivalve; Ceinture Séculaire; Coiffe Séculaire; Cape de Diondin; Bottes Innommables; Dofus Pourpre; Dofus Vulbis; Dolmanax; Dofus Ocre; Érudit majeur; Astucieux majeur; Brûlih</t>
        </is>
      </c>
    </row>
    <row r="17263">
      <c r="A17263" t="inlineStr">
        <is>
          <t>do pou</t>
        </is>
      </c>
      <c r="B17263">
        <f>HYPERLINK("https://www.dofusbook.net/fr/equipement/1569138-do-pou/objets", "link")</f>
        <v/>
      </c>
      <c r="C17263" t="n">
        <v>0</v>
      </c>
      <c r="D17263" t="inlineStr">
        <is>
          <t>Héqache; Amulette du Sinistrofu; Alliance Gloursonne; Bague Trithon; Bouclier précieux; Sangle Ouare; Casque Dragoeuf; Cape des Malveilleurs; Bottes Trithon; Dofus Ocre; Chanceux majeur; Remueur; Bousculeur majeur; Culbuteur majeur; Dragodinde en armure</t>
        </is>
      </c>
    </row>
    <row r="17264">
      <c r="A17264" t="inlineStr">
        <is>
          <t>pvm</t>
        </is>
      </c>
      <c r="B17264">
        <f>HYPERLINK("https://www.dofusbook.net/fr/equipement/1659244-pvm/objets", "link")</f>
        <v/>
      </c>
      <c r="C17264" t="n">
        <v>0</v>
      </c>
      <c r="D17264" t="inlineStr">
        <is>
          <t>Marteau de Katrepat; Amulette du Strigide; Alliance Gloursonne; Anneau du Katcheur; Bouclier du Captain Amakna; Ceinture du Strigide; Masque du Katcheur; Voile d'encre; Bottes du Katcheur; Dofus Ocre; Dofus Vulbis; Dofus Pourpre; Dofus des Glaces; Dofus Turquoise; Dofus Abyssal; Dragodinde en armure</t>
        </is>
      </c>
    </row>
    <row r="17265">
      <c r="A17265" t="inlineStr">
        <is>
          <t>feu5 dws</t>
        </is>
      </c>
      <c r="B17265">
        <f>HYPERLINK("https://www.dofusbook.net/fr/equipement/1613775-feu5-dws/objets", "link")</f>
        <v/>
      </c>
      <c r="C17265" t="n">
        <v>0</v>
      </c>
      <c r="D17265" t="inlineStr">
        <is>
          <t>Harpelle; Pendentif mignon de Koutoulou; Anneauræus; Anneauræus; Sept ans de malheur; Ceinture de Vortex; Casque Cyclopéen; Voile d'encre; Bottes Innommables; Dofus Ocre; Astucieux majeur; Érudit majeur; Étourdisseur majeur; Remueur; Muldo Ebène et Orchidée</t>
        </is>
      </c>
    </row>
    <row r="17266">
      <c r="A17266" t="inlineStr">
        <is>
          <t>feu 4</t>
        </is>
      </c>
      <c r="B17266">
        <f>HYPERLINK("https://www.dofusbook.net/fr/equipement/1609792-feu-4/objets", "link")</f>
        <v/>
      </c>
      <c r="C17266" t="n">
        <v>0</v>
      </c>
      <c r="D17266" t="inlineStr">
        <is>
          <t>Harpelle; Pendentif mignon de Koutoulou; Anneauræus; Anneauræus; Sept ans de malheur; Ceinture de Vortex; Casque Cyclopéen; Voile d'encre; Bottes Innommables; Dofus Ocre; Étourdisseur majeur; Érudit majeur; Astucieux majeur; Remueur; Muldo Ebène et Orchidée</t>
        </is>
      </c>
    </row>
    <row r="17267">
      <c r="A17267" t="inlineStr">
        <is>
          <t>feu</t>
        </is>
      </c>
      <c r="B17267">
        <f>HYPERLINK("https://www.dofusbook.net/fr/equipement/1547312-feu/objets", "link")</f>
        <v/>
      </c>
      <c r="C17267" t="n">
        <v>0</v>
      </c>
      <c r="D17267" t="inlineStr">
        <is>
          <t>Arc Hétype; Pendentif mignon de Koutoulou; Anneauræus; Anneauræus; Carapar; Ceinture de Vortex; Casque Cyclopéen; Voile d'encre; Bottes Innommables; Dofus Ocre; Carapace Neutre majeur; Astucieux majeur; Remueur; Érudit majeur; Muldo Ebène et Orchidée</t>
        </is>
      </c>
    </row>
    <row r="17268">
      <c r="A17268" t="inlineStr">
        <is>
          <t>guara</t>
        </is>
      </c>
      <c r="B17268">
        <f>HYPERLINK("https://www.dofusbook.net/fr/equipement/1529277-guara/objets", "link")</f>
        <v/>
      </c>
      <c r="C17268" t="n">
        <v>0</v>
      </c>
      <c r="D17268" t="inlineStr">
        <is>
          <t>Dagues Érhy; Amulette du Strigide; Anneau Chevelu; Anneau Crustique; Sept ans de malheur; Ceintouse; Masque de Koutoulou; Voile d'encre; Tentassons; Dofus Pourpre; Dofus des Glaces; Évasif majeur; Enragé majeur; Étourdisseur majeur; Remueur; Muldo Indigo et Orchidée</t>
        </is>
      </c>
    </row>
    <row r="17269">
      <c r="A17269" t="inlineStr">
        <is>
          <t>feu</t>
        </is>
      </c>
      <c r="B17269">
        <f>HYPERLINK("https://www.dofusbook.net/fr/equipement/1505001-feu/objets", "link")</f>
        <v/>
      </c>
      <c r="C17269" t="n">
        <v>0</v>
      </c>
      <c r="D17269" t="inlineStr">
        <is>
          <t>Baguette de Malléfisk; Pendentif mignon de Koutoulou; Anneau Tique; Anneauræus; Bouclier du Stalak; Ceinture Séculaire; Casque Cyclopéen; Voile d'encre; Bottes Innommables; Dofus des Glaces; Dofus Ocre; Dévastateur Feu majeur; Remueur; Évasif majeur; Érudit majeur; Muldo Orchidée</t>
        </is>
      </c>
    </row>
    <row r="17270">
      <c r="A17270" t="inlineStr">
        <is>
          <t>terre</t>
        </is>
      </c>
      <c r="B17270">
        <f>HYPERLINK("https://www.dofusbook.net/fr/equipement/518615-terre/objets", "link")</f>
        <v/>
      </c>
      <c r="C17270" t="n">
        <v>1</v>
      </c>
      <c r="D17270" t="inlineStr">
        <is>
          <t>Arc du Chalœil; Amulette du Strigide; Anneau Chevelu; Bague Gloursonne; Bouclier du Stalak; Ceinture de la Cour Sombre; Masque d'Anerice; Cape d'Anerice; Baleinabottes; Dofus Abyssal; Dofus Pourpre; Enragé majeur; Remueur; Nomade; Pioute vert</t>
        </is>
      </c>
    </row>
    <row r="17271">
      <c r="A17271" t="inlineStr">
        <is>
          <t>un un</t>
        </is>
      </c>
      <c r="B17271">
        <f>HYPERLINK("https://www.dofusbook.net/fr/equipement/1457078-un-un/objets", "link")</f>
        <v/>
      </c>
      <c r="C17271" t="n">
        <v>1</v>
      </c>
      <c r="D17271" t="inlineStr">
        <is>
          <t>Epée Gloursonne; Amulette du Strigide; Alliance Gloursonne; Bague Gloursonne; Bouclier d'Anerice; Ceinture du Strigide; Masque d'Anerice; Cape d'Anerice; Bottes du Strigide; Dofus Pourpre; Dofus des Glaces; Dofus Turquoise; Dofus Nébuleux; Dofus Vulbis; Dokoko; Dragodinde en armure</t>
        </is>
      </c>
    </row>
    <row r="17272">
      <c r="A17272" t="inlineStr">
        <is>
          <t>to la grosse salope</t>
        </is>
      </c>
      <c r="B17272">
        <f>HYPERLINK("https://www.dofusbook.net/fr/equipement/1350699-to-la-grosse-salope/objets", "link")</f>
        <v/>
      </c>
      <c r="C17272" t="n">
        <v>0</v>
      </c>
      <c r="D17272" t="inlineStr">
        <is>
          <t>Baguette de Malléfisk; Pendentif mignon de Koutoulou; Anneauræus; Anneauræus; Bouclier précieux; Ceinture de Vortex; Casque Cyclopéen; Voile d'encre; Bottes Innommables; Dofus Ocre; Érudit majeur; Carapace Neutre majeur; Remueur; Observateur; Muldo Ebène et Orchidée</t>
        </is>
      </c>
    </row>
    <row r="17273">
      <c r="A17273" t="inlineStr">
        <is>
          <t>unvun</t>
        </is>
      </c>
      <c r="B17273">
        <f>HYPERLINK("https://www.dofusbook.net/fr/equipement/1158707-unvun/objets", "link")</f>
        <v/>
      </c>
      <c r="C17273" t="n">
        <v>0</v>
      </c>
      <c r="D17273" t="inlineStr">
        <is>
          <t>Marteau de Katrepat; Amulette du Cycloïde; Anneau Chevelu; Alliance Gloursonne; Bouclier du Stalak; Ceintacé; Couronne du Roi Joueur; Voile d'encre; Bottes du Cycloïde; Dofus Turquoise; Dofus Ocre; Dofus des Glaces; Dofus Pourpre; Dokoko; Dofus Vulbis; Dragodinde en armure</t>
        </is>
      </c>
    </row>
    <row r="17274">
      <c r="A17274" t="inlineStr">
        <is>
          <t>fdp</t>
        </is>
      </c>
      <c r="B17274">
        <f>HYPERLINK("https://www.dofusbook.net/fr/equipement/389645-fdp/objets", "link")</f>
        <v/>
      </c>
      <c r="C17274" t="n">
        <v>0</v>
      </c>
      <c r="D17274" t="inlineStr">
        <is>
          <t>Marteau R'ture; Alliance Gloursonne; Anneau Crustique; Sept ans de malheur; Menoture; Casque Dragoeuf; Cape du Kamasterisk; Bottes du Kamasterisk; Dofus Pourpre; Dofus des Glaces; Enragé majeur; Étourdisseur majeur; Remueur; Muldo Indigo et Orchidée</t>
        </is>
      </c>
    </row>
    <row r="17275">
      <c r="A17275" t="inlineStr">
        <is>
          <t>cac terrfeuair</t>
        </is>
      </c>
      <c r="B17275">
        <f>HYPERLINK("https://www.dofusbook.net/fr/equipement/1349915-cac-terrfeuair/objets", "link")</f>
        <v/>
      </c>
      <c r="C17275" t="n">
        <v>0</v>
      </c>
      <c r="D17275" t="inlineStr">
        <is>
          <t>Marteau R'ture; Amulette du Strigide; Bague Gloursonne; Anneau Chevelu; Sept ans de malheur; Ceintacé; Chapeau du Comte Razof; Voile d'encre; Chaussons du Comte Razof; Dofus Pourpre; Étourdisseur majeur; Remueur; Carapace Feu majeur; Nomade; Dragodinde en armure</t>
        </is>
      </c>
    </row>
    <row r="17276">
      <c r="A17276" t="inlineStr">
        <is>
          <t>JUI UN FDP</t>
        </is>
      </c>
      <c r="B17276">
        <f>HYPERLINK("https://www.dofusbook.net/fr/equipement/1244905-jui-un-fdp/objets", "link")</f>
        <v/>
      </c>
      <c r="C17276" t="n">
        <v>0</v>
      </c>
      <c r="D17276" t="inlineStr">
        <is>
          <t>Pelle de la Cour Sombre; Amulette de Nileza; Bague Gloursonne; Alliance Gloursonne; Sept ans de malheur; Ceintacé; Casque Dragoeuf; Voile d'encre; Sandales de Tal Kasha; Dofus Émeraude; Paralyseur majeur; Nomade; Temporiseur majeur; Remueur; Carapace Air majeur; Dragodinde en armure</t>
        </is>
      </c>
    </row>
    <row r="17277">
      <c r="A17277" t="inlineStr">
        <is>
          <t>nidas test 1</t>
        </is>
      </c>
      <c r="B17277">
        <f>HYPERLINK("https://www.dofusbook.net/fr/equipement/1204513-nidas-test-1/objets", "link")</f>
        <v/>
      </c>
      <c r="C17277" t="n">
        <v>1</v>
      </c>
      <c r="D17277" t="inlineStr">
        <is>
          <t>Epée Kari; Amulette du Strigide; Bague Gloursonne; Alliance de Missiz Frizz; Quatre-feuilles; Ceinture du Strigide; Casque de Missiz Frizz; Cape Reski; Bottes du Strigide; Dofus Vulbis; Dofus Nébuleux; Dofus Pourpre; Dofus Ocre; Dofus Turquoise; Dolmanax; Phortiche</t>
        </is>
      </c>
    </row>
    <row r="17278">
      <c r="A17278" t="inlineStr">
        <is>
          <t>nidas classique</t>
        </is>
      </c>
      <c r="B17278">
        <f>HYPERLINK("https://www.dofusbook.net/fr/equipement/1204511-nidas-classique/objets", "link")</f>
        <v/>
      </c>
      <c r="C17278" t="n">
        <v>0</v>
      </c>
      <c r="D17278" t="inlineStr">
        <is>
          <t>Coiffe Ranshi; Cape Reski</t>
        </is>
      </c>
    </row>
    <row r="17279">
      <c r="A17279" t="inlineStr">
        <is>
          <t>troll tournoi feu</t>
        </is>
      </c>
      <c r="B17279">
        <f>HYPERLINK("https://www.dofusbook.net/fr/equipement/1199171-troll-tournoi-feu/objets", "link")</f>
        <v/>
      </c>
      <c r="C17279" t="n">
        <v>0</v>
      </c>
      <c r="D17279" t="inlineStr">
        <is>
          <t>Arc Hétype; Amulette de Nileza; Anneau de Nidas; Anneau Tique; Quatre-feuilles; Ceinture de Vortex; Couronne de Nidas; Cape Hulco; Pataugastrique; Érudit majeur; Carapace Eau majeur; Remueur; Carapace Air majeur; Étourdisseur majeur; Carapace Feu majeur; Muldo Ebène et Orchidée</t>
        </is>
      </c>
    </row>
    <row r="17280">
      <c r="A17280" t="inlineStr">
        <is>
          <t>tournoi troll 3</t>
        </is>
      </c>
      <c r="B17280">
        <f>HYPERLINK("https://www.dofusbook.net/fr/equipement/1197075-tournoi-troll-3/objets", "link")</f>
        <v/>
      </c>
      <c r="C17280" t="n">
        <v>0</v>
      </c>
      <c r="D17280" t="inlineStr">
        <is>
          <t>Sangle Cible</t>
        </is>
      </c>
    </row>
    <row r="17281">
      <c r="A17281" t="inlineStr">
        <is>
          <t>tournoi troll 2</t>
        </is>
      </c>
      <c r="B17281">
        <f>HYPERLINK("https://www.dofusbook.net/fr/equipement/1196906-tournoi-troll-2/objets", "link")</f>
        <v/>
      </c>
      <c r="C17281" t="n">
        <v>0</v>
      </c>
      <c r="D17281" t="inlineStr">
        <is>
          <t>Bêche Asse; Amulette du Strigide; Bague Gloursonne; Bracelet du Piloztère; Quatre-feuilles; Ceinture du Strigide; Masque de Koutoulou; Cape Hulco; Bottes de la Cour Sombre; Dofus Pourpre; Dofus Ocre; Dofus Nébuleux; Dofus Turquoise; Dofus Vulbis; Enragé majeur; Dragodinde en armure</t>
        </is>
      </c>
    </row>
    <row r="17282">
      <c r="A17282" t="inlineStr">
        <is>
          <t>tournoi troll</t>
        </is>
      </c>
      <c r="B17282">
        <f>HYPERLINK("https://www.dofusbook.net/fr/equipement/1196728-tournoi-troll/objets", "link")</f>
        <v/>
      </c>
      <c r="C17282" t="n">
        <v>0</v>
      </c>
      <c r="D17282" t="inlineStr">
        <is>
          <t>Dagoulinantes; Amulette du Strigide; Alliance Gloursonne; Bracelet des Fonds marins; Sangle Cible; Kidibonnet; Cape du Sinistrofu; Bottes du Sinistrofu; Dofus Turquoise; Dofus Vulbis; Dofus Pourpre; Dofus Ocre; Étourdisseur majeur; Temporiseur majeur; Dragodinde en armure</t>
        </is>
      </c>
    </row>
    <row r="17283">
      <c r="A17283" t="inlineStr">
        <is>
          <t>un vs un</t>
        </is>
      </c>
      <c r="B17283">
        <f>HYPERLINK("https://www.dofusbook.net/fr/equipement/1169778-un-vs-un/objets", "link")</f>
        <v/>
      </c>
      <c r="C17283" t="n">
        <v>0</v>
      </c>
      <c r="D17283" t="inlineStr">
        <is>
          <t>Dagues Érhy; Amulette du Cycloïde; Anneau Chevelu; Alliance Gloursonne; Ceintacé; Couronne du Roi Joueur; Voile d'encre; Bottes du Cycloïde; Dofus Émeraude; Dofus des Glaces; Dofus Ocre; Dokoko; Dolmanax; Dofus Abyssal; Muldo Pourpre</t>
        </is>
      </c>
    </row>
    <row r="17284">
      <c r="A17284" t="inlineStr">
        <is>
          <t>terre feu</t>
        </is>
      </c>
      <c r="B17284">
        <f>HYPERLINK("https://www.dofusbook.net/fr/equipement/1169720-terre-feu/objets", "link")</f>
        <v/>
      </c>
      <c r="C17284" t="n">
        <v>0</v>
      </c>
      <c r="D17284" t="inlineStr">
        <is>
          <t>Dagues Érhy; Amulette du Strigide; Anneau Chevelu; Bague Gloursonne; Ceinture du Strigide; Masque de Koutoulou; Voile d'encre; Bottes de la Cour Sombre; Dokoko; Dofus Ocre; Dofus Vulbis; Dofus Pourpre; Dofus des Glaces; Dofus Turquoise; Dragodinde en armure</t>
        </is>
      </c>
    </row>
    <row r="17285">
      <c r="A17285" t="inlineStr">
        <is>
          <t>chaloei</t>
        </is>
      </c>
      <c r="B17285">
        <f>HYPERLINK("https://www.dofusbook.net/fr/equipement/1161096-chaloei/objets", "link")</f>
        <v/>
      </c>
      <c r="C17285" t="n">
        <v>0</v>
      </c>
      <c r="D17285" t="inlineStr">
        <is>
          <t>Hache du Chalœil; Amulette du Strigide; Anneau Chevelu; Bague Gloursonne; Quatre-feuilles; Ceintacé; Casque du Chalœil; Voile d'encre; Bottes du Chalœil; Dofus Turquoise; Dofus des Glaces; Dofus Pourpre; Dokoko; Remueur; Dragodinde en armure</t>
        </is>
      </c>
    </row>
    <row r="17286">
      <c r="A17286" t="inlineStr">
        <is>
          <t>stri glour</t>
        </is>
      </c>
      <c r="B17286">
        <f>HYPERLINK("https://www.dofusbook.net/fr/equipement/1160974-stri-glour/objets", "link")</f>
        <v/>
      </c>
      <c r="C17286" t="n">
        <v>0</v>
      </c>
      <c r="D17286" t="inlineStr">
        <is>
          <t>Amulette de Gein; Ceinture de Gein; Couronne du Roi Joueur; Bottes de Meno</t>
        </is>
      </c>
    </row>
    <row r="17287">
      <c r="A17287" t="inlineStr">
        <is>
          <t>rdv ancienne</t>
        </is>
      </c>
      <c r="B17287">
        <f>HYPERLINK("https://www.dofusbook.net/fr/equipement/1156642-rdv-ancienne/objets", "link")</f>
        <v/>
      </c>
      <c r="C17287" t="n">
        <v>1</v>
      </c>
      <c r="D17287" t="inlineStr">
        <is>
          <t>Dagues de Srambad; Amulette du Piloztère; Bracelet du Piloztère; Alliance Gloursonne; Jadis; Ceinture de la Reine des Voleurs; Coiffe de la Reine des Voleurs; Cape des Justiciers; Pantoufles du Piloztère; Dofus Vulbis; Dofus Abyssal; Dofus Pourpre; Dofus Ocre; Dofus Émeraude; Dofus des Glaces; Dragodinde en armure</t>
        </is>
      </c>
    </row>
    <row r="17288">
      <c r="A17288" t="inlineStr">
        <is>
          <t>eau- rox</t>
        </is>
      </c>
      <c r="B17288">
        <f>HYPERLINK("https://www.dofusbook.net/fr/equipement/1062601-eau--rox/objets", "link")</f>
        <v/>
      </c>
      <c r="C17288" t="n">
        <v>0</v>
      </c>
      <c r="D17288" t="inlineStr">
        <is>
          <t>Dagoulinantes; Amulette de Shokkoth; Alliance Gloursonne; Bracelet des Fonds marins; Bouclier du Stalak; Poulpagne; Casque Dragoeuf; Cape de Mantaze; Sandales des Fonds marins; Muldo Indigo</t>
        </is>
      </c>
    </row>
    <row r="17289">
      <c r="A17289" t="inlineStr">
        <is>
          <t>panda eau - sangl</t>
        </is>
      </c>
      <c r="B17289">
        <f>HYPERLINK("https://www.dofusbook.net/fr/equipement/1062533-panda-eau---sangl/objets", "link")</f>
        <v/>
      </c>
      <c r="C17289" t="n">
        <v>0</v>
      </c>
      <c r="D17289" t="inlineStr">
        <is>
          <t>Rapière aux Glyphes; Talisman Glouti; Bracelet des Fonds marins; Alliance Gloursonne; Bouclier du Captain Amakna; Sangle Ouare; Kidibonnet; Cape du Sinistrofu; Bottes du Sinistrofu; Dofus Abyssal; Dofus Pourpre; Remueur; Carapace Eau majeur; Cavaleur majeur; Chanceux majeur; Dragodinde en armure</t>
        </is>
      </c>
    </row>
    <row r="17290">
      <c r="A17290" t="inlineStr">
        <is>
          <t>full rox dofus pvpm</t>
        </is>
      </c>
      <c r="B17290">
        <f>HYPERLINK("https://www.dofusbook.net/fr/equipement/1062486-full-rox-dofus-pvpm/objets", "link")</f>
        <v/>
      </c>
      <c r="C17290" t="n">
        <v>1</v>
      </c>
      <c r="D17290" t="inlineStr">
        <is>
          <t>Baguette Range; Amulette du Strigide; Bague Gloursonne; Anneau de Padgref; Quatre-feuilles; Ceinture du Strigide; Coiffe de Padgref; Voile d'encre; Getas de Padgref; Dofus Turquoise; Dofus des Glaces; Dofus Vulbis; Dofus Nébuleux; Dofus Pourpre; Dofus Ocre; Dragodinde en armure</t>
        </is>
      </c>
    </row>
    <row r="17291">
      <c r="A17291" t="inlineStr">
        <is>
          <t>agi classique</t>
        </is>
      </c>
      <c r="B17291">
        <f>HYPERLINK("https://www.dofusbook.net/fr/equipement/1062249-agi-classique/objets", "link")</f>
        <v/>
      </c>
      <c r="C17291" t="n">
        <v>0</v>
      </c>
      <c r="D17291" t="inlineStr">
        <is>
          <t>Manthache; Collier du Valet Veinard; Alliance Gloursonne; Gant du Valet Veinard; Bouclier du Stalak; Menoture; Casque Dragoeuf; Cape Indescriptible; Palmes Trithons; Dofus Pourpre; Dofus Émeraude; Vigoureux majeur; Cascadeur majeur; Remueur; Muldo Ebène</t>
        </is>
      </c>
    </row>
    <row r="17292">
      <c r="A17292" t="inlineStr">
        <is>
          <t>feu</t>
        </is>
      </c>
      <c r="B17292">
        <f>HYPERLINK("https://www.dofusbook.net/fr/equipement/1062190-feu/objets", "link")</f>
        <v/>
      </c>
      <c r="C17292" t="n">
        <v>0</v>
      </c>
      <c r="D17292" t="inlineStr">
        <is>
          <t>Baguette de Malléfisk; Amulette Ementaire Deluxe; Anneau Tique; Anneau de Nidas; Carapar; Ceinture de Vortex; Couronne de Nidas; Voile d'encre; Pataugastrique; Dofus Émeraude; Dolmanax; Remueur; Guérisseur majeur; Érudit majeur; Muldo Orchidée et Pourpre</t>
        </is>
      </c>
    </row>
    <row r="17293">
      <c r="A17293" t="inlineStr">
        <is>
          <t>eau-air ret</t>
        </is>
      </c>
      <c r="B17293">
        <f>HYPERLINK("https://www.dofusbook.net/fr/equipement/1062056-eau-air-ret/objets", "link")</f>
        <v/>
      </c>
      <c r="C17293" t="n">
        <v>0</v>
      </c>
      <c r="D17293" t="inlineStr">
        <is>
          <t>Marteau des Anciens Steamers; Amulette Voldelor; Alliance Gloursonne; Anneau Tique; Menoture; Masque du Barbétoal; Chevelure de Tal Kasha; Sandales de Tal Kasha; Carapace Air majeur; Étourdisseur majeur; Remueur; Muldo Ebène et Indigo</t>
        </is>
      </c>
    </row>
    <row r="17294">
      <c r="A17294" t="inlineStr">
        <is>
          <t>Ret atcham</t>
        </is>
      </c>
      <c r="B17294">
        <f>HYPERLINK("https://www.dofusbook.net/fr/equipement/331924-ret-atcham/objets", "link")</f>
        <v/>
      </c>
      <c r="C17294" t="n">
        <v>0</v>
      </c>
      <c r="D17294" t="inlineStr">
        <is>
          <t>Sabres d'Atcham; Amulette du Strigide; Anneau Tique; Alliance Gloursonne; Sept ans de malheur; Ceintacé; Cagoule de Vortex; Voile d'encre; Sandales  d'Atcham; Dofus des Glaces; Étourdisseur majeur; Remueur; Paralyseur majeur; Carapace Air majeur; Engourdisseur majeur; Muldo Orchidée et Amande</t>
        </is>
      </c>
    </row>
    <row r="17295">
      <c r="A17295" t="inlineStr">
        <is>
          <t>do pou</t>
        </is>
      </c>
      <c r="B17295">
        <f>HYPERLINK("https://www.dofusbook.net/fr/equipement/1028549-do-pou/objets", "link")</f>
        <v/>
      </c>
      <c r="C17295" t="n">
        <v>2</v>
      </c>
      <c r="D17295" t="inlineStr">
        <is>
          <t>Héqache; Torquistik; Bague Gloursonne; Anneau Chevelu; Ceinture du Strigide; Casque Dragoeuf; Cape du Professeur Xa; Bottistik; Dofus Pourpre; Dofus Turquoise; Dofus Ocre; Évasif majeur; Culbuteur majeur; Remueur; Dragodinde en armure</t>
        </is>
      </c>
    </row>
    <row r="17296">
      <c r="A17296" t="inlineStr">
        <is>
          <t>terre air</t>
        </is>
      </c>
      <c r="B17296">
        <f>HYPERLINK("https://www.dofusbook.net/fr/equipement/1028500-terre-air/objets", "link")</f>
        <v/>
      </c>
      <c r="C17296" t="n">
        <v>3</v>
      </c>
      <c r="D17296" t="inlineStr">
        <is>
          <t>Héqache; Amulette du Kamasterisk; Anneau Chevelu; Alliance Gloursonne; Bouclier Taverne; Ceintouse; Casque Dragoeuf; Cape du Kamasterisk; Baleinabottes; Dofus Pourpre; Dofus des Glaces; Dofus Turquoise; Vigoureux majeur; Remueur; Évasif majeur; Muldo Prune et Ebène</t>
        </is>
      </c>
    </row>
    <row r="17297">
      <c r="A17297" t="inlineStr">
        <is>
          <t>onze-six</t>
        </is>
      </c>
      <c r="B17297">
        <f>HYPERLINK("https://www.dofusbook.net/fr/equipement/1006218-onze-six/objets", "link")</f>
        <v/>
      </c>
      <c r="C17297" t="n">
        <v>1</v>
      </c>
      <c r="D17297" t="inlineStr">
        <is>
          <t>Marteau R'ture; Amulette du Strigide; Anneau Chevelu; Bague Gloursonne; Ceinture du Strigide; Casque Dragoeuf; Voile d'encre; Sabots Minables</t>
        </is>
      </c>
    </row>
    <row r="17298">
      <c r="A17298" t="inlineStr">
        <is>
          <t>drag</t>
        </is>
      </c>
      <c r="B17298">
        <f>HYPERLINK("https://www.dofusbook.net/fr/equipement/1005873-drag/objets", "link")</f>
        <v/>
      </c>
      <c r="C17298" t="n">
        <v>0</v>
      </c>
      <c r="D17298" t="inlineStr">
        <is>
          <t>Dagues Érhy; Amulette du Strigide; Bague Gloursonne; Anneau Chevelu; Ceinture du Strigide; Casque Dragoeuf; Cape du Professeur Xa; Bottes de la Cour Sombre; Dofus Ocre; Dofus Turquoise; Dofus Pourpre; Remueur; Dragodinde en armure</t>
        </is>
      </c>
    </row>
    <row r="17299">
      <c r="A17299" t="inlineStr">
        <is>
          <t>terre feu</t>
        </is>
      </c>
      <c r="B17299">
        <f>HYPERLINK("https://www.dofusbook.net/fr/equipement/974581-terre-feu/objets", "link")</f>
        <v/>
      </c>
      <c r="C17299" t="n">
        <v>0</v>
      </c>
      <c r="D17299" t="inlineStr">
        <is>
          <t>Hache Téroïde; Amulette du Strigide; Anneau Chevelu; Anneau Tique; Ceinture de Gein; Chapeau de Gein; Voile d'encre</t>
        </is>
      </c>
    </row>
    <row r="17300">
      <c r="A17300" t="inlineStr">
        <is>
          <t>panda eau</t>
        </is>
      </c>
      <c r="B17300">
        <f>HYPERLINK("https://www.dofusbook.net/fr/equipement/954262-panda-eau/objets", "link")</f>
        <v/>
      </c>
      <c r="C17300" t="n">
        <v>0</v>
      </c>
      <c r="D17300" t="inlineStr">
        <is>
          <t>Rapière aux Glyphes; Amulette de Shokkoth; Bracelet des Fonds marins; Alliance Gloursonne; Poulpagne; Casque Dragoeuf; Cape du Sinistrofu; Sandales des Fonds marins; Dofus Abyssal; Dofus Pourpre; Remueur; Évasif majeur; Chanceux majeur; Cavaleur majeur; Muldo Indigo</t>
        </is>
      </c>
    </row>
    <row r="17301">
      <c r="A17301" t="inlineStr">
        <is>
          <t>asog</t>
        </is>
      </c>
      <c r="B17301">
        <f>HYPERLINK("https://www.dofusbook.net/fr/equipement/954029-asog/objets", "link")</f>
        <v/>
      </c>
      <c r="C17301" t="n">
        <v>0</v>
      </c>
      <c r="D17301" t="inlineStr">
        <is>
          <t>Manthache; Collier du Valet Veinard; Gant du Valet Veinard; Alliance Gloursonne; Ceintouse; Casque Dragoeuf; Cape du Kamasterisk; Baleinabottes; Dofus Pourpre; Cascadeur majeur; Nomade; Vigoureux majeur; Remueur; Évasif majeur; Dragodinde en armure</t>
        </is>
      </c>
    </row>
    <row r="17302">
      <c r="A17302" t="inlineStr">
        <is>
          <t>ret</t>
        </is>
      </c>
      <c r="B17302">
        <f>HYPERLINK("https://www.dofusbook.net/fr/equipement/611601-ret/objets", "link")</f>
        <v/>
      </c>
      <c r="C17302" t="n">
        <v>0</v>
      </c>
      <c r="D17302" t="inlineStr">
        <is>
          <t>Marteau R'ture; Amulette du Glourséleste; Pikano; Anneau Tamie; Bouclier cubiste; Ceinture Instable; Casquipik; Cape de Léthaline; Pantoufles Émar; Entraveur majeur; Temporiseur majeur; Ralentisseur majeur; Remueur; Entraveur; Temporiseur; Dragoune Noire</t>
        </is>
      </c>
    </row>
    <row r="17303">
      <c r="A17303" t="inlineStr">
        <is>
          <t>Erhy</t>
        </is>
      </c>
      <c r="B17303">
        <f>HYPERLINK("https://www.dofusbook.net/fr/equipement/338759-erhy/objets", "link")</f>
        <v/>
      </c>
      <c r="C17303" t="n">
        <v>0</v>
      </c>
      <c r="D17303" t="inlineStr">
        <is>
          <t>Dagues Érhy; Amulette du Strigide; Anneau Chevelu; Bague Gloursonne; Ceinture de Gein; Chapeau de Gein; Voile d'encre; Pataugastrique; Dragodinde en armure</t>
        </is>
      </c>
    </row>
    <row r="17304">
      <c r="A17304" t="inlineStr">
        <is>
          <t>Stuff 2</t>
        </is>
      </c>
      <c r="B17304">
        <f>HYPERLINK("https://www.dofusbook.net/fr/equipement/312718-stuff-2/objets", "link")</f>
        <v/>
      </c>
      <c r="C17304" t="n">
        <v>0</v>
      </c>
      <c r="D17304" t="inlineStr">
        <is>
          <t>Épée d'Otomaï; Amulette d'Otomaï; Alliance Gloursonne; Bague Gloursonne; Ceinture Séculaire; Coiffe Séculaire; Voile d'encre; Bottes d'Otomaï; Dofus Vulbis; Dofus Turquoise; Dofus Ocre; Dofus Pourpre; Savant majeur; Engourdisseur majeur; Dragodinde en armure</t>
        </is>
      </c>
    </row>
    <row r="17305">
      <c r="A17305" t="inlineStr">
        <is>
          <t>Stuff 1</t>
        </is>
      </c>
      <c r="B17305">
        <f>HYPERLINK("https://www.dofusbook.net/fr/equipement/312717-stuff-1/objets", "link")</f>
        <v/>
      </c>
      <c r="C17305" t="n">
        <v>0</v>
      </c>
      <c r="D17305" t="inlineStr">
        <is>
          <t>Marteau des Anciens Steamers; Amulette Voldelor; Bracelet du Piloztère; Alliance Gloursonne; Ceintacé; Masque du Barbétoal; Cape des Malveilleurs; Bottes Voldelor; Dofus Pourpre; Dofus Turquoise; Miraculé majeur; Nomade; Étourdisseur majeur; Remueur; Croum</t>
        </is>
      </c>
    </row>
    <row r="17306">
      <c r="A17306" t="inlineStr">
        <is>
          <t>Stuff 3</t>
        </is>
      </c>
      <c r="B17306">
        <f>HYPERLINK("https://www.dofusbook.net/fr/equipement/312719-stuff-3/objets", "link")</f>
        <v/>
      </c>
      <c r="C17306" t="n">
        <v>0</v>
      </c>
      <c r="D17306" t="inlineStr">
        <is>
          <t>Marteau des Anciens Steamers; Amulette de Pol Ouatnos; Bracelet du Piloztère; Alliance Gloursonne; Ceinture du Barbétoal; Masque du Barbétoal; Cape Matelassée; Bottes de la Reine des Voleurs; Dofus Turquoise; Dofus Pourpre; Carapace Air majeur; Étourdisseur majeur; Miraculé majeur; Remueur; Kramkram</t>
        </is>
      </c>
    </row>
    <row r="17307">
      <c r="A17307" t="inlineStr">
        <is>
          <t>Enutrof M 200</t>
        </is>
      </c>
      <c r="B17307">
        <f>HYPERLINK("https://www.dofusbook.net/fr/equipement/5791150-enutrof-m-200/objets", "link")</f>
        <v/>
      </c>
      <c r="C17307" t="n">
        <v>0</v>
      </c>
      <c r="D17307" t="inlineStr">
        <is>
          <t>Baguette Hique; Amulette Luminescente; Alliance Gloursonne; Pikano; Bouclier cubiste; Ceinture Glaciale; Capuche de l'Œil Putride; Cape de l'Œil Putride; Gwo Tofu Ventripotent</t>
        </is>
      </c>
    </row>
    <row r="17308">
      <c r="A17308" t="inlineStr">
        <is>
          <t>Crâ M 200</t>
        </is>
      </c>
      <c r="B17308">
        <f>HYPERLINK("https://www.dofusbook.net/fr/equipement/5760036-cra-m-200/objets", "link")</f>
        <v/>
      </c>
      <c r="C17308" t="n">
        <v>0</v>
      </c>
      <c r="D17308" t="inlineStr">
        <is>
          <t>Arc du Chalœil; Amulette Luminescente; Bracelet du Piloztère; Anneau Volkorne; Quatre-feuilles; Ceinture Volkorne; Masque de Koutoulou; Cape au Logis; Bottes Honyme; Dofus Pourpre; Dofus Turquoise; Remueur; Enragé majeur; Nomade; Dévastateur Terre majeur; Bulbisou</t>
        </is>
      </c>
    </row>
    <row r="17309">
      <c r="A17309" t="inlineStr">
        <is>
          <t>feu eau</t>
        </is>
      </c>
      <c r="B17309">
        <f>HYPERLINK("https://www.dofusbook.net/fr/equipement/1930432-feu-eau-/objets", "link")</f>
        <v/>
      </c>
      <c r="C17309" t="n">
        <v>2</v>
      </c>
      <c r="D17309" t="inlineStr">
        <is>
          <t>Baguette Hique; Amulette de Shokkoth; Alliance Gloursonne; Anneau Volkorne; Bouclier cubiste; Sangle Ouare; Kidibonnet; Cape de la Dame du Hasard; Bottes de la Dame du Hasard; Dofus des Glaces; Dofus Pourpre; Dofus Turquoise; Dofus Abyssal; Entraveur majeur; Temporiseur majeur; Volkorne Turquoise</t>
        </is>
      </c>
    </row>
    <row r="17310">
      <c r="A17310" t="inlineStr">
        <is>
          <t>Momo</t>
        </is>
      </c>
      <c r="B17310">
        <f>HYPERLINK("https://www.dofusbook.net/fr/equipement/4320070-momo/objets", "link")</f>
        <v/>
      </c>
      <c r="C17310" t="n">
        <v>5</v>
      </c>
      <c r="D17310" t="inlineStr">
        <is>
          <t>Marteau R'ture; Amulette Héroclite; Anneau de Brouce; Anneau Chevelu; Bouclier d'Ilyzaelle; Ceinture Gence; Masque de Koutoulou; Cape au Logis; Bottes de Brouce; Dofus Pourpre; Dokoko; Dofus Turquoise; Dofus Émeraude; Remueur; Nomade; Bulbisou</t>
        </is>
      </c>
    </row>
    <row r="17311">
      <c r="A17311" t="inlineStr">
        <is>
          <t>Toaster</t>
        </is>
      </c>
      <c r="B17311">
        <f>HYPERLINK("https://www.dofusbook.net/fr/equipement/5448198-toaster/objets", "link")</f>
        <v/>
      </c>
      <c r="C17311" t="n">
        <v>0</v>
      </c>
      <c r="D17311" t="inlineStr">
        <is>
          <t>Dagues du Dragoeuf; Amulette du Strigide; Alliance Gloursonne; Bague Gloursonne; Bouclier du Captain Amakna; Ceinture du Strigide; Corne de Torkélonia; Carapace de Torkélonia; Bottes du Strigide; Dofus Ébène; Dofus Abyssal; Dofus des Glaces; Dofus Ocre; Dofus Nébuleux; Dofus Ivoire; Muldo Prune et Emeraude</t>
        </is>
      </c>
    </row>
    <row r="17312">
      <c r="A17312" t="inlineStr">
        <is>
          <t>Crâ M 200</t>
        </is>
      </c>
      <c r="B17312">
        <f>HYPERLINK("https://www.dofusbook.net/fr/equipement/3284967-cra-m-200/objets", "link")</f>
        <v/>
      </c>
      <c r="C17312" t="n">
        <v>0</v>
      </c>
      <c r="D17312" t="inlineStr">
        <is>
          <t>Dagues du Dragoeuf; Amulette du Strigide; Anneau Tique; Anneau de Padgref; Quatre-feuilles; Ceinture du Strigide; Coiffe de Padgref; Voile d'encre; Getas de Padgref; Dofus Vulbis; Dofus Ocre; Dolmanax; Dofus Nébuleux; Dofus Turquoise; Dofus Abyssal; Kokulte</t>
        </is>
      </c>
    </row>
    <row r="17313">
      <c r="A17313" t="inlineStr">
        <is>
          <t>budget erhy</t>
        </is>
      </c>
      <c r="B17313">
        <f>HYPERLINK("https://www.dofusbook.net/fr/equipement/1506885-budget-erhy/objets", "link")</f>
        <v/>
      </c>
      <c r="C17313" t="n">
        <v>1</v>
      </c>
      <c r="D17313" t="inlineStr">
        <is>
          <t>Dagues du Dragoeuf; Amulette du Strigide; Alliance Gloursonne; Bague Gloursonne; Bouclier du Captain Amakna; Ceinture du Strigide; Corne de Torkélonia; Carapace de Torkélonia; Bottes du Strigide; Dofus Ocre; Dofus Abyssal; Dofus Pourpre; Dofus Ivoire; Dofus Turquoise; Dofus des Glaces; Kokulte</t>
        </is>
      </c>
    </row>
    <row r="17314">
      <c r="A17314" t="inlineStr">
        <is>
          <t>Iop M 200</t>
        </is>
      </c>
      <c r="B17314">
        <f>HYPERLINK("https://www.dofusbook.net/fr/equipement/5429678-iop-m-200/objets", "link")</f>
        <v/>
      </c>
      <c r="C17314" t="n">
        <v>0</v>
      </c>
      <c r="D17314" t="inlineStr">
        <is>
          <t>Anneau Instable; Alliance Gloursonne; Ceinture Instable; Kanistère; Dolmanax; Initiateur majeur; Précurseur; Précurseur majeur; Fonceur; Fonceur majeur; Petit Chacha Blanc</t>
        </is>
      </c>
    </row>
    <row r="17315">
      <c r="A17315" t="inlineStr">
        <is>
          <t>Ganymède</t>
        </is>
      </c>
      <c r="B17315">
        <f>HYPERLINK("https://www.dofusbook.net/fr/equipement/5390350-ganymede/objets", "link")</f>
        <v/>
      </c>
      <c r="C17315" t="n">
        <v>0</v>
      </c>
      <c r="D17315" t="inlineStr">
        <is>
          <t>Manthache; Collier du Valet Veinard; Alliance Gloursonne; Gant du Valet Veinard; Cadran d'Eau; Menoture; Baleinabottes; Dokoko; Dofus Ivoire; Dofus Émeraude; Dofus Abyssal; Nomade; Obstructeur majeur; Givrefoux</t>
        </is>
      </c>
    </row>
    <row r="17316">
      <c r="A17316" t="inlineStr">
        <is>
          <t>récrit</t>
        </is>
      </c>
      <c r="B17316">
        <f>HYPERLINK("https://www.dofusbook.net/fr/equipement/694925-recrit/objets", "link")</f>
        <v/>
      </c>
      <c r="C17316" t="n">
        <v>16</v>
      </c>
      <c r="D17316" t="inlineStr">
        <is>
          <t>Baguette Iots; Amulette de Pol Ouatnos; Goulano; Baguistik; Bouclier Bontarien; Ceinture de la Reine des Voleurs; Masque de Koutoulou; Cape au Logis; Goulbottes; Dofus Abyssal; Dokoko; Dofus Ivoire; Dofus Ocre; Bastion majeur; Fortification majeure; Wabbit</t>
        </is>
      </c>
    </row>
    <row r="17317">
      <c r="A17317" t="inlineStr">
        <is>
          <t>Stuff 3</t>
        </is>
      </c>
      <c r="B17317">
        <f>HYPERLINK("https://www.dofusbook.net/fr/equipement/694938-stuff-3/objets", "link")</f>
        <v/>
      </c>
      <c r="C17317" t="n">
        <v>0</v>
      </c>
      <c r="D17317" t="inlineStr">
        <is>
          <t>Arc Volkorne; Amulette Volkorne; Bracelet du Piloztère; Anneau Volkorne; Quatre-feuilles; Ceinture Volkorne; Casque du Chalœil; Cape du Chalœil; Bottes du Chalœil; Dofus Pourpre; Dofus des Glaces; Dofus Turquoise; Dofus Abyssal; Dofus Ocre; Dofus Ivoire; Sakochère</t>
        </is>
      </c>
    </row>
    <row r="17318">
      <c r="A17318" t="inlineStr">
        <is>
          <t>Crâ M 200</t>
        </is>
      </c>
      <c r="B17318">
        <f>HYPERLINK("https://www.dofusbook.net/fr/equipement/4248084-cra-m-200/objets", "link")</f>
        <v/>
      </c>
      <c r="C17318" t="n">
        <v>3</v>
      </c>
      <c r="D17318" t="inlineStr">
        <is>
          <t>Sabres d'Atcham; Amulette Volkorne; Anneau Volkorne; Anneau de Padgref; Quatre-feuilles; Ceinture Volkorne; Coiffe de Padgref; Cape d'Atcham; Getas de Padgref; Dolmanax; Dofus Turquoise; Dofus des Glaces; Dofus Ocre; Dofus Pourpre; Dofus Abyssal; Sakochère</t>
        </is>
      </c>
    </row>
    <row r="17319">
      <c r="A17319" t="inlineStr">
        <is>
          <t>Guerrier chaton</t>
        </is>
      </c>
      <c r="B17319">
        <f>HYPERLINK("https://www.dofusbook.net/fr/equipement/2693207-guerrier-chaton/objets", "link")</f>
        <v/>
      </c>
      <c r="C17319" t="n">
        <v>7</v>
      </c>
      <c r="D17319" t="inlineStr">
        <is>
          <t>Marteau R'ture; Amulette du Cœur Saignant; Anneau du Comte Harebourg; Anneau de Brouce; Cadran d'Eau; Ceinture de Brouce; Coiffe du Comte Harebourg; Cape du Cœur Saignant; Bottes de Brouce; Dofus Ocre; Dofus Ébène; Dofus Pourpre; Dofus Abyssal; Dofus Turquoise; Dofus Ivoire; Volkorne Emeraude et Pourpre</t>
        </is>
      </c>
    </row>
    <row r="17320">
      <c r="A17320" t="inlineStr">
        <is>
          <t>pépay</t>
        </is>
      </c>
      <c r="B17320">
        <f>HYPERLINK("https://www.dofusbook.net/fr/equipement/694922-pepay/objets", "link")</f>
        <v/>
      </c>
      <c r="C17320" t="n">
        <v>0</v>
      </c>
      <c r="D17320" t="inlineStr">
        <is>
          <t>Hache à Lamelles; Collier du Minotot; Anneau Moutheur; Bracelet du Minotot; Bouclier Taverne; Tranche des Sous-bois; Coiffe du Minotot; Cape du Minotot; Bottines des sous-bois; Dofus Kaliptus; Dokille; Dolmanax; Taquin; Joueur majeur; Taquin majeur; Hurledent</t>
        </is>
      </c>
    </row>
    <row r="17321">
      <c r="A17321" t="inlineStr">
        <is>
          <t>Stuff 2</t>
        </is>
      </c>
      <c r="B17321">
        <f>HYPERLINK("https://www.dofusbook.net/fr/equipement/1916128-stuff-2/objets", "link")</f>
        <v/>
      </c>
      <c r="C17321" t="n">
        <v>0</v>
      </c>
      <c r="D17321" t="inlineStr">
        <is>
          <t>Arc de Koutoulou; Amulette Volkorne; Anneau Volkorne; Bracelet du Piloztère; Bouclier Taverne; Ceinture Volkorne; Némès de Tal Kasha; Chevelure de Tal Kasha; Sandales de Tal Kasha; Dofus Pourpre; Dofus Ivoire; Dofus des Glaces; Dofus Turquoise; Dolmanax; Dofus Ocre; Sakochère</t>
        </is>
      </c>
    </row>
    <row r="17322">
      <c r="A17322" t="inlineStr">
        <is>
          <t>toaster</t>
        </is>
      </c>
      <c r="B17322">
        <f>HYPERLINK("https://www.dofusbook.net/fr/equipement/1855496-toaster/objets", "link")</f>
        <v/>
      </c>
      <c r="C17322" t="n">
        <v>0</v>
      </c>
      <c r="D17322" t="inlineStr">
        <is>
          <t>Arc corrompu; Amulette Volkorne; Anneauræus; Anneauræus; Quatre-feuilles; Ceinture Séculaire; Coiffe Séculaire; Cape de Diondin; Bottes Innommables; Dofus Ivoire; Dofus Turquoise; Dofus Ocre; Nomade; Savant majeur; Érudit majeur; Pioute rouge</t>
        </is>
      </c>
    </row>
    <row r="17323">
      <c r="A17323" t="inlineStr">
        <is>
          <t>Eniripsa M 200</t>
        </is>
      </c>
      <c r="B17323">
        <f>HYPERLINK("https://www.dofusbook.net/fr/equipement/3969529-eniripsa-m-200/objets", "link")</f>
        <v/>
      </c>
      <c r="C17323" t="n">
        <v>1</v>
      </c>
      <c r="D17323" t="inlineStr">
        <is>
          <t>Arc de Koutoulou; Amulette Volkorne; Anneau de Padgref; Anneau Volkorne; Quatre-feuilles; Sangle Ouare; Némès de Tal Kasha; Chevelure de Tal Kasha; Sandales de Tal Kasha; Dofus Turquoise; Dofus Nébuleux; Dolmanax; Dofus Ocre; Dofus Pourpre; Dofus des Glaces; Kokulte</t>
        </is>
      </c>
    </row>
    <row r="17324">
      <c r="A17324" t="inlineStr">
        <is>
          <t>Iop M 200</t>
        </is>
      </c>
      <c r="B17324">
        <f>HYPERLINK("https://www.dofusbook.net/fr/equipement/3913124-iop-m-200/objets", "link")</f>
        <v/>
      </c>
      <c r="C17324" t="n">
        <v>0</v>
      </c>
      <c r="D17324" t="inlineStr">
        <is>
          <t>Lav'Hache; Torquistik; Alliance Brûlâme; Baguistik; Bouclier précieux; Ceinture de Kongoku; Masque Brûlâme; Cape de Kongoku; Bottistik; Tatouf</t>
        </is>
      </c>
    </row>
    <row r="17325">
      <c r="A17325" t="inlineStr">
        <is>
          <t>azy</t>
        </is>
      </c>
      <c r="B17325">
        <f>HYPERLINK("https://www.dofusbook.net/fr/equipement/3784083-azy/objets", "link")</f>
        <v/>
      </c>
      <c r="C17325" t="n">
        <v>1</v>
      </c>
      <c r="D17325" t="inlineStr">
        <is>
          <t>Manthache; Collier du Valet Veinard; Gant du Valet Veinard; Alliance Gloursonne; Bouclier d'Ilyzaelle; Menoture; Casque Dragoeuf; Cape du Valet Veinard; Palmes Trithons; Dofus Pourpre; Dofus Ivoire; Dofus Émeraude; Dofus Nébuleux; Dofus des Glaces; Dofus Abyssal; Muldo Ebène et Orchidée</t>
        </is>
      </c>
    </row>
    <row r="17326">
      <c r="A17326" t="inlineStr">
        <is>
          <t>Pandawa F 200</t>
        </is>
      </c>
      <c r="B17326">
        <f>HYPERLINK("https://www.dofusbook.net/fr/equipement/3741475-pandawa-f-200/objets", "link")</f>
        <v/>
      </c>
      <c r="C17326" t="n">
        <v>1</v>
      </c>
      <c r="D17326" t="inlineStr">
        <is>
          <t>Arc de Koutoulou; Amulette du Strigide; Bague Gloursonne; Alliance Gloursonne; Quatre-feuilles; Ceinture du Strigide; Némès de Tal Kasha; Chevelure de Tal Kasha; Sandales de Tal Kasha; Dofus Nébuleux; Dofus Pourpre; Dofus Vulbis; Dofus Ocre; Dofus Turquoise; Dofus Ivoire; Volkorne Emeraude et Pourpre</t>
        </is>
      </c>
    </row>
    <row r="17327">
      <c r="A17327" t="inlineStr">
        <is>
          <t>Enutrof M 200</t>
        </is>
      </c>
      <c r="B17327">
        <f>HYPERLINK("https://www.dofusbook.net/fr/equipement/3719808-enutrof-m-200/objets", "link")</f>
        <v/>
      </c>
      <c r="C17327" t="n">
        <v>0</v>
      </c>
      <c r="D17327" t="inlineStr">
        <is>
          <t>Baguette Hique; Amulette Hale; Anneau Tamie; Pikano; Bouclier cubiste; Ceinture de Kongoku; Casquette de Meno; Cape de la Dame du Hasard; Bottes de Meno; Dofus Ocre; Temporiseur majeur; Ralentisseur majeur; Nomade; Entraveur majeur; Remueur; Volkorne Turquoise</t>
        </is>
      </c>
    </row>
    <row r="17328">
      <c r="A17328" t="inlineStr">
        <is>
          <t>Stuff 2</t>
        </is>
      </c>
      <c r="B17328">
        <f>HYPERLINK("https://www.dofusbook.net/fr/equipement/694931-stuff-2/objets", "link")</f>
        <v/>
      </c>
      <c r="C17328" t="n">
        <v>1</v>
      </c>
      <c r="D17328" t="inlineStr">
        <is>
          <t>Dagues Açantes; Amulette du Glourséleste; Alliance Gloursonne; Pikano; Bouclier cubiste; Ceinture Glaciale; Casquipik; Cape de Léthaline; Pantoufles Émar; Temporiseur; Entraveur majeur; Ralentisseur majeur; Remueur; Entraveur; Temporiseur majeur; Kwaltess</t>
        </is>
      </c>
    </row>
    <row r="17329">
      <c r="A17329" t="inlineStr">
        <is>
          <t>Sram M 200</t>
        </is>
      </c>
      <c r="B17329">
        <f>HYPERLINK("https://www.dofusbook.net/fr/equipement/3718883-sram-m-200/objets", "link")</f>
        <v/>
      </c>
      <c r="C17329" t="n">
        <v>0</v>
      </c>
      <c r="D17329" t="inlineStr">
        <is>
          <t>Manthache; Collier du Valet Veinard; Anneau d'Allister; Gant du Valet Veinard; Quatre-feuilles; Sangle Oriole; Couronne d'Allister; Cape du Valet Veinard; Bottes d'Allister; Dofus des Glaces; Dofus Abyssal; Dofus Vulbis; Dofus Pourpre; Dofus Ocre; Equilibriste majeur; Dragodinde Ebène et Ivoire</t>
        </is>
      </c>
    </row>
    <row r="17330">
      <c r="A17330" t="inlineStr">
        <is>
          <t>Geta classe</t>
        </is>
      </c>
      <c r="B17330">
        <f>HYPERLINK("https://www.dofusbook.net/fr/equipement/3698124-geta-classe/objets", "link")</f>
        <v/>
      </c>
      <c r="C17330" t="n">
        <v>0</v>
      </c>
      <c r="D17330" t="inlineStr">
        <is>
          <t>Hache du Chalœil; Amulette du Strigide; Bracelet du Piloztère; Goulano; Quatre-feuilles; Ceinture du Strigide; Coiffe du Lévitrof; Voile d'encre; Getas Bernacle; Dofus Turquoise; Dofus Ocre; Dofus Pourpre; Dofus Ivoire; Nomade; Remueur; Volkorne Pourpre et Indigo</t>
        </is>
      </c>
    </row>
    <row r="17331">
      <c r="A17331" t="inlineStr">
        <is>
          <t>sitr glours muldo</t>
        </is>
      </c>
      <c r="B17331">
        <f>HYPERLINK("https://www.dofusbook.net/fr/equipement/2050541-sitr-glours-muldo/objets", "link")</f>
        <v/>
      </c>
      <c r="C17331" t="n">
        <v>0</v>
      </c>
      <c r="D17331" t="inlineStr">
        <is>
          <t>Epée Gloursonne; Amulette du Strigide; Bague Gloursonne; Alliance Gloursonne; Bouclier Taverne; Ceinture du Strigide; Coiffe de la Fuji Givrefoux; Cape de la Fuji Givrefoux; Bottes du Strigide; Dolmanax; Dofus des Glaces; Dofus Ivoire; Dofus Pourpre; Dofus Turquoise; Dofus Ocre; Kramkram</t>
        </is>
      </c>
    </row>
    <row r="17332">
      <c r="A17332" t="inlineStr">
        <is>
          <t>Sram M 200</t>
        </is>
      </c>
      <c r="B17332">
        <f>HYPERLINK("https://www.dofusbook.net/fr/equipement/3671613-sram-m-200/objets", "link")</f>
        <v/>
      </c>
      <c r="C17332" t="n">
        <v>1</v>
      </c>
      <c r="D17332" t="inlineStr">
        <is>
          <t>Epée Kari; Amulette du Strigide; Anneau Chevelu; Bracelet du Piloztère; Bouclier Taverne; Ceinture du Strigide; Masque de Koutoulou; Cape au Logis; Baleinabottes; Dofus Pourpre; Dofus Turquoise; Enragé majeur; Remueur; Vigoureux majeur; Nomade; Dragodinde Ivoire et Pourpre</t>
        </is>
      </c>
    </row>
    <row r="17333">
      <c r="A17333" t="inlineStr">
        <is>
          <t>Enutrof M 200</t>
        </is>
      </c>
      <c r="B17333">
        <f>HYPERLINK("https://www.dofusbook.net/fr/equipement/3627677-enutrof-m-200/objets", "link")</f>
        <v/>
      </c>
      <c r="C17333" t="n">
        <v>0</v>
      </c>
      <c r="D17333" t="inlineStr">
        <is>
          <t>Epée Gloursonne; Collier de la Dame du Hasard; Bague Gloursonne; Alliance Gloursonne; Bouclier cubiste; Ceinture Glaciale; Boucle d'oreille de Kongoku; Cape de la Dame du Hasard; Bottes de la Dame du Hasard; Dofus des Glaces; Dofus Pourpre; Dofus Turquoise; Entraveur majeur; Entraveur; Ralentisseur majeur; Volkorne Turquoise et Indigo</t>
        </is>
      </c>
    </row>
    <row r="17334">
      <c r="A17334" t="inlineStr">
        <is>
          <t>Osamodas M 200</t>
        </is>
      </c>
      <c r="B17334">
        <f>HYPERLINK("https://www.dofusbook.net/fr/equipement/3517185-osamodas-m-200/objets", "link")</f>
        <v/>
      </c>
      <c r="C17334" t="n">
        <v>7</v>
      </c>
      <c r="D17334" t="inlineStr">
        <is>
          <t>Hache Rot; Amulette de Shokkoth; Alliance Gloursonne; Pikano; Bouclier Akwadala; Sangle Ouare; Kidibonnet; Cape Tif; Pataugastrique; Dévastateur Eau majeur; Remueur; Sanguinaire majeur; Chanceux majeur; Vigoureux majeur; Nomade; Dragodinde Indigo et Ivoire</t>
        </is>
      </c>
    </row>
    <row r="17335">
      <c r="A17335" t="inlineStr">
        <is>
          <t>feu low cost</t>
        </is>
      </c>
      <c r="B17335">
        <f>HYPERLINK("https://www.dofusbook.net/fr/equipement/2778358-feu-low-cost/objets", "link")</f>
        <v/>
      </c>
      <c r="C17335" t="n">
        <v>1</v>
      </c>
      <c r="D17335" t="inlineStr">
        <is>
          <t>Épée d'Otomaï; Pendentif mignon de Koutoulou; Anneau Tamie; Anneau Rifique; Bouclier du Stalak; Sangle Aise; Heaume Oplate; Cape de Diondin; Bottes Dogues; Érudit majeur; Vigoureux majeur; Robuste majeur; Sanguinaire majeur; Dévastateur Feu majeur; Nomade; Brûlih</t>
        </is>
      </c>
    </row>
    <row r="17336">
      <c r="A17336" t="inlineStr">
        <is>
          <t>Souain</t>
        </is>
      </c>
      <c r="B17336">
        <f>HYPERLINK("https://www.dofusbook.net/fr/equipement/1863627-souain/objets", "link")</f>
        <v/>
      </c>
      <c r="C17336" t="n">
        <v>1</v>
      </c>
      <c r="D17336" t="inlineStr">
        <is>
          <t>Baguette de Malléfisk; Amulette d'Otomaï; Kralano; Anneau de Nidas; Bivalve; Ceinture Séculaire; Couronne de Nidas; Cape de Diondin; Bottes Innommables; Dofus Ocre; Érudit majeur; Guérisseur majeur; Nomade; Vigoureux majeur; Soigneur majeur; Brûlih</t>
        </is>
      </c>
    </row>
    <row r="17337">
      <c r="A17337" t="inlineStr">
        <is>
          <t>esquive pa cac</t>
        </is>
      </c>
      <c r="B17337">
        <f>HYPERLINK("https://www.dofusbook.net/fr/equipement/1977481-esquive-pa-cac/objets", "link")</f>
        <v/>
      </c>
      <c r="C17337" t="n">
        <v>0</v>
      </c>
      <c r="D17337" t="inlineStr">
        <is>
          <t>Marteau R'ture; Amulette du Strigide; Bague Gloursonne; Anneau Chevelu; Écorce de Brouce; Ceintouse; Bonnet Ko; Voile d'encre; Bottes du Strigide; Dofus Ocre; Dofus Émeraude; Dokoko; Évasif majeur; Nomade; Remueur; Muldo Indigo et Pourpre</t>
        </is>
      </c>
    </row>
    <row r="17338">
      <c r="A17338" t="inlineStr">
        <is>
          <t>ret pm</t>
        </is>
      </c>
      <c r="B17338">
        <f>HYPERLINK("https://www.dofusbook.net/fr/equipement/1768955-ret-pm/objets", "link")</f>
        <v/>
      </c>
      <c r="C17338" t="n">
        <v>1</v>
      </c>
      <c r="D17338" t="inlineStr">
        <is>
          <t>Hache du Guerrier Zoth; Amulette du Glourséleste; Anneau Tamie; Bague Instable; Bouclier cubiste; Ceinture Instable; Boucle d'oreille de Kongoku; Cape de Léthaline; Chaussures Face; Remueur; Ralentisseur majeur; Entraveur; Entraveur majeur; Temporiseur; Temporiseur majeur; Kwaltess</t>
        </is>
      </c>
    </row>
    <row r="17339">
      <c r="A17339" t="inlineStr">
        <is>
          <t>inisaharach</t>
        </is>
      </c>
      <c r="B17339">
        <f>HYPERLINK("https://www.dofusbook.net/fr/equipement/1745809-inisaharach/objets", "link")</f>
        <v/>
      </c>
      <c r="C17339" t="n">
        <v>0</v>
      </c>
      <c r="D17339" t="inlineStr">
        <is>
          <t>Epée Gloursonne; Collier du Tanukouï San; Annolamour; Alliance Gloursonne; Ceinture Meulante; Billréole; Cape Reski; Bottines des sous-bois; Dofus Ocre; Dolmanax; Fonceur majeur; Nomade; Remueur; Précurseur majeur; Dragodinde Amande</t>
        </is>
      </c>
    </row>
    <row r="17340">
      <c r="A17340" t="inlineStr">
        <is>
          <t>strigloursufji</t>
        </is>
      </c>
      <c r="B17340">
        <f>HYPERLINK("https://www.dofusbook.net/fr/equipement/694923-strigloursufji/objets", "link")</f>
        <v/>
      </c>
      <c r="C17340" t="n">
        <v>0</v>
      </c>
      <c r="D17340" t="inlineStr">
        <is>
          <t>Epée Gloursonne; Amulette du Strigide; Bague Gloursonne; Alliance Gloursonne; Sept ans de malheur; Ceinture du Strigide; Coiffe de la Fuji Givrefoux; Cape de la Fuji Givrefoux; Bottes du Strigide; Dofus Pourpre; Dolmanax; Dofus Turquoise; Dofus des Glaces; Dofus Ocre; Bloqueur majeur; Blokus</t>
        </is>
      </c>
    </row>
    <row r="17341">
      <c r="A17341" t="inlineStr">
        <is>
          <t>budget</t>
        </is>
      </c>
      <c r="B17341">
        <f>HYPERLINK("https://www.dofusbook.net/fr/equipement/1390039-budget/objets", "link")</f>
        <v/>
      </c>
      <c r="C17341" t="n">
        <v>4</v>
      </c>
      <c r="D17341" t="inlineStr">
        <is>
          <t>Epée Toche; Amulette du Strigide; Bague Gloursonne; Gelano; Bouclier de Bowisse; Ceinture du Strigide; Bonnet Ko; Cape de la Fuji Givrefoux; Bottes du Cycloïde; Dofus Turquoise; Miraculé majeur; Érudit majeur; Vigoureux majeur; Remueur; Enragé majeur; Muldo Prune et Doré</t>
        </is>
      </c>
    </row>
    <row r="17342">
      <c r="A17342" t="inlineStr">
        <is>
          <t>Stuff 2</t>
        </is>
      </c>
      <c r="B17342">
        <f>HYPERLINK("https://www.dofusbook.net/fr/equipement/694928-stuff-2/objets", "link")</f>
        <v/>
      </c>
      <c r="C17342" t="n">
        <v>0</v>
      </c>
      <c r="D17342" t="inlineStr">
        <is>
          <t>Arc de Koutoulou; Collier de la Dame du Hasard; Anneau de Padgref; Alliance Gloursonne; Quatre-feuilles; Pagne du Rykaon; Coiffe de Padgref; Cape de la Dame du Hasard; Getas de Padgref; Dofus Turquoise; Dofus des Glaces; Dofus Nébuleux; Dofus Ocre; Dofus Pourpre; Dolmanax; Muldo Prune et Emeraude</t>
        </is>
      </c>
    </row>
    <row r="17343">
      <c r="A17343" t="inlineStr">
        <is>
          <t>Stuff 3</t>
        </is>
      </c>
      <c r="B17343">
        <f>HYPERLINK("https://www.dofusbook.net/fr/equipement/694935-stuff-3/objets", "link")</f>
        <v/>
      </c>
      <c r="C17343" t="n">
        <v>0</v>
      </c>
      <c r="D17343" t="inlineStr">
        <is>
          <t>Rouleau à Pâtisserie d'Aermyne; Amulette du Strigide; Anneau Chevelu; Bague Gloursonne; Ceintacé; Casque Dragoeuf; Cape d'Aermyne; Bottes d'Oshimo; Dofus des Veilleurs; Dokoko; Dofus Émeraude; Miraculé majeur; Remueur; Survivant majeur; Muldo Ebène et Orchidée</t>
        </is>
      </c>
    </row>
    <row r="17344">
      <c r="A17344" t="inlineStr">
        <is>
          <t>Stuff 1</t>
        </is>
      </c>
      <c r="B17344">
        <f>HYPERLINK("https://www.dofusbook.net/fr/equipement/694942-stuff-1/objets", "link")</f>
        <v/>
      </c>
      <c r="C17344" t="n">
        <v>1</v>
      </c>
      <c r="D17344" t="inlineStr">
        <is>
          <t>Manthache; Collier du Valet Veinard; Gant du Valet Veinard; Alliance Gloursonne; Quatre-feuilles; Ceinture Billonnante; Couronne d'Allister; Cape Indescriptible; Baleinabottes; Dofus Ocre; Dofus Pourpre; Dofus des Glaces; Cascadeur majeur; Vigoureux majeur; Dévastateur Air majeur; Muldo Doré et Ebène</t>
        </is>
      </c>
    </row>
    <row r="17345">
      <c r="A17345" t="inlineStr">
        <is>
          <t>Steamer M 200</t>
        </is>
      </c>
      <c r="B17345">
        <f>HYPERLINK("https://www.dofusbook.net/fr/equipement/5800946-steamer-m-200/objets", "link")</f>
        <v/>
      </c>
      <c r="C17345" t="n">
        <v>0</v>
      </c>
      <c r="D17345" t="inlineStr">
        <is>
          <t>Arc Nécrotique; Collier de la Dame du Hasard; Anneau Toriété; Bague Trithon; Quatre-feuilles; Ceintacé; Corne de Torkélonia; Carapace de Torkélonia; Bottes de la Dame du Hasard; Dofus Ocre; Dofus des Glaces; Dofus Vulbis; Dofus Turquoise; Dofus Pourpre; Dofus Ivoire; Kokulte</t>
        </is>
      </c>
    </row>
    <row r="17346">
      <c r="A17346" t="inlineStr">
        <is>
          <t>Steamer M 200</t>
        </is>
      </c>
      <c r="B17346">
        <f>HYPERLINK("https://www.dofusbook.net/fr/equipement/5783923-steamer-m-200/objets", "link")</f>
        <v/>
      </c>
      <c r="C17346" t="n">
        <v>0</v>
      </c>
      <c r="D17346" t="inlineStr">
        <is>
          <t>Arc du Chalœil; Amulette du Strigide; Alliance Brûlâme; Bague Trithon; Quatre-feuilles; Ceintacé; Corne de Torkélonia; Carapace de Torkélonia; Bottes du Strigide; Dofus des Glaces; Dofus Pourpre; Dofus Vulbis; Dofus Ocre; Dofus Ivoire; Dofus Turquoise; Kokulte</t>
        </is>
      </c>
    </row>
    <row r="17347">
      <c r="A17347" t="inlineStr">
        <is>
          <t>Steamer M 200</t>
        </is>
      </c>
      <c r="B17347">
        <f>HYPERLINK("https://www.dofusbook.net/fr/equipement/5783789-steamer-m-200/objets", "link")</f>
        <v/>
      </c>
      <c r="C17347" t="n">
        <v>1</v>
      </c>
      <c r="D17347" t="inlineStr">
        <is>
          <t>Arc du Chalœil; Amulette du Cœur Saignant; Bague Trithon; Anneau de Pol Ouatnos; Quatre-feuilles; Ceintacé; Corne de Torkélonia; Carapace de Torkélonia; Bottes Trithon; Dofus Pourpre; Dofus Ivoire; Dofus des Glaces; Dofus Turquoise; Dofus Ocre; Dofus Ébène; Kokulte</t>
        </is>
      </c>
    </row>
    <row r="17348">
      <c r="A17348" t="inlineStr">
        <is>
          <t>Steamer M 200</t>
        </is>
      </c>
      <c r="B17348">
        <f>HYPERLINK("https://www.dofusbook.net/fr/equipement/5773203-steamer-m-200/objets", "link")</f>
        <v/>
      </c>
      <c r="C17348" t="n">
        <v>0</v>
      </c>
      <c r="D17348" t="inlineStr">
        <is>
          <t>Baguette de Torkélonia; Amulette du Cœur Saignant; Bague Trithon; Gant du Valet Veinard; Quatre-feuilles; Ceintacé; Corne de Torkélonia; Carapace de Torkélonia; Bottes Trithon; Dofus Ébène; Dofus Ocre; Dofus Pourpre; Dofus Turquoise; Dofus Ivoire; Dofus Abyssal; Kokulte</t>
        </is>
      </c>
    </row>
    <row r="17349">
      <c r="A17349" t="inlineStr">
        <is>
          <t>Steamer M 200</t>
        </is>
      </c>
      <c r="B17349">
        <f>HYPERLINK("https://www.dofusbook.net/fr/equipement/5701896-steamer-m-200/objets", "link")</f>
        <v/>
      </c>
      <c r="C17349" t="n">
        <v>11</v>
      </c>
      <c r="D17349" t="inlineStr">
        <is>
          <t>Arc Nécrotique; Collier de la Dame du Hasard; Bague Trithon; Alliance Gloursonne; Quatre-feuilles; Ceinture du Strigide; Masque Trithon; Cape de la Dame du Hasard; Bottes Trithon; Dofus Vulbis; Dofus Turquoise; Dofus Pourpre; Dofus des Glaces; Dolmanax; Dofus Ocre; Kokulte</t>
        </is>
      </c>
    </row>
    <row r="17350">
      <c r="A17350" t="inlineStr">
        <is>
          <t>Steamer M 200</t>
        </is>
      </c>
      <c r="B17350">
        <f>HYPERLINK("https://www.dofusbook.net/fr/equipement/5717048-steamer-m-200/objets", "link")</f>
        <v/>
      </c>
      <c r="C17350" t="n">
        <v>0</v>
      </c>
      <c r="D17350" t="inlineStr">
        <is>
          <t>Hache du Chalœil; Amulette du Strigide; Alliance Gloursonne; Bague Trithon; Quatre-feuilles; Ceinture du Strigide; Némès de Tal Kasha; Chevelure de Tal Kasha; Bottes du Strigide; Dofus Vulbis; Dofus des Glaces; Dolmanax; Dofus Ocre; Dofus Pourpre; Dofus Turquoise; Kokulte</t>
        </is>
      </c>
    </row>
    <row r="17351">
      <c r="A17351" t="inlineStr">
        <is>
          <t>Féca M 200</t>
        </is>
      </c>
      <c r="B17351">
        <f>HYPERLINK("https://www.dofusbook.net/fr/equipement/5702058-feca-m-200/objets", "link")</f>
        <v/>
      </c>
      <c r="C17351" t="n">
        <v>0</v>
      </c>
      <c r="D17351" t="inlineStr">
        <is>
          <t>Baguette Hique; Collier de la Dame du Hasard; Alliance Gloursonne; Bague Trithon; Quatre-feuilles; Ceinture de Vortex; Masque Trithon; Cape de la Dame du Hasard; Bottes de la Dame du Hasard; Dofus Émeraude; Dofus Turquoise; Dofus Pourpre; Dofus Ocre; Dofus Ivoire; Dofus Vulbis; Kokulte</t>
        </is>
      </c>
    </row>
    <row r="17352">
      <c r="A17352" t="inlineStr">
        <is>
          <t>Iop M 200</t>
        </is>
      </c>
      <c r="B17352">
        <f>HYPERLINK("https://www.dofusbook.net/fr/equipement/5701939-iop-m-200/objets", "link")</f>
        <v/>
      </c>
      <c r="C17352" t="n">
        <v>0</v>
      </c>
      <c r="D17352" t="inlineStr">
        <is>
          <t>Arc du Chalœil; Amulette du Strigide; Anneau Volkorne; Anneau Chevelu; Quatre-feuilles; Ceinture Volkorne; Masque de Koutoulou; Cape au Logis; Bottes de la Cour Sombre; Dofus Turquoise; Dofus des Glaces; Dofus Vulbis; Dofus Ocre; Dofus Pourpre; Dofus Ivoire; Bulbisou</t>
        </is>
      </c>
    </row>
    <row r="17353">
      <c r="A17353" t="inlineStr">
        <is>
          <t>Iop M 200</t>
        </is>
      </c>
      <c r="B17353">
        <f>HYPERLINK("https://www.dofusbook.net/fr/equipement/5654903-iop-m-200/objets", "link")</f>
        <v/>
      </c>
      <c r="C17353" t="n">
        <v>0</v>
      </c>
      <c r="D17353" t="inlineStr">
        <is>
          <t>Arc du Chalœil; Amulette du Cœur Saignant; Anneau Chevelu; Anneau Crustique; Quatre-feuilles; Ceinture Volkorne; Masque de Koutoulou; Cape au Logis; Bottes du Cœur Saignant; Dofus Ocre; Dofus des Glaces; Dofus Pourpre; Dofus Argenté; Dofus Turquoise; Enragé majeur; Bulbisou</t>
        </is>
      </c>
    </row>
    <row r="17354">
      <c r="A17354" t="inlineStr">
        <is>
          <t>Enutrof M 200</t>
        </is>
      </c>
      <c r="B17354">
        <f>HYPERLINK("https://www.dofusbook.net/fr/equipement/5647030-enutrof-m-200/objets", "link")</f>
        <v/>
      </c>
      <c r="C17354" t="n">
        <v>0</v>
      </c>
      <c r="D17354" t="inlineStr">
        <is>
          <t>Arc corrompu; Amulette Volkorne; Anneauræus; Anneau Tique; Quatre-feuilles; Croture; Couronne de Nidas; Cape de Diondin; Bottes Innommables; Dofus Turquoise; Dofus Ivoire; Remueur; Carapace Feu majeur; Nomade; Érudit majeur; Bisouglours</t>
        </is>
      </c>
    </row>
    <row r="17355">
      <c r="A17355" t="inlineStr">
        <is>
          <t>Enutrof M 200</t>
        </is>
      </c>
      <c r="B17355">
        <f>HYPERLINK("https://www.dofusbook.net/fr/equipement/5646983-enutrof-m-200/objets", "link")</f>
        <v/>
      </c>
      <c r="C17355" t="n">
        <v>0</v>
      </c>
      <c r="D17355" t="inlineStr">
        <is>
          <t>Arc Hétype; Collier de la Dame du Hasard; Anneau de Nidas; Anneauræus; Bouclier cubiste; Ceinture de Vortex; Casquette de Meno; Cape de Diondin; Tongues de Nidas; Dofus Ivoire; Remueur; Temporiseur majeur; Érudit majeur; Nomade; Guérisseur majeur; Médugivre</t>
        </is>
      </c>
    </row>
    <row r="17356">
      <c r="A17356" t="inlineStr">
        <is>
          <t>Féca M 200</t>
        </is>
      </c>
      <c r="B17356">
        <f>HYPERLINK("https://www.dofusbook.net/fr/equipement/5646976-feca-m-200/objets", "link")</f>
        <v/>
      </c>
      <c r="C17356" t="n">
        <v>0</v>
      </c>
      <c r="D17356" t="inlineStr"/>
    </row>
    <row r="17357">
      <c r="A17357" t="inlineStr">
        <is>
          <t>Zobal M 200</t>
        </is>
      </c>
      <c r="B17357">
        <f>HYPERLINK("https://www.dofusbook.net/fr/equipement/5626674-zobal-m-200/objets", "link")</f>
        <v/>
      </c>
      <c r="C17357" t="n">
        <v>2</v>
      </c>
      <c r="D17357" t="inlineStr">
        <is>
          <t>Hache du Chalœil; Amulette du Strigide; Alliance Gloursonne; Bague Trithon; Bouclier Taverne; Ceinture du Strigide; Masque Trithon; Voile d'encre; Bottes Trithon; Dofus Pourpre; Dofus Turquoise; Dofus Vulbis; Dofus des Glaces; Dolmanax; Dofus Ocre; Kokulte</t>
        </is>
      </c>
    </row>
    <row r="17358">
      <c r="A17358" t="inlineStr">
        <is>
          <t>Pandawa M 200</t>
        </is>
      </c>
      <c r="B17358">
        <f>HYPERLINK("https://www.dofusbook.net/fr/equipement/5544827-pandawa-m-200/objets", "link")</f>
        <v/>
      </c>
      <c r="C17358" t="n">
        <v>1</v>
      </c>
      <c r="D17358" t="inlineStr">
        <is>
          <t>Rouleau à Pâtisserie d'Aermyne; Amulette de Pol Ouatnos; Alliance Gloursonne; Bracelet du Piloztère; Bouclier d'Anerice; Ceinture de Kongoku; Casque Dragoeuf; Cape d'Anerice; Pataugastrique; Dofus Émeraude; Dofus Ivoire; Bloqueur majeur; Remueur; Tacleur majeur; Obstructeur majeur; Givrefoux</t>
        </is>
      </c>
    </row>
    <row r="17359">
      <c r="A17359" t="inlineStr">
        <is>
          <t>Iop M 200</t>
        </is>
      </c>
      <c r="B17359">
        <f>HYPERLINK("https://www.dofusbook.net/fr/equipement/5536220-iop-m-200/objets", "link")</f>
        <v/>
      </c>
      <c r="C17359" t="n">
        <v>1</v>
      </c>
      <c r="D17359" t="inlineStr">
        <is>
          <t>Dagues d'Ilyzaelle; Amulette du Strigide; Anneau Crustique; Anneau Chevelu; Bouclier du Captain Amakna; Ceinture Volkorne; Masque de Koutoulou; Cape du Cœur Saignant; Bottes du Cœur Saignant; Dofus Turquoise; Dofus Argenté; Dofus Ocre; Dofus Pourpre; Nomade; Enragé majeur; Kokulte</t>
        </is>
      </c>
    </row>
    <row r="17360">
      <c r="A17360" t="inlineStr">
        <is>
          <t>Iop M 200</t>
        </is>
      </c>
      <c r="B17360">
        <f>HYPERLINK("https://www.dofusbook.net/fr/equipement/5458669-iop-m-200/objets", "link")</f>
        <v/>
      </c>
      <c r="C17360" t="n">
        <v>0</v>
      </c>
      <c r="D17360" t="inlineStr">
        <is>
          <t>Arc du Chalœil; Amulette du Strigide; Anneau Chevelu; Anneau Crustique; Quatre-feuilles; Ceintacé; Masque de Koutoulou; Cape du Cœur Saignant; Bottes du Cœur Saignant; Dofus Argenté; Dofus Pourpre; Dofus Turquoise; Nomade; Vigoureux majeur; Enragé majeur; Kokulte</t>
        </is>
      </c>
    </row>
    <row r="17361">
      <c r="A17361" t="inlineStr">
        <is>
          <t>Iop M 200</t>
        </is>
      </c>
      <c r="B17361">
        <f>HYPERLINK("https://www.dofusbook.net/fr/equipement/5458166-iop-m-200/objets", "link")</f>
        <v/>
      </c>
      <c r="C17361" t="n">
        <v>0</v>
      </c>
      <c r="D17361" t="inlineStr">
        <is>
          <t>Arc du Chalœil; Amulette du Strigide; Bague Gloursonne; Anneau Chevelu; Quatre-feuilles; Ceintacé; Masque Trithon; Voile d'encre; Bottes Trithon; Dofus Turquoise; Dofus des Glaces; Dofus Ocre; Dofus Pourpre; Nomade; Vigoureux majeur; Kokulte</t>
        </is>
      </c>
    </row>
    <row r="17362">
      <c r="A17362" t="inlineStr">
        <is>
          <t>Steamer M 200</t>
        </is>
      </c>
      <c r="B17362">
        <f>HYPERLINK("https://www.dofusbook.net/fr/equipement/5346500-steamer-m-200/objets", "link")</f>
        <v/>
      </c>
      <c r="C17362" t="n">
        <v>0</v>
      </c>
      <c r="D17362" t="inlineStr">
        <is>
          <t>Arc Volkorne; Amulette du Strigide; Bague Trithon; Alliance Gloursonne; Quatre-feuilles; Ceintacé; Casque du Chalœil; Voile d'encre; Bottes Trithon; Dofus Pourpre; Dolmanax; Dofus des Glaces; Dofus Turquoise; Remueur; Nomade; Kokulte</t>
        </is>
      </c>
    </row>
    <row r="17363">
      <c r="A17363" t="inlineStr">
        <is>
          <t>Iop M 200</t>
        </is>
      </c>
      <c r="B17363">
        <f>HYPERLINK("https://www.dofusbook.net/fr/equipement/5447363-iop-m-200/objets", "link")</f>
        <v/>
      </c>
      <c r="C17363" t="n">
        <v>1</v>
      </c>
      <c r="D17363" t="inlineStr">
        <is>
          <t>Dagues d'Ilyzaelle; Amulette du Strigide; Anneau Crustique; Anneau Crustique; Bouclier du Captain Amakna; Ceinture Volkorne; Masque de Koutoulou; Cape du Cœur Saignant; Bottes du Cœur Saignant; Dofus Turquoise; Dofus Pourpre; Dofus Ocre; Nomade; Enragé majeur; Vigoureux majeur; Kokulte</t>
        </is>
      </c>
    </row>
    <row r="17364">
      <c r="A17364" t="inlineStr">
        <is>
          <t>Iop M 200</t>
        </is>
      </c>
      <c r="B17364">
        <f>HYPERLINK("https://www.dofusbook.net/fr/equipement/5363595-iop-m-200/objets", "link")</f>
        <v/>
      </c>
      <c r="C17364" t="n">
        <v>1</v>
      </c>
      <c r="D17364" t="inlineStr">
        <is>
          <t>Hache Téroïde; Amulette Volkorne; Anneau Volkorne; Bague Trithon; Bouclier du Captain Amakna; Ceinture Volkorne; Masque Trithon; Voile d'encre; Bottes Trithon; Dofus Ivoire; Dofus Pourpre; Dofus Ocre; Dofus des Glaces; Dofus Abyssal; Dofus Turquoise; Kokulte</t>
        </is>
      </c>
    </row>
    <row r="17365">
      <c r="A17365" t="inlineStr">
        <is>
          <t>Iop M 200</t>
        </is>
      </c>
      <c r="B17365">
        <f>HYPERLINK("https://www.dofusbook.net/fr/equipement/5363549-iop-m-200/objets", "link")</f>
        <v/>
      </c>
      <c r="C17365" t="n">
        <v>0</v>
      </c>
      <c r="D17365" t="inlineStr">
        <is>
          <t>Dagues Ricol; Amulette Volkorne; Chevalière du Roi Joueur; Anneau Crustique; Bouclier Taverne; Ceinture Volkorne; Chapeau de Gein; Voile d'encre; Pataugastrique; Dofus Turquoise; Dofus des Glaces; Dofus Pourpre; Remueur; Vigoureux majeur; Nomade; El Scarador</t>
        </is>
      </c>
    </row>
    <row r="17366">
      <c r="A17366" t="inlineStr">
        <is>
          <t>Pandawa M 200</t>
        </is>
      </c>
      <c r="B17366">
        <f>HYPERLINK("https://www.dofusbook.net/fr/equipement/5363526-pandawa-m-200/objets", "link")</f>
        <v/>
      </c>
      <c r="C17366" t="n">
        <v>1</v>
      </c>
      <c r="D17366" t="inlineStr">
        <is>
          <t>Rouleau à Pâtisserie d'Aermyne; Amulette Ementaire Deluxe; Anneau de Pol Ouatnos; Alliance Gloursonne; Bouclier d'Anerice; Ceinture de Kongoku; Casque Dragoeuf; Cape d'Anerice; Pataugastrique; Dofus Émeraude; Dolmanax; Bloqueur majeur; Obstructeur majeur; Miraculé majeur; Remueur; Givrefoux</t>
        </is>
      </c>
    </row>
    <row r="17367">
      <c r="A17367" t="inlineStr">
        <is>
          <t>Pandawa M 200</t>
        </is>
      </c>
      <c r="B17367">
        <f>HYPERLINK("https://www.dofusbook.net/fr/equipement/4267694-pandawa-m-200/objets", "link")</f>
        <v/>
      </c>
      <c r="C17367" t="n">
        <v>2</v>
      </c>
      <c r="D17367" t="inlineStr">
        <is>
          <t>Rouleau à Pâtisserie d'Aermyne; Amulette Ementaire Deluxe; Goulano; Alliance Gloursonne; Bouclier précieux; Ceinture de Kongoku; Masque d'Anerice; Cape d'Anerice; Pataugastrique; Dofus Pourpre; Dolmanax; Bloqueur majeur; Remueur; Obstructeur majeur; Nomade</t>
        </is>
      </c>
    </row>
    <row r="17368">
      <c r="A17368" t="inlineStr">
        <is>
          <t>Pandawa M 200</t>
        </is>
      </c>
      <c r="B17368">
        <f>HYPERLINK("https://www.dofusbook.net/fr/equipement/5356333-pandawa-m-200/objets", "link")</f>
        <v/>
      </c>
      <c r="C17368" t="n">
        <v>0</v>
      </c>
      <c r="D17368" t="inlineStr">
        <is>
          <t>Rouleau à Pâtisserie d'Aermyne; Amulette des Chocomanciens; Anneau de Pol Ouatnos; Alliance Gloursonne; Bouclier d'Anerice; Ceinture de Kongoku; Casque Dragoeuf; Cape d'Anerice; Pataugastrique; Dofus Émeraude; Dokoko; Miraculé majeur; Remueur; Obstructeur majeur; Bloqueur majeur; Givrefoux</t>
        </is>
      </c>
    </row>
    <row r="17369">
      <c r="A17369" t="inlineStr">
        <is>
          <t>Iop M 200</t>
        </is>
      </c>
      <c r="B17369">
        <f>HYPERLINK("https://www.dofusbook.net/fr/equipement/5305577-iop-m-200/objets", "link")</f>
        <v/>
      </c>
      <c r="C17369" t="n">
        <v>3</v>
      </c>
      <c r="D17369" t="inlineStr">
        <is>
          <t>Epée Toche; Amulette Volkorne; Anneau Tique; Anneau Crustique; Bouclier Taverne; Ceinture Volkorne; Masque de Koutoulou; Voile d'encre; Bottes de la Cour Sombre; Dofus Pourpre; Dofus Argenté; Dofus des Glaces; Dofus Ocre; Nomade; Vigoureux majeur; El Scarador</t>
        </is>
      </c>
    </row>
    <row r="17370">
      <c r="A17370" t="inlineStr">
        <is>
          <t>Steamer M 200</t>
        </is>
      </c>
      <c r="B17370">
        <f>HYPERLINK("https://www.dofusbook.net/fr/equipement/5230213-steamer-m-200/objets", "link")</f>
        <v/>
      </c>
      <c r="C17370" t="n">
        <v>0</v>
      </c>
      <c r="D17370" t="inlineStr">
        <is>
          <t>Hache du Chalœil; Amulette du Strigide; Bague Trithon; Alliance de Missiz Frizz; Quatre-feuilles; Ceinture du Strigide; Masque Trithon; Cape de Jahash Jurgen; Bottes Trithon; Dofus Ocre; Dofus des Glaces; Dofus Vulbis; Dofus Turquoise; Dolmanax; Dofus Pourpre; Kokulte</t>
        </is>
      </c>
    </row>
    <row r="17371">
      <c r="A17371" t="inlineStr">
        <is>
          <t>Iop M 200</t>
        </is>
      </c>
      <c r="B17371">
        <f>HYPERLINK("https://www.dofusbook.net/fr/equipement/5110917-iop-m-200/objets", "link")</f>
        <v/>
      </c>
      <c r="C17371" t="n">
        <v>1</v>
      </c>
      <c r="D17371" t="inlineStr">
        <is>
          <t>Marteau Phossile; Amulette Volkorne; Anneau Tique; Gant du Valet Veinard; Quatre-feuilles; Ceintacé; Casque Volkorne; Cape d'Anerice; Bottes du Strigide; Dofus Pourpre; Dofus des Glaces; Dofus Turquoise; Nomade; Remueur; Kramkram</t>
        </is>
      </c>
    </row>
    <row r="17372">
      <c r="A17372" t="inlineStr">
        <is>
          <t>Iop M 200</t>
        </is>
      </c>
      <c r="B17372">
        <f>HYPERLINK("https://www.dofusbook.net/fr/equipement/5075511-iop-m-200/objets", "link")</f>
        <v/>
      </c>
      <c r="C17372" t="n">
        <v>0</v>
      </c>
      <c r="D17372" t="inlineStr">
        <is>
          <t>Dagues d'Ilyzaelle; Collier de Tourthon; Anneau Crustique; Anneau Chevelu; Bouclier Taverne; Ceinture Volkorne; Masque de Koutoulou; Cape au Logis; Bottes de la Cour Sombre; Dofus Turquoise; Dofus Pourpre; Remueur; Enragé majeur; Carapace Eau majeur; Vigoureux majeur; Bulbisou</t>
        </is>
      </c>
    </row>
    <row r="17373">
      <c r="A17373" t="inlineStr">
        <is>
          <t>Sram M 200</t>
        </is>
      </c>
      <c r="B17373">
        <f>HYPERLINK("https://www.dofusbook.net/fr/equipement/5065770-sram-m-200/objets", "link")</f>
        <v/>
      </c>
      <c r="C17373" t="n">
        <v>0</v>
      </c>
      <c r="D17373" t="inlineStr">
        <is>
          <t>Manthache; Amibou; Gant du Valet Veinard; Anneau d'Allister; Quatre-feuilles; Menoture; Masque du Barbétoal; Bottes d'Allister; Dofus Turquoise; Dofus Pourpre; Remueur; Miraculé majeur; Nomade; Blérodoudou</t>
        </is>
      </c>
    </row>
    <row r="17374">
      <c r="A17374" t="inlineStr">
        <is>
          <t>Eniripsa F 200</t>
        </is>
      </c>
      <c r="B17374">
        <f>HYPERLINK("https://www.dofusbook.net/fr/equipement/5065081-eniripsa-f-200/objets", "link")</f>
        <v/>
      </c>
      <c r="C17374" t="n">
        <v>0</v>
      </c>
      <c r="D17374" t="inlineStr">
        <is>
          <t>Arc corrompu; Amulette Volkorne; Anneau de Nidas; Anneauræus; Carapar; Ceinture de Vortex; Masque Ardent; Cape de Diondin; Chaussures Ardentes; Guérisseur majeur; Remueur; Fonceur majeur; Érudit majeur; Étourdisseur majeur; Nomade; Ross</t>
        </is>
      </c>
    </row>
    <row r="17375">
      <c r="A17375" t="inlineStr">
        <is>
          <t>Roublard M 200</t>
        </is>
      </c>
      <c r="B17375">
        <f>HYPERLINK("https://www.dofusbook.net/fr/equipement/5012706-roublard-m-200/objets", "link")</f>
        <v/>
      </c>
      <c r="C17375" t="n">
        <v>1</v>
      </c>
      <c r="D17375" t="inlineStr">
        <is>
          <t>Baguette de Malléfisk; Amulette Volkorne; Anneauræus; Anneau de Nidas; Carapar; Ceinture de Vortex; Casque Dragoeuf; Cape de Diondin; Tongues de Nidas; Dofus Pourpre; Nomade; Remueur; Guérisseur majeur; Vigoureux majeur; Érudit majeur; Bisouglours</t>
        </is>
      </c>
    </row>
    <row r="17376">
      <c r="A17376" t="inlineStr">
        <is>
          <t>Pandawa M 200</t>
        </is>
      </c>
      <c r="B17376">
        <f>HYPERLINK("https://www.dofusbook.net/fr/equipement/5012365-pandawa-m-200/objets", "link")</f>
        <v/>
      </c>
      <c r="C17376" t="n">
        <v>5</v>
      </c>
      <c r="D17376" t="inlineStr">
        <is>
          <t>Rouleau à Pâtisserie d'Aermyne; Collier Rophante; Alliance Gloursonne; Bague Trithon; Bouclier d'Anerice; Ceinture de Kongoku; Casque Dragoeuf; Cape d'Anerice; Pataugastrique; Dofus Émeraude; Dofus Ivoire; Remueur; Miraculé majeur; Obstructeur majeur; Bloqueur majeur; Platypus</t>
        </is>
      </c>
    </row>
    <row r="17377">
      <c r="A17377" t="inlineStr">
        <is>
          <t>Steamer M 200</t>
        </is>
      </c>
      <c r="B17377">
        <f>HYPERLINK("https://www.dofusbook.net/fr/equipement/4959111-steamer-m-200/objets", "link")</f>
        <v/>
      </c>
      <c r="C17377" t="n">
        <v>0</v>
      </c>
      <c r="D17377" t="inlineStr">
        <is>
          <t>Hache du Chalœil; Amulette du Strigide; Alliance Gloursonne; Bague Trithon; Quatre-feuilles; Ceinture du Strigide; Masque Trithon; Voile d'encre; Bottes Trithon; Dofus Ocre; Dofus Turquoise; Dolmanax; Dofus des Glaces; Dofus Ivoire; Dofus Pourpre; Muldo Prune et Emeraude</t>
        </is>
      </c>
    </row>
    <row r="17378">
      <c r="A17378" t="inlineStr">
        <is>
          <t>Steamer M 200</t>
        </is>
      </c>
      <c r="B17378">
        <f>HYPERLINK("https://www.dofusbook.net/fr/equipement/4953701-steamer-m-200/objets", "link")</f>
        <v/>
      </c>
      <c r="C17378" t="n">
        <v>0</v>
      </c>
      <c r="D17378" t="inlineStr"/>
    </row>
    <row r="17379">
      <c r="A17379" t="inlineStr">
        <is>
          <t>Pandawa M 200</t>
        </is>
      </c>
      <c r="B17379">
        <f>HYPERLINK("https://www.dofusbook.net/fr/equipement/4953234-pandawa-m-200/objets", "link")</f>
        <v/>
      </c>
      <c r="C17379" t="n">
        <v>0</v>
      </c>
      <c r="D17379" t="inlineStr">
        <is>
          <t>Arc corrompu; Amulette Volkorne; Anneau de Nidas; Anneauræus; Quatre-feuilles; Ceinture de Vortex; Casque Dragoeuf; Cape de Diondin; Tongues de Nidas; Dofus Ivoire; Dokoko; Dofus Pourpre; Nomade; Remueur; Érudit majeur; Bisouglours</t>
        </is>
      </c>
    </row>
    <row r="17380">
      <c r="A17380" t="inlineStr">
        <is>
          <t>Pandawa M 200</t>
        </is>
      </c>
      <c r="B17380">
        <f>HYPERLINK("https://www.dofusbook.net/fr/equipement/4949837-pandawa-m-200/objets", "link")</f>
        <v/>
      </c>
      <c r="C17380" t="n">
        <v>8</v>
      </c>
      <c r="D17380" t="inlineStr">
        <is>
          <t>Baguette de Malléfisk; Amulette Volkorne; Anneauræus; Anneau de Nidas; Carapar; Ceinture de Vortex; Casque Dragoeuf; Cape de Diondin; Tongues de Nidas; Dofus Ivoire; Érudit majeur; Nomade; Remueur; Fonceur majeur; Guérisseur majeur; Meuch</t>
        </is>
      </c>
    </row>
    <row r="17381">
      <c r="A17381" t="inlineStr">
        <is>
          <t>Pandawa M 200</t>
        </is>
      </c>
      <c r="B17381">
        <f>HYPERLINK("https://www.dofusbook.net/fr/equipement/4951927-pandawa-m-200/objets", "link")</f>
        <v/>
      </c>
      <c r="C17381" t="n">
        <v>0</v>
      </c>
      <c r="D17381" t="inlineStr">
        <is>
          <t>Pendentif affamé; Anneau de Nidas; Anneauræus; Carapar; Ceinture de Vortex; Casque Dragoeuf; Cape de Diondin; Tongues de Nidas; Dokoko; Dofus Ivoire; Érudit majeur; Nomade; Guérisseur majeur; Remueur; Meuch</t>
        </is>
      </c>
    </row>
    <row r="17382">
      <c r="A17382" t="inlineStr">
        <is>
          <t>Iop M 200</t>
        </is>
      </c>
      <c r="B17382">
        <f>HYPERLINK("https://www.dofusbook.net/fr/equipement/4951829-iop-m-200/objets", "link")</f>
        <v/>
      </c>
      <c r="C17382" t="n">
        <v>0</v>
      </c>
      <c r="D17382" t="inlineStr">
        <is>
          <t>Bêche Asse; Amulette du Strigide; Bague Gloursonne; Anneau Chevelu; Bouclier du Captain Amakna; Ceinture Volkorne; Masque de Koutoulou; Cape au Logis; Bottes de la Cour Sombre; Dofus Ocre; Dofus Émeraude; Dofus Turquoise; Dofus Pourpre; Dofus des Glaces; Enragé majeur; Pioute vert</t>
        </is>
      </c>
    </row>
    <row r="17383">
      <c r="A17383" t="inlineStr">
        <is>
          <t>Enutrof M 200</t>
        </is>
      </c>
      <c r="B17383">
        <f>HYPERLINK("https://www.dofusbook.net/fr/equipement/4951625-enutrof-m-200/objets", "link")</f>
        <v/>
      </c>
      <c r="C17383" t="n">
        <v>3</v>
      </c>
      <c r="D17383" t="inlineStr">
        <is>
          <t>Arc Hétype; Collier de la Dame du Hasard; Anneau de Nidas; Anneauræus; Carapar; Ceinture de Vortex; Casquette de Meno; Cape de Diondin; Tongues de Nidas; Nomade; Guérisseur majeur; Érudit majeur; Remueur; Entraveur majeur; Temporiseur majeur; Médugivre</t>
        </is>
      </c>
    </row>
    <row r="17384">
      <c r="A17384" t="inlineStr">
        <is>
          <t>Iop M 200</t>
        </is>
      </c>
      <c r="B17384">
        <f>HYPERLINK("https://www.dofusbook.net/fr/equipement/4950231-iop-m-200/objets", "link")</f>
        <v/>
      </c>
      <c r="C17384" t="n">
        <v>0</v>
      </c>
      <c r="D17384" t="inlineStr">
        <is>
          <t>Hache Téroïde; Amulette du Strigide; Anneau Chevelu; Bague Trithon; Bouclier du Captain Amakna; Ceinture du Strigide; Masque Trithon; Voile d'encre; Bottes Trithon; Dofus Vulbis; Dofus Turquoise; Dofus Ocre; Dofus Ivoire; Dofus Pourpre; Dofus des Glaces; Kokulte</t>
        </is>
      </c>
    </row>
    <row r="17385">
      <c r="A17385" t="inlineStr">
        <is>
          <t>Iop M 200</t>
        </is>
      </c>
      <c r="B17385">
        <f>HYPERLINK("https://www.dofusbook.net/fr/equipement/4927753-iop-m-200/objets", "link")</f>
        <v/>
      </c>
      <c r="C17385" t="n">
        <v>0</v>
      </c>
      <c r="D17385" t="inlineStr">
        <is>
          <t>Arc Nécrotique; Amulette Volkorne; Alliance Gloursonne; Anneau Volkorne; Bouclier du Captain Amakna; Ceinture du Strigide; Casque Dragoeuf; Cape de Meno; Pataugastrique; Dofus des Glaces; Dofus Turquoise; Dokoko; Dofus Pourpre; Vigoureux majeur; Remueur; Kokulte</t>
        </is>
      </c>
    </row>
    <row r="17386">
      <c r="A17386" t="inlineStr">
        <is>
          <t>Iop M 200</t>
        </is>
      </c>
      <c r="B17386">
        <f>HYPERLINK("https://www.dofusbook.net/fr/equipement/4920548-iop-m-200/objets", "link")</f>
        <v/>
      </c>
      <c r="C17386" t="n">
        <v>0</v>
      </c>
      <c r="D17386" t="inlineStr">
        <is>
          <t>Bêche Asse; Collier de Tourthon; Anneau Crustique; Anneau de Brouce; Bouclier d'Ilyzaelle; Ceinture de la Cour Sombre; Casque Dragoeuf; Cape de Jahash Jurgen; Bottes de la Cour Sombre; Dofus Ocre; Dokoko; Dofus Pourpre; Dofus Émeraude; Nomade; Remueur; Bulbisou</t>
        </is>
      </c>
    </row>
    <row r="17387">
      <c r="A17387" t="inlineStr">
        <is>
          <t>Steamer M 200</t>
        </is>
      </c>
      <c r="B17387">
        <f>HYPERLINK("https://www.dofusbook.net/fr/equipement/4906904-steamer-m-200/objets", "link")</f>
        <v/>
      </c>
      <c r="C17387" t="n">
        <v>3</v>
      </c>
      <c r="D17387" t="inlineStr">
        <is>
          <t>Hache du Chalœil; Amulette du Strigide; Alliance du Lévitrof; Bague Trithon; Quatre-feuilles; Ceintacé; Casque Dragoeuf; Cape de Jahash Jurgen; Bottes Trithon; Dolmanax; Dofus des Glaces; Dofus Turquoise; Dofus Pourpre; Nomade; Remueur; Kokulte</t>
        </is>
      </c>
    </row>
    <row r="17388">
      <c r="A17388" t="inlineStr">
        <is>
          <t>Zobal M 200</t>
        </is>
      </c>
      <c r="B17388">
        <f>HYPERLINK("https://www.dofusbook.net/fr/equipement/4900788-zobal-m-200/objets", "link")</f>
        <v/>
      </c>
      <c r="C17388" t="n">
        <v>0</v>
      </c>
      <c r="D17388" t="inlineStr">
        <is>
          <t>Dagoulinantes; Amulette de l'Œil Attentif; Anneau Volkorne; Alliance Gloursonne; Bouclier du Captain Amakna; Ceintacé; Casque Dragoeuf; Cape de l'Œil Attentif; Bottes de la Dame du Hasard; Dofus Turquoise; Dofus Pourpre; Dofus Émeraude; Dofus Ivoire; Nomade; Remueur; Kanigloups</t>
        </is>
      </c>
    </row>
    <row r="17389">
      <c r="A17389" t="inlineStr">
        <is>
          <t>Zobal M 200</t>
        </is>
      </c>
      <c r="B17389">
        <f>HYPERLINK("https://www.dofusbook.net/fr/equipement/4861094-zobal-m-200/objets", "link")</f>
        <v/>
      </c>
      <c r="C17389" t="n">
        <v>0</v>
      </c>
      <c r="D17389" t="inlineStr">
        <is>
          <t>Arc Nécrotique; Amulette du Strigide; Anneauræus; Bracelet des Fonds marins; Quatre-feuilles; Ceintacé; Casque Dragoeuf; Cape de la Dame du Hasard; Bottes de la Dame du Hasard; Dofus Turquoise; Dofus des Glaces; Dofus Ivoire; Dofus Pourpre; Nomade; Remueur; Kokulte</t>
        </is>
      </c>
    </row>
    <row r="17390">
      <c r="A17390" t="inlineStr">
        <is>
          <t>Iop M 200</t>
        </is>
      </c>
      <c r="B17390">
        <f>HYPERLINK("https://www.dofusbook.net/fr/equipement/4846885-iop-m-200/objets", "link")</f>
        <v/>
      </c>
      <c r="C17390" t="n">
        <v>0</v>
      </c>
      <c r="D17390" t="inlineStr"/>
    </row>
    <row r="17391">
      <c r="A17391" t="inlineStr">
        <is>
          <t>Pandawa M 200</t>
        </is>
      </c>
      <c r="B17391">
        <f>HYPERLINK("https://www.dofusbook.net/fr/equipement/4846770-pandawa-m-200/objets", "link")</f>
        <v/>
      </c>
      <c r="C17391" t="n">
        <v>2</v>
      </c>
      <c r="D17391" t="inlineStr">
        <is>
          <t>Crocobur; Amulette du Strigide; Alliance Brûlâme; Alliance Gloursonne; Bouclier du Captain Amakna; Ceinture du Strigide; Casque Dragoeuf; Cape Solution; Bottes Trithon; Dofus Vulbis; Dofus Ocre; Dofus Pourpre; Dofus Turquoise; Dolmanax; Dofus des Glaces; Kokulte</t>
        </is>
      </c>
    </row>
    <row r="17392">
      <c r="A17392" t="inlineStr">
        <is>
          <t>Steamer M 200</t>
        </is>
      </c>
      <c r="B17392">
        <f>HYPERLINK("https://www.dofusbook.net/fr/equipement/4503741-steamer-m-200/objets", "link")</f>
        <v/>
      </c>
      <c r="C17392" t="n">
        <v>0</v>
      </c>
      <c r="D17392" t="inlineStr">
        <is>
          <t>Hache du Chalœil; Amulette du Strigide; Alliance Gloursonne; Bague Trithon; Quatre-feuilles; Ceintacé; Masque Trithon; Voile d'encre; Bottes du Strigide; Dofus Vulbis; Dofus Turquoise; Dolmanax; Dofus des Glaces; Dofus Ivoire; Dofus Ocre; Kokulte</t>
        </is>
      </c>
    </row>
    <row r="17393">
      <c r="A17393" t="inlineStr">
        <is>
          <t>Pandawa M 200</t>
        </is>
      </c>
      <c r="B17393">
        <f>HYPERLINK("https://www.dofusbook.net/fr/equipement/4801826-pandawa-m-200/objets", "link")</f>
        <v/>
      </c>
      <c r="C17393" t="n">
        <v>0</v>
      </c>
      <c r="D17393" t="inlineStr"/>
    </row>
    <row r="17394">
      <c r="A17394" t="inlineStr">
        <is>
          <t>Crâ M 200</t>
        </is>
      </c>
      <c r="B17394">
        <f>HYPERLINK("https://www.dofusbook.net/fr/equipement/4602981-cra-m-200/objets", "link")</f>
        <v/>
      </c>
      <c r="C17394" t="n">
        <v>4</v>
      </c>
      <c r="D17394" t="inlineStr">
        <is>
          <t>Marteau Phossile; Amulette du Strigide; Bracelet du Piloztère; Anneau Rifique; Quatre-feuilles; Ceinture du Strigide; Coiffe de Padgref; Cape de Diondin; Pataugastrique; Dofus Turquoise; Dofus Pourpre; Cascadeur majeur; Remueur; Vigoureux majeur; Nomade; Muldo Doré et Emeraude</t>
        </is>
      </c>
    </row>
    <row r="17395">
      <c r="A17395" t="inlineStr">
        <is>
          <t>Pandawa M 200</t>
        </is>
      </c>
      <c r="B17395">
        <f>HYPERLINK("https://www.dofusbook.net/fr/equipement/4536243-pandawa-m-200/objets", "link")</f>
        <v/>
      </c>
      <c r="C17395" t="n">
        <v>1</v>
      </c>
      <c r="D17395" t="inlineStr">
        <is>
          <t>Arc corrompu; Amulette de Nileza; Anneauræus; Anneauræus; Bouclier du Stalak; Ceinture de Vortex; Casque Dragoeuf; Cape de Nileza; Chaussures Ardentes; Dofus Pourpre; Dofus Ivoire; Remueur; Vigoureux majeur; Nomade; Érudit majeur; Bisouglours</t>
        </is>
      </c>
    </row>
    <row r="17396">
      <c r="A17396" t="inlineStr">
        <is>
          <t>Ecaflip M 200</t>
        </is>
      </c>
      <c r="B17396">
        <f>HYPERLINK("https://www.dofusbook.net/fr/equipement/4536079-ecaflip-m-200/objets", "link")</f>
        <v/>
      </c>
      <c r="C17396" t="n">
        <v>0</v>
      </c>
      <c r="D17396" t="inlineStr"/>
    </row>
    <row r="17397">
      <c r="A17397" t="inlineStr">
        <is>
          <t>Pandawa M 200</t>
        </is>
      </c>
      <c r="B17397">
        <f>HYPERLINK("https://www.dofusbook.net/fr/equipement/4480966-pandawa-m-200/objets", "link")</f>
        <v/>
      </c>
      <c r="C17397" t="n">
        <v>1</v>
      </c>
      <c r="D17397" t="inlineStr">
        <is>
          <t>Arc corrompu; Amulette Volkorne; Anneauræus; Anneauræus; Quatre-feuilles; Ceinture de Vortex; Casque Dragoeuf; Cape de Diondin; Bottes Innommables; Dofus Ivoire; Dofus Ocre; Dofus Pourpre; Nomade; Érudit majeur; Vigoureux majeur; Bisouglours</t>
        </is>
      </c>
    </row>
    <row r="17398">
      <c r="A17398" t="inlineStr">
        <is>
          <t>Pandawa M 200</t>
        </is>
      </c>
      <c r="B17398">
        <f>HYPERLINK("https://www.dofusbook.net/fr/equipement/4480937-pandawa-m-200/objets", "link")</f>
        <v/>
      </c>
      <c r="C17398" t="n">
        <v>2</v>
      </c>
      <c r="D17398" t="inlineStr">
        <is>
          <t>Arc Hétype; Amulette Volkorne; Anneauræus; Anneauræus; Carapar; Ceinture de Vortex; Casque Dragoeuf; Cape de Diondin; Bottes Innommables; Dofus Abyssal; Dofus Ivoire; Guérisseur majeur; Remueur; Érudit majeur; Nomade; Meuch</t>
        </is>
      </c>
    </row>
    <row r="17399">
      <c r="A17399" t="inlineStr">
        <is>
          <t>Pandawa M 200</t>
        </is>
      </c>
      <c r="B17399">
        <f>HYPERLINK("https://www.dofusbook.net/fr/equipement/4480877-pandawa-m-200/objets", "link")</f>
        <v/>
      </c>
      <c r="C17399" t="n">
        <v>2</v>
      </c>
      <c r="D17399" t="inlineStr">
        <is>
          <t>Baguette de Malléfisk; Amulette Volkorne; Anneauræus; Anneauræus; Carapar; Ceinture de Vortex; Casque Dragoeuf; Cape de Diondin; Bottes Owesli; Dofus Ivoire; Dofus Abyssal; Érudit majeur; Nomade; Guérisseur majeur; Remueur; Meuch</t>
        </is>
      </c>
    </row>
    <row r="17400">
      <c r="A17400" t="inlineStr">
        <is>
          <t>Pandawa M 200</t>
        </is>
      </c>
      <c r="B17400">
        <f>HYPERLINK("https://www.dofusbook.net/fr/equipement/4449437-pandawa-m-200/objets", "link")</f>
        <v/>
      </c>
      <c r="C17400" t="n">
        <v>0</v>
      </c>
      <c r="D17400" t="inlineStr">
        <is>
          <t>Baguette de Malléfisk; Amulette Volkorne; Anneauræus; Anneau de Nidas; Carapar; Ceinture de Vortex; Casque Dragoeuf; Cape de Diondin; Tongues de Nidas; Dofus Ivoire; Astucieux majeur; Nomade; Guérisseur majeur; Remueur; Érudit majeur; Meuch</t>
        </is>
      </c>
    </row>
    <row r="17401">
      <c r="A17401" t="inlineStr">
        <is>
          <t>Pandawa M 200</t>
        </is>
      </c>
      <c r="B17401">
        <f>HYPERLINK("https://www.dofusbook.net/fr/equipement/4449356-pandawa-m-200/objets", "link")</f>
        <v/>
      </c>
      <c r="C17401" t="n">
        <v>0</v>
      </c>
      <c r="D17401" t="inlineStr">
        <is>
          <t>Arc Hétype; Amulette Volkorne; Anneauræus; Anneau de Nidas; Carapar; Ceinture de Vortex; Casque Dragoeuf; Cape de Diondin; Tongues de Nidas; Dofus Ivoire; Remueur; Érudit majeur; Dévastateur Feu majeur; Nomade; Guérisseur majeur; Meuch</t>
        </is>
      </c>
    </row>
    <row r="17402">
      <c r="A17402" t="inlineStr">
        <is>
          <t>Pandawa M 200</t>
        </is>
      </c>
      <c r="B17402">
        <f>HYPERLINK("https://www.dofusbook.net/fr/equipement/4429178-pandawa-m-200/objets", "link")</f>
        <v/>
      </c>
      <c r="C17402" t="n">
        <v>0</v>
      </c>
      <c r="D17402" t="inlineStr">
        <is>
          <t>Arc Nécrotique; Amulette Volkorne; Anneau Volkorne; Alliance Gloursonne; Quatre-feuilles; Ceintacé; Casque Dragoeuf; Cape de la Dame du Hasard; Pataugastrique; Dofus Pourpre; Dofus Turquoise; Dofus des Glaces; Dofus Nébuleux; Vigoureux majeur; Nomade; Chacha Angora</t>
        </is>
      </c>
    </row>
    <row r="17403">
      <c r="A17403" t="inlineStr">
        <is>
          <t>Pandawa M 200</t>
        </is>
      </c>
      <c r="B17403">
        <f>HYPERLINK("https://www.dofusbook.net/fr/equipement/4436591-pandawa-m-200/objets", "link")</f>
        <v/>
      </c>
      <c r="C17403" t="n">
        <v>0</v>
      </c>
      <c r="D17403" t="inlineStr">
        <is>
          <t>Arc Nécrotique; Amulette Volkorne; Alliance Gloursonne; Anneau Volkorne; Ceintacé; Cape d'Anerice</t>
        </is>
      </c>
    </row>
    <row r="17404">
      <c r="A17404" t="inlineStr">
        <is>
          <t>Pandawa M 200</t>
        </is>
      </c>
      <c r="B17404">
        <f>HYPERLINK("https://www.dofusbook.net/fr/equipement/4429054-pandawa-m-200/objets", "link")</f>
        <v/>
      </c>
      <c r="C17404" t="n">
        <v>1</v>
      </c>
      <c r="D17404" t="inlineStr">
        <is>
          <t>Marteau Phossile; Amulette du Strigide; Alliance Gloursonne; Anneau de Padgref; Quatre-feuilles; Ceintacé; Coiffe de Padgref; Cape d'Anerice; Sandales  d'Atcham; Dofus Turquoise; Dofus des Glaces; Dofus Pourpre; Vigoureux majeur; Nomade; Remueur; Bwak de Feu</t>
        </is>
      </c>
    </row>
    <row r="17405">
      <c r="A17405" t="inlineStr">
        <is>
          <t>Pandawa M 200</t>
        </is>
      </c>
      <c r="B17405">
        <f>HYPERLINK("https://www.dofusbook.net/fr/equipement/4428983-pandawa-m-200/objets", "link")</f>
        <v/>
      </c>
      <c r="C17405" t="n">
        <v>1</v>
      </c>
      <c r="D17405" t="inlineStr">
        <is>
          <t>Arc Hétype; Amulette d'Otomaï; Anneauræus; Anneauræus; Carapar; Ceinture de Vortex; Masque Ardent; Cape de Diondin; Chaussures Ardentes; Dofus Ivoire; Vigoureux majeur; Remueur; Guérisseur majeur; Dévastateur Feu majeur; Érudit majeur; Volkorne Rubis et Orchidée</t>
        </is>
      </c>
    </row>
    <row r="17406">
      <c r="A17406" t="inlineStr">
        <is>
          <t>Pandawa M 200</t>
        </is>
      </c>
      <c r="B17406">
        <f>HYPERLINK("https://www.dofusbook.net/fr/equipement/4428982-pandawa-m-200/objets", "link")</f>
        <v/>
      </c>
      <c r="C17406" t="n">
        <v>0</v>
      </c>
      <c r="D17406" t="inlineStr"/>
    </row>
    <row r="17407">
      <c r="A17407" t="inlineStr">
        <is>
          <t>Pandawa M 200</t>
        </is>
      </c>
      <c r="B17407">
        <f>HYPERLINK("https://www.dofusbook.net/fr/equipement/4428980-pandawa-m-200/objets", "link")</f>
        <v/>
      </c>
      <c r="C17407" t="n">
        <v>0</v>
      </c>
      <c r="D17407" t="inlineStr"/>
    </row>
    <row r="17408">
      <c r="A17408" t="inlineStr">
        <is>
          <t>Pandawa M 200</t>
        </is>
      </c>
      <c r="B17408">
        <f>HYPERLINK("https://www.dofusbook.net/fr/equipement/4428981-pandawa-m-200/objets", "link")</f>
        <v/>
      </c>
      <c r="C17408" t="n">
        <v>0</v>
      </c>
      <c r="D17408" t="inlineStr"/>
    </row>
    <row r="17409">
      <c r="A17409" t="inlineStr">
        <is>
          <t>Sacrieur M 200</t>
        </is>
      </c>
      <c r="B17409">
        <f>HYPERLINK("https://www.dofusbook.net/fr/equipement/4421982-sacrieur-m-200/objets", "link")</f>
        <v/>
      </c>
      <c r="C17409" t="n">
        <v>0</v>
      </c>
      <c r="D17409" t="inlineStr"/>
    </row>
    <row r="17410">
      <c r="A17410" t="inlineStr">
        <is>
          <t>Sacrieur M 200</t>
        </is>
      </c>
      <c r="B17410">
        <f>HYPERLINK("https://www.dofusbook.net/fr/equipement/4421514-sacrieur-m-200/objets", "link")</f>
        <v/>
      </c>
      <c r="C17410" t="n">
        <v>0</v>
      </c>
      <c r="D17410" t="inlineStr">
        <is>
          <t>Crocobur; Amulette du Strigide; Alliance Gloursonne; Goulano; Ceintacé; Casque Dragoeuf; Voile d'encre; Bottes du Strigide</t>
        </is>
      </c>
    </row>
    <row r="17411">
      <c r="A17411" t="inlineStr">
        <is>
          <t>Crâ M 200</t>
        </is>
      </c>
      <c r="B17411">
        <f>HYPERLINK("https://www.dofusbook.net/fr/equipement/4421494-cra-m-200/objets", "link")</f>
        <v/>
      </c>
      <c r="C17411" t="n">
        <v>1</v>
      </c>
      <c r="D17411" t="inlineStr">
        <is>
          <t>Epée Gloursonne; Amulette du Strigide; Anneau de Padgref; Bracelet du Piloztère; Quatre-feuilles; Ceintacé; Le Dorado; Cape du Chalœil; Bottes du Strigide; Dofus Turquoise; Dofus Pourpre; Dofus des Glaces; Dolmanax; Vigoureux majeur; Nomade; Kokulte</t>
        </is>
      </c>
    </row>
    <row r="17412">
      <c r="A17412" t="inlineStr">
        <is>
          <t>Steamer M 200</t>
        </is>
      </c>
      <c r="B17412">
        <f>HYPERLINK("https://www.dofusbook.net/fr/equipement/4349110-steamer-m-200/objets", "link")</f>
        <v/>
      </c>
      <c r="C17412" t="n">
        <v>0</v>
      </c>
      <c r="D17412" t="inlineStr">
        <is>
          <t>Hache du Chalœil; Amulette du Strigide; Bague Trithon; Alliance Gloursonne; Quatre-feuilles; Ceinture du Strigide; Masque Trithon; Cape d'Anerice; Bottes Trithon; Dofus Pourpre; Dofus des Glaces; Dofus Vulbis; Dofus Ocre; Dolmanax; Dofus Turquoise; Kokulte</t>
        </is>
      </c>
    </row>
    <row r="17413">
      <c r="A17413" t="inlineStr">
        <is>
          <t>Crâ M 200</t>
        </is>
      </c>
      <c r="B17413">
        <f>HYPERLINK("https://www.dofusbook.net/fr/equipement/4327092-cra-m-200/objets", "link")</f>
        <v/>
      </c>
      <c r="C17413" t="n">
        <v>0</v>
      </c>
      <c r="D17413" t="inlineStr">
        <is>
          <t>Hache du Chalœil; Amulette du Strigide; Alliance Gloursonne; Bracelet du Piloztère; Quatre-feuilles; Ceintacé; Le Dorado; Cape du Chalœil; Bottes du Strigide; Dofus Turquoise; Dolmanax; Dofus des Glaces; Dofus Pourpre; Vigoureux majeur; Nomade; Kokulte</t>
        </is>
      </c>
    </row>
    <row r="17414">
      <c r="A17414" t="inlineStr">
        <is>
          <t>Enutrof M 200</t>
        </is>
      </c>
      <c r="B17414">
        <f>HYPERLINK("https://www.dofusbook.net/fr/equipement/4326686-enutrof-m-200/objets", "link")</f>
        <v/>
      </c>
      <c r="C17414" t="n">
        <v>0</v>
      </c>
      <c r="D17414" t="inlineStr">
        <is>
          <t>Arc Hétype; Collier de la Dame du Hasard; Anneau de Nidas; Anneau Tique; Bouclier cubiste; Ceinture de Kongoku; Casquette de Meno; Cape de Diondin; Bottes de Meno; Volkorne Turquoise</t>
        </is>
      </c>
    </row>
    <row r="17415">
      <c r="A17415" t="inlineStr">
        <is>
          <t>Roublard M 200</t>
        </is>
      </c>
      <c r="B17415">
        <f>HYPERLINK("https://www.dofusbook.net/fr/equipement/4322258-roublard-m-200/objets", "link")</f>
        <v/>
      </c>
      <c r="C17415" t="n">
        <v>0</v>
      </c>
      <c r="D17415" t="inlineStr">
        <is>
          <t>Manthache; Collier du Valet Veinard; Gant du Valet Veinard; Alliance Gloursonne; Bouclier du Stalak; Menoture; Casque Volkorne; Cape Indescriptible; Palmes Trithons; Dofus Pourpre; Cascadeur majeur; Remueur; Vigoureux majeur; Miraculé majeur; Nomade; Blérodoudou</t>
        </is>
      </c>
    </row>
    <row r="17416">
      <c r="A17416" t="inlineStr">
        <is>
          <t>Zobal M 200</t>
        </is>
      </c>
      <c r="B17416">
        <f>HYPERLINK("https://www.dofusbook.net/fr/equipement/4263861-zobal-m-200/objets", "link")</f>
        <v/>
      </c>
      <c r="C17416" t="n">
        <v>1</v>
      </c>
      <c r="D17416" t="inlineStr">
        <is>
          <t>Dagoulinantes; Amulette Luminescente; Bague Trithon; Alliance Gloursonne; Bouclier Taverne; Sangle Ouare; Casque Dragoeuf; Cape Solution; Bottes Trithon; Dofus Pourpre; Dofus Ivoire; Culbuteur majeur; Chanceux majeur; Bousculeur majeur; Miraculé majeur; Volkorne Améthyste et Roux</t>
        </is>
      </c>
    </row>
    <row r="17417">
      <c r="A17417" t="inlineStr">
        <is>
          <t>Zobal M 200</t>
        </is>
      </c>
      <c r="B17417">
        <f>HYPERLINK("https://www.dofusbook.net/fr/equipement/4260929-zobal-m-200/objets", "link")</f>
        <v/>
      </c>
      <c r="C17417" t="n">
        <v>1</v>
      </c>
      <c r="D17417" t="inlineStr">
        <is>
          <t>Hache du Chalœil; Amulette du Strigide; Alliance Gloursonne; Goulano; Bouclier du Captain Amakna; Ceintacé; Masque Trithon; Voile d'encre; Bottes Trithon; Dofus Pourpre; Dolmanax; Dofus Turquoise; Dofus des Glaces; Nomade; Remueur; Kokulte</t>
        </is>
      </c>
    </row>
    <row r="17418">
      <c r="A17418" t="inlineStr">
        <is>
          <t>Enutrof M 200</t>
        </is>
      </c>
      <c r="B17418">
        <f>HYPERLINK("https://www.dofusbook.net/fr/equipement/4267193-enutrof-m-200/objets", "link")</f>
        <v/>
      </c>
      <c r="C17418" t="n">
        <v>0</v>
      </c>
      <c r="D17418" t="inlineStr">
        <is>
          <t>Arc Hétype; Amulette de Shokkoth; Anneau de Nidas; Pikano; Bouclier cubiste; Ceinture Glaciale; Casquette de Meno; Cape de Diondin; Bottes de Meno; Nomade; Temporiseur majeur; Guérisseur majeur; Ralentisseur majeur; Miraculé majeur; Entraveur majeur; Volkorne Turquoise</t>
        </is>
      </c>
    </row>
    <row r="17419">
      <c r="A17419" t="inlineStr">
        <is>
          <t>Crâ M 200</t>
        </is>
      </c>
      <c r="B17419">
        <f>HYPERLINK("https://www.dofusbook.net/fr/equipement/4266994-cra-m-200/objets", "link")</f>
        <v/>
      </c>
      <c r="C17419" t="n">
        <v>0</v>
      </c>
      <c r="D17419" t="inlineStr">
        <is>
          <t>Sceptre du Roi Joueur; Amulette de Shokkoth; Bracelet des Fonds marins; Anneau Toriété; Bouclier du Stalak; Poulpagne; Capuche de l'Œil Attentif; Cape Solution; Sandales des Fonds marins; Dofus Pourpre; Vigoureux majeur; Robuste majeur; Nomade; Chanceux majeur; Remueur; Dragodinde Prune et Indigo</t>
        </is>
      </c>
    </row>
    <row r="17420">
      <c r="A17420" t="inlineStr">
        <is>
          <t>Iop M 200</t>
        </is>
      </c>
      <c r="B17420">
        <f>HYPERLINK("https://www.dofusbook.net/fr/equipement/4267012-iop-m-200/objets", "link")</f>
        <v/>
      </c>
      <c r="C17420" t="n">
        <v>0</v>
      </c>
      <c r="D17420" t="inlineStr">
        <is>
          <t>Lav'Hache; Amulette du Cœur Saignant; Anneau de Brouce; Anneau Chevelu; Bouclier Taverne; Ceinture Volkorne; Masque de Koutoulou; Cape au Logis; Bottes du Cœur Saignant; Dofus Pourpre; Miraculé majeur; Vigoureux majeur; Robuste majeur; Puissant majeur; Enragé majeur; Volkorne Pourpre</t>
        </is>
      </c>
    </row>
    <row r="17421">
      <c r="A17421" t="inlineStr">
        <is>
          <t>Crâ M 200</t>
        </is>
      </c>
      <c r="B17421">
        <f>HYPERLINK("https://www.dofusbook.net/fr/equipement/4264137-cra-m-200/objets", "link")</f>
        <v/>
      </c>
      <c r="C17421" t="n">
        <v>1</v>
      </c>
      <c r="D17421" t="inlineStr">
        <is>
          <t>Dagues de Srambad; Amulette Luminescente; Anneau Toriété; Bracelet du Piloztère; Bouclier du Stalak; Ceintacé; Casque en Grithril; Cape Luminescente; Chaussons de Macrab; Dofus des Glaces; Dofus Pourpre; Enragé majeur; Vigoureux majeur; Chanceux majeur; Remueur; Dragodinde Prune et Ivoire</t>
        </is>
      </c>
    </row>
    <row r="17422">
      <c r="A17422" t="inlineStr">
        <is>
          <t>Iop M 200</t>
        </is>
      </c>
      <c r="B17422">
        <f>HYPERLINK("https://www.dofusbook.net/fr/equipement/4264110-iop-m-200/objets", "link")</f>
        <v/>
      </c>
      <c r="C17422" t="n">
        <v>0</v>
      </c>
      <c r="D17422" t="inlineStr">
        <is>
          <t>Bêche Asse; Amulette du Cœur Saignant; Anneau Chevelu; Bague Gloursonne; Bouclier Taverne; Ceinture Volkorne; Masque de Koutoulou; Cape au Logis; Bottes du Cœur Saignant; Dofus Pourpre; Dofus Ocre; Enragé majeur; Robuste majeur; Vigoureux majeur; Miraculé majeur; Dragodinde Ivoire et Pourpre</t>
        </is>
      </c>
    </row>
    <row r="17423">
      <c r="A17423" t="inlineStr">
        <is>
          <t>Pandawa M 200</t>
        </is>
      </c>
      <c r="B17423">
        <f>HYPERLINK("https://www.dofusbook.net/fr/equipement/4255757-pandawa-m-200/objets", "link")</f>
        <v/>
      </c>
      <c r="C17423" t="n">
        <v>0</v>
      </c>
      <c r="D17423" t="inlineStr">
        <is>
          <t>Baguette de Malléfisk; Pendentif affamé; Anneau de Nidas; Anneauræus; Carapar; Ceinture de Vortex; Casque Dragoeuf; Cape de Diondin; Sabots de Vortex; Dofus Turquoise; Dokoko; Dofus Ivoire; Dofus Pourpre; Remueur; Érudit majeur; Muldo Ebène et Orchidée</t>
        </is>
      </c>
    </row>
    <row r="17424">
      <c r="A17424" t="inlineStr">
        <is>
          <t>Sacrieur M 200</t>
        </is>
      </c>
      <c r="B17424">
        <f>HYPERLINK("https://www.dofusbook.net/fr/equipement/4255755-sacrieur-m-200/objets", "link")</f>
        <v/>
      </c>
      <c r="C17424" t="n">
        <v>0</v>
      </c>
      <c r="D17424" t="inlineStr"/>
    </row>
    <row r="17425">
      <c r="A17425" t="inlineStr">
        <is>
          <t>Zobal M 200</t>
        </is>
      </c>
      <c r="B17425">
        <f>HYPERLINK("https://www.dofusbook.net/fr/equipement/4244319-zobal-m-200/objets", "link")</f>
        <v/>
      </c>
      <c r="C17425" t="n">
        <v>0</v>
      </c>
      <c r="D17425" t="inlineStr">
        <is>
          <t>Hache du Chalœil; Amulette du Strigide; Bague Trithon; Alliance Gloursonne; Bouclier du Captain Amakna; Ceinture du Strigide; Masque Trithon; Voile d'encre; Bottes Trithon; Dolmanax; Dofus Ivoire; Dofus Émeraude; Dofus Turquoise; Dofus Ocre; Dofus des Glaces; Muldo Prune et Emeraude</t>
        </is>
      </c>
    </row>
    <row r="17426">
      <c r="A17426" t="inlineStr">
        <is>
          <t>Crâ M 200</t>
        </is>
      </c>
      <c r="B17426">
        <f>HYPERLINK("https://www.dofusbook.net/fr/equipement/4228282-cra-m-200/objets", "link")</f>
        <v/>
      </c>
      <c r="C17426" t="n">
        <v>0</v>
      </c>
      <c r="D17426" t="inlineStr">
        <is>
          <t>Amulette du Strigide; Ceintacé</t>
        </is>
      </c>
    </row>
    <row r="17427">
      <c r="A17427" t="inlineStr">
        <is>
          <t>Pandawa M 200</t>
        </is>
      </c>
      <c r="B17427">
        <f>HYPERLINK("https://www.dofusbook.net/fr/equipement/4224428-pandawa-m-200/objets", "link")</f>
        <v/>
      </c>
      <c r="C17427" t="n">
        <v>0</v>
      </c>
      <c r="D17427" t="inlineStr">
        <is>
          <t>Couteaux Sacrificiels; Masque Paztek; Sandales Paztek</t>
        </is>
      </c>
    </row>
    <row r="17428">
      <c r="A17428" t="inlineStr">
        <is>
          <t>Pandawa M 200</t>
        </is>
      </c>
      <c r="B17428">
        <f>HYPERLINK("https://www.dofusbook.net/fr/equipement/4224407-pandawa-m-200/objets", "link")</f>
        <v/>
      </c>
      <c r="C17428" t="n">
        <v>4</v>
      </c>
      <c r="D17428" t="inlineStr">
        <is>
          <t>Arc Nécrotique; Amulette Volkorne; Alliance Gloursonne; Anneau Volkorne; Quatre-feuilles; Ceintacé; Coiffe Cryochrone; Cape de la Dame du Hasard; Pataugastrique; Dofus Pourpre; Dofus Turquoise; Chanceux majeur; Remueur; Érudit majeur; Nomade; Muldo Prune et Emeraude</t>
        </is>
      </c>
    </row>
    <row r="17429">
      <c r="A17429" t="inlineStr">
        <is>
          <t>Pandawa M 200</t>
        </is>
      </c>
      <c r="B17429">
        <f>HYPERLINK("https://www.dofusbook.net/fr/equipement/4224351-pandawa-m-200/objets", "link")</f>
        <v/>
      </c>
      <c r="C17429" t="n">
        <v>0</v>
      </c>
      <c r="D17429" t="inlineStr">
        <is>
          <t>Arc Nécrotique; Amulette Volkorne; Anneau Volkorne; Alliance Gloursonne; Quatre-feuilles; Ceintacé; Coiffe Cryochrone; Cape de la Dame du Hasard; Pataugastrique; Dofus Pourpre; Dofus Turquoise; Dofus des Glaces; Fonceur majeur; Vigoureux majeur; Nomade</t>
        </is>
      </c>
    </row>
    <row r="17430">
      <c r="A17430" t="inlineStr">
        <is>
          <t>Pandawa M 200</t>
        </is>
      </c>
      <c r="B17430">
        <f>HYPERLINK("https://www.dofusbook.net/fr/equipement/4224319-pandawa-m-200/objets", "link")</f>
        <v/>
      </c>
      <c r="C17430" t="n">
        <v>2</v>
      </c>
      <c r="D17430" t="inlineStr">
        <is>
          <t>Arc Nécrotique; Amulette du Strigide; Anneau de Nidas; Alliance Gloursonne; Quatre-feuilles; Ceintacé; Coiffe Cryochrone; Cape de la Dame du Hasard; Bottes de la Dame du Hasard; Dofus Turquoise; Dofus des Glaces; Dofus Pourpre; Nomade; Remueur; Vigoureux majeur; Kokulte</t>
        </is>
      </c>
    </row>
    <row r="17431">
      <c r="A17431" t="inlineStr">
        <is>
          <t>Zobal M 200</t>
        </is>
      </c>
      <c r="B17431">
        <f>HYPERLINK("https://www.dofusbook.net/fr/equipement/4204378-zobal-m-200/objets", "link")</f>
        <v/>
      </c>
      <c r="C17431" t="n">
        <v>0</v>
      </c>
      <c r="D17431" t="inlineStr">
        <is>
          <t>Hache du Chalœil; Amulette du Strigide; Bague Trithon; Alliance Gloursonne; Bouclier du Captain Amakna; Ceintacé; Masque Trithon; Voile d'encre; Bottes Trithon; Dolmanax; Dofus Émeraude; Dofus Pourpre; Dofus des Glaces; Dofus Ivoire; Dofus Turquoise; Muldo Prune et Emeraude</t>
        </is>
      </c>
    </row>
    <row r="17432">
      <c r="A17432" t="inlineStr">
        <is>
          <t>Sram M 200</t>
        </is>
      </c>
      <c r="B17432">
        <f>HYPERLINK("https://www.dofusbook.net/fr/equipement/4207063-sram-m-200/objets", "link")</f>
        <v/>
      </c>
      <c r="C17432" t="n">
        <v>0</v>
      </c>
      <c r="D17432" t="inlineStr">
        <is>
          <t>Héqache; Amulette du Strigide; Alliance Gloursonne; Gant du Valet Veinard; Bouclier du Stalak; Ceinture Volkorne; Casque Volkorne; Cape du Cœur Vaillant; Baleinabottes; Kramkram</t>
        </is>
      </c>
    </row>
    <row r="17433">
      <c r="A17433" t="inlineStr">
        <is>
          <t>Iop M 200</t>
        </is>
      </c>
      <c r="B17433">
        <f>HYPERLINK("https://www.dofusbook.net/fr/equipement/4201244-iop-m-200/objets", "link")</f>
        <v/>
      </c>
      <c r="C17433" t="n">
        <v>0</v>
      </c>
      <c r="D17433" t="inlineStr">
        <is>
          <t>Bêche Asse; Collier de Tourthon; Anneau Crustique; Anneau Chevelu; Bouclier Taverne; Ceinture de la Cour Sombre; Masque de Koutoulou; Cape au Logis; Bottes de la Cour Sombre; Dofus Nébuleux; Dofus Ocre; Dofus Pourpre; Miraculé majeur; Enragé majeur; Vigoureux majeur; Kramkram</t>
        </is>
      </c>
    </row>
    <row r="17434">
      <c r="A17434" t="inlineStr">
        <is>
          <t>Ecaflip M 200</t>
        </is>
      </c>
      <c r="B17434">
        <f>HYPERLINK("https://www.dofusbook.net/fr/equipement/4175523-ecaflip-m-200/objets", "link")</f>
        <v/>
      </c>
      <c r="C17434" t="n">
        <v>2</v>
      </c>
      <c r="D17434" t="inlineStr">
        <is>
          <t>Hache du Chalœil; Amulette du Strigide; Alliance Gloursonne; Bracelet du Piloztère; Bouclier du Stalak; Ceintacé; Casque du Chalœil; Voile d'encre; Bottes du Chalœil; Dofus Pourpre; Dofus des Glaces; Dolmanax; Nomade; Remueur; Vigoureux majeur; Kramkram</t>
        </is>
      </c>
    </row>
    <row r="17435">
      <c r="A17435" t="inlineStr">
        <is>
          <t>Ecaflip M 200</t>
        </is>
      </c>
      <c r="B17435">
        <f>HYPERLINK("https://www.dofusbook.net/fr/equipement/4173659-ecaflip-m-200/objets", "link")</f>
        <v/>
      </c>
      <c r="C17435" t="n">
        <v>2</v>
      </c>
      <c r="D17435" t="inlineStr">
        <is>
          <t>Hache du Chalœil; Amulette du Strigide; Bague Trithon; Alliance Gloursonne; Bouclier du Stalak; Ceintacé; Coiffe de Padgref; Voile d'encre; Bottes du Strigide; Dofus Pourpre; Dolmanax; Dofus des Glaces; Vigoureux majeur; Robuste majeur; Nomade; Sakochère</t>
        </is>
      </c>
    </row>
    <row r="17436">
      <c r="A17436" t="inlineStr">
        <is>
          <t>Iop M 200</t>
        </is>
      </c>
      <c r="B17436">
        <f>HYPERLINK("https://www.dofusbook.net/fr/equipement/4090508-iop-m-200/objets", "link")</f>
        <v/>
      </c>
      <c r="C17436" t="n">
        <v>4</v>
      </c>
      <c r="D17436" t="inlineStr">
        <is>
          <t>Hache Téroïde; Amulette du Strigide; Bague Gloursonne; Anneau Chevelu; Bouclier du Captain Amakna; Ceintacé; Masque Trithon; Voile d'encre; Bottes Trithon; Dofus des Glaces; Dofus Ocre; Dofus Turquoise; Dofus Pourpre; Nomade; Vigoureux majeur; Kokulte</t>
        </is>
      </c>
    </row>
    <row r="17437">
      <c r="A17437" t="inlineStr">
        <is>
          <t>Ecaflip M 200</t>
        </is>
      </c>
      <c r="B17437">
        <f>HYPERLINK("https://www.dofusbook.net/fr/equipement/4074424-ecaflip-m-200/objets", "link")</f>
        <v/>
      </c>
      <c r="C17437" t="n">
        <v>4</v>
      </c>
      <c r="D17437" t="inlineStr">
        <is>
          <t>Hache du Chalœil; Amulette du Strigide; Bague Trithon; Alliance Gloursonne; Bouclier du Stalak; Ceintacé; Casque du Chalœil; Voile d'encre; Bottes du Strigide; Dolmanax; Dofus Pourpre; Dofus des Glaces; Vigoureux majeur; Nomade; Sakochère</t>
        </is>
      </c>
    </row>
    <row r="17438">
      <c r="A17438" t="inlineStr">
        <is>
          <t>Féca M 200</t>
        </is>
      </c>
      <c r="B17438">
        <f>HYPERLINK("https://www.dofusbook.net/fr/equipement/4166506-feca-m-200/objets", "link")</f>
        <v/>
      </c>
      <c r="C17438" t="n">
        <v>0</v>
      </c>
      <c r="D17438" t="inlineStr"/>
    </row>
    <row r="17439">
      <c r="A17439" t="inlineStr">
        <is>
          <t>Pandawa M 200</t>
        </is>
      </c>
      <c r="B17439">
        <f>HYPERLINK("https://www.dofusbook.net/fr/equipement/4132771-pandawa-m-200/objets", "link")</f>
        <v/>
      </c>
      <c r="C17439" t="n">
        <v>0</v>
      </c>
      <c r="D17439" t="inlineStr">
        <is>
          <t>Arc Nécrotique; Amulette Volkorne; Alliance Gloursonne; Anneau Volkorne; Quatre-feuilles; Ceintacé; Casque Dragoeuf; Cape de la Dame du Hasard; Pataugastrique; Dofus Turquoise; Dofus Ivoire; Dofus des Glaces; Dofus Nébuleux; Dofus Pourpre; Nomade; Kokulte</t>
        </is>
      </c>
    </row>
    <row r="17440">
      <c r="A17440" t="inlineStr">
        <is>
          <t>Huppermage M 200</t>
        </is>
      </c>
      <c r="B17440">
        <f>HYPERLINK("https://www.dofusbook.net/fr/equipement/4077832-huppermage-m-200/objets", "link")</f>
        <v/>
      </c>
      <c r="C17440" t="n">
        <v>0</v>
      </c>
      <c r="D17440" t="inlineStr"/>
    </row>
    <row r="17441">
      <c r="A17441" t="inlineStr">
        <is>
          <t>Crâ M 200</t>
        </is>
      </c>
      <c r="B17441">
        <f>HYPERLINK("https://www.dofusbook.net/fr/equipement/4104548-cra-m-200/objets", "link")</f>
        <v/>
      </c>
      <c r="C17441" t="n">
        <v>0</v>
      </c>
      <c r="D17441" t="inlineStr">
        <is>
          <t>Hache du Chalœil; Amulette du Strigide; Bracelet du Piloztère; Alliance Gloursonne; Quatre-feuilles; Ceintacé; Casque du Chalœil; Voile d'encre; Bottes du Strigide; Dofus Turquoise; Dofus Ocre; Dofus Pourpre; Dolmanax; Dofus des Glaces; Vigoureux majeur; Muldo Prune et Doré</t>
        </is>
      </c>
    </row>
    <row r="17442">
      <c r="A17442" t="inlineStr">
        <is>
          <t>Eniripsa M 200</t>
        </is>
      </c>
      <c r="B17442">
        <f>HYPERLINK("https://www.dofusbook.net/fr/equipement/4090907-eniripsa-m-200/objets", "link")</f>
        <v/>
      </c>
      <c r="C17442" t="n">
        <v>1</v>
      </c>
      <c r="D17442" t="inlineStr">
        <is>
          <t>Arc corrompu; Amulette Volkorne; Anneau de Nidas; Anneauræus; Sept ans de malheur; Ceinture de Vortex; Masque Ardent; Cape de Diondin; Chaussures Ardentes; Carapace Feu majeur; Nomade; Érudit majeur; Remueur; Miraculé majeur; Étourdisseur majeur; Ross</t>
        </is>
      </c>
    </row>
    <row r="17443">
      <c r="A17443" t="inlineStr">
        <is>
          <t>Pandawa M 200</t>
        </is>
      </c>
      <c r="B17443">
        <f>HYPERLINK("https://www.dofusbook.net/fr/equipement/4090860-pandawa-m-200/objets", "link")</f>
        <v/>
      </c>
      <c r="C17443" t="n">
        <v>2</v>
      </c>
      <c r="D17443" t="inlineStr">
        <is>
          <t>Baguette de Malléfisk; Amulette Volkorne; Anneauræus; Anneau de Nidas; Carapar; Ceinture de Vortex; Casque Dragoeuf; Cape de Diondin; Tongues de Nidas; Dofus Ivoire; Docteur majeur; Remueur; Dévastateur Feu majeur; Guérisseur majeur; Érudit majeur; Phortiche</t>
        </is>
      </c>
    </row>
    <row r="17444">
      <c r="A17444" t="inlineStr">
        <is>
          <t>Sram M 200</t>
        </is>
      </c>
      <c r="B17444">
        <f>HYPERLINK("https://www.dofusbook.net/fr/equipement/4086589-sram-m-200/objets", "link")</f>
        <v/>
      </c>
      <c r="C17444" t="n">
        <v>1</v>
      </c>
      <c r="D17444" t="inlineStr">
        <is>
          <t>Manthache; Collier du Valet Veinard; Alliance Gloursonne; Gant du Valet Veinard; Bouclier du Stalak; Menoture; Capuche de Moum-Ra; Baleinabottes; Dofus Pourpre; Vigoureux majeur; Cascadeur majeur; Nomade; Dévastateur Air majeur; Remueur; Phortiche</t>
        </is>
      </c>
    </row>
    <row r="17445">
      <c r="A17445" t="inlineStr">
        <is>
          <t>Steamer M 200</t>
        </is>
      </c>
      <c r="B17445">
        <f>HYPERLINK("https://www.dofusbook.net/fr/equipement/4086570-steamer-m-200/objets", "link")</f>
        <v/>
      </c>
      <c r="C17445" t="n">
        <v>0</v>
      </c>
      <c r="D17445" t="inlineStr"/>
    </row>
    <row r="17446">
      <c r="A17446" t="inlineStr">
        <is>
          <t>Osamodas M 200</t>
        </is>
      </c>
      <c r="B17446">
        <f>HYPERLINK("https://www.dofusbook.net/fr/equipement/4080855-osamodas-m-200/objets", "link")</f>
        <v/>
      </c>
      <c r="C17446" t="n">
        <v>3</v>
      </c>
      <c r="D17446" t="inlineStr">
        <is>
          <t>Arc Hétype; Amulette du Cycloïde; Anneau de Nidas; Anneauræus; Carapar; Ceinture de Vortex; Casque Dragoeuf; Cape de Diondin; Tongues de Nidas; Docteur majeur; Miraculé majeur; Guérisseur majeur; Remueur; Érudit majeur; Chachyène</t>
        </is>
      </c>
    </row>
    <row r="17447">
      <c r="A17447" t="inlineStr">
        <is>
          <t>Sacrieur M 200</t>
        </is>
      </c>
      <c r="B17447">
        <f>HYPERLINK("https://www.dofusbook.net/fr/equipement/4059864-sacrieur-m-200/objets", "link")</f>
        <v/>
      </c>
      <c r="C17447" t="n">
        <v>1</v>
      </c>
      <c r="D17447" t="inlineStr">
        <is>
          <t>Manthache; Collier du Valet Veinard; Gant du Valet Veinard; Alliance Gloursonne; Bouclier d'Ilyzaelle; Menoture; Casque Dragoeuf; Cape d'Anerice; Palmes Trithons; Dofus Argenté; Dofus Ivoire; Dofus Émeraude; Dokoko; Miraculé majeur; Remueur; Muldo Doré et Ebène</t>
        </is>
      </c>
    </row>
    <row r="17448">
      <c r="A17448" t="inlineStr">
        <is>
          <t>Eliotrope M 200</t>
        </is>
      </c>
      <c r="B17448">
        <f>HYPERLINK("https://www.dofusbook.net/fr/equipement/4075163-eliotrope-m-200/objets", "link")</f>
        <v/>
      </c>
      <c r="C17448" t="n">
        <v>0</v>
      </c>
      <c r="D17448" t="inlineStr">
        <is>
          <t>Manthache; Collier du Valet Veinard; Gant du Valet Veinard; Alliance Gloursonne; Bouclier du Stalak; Menoture; Couronne d'Allister; Cape Indescriptible; Palmes Trithons; Dofus Pourpre; Dofus Abyssal; Dofus Ivoire; Remueur; Cascadeur majeur; Nomade; Kramkram</t>
        </is>
      </c>
    </row>
    <row r="17449">
      <c r="A17449" t="inlineStr">
        <is>
          <t>Xélor M 200</t>
        </is>
      </c>
      <c r="B17449">
        <f>HYPERLINK("https://www.dofusbook.net/fr/equipement/4059849-xelor-m-200/objets", "link")</f>
        <v/>
      </c>
      <c r="C17449" t="n">
        <v>0</v>
      </c>
      <c r="D17449" t="inlineStr"/>
    </row>
    <row r="17450">
      <c r="A17450" t="inlineStr">
        <is>
          <t>Ecaflip M 200</t>
        </is>
      </c>
      <c r="B17450">
        <f>HYPERLINK("https://www.dofusbook.net/fr/equipement/4024223-ecaflip-m-200/objets", "link")</f>
        <v/>
      </c>
      <c r="C17450" t="n">
        <v>0</v>
      </c>
      <c r="D17450" t="inlineStr">
        <is>
          <t>Hache du Chalœil; Amulette du Strigide; Alliance Gloursonne; Bague Trithon; Bouclier du Captain Amakna; Ceintacé; Casque du Chalœil; Voile d'encre; Bottes Trithon; Dofus des Glaces; Dolmanax; Dofus Pourpre; Nomade; Carapace Feu majeur; Sakochère</t>
        </is>
      </c>
    </row>
    <row r="17451">
      <c r="A17451" t="inlineStr">
        <is>
          <t>Sacrieur M 200</t>
        </is>
      </c>
      <c r="B17451">
        <f>HYPERLINK("https://www.dofusbook.net/fr/equipement/4059865-sacrieur-m-200/objets", "link")</f>
        <v/>
      </c>
      <c r="C17451" t="n">
        <v>0</v>
      </c>
      <c r="D17451" t="inlineStr">
        <is>
          <t>Manthache; Collier du Valet Veinard; Alliance Gloursonne; Gant du Valet Veinard; Bouclier d'Ilyzaelle; Menoture; Casque Dragoeuf; Cape d'Anerice; Palmes Trithons; Dofus Pourpre; Dofus Ivoire; Dofus Émeraude; Miraculé majeur; Cascadeur majeur; Remueur; Muldo Ebène</t>
        </is>
      </c>
    </row>
    <row r="17452">
      <c r="A17452" t="inlineStr">
        <is>
          <t>Ouginak M 200</t>
        </is>
      </c>
      <c r="B17452">
        <f>HYPERLINK("https://www.dofusbook.net/fr/equipement/4059863-ouginak-m-200/objets", "link")</f>
        <v/>
      </c>
      <c r="C17452" t="n">
        <v>0</v>
      </c>
      <c r="D17452" t="inlineStr"/>
    </row>
    <row r="17453">
      <c r="A17453" t="inlineStr">
        <is>
          <t>Iop M 200</t>
        </is>
      </c>
      <c r="B17453">
        <f>HYPERLINK("https://www.dofusbook.net/fr/equipement/4059589-iop-m-200/objets", "link")</f>
        <v/>
      </c>
      <c r="C17453" t="n">
        <v>0</v>
      </c>
      <c r="D17453" t="inlineStr">
        <is>
          <t>Hache Téroïde; Amulette du Strigide; Anneau Chevelu; Bague Trithon; Bouclier du Captain Amakna; Ceinture du Strigide; Masque Trithon; Voile d'encre; Bottes Trithon; Dofus Nébuleux; Dofus Turquoise; Dofus Ocre; Dofus des Glaces; Dofus Pourpre; Voyageur; Kramkram</t>
        </is>
      </c>
    </row>
    <row r="17454">
      <c r="A17454" t="inlineStr">
        <is>
          <t>Crâ M 200</t>
        </is>
      </c>
      <c r="B17454">
        <f>HYPERLINK("https://www.dofusbook.net/fr/equipement/4046110-cra-m-200/objets", "link")</f>
        <v/>
      </c>
      <c r="C17454" t="n">
        <v>0</v>
      </c>
      <c r="D17454" t="inlineStr">
        <is>
          <t>Sabres d'Atcham; Amulette du Strigide; Anneau de Padgref; Bague Trithon; Quatre-feuilles; Ceintacé; Coiffe de Padgref; Cape d'Atcham; Sandales  d'Atcham; Dofus Pourpre; Dofus des Glaces; Dofus Nébuleux; Dolmanax; Dofus Turquoise; Voyageur; Kokulte</t>
        </is>
      </c>
    </row>
    <row r="17455">
      <c r="A17455" t="inlineStr">
        <is>
          <t>Steamer M 200</t>
        </is>
      </c>
      <c r="B17455">
        <f>HYPERLINK("https://www.dofusbook.net/fr/equipement/4045878-steamer-m-200/objets", "link")</f>
        <v/>
      </c>
      <c r="C17455" t="n">
        <v>0</v>
      </c>
      <c r="D17455" t="inlineStr">
        <is>
          <t>Hache du Chalœil; Amulette du Strigide; Anneau de Padgref; Alliance Gloursonne; Quatre-feuilles; Ceintacé; Masque Trithon; Voile d'encre; Bottes Trithon; Dofus Turquoise; Dolmanax; Dofus des Glaces; Dofus Pourpre; Remueur; Vigoureux majeur; Muldo Prune et Pourpre</t>
        </is>
      </c>
    </row>
    <row r="17456">
      <c r="A17456" t="inlineStr">
        <is>
          <t>Crâ M 200</t>
        </is>
      </c>
      <c r="B17456">
        <f>HYPERLINK("https://www.dofusbook.net/fr/equipement/4038232-cra-m-200/objets", "link")</f>
        <v/>
      </c>
      <c r="C17456" t="n">
        <v>5</v>
      </c>
      <c r="D17456" t="inlineStr">
        <is>
          <t>Hache du Chalœil; Amulette du Strigide; Bracelet du Piloztère; Alliance Gloursonne; Quatre-feuilles; Ceintacé; Le Dorado; Cape Lati; Bottes du Strigide; Dofus Turquoise; Dofus Pourpre; Nomade; Vigoureux majeur; Remueur; Enragé majeur; Kokulte</t>
        </is>
      </c>
    </row>
    <row r="17457">
      <c r="A17457" t="inlineStr">
        <is>
          <t>Zobal M 200</t>
        </is>
      </c>
      <c r="B17457">
        <f>HYPERLINK("https://www.dofusbook.net/fr/equipement/4022632-zobal-m-200/objets", "link")</f>
        <v/>
      </c>
      <c r="C17457" t="n">
        <v>2</v>
      </c>
      <c r="D17457" t="inlineStr">
        <is>
          <t>Hache du Chalœil; Amulette du Strigide; Anneau de Pol Ouatnos; Alliance Gloursonne; Bouclier du Captain Amakna; Ceintacé; Masque Trithon; Voile d'encre; Bottes Trithon; Dofus Pourpre; Dofus Turquoise; Dolmanax; Dofus des Glaces; Vigoureux majeur; Remueur; Kramkram</t>
        </is>
      </c>
    </row>
    <row r="17458">
      <c r="A17458" t="inlineStr">
        <is>
          <t>Enutrof M 200</t>
        </is>
      </c>
      <c r="B17458">
        <f>HYPERLINK("https://www.dofusbook.net/fr/equipement/3962290-enutrof-m-200/objets", "link")</f>
        <v/>
      </c>
      <c r="C17458" t="n">
        <v>0</v>
      </c>
      <c r="D17458" t="inlineStr">
        <is>
          <t>Arc Hétype; Collier de la Dame du Hasard; Anneau de Nidas; Pikano; Bouclier cubiste; Ceinture Glaciale; Casquette de Meno; Cape de Diondin; Bottes de Meno; Nomade; Érudit majeur; Guérisseur majeur; Temporiseur majeur; Miraculé majeur; Chanceux majeur</t>
        </is>
      </c>
    </row>
    <row r="17459">
      <c r="A17459" t="inlineStr">
        <is>
          <t>Sram M 200</t>
        </is>
      </c>
      <c r="B17459">
        <f>HYPERLINK("https://www.dofusbook.net/fr/equipement/4012493-sram-m-200/objets", "link")</f>
        <v/>
      </c>
      <c r="C17459" t="n">
        <v>6</v>
      </c>
      <c r="D17459" t="inlineStr">
        <is>
          <t>Héqache; Amulette du Strigide; Gant du Valet Veinard; Bague Gloursonne; Bouclier du Captain Amakna; Ceintouse; Coiffe de la Reine des Voleurs; Cape du Cœur Vaillant; Baleinabottes; Dofus Turquoise; Dofus Pourpre; Remueur; Cascadeur majeur; Vigoureux majeur; Enragé majeur; Muldo Ebène et Orchidée</t>
        </is>
      </c>
    </row>
    <row r="17460">
      <c r="A17460" t="inlineStr">
        <is>
          <t>Féca M 200</t>
        </is>
      </c>
      <c r="B17460">
        <f>HYPERLINK("https://www.dofusbook.net/fr/equipement/4010633-feca-m-200/objets", "link")</f>
        <v/>
      </c>
      <c r="C17460" t="n">
        <v>3</v>
      </c>
      <c r="D17460" t="inlineStr">
        <is>
          <t>Lav'Hache; Amulette du Cœur Vaillant; Anneau de Pol Ouatnos; Anneau Crustique; Sept ans de malheur; Ceintacé; Casque Dragoeuf; Cape du Cœur Vaillant; Tentassons; Dofus Ivoire; Miraculé majeur; Fonceur majeur; Obstructeur majeur; Remueur; Étourdisseur majeur; Muldo Roux et Ebène</t>
        </is>
      </c>
    </row>
    <row r="17461">
      <c r="A17461" t="inlineStr">
        <is>
          <t>Zobal M 200</t>
        </is>
      </c>
      <c r="B17461">
        <f>HYPERLINK("https://www.dofusbook.net/fr/equipement/3993606-zobal-m-200/objets", "link")</f>
        <v/>
      </c>
      <c r="C17461" t="n">
        <v>1</v>
      </c>
      <c r="D17461" t="inlineStr">
        <is>
          <t>Hache Téroïde; Amulette du Strigide; Anneau Chevelu; Bague Gloursonne; Bouclier du Captain Amakna; Ceintacé; Masque Trithon; Voile d'encre; Bottes Trithon; Dofus Turquoise; Dofus Pourpre; Dofus des Glaces; Remueur; Vigoureux majeur; Nomade; Kramkram</t>
        </is>
      </c>
    </row>
    <row r="17462">
      <c r="A17462" t="inlineStr">
        <is>
          <t>Pandawa M 200</t>
        </is>
      </c>
      <c r="B17462">
        <f>HYPERLINK("https://www.dofusbook.net/fr/equipement/3988929-pandawa-m-200/objets", "link")</f>
        <v/>
      </c>
      <c r="C17462" t="n">
        <v>0</v>
      </c>
      <c r="D17462" t="inlineStr">
        <is>
          <t>Arc Nécrotique; Amulette du Strigide; Lavanneau; Alliance Gloursonne; Quatre-feuilles; Ceintacé; Masque Trithon; Cape de la Dame du Hasard; Bottes Trithon; Dofus Pourpre; Dofus Turquoise; Dofus Nébuleux; Remueur; Érudit majeur; Chanceux majeur; Kramkram</t>
        </is>
      </c>
    </row>
    <row r="17463">
      <c r="A17463" t="inlineStr">
        <is>
          <t>Iop M 200</t>
        </is>
      </c>
      <c r="B17463">
        <f>HYPERLINK("https://www.dofusbook.net/fr/equipement/3961310-iop-m-200/objets", "link")</f>
        <v/>
      </c>
      <c r="C17463" t="n">
        <v>3</v>
      </c>
      <c r="D17463" t="inlineStr">
        <is>
          <t>Hache Téroïde; Amulette du Strigide; Anneau Chevelu; Bague Gloursonne; Bouclier du Captain Amakna; Ceintacé; Chapeau de Gein; Voile d'encre; Bottes du Strigide; Dofus Turquoise; Dofus Ocre; Dofus des Glaces; Dofus Pourpre; Nomade; Vigoureux majeur; Kokulte</t>
        </is>
      </c>
    </row>
    <row r="17464">
      <c r="A17464" t="inlineStr">
        <is>
          <t>Osamodas M 200</t>
        </is>
      </c>
      <c r="B17464">
        <f>HYPERLINK("https://www.dofusbook.net/fr/equipement/3963400-osamodas-m-200/objets", "link")</f>
        <v/>
      </c>
      <c r="C17464" t="n">
        <v>4</v>
      </c>
      <c r="D17464" t="inlineStr">
        <is>
          <t>Dagues Érhy; Amulette de l'Œil Putride; Alliance du Lévitrof; Alliance Gloursonne; Cadran de Feu; Sangle Ouare; Casque Dragoeuf; Cape de l'Œil Putride; Pataugastrique; Dofus Ivoire; Remueur; Chanceux majeur; Miraculé majeur; Érudit majeur; Dragodinde Amande et Indigo</t>
        </is>
      </c>
    </row>
    <row r="17465">
      <c r="A17465" t="inlineStr">
        <is>
          <t>Steamer M 200</t>
        </is>
      </c>
      <c r="B17465">
        <f>HYPERLINK("https://www.dofusbook.net/fr/equipement/3966782-steamer-m-200/objets", "link")</f>
        <v/>
      </c>
      <c r="C17465" t="n">
        <v>0</v>
      </c>
      <c r="D17465" t="inlineStr">
        <is>
          <t>Arc du Chalœil; Amulette Luminescente; Anneau Chevelu; Bague Trithon; Quatre-feuilles; Sangle Ouare; Casque Dragoeuf; Cape du Cœur Vaillant; Bottes Trithon; Dofus des Glaces; Dofus Pourpre; Dofus Turquoise; Bousculeur majeur; Culbuteur majeur; Remueur; Volkorne Emeraude et Roux</t>
        </is>
      </c>
    </row>
    <row r="17466">
      <c r="A17466" t="inlineStr">
        <is>
          <t>Sram M 200</t>
        </is>
      </c>
      <c r="B17466">
        <f>HYPERLINK("https://www.dofusbook.net/fr/equipement/3962240-sram-m-200/objets", "link")</f>
        <v/>
      </c>
      <c r="C17466" t="n">
        <v>0</v>
      </c>
      <c r="D17466" t="inlineStr">
        <is>
          <t>Manthache; Collier du Valet Veinard; Gant du Valet Veinard; Alliance Gloursonne; Quatre-feuilles; Menoture; Couronne d'Allister; Cape Routh; Palmes Trithons; Dofus Pourpre; Nomade; Fonceur majeur; Remueur; Vigoureux majeur; Cascadeur majeur; Dragodinde Amande et Ebène</t>
        </is>
      </c>
    </row>
    <row r="17467">
      <c r="A17467" t="inlineStr">
        <is>
          <t>Zobal M 200</t>
        </is>
      </c>
      <c r="B17467">
        <f>HYPERLINK("https://www.dofusbook.net/fr/equipement/3959245-zobal-m-200/objets", "link")</f>
        <v/>
      </c>
      <c r="C17467" t="n">
        <v>0</v>
      </c>
      <c r="D17467" t="inlineStr">
        <is>
          <t>Dagoulinantes; Amulette Luminescente; Anneau de Pol Ouatnos; Alliance Gloursonne; Bouclier d'Ilyzaelle; Sangle Ouare; Masque Trithon; Cape Solution; Bottes Trithon; Dofus Pourpre; Dofus Ocre; Dofus Turquoise; Culbuteur majeur; Pousseur majeur; Bousculeur majeur; Muldo Ebène et Orchidée</t>
        </is>
      </c>
    </row>
    <row r="17468">
      <c r="A17468" t="inlineStr">
        <is>
          <t>Huppermage M 200</t>
        </is>
      </c>
      <c r="B17468">
        <f>HYPERLINK("https://www.dofusbook.net/fr/equipement/3948132-huppermage-m-200/objets", "link")</f>
        <v/>
      </c>
      <c r="C17468" t="n">
        <v>5</v>
      </c>
      <c r="D17468" t="inlineStr">
        <is>
          <t>Héqache; Amulette du Strigide; Anneau de Pol Ouatnos; Alliance Gloursonne; Bouclier d'Ilyzaelle; Ceinture Volkorne; Casque Volkorne; Cape du Cœur Vaillant; Baleinabottes; Dofus Pourpre; Dofus Nébuleux; Dofus Turquoise; Cascadeur majeur; Remueur; Enragé majeur; Kramkram</t>
        </is>
      </c>
    </row>
    <row r="17469">
      <c r="A17469" t="inlineStr">
        <is>
          <t>Huppermage M 200</t>
        </is>
      </c>
      <c r="B17469">
        <f>HYPERLINK("https://www.dofusbook.net/fr/equipement/3947962-huppermage-m-200/objets", "link")</f>
        <v/>
      </c>
      <c r="C17469" t="n">
        <v>1</v>
      </c>
      <c r="D17469" t="inlineStr">
        <is>
          <t>Héqache; Amulette du Strigide; Bague Gloursonne; Alliance Gloursonne; Bouclier d'Ilyzaelle; Ceintouse; Coiffe de la Reine des Voleurs; Cape du Kamasterisk; Baleinabottes; Dofus Pourpre; Dofus Nébuleux; Dofus Turquoise; Vigoureux majeur; Enragé majeur; Cascadeur majeur; Kramkram</t>
        </is>
      </c>
    </row>
    <row r="17470">
      <c r="A17470" t="inlineStr">
        <is>
          <t>Eniripsa M 200</t>
        </is>
      </c>
      <c r="B17470">
        <f>HYPERLINK("https://www.dofusbook.net/fr/equipement/3928697-eniripsa-m-200/objets", "link")</f>
        <v/>
      </c>
      <c r="C17470" t="n">
        <v>1</v>
      </c>
      <c r="D17470" t="inlineStr">
        <is>
          <t>Arc corrompu; Amulette d'Otomaï; Anneau Tique; Chevalière du Roi Joueur; Sept ans de malheur; Ceinture de Vortex; Casque Dragoeuf; Cape Ardente; Chaussures Ardentes; Remueur; Étourdisseur majeur; Miraculé majeur; Nomade; Érudit majeur; Volkorne Ivoire et Orchidée</t>
        </is>
      </c>
    </row>
    <row r="17471">
      <c r="A17471" t="inlineStr">
        <is>
          <t>Steamer M 200</t>
        </is>
      </c>
      <c r="B17471">
        <f>HYPERLINK("https://www.dofusbook.net/fr/equipement/3928648-steamer-m-200/objets", "link")</f>
        <v/>
      </c>
      <c r="C17471" t="n">
        <v>3</v>
      </c>
      <c r="D17471" t="inlineStr">
        <is>
          <t>Hache du Chalœil; Amulette du Strigide; Alliance Gloursonne; Bague Trithon; Quatre-feuilles; Ceintacé; Masque Trithon; Voile d'encre; Bottes du Strigide; Dofus Pourpre; Dolmanax; Dofus Ocre; Dofus Turquoise; Dofus des Glaces; Voyageur; Kokulte</t>
        </is>
      </c>
    </row>
    <row r="17472">
      <c r="A17472" t="inlineStr">
        <is>
          <t>Eniripsa M 200</t>
        </is>
      </c>
      <c r="B17472">
        <f>HYPERLINK("https://www.dofusbook.net/fr/equipement/3925647-eniripsa-m-200/objets", "link")</f>
        <v/>
      </c>
      <c r="C17472" t="n">
        <v>2</v>
      </c>
      <c r="D17472" t="inlineStr">
        <is>
          <t>Arc corrompu; Amulette d'Otomaï; Anneau Tique; Anneauræus; Sept ans de malheur; Ceinture de Vortex; Masque Ardent; Cape de Diondin; Chaussures Ardentes; Dofus Émeraude; Miraculé majeur; Guérisseur majeur; Érudit majeur; Remueur; Étourdisseur majeur; Muldo Orchidée et Pourpre</t>
        </is>
      </c>
    </row>
    <row r="17473">
      <c r="A17473" t="inlineStr">
        <is>
          <t>Iop M 200</t>
        </is>
      </c>
      <c r="B17473">
        <f>HYPERLINK("https://www.dofusbook.net/fr/equipement/3925457-iop-m-200/objets", "link")</f>
        <v/>
      </c>
      <c r="C17473" t="n">
        <v>1</v>
      </c>
      <c r="D17473" t="inlineStr">
        <is>
          <t>Lav'Hache; Collier de Tourthon; Bague Gloursonne; Anneau Chevelu; Ceinture Volkorne; Masque de Koutoulou; Cape au Logis; Bottes de la Cour Sombre; Dofus Nébuleux; Dofus Pourpre; Dofus Turquoise; Enragé majeur; Vigoureux majeur; Remueur; Kramkram</t>
        </is>
      </c>
    </row>
    <row r="17474">
      <c r="A17474" t="inlineStr">
        <is>
          <t>Zobal M 200</t>
        </is>
      </c>
      <c r="B17474">
        <f>HYPERLINK("https://www.dofusbook.net/fr/equipement/3924432-zobal-m-200/objets", "link")</f>
        <v/>
      </c>
      <c r="C17474" t="n">
        <v>2</v>
      </c>
      <c r="D17474" t="inlineStr">
        <is>
          <t>Hache Téroïde; Amulette du Strigide; Bague Gloursonne; Anneau Chevelu; Bouclier du Captain Amakna; Ceintacé; Chapeau de Gein; Voile d'encre; Bottes du Strigide; Dofus Turquoise; Dofus Pourpre; Miraculé majeur; Vigoureux majeur; Nomade; Remueur; Kramkram</t>
        </is>
      </c>
    </row>
    <row r="17475">
      <c r="A17475" t="inlineStr">
        <is>
          <t>Zobal M 200</t>
        </is>
      </c>
      <c r="B17475">
        <f>HYPERLINK("https://www.dofusbook.net/fr/equipement/3869690-zobal-m-200/objets", "link")</f>
        <v/>
      </c>
      <c r="C17475" t="n">
        <v>2</v>
      </c>
      <c r="D17475" t="inlineStr">
        <is>
          <t>Hache du Chalœil; Amulette du Strigide; Alliance Gloursonne; Anneau de Pol Ouatnos; Quatre-feuilles; Ceintacé; Casque du Chalœil; Voile d'encre; Bottes du Strigide; Dofus Pourpre; Dofus Turquoise; Dolmanax; Dofus des Glaces; Vigoureux majeur; Remueur; Kramkram</t>
        </is>
      </c>
    </row>
    <row r="17476">
      <c r="A17476" t="inlineStr">
        <is>
          <t>Sram M 200</t>
        </is>
      </c>
      <c r="B17476">
        <f>HYPERLINK("https://www.dofusbook.net/fr/equipement/3875934-sram-m-200/objets", "link")</f>
        <v/>
      </c>
      <c r="C17476" t="n">
        <v>2</v>
      </c>
      <c r="D17476" t="inlineStr">
        <is>
          <t>Héqache; Amulette du Strigide; Bracelet du Piloztère; Gant du Valet Veinard; Bouclier du Captain Amakna; Ceinture Volkorne; Casque Volkorne; Cape au Logis; Baleinabottes; Dofus Pourpre; Dofus Turquoise; Cascadeur majeur; Vigoureux majeur; Enragé majeur; Remueur; Kramkram</t>
        </is>
      </c>
    </row>
    <row r="17477">
      <c r="A17477" t="inlineStr">
        <is>
          <t>Crâ M 200</t>
        </is>
      </c>
      <c r="B17477">
        <f>HYPERLINK("https://www.dofusbook.net/fr/equipement/3866438-cra-m-200/objets", "link")</f>
        <v/>
      </c>
      <c r="C17477" t="n">
        <v>0</v>
      </c>
      <c r="D17477" t="inlineStr">
        <is>
          <t>Sabres d'Atcham; Amulette du Strigide; Bracelet du Piloztère; Anneau de Padgref; Quatre-feuilles; Ceinture du Strigide; Coiffe de Padgref; Cape d'Atcham; Bottes du Strigide; Dofus Ocre; Dofus Turquoise; Dolmanax; Dofus des Glaces; Dofus Pourpre; Voyageur; Kokulte</t>
        </is>
      </c>
    </row>
    <row r="17478">
      <c r="A17478" t="inlineStr">
        <is>
          <t>Crâ M 200</t>
        </is>
      </c>
      <c r="B17478">
        <f>HYPERLINK("https://www.dofusbook.net/fr/equipement/3866432-cra-m-200/objets", "link")</f>
        <v/>
      </c>
      <c r="C17478" t="n">
        <v>0</v>
      </c>
      <c r="D17478" t="inlineStr">
        <is>
          <t>Sabres d'Atcham; Amulette du Strigide; Alliance Gloursonne; Bracelet du Piloztère; Quatre-feuilles; Ceintacé; Casque du Chalœil; Voile d'encre; Bottes du Strigide; Dofus Pourpre; Dofus Turquoise; Dolmanax; Dofus des Glaces; Vigoureux majeur; Remueur; Muldo Prune et Doré</t>
        </is>
      </c>
    </row>
    <row r="17479">
      <c r="A17479" t="inlineStr">
        <is>
          <t>Ecaflip M 200</t>
        </is>
      </c>
      <c r="B17479">
        <f>HYPERLINK("https://www.dofusbook.net/fr/equipement/3858124-ecaflip-m-200/objets", "link")</f>
        <v/>
      </c>
      <c r="C17479" t="n">
        <v>1</v>
      </c>
      <c r="D17479" t="inlineStr">
        <is>
          <t>Hache du Chalœil; Amulette du Strigide; Alliance Gloursonne; Bague Trithon; Quatre-feuilles; Ceintacé; Casque du Chalœil; Voile d'encre; Bottes du Strigide; Dofus Pourpre; Dofus des Glaces; Dolmanax; Nomade; Remueur; Vigoureux majeur; Kramkram</t>
        </is>
      </c>
    </row>
    <row r="17480">
      <c r="A17480" t="inlineStr">
        <is>
          <t>Iop M 200</t>
        </is>
      </c>
      <c r="B17480">
        <f>HYPERLINK("https://www.dofusbook.net/fr/equipement/3850687-iop-m-200/objets", "link")</f>
        <v/>
      </c>
      <c r="C17480" t="n">
        <v>1</v>
      </c>
      <c r="D17480" t="inlineStr">
        <is>
          <t>Epée Toche; Amulette du Strigide; Anneau Chevelu; Bague Gloursonne; Bouclier du Captain Amakna; Ceintacé; Masque de Koutoulou; Voile d'encre; Bottes du Strigide; Dofus des Glaces; Dofus Pourpre; Dofus Turquoise; Dofus Ocre; Nomade; Vigoureux majeur; Kramkram</t>
        </is>
      </c>
    </row>
    <row r="17481">
      <c r="A17481" t="inlineStr">
        <is>
          <t>Sram M 200</t>
        </is>
      </c>
      <c r="B17481">
        <f>HYPERLINK("https://www.dofusbook.net/fr/equipement/3852235-sram-m-200/objets", "link")</f>
        <v/>
      </c>
      <c r="C17481" t="n">
        <v>1</v>
      </c>
      <c r="D17481" t="inlineStr">
        <is>
          <t>Marteau R'ture; Amulette du Strigide; Anneau Crustique; Anneau Crustique; Bouclier du Captain Amakna; Ceinture de la Cour Sombre; Casque Dragoeuf; Cape Routh; Bottes de la Cour Sombre; Dofus Pourpre; Dofus Turquoise; Dofus Ocre; Dofus Nébuleux; Nomade; Enragé majeur; Kramkram</t>
        </is>
      </c>
    </row>
    <row r="17482">
      <c r="A17482" t="inlineStr">
        <is>
          <t>Eniripsa F 200</t>
        </is>
      </c>
      <c r="B17482">
        <f>HYPERLINK("https://www.dofusbook.net/fr/equipement/3851532-eniripsa-f-200/objets", "link")</f>
        <v/>
      </c>
      <c r="C17482" t="n">
        <v>1</v>
      </c>
      <c r="D17482" t="inlineStr">
        <is>
          <t>Arc corrompu; Amulette Séculaire; Anneau de Nidas; Anneauræus; Sept ans de malheur; Ceinture de Vortex; Masque Ardent; Cape de Diondin; Chaussures Ardentes; Carapace Eau majeur; Guérisseur majeur; Étourdisseur majeur; Érudit majeur; Fonceur majeur; Miraculé majeur; Muldo Orchidée</t>
        </is>
      </c>
    </row>
    <row r="17483">
      <c r="A17483" t="inlineStr">
        <is>
          <t>Zobal M 200</t>
        </is>
      </c>
      <c r="B17483">
        <f>HYPERLINK("https://www.dofusbook.net/fr/equipement/3849767-zobal-m-200/objets", "link")</f>
        <v/>
      </c>
      <c r="C17483" t="n">
        <v>0</v>
      </c>
      <c r="D17483" t="inlineStr">
        <is>
          <t>Hache Téroïde; Amulette du Strigide; Bague Trithon; Bague Gloursonne; Bouclier du Captain Amakna; Ceintacé; Chapeau de Gein; Voile d'encre; Bottes du Strigide; Dofus Turquoise; Dofus Pourpre; Dofus Émeraude; Nomade; Remueur; Vigoureux majeur; Kramkram</t>
        </is>
      </c>
    </row>
    <row r="17484">
      <c r="A17484" t="inlineStr">
        <is>
          <t>Sram M 200</t>
        </is>
      </c>
      <c r="B17484">
        <f>HYPERLINK("https://www.dofusbook.net/fr/equipement/3849686-sram-m-200/objets", "link")</f>
        <v/>
      </c>
      <c r="C17484" t="n">
        <v>0</v>
      </c>
      <c r="D17484" t="inlineStr">
        <is>
          <t>Manthache; Collier du Valet Veinard; Gant du Valet Veinard; Alliance Gloursonne; Bouclier du Stalak; Menoture; Dorabysses; Cape Indescriptible; Palmes Trithons; Dofus Ocre; Dofus Pourpre; Temporiseur majeur; Cascadeur majeur; Vigoureux majeur; Miraculé majeur; Muldo Ebène</t>
        </is>
      </c>
    </row>
    <row r="17485">
      <c r="A17485" t="inlineStr">
        <is>
          <t>Ecaflip M 200</t>
        </is>
      </c>
      <c r="B17485">
        <f>HYPERLINK("https://www.dofusbook.net/fr/equipement/3834391-ecaflip-m-200/objets", "link")</f>
        <v/>
      </c>
      <c r="C17485" t="n">
        <v>0</v>
      </c>
      <c r="D17485" t="inlineStr">
        <is>
          <t>Héqache; Amulette du Strigide; Anneau Chevelu; Alliance Gloursonne; Quatre-feuilles; Ceintacé; Masque de Koutoulou; Voile d'encre; Bottes du Strigide; Dofus Turquoise; Dofus des Glaces; Dofus Pourpre; Vigoureux majeur; Nomade; Sanguinaire majeur; Kramkram</t>
        </is>
      </c>
    </row>
    <row r="17486">
      <c r="A17486" t="inlineStr">
        <is>
          <t>Steamer M 200</t>
        </is>
      </c>
      <c r="B17486">
        <f>HYPERLINK("https://www.dofusbook.net/fr/equipement/3834303-steamer-m-200/objets", "link")</f>
        <v/>
      </c>
      <c r="C17486" t="n">
        <v>0</v>
      </c>
      <c r="D17486" t="inlineStr">
        <is>
          <t>Hache du Chalœil; Amulette du Strigide; Bague Trithon; Alliance Gloursonne; Quatre-feuilles; Ceintacé; Casque du Chalœil; Voile d'encre; Bottes du Strigide; Dofus des Glaces; Dolmanax; Dofus Pourpre</t>
        </is>
      </c>
    </row>
    <row r="17487">
      <c r="A17487" t="inlineStr">
        <is>
          <t>Steamer M 200</t>
        </is>
      </c>
      <c r="B17487">
        <f>HYPERLINK("https://www.dofusbook.net/fr/equipement/3582712-steamer-m-200/objets", "link")</f>
        <v/>
      </c>
      <c r="C17487" t="n">
        <v>4</v>
      </c>
      <c r="D17487" t="inlineStr">
        <is>
          <t>Hache du Chalœil; Amulette du Strigide; Alliance Gloursonne; Bague Trithon; Quatre-feuilles; Ceintacé; Casque du Chalœil; Voile d'encre; Bottes Trithon; Dolmanax; Dofus Turquoise; Dofus Pourpre; Dofus des Glaces; Remueur; Vigoureux majeur; Muldo Prune et Orchidée</t>
        </is>
      </c>
    </row>
    <row r="17488">
      <c r="A17488" t="inlineStr">
        <is>
          <t>Pandawa M 200</t>
        </is>
      </c>
      <c r="B17488">
        <f>HYPERLINK("https://www.dofusbook.net/fr/equipement/3834196-pandawa-m-200/objets", "link")</f>
        <v/>
      </c>
      <c r="C17488" t="n">
        <v>0</v>
      </c>
      <c r="D17488" t="inlineStr">
        <is>
          <t>Epée Loponèze; Amulette du Glourséleste; Bracelet du Piloztère; Alliance Gloursonne; Bouclier d'Anerice; Ceintacé; Kidibonnet; Cape d'Anerice; Sandales des Fonds marins; Dofus Pourpre; Cascadeur majeur; Miraculé majeur; Carapace Feu majeur; Fonceur majeur; Remueur; Muldo Roux et Ebène</t>
        </is>
      </c>
    </row>
    <row r="17489">
      <c r="A17489" t="inlineStr">
        <is>
          <t>Pandawa M 200</t>
        </is>
      </c>
      <c r="B17489">
        <f>HYPERLINK("https://www.dofusbook.net/fr/equipement/3834118-pandawa-m-200/objets", "link")</f>
        <v/>
      </c>
      <c r="C17489" t="n">
        <v>15</v>
      </c>
      <c r="D17489" t="inlineStr">
        <is>
          <t>Epée Loponèze; Talisman Glouti; Alliance Gloursonne; Pikano; Bouclier d'Anerice; Sangle Ouare; Kidibonnet; Cape d'Anerice; Pataugastrique; Dofus Pourpre; Miraculé majeur; Cascadeur majeur; Fonceur majeur; Remueur; Chanceux majeur; Muldo Indigo et Pourpre</t>
        </is>
      </c>
    </row>
    <row r="17490">
      <c r="A17490" t="inlineStr">
        <is>
          <t>stuff 2.45</t>
        </is>
      </c>
      <c r="B17490">
        <f>HYPERLINK("https://www.dofusbook.net/fr/equipement/2504689-stuff-2-45/objets", "link")</f>
        <v/>
      </c>
      <c r="C17490" t="n">
        <v>5</v>
      </c>
      <c r="D17490" t="inlineStr">
        <is>
          <t>Dagues Ricol; Amulette Ementaire Deluxe; Alliance Gloursonne; Bague Gloursonne; Bouclier précieux; Ceinture de Kongoku; Casque Dragoeuf; Voile d'encre; Pataugastrique; Dofus Pourpre; Miraculé majeur; Nomade; Carapace Terre majeur; Remueur; Vigoureux majeur; Kramkram</t>
        </is>
      </c>
    </row>
    <row r="17491">
      <c r="A17491" t="inlineStr">
        <is>
          <t>Pandawa M 200</t>
        </is>
      </c>
      <c r="B17491">
        <f>HYPERLINK("https://www.dofusbook.net/fr/equipement/3834051-pandawa-m-200/objets", "link")</f>
        <v/>
      </c>
      <c r="C17491" t="n">
        <v>4</v>
      </c>
      <c r="D17491" t="inlineStr">
        <is>
          <t>Rouleau à Pâtisserie d'Aermyne; Amulette Ementaire Deluxe; Anneau Chevelu; Alliance Gloursonne; Bouclier d'Anerice; Sangle Ouare; Casque Dragoeuf; Cape d'Anerice; Pataugastrique; Dolmanax; Dofus Émeraude; Dofus Ivoire; Obstructeur majeur; Miraculé majeur; Remueur; Givrefoux</t>
        </is>
      </c>
    </row>
    <row r="17492">
      <c r="A17492" t="inlineStr">
        <is>
          <t>Ecaflip M 200</t>
        </is>
      </c>
      <c r="B17492">
        <f>HYPERLINK("https://www.dofusbook.net/fr/equipement/3820087-ecaflip-m-200/objets", "link")</f>
        <v/>
      </c>
      <c r="C17492" t="n">
        <v>5</v>
      </c>
      <c r="D17492" t="inlineStr">
        <is>
          <t>Hache du Chalœil; Amulette du Strigide; Bague Trithon; Alliance Gloursonne; Quatre-feuilles; Ceintacé; Casque du Chalœil; Voile d'encre; Bottes Trithon; Dolmanax; Dofus des Glaces; Dofus Nébuleux; Dofus Pourpre; Vigoureux majeur; Remueur; Muldo Prune et Orchidée</t>
        </is>
      </c>
    </row>
    <row r="17493">
      <c r="A17493" t="inlineStr">
        <is>
          <t>Zobal M 200</t>
        </is>
      </c>
      <c r="B17493">
        <f>HYPERLINK("https://www.dofusbook.net/fr/equipement/3770809-zobal-m-200/objets", "link")</f>
        <v/>
      </c>
      <c r="C17493" t="n">
        <v>11</v>
      </c>
      <c r="D17493" t="inlineStr">
        <is>
          <t>Hache Téroïde; Amulette du Strigide; Anneau Chevelu; Bague Gloursonne; Cadran d'Eau; Ceintacé; Chapeau de Gein; Voile d'encre; Bottes du Strigide; Dofus des Glaces; Dofus Turquoise; Dofus Pourpre; Nomade; Remueur; Vigoureux majeur; Kramkram</t>
        </is>
      </c>
    </row>
    <row r="17494">
      <c r="A17494" t="inlineStr">
        <is>
          <t>Ouginak M 200</t>
        </is>
      </c>
      <c r="B17494">
        <f>HYPERLINK("https://www.dofusbook.net/fr/equipement/3776011-ouginak-m-200/objets", "link")</f>
        <v/>
      </c>
      <c r="C17494" t="n">
        <v>2</v>
      </c>
      <c r="D17494" t="inlineStr">
        <is>
          <t>Karnak; Collier du Valet Veinard; Alliance Gloursonne; Gant du Valet Veinard; Bouclier d'Ilyzaelle; Menoture; Dorabysses; Cape du Kamasterisk; Palmes Trithons; Dofus Émeraude; Dofus Pourpre; Vigoureux majeur; Remueur; Cascadeur majeur; Miraculé majeur; Kramkram</t>
        </is>
      </c>
    </row>
    <row r="17495">
      <c r="A17495" t="inlineStr">
        <is>
          <t>Enutrof M 200</t>
        </is>
      </c>
      <c r="B17495">
        <f>HYPERLINK("https://www.dofusbook.net/fr/equipement/3812133-enutrof-m-200/objets", "link")</f>
        <v/>
      </c>
      <c r="C17495" t="n">
        <v>0</v>
      </c>
      <c r="D17495" t="inlineStr">
        <is>
          <t>Arc Hétype; Collier de la Dame du Hasard; Anneau de Nidas; Alliance Gloursonne; Bouclier cubiste; Ceinture Glaciale; Casquette de Meno; Cape de Diondin; Bottes de Meno; Ralentisseur majeur; Remueur; Entraveur majeur; Temporiseur majeur; Nomade; Fonceur majeur; Muldo Amande et Ivoire</t>
        </is>
      </c>
    </row>
    <row r="17496">
      <c r="A17496" t="inlineStr">
        <is>
          <t>Pandawa M 200</t>
        </is>
      </c>
      <c r="B17496">
        <f>HYPERLINK("https://www.dofusbook.net/fr/equipement/3800253-pandawa-m-200/objets", "link")</f>
        <v/>
      </c>
      <c r="C17496" t="n">
        <v>1</v>
      </c>
      <c r="D17496" t="inlineStr">
        <is>
          <t>Rouleau à Pâtisserie d'Aermyne; Amulette Ementaire Deluxe; Bague Gloursonne; Alliance Gloursonne; Bouclier précieux; Ceinture de Kongoku; Casque Dragoeuf; Cape d'Anerice; Pataugastrique; Fonceur majeur; Remueur; Miraculé majeur; Bloqueur majeur; Nomade; Obstructeur majeur; Platypus</t>
        </is>
      </c>
    </row>
    <row r="17497">
      <c r="A17497" t="inlineStr">
        <is>
          <t>Iop M 200</t>
        </is>
      </c>
      <c r="B17497">
        <f>HYPERLINK("https://www.dofusbook.net/fr/equipement/3800383-iop-m-200/objets", "link")</f>
        <v/>
      </c>
      <c r="C17497" t="n">
        <v>1</v>
      </c>
      <c r="D17497" t="inlineStr">
        <is>
          <t>Epée Toche; Amulette du Strigide; Bague Gloursonne; Anneau Chevelu; Bouclier du Captain Amakna; Ceintacé; Masque de Koutoulou; Voile d'encre; Bottes du Strigide; Dofus Ocre; Dofus des Glaces; Dofus Turquoise; Dofus Pourpre; Nomade; Vigoureux majeur; Kramkram</t>
        </is>
      </c>
    </row>
    <row r="17498">
      <c r="A17498" t="inlineStr">
        <is>
          <t>Eniripsa M 200</t>
        </is>
      </c>
      <c r="B17498">
        <f>HYPERLINK("https://www.dofusbook.net/fr/equipement/3629788-eniripsa-m-200/objets", "link")</f>
        <v/>
      </c>
      <c r="C17498" t="n">
        <v>1</v>
      </c>
      <c r="D17498" t="inlineStr">
        <is>
          <t>Baguette de Malléfisk; Amulette d'Ilyzaelle; Anneauræus; Anneau de Nidas; Sept ans de malheur; Ceinture de Vortex; Coiffe Séculaire; Cape de Diondin; Chaussures Ardentes; Guérisseur majeur; Paralyseur majeur; Étourdisseur majeur; Érudit majeur; Miraculé majeur; Remueur; Muldo Orchidée</t>
        </is>
      </c>
    </row>
    <row r="17499">
      <c r="A17499" t="inlineStr">
        <is>
          <t>Huppermage M 200</t>
        </is>
      </c>
      <c r="B17499">
        <f>HYPERLINK("https://www.dofusbook.net/fr/equipement/3776014-huppermage-m-200/objets", "link")</f>
        <v/>
      </c>
      <c r="C17499" t="n">
        <v>3</v>
      </c>
      <c r="D17499" t="inlineStr">
        <is>
          <t>Hache du Chalœil; Amulette du Strigide; Alliance Gloursonne; Anneau Toriété; Bouclier du Captain Amakna; Ceintacé; Casque du Chalœil; Voile d'encre; Bottes du Strigide; Dolmanax; Dofus des Glaces; Dofus Turquoise; Dofus Pourpre; Vigoureux majeur; Remueur; Kramkram</t>
        </is>
      </c>
    </row>
    <row r="17500">
      <c r="A17500" t="inlineStr">
        <is>
          <t>stuff test</t>
        </is>
      </c>
      <c r="B17500">
        <f>HYPERLINK("https://www.dofusbook.net/fr/equipement/952526-stuff-test/objets", "link")</f>
        <v/>
      </c>
      <c r="C17500" t="n">
        <v>0</v>
      </c>
      <c r="D17500" t="inlineStr">
        <is>
          <t>Dagues Ricol; Amulette du Strigide; Anneau Chevelu; Alliance Gloursonne; Bouclier du Captain Amakna; Ceintacé; Masque Trithon; Voile d'encre; Bottes Trithon; Dofus Pourpre; Dolmanax; Dofus Turquoise; Dofus Ocre; Dofus des Glaces; Nomade; Kramkram</t>
        </is>
      </c>
    </row>
    <row r="17501">
      <c r="A17501" t="inlineStr">
        <is>
          <t>Zobal M 200</t>
        </is>
      </c>
      <c r="B17501">
        <f>HYPERLINK("https://www.dofusbook.net/fr/equipement/3772486-zobal-m-200/objets", "link")</f>
        <v/>
      </c>
      <c r="C17501" t="n">
        <v>1</v>
      </c>
      <c r="D17501" t="inlineStr">
        <is>
          <t>Arc du Chalœil; Amulette du Strigide; Bague Trithon; Alliance Gloursonne; Bouclier d'Ilyzaelle; Ceinture de Kongoku; Casque Dragoeuf; Cape Solution; Bottes Trithon; Dofus Pourpre; Dofus Émeraude; Dofus Turquoise; Vigoureux majeur; Remueur; Miraculé majeur; Muldo Doré et Ebène</t>
        </is>
      </c>
    </row>
    <row r="17502">
      <c r="A17502" t="inlineStr">
        <is>
          <t>Zobal M 200</t>
        </is>
      </c>
      <c r="B17502">
        <f>HYPERLINK("https://www.dofusbook.net/fr/equipement/3772139-zobal-m-200/objets", "link")</f>
        <v/>
      </c>
      <c r="C17502" t="n">
        <v>1</v>
      </c>
      <c r="D17502" t="inlineStr">
        <is>
          <t>Bêche Asse; Collier de Tourthon; Anneau Chevelu; Anneau Crustique; Bouclier d'Ilyzaelle; Ceinture de la Cour Sombre; Masque de Koutoulou; Cape au Logis; Bottes de la Cour Sombre; Dofus Pourpre; Dofus Émeraude; Dofus Turquoise; Remueur; Enragé majeur; Miraculé majeur; Kramkram</t>
        </is>
      </c>
    </row>
    <row r="17503">
      <c r="A17503" t="inlineStr">
        <is>
          <t>Sacrieur M 200</t>
        </is>
      </c>
      <c r="B17503">
        <f>HYPERLINK("https://www.dofusbook.net/fr/equipement/3770437-sacrieur-m-200/objets", "link")</f>
        <v/>
      </c>
      <c r="C17503" t="n">
        <v>0</v>
      </c>
      <c r="D17503" t="inlineStr">
        <is>
          <t>Manthache; Collier du Valet Veinard; Alliance Brûlâme; Gant du Valet Veinard; Bouclier Taverne; Menoture; Casque Dragoeuf; Cape Indescriptible; Palmes Trithons; Dofus Pourpre; Miraculé majeur; Remueur; Cascadeur majeur; Vigoureux majeur; Carapace Air majeur; Muldo Doré et Ebène</t>
        </is>
      </c>
    </row>
    <row r="17504">
      <c r="A17504" t="inlineStr">
        <is>
          <t>Iop M 200</t>
        </is>
      </c>
      <c r="B17504">
        <f>HYPERLINK("https://www.dofusbook.net/fr/equipement/3766952-iop-m-200/objets", "link")</f>
        <v/>
      </c>
      <c r="C17504" t="n">
        <v>0</v>
      </c>
      <c r="D17504" t="inlineStr">
        <is>
          <t>Dagues Érhy; Amulette du Strigide; Bague Trithon; Alliance Gloursonne; Bouclier du Captain Amakna; Ceintacé; Masque Trithon; Voile d'encre; Bottes de la Cour Sombre; Dofus Ocre; Dofus des Glaces; Dofus Turquoise; Dofus Pourpre; Vigoureux majeur; Nomade; Kramkram</t>
        </is>
      </c>
    </row>
    <row r="17505">
      <c r="A17505" t="inlineStr">
        <is>
          <t>Iop M 200</t>
        </is>
      </c>
      <c r="B17505">
        <f>HYPERLINK("https://www.dofusbook.net/fr/equipement/3766608-iop-m-200/objets", "link")</f>
        <v/>
      </c>
      <c r="C17505" t="n">
        <v>0</v>
      </c>
      <c r="D17505" t="inlineStr">
        <is>
          <t>Epée Toche; Amulette du Strigide; Alliance Gloursonne; Bague Trithon; Bouclier du Captain Amakna; Ceintacé; Masque de Koutoulou; Voile d'encre; Bottes Trithon; Dofus Turquoise; Dofus Pourpre; Dofus Ocre; Dofus des Glaces; Vigoureux majeur; Nomade; Kramkram</t>
        </is>
      </c>
    </row>
    <row r="17506">
      <c r="A17506" t="inlineStr">
        <is>
          <t>Roublard M 200</t>
        </is>
      </c>
      <c r="B17506">
        <f>HYPERLINK("https://www.dofusbook.net/fr/equipement/3748404-roublard-m-200/objets", "link")</f>
        <v/>
      </c>
      <c r="C17506" t="n">
        <v>3</v>
      </c>
      <c r="D17506" t="inlineStr">
        <is>
          <t>Dagoulinantes; Amulette de l'Œil Attentif; Anneau Toriété; Alliance Gloursonne; Sept ans de malheur; Sangle Oriole; Chapeau Lisson; Cape Solution; Chaussons de Macrab; Dofus Pourpre; Miraculé majeur; Étourdisseur majeur; Chanceux majeur; Remueur; Paralyseur majeur; Bwak d'Air</t>
        </is>
      </c>
    </row>
    <row r="17507">
      <c r="A17507" t="inlineStr">
        <is>
          <t>Sram M 200</t>
        </is>
      </c>
      <c r="B17507">
        <f>HYPERLINK("https://www.dofusbook.net/fr/equipement/3622202-sram-m-200/objets", "link")</f>
        <v/>
      </c>
      <c r="C17507" t="n">
        <v>6</v>
      </c>
      <c r="D17507" t="inlineStr">
        <is>
          <t>Dagoulinantes; Amulette de l'Œil Attentif; Anneau en Grithril; Alliance Gloursonne; Quatre-feuilles; Sangle Ouare; Kidibonnet; Cape de l'Œil Attentif; Sandales des Fonds marins; Dofus Turquoise; Dofus Pourpre; Remueur; Chanceux majeur; Dévastateur Eau majeur; Vigoureux majeur; Kramkram</t>
        </is>
      </c>
    </row>
    <row r="17508">
      <c r="A17508" t="inlineStr">
        <is>
          <t>Pandawa M 200</t>
        </is>
      </c>
      <c r="B17508">
        <f>HYPERLINK("https://www.dofusbook.net/fr/equipement/3748058-pandawa-m-200/objets", "link")</f>
        <v/>
      </c>
      <c r="C17508" t="n">
        <v>2</v>
      </c>
      <c r="D17508" t="inlineStr">
        <is>
          <t>Rouleau à Pâtisserie d'Aermyne; Amulette Ementaire Deluxe; Alliance Gloursonne; Anneau du Cycloïde; Bouclier précieux; Ceinture de Kongoku; Masque d'Anerice; Cape d'Anerice; Pataugastrique; Dofus Ivoire; Dolmanax; Dofus Émeraude; Obstructeur majeur; Nomade; Remueur; Blokus</t>
        </is>
      </c>
    </row>
    <row r="17509">
      <c r="A17509" t="inlineStr">
        <is>
          <t>Pandawa M 200</t>
        </is>
      </c>
      <c r="B17509">
        <f>HYPERLINK("https://www.dofusbook.net/fr/equipement/3686219-pandawa-m-200/objets", "link")</f>
        <v/>
      </c>
      <c r="C17509" t="n">
        <v>3</v>
      </c>
      <c r="D17509" t="inlineStr">
        <is>
          <t>Rouleau à Pâtisserie d'Aermyne; Amulette Ementaire Deluxe; Alliance Gloursonne; Bague Gloursonne; Bouclier précieux; Ceinture de Kongoku; Casque Dragoeuf; Cape du Kanimate; Pataugastrique; Dofus Ivoire; Dolmanax; Obstructeur majeur; Nomade; Miraculé majeur; Remueur; Blokus</t>
        </is>
      </c>
    </row>
    <row r="17510">
      <c r="A17510" t="inlineStr">
        <is>
          <t>Ecaflip M 200</t>
        </is>
      </c>
      <c r="B17510">
        <f>HYPERLINK("https://www.dofusbook.net/fr/equipement/3721133-ecaflip-m-200/objets", "link")</f>
        <v/>
      </c>
      <c r="C17510" t="n">
        <v>1</v>
      </c>
      <c r="D17510" t="inlineStr">
        <is>
          <t>Arc de Koutoulou; Amulette du Strigide; Alliance Gloursonne; Anneau Volkorne; Quatre-feuilles; Ceintacé; Casque Volkorne; Dofusteuse; Sandales de Tal Kasha; Dofus Pourpre; Dofus Turquoise; Dofus Nébuleux; Nomade; Remueur; Vigoureux majeur; Kramkram</t>
        </is>
      </c>
    </row>
    <row r="17511">
      <c r="A17511" t="inlineStr">
        <is>
          <t>Pandawa M 200</t>
        </is>
      </c>
      <c r="B17511">
        <f>HYPERLINK("https://www.dofusbook.net/fr/equipement/3618233-pandawa-m-200/objets", "link")</f>
        <v/>
      </c>
      <c r="C17511" t="n">
        <v>9</v>
      </c>
      <c r="D17511" t="inlineStr">
        <is>
          <t>Hache du Chalœil; Amulette du Strigide; Alliance Gloursonne; Goulano; Quatre-feuilles; Ceintacé; Casque du Chalœil; Voile d'encre; Bottes du Strigide; Dofus Turquoise; Dofus Pourpre; Dofus des Glaces; Vigoureux majeur; Nomade; Remueur; Kramkram</t>
        </is>
      </c>
    </row>
    <row r="17512">
      <c r="A17512" t="inlineStr">
        <is>
          <t>Ecaflip M 200</t>
        </is>
      </c>
      <c r="B17512">
        <f>HYPERLINK("https://www.dofusbook.net/fr/equipement/3656568-ecaflip-m-200/objets", "link")</f>
        <v/>
      </c>
      <c r="C17512" t="n">
        <v>1</v>
      </c>
      <c r="D17512" t="inlineStr">
        <is>
          <t>Arc de Koutoulou; Amulette du Strigide; Anneau de Pol Ouatnos; Alliance Gloursonne; Quatre-feuilles; Ceintacé; Dorabysses; Chevelure de Tal Kasha; Sandales de Tal Kasha; Dofus Pourpre; Dofus Turquoise; Cascadeur majeur; Vigoureux majeur; Chanceux majeur; Remueur; Kramkram</t>
        </is>
      </c>
    </row>
    <row r="17513">
      <c r="A17513" t="inlineStr">
        <is>
          <t>Ecaflip M 200</t>
        </is>
      </c>
      <c r="B17513">
        <f>HYPERLINK("https://www.dofusbook.net/fr/equipement/3655377-ecaflip-m-200/objets", "link")</f>
        <v/>
      </c>
      <c r="C17513" t="n">
        <v>1</v>
      </c>
      <c r="D17513" t="inlineStr">
        <is>
          <t>Arc de Koutoulou; Amulette d'Ilyzaelle; Alliance Gloursonne; Alliance Brûlâme; Quatre-feuilles; Ceintacé; Casque d'Ilyzaelle; Chevelure de Tal Kasha; Bottes de la Reine des Voleurs; Dofus Pourpre; Miraculé majeur; Vigoureux majeur; Chanceux majeur; Remueur; Cascadeur majeur; Muldo Doré et Ebène</t>
        </is>
      </c>
    </row>
    <row r="17514">
      <c r="A17514" t="inlineStr">
        <is>
          <t>Ecaflip M 200</t>
        </is>
      </c>
      <c r="B17514">
        <f>HYPERLINK("https://www.dofusbook.net/fr/equipement/3655353-ecaflip-m-200/objets", "link")</f>
        <v/>
      </c>
      <c r="C17514" t="n">
        <v>1</v>
      </c>
      <c r="D17514" t="inlineStr">
        <is>
          <t>Manthache; Collier du Valet Veinard; Alliance Gloursonne; Gant du Valet Veinard; Quatre-feuilles; Menoture; Dorabysses; Cape Indescriptible; Palmes Trithons; Dofus Nébuleux; Dofus Pourpre; Cascadeur majeur; Remueur; Vigoureux majeur; Miraculé majeur; Muldo Ebène</t>
        </is>
      </c>
    </row>
    <row r="17515">
      <c r="A17515" t="inlineStr">
        <is>
          <t>Ecaflip M 200</t>
        </is>
      </c>
      <c r="B17515">
        <f>HYPERLINK("https://www.dofusbook.net/fr/equipement/3640059-ecaflip-m-200/objets", "link")</f>
        <v/>
      </c>
      <c r="C17515" t="n">
        <v>2</v>
      </c>
      <c r="D17515" t="inlineStr">
        <is>
          <t>Arc de Koutoulou; Amulette du Strigide; Bracelet du Piloztère; Alliance Gloursonne; Quatre-feuilles; Ceintacé; Dorabysses; Chevelure de Tal Kasha; Sandales de Tal Kasha; Dofus Pourpre; Dofus Turquoise; Nomade; Remueur; Vigoureux majeur; Kramkram</t>
        </is>
      </c>
    </row>
    <row r="17516">
      <c r="A17516" t="inlineStr">
        <is>
          <t>Ecaflip M 200</t>
        </is>
      </c>
      <c r="B17516">
        <f>HYPERLINK("https://www.dofusbook.net/fr/equipement/3613338-ecaflip-m-200/objets", "link")</f>
        <v/>
      </c>
      <c r="C17516" t="n">
        <v>0</v>
      </c>
      <c r="D17516" t="inlineStr">
        <is>
          <t>Héqache; Amulette du Strigide; Alliance Brûlâme; Alliance Gloursonne; Bouclier du Captain Amakna; Ceinture du Strigide; Masque de Koutoulou; Cape d'Anerice; Baleinabottes; Dofus Pourpre; Dofus Turquoise; Cascadeur majeur; Miraculé majeur; Enragé majeur; Vigoureux majeur; Muldo Doré et Emeraude</t>
        </is>
      </c>
    </row>
    <row r="17517">
      <c r="A17517" t="inlineStr">
        <is>
          <t>Pandawa M 200</t>
        </is>
      </c>
      <c r="B17517">
        <f>HYPERLINK("https://www.dofusbook.net/fr/equipement/3639068-pandawa-m-200/objets", "link")</f>
        <v/>
      </c>
      <c r="C17517" t="n">
        <v>1</v>
      </c>
      <c r="D17517" t="inlineStr">
        <is>
          <t>Hache du Chalœil; Amulette du Strigide; Alliance Gloursonne; Anneau Toriété; Quatre-feuilles; Ceinture du Strigide; Casque du Chalœil; Voile d'encre; Pataugastrique; Dofus des Glaces; Dofus Pourpre; Dofus Turquoise; Miraculé majeur; Vigoureux majeur; Remueur; Kramkram</t>
        </is>
      </c>
    </row>
    <row r="17518">
      <c r="A17518" t="inlineStr">
        <is>
          <t>Eniripsa M 200</t>
        </is>
      </c>
      <c r="B17518">
        <f>HYPERLINK("https://www.dofusbook.net/fr/equipement/3633446-eniripsa-m-200/objets", "link")</f>
        <v/>
      </c>
      <c r="C17518" t="n">
        <v>0</v>
      </c>
      <c r="D17518" t="inlineStr">
        <is>
          <t>Arc corrompu; Pendentif affamé; Anneauræus; Anneau de Nidas; Cadran de Terre; Ceinture de Vortex; Masque d'Anerice; Voile d'encre; Pataugastrique; Dofus Pourpre; Dofus Turquoise; Étourdisseur majeur; Guérisseur majeur; Nomade; Érudit majeur; Volkorne Rubis et Ivoire</t>
        </is>
      </c>
    </row>
    <row r="17519">
      <c r="A17519" t="inlineStr">
        <is>
          <t>Crâ M 200</t>
        </is>
      </c>
      <c r="B17519">
        <f>HYPERLINK("https://www.dofusbook.net/fr/equipement/3633395-cra-m-200/objets", "link")</f>
        <v/>
      </c>
      <c r="C17519" t="n">
        <v>2</v>
      </c>
      <c r="D17519" t="inlineStr">
        <is>
          <t>Sabres d'Atcham; Amulette du Strigide; Bracelet du Piloztère; Anneau de Padgref; Quatre-feuilles; Ceinture du Strigide; Coiffe de Padgref; Cape d'Atcham; Getas de Padgref; Dofus Pourpre; Dolmanax; Dofus des Glaces; Dofus Turquoise; Dofus Ocre; Muldo Prune et Doré</t>
        </is>
      </c>
    </row>
    <row r="17520">
      <c r="A17520" t="inlineStr">
        <is>
          <t>Sadida M 200</t>
        </is>
      </c>
      <c r="B17520">
        <f>HYPERLINK("https://www.dofusbook.net/fr/equipement/3622242-sadida-m-200/objets", "link")</f>
        <v/>
      </c>
      <c r="C17520" t="n">
        <v>0</v>
      </c>
      <c r="D17520" t="inlineStr">
        <is>
          <t>Dagues Érhy; Amulette Ementaire Deluxe; Anneau Chevelu; Alliance Gloursonne; Quatre-feuilles; Ceinture Gence; Casque Dragoeuf; Voile d'encre; Baleinabottes; Dofus Pourpre; Dofus Turquoise; Dofus Ivoire; Miraculé majeur; Enragé majeur; Muldo Prune et Doré</t>
        </is>
      </c>
    </row>
    <row r="17521">
      <c r="A17521" t="inlineStr">
        <is>
          <t>new panda</t>
        </is>
      </c>
      <c r="B17521">
        <f>HYPERLINK("https://www.dofusbook.net/fr/equipement/3056579-new-panda/objets", "link")</f>
        <v/>
      </c>
      <c r="C17521" t="n">
        <v>1</v>
      </c>
      <c r="D17521" t="inlineStr">
        <is>
          <t>Rouleau à Pâtisserie d'Aermyne; Amulette Ementaire Deluxe; Bague Gloursonne; Alliance Gloursonne; Bouclier précieux; Ceinture de Kongoku; Casque Dragoeuf; Cape du Kanimate; Pataugastrique; Dofus Pourpre; Obstructeur majeur; Vigoureux majeur; Remueur; Miraculé majeur</t>
        </is>
      </c>
    </row>
    <row r="17522">
      <c r="A17522" t="inlineStr">
        <is>
          <t>Sacrieur M 200</t>
        </is>
      </c>
      <c r="B17522">
        <f>HYPERLINK("https://www.dofusbook.net/fr/equipement/3612973-sacrieur-m-200/objets", "link")</f>
        <v/>
      </c>
      <c r="C17522" t="n">
        <v>3</v>
      </c>
      <c r="D17522" t="inlineStr">
        <is>
          <t>Dagoulinantes; Amulette du Strigide; Bracelet des Fonds marins; Alliance Gloursonne; Bouclier du Captain Amakna; Ceinture du Strigide; Casque Dragoeuf; Cape Solution; Pataugastrique; Dofus Pourpre; Dofus Turquoise; Dofus Nébuleux; Vigoureux majeur; Chanceux majeur; Miraculé majeur; Muldo Indigo</t>
        </is>
      </c>
    </row>
    <row r="17523">
      <c r="A17523" t="inlineStr">
        <is>
          <t>Iop M 200</t>
        </is>
      </c>
      <c r="B17523">
        <f>HYPERLINK("https://www.dofusbook.net/fr/equipement/3613200-iop-m-200/objets", "link")</f>
        <v/>
      </c>
      <c r="C17523" t="n">
        <v>0</v>
      </c>
      <c r="D17523" t="inlineStr">
        <is>
          <t>Dagues Érhy; Amulette du Strigide; Bague Trithon; Anneau Chevelu; Bouclier du Captain Amakna; Ceinture du Strigide; Masque de Koutoulou; Voile d'encre; Bottes Trithon; Dofus Ocre; Dofus Nébuleux; Dofus Pourpre; Dolmanax; Dofus Turquoise; Voyageur; Kramkram</t>
        </is>
      </c>
    </row>
    <row r="17524">
      <c r="A17524" t="inlineStr">
        <is>
          <t>Eniripsa M 200</t>
        </is>
      </c>
      <c r="B17524">
        <f>HYPERLINK("https://www.dofusbook.net/fr/equipement/3612542-eniripsa-m-200/objets", "link")</f>
        <v/>
      </c>
      <c r="C17524" t="n">
        <v>0</v>
      </c>
      <c r="D17524" t="inlineStr">
        <is>
          <t>Baguette de Malléfisk; Amulette d'Otomaï; Anneau de Nidas; Anneau Tique; Cadran de Feu; Ceinture de Vortex; Couronne de Nidas; Cape de Diondin; Bottes Innommables; Docteur majeur; Miraculé majeur; Carapace Terre majeur; Érudit majeur; Guérisseur majeur; Carapace Feu majeur; Volkorne Orchidée</t>
        </is>
      </c>
    </row>
    <row r="17525">
      <c r="A17525" t="inlineStr">
        <is>
          <t>Pandawa M 200</t>
        </is>
      </c>
      <c r="B17525">
        <f>HYPERLINK("https://www.dofusbook.net/fr/equipement/3607300-pandawa-m-200/objets", "link")</f>
        <v/>
      </c>
      <c r="C17525" t="n">
        <v>0</v>
      </c>
      <c r="D17525" t="inlineStr">
        <is>
          <t>Rouleau à Pâtisserie d'Aermyne; Amulette de l'Œil Putride; Anneau de Pol Ouatnos; Alliance Gloursonne; Bouclier précieux; Ceinture de Kongoku; Casque Dragoeuf; Cape de l'Œil Putride; Pataugastrique; Dofus Émeraude; Miraculé majeur; Remueur; Obstructeur majeur; Blokus</t>
        </is>
      </c>
    </row>
    <row r="17526">
      <c r="A17526" t="inlineStr">
        <is>
          <t>Crâ M 200</t>
        </is>
      </c>
      <c r="B17526">
        <f>HYPERLINK("https://www.dofusbook.net/fr/equipement/3603205-cra-m-200/objets", "link")</f>
        <v/>
      </c>
      <c r="C17526" t="n">
        <v>3</v>
      </c>
      <c r="D17526" t="inlineStr">
        <is>
          <t>Sabres d'Atcham; Amulette du Strigide; Alliance Gloursonne; Bracelet du Piloztère; Quatre-feuilles; Ceintacé; Dorabysses; Cape d'Atcham; Pataugastrique; Dolmanax; Dofus Pourpre; Dofus Turquoise; Dofus des Glaces; Vigoureux majeur; Nomade; Kramkram</t>
        </is>
      </c>
    </row>
    <row r="17527">
      <c r="A17527" t="inlineStr">
        <is>
          <t>Eniripsa F 200</t>
        </is>
      </c>
      <c r="B17527">
        <f>HYPERLINK("https://www.dofusbook.net/fr/equipement/3603053-eniripsa-f-200/objets", "link")</f>
        <v/>
      </c>
      <c r="C17527" t="n">
        <v>1</v>
      </c>
      <c r="D17527" t="inlineStr">
        <is>
          <t>Arc corrompu; Amulette d'Ilyzaelle; Anneau Tique; Anneau de Nidas; Bouclier d'Ilyzaelle; Ceinture de Vortex; Coiffe Séculaire; Cape de Diondin; Bottes Innommables; Miraculé majeur; Déserteur majeur; Érudit majeur; Dévastateur Feu majeur; Guérisseur majeur; Docteur majeur; Muldo Orchidée et Pourpre</t>
        </is>
      </c>
    </row>
    <row r="17528">
      <c r="A17528" t="inlineStr">
        <is>
          <t>Eniripsa F 200</t>
        </is>
      </c>
      <c r="B17528">
        <f>HYPERLINK("https://www.dofusbook.net/fr/equipement/3603037-eniripsa-f-200/objets", "link")</f>
        <v/>
      </c>
      <c r="C17528" t="n">
        <v>1</v>
      </c>
      <c r="D17528" t="inlineStr">
        <is>
          <t>Arc corrompu; Amulette d'Otomaï; Anneau de Nidas; Anneau Tique; Bivalve; Ceinture de Vortex; Couronne de Nidas; Cape de Diondin; Bottes Innommables; Docteur majeur; Miraculé majeur; Dévastateur Feu majeur; Guérisseur majeur; Déserteur majeur; Érudit majeur; Muldo Orchidée et Pourpre</t>
        </is>
      </c>
    </row>
    <row r="17529">
      <c r="A17529" t="inlineStr">
        <is>
          <t>Eniripsa F 200</t>
        </is>
      </c>
      <c r="B17529">
        <f>HYPERLINK("https://www.dofusbook.net/fr/equipement/3602992-eniripsa-f-200/objets", "link")</f>
        <v/>
      </c>
      <c r="C17529" t="n">
        <v>3</v>
      </c>
      <c r="D17529" t="inlineStr">
        <is>
          <t>Arc corrompu; Amulette d'Otomaï; Anneau Tique; Anneau de Nidas; Cadran de Feu; Ceinture de Vortex; Couronne de Nidas; Cape de Diondin; Pataugastrique; Docteur majeur; Guérisseur majeur; Fonceur majeur; Déserteur majeur; Érudit majeur; Miraculé majeur; Muldo Orchidée et Pourpre</t>
        </is>
      </c>
    </row>
    <row r="17530">
      <c r="A17530" t="inlineStr">
        <is>
          <t>Sram M 200</t>
        </is>
      </c>
      <c r="B17530">
        <f>HYPERLINK("https://www.dofusbook.net/fr/equipement/3588638-sram-m-200/objets", "link")</f>
        <v/>
      </c>
      <c r="C17530" t="n">
        <v>0</v>
      </c>
      <c r="D17530" t="inlineStr">
        <is>
          <t>Manthache; Collier du Valet Veinard; Alliance Gloursonne; Gant du Valet Veinard; Menoture; Dorabysses; Cape Indescriptible; Palmes Trithons; Muldo Ebène</t>
        </is>
      </c>
    </row>
    <row r="17531">
      <c r="A17531" t="inlineStr">
        <is>
          <t>Zobal M 200</t>
        </is>
      </c>
      <c r="B17531">
        <f>HYPERLINK("https://www.dofusbook.net/fr/equipement/3585783-zobal-m-200/objets", "link")</f>
        <v/>
      </c>
      <c r="C17531" t="n">
        <v>1</v>
      </c>
      <c r="D17531" t="inlineStr">
        <is>
          <t>Arc du Chalœil; Amulette Luminescente; Alliance Gloursonne; Bague Trithon; Bouclier précieux; Sangle Ouare; Casque Dragoeuf; Cape Solution; Bottes Trithon; Dofus Pourpre; Dofus Émeraude; Dofus Ivoire; Culbuteur majeur; Remueur; Miraculé majeur; Muldo Ebène et Orchidée</t>
        </is>
      </c>
    </row>
    <row r="17532">
      <c r="A17532" t="inlineStr">
        <is>
          <t>Zobal M 200</t>
        </is>
      </c>
      <c r="B17532">
        <f>HYPERLINK("https://www.dofusbook.net/fr/equipement/3585753-zobal-m-200/objets", "link")</f>
        <v/>
      </c>
      <c r="C17532" t="n">
        <v>1</v>
      </c>
      <c r="D17532" t="inlineStr">
        <is>
          <t>Lav'Hache; Amulette du Strigide; Anneau Crustique; Anneau Chevelu; Cadran de Terre; Ceintouse; Masque de Koutoulou; Cape du Cœur Vaillant; Bottes du Cœur Vaillant; Dofus Ivoire; Dofus Émeraude; Étourdisseur majeur; Vigoureux majeur; Miraculé majeur; Paralyseur majeur; Muldo Ebène et Pourpre</t>
        </is>
      </c>
    </row>
    <row r="17533">
      <c r="A17533" t="inlineStr">
        <is>
          <t>Iop M 200</t>
        </is>
      </c>
      <c r="B17533">
        <f>HYPERLINK("https://www.dofusbook.net/fr/equipement/3584618-iop-m-200/objets", "link")</f>
        <v/>
      </c>
      <c r="C17533" t="n">
        <v>3</v>
      </c>
      <c r="D17533" t="inlineStr">
        <is>
          <t>Dagues Érhy; Amulette du Strigide; Bague Trithon; Anneau Chevelu; Bouclier du Captain Amakna; Ceinture du Strigide; Masque de Koutoulou; Voile d'encre; Bottes Trithon; Dofus Nébuleux; Dofus Ocre; Dofus Turquoise; Dofus des Glaces; Dofus Pourpre; Voyageur; Kramkram</t>
        </is>
      </c>
    </row>
    <row r="17534">
      <c r="A17534" t="inlineStr">
        <is>
          <t>Pandawa M 200</t>
        </is>
      </c>
      <c r="B17534">
        <f>HYPERLINK("https://www.dofusbook.net/fr/equipement/3584093-pandawa-m-200/objets", "link")</f>
        <v/>
      </c>
      <c r="C17534" t="n">
        <v>2</v>
      </c>
      <c r="D17534" t="inlineStr">
        <is>
          <t>Arc Nécrotique; Amulette du Strigide; Bracelet des Fonds marins; Anneau Tique; Quatre-feuilles; Sangle Ouare; Masque Trithon; Cape Solution; Bottes Trithon; Dofus Turquoise; Dofus Pourpre; Érudit majeur; Remueur; Chanceux majeur; Vigoureux majeur; Kramkram</t>
        </is>
      </c>
    </row>
    <row r="17535">
      <c r="A17535" t="inlineStr">
        <is>
          <t>Zobal M 200</t>
        </is>
      </c>
      <c r="B17535">
        <f>HYPERLINK("https://www.dofusbook.net/fr/equipement/3582811-zobal-m-200/objets", "link")</f>
        <v/>
      </c>
      <c r="C17535" t="n">
        <v>1</v>
      </c>
      <c r="D17535" t="inlineStr">
        <is>
          <t>Arc du Chalœil; Amulette Luminescente; Bague Trithon; Alliance Gloursonne; Bouclier précieux; Sangle Ouare; Casque Dragoeuf; Cape Solution; Bottes Trithon; Dofus Émeraude; Remueur; Pousseur majeur; Miraculé majeur; Bousculeur majeur; Culbuteur majeur; Dragodinde Amande et Indigo</t>
        </is>
      </c>
    </row>
    <row r="17536">
      <c r="A17536" t="inlineStr">
        <is>
          <t>Steamer M 200</t>
        </is>
      </c>
      <c r="B17536">
        <f>HYPERLINK("https://www.dofusbook.net/fr/equipement/3582785-steamer-m-200/objets", "link")</f>
        <v/>
      </c>
      <c r="C17536" t="n">
        <v>0</v>
      </c>
      <c r="D17536" t="inlineStr">
        <is>
          <t>Baguette de Malléfisk; Amulette d'Otomaï; Anneau de Nidas; Anneau Tique; Cadran de Feu; Ceinture de Vortex; Couronne de Nidas; Voile d'encre; Pataugastrique; Dolmanax; Dofus Turquoise; Guérisseur majeur; Miraculé majeur; Remueur; Érudit majeur; Muldo Prune et Pourpre</t>
        </is>
      </c>
    </row>
    <row r="17537">
      <c r="A17537" t="inlineStr">
        <is>
          <t>Ouginak M 200</t>
        </is>
      </c>
      <c r="B17537">
        <f>HYPERLINK("https://www.dofusbook.net/fr/equipement/3568893-ouginak-m-200/objets", "link")</f>
        <v/>
      </c>
      <c r="C17537" t="n">
        <v>0</v>
      </c>
      <c r="D17537" t="inlineStr">
        <is>
          <t>Marteau R'ture; Amulette du Strigide; Alliance Gloursonne; Bague Gloursonne; Bouclier du Captain Amakna; Ceinture du Strigide; Casque Dragoeuf; Cape au Logis; Bottes du Strigide; Dofus Nébuleux; Dofus Pourpre; Dolmanax; Dofus Ocre; Dofus Turquoise; Dofus des Glaces; Kramkram</t>
        </is>
      </c>
    </row>
    <row r="17538">
      <c r="A17538" t="inlineStr">
        <is>
          <t>Ouginak M 200</t>
        </is>
      </c>
      <c r="B17538">
        <f>HYPERLINK("https://www.dofusbook.net/fr/equipement/3568841-ouginak-m-200/objets", "link")</f>
        <v/>
      </c>
      <c r="C17538" t="n">
        <v>1</v>
      </c>
      <c r="D17538" t="inlineStr">
        <is>
          <t>Marteau R'ture; Amulette du Strigide; Anneau Chevelu; Bague Gloursonne; Bouclier Taverne; Ceinture du Strigide; Casque Dragoeuf; Cape au Logis; Bottes du Strigide; Dofus Nébuleux; Dofus Pourpre; Dofus des Glaces; Dofus Ocre; Dolmanax; Dofus Turquoise; Dragodinde Amande et Pourpre</t>
        </is>
      </c>
    </row>
    <row r="17539">
      <c r="A17539" t="inlineStr">
        <is>
          <t>Iop M 200</t>
        </is>
      </c>
      <c r="B17539">
        <f>HYPERLINK("https://www.dofusbook.net/fr/equipement/3558981-iop-m-200/objets", "link")</f>
        <v/>
      </c>
      <c r="C17539" t="n">
        <v>4</v>
      </c>
      <c r="D17539" t="inlineStr">
        <is>
          <t>Dagues Érhy; Amulette du Strigide; Bague Gloursonne; Bague Trithon; Bouclier Taverne; Ceinture du Strigide; Masque Trithon; Voile d'encre; Bottes Trithon; Dofus Turquoise; Dofus Ocre; Dofus des Glaces; Dofus Nébuleux; Dofus Pourpre; Voyageur; Kramkram</t>
        </is>
      </c>
    </row>
    <row r="17540">
      <c r="A17540" t="inlineStr">
        <is>
          <t>Huppermage M 200</t>
        </is>
      </c>
      <c r="B17540">
        <f>HYPERLINK("https://www.dofusbook.net/fr/equipement/3561461-huppermage-m-200/objets", "link")</f>
        <v/>
      </c>
      <c r="C17540" t="n">
        <v>8</v>
      </c>
      <c r="D17540" t="inlineStr">
        <is>
          <t>Dagoulinantes; Amulette du Strigide; Alliance Gloursonne; Pikano; Bouclier d'Ilyzaelle; Sangle Ouare; Chapeau Lisson; Cape Solution; Bottes du Strigide; Dofus Pourpre; Dofus Nébuleux; Dofus Turquoise; Chanceux majeur; Remueur; Vigoureux majeur; Dragodinde Emeraude et Indigo</t>
        </is>
      </c>
    </row>
    <row r="17541">
      <c r="A17541" t="inlineStr">
        <is>
          <t>Steamer M 200</t>
        </is>
      </c>
      <c r="B17541">
        <f>HYPERLINK("https://www.dofusbook.net/fr/equipement/3561186-steamer-m-200/objets", "link")</f>
        <v/>
      </c>
      <c r="C17541" t="n">
        <v>2</v>
      </c>
      <c r="D17541" t="inlineStr">
        <is>
          <t>Hache du Chalœil; Amulette du Strigide; Bague Trithon; Bracelet du Piloztère; Quatre-feuilles; Ceintacé; Casque du Chalœil; Voile d'encre; Bottes Trithon</t>
        </is>
      </c>
    </row>
    <row r="17542">
      <c r="A17542" t="inlineStr">
        <is>
          <t>Iop M 200</t>
        </is>
      </c>
      <c r="B17542">
        <f>HYPERLINK("https://www.dofusbook.net/fr/equipement/3558931-iop-m-200/objets", "link")</f>
        <v/>
      </c>
      <c r="C17542" t="n">
        <v>2</v>
      </c>
      <c r="D17542" t="inlineStr">
        <is>
          <t>Dagues Érhy; Amulette du Strigide; Bague Gloursonne; Anneau Chevelu; Bouclier Taverne; Ceinture du Strigide; Masque de Koutoulou; Voile d'encre; Bottes Trithon; Dofus Ocre; Dofus Pourpre; Dofus Turquoise; Nomade; Miraculé majeur; Vigoureux majeur; Kramkram</t>
        </is>
      </c>
    </row>
    <row r="17543">
      <c r="A17543" t="inlineStr">
        <is>
          <t>sacry mode terre</t>
        </is>
      </c>
      <c r="B17543">
        <f>HYPERLINK("https://www.dofusbook.net/fr/equipement/3558159-sacry-mode-terre/objets", "link")</f>
        <v/>
      </c>
      <c r="C17543" t="n">
        <v>2</v>
      </c>
      <c r="D17543" t="inlineStr">
        <is>
          <t>Marteau R'ture; Amulette du Cœur Saignant; Anneau Chevelu; Anneau Crustique; Bouclier Taverne; Ceinture Gence; Masque de Koutoulou; Cape au Logis; Bottes du Cœur Saignant; Dofus Pourpre; Dofus Turquoise; Dofus Émeraude; Enragé majeur; Vigoureux majeur; Miraculé majeur; Croum</t>
        </is>
      </c>
    </row>
    <row r="17544">
      <c r="A17544" t="inlineStr">
        <is>
          <t>sacry mode eau</t>
        </is>
      </c>
      <c r="B17544">
        <f>HYPERLINK("https://www.dofusbook.net/fr/equipement/3558140-sacry-mode-eau-/objets", "link")</f>
        <v/>
      </c>
      <c r="C17544" t="n">
        <v>1</v>
      </c>
      <c r="D17544" t="inlineStr">
        <is>
          <t>Dagoulinantes; Amulette de l'Œil Attentif; Alliance Gloursonne; Anneau Volkorne; Bouclier d'Ilyzaelle; Poulpagne; Casque Dragoeuf; Cape de l'Œil Attentif; Sandales des Fonds marins; Dofus Turquoise; Dofus Émeraude; Dofus Pourpre; Remueur; Chanceux majeur; Miraculé majeur; Muldo Ebène et Pourpre</t>
        </is>
      </c>
    </row>
    <row r="17545">
      <c r="A17545" t="inlineStr">
        <is>
          <t>sacri mode feu</t>
        </is>
      </c>
      <c r="B17545">
        <f>HYPERLINK("https://www.dofusbook.net/fr/equipement/3558118-sacri-mode-feu-/objets", "link")</f>
        <v/>
      </c>
      <c r="C17545" t="n">
        <v>0</v>
      </c>
      <c r="D17545" t="inlineStr">
        <is>
          <t>Arc Hétype; Amulette Séculaire; Anneau Tique; Anneau de Nidas; Bouclier du Chouque; Ceinture de Vortex; Casque Dragoeuf; Cape de Diondin; Tongues de Nidas; Dofus Émeraude; Remueur; Érudit majeur; Guérisseur majeur; Carapace Air majeur; Miraculé majeur; Muldo Orchidée et Pourpre</t>
        </is>
      </c>
    </row>
    <row r="17546">
      <c r="A17546" t="inlineStr">
        <is>
          <t>sacri mode air</t>
        </is>
      </c>
      <c r="B17546">
        <f>HYPERLINK("https://www.dofusbook.net/fr/equipement/3558098-sacri-mode-air/objets", "link")</f>
        <v/>
      </c>
      <c r="C17546" t="n">
        <v>0</v>
      </c>
      <c r="D17546" t="inlineStr">
        <is>
          <t>Manthache; Collier du Valet Veinard; Gant du Valet Veinard; Alliance Gloursonne; Bouclier d'Ilyzaelle; Menoture; Casque Dragoeuf; Cape Indescriptible; Palmes Trithons; Dofus Pourpre; Dofus Émeraude; Remueur; Miraculé majeur; Carapace Air majeur; Cascadeur majeur; Muldo Doré et Ebène</t>
        </is>
      </c>
    </row>
    <row r="17547">
      <c r="A17547" t="inlineStr">
        <is>
          <t>Ouginak M 200</t>
        </is>
      </c>
      <c r="B17547">
        <f>HYPERLINK("https://www.dofusbook.net/fr/equipement/3558053-ouginak-m-200/objets", "link")</f>
        <v/>
      </c>
      <c r="C17547" t="n">
        <v>2</v>
      </c>
      <c r="D17547" t="inlineStr">
        <is>
          <t>Manthache; Collier du Valet Veinard; Alliance Gloursonne; Gant du Valet Veinard; Bouclier Taverne; Menoture; Casque Dragoeuf; Cape Indescriptible; Palmes Trithons; Dofus Émeraude; Dofus Pourpre; Miraculé majeur; Cascadeur majeur; Carapace Air majeur; Remueur; Muldo Doré et Ebène</t>
        </is>
      </c>
    </row>
    <row r="17548">
      <c r="A17548" t="inlineStr">
        <is>
          <t>Stuff 1</t>
        </is>
      </c>
      <c r="B17548">
        <f>HYPERLINK("https://www.dofusbook.net/fr/equipement/195696-stuff-1/objets", "link")</f>
        <v/>
      </c>
      <c r="C17548" t="n">
        <v>0</v>
      </c>
      <c r="D17548" t="inlineStr">
        <is>
          <t>Arc de Koutoulou; Amulette du Strigide; Anneau de Pol Ouatnos; Alliance Gloursonne; Quatre-feuilles; Ceintacé; Masque Trithon; Chevelure de Tal Kasha; Bottes Trithon; Dofus Pourpre; Dofus Turquoise; Vigoureux majeur; Cascadeur majeur; Remueur; Chanceux majeur; Kramkram</t>
        </is>
      </c>
    </row>
    <row r="17549">
      <c r="A17549" t="inlineStr">
        <is>
          <t>stuff pvp</t>
        </is>
      </c>
      <c r="B17549">
        <f>HYPERLINK("https://www.dofusbook.net/fr/equipement/1206547-stuff-pvp-/objets", "link")</f>
        <v/>
      </c>
      <c r="C17549" t="n">
        <v>2</v>
      </c>
      <c r="D17549" t="inlineStr">
        <is>
          <t>Lav'Hache; Amulette du Cœur Vaillant; Alliance Gloursonne; Anneau Crustique; Sept ans de malheur; Menoture; Casque Dragoeuf; Cape du Cœur Vaillant; Pataugastrique; Dofus Émeraude; Enragé majeur; Étourdisseur majeur; Cascadeur majeur; Miraculé majeur; Fonceur majeur; Muldo Roux et Ebène</t>
        </is>
      </c>
    </row>
    <row r="17550">
      <c r="A17550" t="inlineStr">
        <is>
          <t>feu eau 2</t>
        </is>
      </c>
      <c r="B17550">
        <f>HYPERLINK("https://www.dofusbook.net/fr/equipement/1461925-feu-eau-2/objets", "link")</f>
        <v/>
      </c>
      <c r="C17550" t="n">
        <v>0</v>
      </c>
      <c r="D17550" t="inlineStr">
        <is>
          <t>Arc Hétype; Collier de la Dame du Hasard; Pikano; Anneau de Nidas; Bouclier cubiste; Ceinture Glaciale; Casquette de Meno; Cape de Diondin; Bottes de Meno; Chanceux majeur; Entraveur majeur; Érudit majeur; Remueur; Fonceur majeur; Temporiseur majeur; Muldo Indigo et Orchidée</t>
        </is>
      </c>
    </row>
    <row r="17551">
      <c r="A17551" t="inlineStr">
        <is>
          <t>feu eau 3 full opti</t>
        </is>
      </c>
      <c r="B17551">
        <f>HYPERLINK("https://www.dofusbook.net/fr/equipement/3072609-feu-eau-3-full-opti/objets", "link")</f>
        <v/>
      </c>
      <c r="C17551" t="n">
        <v>3</v>
      </c>
      <c r="D17551" t="inlineStr">
        <is>
          <t>Épée Brûlâme; Amulette de l'Œil Putride; Anneau Tique; Alliance Gloursonne; Bouclier d'Ilyzaelle; Poulpagne; Masque d'Anerice; Cape de l'Œil Putride; Pataugastrique; Dofus Pourpre; Érudit majeur; Nomade; Chanceux majeur; Vigoureux majeur; Kramkram</t>
        </is>
      </c>
    </row>
    <row r="17552">
      <c r="A17552" t="inlineStr">
        <is>
          <t>aucune idee</t>
        </is>
      </c>
      <c r="B17552">
        <f>HYPERLINK("https://www.dofusbook.net/fr/equipement/3072664-aucune-idee-/objets", "link")</f>
        <v/>
      </c>
      <c r="C17552" t="n">
        <v>1</v>
      </c>
      <c r="D17552" t="inlineStr">
        <is>
          <t>Arc Nécrotique; Amulette de l'Œil Putride; Bracelet du Piloztère; Alliance Gloursonne; Quatre-feuilles; Ceintacé; Masque d'Anerice; Cape de l'Œil Putride; Pataugastrique; Dofus Turquoise; Dofus Pourpre; Érudit majeur; Nomade; Chanceux majeur; Vigoureux majeur; Kramkram</t>
        </is>
      </c>
    </row>
    <row r="17553">
      <c r="A17553" t="inlineStr">
        <is>
          <t>Steamer M 200</t>
        </is>
      </c>
      <c r="B17553">
        <f>HYPERLINK("https://www.dofusbook.net/fr/equipement/3529850-steamer-m-200/objets", "link")</f>
        <v/>
      </c>
      <c r="C17553" t="n">
        <v>5</v>
      </c>
      <c r="D17553" t="inlineStr">
        <is>
          <t>Hache du Chalœil; Amulette Volkorne; Bague Trithon; Anneau Volkorne; Quatre-feuilles; Ceinture Volkorne; Casque Volkorne; Voile d'encre; Bottes Trithon; Dolmanax; Dofus Pourpre; Dofus Vulbis; Dofus Turquoise; Dofus Ocre; Dofus des Glaces; Dragodinde Emeraude et Ivoire</t>
        </is>
      </c>
    </row>
    <row r="17554">
      <c r="A17554" t="inlineStr">
        <is>
          <t>Osamodas M 200</t>
        </is>
      </c>
      <c r="B17554">
        <f>HYPERLINK("https://www.dofusbook.net/fr/equipement/3531890-osamodas-m-200/objets", "link")</f>
        <v/>
      </c>
      <c r="C17554" t="n">
        <v>11</v>
      </c>
      <c r="D17554" t="inlineStr">
        <is>
          <t>Dagues Érhy; Amulette de l'Œil Putride; Anneau Rifique; Alliance Gloursonne; Cadran d'Air; Sangle Ouare; Casque Dragoeuf; Cape de l'Œil Putride; Pataugastrique; Dolmanax; Dofus Ivoire; Dofus Abyssal; Dofus Ocre; Érudit majeur; Cascadeur majeur; Dragodinde Ebène et Orchidée</t>
        </is>
      </c>
    </row>
    <row r="17555">
      <c r="A17555" t="inlineStr">
        <is>
          <t>Pandawa M 200</t>
        </is>
      </c>
      <c r="B17555">
        <f>HYPERLINK("https://www.dofusbook.net/fr/equipement/3532068-pandawa-m-200/objets", "link")</f>
        <v/>
      </c>
      <c r="C17555" t="n">
        <v>1</v>
      </c>
      <c r="D17555" t="inlineStr">
        <is>
          <t>Arc corrompu; Talisman Igans; Anneauræus; Anneau de Nidas; Quatre-feuilles; Ceinture de Vortex; Couronne de Nidas; Voile d'encre; Pataugastrique; Dofus Pourpre; Dofus Ivoire; Dofus Turquoise; Vigoureux majeur; Érudit majeur; Kramkram</t>
        </is>
      </c>
    </row>
    <row r="17556">
      <c r="A17556" t="inlineStr">
        <is>
          <t>Steamer M 200</t>
        </is>
      </c>
      <c r="B17556">
        <f>HYPERLINK("https://www.dofusbook.net/fr/equipement/3529993-steamer-m-200/objets", "link")</f>
        <v/>
      </c>
      <c r="C17556" t="n">
        <v>1</v>
      </c>
      <c r="D17556" t="inlineStr">
        <is>
          <t>Hache du Chalœil; Amulette du Strigide; Alliance Gloursonne; Anneau de Pol Ouatnos; Quatre-feuilles; Ceintacé; Casque du Chalœil; Voile d'encre; Bottes du Chalœil; Dofus des Glaces; Dofus Turquoise; Dofus Pourpre; Miraculé majeur; Remueur; Vigoureux majeur; Kramkram</t>
        </is>
      </c>
    </row>
    <row r="17557">
      <c r="A17557" t="inlineStr">
        <is>
          <t>Steamer M 200</t>
        </is>
      </c>
      <c r="B17557">
        <f>HYPERLINK("https://www.dofusbook.net/fr/equipement/3525398-steamer-m-200/objets", "link")</f>
        <v/>
      </c>
      <c r="C17557" t="n">
        <v>2</v>
      </c>
      <c r="D17557" t="inlineStr">
        <is>
          <t>Hache du Chalœil; Amulette du Strigide; Bague Gloursonne; Alliance Gloursonne; Quatre-feuilles; Ceintacé; Casque du Chalœil; Cape d'Anerice; Pataugastrique; Dofus Nébuleux; Dofus Pourpre; Dofus Turquoise; Dolmanax; Dofus des Glaces; Vigoureux majeur; Muldo Orchidée et Emeraude</t>
        </is>
      </c>
    </row>
    <row r="17558">
      <c r="A17558" t="inlineStr">
        <is>
          <t>Steamer M 200</t>
        </is>
      </c>
      <c r="B17558">
        <f>HYPERLINK("https://www.dofusbook.net/fr/equipement/3528115-steamer-m-200/objets", "link")</f>
        <v/>
      </c>
      <c r="C17558" t="n">
        <v>0</v>
      </c>
      <c r="D17558" t="inlineStr">
        <is>
          <t>Arc Volkorne; Amulette du Strigide; Anneau de Pol Ouatnos; Alliance Gloursonne; Quatre-feuilles; Ceintacé; Masque d'Anerice; Voile d'encre; Bottes du Strigide; Dofus Pourpre; Dofus des Glaces; Dolmanax; Dofus Turquoise; Vigoureux majeur; Remueur; Kramkram</t>
        </is>
      </c>
    </row>
    <row r="17559">
      <c r="A17559" t="inlineStr">
        <is>
          <t>eau feu</t>
        </is>
      </c>
      <c r="B17559">
        <f>HYPERLINK("https://www.dofusbook.net/fr/equipement/3326123-eau-feu-/objets", "link")</f>
        <v/>
      </c>
      <c r="C17559" t="n">
        <v>30</v>
      </c>
      <c r="D17559" t="inlineStr">
        <is>
          <t>Arc du Chalœil; Collier de Tourthon; Bracelet du Piloztère; Anneau Crustique; Quatre-feuilles; Ceinture de la Cour Sombre; Masque de Koutoulou; Cape au Logis; Bottes du Cœur Saignant; Dofus Pourpre; Dofus Turquoise; Enragé majeur; Vigoureux majeur; Remueur; Croum</t>
        </is>
      </c>
    </row>
    <row r="17560">
      <c r="A17560" t="inlineStr">
        <is>
          <t>Eliotrope M 200</t>
        </is>
      </c>
      <c r="B17560">
        <f>HYPERLINK("https://www.dofusbook.net/fr/equipement/3475196-eliotrope-m-200/objets", "link")</f>
        <v/>
      </c>
      <c r="C17560" t="n">
        <v>0</v>
      </c>
      <c r="D17560" t="inlineStr">
        <is>
          <t>Manthache; Collier du Valet Veinard; Gant du Valet Veinard; Alliance Gloursonne; Quatre-feuilles; Menoture; Capuche de Moum-Ra; Cape Indescriptible; Palmes Trithons; Dofus Pourpre; Vigoureux majeur; Remueur; Miraculé majeur; Cascadeur majeur; Nomade; Croum</t>
        </is>
      </c>
    </row>
    <row r="17561">
      <c r="A17561" t="inlineStr">
        <is>
          <t>full terre</t>
        </is>
      </c>
      <c r="B17561">
        <f>HYPERLINK("https://www.dofusbook.net/fr/equipement/3151124-full-terre-/objets", "link")</f>
        <v/>
      </c>
      <c r="C17561" t="n">
        <v>6</v>
      </c>
      <c r="D17561" t="inlineStr">
        <is>
          <t>Bêche Asse; Collier de Tourthon; Bague Gloursonne; Anneau Crustique; Bouclier d'Ilyzaelle; Ceinture de la Cour Sombre; Casque Dragoeuf; Cape au Logis; Bottes de la Cour Sombre; Dofus Turquoise; Dofus Nébuleux; Dofus Pourpre; Miraculé majeur; Enragé majeur; Remueur; Péki</t>
        </is>
      </c>
    </row>
    <row r="17562">
      <c r="A17562" t="inlineStr">
        <is>
          <t>feu sarah</t>
        </is>
      </c>
      <c r="B17562">
        <f>HYPERLINK("https://www.dofusbook.net/fr/equipement/3086429-feu-sarah-/objets", "link")</f>
        <v/>
      </c>
      <c r="C17562" t="n">
        <v>2</v>
      </c>
      <c r="D17562" t="inlineStr">
        <is>
          <t>Massier; Talisman Igans; Anneau Tique; Bague Gloursonne; Cadran de Feu; Ceinture de Vortex; Couronne de Nidas; Cape de Diondin; Bottes Owesli; Astucieux majeur; Miraculé majeur; Déserteur majeur; Érudit majeur; Guérisseur majeur; Remueur; Muldo Orchidée et Amande</t>
        </is>
      </c>
    </row>
    <row r="17563">
      <c r="A17563" t="inlineStr">
        <is>
          <t>Féca M 200</t>
        </is>
      </c>
      <c r="B17563">
        <f>HYPERLINK("https://www.dofusbook.net/fr/equipement/3284274-feca-m-200/objets", "link")</f>
        <v/>
      </c>
      <c r="C17563" t="n">
        <v>2</v>
      </c>
      <c r="D17563" t="inlineStr">
        <is>
          <t>Hache du Korriandre; Amulette du Strigide; Alliance Gloursonne; Anneau Crustique; Bouclier d'Ilyzaelle; Menoture; Casque Dragoeuf; Cape du Cœur Vaillant; Bottes du Cœur Vaillant; Dofus Pourpre; Dofus Émeraude; Engourdisseur majeur; Étourdisseur majeur; Obstructeur majeur; Remueur; Muldo Ebène et Orchidée</t>
        </is>
      </c>
    </row>
    <row r="17564">
      <c r="A17564" t="inlineStr">
        <is>
          <t>stuff cancers</t>
        </is>
      </c>
      <c r="B17564">
        <f>HYPERLINK("https://www.dofusbook.net/fr/equipement/2558501-stuff-cancers/objets", "link")</f>
        <v/>
      </c>
      <c r="C17564" t="n">
        <v>1</v>
      </c>
      <c r="D17564" t="inlineStr">
        <is>
          <t>Hache du Korriandre; Amulette Voldelor; Alliance Gloursonne; Anneau de Pol Ouatnos; Bouclier précieux; Ceintacé; Chapoulpe; Chevelure de Tal Kasha; Tentassons; Dofus Turquoise; Dofus Pourpre; Nomade; Engourdisseur majeur; Remueur; Étourdisseur majeur; Kramkram</t>
        </is>
      </c>
    </row>
    <row r="17565">
      <c r="A17565" t="inlineStr">
        <is>
          <t>stuff teste</t>
        </is>
      </c>
      <c r="B17565">
        <f>HYPERLINK("https://www.dofusbook.net/fr/equipement/3225021-stuff-teste/objets", "link")</f>
        <v/>
      </c>
      <c r="C17565" t="n">
        <v>2</v>
      </c>
      <c r="D17565" t="inlineStr">
        <is>
          <t>Rouleau à Pâtisserie d'Aermyne; Amulette de l'Œil Putride; Anneau Kturne; Alliance Gloursonne; Bouclier précieux; Ceinture de Kongoku; Casque Dragoeuf; Cape de l'Œil Putride; Pataugastrique; Dofus Ivoire; Dofus Émeraude; Fonceur majeur; Miraculé majeur; Nomade; Remueur; Péki</t>
        </is>
      </c>
    </row>
    <row r="17566">
      <c r="A17566" t="inlineStr">
        <is>
          <t>stuff 1.0</t>
        </is>
      </c>
      <c r="B17566">
        <f>HYPERLINK("https://www.dofusbook.net/fr/equipement/3198465-stuff-1-0/objets", "link")</f>
        <v/>
      </c>
      <c r="C17566" t="n">
        <v>0</v>
      </c>
      <c r="D17566" t="inlineStr">
        <is>
          <t>Lav'Hache; Amulette du Strigide; Anneau Crustique; Alliance Gloursonne; Bouclier précieux; Ceintouse; Masque de Koutoulou; Cape du Cœur Vaillant; Tentassons; Dofus Turquoise; Dofus Pourpre; Nomade; Obstructeur majeur; Remueur; Étourdisseur majeur; Kramkram</t>
        </is>
      </c>
    </row>
    <row r="17567">
      <c r="A17567" t="inlineStr">
        <is>
          <t>steam 3.1</t>
        </is>
      </c>
      <c r="B17567">
        <f>HYPERLINK("https://www.dofusbook.net/fr/equipement/3177664-steam-3-1/objets", "link")</f>
        <v/>
      </c>
      <c r="C17567" t="n">
        <v>0</v>
      </c>
      <c r="D17567" t="inlineStr">
        <is>
          <t>Hache du Chalœil; Amulette du Strigide; Alliance de Missiz Frizz; Alliance Gloursonne; Quatre-feuilles; Ceinture du Strigide; Masque de Koutoulou; Voile d'encre; Bottes du Chalœil; Dofus Pourpre; Dofus Turquoise; Dofus des Glaces; Sanguinaire majeur; Vigoureux majeur; Remueur; Muldo Indigo et Pourpre</t>
        </is>
      </c>
    </row>
    <row r="17568">
      <c r="A17568" t="inlineStr">
        <is>
          <t>feu</t>
        </is>
      </c>
      <c r="B17568">
        <f>HYPERLINK("https://www.dofusbook.net/fr/equipement/3157288-feu/objets", "link")</f>
        <v/>
      </c>
      <c r="C17568" t="n">
        <v>0</v>
      </c>
      <c r="D17568" t="inlineStr">
        <is>
          <t>Arc Hétype; Amulette d'Otomaï; Anneau de Nidas; Anneau Tique; Quatre-feuilles; Ceinture Séculaire; Casque Dragoeuf; Cape de Diondin; Tongues de Nidas; Miraculé majeur; Érudit majeur; Déserteur majeur; Temporiseur majeur; Carapace Feu majeur; Remueur; Muldo Orchidée et Pourpre</t>
        </is>
      </c>
    </row>
    <row r="17569">
      <c r="A17569" t="inlineStr">
        <is>
          <t>steam 3.0</t>
        </is>
      </c>
      <c r="B17569">
        <f>HYPERLINK("https://www.dofusbook.net/fr/equipement/3151282-steam-3-0/objets", "link")</f>
        <v/>
      </c>
      <c r="C17569" t="n">
        <v>0</v>
      </c>
      <c r="D17569" t="inlineStr">
        <is>
          <t>Hache du Chalœil; Amulette du Strigide; Anneauræus; Alliance Gloursonne; Quatre-feuilles; Ceinture du Strigide; Masque de Koutoulou; Chevelure de Tal Kasha; Bottes du Chalœil; Dofus Pourpre; Dofus Turquoise; Dofus des Glaces; Sanguinaire majeur; Nomade; Remueur; Kramkram</t>
        </is>
      </c>
    </row>
    <row r="17570">
      <c r="A17570" t="inlineStr">
        <is>
          <t>full feu</t>
        </is>
      </c>
      <c r="B17570">
        <f>HYPERLINK("https://www.dofusbook.net/fr/equipement/3151047-full-feu-/objets", "link")</f>
        <v/>
      </c>
      <c r="C17570" t="n">
        <v>0</v>
      </c>
      <c r="D17570" t="inlineStr">
        <is>
          <t>Arc Hétype; Amulette Séculaire; Anneau Tique; Anneau de Nidas; Quatre-feuilles; Ceinture Séculaire; Casque Dragoeuf; Voile d'encre; Pataugastrique; Dofus Ivoire; Dofus Turquoise; Fonceur majeur; Érudit majeur; Miraculé majeur; Remueur; Muldo Orchidée et Pourpre</t>
        </is>
      </c>
    </row>
    <row r="17571">
      <c r="A17571" t="inlineStr">
        <is>
          <t>mode tank</t>
        </is>
      </c>
      <c r="B17571">
        <f>HYPERLINK("https://www.dofusbook.net/fr/equipement/3140739-mode-tank-/objets", "link")</f>
        <v/>
      </c>
      <c r="C17571" t="n">
        <v>1</v>
      </c>
      <c r="D17571" t="inlineStr">
        <is>
          <t>Rouleau à Pâtisserie d'Aermyne; Amulette Ementaire Deluxe; Bague Gloursonne; Alliance Gloursonne; Bouclier précieux; Ceinture de Kongoku; Casque Dragoeuf; Cape d'Anerice; Pataugastrique; Dofus Pourpre; Obstructeur majeur; Fonceur majeur; Nomade; Miraculé majeur; Remueur; Blokus</t>
        </is>
      </c>
    </row>
    <row r="17572">
      <c r="A17572" t="inlineStr">
        <is>
          <t>feu eau 2.4</t>
        </is>
      </c>
      <c r="B17572">
        <f>HYPERLINK("https://www.dofusbook.net/fr/equipement/1938023-feu-eau-2-4/objets", "link")</f>
        <v/>
      </c>
      <c r="C17572" t="n">
        <v>0</v>
      </c>
      <c r="D17572" t="inlineStr">
        <is>
          <t>Arc Hétype; Collier de la Dame du Hasard; Pikano; Anneau de Nidas; Bouclier cubiste; Ceinture Glaciale; Casquette de Meno; Cape de Diondin; Bottes de Meno; Érudit majeur; Remueur; Miraculé majeur; Chanceux majeur; Déserteur majeur; Temporiseur majeur; Muldo Indigo et Orchidée</t>
        </is>
      </c>
    </row>
    <row r="17573">
      <c r="A17573" t="inlineStr">
        <is>
          <t>tony 2.0</t>
        </is>
      </c>
      <c r="B17573">
        <f>HYPERLINK("https://www.dofusbook.net/fr/equipement/3106580-tony-2-0/objets", "link")</f>
        <v/>
      </c>
      <c r="C17573" t="n">
        <v>1</v>
      </c>
      <c r="D17573" t="inlineStr">
        <is>
          <t>Epée Loponèze; Amulette du Strigide; Alliance Gloursonne; Gant du Valet Veinard; Bouclier cubiste; Ceinture de Vortex; Capuche de l'Œil Putride; Cape de l'Œil Putride; Pataugastrique; Dofus Pourpre; Étourdisseur majeur; Vigoureux majeur; Nomade; Temporiseur majeur; Remueur; Kramkram</t>
        </is>
      </c>
    </row>
    <row r="17574">
      <c r="A17574" t="inlineStr">
        <is>
          <t>nunu tony</t>
        </is>
      </c>
      <c r="B17574">
        <f>HYPERLINK("https://www.dofusbook.net/fr/equipement/3106540-nunu-tony-/objets", "link")</f>
        <v/>
      </c>
      <c r="C17574" t="n">
        <v>0</v>
      </c>
      <c r="D17574" t="inlineStr">
        <is>
          <t>Lav'Hache; Amulette du Strigide; Anneau Crustique; Bracelet du Piloztère; Quatre-feuilles; Ceintouse; Masque de Koutoulou; Cape du Cœur Vaillant; Tentassons; Dofus Turquoise; Dofus Pourpre; Étourdisseur majeur; Nomade; Vigoureux majeur; Remueur; Kramkram</t>
        </is>
      </c>
    </row>
    <row r="17575">
      <c r="A17575" t="inlineStr">
        <is>
          <t>feu eau ret pm</t>
        </is>
      </c>
      <c r="B17575">
        <f>HYPERLINK("https://www.dofusbook.net/fr/equipement/3104914-feu-eau-ret-pm/objets", "link")</f>
        <v/>
      </c>
      <c r="C17575" t="n">
        <v>0</v>
      </c>
      <c r="D17575" t="inlineStr">
        <is>
          <t>Arc Hétype; Collier de la Dame du Hasard; Anneau de Nidas; Pikano; Bouclier cubiste; Ceinture Glaciale; Casquette de Meno; Cape de Diondin; Bottes de Meno; Miraculé majeur; Déserteur majeur; Temporiseur majeur; Remueur; Muldo Orchidée et Amande</t>
        </is>
      </c>
    </row>
    <row r="17576">
      <c r="A17576" t="inlineStr">
        <is>
          <t>steam 2.0</t>
        </is>
      </c>
      <c r="B17576">
        <f>HYPERLINK("https://www.dofusbook.net/fr/equipement/3102295-steam-2-0/objets", "link")</f>
        <v/>
      </c>
      <c r="C17576" t="n">
        <v>0</v>
      </c>
      <c r="D17576" t="inlineStr">
        <is>
          <t>Hache du Chalœil; Amulette du Strigide; Alliance Gloursonne; Bracelet du Piloztère; Quatre-feuilles; Ceinture du Strigide; Casque du Chalœil; Voile d'encre; Baleinabottes; Dolmanax; Dofus des Glaces; Dofus Pourpre; Dofus Turquoise; Nomade; Remueur; Kramkram</t>
        </is>
      </c>
    </row>
    <row r="17577">
      <c r="A17577" t="inlineStr">
        <is>
          <t>multi</t>
        </is>
      </c>
      <c r="B17577">
        <f>HYPERLINK("https://www.dofusbook.net/fr/equipement/3092834-multi-/objets", "link")</f>
        <v/>
      </c>
      <c r="C17577" t="n">
        <v>1</v>
      </c>
      <c r="D17577" t="inlineStr">
        <is>
          <t>Hache du Chalœil; Amulette du Strigide; Bracelet du Piloztère; Alliance Gloursonne; Quatre-feuilles; Ceinture du Strigide; Casque du Chalœil; Voile d'encre; Baleinabottes; Dofus Turquoise; Dofus Nébuleux; Dolmanax; Dofus Pourpre; Nomade; Remueur; Kramkram</t>
        </is>
      </c>
    </row>
    <row r="17578">
      <c r="A17578" t="inlineStr">
        <is>
          <t>eau feu ret pm 2.0</t>
        </is>
      </c>
      <c r="B17578">
        <f>HYPERLINK("https://www.dofusbook.net/fr/equipement/3081861-eau-feu-ret-pm-2-0/objets", "link")</f>
        <v/>
      </c>
      <c r="C17578" t="n">
        <v>0</v>
      </c>
      <c r="D17578" t="inlineStr">
        <is>
          <t>Arc Nécrotique; Talisman Igans; Alliance Gloursonne; Alliance du Lévitrof; Bouclier cubiste; Ceinture de Kongoku; Casquette de Meno; Cape de Diondin; Bottes de Meno; Dofus Pourpre; Érudit majeur; Remueur; Chanceux majeur; Temporiseur majeur; Nomade; Muldo Ebène et Indigo</t>
        </is>
      </c>
    </row>
    <row r="17579">
      <c r="A17579" t="inlineStr">
        <is>
          <t>feu eau ret pm</t>
        </is>
      </c>
      <c r="B17579">
        <f>HYPERLINK("https://www.dofusbook.net/fr/equipement/3081742-feu-eau-ret-pm/objets", "link")</f>
        <v/>
      </c>
      <c r="C17579" t="n">
        <v>1</v>
      </c>
      <c r="D17579" t="inlineStr">
        <is>
          <t>Arc Nécrotique; Talisman Igans; Alliance Gloursonne; Anneau de Nidas; Bouclier cubiste; Ceinture Glaciale; Casquette de Meno; Cape de Diondin; Bottes de Meno; Dofus Pourpre; Érudit majeur; Nomade; Chanceux majeur; Remueur; Temporiseur majeur; Muldo Indigo et Orchidée</t>
        </is>
      </c>
    </row>
    <row r="17580">
      <c r="A17580" t="inlineStr">
        <is>
          <t>terre</t>
        </is>
      </c>
      <c r="B17580">
        <f>HYPERLINK("https://www.dofusbook.net/fr/equipement/3073655-terre/objets", "link")</f>
        <v/>
      </c>
      <c r="C17580" t="n">
        <v>2</v>
      </c>
      <c r="D17580" t="inlineStr">
        <is>
          <t>Lance corrompue; Amulette du Strigide; Alliance Gloursonne; Gant du Valet Veinard; Bouclier Taverne; Ceintouse; Masque de Koutoulou; Cape du Cœur Vaillant; Bottes du Cœur Vaillant; Dofus Pourpre; Vigoureux majeur; Miraculé majeur; Nomade; Enragé majeur; Remueur; Kramkram</t>
        </is>
      </c>
    </row>
    <row r="17581">
      <c r="A17581" t="inlineStr">
        <is>
          <t>new feu</t>
        </is>
      </c>
      <c r="B17581">
        <f>HYPERLINK("https://www.dofusbook.net/fr/equipement/3056615-new-feu-/objets", "link")</f>
        <v/>
      </c>
      <c r="C17581" t="n">
        <v>0</v>
      </c>
      <c r="D17581" t="inlineStr">
        <is>
          <t>Arc Hétype; Amulette Ementaire Deluxe; Alliance Gloursonne; Alliance Brûlâme; Bouclier précieux; Ceinture de Kongoku; Casque Dragoeuf; Voile d'encre; Pataugastrique; Érudit majeur; Fonceur majeur; Miraculé majeur; Remueur; Guérisseur majeur; Obstructeur majeur; Muldo Roux et Pourpre</t>
        </is>
      </c>
    </row>
    <row r="17582">
      <c r="A17582" t="inlineStr">
        <is>
          <t>stuff inter</t>
        </is>
      </c>
      <c r="B17582">
        <f>HYPERLINK("https://www.dofusbook.net/fr/equipement/3053694-stuff-inter/objets", "link")</f>
        <v/>
      </c>
      <c r="C17582" t="n">
        <v>1</v>
      </c>
      <c r="D17582" t="inlineStr">
        <is>
          <t>Epée Gloursonne; Amulette du Strigide; Alliance Gloursonne; Bague Trithon; Bouclier précieux; Ceintacé; Masque de Koutoulou; Cape d'Anerice; Baleinabottes; Dofus Pourpre; Dofus Turquoise; Nomade; Fonceur majeur; Vigoureux majeur; Miraculé majeur; Kramkram</t>
        </is>
      </c>
    </row>
    <row r="17583">
      <c r="A17583" t="inlineStr">
        <is>
          <t>tank</t>
        </is>
      </c>
      <c r="B17583">
        <f>HYPERLINK("https://www.dofusbook.net/fr/equipement/3048104-tank/objets", "link")</f>
        <v/>
      </c>
      <c r="C17583" t="n">
        <v>1</v>
      </c>
      <c r="D17583" t="inlineStr">
        <is>
          <t>Dagues Ricol; Amulette Ementaire Deluxe; Anneau Tique; Alliance Gloursonne; Bouclier précieux; Ceintacé; Masque d'Anerice; Cape d'Anerice; Bottes du Chalœil; Dofus Pourpre; Obstructeur majeur; Remueur; Vigoureux majeur; Fonceur majeur; Nomade; Kramkram</t>
        </is>
      </c>
    </row>
    <row r="17584">
      <c r="A17584" t="inlineStr">
        <is>
          <t>Stuff 1</t>
        </is>
      </c>
      <c r="B17584">
        <f>HYPERLINK("https://www.dofusbook.net/fr/equipement/195699-stuff-1/objets", "link")</f>
        <v/>
      </c>
      <c r="C17584" t="n">
        <v>1</v>
      </c>
      <c r="D17584" t="inlineStr">
        <is>
          <t>Lav'Hache; Amulette du Strigide; Anneau Crustique; Anneau Chevelu; Bouclier Taverne; Ceinture du Strigide; Masque de Koutoulou; Voile d'encre; Bottes du Cœur Saignant; Dofus Turquoise; Dofus des Glaces; Dofus Ocre; Dofus Pourpre; Nomade; Enragé majeur; Muldo Prune et Pourpre</t>
        </is>
      </c>
    </row>
    <row r="17585">
      <c r="A17585" t="inlineStr">
        <is>
          <t>Stuff 3</t>
        </is>
      </c>
      <c r="B17585">
        <f>HYPERLINK("https://www.dofusbook.net/fr/equipement/195701-stuff-3/objets", "link")</f>
        <v/>
      </c>
      <c r="C17585" t="n">
        <v>2</v>
      </c>
      <c r="D17585" t="inlineStr">
        <is>
          <t>Dagues Érhy; Amulette du Strigide; Anneau Chevelu; Bague Gloursonne; Bouclier du Captain Amakna; Ceinture du Strigide; Masque de Koutoulou; Voile d'encre; Bottes de la Cour Sombre; Dofus Turquoise; Dofus Ocre; Dofus Pourpre; Miraculé majeur; Vigoureux majeur; Nomade; Kramkram</t>
        </is>
      </c>
    </row>
    <row r="17586">
      <c r="A17586" t="inlineStr">
        <is>
          <t>eau feu 2</t>
        </is>
      </c>
      <c r="B17586">
        <f>HYPERLINK("https://www.dofusbook.net/fr/equipement/2982578-eau-feu-2/objets", "link")</f>
        <v/>
      </c>
      <c r="C17586" t="n">
        <v>0</v>
      </c>
      <c r="D17586" t="inlineStr">
        <is>
          <t>Arc Nécrotique; Amulette du Strigide; Bracelet des Fonds marins; Alliance Gloursonne; Quatre-feuilles; Ceinture du Strigide; Casque Dragoeuf; Cape de la Dame du Hasard; Pataugastrique; Dofus Turquoise; Dofus Pourpre; Remueur; Vigoureux majeur; Érudit majeur; Obstructeur majeur; Muldo Prune et Indigo</t>
        </is>
      </c>
    </row>
    <row r="17587">
      <c r="A17587" t="inlineStr">
        <is>
          <t>terre eau</t>
        </is>
      </c>
      <c r="B17587">
        <f>HYPERLINK("https://www.dofusbook.net/fr/equipement/2980531-terre-eau-/objets", "link")</f>
        <v/>
      </c>
      <c r="C17587" t="n">
        <v>0</v>
      </c>
      <c r="D17587" t="inlineStr">
        <is>
          <t>Sceptre du Roi Joueur; Amulette du Strigide; Anneau Crustique; Alliance Gloursonne; Bouclier d'Ilyzaelle; Ceinture du Strigide; Masque de Koutoulou; Cape Luminescente; Chaussons de Macrab; Dofus Pourpre; Dofus Turquoise; Fonceur majeur; Remueur; Vigoureux majeur; Nomade; Kramkram</t>
        </is>
      </c>
    </row>
    <row r="17588">
      <c r="A17588" t="inlineStr">
        <is>
          <t>feu eau</t>
        </is>
      </c>
      <c r="B17588">
        <f>HYPERLINK("https://www.dofusbook.net/fr/equipement/2979271-feu-eau/objets", "link")</f>
        <v/>
      </c>
      <c r="C17588" t="n">
        <v>0</v>
      </c>
      <c r="D17588" t="inlineStr">
        <is>
          <t>Arc Nécrotique; Amulette du Strigide; Bracelet des Fonds marins; Anneau Tique; Quatre-feuilles; Ceinture du Strigide; Kidibonnet; Cape de la Dame du Hasard; Bottes de Meno; Dofus Turquoise; Dofus Pourpre; Nomade; Fonceur majeur; Remueur; Érudit majeur; Kramkram</t>
        </is>
      </c>
    </row>
    <row r="17589">
      <c r="A17589" t="inlineStr">
        <is>
          <t>roxx panda</t>
        </is>
      </c>
      <c r="B17589">
        <f>HYPERLINK("https://www.dofusbook.net/fr/equipement/2894458-roxx-panda/objets", "link")</f>
        <v/>
      </c>
      <c r="C17589" t="n">
        <v>2</v>
      </c>
      <c r="D17589" t="inlineStr">
        <is>
          <t>Hache du Chalœil; Amulette Ementaire Deluxe; Anneau Tique; Alliance Gloursonne; Bouclier du Captain Amakna; Ceintacé; Casque du Chalœil; Voile d'encre; Bottes du Chalœil; Dofus Pourpre; Dofus Turquoise; Obstructeur majeur; Remueur; Vigoureux majeur; Nomade; Kramkram</t>
        </is>
      </c>
    </row>
    <row r="17590">
      <c r="A17590" t="inlineStr">
        <is>
          <t>stuff feu</t>
        </is>
      </c>
      <c r="B17590">
        <f>HYPERLINK("https://www.dofusbook.net/fr/equipement/2878821-stuff-feu-/objets", "link")</f>
        <v/>
      </c>
      <c r="C17590" t="n">
        <v>1</v>
      </c>
      <c r="D17590" t="inlineStr">
        <is>
          <t>Épée Brûlâme; Collier de la Dame du Hasard; Alliance Gloursonne; Anneau Tique; Bouclier du Captain Amakna; Ceinture de l'Esprit Malsain; Casque Dragoeuf; Cape de Meno; Bottes de l'Esprit Malsain; Dofus Pourpre; Dofus Turquoise; Érudit majeur; Nomade; Chanceux majeur; Remueur; Kramkram</t>
        </is>
      </c>
    </row>
    <row r="17591">
      <c r="A17591" t="inlineStr">
        <is>
          <t>zozo</t>
        </is>
      </c>
      <c r="B17591">
        <f>HYPERLINK("https://www.dofusbook.net/fr/equipement/2857588-zozo-/objets", "link")</f>
        <v/>
      </c>
      <c r="C17591" t="n">
        <v>3</v>
      </c>
      <c r="D17591" t="inlineStr">
        <is>
          <t>Héqache; Amulette du Strigide; Anneau Chevelu; Alliance Gloursonne; Bouclier du Captain Amakna; Ceintacé; Dorabysses; Voile d'encre; Bottes du Strigide; Dofus Pourpre; Fonceur majeur; Remueur; Miraculé majeur; Vigoureux majeur; Nomade; Kramkram</t>
        </is>
      </c>
    </row>
    <row r="17592">
      <c r="A17592" t="inlineStr">
        <is>
          <t>stuff 2.45.2</t>
        </is>
      </c>
      <c r="B17592">
        <f>HYPERLINK("https://www.dofusbook.net/fr/equipement/2661265-stuff-2-45-2/objets", "link")</f>
        <v/>
      </c>
      <c r="C17592" t="n">
        <v>1</v>
      </c>
      <c r="D17592" t="inlineStr">
        <is>
          <t>Marteau R'ture; Amulette du Strigide; Alliance Gloursonne; Bague Trithon; Bouclier précieux; Ceintacé; Casque du Chalœil; Voile d'encre; Bottes du Chalœil; Dolmanax; Dofus Pourpre; Vigoureux majeur; Remueur; Miraculé majeur; Nomade; Kramkram</t>
        </is>
      </c>
    </row>
    <row r="17593">
      <c r="A17593" t="inlineStr">
        <is>
          <t>avoir</t>
        </is>
      </c>
      <c r="B17593">
        <f>HYPERLINK("https://www.dofusbook.net/fr/equipement/2790609-avoir-/objets", "link")</f>
        <v/>
      </c>
      <c r="C17593" t="n">
        <v>0</v>
      </c>
      <c r="D17593" t="inlineStr">
        <is>
          <t>Marteau des Anciens Steamers; Amulette du Strigide; Grésilanneau; Alliance Gloursonne; Bouclier d'Ilyzaelle; Ceinture Voldelor; Couronne d'Allister; Chevelure de Tal Kasha; Sandales de Tal Kasha; Dofus Turquoise; Dofus Pourpre; Nomade; Chanceux majeur; Vigoureux majeur; Remueur; Kramkram</t>
        </is>
      </c>
    </row>
    <row r="17594">
      <c r="A17594" t="inlineStr">
        <is>
          <t>feu eau air 2.0</t>
        </is>
      </c>
      <c r="B17594">
        <f>HYPERLINK("https://www.dofusbook.net/fr/equipement/2734329-feu-eau-air-2-0/objets", "link")</f>
        <v/>
      </c>
      <c r="C17594" t="n">
        <v>0</v>
      </c>
      <c r="D17594" t="inlineStr">
        <is>
          <t>Marteau des Anciens Steamers; Collier de la Dame du Hasard; Alliance Gloursonne; Anneau Tique; Quatre-feuilles; Ceinture de Vortex; Chapeau des Malveilleurs; Cape d'Atcham; Sandales  d'Atcham; Kramkram</t>
        </is>
      </c>
    </row>
    <row r="17595">
      <c r="A17595" t="inlineStr">
        <is>
          <t>stuff roxx panda</t>
        </is>
      </c>
      <c r="B17595">
        <f>HYPERLINK("https://www.dofusbook.net/fr/equipement/2732658-stuff-roxx-panda-/objets", "link")</f>
        <v/>
      </c>
      <c r="C17595" t="n">
        <v>3</v>
      </c>
      <c r="D17595" t="inlineStr">
        <is>
          <t>Arc Ahique; Amulette Ementaire Deluxe; Alliance Brûlâme; Alliance Gloursonne; Quatre-feuilles; Ceintacé; Casque du Chalœil; Voile d'encre; Bottes du Chalœil; Dofus Pourpre; Dofus des Glaces; Vigoureux majeur; Nomade; Remueur; Évasif majeur; Kramkram</t>
        </is>
      </c>
    </row>
    <row r="17596">
      <c r="A17596" t="inlineStr">
        <is>
          <t>fdp</t>
        </is>
      </c>
      <c r="B17596">
        <f>HYPERLINK("https://www.dofusbook.net/fr/equipement/1183981-fdp/objets", "link")</f>
        <v/>
      </c>
      <c r="C17596" t="n">
        <v>0</v>
      </c>
      <c r="D17596" t="inlineStr">
        <is>
          <t>Baguette de Malléfisk; Pendentif affamé; Anneau de Nidas; Anneau Tique; Ceinture de Vortex; Couronne de Nidas; Voile d'encre; Pataugastrique; Dofus des Veilleurs; Dofus Émeraude; Guérisseur majeur; Miraculé majeur; Remueur; Érudit majeur; Muldo Prune et Orchidée</t>
        </is>
      </c>
    </row>
    <row r="17597">
      <c r="A17597" t="inlineStr">
        <is>
          <t>lance corrompue</t>
        </is>
      </c>
      <c r="B17597">
        <f>HYPERLINK("https://www.dofusbook.net/fr/equipement/2637716-lance-corrompue/objets", "link")</f>
        <v/>
      </c>
      <c r="C17597" t="n">
        <v>2</v>
      </c>
      <c r="D17597" t="inlineStr">
        <is>
          <t>Lance corrompue; Amulette du Strigide; Gant du Valet Veinard; Anneau des égarés; Bouclier du Captain Amakna; Ceintacé; Casque des égarés; Cape du Cœur Vaillant; Bottes de la Cour Sombre; Dofus Pourpre; Cascadeur majeur; Remueur; Vigoureux majeur; Enragé majeur; Nomade; Kramkram</t>
        </is>
      </c>
    </row>
    <row r="17598">
      <c r="A17598" t="inlineStr">
        <is>
          <t>fei eau air</t>
        </is>
      </c>
      <c r="B17598">
        <f>HYPERLINK("https://www.dofusbook.net/fr/equipement/2623096-fei-eau-air/objets", "link")</f>
        <v/>
      </c>
      <c r="C17598" t="n">
        <v>0</v>
      </c>
      <c r="D17598" t="inlineStr">
        <is>
          <t>Sabres d'Atcham; Collier de la Dame du Hasard; Anneau Tique; Alliance Gloursonne; Bouclier d'Ilyzaelle; Ceinture de Vortex; Chapeau des Malveilleurs; Cape d'Atcham; Pataugastrique; Dofus Pourpre; Dofus Turquoise; Guérisseur majeur; Étourdisseur majeur; Nomade; Remueur; Kramkram</t>
        </is>
      </c>
    </row>
    <row r="17599">
      <c r="A17599" t="inlineStr">
        <is>
          <t>sram sarah</t>
        </is>
      </c>
      <c r="B17599">
        <f>HYPERLINK("https://www.dofusbook.net/fr/equipement/2614806-sram-sarah-/objets", "link")</f>
        <v/>
      </c>
      <c r="C17599" t="n">
        <v>1</v>
      </c>
      <c r="D17599" t="inlineStr">
        <is>
          <t>Arc du Chalœil; Amulette du Strigide; Bracelet du Piloztère; Alliance Brûlâme; Bouclier du Captain Amakna; Ceintacé; Coiffe de la Reine des Voleurs; Voile d'encre; Pompes Funèbres; Dofus Pourpre; Dofus Turquoise; Vigoureux majeur; Nomade; Obstructeur majeur; Remueur; Kramkram</t>
        </is>
      </c>
    </row>
    <row r="17600">
      <c r="A17600" t="inlineStr">
        <is>
          <t>sram</t>
        </is>
      </c>
      <c r="B17600">
        <f>HYPERLINK("https://www.dofusbook.net/fr/equipement/2614720-sram/objets", "link")</f>
        <v/>
      </c>
      <c r="C17600" t="n">
        <v>1</v>
      </c>
      <c r="D17600" t="inlineStr">
        <is>
          <t>Pelle de la Cour Sombre; Amulette du Strigide; Bracelet du Piloztère; Bague Gloursonne; Bouclier du Captain Amakna; Ceinture du Strigide; Masque de Koutoulou; Cape du Cœur Vaillant; Pompes Funèbres; Dofus Turquoise; Dofus Pourpre; Miraculé majeur; Vigoureux majeur; Nomade; Remueur; Kramkram</t>
        </is>
      </c>
    </row>
    <row r="17601">
      <c r="A17601" t="inlineStr">
        <is>
          <t>stuff coco 2.45</t>
        </is>
      </c>
      <c r="B17601">
        <f>HYPERLINK("https://www.dofusbook.net/fr/equipement/2605874-stuff-coco-2-45/objets", "link")</f>
        <v/>
      </c>
      <c r="C17601" t="n">
        <v>1</v>
      </c>
      <c r="D17601" t="inlineStr">
        <is>
          <t>Lav'Hache; Amulette du Strigide; Anneau Crustique; Anneau Chevelu; Bouclier Brâkmarien; Ceintouse; Masque de Koutoulou; Cape du Cœur Vaillant; Tentassons; Fonceur majeur; Temporiseur majeur; Nomade; Étourdisseur majeur; Obstructeur majeur; Remueur; Kramkram</t>
        </is>
      </c>
    </row>
    <row r="17602">
      <c r="A17602" t="inlineStr">
        <is>
          <t>sarah air terre</t>
        </is>
      </c>
      <c r="B17602">
        <f>HYPERLINK("https://www.dofusbook.net/fr/equipement/2599364-sarah-air-terre/objets", "link")</f>
        <v/>
      </c>
      <c r="C17602" t="n">
        <v>1</v>
      </c>
      <c r="D17602" t="inlineStr">
        <is>
          <t>Dagues d'Ilyzaelle; Amulette du Strigide; Anneau Tique; Alliance Brûlâme; Bouclier du Captain Amakna; Ceintacé; Coiffe de la Reine des Voleurs; Cape du Cœur Vaillant; Pompes Funèbres; Dofus Pourpre; Dofus Turquoise; Obstructeur majeur; Remueur; Vigoureux majeur; Nomade; Kramkram</t>
        </is>
      </c>
    </row>
    <row r="17603">
      <c r="A17603" t="inlineStr">
        <is>
          <t>cra 2.45</t>
        </is>
      </c>
      <c r="B17603">
        <f>HYPERLINK("https://www.dofusbook.net/fr/equipement/2599315-cra-2-45/objets", "link")</f>
        <v/>
      </c>
      <c r="C17603" t="n">
        <v>0</v>
      </c>
      <c r="D17603" t="inlineStr">
        <is>
          <t>Hache du Chalœil; Amulette du Strigide; Alliance Gloursonne; Bracelet du Piloztère; Quatre-feuilles; Ceintacé; Casque du Chalœil; Voile d'encre; Bottes du Chalœil; Dofus Pourpre; Dofus Turquoise; Vigoureux majeur; Remueur; Sanguinaire majeur; Nomade; Kramkram</t>
        </is>
      </c>
    </row>
    <row r="17604">
      <c r="A17604" t="inlineStr">
        <is>
          <t>feu eau</t>
        </is>
      </c>
      <c r="B17604">
        <f>HYPERLINK("https://www.dofusbook.net/fr/equipement/2578494-feu-eau/objets", "link")</f>
        <v/>
      </c>
      <c r="C17604" t="n">
        <v>0</v>
      </c>
      <c r="D17604" t="inlineStr">
        <is>
          <t>Arc Nécrotique; Talisman Igans; Bracelet des Fonds marins; Anneau Tique; Bouclier du Cycloïde; Ceintrigue; Casqnoar; Cape de la Dame du Hasard; Pataugastrique; Dofus Turquoise; Dofus Pourpre; Remueur; Vigoureux majeur; Carapace Feu majeur; Nomade; Kramkram</t>
        </is>
      </c>
    </row>
    <row r="17605">
      <c r="A17605" t="inlineStr">
        <is>
          <t>sram sarah</t>
        </is>
      </c>
      <c r="B17605">
        <f>HYPERLINK("https://www.dofusbook.net/fr/equipement/2564218-sram-sarah/objets", "link")</f>
        <v/>
      </c>
      <c r="C17605" t="n">
        <v>1</v>
      </c>
      <c r="D17605" t="inlineStr">
        <is>
          <t>Arc du Chalœil; Amulette du Strigide; Anneau du Cycloïde; Anneau de Brouce; Bouclier du Captain Amakna; Ceinture de Brouce; Masque de Koutoulou; Cape au Logis; Bottes du Katcheur; Dofus Turquoise; Dofus Pourpre; Enragé majeur; Nomade; Remueur; Vigoureux majeur; Kramkram</t>
        </is>
      </c>
    </row>
    <row r="17606">
      <c r="A17606" t="inlineStr">
        <is>
          <t>stuff 2.45</t>
        </is>
      </c>
      <c r="B17606">
        <f>HYPERLINK("https://www.dofusbook.net/fr/equipement/2552772-stuff-2-45/objets", "link")</f>
        <v/>
      </c>
      <c r="C17606" t="n">
        <v>1</v>
      </c>
      <c r="D17606" t="inlineStr">
        <is>
          <t>Hache du Chalœil; Amulette du Strigide; Alliance Gloursonne; Bague Trithon; Bouclier du Captain Amakna; Ceintacé; Casque du Chalœil; Voile d'encre; Bottes du Chalœil; Dofus des Glaces; Dofus Turquoise; Dolmanax; Dofus Pourpre; Nomade; Remueur; Kramkram</t>
        </is>
      </c>
    </row>
    <row r="17607">
      <c r="A17607" t="inlineStr">
        <is>
          <t>stuff 2.45</t>
        </is>
      </c>
      <c r="B17607">
        <f>HYPERLINK("https://www.dofusbook.net/fr/equipement/2552734-stuff-2-45/objets", "link")</f>
        <v/>
      </c>
      <c r="C17607" t="n">
        <v>0</v>
      </c>
      <c r="D17607" t="inlineStr">
        <is>
          <t>Hache du Chalœil; Amulette du Strigide; Alliance Gloursonne; Bracelet du Piloztère; Quatre-feuilles; Ceintacé; Casque du Chalœil; Voile d'encre; Bottes du Chalœil; Dofus Turquoise; Dofus des Glaces; Dofus Pourpre; Nomade; Remueur; Kramkram</t>
        </is>
      </c>
    </row>
    <row r="17608">
      <c r="A17608" t="inlineStr">
        <is>
          <t>stuff 2.45</t>
        </is>
      </c>
      <c r="B17608">
        <f>HYPERLINK("https://www.dofusbook.net/fr/equipement/2552684-stuff-2-45/objets", "link")</f>
        <v/>
      </c>
      <c r="C17608" t="n">
        <v>0</v>
      </c>
      <c r="D17608" t="inlineStr">
        <is>
          <t>Dagues de Srambad; Amulette du Strigide; Alliance Brûlâme; Bracelet du Piloztère; Ceinture du Strigide; Masque de Koutoulou; Voile d'encre; Bottes de la Cour Sombre</t>
        </is>
      </c>
    </row>
    <row r="17609">
      <c r="A17609" t="inlineStr">
        <is>
          <t>stuff 2.45</t>
        </is>
      </c>
      <c r="B17609">
        <f>HYPERLINK("https://www.dofusbook.net/fr/equipement/2552605-stuff-2-45/objets", "link")</f>
        <v/>
      </c>
      <c r="C17609" t="n">
        <v>0</v>
      </c>
      <c r="D17609" t="inlineStr">
        <is>
          <t>Arc Ahique; Amulette du Strigide; Alliance Gloursonne; Alliance Brûlâme; Ceintacé; Casque du Chalœil; Chevelure de Tal Kasha; Bottes du Chalœil; Dofus Pourpre; Remueur; Nomade; Chanceux majeur; Enragé majeur; Vigoureux majeur; Kramkram</t>
        </is>
      </c>
    </row>
    <row r="17610">
      <c r="A17610" t="inlineStr">
        <is>
          <t>panda pvp 2.45</t>
        </is>
      </c>
      <c r="B17610">
        <f>HYPERLINK("https://www.dofusbook.net/fr/equipement/2518547-panda-pvp-2-45/objets", "link")</f>
        <v/>
      </c>
      <c r="C17610" t="n">
        <v>0</v>
      </c>
      <c r="D17610" t="inlineStr">
        <is>
          <t>Hache du Chalœil; Amulette Ementaire Deluxe; Alliance Gloursonne; Alliance Brûlâme; Bouclier du Captain Amakna; Ceintacé; Casque du Chalœil; Voile d'encre; Bottes du Chalœil; Dofus Pourpre; Dofus Turquoise; Nomade; Remueur; Kramkram</t>
        </is>
      </c>
    </row>
    <row r="17611">
      <c r="A17611" t="inlineStr">
        <is>
          <t>feu air</t>
        </is>
      </c>
      <c r="B17611">
        <f>HYPERLINK("https://www.dofusbook.net/fr/equipement/2510440-feu-air/objets", "link")</f>
        <v/>
      </c>
      <c r="C17611" t="n">
        <v>0</v>
      </c>
      <c r="D17611" t="inlineStr">
        <is>
          <t>Baguette Range; Amulette Ikête; Anneau Tique; Anneau de Nidas; Bouclier cubiste; Ceinture de Vortex; Cagoule de Vortex; Cape de Diondin; Bottes du Cycloïde; Dofus Pourpre; Dofus Turquoise; Temporiseur majeur; Nomade; Étourdisseur majeur; Remueur; Kramkram</t>
        </is>
      </c>
    </row>
    <row r="17612">
      <c r="A17612" t="inlineStr">
        <is>
          <t>mode feu eau</t>
        </is>
      </c>
      <c r="B17612">
        <f>HYPERLINK("https://www.dofusbook.net/fr/equipement/2510408-mode-feu-eau/objets", "link")</f>
        <v/>
      </c>
      <c r="C17612" t="n">
        <v>0</v>
      </c>
      <c r="D17612" t="inlineStr">
        <is>
          <t>Arc Hétype; Amulette de Shokkoth; Pikano; Anneau de Nidas; Bouclier cubiste; Poulpagne; Casquette de Meno; Cape de la Dame du Hasard; Bottes de Meno</t>
        </is>
      </c>
    </row>
    <row r="17613">
      <c r="A17613" t="inlineStr">
        <is>
          <t>stuf 2.45</t>
        </is>
      </c>
      <c r="B17613">
        <f>HYPERLINK("https://www.dofusbook.net/fr/equipement/2483880-stuf-2-45/objets", "link")</f>
        <v/>
      </c>
      <c r="C17613" t="n">
        <v>0</v>
      </c>
      <c r="D17613" t="inlineStr">
        <is>
          <t>Hache du Chalœil; Amulette Ementaire Deluxe; Alliance Gloursonne; Bague Trithon; Bouclier du Captain Amakna; Ceintacé; Casque du Chalœil; Voile d'encre; Bottes du Chalœil; Dofus Turquoise; Dofus Pourpre; Nomade; Obstructeur majeur; Remueur; Vigoureux majeur; Kramkram</t>
        </is>
      </c>
    </row>
    <row r="17614">
      <c r="A17614" t="inlineStr">
        <is>
          <t>stuff feu eau</t>
        </is>
      </c>
      <c r="B17614">
        <f>HYPERLINK("https://www.dofusbook.net/fr/equipement/2483552-stuff-feu-eau-/objets", "link")</f>
        <v/>
      </c>
      <c r="C17614" t="n">
        <v>1</v>
      </c>
      <c r="D17614" t="inlineStr">
        <is>
          <t>Marteau Phossile; Pendentif affamé; Anneau de Nidas; Anneau Tique; Bivalve; Ceinture de Vortex; Casque Cyclopéen; Cape de Diondin; Sabots de Vortex; Dofus Pourpre; Dofus Turquoise; Étourdisseur majeur; Nomade; Cascadeur majeur; Remueur; Muldo Prune et Orchidée</t>
        </is>
      </c>
    </row>
    <row r="17615">
      <c r="A17615" t="inlineStr">
        <is>
          <t>stuff teste</t>
        </is>
      </c>
      <c r="B17615">
        <f>HYPERLINK("https://www.dofusbook.net/fr/equipement/2478536-stuff-teste/objets", "link")</f>
        <v/>
      </c>
      <c r="C17615" t="n">
        <v>0</v>
      </c>
      <c r="D17615" t="inlineStr">
        <is>
          <t>Sabres d'Atcham; Amulette du Strigide; Anneau Tique; Alliance Gloursonne; Ceintacé; Chapeau des Malveilleurs; Cape de l'Œil Putride; Bottes des Malveilleurs; Dofus Pourpre; Dofus Turquoise; Remueur; Nomade; Kramkram</t>
        </is>
      </c>
    </row>
    <row r="17616">
      <c r="A17616" t="inlineStr">
        <is>
          <t>stuf2.43</t>
        </is>
      </c>
      <c r="B17616">
        <f>HYPERLINK("https://www.dofusbook.net/fr/equipement/2043533-stuf2-43/objets", "link")</f>
        <v/>
      </c>
      <c r="C17616" t="n">
        <v>0</v>
      </c>
      <c r="D17616" t="inlineStr">
        <is>
          <t>Hache du Chalœil; Amulette de l'Œil Putride; Bague Gloursonne; Bracelet du Piloztère; Ceintacé; Masque Brûlâme; Cape de l'Œil Putride; Bottes du Chalœil; Dofus Pourpre; Dofus Turquoise; Nomade; Vigoureux majeur; Remueur; Muldo Ebène et Pourpre</t>
        </is>
      </c>
    </row>
    <row r="17617">
      <c r="A17617" t="inlineStr">
        <is>
          <t>pvp2.43</t>
        </is>
      </c>
      <c r="B17617">
        <f>HYPERLINK("https://www.dofusbook.net/fr/equipement/2034994-pvp2-43/objets", "link")</f>
        <v/>
      </c>
      <c r="C17617" t="n">
        <v>1</v>
      </c>
      <c r="D17617" t="inlineStr">
        <is>
          <t>Marteau de Katrepat; Amulette du Strigide; Bague Gloursonne; Bracelet du Piloztère; Bouclier du Captain Amakna; Ceintacé; Masque Brûlâme; Voile d'encre; Pompes Funèbres; Dofus Pourpre; Dofus Turquoise; Nomade; Temporiseur majeur; Remueur; Vigoureux majeur; Kramkram</t>
        </is>
      </c>
    </row>
    <row r="17618">
      <c r="A17618" t="inlineStr">
        <is>
          <t>new stuff</t>
        </is>
      </c>
      <c r="B17618">
        <f>HYPERLINK("https://www.dofusbook.net/fr/equipement/1963918-new-stuff/objets", "link")</f>
        <v/>
      </c>
      <c r="C17618" t="n">
        <v>0</v>
      </c>
      <c r="D17618" t="inlineStr">
        <is>
          <t>Hache du Chalœil; Amulette Ementaire Deluxe; Anneau des égarés; Alliance Gloursonne; Ceinture du Strigide; Masque d'Anerice; Cape d'Anerice; Pataugastrique; Dofus Ivoire; Dofus Pourpre; Dolmanax; Dofus Turquoise; Remueur; Nomade; Kramkram</t>
        </is>
      </c>
    </row>
    <row r="17619">
      <c r="A17619" t="inlineStr">
        <is>
          <t>stuff 2.43</t>
        </is>
      </c>
      <c r="B17619">
        <f>HYPERLINK("https://www.dofusbook.net/fr/equipement/1884829-stuff-2-43/objets", "link")</f>
        <v/>
      </c>
      <c r="C17619" t="n">
        <v>0</v>
      </c>
      <c r="D17619" t="inlineStr">
        <is>
          <t>Marteau de Katrepat; Amulette du Cœur Saignant; Bracelet du Piloztère; Chevalière du Roi Joueur; Bouclier du Captain Amakna; Ceinture du Strigide; Masque Brûlâme; Cape des Justiciers; Pompes Funèbres; Dofus Pourpre; Dofus Turquoise; Nomade; Temporiseur majeur; Vigoureux majeur; Remueur; Kramkram</t>
        </is>
      </c>
    </row>
    <row r="17620">
      <c r="A17620" t="inlineStr">
        <is>
          <t>stuff nunu</t>
        </is>
      </c>
      <c r="B17620">
        <f>HYPERLINK("https://www.dofusbook.net/fr/equipement/1899134-stuff-nunu/objets", "link")</f>
        <v/>
      </c>
      <c r="C17620" t="n">
        <v>0</v>
      </c>
      <c r="D17620" t="inlineStr">
        <is>
          <t>Arc Hétype; Amulette de Shokkoth; Pikano; Anneau de Nidas; Ceinture Glaciale; Casquette de Meno; Cape de Diondin; Bottes de Meno; Érudit majeur; Temporiseur majeur; Chanceux majeur; Remueur; Entraveur majeur; Nomade; Muldo Indigo et Orchidée</t>
        </is>
      </c>
    </row>
    <row r="17621">
      <c r="A17621" t="inlineStr">
        <is>
          <t>stufff</t>
        </is>
      </c>
      <c r="B17621">
        <f>HYPERLINK("https://www.dofusbook.net/fr/equipement/1804943-stufff/objets", "link")</f>
        <v/>
      </c>
      <c r="C17621" t="n">
        <v>1</v>
      </c>
      <c r="D17621" t="inlineStr">
        <is>
          <t>Marteau de Katrepat; Amulette du Strigide; Chevalière du Roi Joueur; Bracelet du Piloztère; Bouclier du Captain Amakna; Ceinture du Strigide; Masque de Koutoulou; Voile d'encre; Palmes Trithons; Dofus Turquoise; Dofus Pourpre; Dokoko; Remueur; Nomade; Carapace Terre majeur; Kramkram</t>
        </is>
      </c>
    </row>
    <row r="17622">
      <c r="A17622" t="inlineStr">
        <is>
          <t>stuff test</t>
        </is>
      </c>
      <c r="B17622">
        <f>HYPERLINK("https://www.dofusbook.net/fr/equipement/1756049-stuff-test-/objets", "link")</f>
        <v/>
      </c>
      <c r="C17622" t="n">
        <v>0</v>
      </c>
      <c r="D17622" t="inlineStr">
        <is>
          <t>Hache du Chalœil; Amulette Ementaire Deluxe; Bague Gloursonne; Alliance Gloursonne; Ceintacé; Casque du Chalœil; Voile d'encre; Bottes de la Cour Sombre; Dofus Turquoise; Dofus Pourpre; Remueur; Cascadeur majeur; Vigoureux majeur; Nomade; Kramkram</t>
        </is>
      </c>
    </row>
    <row r="17623">
      <c r="A17623" t="inlineStr">
        <is>
          <t>full feu</t>
        </is>
      </c>
      <c r="B17623">
        <f>HYPERLINK("https://www.dofusbook.net/fr/equipement/1506009-full-feu/objets", "link")</f>
        <v/>
      </c>
      <c r="C17623" t="n">
        <v>1</v>
      </c>
      <c r="D17623" t="inlineStr">
        <is>
          <t>Harpelle; Pendentif affamé; Anneau Tique; Anneau de Nidas; Ceinture Séculaire; Couronne de Nidas; Cape de Diondin; Bottes Innommables; Dofus Pourpre; Nomade; Astucieux majeur; Remueur; Miraculé majeur; Érudit majeur; Brûlih</t>
        </is>
      </c>
    </row>
    <row r="17624">
      <c r="A17624" t="inlineStr">
        <is>
          <t>pvm</t>
        </is>
      </c>
      <c r="B17624">
        <f>HYPERLINK("https://www.dofusbook.net/fr/equipement/1480138-pvm/objets", "link")</f>
        <v/>
      </c>
      <c r="C17624" t="n">
        <v>0</v>
      </c>
      <c r="D17624" t="inlineStr">
        <is>
          <t>Hache du Chalœil; Amulette du Strigide; Alliance Gloursonne; Bracelet du Piloztère; Ceinture du Strigide; Le Dorado; Cape d'Atcham; Bottes du Chalœil; Dofus Pourpre; Dofus Turquoise; Enragé majeur; Nomade; Érudit majeur; Remueur; Kramkram</t>
        </is>
      </c>
    </row>
    <row r="17625">
      <c r="A17625" t="inlineStr">
        <is>
          <t>feu eau</t>
        </is>
      </c>
      <c r="B17625">
        <f>HYPERLINK("https://www.dofusbook.net/fr/equipement/1461800-feu-eau/objets", "link")</f>
        <v/>
      </c>
      <c r="C17625" t="n">
        <v>0</v>
      </c>
      <c r="D17625" t="inlineStr">
        <is>
          <t>Arc Hétype; Collier de la Dame du Hasard; Anneau de Nidas; Pikano; Ceinture Glaciale; Casquette de Meno; Cape de Meno; Pataugastrique; Dofus Pourpre; Entraveur majeur; Temporiseur majeur; Nomade; Remueur</t>
        </is>
      </c>
    </row>
    <row r="17626">
      <c r="A17626" t="inlineStr">
        <is>
          <t>stuff intermedier</t>
        </is>
      </c>
      <c r="B17626">
        <f>HYPERLINK("https://www.dofusbook.net/fr/equipement/1419127-stuff-intermedier/objets", "link")</f>
        <v/>
      </c>
      <c r="C17626" t="n">
        <v>0</v>
      </c>
      <c r="D17626" t="inlineStr">
        <is>
          <t>Hache Ériphe; Amulette du Strigide; Gant du Valet Veinard; Anneau Crustique; Bouclier du tournesol sauvage; Ceinture du Strigide; Masque de Koutoulou; Cape de Klime; Bottes des égarés; Dofus Turquoise; Dofus Pourpre; Nomade; Remueur; Vigoureux majeur; Kramkram</t>
        </is>
      </c>
    </row>
    <row r="17627">
      <c r="A17627" t="inlineStr">
        <is>
          <t>mode res feu</t>
        </is>
      </c>
      <c r="B17627">
        <f>HYPERLINK("https://www.dofusbook.net/fr/equipement/1396292-mode-res-feu-/objets", "link")</f>
        <v/>
      </c>
      <c r="C17627" t="n">
        <v>1</v>
      </c>
      <c r="D17627" t="inlineStr">
        <is>
          <t>Harpelle; Pendentif affamé; Anneau de Nidas; Anneauræus; Ceinture de Vortex; Casque Dragoeuf; Cape de Diondin; Tongues de Nidas; Dofus Turquoise; Dofus Pourpre; Carapace Feu majeur; Miraculé majeur; Érudit majeur; Remueur; Muldo Ebène et Orchidée</t>
        </is>
      </c>
    </row>
    <row r="17628">
      <c r="A17628" t="inlineStr">
        <is>
          <t>srambad</t>
        </is>
      </c>
      <c r="B17628">
        <f>HYPERLINK("https://www.dofusbook.net/fr/equipement/1394338-srambad/objets", "link")</f>
        <v/>
      </c>
      <c r="C17628" t="n">
        <v>2</v>
      </c>
      <c r="D17628" t="inlineStr">
        <is>
          <t>Dagues de Srambad; Amulette Luminescente; Alliance Gloursonne; Pikano; Ceinture de la Reine des Voleurs; Masque de Koutoulou; Cape Luminescente; Pantoufles du Piloztère; Dofus Pourpre; Remueur; Enragé majeur; Chanceux majeur; Nomade; Vigoureux majeur; Muldo Ebène et Indigo</t>
        </is>
      </c>
    </row>
    <row r="17629">
      <c r="A17629" t="inlineStr">
        <is>
          <t>feu</t>
        </is>
      </c>
      <c r="B17629">
        <f>HYPERLINK("https://www.dofusbook.net/fr/equipement/1389525-feu/objets", "link")</f>
        <v/>
      </c>
      <c r="C17629" t="n">
        <v>1</v>
      </c>
      <c r="D17629" t="inlineStr">
        <is>
          <t>Arc Hétype; Amulette d'Otomaï; Anneau Tamie; Anneau de Nidas; Ceinture Séculaire; Coiffe Séculaire; Cape de Diondin; Bottes Innommables; Dofus Turquoise; Remueur; Astucieux majeur; Miraculé majeur; Nomade; Érudit majeur; Brûlih</t>
        </is>
      </c>
    </row>
    <row r="17630">
      <c r="A17630" t="inlineStr">
        <is>
          <t>eau</t>
        </is>
      </c>
      <c r="B17630">
        <f>HYPERLINK("https://www.dofusbook.net/fr/equipement/1388916-eau/objets", "link")</f>
        <v/>
      </c>
      <c r="C17630" t="n">
        <v>0</v>
      </c>
      <c r="D17630" t="inlineStr">
        <is>
          <t>Dagoulinantes; Amulette de Shokkoth; Anneau Glacial; Alliance Gloursonne; Poulpagne; Kidibonnet; Cape de Mantaze; Sandales des Fonds marins; Dofus Pourpre; Dofus Turquoise; Chanceux majeur; Taquin majeur; Nomade; Miraculé majeur; Dehluge</t>
        </is>
      </c>
    </row>
    <row r="17631">
      <c r="A17631" t="inlineStr">
        <is>
          <t>stuff air eau</t>
        </is>
      </c>
      <c r="B17631">
        <f>HYPERLINK("https://www.dofusbook.net/fr/equipement/1363623-stuff-air-eau-/objets", "link")</f>
        <v/>
      </c>
      <c r="C17631" t="n">
        <v>1</v>
      </c>
      <c r="D17631" t="inlineStr">
        <is>
          <t>Marteau des Anciens Steamers; Amulette de l'Indicible; Alliance Gloursonne; Grésilanneau; Sangle Ouare; Némès de Tal Kasha; Cape Matelassée; Sandales de Tal Kasha; Dofus Pourpre; Dofus Cawotte; Dofus Turquoise; Vigoureux majeur; Remueur; Cascadeur majeur; Muldo Ebène et Indigo</t>
        </is>
      </c>
    </row>
    <row r="17632">
      <c r="A17632" t="inlineStr">
        <is>
          <t>stuff ludo moi chere</t>
        </is>
      </c>
      <c r="B17632">
        <f>HYPERLINK("https://www.dofusbook.net/fr/equipement/1328506-stuff-ludo-moi-chere/objets", "link")</f>
        <v/>
      </c>
      <c r="C17632" t="n">
        <v>1</v>
      </c>
      <c r="D17632" t="inlineStr">
        <is>
          <t>Manthache; Amulette Hendart; Anneau d'Allister; Gant du Valet Veinard; Menoture; Couronne d'Allister; Cape de Klime; Bottes du Cycloïde; Dofus Turquoise; Dofus Pourpre; Cascadeur majeur; Nomade; Equilibriste majeur; Remueur; Siroko</t>
        </is>
      </c>
    </row>
    <row r="17633">
      <c r="A17633" t="inlineStr">
        <is>
          <t>air ludo</t>
        </is>
      </c>
      <c r="B17633">
        <f>HYPERLINK("https://www.dofusbook.net/fr/equipement/1328382-air-ludo/objets", "link")</f>
        <v/>
      </c>
      <c r="C17633" t="n">
        <v>1</v>
      </c>
      <c r="D17633" t="inlineStr">
        <is>
          <t>Manthache; Collier du Valet Veinard; Gant du Valet Veinard; Anneau d'Allister; Menoture; Dorabysses; Cape Indescriptible; Palmes Trithons; Dofus Turquoise; Dofus Pourpre; Equilibriste majeur; Nomade; Remueur; Cascadeur majeur; Pioute jaune</t>
        </is>
      </c>
    </row>
    <row r="17634">
      <c r="A17634" t="inlineStr">
        <is>
          <t>stuff autre dague</t>
        </is>
      </c>
      <c r="B17634">
        <f>HYPERLINK("https://www.dofusbook.net/fr/equipement/1311264-stuff-autre-dague/objets", "link")</f>
        <v/>
      </c>
      <c r="C17634" t="n">
        <v>1</v>
      </c>
      <c r="D17634" t="inlineStr">
        <is>
          <t>Dagues de Srambad; Amulette Luminescente; Pikano; Anneau du Katcheur; Ceinture de la Reine des Voleurs; Casque Dragoeuf; Cape Luminescente; Pataugastrique; Dofus Pourpre; Remueur; Miraculé majeur; Enragé majeur; Vigoureux majeur; Chanceux majeur; Muldo Indigo et Pourpre</t>
        </is>
      </c>
    </row>
    <row r="17635">
      <c r="A17635" t="inlineStr">
        <is>
          <t>stuff pvp</t>
        </is>
      </c>
      <c r="B17635">
        <f>HYPERLINK("https://www.dofusbook.net/fr/equipement/1311172-stuff-pvp-/objets", "link")</f>
        <v/>
      </c>
      <c r="C17635" t="n">
        <v>0</v>
      </c>
      <c r="D17635" t="inlineStr">
        <is>
          <t>Hache du Chalœil; Amulette du Strigide; Bracelet du Piloztère; Alliance Gloursonne; Quatre-feuilles; Ceintacé; Casque du Chalœil; Voile d'encre; Bottes du Chalœil; Dofus Pourpre; Dofus des Glaces; Dofus Turquoise; Dolmanax; Nomade; Remueur; Kramkram</t>
        </is>
      </c>
    </row>
    <row r="17636">
      <c r="A17636" t="inlineStr">
        <is>
          <t>regene</t>
        </is>
      </c>
      <c r="B17636">
        <f>HYPERLINK("https://www.dofusbook.net/fr/equipement/1306883-regene/objets", "link")</f>
        <v/>
      </c>
      <c r="C17636" t="n">
        <v>1</v>
      </c>
      <c r="D17636" t="inlineStr">
        <is>
          <t>Arc du Chalœil; Collier de Tourthon; Anneau Crustique; Anneau Crustique; Ceinture de la Cour Sombre; Masque de Koutoulou; Voile d'encre; Bottes de la Cour Sombre; Dofus Pourpre; Dofus Turquoise; Nomade; Remueur; Miraculé majeur; Enragé majeur; Croum</t>
        </is>
      </c>
    </row>
    <row r="17637">
      <c r="A17637" t="inlineStr">
        <is>
          <t>stuff</t>
        </is>
      </c>
      <c r="B17637">
        <f>HYPERLINK("https://www.dofusbook.net/fr/equipement/1304327-stuff-/objets", "link")</f>
        <v/>
      </c>
      <c r="C17637" t="n">
        <v>0</v>
      </c>
      <c r="D17637" t="inlineStr">
        <is>
          <t>Manthache; Collier du Valet Veinard; Anneau d'Allister; Gant du Valet Veinard; Menoture; Dorabysses; Cape Indescriptible; Palmes Trithons; Dofus Turquoise; Dofus Pourpre; Miraculé majeur; Cascadeur majeur; Nomade; Remueur; Kwaltess</t>
        </is>
      </c>
    </row>
    <row r="17638">
      <c r="A17638" t="inlineStr">
        <is>
          <t>changement de stuff</t>
        </is>
      </c>
      <c r="B17638">
        <f>HYPERLINK("https://www.dofusbook.net/fr/equipement/1286849-changement-de-stuff-/objets", "link")</f>
        <v/>
      </c>
      <c r="C17638" t="n">
        <v>1</v>
      </c>
      <c r="D17638" t="inlineStr">
        <is>
          <t>Hache Ériphe; Amulette du Strigide; Bracelet du Piloztère; Grésilanneau; Bouclier du tournesol sauvage; Ceinture du Strigide; Casque des égarés; Cape de Kongoku; Baleinabottes; Dokoko; Dofus Pourpre; Dofus Turquoise; Obstructeur majeur; Remueur; Nomade; Kramkram</t>
        </is>
      </c>
    </row>
    <row r="17639">
      <c r="A17639" t="inlineStr">
        <is>
          <t>nunu pour ludo</t>
        </is>
      </c>
      <c r="B17639">
        <f>HYPERLINK("https://www.dofusbook.net/fr/equipement/1231588-nunu-pour-ludo/objets", "link")</f>
        <v/>
      </c>
      <c r="C17639" t="n">
        <v>1</v>
      </c>
      <c r="D17639" t="inlineStr">
        <is>
          <t>Dagues Açantes; Amulette de Danathor; Pikano; Gelano; Ceinture Glaciale; Casquipik; Cape Matelassée; Grésilobottes; Dofus Cawotte; Dofus Pourpre; Entraveur majeur; Nomade; Remueur; Temporiseur majeur; Dragoune Rose</t>
        </is>
      </c>
    </row>
    <row r="17640">
      <c r="A17640" t="inlineStr">
        <is>
          <t>stuff chaloeil</t>
        </is>
      </c>
      <c r="B17640">
        <f>HYPERLINK("https://www.dofusbook.net/fr/equipement/1224108-stuff-chaloeil/objets", "link")</f>
        <v/>
      </c>
      <c r="C17640" t="n">
        <v>0</v>
      </c>
      <c r="D17640" t="inlineStr">
        <is>
          <t>Héqache; Amulette du Strigide; Anneau des égarés; Anneau Crustique; Ceinture du Strigide; Masque de Koutoulou; Cape du Kamasterisk; Tentassons; Dofus Turquoise; Dofus Pourpre; Dofus Émeraude; Remueur; Obstructeur majeur; Nomade; Blokus</t>
        </is>
      </c>
    </row>
    <row r="17641">
      <c r="A17641" t="inlineStr">
        <is>
          <t>teste</t>
        </is>
      </c>
      <c r="B17641">
        <f>HYPERLINK("https://www.dofusbook.net/fr/equipement/1173872-teste-/objets", "link")</f>
        <v/>
      </c>
      <c r="C17641" t="n">
        <v>1</v>
      </c>
      <c r="D17641" t="inlineStr">
        <is>
          <t>Hache Ériphe; Amulette du Strigide; Anneau de Padgref; Bracelet du Piloztère; Ceinture du Strigide; Masque de Koutoulou; Cape des Justiciers; Bottes de la Cour Sombre; Dofus Émeraude; Dofus Pourpre; Dofus Turquoise; Vigoureux majeur; Remueur; Nomade; Kramkram</t>
        </is>
      </c>
    </row>
    <row r="17642">
      <c r="A17642" t="inlineStr">
        <is>
          <t>stuff pdv</t>
        </is>
      </c>
      <c r="B17642">
        <f>HYPERLINK("https://www.dofusbook.net/fr/equipement/1133134-stuff-pdv-/objets", "link")</f>
        <v/>
      </c>
      <c r="C17642" t="n">
        <v>1</v>
      </c>
      <c r="D17642" t="inlineStr">
        <is>
          <t>Arc de Koutoulou; Amulette du Strigide; Bracelet du Piloztère; Alliance Gloursonne; Ceinture du Strigide; Masque de Koutoulou; Chevelure de Tal Kasha; Bottes Voldelor; Dofus Turquoise; Dofus Émeraude; Dofus Pourpre; Remueur; Cascadeur majeur; Chanceux majeur; Muldo Prune et Emeraude</t>
        </is>
      </c>
    </row>
    <row r="17643">
      <c r="A17643" t="inlineStr">
        <is>
          <t>stuff boubou sans ex</t>
        </is>
      </c>
      <c r="B17643">
        <f>HYPERLINK("https://www.dofusbook.net/fr/equipement/1109807-stuff-boubou-sans-ex/objets", "link")</f>
        <v/>
      </c>
      <c r="C17643" t="n">
        <v>0</v>
      </c>
      <c r="D17643" t="inlineStr">
        <is>
          <t>Marteau des égarés; Amulette du Glourséleste; Alliance Gloursonne; Bague Gloursonne; Obscture; Masque de Koutoulou; Cape des Justiciers; Baleinabottes; Dofus Pourpre; Dolmanax; Dofus Turquoise; Nomade; Vigoureux majeur; Remueur; Kramkram</t>
        </is>
      </c>
    </row>
    <row r="17644">
      <c r="A17644" t="inlineStr">
        <is>
          <t>Stuff 2</t>
        </is>
      </c>
      <c r="B17644">
        <f>HYPERLINK("https://www.dofusbook.net/fr/equipement/195700-stuff-2/objets", "link")</f>
        <v/>
      </c>
      <c r="C17644" t="n">
        <v>0</v>
      </c>
      <c r="D17644" t="inlineStr">
        <is>
          <t>Dagues Érhy; Amulette du Strigide; Anneau Chevelu; Bague Gloursonne; Bouclier du Captain Amakna; Ceinture du Strigide; Masque de Koutoulou; Voile d'encre; Bottes de la Cour Sombre; Dofus Ocre; Dofus Turquoise; Dofus Pourpre; Miraculé majeur; Nomade; Vigoureux majeur; Kramkram</t>
        </is>
      </c>
    </row>
    <row r="17645">
      <c r="A17645" t="inlineStr">
        <is>
          <t>stuff autre dague</t>
        </is>
      </c>
      <c r="B17645">
        <f>HYPERLINK("https://www.dofusbook.net/fr/equipement/940907-stuff-autre-dague/objets", "link")</f>
        <v/>
      </c>
      <c r="C17645" t="n">
        <v>1</v>
      </c>
      <c r="D17645" t="inlineStr">
        <is>
          <t>Epée Toche; Amulette du Strigide; Bague Gloursonne; Anneau Crustique; Bouclier du Captain Amakna; Ceinture du Strigide; Masque de Koutoulou; Voile d'encre; Bottes de la Cour Sombre; Dofus Turquoise; Dofus Pourpre; Dofus Ocre; Dofus Émeraude; Nomade; Vigoureux majeur; Kramkram</t>
        </is>
      </c>
    </row>
    <row r="17646">
      <c r="A17646" t="inlineStr">
        <is>
          <t>stuff pvm boubou</t>
        </is>
      </c>
      <c r="B17646">
        <f>HYPERLINK("https://www.dofusbook.net/fr/equipement/934187-stuff-pvm-boubou/objets", "link")</f>
        <v/>
      </c>
      <c r="C17646" t="n">
        <v>3</v>
      </c>
      <c r="D17646" t="inlineStr">
        <is>
          <t>Marteau des égarés; Amulette du Strigide; Alliance Gloursonne; Anneau des égarés; Bouclier du Captain Amakna; Ceinture du Strigide; Casque du Chalœil; Voile d'encre; Pataugastrique; Dofus Turquoise; Dofus Pourpre; Dofus Émeraude; Dolmanax; Remueur; Nomade; Kramkram</t>
        </is>
      </c>
    </row>
    <row r="17647">
      <c r="A17647" t="inlineStr">
        <is>
          <t>stuff boubou 1v1</t>
        </is>
      </c>
      <c r="B17647">
        <f>HYPERLINK("https://www.dofusbook.net/fr/equipement/884378-stuff-boubou-1v1/objets", "link")</f>
        <v/>
      </c>
      <c r="C17647" t="n">
        <v>2</v>
      </c>
      <c r="D17647" t="inlineStr">
        <is>
          <t>Dagues Açantes; Collier de la Dame du Hasard; Pikano; Alliance Gloursonne; Ambrouclier; Ceinture Glaciale; Kidibonnet; Cape de Meno; Bottes de Meno; Dofus Pourpre; Dofus Turquoise; Chanceux majeur; Entraveur majeur; Remueur; Temporiseur majeur; Muldo Indigo et Pourpre</t>
        </is>
      </c>
    </row>
    <row r="17648">
      <c r="A17648" t="inlineStr">
        <is>
          <t>stuff maj boubou</t>
        </is>
      </c>
      <c r="B17648">
        <f>HYPERLINK("https://www.dofusbook.net/fr/equipement/746380-stuff-maj-boubou/objets", "link")</f>
        <v/>
      </c>
      <c r="C17648" t="n">
        <v>1</v>
      </c>
      <c r="D17648" t="inlineStr">
        <is>
          <t>Baguette Hernelle; Amulette d'Otomaï; Alliance de Missiz Frizz; Bague Gloursonne; Bouclier du Cycloïde; Ceinture Séculaire; Coiffe de Padgref; Cape de Diondin; Getas de Padgref; Dofus Turquoise; Dofus Pourpre; Remueur; Érudit majeur; Nomade; Astucieux majeur; Kramkram</t>
        </is>
      </c>
    </row>
    <row r="17649">
      <c r="A17649" t="inlineStr">
        <is>
          <t>stuff maj boubou</t>
        </is>
      </c>
      <c r="B17649">
        <f>HYPERLINK("https://www.dofusbook.net/fr/equipement/746392-stuff-maj-boubou/objets", "link")</f>
        <v/>
      </c>
      <c r="C17649" t="n">
        <v>0</v>
      </c>
      <c r="D17649" t="inlineStr">
        <is>
          <t>Arc du Chalœil; Amulette du Strigide; Anneau Chevelu; Grésilanneau; Bouclier du Captain Amakna; Ceinture de la Cour Sombre; Masque de Koutoulou; Voile d'encre; Bottes de la Cour Sombre; Dofus Turquoise; Dofus Pourpre; Dofus Émeraude; Fonceur majeur; Remueur; Nomade; Kramkram</t>
        </is>
      </c>
    </row>
    <row r="17650">
      <c r="A17650" t="inlineStr">
        <is>
          <t>stuff maj boubou</t>
        </is>
      </c>
      <c r="B17650">
        <f>HYPERLINK("https://www.dofusbook.net/fr/equipement/744145-stuff-maj-boubou/objets", "link")</f>
        <v/>
      </c>
      <c r="C17650" t="n">
        <v>0</v>
      </c>
      <c r="D17650" t="inlineStr">
        <is>
          <t>Marteau des égarés; Amulette du Strigide; Anneau des égarés; Bracelet du Piloztère; Bouclier du Stalak; Ceintacé; Casque du Chalœil; Voile d'encre; Bottes du Chalœil; Dofus Ocre; Dofus Pourpre; Dofus des Glaces; Dofus Turquoise; Dolmanax; Nomade; Kramkram</t>
        </is>
      </c>
    </row>
    <row r="17651">
      <c r="A17651" t="inlineStr">
        <is>
          <t>stuff maj boubou</t>
        </is>
      </c>
      <c r="B17651">
        <f>HYPERLINK("https://www.dofusbook.net/fr/equipement/743928-stuff-maj-boubou/objets", "link")</f>
        <v/>
      </c>
      <c r="C17651" t="n">
        <v>1</v>
      </c>
      <c r="D17651" t="inlineStr">
        <is>
          <t>Dagues Açantes; Amulette Luminescente; Bracelet du Piloztère; Pikano; Ambrouclier; Ceinture Glaciale; Kidibonnet; Cape de Meno; Pikottes; Dofus Pourpre; Remueur; Entraveur majeur; Nomade; Temporiseur majeur; Ralentisseur majeur; Koalak Sanguin</t>
        </is>
      </c>
    </row>
    <row r="17652">
      <c r="A17652" t="inlineStr">
        <is>
          <t>stuff maj boubou</t>
        </is>
      </c>
      <c r="B17652">
        <f>HYPERLINK("https://www.dofusbook.net/fr/equipement/737960-stuff-maj-boubou/objets", "link")</f>
        <v/>
      </c>
      <c r="C17652" t="n">
        <v>0</v>
      </c>
      <c r="D17652" t="inlineStr">
        <is>
          <t>Dagues Ricol; Amulette Ementaire Deluxe; Bague Gloursonne; Alliance Gloursonne; Bouclier précieux; Ceinture de Kongoku; Casque Dragoeuf; Voile d'encre; Bottes de Meno; Dokoko; Dofus Émeraude; Dofus Pourpre; Remueur; Nomade; Kramkram</t>
        </is>
      </c>
    </row>
    <row r="17653">
      <c r="A17653" t="inlineStr">
        <is>
          <t>stuff maj boubou</t>
        </is>
      </c>
      <c r="B17653">
        <f>HYPERLINK("https://www.dofusbook.net/fr/equipement/737888-stuff-maj-boubou/objets", "link")</f>
        <v/>
      </c>
      <c r="C17653" t="n">
        <v>0</v>
      </c>
      <c r="D17653" t="inlineStr">
        <is>
          <t>Héqache; Amulette du Strigide; Bracelet du Piloztère; Gant du Valet Veinard; Bouclier du Captain Amakna; Ceinture du Strigide; Masque de Koutoulou; Voile d'encre; Bottes de la Cour Sombre; Dofus Pourpre; Dofus Turquoise; Remueur; Fonceur majeur; Obstructeur majeur; Nomade; Kramkram</t>
        </is>
      </c>
    </row>
    <row r="17654">
      <c r="A17654" t="inlineStr">
        <is>
          <t>stuff maj boubou</t>
        </is>
      </c>
      <c r="B17654">
        <f>HYPERLINK("https://www.dofusbook.net/fr/equipement/737754-stuff-maj-boubou/objets", "link")</f>
        <v/>
      </c>
      <c r="C17654" t="n">
        <v>0</v>
      </c>
      <c r="D17654" t="inlineStr">
        <is>
          <t>Epée Toche; Amulette du Strigide; Anneau Chevelu; Bague Gloursonne; Bouclier du Captain Amakna; Ceinture du Strigide; Masque de Koutoulou; Voile d'encre; Bottes de la Cour Sombre; Dofus Turquoise; Dofus Pourpre; Dofus Ocre; Nomade; Vigoureux majeur; Miraculé majeur; Kramkram</t>
        </is>
      </c>
    </row>
    <row r="17655">
      <c r="A17655" t="inlineStr">
        <is>
          <t>apres maj boubou</t>
        </is>
      </c>
      <c r="B17655">
        <f>HYPERLINK("https://www.dofusbook.net/fr/equipement/737622-apres-maj-boubou/objets", "link")</f>
        <v/>
      </c>
      <c r="C17655" t="n">
        <v>0</v>
      </c>
      <c r="D17655" t="inlineStr">
        <is>
          <t>Hache du Chalœil; Amulette du Strigide; Bracelet du Piloztère; Alliance Gloursonne; Ceintacé; Casque du Chalœil; Voile d'encre; Bottes du Chalœil; Dofus Turquoise; Dokoko; Dofus Émeraude; Dofus Pourpre; Nomade; Remueur; Kramkram</t>
        </is>
      </c>
    </row>
    <row r="17656">
      <c r="A17656" t="inlineStr">
        <is>
          <t>Stuff 2</t>
        </is>
      </c>
      <c r="B17656">
        <f>HYPERLINK("https://www.dofusbook.net/fr/equipement/195697-stuff-2/objets", "link")</f>
        <v/>
      </c>
      <c r="C17656" t="n">
        <v>0</v>
      </c>
      <c r="D17656" t="inlineStr">
        <is>
          <t>Sabres d'Atcham; Amulette du Strigide; Alliance Gloursonne; Bracelet du Piloztère; Ceintacé; Casque du Chalœil; Voile d'encre; Sandales  d'Atcham; Dofus Turquoise; Dofus Pourpre; Remueur; Vigoureux majeur; Nomade; Kramkram</t>
        </is>
      </c>
    </row>
    <row r="17657">
      <c r="A17657" t="inlineStr">
        <is>
          <t>Stuff 3</t>
        </is>
      </c>
      <c r="B17657">
        <f>HYPERLINK("https://www.dofusbook.net/fr/equipement/195692-stuff-3/objets", "link")</f>
        <v/>
      </c>
      <c r="C17657" t="n">
        <v>0</v>
      </c>
      <c r="D17657" t="inlineStr">
        <is>
          <t>Sabres d'Atcham; Amulette Ementaire Deluxe; Alliance Gloursonne; Bague Gloursonne; Ceintacé; Chapeau de Gein; Voile d'encre; Bottes du Strigide; Dolmanax; Dofus Pourpre; Dofus Turquoise; Nomade; Vigoureux majeur; Remueur; Kramkram</t>
        </is>
      </c>
    </row>
    <row r="17658">
      <c r="A17658" t="inlineStr">
        <is>
          <t>Stuff 1</t>
        </is>
      </c>
      <c r="B17658">
        <f>HYPERLINK("https://www.dofusbook.net/fr/equipement/195687-stuff-1/objets", "link")</f>
        <v/>
      </c>
      <c r="C17658" t="n">
        <v>0</v>
      </c>
      <c r="D17658" t="inlineStr">
        <is>
          <t>Marteau Phossile; Amulette d'Otomaï; Gant du Valet Veinard; Bague Gloursonne; Ceinture Séculaire; Coiffe de Padgref; Cape de Diondin; Getas de Padgref; Dofus Pourpre; Dofus Turquoise; Nomade; Cascadeur majeur; Vigoureux majeur; Remueur; Kramkram</t>
        </is>
      </c>
    </row>
    <row r="17659">
      <c r="A17659" t="inlineStr">
        <is>
          <t>Stuff 2</t>
        </is>
      </c>
      <c r="B17659">
        <f>HYPERLINK("https://www.dofusbook.net/fr/equipement/195682-stuff-2/objets", "link")</f>
        <v/>
      </c>
      <c r="C17659" t="n">
        <v>0</v>
      </c>
      <c r="D17659" t="inlineStr">
        <is>
          <t>Arc du Chalœil; Amulette de Pol Ouatnos; Alliance Gloursonne; Bague Gloursonne; Ceintacé; Chapeau de Gein; Voile d'encre; Pataugastrique; Dofus Pourpre; Miraculé majeur; Fonceur majeur; Nomade; Vigoureux majeur; Remueur; Kramkram</t>
        </is>
      </c>
    </row>
    <row r="17660">
      <c r="A17660" t="inlineStr">
        <is>
          <t>Stuff 3</t>
        </is>
      </c>
      <c r="B17660">
        <f>HYPERLINK("https://www.dofusbook.net/fr/equipement/195704-stuff-3/objets", "link")</f>
        <v/>
      </c>
      <c r="C17660" t="n">
        <v>0</v>
      </c>
      <c r="D17660" t="inlineStr">
        <is>
          <t>Hache du Chalœil; Amulette Ementaire Deluxe; Alliance Gloursonne; Frimanneau; Ceintacé; Casque du Chalœil; Voile d'encre; Bottes du Chalœil; Dofus Turquoise; Dofus Pourpre; Dofus des Glaces; Nomade; Fonceur majeur; Remueur; Kramkram</t>
        </is>
      </c>
    </row>
    <row r="17661">
      <c r="A17661" t="inlineStr">
        <is>
          <t>Stuff 2</t>
        </is>
      </c>
      <c r="B17661">
        <f>HYPERLINK("https://www.dofusbook.net/fr/equipement/195694-stuff-2/objets", "link")</f>
        <v/>
      </c>
      <c r="C17661" t="n">
        <v>0</v>
      </c>
      <c r="D17661" t="inlineStr">
        <is>
          <t>Dagues Érhy; Amulette du Strigide; Bracelet du Piloztère; Alliance Gloursonne; Ceinture du Strigide; Masque de Koutoulou; Voile d'encre; Tentassons; Dofus Pourpre; Dofus Turquoise; Temporiseur majeur; Vigoureux majeur; Remueur; Nomade; Kramkram</t>
        </is>
      </c>
    </row>
    <row r="17662">
      <c r="A17662" t="inlineStr">
        <is>
          <t>Stuff 3</t>
        </is>
      </c>
      <c r="B17662">
        <f>HYPERLINK("https://www.dofusbook.net/fr/equipement/195689-stuff-3/objets", "link")</f>
        <v/>
      </c>
      <c r="C17662" t="n">
        <v>1</v>
      </c>
      <c r="D17662" t="inlineStr">
        <is>
          <t>Baguette Hernelle; Amulette d'Otomaï; Alliance de Missiz Frizz; Bague Gloursonne; Bouclier du Cycloïde; Ceinture Séculaire; Coiffe de Padgref; Cape de Diondin; Getas de Padgref; Dofus Turquoise; Nomade; Érudit majeur; Vigoureux majeur; Remueur; Cascadeur majeur; Kramkram</t>
        </is>
      </c>
    </row>
    <row r="17663">
      <c r="A17663" t="inlineStr">
        <is>
          <t>Stuff 3</t>
        </is>
      </c>
      <c r="B17663">
        <f>HYPERLINK("https://www.dofusbook.net/fr/equipement/195683-stuff-3/objets", "link")</f>
        <v/>
      </c>
      <c r="C17663" t="n">
        <v>1</v>
      </c>
      <c r="D17663" t="inlineStr">
        <is>
          <t>Dagues de Srambad; Amulette du Strigide; Annolamour; Alliance Gloursonne; Ceinture de la Reine des Voleurs; Coiffe de la Reine des Voleurs; Voile d'encre; Pataugastrique; Dofus Pourpre; Nomade; Chanceux majeur; Vigoureux majeur; Remueur; Enragé majeur; Kramkram</t>
        </is>
      </c>
    </row>
    <row r="17664">
      <c r="A17664" t="inlineStr">
        <is>
          <t>Stuff 3</t>
        </is>
      </c>
      <c r="B17664">
        <f>HYPERLINK("https://www.dofusbook.net/fr/equipement/195695-stuff-3/objets", "link")</f>
        <v/>
      </c>
      <c r="C17664" t="n">
        <v>0</v>
      </c>
      <c r="D17664" t="inlineStr">
        <is>
          <t>Héqache; Amulette du Strigide; Anneau Chevelu; Frimanneau; Ceinture du Strigide; Masque de Koutoulou; Voile d'encre; Bottes des égarés; Dofus Pourpre; Dofus Émeraude; Dofus Turquoise; Nomade; Cascadeur majeur; Remueur; Kramkram</t>
        </is>
      </c>
    </row>
    <row r="17665">
      <c r="A17665" t="inlineStr">
        <is>
          <t>Stuff 1</t>
        </is>
      </c>
      <c r="B17665">
        <f>HYPERLINK("https://www.dofusbook.net/fr/equipement/195690-stuff-1/objets", "link")</f>
        <v/>
      </c>
      <c r="C17665" t="n">
        <v>1</v>
      </c>
      <c r="D17665" t="inlineStr">
        <is>
          <t>Dagues Érhy; Amulette du Strigide; Bracelet du Piloztère; Alliance Gloursonne; Ceinture du Strigide; Coiffe de Padgref; Voile d'encre; Baleinabottes; Dofus Pourpre; Dofus Turquoise; Vigoureux majeur; Nomade; Chanceux majeur; Remueur; Kramkram</t>
        </is>
      </c>
    </row>
    <row r="17666">
      <c r="A17666" t="inlineStr">
        <is>
          <t>Stuff 2</t>
        </is>
      </c>
      <c r="B17666">
        <f>HYPERLINK("https://www.dofusbook.net/fr/equipement/195685-stuff-2/objets", "link")</f>
        <v/>
      </c>
      <c r="C17666" t="n">
        <v>0</v>
      </c>
      <c r="D17666" t="inlineStr">
        <is>
          <t>Arc Hétype; Collier de la Dame du Hasard; Anneau de Nidas; Pikano; Ceinture Glaciale; Kidibonnet; Cape de Kongoku; Pikottes; Guérisseur majeur; Temporiseur majeur; Érudit majeur; Remueur; Entraveur majeur; Nomade; Kramkram</t>
        </is>
      </c>
    </row>
    <row r="17667">
      <c r="A17667" t="inlineStr">
        <is>
          <t>Stuff 1</t>
        </is>
      </c>
      <c r="B17667">
        <f>HYPERLINK("https://www.dofusbook.net/fr/equipement/195702-stuff-1/objets", "link")</f>
        <v/>
      </c>
      <c r="C17667" t="n">
        <v>0</v>
      </c>
      <c r="D17667" t="inlineStr">
        <is>
          <t>Hache du Chalœil; Amulette Ementaire Deluxe; Bague Gloursonne; Alliance Gloursonne; Ceinture de Kongoku; Chapeau des Malveilleurs; Voile d'encre; Pataugastrique; Dofus Turquoise; Dofus Pourpre; Dofus des Glaces; Carapace Neutre majeur; Remueur; Vigoureux majeur; Muldo Doré et Pourpre</t>
        </is>
      </c>
    </row>
    <row r="17668">
      <c r="A17668" t="inlineStr">
        <is>
          <t>Stuff 2</t>
        </is>
      </c>
      <c r="B17668">
        <f>HYPERLINK("https://www.dofusbook.net/fr/equipement/195697-stuff-2/objets", "link")</f>
        <v/>
      </c>
      <c r="C17668" t="n">
        <v>0</v>
      </c>
      <c r="D17668" t="inlineStr">
        <is>
          <t>Sabres d'Atcham; Amulette du Strigide; Bracelet du Piloztère; Alliance Gloursonne; Ceintacé; Casque du Chalœil; Voile d'encre; Sandales  d'Atcham; Dofus Turquoise; Dofus Pourpre; Remueur; Vigoureux majeur; Nomade; Kramkram</t>
        </is>
      </c>
    </row>
    <row r="17669">
      <c r="A17669" t="inlineStr">
        <is>
          <t>Stuff 3</t>
        </is>
      </c>
      <c r="B17669">
        <f>HYPERLINK("https://www.dofusbook.net/fr/equipement/195692-stuff-3/objets", "link")</f>
        <v/>
      </c>
      <c r="C17669" t="n">
        <v>0</v>
      </c>
      <c r="D17669" t="inlineStr">
        <is>
          <t>Sabres d'Atcham; Amulette Ementaire Deluxe; Alliance Gloursonne; Bague Gloursonne; Ceintacé; Chapeau de Gein; Voile d'encre; Bottes du Strigide; Dolmanax; Dofus Pourpre; Dofus Turquoise; Nomade; Vigoureux majeur; Remueur; Kramkram</t>
        </is>
      </c>
    </row>
    <row r="17670">
      <c r="A17670" t="inlineStr">
        <is>
          <t>Stuff 1</t>
        </is>
      </c>
      <c r="B17670">
        <f>HYPERLINK("https://www.dofusbook.net/fr/equipement/195687-stuff-1/objets", "link")</f>
        <v/>
      </c>
      <c r="C17670" t="n">
        <v>0</v>
      </c>
      <c r="D17670" t="inlineStr">
        <is>
          <t>Marteau Phossile; Amulette d'Otomaï; Gant du Valet Veinard; Bague Gloursonne; Ceinture Séculaire; Coiffe de Padgref; Cape de Diondin; Getas de Padgref; Dofus Pourpre; Dofus Turquoise; Vigoureux majeur; Remueur; Nomade; Cascadeur majeur; Kramkram</t>
        </is>
      </c>
    </row>
    <row r="17671">
      <c r="A17671" t="inlineStr">
        <is>
          <t>Stuff 2</t>
        </is>
      </c>
      <c r="B17671">
        <f>HYPERLINK("https://www.dofusbook.net/fr/equipement/195682-stuff-2/objets", "link")</f>
        <v/>
      </c>
      <c r="C17671" t="n">
        <v>0</v>
      </c>
      <c r="D17671" t="inlineStr">
        <is>
          <t>Arc du Chalœil; Amulette de Pol Ouatnos; Bague Gloursonne; Alliance Gloursonne; Ceintacé; Chapeau de Gein; Voile d'encre; Pataugastrique; Dofus Pourpre; Nomade; Vigoureux majeur; Remueur; Miraculé majeur; Fonceur majeur; Kramkram</t>
        </is>
      </c>
    </row>
    <row r="17672">
      <c r="A17672" t="inlineStr">
        <is>
          <t>Stuff 3</t>
        </is>
      </c>
      <c r="B17672">
        <f>HYPERLINK("https://www.dofusbook.net/fr/equipement/195704-stuff-3/objets", "link")</f>
        <v/>
      </c>
      <c r="C17672" t="n">
        <v>0</v>
      </c>
      <c r="D17672" t="inlineStr">
        <is>
          <t>Hache du Chalœil; Amulette Ementaire Deluxe; Alliance Gloursonne; Frimanneau; Ceintacé; Casque du Chalœil; Voile d'encre; Bottes du Chalœil; Dofus des Glaces; Dofus Turquoise; Dofus Pourpre; Remueur; Nomade; Fonceur majeur; Kramkram</t>
        </is>
      </c>
    </row>
    <row r="17673">
      <c r="A17673" t="inlineStr">
        <is>
          <t>Stuff 2</t>
        </is>
      </c>
      <c r="B17673">
        <f>HYPERLINK("https://www.dofusbook.net/fr/equipement/195694-stuff-2/objets", "link")</f>
        <v/>
      </c>
      <c r="C17673" t="n">
        <v>0</v>
      </c>
      <c r="D17673" t="inlineStr">
        <is>
          <t>Dagues Érhy; Amulette du Strigide; Bracelet du Piloztère; Alliance Gloursonne; Ceinture du Strigide; Masque de Koutoulou; Voile d'encre; Tentassons; Dofus Pourpre; Dofus Turquoise; Temporiseur majeur; Vigoureux majeur; Remueur; Nomade; Kramkram</t>
        </is>
      </c>
    </row>
    <row r="17674">
      <c r="A17674" t="inlineStr">
        <is>
          <t>Stuff 3</t>
        </is>
      </c>
      <c r="B17674">
        <f>HYPERLINK("https://www.dofusbook.net/fr/equipement/195689-stuff-3/objets", "link")</f>
        <v/>
      </c>
      <c r="C17674" t="n">
        <v>1</v>
      </c>
      <c r="D17674" t="inlineStr">
        <is>
          <t>Baguette Hernelle; Amulette d'Otomaï; Bague Gloursonne; Alliance de Missiz Frizz; Bouclier du Cycloïde; Ceinture Séculaire; Coiffe de Padgref; Cape de Diondin; Getas de Padgref; Dofus Turquoise; Nomade; Érudit majeur; Vigoureux majeur; Remueur; Cascadeur majeur; Kramkram</t>
        </is>
      </c>
    </row>
    <row r="17675">
      <c r="A17675" t="inlineStr">
        <is>
          <t>Stuff 1</t>
        </is>
      </c>
      <c r="B17675">
        <f>HYPERLINK("https://www.dofusbook.net/fr/equipement/195684-stuff-1/objets", "link")</f>
        <v/>
      </c>
      <c r="C17675" t="n">
        <v>0</v>
      </c>
      <c r="D17675" t="inlineStr">
        <is>
          <t>Dagues Açantes; Collier de la Dame du Hasard; Alliance Gloursonne; Pikano; Ceinture Glaciale; Kidibonnet; Cape de Kongoku; Pikottes; Entraveur majeur; Nomade; Chanceux majeur; Temporiseur majeur; Ralentisseur majeur; Remueur; Koalak Sanguin</t>
        </is>
      </c>
    </row>
    <row r="17676">
      <c r="A17676" t="inlineStr">
        <is>
          <t>Xélor M 200</t>
        </is>
      </c>
      <c r="B17676">
        <f>HYPERLINK("https://www.dofusbook.net/fr/equipement/5844942-xelor-m-200/objets", "link")</f>
        <v/>
      </c>
      <c r="C17676" t="n">
        <v>0</v>
      </c>
      <c r="D17676" t="inlineStr">
        <is>
          <t>Baguetterelle; Kralamansion; Kralano; Annolamour; Ceinture Rasboulaire du Rasboul; Chapignon; Voile d'encre; Sandales Circulaires du Kimbo</t>
        </is>
      </c>
    </row>
    <row r="17677">
      <c r="A17677" t="inlineStr">
        <is>
          <t>Sadida Lopo</t>
        </is>
      </c>
      <c r="B17677">
        <f>HYPERLINK("https://www.dofusbook.net/fr/equipement/5720287-sadida-lopo/objets", "link")</f>
        <v/>
      </c>
      <c r="C17677" t="n">
        <v>0</v>
      </c>
      <c r="D17677" t="inlineStr">
        <is>
          <t>Az'tech; Kralamansion; Annolamour; Kralano; Bouclier du Sadida; Ceinture Rasboulaire du Rasboul; Chapignon; Voile d'encre; Sandales Circulaires du Kimbo; Dofus Turquoise; Dofus Émeraude; Dofus Ocre; Dofus Vulbis; Dofus Pourpre; Dofus Cawotte</t>
        </is>
      </c>
    </row>
    <row r="17678">
      <c r="A17678" t="inlineStr">
        <is>
          <t>Sadida Tynril</t>
        </is>
      </c>
      <c r="B17678">
        <f>HYPERLINK("https://www.dofusbook.net/fr/equipement/5772928-sadida-tynril/objets", "link")</f>
        <v/>
      </c>
      <c r="C17678" t="n">
        <v>0</v>
      </c>
      <c r="D17678" t="inlineStr">
        <is>
          <t>Rhizome du Tynril; Kralamansion; Kralano; Annolamour; Ceinture Rasboulaire du Rasboul; Chapignon; Voile d'encre; Sandales Circulaires du Kimbo; Dofus Émeraude; Dofus Ocre; Dofus Pourpre; Dofus Vulbis; Dofus Cawotte; Dofus Turquoise; Dragodinde en armure</t>
        </is>
      </c>
    </row>
    <row r="17679">
      <c r="A17679" t="inlineStr">
        <is>
          <t>Sram M 200</t>
        </is>
      </c>
      <c r="B17679">
        <f>HYPERLINK("https://www.dofusbook.net/fr/equipement/5638241-sram-m-200/objets", "link")</f>
        <v/>
      </c>
      <c r="C17679" t="n">
        <v>0</v>
      </c>
      <c r="D17679" t="inlineStr"/>
    </row>
    <row r="17680">
      <c r="A17680" t="inlineStr">
        <is>
          <t>Sram M 200</t>
        </is>
      </c>
      <c r="B17680">
        <f>HYPERLINK("https://www.dofusbook.net/fr/equipement/5460420-sram-m-200/objets", "link")</f>
        <v/>
      </c>
      <c r="C17680" t="n">
        <v>0</v>
      </c>
      <c r="D17680" t="inlineStr">
        <is>
          <t>Amuloumulette; Anneau du Mulou; String du Mulou; Bottines du Mulou</t>
        </is>
      </c>
    </row>
    <row r="17681">
      <c r="A17681" t="inlineStr">
        <is>
          <t>Sram M 200</t>
        </is>
      </c>
      <c r="B17681">
        <f>HYPERLINK("https://www.dofusbook.net/fr/equipement/5460685-sram-m-200/objets", "link")</f>
        <v/>
      </c>
      <c r="C17681" t="n">
        <v>0</v>
      </c>
      <c r="D17681" t="inlineStr">
        <is>
          <t>La Meulette; Anneau du Meulou; Gelano; Coiffe du Meulou; Cape du Meulou; Bottes du Meulou</t>
        </is>
      </c>
    </row>
    <row r="17682">
      <c r="A17682" t="inlineStr">
        <is>
          <t>Sram M 200</t>
        </is>
      </c>
      <c r="B17682">
        <f>HYPERLINK("https://www.dofusbook.net/fr/equipement/5462610-sram-m-200/objets", "link")</f>
        <v/>
      </c>
      <c r="C17682" t="n">
        <v>0</v>
      </c>
      <c r="D17682" t="inlineStr">
        <is>
          <t>Dague Hirr; Kralamansion; Anneau Chevelu; Bracelet Ventré; Bouclier Taverne; Ceinture de Brouce; Coiffe de la Fuji Givrefoux; Cape de la Fuji Givrefoux; Sabots Minables; Enragé majeur; Miraculé majeur; Remueur; Vigoureux majeur; Cascadeur majeur; Nomade; Dragodinde Ebène et Pourpre</t>
        </is>
      </c>
    </row>
    <row r="17683">
      <c r="A17683" t="inlineStr">
        <is>
          <t>Ecaflip M 200</t>
        </is>
      </c>
      <c r="B17683">
        <f>HYPERLINK("https://www.dofusbook.net/fr/equipement/3912269-ecaflip-m-200/objets", "link")</f>
        <v/>
      </c>
      <c r="C17683" t="n">
        <v>0</v>
      </c>
      <c r="D17683" t="inlineStr">
        <is>
          <t>Pelle de Nidas; Amulette du Strigide; Bracelet du Piloztère; Alliance Gloursonne; Bouclier du Stalak; Ceintacé; Masque du Barbétoal; Chevelure de Tal Kasha; Bottes du Strigide; Dofus Turquoise; Dofus Abyssal; Dofus Pourpre; Dofus Ocre; Nomade; El Scarador</t>
        </is>
      </c>
    </row>
    <row r="17684">
      <c r="A17684" t="inlineStr">
        <is>
          <t>multi</t>
        </is>
      </c>
      <c r="B17684">
        <f>HYPERLINK("https://www.dofusbook.net/fr/equipement/3023179-multi-/objets", "link")</f>
        <v/>
      </c>
      <c r="C17684" t="n">
        <v>1</v>
      </c>
      <c r="D17684" t="inlineStr">
        <is>
          <t>Pelle de Nidas; Amulette du Strigide; Alliance Gloursonne; Bracelet du Piloztère; Bouclier du Stalak; Ceintacé; Coiffe d'Ogivol; Chevelure de Tal Kasha; Bottes du Strigide; Dofus Turquoise; Dofus des Glaces; Dofus Ocre; Dofus Pourpre; Dofus Abyssal; Nomade; El Scarador</t>
        </is>
      </c>
    </row>
    <row r="17685">
      <c r="A17685" t="inlineStr">
        <is>
          <t>pvmbaslvl</t>
        </is>
      </c>
      <c r="B17685">
        <f>HYPERLINK("https://www.dofusbook.net/fr/equipement/2871059-pvmbaslvl/objets", "link")</f>
        <v/>
      </c>
      <c r="C17685" t="n">
        <v>0</v>
      </c>
      <c r="D17685" t="inlineStr">
        <is>
          <t>Ares; La Feuille de Printemps; Anneau du Kaniblou; Gelano; Bouclier du Bûcheron; Ceinture du Kaniblou; Barbe de Zatoïshwan; Capitrouille; Bottes du Nowel Cauchemardesque; Dofus Cawotte; Temporiseur majeur; Remueur; Vigoureux majeur; Miraculé majeur; Nomade</t>
        </is>
      </c>
    </row>
    <row r="17686">
      <c r="A17686" t="inlineStr">
        <is>
          <t>air</t>
        </is>
      </c>
      <c r="B17686">
        <f>HYPERLINK("https://www.dofusbook.net/fr/equipement/3158452-air/objets", "link")</f>
        <v/>
      </c>
      <c r="C17686" t="n">
        <v>0</v>
      </c>
      <c r="D17686" t="inlineStr">
        <is>
          <t>Pelle de la Cour Sombre; Collier du Valet Veinard; Alliance Gloursonne; Gant du Valet Veinard; Bouclier du Stalak; Menoture; Casque Dragoeuf; Cape Indescriptible; Palmes Trithons; Dofus Pourpre; Dofus Abyssal; Dofus Émeraude; Nomade; Remueur; Cascadeur majeur; Croum</t>
        </is>
      </c>
    </row>
    <row r="17687">
      <c r="A17687" t="inlineStr">
        <is>
          <t>terre air</t>
        </is>
      </c>
      <c r="B17687">
        <f>HYPERLINK("https://www.dofusbook.net/fr/equipement/3081324-terre-air/objets", "link")</f>
        <v/>
      </c>
      <c r="C17687" t="n">
        <v>0</v>
      </c>
      <c r="D17687" t="inlineStr">
        <is>
          <t>Pelle de la Cour Sombre; Collier du Valet Veinard; Gant du Valet Veinard; Anneau d'Allister; Bouclier d'Ilyzaelle; Ceintouse; Couronne d'Allister; Cape du Valet Veinard; Bottes d'Allister; Dokoko; Dofus Ocre; Dofus Émeraude; Dofus Abyssal; Dofus Pourpre; Dofus Ivoire</t>
        </is>
      </c>
    </row>
    <row r="17688">
      <c r="A17688" t="inlineStr">
        <is>
          <t>mono air</t>
        </is>
      </c>
      <c r="B17688">
        <f>HYPERLINK("https://www.dofusbook.net/fr/equipement/3075972-mono-air/objets", "link")</f>
        <v/>
      </c>
      <c r="C17688" t="n">
        <v>0</v>
      </c>
      <c r="D17688" t="inlineStr">
        <is>
          <t>Pelle de la Cour Sombre; Collier du Valet Veinard; Gant du Valet Veinard; Alliance Gloursonne; Menoture; Casque Dragoeuf; Cape Indescriptible; Palmes Trithons; Dofus Abyssal; Dofus Ivoire; Dofus Émeraude; Remueur; Cascadeur majeur; Nomade; Croum</t>
        </is>
      </c>
    </row>
    <row r="17689">
      <c r="A17689" t="inlineStr">
        <is>
          <t>randsom</t>
        </is>
      </c>
      <c r="B17689">
        <f>HYPERLINK("https://www.dofusbook.net/fr/equipement/3001153-randsom/objets", "link")</f>
        <v/>
      </c>
      <c r="C17689" t="n">
        <v>0</v>
      </c>
      <c r="D17689" t="inlineStr">
        <is>
          <t>Pelle de la Cour Sombre; Collier du Valet Veinard; Gant du Valet Veinard; Gelano; Bouclier du Stalak; Menoture; Dorabysses; Cape Indescriptible; Palmes Trithons; Remueur; Cascadeur majeur; Nomade; Dévastateur Air majeur; Miraculé majeur; Vigoureux majeur; Pioute jaune</t>
        </is>
      </c>
    </row>
    <row r="17690">
      <c r="A17690" t="inlineStr">
        <is>
          <t>air bis</t>
        </is>
      </c>
      <c r="B17690">
        <f>HYPERLINK("https://www.dofusbook.net/fr/equipement/2980602-air-bis/objets", "link")</f>
        <v/>
      </c>
      <c r="C17690" t="n">
        <v>0</v>
      </c>
      <c r="D17690" t="inlineStr">
        <is>
          <t>Epée Loponèze; Amulette d'Ilyzaelle; Gant du Valet Veinard; Alliance Gloursonne; Bouclier du Stalak; Menoture; Casque d'Ilyzaelle; Cape Indescriptible; Palmes Trithons; Dofus des Glaces; Dofus Abyssal; Dofus Émeraude; Dofus Ocre; Dévastateur Air majeur; Nomade</t>
        </is>
      </c>
    </row>
    <row r="17691">
      <c r="A17691" t="inlineStr">
        <is>
          <t>mode air</t>
        </is>
      </c>
      <c r="B17691">
        <f>HYPERLINK("https://www.dofusbook.net/fr/equipement/2928353-mode-air/objets", "link")</f>
        <v/>
      </c>
      <c r="C17691" t="n">
        <v>0</v>
      </c>
      <c r="D17691" t="inlineStr">
        <is>
          <t>Dagues Érhy; Collier du Valet Veinard; Alliance Gloursonne; Gant du Valet Veinard; Bouclier du Stalak; Ceintouse; Chapoulpe; Cape du Valet Veinard; Tentassons; Dokoko; Dofus Abyssal; Dofus Pourpre; Dofus Ivoire; Dofus des Glaces; Dofus Ocre; Muldo Ebène et Pourpre</t>
        </is>
      </c>
    </row>
    <row r="17692">
      <c r="A17692" t="inlineStr">
        <is>
          <t>res</t>
        </is>
      </c>
      <c r="B17692">
        <f>HYPERLINK("https://www.dofusbook.net/fr/equipement/2861645-res/objets", "link")</f>
        <v/>
      </c>
      <c r="C17692" t="n">
        <v>0</v>
      </c>
      <c r="D17692" t="inlineStr">
        <is>
          <t>Hache du Chalœil; Amulette Ementaire Deluxe; Alliance Gloursonne; Alliance du Lévitrof; Bouclier du Stalak; Ceintacé; Casque Dragoeuf; Voile d'encre; Bottes du Lévitrof; Dofus Abyssal; Dofus Ocre; Dofus Ivoire; Temporiseur majeur; Déserteur majeur; Nomade; Dragodinde en armure</t>
        </is>
      </c>
    </row>
    <row r="17693">
      <c r="A17693" t="inlineStr">
        <is>
          <t>tgj</t>
        </is>
      </c>
      <c r="B17693">
        <f>HYPERLINK("https://www.dofusbook.net/fr/equipement/2716815-tgj/objets", "link")</f>
        <v/>
      </c>
      <c r="C17693" t="n">
        <v>0</v>
      </c>
      <c r="D17693" t="inlineStr">
        <is>
          <t>Hache du Chalœil; Amulette Ementaire Deluxe; Alliance du Lévitrof; Alliance Gloursonne; Quatre-feuilles; Ceintacé; Chapeau de Gein; Voile d'encre; Bottes du Lévitrof; Dofus Pourpre; Dofus des Glaces; Dofus Turquoise; Dofus Abyssal; Dofus Ocre; Vigoureux majeur; Muldo Prune et Emeraude</t>
        </is>
      </c>
    </row>
    <row r="17694">
      <c r="A17694" t="inlineStr">
        <is>
          <t>eau 200</t>
        </is>
      </c>
      <c r="B17694">
        <f>HYPERLINK("https://www.dofusbook.net/fr/equipement/2058318-eau-200/objets", "link")</f>
        <v/>
      </c>
      <c r="C17694" t="n">
        <v>0</v>
      </c>
      <c r="D17694" t="inlineStr">
        <is>
          <t>Sceptre du Roi Joueur; Amulette de Shokkoth; Alliance Gloursonne; Bracelet des Fonds marins; Bouclier du Stalak; Poulpagne; Capuche de l'Œil Attentif; Cape de l'Œil Attentif; Bottes du Sinistrofu; Dofus des Glaces; Remueur; Miraculé majeur; Dévastateur Eau majeur; Chanceux majeur; Cavaleur majeur; Muldo Indigo</t>
        </is>
      </c>
    </row>
    <row r="17695">
      <c r="A17695" t="inlineStr">
        <is>
          <t>air 200</t>
        </is>
      </c>
      <c r="B17695">
        <f>HYPERLINK("https://www.dofusbook.net/fr/equipement/2058289-air-200/objets", "link")</f>
        <v/>
      </c>
      <c r="C17695" t="n">
        <v>0</v>
      </c>
      <c r="D17695" t="inlineStr">
        <is>
          <t>Pelle de la Cour Sombre; Collier du Valet Veinard; Alliance Gloursonne; Gant du Valet Veinard; Bouclier du Stalak; Menoture; Dorabysses; Cape Indescriptible; Palmes Trithons; Dofus Ocre; Dofus des Glaces; Dofus Abyssal; Cascadeur majeur; Dévastateur Air majeur; Nomade; Pioute jaune</t>
        </is>
      </c>
    </row>
    <row r="17696">
      <c r="A17696" t="inlineStr">
        <is>
          <t>Crâ M 200</t>
        </is>
      </c>
      <c r="B17696">
        <f>HYPERLINK("https://www.dofusbook.net/fr/equipement/5979823-cra-m-200/objets", "link")</f>
        <v/>
      </c>
      <c r="C17696" t="n">
        <v>0</v>
      </c>
      <c r="D17696" t="inlineStr">
        <is>
          <t>Dagoulinantes; Talisman Glouti; Anneau de Pol Ouatnos; Anneau Volkorne; Sept ans de malheur; Ceintacé; Némès de Tal Kasha; Chevelure de Tal Kasha; Bottes Honyme; Dofus Ivoire; Obstructeur majeur; Chanceux majeur; Déserteur majeur; Étourdisseur majeur; Dévastateur Eau majeur; Dragoune Rose</t>
        </is>
      </c>
    </row>
    <row r="17697">
      <c r="A17697" t="inlineStr">
        <is>
          <t>Pandawa F 200</t>
        </is>
      </c>
      <c r="B17697">
        <f>HYPERLINK("https://www.dofusbook.net/fr/equipement/5883432-pandawa-f-200/objets", "link")</f>
        <v/>
      </c>
      <c r="C17697" t="n">
        <v>1</v>
      </c>
      <c r="D17697" t="inlineStr">
        <is>
          <t>Arc de Koutoulou; Amulette d'Ilyzaelle; Anneau de Pol Ouatnos; Anneau Volkorne; Sept ans de malheur; Ceintacé; Némès de Tal Kasha; Chevelure de Tal Kasha; Bottes Honyme; Dofus Ébène; Dofus Ivoire; Dofus Abyssal; Étourdisseur majeur; Chanceux majeur; Dévastateur Eau majeur; Dragoune Rose</t>
        </is>
      </c>
    </row>
    <row r="17698">
      <c r="A17698" t="inlineStr">
        <is>
          <t>Enutrof F 200</t>
        </is>
      </c>
      <c r="B17698">
        <f>HYPERLINK("https://www.dofusbook.net/fr/equipement/5942701-enutrof-f-200/objets", "link")</f>
        <v/>
      </c>
      <c r="C17698" t="n">
        <v>0</v>
      </c>
      <c r="D17698" t="inlineStr">
        <is>
          <t>Arc de Koutoulou; Amulette des Chocomanciens; Alliance Gloursonne; Bracelet du Piloztère; Bouclier cubiste; Ceintacé; Némès de Tal Kasha; Chevelure de Tal Kasha; Pataugastrique; Dofus des Glaces; Dofus Vulbis; Déserteur majeur; Temporiseur majeur; Fonceur majeur; Étourdisseur majeur; Kramkram</t>
        </is>
      </c>
    </row>
    <row r="17699">
      <c r="A17699" t="inlineStr">
        <is>
          <t>Iop F 200</t>
        </is>
      </c>
      <c r="B17699">
        <f>HYPERLINK("https://www.dofusbook.net/fr/equipement/5942664-iop-f-200/objets", "link")</f>
        <v/>
      </c>
      <c r="C17699" t="n">
        <v>0</v>
      </c>
      <c r="D17699" t="inlineStr">
        <is>
          <t>Epée Toche; Amulette Volcanique; Bague Gloursonne; Chevalière du Roi Joueur; Bouclier du Captain Amakna; Ceinture Hyolite; Chapeau de Gein; Cape du Professeur Xa; Sabots Volcaniques; Dofus Ivoire; Dofus Ocre; Dofus des Glaces; Dofus Nébuleux; Dofus Abyssal; Remueur; Kramkram</t>
        </is>
      </c>
    </row>
    <row r="17700">
      <c r="A17700" t="inlineStr">
        <is>
          <t>Zobal F 200</t>
        </is>
      </c>
      <c r="B17700">
        <f>HYPERLINK("https://www.dofusbook.net/fr/equipement/5942638-zobal-f-200/objets", "link")</f>
        <v/>
      </c>
      <c r="C17700" t="n">
        <v>0</v>
      </c>
      <c r="D17700" t="inlineStr">
        <is>
          <t>Baguette de Torkélonia; Amulette du Strigide; Bague Gloursonne; Alliance Gloursonne; Bouclier du Captain Amakna; Ceinture du Strigide; Corne de Torkélonia; Carapace de Torkélonia; Bottes du Strigide; Dofus Turquoise; Dofus Ébène; Dofus Abyssal; Dofus Ivoire; Dofus des Glaces; Dofus Ocre; Volkorne Saphir et Emeraude</t>
        </is>
      </c>
    </row>
    <row r="17701">
      <c r="A17701" t="inlineStr">
        <is>
          <t>Pandawa M 200</t>
        </is>
      </c>
      <c r="B17701">
        <f>HYPERLINK("https://www.dofusbook.net/fr/equipement/5905545-pandawa-m-200/objets", "link")</f>
        <v/>
      </c>
      <c r="C17701" t="n">
        <v>0</v>
      </c>
      <c r="D17701" t="inlineStr">
        <is>
          <t>Hache du Chalœil; Amulette du Strigide; Bracelet du Piloztère; Bague Trithon; Quatre-feuilles; Ceintacé; Casque du Chalœil; Cape du Chalœil; Bottes Honyme; Dofus Ivoire; Dofus Nébuleux; Dofus des Glaces; Dofus Turquoise; Carapace Feu majeur; Nomade; Kokulte</t>
        </is>
      </c>
    </row>
    <row r="17702">
      <c r="A17702" t="inlineStr">
        <is>
          <t>Zobal F 200</t>
        </is>
      </c>
      <c r="B17702">
        <f>HYPERLINK("https://www.dofusbook.net/fr/equipement/5819813-zobal-f-200/objets", "link")</f>
        <v/>
      </c>
      <c r="C17702" t="n">
        <v>0</v>
      </c>
      <c r="D17702" t="inlineStr">
        <is>
          <t>Arc Volkorne; Amulette Volkorne; Bracelet du Piloztère; Anneau Volkorne; Bouclier du Captain Amakna; Ceinture Volkorne; Casque Volkorne; Dofusteuse; Bottes Honyme; Dofus Turquoise; Dofus Abyssal; Dofus Ocre; Dofus Ébène; Dofus Ivoire; Dofus des Glaces; Kramkram</t>
        </is>
      </c>
    </row>
    <row r="17703">
      <c r="A17703" t="inlineStr">
        <is>
          <t>Zobal F 200</t>
        </is>
      </c>
      <c r="B17703">
        <f>HYPERLINK("https://www.dofusbook.net/fr/equipement/5820185-zobal-f-200/objets", "link")</f>
        <v/>
      </c>
      <c r="C17703" t="n">
        <v>0</v>
      </c>
      <c r="D17703" t="inlineStr">
        <is>
          <t>Baguette de Torkélonia; Amulette du Cycloïde; Anneau Crustique; Gant du Valet Veinard; Bouclier du Captain Amakna; Ceintouse; Casque des égarés; Cape du Kamasterisk; Baleinabottes; Dofus des Glaces; Dévastateur Terre majeur; Remueur; Carapace Neutre majeur; Dévastateur Air majeur; Nomade; Kramkram</t>
        </is>
      </c>
    </row>
    <row r="17704">
      <c r="A17704" t="inlineStr">
        <is>
          <t>Zobal F 200</t>
        </is>
      </c>
      <c r="B17704">
        <f>HYPERLINK("https://www.dofusbook.net/fr/equipement/5820076-zobal-f-200/objets", "link")</f>
        <v/>
      </c>
      <c r="C17704" t="n">
        <v>0</v>
      </c>
      <c r="D17704" t="inlineStr">
        <is>
          <t>Dagues Érhy; Amulette Volcanique; Baguistik; Chevalière du Roi Joueur; Bouclier du Captain Amakna; Ceinture Hyolite; Chapeau de Gein; Sac Volcanique; Bottes Honyme; Dofus Turquoise; Dofus des Glaces; Dévastateur Feu majeur; Nomade; Dévastateur Terre majeur; Remueur; Kramkram</t>
        </is>
      </c>
    </row>
    <row r="17705">
      <c r="A17705" t="inlineStr">
        <is>
          <t>Zobal F 200</t>
        </is>
      </c>
      <c r="B17705">
        <f>HYPERLINK("https://www.dofusbook.net/fr/equipement/5820008-zobal-f-200/objets", "link")</f>
        <v/>
      </c>
      <c r="C17705" t="n">
        <v>0</v>
      </c>
      <c r="D17705" t="inlineStr">
        <is>
          <t>Arc corrompu; Amulette Volkorne; Anneau Tique; Anneau de Nidas; Bouclier du Captain Amakna; Ceinture de Vortex; Heaume Oplate; Cape de Diondin; Bottes Innommables; Dofus des Glaces; Carapace Terre majeur; Érudit majeur; Carapace Neutre majeur; Dévastateur Feu majeur; Nomade; Bisouglours</t>
        </is>
      </c>
    </row>
    <row r="17706">
      <c r="A17706" t="inlineStr">
        <is>
          <t>Zobal F 200</t>
        </is>
      </c>
      <c r="B17706">
        <f>HYPERLINK("https://www.dofusbook.net/fr/equipement/5819973-zobal-f-200/objets", "link")</f>
        <v/>
      </c>
      <c r="C17706" t="n">
        <v>0</v>
      </c>
      <c r="D17706" t="inlineStr">
        <is>
          <t>Manthache; Collier du Valet Veinard; Alliance Gloursonne; Gant du Valet Veinard; Bouclier du Captain Amakna; Menoture; Dorabysses; Cape du Kamasterisk; Palmes Trithons; Dévastateur Air majeur; Carapace Neutre majeur; Cascadeur majeur; Nomade; Carapace Air majeur; Remueur; Blérodoudou</t>
        </is>
      </c>
    </row>
    <row r="17707">
      <c r="A17707" t="inlineStr">
        <is>
          <t>Zobal F 200</t>
        </is>
      </c>
      <c r="B17707">
        <f>HYPERLINK("https://www.dofusbook.net/fr/equipement/5819933-zobal-f-200/objets", "link")</f>
        <v/>
      </c>
      <c r="C17707" t="n">
        <v>0</v>
      </c>
      <c r="D17707" t="inlineStr">
        <is>
          <t>Dagues d'Ilyzaelle; Collier de Tourthon; Chevalière du Roi Joueur; Anneau Crustique; Bouclier du Captain Amakna; Ceinture Gence; Chapeau de Gein; Cape au Logis; Baleinabottes; Dofus Turquoise; Dofus des Glaces; Carapace Terre majeur; Enragé majeur; Carapace Neutre majeur; Dévastateur Terre majeur; Bulbisou</t>
        </is>
      </c>
    </row>
    <row r="17708">
      <c r="A17708" t="inlineStr">
        <is>
          <t>Huppermage M 200</t>
        </is>
      </c>
      <c r="B17708">
        <f>HYPERLINK("https://www.dofusbook.net/fr/equipement/5874262-huppermage-m-200/objets", "link")</f>
        <v/>
      </c>
      <c r="C17708" t="n">
        <v>0</v>
      </c>
      <c r="D17708" t="inlineStr">
        <is>
          <t>Baguette de Torkélonia; Amulette du Strigide; Anneau Tique; Bracelet du Piloztère; Bouclier du Stalak; Ceinture du Strigide; Corne de Torkélonia; Carapace de Torkélonia; Bottes du Strigide; Dofus Ocre; Dofus Abyssal; Dofus Pourpre; Dofus Ivoire; Dofus Turquoise; Dofus Nébuleux; Dragodinde en armure</t>
        </is>
      </c>
    </row>
    <row r="17709">
      <c r="A17709" t="inlineStr">
        <is>
          <t>multi Po</t>
        </is>
      </c>
      <c r="B17709">
        <f>HYPERLINK("https://www.dofusbook.net/fr/equipement/4253681-multi-po/objets", "link")</f>
        <v/>
      </c>
      <c r="C17709" t="n">
        <v>0</v>
      </c>
      <c r="D17709" t="inlineStr">
        <is>
          <t>Arc du Chalœil; Amulette du Strigide; Bague Trithon; Alliance Gloursonne; Quatre-feuilles; Sangle Ouare; Masque Trithon; Cape au Logis; Bottes Trithon; Dofus Pourpre; Dofus Ivoire; Dofus Abyssal; Dofus Émeraude; Dofus Turquoise; Dofus Ocre; Kokulte</t>
        </is>
      </c>
    </row>
    <row r="17710">
      <c r="A17710" t="inlineStr">
        <is>
          <t>eca multi</t>
        </is>
      </c>
      <c r="B17710">
        <f>HYPERLINK("https://www.dofusbook.net/fr/equipement/4171846-eca-multi/objets", "link")</f>
        <v/>
      </c>
      <c r="C17710" t="n">
        <v>1</v>
      </c>
      <c r="D17710" t="inlineStr">
        <is>
          <t>Arc Volkorne; Amulette Volkorne; Anneau Volkorne; Alliance Gloursonne; Bouclier du Stalak; Ceinture Volkorne; Casque Volkorne; Chevelure de Tal Kasha; Sandales de Tal Kasha; Dofus Ocre; Dofus Ivoire; Dofus Pourpre; Dofus Nébuleux; Dofus Turquoise; Dofus Abyssal; Volkorne Saphir et Améthyste</t>
        </is>
      </c>
    </row>
    <row r="17711">
      <c r="A17711" t="inlineStr">
        <is>
          <t>Stuff 1</t>
        </is>
      </c>
      <c r="B17711">
        <f>HYPERLINK("https://www.dofusbook.net/fr/equipement/226093-stuff-1/objets", "link")</f>
        <v/>
      </c>
      <c r="C17711" t="n">
        <v>0</v>
      </c>
      <c r="D17711" t="inlineStr">
        <is>
          <t>Arc Volkorne; Amulette Volkorne; Anneau Volkorne; Bague Trithon; Quatre-feuilles; Ceinture Volkorne; Masque Trithon; Chevelure de Tal Kasha; Bottes Trithon; Dofus Turquoise; Dofus Ocre; Dofus Ivoire; Dolmanax; Dofus Émeraude; Dofus Pourpre; Kokulte</t>
        </is>
      </c>
    </row>
    <row r="17712">
      <c r="A17712" t="inlineStr">
        <is>
          <t>stuff feu eau ret PM</t>
        </is>
      </c>
      <c r="B17712">
        <f>HYPERLINK("https://www.dofusbook.net/fr/equipement/4232540-stuff-feu-eau-ret-pm/objets", "link")</f>
        <v/>
      </c>
      <c r="C17712" t="n">
        <v>0</v>
      </c>
      <c r="D17712" t="inlineStr">
        <is>
          <t>Arc Nécrotique; Talisman Igans; Anneau Tique; Alliance Gloursonne; Bouclier cubiste; Ceintrigue; Capuche de l'Œil Putride; Cape de la Dame du Hasard; Pataugastrique; Temporiseur majeur; Vigoureux majeur; Entraveur majeur; Nomade; Chanceux majeur; Remueur; Gwo Tofu Ventripotent</t>
        </is>
      </c>
    </row>
    <row r="17713">
      <c r="A17713" t="inlineStr">
        <is>
          <t>Iop terre feu</t>
        </is>
      </c>
      <c r="B17713">
        <f>HYPERLINK("https://www.dofusbook.net/fr/equipement/4232461-iop-terre-feu/objets", "link")</f>
        <v/>
      </c>
      <c r="C17713" t="n">
        <v>0</v>
      </c>
      <c r="D17713" t="inlineStr">
        <is>
          <t>Amulette du Strigide; Bague Gloursonne; Bracelet du Piloztère; Quatre-feuilles; Ceinture du Strigide; Chapeau de Gein; Voile d'encre; Bottes du Strigide; Dofus Pourpre; Dofus Nébuleux; Dofus Turquoise; Dofus Abyssal; Dolmanax; Dofus Ocre</t>
        </is>
      </c>
    </row>
    <row r="17714">
      <c r="A17714" t="inlineStr">
        <is>
          <t>Iop feu</t>
        </is>
      </c>
      <c r="B17714">
        <f>HYPERLINK("https://www.dofusbook.net/fr/equipement/4232284-iop-feu/objets", "link")</f>
        <v/>
      </c>
      <c r="C17714" t="n">
        <v>1</v>
      </c>
      <c r="D17714" t="inlineStr">
        <is>
          <t>La Baguette des Limbes; Amulette du Strigide; Bague Gloursonne; Anneau de Padgref; Quatre-feuilles; Ceinture du Strigide; Coiffe de Padgref; Voile d'encre; Getas de Padgref; Dofus Pourpre; Dofus Nébuleux; Dofus Turquoise; Dofus Abyssal; Dolmanax; Dofus Ocre; Pioute rouge</t>
        </is>
      </c>
    </row>
    <row r="17715">
      <c r="A17715" t="inlineStr">
        <is>
          <t>Full agi</t>
        </is>
      </c>
      <c r="B17715">
        <f>HYPERLINK("https://www.dofusbook.net/fr/equipement/3448108-full-agi/objets", "link")</f>
        <v/>
      </c>
      <c r="C17715" t="n">
        <v>2</v>
      </c>
      <c r="D17715" t="inlineStr">
        <is>
          <t>Hachoirs de Viandargh; Amulette du Cœur Vaillant; Alliance Gloursonne; Gant du Valet Veinard; Bouclier Taverne; Menoture; Chapeau des Malveilleurs; Cape des Malveilleurs; Palmes Trithons; Dofus Turquoise; Dofus Ocre; Dofus Ivoire; Dofus Pourpre; Nomade; Cascadeur majeur; Pioute jaune</t>
        </is>
      </c>
    </row>
    <row r="17716">
      <c r="A17716" t="inlineStr">
        <is>
          <t>Stuff do pou</t>
        </is>
      </c>
      <c r="B17716">
        <f>HYPERLINK("https://www.dofusbook.net/fr/equipement/3133257-stuff-do-pou/objets", "link")</f>
        <v/>
      </c>
      <c r="C17716" t="n">
        <v>3</v>
      </c>
      <c r="D17716" t="inlineStr">
        <is>
          <t>Héqache; Amulette du Strigide; Anneau Chevelu; Alliance Gloursonne; Bouclier précieux; Ceintacé; Masque Trithon; Voile d'encre; Bottes Trithon; Dofus Abyssal; Dofus Ivoire; Carapace Air majeur; Remueur; Bousculeur majeur; Culbuteur majeur; Balafreux</t>
        </is>
      </c>
    </row>
    <row r="17717">
      <c r="A17717" t="inlineStr">
        <is>
          <t>do crit do pou</t>
        </is>
      </c>
      <c r="B17717">
        <f>HYPERLINK("https://www.dofusbook.net/fr/equipement/3951901-do-crit-do-pou/objets", "link")</f>
        <v/>
      </c>
      <c r="C17717" t="n">
        <v>0</v>
      </c>
      <c r="D17717" t="inlineStr">
        <is>
          <t>Hache Téroïde; Amulette du Strigide; Anneau de Padgref; Bague Trithon; Quatre-feuilles; Ceinture du Strigide; Masque Trithon; Chevelure de Tal Kasha; Bottes du Strigide; Dofus Turquoise; Dofus Abyssal; Dolmanax; Dofus Ivoire; Dofus Pourpre; Dofus Ocre; Muldo Prune et Emeraude</t>
        </is>
      </c>
    </row>
    <row r="17718">
      <c r="A17718" t="inlineStr">
        <is>
          <t>Multi rox</t>
        </is>
      </c>
      <c r="B17718">
        <f>HYPERLINK("https://www.dofusbook.net/fr/equipement/3453783-multi-rox/objets", "link")</f>
        <v/>
      </c>
      <c r="C17718" t="n">
        <v>3</v>
      </c>
      <c r="D17718" t="inlineStr">
        <is>
          <t>L'Épée Nice; Amulette du Strigide; Alliance Gloursonne; Bague Trithon; Quatre-feuilles; Ceinture du Strigide; Némès de Tal Kasha; Chevelure de Tal Kasha; Sandales de Tal Kasha; Dofus Turquoise; Dofus Ivoire; Dolmanax; Dofus Ocre; Dofus Pourpre; Dofus Nébuleux; Kokulte</t>
        </is>
      </c>
    </row>
    <row r="17719">
      <c r="A17719" t="inlineStr">
        <is>
          <t>Hupper multi</t>
        </is>
      </c>
      <c r="B17719">
        <f>HYPERLINK("https://www.dofusbook.net/fr/equipement/3939464-hupper-multi/objets", "link")</f>
        <v/>
      </c>
      <c r="C17719" t="n">
        <v>1</v>
      </c>
      <c r="D17719" t="inlineStr">
        <is>
          <t>Épée Brûlâme; Amulette du Strigide; Alliance Gloursonne; Bague Gloursonne; Bouclier Taverne; Ceinture du Strigide; Capuche de l'Œil Putride; Voile d'encre; Bottes du Strigide; Dofus Turquoise; Dofus Nébuleux; Dofus Ocre; Dofus Ivoire; Dofus Pourpre; Dofus Abyssal; Muldo Prune et Emeraude</t>
        </is>
      </c>
    </row>
    <row r="17720">
      <c r="A17720" t="inlineStr">
        <is>
          <t>feu soin</t>
        </is>
      </c>
      <c r="B17720">
        <f>HYPERLINK("https://www.dofusbook.net/fr/equipement/3941666-feu-soin/objets", "link")</f>
        <v/>
      </c>
      <c r="C17720" t="n">
        <v>2</v>
      </c>
      <c r="D17720" t="inlineStr">
        <is>
          <t>Arc corrompu; Amulette de Nileza; Anneauræus; Bague Gloursonne; Sept ans de malheur; Cagoule de Vortex; Voile d'encre; Pataugastrique; Dofus Abyssal; Dofus Ivoire; Dofus Ocre; Nomade; Étourdisseur majeur; Guérisseur majeur; Dragodinde Orchidée et Rousse</t>
        </is>
      </c>
    </row>
    <row r="17721">
      <c r="A17721" t="inlineStr">
        <is>
          <t>do pou pvp</t>
        </is>
      </c>
      <c r="B17721">
        <f>HYPERLINK("https://www.dofusbook.net/fr/equipement/3947005-do-pou-pvp/objets", "link")</f>
        <v/>
      </c>
      <c r="C17721" t="n">
        <v>1</v>
      </c>
      <c r="D17721" t="inlineStr">
        <is>
          <t>L'Épée Nice; Amulette Luminescente; Alliance Gloursonne; Bague Trithon; Bouclier précieux; Ceinture Luminescente; Masque Trithon; Cape Luminescente; Bottes Trithon; Dofus Ocre; Dokoko; Dofus Abyssal; Dofus Émeraude; Dofus Ivoire; Bousculeur majeur; Péki</t>
        </is>
      </c>
    </row>
    <row r="17722">
      <c r="A17722" t="inlineStr">
        <is>
          <t>Multi fami</t>
        </is>
      </c>
      <c r="B17722">
        <f>HYPERLINK("https://www.dofusbook.net/fr/equipement/3927676-multi-fami/objets", "link")</f>
        <v/>
      </c>
      <c r="C17722" t="n">
        <v>0</v>
      </c>
      <c r="D17722" t="inlineStr">
        <is>
          <t>L'Épée Nice; Amulette du Strigide; Alliance Gloursonne; Bracelet du Piloztère; Bouclier du Stalak; Ceinture du Strigide; Némès de Tal Kasha; Chevelure de Tal Kasha; Bottes du Strigide; Dofus Turquoise; Dofus Ivoire; Dofus Ocre; Dofus Pourpre; Dofus Nébuleux; Robuste majeur; Chacha Angora</t>
        </is>
      </c>
    </row>
    <row r="17723">
      <c r="A17723" t="inlineStr">
        <is>
          <t>Multi</t>
        </is>
      </c>
      <c r="B17723">
        <f>HYPERLINK("https://www.dofusbook.net/fr/equipement/3483274-multi/objets", "link")</f>
        <v/>
      </c>
      <c r="C17723" t="n">
        <v>7</v>
      </c>
      <c r="D17723" t="inlineStr">
        <is>
          <t>Arc de Koutoulou; Amulette du Strigide; Alliance Gloursonne; Anneau Volkorne; Bouclier du Stalak; Ceinture du Strigide; Casque Volkorne; Chevelure de Tal Kasha; Bottes du Strigide; Dofus Pourpre; Dofus Nébuleux; Dofus Turquoise; Dofus Ivoire; Dofus Ocre; Robuste majeur; Muldo Doré et Emeraude</t>
        </is>
      </c>
    </row>
    <row r="17724">
      <c r="A17724" t="inlineStr">
        <is>
          <t>PVP hache Chaloeil</t>
        </is>
      </c>
      <c r="B17724">
        <f>HYPERLINK("https://www.dofusbook.net/fr/equipement/3127645-pvp-hache-chaloeil/objets", "link")</f>
        <v/>
      </c>
      <c r="C17724" t="n">
        <v>1</v>
      </c>
      <c r="D17724" t="inlineStr">
        <is>
          <t>Bâton Beau; Amulette du Strigide; Bague Gloursonne; Alliance Gloursonne; Quatre-feuilles; Ceinture du Strigide; Némès de Tal Kasha; Chevelure de Tal Kasha; Bottes du Strigide; Dofus Pourpre; Dofus Nébuleux; Dofus Turquoise; Dofus Ivoire; Dolmanax; Dofus Ocre; Muldo Prune et Emeraude</t>
        </is>
      </c>
    </row>
    <row r="17725">
      <c r="A17725" t="inlineStr">
        <is>
          <t>Full agi</t>
        </is>
      </c>
      <c r="B17725">
        <f>HYPERLINK("https://www.dofusbook.net/fr/equipement/452701-full-agi/objets", "link")</f>
        <v/>
      </c>
      <c r="C17725" t="n">
        <v>3</v>
      </c>
      <c r="D17725" t="inlineStr">
        <is>
          <t>Manthache; Collier du Valet Veinard; Alliance Gloursonne; Gant du Valet Veinard; Cadran d'Air; Menoture; Casque Volkorne; Cape Indescriptible; Palmes Trithons; Dofus Abyssal; Dofus Ivoire; Cascadeur majeur; Dévastateur Air majeur; Remueur; Nomade; Siroko</t>
        </is>
      </c>
    </row>
    <row r="17726">
      <c r="A17726" t="inlineStr">
        <is>
          <t>FEU/EAU/RET PA</t>
        </is>
      </c>
      <c r="B17726">
        <f>HYPERLINK("https://www.dofusbook.net/fr/equipement/1344571-feu-eau-ret-pa/objets", "link")</f>
        <v/>
      </c>
      <c r="C17726" t="n">
        <v>2</v>
      </c>
      <c r="D17726" t="inlineStr">
        <is>
          <t>Arc Nécrotique; Talisman Igans; Anneau Tique; Alliance Gloursonne; Sept ans de malheur; Ceintrigue; Kidibonnet; Cape de la Dame du Hasard; Pataugastrique; Dofus Pourpre; Dofus Turquoise; Paralyseur majeur; Étourdisseur majeur; Carapace Eau majeur; Vigoureux majeur; Muldo Orchidée et Pourpre</t>
        </is>
      </c>
    </row>
    <row r="17727">
      <c r="A17727" t="inlineStr">
        <is>
          <t>FEU/EAU/ROX</t>
        </is>
      </c>
      <c r="B17727">
        <f>HYPERLINK("https://www.dofusbook.net/fr/equipement/1345592-feu-eau-rox/objets", "link")</f>
        <v/>
      </c>
      <c r="C17727" t="n">
        <v>0</v>
      </c>
      <c r="D17727" t="inlineStr">
        <is>
          <t>Épée Brûlâme; Talisman Igans; Anneau Tique; Alliance Gloursonne; Bouclier d'Ilyzaelle; Ceintrigue; Capuche de l'Œil Putride; Cape de la Dame du Hasard; Pataugastrique; Dofus Nébuleux; Dofus Pourpre; Dofus Turquoise; Remueur; Vigoureux majeur; Carapace Feu majeur</t>
        </is>
      </c>
    </row>
    <row r="17728">
      <c r="A17728" t="inlineStr">
        <is>
          <t>full eau/air</t>
        </is>
      </c>
      <c r="B17728">
        <f>HYPERLINK("https://www.dofusbook.net/fr/equipement/3449541-full-eau-air/objets", "link")</f>
        <v/>
      </c>
      <c r="C17728" t="n">
        <v>1</v>
      </c>
      <c r="D17728" t="inlineStr">
        <is>
          <t>Arc de Koutoulou; Amulette Voldelor; Anneau Volkorne; Alliance Gloursonne; Bouclier du Stalak; Ceinture Voldelor; Casque Volkorne; Chevelure de Tal Kasha; Bottes Voldelor; Dofus Ocre; Dofus Pourpre; Dofus Nébuleux; Dofus Turquoise; Dofus Ivoire; Robuste majeur; Muldo Doré et Emeraude</t>
        </is>
      </c>
    </row>
    <row r="17729">
      <c r="A17729" t="inlineStr">
        <is>
          <t>full bourrin</t>
        </is>
      </c>
      <c r="B17729">
        <f>HYPERLINK("https://www.dofusbook.net/fr/equipement/3449522-full-bourrin/objets", "link")</f>
        <v/>
      </c>
      <c r="C17729" t="n">
        <v>2</v>
      </c>
      <c r="D17729" t="inlineStr">
        <is>
          <t>Hache du Chalœil; Amulette du Strigide; Alliance Gloursonne; Anneau Volkorne; Quatre-feuilles; Ceinture du Strigide; Casque Volkorne; Chevelure de Tal Kasha; Bottes du Strigide; Dofus Pourpre; Dofus Nébuleux; Dofus Turquoise; Dofus Ivoire; Dolmanax; Dofus Ocre; Muldo Prune et Emeraude</t>
        </is>
      </c>
    </row>
    <row r="17730">
      <c r="A17730" t="inlineStr">
        <is>
          <t>Feu air 2018</t>
        </is>
      </c>
      <c r="B17730">
        <f>HYPERLINK("https://www.dofusbook.net/fr/equipement/2760907-feu-air-2018/objets", "link")</f>
        <v/>
      </c>
      <c r="C17730" t="n">
        <v>3</v>
      </c>
      <c r="D17730" t="inlineStr">
        <is>
          <t>Lav'Hache; Torquistik; Bague Trithon; Bague Instable; Bouclier précieux; Ceinture Gence; Casque Dragoeuf; Cape du Cœur Vaillant; Bottistik; Culbuteur; Culbuteur majeur; Pousseur majeur; Remueur; Bousculeur majeur; Muldo Ebène et Pourpre</t>
        </is>
      </c>
    </row>
    <row r="17731">
      <c r="A17731" t="inlineStr">
        <is>
          <t>Full vita tank</t>
        </is>
      </c>
      <c r="B17731">
        <f>HYPERLINK("https://www.dofusbook.net/fr/equipement/2932186-full-vita-tank/objets", "link")</f>
        <v/>
      </c>
      <c r="C17731" t="n">
        <v>3</v>
      </c>
      <c r="D17731" t="inlineStr">
        <is>
          <t>Arc du Chalœil; Collier Rophante; Anneauræus; Anneauræus; Bouclier précieux; Ceinture Gence; Masque d'Anerice; Cape d'Anerice; Bottes Trithon; Dofus Émeraude; Miraculé; Carapace Neutre majeur; Miraculé majeur; Remueur; Survivant majeur; Péki</t>
        </is>
      </c>
    </row>
    <row r="17732">
      <c r="A17732" t="inlineStr">
        <is>
          <t>Huppermage M 200</t>
        </is>
      </c>
      <c r="B17732">
        <f>HYPERLINK("https://www.dofusbook.net/fr/equipement/3325796-huppermage-m-200/objets", "link")</f>
        <v/>
      </c>
      <c r="C17732" t="n">
        <v>0</v>
      </c>
      <c r="D17732" t="inlineStr">
        <is>
          <t>Manthache; Amulette du Strigide; Gant du Valet Veinard; Alliance Gloursonne; Quatre-feuilles; Menoture; Chapeau de Tournoyé; Cape de Crânonier; Palmes Trithons; Dofus Turquoise; Dofus Abyssal; Dofus Ivoire; Dofus Nébuleux; Remueur; Muldo Ebène et Orchidée</t>
        </is>
      </c>
    </row>
    <row r="17733">
      <c r="A17733" t="inlineStr">
        <is>
          <t>Eniripsa F 200</t>
        </is>
      </c>
      <c r="B17733">
        <f>HYPERLINK("https://www.dofusbook.net/fr/equipement/3310495-eniripsa-f-200/objets", "link")</f>
        <v/>
      </c>
      <c r="C17733" t="n">
        <v>5</v>
      </c>
      <c r="D17733" t="inlineStr">
        <is>
          <t>Lance Horselé; Collier du Valet Veinard; Alliance Gloursonne; Gant du Valet Veinard; Sept ans de malheur; Menoture; Dorabysses; Cape de Crânonier; Palmes Trithons; Étourdisseur majeur; Paralyseur majeur; Cascadeur majeur; Carapace Air majeur; Remueur; Muldo Ebène et Indigo</t>
        </is>
      </c>
    </row>
    <row r="17734">
      <c r="A17734" t="inlineStr">
        <is>
          <t>Terre do pou</t>
        </is>
      </c>
      <c r="B17734">
        <f>HYPERLINK("https://www.dofusbook.net/fr/equipement/3295342-terre-do-pou/objets", "link")</f>
        <v/>
      </c>
      <c r="C17734" t="n">
        <v>3</v>
      </c>
      <c r="D17734" t="inlineStr">
        <is>
          <t>Arc du Chalœil; Torquistik; Bague Trithon; Anneau Chevelu; Bouclier précieux; Ceinture Gence; Casque Dragoeuf; Cape du Cœur Vaillant; Bottistik; Dofus Ivoire; Dofus Abyssal; Culbuteur majeur; Remueur; Pousseur majeur; Bousculeur majeur; Muldo Indigo et Pourpre</t>
        </is>
      </c>
    </row>
    <row r="17735">
      <c r="A17735" t="inlineStr">
        <is>
          <t>Sram M 200</t>
        </is>
      </c>
      <c r="B17735">
        <f>HYPERLINK("https://www.dofusbook.net/fr/equipement/3291856-sram-m-200/objets", "link")</f>
        <v/>
      </c>
      <c r="C17735" t="n">
        <v>3</v>
      </c>
      <c r="D17735" t="inlineStr">
        <is>
          <t>Arc de Koutoulou; Amulette du Strigide; Gant du Valet Veinard; Alliance Gloursonne; Cadran d'Air; Ceinture du Strigide; Kidibonnet; Chevelure de Tal Kasha; Bottes Voldelor; Dofus Pourpre; Dofus Turquoise; Carapace Air majeur; Vigoureux majeur; Carapace Eau majeur; Remueur; Muldo Prune et Indigo</t>
        </is>
      </c>
    </row>
    <row r="17736">
      <c r="A17736" t="inlineStr">
        <is>
          <t>Osamodas M 200</t>
        </is>
      </c>
      <c r="B17736">
        <f>HYPERLINK("https://www.dofusbook.net/fr/equipement/3291800-osamodas-m-200/objets", "link")</f>
        <v/>
      </c>
      <c r="C17736" t="n">
        <v>3</v>
      </c>
      <c r="D17736" t="inlineStr">
        <is>
          <t>Le Thanos; Amulette d'Ilyzaelle; Gant du Valet Veinard; Alliance Gloursonne; Carapar; Menoture; Casque d'Ilyzaelle; Cape d'Anerice; Sabots de Vortex; Guérisseur majeur; Remueur; Miraculé majeur; Carapace Eau majeur; Cascadeur majeur; Carapace Air majeur; Muldo Ebène et Indigo</t>
        </is>
      </c>
    </row>
    <row r="17737">
      <c r="A17737" t="inlineStr">
        <is>
          <t>terre/air</t>
        </is>
      </c>
      <c r="B17737">
        <f>HYPERLINK("https://www.dofusbook.net/fr/equipement/1419290-terre-air/objets", "link")</f>
        <v/>
      </c>
      <c r="C17737" t="n">
        <v>2</v>
      </c>
      <c r="D17737" t="inlineStr">
        <is>
          <t>Arc corrompu; Amulette Séculaire; Anneau Tique; Bague Gloursonne; Quatre-feuilles; Ceinture Séculaire; Heaume Oplate; Voile d'encre; Bottes d'Otomaï; Dofus Turquoise; Dofus Ivoire; Carapace Feu majeur; Remueur; Érudit majeur; Carapace Terre majeur; Muldo Orchidée et Pourpre</t>
        </is>
      </c>
    </row>
    <row r="17738">
      <c r="A17738" t="inlineStr">
        <is>
          <t>feu tank</t>
        </is>
      </c>
      <c r="B17738">
        <f>HYPERLINK("https://www.dofusbook.net/fr/equipement/2290386-feu-tank/objets", "link")</f>
        <v/>
      </c>
      <c r="C17738" t="n">
        <v>1</v>
      </c>
      <c r="D17738" t="inlineStr">
        <is>
          <t>Arc corrompu; Amulette Séculaire; Anneauræus; Anneau Tique; Quatre-feuilles; Ceinture Séculaire; Heaume Oplate; Voile d'encre; Bottes d'Otomaï; Dofus Ivoire; Érudit majeur; Carapace Feu majeur; Miraculé majeur; Remueur; Carapace Terre majeur; Muldo Orchidée et Pourpre</t>
        </is>
      </c>
    </row>
    <row r="17739">
      <c r="A17739" t="inlineStr">
        <is>
          <t>terre pvp rox</t>
        </is>
      </c>
      <c r="B17739">
        <f>HYPERLINK("https://www.dofusbook.net/fr/equipement/3085204-terre-pvp-rox/objets", "link")</f>
        <v/>
      </c>
      <c r="C17739" t="n">
        <v>1</v>
      </c>
      <c r="D17739" t="inlineStr">
        <is>
          <t>Marteau R'ture; Amulette du Strigide; Bague Gloursonne; Anneau Chevelu; Bouclier d'Ilyzaelle; Ceinture du Strigide; Masque de Koutoulou; Voile d'encre; Bottes de la Cour Sombre; Dofus Ivoire; Dofus Pourpre; Dofus Turquoise; Remueur; Carapace Terre majeur; Enragé majeur; Muldo Doré et Ivoire</t>
        </is>
      </c>
    </row>
    <row r="17740">
      <c r="A17740" t="inlineStr">
        <is>
          <t>anti ougi</t>
        </is>
      </c>
      <c r="B17740">
        <f>HYPERLINK("https://www.dofusbook.net/fr/equipement/3239016-anti-ougi/objets", "link")</f>
        <v/>
      </c>
      <c r="C17740" t="n">
        <v>0</v>
      </c>
      <c r="D17740" t="inlineStr">
        <is>
          <t>Coiffe de la Reine des Voleurs; Bottes de la Reine des Voleurs</t>
        </is>
      </c>
    </row>
    <row r="17741">
      <c r="A17741" t="inlineStr">
        <is>
          <t>air tank</t>
        </is>
      </c>
      <c r="B17741">
        <f>HYPERLINK("https://www.dofusbook.net/fr/equipement/3230541-air-tank/objets", "link")</f>
        <v/>
      </c>
      <c r="C17741" t="n">
        <v>2</v>
      </c>
      <c r="D17741" t="inlineStr">
        <is>
          <t>Manthache; Collier du Valet Veinard; Alliance Gloursonne; Gant du Valet Veinard; Bouclier d'Ilyzaelle; Menoture; Dorabysses; Cape d'Anerice; Palmes Trithons; Dofus Ivoire; Cascadeur majeur; Carapace Terre majeur; Remueur; Carapace Neutre majeur; Carapace Air majeur; Muldo Ebène et Orchidée</t>
        </is>
      </c>
    </row>
    <row r="17742">
      <c r="A17742" t="inlineStr">
        <is>
          <t>Feu soin</t>
        </is>
      </c>
      <c r="B17742">
        <f>HYPERLINK("https://www.dofusbook.net/fr/equipement/3153871-feu-soin/objets", "link")</f>
        <v/>
      </c>
      <c r="C17742" t="n">
        <v>3</v>
      </c>
      <c r="D17742" t="inlineStr">
        <is>
          <t>Arc corrompu; Amulette Séculaire; Anneau Tique; Anneau de Nidas; Bivalve; Ceinture Séculaire; Capuche de l'Œil Putride; Cape de Diondin; Bottes Innommables; Astucieux majeur; Érudit majeur; Nomade; Guérisseur majeur; Remueur; Dévastateur Feu majeur; Brûlih</t>
        </is>
      </c>
    </row>
    <row r="17743">
      <c r="A17743" t="inlineStr">
        <is>
          <t>full eau</t>
        </is>
      </c>
      <c r="B17743">
        <f>HYPERLINK("https://www.dofusbook.net/fr/equipement/3133545-full-eau/objets", "link")</f>
        <v/>
      </c>
      <c r="C17743" t="n">
        <v>3</v>
      </c>
      <c r="D17743" t="inlineStr">
        <is>
          <t>Hache Rot; Amulette de l'Œil Attentif; Bracelet des Fonds marins; Alliance Gloursonne; Cadran d'Air; Poulpagne; Capuche de l'Œil Attentif; Cape de l'Œil Attentif; Sandales des Fonds marins; Dofus Turquoise; Dofus Abyssal; Dofus Ocre; Dofus Ivoire; Dofus Pourpre; Dofus Nébuleux; Muldo Ebène et Indigo</t>
        </is>
      </c>
    </row>
    <row r="17744">
      <c r="A17744" t="inlineStr">
        <is>
          <t>ilizaelle mallefisk</t>
        </is>
      </c>
      <c r="B17744">
        <f>HYPERLINK("https://www.dofusbook.net/fr/equipement/3132264-ilizaelle-mallefisk/objets", "link")</f>
        <v/>
      </c>
      <c r="C17744" t="n">
        <v>2</v>
      </c>
      <c r="D17744" t="inlineStr">
        <is>
          <t>Baguette de Malléfisk; Amulette d'Ilyzaelle; Alliance Gloursonne; Anneauræus; Bouclier d'Ilyzaelle; Ceinture du Strigide; Capuche de l'Œil Putride; Cape de la Dame du Hasard; Pataugastrique; Dofus Ivoire; Dofus Pourpre; Chanceux majeur; Remueur; Érudit majeur; Guérisseur majeur; Muldo Orchidée et Pourpre</t>
        </is>
      </c>
    </row>
    <row r="17745">
      <c r="A17745" t="inlineStr">
        <is>
          <t>Eau ret PA</t>
        </is>
      </c>
      <c r="B17745">
        <f>HYPERLINK("https://www.dofusbook.net/fr/equipement/3120737-eau-ret-pa/objets", "link")</f>
        <v/>
      </c>
      <c r="C17745" t="n">
        <v>0</v>
      </c>
      <c r="D17745" t="inlineStr">
        <is>
          <t>Dagoulinantes; Collier du Valet Veinard; Anneau Tique; Alliance Gloursonne; Sept ans de malheur; Menoture; Némès de Tal Kasha; Cape Indescriptible; Sandales de Tal Kasha; Carapace Air majeur; Paralyseur majeur; Remueur; Carapace Eau majeur; Étourdisseur majeur; Engourdisseur majeur; Muldo Ebène et Indigo</t>
        </is>
      </c>
    </row>
    <row r="17746">
      <c r="A17746" t="inlineStr">
        <is>
          <t>multi</t>
        </is>
      </c>
      <c r="B17746">
        <f>HYPERLINK("https://www.dofusbook.net/fr/equipement/2868890-multi/objets", "link")</f>
        <v/>
      </c>
      <c r="C17746" t="n">
        <v>0</v>
      </c>
      <c r="D17746" t="inlineStr">
        <is>
          <t>Hache du Chalœil; Amulette du Strigide; Alliance Gloursonne; Bague Gloursonne; Bouclier du Stalak; Ceinture du Strigide; Némès de Tal Kasha; Chevelure de Tal Kasha; Bottes du Strigide; Dofus Pourpre; Dofus Nébuleux; Dolmanax; Dofus Turquoise; Dofus Ocre; Robuste majeur; Muldo Doré et Emeraude</t>
        </is>
      </c>
    </row>
    <row r="17747">
      <c r="A17747" t="inlineStr">
        <is>
          <t>tank do pou</t>
        </is>
      </c>
      <c r="B17747">
        <f>HYPERLINK("https://www.dofusbook.net/fr/equipement/3108191-tank-do-pou/objets", "link")</f>
        <v/>
      </c>
      <c r="C17747" t="n">
        <v>0</v>
      </c>
      <c r="D17747" t="inlineStr">
        <is>
          <t>Rouleau à Pâtisserie d'Aermyne; Amulette du Sinistrofu; Anneau Tique; Alliance Gloursonne; Bouclier précieux; Ceintacé; Masque d'Anerice; Cape d'Anerice; Bottes Trithon; Dofus Émeraude; Culbuteur majeur; Miraculé majeur; Nomade; Bousculeur majeur; Remueur; Péki</t>
        </is>
      </c>
    </row>
    <row r="17748">
      <c r="A17748" t="inlineStr">
        <is>
          <t>marteau katrepat</t>
        </is>
      </c>
      <c r="B17748">
        <f>HYPERLINK("https://www.dofusbook.net/fr/equipement/2115199-marteau-katrepat/objets", "link")</f>
        <v/>
      </c>
      <c r="C17748" t="n">
        <v>1</v>
      </c>
      <c r="D17748" t="inlineStr">
        <is>
          <t>Marteau de Katrepat; Amulette du Strigide; Alliance Gloursonne; Bracelet du Piloztère; Bouclier Pandawa; Ceinture du Strigide; Masque Brûlâme; Voile d'encre; Bottes du Strigide; Dofus Ivoire; Dofus Abyssal; Dolmanax; Dofus Pourpre; Dofus Ocre; Dofus Turquoise; Muldo Doré et Emeraude</t>
        </is>
      </c>
    </row>
    <row r="17749">
      <c r="A17749" t="inlineStr">
        <is>
          <t>PVP hache Chaloeil</t>
        </is>
      </c>
      <c r="B17749">
        <f>HYPERLINK("https://www.dofusbook.net/fr/equipement/3098698-pvp-hache-chaloeil/objets", "link")</f>
        <v/>
      </c>
      <c r="C17749" t="n">
        <v>0</v>
      </c>
      <c r="D17749" t="inlineStr">
        <is>
          <t>Hache du Chalœil; Amulette du Strigide; Bague Gloursonne; Alliance Gloursonne; Bouclier du Stalak; Ceinture du Strigide; Némès de Tal Kasha; Chevelure de Tal Kasha; Bottes du Strigide; Dofus Nébuleux; Dofus Turquoise; Dofus Ivoire; Dolmanax; Dofus Ocre; Dofus Pourpre; Muldo Prune et Emeraude</t>
        </is>
      </c>
    </row>
    <row r="17750">
      <c r="A17750" t="inlineStr">
        <is>
          <t>Terre pvp</t>
        </is>
      </c>
      <c r="B17750">
        <f>HYPERLINK("https://www.dofusbook.net/fr/equipement/3072839-terre-pvp/objets", "link")</f>
        <v/>
      </c>
      <c r="C17750" t="n">
        <v>0</v>
      </c>
      <c r="D17750" t="inlineStr">
        <is>
          <t>Héqache; Amulette du Strigide; Bague Gloursonne; Anneau Chevelu; Bouclier d'Ilyzaelle; Ceinture du Strigide; Masque de Koutoulou; Voile d'encre; Bottes de la Cour Sombre; Dofus Turquoise; Dofus Nébuleux; Dofus Ocre; Dofus Pourpre; Dofus Ivoire; Enragé majeur; Muldo Prune et Pourpre</t>
        </is>
      </c>
    </row>
    <row r="17751">
      <c r="A17751" t="inlineStr">
        <is>
          <t>talkasha</t>
        </is>
      </c>
      <c r="B17751">
        <f>HYPERLINK("https://www.dofusbook.net/fr/equipement/2760201-talkasha/objets", "link")</f>
        <v/>
      </c>
      <c r="C17751" t="n">
        <v>0</v>
      </c>
      <c r="D17751" t="inlineStr">
        <is>
          <t>Arc de Koutoulou; Amulette du Strigide; Bracelet du Piloztère; Alliance Gloursonne; Cadran d'Air; Ceinture du Strigide; Némès de Tal Kasha; Chevelure de Tal Kasha; Bottes du Strigide; Dofus Pourpre; Dofus des Glaces; Dofus Turquoise; Dofus Nébuleux; Dofus Ivoire; Dofus Ocre; Muldo Doré et Indigo</t>
        </is>
      </c>
    </row>
    <row r="17752">
      <c r="A17752" t="inlineStr">
        <is>
          <t>tank eau</t>
        </is>
      </c>
      <c r="B17752">
        <f>HYPERLINK("https://www.dofusbook.net/fr/equipement/3031296-tank-eau/objets", "link")</f>
        <v/>
      </c>
      <c r="C17752" t="n">
        <v>1</v>
      </c>
      <c r="D17752" t="inlineStr">
        <is>
          <t>Dagoulinantes; Amulette de Pol Ouatnos; Alliance Gloursonne; Bracelet des Fonds marins; Bouclier précieux; Poulpagne; Masque d'Anerice; Cape d'Anerice; Bottes du Nocturlabe; Dofus Turquoise; Dofus Émeraude; Miraculé majeur; Nomade; Remueur; Culbuteur majeur; Péki</t>
        </is>
      </c>
    </row>
    <row r="17753">
      <c r="A17753" t="inlineStr">
        <is>
          <t>cra do crit</t>
        </is>
      </c>
      <c r="B17753">
        <f>HYPERLINK("https://www.dofusbook.net/fr/equipement/2972229-cra-do-crit/objets", "link")</f>
        <v/>
      </c>
      <c r="C17753" t="n">
        <v>2</v>
      </c>
      <c r="D17753" t="inlineStr">
        <is>
          <t>Hache du Chalœil; Amulette du Strigide; Kralano; Bracelet du Piloztère; Quatre-feuilles; Ceinture du Strigide; Coiffe de Padgref; Cape d'Atcham; Pataugastrique; Dofus Pourpre; Dofus Turquoise; Nomade; Remueur; Enragé majeur; Vigoureux majeur; Muldo Prune et Emeraude</t>
        </is>
      </c>
    </row>
    <row r="17754">
      <c r="A17754" t="inlineStr">
        <is>
          <t>vita eau</t>
        </is>
      </c>
      <c r="B17754">
        <f>HYPERLINK("https://www.dofusbook.net/fr/equipement/2967494-vita-eau/objets", "link")</f>
        <v/>
      </c>
      <c r="C17754" t="n">
        <v>0</v>
      </c>
      <c r="D17754" t="inlineStr">
        <is>
          <t>Dagoulinantes; Amulette de Shokkoth; Alliance Gloursonne; Bracelet des Fonds marins; Bouclier précieux; Poulpagne; Masque d'Anerice; Cape d'Anerice; Bottes du Sinistrofu; Dofus Turquoise; Dofus Émeraude; Miraculé majeur; Chanceux majeur; Remueur; Nomade; Péki</t>
        </is>
      </c>
    </row>
    <row r="17755">
      <c r="A17755" t="inlineStr">
        <is>
          <t>tank full vita</t>
        </is>
      </c>
      <c r="B17755">
        <f>HYPERLINK("https://www.dofusbook.net/fr/equipement/2958431-tank-full-vita/objets", "link")</f>
        <v/>
      </c>
      <c r="C17755" t="n">
        <v>0</v>
      </c>
      <c r="D17755" t="inlineStr">
        <is>
          <t>Sceptre du Roi Joueur; Amulette de Pol Ouatnos; Alliance Gloursonne; Bracelet des Fonds marins; Bouclier précieux; Poulpagne; Masque d'Anerice; Cape d'Anerice; Bottes Trithon; Dofus Émeraude; Nomade; Miraculé majeur; Remueur; Survivant majeur; Chanceux majeur; Péki</t>
        </is>
      </c>
    </row>
    <row r="17756">
      <c r="A17756" t="inlineStr">
        <is>
          <t>FEU/EAU/ROX</t>
        </is>
      </c>
      <c r="B17756">
        <f>HYPERLINK("https://www.dofusbook.net/fr/equipement/2958319-feu-eau-rox/objets", "link")</f>
        <v/>
      </c>
      <c r="C17756" t="n">
        <v>0</v>
      </c>
      <c r="D17756" t="inlineStr">
        <is>
          <t>Épée Brûlâme; Talisman Igans; Anneau Tique; Alliance Gloursonne; Bivalve; Ceintrigue; Kidibonnet; Cape de la Dame du Hasard; Pataugastrique; Dofus Pourpre; Dofus Turquoise; Nomade; Remueur; Vigoureux majeur; Érudit majeur; Muldo Prune et Emeraude</t>
        </is>
      </c>
    </row>
    <row r="17757">
      <c r="A17757" t="inlineStr">
        <is>
          <t>new</t>
        </is>
      </c>
      <c r="B17757">
        <f>HYPERLINK("https://www.dofusbook.net/fr/equipement/2021895-new/objets", "link")</f>
        <v/>
      </c>
      <c r="C17757" t="n">
        <v>0</v>
      </c>
      <c r="D17757" t="inlineStr">
        <is>
          <t>Epée Loponèze; Amulette du Strigide; Alliance Gloursonne; Bracelet du Piloztère; Cadran d'Air; Ceinture du Strigide; Némès de Tal Kasha; Chevelure de Tal Kasha; Bottes du Strigide; Dofus Turquoise; Dofus Nébuleux; Dofus Ocre; Dofus Ivoire; Dofus Pourpre; Dofus des Glaces; Muldo Doré et Emeraude</t>
        </is>
      </c>
    </row>
    <row r="17758">
      <c r="A17758" t="inlineStr">
        <is>
          <t>eau air</t>
        </is>
      </c>
      <c r="B17758">
        <f>HYPERLINK("https://www.dofusbook.net/fr/equipement/2932430-eau-air/objets", "link")</f>
        <v/>
      </c>
      <c r="C17758" t="n">
        <v>0</v>
      </c>
      <c r="D17758" t="inlineStr">
        <is>
          <t>Arc de Koutoulou; Amulette du Strigide; Bracelet du Piloztère; Alliance Gloursonne; Quatre-feuilles; Ceinture du Strigide; Coiffe d'Hel Munster; Cape Matelassée; Bottes Voldelor; Dofus Pourpre; Dofus Turquoise; Remueur; Vigoureux majeur; Chanceux majeur; Nomade; Muldo Prune et Doré</t>
        </is>
      </c>
    </row>
    <row r="17759">
      <c r="A17759" t="inlineStr">
        <is>
          <t>full terre</t>
        </is>
      </c>
      <c r="B17759">
        <f>HYPERLINK("https://www.dofusbook.net/fr/equipement/1419232-full-terre/objets", "link")</f>
        <v/>
      </c>
      <c r="C17759" t="n">
        <v>0</v>
      </c>
      <c r="D17759" t="inlineStr">
        <is>
          <t>Arc du Chalœil; Amulette du Strigide; Anneau Chevelu; Bague Gloursonne; Quatre-feuilles; Ceinture du Strigide; Masque de Koutoulou; Cape au Logis; Bottes de la Cour Sombre; Dofus Pourpre; Dofus Ocre; Dofus Turquoise; Enragé majeur; Nomade; Vigoureux majeur; Kompost</t>
        </is>
      </c>
    </row>
    <row r="17760">
      <c r="A17760" t="inlineStr">
        <is>
          <t>terre 200 tangi</t>
        </is>
      </c>
      <c r="B17760">
        <f>HYPERLINK("https://www.dofusbook.net/fr/equipement/2916278-terre-200-tangi/objets", "link")</f>
        <v/>
      </c>
      <c r="C17760" t="n">
        <v>0</v>
      </c>
      <c r="D17760" t="inlineStr">
        <is>
          <t>Epée Toche; Amulette du Strigide; Bracelet du Piloztère; Bague Gloursonne; Bouclier d'Ilyzaelle; Ceinture du Strigide; Masque de Koutoulou; Voile d'encre; Bottes de la Cour Sombre; Dofus Turquoise; Dofus Pourpre; Enragé majeur; Vigoureux majeur; Nomade; Remueur; Dragodinde en armure</t>
        </is>
      </c>
    </row>
    <row r="17761">
      <c r="A17761" t="inlineStr">
        <is>
          <t>terre 200 tangi</t>
        </is>
      </c>
      <c r="B17761">
        <f>HYPERLINK("https://www.dofusbook.net/fr/equipement/2915608-terre-200-tangi/objets", "link")</f>
        <v/>
      </c>
      <c r="C17761" t="n">
        <v>0</v>
      </c>
      <c r="D17761" t="inlineStr">
        <is>
          <t>Arc du Chalœil; Amulette du Strigide; Bracelet du Piloztère; Bague Gloursonne; Bouclier Taverne; Ceinture du Strigide; Masque de Koutoulou; Cape au Logis; Bottes de la Cour Sombre; Dofus Pourpre; Observateur; Nomade; Enragé majeur; Vigoureux majeur; Remueur; Dragodinde en armure</t>
        </is>
      </c>
    </row>
    <row r="17762">
      <c r="A17762" t="inlineStr">
        <is>
          <t>full eau</t>
        </is>
      </c>
      <c r="B17762">
        <f>HYPERLINK("https://www.dofusbook.net/fr/equipement/2915470-full-eau/objets", "link")</f>
        <v/>
      </c>
      <c r="C17762" t="n">
        <v>0</v>
      </c>
      <c r="D17762" t="inlineStr">
        <is>
          <t>Manthache; Amulette Voldelor; Alliance Gloursonne; Bracelet du Piloztère; Quatre-feuilles; Ceinture du Barbétoal; Kidibonnet; Chevelure de Tal Kasha; Sandales de Tal Kasha; Dofus Ocre; Dofus Pourpre; Dofus Turquoise; Vigoureux majeur; Remueur; Nomade; Muldo Prune et Emeraude</t>
        </is>
      </c>
    </row>
    <row r="17763">
      <c r="A17763" t="inlineStr">
        <is>
          <t>Terre</t>
        </is>
      </c>
      <c r="B17763">
        <f>HYPERLINK("https://www.dofusbook.net/fr/equipement/2886805-terre/objets", "link")</f>
        <v/>
      </c>
      <c r="C17763" t="n">
        <v>0</v>
      </c>
      <c r="D17763" t="inlineStr">
        <is>
          <t>Arc du Chalœil; Amulette du Strigide; Bague Gloursonne; Anneau Chevelu; Quatre-feuilles; Ceinture du Strigide; Masque de Koutoulou; Voile d'encre; Bottes de la Cour Sombre; Dofus Turquoise; Dofus Nébuleux; Dofus Pourpre; Remueur; Enragé majeur; Nomade; Muldo Prune et Doré</t>
        </is>
      </c>
    </row>
    <row r="17764">
      <c r="A17764" t="inlineStr">
        <is>
          <t>feu pvp</t>
        </is>
      </c>
      <c r="B17764">
        <f>HYPERLINK("https://www.dofusbook.net/fr/equipement/1184024-feu-pvp/objets", "link")</f>
        <v/>
      </c>
      <c r="C17764" t="n">
        <v>0</v>
      </c>
      <c r="D17764" t="inlineStr">
        <is>
          <t>Harpelle; Amulette de Nileza; Bague Gloursonne; Anneau Tique; Quatre-feuilles; Ceinture Séculaire; Coiffe Séculaire; Cape de Diondin; Bottes Initiales; Dofus Pourpre; Dofus Turquoise; Remueur; Érudit majeur; Dévastateur Feu majeur; Muldo Orchidée et Pourpre</t>
        </is>
      </c>
    </row>
    <row r="17765">
      <c r="A17765" t="inlineStr">
        <is>
          <t>agi</t>
        </is>
      </c>
      <c r="B17765">
        <f>HYPERLINK("https://www.dofusbook.net/fr/equipement/2836287-agi/objets", "link")</f>
        <v/>
      </c>
      <c r="C17765" t="n">
        <v>0</v>
      </c>
      <c r="D17765" t="inlineStr">
        <is>
          <t>Manthache; Collier du Valet Veinard; Alliance Gloursonne; Gant du Valet Veinard; Bouclier du Stalak; Menoture; Couronne d'Allister; Cape Indescriptible; Palmes Trithons; Dofus Pourpre; Carapace Air majeur; Remueur; Cascadeur majeur; Nomade; Dévastateur Air majeur</t>
        </is>
      </c>
    </row>
    <row r="17766">
      <c r="A17766" t="inlineStr">
        <is>
          <t>feu eau</t>
        </is>
      </c>
      <c r="B17766">
        <f>HYPERLINK("https://www.dofusbook.net/fr/equipement/2825292-feu-eau/objets", "link")</f>
        <v/>
      </c>
      <c r="C17766" t="n">
        <v>0</v>
      </c>
      <c r="D17766" t="inlineStr">
        <is>
          <t>Épée Brûlâme; Talisman Igans; Alliance Gloursonne; Anneau Tique; Bouclier du Captain Amakna; Ceintrigue; Capuche de l'Œil Putride; Cape de la Dame du Hasard; Pataugastrique; Dofus Ocre; Dofus Abyssal; Dofus Pourpre; Dofus des Glaces; Dofus Turquoise; Dofus Nébuleux; Muldo Prune et Emeraude</t>
        </is>
      </c>
    </row>
    <row r="17767">
      <c r="A17767" t="inlineStr">
        <is>
          <t>nouveau stuffjanvier</t>
        </is>
      </c>
      <c r="B17767">
        <f>HYPERLINK("https://www.dofusbook.net/fr/equipement/2754465-nouveau-stuffjanvier/objets", "link")</f>
        <v/>
      </c>
      <c r="C17767" t="n">
        <v>0</v>
      </c>
      <c r="D17767" t="inlineStr">
        <is>
          <t>Bâton Beau; Amulette du Strigide; Bague Gloursonne; Alliance Gloursonne; Bouclier du Stalak; Ceinture du Strigide; Casque du Chalœil; Cape Reski; Bottes du Strigide; Dofus Pourpre; Dofus des Glaces; Dofus Turquoise; Dolmanax; Dofus Ocre; Robuste majeur; Muldo Doré et Emeraude</t>
        </is>
      </c>
    </row>
    <row r="17768">
      <c r="A17768" t="inlineStr">
        <is>
          <t>stuff multi</t>
        </is>
      </c>
      <c r="B17768">
        <f>HYPERLINK("https://www.dofusbook.net/fr/equipement/2608319-stuff-multi/objets", "link")</f>
        <v/>
      </c>
      <c r="C17768" t="n">
        <v>0</v>
      </c>
      <c r="D17768" t="inlineStr">
        <is>
          <t>Pelle de Katrepat; Talisman Igans; Alliance Gloursonne; Anneau Tique; Bouclier Taverne; Ceintrigue; Capuche de l'Œil Putride; Cape de la Dame du Hasard; Pataugastrique; Dofus Turquoise; Dofus Pourpre; Chanceux majeur; Érudit majeur; Remueur; Vigoureux majeur; Muldo Indigo et Orchidée</t>
        </is>
      </c>
    </row>
    <row r="17769">
      <c r="A17769" t="inlineStr">
        <is>
          <t>nouveau mode eau</t>
        </is>
      </c>
      <c r="B17769">
        <f>HYPERLINK("https://www.dofusbook.net/fr/equipement/2617674-nouveau-mode-eau/objets", "link")</f>
        <v/>
      </c>
      <c r="C17769" t="n">
        <v>0</v>
      </c>
      <c r="D17769" t="inlineStr">
        <is>
          <t>Rapière aux Glyphes; Amulette du Strigide; Bracelet des Fonds marins; Alliance Gloursonne; Bouclier du Captain Amakna; Poulpagne; Capuche de l'Œil Attentif; Cape Solution; Sandales des Fonds marins; Dofus Pourpre; Dofus Turquoise; Dofus Abyssal; Nomade; Dévastateur Eau majeur; Chanceux majeur</t>
        </is>
      </c>
    </row>
    <row r="17770">
      <c r="A17770" t="inlineStr">
        <is>
          <t>Air eau</t>
        </is>
      </c>
      <c r="B17770">
        <f>HYPERLINK("https://www.dofusbook.net/fr/equipement/2441027-air-eau/objets", "link")</f>
        <v/>
      </c>
      <c r="C17770" t="n">
        <v>0</v>
      </c>
      <c r="D17770" t="inlineStr">
        <is>
          <t>Hache du Korriandre; Collier du Valet Veinard; Gant du Valet Veinard; Alliance Gloursonne; Bouclier du Stalak; Menoture; Casque d'Ilyzaelle; Cape Indescriptible; Palmes Trithons; Dofus Nébuleux; Dofus Abyssal; Dofus Pourpre; Cascadeur majeur; Dévastateur Air majeur; Remueur; Muldo Ebène et Indigo</t>
        </is>
      </c>
    </row>
    <row r="17771">
      <c r="A17771" t="inlineStr">
        <is>
          <t>Air 12/6</t>
        </is>
      </c>
      <c r="B17771">
        <f>HYPERLINK("https://www.dofusbook.net/fr/equipement/2440850-air-12-6/objets", "link")</f>
        <v/>
      </c>
      <c r="C17771" t="n">
        <v>0</v>
      </c>
      <c r="D17771" t="inlineStr">
        <is>
          <t>Hache du Korriandre; Collier du Valet Veinard; Alliance Gloursonne; Gant du Valet Veinard; Bouclier du Stalak; Ceinture de l'Esprit Salvateur; Masque de l'Esprit Salvateur; Cape du Valet Veinard; Bottes de l'Esprit Salvateur; Dofus Émeraude; Dofus Ocre; Dofus Pourpre; Dofus Abyssal; Dofus des Glaces; Dofus Ivoire; Muldo Ebène et Ivoire</t>
        </is>
      </c>
    </row>
    <row r="17772">
      <c r="A17772" t="inlineStr">
        <is>
          <t>new feu air</t>
        </is>
      </c>
      <c r="B17772">
        <f>HYPERLINK("https://www.dofusbook.net/fr/equipement/2417805-new-feu-air/objets", "link")</f>
        <v/>
      </c>
      <c r="C17772" t="n">
        <v>0</v>
      </c>
      <c r="D17772" t="inlineStr">
        <is>
          <t>Arc de Koutoulou; Amulette d'Ilyzaelle; Alliance Gloursonne; Gant du Valet Veinard; Bouclier du Stalak; Menoture; Casque d'Ilyzaelle; Cape Indescriptible; Palmes Trithons; Carapace Eau majeur; Vigoureux majeur; Cascadeur majeur; Remueur; Dévastateur Air majeur; Muldo Ebène</t>
        </is>
      </c>
    </row>
    <row r="17773">
      <c r="A17773" t="inlineStr">
        <is>
          <t>Agi</t>
        </is>
      </c>
      <c r="B17773">
        <f>HYPERLINK("https://www.dofusbook.net/fr/equipement/2378488-agi/objets", "link")</f>
        <v/>
      </c>
      <c r="C17773" t="n">
        <v>0</v>
      </c>
      <c r="D17773" t="inlineStr">
        <is>
          <t>Arc Ahique; Amulette Voldelor; Alliance Gloursonne; Bracelet du Piloztère; Quatre-feuilles; Menoture; Coiffe d'Ogivol; Cape du Barbétoal; Bottes Voldelor; Dolmanax; Dofus Turquoise; Dofus Pourpre; Dévastateur Air majeur; Nomade; Remueur; Muldo Prune et Emeraude</t>
        </is>
      </c>
    </row>
    <row r="17774">
      <c r="A17774" t="inlineStr">
        <is>
          <t>Stuff 3</t>
        </is>
      </c>
      <c r="B17774">
        <f>HYPERLINK("https://www.dofusbook.net/fr/equipement/226107-stuff-3/objets", "link")</f>
        <v/>
      </c>
      <c r="C17774" t="n">
        <v>1</v>
      </c>
      <c r="D17774" t="inlineStr">
        <is>
          <t>Sabres d'Atcham; Amulette de Gein; Bague Gloursonne; Alliance Gloursonne; Quatre-feuilles; Ceinture de Gein; Chapeau de Gein; Cape d'Atcham; Sandales  d'Atcham; Dofus Vulbis; Dofus Ocre; Dofus Pourpre; Dofus des Glaces; Dofus Turquoise; Dofus Nébuleux</t>
        </is>
      </c>
    </row>
    <row r="17775">
      <c r="A17775" t="inlineStr">
        <is>
          <t>oiseau du temps</t>
        </is>
      </c>
      <c r="B17775">
        <f>HYPERLINK("https://www.dofusbook.net/fr/equipement/2305346-oiseau-du-temps/objets", "link")</f>
        <v/>
      </c>
      <c r="C17775" t="n">
        <v>0</v>
      </c>
      <c r="D17775" t="inlineStr">
        <is>
          <t>Rouleau à Pâtisserie d'Aermyne; Amulette de Pol Ouatnos; Pikano; Alliance Gloursonne; Écorce de Brouce; Ceintacé; Casque Dragoeuf; Voile d'encre; Bottes de la Cour Sombre; Dofus Émeraude; Dokoko; Carapace Neutre majeur; Miraculé majeur; Remueur; Fonceur majeur; Péki</t>
        </is>
      </c>
    </row>
    <row r="17776">
      <c r="A17776" t="inlineStr">
        <is>
          <t>Stuff 3</t>
        </is>
      </c>
      <c r="B17776">
        <f>HYPERLINK("https://www.dofusbook.net/fr/equipement/226119-stuff-3/objets", "link")</f>
        <v/>
      </c>
      <c r="C17776" t="n">
        <v>0</v>
      </c>
      <c r="D17776" t="inlineStr">
        <is>
          <t>Arc du Chalœil; Amulette du Strigide; Anneau Chevelu; Bracelet du Piloztère; Quatre-feuilles; Ceinture du Strigide; Masque de Koutoulou; Voile d'encre; Bottes de la Cour Sombre; Dofus Turquoise; Dofus Pourpre; Carapace Eau majeur; Évasif majeur; Remueur; Vigoureux majeur; Muldo Indigo et Pourpre</t>
        </is>
      </c>
    </row>
    <row r="17777">
      <c r="A17777" t="inlineStr">
        <is>
          <t>multi</t>
        </is>
      </c>
      <c r="B17777">
        <f>HYPERLINK("https://www.dofusbook.net/fr/equipement/1419257-multi/objets", "link")</f>
        <v/>
      </c>
      <c r="C17777" t="n">
        <v>0</v>
      </c>
      <c r="D17777" t="inlineStr">
        <is>
          <t>Héqache; Torquistik; Bague Trithon; Baguistik; Bouclier précieux; Ceinture Luminescente; Masque Trithon; Cape du Cœur Vaillant; Bottistik; Dofus Abyssal; Dofus Émeraude; Dofus Ocre; Bousculeur majeur; Bousculeur; Pousseur majeur; Muldo Ebène et Pourpre</t>
        </is>
      </c>
    </row>
    <row r="17778">
      <c r="A17778" t="inlineStr">
        <is>
          <t>dopou</t>
        </is>
      </c>
      <c r="B17778">
        <f>HYPERLINK("https://www.dofusbook.net/fr/equipement/2217499-dopou/objets", "link")</f>
        <v/>
      </c>
      <c r="C17778" t="n">
        <v>1</v>
      </c>
      <c r="D17778" t="inlineStr">
        <is>
          <t>Héqache; Torquistik; Bague Gloursonne; Anneau Chevelu; Bouclier précieux; Ceinture Luminescente; Masque de Koutoulou; Cape du Cœur Vaillant; Bottistik; Dofus Abyssal; Bousculeur majeur; Culbuteur; Remueur; Culbuteur majeur; Pousseur majeur; Muldo Pourpre</t>
        </is>
      </c>
    </row>
    <row r="17779">
      <c r="A17779" t="inlineStr">
        <is>
          <t>rox/dopou</t>
        </is>
      </c>
      <c r="B17779">
        <f>HYPERLINK("https://www.dofusbook.net/fr/equipement/2212401-rox-dopou/objets", "link")</f>
        <v/>
      </c>
      <c r="C17779" t="n">
        <v>1</v>
      </c>
      <c r="D17779" t="inlineStr">
        <is>
          <t>Héqache; Torquistik; Bague Gloursonne; Anneau Chevelu; Bouclier précieux; Ceintacé; Chapeau de Gein; Voile d'encre; Bottistik; Dofus Pourpre; Vigoureux majeur; Culbuteur majeur; Remueur; Bousculeur majeur; Muldo Orchidée et Pourpre</t>
        </is>
      </c>
    </row>
    <row r="17780">
      <c r="A17780" t="inlineStr">
        <is>
          <t>Stuff 2</t>
        </is>
      </c>
      <c r="B17780">
        <f>HYPERLINK("https://www.dofusbook.net/fr/equipement/226127-stuff-2/objets", "link")</f>
        <v/>
      </c>
      <c r="C17780" t="n">
        <v>0</v>
      </c>
      <c r="D17780" t="inlineStr">
        <is>
          <t>Manthache; Collier du Valet Veinard; Alliance Gloursonne; Gant du Valet Veinard; Cadran d'Air; Menoture; Capuche de Moum-Ra; Cape du Kamasterisk; Palmes Trithons; Cascadeur majeur; Dévastateur Air majeur; Carapace Neutre majeur; Remueur; Muldo Ebène et Indigo</t>
        </is>
      </c>
    </row>
    <row r="17781">
      <c r="A17781" t="inlineStr">
        <is>
          <t>Stuff 1</t>
        </is>
      </c>
      <c r="B17781">
        <f>HYPERLINK("https://www.dofusbook.net/fr/equipement/226126-stuff-1/objets", "link")</f>
        <v/>
      </c>
      <c r="C17781" t="n">
        <v>0</v>
      </c>
      <c r="D17781" t="inlineStr">
        <is>
          <t>Manthache; Collier du Valet Veinard; Alliance Gloursonne; Gant du Valet Veinard; Bouclier à hélice; Menoture; Casque d'Ilyzaelle; Cape du Cœur Vaillant; Palmes Trithons; Dofus Abyssal; Dofus Pourpre; Remueur; Dévastateur Air majeur; Carapace Air majeur; Cascadeur majeur; Muldo Ebène et Indigo</t>
        </is>
      </c>
    </row>
    <row r="17782">
      <c r="A17782" t="inlineStr">
        <is>
          <t>arc koutou troph</t>
        </is>
      </c>
      <c r="B17782">
        <f>HYPERLINK("https://www.dofusbook.net/fr/equipement/2083938-arc-koutou-troph/objets", "link")</f>
        <v/>
      </c>
      <c r="C17782" t="n">
        <v>0</v>
      </c>
      <c r="D17782" t="inlineStr">
        <is>
          <t>Arc de Koutoulou; Amulette du Strigide; Bracelet du Piloztère; Alliance Gloursonne; Quatre-feuilles; Ceintacé; Némès de Tal Kasha; Cape de l'Œil Attentif; Sandales de Tal Kasha; Dofus Ocre; Dofus Pourpre; Dofus Nébuleux; Dofus Turquoise; Dofus Abyssal; Étourdisseur majeur; Muldo Prune et Emeraude</t>
        </is>
      </c>
    </row>
    <row r="17783">
      <c r="A17783" t="inlineStr">
        <is>
          <t>EAU/AIR/KOUTOU</t>
        </is>
      </c>
      <c r="B17783">
        <f>HYPERLINK("https://www.dofusbook.net/fr/equipement/1344448-eau-air-koutou/objets", "link")</f>
        <v/>
      </c>
      <c r="C17783" t="n">
        <v>1</v>
      </c>
      <c r="D17783" t="inlineStr">
        <is>
          <t>Arc de Koutoulou; Amulette du Strigide; Bague Gloursonne; Alliance Gloursonne; Quatre-feuilles; Ceinture du Strigide; Némès de Tal Kasha; Chevelure de Tal Kasha; Sandales de Tal Kasha; Dofus Turquoise; Dofus Pourpre; Dofus Ocre; Dofus Nébuleux; Paralyseur majeur; Engourdisseur majeur; Muldo Prune et Emeraude</t>
        </is>
      </c>
    </row>
    <row r="17784">
      <c r="A17784" t="inlineStr">
        <is>
          <t>terre feu toche</t>
        </is>
      </c>
      <c r="B17784">
        <f>HYPERLINK("https://www.dofusbook.net/fr/equipement/2070125-terre-feu-toche/objets", "link")</f>
        <v/>
      </c>
      <c r="C17784" t="n">
        <v>0</v>
      </c>
      <c r="D17784" t="inlineStr">
        <is>
          <t>Epée Toche; Amulette du Strigide; Bague Gloursonne; Bague Trithon; Bouclier du Captain Amakna; Ceintacé; Chapeau de Gein; Voile d'encre; Bottes Trithon; Dofus Turquoise; Dofus Ocre; Dofus Pourpre; Dofus Abyssal; Vigoureux majeur; Nomade</t>
        </is>
      </c>
    </row>
    <row r="17785">
      <c r="A17785" t="inlineStr">
        <is>
          <t>stuff 4</t>
        </is>
      </c>
      <c r="B17785">
        <f>HYPERLINK("https://www.dofusbook.net/fr/equipement/2069909-stuff-4/objets", "link")</f>
        <v/>
      </c>
      <c r="C17785" t="n">
        <v>0</v>
      </c>
      <c r="D17785" t="inlineStr">
        <is>
          <t>Lance corrompue; Masque de l'Esprit Salvateur</t>
        </is>
      </c>
    </row>
    <row r="17786">
      <c r="A17786" t="inlineStr">
        <is>
          <t>Stuff 3</t>
        </is>
      </c>
      <c r="B17786">
        <f>HYPERLINK("https://www.dofusbook.net/fr/equipement/226134-stuff-3/objets", "link")</f>
        <v/>
      </c>
      <c r="C17786" t="n">
        <v>0</v>
      </c>
      <c r="D17786" t="inlineStr">
        <is>
          <t>Marteau de Katrepat; Amulette du Strigide; Alliance Gloursonne; Alliance Brûlâme; Bouclier du Captain Amakna; Ceinture du Strigide; Masque Brûlâme; Voile d'encre; Bottes du Strigide; Dofus Ocre; Dofus Turquoise; Dofus Émeraude; Dofus Pourpre; Dolmanax; Dofus Abyssal; Muldo Prune et Emeraude</t>
        </is>
      </c>
    </row>
    <row r="17787">
      <c r="A17787" t="inlineStr">
        <is>
          <t>multi brulame</t>
        </is>
      </c>
      <c r="B17787">
        <f>HYPERLINK("https://www.dofusbook.net/fr/equipement/2065339-multi-brulame/objets", "link")</f>
        <v/>
      </c>
      <c r="C17787" t="n">
        <v>1</v>
      </c>
      <c r="D17787" t="inlineStr">
        <is>
          <t>Lance corrompue; Collier du Valet Veinard; Gant du Valet Veinard; Ceintouse; Chapoulpe; Cape du Valet Veinard; Tentassons</t>
        </is>
      </c>
    </row>
    <row r="17788">
      <c r="A17788" t="inlineStr">
        <is>
          <t>feu eau new stuff</t>
        </is>
      </c>
      <c r="B17788">
        <f>HYPERLINK("https://www.dofusbook.net/fr/equipement/2033063-feu-eau-new-stuff/objets", "link")</f>
        <v/>
      </c>
      <c r="C17788" t="n">
        <v>0</v>
      </c>
      <c r="D17788" t="inlineStr">
        <is>
          <t>Pelle de Katrepat; Talisman Igans; Anneau Tique; Alliance Gloursonne; Poulpagne; Masque de l'Esprit Malsain; Cape de la Dame du Hasard; Bottes de l'Esprit Malsain; Dolmanax; Dofus Abyssal; Dofus Pourpre; Dofus Turquoise; Vigoureux majeur; Remueur; Muldo Indigo et Pourpre</t>
        </is>
      </c>
    </row>
    <row r="17789">
      <c r="A17789" t="inlineStr">
        <is>
          <t>New stuffs 1</t>
        </is>
      </c>
      <c r="B17789">
        <f>HYPERLINK("https://www.dofusbook.net/fr/equipement/2032961-new-stuffs-1/objets", "link")</f>
        <v/>
      </c>
      <c r="C17789" t="n">
        <v>0</v>
      </c>
      <c r="D17789" t="inlineStr">
        <is>
          <t>Rapière aux Glyphes; Amulette du Strigide; Bracelet des Fonds marins; Alliance Gloursonne; Bouclier du Captain Amakna; Poulpagne; Capuche de l'Œil Attentif; Cape du Sinistrofu; Bottes du Sinistrofu; Dofus Pourpre; Dofus Abyssal; Dofus Turquoise; Nomade; Remueur</t>
        </is>
      </c>
    </row>
    <row r="17790">
      <c r="A17790" t="inlineStr">
        <is>
          <t>Stuff 1</t>
        </is>
      </c>
      <c r="B17790">
        <f>HYPERLINK("https://www.dofusbook.net/fr/equipement/226102-stuff-1/objets", "link")</f>
        <v/>
      </c>
      <c r="C17790" t="n">
        <v>1</v>
      </c>
      <c r="D17790" t="inlineStr">
        <is>
          <t>Baguette Hique; Amulette du Glourséleste; Pikano; Kralano; Bouclier du serrurier; Ceinture de Kongoku; Casquipik; Cape de Léthaline; Bottes de Meno; Remueur; Entraveur majeur; Temporiseur; Temporiseur majeur; Entraveur; Ralentisseur majeur; Kwaltess</t>
        </is>
      </c>
    </row>
    <row r="17791">
      <c r="A17791" t="inlineStr">
        <is>
          <t>new atcham</t>
        </is>
      </c>
      <c r="B17791">
        <f>HYPERLINK("https://www.dofusbook.net/fr/equipement/2028589-new-atcham/objets", "link")</f>
        <v/>
      </c>
      <c r="C17791" t="n">
        <v>0</v>
      </c>
      <c r="D17791" t="inlineStr">
        <is>
          <t>Sabres d'Atcham; Amulette du Strigide; Anneau de Padgref; Alliance Gloursonne; Bouclier du Captain Amakna; Ceinture du Strigide; Capuche de l'Œil Putride; Cape de l'Œil Putride; Bottes du Strigide; Dofus Pourpre; Dofus des Glaces; Dofus Turquoise; Dofus Abyssal; Dolmanax; Dofus Ocre</t>
        </is>
      </c>
    </row>
    <row r="17792">
      <c r="A17792" t="inlineStr">
        <is>
          <t>terre air</t>
        </is>
      </c>
      <c r="B17792">
        <f>HYPERLINK("https://www.dofusbook.net/fr/equipement/1895419-terre-air/objets", "link")</f>
        <v/>
      </c>
      <c r="C17792" t="n">
        <v>0</v>
      </c>
      <c r="D17792" t="inlineStr">
        <is>
          <t>Héqache; Amulette du Strigide; Anneau Chevelu; Alliance Gloursonne; Quatre-feuilles; Ceintacé; Casque Dragoeuf; Cape du Kamasterisk; Bottes du Strigide; Dofus Turquoise; Dofus Ocre; Dofus Pourpre; Dofus Abyssal; Cascadeur majeur; Évasif majeur</t>
        </is>
      </c>
    </row>
    <row r="17793">
      <c r="A17793" t="inlineStr">
        <is>
          <t>multi atcham</t>
        </is>
      </c>
      <c r="B17793">
        <f>HYPERLINK("https://www.dofusbook.net/fr/equipement/1460361-multi-atcham/objets", "link")</f>
        <v/>
      </c>
      <c r="C17793" t="n">
        <v>0</v>
      </c>
      <c r="D17793" t="inlineStr">
        <is>
          <t>Sabres d'Atcham; Amulette du Strigide; Alliance Gloursonne; Anneau de Padgref; Bouclier du Captain Amakna; Ceinture du Strigide; Coiffe de Padgref; Voile d'encre; Getas de Padgref; Dofus Ocre; Dofus Abyssal; Dofus Pourpre; Dolmanax; Dofus Turquoise; Dofus des Glaces; Muldo Prune et Emeraude</t>
        </is>
      </c>
    </row>
    <row r="17794">
      <c r="A17794" t="inlineStr">
        <is>
          <t>terre feu air</t>
        </is>
      </c>
      <c r="B17794">
        <f>HYPERLINK("https://www.dofusbook.net/fr/equipement/1400106-terre-feu-air/objets", "link")</f>
        <v/>
      </c>
      <c r="C17794" t="n">
        <v>0</v>
      </c>
      <c r="D17794" t="inlineStr">
        <is>
          <t>Marteau Phossile; Amulette du Strigide; Alliance Gloursonne; Bracelet du Piloztère; Quatre-feuilles; Ceintacé; Masque du Katcheur; Voile d'encre; Bottes du Strigide; Dofus Abyssal; Dofus Pourpre; Dolmanax; Dofus Turquoise; Dofus Ocre; Vigoureux majeur; Muldo Prune et Emeraude</t>
        </is>
      </c>
    </row>
    <row r="17795">
      <c r="A17795" t="inlineStr">
        <is>
          <t>eau fond marin</t>
        </is>
      </c>
      <c r="B17795">
        <f>HYPERLINK("https://www.dofusbook.net/fr/equipement/1398994-eau-fond-marin/objets", "link")</f>
        <v/>
      </c>
      <c r="C17795" t="n">
        <v>0</v>
      </c>
      <c r="D17795" t="inlineStr">
        <is>
          <t>Dagoulinantes; Amulette du Sinistrofu; Bracelet des Fonds marins; Alliance Gloursonne; Bouclier du Captain Amakna; Poulpagne; Kidibonnet; Sandales des Fonds marins; Dofus Pourpre; Dofus Abyssal; Dofus Turquoise; Dofus Nébuleux; Nomade; Remueur; Muldo Prune et Indigo</t>
        </is>
      </c>
    </row>
    <row r="17796">
      <c r="A17796" t="inlineStr">
        <is>
          <t>Stuff 3</t>
        </is>
      </c>
      <c r="B17796">
        <f>HYPERLINK("https://www.dofusbook.net/fr/equipement/226137-stuff-3/objets", "link")</f>
        <v/>
      </c>
      <c r="C17796" t="n">
        <v>0</v>
      </c>
      <c r="D17796" t="inlineStr">
        <is>
          <t>Pelle de la Cour Sombre; Amulette de Pol Ouatnos; Alliance Gloursonne; Gant du Valet Veinard; Écorce de Brouce; Ceintacé; Coiffe de la Reine des Voleurs; Cape Glaciale; Bottes de la Reine des Voleurs; Dofus Pourpre; Dofus Émeraude; Dofus Abyssal; Solide majeur; Inflexible majeur</t>
        </is>
      </c>
    </row>
    <row r="17797">
      <c r="A17797" t="inlineStr">
        <is>
          <t>air res</t>
        </is>
      </c>
      <c r="B17797">
        <f>HYPERLINK("https://www.dofusbook.net/fr/equipement/1381592-air-res/objets", "link")</f>
        <v/>
      </c>
      <c r="C17797" t="n">
        <v>0</v>
      </c>
      <c r="D17797" t="inlineStr">
        <is>
          <t>Manthache; Collier du Valet Veinard; Alliance Gloursonne; Gant du Valet Veinard; Menoture; Dorabysses; Cape Indescriptible; Palmes Trithons; Dofus Émeraude; Remueur; Nomade</t>
        </is>
      </c>
    </row>
    <row r="17798">
      <c r="A17798" t="inlineStr">
        <is>
          <t>full tairrrrrrre</t>
        </is>
      </c>
      <c r="B17798">
        <f>HYPERLINK("https://www.dofusbook.net/fr/equipement/1367537-full-tairrrrrrre/objets", "link")</f>
        <v/>
      </c>
      <c r="C17798" t="n">
        <v>0</v>
      </c>
      <c r="D17798" t="inlineStr">
        <is>
          <t>Marteau R'ture; Amulette du Strigide; Anneau Crustique; Bracelet du Piloztère; Sept ans de malheur; Ceintacé; Masque de Koutoulou; Cape de la Cour Sombre; Bottes de la Cour Sombre; Dofus Pourpre; Dofus Turquoise; Nomade; Vigoureux majeur; Remueur; Enragé majeur; Muldo Orchidée et Pourpre</t>
        </is>
      </c>
    </row>
    <row r="17799">
      <c r="A17799" t="inlineStr">
        <is>
          <t>MULTI/RES</t>
        </is>
      </c>
      <c r="B17799">
        <f>HYPERLINK("https://www.dofusbook.net/fr/equipement/1346089-multi-res/objets", "link")</f>
        <v/>
      </c>
      <c r="C17799" t="n">
        <v>0</v>
      </c>
      <c r="D17799" t="inlineStr">
        <is>
          <t>Dagoulinantes; Amulette de Shokkoth; Anneau Tique; Alliance Gloursonne; Jadis; Ceinture de la Reine des Voleurs; Casque Dragoeuf; Capchalot; Bottes de la Reine des Voleurs; Dofus Émeraude; Dofus Pourpre; Solide majeur; Inflexible majeur; Remueur; Nomade; Croum</t>
        </is>
      </c>
    </row>
    <row r="17800">
      <c r="A17800" t="inlineStr">
        <is>
          <t>EAU/AIR/MARTEAU</t>
        </is>
      </c>
      <c r="B17800">
        <f>HYPERLINK("https://www.dofusbook.net/fr/equipement/1344452-eau-air-marteau/objets", "link")</f>
        <v/>
      </c>
      <c r="C17800" t="n">
        <v>1</v>
      </c>
      <c r="D17800" t="inlineStr">
        <is>
          <t>Marteau des Anciens Steamers; Amulette Voldelor; Alliance Gloursonne; Bague Gloursonne; Sept ans de malheur; Ceinture du Barbétoal; Némès de Tal Kasha; Chevelure de Tal Kasha; Sandales de Tal Kasha; Dofus Émeraude; Dofus Nébuleux; Dofus Abyssal; Dofus Turquoise; Dofus Pourpre; Dofus Ocre; Muldo Prune et Emeraude</t>
        </is>
      </c>
    </row>
    <row r="17801">
      <c r="A17801" t="inlineStr">
        <is>
          <t>koutou</t>
        </is>
      </c>
      <c r="B17801">
        <f>HYPERLINK("https://www.dofusbook.net/fr/equipement/673708-koutou/objets", "link")</f>
        <v/>
      </c>
      <c r="C17801" t="n">
        <v>0</v>
      </c>
      <c r="D17801" t="inlineStr">
        <is>
          <t>Arc Hétype; Amulette du Strigide; Anneau Tique; Bague Gloursonne; Quatre-feuilles; Ceinture Séculaire; Coiffe Séculaire; Cape de Diondin; Bottes Innommables; Dofus Émeraude; Dofus Pourpre; Dokoko; Vigoureux majeur; Nomade; Remueur; Muldo Pourpre</t>
        </is>
      </c>
    </row>
    <row r="17802">
      <c r="A17802" t="inlineStr">
        <is>
          <t>Stuff 1</t>
        </is>
      </c>
      <c r="B17802">
        <f>HYPERLINK("https://www.dofusbook.net/fr/equipement/226096-stuff-1/objets", "link")</f>
        <v/>
      </c>
      <c r="C17802" t="n">
        <v>0</v>
      </c>
      <c r="D17802" t="inlineStr">
        <is>
          <t>Dagues Érhy; Amulette du Strigide; Alliance Gloursonne; Bracelet du Piloztère; Bouclier Taverne; Ceinture du Strigide; Bonnet Ko; Cape au Logis; Baleinabottes; Dofus Turquoise; Dofus Pourpre; Vigoureux majeur; Nomade; Enragé majeur; Remueur; Kramkram</t>
        </is>
      </c>
    </row>
    <row r="17803">
      <c r="A17803" t="inlineStr">
        <is>
          <t>feu full dofus</t>
        </is>
      </c>
      <c r="B17803">
        <f>HYPERLINK("https://www.dofusbook.net/fr/equipement/1202355-feu-full-dofus/objets", "link")</f>
        <v/>
      </c>
      <c r="C17803" t="n">
        <v>1</v>
      </c>
      <c r="D17803" t="inlineStr">
        <is>
          <t>Arc Nécrotique; Talisman Igans; Alliance Gloursonne; Anneau Tique; Quatre-feuilles; Ceintrigue; Chapeau des Malveilleurs; Cape de la Dame du Hasard; Bottes Owesli; Dokoko; Dofus Turquoise; Dofus Abyssal; Dofus Pourpre; Dofus Ocre; Dofus Émeraude</t>
        </is>
      </c>
    </row>
    <row r="17804">
      <c r="A17804" t="inlineStr">
        <is>
          <t>feu/res</t>
        </is>
      </c>
      <c r="B17804">
        <f>HYPERLINK("https://www.dofusbook.net/fr/equipement/1184130-feu-res/objets", "link")</f>
        <v/>
      </c>
      <c r="C17804" t="n">
        <v>0</v>
      </c>
      <c r="D17804" t="inlineStr">
        <is>
          <t>Harpelle; Pendentif affamé; Bague Gloursonne; Anneau Tique; Bouclier du Captain Amakna; Ceinture Séculaire; Coiffe Séculaire; Voile d'encre; Pataugastrique; Dokoko; Dofus Émeraude; Dofus Abyssal; Dofus Turquoise; Nomade; Remueur; Croum</t>
        </is>
      </c>
    </row>
    <row r="17805">
      <c r="A17805" t="inlineStr">
        <is>
          <t>Full feu</t>
        </is>
      </c>
      <c r="B17805">
        <f>HYPERLINK("https://www.dofusbook.net/fr/equipement/1175649-full-feu/objets", "link")</f>
        <v/>
      </c>
      <c r="C17805" t="n">
        <v>0</v>
      </c>
      <c r="D17805" t="inlineStr">
        <is>
          <t>Harpelle; Pendentif affamé; Anneauræus; Alliance Gloursonne; Ceinture Séculaire; Coiffe Séculaire; Cape de Diondin; Bottes Innommables; Dofus Pourpre; Dofus Turquoise; Érudit majeur; Nomade; Dévastateur Feu majeur; Remueur; Pioute rouge</t>
        </is>
      </c>
    </row>
    <row r="17806">
      <c r="A17806" t="inlineStr">
        <is>
          <t>full agi</t>
        </is>
      </c>
      <c r="B17806">
        <f>HYPERLINK("https://www.dofusbook.net/fr/equipement/226088-full-agi/objets", "link")</f>
        <v/>
      </c>
      <c r="C17806" t="n">
        <v>0</v>
      </c>
      <c r="D17806" t="inlineStr">
        <is>
          <t>Manthache; Collier du Valet Veinard; Alliance Gloursonne; Gant du Valet Veinard; Bouclier Terrdala cassé; Menoture; Dorabysses; Cape Indescriptible; Palmes Trithons; Dofus Pourpre; Equilibriste majeur; Cascadeur majeur; Nomade; Carapace Air majeur; Remueur; Muldo Ebène</t>
        </is>
      </c>
    </row>
    <row r="17807">
      <c r="A17807" t="inlineStr">
        <is>
          <t>full eau</t>
        </is>
      </c>
      <c r="B17807">
        <f>HYPERLINK("https://www.dofusbook.net/fr/equipement/774213-full-eau/objets", "link")</f>
        <v/>
      </c>
      <c r="C17807" t="n">
        <v>1</v>
      </c>
      <c r="D17807" t="inlineStr">
        <is>
          <t>Baguette Hique; Amulette Séculaire; Alliance Gloursonne; Pikano; Bouclier cubiste; Ceinture de Kongoku; Kidibonnet; Cape du Glourséleste; Bottes de Meno; Entraveur; Entraveur majeur; Temporiseur; Temporiseur majeur; Remueur; Ralentisseur majeur; Muldo Indigo</t>
        </is>
      </c>
    </row>
    <row r="17808">
      <c r="A17808" t="inlineStr">
        <is>
          <t>epee toche</t>
        </is>
      </c>
      <c r="B17808">
        <f>HYPERLINK("https://www.dofusbook.net/fr/equipement/667602-epee-toche/objets", "link")</f>
        <v/>
      </c>
      <c r="C17808" t="n">
        <v>0</v>
      </c>
      <c r="D17808" t="inlineStr">
        <is>
          <t>Epée Toche; Amulette du Strigide; Alliance Gloursonne; Bague Gloursonne; Bouclier du Captain Amakna; Ceinture du Strigide; Chapeau de Gein; Voile d'encre; Bottes du Strigide; Dofus Émeraude; Dofus Émeraude; Dofus Abyssal; Dofus Turquoise; Dofus Pourpre; Dofus Ocre; Muldo Prune et Emeraude</t>
        </is>
      </c>
    </row>
    <row r="17809">
      <c r="A17809" t="inlineStr">
        <is>
          <t>feu/air elio</t>
        </is>
      </c>
      <c r="B17809">
        <f>HYPERLINK("https://www.dofusbook.net/fr/equipement/1084979-feu-air-elio/objets", "link")</f>
        <v/>
      </c>
      <c r="C17809" t="n">
        <v>0</v>
      </c>
      <c r="D17809" t="inlineStr">
        <is>
          <t>Sabres d'Atcham; Amulette du Strigide; Anneau Tique; Alliance Gloursonne; Ceintacé; Chapeau des Malveilleurs; Cape des Malveilleurs; Sandales  d'Atcham; Dofus Pourpre; Vigoureux majeur; Remueur; Érudit majeur; Carapace Feu majeur; Nomade; Muldo Doré et Orchidée</t>
        </is>
      </c>
    </row>
    <row r="17810">
      <c r="A17810" t="inlineStr">
        <is>
          <t>eau/air elio</t>
        </is>
      </c>
      <c r="B17810">
        <f>HYPERLINK("https://www.dofusbook.net/fr/equipement/1084976-eau-air-elio/objets", "link")</f>
        <v/>
      </c>
      <c r="C17810" t="n">
        <v>0</v>
      </c>
      <c r="D17810" t="inlineStr"/>
    </row>
    <row r="17811">
      <c r="A17811" t="inlineStr">
        <is>
          <t>full agi 1vs1</t>
        </is>
      </c>
      <c r="B17811">
        <f>HYPERLINK("https://www.dofusbook.net/fr/equipement/979937-full-agi-1vs1/objets", "link")</f>
        <v/>
      </c>
      <c r="C17811" t="n">
        <v>0</v>
      </c>
      <c r="D17811" t="inlineStr">
        <is>
          <t>Manthache; Collier du Valet Veinard; Gant du Valet Veinard; Alliance Gloursonne; Menoture; Chapoulpe; Cape Indescriptible; Palmes Trithons; Dofus Émeraude; Dokoko; Dofus Pourpre; Remueur; Cascadeur majeur; Nomade</t>
        </is>
      </c>
    </row>
    <row r="17812">
      <c r="A17812" t="inlineStr">
        <is>
          <t>Full feu 1vs 1</t>
        </is>
      </c>
      <c r="B17812">
        <f>HYPERLINK("https://www.dofusbook.net/fr/equipement/860181-full-feu-1vs-1/objets", "link")</f>
        <v/>
      </c>
      <c r="C17812" t="n">
        <v>0</v>
      </c>
      <c r="D17812" t="inlineStr">
        <is>
          <t>Harpelle; Amulette de Nileza; Anneau Tique; Bague Gloursonne; Bouclier du Captain Amakna; Ceinture Séculaire; Coiffe Séculaire; Cape de Diondin; Bottes Innommables; Dofus Turquoise; Dofus Pourpre; Dofus Émeraude; Remueur; Vigoureux majeur; Érudit majeur; Muldo Prune et Emeraude</t>
        </is>
      </c>
    </row>
    <row r="17813">
      <c r="A17813" t="inlineStr">
        <is>
          <t>feu/air</t>
        </is>
      </c>
      <c r="B17813">
        <f>HYPERLINK("https://www.dofusbook.net/fr/equipement/843723-feu-air/objets", "link")</f>
        <v/>
      </c>
      <c r="C17813" t="n">
        <v>0</v>
      </c>
      <c r="D17813" t="inlineStr">
        <is>
          <t>Marteau Phossile; Amulette du Strigide; Alliance Gloursonne; Anneau de Padgref; Bivalve; Ceinture du Strigide; Coiffe de Padgref; Voile d'encre; Getas de Padgref; Dofus Pourpre; Dofus Ocre; Dofus Émeraude; Dofus Abyssal; Dofus des Glaces; Dofus Turquoise; Muldo Prune et Emeraude</t>
        </is>
      </c>
    </row>
    <row r="17814">
      <c r="A17814" t="inlineStr">
        <is>
          <t>skin</t>
        </is>
      </c>
      <c r="B17814">
        <f>HYPERLINK("https://www.dofusbook.net/fr/equipement/823379-skin/objets", "link")</f>
        <v/>
      </c>
      <c r="C17814" t="n">
        <v>1</v>
      </c>
      <c r="D17814" t="inlineStr">
        <is>
          <t>Coiffe Invisible; Voile d'encre</t>
        </is>
      </c>
    </row>
    <row r="17815">
      <c r="A17815" t="inlineStr">
        <is>
          <t>Stuff dofusteuse</t>
        </is>
      </c>
      <c r="B17815">
        <f>HYPERLINK("https://www.dofusbook.net/fr/equipement/823186-stuff-dofusteuse/objets", "link")</f>
        <v/>
      </c>
      <c r="C17815" t="n">
        <v>0</v>
      </c>
      <c r="D17815" t="inlineStr">
        <is>
          <t>Marteau Phossile; Amulette du Strigide; Bracelet des Fonds marins; Anneau de Padgref; Ceinture du Strigide; Coiffe de Padgref; Dofusteuse; Getas de Padgref; Dofus Pourpre; Dofus Ocre; Dofus Émeraude; Dolmanax; Dofus Turquoise; Dofus Abyssal; Muldo Prune et Emeraude</t>
        </is>
      </c>
    </row>
    <row r="17816">
      <c r="A17816" t="inlineStr">
        <is>
          <t>Stuff 2</t>
        </is>
      </c>
      <c r="B17816">
        <f>HYPERLINK("https://www.dofusbook.net/fr/equipement/226106-stuff-2/objets", "link")</f>
        <v/>
      </c>
      <c r="C17816" t="n">
        <v>1</v>
      </c>
      <c r="D17816" t="inlineStr">
        <is>
          <t>Pelle de Nidas; Amulette du Strigide; Alliance Gloursonne; Anneau de Padgref; Bouclier du Stalak; Ceinture du Strigide; Coiffe de Padgref; Dofusteuse; Bottes du Strigide; Dolmanax; Dofus Turquoise; Dofus Nébuleux; Dofus Pourpre; Dofus Abyssal; Dofus Ocre; Muldo Prune et Doré</t>
        </is>
      </c>
    </row>
    <row r="17817">
      <c r="A17817" t="inlineStr">
        <is>
          <t>soutien feu</t>
        </is>
      </c>
      <c r="B17817">
        <f>HYPERLINK("https://www.dofusbook.net/fr/equipement/808736-soutien-feu/objets", "link")</f>
        <v/>
      </c>
      <c r="C17817" t="n">
        <v>0</v>
      </c>
      <c r="D17817" t="inlineStr">
        <is>
          <t>Baguette de Malléfisk; Pendentif mignon de Koutoulou; Anneauræus; Alliance Gloursonne; Carapar; Menoture; Casque Cyclopéen; Voile d'encre; Sandales  d'Atcham; Dofus Émeraude; Dofus Turquoise; Dofus Pourpre; Dofus Ocre; Guérisseur majeur; Érudit majeur; Muldo Prune et Emeraude</t>
        </is>
      </c>
    </row>
    <row r="17818">
      <c r="A17818" t="inlineStr">
        <is>
          <t>Stuff 2</t>
        </is>
      </c>
      <c r="B17818">
        <f>HYPERLINK("https://www.dofusbook.net/fr/equipement/226103-stuff-2/objets", "link")</f>
        <v/>
      </c>
      <c r="C17818" t="n">
        <v>0</v>
      </c>
      <c r="D17818" t="inlineStr">
        <is>
          <t>Rapière aux Glyphes; Amulette de Shokkoth; Bracelet des Fonds marins; Anneau Glacial; Quatre-feuilles; Poulpagne; Kidibonnet; Cape de la Dame du Hasard; Sandales des Fonds marins; Dofus Turquoise; Dofus Pourpre; Nomade; Temporiseur majeur; Chanceux majeur</t>
        </is>
      </c>
    </row>
    <row r="17819">
      <c r="A17819" t="inlineStr">
        <is>
          <t>full eau</t>
        </is>
      </c>
      <c r="B17819">
        <f>HYPERLINK("https://www.dofusbook.net/fr/equipement/758023-full-eau/objets", "link")</f>
        <v/>
      </c>
      <c r="C17819" t="n">
        <v>0</v>
      </c>
      <c r="D17819" t="inlineStr">
        <is>
          <t>Rapière aux Glyphes; Amulette Luminescente; Alliance Gloursonne; Bracelet des Fonds marins; Ceinture Luminescente; Masque des Fonds marins; Cape Luminescente; Sandales des Fonds marins; Dofus Turquoise; Dofus Pourpre; Dofus Cawotte; Dofus Ocre; Examinateur; Survivant majeur; Muldo Indigo</t>
        </is>
      </c>
    </row>
    <row r="17820">
      <c r="A17820" t="inlineStr">
        <is>
          <t>eau/feu</t>
        </is>
      </c>
      <c r="B17820">
        <f>HYPERLINK("https://www.dofusbook.net/fr/equipement/692725-eau-feu/objets", "link")</f>
        <v/>
      </c>
      <c r="C17820" t="n">
        <v>0</v>
      </c>
      <c r="D17820" t="inlineStr">
        <is>
          <t>La Baguette des Limbes; Amulette du Strigide; Alliance Gloursonne; Bracelet du Piloztère; Ceintacé; Coiffe du Lévitrof; Cape des Malveilleurs; Bottes du Strigide; Chanceux majeur; Remueur; Fonceur majeur; Vigoureux majeur; Érudit majeur; Nomade; Dragodinde en armure</t>
        </is>
      </c>
    </row>
    <row r="17821">
      <c r="A17821" t="inlineStr">
        <is>
          <t>Full agi</t>
        </is>
      </c>
      <c r="B17821">
        <f>HYPERLINK("https://www.dofusbook.net/fr/equipement/692471-full-agi/objets", "link")</f>
        <v/>
      </c>
      <c r="C17821" t="n">
        <v>0</v>
      </c>
      <c r="D17821" t="inlineStr">
        <is>
          <t>Manthache; Collier du Valet Veinard; Alliance Gloursonne; Gant du Valet Veinard; Menoture; Masque du Katcheur; Cape Indescriptible; Palmes Trithons; Cascadeur majeur; Nomade; Carapace Air majeur; Equilibriste majeur; Dévastateur Air majeur; Remueur; Muldo Doré et Ebène</t>
        </is>
      </c>
    </row>
    <row r="17822">
      <c r="A17822" t="inlineStr">
        <is>
          <t>panda multi</t>
        </is>
      </c>
      <c r="B17822">
        <f>HYPERLINK("https://www.dofusbook.net/fr/equipement/692314-panda-multi/objets", "link")</f>
        <v/>
      </c>
      <c r="C17822" t="n">
        <v>0</v>
      </c>
      <c r="D17822" t="inlineStr">
        <is>
          <t>Amulette du Strigide; Bracelet du Piloztère; Alliance Gloursonne; Ceintacé</t>
        </is>
      </c>
    </row>
    <row r="17823">
      <c r="A17823" t="inlineStr">
        <is>
          <t>eau/cc</t>
        </is>
      </c>
      <c r="B17823">
        <f>HYPERLINK("https://www.dofusbook.net/fr/equipement/226135-eau-cc/objets", "link")</f>
        <v/>
      </c>
      <c r="C17823" t="n">
        <v>0</v>
      </c>
      <c r="D17823" t="inlineStr">
        <is>
          <t>Dagoulinantes; Amulette du Strigide; Alliance Gloursonne; Bracelet des Fonds marins; Ceintacé; Kidibonnet; Cape de la Dame du Hasard; Bottes de la Dame du Hasard; Dofus Émeraude; Dofus Pourpre; Dofus Turquoise; Dofus Nébuleux; Remueur; Chanceux majeur; Muldo Prune et Doré</t>
        </is>
      </c>
    </row>
    <row r="17824">
      <c r="A17824" t="inlineStr">
        <is>
          <t>arc koutou</t>
        </is>
      </c>
      <c r="B17824">
        <f>HYPERLINK("https://www.dofusbook.net/fr/equipement/666822-arc-koutou/objets", "link")</f>
        <v/>
      </c>
      <c r="C17824" t="n">
        <v>0</v>
      </c>
      <c r="D17824" t="inlineStr">
        <is>
          <t>Arc de Koutoulou; Amulette du Strigide; Alliance Gloursonne; Bague Gloursonne; Ceinture du Strigide; Némès de Tal Kasha; Chevelure de Tal Kasha; Sandales de Tal Kasha; Dofus Abyssal; Dofus Turquoise; Dofus Pourpre; Dofus Ocre; Dokoko; Dofus Émeraude; Muldo Prune et Emeraude</t>
        </is>
      </c>
    </row>
    <row r="17825">
      <c r="A17825" t="inlineStr">
        <is>
          <t>stuff 12/6</t>
        </is>
      </c>
      <c r="B17825">
        <f>HYPERLINK("https://www.dofusbook.net/fr/equipement/654777-stuff-12-6/objets", "link")</f>
        <v/>
      </c>
      <c r="C17825" t="n">
        <v>1</v>
      </c>
      <c r="D17825" t="inlineStr">
        <is>
          <t>Dagues Érhy; Amulette du Strigide; Bague Gloursonne; Anneau Chevelu; Ceinture du Strigide; Bonnet Ko; Voile d'encre; Bottes de la Cour Sombre; Dofus Turquoise; Dofus Ocre; Dofus Pourpre; Nomade; Remueur; Vigoureux majeur; Muldo Prune et Emeraude</t>
        </is>
      </c>
    </row>
    <row r="17826">
      <c r="A17826" t="inlineStr">
        <is>
          <t>stuff 12/5 koutou</t>
        </is>
      </c>
      <c r="B17826">
        <f>HYPERLINK("https://www.dofusbook.net/fr/equipement/654359-stuff-12-5-koutou/objets", "link")</f>
        <v/>
      </c>
      <c r="C17826" t="n">
        <v>0</v>
      </c>
      <c r="D17826" t="inlineStr">
        <is>
          <t>Dagues Érhy; Amulette du Strigide; Anneau Chevelu; Bague Gloursonne; Ceinture du Strigide; Bonnet Ko; Voile d'encre; Bottes de la Cour Sombre; Dofus Pourpre; Dofus Turquoise; Dofus Ocre; Nomade; Remueur; Vigoureux majeur; Kompost</t>
        </is>
      </c>
    </row>
    <row r="17827">
      <c r="A17827" t="inlineStr">
        <is>
          <t>Stuff 2</t>
        </is>
      </c>
      <c r="B17827">
        <f>HYPERLINK("https://www.dofusbook.net/fr/equipement/226118-stuff-2/objets", "link")</f>
        <v/>
      </c>
      <c r="C17827" t="n">
        <v>0</v>
      </c>
      <c r="D17827" t="inlineStr">
        <is>
          <t>Baguette de Malléfisk; Talisman Igans; Anneau Tique; Alliance Gloursonne; Ceintrigue; Chapeau des Malveilleurs; Cape de la Dame du Hasard; Pataugastrique; Dofus Pourpre; Chanceux majeur; Nomade; Érudit majeur; Remueur; Miraculé majeur; Dragodinde en armure</t>
        </is>
      </c>
    </row>
    <row r="17828">
      <c r="A17828" t="inlineStr">
        <is>
          <t>Stuff 1</t>
        </is>
      </c>
      <c r="B17828">
        <f>HYPERLINK("https://www.dofusbook.net/fr/equipement/226117-stuff-1/objets", "link")</f>
        <v/>
      </c>
      <c r="C17828" t="n">
        <v>0</v>
      </c>
      <c r="D17828" t="inlineStr">
        <is>
          <t>La Baguette des Limbes; Amulette du Strigide; Alliance Gloursonne; Bracelet du Piloztère; Ceinture du Strigide; Casque des égarés; Voile d'encre; Bottes de la Cour Sombre; Fonceur majeur; Remueur; Miraculé majeur; Carapace Air majeur; Dragodinde en armure</t>
        </is>
      </c>
    </row>
    <row r="17829">
      <c r="A17829" t="inlineStr">
        <is>
          <t>agi nouveau</t>
        </is>
      </c>
      <c r="B17829">
        <f>HYPERLINK("https://www.dofusbook.net/fr/equipement/545232-agi-nouveau/objets", "link")</f>
        <v/>
      </c>
      <c r="C17829" t="n">
        <v>0</v>
      </c>
      <c r="D17829" t="inlineStr">
        <is>
          <t>Manthache; Collier du Valet Veinard; Alliance Gloursonne; Gant du Valet Veinard; Menoture; Casque Dragoeuf; Cape Indescriptible; Palmes Trithons; Dofus Ocre; Dofus Pourpre; Dofus Émeraude; Nomade; Cascadeur majeur</t>
        </is>
      </c>
    </row>
    <row r="17830">
      <c r="A17830" t="inlineStr">
        <is>
          <t>full terre</t>
        </is>
      </c>
      <c r="B17830">
        <f>HYPERLINK("https://www.dofusbook.net/fr/equipement/544664-full-terre/objets", "link")</f>
        <v/>
      </c>
      <c r="C17830" t="n">
        <v>0</v>
      </c>
      <c r="D17830" t="inlineStr">
        <is>
          <t>Marteau Reine; Amulette du Strigide; Bague Gloursonne; Bracelet du Piloztère; Ceintacé; Coiffe de la Reine des Voleurs; Cape du Kamasterisk; Bottes de la Cour Sombre; Dofus Turquoise; Dofus Pourpre; Nomade; Carapace Feu majeur; Remueur; Vigoureux majeur; Muldo Doré et Ebène</t>
        </is>
      </c>
    </row>
    <row r="17831">
      <c r="A17831" t="inlineStr">
        <is>
          <t>full agi restuff</t>
        </is>
      </c>
      <c r="B17831">
        <f>HYPERLINK("https://www.dofusbook.net/fr/equipement/544122-full-agi-restuff/objets", "link")</f>
        <v/>
      </c>
      <c r="C17831" t="n">
        <v>1</v>
      </c>
      <c r="D17831" t="inlineStr">
        <is>
          <t>Pelle de la Cour Sombre; Amulette du Strigide; Alliance Gloursonne; Anneau d'Allister; Ceintacé; Couronne d'Allister; Cape de Klime; Pantoufles Émar; Vigoureux majeur; Remueur; Cascadeur majeur; Dévastateur Air majeur; Acrobate majeur; Nomade; Muldo Orchidée</t>
        </is>
      </c>
    </row>
    <row r="17832">
      <c r="A17832" t="inlineStr">
        <is>
          <t>eau/air</t>
        </is>
      </c>
      <c r="B17832">
        <f>HYPERLINK("https://www.dofusbook.net/fr/equipement/460924-eau-air/objets", "link")</f>
        <v/>
      </c>
      <c r="C17832" t="n">
        <v>0</v>
      </c>
      <c r="D17832" t="inlineStr">
        <is>
          <t>Rapière aux Glyphes; Amulette de Pol Ouatnos; Bracelet des Fonds marins; Alliance Gloursonne; Poulpagne; Casque Dragoeuf; Cape du Sinistrofu; Bottes du Sinistrofu; Dofus Pourpre; Dofus Émeraude; Dofus Turquoise; Solide majeur; Remueur; Inflexible majeur; Muldo Roux et Ivoire</t>
        </is>
      </c>
    </row>
    <row r="17833">
      <c r="A17833" t="inlineStr">
        <is>
          <t>full eau</t>
        </is>
      </c>
      <c r="B17833">
        <f>HYPERLINK("https://www.dofusbook.net/fr/equipement/450574-full-eau/objets", "link")</f>
        <v/>
      </c>
      <c r="C17833" t="n">
        <v>0</v>
      </c>
      <c r="D17833" t="inlineStr">
        <is>
          <t>Dagoulinantes; Amulette du Strigide; Alliance Gloursonne; Bracelet des Fonds marins; Poulpagne; Casque Dragoeuf; Cape du Sinistrofu; Bottes du Sinistrofu; Dofus Pourpre; Dofus Émeraude; Dofus Ocre; Dofus Turquoise; Chanceux majeur; Nomade; Kramkram</t>
        </is>
      </c>
    </row>
    <row r="17834">
      <c r="A17834" t="inlineStr">
        <is>
          <t>Stuff 2</t>
        </is>
      </c>
      <c r="B17834">
        <f>HYPERLINK("https://www.dofusbook.net/fr/equipement/226133-stuff-2/objets", "link")</f>
        <v/>
      </c>
      <c r="C17834" t="n">
        <v>0</v>
      </c>
      <c r="D17834" t="inlineStr">
        <is>
          <t>Marteau des Anciens Steamers; Amulette du Strigide; Alliance Gloursonne; Anneau Tique; Ceinture du Strigide; Kidibonnet; Voile d'encre; Sandales  d'Atcham; Dofus Pourpre; Dofus Turquoise; Dolmanax; Dofus Émeraude; Remueur; Carapace Terre majeur; Muldo Indigo et Pourpre</t>
        </is>
      </c>
    </row>
    <row r="17835">
      <c r="A17835" t="inlineStr">
        <is>
          <t>Stuff 3</t>
        </is>
      </c>
      <c r="B17835">
        <f>HYPERLINK("https://www.dofusbook.net/fr/equipement/226128-stuff-3/objets", "link")</f>
        <v/>
      </c>
      <c r="C17835" t="n">
        <v>0</v>
      </c>
      <c r="D17835" t="inlineStr">
        <is>
          <t>Sabres d'Atcham; Amulette du Strigide; Anneau Tique; Alliance Gloursonne; Menoture; Coiffe de Padgref; Voile d'encre; Sandales  d'Atcham; Dofus Turquoise; Dofus Pourpre; Étourdisseur majeur; Remueur; Vigoureux majeur; Nomade; Dragodinde en armure</t>
        </is>
      </c>
    </row>
    <row r="17836">
      <c r="A17836" t="inlineStr">
        <is>
          <t>Stuff 2</t>
        </is>
      </c>
      <c r="B17836">
        <f>HYPERLINK("https://www.dofusbook.net/fr/equipement/226130-stuff-2/objets", "link")</f>
        <v/>
      </c>
      <c r="C17836" t="n">
        <v>0</v>
      </c>
      <c r="D17836" t="inlineStr">
        <is>
          <t>L'Épée Nice; Amulette du Strigide; Alliance Gloursonne; Bracelet du Piloztère; Bouclier Terrdala cassé; Ceintacé; Masque du Katcheur; Voile d'encre; Bottes du Strigide; Dofus Turquoise; Dokoko; Dofus Pourpre; Vigoureux majeur; Enragé majeur; Remueur; Dragodinde en armure</t>
        </is>
      </c>
    </row>
    <row r="17837">
      <c r="A17837" t="inlineStr">
        <is>
          <t>Stuff 1</t>
        </is>
      </c>
      <c r="B17837">
        <f>HYPERLINK("https://www.dofusbook.net/fr/equipement/226132-stuff-1/objets", "link")</f>
        <v/>
      </c>
      <c r="C17837" t="n">
        <v>1</v>
      </c>
      <c r="D17837" t="inlineStr">
        <is>
          <t>Sabres d'Atcham; Amulette du Strigide; Alliance Gloursonne; Anneau de Padgref; Ceinture du Strigide; Coiffe de Padgref; Voile d'encre; Getas de Padgref; Dofus Turquoise; Dolmanax; Dofus Émeraude; Dofus Ocre; Dofus Pourpre; Muldo Prune et Doré</t>
        </is>
      </c>
    </row>
    <row r="17838">
      <c r="A17838" t="inlineStr">
        <is>
          <t>Stuff 1</t>
        </is>
      </c>
      <c r="B17838">
        <f>HYPERLINK("https://www.dofusbook.net/fr/equipement/226129-stuff-1/objets", "link")</f>
        <v/>
      </c>
      <c r="C17838" t="n">
        <v>0</v>
      </c>
      <c r="D17838" t="inlineStr">
        <is>
          <t>Pelle de la Cour Sombre; Amulette de Pol Ouatnos; Alliance Gloursonne; Anneau des égarés; Ceinture de Kongoku; Casque des égarés; Cape Indescriptible; Baleinabottes; Dokoko; Dofus Pourpre; Fonceur majeur; Cascadeur majeur; Remueur; Equilibriste majeur</t>
        </is>
      </c>
    </row>
    <row r="17839">
      <c r="A17839" t="inlineStr">
        <is>
          <t>Stuff 3</t>
        </is>
      </c>
      <c r="B17839">
        <f>HYPERLINK("https://www.dofusbook.net/fr/equipement/226131-stuff-3/objets", "link")</f>
        <v/>
      </c>
      <c r="C17839" t="n">
        <v>0</v>
      </c>
      <c r="D17839" t="inlineStr">
        <is>
          <t>Pelle de la Cour Sombre; Amulette du Strigide; Anneau d'Allister; Alliance Gloursonne; Ceintacé; Couronne d'Allister; Cape de Klime; Pantoufles Émar; Dévastateur Air majeur; Nomade; Acrobate majeur; Cascadeur majeur; Vigoureux majeur; Remueur; Muldo Orchidée et Pourpre</t>
        </is>
      </c>
    </row>
    <row r="17840">
      <c r="A17840" t="inlineStr">
        <is>
          <t>Stuff 1</t>
        </is>
      </c>
      <c r="B17840">
        <f>HYPERLINK("https://www.dofusbook.net/fr/equipement/226105-stuff-1/objets", "link")</f>
        <v/>
      </c>
      <c r="C17840" t="n">
        <v>0</v>
      </c>
      <c r="D17840" t="inlineStr">
        <is>
          <t>Amulette du Strigide; Anneau Tique; Alliance Gloursonne; Ceintacé; Chapeau des Malveilleurs; Voile d'encre; Bottes du Strigide; Dolmanax; Dofus Turquoise; Remueur; Temporiseur majeur; Étourdisseur majeur; Nomade; Dragodinde en armure</t>
        </is>
      </c>
    </row>
    <row r="17841">
      <c r="A17841" t="inlineStr">
        <is>
          <t>Stuff 2</t>
        </is>
      </c>
      <c r="B17841">
        <f>HYPERLINK("https://www.dofusbook.net/fr/equipement/226100-stuff-2/objets", "link")</f>
        <v/>
      </c>
      <c r="C17841" t="n">
        <v>0</v>
      </c>
      <c r="D17841" t="inlineStr">
        <is>
          <t>Arc Hétype; Amulette Séculaire; Bague Gloursonne; Anneau Tamie; Sangle Aise; Coiffe Séculaire; Cape de Nileza; Pataugastrique; Dofus Pourpre; Saccageur Feu majeur; Érudit majeur; Dévastateur Feu majeur; Nomade; Astucieux majeur; Brûlih</t>
        </is>
      </c>
    </row>
    <row r="17842">
      <c r="A17842" t="inlineStr">
        <is>
          <t>Stuff 3</t>
        </is>
      </c>
      <c r="B17842">
        <f>HYPERLINK("https://www.dofusbook.net/fr/equipement/226095-stuff-3/objets", "link")</f>
        <v/>
      </c>
      <c r="C17842" t="n">
        <v>0</v>
      </c>
      <c r="D17842" t="inlineStr">
        <is>
          <t>Sceptre du Roi Joueur; Amulette Luminescente; Poulpagne; Masque Trithon; Cape Luminescente; Dofus Émeraude; Culbuteur majeur; Remueur; Miraculé majeur; Muldo Ebène et Indigo</t>
        </is>
      </c>
    </row>
    <row r="17843">
      <c r="A17843" t="inlineStr">
        <is>
          <t>Stuff 1</t>
        </is>
      </c>
      <c r="B17843">
        <f>HYPERLINK("https://www.dofusbook.net/fr/equipement/226090-stuff-1/objets", "link")</f>
        <v/>
      </c>
      <c r="C17843" t="n">
        <v>0</v>
      </c>
      <c r="D17843" t="inlineStr">
        <is>
          <t>Epée Gloursonne; Amulette du Strigide; Alliance Gloursonne; Bague Gloursonne; Ceinture du Strigide; Casque de Missiz Frizz; Voile d'encre; Bottes du Strigide; Dofus Émeraude; Dofus Turquoise; Dofus Ocre; Dofus Pourpre; Bloqueur majeur; Furibond majeur; Blokus</t>
        </is>
      </c>
    </row>
    <row r="17844">
      <c r="A17844" t="inlineStr">
        <is>
          <t>Stuff 2</t>
        </is>
      </c>
      <c r="B17844">
        <f>HYPERLINK("https://www.dofusbook.net/fr/equipement/226097-stuff-2/objets", "link")</f>
        <v/>
      </c>
      <c r="C17844" t="n">
        <v>0</v>
      </c>
      <c r="D17844" t="inlineStr">
        <is>
          <t>Dagues Érhy; Amulette du Strigide; Bracelet du Piloztère; Bague Gloursonne; Ceinture de Gein; Chapeau de Gein; Voile d'encre; Baleinabottes; Dolmanax; Dofus Turquoise; Dofus Pourpre; Vigoureux majeur; Nomade; Remueur; Dragodinde en armure</t>
        </is>
      </c>
    </row>
    <row r="17845">
      <c r="A17845" t="inlineStr">
        <is>
          <t>Stuff 3</t>
        </is>
      </c>
      <c r="B17845">
        <f>HYPERLINK("https://www.dofusbook.net/fr/equipement/226092-stuff-3/objets", "link")</f>
        <v/>
      </c>
      <c r="C17845" t="n">
        <v>0</v>
      </c>
      <c r="D17845" t="inlineStr">
        <is>
          <t>Marteau R'ture; Amulette du Strigide; Bague Gloursonne; Anneau Chevelu; Ceinture du Strigide; Masque de Koutoulou; Voile d'encre; Bottes de la Cour Sombre; Dofus Turquoise; Dofus Pourpre; Nomade; Vigoureux majeur; Remueur; Enragé majeur; Muldo Doré et Pourpre</t>
        </is>
      </c>
    </row>
    <row r="17846">
      <c r="A17846" t="inlineStr">
        <is>
          <t>Stuff 1</t>
        </is>
      </c>
      <c r="B17846">
        <f>HYPERLINK("https://www.dofusbook.net/fr/equipement/226087-stuff-1/objets", "link")</f>
        <v/>
      </c>
      <c r="C17846" t="n">
        <v>0</v>
      </c>
      <c r="D17846" t="inlineStr">
        <is>
          <t>Harpelle; Amulette du Strigide; Anneau Rifique; Alliance Gloursonne; Menoture; Casque Cyclopéen; Voile d'encre; Sabots de Vortex; Dofus Pourpre; Remueur; Érudit majeur; Cascadeur majeur; Vigoureux majeur; Muldo Orchidée et Pourpre</t>
        </is>
      </c>
    </row>
    <row r="17847">
      <c r="A17847" t="inlineStr">
        <is>
          <t>Stuff 2</t>
        </is>
      </c>
      <c r="B17847">
        <f>HYPERLINK("https://www.dofusbook.net/fr/equipement/226109-stuff-2/objets", "link")</f>
        <v/>
      </c>
      <c r="C17847" t="n">
        <v>0</v>
      </c>
      <c r="D17847" t="inlineStr">
        <is>
          <t>Sceptre du Roi Joueur; Amulette Luminescente; Bracelet du Piloztère; Alliance Gloursonne; Ceinture de Kongoku; Kidibonnet; Cape Luminescente; Bottes de la Cour Sombre; Carapace Eau majeur; Remueur; Carapace Feu majeur; Chanceux majeur; Carapace Air majeur; Carapace Terre majeur; Muldo Ebène et Indigo</t>
        </is>
      </c>
    </row>
    <row r="17848">
      <c r="A17848" t="inlineStr">
        <is>
          <t>Stuff 3</t>
        </is>
      </c>
      <c r="B17848">
        <f>HYPERLINK("https://www.dofusbook.net/fr/equipement/226104-stuff-3/objets", "link")</f>
        <v/>
      </c>
      <c r="C17848" t="n">
        <v>0</v>
      </c>
      <c r="D17848" t="inlineStr">
        <is>
          <t>Arc Hétype; Amulette d'Otomaï; Anneau de Nidas; Anneau Tamie; Sangle Aise; Couronne de Nidas; Cape des Malveilleurs; Pantoufles Émar; Nomade; Entraveur majeur; Remueur; Temporiseur majeur; Érudit majeur</t>
        </is>
      </c>
    </row>
    <row r="17849">
      <c r="A17849" t="inlineStr">
        <is>
          <t>Stuff 1</t>
        </is>
      </c>
      <c r="B17849">
        <f>HYPERLINK("https://www.dofusbook.net/fr/equipement/226099-stuff-1/objets", "link")</f>
        <v/>
      </c>
      <c r="C17849" t="n">
        <v>1</v>
      </c>
      <c r="D17849" t="inlineStr">
        <is>
          <t>Sceptre du Roi Joueur; Amulette de Shokkoth; Bracelet des Fonds marins; Alliance Gloursonne; Bouclier du Stalak; Poulpagne; Masque des Fonds marins; Cape du Sinistrofu; Bottes de la Dame du Hasard; Dofus Pourpre; Dévastateur Eau majeur; Remueur; Chanceux majeur; Carapace Eau majeur; Nomade; Dehluge</t>
        </is>
      </c>
    </row>
    <row r="17850">
      <c r="A17850" t="inlineStr">
        <is>
          <t>Stuff 2</t>
        </is>
      </c>
      <c r="B17850">
        <f>HYPERLINK("https://www.dofusbook.net/fr/equipement/226094-stuff-2/objets", "link")</f>
        <v/>
      </c>
      <c r="C17850" t="n">
        <v>0</v>
      </c>
      <c r="D17850" t="inlineStr">
        <is>
          <t>Sabres d'Atcham; Amulette du Strigide; Bracelet des Fonds marins; Alliance Gloursonne; Menoture; Boucle d'oreille de Kongoku; Voile d'encre; Sandales  d'Atcham; Dolmanax; Dofus Émeraude; Dofus Turquoise; Dofus Pourpre; Remueur; Miraculé majeur; Muldo Prune et Doré</t>
        </is>
      </c>
    </row>
    <row r="17851">
      <c r="A17851" t="inlineStr">
        <is>
          <t>Stuff 3</t>
        </is>
      </c>
      <c r="B17851">
        <f>HYPERLINK("https://www.dofusbook.net/fr/equipement/226089-stuff-3/objets", "link")</f>
        <v/>
      </c>
      <c r="C17851" t="n">
        <v>0</v>
      </c>
      <c r="D17851" t="inlineStr">
        <is>
          <t>Baguette de Malléfisk; Pendentif affamé; Kralano; Bague Gloursonne; Ceinture Séculaire; Casque Cyclopéen; Voile d'encre; Bottes Innommables; Déserteur majeur; Érudit majeur; Carapace Eau majeur; Carapace Feu majeur; Carapace Terre majeur; Remueur; Muldo Pourpre</t>
        </is>
      </c>
    </row>
    <row r="17852">
      <c r="A17852" t="inlineStr">
        <is>
          <t>Stuff 1</t>
        </is>
      </c>
      <c r="B17852">
        <f>HYPERLINK("https://www.dofusbook.net/fr/equipement/226111-stuff-1/objets", "link")</f>
        <v/>
      </c>
      <c r="C17852" t="n">
        <v>0</v>
      </c>
      <c r="D17852" t="inlineStr">
        <is>
          <t>Marteau R'ture; Collier de Tourthon; Anneau Crustique; Anneau Chevelu; Ceinture de la Cour Sombre; Masque de Koutoulou; Voile d'encre; Bottes de la Cour Sombre; Dofus Turquoise; Dofus Pourpre; Nomade; Vigoureux majeur; Remueur; Enragé majeur; Muldo Indigo et Pourpre</t>
        </is>
      </c>
    </row>
    <row r="17853">
      <c r="A17853" t="inlineStr">
        <is>
          <t>Stuff 3</t>
        </is>
      </c>
      <c r="B17853">
        <f>HYPERLINK("https://www.dofusbook.net/fr/equipement/226101-stuff-3/objets", "link")</f>
        <v/>
      </c>
      <c r="C17853" t="n">
        <v>0</v>
      </c>
      <c r="D17853" t="inlineStr">
        <is>
          <t>Dagoulinantes; Collier de la Dame du Hasard; Bracelet des Fonds marins; Alliance Gloursonne; Kloume cassé; Poulpagne; Casque Dragoeuf; Cape de la Dame du Hasard; Bottes de Meno; Dofus Turquoise; Remueur; Nomade; Taquin majeur; Miraculé majeur; Chanceux majeur; Muldo Indigo et Pourpre</t>
        </is>
      </c>
    </row>
    <row r="17854">
      <c r="A17854" t="inlineStr">
        <is>
          <t>Stuff 2</t>
        </is>
      </c>
      <c r="B17854">
        <f>HYPERLINK("https://www.dofusbook.net/fr/equipement/226091-stuff-2/objets", "link")</f>
        <v/>
      </c>
      <c r="C17854" t="n">
        <v>0</v>
      </c>
      <c r="D17854" t="inlineStr">
        <is>
          <t>Dagues Érhy; Amulette du Strigide; Bague Gloursonne; Anneau Chevelu; Ceinture du Strigide; Chapeau de Gein; Voile d'encre; Baleinabottes; Dofus Turquoise; Dofus Pourpre; Nomade; Enragé majeur; Vigoureux majeur; Remueur; Dragodinde en armure</t>
        </is>
      </c>
    </row>
    <row r="17855">
      <c r="A17855" t="inlineStr">
        <is>
          <t>Stuff 1</t>
        </is>
      </c>
      <c r="B17855">
        <f>HYPERLINK("https://www.dofusbook.net/fr/equipement/226108-stuff-1/objets", "link")</f>
        <v/>
      </c>
      <c r="C17855" t="n">
        <v>0</v>
      </c>
      <c r="D17855" t="inlineStr">
        <is>
          <t>Pelle de la Cour Sombre; Collier du Valet Veinard; Bracelet du Piloztère; Alliance Gloursonne; Ceinture de la Reine des Voleurs; Coiffe de la Reine des Voleurs; Cape du Kamasterisk; Baleinabottes; Dofus Pourpre; Carapace Feu majeur; Remueur; Carapace Neutre majeur; Vigoureux majeur; Carapace Air majeur; Muldo Ebène et Indigo</t>
        </is>
      </c>
    </row>
    <row r="17856">
      <c r="A17856" t="inlineStr">
        <is>
          <t>Stuff 3</t>
        </is>
      </c>
      <c r="B17856">
        <f>HYPERLINK("https://www.dofusbook.net/fr/equipement/226098-stuff-3/objets", "link")</f>
        <v/>
      </c>
      <c r="C17856" t="n">
        <v>0</v>
      </c>
      <c r="D17856" t="inlineStr">
        <is>
          <t>L'Épée Nice; Amulette du Strigide; Bracelet du Piloztère; Bague Gloursonne; Ceintacé; Chapoulpe; Cape du Kamasterisk; Bottes du Kamasterisk; Dokoko; Dofus Turquoise; Dofus Pourpre; Vigoureux majeur; Cascadeur majeur; Remueur; Dragodinde en armure</t>
        </is>
      </c>
    </row>
    <row r="17857">
      <c r="A17857" t="inlineStr">
        <is>
          <t>Stuff 3</t>
        </is>
      </c>
      <c r="B17857">
        <f>HYPERLINK("https://www.dofusbook.net/fr/equipement/226110-stuff-3/objets", "link")</f>
        <v/>
      </c>
      <c r="C17857" t="n">
        <v>0</v>
      </c>
      <c r="D17857" t="inlineStr">
        <is>
          <t>Pelle de la Cour Sombre; Collier du Valet Veinard; Alliance Gloursonne; Gant du Valet Veinard; Bouclier Terrdala cassé; Ceinture du Barbétoal; Dorabysses; Cape Indescriptible; Baleinabottes; Carapace Eau majeur; Nomade; Carapace Air majeur; Remueur; Carapace Neutre majeur; Cascadeur majeur; Muldo Ebène et Pourpre</t>
        </is>
      </c>
    </row>
    <row r="17858">
      <c r="A17858" t="inlineStr">
        <is>
          <t>IDieidj</t>
        </is>
      </c>
      <c r="B17858">
        <f>HYPERLINK("https://www.dofusbook.net/fr/equipement/4298606-idieidj/objets", "link")</f>
        <v/>
      </c>
      <c r="C17858" t="n">
        <v>0</v>
      </c>
      <c r="D17858" t="inlineStr">
        <is>
          <t>Arc corrompu; Pendentif mignon de Koutoulou; Anneauræus; Anneauræus; Bouclier du Stalak; Ceinture de Vortex; Casque Cyclopéen; Voile d'encre; Chaussures Ardentes; Dofus Abyssal; Dofus Ocre; Remueur; Guérisseur majeur; Érudit majeur; Nomade; Dragodinde Orchidée et Rousse</t>
        </is>
      </c>
    </row>
    <row r="17859">
      <c r="A17859" t="inlineStr">
        <is>
          <t>Hjj</t>
        </is>
      </c>
      <c r="B17859">
        <f>HYPERLINK("https://www.dofusbook.net/fr/equipement/4298718-hjj/objets", "link")</f>
        <v/>
      </c>
      <c r="C17859" t="n">
        <v>0</v>
      </c>
      <c r="D17859" t="inlineStr">
        <is>
          <t>Arc corrompu; Pendentif affamé; Anneauræus; Anneauræus; Bouclier du Stalak; Ceinture de Vortex; Casque Dragoeuf; Cape de Diondin; Bottes Innommables; Dofus Abyssal; Dofus Pourpre; Remueur; Guérisseur majeur; Érudit majeur; Nomade; Dragodinde Orchidée et Rousse</t>
        </is>
      </c>
    </row>
    <row r="17860">
      <c r="A17860" t="inlineStr">
        <is>
          <t>Jjjj</t>
        </is>
      </c>
      <c r="B17860">
        <f>HYPERLINK("https://www.dofusbook.net/fr/equipement/4298650-jjjj/objets", "link")</f>
        <v/>
      </c>
      <c r="C17860" t="n">
        <v>0</v>
      </c>
      <c r="D17860" t="inlineStr">
        <is>
          <t>Arc corrompu; Pendentif mignon de Koutoulou; Anneau Rifique; Anneauræus; Bouclier du Stalak; Ceinture de Vortex; Casque Dragoeuf; Cape de Diondin; Chaussures Ardentes; Dofus Pourpre; Dofus Abyssal; Guérisseur majeur; Érudit majeur; Nomade; Remueur; Dragodinde Orchidée et Rousse</t>
        </is>
      </c>
    </row>
    <row r="17861">
      <c r="A17861" t="inlineStr">
        <is>
          <t>Jjjj</t>
        </is>
      </c>
      <c r="B17861">
        <f>HYPERLINK("https://www.dofusbook.net/fr/equipement/4298572-jjjj/objets", "link")</f>
        <v/>
      </c>
      <c r="C17861" t="n">
        <v>0</v>
      </c>
      <c r="D17861" t="inlineStr">
        <is>
          <t>Arc corrompu; Pendentif mignon de Koutoulou; Anneauræus; Anneau Rifique; Bouclier du Stalak; Ceinture de Vortex; Casque Dragoeuf; Cape de Nileza; Bottes Innommables; Dofus Ocre; Dofus Abyssal; Guérisseur majeur; Érudit majeur; Nomade; Remueur; Dragodinde Orchidée et Rousse</t>
        </is>
      </c>
    </row>
    <row r="17862">
      <c r="A17862" t="inlineStr">
        <is>
          <t>Eniripsa F 200</t>
        </is>
      </c>
      <c r="B17862">
        <f>HYPERLINK("https://www.dofusbook.net/fr/equipement/4160114-eniripsa-f-200/objets", "link")</f>
        <v/>
      </c>
      <c r="C17862" t="n">
        <v>1</v>
      </c>
      <c r="D17862" t="inlineStr">
        <is>
          <t>Arc corrompu; Pendentif affamé; Anneau Tique; Anneauræus; Cadran de Terre; Ceinture de Vortex; Cagoule de Vortex; Voile d'encre; Bottes Innommables; Dofus Ocre; Dofus Abyssal; Érudit majeur; Remueur; Guérisseur majeur; Nomade; Dragodinde Orchidée et Rousse</t>
        </is>
      </c>
    </row>
    <row r="17863">
      <c r="A17863" t="inlineStr">
        <is>
          <t>XXX</t>
        </is>
      </c>
      <c r="B17863">
        <f>HYPERLINK("https://www.dofusbook.net/fr/equipement/4155151-xxx/objets", "link")</f>
        <v/>
      </c>
      <c r="C17863" t="n">
        <v>7</v>
      </c>
      <c r="D17863" t="inlineStr">
        <is>
          <t>Arc corrompu; Amulette Volkorne; Anneauræus; Anneauræus; Cadran de Terre; Ceinture Séculaire; Coiffe Séculaire; Voile d'encre; Bottes Innommables; Dofus Ocre; Dofus Pourpre; Dofus Abyssal; Érudit majeur; Nomade; Remueur; Bisouglours</t>
        </is>
      </c>
    </row>
    <row r="17864">
      <c r="A17864" t="inlineStr">
        <is>
          <t>Crâ M 200</t>
        </is>
      </c>
      <c r="B17864">
        <f>HYPERLINK("https://www.dofusbook.net/fr/equipement/4154916-cra-m-200/objets", "link")</f>
        <v/>
      </c>
      <c r="C17864" t="n">
        <v>2</v>
      </c>
      <c r="D17864" t="inlineStr">
        <is>
          <t>Arc du Chalœil; Collier de Tourthon; Bracelet du Piloztère; Anneau Volkorne; Quatre-feuilles; Ceinture Volkorne; Masque de Koutoulou; Cape au Logis; Bottes du Cœur Saignant; Dofus Pourpre; Dofus Abyssal; Dofus Nébuleux; Dofus Turquoise; Dofus Ocre; Enragé majeur; Bwak de Terre</t>
        </is>
      </c>
    </row>
    <row r="17865">
      <c r="A17865" t="inlineStr">
        <is>
          <t>Jhftg</t>
        </is>
      </c>
      <c r="B17865">
        <f>HYPERLINK("https://www.dofusbook.net/fr/equipement/4160405-jhftg/objets", "link")</f>
        <v/>
      </c>
      <c r="C17865" t="n">
        <v>2</v>
      </c>
      <c r="D17865" t="inlineStr">
        <is>
          <t>Arc du Chalœil; Amulette du Cœur Saignant; Anneau de Brouce; Alliance Brûlâme; Quatre-feuilles; Ceinture de Brouce; Masque Brûlâme; Cape du Cœur Saignant; Bottes de Brouce; Dofus Vulbis; Dofus Abyssal; Dofus Nébuleux; Dofus Ivoire; Dofus Turquoise; Dofus Ocre; Volkorne Jade et Pourpre</t>
        </is>
      </c>
    </row>
    <row r="17866">
      <c r="A17866" t="inlineStr">
        <is>
          <t>qeryqery</t>
        </is>
      </c>
      <c r="B17866">
        <f>HYPERLINK("https://www.dofusbook.net/fr/equipement/4155192-qeryqery/objets", "link")</f>
        <v/>
      </c>
      <c r="C17866" t="n">
        <v>3</v>
      </c>
      <c r="D17866" t="inlineStr">
        <is>
          <t>Massier; Amulette Volkorne; Anneauræus; Anneauræus; Bouclier Taverne; Ceinture Volkorne; Heaume Oplate; Voile d'encre; Bottes Innommables; Dofus Ivoire; Dofus Ocre; Dofus Pourpre; Dofus Abyssal; Nomade; Érudit majeur; Bisouglours</t>
        </is>
      </c>
    </row>
    <row r="17867">
      <c r="A17867" t="inlineStr">
        <is>
          <t>Iop F 200</t>
        </is>
      </c>
      <c r="B17867">
        <f>HYPERLINK("https://www.dofusbook.net/fr/equipement/4155060-iop-f-200/objets", "link")</f>
        <v/>
      </c>
      <c r="C17867" t="n">
        <v>0</v>
      </c>
      <c r="D17867" t="inlineStr">
        <is>
          <t>Massier; Amulette Volkorne; Anneauræus; Anneauræus; Bouclier du Stalak; Sangle Aise; Casque Volkorne; Voile d'encre; Bottes Innommables; Dofus Ivoire; Dofus Ocre; Dofus Pourpre; Dofus Abyssal; Nomade; Érudit majeur; Bisouglours</t>
        </is>
      </c>
    </row>
    <row r="17868">
      <c r="A17868" t="inlineStr">
        <is>
          <t>Eniripsa F 200</t>
        </is>
      </c>
      <c r="B17868">
        <f>HYPERLINK("https://www.dofusbook.net/fr/equipement/4154997-eniripsa-f-200/objets", "link")</f>
        <v/>
      </c>
      <c r="C17868" t="n">
        <v>0</v>
      </c>
      <c r="D17868" t="inlineStr">
        <is>
          <t>Sceptre du Roi Joueur; Amulette de Shokkoth; Bracelet des Fonds marins; Alliance Gloursonne; Bouclier d'Ilyzaelle; Sangle Ouare; Masque des Fonds marins; Cape de l'Œil Attentif; Bottes du Sinistrofu; Dofus Ivoire; Dofus Abyssal; Chanceux majeur; Carapace Terre majeur; Étourdisseur majeur; Remueur; Volkorne Ivoire et Indigo</t>
        </is>
      </c>
    </row>
    <row r="17869">
      <c r="A17869" t="inlineStr">
        <is>
          <t>Iddusd</t>
        </is>
      </c>
      <c r="B17869">
        <f>HYPERLINK("https://www.dofusbook.net/fr/equipement/3556751-iddusd/objets", "link")</f>
        <v/>
      </c>
      <c r="C17869" t="n">
        <v>3</v>
      </c>
      <c r="D17869" t="inlineStr">
        <is>
          <t>Plumeau Bil; Amulette Volkorne; Anneau Tique; Anneauræus; Cadran de Terre; Ceinture de Vortex; Heaume Oplate; Voile d'encre; Bottes Innommables; Dofus Abyssal; Dofus Pourpre; Dofus Ivoire; Remueur; Érudit majeur; Nomade; Bisouglours</t>
        </is>
      </c>
    </row>
    <row r="17870">
      <c r="A17870" t="inlineStr">
        <is>
          <t>Iop M 200</t>
        </is>
      </c>
      <c r="B17870">
        <f>HYPERLINK("https://www.dofusbook.net/fr/equipement/3538854-iop-m-200/objets", "link")</f>
        <v/>
      </c>
      <c r="C17870" t="n">
        <v>0</v>
      </c>
      <c r="D17870" t="inlineStr">
        <is>
          <t>Arc corrompu; Amulette de Nileza; Anneauræus; Anneau Tique; Cadran de Terre; Ceinture de Vortex; Coiffe Séculaire; Cape de Nileza; Pataugastrique; Dofus Ivoire; Dofus Abyssal; Dofus Pourpre; Nomade; Remueur; Érudit majeur; Dragodinde Orchidée</t>
        </is>
      </c>
    </row>
    <row r="17871">
      <c r="A17871" t="inlineStr">
        <is>
          <t>Ldozihd</t>
        </is>
      </c>
      <c r="B17871">
        <f>HYPERLINK("https://www.dofusbook.net/fr/equipement/3487567-ldozihd/objets", "link")</f>
        <v/>
      </c>
      <c r="C17871" t="n">
        <v>3</v>
      </c>
      <c r="D17871" t="inlineStr">
        <is>
          <t>Hache du Chalœil; Amulette Volkorne; Bague Trithon; Anneau Volkorne; Cadran d'Air; Ceintacé; Masque Trithon; Voile d'encre; Bottes Honyme; Dofus Vulbis; Dofus Abyssal; Dofus Pourpre; Dofus Nébuleux; Dofus Turquoise; Dofus des Glaces; Croum</t>
        </is>
      </c>
    </row>
    <row r="17872">
      <c r="A17872" t="inlineStr">
        <is>
          <t>Enutrof M 200</t>
        </is>
      </c>
      <c r="B17872">
        <f>HYPERLINK("https://www.dofusbook.net/fr/equipement/3745155-enutrof-m-200/objets", "link")</f>
        <v/>
      </c>
      <c r="C17872" t="n">
        <v>0</v>
      </c>
      <c r="D17872" t="inlineStr"/>
    </row>
    <row r="17873">
      <c r="A17873" t="inlineStr">
        <is>
          <t>Crâ M 200</t>
        </is>
      </c>
      <c r="B17873">
        <f>HYPERLINK("https://www.dofusbook.net/fr/equipement/3743265-cra-m-200/objets", "link")</f>
        <v/>
      </c>
      <c r="C17873" t="n">
        <v>1</v>
      </c>
      <c r="D17873" t="inlineStr">
        <is>
          <t>Marteau Racle; Veranneau; Anneau de XLII; Chapeau Lichinelle; Cape Surde; Bottes de XLII</t>
        </is>
      </c>
    </row>
    <row r="17874">
      <c r="A17874" t="inlineStr">
        <is>
          <t>Eniripsa F 200</t>
        </is>
      </c>
      <c r="B17874">
        <f>HYPERLINK("https://www.dofusbook.net/fr/equipement/3722803-eniripsa-f-200/objets", "link")</f>
        <v/>
      </c>
      <c r="C17874" t="n">
        <v>0</v>
      </c>
      <c r="D17874" t="inlineStr">
        <is>
          <t>Manthache; Collier du Valet Veinard; Gant du Valet Veinard; Alliance Gloursonne; Bouclier du Stalak; Menoture; Casque Dragoeuf; Cape Indescriptible; Palmes Trithons; Dofus Abyssal; Carapace Air majeur; Déserteur majeur; Remueur; Étourdisseur majeur; Cascadeur majeur; Muldo Ebène et Amande</t>
        </is>
      </c>
    </row>
    <row r="17875">
      <c r="A17875" t="inlineStr">
        <is>
          <t>Eniripsa M 200</t>
        </is>
      </c>
      <c r="B17875">
        <f>HYPERLINK("https://www.dofusbook.net/fr/equipement/3692668-eniripsa-m-200/objets", "link")</f>
        <v/>
      </c>
      <c r="C17875" t="n">
        <v>1</v>
      </c>
      <c r="D17875" t="inlineStr">
        <is>
          <t>Sceptre du Roi Joueur; Amulette du Sinistrofu; Bracelet des Fonds marins; Alliance Gloursonne; Poulpagne; Casque Dragoeuf; Cape de Mantaze; Bottes du Sinistrofu; Dofus Émeraude; Dofus Abyssal; Chanceux majeur; Étourdisseur majeur; Remueur; Carapace Air majeur; Muldo Indigo</t>
        </is>
      </c>
    </row>
    <row r="17876">
      <c r="A17876" t="inlineStr">
        <is>
          <t>Cra Koli 3v3</t>
        </is>
      </c>
      <c r="B17876">
        <f>HYPERLINK("https://www.dofusbook.net/fr/equipement/3649479-cra-koli-3v3/objets", "link")</f>
        <v/>
      </c>
      <c r="C17876" t="n">
        <v>1</v>
      </c>
      <c r="D17876" t="inlineStr">
        <is>
          <t>Arc du Chalœil; Amulette de Pol Ouatnos; Chevalière du Roi Joueur; Baguistik; Quatre-feuilles; Ceinture Gence; Couronne du Roi Joueur; Voile d'encre; Bottes du Cœur Saignant; Dofus Turquoise; Dofus Ocre; Dofus Abyssal; Dofus Pourpre; Dofus Nébuleux; Vigoureux majeur; Croum</t>
        </is>
      </c>
    </row>
    <row r="17877">
      <c r="A17877" t="inlineStr">
        <is>
          <t>ANTI SACRI</t>
        </is>
      </c>
      <c r="B17877">
        <f>HYPERLINK("https://www.dofusbook.net/fr/equipement/3649462-anti-sacri/objets", "link")</f>
        <v/>
      </c>
      <c r="C17877" t="n">
        <v>0</v>
      </c>
      <c r="D17877" t="inlineStr">
        <is>
          <t>Arc du Chalœil; Amulette de Pol Ouatnos; Baguistik; Chevalière du Roi Joueur; Quatre-feuilles; Ceinture Gence; Couronne du Roi Joueur; Voile d'encre; Bottes du Cœur Saignant; Dokoko; Dofus Ocre; Dofus Abyssal; Dofus Pourpre; Dofus Nébuleux; Enragé majeur; Dragodinde Ivoire et Pourpre</t>
        </is>
      </c>
    </row>
    <row r="17878">
      <c r="A17878" t="inlineStr">
        <is>
          <t>Crâ M 200</t>
        </is>
      </c>
      <c r="B17878">
        <f>HYPERLINK("https://www.dofusbook.net/fr/equipement/3648943-cra-m-200/objets", "link")</f>
        <v/>
      </c>
      <c r="C17878" t="n">
        <v>0</v>
      </c>
      <c r="D17878" t="inlineStr">
        <is>
          <t>Arc du Chalœil; Amulette de Pol Ouatnos; Chevalière du Roi Joueur; Ceinture Volkorne; Masque de Koutoulou; Cape du Cœur Saignant; Bottes du Roi Joueur</t>
        </is>
      </c>
    </row>
    <row r="17879">
      <c r="A17879" t="inlineStr">
        <is>
          <t>Crâ M 200</t>
        </is>
      </c>
      <c r="B17879">
        <f>HYPERLINK("https://www.dofusbook.net/fr/equipement/3642007-cra-m-200/objets", "link")</f>
        <v/>
      </c>
      <c r="C17879" t="n">
        <v>2</v>
      </c>
      <c r="D17879" t="inlineStr">
        <is>
          <t>Arc de Koutoulou; Amulette de Pol Ouatnos; Alliance Gloursonne; Anneau Volkorne; Bouclier du Stalak; Ceinture de la Reine des Voleurs; Casque Volkorne; Dofusteuse; Bottes de la Reine des Voleurs; Dokoko; Dofus Abyssal; Dofus Ocre; Dofus Ivoire; Dofus des Glaces; Dofus Nébuleux; Volkorne Rubis et Améthyste</t>
        </is>
      </c>
    </row>
    <row r="17880">
      <c r="A17880" t="inlineStr">
        <is>
          <t>Bjok</t>
        </is>
      </c>
      <c r="B17880">
        <f>HYPERLINK("https://www.dofusbook.net/fr/equipement/3642034-bjok/objets", "link")</f>
        <v/>
      </c>
      <c r="C17880" t="n">
        <v>3</v>
      </c>
      <c r="D17880" t="inlineStr">
        <is>
          <t>Arc de Koutoulou; Amulette d'Ilyzaelle; Anneau Toriété; Alliance Gloursonne; Bouclier du Stalak; Menoture; Coiffe de la Reine des Voleurs; Dofusteuse; Bottes de la Reine des Voleurs; Dofus Ocre; Dofus Ivoire; Dofus Nébuleux; Dokoko; Dofus Abyssal; Cascadeur majeur</t>
        </is>
      </c>
    </row>
    <row r="17881">
      <c r="A17881" t="inlineStr">
        <is>
          <t>Vhik</t>
        </is>
      </c>
      <c r="B17881">
        <f>HYPERLINK("https://www.dofusbook.net/fr/equipement/3641988-vhik/objets", "link")</f>
        <v/>
      </c>
      <c r="C17881" t="n">
        <v>2</v>
      </c>
      <c r="D17881" t="inlineStr">
        <is>
          <t>Arc corrompu; Amulette de Nileza; Anneau de Nidas; Anneau Tique; Cadran de Terre; Ceinture de Vortex; Cagoule de Vortex; Voile d'encre; Pataugastrique; Dofus Abyssal; Dokoko; Dofus Ocre; Érudit majeur; Étourdisseur majeur; Muldo Orchidée et Pourpre</t>
        </is>
      </c>
    </row>
    <row r="17882">
      <c r="A17882" t="inlineStr">
        <is>
          <t>Crâ M 200</t>
        </is>
      </c>
      <c r="B17882">
        <f>HYPERLINK("https://www.dofusbook.net/fr/equipement/3641966-cra-m-200/objets", "link")</f>
        <v/>
      </c>
      <c r="C17882" t="n">
        <v>1</v>
      </c>
      <c r="D17882" t="inlineStr">
        <is>
          <t>Arc corrompu; Amulette de Nileza; Anneau Tique; Anneau de Nidas; Cadran de Terre; Ceinture de Vortex; Cagoule de Vortex; Voile d'encre; Pataugastrique; Dofus Ocre; Dofus Abyssal; Dofus Ivoire; Étourdisseur majeur; Érudit majeur; Nomade; Dragodinde Ivoire et Orchidée</t>
        </is>
      </c>
    </row>
    <row r="17883">
      <c r="A17883" t="inlineStr">
        <is>
          <t>Crâ M 200</t>
        </is>
      </c>
      <c r="B17883">
        <f>HYPERLINK("https://www.dofusbook.net/fr/equipement/3636383-cra-m-200/objets", "link")</f>
        <v/>
      </c>
      <c r="C17883" t="n">
        <v>0</v>
      </c>
      <c r="D17883" t="inlineStr">
        <is>
          <t>Arc du Chalœil; Amulette du Cœur Saignant; Baguistik; Chevalière du Roi Joueur; Quatre-feuilles; Ceinture Gence; Couronne du Roi Joueur; Voile d'encre; Bottes du Roi Joueur; Dofus Turquoise; Dofus Ivoire; Dofus Vulbis; Dofus Pourpre; Dokoko; Dofus Nébuleux; Kramkram</t>
        </is>
      </c>
    </row>
    <row r="17884">
      <c r="A17884" t="inlineStr">
        <is>
          <t>Eruj</t>
        </is>
      </c>
      <c r="B17884">
        <f>HYPERLINK("https://www.dofusbook.net/fr/equipement/3570712-eruj/objets", "link")</f>
        <v/>
      </c>
      <c r="C17884" t="n">
        <v>0</v>
      </c>
      <c r="D17884" t="inlineStr">
        <is>
          <t>Arc du Chalœil; Amulette de Pol Ouatnos; Chevalière du Roi Joueur; Bracelet du Piloztère; Quatre-feuilles; Ceinture Gence; Masque de Koutoulou; Voile d'encre; Bottes du Roi Joueur; Dofus Abyssal; Dofus Pourpre; Dofus Nébuleux; Dofus Turquoise; Vigoureux majeur; Enragé majeur; Croum</t>
        </is>
      </c>
    </row>
    <row r="17885">
      <c r="A17885" t="inlineStr">
        <is>
          <t>xtj</t>
        </is>
      </c>
      <c r="B17885">
        <f>HYPERLINK("https://www.dofusbook.net/fr/equipement/3523717-xtj/objets", "link")</f>
        <v/>
      </c>
      <c r="C17885" t="n">
        <v>1</v>
      </c>
      <c r="D17885" t="inlineStr">
        <is>
          <t>Arc du Chalœil; Amulette du Strigide; Bracelet du Piloztère; Chevalière du Roi Joueur; Quatre-feuilles; Ceintacé; Masque de Koutoulou; Voile d'encre; Bottes du Roi Joueur; Dofus Pourpre; Dofus Nébuleux; Dofus Turquoise; Dofus Abyssal; Nomade; Vigoureux majeur; Croum</t>
        </is>
      </c>
    </row>
    <row r="17886">
      <c r="A17886" t="inlineStr">
        <is>
          <t>Jvj</t>
        </is>
      </c>
      <c r="B17886">
        <f>HYPERLINK("https://www.dofusbook.net/fr/equipement/3422923-jvj/objets", "link")</f>
        <v/>
      </c>
      <c r="C17886" t="n">
        <v>1</v>
      </c>
      <c r="D17886" t="inlineStr">
        <is>
          <t>Marteau R'ture; Amulette du Strigide; Anneau Chevelu; Bague Gloursonne; Cadran d'Eau; Ceintacé; Masque d'Anerice; Cape d'Anerice; Bottes de la Cour Sombre; Dofus Ocre; Dofus Pourpre; Dofus Abyssal; Dofus Turquoise; Enragé majeur; Nomade; Dragodinde Ivoire et Pourpre</t>
        </is>
      </c>
    </row>
    <row r="17887">
      <c r="A17887" t="inlineStr">
        <is>
          <t>Outghi</t>
        </is>
      </c>
      <c r="B17887">
        <f>HYPERLINK("https://www.dofusbook.net/fr/equipement/3538972-outghi/objets", "link")</f>
        <v/>
      </c>
      <c r="C17887" t="n">
        <v>0</v>
      </c>
      <c r="D17887" t="inlineStr">
        <is>
          <t>Arc corrompu; Pendentif mignon de Koutoulou; Anneauræus; Anneau Rifique; Bouclier du Stalak; Ceinture de Vortex; Casque Dragoeuf; Cape de Diondin; Bottes Innommables; Dofus Ocre; Dofus Abyssal; Érudit majeur; Étourdisseur majeur; Dévastateur Feu majeur; Remueur; Muldo Orchidée et Pourpre</t>
        </is>
      </c>
    </row>
    <row r="17888">
      <c r="A17888" t="inlineStr">
        <is>
          <t>Eniripsa F 200</t>
        </is>
      </c>
      <c r="B17888">
        <f>HYPERLINK("https://www.dofusbook.net/fr/equipement/3536703-eniripsa-f-200/objets", "link")</f>
        <v/>
      </c>
      <c r="C17888" t="n">
        <v>0</v>
      </c>
      <c r="D17888" t="inlineStr">
        <is>
          <t>Sceptre du Roi Joueur; Amulette de Shokkoth; Alliance Gloursonne; Bracelet des Fonds marins; Cadran de Feu; Sangle Ouare; Casque Dragoeuf; Cape Matelassée; Sandales des Fonds marins; Dofus Émeraude; Dofus Abyssal; Miraculé majeur; Chanceux majeur; Étourdisseur majeur; Remueur; Croum</t>
        </is>
      </c>
    </row>
    <row r="17889">
      <c r="A17889" t="inlineStr">
        <is>
          <t>Jhfgu</t>
        </is>
      </c>
      <c r="B17889">
        <f>HYPERLINK("https://www.dofusbook.net/fr/equipement/3454571-jhfgu/objets", "link")</f>
        <v/>
      </c>
      <c r="C17889" t="n">
        <v>4</v>
      </c>
      <c r="D17889" t="inlineStr">
        <is>
          <t>Sceptre du Roi Joueur; Amulette de Shokkoth; Alliance Gloursonne; Bracelet des Fonds marins; Cadran de Feu; Sangle Ouare; Casque Dragoeuf; Cape Matelassée; Sandales des Fonds marins; Dofus Émeraude; Dofus Abyssal; Carapace Air majeur; Chanceux majeur; Étourdisseur majeur; Remueur; Dragodinde Indigo et Ivoire</t>
        </is>
      </c>
    </row>
    <row r="17890">
      <c r="A17890" t="inlineStr">
        <is>
          <t>Jufg</t>
        </is>
      </c>
      <c r="B17890">
        <f>HYPERLINK("https://www.dofusbook.net/fr/equipement/3523124-jufg/objets", "link")</f>
        <v/>
      </c>
      <c r="C17890" t="n">
        <v>2</v>
      </c>
      <c r="D17890" t="inlineStr">
        <is>
          <t>Arc corrompu; Pendentif mignon de Koutoulou; Bague Gloursonne; Anneau Rifique; Bouclier du Stalak; Menoture; Casque Dragoeuf; Voile d'encre; Bottes Innommables; Dofus des Glaces; Dofus Pourpre; Dofus Ocre; Dofus Abyssal; Érudit majeur; Nomade; Dragodinde Prune et Orchidée</t>
        </is>
      </c>
    </row>
    <row r="17891">
      <c r="A17891" t="inlineStr">
        <is>
          <t>JSUsbz</t>
        </is>
      </c>
      <c r="B17891">
        <f>HYPERLINK("https://www.dofusbook.net/fr/equipement/3523088-jsusbz/objets", "link")</f>
        <v/>
      </c>
      <c r="C17891" t="n">
        <v>0</v>
      </c>
      <c r="D17891" t="inlineStr">
        <is>
          <t>Arc corrompu; Pendentif mignon de Koutoulou; Anneau Rifique; Alliance Brûlâme; Bouclier du Stalak; Menoture; Casque Dragoeuf; Cape Martegel; Bottes Innommables; Dofus Ivoire; Dofus Ocre; Dofus Abyssal; Dofus des Glaces; Dofus Pourpre; Nomade; Dragodinde Ebène et Ivoire</t>
        </is>
      </c>
    </row>
    <row r="17892">
      <c r="A17892" t="inlineStr">
        <is>
          <t>Crâ M 200</t>
        </is>
      </c>
      <c r="B17892">
        <f>HYPERLINK("https://www.dofusbook.net/fr/equipement/3523009-cra-m-200/objets", "link")</f>
        <v/>
      </c>
      <c r="C17892" t="n">
        <v>0</v>
      </c>
      <c r="D17892" t="inlineStr">
        <is>
          <t>Arc corrompu; Amulette du Cycloïde; Baguistik; Bague Gloursonne; Cadran de Terre; Ceinture de Vortex; Heaume Oplate; Voile d'encre; Bottes du Cycloïde; Dofus Pourpre; Dofus Nébuleux; Dofus Ocre; Dofus Abyssal; Érudit majeur; Nomade; Croum</t>
        </is>
      </c>
    </row>
    <row r="17893">
      <c r="A17893" t="inlineStr">
        <is>
          <t>jpg</t>
        </is>
      </c>
      <c r="B17893">
        <f>HYPERLINK("https://www.dofusbook.net/fr/equipement/3497736-jpg/objets", "link")</f>
        <v/>
      </c>
      <c r="C17893" t="n">
        <v>0</v>
      </c>
      <c r="D17893" t="inlineStr">
        <is>
          <t>Hache Téroïde; Amulette du Strigide; Bracelet du Piloztère; Chevalière du Roi Joueur; Quatre-feuilles; Ceintacé; Masque de Koutoulou; Voile d'encre; Bottes du Roi Joueur; Dofus Pourpre; Dofus Nébuleux; Dofus Turquoise; Dofus Abyssal; Nomade; Vigoureux majeur; Croum</t>
        </is>
      </c>
    </row>
    <row r="17894">
      <c r="A17894" t="inlineStr">
        <is>
          <t>OFFI ACTU</t>
        </is>
      </c>
      <c r="B17894">
        <f>HYPERLINK("https://www.dofusbook.net/fr/equipement/3368258-offi-actu/objets", "link")</f>
        <v/>
      </c>
      <c r="C17894" t="n">
        <v>3</v>
      </c>
      <c r="D17894" t="inlineStr">
        <is>
          <t>Hache Téroïde; Amulette du Strigide; Baguistik; Bracelet du Piloztère; Cadran d'Air; Ceintacé; Coiffe de Padgref; Voile d'encre; Bottes du Strigide; Dofus Nébuleux; Dofus Turquoise; Dofus Abyssal; Dofus Pourpre; Remueur; Nomade; Croum</t>
        </is>
      </c>
    </row>
    <row r="17895">
      <c r="A17895" t="inlineStr">
        <is>
          <t>wet</t>
        </is>
      </c>
      <c r="B17895">
        <f>HYPERLINK("https://www.dofusbook.net/fr/equipement/3497677-wet/objets", "link")</f>
        <v/>
      </c>
      <c r="C17895" t="n">
        <v>1</v>
      </c>
      <c r="D17895" t="inlineStr">
        <is>
          <t>Lav'Hache; Amulette Volkorne; Chevalière du Roi Joueur; Bague Gloursonne; Cadran de Terre; Ceinture Volkorne; Couronne du Roi Joueur; Voile d'encre; Bottes du Roi Joueur; Dofus Vulbis; Dofus Abyssal; Dofus Pourpre; Dofus Nébuleux; Dofus Turquoise; Dofus Ocre; Croum</t>
        </is>
      </c>
    </row>
    <row r="17896">
      <c r="A17896" t="inlineStr">
        <is>
          <t>uygj</t>
        </is>
      </c>
      <c r="B17896">
        <f>HYPERLINK("https://www.dofusbook.net/fr/equipement/3496567-uygj/objets", "link")</f>
        <v/>
      </c>
      <c r="C17896" t="n">
        <v>2</v>
      </c>
      <c r="D17896" t="inlineStr">
        <is>
          <t>Héqache; Amulette du Strigide; Bracelet du Piloztère; Chevalière du Roi Joueur; Quatre-feuilles; Ceinture Gence; Masque de Koutoulou; Voile d'encre; Bottes du Roi Joueur; Dofus Pourpre; Dofus Nébuleux; Dofus Turquoise; Dofus Abyssal; Nomade; Vigoureux majeur; Croum</t>
        </is>
      </c>
    </row>
    <row r="17897">
      <c r="A17897" t="inlineStr">
        <is>
          <t>BESTYAPAFOTO</t>
        </is>
      </c>
      <c r="B17897">
        <f>HYPERLINK("https://www.dofusbook.net/fr/equipement/3487614-bestyapafoto/objets", "link")</f>
        <v/>
      </c>
      <c r="C17897" t="n">
        <v>3</v>
      </c>
      <c r="D17897" t="inlineStr">
        <is>
          <t>Lav'Hache; Amulette du Strigide; Chevalière du Roi Joueur; Bracelet du Piloztère; Quatre-feuilles; Ceinture Gence; Masque de Koutoulou; Voile d'encre; Bottes du Roi Joueur; Dofus Abyssal; Dofus Pourpre; Dofus Nébuleux; Dofus Turquoise; Vigoureux majeur; Nomade; Croum</t>
        </is>
      </c>
    </row>
    <row r="17898">
      <c r="A17898" t="inlineStr">
        <is>
          <t>Kjgg</t>
        </is>
      </c>
      <c r="B17898">
        <f>HYPERLINK("https://www.dofusbook.net/fr/equipement/3489116-kjgg/objets", "link")</f>
        <v/>
      </c>
      <c r="C17898" t="n">
        <v>1</v>
      </c>
      <c r="D17898" t="inlineStr">
        <is>
          <t>Lav'Hache; Amulette du Strigide; Bracelet du Piloztère; Chevalière du Roi Joueur; Cadran de Terre; Ceinture Gence; Couronne du Roi Joueur; Voile d'encre; Bottes du Cœur Saignant; Dofus Turquoise; Dofus Ocre; Dofus Abyssal; Dofus Pourpre; Dofus Nébuleux; Nomade; Croum</t>
        </is>
      </c>
    </row>
    <row r="17899">
      <c r="A17899" t="inlineStr">
        <is>
          <t>Jhfu</t>
        </is>
      </c>
      <c r="B17899">
        <f>HYPERLINK("https://www.dofusbook.net/fr/equipement/3487828-jhfu/objets", "link")</f>
        <v/>
      </c>
      <c r="C17899" t="n">
        <v>2</v>
      </c>
      <c r="D17899" t="inlineStr">
        <is>
          <t>Lav'Hache; Amulette du Strigide; Chevalière du Roi Joueur; Bracelet du Piloztère; Cadran de Terre; Ceintacé; Masque de Koutoulou; Cape du Cœur Saignant; Bottes du Cœur Saignant; Dofus Abyssal; Dofus Pourpre; Dofus Nébuleux; Dofus Turquoise; Vigoureux majeur; Nomade; Kramkram</t>
        </is>
      </c>
    </row>
    <row r="17900">
      <c r="A17900" t="inlineStr">
        <is>
          <t>Jjggv</t>
        </is>
      </c>
      <c r="B17900">
        <f>HYPERLINK("https://www.dofusbook.net/fr/equipement/3487741-jjggv/objets", "link")</f>
        <v/>
      </c>
      <c r="C17900" t="n">
        <v>1</v>
      </c>
      <c r="D17900" t="inlineStr">
        <is>
          <t>Hache Téroïde; Amulette du Strigide; Bracelet du Piloztère; Chevalière du Roi Joueur; Cadran de Terre; Ceintacé; Couronne du Roi Joueur; Voile d'encre; Bottes du Cœur Saignant; Dofus Turquoise; Dofus Ocre; Dofus Abyssal; Dofus Pourpre; Dofus Nébuleux; Nomade; Croum</t>
        </is>
      </c>
    </row>
    <row r="17901">
      <c r="A17901" t="inlineStr">
        <is>
          <t>Fyug</t>
        </is>
      </c>
      <c r="B17901">
        <f>HYPERLINK("https://www.dofusbook.net/fr/equipement/3487498-fyug/objets", "link")</f>
        <v/>
      </c>
      <c r="C17901" t="n">
        <v>1</v>
      </c>
      <c r="D17901" t="inlineStr">
        <is>
          <t>Hache Téroïde; Amulette Volkorne; Bracelet du Piloztère; Chevalière du Roi Joueur; Cadran de Terre; Ceinture Volkorne; Masque Brûlâme; Voile d'encre; Bottes Honyme; Dofus Turquoise; Dofus Ocre; Dofus Abyssal; Dofus Pourpre; Dofus Nébuleux; Nomade; Croum</t>
        </is>
      </c>
    </row>
    <row r="17902">
      <c r="A17902" t="inlineStr">
        <is>
          <t>Ksosjd</t>
        </is>
      </c>
      <c r="B17902">
        <f>HYPERLINK("https://www.dofusbook.net/fr/equipement/3480494-ksosjd/objets", "link")</f>
        <v/>
      </c>
      <c r="C17902" t="n">
        <v>0</v>
      </c>
      <c r="D17902" t="inlineStr">
        <is>
          <t>Sceptre du Roi Joueur; Amulette de Shokkoth; Alliance Gloursonne; Bracelet des Fonds marins; Cadran de Feu; Poulpagne; Casque Dragoeuf; Cape Matelassée; Sandales des Fonds marins; Dofus Émeraude; Dofus Abyssal; Carapace Air majeur; Chanceux majeur; Étourdisseur majeur; Nomade; Croum</t>
        </is>
      </c>
    </row>
    <row r="17903">
      <c r="A17903" t="inlineStr">
        <is>
          <t>Jhfgv</t>
        </is>
      </c>
      <c r="B17903">
        <f>HYPERLINK("https://www.dofusbook.net/fr/equipement/3480384-jhfgv/objets", "link")</f>
        <v/>
      </c>
      <c r="C17903" t="n">
        <v>0</v>
      </c>
      <c r="D17903" t="inlineStr">
        <is>
          <t>Rapière aux Glyphes; Amulette de Shokkoth; Bracelet des Fonds marins; Alliance Gloursonne; Sept ans de malheur; Poulpagne; Masque des Fonds marins; Cape Matelassée; Bottes du Sinistrofu; Dofus Ivoire; Dofus Émeraude; Dofus Abyssal; Étourdisseur majeur; Nomade; Chanceux majeur; Kramkram</t>
        </is>
      </c>
    </row>
    <row r="17904">
      <c r="A17904" t="inlineStr">
        <is>
          <t>Bhggg</t>
        </is>
      </c>
      <c r="B17904">
        <f>HYPERLINK("https://www.dofusbook.net/fr/equipement/3480264-bhggg/objets", "link")</f>
        <v/>
      </c>
      <c r="C17904" t="n">
        <v>0</v>
      </c>
      <c r="D17904" t="inlineStr">
        <is>
          <t>Baguette Héroclite; Amulette de Shokkoth; Alliance Gloursonne; Bracelet des Fonds marins; Cadran de Feu; Poulpagne; Casque Dragoeuf; Cape Solution; Sandales des Fonds marins; Dofus Émeraude; Dofus Abyssal; Carapace Air majeur; Chanceux majeur; Étourdisseur majeur; Nomade; Kramkram</t>
        </is>
      </c>
    </row>
    <row r="17905">
      <c r="A17905" t="inlineStr">
        <is>
          <t>Vftjn</t>
        </is>
      </c>
      <c r="B17905">
        <f>HYPERLINK("https://www.dofusbook.net/fr/equipement/3480204-vftjn/objets", "link")</f>
        <v/>
      </c>
      <c r="C17905" t="n">
        <v>0</v>
      </c>
      <c r="D17905" t="inlineStr">
        <is>
          <t>Sceptre du Roi Joueur; Amulette de Shokkoth; Bracelet des Fonds marins; Alliance Gloursonne; Cadran de Terre; Poulpagne; Capuche de l'Œil Attentif; Cape de l'Œil Attentif; Bottes du Sinistrofu; Dofus Ivoire; Dofus Abyssal; Étourdisseur majeur; Nomade; Chanceux majeur; Remueur; Croum</t>
        </is>
      </c>
    </row>
    <row r="17906">
      <c r="A17906" t="inlineStr">
        <is>
          <t>Stuff 3</t>
        </is>
      </c>
      <c r="B17906">
        <f>HYPERLINK("https://www.dofusbook.net/fr/equipement/793547-stuff-3/objets", "link")</f>
        <v/>
      </c>
      <c r="C17906" t="n">
        <v>1</v>
      </c>
      <c r="D17906" t="inlineStr">
        <is>
          <t>Sceptre du Roi Joueur; Amulette de Shokkoth; Alliance Gloursonne; Bracelet des Fonds marins; Cadran de Feu; Poulpagne; Casque Dragoeuf; Cape de Mantaze; Pataugastrique; Dofus Émeraude; Dofus Abyssal; Carapace Terre majeur; Chanceux majeur; Étourdisseur majeur; Nomade; Kramkram</t>
        </is>
      </c>
    </row>
    <row r="17907">
      <c r="A17907" t="inlineStr">
        <is>
          <t>Crâ M 200</t>
        </is>
      </c>
      <c r="B17907">
        <f>HYPERLINK("https://www.dofusbook.net/fr/equipement/3454841-cra-m-200/objets", "link")</f>
        <v/>
      </c>
      <c r="C17907" t="n">
        <v>0</v>
      </c>
      <c r="D17907" t="inlineStr">
        <is>
          <t>Arc corrompu; Amulette Volkorne; Alliance Brûlâme; Anneau Toriété; Cadran de Terre; Ceinture de Vortex; Casque Volkorne; Cape Martegel; Bottes Honyme; Dofus des Glaces; Dofus Abyssal; Dofus Pourpre; Dofus Ivoire; Dofus Ocre; Observateur; Croum</t>
        </is>
      </c>
    </row>
    <row r="17908">
      <c r="A17908" t="inlineStr">
        <is>
          <t>Jfdy</t>
        </is>
      </c>
      <c r="B17908">
        <f>HYPERLINK("https://www.dofusbook.net/fr/equipement/3454779-jfdy/objets", "link")</f>
        <v/>
      </c>
      <c r="C17908" t="n">
        <v>2</v>
      </c>
      <c r="D17908" t="inlineStr">
        <is>
          <t>Sceptre du Roi Joueur; Amulette de Shokkoth; Bracelet des Fonds marins; Alliance Gloursonne; Cadran de Feu; Poulpagne; Casque Dragoeuf; Cape de Mantaze; Pataugastrique; Dofus Émeraude; Dofus Abyssal; Étourdisseur majeur; Nomade; Carapace Terre majeur; Chanceux majeur; Kramkram</t>
        </is>
      </c>
    </row>
    <row r="17909">
      <c r="A17909" t="inlineStr">
        <is>
          <t>Jjfdu</t>
        </is>
      </c>
      <c r="B17909">
        <f>HYPERLINK("https://www.dofusbook.net/fr/equipement/3454755-jjfdu/objets", "link")</f>
        <v/>
      </c>
      <c r="C17909" t="n">
        <v>1</v>
      </c>
      <c r="D17909" t="inlineStr">
        <is>
          <t>Sceptre du Roi Joueur; Amulette de Shokkoth; Alliance Gloursonne; Bracelet des Fonds marins; Bouclier de Solar; Poulpagne; Casque Dragoeuf; Cape de l'Œil Attentif; Pataugastrique; Dofus Pourpre; Dofus Émeraude; Dofus Abyssal; Chanceux majeur; Étourdisseur majeur; Nomade; Croum</t>
        </is>
      </c>
    </row>
    <row r="17910">
      <c r="A17910" t="inlineStr">
        <is>
          <t>Guidd</t>
        </is>
      </c>
      <c r="B17910">
        <f>HYPERLINK("https://www.dofusbook.net/fr/equipement/3454441-guidd/objets", "link")</f>
        <v/>
      </c>
      <c r="C17910" t="n">
        <v>2</v>
      </c>
      <c r="D17910" t="inlineStr">
        <is>
          <t>Sceptre du Roi Joueur; Amulette de Shokkoth; Bracelet des Fonds marins; Alliance Gloursonne; Bouclier de Solar; Ceinture Glaciale; Casque Dragoeuf; Cape Glaciale; Pataugastrique; Dofus Ivoire; Dofus Émeraude; Dofus Abyssal; Étourdisseur majeur; Carapace Terre majeur; Chanceux majeur; Muldo Indigo</t>
        </is>
      </c>
    </row>
    <row r="17911">
      <c r="A17911" t="inlineStr">
        <is>
          <t>Bghl</t>
        </is>
      </c>
      <c r="B17911">
        <f>HYPERLINK("https://www.dofusbook.net/fr/equipement/3454410-bghl/objets", "link")</f>
        <v/>
      </c>
      <c r="C17911" t="n">
        <v>3</v>
      </c>
      <c r="D17911" t="inlineStr">
        <is>
          <t>Sceptre du Roi Joueur; Amulette de Shokkoth; Alliance Gloursonne; Bracelet des Fonds marins; Cadran de Feu; Poulpagne; Masque d'Anerice; Cape d'Anerice; Bottes du Sinistrofu; Dofus Émeraude; Dofus Abyssal; Dofus Ivoire; Remueur; Chanceux majeur; Étourdisseur majeur; Muldo Ebène et Indigo</t>
        </is>
      </c>
    </row>
    <row r="17912">
      <c r="A17912" t="inlineStr">
        <is>
          <t>Jdksjfj</t>
        </is>
      </c>
      <c r="B17912">
        <f>HYPERLINK("https://www.dofusbook.net/fr/equipement/3444550-jdksjfj/objets", "link")</f>
        <v/>
      </c>
      <c r="C17912" t="n">
        <v>1</v>
      </c>
      <c r="D17912" t="inlineStr">
        <is>
          <t>Sceptre du Roi Joueur; Amulette de Shokkoth; Anneau Toriété; Alliance Gloursonne; Cadran de Feu; Poulpagne; Casque Dragoeuf; Cape du Sinistrofu; Bottes du Sinistrofu; Dofus Émeraude; Dofus Abyssal; Étourdisseur majeur; Carapace Air majeur; Remueur; Chanceux majeur; Dragodinde Indigo et Ivoire</t>
        </is>
      </c>
    </row>
    <row r="17913">
      <c r="A17913" t="inlineStr">
        <is>
          <t>Jgdyi</t>
        </is>
      </c>
      <c r="B17913">
        <f>HYPERLINK("https://www.dofusbook.net/fr/equipement/3444493-jgdyi/objets", "link")</f>
        <v/>
      </c>
      <c r="C17913" t="n">
        <v>4</v>
      </c>
      <c r="D17913" t="inlineStr">
        <is>
          <t>Arc corrompu; Pendentif affamé; Chevalière du Roi Joueur; Anneau Tique; Cadran de Terre; Ceintacé; Masque d'Anerice; Cape d'Anerice; Bottes Innommables; Dofus Ocre; Dofus Turquoise; Dofus Abyssal; Dofus Vulbis; Dofus Pourpre; Érudit majeur; Dragodinde Ivoire et Orchidée</t>
        </is>
      </c>
    </row>
    <row r="17914">
      <c r="A17914" t="inlineStr">
        <is>
          <t>Jsusidjd</t>
        </is>
      </c>
      <c r="B17914">
        <f>HYPERLINK("https://www.dofusbook.net/fr/equipement/3444475-jsusidjd/objets", "link")</f>
        <v/>
      </c>
      <c r="C17914" t="n">
        <v>1</v>
      </c>
      <c r="D17914" t="inlineStr">
        <is>
          <t>Hache Téroïde; Amulette du Strigide; Bracelet du Piloztère; Baguistik; Cadran de Terre; Ceintacé; Casque Dragoeuf; Voile d'encre; Bottes du Strigide; Dofus Pourpre; Dofus Nébuleux; Dofus Turquoise; Dofus Abyssal; Nomade; Remueur; Dragodinde Ivoire et Pourpre</t>
        </is>
      </c>
    </row>
    <row r="17915">
      <c r="A17915" t="inlineStr">
        <is>
          <t>Jkhg</t>
        </is>
      </c>
      <c r="B17915">
        <f>HYPERLINK("https://www.dofusbook.net/fr/equipement/3444218-jkhg/objets", "link")</f>
        <v/>
      </c>
      <c r="C17915" t="n">
        <v>0</v>
      </c>
      <c r="D17915" t="inlineStr">
        <is>
          <t>Arc corrompu; Pendentif affamé; Chevalière du Roi Joueur; Bague Gloursonne; Cadran de Terre; Ceinture de Vortex; Heaume Oplate; Voile d'encre; Bottes Innommables; Dofus Nébuleux; Dofus Turquoise; Dofus Pourpre; Dofus Abyssal; Érudit majeur; Remueur; Muldo Pourpre</t>
        </is>
      </c>
    </row>
    <row r="17916">
      <c r="A17916" t="inlineStr">
        <is>
          <t>Ndene</t>
        </is>
      </c>
      <c r="B17916">
        <f>HYPERLINK("https://www.dofusbook.net/fr/equipement/3444301-ndene/objets", "link")</f>
        <v/>
      </c>
      <c r="C17916" t="n">
        <v>2</v>
      </c>
      <c r="D17916" t="inlineStr">
        <is>
          <t>Arc Hétype; Pendentif affamé; Bague Gloursonne; Chevalière du Roi Joueur; Cadran de Terre; Ceinture de Vortex; Masque Ardent; Voile d'encre; Chaussures Ardentes; Dofus Pourpre; Dofus Abyssal; Dofus Ocre; Érudit majeur; Remueur; Nomade; Kramkram</t>
        </is>
      </c>
    </row>
    <row r="17917">
      <c r="A17917" t="inlineStr">
        <is>
          <t>Crâ M 200</t>
        </is>
      </c>
      <c r="B17917">
        <f>HYPERLINK("https://www.dofusbook.net/fr/equipement/3443976-cra-m-200/objets", "link")</f>
        <v/>
      </c>
      <c r="C17917" t="n">
        <v>2</v>
      </c>
      <c r="D17917" t="inlineStr">
        <is>
          <t>Pyraguette; Talisman Igans; Anneau Toriété; Lavanneau; Cadran de Terre; Poulpagne; Casque Dragoeuf; Cape de la Dame du Hasard; Bottes Owesli; Dofus Pourpre; Dofus Abyssal; Étourdisseur majeur; Robuste majeur; Vigoureux majeur; Remueur; Croum</t>
        </is>
      </c>
    </row>
    <row r="17918">
      <c r="A17918" t="inlineStr">
        <is>
          <t>Keizz</t>
        </is>
      </c>
      <c r="B17918">
        <f>HYPERLINK("https://www.dofusbook.net/fr/equipement/3370430-keizz/objets", "link")</f>
        <v/>
      </c>
      <c r="C17918" t="n">
        <v>1</v>
      </c>
      <c r="D17918" t="inlineStr">
        <is>
          <t>Sabres d'Atcham; Pendentif mignon de Koutoulou; Anneau Rifique; Alliance Gloursonne; Cadran de Terre; Ceinture de Vortex; Casque Cyclopéen; Cape d'Atcham; Sandales  d'Atcham; Dolmanax; Dofus Pourpre; Dofus Ocre; Dofus Ivoire; Dofus Vulbis; Dofus Abyssal; Croum</t>
        </is>
      </c>
    </row>
    <row r="17919">
      <c r="A17919" t="inlineStr">
        <is>
          <t>Ndksis</t>
        </is>
      </c>
      <c r="B17919">
        <f>HYPERLINK("https://www.dofusbook.net/fr/equipement/3422921-ndksis/objets", "link")</f>
        <v/>
      </c>
      <c r="C17919" t="n">
        <v>0</v>
      </c>
      <c r="D17919" t="inlineStr"/>
    </row>
    <row r="17920">
      <c r="A17920" t="inlineStr">
        <is>
          <t>Lsalssk</t>
        </is>
      </c>
      <c r="B17920">
        <f>HYPERLINK("https://www.dofusbook.net/fr/equipement/3415965-lsalssk/objets", "link")</f>
        <v/>
      </c>
      <c r="C17920" t="n">
        <v>1</v>
      </c>
      <c r="D17920" t="inlineStr">
        <is>
          <t>Épouvante; Amulette du Strigide; Anneau Chevelu; Pikano; Bouclier d'Ilyzaelle; Ceintacé; Casque Dragoeuf; Dofusteuse; Bottes du Strigide; Dofus Nébuleux; Dofus Turquoise; Dofus Abyssal; Dofus Pourpre; Remueur; Nomade; Kramkram</t>
        </is>
      </c>
    </row>
    <row r="17921">
      <c r="A17921" t="inlineStr">
        <is>
          <t>Xapeaucalipteau</t>
        </is>
      </c>
      <c r="B17921">
        <f>HYPERLINK("https://www.dofusbook.net/fr/equipement/3404216-xapeaucalipteau/objets", "link")</f>
        <v/>
      </c>
      <c r="C17921" t="n">
        <v>1</v>
      </c>
      <c r="D17921" t="inlineStr">
        <is>
          <t>Épouvante; Amulette du Strigide; Pikano; Anneau Chevelu; Bouclier d'Ilyzaelle; Ceintacé; Masque de Funespadon; Cape du Cœur Saignant; Bottes du Strigide; Dofus Ivoire; Dofus Pourpre; Dofus Turquoise; Dofus Abyssal; Vigoureux majeur; Remueur; Muldo Ebène et Pourpre</t>
        </is>
      </c>
    </row>
    <row r="17922">
      <c r="A17922" t="inlineStr">
        <is>
          <t>Xapocalipteau</t>
        </is>
      </c>
      <c r="B17922">
        <f>HYPERLINK("https://www.dofusbook.net/fr/equipement/3404156-xapocalipteau/objets", "link")</f>
        <v/>
      </c>
      <c r="C17922" t="n">
        <v>3</v>
      </c>
      <c r="D17922" t="inlineStr">
        <is>
          <t>Épouvante; Amulette du Strigide; Anneau Chevelu; Pikano; Bouclier d'Ilyzaelle; Ceintacé; Masque de Funespadon; Dofusteuse; Bottes du Strigide; Dofus Nébuleux; Dofus Turquoise; Dofus Abyssal; Dofus Ivoire; Dofus Pourpre; Remueur; Muldo Ebène et Pourpre</t>
        </is>
      </c>
    </row>
    <row r="17923">
      <c r="A17923" t="inlineStr">
        <is>
          <t>Xapeau</t>
        </is>
      </c>
      <c r="B17923">
        <f>HYPERLINK("https://www.dofusbook.net/fr/equipement/3403853-xapeau/objets", "link")</f>
        <v/>
      </c>
      <c r="C17923" t="n">
        <v>1</v>
      </c>
      <c r="D17923" t="inlineStr">
        <is>
          <t>Épouvante; Amulette du Strigide; Pikano; Bague Trithon; Cadran d'Eau; Ceintacé; Masque Trithon; Cape au Logis; Chaussons de Macrab; Dofus Ivoire; Dofus Pourpre; Dolmanax; Dofus Turquoise; Dofus Abyssal; Remueur; Croum</t>
        </is>
      </c>
    </row>
    <row r="17924">
      <c r="A17924" t="inlineStr">
        <is>
          <t>Iop M 200</t>
        </is>
      </c>
      <c r="B17924">
        <f>HYPERLINK("https://www.dofusbook.net/fr/equipement/3403783-iop-m-200/objets", "link")</f>
        <v/>
      </c>
      <c r="C17924" t="n">
        <v>1</v>
      </c>
      <c r="D17924" t="inlineStr">
        <is>
          <t>Épouvante; Amulette du Strigide; Anneau Chevelu; Pikano; Cadran d'Eau; Ceintacé; Masque de Funespadon; Cape du Cœur Saignant; Bottes du Strigide; Dofus Turquoise; Dofus Abyssal; Dofus Ivoire; Dofus Pourpre; Nomade; Remueur; Kramkram</t>
        </is>
      </c>
    </row>
    <row r="17925">
      <c r="A17925" t="inlineStr">
        <is>
          <t>Hui</t>
        </is>
      </c>
      <c r="B17925">
        <f>HYPERLINK("https://www.dofusbook.net/fr/equipement/3370525-hui/objets", "link")</f>
        <v/>
      </c>
      <c r="C17925" t="n">
        <v>5</v>
      </c>
      <c r="D17925" t="inlineStr">
        <is>
          <t>Arc Honte; Pendentif mignon de Koutoulou; Anneauræus; Alliance Gloursonne; Bouclier du Stalak; Ceinture de Vortex; Casque Cyclopéen; Voile d'encre; Bottes Deuradi; Dofus Pourpre; Dofus Ocre; Dofus des Glaces; Dofus Abyssal; Nomade; Remueur; Croum</t>
        </is>
      </c>
    </row>
    <row r="17926">
      <c r="A17926" t="inlineStr">
        <is>
          <t>Vhk</t>
        </is>
      </c>
      <c r="B17926">
        <f>HYPERLINK("https://www.dofusbook.net/fr/equipement/3370477-vhk/objets", "link")</f>
        <v/>
      </c>
      <c r="C17926" t="n">
        <v>1</v>
      </c>
      <c r="D17926" t="inlineStr">
        <is>
          <t>Arc Honte; Pendentif mignon de Koutoulou; Alliance Gloursonne; Anneauræus; Cadran de Terre; Ceinture de Vortex; Casque Cyclopéen; Voile d'encre; Bottes Deuradi; Dofus Ocre; Dofus des Glaces; Dofus Abyssal; Dofus Pourpre; Remueur; Nomade; Croum</t>
        </is>
      </c>
    </row>
    <row r="17927">
      <c r="A17927" t="inlineStr">
        <is>
          <t>est</t>
        </is>
      </c>
      <c r="B17927">
        <f>HYPERLINK("https://www.dofusbook.net/fr/equipement/3368218-est/objets", "link")</f>
        <v/>
      </c>
      <c r="C17927" t="n">
        <v>1</v>
      </c>
      <c r="D17927" t="inlineStr">
        <is>
          <t>Hache Téroïde; Amulette du Strigide; Chevalière du Roi Joueur; Bracelet du Piloztère; Cadran de Terre; Ceinture du Strigide; Masque de Koutoulou; Voile d'encre; Bottes du Cœur Saignant; Dofus Nébuleux; Dofus Turquoise; Dofus Abyssal; Dofus Pourpre; Remueur; Nomade; Croum</t>
        </is>
      </c>
    </row>
    <row r="17928">
      <c r="A17928" t="inlineStr">
        <is>
          <t>esr</t>
        </is>
      </c>
      <c r="B17928">
        <f>HYPERLINK("https://www.dofusbook.net/fr/equipement/3368177-esr/objets", "link")</f>
        <v/>
      </c>
      <c r="C17928" t="n">
        <v>0</v>
      </c>
      <c r="D17928" t="inlineStr">
        <is>
          <t>Arc du Chalœil; Amulette du Strigide; Bracelet du Piloztère; Baguistik; Cadran de Terre; Ceinture du Strigide; Masque de Koutoulou; Voile d'encre; Bottes de la Cour Sombre; Dofus Pourpre; Dofus Nébuleux; Dofus Turquoise; Dofus Abyssal; Enragé majeur; Remueur; Muldo Indigo et Pourpre</t>
        </is>
      </c>
    </row>
    <row r="17929">
      <c r="A17929" t="inlineStr">
        <is>
          <t>Eniripsa F 200</t>
        </is>
      </c>
      <c r="B17929">
        <f>HYPERLINK("https://www.dofusbook.net/fr/equipement/3365608-eniripsa-f-200/objets", "link")</f>
        <v/>
      </c>
      <c r="C17929" t="n">
        <v>2</v>
      </c>
      <c r="D17929" t="inlineStr">
        <is>
          <t>Sceptre du Roi Joueur; Amulette de Shokkoth; Alliance Gloursonne; Bracelet des Fonds marins; Cadran de Feu; Poulpagne; Casque Dragoeuf; Cape de Mantaze; Sandales des Fonds marins; Dofus Émeraude; Carapace Air majeur; Chanceux majeur; Étourdisseur majeur; Miraculé majeur; Remueur; Muldo Indigo</t>
        </is>
      </c>
    </row>
    <row r="17930">
      <c r="A17930" t="inlineStr">
        <is>
          <t>bug</t>
        </is>
      </c>
      <c r="B17930">
        <f>HYPERLINK("https://www.dofusbook.net/fr/equipement/3359480-bug/objets", "link")</f>
        <v/>
      </c>
      <c r="C17930" t="n">
        <v>0</v>
      </c>
      <c r="D17930" t="inlineStr">
        <is>
          <t>Arc corrompu; Pendentif mignon de Koutoulou; Anneau Rifique; Chevalière du Roi Joueur; Cadran de Terre; Sangle Aise; Casque Dragoeuf; Voile d'encre; Bottes Innommables; Dofus Abyssal; Dofus Pourpre; Observateur; Érudit majeur; Nomade; Kramkram</t>
        </is>
      </c>
    </row>
    <row r="17931">
      <c r="A17931" t="inlineStr">
        <is>
          <t>Crâ M 200</t>
        </is>
      </c>
      <c r="B17931">
        <f>HYPERLINK("https://www.dofusbook.net/fr/equipement/3359443-cra-m-200/objets", "link")</f>
        <v/>
      </c>
      <c r="C17931" t="n">
        <v>2</v>
      </c>
      <c r="D17931" t="inlineStr">
        <is>
          <t>Arc de Koutoulou; Amulette du Strigide; Alliance Gloursonne; Bracelet du Piloztère; Cadran d'Air; Ceinture du Barbétoal; Kidibonnet; Chevelure de Tal Kasha; Sandales de Tal Kasha; Dofus Abyssal; Dofus Pourpre; Dofus Ivoire; Dofus Turquoise; Nomade; Remueur; Croum</t>
        </is>
      </c>
    </row>
    <row r="17932">
      <c r="A17932" t="inlineStr">
        <is>
          <t>qeeff</t>
        </is>
      </c>
      <c r="B17932">
        <f>HYPERLINK("https://www.dofusbook.net/fr/equipement/3347121-qeeff/objets", "link")</f>
        <v/>
      </c>
      <c r="C17932" t="n">
        <v>0</v>
      </c>
      <c r="D17932" t="inlineStr">
        <is>
          <t>Hache Téroïde; Amulette du Strigide; Chevalière du Roi Joueur; Baguistik; Cadran d'Air; Ceintacé; Masque de Koutoulou; Voile d'encre; Bottes du Strigide; Dofus Pourpre; Dofus Nébuleux; Dofus Abyssal; Dofus Turquoise; Observateur; Nomade; Muldo Pourpre</t>
        </is>
      </c>
    </row>
    <row r="17933">
      <c r="A17933" t="inlineStr">
        <is>
          <t>Guit</t>
        </is>
      </c>
      <c r="B17933">
        <f>HYPERLINK("https://www.dofusbook.net/fr/equipement/3348930-guit/objets", "link")</f>
        <v/>
      </c>
      <c r="C17933" t="n">
        <v>1</v>
      </c>
      <c r="D17933" t="inlineStr">
        <is>
          <t>Baguette Range; Amulette du Strigide; Anneauræus; Anneau de Padgref; Cadran d'Air; Ceinture du Strigide; Coiffe de Padgref; Voile d'encre; Getas de Padgref; Dofus Abyssal; Dofus Ivoire; Dofus Ocre; Dofus des Glaces; Dofus Turquoise; Dofus Pourpre; Muldo Orchidée</t>
        </is>
      </c>
    </row>
    <row r="17934">
      <c r="A17934" t="inlineStr">
        <is>
          <t>Hiif</t>
        </is>
      </c>
      <c r="B17934">
        <f>HYPERLINK("https://www.dofusbook.net/fr/equipement/3348824-hiif/objets", "link")</f>
        <v/>
      </c>
      <c r="C17934" t="n">
        <v>1</v>
      </c>
      <c r="D17934" t="inlineStr">
        <is>
          <t>Baguette Range; Amulette du Strigide; Bague Trithon; Anneau de Padgref; Cadran d'Air; Menoture; Coiffe de Padgref; Voile d'encre; Bottes Trithon; Dofus Ocre; Dofus Nébuleux; Dofus Turquoise; Dofus Pourpre; Dofus Abyssal; Dofus Ivoire; Muldo Orchidée</t>
        </is>
      </c>
    </row>
    <row r="17935">
      <c r="A17935" t="inlineStr">
        <is>
          <t>Jdksi</t>
        </is>
      </c>
      <c r="B17935">
        <f>HYPERLINK("https://www.dofusbook.net/fr/equipement/3348749-jdksi/objets", "link")</f>
        <v/>
      </c>
      <c r="C17935" t="n">
        <v>0</v>
      </c>
      <c r="D17935" t="inlineStr">
        <is>
          <t>Hache du Guerrier Zoth; Amulette du Strigide; Bague Gloursonne; Bague Trithon; Quatre-feuilles; Ceinture du Strigide; Casque Dragoeuf; Voile d'encre; Bottes Trithon; Dofus Abyssal; Dofus Ivoire; Dofus Ocre; Dofus Nébuleux; Dofus Turquoise; Dofus Pourpre; Muldo Orchidée et Pourpre</t>
        </is>
      </c>
    </row>
    <row r="17936">
      <c r="A17936" t="inlineStr">
        <is>
          <t>Jiuf</t>
        </is>
      </c>
      <c r="B17936">
        <f>HYPERLINK("https://www.dofusbook.net/fr/equipement/3348636-jiuf/objets", "link")</f>
        <v/>
      </c>
      <c r="C17936" t="n">
        <v>1</v>
      </c>
      <c r="D17936" t="inlineStr">
        <is>
          <t>Epée Maudite du Saigneur Guerrier; Amulette du Strigide; Bague Trithon; Bague Gloursonne; Bouclier Pandawa; Ceinture du Strigide; Masque Trithon; Voile d'encre; Bottes Trithon; Dofus Ocre; Dofus Nébuleux; Dofus Turquoise; Dofus Pourpre; Dofus des Glaces; Dofus Ivoire; Muldo Orchidée et Pourpre</t>
        </is>
      </c>
    </row>
    <row r="17937">
      <c r="A17937" t="inlineStr">
        <is>
          <t>Jsppp</t>
        </is>
      </c>
      <c r="B17937">
        <f>HYPERLINK("https://www.dofusbook.net/fr/equipement/3332482-jsppp/objets", "link")</f>
        <v/>
      </c>
      <c r="C17937" t="n">
        <v>3</v>
      </c>
      <c r="D17937" t="inlineStr">
        <is>
          <t>Arc Honte; Amulette du Strigide; Chevalière du Roi Joueur; Bracelet du Piloztère; Bouclier du Stalak; Ceintacé; Masque Brûlâme; Voile d'encre; Bottes du Strigide; Dolmanax; Dofus Nébuleux; Dofus Pourpre; Vigoureux majeur; Remueur; Nomade; Croum</t>
        </is>
      </c>
    </row>
    <row r="17938">
      <c r="A17938" t="inlineStr">
        <is>
          <t>est</t>
        </is>
      </c>
      <c r="B17938">
        <f>HYPERLINK("https://www.dofusbook.net/fr/equipement/3347032-est/objets", "link")</f>
        <v/>
      </c>
      <c r="C17938" t="n">
        <v>0</v>
      </c>
      <c r="D17938" t="inlineStr">
        <is>
          <t>Arc Honte; Amulette de l'Indicible; Anneauræus; Anneauræus; Cadran d'Air; Ceinture de l'Indicible; Masque de Koutoulou; Voile d'encre; Bottes Deuradi; Dofus Abyssal; Dolmanax; Dofus Pourpre; Dofus Nébuleux; Remueur; Nomade; Croum</t>
        </is>
      </c>
    </row>
    <row r="17939">
      <c r="A17939" t="inlineStr">
        <is>
          <t>Disood</t>
        </is>
      </c>
      <c r="B17939">
        <f>HYPERLINK("https://www.dofusbook.net/fr/equipement/3281202-disood/objets", "link")</f>
        <v/>
      </c>
      <c r="C17939" t="n">
        <v>1</v>
      </c>
      <c r="D17939" t="inlineStr">
        <is>
          <t>Arc Honte; Pendentif mignon de Koutoulou; Bague Gloursonne; Anneauræus; Cadran d'Air; Ceintacé; Casque Cyclopéen; Voile d'encre; Bottes Deuradi; Dolmanax; Dofus Pourpre; Dofus Nébuleux; Dofus Abyssal; Nomade; Remueur; Croum</t>
        </is>
      </c>
    </row>
    <row r="17940">
      <c r="A17940" t="inlineStr">
        <is>
          <t>Full terre CC Arc</t>
        </is>
      </c>
      <c r="B17940">
        <f>HYPERLINK("https://www.dofusbook.net/fr/equipement/3282601-full-terre-cc-arc/objets", "link")</f>
        <v/>
      </c>
      <c r="C17940" t="n">
        <v>1</v>
      </c>
      <c r="D17940" t="inlineStr">
        <is>
          <t>Arc Hétype; Amulette de l'Indicible; Bague Gloursonne; Chevalière du Roi Joueur; Cadran d'Air; Ceinture de l'Indicible; Heaume Oplate; Voile d'encre; Bottes Deuradi; Dofus Nébuleux; Dolmanax; Miraculé majeur; Remueur; Érudit majeur; Nomade; Croum</t>
        </is>
      </c>
    </row>
    <row r="17941">
      <c r="A17941" t="inlineStr">
        <is>
          <t>Crâ M 200</t>
        </is>
      </c>
      <c r="B17941">
        <f>HYPERLINK("https://www.dofusbook.net/fr/equipement/3343663-cra-m-200/objets", "link")</f>
        <v/>
      </c>
      <c r="C17941" t="n">
        <v>0</v>
      </c>
      <c r="D17941" t="inlineStr">
        <is>
          <t>Arc Honte; Amulette de l'Indicible; Chevalière du Roi Joueur; Baguistik; Bouclier du Stalak; Ceinture de l'Indicible; Casque Dragoeuf; Voile d'encre; Bottes Deuradi; Dofus Pourpre; Dofus Ocre; Dofus Nébuleux; Dofus des Glaces; Remueur; Miraculé majeur; Muldo Orchidée et Pourpre</t>
        </is>
      </c>
    </row>
    <row r="17942">
      <c r="A17942" t="inlineStr">
        <is>
          <t>Crâ M 200</t>
        </is>
      </c>
      <c r="B17942">
        <f>HYPERLINK("https://www.dofusbook.net/fr/equipement/3330937-cra-m-200/objets", "link")</f>
        <v/>
      </c>
      <c r="C17942" t="n">
        <v>0</v>
      </c>
      <c r="D17942" t="inlineStr">
        <is>
          <t>Arc Honte; Amulette du Strigide; Chevalière du Roi Joueur; Bague Gloursonne; Bouclier cubiste; Ceintacé; Chapeau Lisson; Voile d'encre; Bottes du Strigide; Dolmanax; Dofus Nébuleux; Dofus Pourpre; Vigoureux majeur; Remueur; Enragé majeur; Muldo Pourpre</t>
        </is>
      </c>
    </row>
    <row r="17943">
      <c r="A17943" t="inlineStr">
        <is>
          <t>Jii</t>
        </is>
      </c>
      <c r="B17943">
        <f>HYPERLINK("https://www.dofusbook.net/fr/equipement/3331200-jii/objets", "link")</f>
        <v/>
      </c>
      <c r="C17943" t="n">
        <v>3</v>
      </c>
      <c r="D17943" t="inlineStr">
        <is>
          <t>Arc Honte; Amulette de l'Indicible; Goulano; Chevalière du Roi Joueur; Bouclier cubiste; Ceinture de l'Indicible; Chapeau Lisson; Voile d'encre; Sabots Minables; Dofus Pourpre; Dofus des Glaces; Dolmanax; Dofus Nébuleux; Remueur; Nomade; Kramkram</t>
        </is>
      </c>
    </row>
    <row r="17944">
      <c r="A17944" t="inlineStr">
        <is>
          <t>Bjkoo</t>
        </is>
      </c>
      <c r="B17944">
        <f>HYPERLINK("https://www.dofusbook.net/fr/equipement/3331098-bjkoo/objets", "link")</f>
        <v/>
      </c>
      <c r="C17944" t="n">
        <v>1</v>
      </c>
      <c r="D17944" t="inlineStr">
        <is>
          <t>Arc Honte; Amulette de l'Indicible; Chevalière du Roi Joueur; Bague Gloursonne; Bouclier cubiste; Ceinture de l'Indicible; Masque de Koutoulou; Voile d'encre; Bottes du Lévitrof; Dolmanax; Dofus Nébuleux; Dofus Pourpre; Dofus des Glaces; Nomade; Remueur; Croum</t>
        </is>
      </c>
    </row>
    <row r="17945">
      <c r="A17945" t="inlineStr">
        <is>
          <t>Lourd</t>
        </is>
      </c>
      <c r="B17945">
        <f>HYPERLINK("https://www.dofusbook.net/fr/equipement/3331044-lourd/objets", "link")</f>
        <v/>
      </c>
      <c r="C17945" t="n">
        <v>0</v>
      </c>
      <c r="D17945" t="inlineStr">
        <is>
          <t>Arc Honte; Amulette de l'Indicible; Bague Gloursonne; Chevalière du Roi Joueur; Bouclier cubiste; Ceintacé; Chapeau de Gein; Voile d'encre; Bottes de l'Indicible; Dofus Pourpre; Dofus des Glaces; Dolmanax; Dofus Nébuleux; Remueur; Enragé majeur; Muldo Pourpre</t>
        </is>
      </c>
    </row>
    <row r="17946">
      <c r="A17946" t="inlineStr">
        <is>
          <t>Crâ M 200</t>
        </is>
      </c>
      <c r="B17946">
        <f>HYPERLINK("https://www.dofusbook.net/fr/equipement/3312895-cra-m-200/objets", "link")</f>
        <v/>
      </c>
      <c r="C17946" t="n">
        <v>2</v>
      </c>
      <c r="D17946" t="inlineStr">
        <is>
          <t>Pelle du Professeur Xa; Amulette Séculaire; Bague Gloursonne; Anneauræus; Bouclier du Stalak; Ceinture Séculaire; Casque Dragoeuf; Voile d'encre; Bottes Deuradi; Dofus Cawotte; Observateur; Turbulent; Érudit majeur; Remueur; Miraculé majeur; Muldo Pourpre</t>
        </is>
      </c>
    </row>
    <row r="17947">
      <c r="A17947" t="inlineStr">
        <is>
          <t>Hiiyt</t>
        </is>
      </c>
      <c r="B17947">
        <f>HYPERLINK("https://www.dofusbook.net/fr/equipement/3282722-hiiyt/objets", "link")</f>
        <v/>
      </c>
      <c r="C17947" t="n">
        <v>0</v>
      </c>
      <c r="D17947" t="inlineStr">
        <is>
          <t>Hache Ériphe; Amulette du Strigide; Baguistik; Bague Trithon; Quatre-feuilles; Ceintacé; Masque de Koutoulou; Voile d'encre; Bottes Trithon; Dofus Turquoise; Dofus des Glaces; Dofus Pourpre; Dofus Nébuleux; Dofus Ivoire; Enragé majeur</t>
        </is>
      </c>
    </row>
    <row r="17948">
      <c r="A17948" t="inlineStr">
        <is>
          <t>Kdkais</t>
        </is>
      </c>
      <c r="B17948">
        <f>HYPERLINK("https://www.dofusbook.net/fr/equipement/3281094-kdkais/objets", "link")</f>
        <v/>
      </c>
      <c r="C17948" t="n">
        <v>0</v>
      </c>
      <c r="D17948" t="inlineStr">
        <is>
          <t>Arc Honte; Pendentif mignon de Koutoulou; Anneau Tique; Anneauræus; Bouclier du Stalak; Ceinture de l'Esprit Salvateur; Casque Cyclopéen; Cape de Nileza; Bottes Deuradi; Dofus Nébuleux; Dofus Ivoire; Dofus Ocre; Dofus des Glaces; Dofus Pourpre; Remueur; Muldo Orchidée et Pourpre</t>
        </is>
      </c>
    </row>
    <row r="17949">
      <c r="A17949" t="inlineStr">
        <is>
          <t>Bkt</t>
        </is>
      </c>
      <c r="B17949">
        <f>HYPERLINK("https://www.dofusbook.net/fr/equipement/3281003-bkt/objets", "link")</f>
        <v/>
      </c>
      <c r="C17949" t="n">
        <v>2</v>
      </c>
      <c r="D17949" t="inlineStr">
        <is>
          <t>Arc Honte; Pendentif mignon de Koutoulou; Anneau Rifique; Anneauræus; Bouclier du Stalak; Ceinture Séculaire; Casque Dragoeuf; Cape de Diondin; Bottes Deuradi; Dofus des Glaces; Dofus Pourpre; Dofus Nébuleux; Dofus Ivoire; Érudit majeur; Remueur; Muldo Orchidée et Pourpre</t>
        </is>
      </c>
    </row>
    <row r="17950">
      <c r="A17950" t="inlineStr">
        <is>
          <t>Ksosjd</t>
        </is>
      </c>
      <c r="B17950">
        <f>HYPERLINK("https://www.dofusbook.net/fr/equipement/3280970-ksosjd/objets", "link")</f>
        <v/>
      </c>
      <c r="C17950" t="n">
        <v>0</v>
      </c>
      <c r="D17950" t="inlineStr">
        <is>
          <t>Arc Honte; Amulette de l'Indicible; Anneauræus; Anneauræus; Bouclier du Stalak; Ceinture de l'Indicible; Heaume Oplate; Voile d'encre; Bottes Deuradi; Dofus Nébuleux; Dofus Ivoire; Dofus des Glaces; Dofus Pourpre; Remueur; Érudit majeur; Muldo Orchidée et Pourpre</t>
        </is>
      </c>
    </row>
    <row r="17951">
      <c r="A17951" t="inlineStr">
        <is>
          <t>Kdozs</t>
        </is>
      </c>
      <c r="B17951">
        <f>HYPERLINK("https://www.dofusbook.net/fr/equipement/3280902-kdozs/objets", "link")</f>
        <v/>
      </c>
      <c r="C17951" t="n">
        <v>1</v>
      </c>
      <c r="D17951" t="inlineStr">
        <is>
          <t>Arc Honte; Pendentif mignon de Koutoulou; Anneau Rifique; Anneauræus; Bouclier du Stalak; Ceinture de l'Indicible; Casque Cyclopéen; Voile d'encre; Bottes de l'Indicible; Dofus Abyssal; Dofus des Glaces; Dofus Pourpre; Dofus Nébuleux; Dofus Ocre; Dofus Ivoire; Muldo Orchidée et Pourpre</t>
        </is>
      </c>
    </row>
    <row r="17952">
      <c r="A17952" t="inlineStr">
        <is>
          <t>Vhui</t>
        </is>
      </c>
      <c r="B17952">
        <f>HYPERLINK("https://www.dofusbook.net/fr/equipement/3280821-vhui/objets", "link")</f>
        <v/>
      </c>
      <c r="C17952" t="n">
        <v>0</v>
      </c>
      <c r="D17952" t="inlineStr">
        <is>
          <t>Arc corrompu; Pendentif affamé; Anneauræus; Anneauræus; Quatre-feuilles; Ceinture Séculaire; Coiffe Séculaire; Voile d'encre; Bottes Deuradi; Dofus Nébuleux; Dofus Ocre; Dofus Ivoire; Dofus Turquoise; Dofus des Glaces; Remueur; Muldo Ebène et Orchidée</t>
        </is>
      </c>
    </row>
    <row r="17953">
      <c r="A17953" t="inlineStr">
        <is>
          <t>Cbje</t>
        </is>
      </c>
      <c r="B17953">
        <f>HYPERLINK("https://www.dofusbook.net/fr/equipement/3280800-cbje/objets", "link")</f>
        <v/>
      </c>
      <c r="C17953" t="n">
        <v>0</v>
      </c>
      <c r="D17953" t="inlineStr">
        <is>
          <t>Arc Honte; Amulette Séculaire; Anneauræus; Anneauræus; Bouclier du Stalak; Ceinture Séculaire; Casque Dragoeuf; Cape de Diondin; Bottes Deuradi; Dofus Pourpre; Dofus des Glaces; Dofus Nébuleux; Dofus Ivoire; Remueur; Érudit majeur; Muldo Orchidée et Pourpre</t>
        </is>
      </c>
    </row>
    <row r="17954">
      <c r="A17954" t="inlineStr">
        <is>
          <t>Vhi</t>
        </is>
      </c>
      <c r="B17954">
        <f>HYPERLINK("https://www.dofusbook.net/fr/equipement/3280427-vhi/objets", "link")</f>
        <v/>
      </c>
      <c r="C17954" t="n">
        <v>0</v>
      </c>
      <c r="D17954" t="inlineStr">
        <is>
          <t>Dagues Érhy; Amulette du Strigide; Chevalière du Roi Joueur; Baguistik; Bouclier Pandawa; Ceinture du Strigide; Masque d'Anerice; Cape d'Anerice; Bottes Honyme; Dofus Ocre; Dofus Turquoise; Dofus Nébuleux; Dofus des Glaces; Dofus Pourpre; Dofus Ivoire; Muldo Prune et Pourpre</t>
        </is>
      </c>
    </row>
    <row r="17955">
      <c r="A17955" t="inlineStr">
        <is>
          <t>Jijj</t>
        </is>
      </c>
      <c r="B17955">
        <f>HYPERLINK("https://www.dofusbook.net/fr/equipement/3280409-jijj/objets", "link")</f>
        <v/>
      </c>
      <c r="C17955" t="n">
        <v>0</v>
      </c>
      <c r="D17955" t="inlineStr">
        <is>
          <t>Dagues Érhy; Amulette de Gein; Chevalière du Roi Joueur; Bague Gloursonne; Bouclier Pandawa; Ceinture de Gein; Masque d'Anerice; Cape d'Anerice; Bottes Honyme; Dofus des Glaces; Dofus Pourpre; Dofus Ivoire; Dofus Ocre; Dofus Turquoise; Dofus Nébuleux; Muldo Prune et Pourpre</t>
        </is>
      </c>
    </row>
    <row r="17956">
      <c r="A17956" t="inlineStr">
        <is>
          <t>Vuih</t>
        </is>
      </c>
      <c r="B17956">
        <f>HYPERLINK("https://www.dofusbook.net/fr/equipement/3280407-vuih/objets", "link")</f>
        <v/>
      </c>
      <c r="C17956" t="n">
        <v>0</v>
      </c>
      <c r="D17956" t="inlineStr"/>
    </row>
    <row r="17957">
      <c r="A17957" t="inlineStr">
        <is>
          <t>Biyfg</t>
        </is>
      </c>
      <c r="B17957">
        <f>HYPERLINK("https://www.dofusbook.net/fr/equipement/3280378-biyfg/objets", "link")</f>
        <v/>
      </c>
      <c r="C17957" t="n">
        <v>0</v>
      </c>
      <c r="D17957" t="inlineStr">
        <is>
          <t>Hache Téroïde; Amulette de Gein; Bague Gloursonne; Bague Trithon; Quatre-feuilles; Ceinture de Gein; Chapeau de Gein; Cape d'Anerice; Bottes Trithon; Dofus Turquoise; Dofus Nébuleux; Dofus des Glaces; Dofus Pourpre; Dofus Ivoire; Dofus Ocre; Muldo Ebène et Pourpre</t>
        </is>
      </c>
    </row>
    <row r="17958">
      <c r="A17958" t="inlineStr">
        <is>
          <t>Terro a l ancienne</t>
        </is>
      </c>
      <c r="B17958">
        <f>HYPERLINK("https://www.dofusbook.net/fr/equipement/3280366-terro-a-l-ancienne/objets", "link")</f>
        <v/>
      </c>
      <c r="C17958" t="n">
        <v>0</v>
      </c>
      <c r="D17958" t="inlineStr">
        <is>
          <t>Hache Téroïde; Amulette de Gein; Chevalière du Roi Joueur; Bague Gloursonne; Quatre-feuilles; Ceinture de Gein; Chapeau de Gein; Voile d'encre; Bottes du Roi Joueur; Dofus des Glaces; Dofus Pourpre; Dofus Ivoire; Dofus Ocre; Dofus Turquoise; Dofus Nébuleux; Muldo Ebène et Pourpre</t>
        </is>
      </c>
    </row>
    <row r="17959">
      <c r="A17959" t="inlineStr">
        <is>
          <t>zrt</t>
        </is>
      </c>
      <c r="B17959">
        <f>HYPERLINK("https://www.dofusbook.net/fr/equipement/3272369-zrt/objets", "link")</f>
        <v/>
      </c>
      <c r="C17959" t="n">
        <v>1</v>
      </c>
      <c r="D17959" t="inlineStr">
        <is>
          <t>Arc du Chalœil; Amulette de Gein; Baguistik; Bague Gloursonne; Quatre-feuilles; Ceinture de Gein; Chapeau de Gein; Voile d'encre; Bottes Deuradi; Dofus des Glaces; Dofus Pourpre; Dofus Ivoire; Dofus Ocre; Dofus Turquoise; Dofus Nébuleux; Muldo Ebène et Pourpre</t>
        </is>
      </c>
    </row>
    <row r="17960">
      <c r="A17960" t="inlineStr">
        <is>
          <t>Kouh</t>
        </is>
      </c>
      <c r="B17960">
        <f>HYPERLINK("https://www.dofusbook.net/fr/equipement/3276948-kouh/objets", "link")</f>
        <v/>
      </c>
      <c r="C17960" t="n">
        <v>0</v>
      </c>
      <c r="D17960" t="inlineStr">
        <is>
          <t>Hache Ériphe; Amulette du Strigide; Anneau de Padgref; Bague Trithon; Bouclier d'Anerice; Ceintacé; Masque Trithon; Cape d'Anerice; Bottes du Strigide; Dofus Pourpre; Dofus des Glaces; Dofus Turquoise; Dofus Nébuleux; Dofus Ocre; Dofus Ivoire; Muldo Prune et Emeraude</t>
        </is>
      </c>
    </row>
    <row r="17961">
      <c r="A17961" t="inlineStr">
        <is>
          <t>4 Bonus Pano LMAO</t>
        </is>
      </c>
      <c r="B17961">
        <f>HYPERLINK("https://www.dofusbook.net/fr/equipement/3276962-4-bonus-pano-lmao/objets", "link")</f>
        <v/>
      </c>
      <c r="C17961" t="n">
        <v>0</v>
      </c>
      <c r="D17961" t="inlineStr">
        <is>
          <t>Hache du Guerrier Zoth; Amulette du Strigide; Bague Trithon; Anneau de Padgref; Bouclier d'Anerice; Ceinture du Strigide; Coiffe de Padgref; Cape d'Anerice; Bottes Trithon; Dofus Ocre; Dofus Ivoire; Dofus Pourpre; Dofus des Glaces; Dofus Turquoise; Dofus Nébuleux; Muldo Ebène et Orchidée</t>
        </is>
      </c>
    </row>
    <row r="17962">
      <c r="A17962" t="inlineStr">
        <is>
          <t>Air CC Mêlée 2</t>
        </is>
      </c>
      <c r="B17962">
        <f>HYPERLINK("https://www.dofusbook.net/fr/equipement/3276967-air-cc-melee-2/objets", "link")</f>
        <v/>
      </c>
      <c r="C17962" t="n">
        <v>1</v>
      </c>
      <c r="D17962" t="inlineStr">
        <is>
          <t>Manthache; Collier du Valet Veinard; Anneau de Padgref; Gant du Valet Veinard; Bouclier d'Anerice; Menoture; Coiffe de Padgref; Cape d'Anerice; Palmes Trithons; Dofus Pourpre; Dofus Turquoise; Dofus Nébuleux; Dofus Ocre; Dofus Ivoire; Acrobate majeur; Muldo Ebène et Orchidée</t>
        </is>
      </c>
    </row>
    <row r="17963">
      <c r="A17963" t="inlineStr">
        <is>
          <t>Air CC Mêlée 1</t>
        </is>
      </c>
      <c r="B17963">
        <f>HYPERLINK("https://www.dofusbook.net/fr/equipement/3276978-air-cc-melee-1/objets", "link")</f>
        <v/>
      </c>
      <c r="C17963" t="n">
        <v>1</v>
      </c>
      <c r="D17963" t="inlineStr">
        <is>
          <t>Manthache; Amulette du Granduk; Anneau de Padgref; Alliance Gloursonne; Bouclier d'Anerice; Menoture; Masque du Granduk; Cape d'Anerice; Getas de Padgref; Dofus Ocre; Dofus Ivoire; Dofus Pourpre; Dofus Émeraude; Dofus Turquoise; Dofus Nébuleux; Muldo Ebène</t>
        </is>
      </c>
    </row>
    <row r="17964">
      <c r="A17964" t="inlineStr">
        <is>
          <t>Eau RetPA Sangle</t>
        </is>
      </c>
      <c r="B17964">
        <f>HYPERLINK("https://www.dofusbook.net/fr/equipement/3268171-eau-retpa-sangle/objets", "link")</f>
        <v/>
      </c>
      <c r="C17964" t="n">
        <v>1</v>
      </c>
      <c r="D17964" t="inlineStr">
        <is>
          <t>Pelle du Professeur Xa; Amulette de Shokkoth; Bracelet des Fonds marins; Alliance Gloursonne; Bouclier du Mont Kipou; Sangle Cible; Casque Dragoeuf; Chevelure de Tal Kasha; Sandales de Tal Kasha; Dofus Ivoire; Miraculé majeur; Chanceux majeur; Remueur; Étourdisseur majeur; Turbulent; Muldo Indigo et Pourpre</t>
        </is>
      </c>
    </row>
    <row r="17965">
      <c r="A17965" t="inlineStr">
        <is>
          <t>Feu Tyran Euradi 3</t>
        </is>
      </c>
      <c r="B17965">
        <f>HYPERLINK("https://www.dofusbook.net/fr/equipement/3280108-feu-tyran-euradi-3/objets", "link")</f>
        <v/>
      </c>
      <c r="C17965" t="n">
        <v>0</v>
      </c>
      <c r="D17965" t="inlineStr">
        <is>
          <t>Arc Honte; Pendentif affamé; Anneauræus; Anneau Tique; Cadran d'Air; Ceinture de l'Esprit Salvateur; Masque de l'Esprit Salvateur; Voile d'encre; Bottes Deuradi; Dofus Ocre; Dofus Ivoire; Dofus des Glaces; Dofus Nébuleux; Nomade; Remueur; Croum</t>
        </is>
      </c>
    </row>
    <row r="17966">
      <c r="A17966" t="inlineStr">
        <is>
          <t>Feu Tyran Euradi 2</t>
        </is>
      </c>
      <c r="B17966">
        <f>HYPERLINK("https://www.dofusbook.net/fr/equipement/3279883-feu-tyran-euradi-2/objets", "link")</f>
        <v/>
      </c>
      <c r="C17966" t="n">
        <v>0</v>
      </c>
      <c r="D17966" t="inlineStr">
        <is>
          <t>Arc Honte; Pendentif affamé; Anneauræus; Anneauræus; Bouclier du Stalak; Ceinture de l'Esprit Salvateur; Casque Dragoeuf; Cape de Diondin; Bottes Deuradi; Dofus Pourpre; Dofus des Glaces; Dofus Nébuleux; Dofus Ivoire; Remueur; Érudit majeur; Muldo Ebène et Orchidée</t>
        </is>
      </c>
    </row>
    <row r="17967">
      <c r="A17967" t="inlineStr">
        <is>
          <t>Huju</t>
        </is>
      </c>
      <c r="B17967">
        <f>HYPERLINK("https://www.dofusbook.net/fr/equipement/3276923-huju/objets", "link")</f>
        <v/>
      </c>
      <c r="C17967" t="n">
        <v>1</v>
      </c>
      <c r="D17967" t="inlineStr">
        <is>
          <t>Hache Ériphe; Amulette du Strigide; Bague Trithon; Anneau de Padgref; Quatre-feuilles; Ceintacé; Coiffe de Padgref; Voile d'encre; Bottes Trithon; Dofus Ocre; Dofus Ivoire; Dofus Pourpre; Dofus des Glaces; Dofus Turquoise; Dofus Nébuleux; Muldo Orchidée et Pourpre</t>
        </is>
      </c>
    </row>
    <row r="17968">
      <c r="A17968" t="inlineStr">
        <is>
          <t>Bii</t>
        </is>
      </c>
      <c r="B17968">
        <f>HYPERLINK("https://www.dofusbook.net/fr/equipement/3276895-bii/objets", "link")</f>
        <v/>
      </c>
      <c r="C17968" t="n">
        <v>0</v>
      </c>
      <c r="D17968" t="inlineStr">
        <is>
          <t>Hache Ériphe; Amulette du Strigide; Anneau de Padgref; Bague Trithon; Quatre-feuilles; Ceintacé; Coiffe de Padgref; Voile d'encre; Bottes du Strigide; Dofus Pourpre; Dofus des Glaces; Dofus Turquoise; Dofus Nébuleux; Dofus Ocre; Dofus Ivoire; Muldo Orchidée et Pourpre</t>
        </is>
      </c>
    </row>
    <row r="17969">
      <c r="A17969" t="inlineStr">
        <is>
          <t>Crâ M 200</t>
        </is>
      </c>
      <c r="B17969">
        <f>HYPERLINK("https://www.dofusbook.net/fr/equipement/3276833-cra-m-200/objets", "link")</f>
        <v/>
      </c>
      <c r="C17969" t="n">
        <v>1</v>
      </c>
      <c r="D17969" t="inlineStr">
        <is>
          <t>Marteau d'Henual; Amulette du Strigide; Anneau Chevelu; Baguistik; Quatre-feuilles; Ceinture d'Henual; Masque de Koutoulou; Voile d'encre; Bottes du Strigide; Dofus Ocre; Dofus Ivoire; Dofus Pourpre; Dofus des Glaces; Dofus Turquoise; Dofus Nébuleux; Muldo Indigo et Pourpre</t>
        </is>
      </c>
    </row>
    <row r="17970">
      <c r="A17970" t="inlineStr">
        <is>
          <t>Jiy</t>
        </is>
      </c>
      <c r="B17970">
        <f>HYPERLINK("https://www.dofusbook.net/fr/equipement/3270594-jiy/objets", "link")</f>
        <v/>
      </c>
      <c r="C17970" t="n">
        <v>0</v>
      </c>
      <c r="D17970" t="inlineStr">
        <is>
          <t>Arc du Chalœil; Amulette de l'Indicible; Bague Gloursonne; Baguistik; Quatre-feuilles; Ceinture de l'Indicible; Casque Dragoeuf; Voile d'encre; Bottes Deuradi; Dofus Turquoise; Dofus Nébuleux; Dofus des Glaces; Dofus Pourpre; Dofus Ocre; Remueur; Muldo Orchidée et Pourpre</t>
        </is>
      </c>
    </row>
    <row r="17971">
      <c r="A17971" t="inlineStr">
        <is>
          <t>iuhohu</t>
        </is>
      </c>
      <c r="B17971">
        <f>HYPERLINK("https://www.dofusbook.net/fr/equipement/3270441-iuhohu/objets", "link")</f>
        <v/>
      </c>
      <c r="C17971" t="n">
        <v>0</v>
      </c>
      <c r="D17971" t="inlineStr">
        <is>
          <t>Arc du Chalœil; Torquistik; Baguistik; Bague Gloursonne; Quatre-feuilles; Ceinture de l'Indicible; Casque Dragoeuf; Voile d'encre; Bottes Deuradi; Dofus des Glaces; Dofus Pourpre; Dofus Ocre; Dofus Turquoise; Dofus Nébuleux; Remueur; Muldo Ebène et Pourpre</t>
        </is>
      </c>
    </row>
    <row r="17972">
      <c r="A17972" t="inlineStr">
        <is>
          <t>erqzert</t>
        </is>
      </c>
      <c r="B17972">
        <f>HYPERLINK("https://www.dofusbook.net/fr/equipement/3270419-erqzert/objets", "link")</f>
        <v/>
      </c>
      <c r="C17972" t="n">
        <v>0</v>
      </c>
      <c r="D17972" t="inlineStr">
        <is>
          <t>Arc du Chalœil; Amulette de l'Indicible; Chevalière du Roi Joueur; Baguistik; Quatre-feuilles; Ceinture de l'Indicible; Casque Dragoeuf; Voile d'encre; Bottes Deuradi; Dofus Turquoise; Dofus Nébuleux; Dofus Pourpre; Dofus Ocre; Nomade; Remueur; Croum</t>
        </is>
      </c>
    </row>
    <row r="17973">
      <c r="A17973" t="inlineStr">
        <is>
          <t>Crâ M 200</t>
        </is>
      </c>
      <c r="B17973">
        <f>HYPERLINK("https://www.dofusbook.net/fr/equipement/3270328-cra-m-200/objets", "link")</f>
        <v/>
      </c>
      <c r="C17973" t="n">
        <v>0</v>
      </c>
      <c r="D17973" t="inlineStr">
        <is>
          <t>Arc du Chalœil; Amulette du Strigide; Baguistik; Bracelet du Piloztère; Cadran d'Air; Ceinture du Strigide; Casque Dragoeuf; Voile d'encre; Bottes Deuradi; Dofus Pourpre; Dofus Ocre; Dofus Turquoise; Dofus Nébuleux; Nomade; Remueur; Croum</t>
        </is>
      </c>
    </row>
    <row r="17974">
      <c r="A17974" t="inlineStr">
        <is>
          <t>Crâ M 200</t>
        </is>
      </c>
      <c r="B17974">
        <f>HYPERLINK("https://www.dofusbook.net/fr/equipement/3269317-cra-m-200/objets", "link")</f>
        <v/>
      </c>
      <c r="C17974" t="n">
        <v>2</v>
      </c>
      <c r="D17974" t="inlineStr">
        <is>
          <t>Bâtonnet Ronien; Pendentif Oton; Alliance Gloursonne; Bague Trithon; Cadran d'Air; Ceintacé; Némès de Tal Kasha; Chevelure de Tal Kasha; Bottes Trithon; Dofus Ocre; Dofus Ivoire; Dofus Pourpre; Dofus des Glaces; Dofus Turquoise; Dofus Nébuleux; Muldo Ebène et Orchidée</t>
        </is>
      </c>
    </row>
    <row r="17975">
      <c r="A17975" t="inlineStr">
        <is>
          <t>Bâtonnet 3</t>
        </is>
      </c>
      <c r="B17975">
        <f>HYPERLINK("https://www.dofusbook.net/fr/equipement/3269456-batonnet-3/objets", "link")</f>
        <v/>
      </c>
      <c r="C17975" t="n">
        <v>2</v>
      </c>
      <c r="D17975" t="inlineStr">
        <is>
          <t>Bâtonnet Ronien; Amulette du Strigide; Bracelet du Piloztère; Alliance Gloursonne; Quatre-feuilles; Ceintacé; Casque Dragoeuf; Chevelure de Tal Kasha; Sandales de Tal Kasha; Dofus Pourpre; Dofus des Glaces; Dofus Turquoise; Dofus Nébuleux; Nomade; Remueur; Croum</t>
        </is>
      </c>
    </row>
    <row r="17976">
      <c r="A17976" t="inlineStr">
        <is>
          <t>Bâtonnet 4</t>
        </is>
      </c>
      <c r="B17976">
        <f>HYPERLINK("https://www.dofusbook.net/fr/equipement/3269511-batonnet-4/objets", "link")</f>
        <v/>
      </c>
      <c r="C17976" t="n">
        <v>1</v>
      </c>
      <c r="D17976" t="inlineStr">
        <is>
          <t>Baguette du Chêne Mou; Collier de la Dame du Hasard; Alliance Gloursonne; Lavanneau; Quatre-feuilles; Ceintacé; Masque d'Anerice; Cape d'Anerice; Bottes de la Dame du Hasard; Dofus des Glaces; Dofus Ocre; Dofus Pourpre; Dolmanax; Dofus Turquoise; Dofus Nébuleux; Muldo Pourpre</t>
        </is>
      </c>
    </row>
    <row r="17977">
      <c r="A17977" t="inlineStr">
        <is>
          <t>Hiuf</t>
        </is>
      </c>
      <c r="B17977">
        <f>HYPERLINK("https://www.dofusbook.net/fr/equipement/3269683-hiuf/objets", "link")</f>
        <v/>
      </c>
      <c r="C17977" t="n">
        <v>2</v>
      </c>
      <c r="D17977" t="inlineStr">
        <is>
          <t>Arc Nécrotique; Talisman Igans; Alliance Gloursonne; Lavanneau; Quatre-feuilles; Ceintacé; Casque Dragoeuf; Cape de la Dame du Hasard; Bottes de la Dame du Hasard; Dofus Pourpre; Dofus Turquoise; Dofus Nébuleux; Dofus des Glaces; Observateur; Remueur; Muldo Indigo et Orchidée</t>
        </is>
      </c>
    </row>
    <row r="17978">
      <c r="A17978" t="inlineStr">
        <is>
          <t>Feu eau</t>
        </is>
      </c>
      <c r="B17978">
        <f>HYPERLINK("https://www.dofusbook.net/fr/equipement/3269579-feu-eau/objets", "link")</f>
        <v/>
      </c>
      <c r="C17978" t="n">
        <v>0</v>
      </c>
      <c r="D17978" t="inlineStr">
        <is>
          <t>Arc corrompu; Talisman Igans; Lavanneau; Alliance Gloursonne; Quatre-feuilles; Ceintacé; Casque Dragoeuf; Cape de la Dame du Hasard; Bottes de la Dame du Hasard; Dofus Turquoise; Dofus Nébuleux; Dofus Pourpre; Dolmanax; Nomade; Remueur; Kramkram</t>
        </is>
      </c>
    </row>
    <row r="17979">
      <c r="A17979" t="inlineStr">
        <is>
          <t>Stuff 1</t>
        </is>
      </c>
      <c r="B17979">
        <f>HYPERLINK("https://www.dofusbook.net/fr/equipement/793545-stuff-1/objets", "link")</f>
        <v/>
      </c>
      <c r="C17979" t="n">
        <v>0</v>
      </c>
      <c r="D17979" t="inlineStr">
        <is>
          <t>Épée Brûlâme; Talisman Igans; Alliance Gloursonne; Lavanneau; Bouclier d'Ilyzaelle; Ceintacé; Casque Dragoeuf; Cape de la Dame du Hasard; Bottes de la Dame du Hasard; Dofus Abyssal; Dolmanax; Dofus Turquoise; Dofus Ivoire; Chanceux majeur; Remueur; Muldo Ebène et Orchidée</t>
        </is>
      </c>
    </row>
    <row r="17980">
      <c r="A17980" t="inlineStr">
        <is>
          <t>EAU 2</t>
        </is>
      </c>
      <c r="B17980">
        <f>HYPERLINK("https://www.dofusbook.net/fr/equipement/3041926-eau-2/objets", "link")</f>
        <v/>
      </c>
      <c r="C17980" t="n">
        <v>4</v>
      </c>
      <c r="D17980" t="inlineStr">
        <is>
          <t>Dagoulinantes; Amulette de Shokkoth; Bracelet des Fonds marins; Alliance Gloursonne; Sept ans de malheur; Sangle Cible; Casque Dragoeuf; Cape de Mantaze; Pataugastrique; Chanceux majeur; Remueur; Étourdisseur majeur; Nomade; Miraculé majeur; Carapace Eau majeur; Croum</t>
        </is>
      </c>
    </row>
    <row r="17981">
      <c r="A17981" t="inlineStr">
        <is>
          <t>Stuff 3</t>
        </is>
      </c>
      <c r="B17981">
        <f>HYPERLINK("https://www.dofusbook.net/fr/equipement/793538-stuff-3/objets", "link")</f>
        <v/>
      </c>
      <c r="C17981" t="n">
        <v>1</v>
      </c>
      <c r="D17981" t="inlineStr">
        <is>
          <t>Arc du Chalœil; Amulette du Strigide; Baguistik; Chevalière du Roi Joueur; Quatre-feuilles; Ceinture de la Reine des Voleurs; Coiffe de la Reine des Voleurs; Voile d'encre; Bottes Honyme; Dofus Ivoire; Dofus Turquoise; Dofus Pourpre; Dofus Nébuleux; Remueur; Enragé majeur; Muldo Indigo et Pourpre</t>
        </is>
      </c>
    </row>
    <row r="17982">
      <c r="A17982" t="inlineStr">
        <is>
          <t>Stuff 2</t>
        </is>
      </c>
      <c r="B17982">
        <f>HYPERLINK("https://www.dofusbook.net/fr/equipement/793537-stuff-2/objets", "link")</f>
        <v/>
      </c>
      <c r="C17982" t="n">
        <v>2</v>
      </c>
      <c r="D17982" t="inlineStr">
        <is>
          <t>Arc du Chalœil; Amulette du Strigide; Anneau Crustique; Baguistik; Bouclier cubiste; Ceinture de la Reine des Voleurs; Coiffe de la Reine des Voleurs; Cape au Logis; Bottes Honyme; Dofus Pourpre; Dofus Nébuleux; Dofus Ivoire; Dofus Turquoise; Remueur; Enragé majeur; Kramkram</t>
        </is>
      </c>
    </row>
    <row r="17983">
      <c r="A17983" t="inlineStr">
        <is>
          <t>Stuff 1</t>
        </is>
      </c>
      <c r="B17983">
        <f>HYPERLINK("https://www.dofusbook.net/fr/equipement/793536-stuff-1/objets", "link")</f>
        <v/>
      </c>
      <c r="C17983" t="n">
        <v>2</v>
      </c>
      <c r="D17983" t="inlineStr">
        <is>
          <t>Poolache; Amulette du Strigide; Bague Gloursonne; Bague Trithon; Quatre-feuilles; Ceinture du Strigide; Masque Trithon; Voile d'encre; Bottes Trithon; Dofus Abyssal; Dofus Turquoise; Dofus Nébuleux; Dofus Pourpre; Dofus Ocre; Dofus Ivoire; Muldo Ebène et Pourpre</t>
        </is>
      </c>
    </row>
    <row r="17984">
      <c r="A17984" t="inlineStr">
        <is>
          <t>Hernelle drag cubi</t>
        </is>
      </c>
      <c r="B17984">
        <f>HYPERLINK("https://www.dofusbook.net/fr/equipement/3065760-hernelle-drag-cubi/objets", "link")</f>
        <v/>
      </c>
      <c r="C17984" t="n">
        <v>1</v>
      </c>
      <c r="D17984" t="inlineStr">
        <is>
          <t>Amulette du Strigide; Bracelet du Piloztère; Bague Gloursonne; Bouclier cubiste; Ceintacé; Masque d'Anerice; Cape d'Anerice; Bottes du Cœur Saignant; Dofus Pourpre; Dofus Turquoise; Dolmanax; Dofus Nébuleux; Remueur; Nomade; Muldo Orchidée et Pourpre</t>
        </is>
      </c>
    </row>
    <row r="17985">
      <c r="A17985" t="inlineStr">
        <is>
          <t>Hernelle drag cubi</t>
        </is>
      </c>
      <c r="B17985">
        <f>HYPERLINK("https://www.dofusbook.net/fr/equipement/3065712-hernelle-drag-cubi/objets", "link")</f>
        <v/>
      </c>
      <c r="C17985" t="n">
        <v>1</v>
      </c>
      <c r="D17985" t="inlineStr">
        <is>
          <t>Baguette Hernelle; Amulette du Strigide; Baguistik; Bracelet du Piloztère; Bouclier cubiste; Ceintacé; Casque Dragoeuf; Voile d'encre; Bottes du Strigide; Dofus Nébuleux; Dofus Pourpre; Dofus Turquoise; Dolmanax; Vigoureux majeur; Remueur; Muldo Ebène et Pourpre</t>
        </is>
      </c>
    </row>
    <row r="17986">
      <c r="A17986" t="inlineStr">
        <is>
          <t>Dagues erhy</t>
        </is>
      </c>
      <c r="B17986">
        <f>HYPERLINK("https://www.dofusbook.net/fr/equipement/3048208-dagues-erhy/objets", "link")</f>
        <v/>
      </c>
      <c r="C17986" t="n">
        <v>1</v>
      </c>
      <c r="D17986" t="inlineStr">
        <is>
          <t>Dagues Érhy; Amulette du Strigide; Bracelet du Piloztère; Chevalière du Roi Joueur; Bouclier cubiste; Ceintacé; Casque Dragoeuf; Voile d'encre; Bottes du Strigide; Dofus Pourpre; Dofus Turquoise; Dolmanax; Dofus Nébuleux; Remueur; Vigoureux majeur; Muldo Ebène et Pourpre</t>
        </is>
      </c>
    </row>
    <row r="17987">
      <c r="A17987" t="inlineStr">
        <is>
          <t>drag tero cubi tacée</t>
        </is>
      </c>
      <c r="B17987">
        <f>HYPERLINK("https://www.dofusbook.net/fr/equipement/3056437-drag-tero-cubi-tacee/objets", "link")</f>
        <v/>
      </c>
      <c r="C17987" t="n">
        <v>0</v>
      </c>
      <c r="D17987" t="inlineStr">
        <is>
          <t>Hache Téroïde; Amulette du Strigide; Baguistik; Bracelet du Piloztère; Bouclier cubiste; Ceintacé; Casque Dragoeuf; Voile d'encre; Bottes du Strigide; Dofus Nébuleux; Dofus Pourpre; Dofus Turquoise; Dolmanax; Vigoureux majeur; Remueur; Muldo Ebène et Pourpre</t>
        </is>
      </c>
    </row>
    <row r="17988">
      <c r="A17988" t="inlineStr">
        <is>
          <t>Drag Terroide trefle</t>
        </is>
      </c>
      <c r="B17988">
        <f>HYPERLINK("https://www.dofusbook.net/fr/equipement/3056538-drag-terroide-trefle/objets", "link")</f>
        <v/>
      </c>
      <c r="C17988" t="n">
        <v>0</v>
      </c>
      <c r="D17988" t="inlineStr">
        <is>
          <t>Hache Téroïde; Amulette du Strigide; Bracelet du Piloztère; Chevalière du Roi Joueur; Quatre-feuilles; Ceinture du Strigide; Casque Dragoeuf; Voile d'encre; Bottes Honyme; Dofus Turquoise; Dolmanax; Dofus Nébuleux; Dofus Pourpre; Remueur; Nomade; Croum</t>
        </is>
      </c>
    </row>
    <row r="17989">
      <c r="A17989" t="inlineStr">
        <is>
          <t>Arc Chaloeil</t>
        </is>
      </c>
      <c r="B17989">
        <f>HYPERLINK("https://www.dofusbook.net/fr/equipement/3056389-arc-chaloeil/objets", "link")</f>
        <v/>
      </c>
      <c r="C17989" t="n">
        <v>0</v>
      </c>
      <c r="D17989" t="inlineStr">
        <is>
          <t>Arc du Chalœil; Amulette du Strigide; Bracelet du Piloztère; Baguistik; Bouclier cubiste; Ceintacé; Casque Dragoeuf; Voile d'encre; Bottes du Strigide; Dofus Nébuleux; Dofus Pourpre; Dofus Turquoise; Dolmanax; Vigoureux majeur; Remueur</t>
        </is>
      </c>
    </row>
    <row r="17990">
      <c r="A17990" t="inlineStr">
        <is>
          <t>Eau 3</t>
        </is>
      </c>
      <c r="B17990">
        <f>HYPERLINK("https://www.dofusbook.net/fr/equipement/3042008-eau-3/objets", "link")</f>
        <v/>
      </c>
      <c r="C17990" t="n">
        <v>0</v>
      </c>
      <c r="D17990" t="inlineStr">
        <is>
          <t>Sceptre du Roi Joueur; Amulette de Shokkoth; Alliance Gloursonne; Bracelet des Fonds marins; Bouclier du Mont Kipou; Sangle Cible; Casque Dragoeuf; Chevelure de Tal Kasha; Sandales de Tal Kasha; Dofus Ocre; Étourdisseur majeur; Miraculé majeur; Remueur; Chanceux majeur; Muldo Ebène et Indigo</t>
        </is>
      </c>
    </row>
    <row r="17991">
      <c r="A17991" t="inlineStr">
        <is>
          <t>Eau 1</t>
        </is>
      </c>
      <c r="B17991">
        <f>HYPERLINK("https://www.dofusbook.net/fr/equipement/3037078-eau-1/objets", "link")</f>
        <v/>
      </c>
      <c r="C17991" t="n">
        <v>1</v>
      </c>
      <c r="D17991" t="inlineStr">
        <is>
          <t>Rapière aux Glyphes; Amulette de Shokkoth; Alliance Gloursonne; Bracelet des Fonds marins; Bouclier du Mont Kipou; Sangle Cible; Masque de Funespadon; Cape Solution; Chaussons de Macrab; Dofus Ivoire; Miraculé majeur; Chanceux majeur; Remueur; Étourdisseur majeur; Carapace Eau majeur; Muldo Ebène et Pourpre</t>
        </is>
      </c>
    </row>
    <row r="17992">
      <c r="A17992" t="inlineStr">
        <is>
          <t>full air arc honte</t>
        </is>
      </c>
      <c r="B17992">
        <f>HYPERLINK("https://www.dofusbook.net/fr/equipement/793525-full-air-arc-honte/objets", "link")</f>
        <v/>
      </c>
      <c r="C17992" t="n">
        <v>2</v>
      </c>
      <c r="D17992" t="inlineStr">
        <is>
          <t>Arc Honte; Collier du Valet Veinard; Gant du Valet Veinard; Alliance Brûlâme; Cadran d'Air; Sangle Oriole; Masque Brûlâme; Cape du Valet Veinard; Pompes Funèbres; Dofus Ocre; Dolmanax; Dofus Nébuleux; Dofus Abyssal; Dofus des Glaces; Dofus Pourpre; Muldo Ebène et Orchidée</t>
        </is>
      </c>
    </row>
    <row r="17993">
      <c r="A17993" t="inlineStr">
        <is>
          <t>feu/terre ethype</t>
        </is>
      </c>
      <c r="B17993">
        <f>HYPERLINK("https://www.dofusbook.net/fr/equipement/793526-feu-terre-ethype/objets", "link")</f>
        <v/>
      </c>
      <c r="C17993" t="n">
        <v>0</v>
      </c>
      <c r="D17993" t="inlineStr">
        <is>
          <t>Arc Hétype; Pendentif affamé; Bague Gloursonne; Chevalière du Roi Joueur; Cadran de Feu; Ceintacé; Couronne du Roi Joueur; Voile d'encre; Sabots Volcaniques; Dofus Nébuleux; Dolmanax; Nomade; Érudit majeur; Miraculé majeur; Remueur; Kramkram</t>
        </is>
      </c>
    </row>
    <row r="17994">
      <c r="A17994" t="inlineStr">
        <is>
          <t>terre eau guten</t>
        </is>
      </c>
      <c r="B17994">
        <f>HYPERLINK("https://www.dofusbook.net/fr/equipement/793524-terre-eau-guten/objets", "link")</f>
        <v/>
      </c>
      <c r="C17994" t="n">
        <v>1</v>
      </c>
      <c r="D17994" t="inlineStr">
        <is>
          <t>Arc de Guten Tak; Amulette du Strigide; Pikano; Bracelet du Piloztère; Bouclier cubiste; Ceinture du Strigide; Casque Dragoeuf; Voile d'encre; Bottes Honyme; Dofus Nébuleux; Dofus Turquoise; Dofus des Glaces; Dofus Pourpre; Dolmanax; Remueur; Muldo Indigo et Pourpre</t>
        </is>
      </c>
    </row>
    <row r="17995">
      <c r="A17995" t="inlineStr">
        <is>
          <t>Full terre/cc</t>
        </is>
      </c>
      <c r="B17995">
        <f>HYPERLINK("https://www.dofusbook.net/fr/equipement/793528-full-terre-cc/objets", "link")</f>
        <v/>
      </c>
      <c r="C17995" t="n">
        <v>0</v>
      </c>
      <c r="D17995" t="inlineStr">
        <is>
          <t>Marteau R'ture; Amulette du Cœur Saignant; Anneau Crustique; Anneau Chevelu; Bouclier Bontarien; Ceinture Gence; Masque d'Anerice; Cape d'Anerice; Bottes de la Cour Sombre; Dofus Pourpre; Dofus Abyssal; Dofus Turquoise; Nomade; Remueur; Enragé majeur; Molosk</t>
        </is>
      </c>
    </row>
    <row r="17996">
      <c r="A17996" t="inlineStr">
        <is>
          <t>full terre dopou</t>
        </is>
      </c>
      <c r="B17996">
        <f>HYPERLINK("https://www.dofusbook.net/fr/equipement/2320234-full-terre-dopou-/objets", "link")</f>
        <v/>
      </c>
      <c r="C17996" t="n">
        <v>0</v>
      </c>
      <c r="D17996" t="inlineStr">
        <is>
          <t>Lav'Hache; Torquistik; Anneau Chevelu; Anneau Crustique; Bouclier précieux; Ceinture Gence; Casque Dragoeuf; Cape du Cœur Vaillant; Bottistik; Dofus Abyssal; Dofus des Glaces; Bousculeur majeur; Remueur; Enragé majeur; Culbuteur majeur; Muldo Ebène et Pourpre</t>
        </is>
      </c>
    </row>
    <row r="17997">
      <c r="A17997" t="inlineStr">
        <is>
          <t>terre/eau maskoutoul</t>
        </is>
      </c>
      <c r="B17997">
        <f>HYPERLINK("https://www.dofusbook.net/fr/equipement/3043317-terre-eau-maskoutoul/objets", "link")</f>
        <v/>
      </c>
      <c r="C17997" t="n">
        <v>0</v>
      </c>
      <c r="D17997" t="inlineStr">
        <is>
          <t>Épouvante; Amulette du Strigide; Anneau Chevelu; Bague Gloursonne; Bouclier précieux; Ceinture du Strigide; Masque de Koutoulou; Cape au Logis; Chaussons de Macrab; Dofus Pourpre; Dofus Abyssal; Dofus Turquoise; Dolmanax; Vigoureux majeur; Remueur; Croum</t>
        </is>
      </c>
    </row>
    <row r="17998">
      <c r="A17998" t="inlineStr">
        <is>
          <t>Terre/eau dragoeuf 1</t>
        </is>
      </c>
      <c r="B17998">
        <f>HYPERLINK("https://www.dofusbook.net/fr/equipement/793527-terre-eau-dragoeuf-1/objets", "link")</f>
        <v/>
      </c>
      <c r="C17998" t="n">
        <v>0</v>
      </c>
      <c r="D17998" t="inlineStr">
        <is>
          <t>Épouvante; Amulette du Strigide; Anneau Chevelu; Bracelet du Piloztère; Bouclier précieux; Ceinture du Strigide; Casque Dragoeuf; Voile d'encre; Bottes Honyme; Dofus Turquoise; Dolmanax; Dofus Pourpre; Dofus Abyssal; Nomade; Remueur; Kramkram</t>
        </is>
      </c>
    </row>
    <row r="17999">
      <c r="A17999" t="inlineStr">
        <is>
          <t>air dopou</t>
        </is>
      </c>
      <c r="B17999">
        <f>HYPERLINK("https://www.dofusbook.net/fr/equipement/3043534-air-dopou/objets", "link")</f>
        <v/>
      </c>
      <c r="C17999" t="n">
        <v>0</v>
      </c>
      <c r="D17999" t="inlineStr">
        <is>
          <t>Hachoirs de Viandargh; Amibou; Bague Instable; Bague Trithon; Bouclier précieux; Menoture; Casque Dragoeuf; Capibou; Bottes du Cœur Vaillant; Dofus Émeraude; Dofus Abyssal; Culbuteur majeur; Cascadeur majeur; Pousseur majeur; Remueur; Muldo Ebène et Orchidée</t>
        </is>
      </c>
    </row>
    <row r="18000">
      <c r="A18000" t="inlineStr">
        <is>
          <t>Stuff 3</t>
        </is>
      </c>
      <c r="B18000">
        <f>HYPERLINK("https://www.dofusbook.net/fr/equipement/793529-stuff-3/objets", "link")</f>
        <v/>
      </c>
      <c r="C18000" t="n">
        <v>0</v>
      </c>
      <c r="D18000" t="inlineStr">
        <is>
          <t>Épouvante; Amulette du Strigide; Bague Gloursonne; Anneau Chevelu; Bouclier précieux; Ceinture du Strigide; Casque Dragoeuf; Cape Luminescente; Bottes Honyme; Dofus Pourpre; Dofus Abyssal; Dofus Turquoise; Dolmanax; Nomade; Remueur; Kramkram</t>
        </is>
      </c>
    </row>
    <row r="18001">
      <c r="A18001" t="inlineStr">
        <is>
          <t>Stuff 2</t>
        </is>
      </c>
      <c r="B18001">
        <f>HYPERLINK("https://www.dofusbook.net/fr/equipement/2291742-stuff-2/objets", "link")</f>
        <v/>
      </c>
      <c r="C18001" t="n">
        <v>0</v>
      </c>
      <c r="D18001" t="inlineStr">
        <is>
          <t>Dagues Ricol; Amulette de Nileza; Anneauræus; Anneauræus; Bouclier du Stalak; Ceinture de Kongoku; Heaume Oplate; Cape de Nileza; Bottes Innommables; Dofus Pourpre; Dolmanax; Dofus Abyssal; Dofus Ivoire; Érudit majeur; Remueur; Muldo Indigo et Orchidée</t>
        </is>
      </c>
    </row>
    <row r="18002">
      <c r="A18002" t="inlineStr">
        <is>
          <t>Stuff 3</t>
        </is>
      </c>
      <c r="B18002">
        <f>HYPERLINK("https://www.dofusbook.net/fr/equipement/2465190-stuff-3/objets", "link")</f>
        <v/>
      </c>
      <c r="C18002" t="n">
        <v>0</v>
      </c>
      <c r="D18002" t="inlineStr">
        <is>
          <t>Sceptre du Roi Joueur; Amulette de Shokkoth; Alliance Gloursonne; Bracelet des Fonds marins; Bouclier du Mont Kipou; Poulpagne; Masque des Fonds marins; Chevelure de Tal Kasha; Bottes du Sinistrofu; Dofus Pourpre; Dofus Abyssal; Dolmanax; Dofus des Glaces; Remueur; Chanceux majeur; Muldo Indigo et Pourpre</t>
        </is>
      </c>
    </row>
    <row r="18003">
      <c r="A18003" t="inlineStr">
        <is>
          <t>Stuff 3</t>
        </is>
      </c>
      <c r="B18003">
        <f>HYPERLINK("https://www.dofusbook.net/fr/equipement/2465154-stuff-3/objets", "link")</f>
        <v/>
      </c>
      <c r="C18003" t="n">
        <v>0</v>
      </c>
      <c r="D18003" t="inlineStr">
        <is>
          <t>Arc Ahique; Amulette de l'Indicible; Alliance Gloursonne; Bracelet du Piloztère; Quatre-feuilles; Ceinture de l'Indicible; Casque Dragoeuf; Voile d'encre; Baleinabottes; Dofus des Glaces; Dofus Turquoise; Dofus Pourpre; Dolmanax; Remueur; Nomade; Kramkram</t>
        </is>
      </c>
    </row>
    <row r="18004">
      <c r="A18004" t="inlineStr">
        <is>
          <t>Stuff 3</t>
        </is>
      </c>
      <c r="B18004">
        <f>HYPERLINK("https://www.dofusbook.net/fr/equipement/2465110-stuff-3/objets", "link")</f>
        <v/>
      </c>
      <c r="C18004" t="n">
        <v>0</v>
      </c>
      <c r="D18004" t="inlineStr">
        <is>
          <t>Héqache; Amulette du Strigide; Baguistik; Bracelet du Piloztère; Quatre-feuilles; Ceinture de l'Indicible; Masque de Koutoulou; Voile d'encre; Bottes de l'Indicible; Dofus Pourpre; Dolmanax; Dofus Nébuleux; Dofus Turquoise; Nomade; Remueur; Kramkram</t>
        </is>
      </c>
    </row>
    <row r="18005">
      <c r="A18005" t="inlineStr">
        <is>
          <t>Stuff 2</t>
        </is>
      </c>
      <c r="B18005">
        <f>HYPERLINK("https://www.dofusbook.net/fr/equipement/2374291-stuff-2/objets", "link")</f>
        <v/>
      </c>
      <c r="C18005" t="n">
        <v>0</v>
      </c>
      <c r="D18005" t="inlineStr">
        <is>
          <t>Marteau R'ture; Amulette du Strigide; Chevalière du Roi Joueur; Bracelet du Piloztère; Bouclier cubiste; Ceintacé; Chapeau de Gein; Voile d'encre; Bottes du Strigide; Dofus Turquoise; Dofus Pourpre; Dofus Nébuleux; Dolmanax; Remueur; Nomade; Kramkram</t>
        </is>
      </c>
    </row>
    <row r="18006">
      <c r="A18006" t="inlineStr">
        <is>
          <t>Stuff 2</t>
        </is>
      </c>
      <c r="B18006">
        <f>HYPERLINK("https://www.dofusbook.net/fr/equipement/2370747-stuff-2/objets", "link")</f>
        <v/>
      </c>
      <c r="C18006" t="n">
        <v>0</v>
      </c>
      <c r="D18006" t="inlineStr">
        <is>
          <t>Héqache; Amulette du Strigide; Bracelet du Piloztère; Baguistik; Bouclier cubiste; Ceintacé; Casque de Missiz Frizz; Voile d'encre; Bottes du Strigide; Dolmanax; Dofus Turquoise; Dofus Pourpre; Dofus Nébuleux; Remueur; Vigoureux majeur</t>
        </is>
      </c>
    </row>
    <row r="18007">
      <c r="A18007" t="inlineStr">
        <is>
          <t>Stuff 2</t>
        </is>
      </c>
      <c r="B18007">
        <f>HYPERLINK("https://www.dofusbook.net/fr/equipement/793531-stuff-2/objets", "link")</f>
        <v/>
      </c>
      <c r="C18007" t="n">
        <v>0</v>
      </c>
      <c r="D18007" t="inlineStr">
        <is>
          <t>Arc Honte; Amulette du Strigide; Chevalière du Roi Joueur; Bague Gloursonne; Bouclier cubiste; Ceintacé; Chapeau de Gein; Voile d'encre; Bottes du Strigide; Dofus Nébuleux; Dolmanax; Dofus Turquoise; Dofus Pourpre; Remueur; Vigoureux majeur; Muldo Doré et Pourpre</t>
        </is>
      </c>
    </row>
    <row r="18008">
      <c r="A18008" t="inlineStr">
        <is>
          <t>Stuff 4</t>
        </is>
      </c>
      <c r="B18008">
        <f>HYPERLINK("https://www.dofusbook.net/fr/equipement/793541-stuff-4/objets", "link")</f>
        <v/>
      </c>
      <c r="C18008" t="n">
        <v>1</v>
      </c>
      <c r="D18008" t="inlineStr">
        <is>
          <t>Dagoulinantes; Amulette de Shokkoth; Bracelet des Fonds marins; Alliance Gloursonne; Sept ans de malheur; Poulpagne; Kidibonnet; Cape d'Hel Munster; Sandales Circulaires du Kimbo; Dofus Turquoise; Dofus Émeraude; Dofus des Veilleurs; Étourdisseur majeur; Remueur; Chanceux majeur; Muldo Indigo et Pourpre</t>
        </is>
      </c>
    </row>
    <row r="18009">
      <c r="A18009" t="inlineStr">
        <is>
          <t>Stuff 3</t>
        </is>
      </c>
      <c r="B18009">
        <f>HYPERLINK("https://www.dofusbook.net/fr/equipement/2286115-stuff-3/objets", "link")</f>
        <v/>
      </c>
      <c r="C18009" t="n">
        <v>1</v>
      </c>
      <c r="D18009" t="inlineStr">
        <is>
          <t>Rapière aux Glyphes; Amulette de Shokkoth; Alliance Gloursonne; Bracelet des Fonds marins; Sept ans de malheur; Poulpagne; Masque des Fonds marins; Cape d'Hel Munster; Sandales Circulaires du Kimbo; Dofus Turquoise; Dofus Émeraude; Dofus des Veilleurs; Chanceux majeur; Étourdisseur majeur; Remueur; Kramkram</t>
        </is>
      </c>
    </row>
    <row r="18010">
      <c r="A18010" t="inlineStr">
        <is>
          <t>Stuff 1</t>
        </is>
      </c>
      <c r="B18010">
        <f>HYPERLINK("https://www.dofusbook.net/fr/equipement/793539-stuff-1/objets", "link")</f>
        <v/>
      </c>
      <c r="C18010" t="n">
        <v>0</v>
      </c>
      <c r="D18010" t="inlineStr">
        <is>
          <t>Sceptre du Roi Joueur; Amulette de Shokkoth; Alliance Gloursonne; Bracelet des Fonds marins; Cadran d'Air; Poulpagne; Casque Dragoeuf; Cape de l'Œil Attentif; Sandales des Fonds marins; Dofus Cawotte; Dofus Abyssal; Dofus Émeraude; Dofus des Veilleurs; Remueur; Chanceux majeur; Muldo Indigo</t>
        </is>
      </c>
    </row>
    <row r="18011">
      <c r="A18011" t="inlineStr">
        <is>
          <t>Stuff 2</t>
        </is>
      </c>
      <c r="B18011">
        <f>HYPERLINK("https://www.dofusbook.net/fr/equipement/793540-stuff-2/objets", "link")</f>
        <v/>
      </c>
      <c r="C18011" t="n">
        <v>0</v>
      </c>
      <c r="D18011" t="inlineStr">
        <is>
          <t>Sceptre du Roi Joueur; Amulette de Shokkoth; Alliance Gloursonne; Pikano; Bouclier du Mont Kipou; Poulpagne; Masque des Fonds marins; Cape du Sinistrofu; Bottes du Sinistrofu; Dofus des Veilleurs; Dofus Turquoise; Dofus Émeraude; Chanceux majeur; Étourdisseur majeur; Remueur; Muldo Indigo et Pourpre</t>
        </is>
      </c>
    </row>
    <row r="18012">
      <c r="A18012" t="inlineStr">
        <is>
          <t>Stuff 3</t>
        </is>
      </c>
      <c r="B18012">
        <f>HYPERLINK("https://www.dofusbook.net/fr/equipement/793535-stuff-3/objets", "link")</f>
        <v/>
      </c>
      <c r="C18012" t="n">
        <v>0</v>
      </c>
      <c r="D18012" t="inlineStr">
        <is>
          <t>Marteau Racle; Amulette du Strigide; Alliance Gloursonne; Anneau Vicieux; Bouclier Terrdala cassé; Protopagne; Bonnet Vicieux; Voile d'encre; Baleinabottes; Dolmanax; Dofus Pourpre; Dofus des Glaces; Remueur; Déserteur majeur; Cascadeur majeur; Pioute jaune</t>
        </is>
      </c>
    </row>
    <row r="18013">
      <c r="A18013" t="inlineStr">
        <is>
          <t>Stuff 1</t>
        </is>
      </c>
      <c r="B18013">
        <f>HYPERLINK("https://www.dofusbook.net/fr/equipement/793530-stuff-1/objets", "link")</f>
        <v/>
      </c>
      <c r="C18013" t="n">
        <v>0</v>
      </c>
      <c r="D18013" t="inlineStr">
        <is>
          <t>Arc Hétype; Amulette du Cycloïde; Chevalière du Roi Joueur; Anneau Tique; Ceintacé; Chapeau de Gein; Voile d'encre; Bottes du Roi Joueur; Dofus Nébuleux; Dolmanax; Remueur; Érudit majeur; Enragé majeur; Carapace Air majeur; Bontique</t>
        </is>
      </c>
    </row>
    <row r="18014">
      <c r="A18014" t="inlineStr">
        <is>
          <t>Stuff 1</t>
        </is>
      </c>
      <c r="B18014">
        <f>HYPERLINK("https://www.dofusbook.net/fr/equipement/793542-stuff-1/objets", "link")</f>
        <v/>
      </c>
      <c r="C18014" t="n">
        <v>0</v>
      </c>
      <c r="D18014" t="inlineStr">
        <is>
          <t>Manthache; Collier du Valet Veinard; Alliance Gloursonne; Gant du Valet Veinard; Menoture; Dorabysses; Cape Indescriptible; Palmes Trithons; Dofus Pourpre; Dolmanax; Cascadeur majeur; Vigoureux majeur; Nomade; Remueur; Kramkram</t>
        </is>
      </c>
    </row>
    <row r="18015">
      <c r="A18015" t="inlineStr">
        <is>
          <t>Stuff 3</t>
        </is>
      </c>
      <c r="B18015">
        <f>HYPERLINK("https://www.dofusbook.net/fr/equipement/793532-stuff-3/objets", "link")</f>
        <v/>
      </c>
      <c r="C18015" t="n">
        <v>0</v>
      </c>
      <c r="D18015" t="inlineStr">
        <is>
          <t>Héqache; Amulette de l'Indicible; Baguistik; Bracelet du Piloztère; Quatre-feuilles; Ceinture de l'Indicible; Masque de Koutoulou; Voile d'encre; Pompes Funèbres; Dofus Nébuleux; Dofus Turquoise; Dofus Pourpre; Dolmanax; Remueur; Nomade; Kramkram</t>
        </is>
      </c>
    </row>
    <row r="18016">
      <c r="A18016" t="inlineStr">
        <is>
          <t>Stuff 3</t>
        </is>
      </c>
      <c r="B18016">
        <f>HYPERLINK("https://www.dofusbook.net/fr/equipement/793544-stuff-3/objets", "link")</f>
        <v/>
      </c>
      <c r="C18016" t="n">
        <v>0</v>
      </c>
      <c r="D18016" t="inlineStr">
        <is>
          <t>Dagues de Srambad; Amulette du Strigide; Alliance Gloursonne; Bracelet du Piloztère; Ceinture de la Reine des Voleurs; Coiffe de la Reine des Voleurs; Voile d'encre; Sabots Minables; Dofus Pourpre; Dofus Nébuleux; Dolmanax; Nomade; Remueur; Vigoureux majeur; Dragodinde en armure</t>
        </is>
      </c>
    </row>
    <row r="18017">
      <c r="A18017" t="inlineStr">
        <is>
          <t>Stuff 2</t>
        </is>
      </c>
      <c r="B18017">
        <f>HYPERLINK("https://www.dofusbook.net/fr/equipement/793534-stuff-2/objets", "link")</f>
        <v/>
      </c>
      <c r="C18017" t="n">
        <v>0</v>
      </c>
      <c r="D18017" t="inlineStr">
        <is>
          <t>Dagues Érhy; Amulette du Strigide; Bracelet du Piloztère; Chevalière du Roi Joueur; Ceintacé; Casque du Chalœil; Voile d'encre; Bottes du Strigide; Dofus Pourpre; Dofus Turquoise; Dofus Nébuleux; Dolmanax; Remueur; Nomade; El Scarador</t>
        </is>
      </c>
    </row>
    <row r="18018">
      <c r="A18018" t="inlineStr">
        <is>
          <t>Stuff 2</t>
        </is>
      </c>
      <c r="B18018">
        <f>HYPERLINK("https://www.dofusbook.net/fr/equipement/793546-stuff-2/objets", "link")</f>
        <v/>
      </c>
      <c r="C18018" t="n">
        <v>0</v>
      </c>
      <c r="D18018" t="inlineStr">
        <is>
          <t>Harpelle; Pendentif affamé; Anneau Tique; Bague Gloursonne; Ceinture de Vortex; Cagoule de Vortex; Voile d'encre; Bottes Innommables; Dofus Turquoise; Dofus Ocre; Remueur; Érudit majeur; Nomade; Étourdisseur majeur; El Scarador</t>
        </is>
      </c>
    </row>
    <row r="18019">
      <c r="A18019" t="inlineStr">
        <is>
          <t>Stuff 2</t>
        </is>
      </c>
      <c r="B18019">
        <f>HYPERLINK("https://www.dofusbook.net/fr/equipement/793543-stuff-2/objets", "link")</f>
        <v/>
      </c>
      <c r="C18019" t="n">
        <v>0</v>
      </c>
      <c r="D18019" t="inlineStr">
        <is>
          <t>Pelle de la Cour Sombre; Amulette Voldelor; Alliance Gloursonne; Anneau des égarés; Ceinture Rasboulaire du Rasboul; Casque des égarés; Cape Matelassée; Pantoufles Émar; Dolmanax; Dofus Pourpre; Miraculé majeur; Cascadeur majeur; Étourdisseur majeur; Nomade; Kramkram</t>
        </is>
      </c>
    </row>
    <row r="18020">
      <c r="A18020" t="inlineStr">
        <is>
          <t>Stuff 1</t>
        </is>
      </c>
      <c r="B18020">
        <f>HYPERLINK("https://www.dofusbook.net/fr/equipement/793533-stuff-1/objets", "link")</f>
        <v/>
      </c>
      <c r="C18020" t="n">
        <v>0</v>
      </c>
      <c r="D18020" t="inlineStr">
        <is>
          <t>Dagues Érhy; Amulette du Strigide; Anneau Chevelu; Chevalière du Roi Joueur; Ceintacé; Couronne du Roi Joueur; Voile d'encre; Pantoufles du Piloztère; Dofus Pourpre; Dofus Turquoise; Dofus Nébuleux; Dolmanax; Remueur; Nomade</t>
        </is>
      </c>
    </row>
    <row r="18021">
      <c r="A18021" t="inlineStr">
        <is>
          <t>Stuff 2</t>
        </is>
      </c>
      <c r="B18021">
        <f>HYPERLINK("https://www.dofusbook.net/fr/equipement/643405-stuff-2/objets", "link")</f>
        <v/>
      </c>
      <c r="C18021" t="n">
        <v>0</v>
      </c>
      <c r="D18021" t="inlineStr">
        <is>
          <t>Dagues du Dragoeuf; Amulette de Gein; Bracelet du Piloztère; Ceinture du Strigide; Chapeau de Gein; Voile d'encre; Bottes Dogues; Dofus Nébuleux; Dofus Pourpre; Dofus des Glaces; Dolmanax; Remueur; Dragodinde en armure</t>
        </is>
      </c>
    </row>
    <row r="18022">
      <c r="A18022" t="inlineStr">
        <is>
          <t>Stuff 3</t>
        </is>
      </c>
      <c r="B18022">
        <f>HYPERLINK("https://www.dofusbook.net/fr/equipement/643400-stuff-3/objets", "link")</f>
        <v/>
      </c>
      <c r="C18022" t="n">
        <v>0</v>
      </c>
      <c r="D18022" t="inlineStr">
        <is>
          <t>Rapière aux Glyphes; Amulette du Sinistrofu; Alliance Gloursonne; Bracelet du Piloztère; Ceinture du Barbétoal; Kidibonnet; Voilamibe; Bottes du Sinistrofu; Dofus Pourpre; Dofus des Glaces; Chanceux majeur; Remueur; Carapace Eau majeur; Miraculé majeur; Dragodinde en armure</t>
        </is>
      </c>
    </row>
    <row r="18023">
      <c r="A18023" t="inlineStr">
        <is>
          <t>Stuff 2</t>
        </is>
      </c>
      <c r="B18023">
        <f>HYPERLINK("https://www.dofusbook.net/fr/equipement/643417-stuff-2/objets", "link")</f>
        <v/>
      </c>
      <c r="C18023" t="n">
        <v>0</v>
      </c>
      <c r="D18023" t="inlineStr">
        <is>
          <t>Bêche Asse; Amulette du Nocturlabe; Alliance de Missiz Frizz; Anneau de Brouce; Ceinture de Brouce; Casque de Missiz Frizz; Cape au Logis; Bottes de Brouce; Dofus Émeraude; Dofus Ocre; Dofus Pourpre; Furibond majeur; Forcené majeur; Robuste majeur; Kompost</t>
        </is>
      </c>
    </row>
    <row r="18024">
      <c r="A18024" t="inlineStr">
        <is>
          <t>Stuff 1</t>
        </is>
      </c>
      <c r="B18024">
        <f>HYPERLINK("https://www.dofusbook.net/fr/equipement/643407-stuff-1/objets", "link")</f>
        <v/>
      </c>
      <c r="C18024" t="n">
        <v>0</v>
      </c>
      <c r="D18024" t="inlineStr">
        <is>
          <t>Bêche Asse; Amulette de Pol Ouatnos; Bracelet du Piloztère; Anneau de Brouce; Ceinture de Brouce; Coiffe d'Ogivol; Voile d'encre; Bottes de la Cour Sombre; Dofus Nébuleux; Dofus Ocre; Dofus des Glaces; Dofus Pourpre; Remueur; Enragé majeur; Dragodinde en armure; Ailoclier</t>
        </is>
      </c>
    </row>
    <row r="18025">
      <c r="A18025" t="inlineStr">
        <is>
          <t>Stuff 2</t>
        </is>
      </c>
      <c r="B18025">
        <f>HYPERLINK("https://www.dofusbook.net/fr/equipement/643402-stuff-2/objets", "link")</f>
        <v/>
      </c>
      <c r="C18025" t="n">
        <v>0</v>
      </c>
      <c r="D18025" t="inlineStr">
        <is>
          <t>Marteau des Anciens Steamers; Amulette de Pol Ouatnos; Bracelet du Piloztère; Alliance Gloursonne; Ceinture du Barbétoal; Masque du Barbétoal; Cape du Barbétoal; Bottes de la Reine des Voleurs; Dofus Turquoise; Dofus des Glaces; Dofus Émeraude; Dofus Pourpre; Dofus Ocre; Kramkram</t>
        </is>
      </c>
    </row>
    <row r="18026">
      <c r="A18026" t="inlineStr">
        <is>
          <t>Stuff 3</t>
        </is>
      </c>
      <c r="B18026">
        <f>HYPERLINK("https://www.dofusbook.net/fr/equipement/643409-stuff-3/objets", "link")</f>
        <v/>
      </c>
      <c r="C18026" t="n">
        <v>0</v>
      </c>
      <c r="D18026" t="inlineStr">
        <is>
          <t>Pelle de Nidas; Amulette de Pol Ouatnos; Bracelet du Piloztère; Bague Gloursonne; Ceinture de la Reine des Voleurs; Coiffe de la Reine des Voleurs; Voile d'encre; Bottes du Cycloïde; Dofus des Glaces; Dofus Pourpre; Dolmanax; Dofus Nébuleux; Dofus Ocre; Remueur; Dragodinde en armure</t>
        </is>
      </c>
    </row>
    <row r="18027">
      <c r="A18027" t="inlineStr">
        <is>
          <t>Stuff 1</t>
        </is>
      </c>
      <c r="B18027">
        <f>HYPERLINK("https://www.dofusbook.net/fr/equipement/643404-stuff-1/objets", "link")</f>
        <v/>
      </c>
      <c r="C18027" t="n">
        <v>0</v>
      </c>
      <c r="D18027" t="inlineStr">
        <is>
          <t>Épée du Granduk; Amulette du Granduk; Alliance Gloursonne; Bracelet Ming; Ceinture de Klime; Masque du Granduk; Cape de Klime; Bottes du Cycloïde; Dofus Ocre; Dofus Turquoise; Equilibriste majeur; Tacleur majeur; Acrobate majeur</t>
        </is>
      </c>
    </row>
    <row r="18028">
      <c r="A18028" t="inlineStr">
        <is>
          <t>Stuff 2</t>
        </is>
      </c>
      <c r="B18028">
        <f>HYPERLINK("https://www.dofusbook.net/fr/equipement/643399-stuff-2/objets", "link")</f>
        <v/>
      </c>
      <c r="C18028" t="n">
        <v>0</v>
      </c>
      <c r="D18028" t="inlineStr">
        <is>
          <t>Bêche Asse; Amulette de Pol Ouatnos; Anneau de Brouce; Bracelet du Piloztère; Ceinture de Brouce; Coiffe d'Ogivol; Voile d'encre; Bottes de la Cour Sombre; Dofus Pourpre; Dofus Ocre; Vigoureux majeur; Remueur; Forcené majeur; Enragé majeur; Dragodinde en armure</t>
        </is>
      </c>
    </row>
    <row r="18029">
      <c r="A18029" t="inlineStr">
        <is>
          <t>lol</t>
        </is>
      </c>
      <c r="B18029">
        <f>HYPERLINK("https://www.dofusbook.net/fr/equipement/643416-lol/objets", "link")</f>
        <v/>
      </c>
      <c r="C18029" t="n">
        <v>0</v>
      </c>
      <c r="D18029" t="inlineStr">
        <is>
          <t>Bêche Asse; Amulette de Pol Ouatnos; Anneau de Brouce; Anneau des égarés; Ceinture de Brouce; Casque des égarés; Cape du Kamasterisk; Bottes de Brouce; Dofus Nébuleux; Dofus Ocre; Dofus des Glaces; Dofus Turquoise; Dolmanax; Dofus Pourpre; Dragodinde en armure</t>
        </is>
      </c>
    </row>
    <row r="18030">
      <c r="A18030" t="inlineStr">
        <is>
          <t>Stuff 3</t>
        </is>
      </c>
      <c r="B18030">
        <f>HYPERLINK("https://www.dofusbook.net/fr/equipement/643406-stuff-3/objets", "link")</f>
        <v/>
      </c>
      <c r="C18030" t="n">
        <v>0</v>
      </c>
      <c r="D18030" t="inlineStr">
        <is>
          <t>Dagues Érhy; Amulette du Strigide; Bracelet du Piloztère; Anneau de la Fuji Givrefoux; Ceinture du Strigide; Coiffe de la Fuji Givrefoux; Cape de la Fuji Givrefoux; Bottes du Strigide; Dolmanax; Dofus Pourpre; Dofus Ocre; Dofus des Glaces; Dofus Turquoise; Turbulent; Dragodinde en armure</t>
        </is>
      </c>
    </row>
    <row r="18031">
      <c r="A18031" t="inlineStr">
        <is>
          <t>Stuff 1</t>
        </is>
      </c>
      <c r="B18031">
        <f>HYPERLINK("https://www.dofusbook.net/fr/equipement/643401-stuff-1/objets", "link")</f>
        <v/>
      </c>
      <c r="C18031" t="n">
        <v>0</v>
      </c>
      <c r="D18031" t="inlineStr">
        <is>
          <t>Épée du Granduk; Amulette du Granduk; Bracelet du Piloztère; Alliance Gloursonne; Ceinture du Barbétoal; Masque du Granduk; Voile d'encre; Bottes du Cycloïde; Dofus Pourpre; Dofus Émeraude; Dofus Ocre; Dofus des Glaces; Dofus Turquoise; Survivant majeur; Dragodinde en armure</t>
        </is>
      </c>
    </row>
    <row r="18032">
      <c r="A18032" t="inlineStr">
        <is>
          <t>Stuff 3</t>
        </is>
      </c>
      <c r="B18032">
        <f>HYPERLINK("https://www.dofusbook.net/fr/equipement/643418-stuff-3/objets", "link")</f>
        <v/>
      </c>
      <c r="C18032" t="n">
        <v>0</v>
      </c>
      <c r="D18032" t="inlineStr">
        <is>
          <t>Bêche Asse; Amulette du Strigide; Bague Gloursonne; Anneau Chevelu; Ceinture du Strigide; Casque de Missiz Frizz; Cape au Logis; Sabots Minables; Dofus des Glaces; Dofus Pourpre; Dolmanax; Dofus Turquoise; Dofus Ocre; Dragodinde en armure</t>
        </is>
      </c>
    </row>
    <row r="18033">
      <c r="A18033" t="inlineStr">
        <is>
          <t>Stuff 2</t>
        </is>
      </c>
      <c r="B18033">
        <f>HYPERLINK("https://www.dofusbook.net/fr/equipement/643408-stuff-2/objets", "link")</f>
        <v/>
      </c>
      <c r="C18033" t="n">
        <v>0</v>
      </c>
      <c r="D18033" t="inlineStr">
        <is>
          <t>Dagues de Srambad; Amulette du Strigide; Bracelet du Piloztère; Pikano; Ceinture de la Reine des Voleurs; Coiffe d'Ogivol; Cape Ovri; Pantoufles du Piloztère; Dofus Ocre; Dofus Pourpre; Dofus Nébuleux; Vigoureux majeur; Nomade; Remueur; Dragodinde en armure</t>
        </is>
      </c>
    </row>
    <row r="18034">
      <c r="A18034" t="inlineStr">
        <is>
          <t>Stuff 3</t>
        </is>
      </c>
      <c r="B18034">
        <f>HYPERLINK("https://www.dofusbook.net/fr/equipement/643403-stuff-3/objets", "link")</f>
        <v/>
      </c>
      <c r="C18034" t="n">
        <v>0</v>
      </c>
      <c r="D18034" t="inlineStr">
        <is>
          <t>Bêche Asse; Amulette Ementaire Deluxe; Bague Gloursonne; Alliance Gloursonne; Ceintacé; Casque Dragoeuf; Voile d'encre; Bottes de la Cour Sombre; Dofus Émeraude; Dolmanax; Survivant majeur; Miraculé; Miraculé majeur; Remueur; Dragodinde en armure</t>
        </is>
      </c>
    </row>
    <row r="18035">
      <c r="A18035" t="inlineStr">
        <is>
          <t>Stuff 2</t>
        </is>
      </c>
      <c r="B18035">
        <f>HYPERLINK("https://www.dofusbook.net/fr/equipement/643396-stuff-2/objets", "link")</f>
        <v/>
      </c>
      <c r="C18035" t="n">
        <v>0</v>
      </c>
      <c r="D18035" t="inlineStr">
        <is>
          <t>Marteau Phossile; Kralano; Bague Gloursonne; Ceinture de Vortex; Cagoule de Vortex; Voile d'encre; Sabots de Vortex; Dofus Pourpre; Dofus Turquoise; Dolmanax; Dofus Ocre; Dragodinde en armure</t>
        </is>
      </c>
    </row>
    <row r="18036">
      <c r="A18036" t="inlineStr">
        <is>
          <t>Stuff 1</t>
        </is>
      </c>
      <c r="B18036">
        <f>HYPERLINK("https://www.dofusbook.net/fr/equipement/643398-stuff-1/objets", "link")</f>
        <v/>
      </c>
      <c r="C18036" t="n">
        <v>0</v>
      </c>
      <c r="D18036" t="inlineStr">
        <is>
          <t>Rapière aux Glyphes; Amulette du Sinistrofu; Bracelet du Piloztère; Alliance Gloursonne; Ceinture du Barbétoal; Coiffe d'Ogivol; Voilamibe; Bottes du Sinistrofu; Dofus Ocre; Dofus Pourpre; Taquin majeur; Remueur; Chanceux majeur; Miraculé majeur; Dragodinde en armure</t>
        </is>
      </c>
    </row>
    <row r="18037">
      <c r="A18037" t="inlineStr">
        <is>
          <t>Stuff 1</t>
        </is>
      </c>
      <c r="B18037">
        <f>HYPERLINK("https://www.dofusbook.net/fr/equipement/643395-stuff-1/objets", "link")</f>
        <v/>
      </c>
      <c r="C18037" t="n">
        <v>0</v>
      </c>
      <c r="D18037" t="inlineStr">
        <is>
          <t>Dagues Érhy; Kralano; Ceinture de Vortex; Cagoule de Vortex; Voile d'encre; Sabots de Vortex; Dofus des Glaces; Dofus Turquoise; Dolmanax; Dofus Pourpre; Dofus Ocre; Dragodinde Prune et Emeraude</t>
        </is>
      </c>
    </row>
    <row r="18038">
      <c r="A18038" t="inlineStr">
        <is>
          <t>Stuff 3</t>
        </is>
      </c>
      <c r="B18038">
        <f>HYPERLINK("https://www.dofusbook.net/fr/equipement/643397-stuff-3/objets", "link")</f>
        <v/>
      </c>
      <c r="C18038" t="n">
        <v>0</v>
      </c>
      <c r="D18038" t="inlineStr">
        <is>
          <t>Marteau des Anciens Steamers; Amulette du Strigide; Bracelet du Piloztère; Alliance Gloursonne; Ceintacé; Coiffe d'Ogivol; Voilamibe; Bottes du Strigide; Dofus des Glaces; Dofus Pourpre; Dolmanax; Dofus Turquoise; Remueur; Vigoureux majeur; Dragodinde en armure</t>
        </is>
      </c>
    </row>
    <row r="18039">
      <c r="A18039" t="inlineStr">
        <is>
          <t>Terre</t>
        </is>
      </c>
      <c r="B18039">
        <f>HYPERLINK("https://www.dofusbook.net/fr/equipement/4654824-terre/objets", "link")</f>
        <v/>
      </c>
      <c r="C18039" t="n">
        <v>6</v>
      </c>
      <c r="D18039" t="inlineStr">
        <is>
          <t>Bêche Asse; Amulette Volkorne; Anneau Chevelu; Anneau Crustique; Cadran d'Eau; Ceinture Volkorne; Masque de Koutoulou; Cape au Logis; Sabots Minables; Dofus Abyssal; Dofus Pourpre; Dofus Émeraude; Nomade; Remueur; Enragé majeur; El Scarador</t>
        </is>
      </c>
    </row>
    <row r="18040">
      <c r="A18040" t="inlineStr">
        <is>
          <t>feu pour oli</t>
        </is>
      </c>
      <c r="B18040">
        <f>HYPERLINK("https://www.dofusbook.net/fr/equipement/6009762-feu-pour-oli/objets", "link")</f>
        <v/>
      </c>
      <c r="C18040" t="n">
        <v>0</v>
      </c>
      <c r="D18040" t="inlineStr">
        <is>
          <t>Arc corrompu; Pendentif affamé; Anneauræus; Anneau Rifique; Bouclier du Cycloïde; Ceinture Séculaire; Coiffe Séculaire; Cape de Diondin; Bottes Innommables; Remueur; Miraculé majeur; Guérisseur majeur; Érudit majeur; Nomade; Savant majeur; Brûlih</t>
        </is>
      </c>
    </row>
    <row r="18041">
      <c r="A18041" t="inlineStr">
        <is>
          <t>terre basique</t>
        </is>
      </c>
      <c r="B18041">
        <f>HYPERLINK("https://www.dofusbook.net/fr/equipement/2829923-terre-basique/objets", "link")</f>
        <v/>
      </c>
      <c r="C18041" t="n">
        <v>0</v>
      </c>
      <c r="D18041" t="inlineStr">
        <is>
          <t>Arc du Chalœil; Amulette du Strigide; Bracelet du Piloztère; Anneau Chevelu; Quatre-feuilles; Ceinture du Strigide; Masque de Koutoulou; Cape au Logis; Baleinabottes; Dofus Pourpre; Dofus Turquoise; Remueur; Enragé majeur; Nomade; Vigoureux majeur; Kramkram</t>
        </is>
      </c>
    </row>
    <row r="18042">
      <c r="A18042" t="inlineStr">
        <is>
          <t>Full eau</t>
        </is>
      </c>
      <c r="B18042">
        <f>HYPERLINK("https://www.dofusbook.net/fr/equipement/5877148-full-eau/objets", "link")</f>
        <v/>
      </c>
      <c r="C18042" t="n">
        <v>1</v>
      </c>
      <c r="D18042" t="inlineStr">
        <is>
          <t>Dagoulinantes; Amulette de Shokkoth; Anneau Volkorne; Bracelet des Fonds marins; Quatre-feuilles; Sangle Ouare; Kidibonnet; Cape Solution; Sandales des Fonds marins; Vigoureux majeur; Chanceux majeur; Nomade; Observateur; Remueur</t>
        </is>
      </c>
    </row>
    <row r="18043">
      <c r="A18043" t="inlineStr">
        <is>
          <t>Feu air</t>
        </is>
      </c>
      <c r="B18043">
        <f>HYPERLINK("https://www.dofusbook.net/fr/equipement/2835965-feu-air/objets", "link")</f>
        <v/>
      </c>
      <c r="C18043" t="n">
        <v>2</v>
      </c>
      <c r="D18043" t="inlineStr">
        <is>
          <t>Canne Harr; Amulette du Strigide; Anneau de Padgref; Bracelet du Piloztère; Bouclier du Captain Amakna; Ceintacé; Cagoule de Vortex; Cape du Chalœil; Getas de Padgref; Dofus Turquoise; Dofus Nébuleux; Dofus Pourpre; Nomade; Vigoureux majeur; Remueur; Kokulte</t>
        </is>
      </c>
    </row>
    <row r="18044">
      <c r="A18044" t="inlineStr">
        <is>
          <t>feu eau</t>
        </is>
      </c>
      <c r="B18044">
        <f>HYPERLINK("https://www.dofusbook.net/fr/equipement/5777755-feu-eau/objets", "link")</f>
        <v/>
      </c>
      <c r="C18044" t="n">
        <v>4</v>
      </c>
      <c r="D18044" t="inlineStr">
        <is>
          <t>Couteaux Sacrificiels; Amulette Volkorne; Grésilanneau; Anneau Volkorne; Cadran d'Eau; Ceinture de l'Esprit Malsain; Casqnoar; Cape Paztek; Pataugastrique; Dofus Abyssal; Dofus Émeraude; Dofus des Glaces; Dofus Pourpre; Nomade; Remueur; Bwak de Feu</t>
        </is>
      </c>
    </row>
    <row r="18045">
      <c r="A18045" t="inlineStr">
        <is>
          <t>terre eau</t>
        </is>
      </c>
      <c r="B18045">
        <f>HYPERLINK("https://www.dofusbook.net/fr/equipement/5775551-terre-eau/objets", "link")</f>
        <v/>
      </c>
      <c r="C18045" t="n">
        <v>1</v>
      </c>
      <c r="D18045" t="inlineStr">
        <is>
          <t>Épouvante; Amulette du Strigide; Pikano; Anneau Volkorne; Cadran d'Eau; Ceinture Volkorne; Masque de Funespadon; Cape au Logis; Bottes Honyme; Dofus Pourpre; Dofus Ivoire; Dofus Turquoise; Dofus Ébène; Dofus Abyssal; Dofus Ocre; Bébé Pandawa</t>
        </is>
      </c>
    </row>
    <row r="18046">
      <c r="A18046" t="inlineStr">
        <is>
          <t>Full eau nebu</t>
        </is>
      </c>
      <c r="B18046">
        <f>HYPERLINK("https://www.dofusbook.net/fr/equipement/1439307-full-eau-nebu/objets", "link")</f>
        <v/>
      </c>
      <c r="C18046" t="n">
        <v>0</v>
      </c>
      <c r="D18046" t="inlineStr">
        <is>
          <t>Dagoulinantes; Amulette de Shokkoth; Bracelet des Fonds marins; Pikano; Quatre-feuilles; Poulpagne; Kidibonnet; Cape de Mantaze; Sandales des Fonds marins; Dofus Nébuleux; Dofus Pourpre; Dofus Turquoise; Chanceux majeur; Vigoureux majeur; Nomade; Dehluge</t>
        </is>
      </c>
    </row>
    <row r="18047">
      <c r="A18047" t="inlineStr">
        <is>
          <t>Multi no budget</t>
        </is>
      </c>
      <c r="B18047">
        <f>HYPERLINK("https://www.dofusbook.net/fr/equipement/5695108-multi-no-budget/objets", "link")</f>
        <v/>
      </c>
      <c r="C18047" t="n">
        <v>9</v>
      </c>
      <c r="D18047" t="inlineStr">
        <is>
          <t>Hache du Chalœil; Amulette du Strigide; Pikano; Bracelet du Piloztère; Quatre-feuilles; Ceintacé; Chapeau Lisson; Cape de la Dame du Hasard; Bottes du Strigide; Dofus Turquoise; Dofus Pourpre; Dolmanax; Nomade; Remueur; Kokulte</t>
        </is>
      </c>
    </row>
    <row r="18048">
      <c r="A18048" t="inlineStr">
        <is>
          <t>Eau air</t>
        </is>
      </c>
      <c r="B18048">
        <f>HYPERLINK("https://www.dofusbook.net/fr/equipement/5062910-eau-air/objets", "link")</f>
        <v/>
      </c>
      <c r="C18048" t="n">
        <v>1</v>
      </c>
      <c r="D18048" t="inlineStr">
        <is>
          <t>Marteau des Anciens Steamers; Amulette d'Ilyzaelle; Grésilanneau; Alliance Gloursonne; Bouclier d'Ilyzaelle; Ceinture de l'Esprit Salvateur; Casque d'Ilyzaelle; Cape d'Hel Munster; Bottes de l'Esprit Salvateur; Dofus Ocre; Dofus Émeraude; Dofus Ivoire; Dofus Abyssal; Dofus Pourpre; Dofus Ébène; Muldo Ebène et Pourpre</t>
        </is>
      </c>
    </row>
    <row r="18049">
      <c r="A18049" t="inlineStr">
        <is>
          <t>trizo air</t>
        </is>
      </c>
      <c r="B18049">
        <f>HYPERLINK("https://www.dofusbook.net/fr/equipement/3484204-trizo-air/objets", "link")</f>
        <v/>
      </c>
      <c r="C18049" t="n">
        <v>8</v>
      </c>
      <c r="D18049" t="inlineStr">
        <is>
          <t>Manthache; Collier du Valet Veinard; Alliance Gloursonne; Gant du Valet Veinard; Bouclier d'Ilyzaelle; Menoture; Casque Dragoeuf; Cape du Kamasterisk; Palmes Trithons; Dofus Ivoire; Dofus Émeraude; Dofus Ébène; Dofus Ocre; Nomade; Cascadeur majeur; Bwak d'Air</t>
        </is>
      </c>
    </row>
    <row r="18050">
      <c r="A18050" t="inlineStr">
        <is>
          <t>eca full feu</t>
        </is>
      </c>
      <c r="B18050">
        <f>HYPERLINK("https://www.dofusbook.net/fr/equipement/2825934-eca-full-feu/objets", "link")</f>
        <v/>
      </c>
      <c r="C18050" t="n">
        <v>4</v>
      </c>
      <c r="D18050" t="inlineStr">
        <is>
          <t>Arc corrompu; Amulette Volkorne; Anneauræus; Chevalière du Roi Joueur; Bouclier du Stalak; Ceinture Séculaire; Coiffe Séculaire; Cape de Diondin; Bottes Innommables; Dofus Ébène; Dofus Ivoire; Dofus Nébuleux; Remueur; Nomade; Érudit majeur; Pioute rouge</t>
        </is>
      </c>
    </row>
    <row r="18051">
      <c r="A18051" t="inlineStr">
        <is>
          <t>full air</t>
        </is>
      </c>
      <c r="B18051">
        <f>HYPERLINK("https://www.dofusbook.net/fr/equipement/3053807-full-air/objets", "link")</f>
        <v/>
      </c>
      <c r="C18051" t="n">
        <v>2</v>
      </c>
      <c r="D18051" t="inlineStr">
        <is>
          <t>Manthache; Collier du Valet Veinard; Gant du Valet Veinard; Alliance Gloursonne; Bouclier du Stalak; Menoture; Couronne d'Allister; Cape Indescriptible; Palmes Trithons; Dofus Ébène; Dofus Ivoire; Dofus Ocre; Dofus Pourpre; Nomade; Cascadeur majeur; Blérodoudou</t>
        </is>
      </c>
    </row>
    <row r="18052">
      <c r="A18052" t="inlineStr">
        <is>
          <t>Enu air res</t>
        </is>
      </c>
      <c r="B18052">
        <f>HYPERLINK("https://www.dofusbook.net/fr/equipement/2742392-enu-air-res/objets", "link")</f>
        <v/>
      </c>
      <c r="C18052" t="n">
        <v>3</v>
      </c>
      <c r="D18052" t="inlineStr">
        <is>
          <t>Manthache; Collier du Valet Veinard; Alliance Gloursonne; Gant du Valet Veinard; Bouclier du Stalak; Menoture; Couronne d'Allister; Cape du Kamasterisk; Palmes Trithons; Dofus Ocre; Dofus Ivoire; Dofus Vulbis; Dofus Pourpre; Dofus Ébène; Cascadeur majeur; Blérodoudou</t>
        </is>
      </c>
    </row>
    <row r="18053">
      <c r="A18053" t="inlineStr">
        <is>
          <t>iop eau</t>
        </is>
      </c>
      <c r="B18053">
        <f>HYPERLINK("https://www.dofusbook.net/fr/equipement/2892858-iop-eau/objets", "link")</f>
        <v/>
      </c>
      <c r="C18053" t="n">
        <v>1</v>
      </c>
      <c r="D18053" t="inlineStr">
        <is>
          <t>Sceptre du Roi Joueur; Amulette de l'Œil Putride; Alliance Gloursonne; Bracelet des Fonds marins; Bouclier d'Ilyzaelle; Ceinture de l'Esprit Malsain; Kidibonnet; Cape de l'Œil Putride; Bottes de la Dame du Hasard; Dofus Émeraude; Dofus Pourpre; Remueur; Miraculé majeur; Vigoureux majeur; Chanceux majeur; Muldo Ebène</t>
        </is>
      </c>
    </row>
    <row r="18054">
      <c r="A18054" t="inlineStr">
        <is>
          <t>eau tank</t>
        </is>
      </c>
      <c r="B18054">
        <f>HYPERLINK("https://www.dofusbook.net/fr/equipement/5775752-eau-tank/objets", "link")</f>
        <v/>
      </c>
      <c r="C18054" t="n">
        <v>0</v>
      </c>
      <c r="D18054" t="inlineStr">
        <is>
          <t>Sceptre du Roi Joueur; Amulette Volkorne; Alliance Gloursonne; Anneau Volkorne; Bouclier d'Ilyzaelle; Sangle Ouare; Casque Dragoeuf; Cape Solution; Pataugastrique; Dofus Ivoire; Dofus Émeraude; Dofus Abyssal; Dofus Pourpre; Dofus Ébène; Dragodinde Amande et Indigo</t>
        </is>
      </c>
    </row>
    <row r="18055">
      <c r="A18055" t="inlineStr">
        <is>
          <t>Terre air cc</t>
        </is>
      </c>
      <c r="B18055">
        <f>HYPERLINK("https://www.dofusbook.net/fr/equipement/5408736-terre-air-cc/objets", "link")</f>
        <v/>
      </c>
      <c r="C18055" t="n">
        <v>1</v>
      </c>
      <c r="D18055" t="inlineStr">
        <is>
          <t>Baguette de Torkélonia; Amulette du Strigide; Anneau de Padgref; Bracelet du Piloztère; Quatre-feuilles; Ceinture du Strigide; Corne de Torkélonia; Carapace de Torkélonia; Bottes du Strigide; Dofus Turquoise; Dofus Ébène; Dolmanax; Dofus Ocre; Dofus Pourpre; Dofus Ivoire; Sakochère</t>
        </is>
      </c>
    </row>
    <row r="18056">
      <c r="A18056" t="inlineStr">
        <is>
          <t>Bomb-trick retour te</t>
        </is>
      </c>
      <c r="B18056">
        <f>HYPERLINK("https://www.dofusbook.net/fr/equipement/3382166-bomb-trick-retour-te/objets", "link")</f>
        <v/>
      </c>
      <c r="C18056" t="n">
        <v>2</v>
      </c>
      <c r="D18056" t="inlineStr">
        <is>
          <t>Arc du Chalœil; Collier de Tourthon; Bracelet du Piloztère; Anneau de Brouce; Bouclier du Stalak; Ceinture de la Reine des Voleurs; Coiffe de la Reine des Voleurs; Cape du Kamasterisk; Baleinabottes; Dofus Ivoire; Dofus Ébène; Dofus Ocre; Dofus Pourpre; Nomade; Enragé majeur; Bulbisou</t>
        </is>
      </c>
    </row>
    <row r="18057">
      <c r="A18057" t="inlineStr">
        <is>
          <t>Feu ini</t>
        </is>
      </c>
      <c r="B18057">
        <f>HYPERLINK("https://www.dofusbook.net/fr/equipement/4950206-feu-ini/objets", "link")</f>
        <v/>
      </c>
      <c r="C18057" t="n">
        <v>6</v>
      </c>
      <c r="D18057" t="inlineStr">
        <is>
          <t>Arc corrompu; Amulette Séculaire; Anneauræus; Anneauræus; Quatre-feuilles; Ceinture de Gein; Coiffe Séculaire; Cape de Diondin; Bottes Innommables; Dofus Ivoire; Dofus Ébène; Dofus Ocre; Dofus Pourpre; Érudit majeur; Nomade; Bisouglours</t>
        </is>
      </c>
    </row>
    <row r="18058">
      <c r="A18058" t="inlineStr">
        <is>
          <t>Stuff 1</t>
        </is>
      </c>
      <c r="B18058">
        <f>HYPERLINK("https://www.dofusbook.net/fr/equipement/1032851-stuff-1/objets", "link")</f>
        <v/>
      </c>
      <c r="C18058" t="n">
        <v>2</v>
      </c>
      <c r="D18058" t="inlineStr">
        <is>
          <t>Dagoulinantes; Amulette de Shokkoth; Pikano; Bracelet des Fonds marins; Quatre-feuilles; Ceinture du Barbétoal; Kidibonnet; Cape de la Dame du Hasard; Bottes de la Dame du Hasard; Dofus Turquoise; Dofus Pourpre; Vigoureux majeur; Chanceux majeur; Nomade; Remueur; Dragodinde Emeraude et Indigo</t>
        </is>
      </c>
    </row>
    <row r="18059">
      <c r="A18059" t="inlineStr">
        <is>
          <t>Full feu</t>
        </is>
      </c>
      <c r="B18059">
        <f>HYPERLINK("https://www.dofusbook.net/fr/equipement/5453947-full-feu/objets", "link")</f>
        <v/>
      </c>
      <c r="C18059" t="n">
        <v>2</v>
      </c>
      <c r="D18059" t="inlineStr">
        <is>
          <t>Arc corrompu; Amulette Volkorne; Anneauræus; Anneau Rifique; Cadran de Terre; Croture; Casque Cyclopéen; Cape de Diondin; Chaussures Ardentes; Dofus Ébène; Dofus Ocre; Dofus Ivoire; Érudit majeur; Nomade; Dragodinde Orchidée et Rousse</t>
        </is>
      </c>
    </row>
    <row r="18060">
      <c r="A18060" t="inlineStr">
        <is>
          <t>Stuff 3</t>
        </is>
      </c>
      <c r="B18060">
        <f>HYPERLINK("https://www.dofusbook.net/fr/equipement/1032859-stuff-3/objets", "link")</f>
        <v/>
      </c>
      <c r="C18060" t="n">
        <v>3</v>
      </c>
      <c r="D18060" t="inlineStr">
        <is>
          <t>Manthache; Collier du Valet Veinard; Alliance Gloursonne; Gant du Valet Veinard; Cadran d'Air; Menoture; Couronne d'Allister; Cape du Kamasterisk; Palmes Trithons; Dofus Ivoire; Dofus Ébène; Dofus des Glaces; Dofus Ocre; Cascadeur majeur; Nomade; Blérodoudou</t>
        </is>
      </c>
    </row>
    <row r="18061">
      <c r="A18061" t="inlineStr">
        <is>
          <t>Feu eau</t>
        </is>
      </c>
      <c r="B18061">
        <f>HYPERLINK("https://www.dofusbook.net/fr/equipement/5454107-feu-eau/objets", "link")</f>
        <v/>
      </c>
      <c r="C18061" t="n">
        <v>0</v>
      </c>
      <c r="D18061" t="inlineStr">
        <is>
          <t>Pyraguette; Amulette Volkorne; Anneau Volkorne; Alliance du Lévitrof; Ceinture de l'Esprit Malsain; Casqnoar; Cape de Meno; Pataugastrique; Dragodinde Indigo et Orchidée</t>
        </is>
      </c>
    </row>
    <row r="18062">
      <c r="A18062" t="inlineStr">
        <is>
          <t>New roib feu</t>
        </is>
      </c>
      <c r="B18062">
        <f>HYPERLINK("https://www.dofusbook.net/fr/equipement/2676348-new-roib-feu/objets", "link")</f>
        <v/>
      </c>
      <c r="C18062" t="n">
        <v>10</v>
      </c>
      <c r="D18062" t="inlineStr">
        <is>
          <t>Arc corrompu; Amulette Volkorne; Anneauræus; Anneauræus; Bouclier du Stalak; Croture; Casque Cyclopéen; Cape de Diondin; Chaussures Ardentes; Dofus Ébène; Dofus Ivoire; Dofus Ocre; Dofus Pourpre; Érudit majeur; Nomade; Bisouglours</t>
        </is>
      </c>
    </row>
    <row r="18063">
      <c r="A18063" t="inlineStr">
        <is>
          <t>Steam rush</t>
        </is>
      </c>
      <c r="B18063">
        <f>HYPERLINK("https://www.dofusbook.net/fr/equipement/2786636-steam-rush/objets", "link")</f>
        <v/>
      </c>
      <c r="C18063" t="n">
        <v>0</v>
      </c>
      <c r="D18063" t="inlineStr">
        <is>
          <t>Hache du Chalœil; Amulette du Strigide; Anneau de Padgref; Bague Trithon; Quatre-feuilles; Ceinture du Strigide; Masque Trithon; Chevelure de Tal Kasha; Bottes du Strigide; Dofus Pourpre; Dofus des Glaces; Dofus Turquoise; Dofus Nébuleux; Dolmanax; Dofus Ocre; Muldo Prune et Emeraude</t>
        </is>
      </c>
    </row>
    <row r="18064">
      <c r="A18064" t="inlineStr">
        <is>
          <t>osa feu</t>
        </is>
      </c>
      <c r="B18064">
        <f>HYPERLINK("https://www.dofusbook.net/fr/equipement/3315375-osa-feu/objets", "link")</f>
        <v/>
      </c>
      <c r="C18064" t="n">
        <v>1</v>
      </c>
      <c r="D18064" t="inlineStr">
        <is>
          <t>Le Thanos; Amulette Volkorne; Anneau Tique; Anneau de Nidas; Carapar; Ceinture de Vortex; Couronne de Nidas; Cape de Diondin; Bottes Innommables; Dofus Ébène; Dofus Ocre; Dofus Ivoire; Guérisseur majeur; Nomade; Érudit majeur; Dragodinde Orchidée et Rousse</t>
        </is>
      </c>
    </row>
    <row r="18065">
      <c r="A18065" t="inlineStr">
        <is>
          <t>terre air</t>
        </is>
      </c>
      <c r="B18065">
        <f>HYPERLINK("https://www.dofusbook.net/fr/equipement/3994182-terre-air/objets", "link")</f>
        <v/>
      </c>
      <c r="C18065" t="n">
        <v>2</v>
      </c>
      <c r="D18065" t="inlineStr">
        <is>
          <t>Héqache; Amulette Ementaire Deluxe; Bracelet Ventré; Anneau des égarés; Cadran de Terre; Ceinture Volkorne; Casque Volkorne; Cape du Kamasterisk; Baleinabottes; Dolmanax; Dofus Ocre; Dofus Ébène; Dofus Ivoire; Dofus Émeraude; Nomade; Mékrabe</t>
        </is>
      </c>
    </row>
    <row r="18066">
      <c r="A18066" t="inlineStr">
        <is>
          <t>pvpm</t>
        </is>
      </c>
      <c r="B18066">
        <f>HYPERLINK("https://www.dofusbook.net/fr/equipement/2063806-pvpm/objets", "link")</f>
        <v/>
      </c>
      <c r="C18066" t="n">
        <v>11</v>
      </c>
      <c r="D18066" t="inlineStr">
        <is>
          <t>Arc de Koutoulou; Amulette d'Ilyzaelle; Grésilanneau; Alliance Gloursonne; Cadran d'Air; Ceinture du Barbétoal; Casque d'Ilyzaelle; Cape Matelassée; Bottes de l'Esprit Salvateur; Dolmanax; Dofus Pourpre; Dofus Vulbis; Dofus Ébène; Dofus Ivoire; Dofus Ocre; Bwak d'Eau</t>
        </is>
      </c>
    </row>
    <row r="18067">
      <c r="A18067" t="inlineStr">
        <is>
          <t>terre feu seb</t>
        </is>
      </c>
      <c r="B18067">
        <f>HYPERLINK("https://www.dofusbook.net/fr/equipement/4994453-terre-feu-seb/objets", "link")</f>
        <v/>
      </c>
      <c r="C18067" t="n">
        <v>2</v>
      </c>
      <c r="D18067" t="inlineStr">
        <is>
          <t>Dagues Érhy; Amulette Volkorne; Chevalière du Roi Joueur; Anneau Chevelu; Quatre-feuilles; Ceinture Volkorne; Couronne du Roi Joueur; Cape au Logis; Bottes du Roi Joueur; Dofus Turquoise; Dofus des Glaces; Dofus Abyssal; Dofus Ocre; Dofus Pourpre; Dofus Ivoire; Gwo Tofu Ventripotent</t>
        </is>
      </c>
    </row>
    <row r="18068">
      <c r="A18068" t="inlineStr">
        <is>
          <t>Malediction vaudou</t>
        </is>
      </c>
      <c r="B18068">
        <f>HYPERLINK("https://www.dofusbook.net/fr/equipement/3237109-malediction-vaudou/objets", "link")</f>
        <v/>
      </c>
      <c r="C18068" t="n">
        <v>60</v>
      </c>
      <c r="D18068" t="inlineStr">
        <is>
          <t>Arc Honte; Amulette de l'Œil Putride; Bague Gloursonne; Alliance Gloursonne; Bouclier du Stalak; Ceinture de l'Esprit Salvateur; Masque de l'Esprit Salvateur; Cape de l'Œil Putride; Bottes de l'Esprit Salvateur; Dolmanax; Dofus des Glaces; Dofus Ébène; Dofus Vulbis; Dofus Ivoire; Dofus Ocre; Gwo Tofu Ventripotent</t>
        </is>
      </c>
    </row>
    <row r="18069">
      <c r="A18069" t="inlineStr">
        <is>
          <t>Air tank</t>
        </is>
      </c>
      <c r="B18069">
        <f>HYPERLINK("https://www.dofusbook.net/fr/equipement/5002723-air-tank/objets", "link")</f>
        <v/>
      </c>
      <c r="C18069" t="n">
        <v>1</v>
      </c>
      <c r="D18069" t="inlineStr">
        <is>
          <t>Manthache; Collier du Valet Veinard; Alliance Gloursonne; Gant du Valet Veinard; Bouclier d'Ilyzaelle; Menoture; Casque Dragoeuf; Cape du Kamasterisk; Palmes Trithons; Dofus Pourpre; Dofus Ébène; Dofus Ocre; Dofus Abyssal; Dofus Émeraude; Dofus Ivoire; Muldo Ebène</t>
        </is>
      </c>
    </row>
    <row r="18070">
      <c r="A18070" t="inlineStr">
        <is>
          <t>Multi do crit pour p</t>
        </is>
      </c>
      <c r="B18070">
        <f>HYPERLINK("https://www.dofusbook.net/fr/equipement/4720486-multi-do-crit-pour-p/objets", "link")</f>
        <v/>
      </c>
      <c r="C18070" t="n">
        <v>12</v>
      </c>
      <c r="D18070" t="inlineStr">
        <is>
          <t>Arc Nécrotique; Amulette Volkorne; Bracelet du Piloztère; Anneau Volkorne; Quatre-feuilles; Ceinture Volkorne; Casque du Chalœil; Cape du Chalœil; Bottes du Chalœil; Dofus Ocre; Dolmanax; Dofus Turquoise; Dofus Pourpre; Dofus des Glaces; Dofus Ivoire; Kramkram</t>
        </is>
      </c>
    </row>
    <row r="18071">
      <c r="A18071" t="inlineStr">
        <is>
          <t>Feu ini soin</t>
        </is>
      </c>
      <c r="B18071">
        <f>HYPERLINK("https://www.dofusbook.net/fr/equipement/4952622-feu-ini-soin/objets", "link")</f>
        <v/>
      </c>
      <c r="C18071" t="n">
        <v>4</v>
      </c>
      <c r="D18071" t="inlineStr">
        <is>
          <t>Arc Hétype; Amulette Volkorne; Anneauræus; Anneauræus; Ceinture Séculaire; Coiffe Séculaire; Cape de Diondin; Bottes Innommables; Dofus Émeraude; Érudit majeur; Nomade; Carapace Feu majeur; Remueur; Tofu Givré</t>
        </is>
      </c>
    </row>
    <row r="18072">
      <c r="A18072" t="inlineStr">
        <is>
          <t>Terre air pelle</t>
        </is>
      </c>
      <c r="B18072">
        <f>HYPERLINK("https://www.dofusbook.net/fr/equipement/4896285-terre-air-pelle/objets", "link")</f>
        <v/>
      </c>
      <c r="C18072" t="n">
        <v>2</v>
      </c>
      <c r="D18072" t="inlineStr">
        <is>
          <t>Spatule Tranche-Gourmands; Amulette du Strigide; Bracelet du Piloztère; Bague Trithon; Bouclier du Captain Amakna; Ceinture du Strigide; Masque Trithon; Cape de la Fuji Givrefoux; Bottes Trithon; Dofus Pourpre; Dofus Ivoire; Dofus Turquoise; Dofus des Glaces; Dolmanax; Dofus Ocre; Kokulte</t>
        </is>
      </c>
    </row>
    <row r="18073">
      <c r="A18073" t="inlineStr">
        <is>
          <t>Full terre</t>
        </is>
      </c>
      <c r="B18073">
        <f>HYPERLINK("https://www.dofusbook.net/fr/equipement/4550324-full-terre/objets", "link")</f>
        <v/>
      </c>
      <c r="C18073" t="n">
        <v>3</v>
      </c>
      <c r="D18073" t="inlineStr">
        <is>
          <t>Arc du Chalœil; Amulette Volkorne; Bracelet du Piloztère; Anneau de Brouce; Quatre-feuilles; Ceinture Volkorne; Masque de Koutoulou; Cape au Logis; Bottes de Brouce; Dofus des Glaces; Dofus Pourpre; Dofus Ivoire; Dofus Turquoise; Dofus Ocre; Enragé majeur; Bulbisou</t>
        </is>
      </c>
    </row>
    <row r="18074">
      <c r="A18074" t="inlineStr">
        <is>
          <t>Pour Jess</t>
        </is>
      </c>
      <c r="B18074">
        <f>HYPERLINK("https://www.dofusbook.net/fr/equipement/4791975-pour-jess-/objets", "link")</f>
        <v/>
      </c>
      <c r="C18074" t="n">
        <v>10</v>
      </c>
      <c r="D18074" t="inlineStr">
        <is>
          <t>Arc corrompu; Pendentif mignon de Koutoulou; Anneau Rifique; Anneauræus; Cadran de Terre; Ceinture de Vortex; Casque Dragoeuf; Cape de Diondin; Bottes Innommables; Dofus Abyssal; Dofus Ivoire; Remueur; Érudit majeur; Nomade; Étourdisseur majeur; Ross</t>
        </is>
      </c>
    </row>
    <row r="18075">
      <c r="A18075" t="inlineStr">
        <is>
          <t>Multi cc pour Paul 2</t>
        </is>
      </c>
      <c r="B18075">
        <f>HYPERLINK("https://www.dofusbook.net/fr/equipement/4723356-multi-cc-pour-paul-2/objets", "link")</f>
        <v/>
      </c>
      <c r="C18075" t="n">
        <v>0</v>
      </c>
      <c r="D18075" t="inlineStr">
        <is>
          <t>Hache du Chalœil; Amulette du Strigide; Bracelet du Piloztère; Bague Trithon; Quatre-feuilles; Ceintacé; Masque Trithon; Voile d'encre; Bottes du Chalœil; Dolmanax; Dofus Pourpre; Dofus Abyssal; Dofus Turquoise; Observateur; Remueur; Muldo Prune et Emeraude</t>
        </is>
      </c>
    </row>
    <row r="18076">
      <c r="A18076" t="inlineStr">
        <is>
          <t>Osamodas M 200</t>
        </is>
      </c>
      <c r="B18076">
        <f>HYPERLINK("https://www.dofusbook.net/fr/equipement/3279191-osamodas-m-200/objets", "link")</f>
        <v/>
      </c>
      <c r="C18076" t="n">
        <v>1</v>
      </c>
      <c r="D18076" t="inlineStr">
        <is>
          <t>Lav'Hache; Amulette Héroclite; Pikano; Anneau Chevelu; Bouclier d'Ilyzaelle; Ceinture Volkorne; Casque Dragoeuf; Cape au Logis; Sabots Minables; Dokoko; Dofus Émeraude; Miraculé majeur; Enragé majeur; Remueur; Dragodinde Dorée et Pourpre</t>
        </is>
      </c>
    </row>
    <row r="18077">
      <c r="A18077" t="inlineStr">
        <is>
          <t>enu opti</t>
        </is>
      </c>
      <c r="B18077">
        <f>HYPERLINK("https://www.dofusbook.net/fr/equipement/2802622-enu-opti/objets", "link")</f>
        <v/>
      </c>
      <c r="C18077" t="n">
        <v>3</v>
      </c>
      <c r="D18077" t="inlineStr">
        <is>
          <t>Plume de Buhorado; Collier du Valet Veinard; Gant du Valet Veinard; Alliance Gloursonne; Bouclier du Stalak; Menoture; Couronne d'Allister; Cape du Kamasterisk; Palmes Trithons; Dofus Pourpre; Cascadeur majeur; Remueur; Étourdisseur majeur; Miraculé majeur; Vigoureux majeur; Koalak Sanguin</t>
        </is>
      </c>
    </row>
    <row r="18078">
      <c r="A18078" t="inlineStr">
        <is>
          <t>terre air cc</t>
        </is>
      </c>
      <c r="B18078">
        <f>HYPERLINK("https://www.dofusbook.net/fr/equipement/3022767-terre-air-cc/objets", "link")</f>
        <v/>
      </c>
      <c r="C18078" t="n">
        <v>1</v>
      </c>
      <c r="D18078" t="inlineStr">
        <is>
          <t>Héqache; Amulette du Cœur Vaillant; Anneau Chevelu; Bracelet du Piloztère; Bouclier Taverne; Ceintouse; Casque des égarés; Cape du Cœur Vaillant; Baleinabottes; Dofus Pourpre; Dofus Turquoise; Dofus des Glaces; Étourdisseur majeur; Remueur</t>
        </is>
      </c>
    </row>
    <row r="18079">
      <c r="A18079" t="inlineStr">
        <is>
          <t>feu air do cri</t>
        </is>
      </c>
      <c r="B18079">
        <f>HYPERLINK("https://www.dofusbook.net/fr/equipement/4614982-feu-air-do-cri/objets", "link")</f>
        <v/>
      </c>
      <c r="C18079" t="n">
        <v>4</v>
      </c>
      <c r="D18079" t="inlineStr">
        <is>
          <t>Arc Volkorne; Amulette du Strigide; Anneau de Padgref; Bracelet du Piloztère; Quatre-feuilles; Ceinture du Strigide; Chapeau Lisson; Cape des Justiciers; Bottes Honyme; Dofus Pourpre; Dofus Turquoise; Nomade; Remueur; Miraculé majeur; Vigoureux majeur; Muldo Prune et Emeraude</t>
        </is>
      </c>
    </row>
    <row r="18080">
      <c r="A18080" t="inlineStr">
        <is>
          <t>terre</t>
        </is>
      </c>
      <c r="B18080">
        <f>HYPERLINK("https://www.dofusbook.net/fr/equipement/4650975-terre-/objets", "link")</f>
        <v/>
      </c>
      <c r="C18080" t="n">
        <v>3</v>
      </c>
      <c r="D18080" t="inlineStr">
        <is>
          <t>Arc du Chalœil; Amulette Héroclite; Anneau Chevelu; Bracelet du Piloztère; Quatre-feuilles; Ceinture Volkorne; Masque de Koutoulou; Cape au Logis; Chaussons de Macrab; Dofus Ivoire; Dofus Ocre; Dofus Pourpre; Dofus Turquoise; Dofus des Glaces; Enragé majeur; Pioute vert</t>
        </is>
      </c>
    </row>
    <row r="18081">
      <c r="A18081" t="inlineStr">
        <is>
          <t>terre</t>
        </is>
      </c>
      <c r="B18081">
        <f>HYPERLINK("https://www.dofusbook.net/fr/equipement/3177261-terre/objets", "link")</f>
        <v/>
      </c>
      <c r="C18081" t="n">
        <v>5</v>
      </c>
      <c r="D18081" t="inlineStr">
        <is>
          <t>Arc du Chalœil; Amulette Héroclite; Anneau Chevelu; Chevalière du Roi Joueur; Quatre-feuilles; Ceinture Gence; Chapeau de Gein; Cape au Logis; Bottes du Roi Joueur; Dofus Nébuleux; Dofus des Glaces; Dofus Pourpre; Dofus Turquoise; Enragé majeur; Remueur; Pioute vert</t>
        </is>
      </c>
    </row>
    <row r="18082">
      <c r="A18082" t="inlineStr">
        <is>
          <t>Multi cc</t>
        </is>
      </c>
      <c r="B18082">
        <f>HYPERLINK("https://www.dofusbook.net/fr/equipement/4642020-multi-cc/objets", "link")</f>
        <v/>
      </c>
      <c r="C18082" t="n">
        <v>2</v>
      </c>
      <c r="D18082" t="inlineStr">
        <is>
          <t>Baguette Range; Amulette du Strigide; Anneau de Padgref; Bague Gloursonne; Quatre-feuilles; Ceinture du Strigide; Coiffe de Padgref; Cape de Léthaline; Getas de Padgref; Dofus Ocre; Dofus Pourpre; Dofus des Glaces; Dofus Turquoise; Dofus Nébuleux; Entraveur majeur; Volkorne Turquoise</t>
        </is>
      </c>
    </row>
    <row r="18083">
      <c r="A18083" t="inlineStr">
        <is>
          <t>Multi</t>
        </is>
      </c>
      <c r="B18083">
        <f>HYPERLINK("https://www.dofusbook.net/fr/equipement/4198197-multi/objets", "link")</f>
        <v/>
      </c>
      <c r="C18083" t="n">
        <v>3</v>
      </c>
      <c r="D18083" t="inlineStr">
        <is>
          <t>Arc Nécrotique; Amulette Volkorne; Anneau Volkorne; Bague Trithon; Quatre-feuilles; Ceinture Volkorne; Masque Trithon; Cape de la Dame du Hasard; Bottes Trithon; Dofus Turquoise; Dofus Nébuleux; Dofus Ocre; Dofus Ivoire; Dofus Pourpre; Dofus des Glaces; Sakochère</t>
        </is>
      </c>
    </row>
    <row r="18084">
      <c r="A18084" t="inlineStr">
        <is>
          <t>multi pour rak 2</t>
        </is>
      </c>
      <c r="B18084">
        <f>HYPERLINK("https://www.dofusbook.net/fr/equipement/3382690-multi-pour-rak-2/objets", "link")</f>
        <v/>
      </c>
      <c r="C18084" t="n">
        <v>19</v>
      </c>
      <c r="D18084" t="inlineStr">
        <is>
          <t>Hache du Chalœil; Amulette du Strigide; Bague Trithon; Bracelet du Piloztère; Quatre-feuilles; Ceinture du Strigide; Masque Trithon; Cape de la Dame du Hasard; Bottes Trithon; Dolmanax; Dofus Ocre; Dofus Pourpre; Dofus Turquoise; Dofus Nébuleux; Voyageur; Kokulte</t>
        </is>
      </c>
    </row>
    <row r="18085">
      <c r="A18085" t="inlineStr">
        <is>
          <t>full terre</t>
        </is>
      </c>
      <c r="B18085">
        <f>HYPERLINK("https://www.dofusbook.net/fr/equipement/3187722-full-terre/objets", "link")</f>
        <v/>
      </c>
      <c r="C18085" t="n">
        <v>2</v>
      </c>
      <c r="D18085" t="inlineStr">
        <is>
          <t>Arc du Chalœil; Amulette Héroclite; Bracelet du Piloztère; Anneau Chevelu; Quatre-feuilles; Ceinture Gence; Couronne du Roi Joueur; Cape au Logis; Bottes du Roi Joueur; Dofus Turquoise; Dofus Nébuleux; Dofus Pourpre; Nomade; Enragé majeur; Remueur; Pioute vert</t>
        </is>
      </c>
    </row>
    <row r="18086">
      <c r="A18086" t="inlineStr">
        <is>
          <t>Full terre</t>
        </is>
      </c>
      <c r="B18086">
        <f>HYPERLINK("https://www.dofusbook.net/fr/equipement/4567195-full-terre/objets", "link")</f>
        <v/>
      </c>
      <c r="C18086" t="n">
        <v>0</v>
      </c>
      <c r="D18086" t="inlineStr">
        <is>
          <t>Arc du Chalœil; Amulette du Strigide; Bracelet du Piloztère; Anneau Chevelu; Bouclier du Stalak; Ceinture Volkorne; Masque de Koutoulou; Cape au Logis; Bottes du Strigide; Dofus Turquoise; Dofus Nébuleux; Dofus Pourpre; Dofus Abyssal; Enragé majeur; Remueur; Pioute vert</t>
        </is>
      </c>
    </row>
    <row r="18087">
      <c r="A18087" t="inlineStr">
        <is>
          <t>glour rdv</t>
        </is>
      </c>
      <c r="B18087">
        <f>HYPERLINK("https://www.dofusbook.net/fr/equipement/2984091-glour-rdv/objets", "link")</f>
        <v/>
      </c>
      <c r="C18087" t="n">
        <v>3</v>
      </c>
      <c r="D18087" t="inlineStr">
        <is>
          <t>Epée Gloursonne; Amulette du Kamasterisk; Alliance Gloursonne; Bague Gloursonne; Bouclier cubiste; Ceinture de la Reine des Voleurs; Coiffe de la Reine des Voleurs; Cape du Kamasterisk; Bottes de la Reine des Voleurs; Dofus Vulbis; Dofus des Glaces; Dofus Ivoire; Dofus Pourpre; Dolmanax; Dofus Ocre; Kramkram</t>
        </is>
      </c>
    </row>
    <row r="18088">
      <c r="A18088" t="inlineStr">
        <is>
          <t>terre ret pa</t>
        </is>
      </c>
      <c r="B18088">
        <f>HYPERLINK("https://www.dofusbook.net/fr/equipement/3241531-terre-ret-pa/objets", "link")</f>
        <v/>
      </c>
      <c r="C18088" t="n">
        <v>4</v>
      </c>
      <c r="D18088" t="inlineStr">
        <is>
          <t>Lav'Hache; Amulette du Cœur Vaillant; Anneau Crustique; Anneau Crustique; Sept ans de malheur; Ceintouse; Masque de Koutoulou; Cape au Logis; Tentassons; Dofus Ivoire; Dofus Émeraude; Dofus Pourpre; Dofus des Glaces; Étourdisseur majeur; Remueur; Drakopin</t>
        </is>
      </c>
    </row>
    <row r="18089">
      <c r="A18089" t="inlineStr">
        <is>
          <t>Full soin</t>
        </is>
      </c>
      <c r="B18089">
        <f>HYPERLINK("https://www.dofusbook.net/fr/equipement/3476740-full-soin/objets", "link")</f>
        <v/>
      </c>
      <c r="C18089" t="n">
        <v>7</v>
      </c>
      <c r="D18089" t="inlineStr">
        <is>
          <t>Baguette de Malléfisk; Pendentif affamé; Anneauræus; Anneauræus; Cadran de Feu; Ceinture Séculaire; Coiffe Séculaire; Cape de Diondin; Bottes Innommables; Nomade; Miraculé majeur; Remueur; Érudit majeur; Déserteur majeur; Guérisseur majeur; Bwak de Feu</t>
        </is>
      </c>
    </row>
    <row r="18090">
      <c r="A18090" t="inlineStr">
        <is>
          <t>Terre</t>
        </is>
      </c>
      <c r="B18090">
        <f>HYPERLINK("https://www.dofusbook.net/fr/equipement/4220258-terre/objets", "link")</f>
        <v/>
      </c>
      <c r="C18090" t="n">
        <v>9</v>
      </c>
      <c r="D18090" t="inlineStr">
        <is>
          <t>Marteau R'ture; Collier de Tourthon; Anneau de Brouce; Anneau du Comte Harebourg; Bouclier du Stalak; Ceinture de Brouce; Coiffe du Comte Harebourg; Cape au Logis; Bottes de Brouce; Dofus Ocre; Dofus des Glaces; Dofus Pourpre; Dofus Nébuleux; Furibond majeur; Forcené majeur; Bulbisou</t>
        </is>
      </c>
    </row>
    <row r="18091">
      <c r="A18091" t="inlineStr">
        <is>
          <t>Multi cc</t>
        </is>
      </c>
      <c r="B18091">
        <f>HYPERLINK("https://www.dofusbook.net/fr/equipement/4243889-multi-cc-/objets", "link")</f>
        <v/>
      </c>
      <c r="C18091" t="n">
        <v>6</v>
      </c>
      <c r="D18091" t="inlineStr">
        <is>
          <t>Hache du Chalœil; Amulette du Strigide; Alliance Gloursonne; Bracelet du Piloztère; Quatre-feuilles; Ceinture du Strigide; Chapeau Lisson; Voile d'encre; Bottes Honyme; Dofus Pourpre; Dofus Turquoise; Dolmanax; Nomade; Remueur; Vigoureux majeur; Kokulte</t>
        </is>
      </c>
    </row>
    <row r="18092">
      <c r="A18092" t="inlineStr">
        <is>
          <t>Opti pvp</t>
        </is>
      </c>
      <c r="B18092">
        <f>HYPERLINK("https://www.dofusbook.net/fr/equipement/3592261-opti-pvp/objets", "link")</f>
        <v/>
      </c>
      <c r="C18092" t="n">
        <v>76</v>
      </c>
      <c r="D18092" t="inlineStr">
        <is>
          <t>Hache du Korriandre; Amulette d'Ilyzaelle; Alliance Gloursonne; Grésilanneau; Bouclier d'Ilyzaelle; Ceinture du Barbétoal; Casque d'Ilyzaelle; Chevelure de Tal Kasha; Sandales de Tal Kasha; Dofus Émeraude; Dofus des Glaces; Dofus Pourpre; Dofus Abyssal; Dofus Ocre; Dofus Ivoire; Muldo Ebène</t>
        </is>
      </c>
    </row>
    <row r="18093">
      <c r="A18093" t="inlineStr">
        <is>
          <t>Ecaflip M 200</t>
        </is>
      </c>
      <c r="B18093">
        <f>HYPERLINK("https://www.dofusbook.net/fr/equipement/4189504-ecaflip-m-200/objets", "link")</f>
        <v/>
      </c>
      <c r="C18093" t="n">
        <v>0</v>
      </c>
      <c r="D18093" t="inlineStr">
        <is>
          <t>Arc du Chalœil; Amulette du Strigide; Bracelet du Piloztère; Anneau de Brouce; Bouclier du Stalak; Ceinture du Strigide; Masque de Koutoulou; Cape au Logis; Sabots Minables; Dolmanax; Dofus Pourpre; Enragé majeur; Remueur; Vigoureux majeur; Nomade; Pioute vert</t>
        </is>
      </c>
    </row>
    <row r="18094">
      <c r="A18094" t="inlineStr">
        <is>
          <t>Pandawa M 200</t>
        </is>
      </c>
      <c r="B18094">
        <f>HYPERLINK("https://www.dofusbook.net/fr/equipement/3287495-pandawa-m-200/objets", "link")</f>
        <v/>
      </c>
      <c r="C18094" t="n">
        <v>0</v>
      </c>
      <c r="D18094" t="inlineStr">
        <is>
          <t>Dagues du Dragoeuf; Amulette du Strigide; Grésilanneau; Bracelet du Piloztère; Bouclier du Stalak; Ceinture du Strigide; Chapeau Lisson; Cape au Logis; Sabots Minables; Dofus Pourpre; Remueur; Enragé majeur; Nomade; Vigoureux majeur; Miraculé majeur; Chacha Angora</t>
        </is>
      </c>
    </row>
    <row r="18095">
      <c r="A18095" t="inlineStr">
        <is>
          <t>eau paul</t>
        </is>
      </c>
      <c r="B18095">
        <f>HYPERLINK("https://www.dofusbook.net/fr/equipement/4172710-eau-paul/objets", "link")</f>
        <v/>
      </c>
      <c r="C18095" t="n">
        <v>0</v>
      </c>
      <c r="D18095" t="inlineStr">
        <is>
          <t>Baguette Hique; Amulette de l'Œil Attentif; Alliance Gloursonne; Bracelet des Fonds marins; Quatre-feuilles; Pagne du Rykaon; Kidibonnet; Cape de la Dame du Hasard; Bottes de la Dame du Hasard; Dofus Pourpre; Dofus Abyssal; Dofus Turquoise; Remueur; Nomade; Chanceux majeur; Pioute bleu</t>
        </is>
      </c>
    </row>
    <row r="18096">
      <c r="A18096" t="inlineStr">
        <is>
          <t>multi</t>
        </is>
      </c>
      <c r="B18096">
        <f>HYPERLINK("https://www.dofusbook.net/fr/equipement/4030964-multi/objets", "link")</f>
        <v/>
      </c>
      <c r="C18096" t="n">
        <v>3</v>
      </c>
      <c r="D18096" t="inlineStr">
        <is>
          <t>Dagues Érhy; Amulette Ementaire Deluxe; Anneau Volkorne; Alliance du Lévitrof; Bouclier cubiste; Ceinture Volkorne; Casque Volkorne; Cape des Justiciers; Bottes du Lévitrof; Dofus Abyssal; Dofus Ocre; Dofus Émeraude; Dofus des Glaces; Dolmanax; Dofus Ivoire; Dragodinde Ebène et Orchidée</t>
        </is>
      </c>
    </row>
    <row r="18097">
      <c r="A18097" t="inlineStr">
        <is>
          <t>Osamodas M 200</t>
        </is>
      </c>
      <c r="B18097">
        <f>HYPERLINK("https://www.dofusbook.net/fr/equipement/3994023-osamodas-m-200/objets", "link")</f>
        <v/>
      </c>
      <c r="C18097" t="n">
        <v>1</v>
      </c>
      <c r="D18097" t="inlineStr">
        <is>
          <t>Arc de Koutoulou; Amulette d'Ilyzaelle; Alliance Gloursonne; Anneau Volkorne; Cadran de Terre; Sangle Ouare; Casque Volkorne; Cape Tif; Bottes de la Reine des Voleurs; Dofus Ivoire; Dofus Ocre; Dofus des Glaces; Dolmanax; Remueur; Miraculé majeur; Mini Wa</t>
        </is>
      </c>
    </row>
    <row r="18098">
      <c r="A18098" t="inlineStr">
        <is>
          <t>feu seb</t>
        </is>
      </c>
      <c r="B18098">
        <f>HYPERLINK("https://www.dofusbook.net/fr/equipement/4134587-feu-seb/objets", "link")</f>
        <v/>
      </c>
      <c r="C18098" t="n">
        <v>0</v>
      </c>
      <c r="D18098" t="inlineStr">
        <is>
          <t>Arc corrompu; Amulette Séculaire; Anneau Tique; Anneau de Nidas; Cadran de Terre; Ceinture de Vortex; Coiffe Séculaire; Cape Martegel; Pataugastrique; Remueur; Érudit majeur; Nomade; Étourdisseur majeur; Miraculé majeur; Bisouglours</t>
        </is>
      </c>
    </row>
    <row r="18099">
      <c r="A18099" t="inlineStr">
        <is>
          <t>Elio terre pour ami</t>
        </is>
      </c>
      <c r="B18099">
        <f>HYPERLINK("https://www.dofusbook.net/fr/equipement/4133932-elio-terre-pour-ami/objets", "link")</f>
        <v/>
      </c>
      <c r="C18099" t="n">
        <v>3</v>
      </c>
      <c r="D18099" t="inlineStr">
        <is>
          <t>Arc du Chalœil; Collier de Tourthon; Bracelet du Piloztère; Anneau de Brouce; Bouclier du Stalak; Ceinture de la Reine des Voleurs; Coiffe de la Reine des Voleurs; Cape au Logis; Sabots Minables; Dofus Abyssal; Dofus Nébuleux; Dofus Pourpre; Enragé majeur; Vigoureux majeur; Remueur; Bulbisou</t>
        </is>
      </c>
    </row>
    <row r="18100">
      <c r="A18100" t="inlineStr">
        <is>
          <t>Crâ M 200</t>
        </is>
      </c>
      <c r="B18100">
        <f>HYPERLINK("https://www.dofusbook.net/fr/equipement/4127696-cra-m-200/objets", "link")</f>
        <v/>
      </c>
      <c r="C18100" t="n">
        <v>3</v>
      </c>
      <c r="D18100" t="inlineStr">
        <is>
          <t>Dagues du Dragoeuf; Amulette du Strigide; Pikano; Bracelet du Piloztère; Quatre-feuilles; Ceinture du Strigide; Chapeau Lisson; Cape des Justiciers; Bottes du Chalœil; Dofus Pourpre; Dofus Turquoise; Remueur; Nomade; Érudit majeur; Vigoureux majeur; Muldo Prune et Emeraude</t>
        </is>
      </c>
    </row>
    <row r="18101">
      <c r="A18101" t="inlineStr">
        <is>
          <t>Full feu</t>
        </is>
      </c>
      <c r="B18101">
        <f>HYPERLINK("https://www.dofusbook.net/fr/equipement/4107353-full-feu/objets", "link")</f>
        <v/>
      </c>
      <c r="C18101" t="n">
        <v>1</v>
      </c>
      <c r="D18101" t="inlineStr">
        <is>
          <t>Massier; Pendentif affamé; Anneauræus; Anneauræus; Bouclier du Cycloïde; Ceinture Séculaire; Coiffe Séculaire; Cape de Diondin; Bottes Innommables; Savant majeur; Érudit majeur; Nomade; Astucieux majeur; Remueur; Guérisseur majeur; Dragodinde Orchidée et Rousse</t>
        </is>
      </c>
    </row>
    <row r="18102">
      <c r="A18102" t="inlineStr">
        <is>
          <t>Terre feu seb</t>
        </is>
      </c>
      <c r="B18102">
        <f>HYPERLINK("https://www.dofusbook.net/fr/equipement/3940966-terre-feu-seb/objets", "link")</f>
        <v/>
      </c>
      <c r="C18102" t="n">
        <v>4</v>
      </c>
      <c r="D18102" t="inlineStr">
        <is>
          <t>Bâthon; Amulette Volkorne; Anneau Volkorne; Chevalière du Roi Joueur; Cadran de Terre; Ceinture de l'Esprit Salvateur; Masque de l'Esprit Salvateur; Cape au Logis; Bottes de l'Esprit Salvateur; Dolmanax; Dofus des Glaces; Dofus Pourpre; Dofus Abyssal; Dofus Émeraude; Dofus Ocre; Léopardo</t>
        </is>
      </c>
    </row>
    <row r="18103">
      <c r="A18103" t="inlineStr">
        <is>
          <t>Terre feu</t>
        </is>
      </c>
      <c r="B18103">
        <f>HYPERLINK("https://www.dofusbook.net/fr/equipement/3842493-terre-feu/objets", "link")</f>
        <v/>
      </c>
      <c r="C18103" t="n">
        <v>6</v>
      </c>
      <c r="D18103" t="inlineStr">
        <is>
          <t>Hache Téroïde; Amulette du Strigide; Bague Gloursonne; Chevalière du Roi Joueur; Bouclier Taverne; Ceinture du Strigide; Chapeau de Gein; Cape au Logis; Bottes Honyme; Dofus Turquoise; Dofus Pourpre; Carapace Terre majeur; Remueur; Vigoureux majeur; Kokulte</t>
        </is>
      </c>
    </row>
    <row r="18104">
      <c r="A18104" t="inlineStr">
        <is>
          <t>Stuff 3</t>
        </is>
      </c>
      <c r="B18104">
        <f>HYPERLINK("https://www.dofusbook.net/fr/equipement/1032842-stuff-3/objets", "link")</f>
        <v/>
      </c>
      <c r="C18104" t="n">
        <v>1</v>
      </c>
      <c r="D18104" t="inlineStr">
        <is>
          <t>Manthache; Collier du Valet Veinard; Gant du Valet Veinard; Alliance Gloursonne; Bouclier du Stalak; Menoture; Couronne d'Allister; Cape Indescriptible; Palmes Trithons; Dofus Nébuleux; Dofus des Glaces; Dofus Ivoire; Cascadeur majeur; Remueur; Nomade; Blérodoudou</t>
        </is>
      </c>
    </row>
    <row r="18105">
      <c r="A18105" t="inlineStr">
        <is>
          <t>bomb-trick de retour</t>
        </is>
      </c>
      <c r="B18105">
        <f>HYPERLINK("https://www.dofusbook.net/fr/equipement/3382108-bomb-trick-de-retour/objets", "link")</f>
        <v/>
      </c>
      <c r="C18105" t="n">
        <v>6</v>
      </c>
      <c r="D18105" t="inlineStr">
        <is>
          <t>Sceptre du Roi Joueur; Amulette de Shokkoth; Alliance Gloursonne; Bracelet des Fonds marins; Bouclier du Stalak; Ceinture de la Reine des Voleurs; Capuche de l'Œil Attentif; Cape Solution; Bottes de la Reine des Voleurs; Dofus Ivoire; Dofus des Glaces; Nomade; Chanceux majeur; Dévastateur Eau majeur; Remueur; Kanigloups</t>
        </is>
      </c>
    </row>
    <row r="18106">
      <c r="A18106" t="inlineStr">
        <is>
          <t>Full air cc</t>
        </is>
      </c>
      <c r="B18106">
        <f>HYPERLINK("https://www.dofusbook.net/fr/equipement/3089169-full-air-cc/objets", "link")</f>
        <v/>
      </c>
      <c r="C18106" t="n">
        <v>0</v>
      </c>
      <c r="D18106" t="inlineStr">
        <is>
          <t>Hachoirs de Viandargh; Amulette du Strigide; Alliance Gloursonne; Anneau de Padgref; Bouclier du Captain Amakna; Menoture; Chapeau de Tournoyé; Chevelure de Tal Kasha; Sandales de Tal Kasha; Dofus Nébuleux; Dofus Turquoise; Dofus des Glaces; Nomade; Remueur; Cascadeur majeur; Siroko</t>
        </is>
      </c>
    </row>
    <row r="18107">
      <c r="A18107" t="inlineStr">
        <is>
          <t>Seb kolirush</t>
        </is>
      </c>
      <c r="B18107">
        <f>HYPERLINK("https://www.dofusbook.net/fr/equipement/3634922-seb-kolirush/objets", "link")</f>
        <v/>
      </c>
      <c r="C18107" t="n">
        <v>6</v>
      </c>
      <c r="D18107" t="inlineStr">
        <is>
          <t>Hache du Chalœil; Amulette du Strigide; Bracelet du Piloztère; Pikano; Bouclier Taverne; Ceinture du Strigide; Casque du Chalœil; Voile d'encre; Bottes Honyme; Dofus Nébuleux; Dofus Turquoise; Remueur; Miraculé majeur; Vigoureux majeur; Nomade; Kramkram</t>
        </is>
      </c>
    </row>
    <row r="18108">
      <c r="A18108" t="inlineStr">
        <is>
          <t>full dofus crit</t>
        </is>
      </c>
      <c r="B18108">
        <f>HYPERLINK("https://www.dofusbook.net/fr/equipement/3454914-full-dofus-crit/objets", "link")</f>
        <v/>
      </c>
      <c r="C18108" t="n">
        <v>2</v>
      </c>
      <c r="D18108" t="inlineStr">
        <is>
          <t>Hache du Chalœil; Amulette du Strigide; Bague Trithon; Pikano; Quatre-feuilles; Ceinture du Strigide; Masque Trithon; Cape de la Dame du Hasard; Bottes Trithon; Dofus Turquoise; Dofus Abyssal; Dolmanax; Dofus Ocre; Dofus Pourpre; Dofus des Glaces; Muldo Prune et Emeraude</t>
        </is>
      </c>
    </row>
    <row r="18109">
      <c r="A18109" t="inlineStr">
        <is>
          <t>Huppermage M 200</t>
        </is>
      </c>
      <c r="B18109">
        <f>HYPERLINK("https://www.dofusbook.net/fr/equipement/3437751-huppermage-m-200/objets", "link")</f>
        <v/>
      </c>
      <c r="C18109" t="n">
        <v>0</v>
      </c>
      <c r="D18109" t="inlineStr">
        <is>
          <t>Arc Volkorne; Amulette Volkorne; Anneau Volkorne; Bracelet du Piloztère; Quatre-feuilles; Ceinture Volkorne; Casque Volkorne; Cape du Chalœil; Bottes du Chalœil; Dofus Ocre; Dofus Ivoire; Dofus Pourpre; Dofus des Glaces; Dofus Turquoise; Dolmanax; Kwaltess</t>
        </is>
      </c>
    </row>
    <row r="18110">
      <c r="A18110" t="inlineStr">
        <is>
          <t>Agi</t>
        </is>
      </c>
      <c r="B18110">
        <f>HYPERLINK("https://www.dofusbook.net/fr/equipement/3563254-agi/objets", "link")</f>
        <v/>
      </c>
      <c r="C18110" t="n">
        <v>0</v>
      </c>
      <c r="D18110" t="inlineStr">
        <is>
          <t>Manthache; Collier du Valet Veinard; Alliance Gloursonne; Gant du Valet Veinard; Bouclier d'Ilyzaelle; Menoture; Casque Dragoeuf; Cape du Kamasterisk; Palmes Trithons; Dofus Ocre; Dofus Abyssal; Dofus Émeraude; Dofus Ivoire; Miraculé majeur; Nomade; Dragodinde Amande et Ebène</t>
        </is>
      </c>
    </row>
    <row r="18111">
      <c r="A18111" t="inlineStr">
        <is>
          <t>Full eau</t>
        </is>
      </c>
      <c r="B18111">
        <f>HYPERLINK("https://www.dofusbook.net/fr/equipement/3518923-full-eau/objets", "link")</f>
        <v/>
      </c>
      <c r="C18111" t="n">
        <v>4</v>
      </c>
      <c r="D18111" t="inlineStr">
        <is>
          <t>Sceptre du Roi Joueur; Amulette de Shokkoth; Alliance Gloursonne; Bracelet des Fonds marins; Bouclier du Stalak; Ceinture de la Reine des Voleurs; Kidibonnet; Cape de l'Œil Attentif; Bottes de la Reine des Voleurs; Dofus des Glaces; Dofus Ivoire; Dofus Ocre; Nomade; Dévastateur Eau majeur; Chanceux majeur; Dragodinde Amande et Indigo</t>
        </is>
      </c>
    </row>
    <row r="18112">
      <c r="A18112" t="inlineStr">
        <is>
          <t>Feu res do pou</t>
        </is>
      </c>
      <c r="B18112">
        <f>HYPERLINK("https://www.dofusbook.net/fr/equipement/3518078-feu-res-do-pou/objets", "link")</f>
        <v/>
      </c>
      <c r="C18112" t="n">
        <v>3</v>
      </c>
      <c r="D18112" t="inlineStr">
        <is>
          <t>Arc corrompu; Amulette Séculaire; Anneau Tique; Anneauræus; Bouclier du Stalak; Ceinture Séculaire; Heaume Oplate; Cape de Diondin; Bottes Innommables; Dofus des Glaces; Dofus Forgelave; Inflexible majeur; Solide majeur; Nomade; Érudit majeur; Croum</t>
        </is>
      </c>
    </row>
    <row r="18113">
      <c r="A18113" t="inlineStr">
        <is>
          <t>seb feu air</t>
        </is>
      </c>
      <c r="B18113">
        <f>HYPERLINK("https://www.dofusbook.net/fr/equipement/2838110-seb-feu-air/objets", "link")</f>
        <v/>
      </c>
      <c r="C18113" t="n">
        <v>2</v>
      </c>
      <c r="D18113" t="inlineStr">
        <is>
          <t>Marteau Phossile; Amulette Martegel; Anneau Rifique; Alliance Brûlâme; Bouclier cubiste; Ceinture de Vortex; Casque Cyclopéen; Cape Martegel; Bottes du Chalœil; Dofus des Glaces; Dofus Ocre; Temporiseur majeur; Miraculé majeur; Nomade; Remueur; Croum</t>
        </is>
      </c>
    </row>
    <row r="18114">
      <c r="A18114" t="inlineStr">
        <is>
          <t>elio</t>
        </is>
      </c>
      <c r="B18114">
        <f>HYPERLINK("https://www.dofusbook.net/fr/equipement/3416351-elio-/objets", "link")</f>
        <v/>
      </c>
      <c r="C18114" t="n">
        <v>0</v>
      </c>
      <c r="D18114" t="inlineStr">
        <is>
          <t>Karnak; Collier du Valet Veinard; Gant du Valet Veinard; Alliance Gloursonne; Bouclier du Stalak; Menoture; Couronne d'Allister; Cape du Kamasterisk; Baleinabottes; Remueur; Vigoureux majeur; Acrobate majeur; Nomade; Miraculé majeur; Cascadeur majeur; Dragodinde Ebène et Ivoire</t>
        </is>
      </c>
    </row>
    <row r="18115">
      <c r="A18115" t="inlineStr">
        <is>
          <t>full terre</t>
        </is>
      </c>
      <c r="B18115">
        <f>HYPERLINK("https://www.dofusbook.net/fr/equipement/3450274-full-terre/objets", "link")</f>
        <v/>
      </c>
      <c r="C18115" t="n">
        <v>0</v>
      </c>
      <c r="D18115" t="inlineStr">
        <is>
          <t>Arc du Chalœil; Amulette Volcanique; Bracelet du Piloztère; Anneau Chevelu; Quatre-feuilles; Ceinture Volkorne; Masque de Koutoulou; Cape au Logis; Sabots Volcaniques; Dofus Pourpre; Dofus Turquoise; Vigoureux majeur; Remueur; Enragé majeur; Nomade; Dragodinde Emeraude et Pourpre</t>
        </is>
      </c>
    </row>
    <row r="18116">
      <c r="A18116" t="inlineStr">
        <is>
          <t>Tri élément</t>
        </is>
      </c>
      <c r="B18116">
        <f>HYPERLINK("https://www.dofusbook.net/fr/equipement/3348097-tri-element-/objets", "link")</f>
        <v/>
      </c>
      <c r="C18116" t="n">
        <v>2</v>
      </c>
      <c r="D18116" t="inlineStr">
        <is>
          <t>Hache du Chalœil; Amulette du Strigide; Bracelet du Piloztère; Pikano; Bouclier Taverne; Ceinture du Strigide; Chapeau Lisson; Cape de la Dame du Hasard; Bottes Honyme; Dolmanax; Dofus des Glaces; Dofus Pourpre; Dofus Turquoise; Nomade; Remueur; Dragodinde Emeraude et Ivoire</t>
        </is>
      </c>
    </row>
    <row r="18117">
      <c r="A18117" t="inlineStr">
        <is>
          <t>Full dégât</t>
        </is>
      </c>
      <c r="B18117">
        <f>HYPERLINK("https://www.dofusbook.net/fr/equipement/3417749-full-degat-/objets", "link")</f>
        <v/>
      </c>
      <c r="C18117" t="n">
        <v>0</v>
      </c>
      <c r="D18117" t="inlineStr">
        <is>
          <t>Manthache; Collier du Valet Veinard; Alliance Gloursonne; Gant du Valet Veinard; Bouclier du Stalak; Menoture; Couronne d'Allister; Cape Indescriptible; Palmes Trithons; Dofus des Glaces; Dofus Pourpre; Cascadeur majeur; Dévastateur Air majeur; Remueur; Nomade; Siroko</t>
        </is>
      </c>
    </row>
    <row r="18118">
      <c r="A18118" t="inlineStr">
        <is>
          <t>Bomb-trick retour fe</t>
        </is>
      </c>
      <c r="B18118">
        <f>HYPERLINK("https://www.dofusbook.net/fr/equipement/3382374-bomb-trick-retour-fe/objets", "link")</f>
        <v/>
      </c>
      <c r="C18118" t="n">
        <v>0</v>
      </c>
      <c r="D18118" t="inlineStr">
        <is>
          <t>Arc du Chalœil; Collier de Tourthon; Anneau de Brouce; Bracelet du Piloztère; Bouclier du Stalak; Ceinture de la Reine des Voleurs; Coiffe de la Reine des Voleurs; Cape au Logis; Sabots Minables; Dofus Pourpre; Dofus des Glaces; Dévastateur Terre majeur; Miraculé majeur; Vigoureux majeur; Remueur; Croum</t>
        </is>
      </c>
    </row>
    <row r="18119">
      <c r="A18119" t="inlineStr">
        <is>
          <t>multi pour rak</t>
        </is>
      </c>
      <c r="B18119">
        <f>HYPERLINK("https://www.dofusbook.net/fr/equipement/3382563-multi-pour-rak/objets", "link")</f>
        <v/>
      </c>
      <c r="C18119" t="n">
        <v>2</v>
      </c>
      <c r="D18119" t="inlineStr">
        <is>
          <t>Hache du Chalœil; Amulette du Strigide; Bracelet du Piloztère; Alliance Gloursonne; Bouclier du Stalak; Ceinture de l'Indicible; Le Dorado; Cape du Chalœil; Bottes du Chalœil; Dofus Pourpre; Dolmanax; Nomade; Vigoureux majeur; Remueur; Kramkram</t>
        </is>
      </c>
    </row>
    <row r="18120">
      <c r="A18120" t="inlineStr">
        <is>
          <t>Pandawa M 200</t>
        </is>
      </c>
      <c r="B18120">
        <f>HYPERLINK("https://www.dofusbook.net/fr/equipement/3335424-pandawa-m-200/objets", "link")</f>
        <v/>
      </c>
      <c r="C18120" t="n">
        <v>1</v>
      </c>
      <c r="D18120" t="inlineStr">
        <is>
          <t>Arc du Chalœil; Amulette Héroclite; Anneau de Brouce; Bracelet du Piloztère; Quatre-feuilles; Ceinture de Brouce; Masque de Koutoulou; Cape au Logis; Sabots Minables; Dofus Pourpre; Dofus Turquoise; Enragé majeur; Remueur; Vigoureux majeur; Nomade; Pioute vert</t>
        </is>
      </c>
    </row>
    <row r="18121">
      <c r="A18121" t="inlineStr">
        <is>
          <t>osa eau</t>
        </is>
      </c>
      <c r="B18121">
        <f>HYPERLINK("https://www.dofusbook.net/fr/equipement/3315312-osa-eau/objets", "link")</f>
        <v/>
      </c>
      <c r="C18121" t="n">
        <v>5</v>
      </c>
      <c r="D18121" t="inlineStr">
        <is>
          <t>Sceptre du Roi Joueur; Amulette de Shokkoth; Pikano; Alliance Gloursonne; Ceinture du Barbétoal; Casque Dragoeuf; Cape Solution; Bottes de la Reine des Voleurs; Dokoko; Dofus Émeraude; Nomade; Remueur; Miraculé majeur; Chanceux majeur; Croum</t>
        </is>
      </c>
    </row>
    <row r="18122">
      <c r="A18122" t="inlineStr">
        <is>
          <t>full eau</t>
        </is>
      </c>
      <c r="B18122">
        <f>HYPERLINK("https://www.dofusbook.net/fr/equipement/3187811-full-eau/objets", "link")</f>
        <v/>
      </c>
      <c r="C18122" t="n">
        <v>1</v>
      </c>
      <c r="D18122" t="inlineStr">
        <is>
          <t>Baguette Hique; Amulette de Shokkoth; Pikano; Alliance Gloursonne; Quatre-feuilles; Ceinture du Barbétoal; Kidibonnet; Cape de la Dame du Hasard; Bottes de la Dame du Hasard; Dofus Pourpre; Dofus Turquoise; Remueur; Chanceux majeur; Vigoureux majeur; Nomade; Bwak d'Eau</t>
        </is>
      </c>
    </row>
    <row r="18123">
      <c r="A18123" t="inlineStr">
        <is>
          <t>Féca F 200</t>
        </is>
      </c>
      <c r="B18123">
        <f>HYPERLINK("https://www.dofusbook.net/fr/equipement/3289672-feca-f-200/objets", "link")</f>
        <v/>
      </c>
      <c r="C18123" t="n">
        <v>5</v>
      </c>
      <c r="D18123" t="inlineStr">
        <is>
          <t>Lav'Hache; Amulette du Cœur Vaillant; Anneau Chevelu; Anneau Crustique; Sept ans de malheur; Menoture; Casque Dragoeuf; Cape du Cœur Vaillant; Baleinabottes; Dofus Pourpre; Dofus Émeraude; Remueur; Vigoureux majeur; Étourdisseur majeur; Nomade; Muldo Ebène</t>
        </is>
      </c>
    </row>
    <row r="18124">
      <c r="A18124" t="inlineStr">
        <is>
          <t>Sacrieur M 200</t>
        </is>
      </c>
      <c r="B18124">
        <f>HYPERLINK("https://www.dofusbook.net/fr/equipement/3257232-sacrieur-m-200/objets", "link")</f>
        <v/>
      </c>
      <c r="C18124" t="n">
        <v>3</v>
      </c>
      <c r="D18124" t="inlineStr">
        <is>
          <t>Lance Horselé; Collier du Valet Veinard; Alliance Gloursonne; Gant du Valet Veinard; Bouclier d'Ilyzaelle; Menoture; Casque Dragoeuf; Cape du Kamasterisk; Palmes Trithons; Dofus Pourpre; Dofus Émeraude; Dofus Abyssal; Miraculé majeur; Remueur; Cascadeur majeur; Muldo Ebène</t>
        </is>
      </c>
    </row>
    <row r="18125">
      <c r="A18125" t="inlineStr">
        <is>
          <t>multi</t>
        </is>
      </c>
      <c r="B18125">
        <f>HYPERLINK("https://www.dofusbook.net/fr/equipement/3188143-multi/objets", "link")</f>
        <v/>
      </c>
      <c r="C18125" t="n">
        <v>2</v>
      </c>
      <c r="D18125" t="inlineStr">
        <is>
          <t>Hache du Chalœil; Amulette du Strigide; Bracelet du Piloztère; Pikano; Quatre-feuilles; Ceinture du Strigide; Chapeau Lisson; Cape de la Dame du Hasard; Bottes Honyme; Dolmanax; Dofus Nébuleux; Dofus Pourpre; Dofus Turquoise; Nomade; Remueur; Muldo Indigo et Orchidée</t>
        </is>
      </c>
    </row>
    <row r="18126">
      <c r="A18126" t="inlineStr">
        <is>
          <t>terre invoc</t>
        </is>
      </c>
      <c r="B18126">
        <f>HYPERLINK("https://www.dofusbook.net/fr/equipement/3117087-terre-invoc/objets", "link")</f>
        <v/>
      </c>
      <c r="C18126" t="n">
        <v>0</v>
      </c>
      <c r="D18126" t="inlineStr">
        <is>
          <t>Lav'Hache; Amulette Héroclite; Anneau Chevelu; Alliance du Lévitrof; Bouclier d'Ilyzaelle; Ceinture de la Cour Sombre; Masque de Koutoulou; Cape du Cœur Saignant; Bottes de la Cour Sombre; Dofus Émeraude; Dokoko; Dofus des Glaces; Dofus Pourpre; Enragé majeur; Remueur; Muldo Ebène et Pourpre</t>
        </is>
      </c>
    </row>
    <row r="18127">
      <c r="A18127" t="inlineStr">
        <is>
          <t>Eau air cc</t>
        </is>
      </c>
      <c r="B18127">
        <f>HYPERLINK("https://www.dofusbook.net/fr/equipement/3101144-eau-air-cc/objets", "link")</f>
        <v/>
      </c>
      <c r="C18127" t="n">
        <v>0</v>
      </c>
      <c r="D18127" t="inlineStr">
        <is>
          <t>Arc de Koutoulou; Amulette de l'Œil Putride; Alliance Gloursonne; Bracelet du Piloztère; Quatre-feuilles; Ceinture du Strigide; Chapeau Lisson; Chevelure de Tal Kasha; Sandales de Tal Kasha; Dofus Pourpre; Dofus Turquoise; Dofus des Glaces; Nomade; Vigoureux majeur; Remueur; Muldo Ebène et Indigo</t>
        </is>
      </c>
    </row>
    <row r="18128">
      <c r="A18128" t="inlineStr">
        <is>
          <t>Eau air distance</t>
        </is>
      </c>
      <c r="B18128">
        <f>HYPERLINK("https://www.dofusbook.net/fr/equipement/3061305-eau-air-distance/objets", "link")</f>
        <v/>
      </c>
      <c r="C18128" t="n">
        <v>0</v>
      </c>
      <c r="D18128" t="inlineStr">
        <is>
          <t>Bâtonnet Ronien; Amulette d'Ilyzaelle; Grésilanneau; Alliance Gloursonne; Bouclier du Stalak; Ceinture du Barbétoal; Casque d'Ilyzaelle; Cape d'Hel Munster; Bottes de l'Esprit Salvateur; Dofus Ocre; Dofus Pourpre; Dofus des Glaces; Nomade; Remueur</t>
        </is>
      </c>
    </row>
    <row r="18129">
      <c r="A18129" t="inlineStr">
        <is>
          <t>feu eau cc</t>
        </is>
      </c>
      <c r="B18129">
        <f>HYPERLINK("https://www.dofusbook.net/fr/equipement/3061084-feu-eau-cc/objets", "link")</f>
        <v/>
      </c>
      <c r="C18129" t="n">
        <v>4</v>
      </c>
      <c r="D18129" t="inlineStr">
        <is>
          <t>Arc Nécrotique; Amulette de l'Œil Putride; Bracelet des Fonds marins; Anneau Tique; Quatre-feuilles; Ceinture de l'Esprit Malsain; Kidibonnet; Cape de la Dame du Hasard; Bottes de la Dame du Hasard; Dofus Turquoise; Dofus des Glaces; Dofus Pourpre; Remueur; Nomade; Vigoureux majeur; Muldo Indigo et Orchidée</t>
        </is>
      </c>
    </row>
    <row r="18130">
      <c r="A18130" t="inlineStr">
        <is>
          <t>eau air regen</t>
        </is>
      </c>
      <c r="B18130">
        <f>HYPERLINK("https://www.dofusbook.net/fr/equipement/3057385-eau-air-regen/objets", "link")</f>
        <v/>
      </c>
      <c r="C18130" t="n">
        <v>0</v>
      </c>
      <c r="D18130" t="inlineStr">
        <is>
          <t>Hache du Korriandre; Amulette d'Ilyzaelle; Alliance Gloursonne; Grésilanneau; Bouclier alvéolé; Ceinture du Barbétoal; Casque d'Ilyzaelle; Cape d'Hel Munster; Bottes de l'Esprit Salvateur; Dofus des Glaces; Dofus Pourpre; Dofus Ocre; Remueur; Nomade; Muldo Ebène et Indigo</t>
        </is>
      </c>
    </row>
    <row r="18131">
      <c r="A18131" t="inlineStr">
        <is>
          <t>terre air</t>
        </is>
      </c>
      <c r="B18131">
        <f>HYPERLINK("https://www.dofusbook.net/fr/equipement/3053761-terre-air/objets", "link")</f>
        <v/>
      </c>
      <c r="C18131" t="n">
        <v>1</v>
      </c>
      <c r="D18131" t="inlineStr">
        <is>
          <t>Lance corrompue; Amulette de l'Indicible; Anneau des égarés; Anneau Chevelu; Bouclier d'Ilyzaelle; Ceinture de la Reine des Voleurs; Coiffe de la Reine des Voleurs; Cape du Kamasterisk; Baleinabottes; Dofus des Glaces; Dofus Abyssal; Dofus Pourpre; Remueur; Nomade; Vigoureux majeur; Muldo Orchidée</t>
        </is>
      </c>
    </row>
    <row r="18132">
      <c r="A18132" t="inlineStr">
        <is>
          <t>Full terre</t>
        </is>
      </c>
      <c r="B18132">
        <f>HYPERLINK("https://www.dofusbook.net/fr/equipement/3048578-full-terre/objets", "link")</f>
        <v/>
      </c>
      <c r="C18132" t="n">
        <v>4</v>
      </c>
      <c r="D18132" t="inlineStr">
        <is>
          <t>Arc du Chalœil; Amulette du Cœur Saignant; Bracelet du Piloztère; Anneau Chevelu; Quatre-feuilles; Ceinture Gence; Chapeau de Gein; Cape au Logis; Bottes du Cœur Saignant; Dofus Nébuleux; Dofus Pourpre; Dofus Turquoise; Vigoureux majeur; Remueur; Enragé majeur; Kramkram</t>
        </is>
      </c>
    </row>
    <row r="18133">
      <c r="A18133" t="inlineStr">
        <is>
          <t>elio feu</t>
        </is>
      </c>
      <c r="B18133">
        <f>HYPERLINK("https://www.dofusbook.net/fr/equipement/3046084-elio-feu/objets", "link")</f>
        <v/>
      </c>
      <c r="C18133" t="n">
        <v>0</v>
      </c>
      <c r="D18133" t="inlineStr">
        <is>
          <t>Arc Hétype; Pendentif mignon de Koutoulou; Anneauræus; Anneau Tique; Bouclier du Stalak; Ceinture de Vortex; Casque Cyclopéen; Cape de Diondin; Bottes Innommables; Dofus Abyssal; Dofus Pourpre; Érudit majeur; Fonceur majeur; Miraculé majeur; Remueur; Muldo Orchidée et Pourpre</t>
        </is>
      </c>
    </row>
    <row r="18134">
      <c r="A18134" t="inlineStr">
        <is>
          <t>terre air tank</t>
        </is>
      </c>
      <c r="B18134">
        <f>HYPERLINK("https://www.dofusbook.net/fr/equipement/3026569-terre-air-tank/objets", "link")</f>
        <v/>
      </c>
      <c r="C18134" t="n">
        <v>0</v>
      </c>
      <c r="D18134" t="inlineStr">
        <is>
          <t>Lance corrompue; Amulette du Cœur Vaillant; Anneau Chevelu; Anneau des égarés; Bouclier d'Ilyzaelle; Ceintouse; Chapoulpe; Cape du Kamasterisk; Baleinabottes; Dofus des Glaces; Dofus Abyssal; Dofus Émeraude; Dofus Pourpre; Nomade; Remueur; Muldo Ebène et Pourpre</t>
        </is>
      </c>
    </row>
    <row r="18135">
      <c r="A18135" t="inlineStr">
        <is>
          <t>Terre feu distance</t>
        </is>
      </c>
      <c r="B18135">
        <f>HYPERLINK("https://www.dofusbook.net/fr/equipement/3010999-terre-feu-distance/objets", "link")</f>
        <v/>
      </c>
      <c r="C18135" t="n">
        <v>1</v>
      </c>
      <c r="D18135" t="inlineStr">
        <is>
          <t>Arc à Lamelles; Amulette du Strigide; Bague Gloursonne; Chevalière du Roi Joueur; Quatre-feuilles; Ceinture du Strigide; Chapeau de Gein; Cape au Logis; Bottes Honyme; Dofus Pourpre; Dofus Turquoise; Vigoureux majeur; Nomade; Remueur; Kramkram</t>
        </is>
      </c>
    </row>
    <row r="18136">
      <c r="A18136" t="inlineStr">
        <is>
          <t>mode terre</t>
        </is>
      </c>
      <c r="B18136">
        <f>HYPERLINK("https://www.dofusbook.net/fr/equipement/3003558-mode-terre/objets", "link")</f>
        <v/>
      </c>
      <c r="C18136" t="n">
        <v>5</v>
      </c>
      <c r="D18136" t="inlineStr">
        <is>
          <t>Arc du Chalœil; Amulette du Cœur Vaillant; Bracelet du Piloztère; Anneau Chevelu; Quatre-feuilles; Ceinture Gence; Chapeau de Gein; Cape au Logis; Bottes du Cœur Vaillant; Dofus Pourpre; Dofus Turquoise; Vigoureux majeur; Remueur; Nomade; Enragé majeur; Kompost</t>
        </is>
      </c>
    </row>
    <row r="18137">
      <c r="A18137" t="inlineStr">
        <is>
          <t>iop feu eau</t>
        </is>
      </c>
      <c r="B18137">
        <f>HYPERLINK("https://www.dofusbook.net/fr/equipement/2995675-iop-feu-eau/objets", "link")</f>
        <v/>
      </c>
      <c r="C18137" t="n">
        <v>1</v>
      </c>
      <c r="D18137" t="inlineStr">
        <is>
          <t>Épée Brûlâme; Amulette de l'Œil Putride; Lavanneau; Lavanneau; Bouclier d'Ilyzaelle; Ceinture de l'Esprit Malsain; Kidibonnet; Cape de l'Œil Putride; Pataugastrique; Dokoko; Dofus Pourpre; Dofus Émeraude; Miraculé majeur; Remueur; Nomade; Muldo Indigo et Orchidée</t>
        </is>
      </c>
    </row>
    <row r="18138">
      <c r="A18138" t="inlineStr">
        <is>
          <t>Terre feu mode piege</t>
        </is>
      </c>
      <c r="B18138">
        <f>HYPERLINK("https://www.dofusbook.net/fr/equipement/2987776-terre-feu-mode-piege/objets", "link")</f>
        <v/>
      </c>
      <c r="C18138" t="n">
        <v>0</v>
      </c>
      <c r="D18138" t="inlineStr">
        <is>
          <t>Hache Téroïde; Amulette Volcanique; Chevalière du Roi Joueur; Bague Gloursonne; Quatre-feuilles; Ceinture de Gein; Chapeau de Gein; Voile d'encre; Bottes Honyme; Dofus des Glaces; Dofus Pourpre; Dofus Turquoise; Nomade; Vigoureux majeur; Remueur</t>
        </is>
      </c>
    </row>
    <row r="18139">
      <c r="A18139" t="inlineStr">
        <is>
          <t>multi</t>
        </is>
      </c>
      <c r="B18139">
        <f>HYPERLINK("https://www.dofusbook.net/fr/equipement/2983921-multi/objets", "link")</f>
        <v/>
      </c>
      <c r="C18139" t="n">
        <v>1</v>
      </c>
      <c r="D18139" t="inlineStr">
        <is>
          <t>Marteau des égarés; Amulette de l'Indicible; Alliance Gloursonne; Bracelet du Piloztère; Bouclier Taverne; Ceinture de l'Indicible; Chapeau Lisson; Cape du Chalœil; Bottes Honyme; Dofus Pourpre; Dolmanax; Dofus Turquoise; Dofus des Glaces; Remueur; Nomade; Muldo Indigo</t>
        </is>
      </c>
    </row>
    <row r="18140">
      <c r="A18140" t="inlineStr">
        <is>
          <t>Feu vita ini</t>
        </is>
      </c>
      <c r="B18140">
        <f>HYPERLINK("https://www.dofusbook.net/fr/equipement/2981577-feu-vita-ini/objets", "link")</f>
        <v/>
      </c>
      <c r="C18140" t="n">
        <v>0</v>
      </c>
      <c r="D18140" t="inlineStr">
        <is>
          <t>Arc Hétype; Amulette de l'Œil Putride; Anneau Tique; Anneauræus; Bouclier du Stalak; Ceinture de Gein; Heaume Oplate; Cape de l'Œil Putride; Bottes Innommables; Miraculé majeur; Érudit majeur; Remueur</t>
        </is>
      </c>
    </row>
    <row r="18141">
      <c r="A18141" t="inlineStr">
        <is>
          <t>Feu vita</t>
        </is>
      </c>
      <c r="B18141">
        <f>HYPERLINK("https://www.dofusbook.net/fr/equipement/2963513-feu-vita-/objets", "link")</f>
        <v/>
      </c>
      <c r="C18141" t="n">
        <v>2</v>
      </c>
      <c r="D18141" t="inlineStr">
        <is>
          <t>Arc Hétype; Pendentif mignon de Koutoulou; Anneauræus; Anneauræus; Bouclier du Stalak; Ceinture de Gein; Casque Cyclopéen; Cape de Diondin; Bottes Innommables; Dofus Émeraude; Nomade; Miraculé; Miraculé majeur; Remueur; Érudit majeur; Eliôme</t>
        </is>
      </c>
    </row>
    <row r="18142">
      <c r="A18142" t="inlineStr">
        <is>
          <t>feu rox</t>
        </is>
      </c>
      <c r="B18142">
        <f>HYPERLINK("https://www.dofusbook.net/fr/equipement/2961820-feu-rox/objets", "link")</f>
        <v/>
      </c>
      <c r="C18142" t="n">
        <v>0</v>
      </c>
      <c r="D18142" t="inlineStr">
        <is>
          <t>Arc corrompu; Pendentif affamé; Anneauræus; Anneau de Padgref; Quatre-feuilles; Ceinture Séculaire; Heaume Oplate; Cape de la Dame du Hasard; Bottes de la Dame du Hasard; Dofus Pourpre; Dofus Turquoise; Nomade; Remueur; Érudit majeur; Muldo Orchidée</t>
        </is>
      </c>
    </row>
    <row r="18143">
      <c r="A18143" t="inlineStr">
        <is>
          <t>feu res</t>
        </is>
      </c>
      <c r="B18143">
        <f>HYPERLINK("https://www.dofusbook.net/fr/equipement/2923417-feu-res/objets", "link")</f>
        <v/>
      </c>
      <c r="C18143" t="n">
        <v>0</v>
      </c>
      <c r="D18143" t="inlineStr">
        <is>
          <t>Arc Hétype; Amulette de Nileza; Anneauræus; Anneauræus; Bouclier du Stalak; Ceinture de Gein; Heaume Oplate; Cape de Nileza; Bottes Innommables</t>
        </is>
      </c>
    </row>
    <row r="18144">
      <c r="A18144" t="inlineStr">
        <is>
          <t>Team</t>
        </is>
      </c>
      <c r="B18144">
        <f>HYPERLINK("https://www.dofusbook.net/fr/equipement/2915124-team/objets", "link")</f>
        <v/>
      </c>
      <c r="C18144" t="n">
        <v>0</v>
      </c>
      <c r="D18144" t="inlineStr">
        <is>
          <t>Hache du Chalœil; Amulette du Strigide; Bracelet du Piloztère; Chevalière du Roi Joueur; Quatre-feuilles; Ceinture du Strigide; Chapeau Lisson; Voile d'encre; Bottes Honyme; Dolmanax; Dofus Pourpre; Dofus des Glaces; Dofus Turquoise; Nomade; Remueur; Muldo Indigo et Pourpre</t>
        </is>
      </c>
    </row>
    <row r="18145">
      <c r="A18145" t="inlineStr">
        <is>
          <t>Terre</t>
        </is>
      </c>
      <c r="B18145">
        <f>HYPERLINK("https://www.dofusbook.net/fr/equipement/2903107-terre/objets", "link")</f>
        <v/>
      </c>
      <c r="C18145" t="n">
        <v>0</v>
      </c>
      <c r="D18145" t="inlineStr">
        <is>
          <t>Arc du Chalœil; Collier de Tourthon; Bracelet du Piloztère; Anneau Chevelu; Cadran d'Air; Ceinture de Gein; Chapeau de Gein; Cape au Logis; Baleinabottes; Dofus Pourpre; Dofus des Glaces; Enragé majeur; Remueur; Dévastateur Terre majeur; Vigoureux majeur; Muldo Indigo et Pourpre</t>
        </is>
      </c>
    </row>
    <row r="18146">
      <c r="A18146" t="inlineStr">
        <is>
          <t>Full do</t>
        </is>
      </c>
      <c r="B18146">
        <f>HYPERLINK("https://www.dofusbook.net/fr/equipement/2892901-full-do/objets", "link")</f>
        <v/>
      </c>
      <c r="C18146" t="n">
        <v>0</v>
      </c>
      <c r="D18146" t="inlineStr">
        <is>
          <t>Lav'Hache; Amulette du Cœur Vaillant; Anneau Crustique; Anneau Crustique; Bouclier Taverne; Ceinture de la Reine des Voleurs; Coiffe de la Reine des Voleurs; Cape Luminescente; Bottistik; Dofus des Glaces; Dofus Pourpre; Enragé majeur; Dévastateur Terre majeur; Remueur</t>
        </is>
      </c>
    </row>
    <row r="18147">
      <c r="A18147" t="inlineStr">
        <is>
          <t>mode pour trizo</t>
        </is>
      </c>
      <c r="B18147">
        <f>HYPERLINK("https://www.dofusbook.net/fr/equipement/2891998-mode-pour-trizo/objets", "link")</f>
        <v/>
      </c>
      <c r="C18147" t="n">
        <v>3</v>
      </c>
      <c r="D18147" t="inlineStr">
        <is>
          <t>Lance Horselé; Collier du Valet Veinard; Alliance Gloursonne; Gant du Valet Veinard; Cadran d'Air; Ceintouse; Chapoulpe; Cape du Valet Veinard; Tentassons; Dolmanax; Dofus Pourpre; Dofus Cawotte; Dofus Ocre; Dokoko; Dofus des Glaces; Muldo Indigo et Pourpre</t>
        </is>
      </c>
    </row>
    <row r="18148">
      <c r="A18148" t="inlineStr">
        <is>
          <t>Dws feu esquive pa</t>
        </is>
      </c>
      <c r="B18148">
        <f>HYPERLINK("https://www.dofusbook.net/fr/equipement/2887301-dws-feu-esquive-pa/objets", "link")</f>
        <v/>
      </c>
      <c r="C18148" t="n">
        <v>0</v>
      </c>
      <c r="D18148" t="inlineStr">
        <is>
          <t>Manthache; Collier du Valet Veinard; Gant du Valet Veinard; Alliance Gloursonne; Cadran d'Air; Menoture; Couronne d'Allister; Cape du Kamasterisk; Palmes Trithons; Dofus Ivoire; Dofus des Glaces; Dévastateur Air majeur; Remueur; Évasif majeur; Cascadeur majeur; Muldo Turquoise et Ivoire</t>
        </is>
      </c>
    </row>
    <row r="18149">
      <c r="A18149" t="inlineStr">
        <is>
          <t>New eau</t>
        </is>
      </c>
      <c r="B18149">
        <f>HYPERLINK("https://www.dofusbook.net/fr/equipement/2871156-new-eau/objets", "link")</f>
        <v/>
      </c>
      <c r="C18149" t="n">
        <v>0</v>
      </c>
      <c r="D18149" t="inlineStr">
        <is>
          <t>Baguette Héroclite; Amulette de Shokkoth; Alliance Gloursonne; Bracelet des Fonds marins; Bouclier du Stalak; Ceinture de la Reine des Voleurs; Masque de Funespadon; Cape Solution; Bottes de la Reine des Voleurs; Dofus Pourpre; Dofus des Glaces; Chanceux majeur; Dévastateur Eau majeur; Remueur; Nomade; Kramkram</t>
        </is>
      </c>
    </row>
    <row r="18150">
      <c r="A18150" t="inlineStr">
        <is>
          <t>Terre eau dws</t>
        </is>
      </c>
      <c r="B18150">
        <f>HYPERLINK("https://www.dofusbook.net/fr/equipement/2855730-terre-eau-dws/objets", "link")</f>
        <v/>
      </c>
      <c r="C18150" t="n">
        <v>0</v>
      </c>
      <c r="D18150" t="inlineStr">
        <is>
          <t>Baguette des égarés; Amulette Luminescente; Pikano; Bracelet du Piloztère; Bouclier du Stalak; Ceinture de la Reine des Voleurs; Coiffe de la Reine des Voleurs; Cape du Chalœil; Bottes Honyme; Dofus Abyssal; Dofus Pourpre; Dofus Ivoire; Dofus des Glaces; Vigoureux majeur; Remueur</t>
        </is>
      </c>
    </row>
    <row r="18151">
      <c r="A18151" t="inlineStr">
        <is>
          <t>New feu</t>
        </is>
      </c>
      <c r="B18151">
        <f>HYPERLINK("https://www.dofusbook.net/fr/equipement/2850052-new-feu/objets", "link")</f>
        <v/>
      </c>
      <c r="C18151" t="n">
        <v>0</v>
      </c>
      <c r="D18151" t="inlineStr">
        <is>
          <t>Arc Hétype; Pendentif affamé; Anneauræus; Anneauræus; Bouclier du Stalak; Ceinture Séculaire; Coiffe Séculaire; Cape de Diondin; Bottes Innommables; Nomade; Vigoureux majeur; Miraculé majeur; Remueur; Érudit majeur; Muldo Orchidée</t>
        </is>
      </c>
    </row>
    <row r="18152">
      <c r="A18152" t="inlineStr">
        <is>
          <t>new panda</t>
        </is>
      </c>
      <c r="B18152">
        <f>HYPERLINK("https://www.dofusbook.net/fr/equipement/2844899-new-panda/objets", "link")</f>
        <v/>
      </c>
      <c r="C18152" t="n">
        <v>1</v>
      </c>
      <c r="D18152" t="inlineStr">
        <is>
          <t>Hache du Chalœil; Amulette du Strigide; Anneau de Padgref; Bracelet du Piloztère; Quatre-feuilles; Ceinture du Strigide; Chapeau Lisson; Voile d'encre; Bottes Honyme; Dofus Pourpre; Dofus Turquoise; Dolmanax; Miraculé majeur; Remueur; Nomade; Muldo Orchidée et Pourpre</t>
        </is>
      </c>
    </row>
    <row r="18153">
      <c r="A18153" t="inlineStr">
        <is>
          <t>Full eau</t>
        </is>
      </c>
      <c r="B18153">
        <f>HYPERLINK("https://www.dofusbook.net/fr/equipement/2839005-full-eau/objets", "link")</f>
        <v/>
      </c>
      <c r="C18153" t="n">
        <v>0</v>
      </c>
      <c r="D18153" t="inlineStr">
        <is>
          <t>Baguette Héroclite; Amulette de Shokkoth; Bracelet des Fonds marins; Alliance Gloursonne; Bouclier du Stalak; Ceinture Voldelor; Masque de Funespadon; Cape Solution; Sandales des Fonds marins; Dofus Ivoire; Dofus Pourpre; Dofus Nébuleux; Chanceux majeur; Remueur; Nomade; Dehluge</t>
        </is>
      </c>
    </row>
    <row r="18154">
      <c r="A18154" t="inlineStr">
        <is>
          <t>new feca feu</t>
        </is>
      </c>
      <c r="B18154">
        <f>HYPERLINK("https://www.dofusbook.net/fr/equipement/2838880-new-feca-feu/objets", "link")</f>
        <v/>
      </c>
      <c r="C18154" t="n">
        <v>0</v>
      </c>
      <c r="D18154" t="inlineStr">
        <is>
          <t>Arc Hétype; Amulette d'Otomaï; Anneau Tamie; Anneau Tamie; Bouclier du Stalak; Ceinture Séculaire; Coiffe Séculaire; Cape de Diondin; Pataugastrique; Remueur; Érudit majeur; Nomade; Vigoureux majeur; Voyageur; Miraculé majeur; Brûlih</t>
        </is>
      </c>
    </row>
    <row r="18155">
      <c r="A18155" t="inlineStr">
        <is>
          <t>do pou vita</t>
        </is>
      </c>
      <c r="B18155">
        <f>HYPERLINK("https://www.dofusbook.net/fr/equipement/2838199-do-pou-vita/objets", "link")</f>
        <v/>
      </c>
      <c r="C18155" t="n">
        <v>0</v>
      </c>
      <c r="D18155" t="inlineStr">
        <is>
          <t>Arc du Chalœil; Torquistik; Bague Trithon; Alliance Gloursonne; Bouclier précieux; Ceinture Gence; Masque d'Anerice; Cape d'Anerice; Bottes Owesli; Dofus Émeraude; Dofus Ivoire; Nomade; Culbuteur majeur; Remueur; Miraculé majeur; Cube</t>
        </is>
      </c>
    </row>
    <row r="18156">
      <c r="A18156" t="inlineStr">
        <is>
          <t>Multi</t>
        </is>
      </c>
      <c r="B18156">
        <f>HYPERLINK("https://www.dofusbook.net/fr/equipement/2832280-multi/objets", "link")</f>
        <v/>
      </c>
      <c r="C18156" t="n">
        <v>1</v>
      </c>
      <c r="D18156" t="inlineStr">
        <is>
          <t>Marteau des égarés; Amulette Ementaire Deluxe; Alliance Gloursonne; Bracelet du Piloztère; Bouclier d'Ilyzaelle; Ceinture de l'Indicible; Chapeau Lisson; Voile d'encre; Bottes de l'Indicible; Dofus Pourpre; Dofus Ocre; Dofus des Glaces; Dolmanax; Nomade; Remueur; Kramkram</t>
        </is>
      </c>
    </row>
    <row r="18157">
      <c r="A18157" t="inlineStr">
        <is>
          <t>retour du zobal seb</t>
        </is>
      </c>
      <c r="B18157">
        <f>HYPERLINK("https://www.dofusbook.net/fr/equipement/2803040-retour-du-zobal-seb/objets", "link")</f>
        <v/>
      </c>
      <c r="C18157" t="n">
        <v>0</v>
      </c>
      <c r="D18157" t="inlineStr">
        <is>
          <t>Dagues de Srambad; Amulette Luminescente; Alliance Gloursonne; Pikano; Bouclier d'Ilyzaelle; Ceinture de la Reine des Voleurs; Coiffe de la Reine des Voleurs; Cape du Chalœil; Baleinabottes; Dofus Pourpre; Dofus des Glaces; Nomade; Miraculé majeur; Culbuteur majeur; Remueur; Muldo Ebène et Indigo</t>
        </is>
      </c>
    </row>
    <row r="18158">
      <c r="A18158" t="inlineStr">
        <is>
          <t>terre feu eau</t>
        </is>
      </c>
      <c r="B18158">
        <f>HYPERLINK("https://www.dofusbook.net/fr/equipement/2787523-terre-feu-eau/objets", "link")</f>
        <v/>
      </c>
      <c r="C18158" t="n">
        <v>2</v>
      </c>
      <c r="D18158" t="inlineStr">
        <is>
          <t>Hache du Chalœil; Amulette du Strigide; Bracelet du Piloztère; Pikano; Bouclier du Captain Amakna; Ceinture du Strigide; Chapeau Lisson; Voile d'encre; Bottes Honyme; Dofus Turquoise; Dolmanax; Dofus Pourpre; Nomade; Remueur; Kramkram</t>
        </is>
      </c>
    </row>
    <row r="18159">
      <c r="A18159" t="inlineStr">
        <is>
          <t>mode soin</t>
        </is>
      </c>
      <c r="B18159">
        <f>HYPERLINK("https://www.dofusbook.net/fr/equipement/2760710-mode-soin/objets", "link")</f>
        <v/>
      </c>
      <c r="C18159" t="n">
        <v>0</v>
      </c>
      <c r="D18159" t="inlineStr">
        <is>
          <t>Baguette de Malléfisk; Pendentif mignon de Koutoulou; Anneauræus; Anneau Tique; Bouclier d'Ilyzaelle; Ceinture de l'Esprit Malsain; Casque Cyclopéen; Cape de Diondin; Bottes Innommables; Dofus Ivoire; Dofus Pourpre; Miraculé majeur; Remueur; Érudit majeur; Carapace Terre majeur; Muldo Orchidée</t>
        </is>
      </c>
    </row>
    <row r="18160">
      <c r="A18160" t="inlineStr">
        <is>
          <t>Feu eau</t>
        </is>
      </c>
      <c r="B18160">
        <f>HYPERLINK("https://www.dofusbook.net/fr/equipement/2750159-feu-eau/objets", "link")</f>
        <v/>
      </c>
      <c r="C18160" t="n">
        <v>0</v>
      </c>
      <c r="D18160" t="inlineStr">
        <is>
          <t>Pyraguette; Amulette de l'Œil Putride; Lavanneau; Bracelet du Piloztère; Bouclier du Stalak; Ceinture de l'Esprit Malsain; Casqnoar; Cape de l'Œil Putride; Pataugastrique; Dofus des Glaces; Dofus Pourpre; Remueur; Vigoureux majeur</t>
        </is>
      </c>
    </row>
    <row r="18161">
      <c r="A18161" t="inlineStr">
        <is>
          <t>feca terre air</t>
        </is>
      </c>
      <c r="B18161">
        <f>HYPERLINK("https://www.dofusbook.net/fr/equipement/1851058-feca-terre-air/objets", "link")</f>
        <v/>
      </c>
      <c r="C18161" t="n">
        <v>0</v>
      </c>
      <c r="D18161" t="inlineStr">
        <is>
          <t>Lav'Hache; Amulette du Cœur Vaillant; Anneau Chevelu; Anneau Crustique; Sept ans de malheur; Ceintouse; Chapoulpe; Cape du Kamasterisk; Baleinabottes; Dofus des Glaces; Dofus Pourpre; Étourdisseur majeur; Vigoureux majeur; Miraculé majeur; Remueur; Muldo Ebène et Pourpre</t>
        </is>
      </c>
    </row>
    <row r="18162">
      <c r="A18162" t="inlineStr">
        <is>
          <t>Terre/air lance corr</t>
        </is>
      </c>
      <c r="B18162">
        <f>HYPERLINK("https://www.dofusbook.net/fr/equipement/2742205-terre-air-lance-corr/objets", "link")</f>
        <v/>
      </c>
      <c r="C18162" t="n">
        <v>2</v>
      </c>
      <c r="D18162" t="inlineStr">
        <is>
          <t>Lance corrompue; Amulette Ementaire Deluxe; Bracelet du Piloztère; Alliance Gloursonne; Bouclier du Stalak; Ceinture de la Reine des Voleurs; Coiffe de la Reine des Voleurs; Cape du Kamasterisk; Baleinabottes; Dofus Pourpre; Dofus des Glaces; Dolmanax; Miraculé majeur; Remueur; Nomade; Muldo Ebène et Orchidée</t>
        </is>
      </c>
    </row>
    <row r="18163">
      <c r="A18163" t="inlineStr">
        <is>
          <t>Eau air feu</t>
        </is>
      </c>
      <c r="B18163">
        <f>HYPERLINK("https://www.dofusbook.net/fr/equipement/2733867-eau-air-feu/objets", "link")</f>
        <v/>
      </c>
      <c r="C18163" t="n">
        <v>1</v>
      </c>
      <c r="D18163" t="inlineStr">
        <is>
          <t>Arc de Koutoulou; Amulette du Strigide; Bracelet du Piloztère; Anneau de Padgref; Quatre-feuilles; Ceinture du Strigide; Chapeau Lisson; Cape de la Dame du Hasard; Bottes du Chalœil; Dofus Ocre; Dofus Pourpre; Dofus Turquoise; Remueur; Miraculé majeur; Temporiseur majeur; Muldo Ebène et Indigo</t>
        </is>
      </c>
    </row>
    <row r="18164">
      <c r="A18164" t="inlineStr">
        <is>
          <t>Sacri 5e perso</t>
        </is>
      </c>
      <c r="B18164">
        <f>HYPERLINK("https://www.dofusbook.net/fr/equipement/2725294-sacri-5e-perso/objets", "link")</f>
        <v/>
      </c>
      <c r="C18164" t="n">
        <v>1</v>
      </c>
      <c r="D18164" t="inlineStr">
        <is>
          <t>Arc corrompu; Pendentif affamé; Anneau de Padgref; Anneauræus; Quatre-feuilles; Ceinture Séculaire; Heaume Oplate; Cape de la Dame du Hasard; Getas de Padgref; Dofus Pourpre; Dofus Turquoise; Érudit majeur; Remueur; Nomade; Miraculé majeur; Brûlih</t>
        </is>
      </c>
    </row>
    <row r="18165">
      <c r="A18165" t="inlineStr">
        <is>
          <t>Terre eau</t>
        </is>
      </c>
      <c r="B18165">
        <f>HYPERLINK("https://www.dofusbook.net/fr/equipement/2714812-terre-eau/objets", "link")</f>
        <v/>
      </c>
      <c r="C18165" t="n">
        <v>1</v>
      </c>
      <c r="D18165" t="inlineStr">
        <is>
          <t>Baguette des égarés; Amulette de l'Indicible; Pikano; Bracelet du Piloztère; Bouclier du Stalak; Ceinture de la Reine des Voleurs; Masque de Funespadon; Cape Luminescente; Bottes de la Reine des Voleurs; Dofus Ocre; Dofus Pourpre; Dofus des Glaces; Vigoureux majeur; Remueur; Muldo Pourpre</t>
        </is>
      </c>
    </row>
    <row r="18166">
      <c r="A18166" t="inlineStr">
        <is>
          <t>Air cc</t>
        </is>
      </c>
      <c r="B18166">
        <f>HYPERLINK("https://www.dofusbook.net/fr/equipement/2712437-air-cc/objets", "link")</f>
        <v/>
      </c>
      <c r="C18166" t="n">
        <v>0</v>
      </c>
      <c r="D18166" t="inlineStr">
        <is>
          <t>Lance Horselé; Amulette du Strigide; Anneau de Padgref; Alliance Gloursonne; Quatre-feuilles; Menoture; Chapeau de Tournoyé; Chevelure de Tal Kasha; Sandales de Tal Kasha; Dofus Turquoise; Dofus Pourpre; Cascadeur majeur; Remueur; Vigoureux majeur; Étourdisseur majeur; Muldo Prune et Ebène</t>
        </is>
      </c>
    </row>
    <row r="18167">
      <c r="A18167" t="inlineStr">
        <is>
          <t>Multi</t>
        </is>
      </c>
      <c r="B18167">
        <f>HYPERLINK("https://www.dofusbook.net/fr/equipement/2697870-multi/objets", "link")</f>
        <v/>
      </c>
      <c r="C18167" t="n">
        <v>3</v>
      </c>
      <c r="D18167" t="inlineStr">
        <is>
          <t>Marteau des égarés; Amulette de l'Indicible; Alliance Gloursonne; Bracelet du Piloztère; Bouclier du Stalak; Ceinture de l'Esprit Salvateur; Chapeau Lisson; Cape du Chalœil; Bottes du Chalœil; Dofus Ocre; Dofus Pourpre; Dofus des Glaces; Vigoureux majeur; Remueur; Nomade; Kramkram</t>
        </is>
      </c>
    </row>
    <row r="18168">
      <c r="A18168" t="inlineStr">
        <is>
          <t>New eau</t>
        </is>
      </c>
      <c r="B18168">
        <f>HYPERLINK("https://www.dofusbook.net/fr/equipement/2693422-new-eau/objets", "link")</f>
        <v/>
      </c>
      <c r="C18168" t="n">
        <v>0</v>
      </c>
      <c r="D18168" t="inlineStr">
        <is>
          <t>Baguette Héroclite; Amulette d'Ilyzaelle; Alliance Gloursonne; Bracelet des Fonds marins; Bouclier du Stalak; Ceinture de la Reine des Voleurs; Masque de Funespadon; Cape Solution; Bottes de la Reine des Voleurs; Dofus Pourpre; Dofus des Glaces; Remueur; Dévastateur Eau majeur; Nomade; Chanceux majeur</t>
        </is>
      </c>
    </row>
    <row r="18169">
      <c r="A18169" t="inlineStr">
        <is>
          <t>Air/ret pm/pvm</t>
        </is>
      </c>
      <c r="B18169">
        <f>HYPERLINK("https://www.dofusbook.net/fr/equipement/2688179-air-ret-pm-pvm/objets", "link")</f>
        <v/>
      </c>
      <c r="C18169" t="n">
        <v>4</v>
      </c>
      <c r="D18169" t="inlineStr">
        <is>
          <t>Manthache; Collier du Valet Veinard; Alliance Gloursonne; Gant du Valet Veinard; Bouclier cubiste; Menoture; Couronne d'Allister; Cape de la Fuji Givrefoux; Baleinabottes; Miraculé majeur; Entraveur majeur; Remueur; Temporiseur majeur; Nomade; Cascadeur majeur; Siroko</t>
        </is>
      </c>
    </row>
    <row r="18170">
      <c r="A18170" t="inlineStr">
        <is>
          <t>eau/air</t>
        </is>
      </c>
      <c r="B18170">
        <f>HYPERLINK("https://www.dofusbook.net/fr/equipement/2675511-eau-air/objets", "link")</f>
        <v/>
      </c>
      <c r="C18170" t="n">
        <v>0</v>
      </c>
      <c r="D18170" t="inlineStr">
        <is>
          <t>Arc de Koutoulou; Amulette du Strigide; Alliance Gloursonne; Bracelet du Piloztère; Quatre-feuilles; Ceintacé; Chapeau Lisson; Chevelure de Tal Kasha; Sandales de Tal Kasha; Dofus Pourpre; Dofus Turquoise; Remueur; Nomade; Miraculé majeur; Vigoureux majeur; Muldo Prune et Ebène</t>
        </is>
      </c>
    </row>
    <row r="18171">
      <c r="A18171" t="inlineStr">
        <is>
          <t>Terre air</t>
        </is>
      </c>
      <c r="B18171">
        <f>HYPERLINK("https://www.dofusbook.net/fr/equipement/2670019-terre-air/objets", "link")</f>
        <v/>
      </c>
      <c r="C18171" t="n">
        <v>0</v>
      </c>
      <c r="D18171" t="inlineStr">
        <is>
          <t>Lance corrompue; Amulette de l'Indicible; Anneau des égarés; Alliance Brûlâme; Bouclier du Stalak; Ceinture de la Reine des Voleurs; Coiffe de la Reine des Voleurs; Cape du Kamasterisk; Baleinabottes; Dofus Pourpre; Dofus des Glaces; Vigoureux majeur; Miraculé majeur; Remueur; Muldo Orchidée</t>
        </is>
      </c>
    </row>
    <row r="18172">
      <c r="A18172" t="inlineStr">
        <is>
          <t>Moneca</t>
        </is>
      </c>
      <c r="B18172">
        <f>HYPERLINK("https://www.dofusbook.net/fr/equipement/2654884-moneca/objets", "link")</f>
        <v/>
      </c>
      <c r="C18172" t="n">
        <v>0</v>
      </c>
      <c r="D18172" t="inlineStr">
        <is>
          <t>Héqache; Amulette du Strigide; Anneau Chevelu; Bracelet du Piloztère; Quatre-feuilles; Ceintacé; Casque des égarés; Cape du Cœur Vaillant; Bottes du Cœur Vaillant; Dofus Pourpre; Dofus Turquoise; Vigoureux majeur; Remueur; Nomade; Muldo Orchidée et Pourpre</t>
        </is>
      </c>
    </row>
    <row r="18173">
      <c r="A18173" t="inlineStr">
        <is>
          <t>Feca eau</t>
        </is>
      </c>
      <c r="B18173">
        <f>HYPERLINK("https://www.dofusbook.net/fr/equipement/2637310-feca-eau/objets", "link")</f>
        <v/>
      </c>
      <c r="C18173" t="n">
        <v>0</v>
      </c>
      <c r="D18173" t="inlineStr"/>
    </row>
    <row r="18174">
      <c r="A18174" t="inlineStr">
        <is>
          <t>Elio eau</t>
        </is>
      </c>
      <c r="B18174">
        <f>HYPERLINK("https://www.dofusbook.net/fr/equipement/2622619-elio-eau/objets", "link")</f>
        <v/>
      </c>
      <c r="C18174" t="n">
        <v>0</v>
      </c>
      <c r="D18174" t="inlineStr"/>
    </row>
    <row r="18175">
      <c r="A18175" t="inlineStr">
        <is>
          <t>roub team</t>
        </is>
      </c>
      <c r="B18175">
        <f>HYPERLINK("https://www.dofusbook.net/fr/equipement/2618090-roub-team/objets", "link")</f>
        <v/>
      </c>
      <c r="C18175" t="n">
        <v>0</v>
      </c>
      <c r="D18175" t="inlineStr">
        <is>
          <t>Manthache; Collier du Valet Veinard; Gant du Valet Veinard; Alliance Gloursonne; Bouclier du Stalak; Menoture; Couronne d'Allister; Cape de la Fuji Givrefoux; Baleinabottes; Miraculé majeur; Vigoureux majeur; Remueur; Cascadeur majeur; Nomade; Dévastateur Air majeur; Siroko</t>
        </is>
      </c>
    </row>
    <row r="18176">
      <c r="A18176" t="inlineStr">
        <is>
          <t>New mode</t>
        </is>
      </c>
      <c r="B18176">
        <f>HYPERLINK("https://www.dofusbook.net/fr/equipement/2604194-new-mode/objets", "link")</f>
        <v/>
      </c>
      <c r="C18176" t="n">
        <v>3</v>
      </c>
      <c r="D18176" t="inlineStr">
        <is>
          <t>Sabres d'Atcham; Amulette de l'Œil Putride; Bracelet du Piloztère; Alliance Gloursonne; Quatre-feuilles; Ceintacé; Boucle d'oreille de Kongoku; Cape de l'Œil Putride; Sandales de Tal Kasha; Dofus Turquoise; Dofus Pourpre; Vigoureux majeur; Remueur; Muldo Ebène et Pourpre</t>
        </is>
      </c>
    </row>
    <row r="18177">
      <c r="A18177" t="inlineStr">
        <is>
          <t>Ougi eau</t>
        </is>
      </c>
      <c r="B18177">
        <f>HYPERLINK("https://www.dofusbook.net/fr/equipement/2598416-ougi-eau/objets", "link")</f>
        <v/>
      </c>
      <c r="C18177" t="n">
        <v>0</v>
      </c>
      <c r="D18177" t="inlineStr">
        <is>
          <t>Sceptre du Roi Joueur; Amulette de Shokkoth; Bracelet des Fonds marins; Alliance Gloursonne; Quatre-feuilles; Ceinture du Barbétoal; Kidibonnet; Cape de la Dame du Hasard; Bottes de la Dame du Hasard; Dofus Turquoise; Dofus Pourpre; Chanceux majeur; Remueur; Vigoureux majeur; Nomade</t>
        </is>
      </c>
    </row>
    <row r="18178">
      <c r="A18178" t="inlineStr">
        <is>
          <t>Sacri terre beta</t>
        </is>
      </c>
      <c r="B18178">
        <f>HYPERLINK("https://www.dofusbook.net/fr/equipement/2555544-sacri-terre-beta/objets", "link")</f>
        <v/>
      </c>
      <c r="C18178" t="n">
        <v>1</v>
      </c>
      <c r="D18178" t="inlineStr">
        <is>
          <t>Arc du Chalœil; Amulette du Strigide; Bracelet du Piloztère; Anneau Chevelu; Quatre-feuilles; Ceinture du Strigide; Masque de Koutoulou; Cape au Logis; Baleinabottes; Dofus Turquoise; Remueur; Enragé majeur; Nomade; Vigoureux majeur; Miraculé majeur; Kramkram</t>
        </is>
      </c>
    </row>
    <row r="18179">
      <c r="A18179" t="inlineStr">
        <is>
          <t>Enubeta</t>
        </is>
      </c>
      <c r="B18179">
        <f>HYPERLINK("https://www.dofusbook.net/fr/equipement/2525629-enubeta/objets", "link")</f>
        <v/>
      </c>
      <c r="C18179" t="n">
        <v>6</v>
      </c>
      <c r="D18179" t="inlineStr">
        <is>
          <t>Sceptre du Roi Joueur; Amulette de Shokkoth; Alliance Gloursonne; Pikano; Bouclier du Stalak; Poulpagne; Kidibonnet; Voilamibe; Pikottes; Chanceux majeur; Remueur; Dévastateur Eau majeur; Nomade; Vigoureux majeur; Dehluge</t>
        </is>
      </c>
    </row>
    <row r="18180">
      <c r="A18180" t="inlineStr">
        <is>
          <t>Panda maj</t>
        </is>
      </c>
      <c r="B18180">
        <f>HYPERLINK("https://www.dofusbook.net/fr/equipement/2524852-panda-maj/objets", "link")</f>
        <v/>
      </c>
      <c r="C18180" t="n">
        <v>0</v>
      </c>
      <c r="D18180" t="inlineStr"/>
    </row>
    <row r="18181">
      <c r="A18181" t="inlineStr">
        <is>
          <t>Terre</t>
        </is>
      </c>
      <c r="B18181">
        <f>HYPERLINK("https://www.dofusbook.net/fr/equipement/2518885-terre/objets", "link")</f>
        <v/>
      </c>
      <c r="C18181" t="n">
        <v>2</v>
      </c>
      <c r="D18181" t="inlineStr">
        <is>
          <t>Lance corrompue; Amulette du Kamasterisk; Bracelet du Piloztère; Alliance Brûlâme; Bouclier du Stalak; Ceinture de Nevark; Chapoulpe; Cape de Nevark; Baleinabottes; Dofus des Glaces; Dofus Pourpre; Vigoureux majeur; Nomade; Remueur; Sanguinaire majeur; Muldo Ebène et Pourpre</t>
        </is>
      </c>
    </row>
    <row r="18182">
      <c r="A18182" t="inlineStr">
        <is>
          <t>Beta</t>
        </is>
      </c>
      <c r="B18182">
        <f>HYPERLINK("https://www.dofusbook.net/fr/equipement/2494793-beta/objets", "link")</f>
        <v/>
      </c>
      <c r="C18182" t="n">
        <v>0</v>
      </c>
      <c r="D18182" t="inlineStr">
        <is>
          <t>Hache du Chalœil; Amulette du Strigide; Pikano; Bracelet du Piloztère; Quatre-feuilles; Ceinture du Strigide; Chapeau Lisson; Voile d'encre; Bottes Honyme; Dofus Pourpre; Dofus Turquoise; Miraculé majeur; Remueur; Vigoureux majeur; Muldo Indigo et Pourpre</t>
        </is>
      </c>
    </row>
    <row r="18183">
      <c r="A18183" t="inlineStr">
        <is>
          <t>Variante</t>
        </is>
      </c>
      <c r="B18183">
        <f>HYPERLINK("https://www.dofusbook.net/fr/equipement/2494689-variante/objets", "link")</f>
        <v/>
      </c>
      <c r="C18183" t="n">
        <v>0</v>
      </c>
      <c r="D18183" t="inlineStr"/>
    </row>
    <row r="18184">
      <c r="A18184" t="inlineStr">
        <is>
          <t>Sacri terre</t>
        </is>
      </c>
      <c r="B18184">
        <f>HYPERLINK("https://www.dofusbook.net/fr/equipement/2489915-sacri-terre/objets", "link")</f>
        <v/>
      </c>
      <c r="C18184" t="n">
        <v>1</v>
      </c>
      <c r="D18184" t="inlineStr">
        <is>
          <t>Arc du Chalœil; Amulette du Cœur Saignant; Bracelet du Piloztère; Anneau Chevelu; Quatre-feuilles; Ceinture Gence; Chapeau de Gein; Cape au Logis; Bottes du Cœur Saignant; Dofus Pourpre; Dofus Turquoise; Remueur; Vigoureux majeur; Miraculé majeur; Enragé majeur; Kramkram</t>
        </is>
      </c>
    </row>
    <row r="18185">
      <c r="A18185" t="inlineStr">
        <is>
          <t>eau feu air</t>
        </is>
      </c>
      <c r="B18185">
        <f>HYPERLINK("https://www.dofusbook.net/fr/equipement/2478167-eau-feu-air/objets", "link")</f>
        <v/>
      </c>
      <c r="C18185" t="n">
        <v>1</v>
      </c>
      <c r="D18185" t="inlineStr">
        <is>
          <t>Baguette Range; Amulette du Strigide; Anneau de Padgref; Bracelet du Piloztère; Quatre-feuilles; Ceintacé; Kidibonnet; Chevelure de Tal Kasha</t>
        </is>
      </c>
    </row>
    <row r="18186">
      <c r="A18186" t="inlineStr">
        <is>
          <t>Poulet</t>
        </is>
      </c>
      <c r="B18186">
        <f>HYPERLINK("https://www.dofusbook.net/fr/equipement/2453401-poulet/objets", "link")</f>
        <v/>
      </c>
      <c r="C18186" t="n">
        <v>1</v>
      </c>
      <c r="D18186" t="inlineStr">
        <is>
          <t>Rapière aux Glyphes; Amulette de l'Œil Attentif; Bracelet des Fonds marins; Alliance Gloursonne; Bouclier d'Ilyzaelle; Pagne du Rykaon; Kidibonnet; Cape de la Dame du Hasard; Bottes de la Dame du Hasard; Dofus Pourpre; Dofus Turquoise; Remueur; Vigoureux majeur; Nomade; Chanceux majeur; Dehluge</t>
        </is>
      </c>
    </row>
    <row r="18187">
      <c r="A18187" t="inlineStr">
        <is>
          <t>Arc koutoulou</t>
        </is>
      </c>
      <c r="B18187">
        <f>HYPERLINK("https://www.dofusbook.net/fr/equipement/2448171-arc-koutoulou/objets", "link")</f>
        <v/>
      </c>
      <c r="C18187" t="n">
        <v>2</v>
      </c>
      <c r="D18187" t="inlineStr">
        <is>
          <t>Arc de Koutoulou; Amulette du Strigide; Alliance Gloursonne; Bracelet du Piloztère; Quatre-feuilles; Ceintacé; Némès de Tal Kasha; Chevelure de Tal Kasha; Sandales  d'Atcham; Dofus Émeraude; Dofus Pourpre; Dofus Ivoire; Dofus Turquoise; Miraculé majeur; Remueur; Muldo Prune et Ebène</t>
        </is>
      </c>
    </row>
    <row r="18188">
      <c r="A18188" t="inlineStr">
        <is>
          <t>Hache chaloeil</t>
        </is>
      </c>
      <c r="B18188">
        <f>HYPERLINK("https://www.dofusbook.net/fr/equipement/2447967-hache-chaloeil-/objets", "link")</f>
        <v/>
      </c>
      <c r="C18188" t="n">
        <v>1</v>
      </c>
      <c r="D18188" t="inlineStr">
        <is>
          <t>Hache du Chalœil; Amulette du Strigide; Bracelet du Piloztère; Pikano; Quatre-feuilles; Ceinture du Strigide; Chapeau Lisson; Chevelure de Tal Kasha; Bottes du Chalœil; Dofus Ocre; Dofus Turquoise; Dolmanax; Dofus Pourpre; Remueur; Nomade; Kramkram</t>
        </is>
      </c>
    </row>
    <row r="18189">
      <c r="A18189" t="inlineStr">
        <is>
          <t>steam pour paul</t>
        </is>
      </c>
      <c r="B18189">
        <f>HYPERLINK("https://www.dofusbook.net/fr/equipement/2435343-steam-pour-paul/objets", "link")</f>
        <v/>
      </c>
      <c r="C18189" t="n">
        <v>0</v>
      </c>
      <c r="D18189" t="inlineStr">
        <is>
          <t>Arc Nécrotique; Amulette du Strigide; Pikano; Bracelet du Piloztère; Quatre-feuilles; Ceintacé; Casque du Chalœil; Cape de la Dame du Hasard; Bottes du Chalœil; Dofus Turquoise; Dolmanax; Dofus Pourpre; Vigoureux majeur; Remueur; Nomade</t>
        </is>
      </c>
    </row>
    <row r="18190">
      <c r="A18190" t="inlineStr">
        <is>
          <t>Terre pour vince</t>
        </is>
      </c>
      <c r="B18190">
        <f>HYPERLINK("https://www.dofusbook.net/fr/equipement/2389936-terre-pour-vince/objets", "link")</f>
        <v/>
      </c>
      <c r="C18190" t="n">
        <v>0</v>
      </c>
      <c r="D18190" t="inlineStr">
        <is>
          <t>Arc du Chalœil; Amulette du Strigide; Pikano; Anneau Chevelu; Quatre-feuilles; Ceinture du Strigide; Masque de Koutoulou; Cape au Logis; Sabots Minables; Dofus Turquoise; Miraculé majeur; Nomade; Enragé majeur; Vigoureux majeur; Remueur; Kompost</t>
        </is>
      </c>
    </row>
    <row r="18191">
      <c r="A18191" t="inlineStr">
        <is>
          <t>Stuff 2</t>
        </is>
      </c>
      <c r="B18191">
        <f>HYPERLINK("https://www.dofusbook.net/fr/equipement/1032868-stuff-2/objets", "link")</f>
        <v/>
      </c>
      <c r="C18191" t="n">
        <v>0</v>
      </c>
      <c r="D18191" t="inlineStr">
        <is>
          <t>Hache du Guerrier Zoth; Ougamulette; Bague de Boréale; Gelano; Bouclier Taverne; Ceinture de Boréale; Coiffe de Boréale; Cape Peupret; Bottes de Boréale; Dokoko; Dofus Ocre; Dofus Pourpre; Dofus des Glaces; Féroce majeur; Robuste majeur; Muldo Doré</t>
        </is>
      </c>
    </row>
    <row r="18192">
      <c r="A18192" t="inlineStr">
        <is>
          <t>Stuff 3</t>
        </is>
      </c>
      <c r="B18192">
        <f>HYPERLINK("https://www.dofusbook.net/fr/equipement/1032845-stuff-3/objets", "link")</f>
        <v/>
      </c>
      <c r="C18192" t="n">
        <v>0</v>
      </c>
      <c r="D18192" t="inlineStr">
        <is>
          <t>Hache du Chalœil; Amulette du Strigide; Bracelet du Piloztère; Pikano; Bouclier Taverne; Ceintacé; Casque du Chalœil; Voile d'encre; Bottes du Chalœil; Dofus Turquoise; Dolmanax; Dofus Pourpre; Remueur; Miraculé majeur; Vigoureux majeur; Muldo Indigo et Pourpre</t>
        </is>
      </c>
    </row>
    <row r="18193">
      <c r="A18193" t="inlineStr">
        <is>
          <t>Eni eau/air</t>
        </is>
      </c>
      <c r="B18193">
        <f>HYPERLINK("https://www.dofusbook.net/fr/equipement/2310910-eni-eau-air/objets", "link")</f>
        <v/>
      </c>
      <c r="C18193" t="n">
        <v>0</v>
      </c>
      <c r="D18193" t="inlineStr">
        <is>
          <t>Arc de Koutoulou; Amulette du Strigide; Alliance Gloursonne; Anneau de Padgref; Quatre-feuilles; Ceinture du Barbétoal; Némès de Tal Kasha; Chevelure de Tal Kasha; Sandales  d'Atcham; Dofus Ocre; Dofus Pourpre; Dofus Turquoise; Nomade; Étourdisseur majeur; Remueur; Muldo Prune et Ebène</t>
        </is>
      </c>
    </row>
    <row r="18194">
      <c r="A18194" t="inlineStr">
        <is>
          <t>Chaloeil</t>
        </is>
      </c>
      <c r="B18194">
        <f>HYPERLINK("https://www.dofusbook.net/fr/equipement/2299843-chaloeil/objets", "link")</f>
        <v/>
      </c>
      <c r="C18194" t="n">
        <v>2</v>
      </c>
      <c r="D18194" t="inlineStr">
        <is>
          <t>Hache du Chalœil; Amulette du Strigide; Pikano; Bracelet du Piloztère; Bouclier Taverne; Ceinture du Strigide; Coiffe du Lévitrof; Dofusteuse; Bottes du Chalœil; Dofus Pourpre; Dokoko; Dofus Turquoise; Dofus Ocre; Miraculé majeur; Remueur; Muldo Indigo et Pourpre</t>
        </is>
      </c>
    </row>
    <row r="18195">
      <c r="A18195" t="inlineStr">
        <is>
          <t>Stuff 2</t>
        </is>
      </c>
      <c r="B18195">
        <f>HYPERLINK("https://www.dofusbook.net/fr/equipement/1032841-stuff-2/objets", "link")</f>
        <v/>
      </c>
      <c r="C18195" t="n">
        <v>0</v>
      </c>
      <c r="D18195" t="inlineStr">
        <is>
          <t>Sceptre du Roi Joueur; Amulette de Shokkoth; Bracelet des Fonds marins; Alliance Gloursonne; Bouclier du Stalak; Ceinture de la Reine des Voleurs; Kidibonnet; Cape de l'Œil Attentif; Bottes de la Reine des Voleurs; Dofus des Glaces; Chanceux majeur; Nomade; Dévastateur Eau majeur; Remueur; Miraculé majeur; Muldo Indigo et Pourpre</t>
        </is>
      </c>
    </row>
    <row r="18196">
      <c r="A18196" t="inlineStr">
        <is>
          <t>Stuff 2</t>
        </is>
      </c>
      <c r="B18196">
        <f>HYPERLINK("https://www.dofusbook.net/fr/equipement/1032865-stuff-2/objets", "link")</f>
        <v/>
      </c>
      <c r="C18196" t="n">
        <v>0</v>
      </c>
      <c r="D18196" t="inlineStr">
        <is>
          <t>Arc Ontanporin; Amulette de l'Œil Attentif; Alliance Gloursonne; Bracelet des Fonds marins; Quatre-feuilles; Ceinture de l'Esprit Malsain; Kidibonnet; Chevelure de Tal Kasha; Sandales de Tal Kasha; Dofus Pourpre; Dofus Turquoise; Nomade; Chanceux majeur; Remueur</t>
        </is>
      </c>
    </row>
    <row r="18197">
      <c r="A18197" t="inlineStr">
        <is>
          <t>Feu eau</t>
        </is>
      </c>
      <c r="B18197">
        <f>HYPERLINK("https://www.dofusbook.net/fr/equipement/2044620-feu-eau/objets", "link")</f>
        <v/>
      </c>
      <c r="C18197" t="n">
        <v>1</v>
      </c>
      <c r="D18197" t="inlineStr">
        <is>
          <t>Arc Nécrotique; Talisman Igans; Bracelet du Piloztère; Anneau Tique; Quatre-feuilles; Ceintacé; Chapeau Lisson; Cape de la Dame du Hasard; Bottes de la Dame du Hasard; Dofus Turquoise; Dokoko; Dofus Pourpre; Vigoureux majeur; Remueur; Nomade; Muldo Orchidée</t>
        </is>
      </c>
    </row>
    <row r="18198">
      <c r="A18198" t="inlineStr">
        <is>
          <t>Panda terre</t>
        </is>
      </c>
      <c r="B18198">
        <f>HYPERLINK("https://www.dofusbook.net/fr/equipement/2035662-panda-terre/objets", "link")</f>
        <v/>
      </c>
      <c r="C18198" t="n">
        <v>0</v>
      </c>
      <c r="D18198" t="inlineStr">
        <is>
          <t>Arc du Chalœil; Amulette du Strigide; Anneau Chevelu; Chevalière du Roi Joueur; Quatre-feuilles; Ceintacé; Casque du Chalœil; Cape au Logis; Bottes du Chalœil; Dofus Pourpre; Dofus Turquoise; Dokoko; Remueur; Nomade; Enragé majeur; Muldo Indigo et Pourpre</t>
        </is>
      </c>
    </row>
    <row r="18199">
      <c r="A18199" t="inlineStr">
        <is>
          <t>Eau air</t>
        </is>
      </c>
      <c r="B18199">
        <f>HYPERLINK("https://www.dofusbook.net/fr/equipement/2020077-eau-air/objets", "link")</f>
        <v/>
      </c>
      <c r="C18199" t="n">
        <v>0</v>
      </c>
      <c r="D18199" t="inlineStr">
        <is>
          <t>Arc de Koutoulou; Amulette d'Ilyzaelle; Grésilanneau; Alliance Gloursonne; Bouclier du Stalak; Ceinture Voldelor; Casque d'Ilyzaelle; Cape de l'Œil Putride; Bottes de l'Esprit Salvateur</t>
        </is>
      </c>
    </row>
    <row r="18200">
      <c r="A18200" t="inlineStr">
        <is>
          <t>Feca baton</t>
        </is>
      </c>
      <c r="B18200">
        <f>HYPERLINK("https://www.dofusbook.net/fr/equipement/1995673-feca-baton/objets", "link")</f>
        <v/>
      </c>
      <c r="C18200" t="n">
        <v>0</v>
      </c>
      <c r="D18200" t="inlineStr">
        <is>
          <t>Lance corrompue; Amulette de l'Indicible; Anneau Chevelu; Anneau des égarés; Sept ans de malheur; Ceintouse; Chapoulpe; Cape du Cœur Vaillant; Baleinabottes; Dofus Pourpre; Dofus des Glaces; Étourdisseur majeur; Nomade; Vigoureux majeur; Remueur; Muldo Ebène et Pourpre</t>
        </is>
      </c>
    </row>
    <row r="18201">
      <c r="A18201" t="inlineStr">
        <is>
          <t>New cac</t>
        </is>
      </c>
      <c r="B18201">
        <f>HYPERLINK("https://www.dofusbook.net/fr/equipement/1952728-new-cac/objets", "link")</f>
        <v/>
      </c>
      <c r="C18201" t="n">
        <v>0</v>
      </c>
      <c r="D18201" t="inlineStr">
        <is>
          <t>Épée Brûlâme; Amulette de l'Œil Putride; Anneau de Padgref; Bracelet du Piloztère; Bouclier d'Ilyzaelle; Ceinture de l'Esprit Malsain; Chapeau Lisson; Cape de la Dame du Hasard; Bottes de la Dame du Hasard; Dofus Pourpre; Dofus des Glaces; Dofus Turquoise; Dofus Ocre; Remueur; Vigoureux majeur; Muldo Ebène et Orchidée</t>
        </is>
      </c>
    </row>
    <row r="18202">
      <c r="A18202" t="inlineStr">
        <is>
          <t>Feca feu arc</t>
        </is>
      </c>
      <c r="B18202">
        <f>HYPERLINK("https://www.dofusbook.net/fr/equipement/1950736-feca-feu-arc/objets", "link")</f>
        <v/>
      </c>
      <c r="C18202" t="n">
        <v>0</v>
      </c>
      <c r="D18202" t="inlineStr">
        <is>
          <t>Arc corrompu; Pendentif affamé; Anneau Tique; Anneau de Padgref; Quatre-feuilles; Ceinture Séculaire; Coiffe Séculaire; Cape de Diondin; Bottes de la Dame du Hasard; Dofus Ocre; Dofus Pourpre; Dofus Turquoise; Érudit majeur; Remueur; Nomade; Brûlih</t>
        </is>
      </c>
    </row>
    <row r="18203">
      <c r="A18203" t="inlineStr">
        <is>
          <t>zob srambad</t>
        </is>
      </c>
      <c r="B18203">
        <f>HYPERLINK("https://www.dofusbook.net/fr/equipement/1899897-zob-srambad/objets", "link")</f>
        <v/>
      </c>
      <c r="C18203" t="n">
        <v>0</v>
      </c>
      <c r="D18203" t="inlineStr">
        <is>
          <t>Dagues de Srambad; Amulette de Pol Ouatnos; Pikano; Bracelet du Piloztère; Cadran d'Eau; Ceinture de la Reine des Voleurs; Coiffe de la Reine des Voleurs; Cape du Chalœil; Baleinabottes; Dokoko; Dofus Pourpre; Dofus Émeraude; Dolmanax; Miraculé majeur; Remueur; Muldo Ebène et Orchidée</t>
        </is>
      </c>
    </row>
    <row r="18204">
      <c r="A18204" t="inlineStr">
        <is>
          <t>hup-beta</t>
        </is>
      </c>
      <c r="B18204">
        <f>HYPERLINK("https://www.dofusbook.net/fr/equipement/1850956-hup-beta/objets", "link")</f>
        <v/>
      </c>
      <c r="C18204" t="n">
        <v>0</v>
      </c>
      <c r="D18204" t="inlineStr">
        <is>
          <t>Pelle de Katrepat; Talisman Igans; Bracelet du Piloztère; Anneau Tique; Bouclier Taverne; Ceintacé; Casquette de Meno; Cape de la Dame du Hasard; Bottes de la Dame du Hasard; Dofus Turquoise; Dofus des Glaces; Dofus Pourpre; Nomade; Vigoureux majeur; Remueur; Muldo Prune et Orchidée</t>
        </is>
      </c>
    </row>
    <row r="18205">
      <c r="A18205" t="inlineStr">
        <is>
          <t>Vincent</t>
        </is>
      </c>
      <c r="B18205">
        <f>HYPERLINK("https://www.dofusbook.net/fr/equipement/1783995-vincent-/objets", "link")</f>
        <v/>
      </c>
      <c r="C18205" t="n">
        <v>2</v>
      </c>
      <c r="D18205" t="inlineStr">
        <is>
          <t>Hache Rot; Amulette du Sinistrofu; Gelano; Alliance Gloursonne; Bouclier cubiste; Ceinture de Danathor; Coiffe de Danathor; Cape Matelassée; Bottes du Nocturlabe; Remueur; Dévastateur Eau majeur; Nomade; Vigoureux majeur; Chanceux majeur; Dehluge</t>
        </is>
      </c>
    </row>
    <row r="18206">
      <c r="A18206" t="inlineStr">
        <is>
          <t>Pandafeuu</t>
        </is>
      </c>
      <c r="B18206">
        <f>HYPERLINK("https://www.dofusbook.net/fr/equipement/1655947-pandafeuu/objets", "link")</f>
        <v/>
      </c>
      <c r="C18206" t="n">
        <v>0</v>
      </c>
      <c r="D18206" t="inlineStr">
        <is>
          <t>Arc Hétype; Amulette de Nileza; Anneau de Nidas; Anneau Tique; Quatre-feuilles; Ceinture Séculaire; Couronne de Nidas; Cape de Diondin; Pataugastrique; Nomade; Vigoureux majeur; Miraculé majeur; Remueur; Érudit majeur; Muldo Indigo et Orchidée</t>
        </is>
      </c>
    </row>
    <row r="18207">
      <c r="A18207" t="inlineStr">
        <is>
          <t>Feu hetypre</t>
        </is>
      </c>
      <c r="B18207">
        <f>HYPERLINK("https://www.dofusbook.net/fr/equipement/1611669-feu-hetypre/objets", "link")</f>
        <v/>
      </c>
      <c r="C18207" t="n">
        <v>0</v>
      </c>
      <c r="D18207" t="inlineStr">
        <is>
          <t>Arc Hétype</t>
        </is>
      </c>
    </row>
    <row r="18208">
      <c r="A18208" t="inlineStr">
        <is>
          <t>Air esquive</t>
        </is>
      </c>
      <c r="B18208">
        <f>HYPERLINK("https://www.dofusbook.net/fr/equipement/1611086-air-esquive/objets", "link")</f>
        <v/>
      </c>
      <c r="C18208" t="n">
        <v>0</v>
      </c>
      <c r="D18208" t="inlineStr">
        <is>
          <t>Manthache; Collier du Valet Veinard; Gant du Valet Veinard; Alliance Gloursonne; Bouclier à hélice; Menoture; Couronne d'Allister; Cape du Kamasterisk; Palmes Trithons; Dofus des Glaces; Dofus Abyssal; Évasif majeur; Cascadeur majeur; Remueur; Dévastateur Air majeur; Muldo Turquoise et Ivoire</t>
        </is>
      </c>
    </row>
    <row r="18209">
      <c r="A18209" t="inlineStr">
        <is>
          <t>Air res</t>
        </is>
      </c>
      <c r="B18209">
        <f>HYPERLINK("https://www.dofusbook.net/fr/equipement/1610897-air-res/objets", "link")</f>
        <v/>
      </c>
      <c r="C18209" t="n">
        <v>0</v>
      </c>
      <c r="D18209" t="inlineStr">
        <is>
          <t>Manthache; Collier du Valet Veinard; Alliance Gloursonne; Gant du Valet Veinard; Cadran d'Air; Menoture; Casque Dragoeuf; Cape du Kamasterisk; Palmes Trithons; Dofus des Glaces; Dofus Abyssal; Dofus Pourpre; Remueur; Dévastateur Air majeur; Cascadeur majeur; Muldo Ebène et Orchidée</t>
        </is>
      </c>
    </row>
    <row r="18210">
      <c r="A18210" t="inlineStr">
        <is>
          <t>hache</t>
        </is>
      </c>
      <c r="B18210">
        <f>HYPERLINK("https://www.dofusbook.net/fr/equipement/1598926-hache/objets", "link")</f>
        <v/>
      </c>
      <c r="C18210" t="n">
        <v>2</v>
      </c>
      <c r="D18210" t="inlineStr">
        <is>
          <t>Hache du Chalœil; Amulette du Strigide; Pikano; Bracelet du Piloztère; Quatre-feuilles; Ceinture du Strigide; Coiffe du Lévitrof; Voile d'encre; Bottes du Chalœil; Dofus Abyssal; Dofus Turquoise; Dofus Nébuleux; Dofus Ocre; Dofus Pourpre; Remueur; Muldo Prune et Pourpre</t>
        </is>
      </c>
    </row>
    <row r="18211">
      <c r="A18211" t="inlineStr">
        <is>
          <t>full dofus</t>
        </is>
      </c>
      <c r="B18211">
        <f>HYPERLINK("https://www.dofusbook.net/fr/equipement/1598863-full-dofus/objets", "link")</f>
        <v/>
      </c>
      <c r="C18211" t="n">
        <v>1</v>
      </c>
      <c r="D18211" t="inlineStr">
        <is>
          <t>Hache du Chalœil; Amulette du Strigide; Anneau de Padgref; Bague Trithon; Quatre-feuilles; Ceinture du Strigide; Masque Trithon; Chevelure de Tal Kasha; Bottes Trithon; Dofus Turquoise; Dofus Nébuleux; Dofus Ocre; Dolmanax; Dofus Pourpre; Dofus des Glaces; Muldo Prune et Emeraude</t>
        </is>
      </c>
    </row>
    <row r="18212">
      <c r="A18212" t="inlineStr">
        <is>
          <t>Full eau</t>
        </is>
      </c>
      <c r="B18212">
        <f>HYPERLINK("https://www.dofusbook.net/fr/equipement/1595642-full-eau/objets", "link")</f>
        <v/>
      </c>
      <c r="C18212" t="n">
        <v>0</v>
      </c>
      <c r="D18212" t="inlineStr">
        <is>
          <t>Sceptre du Roi Joueur; Amulette de Shokkoth; Bracelet des Fonds marins; Pikano; Quatre-feuilles; Pagne du Rykaon; Némès de Tal Kasha; Cape de la Dame du Hasard; Sandales de Tal Kasha; Dofus des Glaces; Dofus Nébuleux; Dofus Pourpre; Dofus Ocre; Dofus Turquoise; Remueur; Muldo Prune et Emeraude</t>
        </is>
      </c>
    </row>
    <row r="18213">
      <c r="A18213" t="inlineStr">
        <is>
          <t>Xel-trick</t>
        </is>
      </c>
      <c r="B18213">
        <f>HYPERLINK("https://www.dofusbook.net/fr/equipement/1583501-xel-trick/objets", "link")</f>
        <v/>
      </c>
      <c r="C18213" t="n">
        <v>0</v>
      </c>
      <c r="D18213" t="inlineStr">
        <is>
          <t>Hache du Chalœil; Amulette du Strigide; Bracelet du Piloztère; Chevalière du Roi Joueur; Sept ans de malheur; Ceintacé; Masque Trithon; Voile d'encre; Bottes Trithon; Dolmanax; Dofus Pourpre; Dofus Turquoise; Remueur; Nomade; Étourdisseur majeur; Muldo Prune et Pourpre</t>
        </is>
      </c>
    </row>
    <row r="18214">
      <c r="A18214" t="inlineStr">
        <is>
          <t>Xelouu</t>
        </is>
      </c>
      <c r="B18214">
        <f>HYPERLINK("https://www.dofusbook.net/fr/equipement/1584452-xelouu/objets", "link")</f>
        <v/>
      </c>
      <c r="C18214" t="n">
        <v>0</v>
      </c>
      <c r="D18214" t="inlineStr">
        <is>
          <t>Arc de Koutoulou; Amulette Hale; Sept ans de malheur; Cape du Barbétoal</t>
        </is>
      </c>
    </row>
    <row r="18215">
      <c r="A18215" t="inlineStr">
        <is>
          <t>feu-tacle</t>
        </is>
      </c>
      <c r="B18215">
        <f>HYPERLINK("https://www.dofusbook.net/fr/equipement/1534900-feu-tacle/objets", "link")</f>
        <v/>
      </c>
      <c r="C18215" t="n">
        <v>0</v>
      </c>
      <c r="D18215" t="inlineStr">
        <is>
          <t>Plumeau Bil; Amulette d'Otomaï; Anneau Tamie; Anneau Tamie; Sept ans de malheur; Ceinture Séculaire; Coiffe Séculaire; Cape de Diondin; Pataugastrique; Temporiseur majeur; Érudit majeur; Remueur; Vigoureux majeur; Obstructeur majeur; Nomade; Muldo Roux et Orchidée</t>
        </is>
      </c>
    </row>
    <row r="18216">
      <c r="A18216" t="inlineStr">
        <is>
          <t>Res-crit</t>
        </is>
      </c>
      <c r="B18216">
        <f>HYPERLINK("https://www.dofusbook.net/fr/equipement/1515956-res-crit/objets", "link")</f>
        <v/>
      </c>
      <c r="C18216" t="n">
        <v>0</v>
      </c>
      <c r="D18216" t="inlineStr">
        <is>
          <t>Dagues Érhy; Amulette de Pol Ouatnos; Goulano; Baguistik; Jadis; Ceinture de Kongoku; Masque de Koutoulou; Cape du Chalœil; Goulbottes; Dofus Pourpre; Vigoureux majeur; Remueur; Miraculé majeur; Étourdisseur majeur; Fortification majeure; Muldo Roux et Orchidée</t>
        </is>
      </c>
    </row>
    <row r="18217">
      <c r="A18217" t="inlineStr">
        <is>
          <t>Elio pvm</t>
        </is>
      </c>
      <c r="B18217">
        <f>HYPERLINK("https://www.dofusbook.net/fr/equipement/1445366-elio-pvm/objets", "link")</f>
        <v/>
      </c>
      <c r="C18217" t="n">
        <v>0</v>
      </c>
      <c r="D18217" t="inlineStr">
        <is>
          <t>Manthache; Collier du Valet Veinard; Alliance Gloursonne; Gant du Valet Veinard; Bouclier du Stalak; Menoture; Couronne d'Allister; Cape de la Fuji Givrefoux; Baleinabottes; Miraculé majeur; Cascadeur majeur; Remueur; Vigoureux majeur; Fonceur majeur; Nomade; Siroko</t>
        </is>
      </c>
    </row>
    <row r="18218">
      <c r="A18218" t="inlineStr">
        <is>
          <t>Ret eau pvm</t>
        </is>
      </c>
      <c r="B18218">
        <f>HYPERLINK("https://www.dofusbook.net/fr/equipement/1436597-ret-eau-pvm/objets", "link")</f>
        <v/>
      </c>
      <c r="C18218" t="n">
        <v>4</v>
      </c>
      <c r="D18218" t="inlineStr">
        <is>
          <t>Dagues Açantes; Amulette de Shokkoth; Bracelet du Piloztère; Pikano; Bouclier cubiste; Poulpagne; Kidibonnet; Cape Tif; Pikottes; Entraveur majeur; Chanceux majeur; Remueur; Temporiseur majeur; Nomade; Vigoureux majeur; Muldo Doré et Amande</t>
        </is>
      </c>
    </row>
    <row r="18219">
      <c r="A18219" t="inlineStr">
        <is>
          <t>sacri stuff basique</t>
        </is>
      </c>
      <c r="B18219">
        <f>HYPERLINK("https://www.dofusbook.net/fr/equipement/1422687-sacri-stuff-basique-/objets", "link")</f>
        <v/>
      </c>
      <c r="C18219" t="n">
        <v>1</v>
      </c>
      <c r="D18219" t="inlineStr">
        <is>
          <t>Karnak; Amulette du Granduk; Alliance Gloursonne; Anneau d'Allister; Bouclier précieux; Ceinture de Nevark; Couronne d'Allister; Cape Matelassée; Pantoufles Émar; Miraculé; Miraculé majeur; Remueur; Cascadeur majeur; Nomade; Vigoureux majeur; Siroko</t>
        </is>
      </c>
    </row>
    <row r="18220">
      <c r="A18220" t="inlineStr">
        <is>
          <t>Panda eau pvm</t>
        </is>
      </c>
      <c r="B18220">
        <f>HYPERLINK("https://www.dofusbook.net/fr/equipement/1397466-panda-eau-pvm/objets", "link")</f>
        <v/>
      </c>
      <c r="C18220" t="n">
        <v>0</v>
      </c>
      <c r="D18220" t="inlineStr">
        <is>
          <t>Bâton K'Tueuh; Amulette du Sinistrofu; Bracelet du Piloztère; Alliance Gloursonne; Bouclier du Stalak; Ceinture du Barbétoal; Kidibonnet; Cape du Sinistrofu; Pataugastrique; Nomade; Fonceur majeur; Chanceux majeur; Vigoureux majeur; Remueur; Miraculé majeur; Dehluge</t>
        </is>
      </c>
    </row>
    <row r="18221">
      <c r="A18221" t="inlineStr">
        <is>
          <t>Enu pour ma team pvm</t>
        </is>
      </c>
      <c r="B18221">
        <f>HYPERLINK("https://www.dofusbook.net/fr/equipement/1343582-enu-pour-ma-team-pvm/objets", "link")</f>
        <v/>
      </c>
      <c r="C18221" t="n">
        <v>2</v>
      </c>
      <c r="D18221" t="inlineStr">
        <is>
          <t>Rapière aux Glyphes; Amulette de Shokkoth; Pikano; Bracelet du Piloztère; Bouclier cubiste; Ceinture Glaciale; Kidibonnet; Cape Matelassée; Pikottes; Remueur; Entraveur majeur; Nomade; Temporiseur; Chanceux majeur; Temporiseur majeur; Muldo Doré et Amande</t>
        </is>
      </c>
    </row>
    <row r="18222">
      <c r="A18222" t="inlineStr">
        <is>
          <t>Stuff 1</t>
        </is>
      </c>
      <c r="B18222">
        <f>HYPERLINK("https://www.dofusbook.net/fr/equipement/1032840-stuff-1/objets", "link")</f>
        <v/>
      </c>
      <c r="C18222" t="n">
        <v>0</v>
      </c>
      <c r="D18222" t="inlineStr">
        <is>
          <t>Baguette Héroclite; Amulette de Shokkoth; Alliance Gloursonne; Bracelet des Fonds marins; Bouclier du Cycloïde; Ceinture de la Reine des Voleurs; Kidibonnet; Cape de Mantaze; Bottes de la Reine des Voleurs; Dofus des Glaces; Nomade; Dévastateur Eau majeur; Chanceux majeur; Sanguinaire majeur; Remueur; Kramkram</t>
        </is>
      </c>
    </row>
    <row r="18223">
      <c r="A18223" t="inlineStr">
        <is>
          <t>Roub feu air</t>
        </is>
      </c>
      <c r="B18223">
        <f>HYPERLINK("https://www.dofusbook.net/fr/equipement/1373695-roub-feu-air/objets", "link")</f>
        <v/>
      </c>
      <c r="C18223" t="n">
        <v>0</v>
      </c>
      <c r="D18223" t="inlineStr">
        <is>
          <t>Marteau Phossile; Pendentif mignon de Koutoulou; Kralano; Anneau du Cycloïde; Bouclier du Stalak; Ceinture de Vortex; Casque Cyclopéen; Voilamibe; Pantoufles Émar; Dofus Pourpre; Dofus des Glaces; Dokoko; Remueur; Nomade; Vigoureux majeur; Kramkram</t>
        </is>
      </c>
    </row>
    <row r="18224">
      <c r="A18224" t="inlineStr">
        <is>
          <t>Multi</t>
        </is>
      </c>
      <c r="B18224">
        <f>HYPERLINK("https://www.dofusbook.net/fr/equipement/1368443-multi/objets", "link")</f>
        <v/>
      </c>
      <c r="C18224" t="n">
        <v>0</v>
      </c>
      <c r="D18224" t="inlineStr">
        <is>
          <t>Arc Honte; Amulette de l'Indicible; Alliance Gloursonne; Anneau Tique; Bouclier du Stalak; Ceinture de l'Indicible; Chapeau des Malveilleurs; Cape des Justiciers; Bottes du Chalœil; Dofus des Glaces; Dokoko; Dofus Pourpre; Nomade; Vigoureux majeur; Remueur; Kramkram</t>
        </is>
      </c>
    </row>
    <row r="18225">
      <c r="A18225" t="inlineStr">
        <is>
          <t>Iop-pvm</t>
        </is>
      </c>
      <c r="B18225">
        <f>HYPERLINK("https://www.dofusbook.net/fr/equipement/1318823-iop-pvm/objets", "link")</f>
        <v/>
      </c>
      <c r="C18225" t="n">
        <v>5</v>
      </c>
      <c r="D18225" t="inlineStr">
        <is>
          <t>Hache Téroïde; Amulette du Strigide; Bracelet du Piloztère; Bague Gloursonne; Bouclier du Captain Amakna; Ceintacé; Casque de Missiz Frizz; Cape au Logis; Bottes du Strigide; Dofus Turquoise; Dofus Pourpre; Remueur; Enragé majeur; Nomade; Vigoureux majeur; Kramkram</t>
        </is>
      </c>
    </row>
    <row r="18226">
      <c r="A18226" t="inlineStr">
        <is>
          <t>reroll</t>
        </is>
      </c>
      <c r="B18226">
        <f>HYPERLINK("https://www.dofusbook.net/fr/equipement/1296341-reroll/objets", "link")</f>
        <v/>
      </c>
      <c r="C18226" t="n">
        <v>1</v>
      </c>
      <c r="D18226" t="inlineStr">
        <is>
          <t>Marteau des égarés; Amulette du Strigide; Anneau de Padgref; Bracelet du Piloztère; Bouclier Taverne; Ceintacé; Casque du Chalœil; Voile d'encre; Bottes du Chalœil; Dofus Turquoise; Dolmanax; Dofus Pourpre; Nomade; Vigoureux majeur; Remueur; Kramkram</t>
        </is>
      </c>
    </row>
    <row r="18227">
      <c r="A18227" t="inlineStr">
        <is>
          <t>Stuff 1</t>
        </is>
      </c>
      <c r="B18227">
        <f>HYPERLINK("https://www.dofusbook.net/fr/equipement/1032843-stuff-1/objets", "link")</f>
        <v/>
      </c>
      <c r="C18227" t="n">
        <v>0</v>
      </c>
      <c r="D18227" t="inlineStr">
        <is>
          <t>Harpelle; Pendentif affamé; Anneau de Padgref; Anneau Tique; Bouclier du Captain Amakna; Ceinture Séculaire; Coiffe de Padgref; Cape de Diondin; Bottes Innommables; Dofus Pourpre; Dofus Turquoise; Nomade; Érudit majeur; Remueur; Vigoureux majeur; Brûlih</t>
        </is>
      </c>
    </row>
    <row r="18228">
      <c r="A18228" t="inlineStr">
        <is>
          <t>Feu pvpm</t>
        </is>
      </c>
      <c r="B18228">
        <f>HYPERLINK("https://www.dofusbook.net/fr/equipement/1258485-feu-pvpm/objets", "link")</f>
        <v/>
      </c>
      <c r="C18228" t="n">
        <v>0</v>
      </c>
      <c r="D18228" t="inlineStr">
        <is>
          <t>Baguette de Malléfisk; Pendentif mignon de Koutoulou; Anneauræus; Anneauræus; Bouclier du Stalak; Ceinture Séculaire; Casque Cyclopéen; Cape de Diondin; Bottes Innommables; Dofus des Glaces; Érudit majeur; Dévastateur Feu majeur; Miraculé majeur; Remueur; Nomade; Muldo Orchidée</t>
        </is>
      </c>
    </row>
    <row r="18229">
      <c r="A18229" t="inlineStr">
        <is>
          <t>Feu</t>
        </is>
      </c>
      <c r="B18229">
        <f>HYPERLINK("https://www.dofusbook.net/fr/equipement/1252295-feu/objets", "link")</f>
        <v/>
      </c>
      <c r="C18229" t="n">
        <v>0</v>
      </c>
      <c r="D18229" t="inlineStr">
        <is>
          <t>Arc Nécrotique; Talisman Igans; Anneau Tique; Bracelet du Piloztère; Quatre-feuilles; Ceintacé; Kidibonnet; Cape de la Dame du Hasard; Bottes de la Dame du Hasard; Dofus Pourpre; Dofus Émeraude; Dofus Turquoise; Remueur; Vigoureux majeur; Nomade; Muldo Orchidée</t>
        </is>
      </c>
    </row>
    <row r="18230">
      <c r="A18230" t="inlineStr">
        <is>
          <t>Osa seb</t>
        </is>
      </c>
      <c r="B18230">
        <f>HYPERLINK("https://www.dofusbook.net/fr/equipement/1243302-osa-seb/objets", "link")</f>
        <v/>
      </c>
      <c r="C18230" t="n">
        <v>0</v>
      </c>
      <c r="D18230" t="inlineStr">
        <is>
          <t>Bêche Asse; Amulette du Kamasterisk; Pikano; Alliance du Lévitrof; Cadran de Feu; Ceintacé; Casque Dragoeuf; Cape du Kamasterisk; Bottes du Katcheur; Dofus Émeraude; Dokoko; Dofus Pourpre; Enragé majeur; Miraculé majeur; Remueur; Muldo Orchidée et Pourpre</t>
        </is>
      </c>
    </row>
    <row r="18231">
      <c r="A18231" t="inlineStr">
        <is>
          <t>panda pvm</t>
        </is>
      </c>
      <c r="B18231">
        <f>HYPERLINK("https://www.dofusbook.net/fr/equipement/1174670-panda-pvm/objets", "link")</f>
        <v/>
      </c>
      <c r="C18231" t="n">
        <v>0</v>
      </c>
      <c r="D18231" t="inlineStr">
        <is>
          <t>Arc du Chalœil; Amulette du Strigide; Pikano; Bracelet du Piloztère; Quatre-feuilles; Ceinture de Brouce; Bonnet Ko; Cape au Logis; Baleinabottes; Fonceur majeur; Enragé majeur; Remueur; Vigoureux majeur; Cavaleur majeur; Nomade; Muldo Pourpre</t>
        </is>
      </c>
    </row>
    <row r="18232">
      <c r="A18232" t="inlineStr">
        <is>
          <t>poulet full eau</t>
        </is>
      </c>
      <c r="B18232">
        <f>HYPERLINK("https://www.dofusbook.net/fr/equipement/1168106-poulet-full-eau/objets", "link")</f>
        <v/>
      </c>
      <c r="C18232" t="n">
        <v>0</v>
      </c>
      <c r="D18232" t="inlineStr">
        <is>
          <t>Dagoulinantes; Amulette de Shokkoth; Alliance Gloursonne; Bracelet des Fonds marins; Bouclier du Captain Amakna; Ceinture Voldelor; Kidibonnet; Cape de Mantaze; Sandales des Fonds marins; Dofus Turquoise; Dofus Pourpre; Dofus Émeraude; Vigoureux majeur; Remueur; Étourdisseur majeur; Muldo Indigo et Pourpre</t>
        </is>
      </c>
    </row>
    <row r="18233">
      <c r="A18233" t="inlineStr">
        <is>
          <t>roub feu</t>
        </is>
      </c>
      <c r="B18233">
        <f>HYPERLINK("https://www.dofusbook.net/fr/equipement/1159596-roub-feu/objets", "link")</f>
        <v/>
      </c>
      <c r="C18233" t="n">
        <v>0</v>
      </c>
      <c r="D18233" t="inlineStr">
        <is>
          <t>Épée d'Otomaï; Amulette de Nileza; Anneau Tamie; Anneau Tamie; Bouclier du Stalak; Ceinture de Vortex; Coiffe Séculaire; Cape de Nileza; Pataugastrique; Dofus Pourpre; Dofus des Glaces; Nomade; Érudit majeur; Remueur; Dévastateur Feu majeur; Brûlih</t>
        </is>
      </c>
    </row>
    <row r="18234">
      <c r="A18234" t="inlineStr">
        <is>
          <t>Elio full air</t>
        </is>
      </c>
      <c r="B18234">
        <f>HYPERLINK("https://www.dofusbook.net/fr/equipement/1154064-elio-full-air/objets", "link")</f>
        <v/>
      </c>
      <c r="C18234" t="n">
        <v>0</v>
      </c>
      <c r="D18234" t="inlineStr">
        <is>
          <t>Manthache; Bouclier du Stalak</t>
        </is>
      </c>
    </row>
    <row r="18235">
      <c r="A18235" t="inlineStr">
        <is>
          <t>multi</t>
        </is>
      </c>
      <c r="B18235">
        <f>HYPERLINK("https://www.dofusbook.net/fr/equipement/1129631-multi/objets", "link")</f>
        <v/>
      </c>
      <c r="C18235" t="n">
        <v>1</v>
      </c>
      <c r="D18235" t="inlineStr">
        <is>
          <t>Hache du Chalœil; Amulette du Strigide; Chevalière du Roi Joueur; Bracelet du Piloztère; Quatre-feuilles; Ceinture du Strigide; Bonnet Ko; Voile d'encre; Bottes du Chalœil; Dofus Turquoise; Dofus Ocre; Dofus Pourpre; Dolmanax</t>
        </is>
      </c>
    </row>
    <row r="18236">
      <c r="A18236" t="inlineStr">
        <is>
          <t>Poulet</t>
        </is>
      </c>
      <c r="B18236">
        <f>HYPERLINK("https://www.dofusbook.net/fr/equipement/1121242-poulet/objets", "link")</f>
        <v/>
      </c>
      <c r="C18236" t="n">
        <v>1</v>
      </c>
      <c r="D18236" t="inlineStr">
        <is>
          <t>Arc de Koutoulou; Amulette du Strigide; Bracelet du Piloztère; Alliance Gloursonne; Quatre-feuilles; Ceinture du Strigide; Némès de Tal Kasha; Chevelure de Tal Kasha; Sandales de Tal Kasha; Dofus Émeraude; Dolmanax; Dokoko; Dofus Turquoise; Dofus Pourpre; Dofus Ocre; Muldo Ebène et Indigo</t>
        </is>
      </c>
    </row>
    <row r="18237">
      <c r="A18237" t="inlineStr">
        <is>
          <t>Multi</t>
        </is>
      </c>
      <c r="B18237">
        <f>HYPERLINK("https://www.dofusbook.net/fr/equipement/1113090-multi/objets", "link")</f>
        <v/>
      </c>
      <c r="C18237" t="n">
        <v>0</v>
      </c>
      <c r="D18237" t="inlineStr">
        <is>
          <t>Hache du Chalœil; Amulette du Strigide; Chevalière du Roi Joueur; Bracelet du Piloztère; Quatre-feuilles; Ceinture du Strigide; Bonnet Ko; Voile d'encre; Bottes du Chalœil; Dofus Pourpre; Dofus Turquoise; Dolmanax; Dofus Ocre; Nomade; Remueur; Muldo Pourpre</t>
        </is>
      </c>
    </row>
    <row r="18238">
      <c r="A18238" t="inlineStr">
        <is>
          <t>Seb feu eau</t>
        </is>
      </c>
      <c r="B18238">
        <f>HYPERLINK("https://www.dofusbook.net/fr/equipement/1113025-seb-feu-eau/objets", "link")</f>
        <v/>
      </c>
      <c r="C18238" t="n">
        <v>0</v>
      </c>
      <c r="D18238" t="inlineStr">
        <is>
          <t>Arc Nécrotique; Collier de la Dame du Hasard; Anneau Tique; Bracelet des Fonds marins; Quatre-feuilles; Ceinture de Kongoku; Kidibonnet; Cape de Meno; Bottes de la Dame du Hasard; Dofus Pourpre; Dofus Turquoise; Nomade; Vigoureux majeur; Remueur; Temporiseur majeur</t>
        </is>
      </c>
    </row>
    <row r="18239">
      <c r="A18239" t="inlineStr">
        <is>
          <t>Mode ced</t>
        </is>
      </c>
      <c r="B18239">
        <f>HYPERLINK("https://www.dofusbook.net/fr/equipement/1112971-mode-ced/objets", "link")</f>
        <v/>
      </c>
      <c r="C18239" t="n">
        <v>2</v>
      </c>
      <c r="D18239" t="inlineStr">
        <is>
          <t>Arc du Chalœil; Amulette Héroclite; Chevalière du Roi Joueur; Bracelet du Piloztère; Quatre-feuilles; Ceinture Gence; Chapeau de Gein; Cape du Kamasterisk; Bottes du Roi Joueur; Dofus Pourpre; Dofus Turquoise; Dofus Nébuleux; Nomade; Enragé majeur; Remueur; Kramkram</t>
        </is>
      </c>
    </row>
    <row r="18240">
      <c r="A18240" t="inlineStr">
        <is>
          <t>range</t>
        </is>
      </c>
      <c r="B18240">
        <f>HYPERLINK("https://www.dofusbook.net/fr/equipement/1109159-range/objets", "link")</f>
        <v/>
      </c>
      <c r="C18240" t="n">
        <v>0</v>
      </c>
      <c r="D18240" t="inlineStr">
        <is>
          <t>Baguette Range; Amulette du Strigide; Anneau de Padgref; Bracelet du Piloztère; Quatre-feuilles; Ceinture du Strigide; Coiffe de Padgref; Chevelure de Tal Kasha; Getas de Padgref; Dofus des Glaces; Dofus Turquoise; Dofus Émeraude; Dofus Ocre; Dofus Pourpre; Dolmanax; Muldo Prune et Emeraude</t>
        </is>
      </c>
    </row>
    <row r="18241">
      <c r="A18241" t="inlineStr">
        <is>
          <t>panda feu/eau</t>
        </is>
      </c>
      <c r="B18241">
        <f>HYPERLINK("https://www.dofusbook.net/fr/equipement/1033502-panda-feu-eau/objets", "link")</f>
        <v/>
      </c>
      <c r="C18241" t="n">
        <v>1</v>
      </c>
      <c r="D18241" t="inlineStr">
        <is>
          <t>Arc Nécrotique; Talisman Igans; Anneau Tique; Bracelet du Piloztère; Quatre-feuilles; Ceintacé; Casquette de Meno; Cape de la Dame du Hasard; Bottes de la Dame du Hasard; Dofus Pourpre; Dokoko; Dofus Turquoise; Dofus Émeraude; Vigoureux majeur; Remueur; Muldo Orchidée</t>
        </is>
      </c>
    </row>
    <row r="18242">
      <c r="A18242" t="inlineStr">
        <is>
          <t>poulet terre/air</t>
        </is>
      </c>
      <c r="B18242">
        <f>HYPERLINK("https://www.dofusbook.net/fr/equipement/1032878-poulet-terre-air/objets", "link")</f>
        <v/>
      </c>
      <c r="C18242" t="n">
        <v>0</v>
      </c>
      <c r="D18242" t="inlineStr">
        <is>
          <t>Héqache; Amulette du Kamasterisk; Bracelet du Piloztère; Anneau Chevelu; Bouclier du Captain Amakna; Ceintacé; Casque des égarés; Cape du Kamasterisk; Bottes du Chalœil; Dofus Pourpre; Dofus Émeraude; Dofus Turquoise; Remueur; Nomade; Vigoureux majeur; Kramkram</t>
        </is>
      </c>
    </row>
    <row r="18243">
      <c r="A18243" t="inlineStr">
        <is>
          <t>Stuff 2</t>
        </is>
      </c>
      <c r="B18243">
        <f>HYPERLINK("https://www.dofusbook.net/fr/equipement/1032872-stuff-2/objets", "link")</f>
        <v/>
      </c>
      <c r="C18243" t="n">
        <v>4</v>
      </c>
      <c r="D18243" t="inlineStr">
        <is>
          <t>Héqache; Amulette du Strigide; Anneau Chevelu; Bracelet du Piloztère; Bouclier du Captain Amakna; Ceintacé; Casque des égarés; Cape du Kamasterisk; Bottes du Kamasterisk; Dofus Émeraude; Dofus Pourpre; Dofus Turquoise; Nomade; Miraculé majeur; Remueur; Kramkram</t>
        </is>
      </c>
    </row>
    <row r="18244">
      <c r="A18244" t="inlineStr">
        <is>
          <t>Stuff 1</t>
        </is>
      </c>
      <c r="B18244">
        <f>HYPERLINK("https://www.dofusbook.net/fr/equipement/1032864-stuff-1/objets", "link")</f>
        <v/>
      </c>
      <c r="C18244" t="n">
        <v>0</v>
      </c>
      <c r="D18244" t="inlineStr">
        <is>
          <t>Harpelle; Pendentif affamé; Anneau Tique; Anneau Rifique; Ceinture de Vortex; Cagoule de Vortex; Voile d'encre; Bottes Innommables; Dofus Turquoise; Dofus Ocre; Nomade; Étourdisseur majeur; Remueur; Érudit majeur; El Scarador</t>
        </is>
      </c>
    </row>
    <row r="18245">
      <c r="A18245" t="inlineStr">
        <is>
          <t>Stuff 3</t>
        </is>
      </c>
      <c r="B18245">
        <f>HYPERLINK("https://www.dofusbook.net/fr/equipement/1032873-stuff-3/objets", "link")</f>
        <v/>
      </c>
      <c r="C18245" t="n">
        <v>1</v>
      </c>
      <c r="D18245" t="inlineStr">
        <is>
          <t>Héqache; Amulette de l'Indicible; Anneau des égarés; Bracelet du Piloztère; Ceinture de la Reine des Voleurs; Coiffe de la Reine des Voleurs; Cape du Kamasterisk; Tentassons; Dofus des Glaces; Dofus Pourpre; Dofus Ocre; Dofus Émeraude; Nomade; Remueur; Kramkram</t>
        </is>
      </c>
    </row>
    <row r="18246">
      <c r="A18246" t="inlineStr">
        <is>
          <t>Stuff 1</t>
        </is>
      </c>
      <c r="B18246">
        <f>HYPERLINK("https://www.dofusbook.net/fr/equipement/1032870-stuff-1/objets", "link")</f>
        <v/>
      </c>
      <c r="C18246" t="n">
        <v>2</v>
      </c>
      <c r="D18246" t="inlineStr">
        <is>
          <t>Sabres d'Atcham; Amulette du Strigide; Anneau de Padgref; Bracelet du Piloztère; Quatre-feuilles; Ceinture du Strigide; Coiffe de Padgref; Cape d'Atcham; Getas de Padgref; Dolmanax; Dofus Pourpre; Dofus Ocre; Dofus des Glaces; Dofus Turquoise; Dofus Émeraude; Croum</t>
        </is>
      </c>
    </row>
    <row r="18247">
      <c r="A18247" t="inlineStr">
        <is>
          <t>Stuff 2</t>
        </is>
      </c>
      <c r="B18247">
        <f>HYPERLINK("https://www.dofusbook.net/fr/equipement/1032872-stuff-2/objets", "link")</f>
        <v/>
      </c>
      <c r="C18247" t="n">
        <v>4</v>
      </c>
      <c r="D18247" t="inlineStr">
        <is>
          <t>Héqache; Amulette du Strigide; Bracelet du Piloztère; Anneau Chevelu; Bouclier du Captain Amakna; Ceintacé; Casque des égarés; Cape du Kamasterisk; Bottes du Kamasterisk; Dofus Pourpre; Dofus Turquoise; Dofus Émeraude; Nomade; Miraculé majeur; Remueur; Kramkram</t>
        </is>
      </c>
    </row>
    <row r="18248">
      <c r="A18248" t="inlineStr">
        <is>
          <t>Stuff 3</t>
        </is>
      </c>
      <c r="B18248">
        <f>HYPERLINK("https://www.dofusbook.net/fr/equipement/1032869-stuff-3/objets", "link")</f>
        <v/>
      </c>
      <c r="C18248" t="n">
        <v>0</v>
      </c>
      <c r="D18248" t="inlineStr">
        <is>
          <t>Dagues de Srambad; Amulette Luminescente; Bracelet du Piloztère; Pikano; Ceinture de la Reine des Voleurs; Coiffe de la Reine des Voleurs; Cape au Logis; Baleinabottes; Dofus Émeraude; Dofus Pourpre; Remueur; Carapace Air majeur; Chanceux majeur; Nomade; Kramkram</t>
        </is>
      </c>
    </row>
    <row r="18249">
      <c r="A18249" t="inlineStr">
        <is>
          <t>Stuff 1</t>
        </is>
      </c>
      <c r="B18249">
        <f>HYPERLINK("https://www.dofusbook.net/fr/equipement/1032846-stuff-1/objets", "link")</f>
        <v/>
      </c>
      <c r="C18249" t="n">
        <v>1</v>
      </c>
      <c r="D18249" t="inlineStr">
        <is>
          <t>Dagues de Srambad; Amulette de Pol Ouatnos; Alliance Gloursonne; Pikano; Ceinture de la Reine des Voleurs; Coiffe de la Reine des Voleurs; Cape au Logis; Baleinabottes; Dolmanax; Dofus Pourpre; Dofus Turquoise; Vigoureux majeur; Remueur; Miraculé majeur; Péki</t>
        </is>
      </c>
    </row>
    <row r="18250">
      <c r="A18250" t="inlineStr">
        <is>
          <t>Stuff 3</t>
        </is>
      </c>
      <c r="B18250">
        <f>HYPERLINK("https://www.dofusbook.net/fr/equipement/1032853-stuff-3/objets", "link")</f>
        <v/>
      </c>
      <c r="C18250" t="n">
        <v>1</v>
      </c>
      <c r="D18250" t="inlineStr">
        <is>
          <t>Baguette Hique; Amulette du Glourséleste; Anneau Tamie; Pikano; Ceinture Glaciale; Casquipik; Cape des Justiciers; Pantoufles Émar; Miraculé majeur; Temporiseur majeur; Vigoureux majeur; Nomade; Entraveur majeur; Remueur; Dehluge</t>
        </is>
      </c>
    </row>
    <row r="18251">
      <c r="A18251" t="inlineStr">
        <is>
          <t>Stuff 3</t>
        </is>
      </c>
      <c r="B18251">
        <f>HYPERLINK("https://www.dofusbook.net/fr/equipement/1032848-stuff-3/objets", "link")</f>
        <v/>
      </c>
      <c r="C18251" t="n">
        <v>1</v>
      </c>
      <c r="D18251" t="inlineStr">
        <is>
          <t>Dagues Érhy; Amulette du Strigide; Bracelet du Piloztère; Bague Gloursonne; Quatre-feuilles; Ceintacé; Chapeau de Gein; Cape au Logis; Bottes du Strigide; Dofus Turquoise; Dofus Pourpre; Vigoureux majeur; Miraculé majeur; Remueur; Nomade; Kramkram</t>
        </is>
      </c>
    </row>
    <row r="18252">
      <c r="A18252" t="inlineStr">
        <is>
          <t>Stuff 2</t>
        </is>
      </c>
      <c r="B18252">
        <f>HYPERLINK("https://www.dofusbook.net/fr/equipement/1032861-stuff-2/objets", "link")</f>
        <v/>
      </c>
      <c r="C18252" t="n">
        <v>2</v>
      </c>
      <c r="D18252" t="inlineStr">
        <is>
          <t>Dagoulinantes; Amulette de Shokkoth; Bracelet des Fonds marins; Alliance Gloursonne; Sangle Ouare; Kidibonnet; Cape de la Dame du Hasard; Sandales des Fonds marins; Dofus Turquoise; Vigoureux majeur; Dévastateur Eau majeur; Chanceux majeur; Remueur; Kramkram</t>
        </is>
      </c>
    </row>
    <row r="18253">
      <c r="A18253" t="inlineStr">
        <is>
          <t>Stuff 2</t>
        </is>
      </c>
      <c r="B18253">
        <f>HYPERLINK("https://www.dofusbook.net/fr/equipement/1032855-stuff-2/objets", "link")</f>
        <v/>
      </c>
      <c r="C18253" t="n">
        <v>0</v>
      </c>
      <c r="D18253" t="inlineStr">
        <is>
          <t>Epée Loponèze; Amulette de l'Indicible; Gant du Valet Veinard; Alliance Gloursonne; Bouclier du Cycloïde; Ceinture Voldelor; Coiffe de la Reine des Voleurs; Cape du Barbétoal; Bottes de la Reine des Voleurs; Dofus Pourpre; Dofus des Glaces; Dofus Ocre; Remueur; Vigoureux majeur; Nomade; Kramkram</t>
        </is>
      </c>
    </row>
    <row r="18254">
      <c r="A18254" t="inlineStr">
        <is>
          <t>Stuff 3</t>
        </is>
      </c>
      <c r="B18254">
        <f>HYPERLINK("https://www.dofusbook.net/fr/equipement/1032850-stuff-3/objets", "link")</f>
        <v/>
      </c>
      <c r="C18254" t="n">
        <v>1</v>
      </c>
      <c r="D18254" t="inlineStr">
        <is>
          <t>Dagoulinantes; Amulette de Shokkoth; Bracelet des Fonds marins; Alliance Gloursonne; Poulpagne; Kidibonnet; Cape de Mantaze; Sandales des Fonds marins; Dofus Turquoise; Dofus Pourpre; Vigoureux majeur; Nomade; Chanceux majeur; Remueur; Kramkram</t>
        </is>
      </c>
    </row>
    <row r="18255">
      <c r="A18255" t="inlineStr">
        <is>
          <t>Stuff 1</t>
        </is>
      </c>
      <c r="B18255">
        <f>HYPERLINK("https://www.dofusbook.net/fr/equipement/1032863-stuff-1/objets", "link")</f>
        <v/>
      </c>
      <c r="C18255" t="n">
        <v>2</v>
      </c>
      <c r="D18255" t="inlineStr">
        <is>
          <t>Arc Nécrotique; Talisman Igans; Anneau Tique; Bracelet des Fonds marins; Ceinture de l'Indicible; Casquette de Meno; Cape de Meno; Pataugastrique; Dofus Pourpre; Dofus Turquoise; Vigoureux majeur; Remueur; Temporiseur majeur; Nomade; Kramkram</t>
        </is>
      </c>
    </row>
    <row r="18256">
      <c r="A18256" t="inlineStr">
        <is>
          <t>Stuff 2</t>
        </is>
      </c>
      <c r="B18256">
        <f>HYPERLINK("https://www.dofusbook.net/fr/equipement/1032858-stuff-2/objets", "link")</f>
        <v/>
      </c>
      <c r="C18256" t="n">
        <v>0</v>
      </c>
      <c r="D18256" t="inlineStr">
        <is>
          <t>Collier de Tourthon; Anneau Chevelu; Pikano; Ceinture de la Cour Sombre; Masque de Koutoulou; Voile d'encre; Bottes de la Cour Sombre; Dofus Pourpre; Dofus Turquoise; Remueur; Enragé majeur; Vigoureux majeur; Nomade; Kramkram</t>
        </is>
      </c>
    </row>
    <row r="18257">
      <c r="A18257" t="inlineStr">
        <is>
          <t>Stuff 2</t>
        </is>
      </c>
      <c r="B18257">
        <f>HYPERLINK("https://www.dofusbook.net/fr/equipement/1032852-stuff-2/objets", "link")</f>
        <v/>
      </c>
      <c r="C18257" t="n">
        <v>1</v>
      </c>
      <c r="D18257" t="inlineStr">
        <is>
          <t>Arc Hétype; Collier de la Dame du Hasard; Anneau Tamie; Anneau Tamie; Sangle Aise; Couronne de Nidas; Cape de Meno; Tongues de Nidas; Entraveur majeur; Remueur; Temporiseur; Temporiseur majeur; Érudit majeur; Nomade; Brûlih</t>
        </is>
      </c>
    </row>
    <row r="18258">
      <c r="A18258" t="inlineStr">
        <is>
          <t>Stuff 2</t>
        </is>
      </c>
      <c r="B18258">
        <f>HYPERLINK("https://www.dofusbook.net/fr/equipement/1032847-stuff-2/objets", "link")</f>
        <v/>
      </c>
      <c r="C18258" t="n">
        <v>1</v>
      </c>
      <c r="D18258" t="inlineStr">
        <is>
          <t>Marteau des égarés; Amulette de l'Indicible; Bracelet du Piloztère; Chevalière du Roi Joueur; Ceinture de l'Indicible; Casque Dragoeuf; Cape du Chalœil; Baleinabottes; Dolmanax; Dofus Pourpre; Dofus Turquoise; Miraculé majeur; Remueur; Nomade; Kramkram</t>
        </is>
      </c>
    </row>
    <row r="18259">
      <c r="A18259" t="inlineStr">
        <is>
          <t>Stuff 1</t>
        </is>
      </c>
      <c r="B18259">
        <f>HYPERLINK("https://www.dofusbook.net/fr/equipement/1032860-stuff-1/objets", "link")</f>
        <v/>
      </c>
      <c r="C18259" t="n">
        <v>2</v>
      </c>
      <c r="D18259" t="inlineStr">
        <is>
          <t>Dagoulinantes; Amulette Luminescente; Bracelet des Fonds marins; Alliance Gloursonne; Ceinture Luminescente; Kidibonnet; Cape de Meno; Bottes de la Dame du Hasard; Dofus Turquoise; Chanceux majeur; Remueur; Nomade; Kramkram</t>
        </is>
      </c>
    </row>
    <row r="18260">
      <c r="A18260" t="inlineStr">
        <is>
          <t>Stuff 1</t>
        </is>
      </c>
      <c r="B18260">
        <f>HYPERLINK("https://www.dofusbook.net/fr/equipement/1032854-stuff-1/objets", "link")</f>
        <v/>
      </c>
      <c r="C18260" t="n">
        <v>0</v>
      </c>
      <c r="D18260" t="inlineStr">
        <is>
          <t>Dagoulinantes; Amulette de Shokkoth; Alliance Gloursonne; Bracelet des Fonds marins; Cadran de Terre; Ceinture du Barbétoal; Kidibonnet; Cape de Mantaze; Sandales des Fonds marins; Dofus des Glaces; Dévastateur Eau majeur; Remueur; Chanceux majeur; Nomade; Croum</t>
        </is>
      </c>
    </row>
    <row r="18261">
      <c r="A18261" t="inlineStr">
        <is>
          <t>Stuff 1</t>
        </is>
      </c>
      <c r="B18261">
        <f>HYPERLINK("https://www.dofusbook.net/fr/equipement/1032849-stuff-1/objets", "link")</f>
        <v/>
      </c>
      <c r="C18261" t="n">
        <v>1</v>
      </c>
      <c r="D18261" t="inlineStr">
        <is>
          <t>Arc Hétype; Pendentif affamé; Anneau Tique; Bague Gloursonne; Ceinture Séculaire; Coiffe Séculaire; Cape de Diondin; Pataugastrique; Carapace Terre majeur; Remueur; Carapace Feu majeur; Nomade; Carapace Eau majeur; Érudit majeur; Croum</t>
        </is>
      </c>
    </row>
    <row r="18262">
      <c r="A18262" t="inlineStr">
        <is>
          <t>Stuff 2</t>
        </is>
      </c>
      <c r="B18262">
        <f>HYPERLINK("https://www.dofusbook.net/fr/equipement/1032844-stuff-2/objets", "link")</f>
        <v/>
      </c>
      <c r="C18262" t="n">
        <v>0</v>
      </c>
      <c r="D18262" t="inlineStr">
        <is>
          <t>Marteau des égarés; Amulette Ementaire Deluxe; Alliance Gloursonne; Bracelet du Piloztère; Bouclier du Captain Amakna; Ceintacé; Casque du Chalœil; Voile d'encre; Bottes du Chalœil; Dofus Turquoise; Dolmanax; Dofus Pourpre; Dofus des Glaces; Remueur; Nomade; Kramkram</t>
        </is>
      </c>
    </row>
    <row r="18263">
      <c r="A18263" t="inlineStr">
        <is>
          <t>Stuff 3</t>
        </is>
      </c>
      <c r="B18263">
        <f>HYPERLINK("https://www.dofusbook.net/fr/equipement/1032862-stuff-3/objets", "link")</f>
        <v/>
      </c>
      <c r="C18263" t="n">
        <v>2</v>
      </c>
      <c r="D18263" t="inlineStr">
        <is>
          <t>Hache du Chalœil; Amulette du Strigide; Pikano; Bracelet du Piloztère; Quatre-feuilles; Ceintacé; Coiffe du Lévitrof; Voile d'encre; Bottes du Lévitrof; Dofus Pourpre; Dofus Turquoise; Dofus Émeraude; Temporiseur majeur; Nomade; Remueur; Kramkram</t>
        </is>
      </c>
    </row>
    <row r="18264">
      <c r="A18264" t="inlineStr">
        <is>
          <t>Stuff 3</t>
        </is>
      </c>
      <c r="B18264">
        <f>HYPERLINK("https://www.dofusbook.net/fr/equipement/1032856-stuff-3/objets", "link")</f>
        <v/>
      </c>
      <c r="C18264" t="n">
        <v>0</v>
      </c>
      <c r="D18264" t="inlineStr">
        <is>
          <t>Pelle de la Cour Sombre; Collier du Valet Veinard; Alliance Gloursonne; Gant du Valet Veinard; Menoture; Casque Dragoeuf; Cape Indescriptible; Palmes Trithons; Dofus des Glaces; Cascadeur majeur; Carapace Neutre majeur; Dévastateur Air majeur; Remueur; Croum</t>
        </is>
      </c>
    </row>
    <row r="18265">
      <c r="A18265" t="inlineStr">
        <is>
          <t>EniTouch1</t>
        </is>
      </c>
      <c r="B18265">
        <f>HYPERLINK("https://www.dofusbook.net/fr/equipement/4679098-enitouch1/objets", "link")</f>
        <v/>
      </c>
      <c r="C18265" t="n">
        <v>0</v>
      </c>
      <c r="D18265" t="inlineStr">
        <is>
          <t>Gelano; Dragodinde Prune et Emeraude</t>
        </is>
      </c>
    </row>
    <row r="18266">
      <c r="A18266" t="inlineStr">
        <is>
          <t>Enutrof M 200</t>
        </is>
      </c>
      <c r="B18266">
        <f>HYPERLINK("https://www.dofusbook.net/fr/equipement/4526574-enutrof-m-200/objets", "link")</f>
        <v/>
      </c>
      <c r="C18266" t="n">
        <v>0</v>
      </c>
      <c r="D18266" t="inlineStr"/>
    </row>
    <row r="18267">
      <c r="A18267" t="inlineStr">
        <is>
          <t>dopou</t>
        </is>
      </c>
      <c r="B18267">
        <f>HYPERLINK("https://www.dofusbook.net/fr/equipement/3960638-dopou/objets", "link")</f>
        <v/>
      </c>
      <c r="C18267" t="n">
        <v>4</v>
      </c>
      <c r="D18267" t="inlineStr">
        <is>
          <t>Arc du Chalœil; Torquistik; Baguistik; Alliance Gloursonne; Bouclier précieux; Sangle Ouare; Masque du Barbétoal; Cape Solution; Bottes Trithon; Dofus Ivoire; Dofus Ocre; Dofus Abyssal; Culbuteur; Culbuteur majeur; Bousculeur majeur; Tatouf</t>
        </is>
      </c>
    </row>
    <row r="18268">
      <c r="A18268" t="inlineStr">
        <is>
          <t>dopou2</t>
        </is>
      </c>
      <c r="B18268">
        <f>HYPERLINK("https://www.dofusbook.net/fr/equipement/3996581-dopou2/objets", "link")</f>
        <v/>
      </c>
      <c r="C18268" t="n">
        <v>0</v>
      </c>
      <c r="D18268" t="inlineStr">
        <is>
          <t>Casque Dragoeuf</t>
        </is>
      </c>
    </row>
    <row r="18269">
      <c r="A18269" t="inlineStr">
        <is>
          <t>Docritmongole</t>
        </is>
      </c>
      <c r="B18269">
        <f>HYPERLINK("https://www.dofusbook.net/fr/equipement/3959012-docritmongole/objets", "link")</f>
        <v/>
      </c>
      <c r="C18269" t="n">
        <v>5</v>
      </c>
      <c r="D18269" t="inlineStr">
        <is>
          <t>Arc du Chalœil; Amulette du Strigide; Bague Trithon; Bague Gloursonne; Quatre-feuilles; Ceinture du Strigide; Masque Trithon; Cape au Logis; Bottes Trithon; Dofus Turquoise; Dofus Abyssal; Dofus Ocre; Dofus Ivoire; Dofus Pourpre; Dofus des Glaces; Kokulte</t>
        </is>
      </c>
    </row>
    <row r="18270">
      <c r="A18270" t="inlineStr">
        <is>
          <t>docrit2</t>
        </is>
      </c>
      <c r="B18270">
        <f>HYPERLINK("https://www.dofusbook.net/fr/equipement/3968637-docrit2/objets", "link")</f>
        <v/>
      </c>
      <c r="C18270" t="n">
        <v>0</v>
      </c>
      <c r="D18270" t="inlineStr">
        <is>
          <t>Amulette du Strigide; Ceinture du Strigide; Masque Trithon</t>
        </is>
      </c>
    </row>
    <row r="18271">
      <c r="A18271" t="inlineStr">
        <is>
          <t>rescrit</t>
        </is>
      </c>
      <c r="B18271">
        <f>HYPERLINK("https://www.dofusbook.net/fr/equipement/3882713-rescrit/objets", "link")</f>
        <v/>
      </c>
      <c r="C18271" t="n">
        <v>4</v>
      </c>
      <c r="D18271" t="inlineStr">
        <is>
          <t>Lav'Hache; Torquistik; Goulano; Baguistik; Bouclier du Stalak; Ceinture de la Reine des Voleurs; Coiffe de la Reine des Voleurs; Cape au Logis; Bottistik; Dofus des Glaces; Dofus Pourpre; Dofus Ivoire; Dofus Abyssal; Dofus Ocre; Bastion majeur; Wabbit</t>
        </is>
      </c>
    </row>
    <row r="18272">
      <c r="A18272" t="inlineStr">
        <is>
          <t>Roublard F 200</t>
        </is>
      </c>
      <c r="B18272">
        <f>HYPERLINK("https://www.dofusbook.net/fr/equipement/3905647-roublard-f-200/objets", "link")</f>
        <v/>
      </c>
      <c r="C18272" t="n">
        <v>0</v>
      </c>
      <c r="D18272" t="inlineStr">
        <is>
          <t>La Baguette des Limbes; Amulette du Glourséleste; Mitaine Aibre; Gelano; Bouclier cubiste; Sangle Hyssérine; Coiffe Ainte; Cape Endaison; Bottes Opsy; Dofus Ocre; Dofus Cawotte; Entraveur majeur; Ralentisseur majeur</t>
        </is>
      </c>
    </row>
    <row r="18273">
      <c r="A18273" t="inlineStr">
        <is>
          <t>ecacheatmofaka</t>
        </is>
      </c>
      <c r="B18273">
        <f>HYPERLINK("https://www.dofusbook.net/fr/equipement/3825100-ecacheatmofaka/objets", "link")</f>
        <v/>
      </c>
      <c r="C18273" t="n">
        <v>3</v>
      </c>
      <c r="D18273" t="inlineStr">
        <is>
          <t>Rapière aux Glyphes; Amulette de Danathor; Bracelet du Piloztère; Alliance Gloursonne; Quatre-feuilles; Poulpagne; Coiffe de Danathor; Dofusteuse; Pataugastrique; Dofus Nébuleux; Dofus Pourpre; Remueur; Vigoureux majeur; Chanceux majeur; Nomade; Pioute bleu</t>
        </is>
      </c>
    </row>
    <row r="18274">
      <c r="A18274" t="inlineStr">
        <is>
          <t>Feupvp</t>
        </is>
      </c>
      <c r="B18274">
        <f>HYPERLINK("https://www.dofusbook.net/fr/equipement/3873500-feupvp/objets", "link")</f>
        <v/>
      </c>
      <c r="C18274" t="n">
        <v>0</v>
      </c>
      <c r="D18274" t="inlineStr">
        <is>
          <t>Coiffe Séculaire; Pataugastrique</t>
        </is>
      </c>
    </row>
    <row r="18275">
      <c r="A18275" t="inlineStr">
        <is>
          <t>cra multi</t>
        </is>
      </c>
      <c r="B18275">
        <f>HYPERLINK("https://www.dofusbook.net/fr/equipement/3820860-cra-multi/objets", "link")</f>
        <v/>
      </c>
      <c r="C18275" t="n">
        <v>5</v>
      </c>
      <c r="D18275" t="inlineStr">
        <is>
          <t>Bâton Beau; Amulette du Strigide; Bague Gloursonne; Bracelet du Piloztère; Quatre-feuilles; Ceinture du Strigide; Coiffe de Padgref; Cape Reski; Bottes du Cycloïde; Dolmanax; Dofus Nébuleux; Dofus Turquoise; Dofus Ocre; Nomade; Remueur; Sakochère</t>
        </is>
      </c>
    </row>
    <row r="18276">
      <c r="A18276" t="inlineStr">
        <is>
          <t>TERREBISTOUILLECHEAT</t>
        </is>
      </c>
      <c r="B18276">
        <f>HYPERLINK("https://www.dofusbook.net/fr/equipement/3809227-terrebistouillecheat/objets", "link")</f>
        <v/>
      </c>
      <c r="C18276" t="n">
        <v>2</v>
      </c>
      <c r="D18276" t="inlineStr">
        <is>
          <t>Héqache; Amulette du Strigide; Anneau Chevelu; Anneau Crustique; Bouclier d'Ilyzaelle; Ceintouse; Masque de Koutoulou; Cape au Logis; Baleinabottes; Nomade; Obstructeur majeur; Remueur; Enragé majeur; Carapace Terre majeur; Marcassin</t>
        </is>
      </c>
    </row>
    <row r="18277">
      <c r="A18277" t="inlineStr">
        <is>
          <t>Panda 12/6 sako multi</t>
        </is>
      </c>
      <c r="B18277">
        <f>HYPERLINK("https://www.dofusbook.net/fr/equipement/3809230-panda-12-6-sako-multi/objets", "link")</f>
        <v/>
      </c>
      <c r="C18277" t="n">
        <v>0</v>
      </c>
      <c r="D18277" t="inlineStr">
        <is>
          <t>Hache du Chalœil; Amulette du Strigide; Bracelet du Piloztère; Alliance Gloursonne; Quatre-feuilles; Ceinture du Strigide; Voile d'encre; Bottes du Chalœil; Dofus Turquoise; Dofus Pourpre; Dofus Ocre; Nomade; Vigoureux majeur; Remueur; Sakochère</t>
        </is>
      </c>
    </row>
    <row r="18278">
      <c r="A18278" t="inlineStr">
        <is>
          <t>Féca M 200</t>
        </is>
      </c>
      <c r="B18278">
        <f>HYPERLINK("https://www.dofusbook.net/fr/equipement/3548194-feca-m-200/objets", "link")</f>
        <v/>
      </c>
      <c r="C18278" t="n">
        <v>2</v>
      </c>
      <c r="D18278" t="inlineStr">
        <is>
          <t>Arc de Laikteur; Amulette du Strigide; Bracelet des Fonds marins; Bracelet du Piloztère; Quatre-feuilles; Ceinture du Strigide; Coiffe de Danathor; Cape de la Dame du Hasard; Bottes Honyme; Dofus des Glaces; Dokoko; Dofus Turquoise; Dofus Pourpre; Dofus Ocre; Nomade; Pioute bleu</t>
        </is>
      </c>
    </row>
    <row r="18279">
      <c r="A18279" t="inlineStr">
        <is>
          <t>Craakr</t>
        </is>
      </c>
      <c r="B18279">
        <f>HYPERLINK("https://www.dofusbook.net/fr/equipement/3437255-craakr/objets", "link")</f>
        <v/>
      </c>
      <c r="C18279" t="n">
        <v>0</v>
      </c>
      <c r="D18279" t="inlineStr">
        <is>
          <t>Canne Harr; Amulette d'Otomaï; Kralano; Anneau de Padgref; Ceinture du Glourséleste; Coiffe de Padgref; Cape Hiculteur; Getas de Padgref; Dofus Turquoise; Dokille; Dofus Pourpre; Dofus Cawotte; Dofus des Glaces; Dofus Ocre; Bébé Pandawa; Darclier</t>
        </is>
      </c>
    </row>
    <row r="18280">
      <c r="A18280" t="inlineStr">
        <is>
          <t>Féca M 200</t>
        </is>
      </c>
      <c r="B18280">
        <f>HYPERLINK("https://www.dofusbook.net/fr/equipement/3266314-feca-m-200/objets", "link")</f>
        <v/>
      </c>
      <c r="C18280" t="n">
        <v>0</v>
      </c>
      <c r="D18280" t="inlineStr">
        <is>
          <t>Kidorteau</t>
        </is>
      </c>
    </row>
    <row r="18281">
      <c r="A18281" t="inlineStr">
        <is>
          <t>do cri feu air eau</t>
        </is>
      </c>
      <c r="B18281">
        <f>HYPERLINK("https://www.dofusbook.net/fr/equipement/3098420-do-cri-feu-air-eau/objets", "link")</f>
        <v/>
      </c>
      <c r="C18281" t="n">
        <v>0</v>
      </c>
      <c r="D18281" t="inlineStr">
        <is>
          <t>Sabres d'Atcham; Amulette du Strigide; Kralano; Anneau de Padgref; Ceinture du Strigide; Coiffe de Padgref; Cape d'Atcham; Getas de Padgref; Dofus Pourpre; Dofus des Glaces; Dofus Émeraude; Dofus Turquoise; Dofus Ocre; Joueur majeur; Muldo Prune et Emeraude</t>
        </is>
      </c>
    </row>
    <row r="18282">
      <c r="A18282" t="inlineStr">
        <is>
          <t>feu</t>
        </is>
      </c>
      <c r="B18282">
        <f>HYPERLINK("https://www.dofusbook.net/fr/equipement/2474318-feu/objets", "link")</f>
        <v/>
      </c>
      <c r="C18282" t="n">
        <v>0</v>
      </c>
      <c r="D18282" t="inlineStr">
        <is>
          <t>La Baguette des Limbes; Amulette d'Otomaï; Gelano; Anneau de Padgref; Bouclier du Bûcheron; Ceinture du Glourséleste; Coiffe de Padgref; Cape du Bretteur Céleste; Getas de Padgref; Dofus Pourpre; Dofus Cawotte; Dofus Turquoise; Dofus Kaliptus; Dofus Émeraude; Dokoko; Brûlih</t>
        </is>
      </c>
    </row>
    <row r="18283">
      <c r="A18283" t="inlineStr">
        <is>
          <t>multi</t>
        </is>
      </c>
      <c r="B18283">
        <f>HYPERLINK("https://www.dofusbook.net/fr/equipement/2474323-multi/objets", "link")</f>
        <v/>
      </c>
      <c r="C18283" t="n">
        <v>1</v>
      </c>
      <c r="D18283" t="inlineStr">
        <is>
          <t>La Baguette des Limbes; Amulette de Frigostine; Alliance des Forestiers; Gelano; Bouclier du Bûcheron; Ceinture du Royalmouth; Koinkoiffe Rose; Cape Phossile; Bottes Phossiles; Dofus Émeraude; Dofus Pourpre; Dokoko; Dofus Cawotte; Remueur; Observateur; Brûlih</t>
        </is>
      </c>
    </row>
    <row r="18284">
      <c r="A18284" t="inlineStr">
        <is>
          <t>multi200</t>
        </is>
      </c>
      <c r="B18284">
        <f>HYPERLINK("https://www.dofusbook.net/fr/equipement/2381348-multi200/objets", "link")</f>
        <v/>
      </c>
      <c r="C18284" t="n">
        <v>1</v>
      </c>
      <c r="D18284" t="inlineStr">
        <is>
          <t>Epée Kari; Amulette du K.O.; Bague Gloursonne; Gelano; Bouclier du Bûcheron; Ceinture du Père Fwetar; Bonnet Ko; Cape Phossile; Bottes Phossiles; Dokoko; Dofus Pourpre; Vigoureux majeur; Nomade; Remueur; Miraculé majeur; Phorror</t>
        </is>
      </c>
    </row>
    <row r="18285">
      <c r="A18285" t="inlineStr">
        <is>
          <t>lvl200</t>
        </is>
      </c>
      <c r="B18285">
        <f>HYPERLINK("https://www.dofusbook.net/fr/equipement/2381205-lvl200/objets", "link")</f>
        <v/>
      </c>
      <c r="C18285" t="n">
        <v>1</v>
      </c>
      <c r="D18285" t="inlineStr">
        <is>
          <t>Epée Kari; Amulette Héroclite; Gelano; Anneau de Brouce; Bouclier du Bûcheron; Ceinture de Brouce; Bonnet Ko; Cape de la Fuji Givrefoux; Bottes de Brouce; Dokoko; Dofus Cawotte; Dofus Kaliptus; Dofus Émeraude; Dofus Pourpre; Phorror</t>
        </is>
      </c>
    </row>
    <row r="18286">
      <c r="A18286" t="inlineStr">
        <is>
          <t>fdfdf</t>
        </is>
      </c>
      <c r="B18286">
        <f>HYPERLINK("https://www.dofusbook.net/fr/equipement/2308804-fdfdf/objets", "link")</f>
        <v/>
      </c>
      <c r="C18286" t="n">
        <v>0</v>
      </c>
      <c r="D18286" t="inlineStr">
        <is>
          <t>Marteau du Bouftou; Amulette du Kitsou; Anneau de Bouze le Clerc; Anneau du Kitsou; Ceinture du Bouftou; Coiffe du Kitsou; Cape du Kitsou; Boufbottes</t>
        </is>
      </c>
    </row>
    <row r="18287">
      <c r="A18287" t="inlineStr">
        <is>
          <t>AA pano</t>
        </is>
      </c>
      <c r="B18287">
        <f>HYPERLINK("https://www.dofusbook.net/fr/equipement/2299466-aa-pano/objets", "link")</f>
        <v/>
      </c>
      <c r="C18287" t="n">
        <v>0</v>
      </c>
      <c r="D18287" t="inlineStr">
        <is>
          <t>Arc du Dragoeuf; Torque Ancestral; Gelano; Anneau Ancestral; Abrature Ancestrale; Abracaska Ancestral; Abracapa Ancestrale; Protège-Tibias Ancestraux; Phorror</t>
        </is>
      </c>
    </row>
    <row r="18288">
      <c r="A18288" t="inlineStr">
        <is>
          <t>terre</t>
        </is>
      </c>
      <c r="B18288">
        <f>HYPERLINK("https://www.dofusbook.net/fr/equipement/2157692-terre/objets", "link")</f>
        <v/>
      </c>
      <c r="C18288" t="n">
        <v>0</v>
      </c>
      <c r="D18288" t="inlineStr">
        <is>
          <t>Epée du Rat Blanc; Collier du Rat Blanc; Gelano; Gantelet du Rat Blanc; Ceinture du Rat Blanc; Coiffe du Rat Blanc; Cape du Rat Blanc; Bottes du Rat Blanc; Dofus Cawotte</t>
        </is>
      </c>
    </row>
    <row r="18289">
      <c r="A18289" t="inlineStr">
        <is>
          <t>feu soin 2</t>
        </is>
      </c>
      <c r="B18289">
        <f>HYPERLINK("https://www.dofusbook.net/fr/equipement/2040103-feu-soin-2/objets", "link")</f>
        <v/>
      </c>
      <c r="C18289" t="n">
        <v>1</v>
      </c>
      <c r="D18289" t="inlineStr">
        <is>
          <t>Arc Hétype; Amulette d'Otomaï; Anneau Tique; Alliance Gloursonne; Carapar; Ceinture Séculaire; Coiffe Séculaire; Voile d'encre; Pataugastrique; Dokoko; Dofus Ocre; Nomade; Remueur; Érudit majeur; Savant majeur; Pioute rouge</t>
        </is>
      </c>
    </row>
    <row r="18290">
      <c r="A18290" t="inlineStr">
        <is>
          <t>multi 12pa/tacle</t>
        </is>
      </c>
      <c r="B18290">
        <f>HYPERLINK("https://www.dofusbook.net/fr/equipement/2036090-multi-12pa-tacle/objets", "link")</f>
        <v/>
      </c>
      <c r="C18290" t="n">
        <v>0</v>
      </c>
      <c r="D18290" t="inlineStr">
        <is>
          <t>Hache du Chalœil; Amulette du Strigide; Alliance Gloursonne; Bracelet du Piloztère; Sept ans de malheur; Ceinture du Strigide; Bonnet Ko; Voile d'encre; Bottes du Chalœil; Dofus Ocre; Remueur; Nomade; Obstructeur majeur; Tacleur majeur; Bloqueur majeur; Muldo Roux et Indigo</t>
        </is>
      </c>
    </row>
    <row r="18291">
      <c r="A18291" t="inlineStr">
        <is>
          <t>multi 12pa</t>
        </is>
      </c>
      <c r="B18291">
        <f>HYPERLINK("https://www.dofusbook.net/fr/equipement/2037706-multi-12pa/objets", "link")</f>
        <v/>
      </c>
      <c r="C18291" t="n">
        <v>0</v>
      </c>
      <c r="D18291" t="inlineStr">
        <is>
          <t>Hache du Chalœil; Amulette du Strigide; Bracelet du Piloztère; Alliance Gloursonne; Quatre-feuilles; Ceinture du Strigide; Bonnet Ko; Voile d'encre; Bottes du Chalœil; Dofus Turquoise; Dofus Pourpre; Dofus Ocre; Nomade; Vigoureux majeur; Remueur; Muldo Prune et Emeraude</t>
        </is>
      </c>
    </row>
    <row r="18292">
      <c r="A18292" t="inlineStr">
        <is>
          <t>full res</t>
        </is>
      </c>
      <c r="B18292">
        <f>HYPERLINK("https://www.dofusbook.net/fr/equipement/108646-full-res/objets", "link")</f>
        <v/>
      </c>
      <c r="C18292" t="n">
        <v>0</v>
      </c>
      <c r="D18292" t="inlineStr">
        <is>
          <t>Rouleau à Pâtisserie d'Aermyne; Talisman Glouti; Anneau Tique; Anneau de XLII; Sept ans de malheur; Ceinture de XLII; Coiffe d'Aermyne; Cape d'Aermyne; Bottes de XLII; Dofus Ocre; Dokoko; Dofus Émeraude; Bloqueur; Bloqueur majeur; Tacleur majeur</t>
        </is>
      </c>
    </row>
    <row r="18293">
      <c r="A18293" t="inlineStr">
        <is>
          <t>fuite/tacle</t>
        </is>
      </c>
      <c r="B18293">
        <f>HYPERLINK("https://www.dofusbook.net/fr/equipement/2034728-fuite-tacle/objets", "link")</f>
        <v/>
      </c>
      <c r="C18293" t="n">
        <v>0</v>
      </c>
      <c r="D18293" t="inlineStr">
        <is>
          <t>Dagues Érhy; Amulette de l'Indicible; Bague Trithon; Alliance Gloursonne; Roncier; Ceinture de l'Indicible; Masque de Klime; Cape Matelassée; Baleinabottes; Déserteur; Déserteur majeur; Fuyard majeur; Obstructeur majeur; Cascadeur majeur; Equilibriste majeur; Muldo Roux et Amande</t>
        </is>
      </c>
    </row>
    <row r="18294">
      <c r="A18294" t="inlineStr">
        <is>
          <t>full feu soin</t>
        </is>
      </c>
      <c r="B18294">
        <f>HYPERLINK("https://www.dofusbook.net/fr/equipement/108644-full-feu-soin/objets", "link")</f>
        <v/>
      </c>
      <c r="C18294" t="n">
        <v>0</v>
      </c>
      <c r="D18294" t="inlineStr">
        <is>
          <t>Arc Hétype; Amulette d'Otomaï; Anneau Tique; Bague Gloursonne; Ceinture Séculaire; Coiffe Séculaire; Voile d'encre; Pantoufles Émar; Dofus Turquoise; Nomade; Érudit majeur; Remueur; Miraculé majeur; Observateur; Pioute rouge</t>
        </is>
      </c>
    </row>
    <row r="18295">
      <c r="A18295" t="inlineStr">
        <is>
          <t>full res 2</t>
        </is>
      </c>
      <c r="B18295">
        <f>HYPERLINK("https://www.dofusbook.net/fr/equipement/2033777-full-res-2/objets", "link")</f>
        <v/>
      </c>
      <c r="C18295" t="n">
        <v>0</v>
      </c>
      <c r="D18295" t="inlineStr">
        <is>
          <t>Rouleau à Pâtisserie d'Aermyne; Amulette du Cycloïde; Anneau de XLII; Alliance Gloursonne; Sept ans de malheur; Ceinture de XLII; Coiffe d'Aermyne; Cape d'Aermyne; Bottes de XLII; Dokoko; Dofus Émeraude; Dofus Ocre; Bloqueur majeur; Tacleur majeur; Bloqueur; Muldo Ebène et Indigo</t>
        </is>
      </c>
    </row>
    <row r="18296">
      <c r="A18296" t="inlineStr">
        <is>
          <t>terre feu</t>
        </is>
      </c>
      <c r="B18296">
        <f>HYPERLINK("https://www.dofusbook.net/fr/equipement/108645-terre-feu/objets", "link")</f>
        <v/>
      </c>
      <c r="C18296" t="n">
        <v>0</v>
      </c>
      <c r="D18296" t="inlineStr">
        <is>
          <t>Arc du Chalœil; Amulette de Pol Ouatnos; Bague Gloursonne; Bracelet du Piloztère; Ceinture de Gein; Chapeau de Gein; Voile d'encre; Bottes du Cycloïde; Dofus Turquoise; Dofus Ocre; Vigoureux majeur; Remueur; Miraculé majeur; Nomade; Kramkram</t>
        </is>
      </c>
    </row>
    <row r="18297">
      <c r="A18297" t="inlineStr">
        <is>
          <t>air eau feu</t>
        </is>
      </c>
      <c r="B18297">
        <f>HYPERLINK("https://www.dofusbook.net/fr/equipement/108620-air-eau-feu/objets", "link")</f>
        <v/>
      </c>
      <c r="C18297" t="n">
        <v>0</v>
      </c>
      <c r="D18297" t="inlineStr">
        <is>
          <t>Marteau Phossile; Amulette de Pol Ouatnos; Bracelet du Piloztère; Alliance Gloursonne; Ceintacé; Chapeau des Malveilleurs; Cape des Malveilleurs; Getas Bernacle; Dofus Ocre; Dofus Turquoise; Dofus Pourpre; Joueur majeur; Savant majeur; Puissant majeur; Kramkram</t>
        </is>
      </c>
    </row>
    <row r="18298">
      <c r="A18298" t="inlineStr">
        <is>
          <t>Eau feu</t>
        </is>
      </c>
      <c r="B18298">
        <f>HYPERLINK("https://www.dofusbook.net/fr/equipement/108619-eau-feu-/objets", "link")</f>
        <v/>
      </c>
      <c r="C18298" t="n">
        <v>1</v>
      </c>
      <c r="D18298" t="inlineStr">
        <is>
          <t>Arc Nécrotique; Amulette du Strigide; Alliance Gloursonne; Bracelet du Piloztère; Ceintrigue; Coiffe Cryochrone; Voile d'encre; Bottes Owesli; Dofus Pourpre; Dofus Ocre; Dofus Turquoise; Nomade; Vigoureux majeur; Remueur; Croum</t>
        </is>
      </c>
    </row>
    <row r="18299">
      <c r="A18299" t="inlineStr">
        <is>
          <t>Multi pvm</t>
        </is>
      </c>
      <c r="B18299">
        <f>HYPERLINK("https://www.dofusbook.net/fr/equipement/108621-multi-pvm-/objets", "link")</f>
        <v/>
      </c>
      <c r="C18299" t="n">
        <v>0</v>
      </c>
      <c r="D18299" t="inlineStr">
        <is>
          <t>Hache du Chalœil; Amulette du Strigide; Alliance du Lévitrof; Bracelet du Piloztère; Ceintacé; Coiffe du Lévitrof; Cape des Justiciers; Bottes du Cycloïde; Dofus Turquoise; Chanceux majeur; Observateur; Remueur; Vigoureux majeur; Nomade; Kramkram</t>
        </is>
      </c>
    </row>
    <row r="18300">
      <c r="A18300" t="inlineStr">
        <is>
          <t>Feu full resistance</t>
        </is>
      </c>
      <c r="B18300">
        <f>HYPERLINK("https://www.dofusbook.net/fr/equipement/108668-feu-full-resistance/objets", "link")</f>
        <v/>
      </c>
      <c r="C18300" t="n">
        <v>4</v>
      </c>
      <c r="D18300" t="inlineStr">
        <is>
          <t>Arc Hétype; Amulette Séculaire; Anneau de Nidas; Kralano; Ceinture Séculaire; Casque Dragoeuf; Voile d'encre; Pataugastrique; Nomade; Évasif majeur; Remueur; Carapace Terre majeur; Cavaleur majeur; Carapace Feu majeur; Croum</t>
        </is>
      </c>
    </row>
    <row r="18301">
      <c r="A18301" t="inlineStr">
        <is>
          <t>gfhgh</t>
        </is>
      </c>
      <c r="B18301">
        <f>HYPERLINK("https://www.dofusbook.net/fr/equipement/1918116-gfhgh/objets", "link")</f>
        <v/>
      </c>
      <c r="C18301" t="n">
        <v>0</v>
      </c>
      <c r="D18301" t="inlineStr"/>
    </row>
    <row r="18302">
      <c r="A18302" t="inlineStr">
        <is>
          <t>stuffdemongole</t>
        </is>
      </c>
      <c r="B18302">
        <f>HYPERLINK("https://www.dofusbook.net/fr/equipement/1871244-stuffdemongole/objets", "link")</f>
        <v/>
      </c>
      <c r="C18302" t="n">
        <v>0</v>
      </c>
      <c r="D18302" t="inlineStr">
        <is>
          <t>Sabres d'Atcham; Amulette du Strigide; Alliance Gloursonne; Bracelet du Piloztère; Ceinture du Strigide; Cape des Malveilleurs; Bottes des Malveilleurs; Dofus Turquoise; Dofus des Glaces; Dofus Ocre; Dokoko; Dofus Pourpre; Dolmanax; Muldo Indigo</t>
        </is>
      </c>
    </row>
    <row r="18303">
      <c r="A18303" t="inlineStr">
        <is>
          <t>unestidetank</t>
        </is>
      </c>
      <c r="B18303">
        <f>HYPERLINK("https://www.dofusbook.net/fr/equipement/1824327-unestidetank/objets", "link")</f>
        <v/>
      </c>
      <c r="C18303" t="n">
        <v>0</v>
      </c>
      <c r="D18303" t="inlineStr">
        <is>
          <t>Rouleau à Pâtisserie d'Aermyne; Amulette du Strigide; Protopagne; Cape d'Aermyne; Péki</t>
        </is>
      </c>
    </row>
    <row r="18304">
      <c r="A18304" t="inlineStr">
        <is>
          <t>Retraitaj</t>
        </is>
      </c>
      <c r="B18304">
        <f>HYPERLINK("https://www.dofusbook.net/fr/equipement/1789132-retraitaj/objets", "link")</f>
        <v/>
      </c>
      <c r="C18304" t="n">
        <v>0</v>
      </c>
      <c r="D18304" t="inlineStr">
        <is>
          <t>Dagues Açantes; Amulette du Glourséleste; Anneau Tamie; Anneau Tamie; Bouclier cubiste; Poulpagne; Casquipik; Cape de Léthaline; Pataugastrique; Temporiseur majeur; Remueur; Temporiseur; Ralentisseur majeur; Entraveur; Entraveur majeur; Péki</t>
        </is>
      </c>
    </row>
    <row r="18305">
      <c r="A18305" t="inlineStr">
        <is>
          <t>IZi pvmaj</t>
        </is>
      </c>
      <c r="B18305">
        <f>HYPERLINK("https://www.dofusbook.net/fr/equipement/108704-izi-pvmaj/objets", "link")</f>
        <v/>
      </c>
      <c r="C18305" t="n">
        <v>1</v>
      </c>
      <c r="D18305" t="inlineStr">
        <is>
          <t>Dagoulinantes; Amulette de Shokkoth; Pikano; Alliance Gloursonne; Bouclier cubiste; Poulpagne; Coiffe de Danathor; Cape de Léthaline; Pataugastrique; Temporiseur majeur; Remueur; Vigoureux majeur; Chanceux majeur; Entraveur majeur; Nomade; Pioute bleu</t>
        </is>
      </c>
    </row>
    <row r="18306">
      <c r="A18306" t="inlineStr">
        <is>
          <t>stuff pas cher izi</t>
        </is>
      </c>
      <c r="B18306">
        <f>HYPERLINK("https://www.dofusbook.net/fr/equipement/108733-stuff-pas-cher-izi/objets", "link")</f>
        <v/>
      </c>
      <c r="C18306" t="n">
        <v>2</v>
      </c>
      <c r="D18306" t="inlineStr">
        <is>
          <t>Sabres d'Atcham; Amulette du Strigide; Anneau Vicieux; Anneau de Padgref; Ceintacé; Coiffe de Padgref; Chevelure de Tal Kasha; Bottes du Cycloïde; Dofus Turquoise; Dofus des Glaces; Remueur; Vigoureux majeur; Nomade; Chanceux majeur; Muldo Prune et Emeraude</t>
        </is>
      </c>
    </row>
    <row r="18307">
      <c r="A18307" t="inlineStr">
        <is>
          <t>pascher</t>
        </is>
      </c>
      <c r="B18307">
        <f>HYPERLINK("https://www.dofusbook.net/fr/equipement/1684187-pascher/objets", "link")</f>
        <v/>
      </c>
      <c r="C18307" t="n">
        <v>0</v>
      </c>
      <c r="D18307" t="inlineStr">
        <is>
          <t>Pelle de la Cour Sombre; Amulette du Granduk; Anneau d'Allister; Alliance Gloursonne; Bouclier du Stalak; Ceinture de Klime; Masque du Granduk; Cape Matelassée; Baleinabottes; Equilibriste majeur; Nomade; Cascadeur majeur; Remueur; Dévastateur Air majeur; Vigoureux majeur; Muldo Ebène</t>
        </is>
      </c>
    </row>
    <row r="18308">
      <c r="A18308" t="inlineStr">
        <is>
          <t>feu</t>
        </is>
      </c>
      <c r="B18308">
        <f>HYPERLINK("https://www.dofusbook.net/fr/equipement/108638-feu/objets", "link")</f>
        <v/>
      </c>
      <c r="C18308" t="n">
        <v>1</v>
      </c>
      <c r="D18308" t="inlineStr">
        <is>
          <t>Arc Hétype; Amulette de Nileza; Anneau Tique; Bague Gloursonne; Ceinture Séculaire; Coiffe Séculaire; Voile d'encre; Pataugastrique; Dofus des Glaces; Remueur; Dévastateur Feu majeur; Sanguinaire majeur; Nomade; Érudit majeur; Croum</t>
        </is>
      </c>
    </row>
    <row r="18309">
      <c r="A18309" t="inlineStr">
        <is>
          <t>dsfdsfsdfdsf</t>
        </is>
      </c>
      <c r="B18309">
        <f>HYPERLINK("https://www.dofusbook.net/fr/equipement/1641438-dsfdsfsdfdsf/objets", "link")</f>
        <v/>
      </c>
      <c r="C18309" t="n">
        <v>0</v>
      </c>
      <c r="D18309" t="inlineStr">
        <is>
          <t>Epée Gloursonne; Amulette de Gein; Alliance Gloursonne; Bague Gloursonne; Quatre-feuilles; Ceinture de Gein; Chapeau de Gein; Voile d'encre; Bottes du Cycloïde; Dofus Turquoise; Dofus des Glaces; Dofus Émeraude; Dofus Ocre; Dofus Pourpre; Dolmanax; Muldo Roux et Pourpre</t>
        </is>
      </c>
    </row>
    <row r="18310">
      <c r="A18310" t="inlineStr">
        <is>
          <t>fgfd</t>
        </is>
      </c>
      <c r="B18310">
        <f>HYPERLINK("https://www.dofusbook.net/fr/equipement/1630391-fgfd/objets", "link")</f>
        <v/>
      </c>
      <c r="C18310" t="n">
        <v>3</v>
      </c>
      <c r="D18310" t="inlineStr">
        <is>
          <t>Arc Hétype; Amulette de Nileza; Anneau Tamie; Anneau Tamie; Bouclier du Cycloïde; Sangle Aise; Calotte Spot; Cape de Diondin; Bottes de Nileza; Dofus des Glaces; Érudit majeur; Remueur; Dévastateur Feu majeur; Vigoureux majeur; Nomade; Pioute rouge</t>
        </is>
      </c>
    </row>
    <row r="18311">
      <c r="A18311" t="inlineStr">
        <is>
          <t>fdf</t>
        </is>
      </c>
      <c r="B18311">
        <f>HYPERLINK("https://www.dofusbook.net/fr/equipement/1392085-fdf/objets", "link")</f>
        <v/>
      </c>
      <c r="C18311" t="n">
        <v>0</v>
      </c>
      <c r="D18311" t="inlineStr"/>
    </row>
    <row r="18312">
      <c r="A18312" t="inlineStr">
        <is>
          <t>izi sufokia</t>
        </is>
      </c>
      <c r="B18312">
        <f>HYPERLINK("https://www.dofusbook.net/fr/equipement/922027-izi-sufokia/objets", "link")</f>
        <v/>
      </c>
      <c r="C18312" t="n">
        <v>0</v>
      </c>
      <c r="D18312" t="inlineStr">
        <is>
          <t>Bêche Asse; Amulette Héroclite; Anneau de Brouce; Gelano; Ceinture de Brouce; Masque Vaudou Eth; Cape Reski; Sabots Minables; Observateur; Vigoureux majeur; Nomade; Forcené majeur; Remueur; Enragé majeur; Pioute vert</t>
        </is>
      </c>
    </row>
    <row r="18313">
      <c r="A18313" t="inlineStr">
        <is>
          <t>vcvxcvxcvxcv</t>
        </is>
      </c>
      <c r="B18313">
        <f>HYPERLINK("https://www.dofusbook.net/fr/equipement/771570-vcvxcvxcvxcv/objets", "link")</f>
        <v/>
      </c>
      <c r="C18313" t="n">
        <v>0</v>
      </c>
      <c r="D18313" t="inlineStr"/>
    </row>
    <row r="18314">
      <c r="A18314" t="inlineStr">
        <is>
          <t>Stuff 1</t>
        </is>
      </c>
      <c r="B18314">
        <f>HYPERLINK("https://www.dofusbook.net/fr/equipement/108731-stuff-1/objets", "link")</f>
        <v/>
      </c>
      <c r="C18314" t="n">
        <v>0</v>
      </c>
      <c r="D18314" t="inlineStr">
        <is>
          <t>Sabres d'Atcham; Amulette du Strigide; Alliance Gloursonne; Anneau de Padgref; Ceinture du Strigide; Coiffe de Padgref; Cape d'Atcham; Getas de Padgref; Dolmanax; Dofus Pourpre; Dofus Abyssal; Dofus Ocre; Dofus des Glaces; Dofus Turquoise; Muldo Prune et Emeraude</t>
        </is>
      </c>
    </row>
    <row r="18315">
      <c r="A18315" t="inlineStr">
        <is>
          <t>Stuff 3</t>
        </is>
      </c>
      <c r="B18315">
        <f>HYPERLINK("https://www.dofusbook.net/fr/equipement/108691-stuff-3/objets", "link")</f>
        <v/>
      </c>
      <c r="C18315" t="n">
        <v>1</v>
      </c>
      <c r="D18315" t="inlineStr">
        <is>
          <t>Épée de la Reine des Voleurs; Amulette du Kamasterisk; Bracelet du Piloztère; Anneau de Brouce; Ceinture de Kongoku; Casque des égarés; Cape du Kamasterisk; Baleinabottes; Dofus Nébuleux; Dofus Turquoise; Temporiseur majeur; Vigoureux majeur; Remueur; Nomade; Kramkram</t>
        </is>
      </c>
    </row>
    <row r="18316">
      <c r="A18316" t="inlineStr">
        <is>
          <t>Stuff 3</t>
        </is>
      </c>
      <c r="B18316">
        <f>HYPERLINK("https://www.dofusbook.net/fr/equipement/108726-stuff-3/objets", "link")</f>
        <v/>
      </c>
      <c r="C18316" t="n">
        <v>0</v>
      </c>
      <c r="D18316" t="inlineStr">
        <is>
          <t>Epée Gloursonne; Amulette Séculaire; Alliance Gloursonne; Bague Gloursonne; Ceinture Séculaire; Coiffe Séculaire; Voile d'encre; Bottes d'Otomaï; Dofus Ocre; Dofus Pourpre; Dokoko; Dofus des Glaces; Dofus Turquoise; Dofus Vulbis; Kramkram</t>
        </is>
      </c>
    </row>
    <row r="18317">
      <c r="A18317" t="inlineStr">
        <is>
          <t>Stuff 1</t>
        </is>
      </c>
      <c r="B18317">
        <f>HYPERLINK("https://www.dofusbook.net/fr/equipement/108721-stuff-1/objets", "link")</f>
        <v/>
      </c>
      <c r="C18317" t="n">
        <v>0</v>
      </c>
      <c r="D18317" t="inlineStr">
        <is>
          <t>Pelle Aigante; Amulette Ementaire Deluxe; Anneau de Nidas; Alliance Boletée; Ceinture Séculaire; Couronne de Nidas; Voile d'encre; Pataugastrique; Dolmanax; Dofus Émeraude; Érudit majeur; Remueur; Miraculé majeur; Nomade; Croum</t>
        </is>
      </c>
    </row>
    <row r="18318">
      <c r="A18318" t="inlineStr">
        <is>
          <t>Stuff 1</t>
        </is>
      </c>
      <c r="B18318">
        <f>HYPERLINK("https://www.dofusbook.net/fr/equipement/108755-stuff-1/objets", "link")</f>
        <v/>
      </c>
      <c r="C18318" t="n">
        <v>0</v>
      </c>
      <c r="D18318" t="inlineStr">
        <is>
          <t>Dagues Érhy; Amulette du Strigide; Alliance Gloursonne; Bague Gloursonne; Menoture; Chapeau de Gein; Voile d'encre; Bottes du Cycloïde; Dofus des Glaces; Dofus Vulbis; Dokoko; Dolmanax; Dofus Abyssal; Dofus Ocre; Kramkram</t>
        </is>
      </c>
    </row>
    <row r="18319">
      <c r="A18319" t="inlineStr">
        <is>
          <t>Stuff 1</t>
        </is>
      </c>
      <c r="B18319">
        <f>HYPERLINK("https://www.dofusbook.net/fr/equipement/108716-stuff-1/objets", "link")</f>
        <v/>
      </c>
      <c r="C18319" t="n">
        <v>0</v>
      </c>
      <c r="D18319" t="inlineStr">
        <is>
          <t>Hache du Guerrier Zoth; Talisman Choh; Anneau Frage; Gelano; Ceinture du Royalmouth; Masque Vaudou Ark; Cape du Petit Chapon Rouge; Bottes du Royalmouth; Dofus Cawotte; Érudit majeur; Observateur; Nomade; Guérisseur majeur; Remueur</t>
        </is>
      </c>
    </row>
    <row r="18320">
      <c r="A18320" t="inlineStr">
        <is>
          <t>Stuff 1</t>
        </is>
      </c>
      <c r="B18320">
        <f>HYPERLINK("https://www.dofusbook.net/fr/equipement/108750-stuff-1/objets", "link")</f>
        <v/>
      </c>
      <c r="C18320" t="n">
        <v>0</v>
      </c>
      <c r="D18320" t="inlineStr">
        <is>
          <t>La Racine Hagogue; Collier du Valet Veinard; Alliance Gloursonne; Gant du Valet Veinard; Menoture; Couronne d'Allister; Cape Indescriptible; Baleinabottes; Dofus des Glaces; Dolmanax; Dévastateur Air majeur; Nomade; Cascadeur majeur; Remueur; Blérodoudou</t>
        </is>
      </c>
    </row>
    <row r="18321">
      <c r="A18321" t="inlineStr">
        <is>
          <t>Stuff 2</t>
        </is>
      </c>
      <c r="B18321">
        <f>HYPERLINK("https://www.dofusbook.net/fr/equipement/108708-stuff-2/objets", "link")</f>
        <v/>
      </c>
      <c r="C18321" t="n">
        <v>0</v>
      </c>
      <c r="D18321" t="inlineStr">
        <is>
          <t>Bâton Fracass; Amulette du Wabbit Céphale; Anneau du Wabbit Céphale; Bracelet du Blanc Pa Wabbit; Ceinture du Blanc Pa Wabbit; Casque du Blanc Pa Wabbit; Cape Xélomorphe; Bottes du Wabbit Céphale; Dofus Cawotte; Ralentisseur; Entraveur mineur; Entraveur; Ralentisseur mineur</t>
        </is>
      </c>
    </row>
    <row r="18322">
      <c r="A18322" t="inlineStr">
        <is>
          <t>Stuff 3</t>
        </is>
      </c>
      <c r="B18322">
        <f>HYPERLINK("https://www.dofusbook.net/fr/equipement/108745-stuff-3/objets", "link")</f>
        <v/>
      </c>
      <c r="C18322" t="n">
        <v>0</v>
      </c>
      <c r="D18322" t="inlineStr">
        <is>
          <t>Couteaux à Champignons; Collier du Tanukouï San; Gelano; Anneau Colerette; Ceinture Rasboulaire du Rasboul; Chapignon; Caprin; Bottes Harry; Dofus Turquoise</t>
        </is>
      </c>
    </row>
    <row r="18323">
      <c r="A18323" t="inlineStr">
        <is>
          <t>Stuff 1</t>
        </is>
      </c>
      <c r="B18323">
        <f>HYPERLINK("https://www.dofusbook.net/fr/equipement/108746-stuff-1/objets", "link")</f>
        <v/>
      </c>
      <c r="C18323" t="n">
        <v>0</v>
      </c>
      <c r="D18323" t="inlineStr">
        <is>
          <t>Az'tech; Kralamansion; Kralano; Annolamour; Ceinture Toré; Casque Harnage; Voile d'encre; Bottes Répané</t>
        </is>
      </c>
    </row>
    <row r="18324">
      <c r="A18324" t="inlineStr">
        <is>
          <t>Stuff 3</t>
        </is>
      </c>
      <c r="B18324">
        <f>HYPERLINK("https://www.dofusbook.net/fr/equipement/108729-stuff-3/objets", "link")</f>
        <v/>
      </c>
      <c r="C18324" t="n">
        <v>0</v>
      </c>
      <c r="D18324" t="inlineStr">
        <is>
          <t>Manthache; Collier du Valet Veinard; Alliance Gloursonne; Anneau d'Allister; Menoture; Couronne d'Allister; Cape Indescriptible; Palmes Trithons; Dokoko; Dofus des Glaces; Carapace Neutre majeur; Remueur; Cascadeur majeur; Nomade; Croum</t>
        </is>
      </c>
    </row>
    <row r="18325">
      <c r="A18325" t="inlineStr">
        <is>
          <t>Stuff 1</t>
        </is>
      </c>
      <c r="B18325">
        <f>HYPERLINK("https://www.dofusbook.net/fr/equipement/108758-stuff-1/objets", "link")</f>
        <v/>
      </c>
      <c r="C18325" t="n">
        <v>1</v>
      </c>
      <c r="D18325" t="inlineStr">
        <is>
          <t>Epée Gloursonne; Amulette du Strigide; Alliance Gloursonne; Bague Gloursonne; Ceinture du Strigide; Masque Trithon; Voile d'encre; Bottes Trithon; Dofus Ocre; Dofus des Glaces; Dofus Abyssal; Dofus Vulbis; Dofus Nébuleux; Entraveur majeur; Kramkram</t>
        </is>
      </c>
    </row>
    <row r="18326">
      <c r="A18326" t="inlineStr">
        <is>
          <t>Stuff 1</t>
        </is>
      </c>
      <c r="B18326">
        <f>HYPERLINK("https://www.dofusbook.net/fr/equipement/108689-stuff-1/objets", "link")</f>
        <v/>
      </c>
      <c r="C18326" t="n">
        <v>0</v>
      </c>
      <c r="D18326" t="inlineStr">
        <is>
          <t>Épée d'Otomaï; Amulette d'Otomaï; Anneau Tamie; Anneau Tamie; Sangle Aise; Masque Vaudou Ark; Cape Reski; Pantoufles Émar; Nomade; Érudit majeur; Savant majeur; Remueur; Vigoureux majeur; Astucieux majeur; Brûlih</t>
        </is>
      </c>
    </row>
    <row r="18327">
      <c r="A18327" t="inlineStr">
        <is>
          <t>Stuff 1</t>
        </is>
      </c>
      <c r="B18327">
        <f>HYPERLINK("https://www.dofusbook.net/fr/equipement/108724-stuff-1/objets", "link")</f>
        <v/>
      </c>
      <c r="C18327" t="n">
        <v>0</v>
      </c>
      <c r="D18327" t="inlineStr">
        <is>
          <t>Arc Hétype; Amulette Séculaire; Bague Gloursonne; Anneau Tique; Ceinture Séculaire; Casque Dragoeuf; Voile d'encre; Pataugastrique; Dofus Vulbis; Dofus Turquoise; Remueur; Érudit majeur; Miraculé majeur; Nomade; Croum</t>
        </is>
      </c>
    </row>
    <row r="18328">
      <c r="A18328" t="inlineStr">
        <is>
          <t>Stuff 2</t>
        </is>
      </c>
      <c r="B18328">
        <f>HYPERLINK("https://www.dofusbook.net/fr/equipement/108719-stuff-2/objets", "link")</f>
        <v/>
      </c>
      <c r="C18328" t="n">
        <v>0</v>
      </c>
      <c r="D18328" t="inlineStr">
        <is>
          <t>Dagues Érhy; Amulette Ementaire Deluxe; Anneau de Padgref; Pikano; Ceinture Séculaire; Coiffe Séculaire; Cape de Diondin; Sabots de Vortex; Dolmanax; Remueur; Nomade; Croum</t>
        </is>
      </c>
    </row>
    <row r="18329">
      <c r="A18329" t="inlineStr">
        <is>
          <t>Stuff 3</t>
        </is>
      </c>
      <c r="B18329">
        <f>HYPERLINK("https://www.dofusbook.net/fr/equipement/108748-stuff-3/objets", "link")</f>
        <v/>
      </c>
      <c r="C18329" t="n">
        <v>0</v>
      </c>
      <c r="D18329" t="inlineStr">
        <is>
          <t>Rod Gerse; Collier du Minotot; Gelano; Anneau Bliteré; Ceinture Toré; Casque Harnage; Voile d'encre; Bottes Répané; Dofus Turquoise</t>
        </is>
      </c>
    </row>
    <row r="18330">
      <c r="A18330" t="inlineStr">
        <is>
          <t>Stuff 2</t>
        </is>
      </c>
      <c r="B18330">
        <f>HYPERLINK("https://www.dofusbook.net/fr/equipement/108714-stuff-2/objets", "link")</f>
        <v/>
      </c>
      <c r="C18330" t="n">
        <v>0</v>
      </c>
      <c r="D18330" t="inlineStr">
        <is>
          <t>Bêche Asse; Amulette Héroclite; Gelano; Bague Gloursonne; Ceinture de Brouce; Le Kim; Cape du Professeur Xa; Bottes de Brouce; Nomade; Turbulent; Vigoureux majeur; Enragé majeur; Furibond majeur; Remueur</t>
        </is>
      </c>
    </row>
    <row r="18331">
      <c r="A18331" t="inlineStr">
        <is>
          <t>Stuff 1</t>
        </is>
      </c>
      <c r="B18331">
        <f>HYPERLINK("https://www.dofusbook.net/fr/equipement/108706-stuff-1/objets", "link")</f>
        <v/>
      </c>
      <c r="C18331" t="n">
        <v>0</v>
      </c>
      <c r="D18331" t="inlineStr">
        <is>
          <t>Pelle de la Cour Sombre; Collier du Valet Veinard; Gant du Valet Veinard; Anneau d'Allister; Menoture; Casque des égarés; Cape Indescriptible; Palmes Trithons; Dévastateur Air majeur; Remueur; Voyageur; Saccageur Air majeur; Cascadeur majeur; Nomade; Siroko</t>
        </is>
      </c>
    </row>
    <row r="18332">
      <c r="A18332" t="inlineStr">
        <is>
          <t>Stuff 1</t>
        </is>
      </c>
      <c r="B18332">
        <f>HYPERLINK("https://www.dofusbook.net/fr/equipement/108743-stuff-1/objets", "link")</f>
        <v/>
      </c>
      <c r="C18332" t="n">
        <v>0</v>
      </c>
      <c r="D18332" t="inlineStr">
        <is>
          <t>Dagues R'Hoh; Amulette du Dragoeuf; Anneau du Dragon Cochon; Gelano; Ceinture du Rat Blanc; Solomonk; La Guenille; Sandales Titude</t>
        </is>
      </c>
    </row>
    <row r="18333">
      <c r="A18333" t="inlineStr">
        <is>
          <t>Stuff 1</t>
        </is>
      </c>
      <c r="B18333">
        <f>HYPERLINK("https://www.dofusbook.net/fr/equipement/108731-stuff-1/objets", "link")</f>
        <v/>
      </c>
      <c r="C18333" t="n">
        <v>0</v>
      </c>
      <c r="D18333" t="inlineStr">
        <is>
          <t>Sabres d'Atcham; Amulette du Strigide; Alliance Gloursonne; Anneau de Padgref; Ceinture du Strigide; Coiffe de Padgref; Cape d'Atcham; Getas de Padgref; Dofus Abyssal; Dofus Ocre; Dofus des Glaces; Dofus Turquoise; Dolmanax; Dofus Pourpre; Muldo Prune et Emeraude</t>
        </is>
      </c>
    </row>
    <row r="18334">
      <c r="A18334" t="inlineStr">
        <is>
          <t>Stuff 2</t>
        </is>
      </c>
      <c r="B18334">
        <f>HYPERLINK("https://www.dofusbook.net/fr/equipement/108732-stuff-2/objets", "link")</f>
        <v/>
      </c>
      <c r="C18334" t="n">
        <v>0</v>
      </c>
      <c r="D18334" t="inlineStr">
        <is>
          <t>Sabres d'Atcham; Amulette du Strigide; Anneau Vicieux; Anneau de Padgref; Sangle Aise; Coiffe de Padgref; Cape de Meno; Bottes du Cycloïde; Dofus Turquoise; Dofus Pourpre; Remueur; Vigoureux majeur; Nomade; Chanceux majeur</t>
        </is>
      </c>
    </row>
    <row r="18335">
      <c r="A18335" t="inlineStr">
        <is>
          <t>Stuff 1</t>
        </is>
      </c>
      <c r="B18335">
        <f>HYPERLINK("https://www.dofusbook.net/fr/equipement/108692-stuff-1/objets", "link")</f>
        <v/>
      </c>
      <c r="C18335" t="n">
        <v>1</v>
      </c>
      <c r="D18335" t="inlineStr">
        <is>
          <t>Marteau des Anciens Steamers; Amulette du Strigide; Bracelet du Piloztère; Anneau d'Allister; Ceintacé; Masque du Barbétoal; Cape du Barbétoal; Bottes de la Reine des Voleurs; Dofus Turquoise; Chanceux majeur; Vigoureux majeur; Nomade; Cascadeur majeur; Remueur; Kramkram</t>
        </is>
      </c>
    </row>
    <row r="18336">
      <c r="A18336" t="inlineStr">
        <is>
          <t>Stuff 1</t>
        </is>
      </c>
      <c r="B18336">
        <f>HYPERLINK("https://www.dofusbook.net/fr/equipement/108727-stuff-1/objets", "link")</f>
        <v/>
      </c>
      <c r="C18336" t="n">
        <v>0</v>
      </c>
      <c r="D18336" t="inlineStr">
        <is>
          <t>Dagoulinantes; Amulette de Shokkoth; Bracelet des Fonds marins; Alliance Gloursonne; Poulpagne; Masque des Fonds marins; Cape de Mantaze; Sandales des Fonds marins; Dofus des Glaces; Dofus Turquoise; Dofus des Glaces; Pioute bleu</t>
        </is>
      </c>
    </row>
    <row r="18337">
      <c r="A18337" t="inlineStr">
        <is>
          <t>Stuff 2</t>
        </is>
      </c>
      <c r="B18337">
        <f>HYPERLINK("https://www.dofusbook.net/fr/equipement/108756-stuff-2/objets", "link")</f>
        <v/>
      </c>
      <c r="C18337" t="n">
        <v>0</v>
      </c>
      <c r="D18337" t="inlineStr">
        <is>
          <t>Dagues Érhy; Amulette du Strigide; Alliance Gloursonne; Chevalière du Roi Joueur; Ceintacé; Masque du Katcheur; Voile d'encre; Bottes du Katcheur; Dofus Abyssal; Dofus Ocre; Dokoko; Dofus Vulbis; Dolmanax; Dofus des Glaces</t>
        </is>
      </c>
    </row>
    <row r="18338">
      <c r="A18338" t="inlineStr">
        <is>
          <t>Stuff 2</t>
        </is>
      </c>
      <c r="B18338">
        <f>HYPERLINK("https://www.dofusbook.net/fr/equipement/108722-stuff-2/objets", "link")</f>
        <v/>
      </c>
      <c r="C18338" t="n">
        <v>0</v>
      </c>
      <c r="D18338" t="inlineStr">
        <is>
          <t>Le Thanos; Amulette Ementaire Deluxe; Alliance Boletée; Anneau de Nidas; Ceinture Séculaire; Coiffe Séculaire; Voile d'encre; Pataugastrique; Dolmanax; Miraculé majeur; Remueur; Érudit majeur; Nomade; Carapace Feu majeur; Croum</t>
        </is>
      </c>
    </row>
    <row r="18339">
      <c r="A18339" t="inlineStr">
        <is>
          <t>Stuff 3</t>
        </is>
      </c>
      <c r="B18339">
        <f>HYPERLINK("https://www.dofusbook.net/fr/equipement/108717-stuff-3/objets", "link")</f>
        <v/>
      </c>
      <c r="C18339" t="n">
        <v>0</v>
      </c>
      <c r="D18339" t="inlineStr">
        <is>
          <t>Baguette Hernelle; Amulette d'Otomaï; Gelano; Anneau de Padgref; Ceinture Hanium; Coiffe de Padgref; Cape Hiculteur; Pantoufles Émar; Érudit majeur; Soigneur majeur; Nomade; Vigoureux majeur; Remueur; Guérisseur majeur</t>
        </is>
      </c>
    </row>
    <row r="18340">
      <c r="A18340" t="inlineStr">
        <is>
          <t>Stuff 1</t>
        </is>
      </c>
      <c r="B18340">
        <f>HYPERLINK("https://www.dofusbook.net/fr/equipement/108746-stuff-1/objets", "link")</f>
        <v/>
      </c>
      <c r="C18340" t="n">
        <v>0</v>
      </c>
      <c r="D18340" t="inlineStr">
        <is>
          <t>Az'tech; Kralamansion; Kralano; Annolamour; Ceinture Toré; Casque Harnage; Voile d'encre; Bottes Répané</t>
        </is>
      </c>
    </row>
    <row r="18341">
      <c r="A18341" t="inlineStr">
        <is>
          <t>Stuff 3</t>
        </is>
      </c>
      <c r="B18341">
        <f>HYPERLINK("https://www.dofusbook.net/fr/equipement/108709-stuff-3/objets", "link")</f>
        <v/>
      </c>
      <c r="C18341" t="n">
        <v>1</v>
      </c>
      <c r="D18341" t="inlineStr">
        <is>
          <t>Rapière aux Glyphes; Amulette de Danathor; Gelano; Alliance Gloursonne; Ceinture Instable; Coiffe de Danathor; Cape Matelassée; Bottes du Glourséleste; Entraveur majeur; Nomade; Temporiseur majeur; Remueur; Temporiseur; Chanceux majeur</t>
        </is>
      </c>
    </row>
    <row r="18342">
      <c r="A18342" t="inlineStr">
        <is>
          <t>Stuff 3</t>
        </is>
      </c>
      <c r="B18342">
        <f>HYPERLINK("https://www.dofusbook.net/fr/equipement/108729-stuff-3/objets", "link")</f>
        <v/>
      </c>
      <c r="C18342" t="n">
        <v>0</v>
      </c>
      <c r="D18342" t="inlineStr">
        <is>
          <t>Manthache; Collier du Valet Veinard; Anneau d'Allister; Alliance Gloursonne; Menoture; Couronne d'Allister; Cape Indescriptible; Palmes Trithons; Dokoko; Dofus des Glaces; Nomade; Carapace Neutre majeur; Remueur; Cascadeur majeur; Croum</t>
        </is>
      </c>
    </row>
    <row r="18343">
      <c r="A18343" t="inlineStr">
        <is>
          <t>Stuff 1</t>
        </is>
      </c>
      <c r="B18343">
        <f>HYPERLINK("https://www.dofusbook.net/fr/equipement/108758-stuff-1/objets", "link")</f>
        <v/>
      </c>
      <c r="C18343" t="n">
        <v>1</v>
      </c>
      <c r="D18343" t="inlineStr">
        <is>
          <t>Epée Gloursonne; Amulette du Strigide; Bague Gloursonne; Alliance Gloursonne; Ceinture du Strigide; Masque Trithon; Voile d'encre; Bottes Trithon; Dofus Ocre; Dofus des Glaces; Dofus Abyssal; Dofus Vulbis; Dofus Nébuleux; Entraveur majeur; Kramkram</t>
        </is>
      </c>
    </row>
    <row r="18344">
      <c r="A18344" t="inlineStr">
        <is>
          <t>Stuff 1</t>
        </is>
      </c>
      <c r="B18344">
        <f>HYPERLINK("https://www.dofusbook.net/fr/equipement/108689-stuff-1/objets", "link")</f>
        <v/>
      </c>
      <c r="C18344" t="n">
        <v>0</v>
      </c>
      <c r="D18344" t="inlineStr">
        <is>
          <t>Épée d'Otomaï; Amulette d'Otomaï; Anneau Tamie; Anneau Tamie; Sangle Aise; Masque Vaudou Ark; Cape Reski; Pantoufles Émar; Savant majeur; Remueur; Vigoureux majeur; Astucieux majeur; Nomade; Érudit majeur; Brûlih</t>
        </is>
      </c>
    </row>
    <row r="18345">
      <c r="A18345" t="inlineStr">
        <is>
          <t>Stuff 1</t>
        </is>
      </c>
      <c r="B18345">
        <f>HYPERLINK("https://www.dofusbook.net/fr/equipement/108724-stuff-1/objets", "link")</f>
        <v/>
      </c>
      <c r="C18345" t="n">
        <v>0</v>
      </c>
      <c r="D18345" t="inlineStr">
        <is>
          <t>Arc Hétype; Amulette Séculaire; Bague Gloursonne; Anneau Tique; Ceinture Séculaire; Casque Dragoeuf; Voile d'encre; Pataugastrique; Dofus Vulbis; Dofus Turquoise; Miraculé majeur; Nomade; Remueur; Érudit majeur; Croum</t>
        </is>
      </c>
    </row>
    <row r="18346">
      <c r="A18346" t="inlineStr">
        <is>
          <t>Stuff 2</t>
        </is>
      </c>
      <c r="B18346">
        <f>HYPERLINK("https://www.dofusbook.net/fr/equipement/108719-stuff-2/objets", "link")</f>
        <v/>
      </c>
      <c r="C18346" t="n">
        <v>0</v>
      </c>
      <c r="D18346" t="inlineStr">
        <is>
          <t>Dagues Érhy; Amulette Ementaire Deluxe; Pikano; Anneau de Padgref; Ceinture Séculaire; Coiffe Séculaire; Cape de Diondin; Sabots de Vortex; Dolmanax; Remueur; Nomade; Croum</t>
        </is>
      </c>
    </row>
    <row r="18347">
      <c r="A18347" t="inlineStr">
        <is>
          <t>Stuff 3</t>
        </is>
      </c>
      <c r="B18347">
        <f>HYPERLINK("https://www.dofusbook.net/fr/equipement/108748-stuff-3/objets", "link")</f>
        <v/>
      </c>
      <c r="C18347" t="n">
        <v>0</v>
      </c>
      <c r="D18347" t="inlineStr">
        <is>
          <t>Rod Gerse; Collier du Minotot; Gelano; Anneau Bliteré; Ceinture Toré; Casque Harnage; Voile d'encre; Bottes Répané; Dofus Turquoise</t>
        </is>
      </c>
    </row>
    <row r="18348">
      <c r="A18348" t="inlineStr">
        <is>
          <t>Stuff 3</t>
        </is>
      </c>
      <c r="B18348">
        <f>HYPERLINK("https://www.dofusbook.net/fr/equipement/108745-stuff-3/objets", "link")</f>
        <v/>
      </c>
      <c r="C18348" t="n">
        <v>0</v>
      </c>
      <c r="D18348" t="inlineStr">
        <is>
          <t>Couteaux à Champignons; Collier du Tanukouï San; Anneau Colerette; Gelano; Ceinture Rasboulaire du Rasboul; Chapignon; Caprin; Bottes Harry; Dofus Turquoise</t>
        </is>
      </c>
    </row>
    <row r="18349">
      <c r="A18349" t="inlineStr">
        <is>
          <t>Stuff 1</t>
        </is>
      </c>
      <c r="B18349">
        <f>HYPERLINK("https://www.dofusbook.net/fr/equipement/108703-stuff-1/objets", "link")</f>
        <v/>
      </c>
      <c r="C18349" t="n">
        <v>1</v>
      </c>
      <c r="D18349" t="inlineStr">
        <is>
          <t>Dagues Açantes; Amulette de Danathor; Pikano; Alliance Gloursonne; Ceinture Instable; Coiffe de Danathor; Cape de Léthaline; Pataugastrique; Nomade; Temporiseur majeur; Remueur; Entraveur majeur; Vigoureux majeur; Chanceux majeur; Pioute bleu; Bouclier Pararayon</t>
        </is>
      </c>
    </row>
    <row r="18350">
      <c r="A18350" t="inlineStr">
        <is>
          <t>Stuff 2</t>
        </is>
      </c>
      <c r="B18350">
        <f>HYPERLINK("https://www.dofusbook.net/fr/equipement/108728-stuff-2/objets", "link")</f>
        <v/>
      </c>
      <c r="C18350" t="n">
        <v>0</v>
      </c>
      <c r="D18350" t="inlineStr">
        <is>
          <t>Arc de Koutoulou; Amulette du Strigide; Alliance Gloursonne; Bague Gloursonne; Ceinture du Barbétoal; Masque du Barbétoal; Cape du Barbétoal; Bottes du Strigide; Dofus des Glaces; Dofus Vulbis; Dolmanax; Dofus Turquoise; Dokoko; Dofus Ocre; Croum</t>
        </is>
      </c>
    </row>
    <row r="18351">
      <c r="A18351" t="inlineStr">
        <is>
          <t>Stuff 1</t>
        </is>
      </c>
      <c r="B18351">
        <f>HYPERLINK("https://www.dofusbook.net/fr/equipement/108693-stuff-1/objets", "link")</f>
        <v/>
      </c>
      <c r="C18351" t="n">
        <v>0</v>
      </c>
      <c r="D18351" t="inlineStr">
        <is>
          <t>Marteau des Anciens Steamers; Amulette du Strigide; Bracelet du Piloztère; Anneau d'Allister; Ceintacé; Masque du Barbétoal; Cape du Barbétoal; Bottes de la Reine des Voleurs; Dofus Turquoise; Cascadeur majeur; Remueur; Chanceux majeur; Observateur; Nomade; Kramkram</t>
        </is>
      </c>
    </row>
    <row r="18352">
      <c r="A18352" t="inlineStr">
        <is>
          <t>Stuff 3</t>
        </is>
      </c>
      <c r="B18352">
        <f>HYPERLINK("https://www.dofusbook.net/fr/equipement/108723-stuff-3/objets", "link")</f>
        <v/>
      </c>
      <c r="C18352" t="n">
        <v>0</v>
      </c>
      <c r="D18352" t="inlineStr">
        <is>
          <t>Le Thanos; Amulette Ementaire Deluxe; Alliance du Lévitrof; Alliance Boletée; Ceinture Séculaire; Ruskauffe; Voile d'encre; Pataugastrique; Dolmanax; Érudit majeur; Nomade; Carapace Eau majeur; Miraculé majeur; Remueur; Croum</t>
        </is>
      </c>
    </row>
    <row r="18353">
      <c r="A18353" t="inlineStr">
        <is>
          <t>Stuff 3</t>
        </is>
      </c>
      <c r="B18353">
        <f>HYPERLINK("https://www.dofusbook.net/fr/equipement/108757-stuff-3/objets", "link")</f>
        <v/>
      </c>
      <c r="C18353" t="n">
        <v>0</v>
      </c>
      <c r="D18353" t="inlineStr">
        <is>
          <t>Epée Gloursonne; Amulette du Strigide; Bague Gloursonne; Alliance Gloursonne; Ceinture du Strigide; Chapeau de Gein; Voile d'encre; Bottes du Strigide; Dofus des Glaces; Dofus Vulbis; Dofus Abyssal; Dolmanax; Dokoko; Dofus Ocre; Kramkram</t>
        </is>
      </c>
    </row>
    <row r="18354">
      <c r="A18354" t="inlineStr">
        <is>
          <t>Stuff 1</t>
        </is>
      </c>
      <c r="B18354">
        <f>HYPERLINK("https://www.dofusbook.net/fr/equipement/108718-stuff-1/objets", "link")</f>
        <v/>
      </c>
      <c r="C18354" t="n">
        <v>0</v>
      </c>
      <c r="D18354" t="inlineStr">
        <is>
          <t>Pelle de la Cour Sombre; Amulette Ementaire Deluxe; Pikano; Anneau d'Allister; Menoture; Couronne d'Allister; Capibou; Palmes Trithons; Dokoko; Dolmanax; Cascadeur majeur; Remueur; Miraculé majeur; Nomade; Kramkram</t>
        </is>
      </c>
    </row>
    <row r="18355">
      <c r="A18355" t="inlineStr">
        <is>
          <t>Stuff 1</t>
        </is>
      </c>
      <c r="B18355">
        <f>HYPERLINK("https://www.dofusbook.net/fr/equipement/108752-stuff-1/objets", "link")</f>
        <v/>
      </c>
      <c r="C18355" t="n">
        <v>0</v>
      </c>
      <c r="D18355" t="inlineStr">
        <is>
          <t>Dagues Érhy; Amulette du Strigide; Chevalière du Roi Joueur; Bague Gloursonne; Ceinture du Strigide; Bonnet Ko; Voile d'encre; Bottes du Cycloïde; Dofus Pourpre; Dofus Ocre; Dofus Turquoise; Vigoureux majeur; Nomade; Remueur</t>
        </is>
      </c>
    </row>
    <row r="18356">
      <c r="A18356" t="inlineStr">
        <is>
          <t>Stuff 1</t>
        </is>
      </c>
      <c r="B18356">
        <f>HYPERLINK("https://www.dofusbook.net/fr/equipement/108713-stuff-1/objets", "link")</f>
        <v/>
      </c>
      <c r="C18356" t="n">
        <v>0</v>
      </c>
      <c r="D18356" t="inlineStr">
        <is>
          <t>Hache du Guerrier Zoth; Amulette du Renouveau; Gelano; Anneau Nobstant; Ceinture du Wabbit Garou; Coiffe du Meulou; Cape Ricieuse; Sandales Gorithme; Dofus Cawotte; Nomade; Enragé majeur; Turbulent; Vigoureux majeur; Remueur</t>
        </is>
      </c>
    </row>
    <row r="18357">
      <c r="A18357" t="inlineStr">
        <is>
          <t>Stuff 2</t>
        </is>
      </c>
      <c r="B18357">
        <f>HYPERLINK("https://www.dofusbook.net/fr/equipement/108747-stuff-2/objets", "link")</f>
        <v/>
      </c>
      <c r="C18357" t="n">
        <v>0</v>
      </c>
      <c r="D18357" t="inlineStr">
        <is>
          <t>La Xyothine; Talisman du Chêne Mou; Gelano; Anneau du Chêne Mou; String Automnal du Chêne Mou; Coiffe du Chêne Mou; Puissante Cape Fulgurante; Tongues du dimanche du Chêne Mou; Dofus Turquoise</t>
        </is>
      </c>
    </row>
    <row r="18358">
      <c r="A18358" t="inlineStr">
        <is>
          <t>Stuff 1</t>
        </is>
      </c>
      <c r="B18358">
        <f>HYPERLINK("https://www.dofusbook.net/fr/equipement/108641-stuff-1/objets", "link")</f>
        <v/>
      </c>
      <c r="C18358" t="n">
        <v>0</v>
      </c>
      <c r="D18358" t="inlineStr">
        <is>
          <t>Épée du Granduk; Amulette de Pol Ouatnos; Anneau d'Allister; Alliance Gloursonne; Ceinture de Klime; Couronne d'Allister; Cape de Klime; Bottes d'Allister; Dofus des Glaces; Dofus Ocre; Saccageur Air majeur; Acrobate majeur; Equilibriste majeur; Ravageur Air majeur; Siroko</t>
        </is>
      </c>
    </row>
    <row r="18359">
      <c r="A18359" t="inlineStr">
        <is>
          <t>Stuff 1</t>
        </is>
      </c>
      <c r="B18359">
        <f>HYPERLINK("https://www.dofusbook.net/fr/equipement/108673-stuff-1/objets", "link")</f>
        <v/>
      </c>
      <c r="C18359" t="n">
        <v>0</v>
      </c>
      <c r="D18359" t="inlineStr">
        <is>
          <t>Dagues de Srambad; Amulette de Pol Ouatnos; Alliance Gloursonne; Bracelet du Piloztère; Ceinture de la Reine des Voleurs; Coiffe de la Reine des Voleurs; Cape Matelassée; Baleinabottes; Fonceur majeur; Chanceux majeur; Nomade; Vigoureux majeur; Miraculé majeur; Remueur; Péki</t>
        </is>
      </c>
    </row>
    <row r="18360">
      <c r="A18360" t="inlineStr">
        <is>
          <t>Stuff 3</t>
        </is>
      </c>
      <c r="B18360">
        <f>HYPERLINK("https://www.dofusbook.net/fr/equipement/108636-stuff-3/objets", "link")</f>
        <v/>
      </c>
      <c r="C18360" t="n">
        <v>0</v>
      </c>
      <c r="D18360" t="inlineStr">
        <is>
          <t>Arc de Guten Tak; Amulette du Strigide; Alliance Gloursonne; Pikano; Ceinture de la Reine des Voleurs; Coiffe de la Reine des Voleurs; Voile d'encre; Baleinabottes; Dofus Turquoise; Vigoureux majeur; Nomade; Remueur; Fonceur majeur; Miraculé majeur; Péki</t>
        </is>
      </c>
    </row>
    <row r="18361">
      <c r="A18361" t="inlineStr">
        <is>
          <t>Stuff 1</t>
        </is>
      </c>
      <c r="B18361">
        <f>HYPERLINK("https://www.dofusbook.net/fr/equipement/108663-stuff-1/objets", "link")</f>
        <v/>
      </c>
      <c r="C18361" t="n">
        <v>0</v>
      </c>
      <c r="D18361" t="inlineStr">
        <is>
          <t>Bâton Beau; Amulette du Strigide; Bracelet du Piloztère; Chevalière du Roi Joueur; Ceintacé; Couronne du Roi Joueur; Voile d'encre; Bottes Dogues; Dofus Turquoise; Dofus Ocre; Nomade; Vigoureux majeur; Remueur; Temporiseur majeur; Fëanor</t>
        </is>
      </c>
    </row>
    <row r="18362">
      <c r="A18362" t="inlineStr">
        <is>
          <t>Stuff 3</t>
        </is>
      </c>
      <c r="B18362">
        <f>HYPERLINK("https://www.dofusbook.net/fr/equipement/108658-stuff-3/objets", "link")</f>
        <v/>
      </c>
      <c r="C18362" t="n">
        <v>0</v>
      </c>
      <c r="D18362" t="inlineStr">
        <is>
          <t>Dagues Açantes; Amulette du Glourséleste; Pikano; Anneau Tamie; Ceinture Instable; Casquipik; Cape de Léthaline; Pantoufles Émar; Fonceur majeur; Temporiseur majeur; Temporiseur; Remueur; Entraveur majeur; Entraveur; Dragoune Rose</t>
        </is>
      </c>
    </row>
    <row r="18363">
      <c r="A18363" t="inlineStr">
        <is>
          <t>Stuff 1</t>
        </is>
      </c>
      <c r="B18363">
        <f>HYPERLINK("https://www.dofusbook.net/fr/equipement/108653-stuff-1/objets", "link")</f>
        <v/>
      </c>
      <c r="C18363" t="n">
        <v>0</v>
      </c>
      <c r="D18363" t="inlineStr">
        <is>
          <t>Bâton Beau; Amulette du Strigide; Bague Gloursonne; Bracelet du Piloztère; Ceinture de Kongoku; Boucle d'oreille de Kongoku; Cape de Léthaline; Pataugastrique; Dofus Ocre; Dofus Turquoise; Remueur; Entraveur majeur; Nomade; Temporiseur majeur; Fëanor</t>
        </is>
      </c>
    </row>
    <row r="18364">
      <c r="A18364" t="inlineStr">
        <is>
          <t>Stuff 3</t>
        </is>
      </c>
      <c r="B18364">
        <f>HYPERLINK("https://www.dofusbook.net/fr/equipement/108685-stuff-3/objets", "link")</f>
        <v/>
      </c>
      <c r="C18364" t="n">
        <v>0</v>
      </c>
      <c r="D18364" t="inlineStr">
        <is>
          <t>Dagues Érhy; Amulette de Gein; Bague Gloursonne; Anneau de Brouce; Ceintacé; Chapeau de Gein; Voile d'encre</t>
        </is>
      </c>
    </row>
    <row r="18365">
      <c r="A18365" t="inlineStr">
        <is>
          <t>Stuff 2</t>
        </is>
      </c>
      <c r="B18365">
        <f>HYPERLINK("https://www.dofusbook.net/fr/equipement/108648-stuff-2/objets", "link")</f>
        <v/>
      </c>
      <c r="C18365" t="n">
        <v>0</v>
      </c>
      <c r="D18365" t="inlineStr">
        <is>
          <t>Épée d'Otomaï; Amulette d'Otomaï; Anneau Tamie; Anneau Tamie; Ceinture Séculaire; Coiffe Séculaire; Voile d'encre; Bottes d'Otomaï; Dofus Ocre; Dofus des Glaces; Ravageur Feu majeur; Astucieux majeur; Saccageur Feu majeur; Voyageur; Brûlih</t>
        </is>
      </c>
    </row>
    <row r="18366">
      <c r="A18366" t="inlineStr">
        <is>
          <t>Stuff 2</t>
        </is>
      </c>
      <c r="B18366">
        <f>HYPERLINK("https://www.dofusbook.net/fr/equipement/108654-stuff-2/objets", "link")</f>
        <v/>
      </c>
      <c r="C18366" t="n">
        <v>0</v>
      </c>
      <c r="D18366" t="inlineStr">
        <is>
          <t>Epée Gloursonne; Amulette du Strigide; Bague Gloursonne; Alliance Gloursonne; Ceinture de Kongoku; Boucle d'oreille de Kongoku; Cape de Kongoku; Bottes du Strigide; Dofus Pourpre; Dofus Ocre; Dofus Turquoise; Entraveur majeur; Examinateur; Voyageur; Fëanor</t>
        </is>
      </c>
    </row>
    <row r="18367">
      <c r="A18367" t="inlineStr">
        <is>
          <t>Stuff 1</t>
        </is>
      </c>
      <c r="B18367">
        <f>HYPERLINK("https://www.dofusbook.net/fr/equipement/108686-stuff-1/objets", "link")</f>
        <v/>
      </c>
      <c r="C18367" t="n">
        <v>0</v>
      </c>
      <c r="D18367" t="inlineStr">
        <is>
          <t>Ares; Torque Ancestral; Anneau Ancestral; Gelano; Abrature Ancestrale; Abracaska Ancestral; Abracapa Ancestrale; Protège-Tibias Ancestraux; Dofus Cawotte</t>
        </is>
      </c>
    </row>
    <row r="18368">
      <c r="A18368" t="inlineStr">
        <is>
          <t>Stuff 1</t>
        </is>
      </c>
      <c r="B18368">
        <f>HYPERLINK("https://www.dofusbook.net/fr/equipement/108649-stuff-1/objets", "link")</f>
        <v/>
      </c>
      <c r="C18368" t="n">
        <v>0</v>
      </c>
      <c r="D18368" t="inlineStr">
        <is>
          <t>Dagues Érhy; Amulette de Gein; Bague Gloursonne; Bracelet du Piloztère; Ceintacé; Chapeau de Gein; Voile d'encre; Bottes du Cycloïde; Dofus Turquoise; Dokoko; Dofus des Glaces; Remueur; Vigoureux majeur; Nomade; Croum</t>
        </is>
      </c>
    </row>
    <row r="18369">
      <c r="A18369" t="inlineStr">
        <is>
          <t>Stuff 2</t>
        </is>
      </c>
      <c r="B18369">
        <f>HYPERLINK("https://www.dofusbook.net/fr/equipement/108681-stuff-2/objets", "link")</f>
        <v/>
      </c>
      <c r="C18369" t="n">
        <v>0</v>
      </c>
      <c r="D18369" t="inlineStr">
        <is>
          <t>Arc Nécrotique; Talisman Igans; Bracelet du Piloztère; Alliance du Lévitrof; Ceintrigue; Coiffe du Lévitrof; Voile d'encre; Bottes du Lévitrof; Dofus des Glaces; Dofus Vulbis; Dolmanax; Dofus Turquoise; Dofus Ocre; Dofus Pourpre; Kramkram</t>
        </is>
      </c>
    </row>
    <row r="18370">
      <c r="A18370" t="inlineStr">
        <is>
          <t>Stuff 3</t>
        </is>
      </c>
      <c r="B18370">
        <f>HYPERLINK("https://www.dofusbook.net/fr/equipement/108676-stuff-3/objets", "link")</f>
        <v/>
      </c>
      <c r="C18370" t="n">
        <v>1</v>
      </c>
      <c r="D18370" t="inlineStr">
        <is>
          <t>Arc du Chalœil; Amulette du Strigide; Bague Gloursonne; Anneau de Brouce; Ceinture de Brouce; Coiffe de la Reine des Voleurs; Voile d'encre; Bottes de Brouce; Dofus Ocre; Dofus Pourpre; Dofus des Glaces; Dofus Vulbis; Dolmanax; Dofus Turquoise; Kramkram</t>
        </is>
      </c>
    </row>
    <row r="18371">
      <c r="A18371" t="inlineStr">
        <is>
          <t>Stuff 2</t>
        </is>
      </c>
      <c r="B18371">
        <f>HYPERLINK("https://www.dofusbook.net/fr/equipement/108639-stuff-2/objets", "link")</f>
        <v/>
      </c>
      <c r="C18371" t="n">
        <v>1</v>
      </c>
      <c r="D18371" t="inlineStr">
        <is>
          <t>Epée Loponèze; Talisman Igans; Bracelet des Fonds marins; Alliance Gloursonne; Ceinture de la Reine des Voleurs; Masque des Fonds marins; Cape Matelassée; Pataugastrique; Dofus des Glaces; Chanceux majeur; Remueur; Dévastateur Eau majeur; Miraculé majeur; Nomade; Croum</t>
        </is>
      </c>
    </row>
    <row r="18372">
      <c r="A18372" t="inlineStr">
        <is>
          <t>Stuff 2</t>
        </is>
      </c>
      <c r="B18372">
        <f>HYPERLINK("https://www.dofusbook.net/fr/equipement/108671-stuff-2/objets", "link")</f>
        <v/>
      </c>
      <c r="C18372" t="n">
        <v>0</v>
      </c>
      <c r="D18372" t="inlineStr">
        <is>
          <t>Épée d'Otomaï; Amulette d'Otomaï; Anneau Tique; Bague Gloursonne; Ceinture Séculaire; Coiffe Séculaire; Voile d'encre; Bottes d'Otomaï; Dofus Turquoise; Dofus Ocre; Dokoko; Dofus Vulbis; Dolmanax; Dofus Nébuleux; Croum</t>
        </is>
      </c>
    </row>
    <row r="18373">
      <c r="A18373" t="inlineStr">
        <is>
          <t>Stuff 1</t>
        </is>
      </c>
      <c r="B18373">
        <f>HYPERLINK("https://www.dofusbook.net/fr/equipement/108634-stuff-1/objets", "link")</f>
        <v/>
      </c>
      <c r="C18373" t="n">
        <v>0</v>
      </c>
      <c r="D18373" t="inlineStr">
        <is>
          <t>Dagues de Srambad; Amulette de Pol Ouatnos; Alliance Gloursonne; Bracelet du Piloztère; Ceinture de la Reine des Voleurs; Coiffe de la Reine des Voleurs; Cape des Justiciers; Baleinabottes; Enragé majeur; Vigoureux majeur; Miraculé majeur; Nomade; Chanceux majeur; Remueur; Péki</t>
        </is>
      </c>
    </row>
    <row r="18374">
      <c r="A18374" t="inlineStr">
        <is>
          <t>Stuff 1</t>
        </is>
      </c>
      <c r="B18374">
        <f>HYPERLINK("https://www.dofusbook.net/fr/equipement/108666-stuff-1/objets", "link")</f>
        <v/>
      </c>
      <c r="C18374" t="n">
        <v>0</v>
      </c>
      <c r="D18374" t="inlineStr">
        <is>
          <t>Pelle de la Cour Sombre; Collier du Valet Veinard; Alliance Gloursonne; Gant du Valet Veinard; Ceinture Rasboulaire du Rasboul; Couronne d'Allister; Cape Matelassée; Baleinabottes; Dofus des Glaces; Nomade; Cascadeur majeur; Remueur; Miraculé majeur; Dévastateur Air majeur; Croum</t>
        </is>
      </c>
    </row>
    <row r="18375">
      <c r="A18375" t="inlineStr">
        <is>
          <t>Stuff 3</t>
        </is>
      </c>
      <c r="B18375">
        <f>HYPERLINK("https://www.dofusbook.net/fr/equipement/108661-stuff-3/objets", "link")</f>
        <v/>
      </c>
      <c r="C18375" t="n">
        <v>0</v>
      </c>
      <c r="D18375" t="inlineStr">
        <is>
          <t>Arc du Chalœil; Amulette du Strigide; Bague Gloursonne; Anneau de Brouce; Ceinture de Brouce; Coiffe de la Reine des Voleurs; Voile d'encre; Baleinabottes; Dofus des Glaces; Dofus Turquoise; Étourdisseur majeur; Nomade; Remueur; Enragé majeur; Pioute vert</t>
        </is>
      </c>
    </row>
    <row r="18376">
      <c r="A18376" t="inlineStr">
        <is>
          <t>Stuff 1</t>
        </is>
      </c>
      <c r="B18376">
        <f>HYPERLINK("https://www.dofusbook.net/fr/equipement/108656-stuff-1/objets", "link")</f>
        <v/>
      </c>
      <c r="C18376" t="n">
        <v>0</v>
      </c>
      <c r="D18376" t="inlineStr">
        <is>
          <t>Hache du Chalœil; Amulette Ementaire Deluxe; Bracelet du Piloztère; Bague Gloursonne; Ceintacé; Casque du Chalœil; Voile d'encre; Pataugastrique; Dofus Turquoise; Vigoureux majeur; Nomade; Temporiseur majeur; Remueur; Kramkram</t>
        </is>
      </c>
    </row>
    <row r="18377">
      <c r="A18377" t="inlineStr">
        <is>
          <t>Stuff 3</t>
        </is>
      </c>
      <c r="B18377">
        <f>HYPERLINK("https://www.dofusbook.net/fr/equipement/108688-stuff-3/objets", "link")</f>
        <v/>
      </c>
      <c r="C18377" t="n">
        <v>0</v>
      </c>
      <c r="D18377" t="inlineStr">
        <is>
          <t>Ougarteau; Kralamansion; Kralano; Annolamour; Ceinture Rasboulaire du Rasboul; Chapignon; Voile d'encre; Sandales Circulaires du Kimbo; Dofus Cawotte; Dofus Turquoise; Dofus Vulbis; Dofus Pourpre; Dofus Émeraude; Dofus Ocre</t>
        </is>
      </c>
    </row>
    <row r="18378">
      <c r="A18378" t="inlineStr">
        <is>
          <t>Stuff 1</t>
        </is>
      </c>
      <c r="B18378">
        <f>HYPERLINK("https://www.dofusbook.net/fr/equipement/108651-stuff-1/objets", "link")</f>
        <v/>
      </c>
      <c r="C18378" t="n">
        <v>0</v>
      </c>
      <c r="D18378" t="inlineStr">
        <is>
          <t>Sabres d'Atcham; Amulette du Strigide; Anneau de Padgref; Kralano; Ceintacé; Chapeau des Malveilleurs; Cape des Malveilleurs; Bottes du Chalœil; Dofus Turquoise; Érudit majeur; Vigoureux majeur; Nomade; Chanceux majeur; Remueur; Kramkram</t>
        </is>
      </c>
    </row>
    <row r="18379">
      <c r="A18379" t="inlineStr">
        <is>
          <t>Stuff 1</t>
        </is>
      </c>
      <c r="B18379">
        <f>HYPERLINK("https://www.dofusbook.net/fr/equipement/108683-stuff-1/objets", "link")</f>
        <v/>
      </c>
      <c r="C18379" t="n">
        <v>0</v>
      </c>
      <c r="D18379" t="inlineStr">
        <is>
          <t>Bâton Beau; Amulette du Strigide; Bague Gloursonne; Bracelet du Piloztère; Ceintacé; Maskrobe; Voile d'encre; Bottes du Strigide; Dofus des Glaces; Dofus Turquoise; Dofus Pourpre; Dolmanax; Vigoureux majeur; Remueur; Kramkram</t>
        </is>
      </c>
    </row>
    <row r="18380">
      <c r="A18380" t="inlineStr">
        <is>
          <t>Stuff 2</t>
        </is>
      </c>
      <c r="B18380">
        <f>HYPERLINK("https://www.dofusbook.net/fr/equipement/108678-stuff-2/objets", "link")</f>
        <v/>
      </c>
      <c r="C18380" t="n">
        <v>0</v>
      </c>
      <c r="D18380" t="inlineStr">
        <is>
          <t>Epée Gloursonne; Amulette Ementaire Deluxe; Bague Gloursonne; Alliance Gloursonne; Ceinture de la Reine des Voleurs; Coiffe de la Reine des Voleurs; Voile d'encre; Bottes de la Reine des Voleurs; Dofus des Glaces; Dofus Vulbis; Dolmanax; Dofus Pourpre; Dofus Ocre; Dokoko; Kramkram</t>
        </is>
      </c>
    </row>
    <row r="18381">
      <c r="A18381" t="inlineStr">
        <is>
          <t>Stuff 1</t>
        </is>
      </c>
      <c r="B18381">
        <f>HYPERLINK("https://www.dofusbook.net/fr/equipement/108641-stuff-1/objets", "link")</f>
        <v/>
      </c>
      <c r="C18381" t="n">
        <v>0</v>
      </c>
      <c r="D18381" t="inlineStr">
        <is>
          <t>Épée du Granduk; Amulette de Pol Ouatnos; Anneau d'Allister; Alliance Gloursonne; Ceinture de Klime; Couronne d'Allister; Cape de Klime; Bottes d'Allister; Dofus des Glaces; Dofus Ocre; Ravageur Air majeur; Saccageur Air majeur; Acrobate majeur; Equilibriste majeur; Siroko</t>
        </is>
      </c>
    </row>
    <row r="18382">
      <c r="A18382" t="inlineStr">
        <is>
          <t>Stuff 1</t>
        </is>
      </c>
      <c r="B18382">
        <f>HYPERLINK("https://www.dofusbook.net/fr/equipement/108673-stuff-1/objets", "link")</f>
        <v/>
      </c>
      <c r="C18382" t="n">
        <v>0</v>
      </c>
      <c r="D18382" t="inlineStr">
        <is>
          <t>Dagues de Srambad; Amulette de Pol Ouatnos; Alliance Gloursonne; Bracelet du Piloztère; Ceinture de la Reine des Voleurs; Coiffe de la Reine des Voleurs; Cape Matelassée; Baleinabottes; Nomade; Vigoureux majeur; Miraculé majeur; Remueur; Fonceur majeur; Chanceux majeur; Péki</t>
        </is>
      </c>
    </row>
    <row r="18383">
      <c r="A18383" t="inlineStr">
        <is>
          <t>Stuff 3</t>
        </is>
      </c>
      <c r="B18383">
        <f>HYPERLINK("https://www.dofusbook.net/fr/equipement/108636-stuff-3/objets", "link")</f>
        <v/>
      </c>
      <c r="C18383" t="n">
        <v>0</v>
      </c>
      <c r="D18383" t="inlineStr">
        <is>
          <t>Arc de Guten Tak; Amulette du Strigide; Pikano; Alliance Gloursonne; Ceinture de la Reine des Voleurs; Coiffe de la Reine des Voleurs; Voile d'encre; Baleinabottes; Dofus Turquoise; Fonceur majeur; Miraculé majeur; Vigoureux majeur; Nomade; Remueur; Péki</t>
        </is>
      </c>
    </row>
    <row r="18384">
      <c r="A18384" t="inlineStr">
        <is>
          <t>Stuff 1</t>
        </is>
      </c>
      <c r="B18384">
        <f>HYPERLINK("https://www.dofusbook.net/fr/equipement/108663-stuff-1/objets", "link")</f>
        <v/>
      </c>
      <c r="C18384" t="n">
        <v>0</v>
      </c>
      <c r="D18384" t="inlineStr">
        <is>
          <t>Bâton Beau; Amulette du Strigide; Bracelet du Piloztère; Chevalière du Roi Joueur; Ceintacé; Couronne du Roi Joueur; Voile d'encre; Bottes Dogues; Dofus Turquoise; Dofus Ocre; Nomade; Vigoureux majeur; Remueur; Temporiseur majeur; Fëanor</t>
        </is>
      </c>
    </row>
    <row r="18385">
      <c r="A18385" t="inlineStr">
        <is>
          <t>Stuff 3</t>
        </is>
      </c>
      <c r="B18385">
        <f>HYPERLINK("https://www.dofusbook.net/fr/equipement/108658-stuff-3/objets", "link")</f>
        <v/>
      </c>
      <c r="C18385" t="n">
        <v>0</v>
      </c>
      <c r="D18385" t="inlineStr">
        <is>
          <t>Dagues Açantes; Amulette du Glourséleste; Pikano; Anneau Tamie; Ceinture Instable; Casquipik; Cape de Léthaline; Pantoufles Émar; Entraveur majeur; Entraveur; Fonceur majeur; Temporiseur majeur; Temporiseur; Remueur; Dragoune Rose</t>
        </is>
      </c>
    </row>
    <row r="18386">
      <c r="A18386" t="inlineStr">
        <is>
          <t>Stuff 2</t>
        </is>
      </c>
      <c r="B18386">
        <f>HYPERLINK("https://www.dofusbook.net/fr/equipement/108687-stuff-2/objets", "link")</f>
        <v/>
      </c>
      <c r="C18386" t="n">
        <v>0</v>
      </c>
      <c r="D18386" t="inlineStr">
        <is>
          <t>Hache à Lamelles; Collier du Minotot; Sceau Souverain du Roissingue; Gelano; Tranche des Sous-bois; Capuche Souveraine du Roissingue; Cape Souveraine du Roissingue; Bottines des sous-bois; Dofus Kaliptus; Dofus Cawotte; Dragoune Rose</t>
        </is>
      </c>
    </row>
    <row r="18387">
      <c r="A18387" t="inlineStr">
        <is>
          <t>Stuff 3</t>
        </is>
      </c>
      <c r="B18387">
        <f>HYPERLINK("https://www.dofusbook.net/fr/equipement/108682-stuff-3/objets", "link")</f>
        <v/>
      </c>
      <c r="C18387" t="n">
        <v>0</v>
      </c>
      <c r="D18387" t="inlineStr">
        <is>
          <t>Pelle de la Cour Sombre; Amulette du Strigide; Alliance Gloursonne; Anneau des égarés; Ceinture du Barbétoal; Casque des égarés; Cape Matelassée; Baleinabottes; Dofus Turquoise; Dofus des Glaces; Dofus Pourpre; Cascadeur majeur; Nomade; Remueur; Kramkram</t>
        </is>
      </c>
    </row>
    <row r="18388">
      <c r="A18388" t="inlineStr">
        <is>
          <t>Stuff 1</t>
        </is>
      </c>
      <c r="B18388">
        <f>HYPERLINK("https://www.dofusbook.net/fr/equipement/108677-stuff-1/objets", "link")</f>
        <v/>
      </c>
      <c r="C18388" t="n">
        <v>0</v>
      </c>
      <c r="D18388" t="inlineStr">
        <is>
          <t>Épée de la Reine des Voleurs; Amulette du Kamasterisk; Anneau de Brouce; Anneau des égarés; Ceinture de Brouce; Casque des égarés; Cape du Kamasterisk; Bottes du Kamasterisk; Dolmanax; Dofus Vulbis; Dokoko; Dofus des Glaces; Dofus Pourpre; Dofus Ocre; Croum</t>
        </is>
      </c>
    </row>
    <row r="18389">
      <c r="A18389" t="inlineStr">
        <is>
          <t>Stuff 3</t>
        </is>
      </c>
      <c r="B18389">
        <f>HYPERLINK("https://www.dofusbook.net/fr/equipement/108672-stuff-3/objets", "link")</f>
        <v/>
      </c>
      <c r="C18389" t="n">
        <v>0</v>
      </c>
      <c r="D18389" t="inlineStr">
        <is>
          <t>Dagues de Srambad; Amulette du Piloztère; Bracelet du Piloztère; Pikano; Ceinture de la Reine des Voleurs; Coiffe de la Reine des Voleurs; Cape des Justiciers; Bottes de la Reine des Voleurs; Dofus des Glaces; Dofus Vulbis; Dolmanax; Dofus Pourpre; Dokoko; Dofus Ocre; Kramkram</t>
        </is>
      </c>
    </row>
    <row r="18390">
      <c r="A18390" t="inlineStr">
        <is>
          <t>Stuff 3</t>
        </is>
      </c>
      <c r="B18390">
        <f>HYPERLINK("https://www.dofusbook.net/fr/equipement/108640-stuff-3/objets", "link")</f>
        <v/>
      </c>
      <c r="C18390" t="n">
        <v>1</v>
      </c>
      <c r="D18390" t="inlineStr">
        <is>
          <t>Pelle de la Cour Sombre; Amibou; Alliance Gloursonne; Anneau d'Allister; Ceinture Rasboulaire du Rasboul; Couronne d'Allister; Cape Matelassée; Baleinabottes; Dofus des Glaces; Nomade; Cascadeur majeur; Remueur; Sanguinaire majeur; Dévastateur Air majeur; Croum</t>
        </is>
      </c>
    </row>
    <row r="18391">
      <c r="A18391" t="inlineStr">
        <is>
          <t>Stuff 1</t>
        </is>
      </c>
      <c r="B18391">
        <f>HYPERLINK("https://www.dofusbook.net/fr/equipement/108667-stuff-1/objets", "link")</f>
        <v/>
      </c>
      <c r="C18391" t="n">
        <v>0</v>
      </c>
      <c r="D18391" t="inlineStr">
        <is>
          <t>Epée Gloursonne; Amulette du Strigide; Alliance Gloursonne; Bague Gloursonne; Ceinture du Strigide; Coiffe du Glourséleste; Cape de Léthaline; Bottes du Strigide; Dolmanax; Dofus Turquoise; Dofus Ocre; Cuirassé Terre majeur; Cuirassé Feu majeur; Cuirassé Air majeur; Kramkram</t>
        </is>
      </c>
    </row>
    <row r="18392">
      <c r="A18392" t="inlineStr">
        <is>
          <t>Stuff 2</t>
        </is>
      </c>
      <c r="B18392">
        <f>HYPERLINK("https://www.dofusbook.net/fr/equipement/108635-stuff-2/objets", "link")</f>
        <v/>
      </c>
      <c r="C18392" t="n">
        <v>0</v>
      </c>
      <c r="D18392" t="inlineStr">
        <is>
          <t>Épée de la Reine des Voleurs; Amulette du Strigide; Alliance de Missiz Frizz; Alliance Gloursonne; Ceinture de la Reine des Voleurs; Coiffe de la Reine des Voleurs; Cape des Justiciers; Baleinabottes; Dofus Émeraude; Fonceur majeur; Miraculé majeur; Vigoureux majeur; Nomade; Remueur; Péki</t>
        </is>
      </c>
    </row>
    <row r="18393">
      <c r="A18393" t="inlineStr">
        <is>
          <t>Stuff 1</t>
        </is>
      </c>
      <c r="B18393">
        <f>HYPERLINK("https://www.dofusbook.net/fr/equipement/108662-stuff-1/objets", "link")</f>
        <v/>
      </c>
      <c r="C18393" t="n">
        <v>0</v>
      </c>
      <c r="D18393" t="inlineStr">
        <is>
          <t>Dagues Érhy; Amulette du Strigide; Alliance de Missiz Frizz; Bague Gloursonne; Ceinture du Strigide; Chapeau de Gein; Voile d'encre; Bottes du Cycloïde; Dofus Ocre; Dofus Pourpre; Dofus Turquoise; Vigoureux majeur; Nomade; Remueur; Kwaltess</t>
        </is>
      </c>
    </row>
    <row r="18394">
      <c r="A18394" t="inlineStr">
        <is>
          <t>Stuff 2</t>
        </is>
      </c>
      <c r="B18394">
        <f>HYPERLINK("https://www.dofusbook.net/fr/equipement/108657-stuff-2/objets", "link")</f>
        <v/>
      </c>
      <c r="C18394" t="n">
        <v>0</v>
      </c>
      <c r="D18394" t="inlineStr">
        <is>
          <t>Epée Gloursonne; Amulette du Strigide; Bague Gloursonne; Alliance Gloursonne; Ceinture du Strigide; Coiffe du Glourséleste; Voile d'encre; Bottes du Strigide; Dofus Pourpre; Puissant majeur; Kramkram</t>
        </is>
      </c>
    </row>
    <row r="18395">
      <c r="A18395" t="inlineStr">
        <is>
          <t>Stuff 2</t>
        </is>
      </c>
      <c r="B18395">
        <f>HYPERLINK("https://www.dofusbook.net/fr/equipement/108684-stuff-2/objets", "link")</f>
        <v/>
      </c>
      <c r="C18395" t="n">
        <v>0</v>
      </c>
      <c r="D18395" t="inlineStr">
        <is>
          <t>Bêche Asse; Amulette Héroclite; Bracelet du Piloztère; Anneau de Brouce; Ceinture de Brouce; Casque de Missiz Frizz; Cape au Logis; Sabots Minables; Dofus Nébuleux; Dofus Turquoise; Enragé majeur; Nomade; Vigoureux majeur; Remueur; Kramkram</t>
        </is>
      </c>
    </row>
    <row r="18396">
      <c r="A18396" t="inlineStr">
        <is>
          <t>Stuff 1</t>
        </is>
      </c>
      <c r="B18396">
        <f>HYPERLINK("https://www.dofusbook.net/fr/equipement/108647-stuff-1/objets", "link")</f>
        <v/>
      </c>
      <c r="C18396" t="n">
        <v>0</v>
      </c>
      <c r="D18396" t="inlineStr">
        <is>
          <t>Épée du Granduk; Amulette du Granduk; Alliance Gloursonne; Anneau d'Allister; Ceinture de Klime; Masque du Granduk; Cape de Klime; Bottes d'Allister; Dofus Ocre; Dofus des Glaces; Saccageur Air majeur; Féroce majeur; Ravageur Air majeur; Equilibriste majeur; Siroko</t>
        </is>
      </c>
    </row>
    <row r="18397">
      <c r="A18397" t="inlineStr">
        <is>
          <t>Stuff 3</t>
        </is>
      </c>
      <c r="B18397">
        <f>HYPERLINK("https://www.dofusbook.net/fr/equipement/108679-stuff-3/objets", "link")</f>
        <v/>
      </c>
      <c r="C18397" t="n">
        <v>0</v>
      </c>
      <c r="D18397" t="inlineStr">
        <is>
          <t>Dagues Érhy; Amulette de Gein; Bague Gloursonne; Alliance Gloursonne; Ceinture de Gein; Chapeau de Gein; Voile d'encre; Bottes du Cycloïde; Dofus des Glaces; Dofus Vulbis; Dolmanax; Dofus Turquoise; Dofus Ocre; Dofus Pourpre; Kramkram</t>
        </is>
      </c>
    </row>
    <row r="18398">
      <c r="A18398" t="inlineStr">
        <is>
          <t>Stuff 2</t>
        </is>
      </c>
      <c r="B18398">
        <f>HYPERLINK("https://www.dofusbook.net/fr/equipement/108642-stuff-2/objets", "link")</f>
        <v/>
      </c>
      <c r="C18398" t="n">
        <v>3</v>
      </c>
      <c r="D18398" t="inlineStr">
        <is>
          <t>Arc Hétype; Amulette de Nileza; Anneau Tamie; Anneau Tamie; Sangle Aise; Coiffe Séculaire; Cape de Nileza; Pataugastrique; Dofus des Glaces; Remueur; Saccageur Feu majeur; Nomade; Érudit majeur; Dévastateur Feu majeur; Brûlih</t>
        </is>
      </c>
    </row>
    <row r="18399">
      <c r="A18399" t="inlineStr">
        <is>
          <t>Stuff 1</t>
        </is>
      </c>
      <c r="B18399">
        <f>HYPERLINK("https://www.dofusbook.net/fr/equipement/108674-stuff-1/objets", "link")</f>
        <v/>
      </c>
      <c r="C18399" t="n">
        <v>1</v>
      </c>
      <c r="D18399" t="inlineStr">
        <is>
          <t>Sabres d'Atcham; Amulette du Strigide; Kralano; Anneau de Padgref; Ceintacé; Chapeau des Malveilleurs; Cape des Malveilleurs; Bottes du Chalœil; Dolmanax; Dofus Turquoise; Dofus des Glaces; Dokoko; Nomade; Remueur; Kramkram</t>
        </is>
      </c>
    </row>
    <row r="18400">
      <c r="A18400" t="inlineStr">
        <is>
          <t>Stuff 2</t>
        </is>
      </c>
      <c r="B18400">
        <f>HYPERLINK("https://www.dofusbook.net/fr/equipement/108669-stuff-2/objets", "link")</f>
        <v/>
      </c>
      <c r="C18400" t="n">
        <v>0</v>
      </c>
      <c r="D18400" t="inlineStr">
        <is>
          <t>Rapière aux Glyphes; Amulette de Danathor; Alliance Gloursonne; Gelano; Ceinture Instable; Coiffe de Danathor; Cape Matelassée; Getas Bernacle; Dofus Turquoise; Vigoureux majeur; Remueur; Chanceux majeur; Miraculé majeur; Nomade; Pioute bleu</t>
        </is>
      </c>
    </row>
    <row r="18401">
      <c r="A18401" t="inlineStr">
        <is>
          <t>Stuff 1</t>
        </is>
      </c>
      <c r="B18401">
        <f>HYPERLINK("https://www.dofusbook.net/fr/equipement/108637-stuff-1/objets", "link")</f>
        <v/>
      </c>
      <c r="C18401" t="n">
        <v>0</v>
      </c>
      <c r="D18401" t="inlineStr">
        <is>
          <t>Rouleau à Pâtisserie d'Aermyne; Amulette Séculaire; Anneau Tique; Alliance Gloursonne; Sangle Ouare; Casque Dragoeuf; Cape d'Aermyne; Bottes du Sinistrofu; Dokoko; Dofus Ocre; Carapace Neutre majeur; Remueur; Carapace Feu majeur; Déserteur majeur; Péki</t>
        </is>
      </c>
    </row>
    <row r="18402">
      <c r="A18402" t="inlineStr">
        <is>
          <t>Stuff 2</t>
        </is>
      </c>
      <c r="B18402">
        <f>HYPERLINK("https://www.dofusbook.net/fr/equipement/108664-stuff-2/objets", "link")</f>
        <v/>
      </c>
      <c r="C18402" t="n">
        <v>0</v>
      </c>
      <c r="D18402" t="inlineStr">
        <is>
          <t>Masse Ossiale; Collier de la Dame du Hasard; Bracelet du Piloztère; Pikano; Ceintrigue; Coiffe Cryochrone; Cape de la Dame du Hasard; Pataugastrique; Dofus Ocre; Dofus Turquoise; Temporiseur majeur; Remueur; Nomade; Fëanor</t>
        </is>
      </c>
    </row>
    <row r="18403">
      <c r="A18403" t="inlineStr">
        <is>
          <t>Stuff 1</t>
        </is>
      </c>
      <c r="B18403">
        <f>HYPERLINK("https://www.dofusbook.net/fr/equipement/108659-stuff-1/objets", "link")</f>
        <v/>
      </c>
      <c r="C18403" t="n">
        <v>0</v>
      </c>
      <c r="D18403" t="inlineStr">
        <is>
          <t>Marteau des égarés; Amulette du Strigide; Bague Gloursonne; Alliance Gloursonne; Ceinture de Kongoku; Chapeau des Malveilleurs; Voile d'encre; Pataugastrique; Dofus des Glaces; Dolmanax; Dofus Pourpre; Étourdisseur majeur; Remueur; Nomade; Kramkram</t>
        </is>
      </c>
    </row>
    <row r="18404">
      <c r="A18404" t="inlineStr">
        <is>
          <t>Stuff 2</t>
        </is>
      </c>
      <c r="B18404">
        <f>HYPERLINK("https://www.dofusbook.net/fr/equipement/108669-stuff-2/objets", "link")</f>
        <v/>
      </c>
      <c r="C18404" t="n">
        <v>0</v>
      </c>
      <c r="D18404" t="inlineStr">
        <is>
          <t>Rapière aux Glyphes; Amulette de Danathor; Alliance Gloursonne; Gelano; Ceinture Instable; Coiffe de Danathor; Cape Matelassée; Getas Bernacle; Dofus Turquoise; Chanceux majeur; Miraculé majeur; Nomade; Vigoureux majeur; Remueur; Pioute bleu</t>
        </is>
      </c>
    </row>
    <row r="18405">
      <c r="A18405" t="inlineStr">
        <is>
          <t>Stuff 2</t>
        </is>
      </c>
      <c r="B18405">
        <f>HYPERLINK("https://www.dofusbook.net/fr/equipement/108664-stuff-2/objets", "link")</f>
        <v/>
      </c>
      <c r="C18405" t="n">
        <v>0</v>
      </c>
      <c r="D18405" t="inlineStr">
        <is>
          <t>Masse Ossiale; Collier de la Dame du Hasard; Pikano; Bracelet du Piloztère; Ceintrigue; Coiffe Cryochrone; Cape de la Dame du Hasard; Pataugastrique; Dofus Ocre; Dofus Turquoise; Remueur; Nomade; Temporiseur majeur; Fëanor</t>
        </is>
      </c>
    </row>
    <row r="18406">
      <c r="A18406" t="inlineStr">
        <is>
          <t>Stuff 3</t>
        </is>
      </c>
      <c r="B18406">
        <f>HYPERLINK("https://www.dofusbook.net/fr/equipement/108627-stuff-3/objets", "link")</f>
        <v/>
      </c>
      <c r="C18406" t="n">
        <v>0</v>
      </c>
      <c r="D18406" t="inlineStr">
        <is>
          <t>Hache Téroïde; Amulette Ementaire Deluxe; Anneau de Nidas; Alliance Gloursonne; Ceinture de la Reine des Voleurs; Coiffe de la Reine des Voleurs; Voile d'encre; Baleinabottes; Dofus des Glaces; Dolmanax; Dofus Pourpre; Nomade; Temporiseur majeur; Remueur; Kramkram</t>
        </is>
      </c>
    </row>
    <row r="18407">
      <c r="A18407" t="inlineStr">
        <is>
          <t>Stuff 1</t>
        </is>
      </c>
      <c r="B18407">
        <f>HYPERLINK("https://www.dofusbook.net/fr/equipement/108622-stuff-1/objets", "link")</f>
        <v/>
      </c>
      <c r="C18407" t="n">
        <v>0</v>
      </c>
      <c r="D18407" t="inlineStr">
        <is>
          <t>Arc Hétype; Amulette d'Otomaï; Bague Gloursonne; Anneau de Pol Ouatnos; Ceinture Séculaire; Coiffe Séculaire; Voile d'encre; Bottes Dogues; Dofus Turquoise; Dofus Ocre; Érudit majeur; Temporiseur majeur; Observateur; Remueur; Croum</t>
        </is>
      </c>
    </row>
    <row r="18408">
      <c r="A18408" t="inlineStr">
        <is>
          <t>Stuff 2</t>
        </is>
      </c>
      <c r="B18408">
        <f>HYPERLINK("https://www.dofusbook.net/fr/equipement/108617-stuff-2/objets", "link")</f>
        <v/>
      </c>
      <c r="C18408" t="n">
        <v>0</v>
      </c>
      <c r="D18408" t="inlineStr">
        <is>
          <t>Arc Hétype; Amulette de Nileza; Gelano; Anneau de Nidas; Ceinture Séculaire; Couronne de Nidas; Cape de Léthaline; Pantoufles Émar; Érudit majeur; Entraveur majeur; Miraculé majeur; Observateur; Temporiseur majeur; Remueur; Pioute rouge</t>
        </is>
      </c>
    </row>
    <row r="18409">
      <c r="A18409" t="inlineStr">
        <is>
          <t>Stuff 3</t>
        </is>
      </c>
      <c r="B18409">
        <f>HYPERLINK("https://www.dofusbook.net/fr/equipement/108612-stuff-3/objets", "link")</f>
        <v/>
      </c>
      <c r="C18409" t="n">
        <v>0</v>
      </c>
      <c r="D18409" t="inlineStr">
        <is>
          <t>Dagues Érhy; Amulette du Strigide; Alliance de Missiz Frizz; Bague Gloursonne; Ceinture de Gein; Chapeau de Gein; Voile d'encre; Bottes du Cycloïde; Dofus Turquoise; Dofus Ocre; Dofus Pourpre; Nomade; Vigoureux majeur; Remueur; Kwaltess</t>
        </is>
      </c>
    </row>
    <row r="18410">
      <c r="A18410" t="inlineStr">
        <is>
          <t>Stuff 1</t>
        </is>
      </c>
      <c r="B18410">
        <f>HYPERLINK("https://www.dofusbook.net/fr/equipement/108607-stuff-1/objets", "link")</f>
        <v/>
      </c>
      <c r="C18410" t="n">
        <v>0</v>
      </c>
      <c r="D18410" t="inlineStr">
        <is>
          <t>Pelle de la Cour Sombre; Amulette de Pol Ouatnos; Anneau des égarés; Alliance Gloursonne; Ceinture du Barbétoal; Dorabysses; Cape Matelassée; Baleinabottes; Dofus Turquoise; Dofus Pourpre; Vigoureux majeur; Remueur; Cascadeur majeur; Nomade; Kramkram</t>
        </is>
      </c>
    </row>
    <row r="18411">
      <c r="A18411" t="inlineStr">
        <is>
          <t>Stuff 2</t>
        </is>
      </c>
      <c r="B18411">
        <f>HYPERLINK("https://www.dofusbook.net/fr/equipement/108602-stuff-2/objets", "link")</f>
        <v/>
      </c>
      <c r="C18411" t="n">
        <v>0</v>
      </c>
      <c r="D18411" t="inlineStr">
        <is>
          <t>Marteau des égarés; Amulette Ementaire Deluxe; Bague Gloursonne; Alliance Gloursonne; Ceintacé; Le Dorado; Dofusteuse; Bottes du Strigide; Dofus Turquoise; Dokoko; Dolmanax; Vigoureux majeur; Remueur; Nomade; Kramkram</t>
        </is>
      </c>
    </row>
    <row r="18412">
      <c r="A18412" t="inlineStr">
        <is>
          <t>Stuff 2</t>
        </is>
      </c>
      <c r="B18412">
        <f>HYPERLINK("https://www.dofusbook.net/fr/equipement/108629-stuff-2/objets", "link")</f>
        <v/>
      </c>
      <c r="C18412" t="n">
        <v>0</v>
      </c>
      <c r="D18412" t="inlineStr">
        <is>
          <t>Dagues Érhy; Amulette Héroclite; Anneau du Comte Harebourg; Anneau de Pol Ouatnos; Ceinture de Brouce; Coiffe du Comte Harebourg; Voile d'encre; Baleinabottes; Dofus des Glaces; Dolmanax; Dofus Turquoise; Remueur; Enragé majeur; Nomade; Pioute vert</t>
        </is>
      </c>
    </row>
    <row r="18413">
      <c r="A18413" t="inlineStr">
        <is>
          <t>Stuff 3</t>
        </is>
      </c>
      <c r="B18413">
        <f>HYPERLINK("https://www.dofusbook.net/fr/equipement/108624-stuff-3/objets", "link")</f>
        <v/>
      </c>
      <c r="C18413" t="n">
        <v>0</v>
      </c>
      <c r="D18413" t="inlineStr">
        <is>
          <t>Marteau des égarés; Amulette Ementaire Deluxe; Anneau de Nidas; Alliance Gloursonne; Ceinture de la Reine des Voleurs; Coiffe de la Reine des Voleurs; Voile d'encre; Baleinabottes; Dofus des Glaces; Dolmanax; Dofus Pourpre; Nomade; Temporiseur majeur; Remueur; Kramkram</t>
        </is>
      </c>
    </row>
    <row r="18414">
      <c r="A18414" t="inlineStr">
        <is>
          <t>Stuff 2</t>
        </is>
      </c>
      <c r="B18414">
        <f>HYPERLINK("https://www.dofusbook.net/fr/equipement/108614-stuff-2/objets", "link")</f>
        <v/>
      </c>
      <c r="C18414" t="n">
        <v>0</v>
      </c>
      <c r="D18414" t="inlineStr">
        <is>
          <t>Hache Téroïde; Amulette Ementaire Deluxe; Bague Gloursonne; Alliance Gloursonne; Ceinture de la Reine des Voleurs; Chapeau Lisson; Cape de Léthaline; Baleinabottes; Dolmanax; Dofus des Glaces; Déserteur majeur; Temporiseur majeur; Remueur; Miraculé majeur; Chachyène</t>
        </is>
      </c>
    </row>
    <row r="18415">
      <c r="A18415" t="inlineStr">
        <is>
          <t>Stuff 3</t>
        </is>
      </c>
      <c r="B18415">
        <f>HYPERLINK("https://www.dofusbook.net/fr/equipement/108609-stuff-3/objets", "link")</f>
        <v/>
      </c>
      <c r="C18415" t="n">
        <v>0</v>
      </c>
      <c r="D18415" t="inlineStr">
        <is>
          <t>Manthache; Collier du Valet Veinard; Alliance Gloursonne; Gant du Valet Veinard; Quatre-feuilles; Menoture; Capuche de Moum-Ra; Cape Indescriptible; Baleinabottes; Cascadeur majeur; Nomade; Vigoureux majeur; Remueur; Initiateur majeur; Miraculé majeur; Muldo Ebène</t>
        </is>
      </c>
    </row>
    <row r="18416">
      <c r="A18416" t="inlineStr">
        <is>
          <t>Stuff 1</t>
        </is>
      </c>
      <c r="B18416">
        <f>HYPERLINK("https://www.dofusbook.net/fr/equipement/108631-stuff-1/objets", "link")</f>
        <v/>
      </c>
      <c r="C18416" t="n">
        <v>0</v>
      </c>
      <c r="D18416" t="inlineStr">
        <is>
          <t>Baguette Hernelle; Amulette d'Otomaï; Anneau de Padgref; Gelano; Ceinture Séculaire; Coiffe de Padgref; Cape Hiculteur; Pantoufles Émar; Dofus Turquoise; Érudit majeur; Guérisseur majeur; Nomade; Miraculé majeur; Remueur; Pioute rouge</t>
        </is>
      </c>
    </row>
    <row r="18417">
      <c r="A18417" t="inlineStr">
        <is>
          <t>Stuff 2</t>
        </is>
      </c>
      <c r="B18417">
        <f>HYPERLINK("https://www.dofusbook.net/fr/equipement/108626-stuff-2/objets", "link")</f>
        <v/>
      </c>
      <c r="C18417" t="n">
        <v>1</v>
      </c>
      <c r="D18417" t="inlineStr">
        <is>
          <t>Rapière aux Glyphes; Talisman Glouti; Bracelet des Fonds marins; Alliance Gloursonne; Sangle Ouare; Masque des Fonds marins; Voile d'encre; Sandales Circulaires du Kimbo; Dofus Ocre; Déserteur majeur; Nomade; Remueur; Temporiseur majeur; Croum</t>
        </is>
      </c>
    </row>
    <row r="18418">
      <c r="A18418" t="inlineStr">
        <is>
          <t>Stuff 1</t>
        </is>
      </c>
      <c r="B18418">
        <f>HYPERLINK("https://www.dofusbook.net/fr/equipement/108616-stuff-1/objets", "link")</f>
        <v/>
      </c>
      <c r="C18418" t="n">
        <v>0</v>
      </c>
      <c r="D18418" t="inlineStr">
        <is>
          <t>Dagues Açantes; Amulette de Danathor; Alliance Gloursonne; Gelano; Ceinture Glaciale; Casquipik; Cape de Léthaline; Pikottes; Entraveur; Temporiseur majeur; Ralentisseur majeur; Entraveur majeur; Temporiseur; Remueur; Péki</t>
        </is>
      </c>
    </row>
    <row r="18419">
      <c r="A18419" t="inlineStr">
        <is>
          <t>Stuff 2</t>
        </is>
      </c>
      <c r="B18419">
        <f>HYPERLINK("https://www.dofusbook.net/fr/equipement/108611-stuff-2/objets", "link")</f>
        <v/>
      </c>
      <c r="C18419" t="n">
        <v>0</v>
      </c>
      <c r="D18419" t="inlineStr">
        <is>
          <t>Bâton Beau; Amulette de Gein; Bague Gloursonne; Bracelet du Piloztère; Ceintacé; Chapeau de Gein; Voile d'encre; Bottes du Cycloïde; Dofus Nébuleux; Dofus Turquoise; Nomade; Remueur; Enragé majeur; Vigoureux majeur; Kramkram</t>
        </is>
      </c>
    </row>
    <row r="18420">
      <c r="A18420" t="inlineStr">
        <is>
          <t>Stuff 1</t>
        </is>
      </c>
      <c r="B18420">
        <f>HYPERLINK("https://www.dofusbook.net/fr/equipement/108606-stuff-1/objets", "link")</f>
        <v/>
      </c>
      <c r="C18420" t="n">
        <v>1</v>
      </c>
      <c r="D18420" t="inlineStr">
        <is>
          <t>Epée Maudite du Saigneur Guerrier; Amulette du Strigide; Alliance Gloursonne; Pikano; Ceintacé; Casque Dragoeuf; Voile d'encre; Bottes du Strigide; Dofus Turquoise; Remueur; Carapace Terre majeur; Carapace Eau majeur; Nomade; Carapace Neutre majeur; Kramkram</t>
        </is>
      </c>
    </row>
    <row r="18421">
      <c r="A18421" t="inlineStr">
        <is>
          <t>Stuff 3</t>
        </is>
      </c>
      <c r="B18421">
        <f>HYPERLINK("https://www.dofusbook.net/fr/equipement/108633-stuff-3/objets", "link")</f>
        <v/>
      </c>
      <c r="C18421" t="n">
        <v>0</v>
      </c>
      <c r="D18421" t="inlineStr">
        <is>
          <t>Harpelle; Pendentif affamé; Anneau de Padgref; Kralano; Ceinture Séculaire; Coiffe Séculaire; Cape de Diondin; Bottes Innommables; Dofus Turquoise; Nomade; Savant majeur; Érudit majeur; Guérisseur majeur; Remueur; Pioute rouge</t>
        </is>
      </c>
    </row>
    <row r="18422">
      <c r="A18422" t="inlineStr">
        <is>
          <t>Stuff 1</t>
        </is>
      </c>
      <c r="B18422">
        <f>HYPERLINK("https://www.dofusbook.net/fr/equipement/108601-stuff-1/objets", "link")</f>
        <v/>
      </c>
      <c r="C18422" t="n">
        <v>0</v>
      </c>
      <c r="D18422" t="inlineStr">
        <is>
          <t>Bâton Beau; Amulette du Strigide; Bague Gloursonne; Bracelet du Piloztère; Ceintacé; Le Dorado; Dofusteuse; Bottes du Strigide; Dolmanax; Dofus Turquoise; Dofus Pourpre; Remueur; Nomade; Vigoureux majeur; Croum</t>
        </is>
      </c>
    </row>
    <row r="18423">
      <c r="A18423" t="inlineStr">
        <is>
          <t>Stuff 3</t>
        </is>
      </c>
      <c r="B18423">
        <f>HYPERLINK("https://www.dofusbook.net/fr/equipement/108624-stuff-3/objets", "link")</f>
        <v/>
      </c>
      <c r="C18423" t="n">
        <v>0</v>
      </c>
      <c r="D18423" t="inlineStr">
        <is>
          <t>Marteau des égarés; Amulette Ementaire Deluxe; Anneau de Nidas; Alliance Gloursonne; Ceinture de la Reine des Voleurs; Coiffe de la Reine des Voleurs; Voile d'encre; Baleinabottes; Dofus des Glaces; Dolmanax; Dofus Pourpre; Temporiseur majeur; Remueur; Nomade; Kramkram</t>
        </is>
      </c>
    </row>
    <row r="18424">
      <c r="A18424" t="inlineStr">
        <is>
          <t>Stuff 2</t>
        </is>
      </c>
      <c r="B18424">
        <f>HYPERLINK("https://www.dofusbook.net/fr/equipement/108614-stuff-2/objets", "link")</f>
        <v/>
      </c>
      <c r="C18424" t="n">
        <v>0</v>
      </c>
      <c r="D18424" t="inlineStr">
        <is>
          <t>Hache Téroïde; Amulette Ementaire Deluxe; Bague Gloursonne; Alliance Gloursonne; Ceinture de la Reine des Voleurs; Chapeau Lisson; Cape de Léthaline; Baleinabottes; Dolmanax; Dofus des Glaces; Déserteur majeur; Temporiseur majeur; Remueur; Miraculé majeur; Chachyène</t>
        </is>
      </c>
    </row>
    <row r="18425">
      <c r="A18425" t="inlineStr">
        <is>
          <t>Stuff 3</t>
        </is>
      </c>
      <c r="B18425">
        <f>HYPERLINK("https://www.dofusbook.net/fr/equipement/108609-stuff-3/objets", "link")</f>
        <v/>
      </c>
      <c r="C18425" t="n">
        <v>0</v>
      </c>
      <c r="D18425" t="inlineStr">
        <is>
          <t>Manthache; Collier du Valet Veinard; Alliance Gloursonne; Gant du Valet Veinard; Quatre-feuilles; Menoture; Capuche de Moum-Ra; Cape Indescriptible; Baleinabottes; Nomade; Vigoureux majeur; Remueur; Initiateur majeur; Miraculé majeur; Cascadeur majeur; Muldo Ebène</t>
        </is>
      </c>
    </row>
    <row r="18426">
      <c r="A18426" t="inlineStr">
        <is>
          <t>Stuff 1</t>
        </is>
      </c>
      <c r="B18426">
        <f>HYPERLINK("https://www.dofusbook.net/fr/equipement/108631-stuff-1/objets", "link")</f>
        <v/>
      </c>
      <c r="C18426" t="n">
        <v>0</v>
      </c>
      <c r="D18426" t="inlineStr">
        <is>
          <t>Baguette Hernelle; Amulette d'Otomaï; Gelano; Anneau de Padgref; Ceinture Séculaire; Coiffe de Padgref; Cape Hiculteur; Pantoufles Émar; Dofus Turquoise; Miraculé majeur; Remueur; Érudit majeur; Guérisseur majeur; Nomade; Pioute rouge</t>
        </is>
      </c>
    </row>
    <row r="18427">
      <c r="A18427" t="inlineStr">
        <is>
          <t>Stuff 2</t>
        </is>
      </c>
      <c r="B18427">
        <f>HYPERLINK("https://www.dofusbook.net/fr/equipement/108626-stuff-2/objets", "link")</f>
        <v/>
      </c>
      <c r="C18427" t="n">
        <v>1</v>
      </c>
      <c r="D18427" t="inlineStr">
        <is>
          <t>Rapière aux Glyphes; Talisman Glouti; Alliance Gloursonne; Bracelet des Fonds marins; Sangle Ouare; Masque des Fonds marins; Voile d'encre; Sandales Circulaires du Kimbo; Dofus Ocre; Déserteur majeur; Nomade; Remueur; Temporiseur majeur; Croum</t>
        </is>
      </c>
    </row>
    <row r="18428">
      <c r="A18428" t="inlineStr">
        <is>
          <t>Stuff 1</t>
        </is>
      </c>
      <c r="B18428">
        <f>HYPERLINK("https://www.dofusbook.net/fr/equipement/108616-stuff-1/objets", "link")</f>
        <v/>
      </c>
      <c r="C18428" t="n">
        <v>0</v>
      </c>
      <c r="D18428" t="inlineStr">
        <is>
          <t>Dagues Açantes; Amulette de Danathor; Alliance Gloursonne; Gelano; Ceinture Glaciale; Casquipik; Cape de Léthaline; Pikottes; Ralentisseur majeur; Entraveur majeur; Temporiseur; Remueur; Entraveur; Temporiseur majeur; Péki</t>
        </is>
      </c>
    </row>
    <row r="18429">
      <c r="A18429" t="inlineStr">
        <is>
          <t>Stuff 2</t>
        </is>
      </c>
      <c r="B18429">
        <f>HYPERLINK("https://www.dofusbook.net/fr/equipement/108611-stuff-2/objets", "link")</f>
        <v/>
      </c>
      <c r="C18429" t="n">
        <v>0</v>
      </c>
      <c r="D18429" t="inlineStr">
        <is>
          <t>Bâton Beau; Amulette de Gein; Bracelet du Piloztère; Bague Gloursonne; Ceintacé; Chapeau de Gein; Voile d'encre; Bottes du Cycloïde; Dofus Turquoise; Dofus Nébuleux; Remueur; Enragé majeur; Vigoureux majeur; Nomade; Kramkram</t>
        </is>
      </c>
    </row>
    <row r="18430">
      <c r="A18430" t="inlineStr">
        <is>
          <t>Stuff 1</t>
        </is>
      </c>
      <c r="B18430">
        <f>HYPERLINK("https://www.dofusbook.net/fr/equipement/108606-stuff-1/objets", "link")</f>
        <v/>
      </c>
      <c r="C18430" t="n">
        <v>1</v>
      </c>
      <c r="D18430" t="inlineStr">
        <is>
          <t>Epée Maudite du Saigneur Guerrier; Amulette du Strigide; Pikano; Alliance Gloursonne; Ceintacé; Casque Dragoeuf; Voile d'encre; Bottes du Strigide; Dofus Turquoise; Carapace Eau majeur; Nomade; Carapace Neutre majeur; Remueur; Carapace Terre majeur; Kramkram</t>
        </is>
      </c>
    </row>
    <row r="18431">
      <c r="A18431" t="inlineStr">
        <is>
          <t>Stuff 1</t>
        </is>
      </c>
      <c r="B18431">
        <f>HYPERLINK("https://www.dofusbook.net/fr/equipement/108601-stuff-1/objets", "link")</f>
        <v/>
      </c>
      <c r="C18431" t="n">
        <v>0</v>
      </c>
      <c r="D18431" t="inlineStr">
        <is>
          <t>Bâton Beau; Amulette du Strigide; Bague Gloursonne; Bracelet du Piloztère; Ceintacé; Le Dorado; Dofusteuse; Bottes du Strigide; Dofus Pourpre; Dolmanax; Dofus Turquoise; Vigoureux majeur; Remueur; Nomade; Croum</t>
        </is>
      </c>
    </row>
    <row r="18432">
      <c r="A18432" t="inlineStr">
        <is>
          <t>Stuff 3</t>
        </is>
      </c>
      <c r="B18432">
        <f>HYPERLINK("https://www.dofusbook.net/fr/equipement/108633-stuff-3/objets", "link")</f>
        <v/>
      </c>
      <c r="C18432" t="n">
        <v>0</v>
      </c>
      <c r="D18432" t="inlineStr">
        <is>
          <t>Harpelle; Pendentif affamé; Kralano; Anneau de Padgref; Ceinture Séculaire; Coiffe Séculaire; Cape de Diondin; Bottes Innommables; Dofus Turquoise; Guérisseur majeur; Remueur; Nomade; Savant majeur; Érudit majeur; Pioute rouge</t>
        </is>
      </c>
    </row>
    <row r="18433">
      <c r="A18433" t="inlineStr">
        <is>
          <t>Stuff 1</t>
        </is>
      </c>
      <c r="B18433">
        <f>HYPERLINK("https://www.dofusbook.net/fr/equipement/108628-stuff-1/objets", "link")</f>
        <v/>
      </c>
      <c r="C18433" t="n">
        <v>0</v>
      </c>
      <c r="D18433" t="inlineStr">
        <is>
          <t>Arc Nécrotique; Kralamansion; Anneau de Pol Ouatnos; Anneau Cryochrone; Sangle Ouare; Coiffe Cryochrone; Voile d'encre; Pataugastrique; Dofus des Glaces; Dolmanax; Dofus Turquoise; Vigoureux majeur; Remueur; Temporiseur majeur; Croum</t>
        </is>
      </c>
    </row>
    <row r="18434">
      <c r="A18434" t="inlineStr">
        <is>
          <t>best</t>
        </is>
      </c>
      <c r="B18434">
        <f>HYPERLINK("https://www.dofusbook.net/fr/equipement/2877355-best/objets", "link")</f>
        <v/>
      </c>
      <c r="C18434" t="n">
        <v>22</v>
      </c>
      <c r="D18434" t="inlineStr">
        <is>
          <t>Arc du Chalœil; Amulette du Kamasterisk; Anneau de Brouce; Bague Gloursonne; Quatre-feuilles; Ceinture de Brouce; Masque de Koutoulou; Cape au Logis; Bottes du Kamasterisk; Dofus des Glaces; Dofus Nébuleux; Dofus Pourpre; Dofus Turquoise; Dofus Abyssal; Bwak de Terre</t>
        </is>
      </c>
    </row>
    <row r="18435">
      <c r="A18435" t="inlineStr">
        <is>
          <t>Stuff 2</t>
        </is>
      </c>
      <c r="B18435">
        <f>HYPERLINK("https://www.dofusbook.net/fr/equipement/585169-stuff-2/objets", "link")</f>
        <v/>
      </c>
      <c r="C18435" t="n">
        <v>1</v>
      </c>
      <c r="D18435" t="inlineStr">
        <is>
          <t>Baguette de Torkélonia; Amulette du Kamasterisk; Anneau Volkorne; Alliance Gloursonne; Quatre-feuilles; Ceinture Volkorne; Casque Volkorne; Cape du Kamasterisk; Bottes du Kamasterisk; Dofus Turquoise; Dofus Ocre; Dofus des Glaces; Dofus Abyssal; Dofus Nébuleux; Dofus Pourpre; Mékrabe</t>
        </is>
      </c>
    </row>
    <row r="18436">
      <c r="A18436" t="inlineStr">
        <is>
          <t>Stuff 2</t>
        </is>
      </c>
      <c r="B18436">
        <f>HYPERLINK("https://www.dofusbook.net/fr/equipement/585176-stuff-2/objets", "link")</f>
        <v/>
      </c>
      <c r="C18436" t="n">
        <v>2</v>
      </c>
      <c r="D18436" t="inlineStr">
        <is>
          <t>Baguette de Torkélonia; Amulette du Kamasterisk; Alliance Gloursonne; Anneau Volkorne; Quatre-feuilles; Ceinture Volkorne; Casque Volkorne; Cape au Logis; Bottes du Kamasterisk; Dofus Nébuleux; Dofus Pourpre; Dofus Turquoise; Dofus Ocre; Dofus des Glaces; Dofus Abyssal; Mékrabe</t>
        </is>
      </c>
    </row>
    <row r="18437">
      <c r="A18437" t="inlineStr">
        <is>
          <t>bvv</t>
        </is>
      </c>
      <c r="B18437">
        <f>HYPERLINK("https://www.dofusbook.net/fr/equipement/3095823-bvv/objets", "link")</f>
        <v/>
      </c>
      <c r="C18437" t="n">
        <v>5</v>
      </c>
      <c r="D18437" t="inlineStr">
        <is>
          <t>Dagues Érhy; Amulette Martegel; Alliance Gloursonne; Gant du Valet Veinard; Ceintacé; Cagoule de Vortex; Cape du Valet Veinard; Sabots de Vortex; Dolmanax; Dofus des Glaces; Dofus Pourpre; Dofus Nébuleux; Dofus Ocre; Dofus Abyssal</t>
        </is>
      </c>
    </row>
    <row r="18438">
      <c r="A18438" t="inlineStr">
        <is>
          <t>Stuff 1</t>
        </is>
      </c>
      <c r="B18438">
        <f>HYPERLINK("https://www.dofusbook.net/fr/equipement/585178-stuff-1/objets", "link")</f>
        <v/>
      </c>
      <c r="C18438" t="n">
        <v>2</v>
      </c>
      <c r="D18438" t="inlineStr">
        <is>
          <t>Dagues Érhy; Amulette Martegel; Bague Gloursonne; Alliance Gloursonne; Bouclier du Stalak; Ceinture de l'Esprit Salvateur; Masque de l'Esprit Salvateur; Cape Martegel; Bottes de l'Esprit Salvateur; Dolmanax; Dofus Ocre; Dofus des Glaces; Dofus Abyssal; Dofus Nébuleux; Dofus Pourpre; Muldo Doré et Orchidée</t>
        </is>
      </c>
    </row>
    <row r="18439">
      <c r="A18439" t="inlineStr">
        <is>
          <t>Crâ M 200</t>
        </is>
      </c>
      <c r="B18439">
        <f>HYPERLINK("https://www.dofusbook.net/fr/equipement/4701497-cra-m-200/objets", "link")</f>
        <v/>
      </c>
      <c r="C18439" t="n">
        <v>2</v>
      </c>
      <c r="D18439" t="inlineStr">
        <is>
          <t>Manthache; Collier du Valet Veinard; Alliance Gloursonne; Gant du Valet Veinard; Quatre-feuilles; Menoture; Couronne d'Allister; Cape Indescriptible; Palmes Trithons; Dofus Pourpre; Dofus Abyssal; Dofus des Glaces; Dofus Nébuleux; Dofus Ocre; Blérodoudou</t>
        </is>
      </c>
    </row>
    <row r="18440">
      <c r="A18440" t="inlineStr">
        <is>
          <t>Pandawa F 200</t>
        </is>
      </c>
      <c r="B18440">
        <f>HYPERLINK("https://www.dofusbook.net/fr/equipement/4701451-pandawa-f-200/objets", "link")</f>
        <v/>
      </c>
      <c r="C18440" t="n">
        <v>0</v>
      </c>
      <c r="D18440" t="inlineStr">
        <is>
          <t>Manthache; Collier du Valet Veinard; Gant du Valet Veinard; Alliance Gloursonne; Quatre-feuilles; Menoture; Couronne d'Allister; Cape Indescriptible; Palmes Trithons; Dofus Pourpre; Dofus Abyssal; Dofus des Glaces; Dofus Nébuleux; Dofus Ocre; Blérodoudou</t>
        </is>
      </c>
    </row>
    <row r="18441">
      <c r="A18441" t="inlineStr">
        <is>
          <t>Enutrof M 200</t>
        </is>
      </c>
      <c r="B18441">
        <f>HYPERLINK("https://www.dofusbook.net/fr/equipement/4701477-enutrof-m-200/objets", "link")</f>
        <v/>
      </c>
      <c r="C18441" t="n">
        <v>0</v>
      </c>
      <c r="D18441" t="inlineStr"/>
    </row>
    <row r="18442">
      <c r="A18442" t="inlineStr">
        <is>
          <t>Enutrof M 200</t>
        </is>
      </c>
      <c r="B18442">
        <f>HYPERLINK("https://www.dofusbook.net/fr/equipement/4701476-enutrof-m-200/objets", "link")</f>
        <v/>
      </c>
      <c r="C18442" t="n">
        <v>0</v>
      </c>
      <c r="D18442" t="inlineStr"/>
    </row>
    <row r="18443">
      <c r="A18443" t="inlineStr">
        <is>
          <t>Enutrof M 200</t>
        </is>
      </c>
      <c r="B18443">
        <f>HYPERLINK("https://www.dofusbook.net/fr/equipement/4701475-enutrof-m-200/objets", "link")</f>
        <v/>
      </c>
      <c r="C18443" t="n">
        <v>0</v>
      </c>
      <c r="D18443" t="inlineStr"/>
    </row>
    <row r="18444">
      <c r="A18444" t="inlineStr">
        <is>
          <t>Enutrof M 200</t>
        </is>
      </c>
      <c r="B18444">
        <f>HYPERLINK("https://www.dofusbook.net/fr/equipement/4701405-enutrof-m-200/objets", "link")</f>
        <v/>
      </c>
      <c r="C18444" t="n">
        <v>0</v>
      </c>
      <c r="D18444" t="inlineStr">
        <is>
          <t>Manthache; Collier du Valet Veinard; Gant du Valet Veinard; Alliance Gloursonne; Quatre-feuilles; Menoture; Couronne d'Allister; Cape Indescriptible; Palmes Trithons; Dofus Nébuleux; Dofus Ocre; Dofus Pourpre; Dofus Abyssal; Dofus des Glaces; Blérodoudou</t>
        </is>
      </c>
    </row>
    <row r="18445">
      <c r="A18445" t="inlineStr">
        <is>
          <t>best</t>
        </is>
      </c>
      <c r="B18445">
        <f>HYPERLINK("https://www.dofusbook.net/fr/equipement/3217835-best/objets", "link")</f>
        <v/>
      </c>
      <c r="C18445" t="n">
        <v>4</v>
      </c>
      <c r="D18445" t="inlineStr">
        <is>
          <t>Hachoirs de Viandargh; Collier du Valet Veinard; Alliance Gloursonne; Gant du Valet Veinard; Bouclier du Captain Amakna; Menoture; Couronne d'Allister; Cape Indescriptible; Palmes Trithons; Dokoko; Remueur; Nomade; Cascadeur majeur; Vigoureux majeur; Étourdisseur majeur; Dragodinde Ebène et Ivoire</t>
        </is>
      </c>
    </row>
    <row r="18446">
      <c r="A18446" t="inlineStr">
        <is>
          <t>Stuff 1</t>
        </is>
      </c>
      <c r="B18446">
        <f>HYPERLINK("https://www.dofusbook.net/fr/equipement/585188-stuff-1/objets", "link")</f>
        <v/>
      </c>
      <c r="C18446" t="n">
        <v>3</v>
      </c>
      <c r="D18446" t="inlineStr">
        <is>
          <t>Manthache; Collier du Valet Veinard; Gant du Valet Veinard; Alliance Gloursonne; Bouclier du Stalak; Menoture; Couronne d'Allister; Cape Indescriptible; Palmes Trithons; Dofus Nébuleux; Vigoureux majeur; Dévastateur Air majeur; Remueur; Nomade; Cascadeur majeur; El Scarador</t>
        </is>
      </c>
    </row>
    <row r="18447">
      <c r="A18447" t="inlineStr">
        <is>
          <t>invoc</t>
        </is>
      </c>
      <c r="B18447">
        <f>HYPERLINK("https://www.dofusbook.net/fr/equipement/2401671-invoc/objets", "link")</f>
        <v/>
      </c>
      <c r="C18447" t="n">
        <v>3</v>
      </c>
      <c r="D18447" t="inlineStr">
        <is>
          <t>Manthache; Collier du Valet Veinard; Alliance Gloursonne; Gant du Valet Veinard; Bouclier du Stalak; Menoture; Couronne d'Allister; Cape Indescriptible; Palmes Trithons; Dokoko; Remueur; Nomade; Cascadeur majeur; Vigoureux majeur; Dévastateur Air majeur; El Scarador</t>
        </is>
      </c>
    </row>
    <row r="18448">
      <c r="A18448" t="inlineStr">
        <is>
          <t>Pandawa F 200</t>
        </is>
      </c>
      <c r="B18448">
        <f>HYPERLINK("https://www.dofusbook.net/fr/equipement/3960594-pandawa-f-200/objets", "link")</f>
        <v/>
      </c>
      <c r="C18448" t="n">
        <v>4</v>
      </c>
      <c r="D18448" t="inlineStr">
        <is>
          <t>Manthache; Collier du Valet Veinard; Gant du Valet Veinard; Alliance Gloursonne; Bouclier du Stalak; Menoture; Couronne d'Allister; Cape Indescriptible; Palmes Trithons; Dokoko; Vigoureux majeur; Dévastateur Air majeur; Remueur; Nomade; Cascadeur majeur; Blérodoudou</t>
        </is>
      </c>
    </row>
    <row r="18449">
      <c r="A18449" t="inlineStr">
        <is>
          <t>zozo</t>
        </is>
      </c>
      <c r="B18449">
        <f>HYPERLINK("https://www.dofusbook.net/fr/equipement/2914661-zozo/objets", "link")</f>
        <v/>
      </c>
      <c r="C18449" t="n">
        <v>3</v>
      </c>
      <c r="D18449" t="inlineStr">
        <is>
          <t>Hache du Korriandre; Amulette du Strigide; Anneau de Padgref; Alliance Gloursonne; Bouclier du Captain Amakna; Ceinture du Strigide; Némès de Tal Kasha; Chevelure de Tal Kasha; Sandales de Tal Kasha; Dofus Nébuleux; Dofus Pourpre; Dofus Turquoise; Dofus des Glaces; Dofus Ocre; Dolmanax; Muldo Prune et Indigo</t>
        </is>
      </c>
    </row>
    <row r="18450">
      <c r="A18450" t="inlineStr">
        <is>
          <t>best</t>
        </is>
      </c>
      <c r="B18450">
        <f>HYPERLINK("https://www.dofusbook.net/fr/equipement/3217834-best/objets", "link")</f>
        <v/>
      </c>
      <c r="C18450" t="n">
        <v>2</v>
      </c>
      <c r="D18450" t="inlineStr">
        <is>
          <t>Arc de Koutoulou; Amulette du Strigide; Alliance Gloursonne; Bracelet du Piloztère; Bouclier du Captain Amakna; Ceinture Voldelor; Kidibonnet; Chevelure de Tal Kasha; Sandales de Tal Kasha; Dofus Turquoise; Dofus Pourpre; Cascadeur majeur; Nomade; Vigoureux majeur; Remueur; Kramkram</t>
        </is>
      </c>
    </row>
    <row r="18451">
      <c r="A18451" t="inlineStr">
        <is>
          <t>resi</t>
        </is>
      </c>
      <c r="B18451">
        <f>HYPERLINK("https://www.dofusbook.net/fr/equipement/3125884-resi/objets", "link")</f>
        <v/>
      </c>
      <c r="C18451" t="n">
        <v>2</v>
      </c>
      <c r="D18451" t="inlineStr">
        <is>
          <t>Hache du Chalœil; Amulette de Shokkoth; Anneau du Katcheur; Anneau Crustique; Ceinture de Kongoku; Boucle d'oreille de Kongoku; Voile d'encre; Bottes de la Reine des Voleurs</t>
        </is>
      </c>
    </row>
    <row r="18452">
      <c r="A18452" t="inlineStr">
        <is>
          <t>Stuff 3</t>
        </is>
      </c>
      <c r="B18452">
        <f>HYPERLINK("https://www.dofusbook.net/fr/equipement/585174-stuff-3/objets", "link")</f>
        <v/>
      </c>
      <c r="C18452" t="n">
        <v>0</v>
      </c>
      <c r="D18452" t="inlineStr">
        <is>
          <t>Dagoulinantes; Collier de la Dame du Hasard; Bracelet du Piloztère; Alliance Gloursonne; Bouclier du Bawbawe; Pagne du Rykaon; Kidibonnet; Cape Matelassée; Bottes de la Dame du Hasard; Dofus Pourpre; Dofus Turquoise; Dokoko</t>
        </is>
      </c>
    </row>
    <row r="18453">
      <c r="A18453" t="inlineStr">
        <is>
          <t>zozo</t>
        </is>
      </c>
      <c r="B18453">
        <f>HYPERLINK("https://www.dofusbook.net/fr/equipement/3030525-zozo/objets", "link")</f>
        <v/>
      </c>
      <c r="C18453" t="n">
        <v>0</v>
      </c>
      <c r="D18453" t="inlineStr">
        <is>
          <t>Sceptre du Roi Joueur; Amulette de l'Œil Attentif; Bracelet du Piloztère; Alliance Gloursonne; Sangle Ouare; Kidibonnet; Cape Solution; Pantoufles du Piloztère; Dofus Émeraude; Dofus Pourpre; Dokoko; Dofus Turquoise; Chanceux majeur; Vigoureux majeur</t>
        </is>
      </c>
    </row>
    <row r="18454">
      <c r="A18454" t="inlineStr">
        <is>
          <t>tabk</t>
        </is>
      </c>
      <c r="B18454">
        <f>HYPERLINK("https://www.dofusbook.net/fr/equipement/3020866-tabk/objets", "link")</f>
        <v/>
      </c>
      <c r="C18454" t="n">
        <v>5</v>
      </c>
      <c r="D18454" t="inlineStr">
        <is>
          <t>Héqache; Talisman Igans; Bague Instable; Bague Trithon; Bouclier précieux; Ceintrigue; Masque d'Anerice; Cape d'Anerice; Bottes Owesli; Dofus Ocre; Dofus Forgelave; Dofus Émeraude; Dofus Ivoire; Dokoko; Bousculeur majeur; Kwaltess</t>
        </is>
      </c>
    </row>
    <row r="18455">
      <c r="A18455" t="inlineStr">
        <is>
          <t>syvsyv</t>
        </is>
      </c>
      <c r="B18455">
        <f>HYPERLINK("https://www.dofusbook.net/fr/equipement/2937339-syvsyv/objets", "link")</f>
        <v/>
      </c>
      <c r="C18455" t="n">
        <v>0</v>
      </c>
      <c r="D18455" t="inlineStr">
        <is>
          <t>Manthache; Amulette du Granduk; Anneau de Padgref; Alliance Gloursonne; Cadran d'Air; Menoture; Masque du Granduk; Cape Indescriptible; Palmes Trithons; Dofus Ocre; Dofus Ivoire; Dofus Turquoise; Dofus des Glaces; Dévastateur Air majeur; Observateur; Muldo Prune et Ebène</t>
        </is>
      </c>
    </row>
    <row r="18456">
      <c r="A18456" t="inlineStr">
        <is>
          <t>zozo</t>
        </is>
      </c>
      <c r="B18456">
        <f>HYPERLINK("https://www.dofusbook.net/fr/equipement/2892354-zozo/objets", "link")</f>
        <v/>
      </c>
      <c r="C18456" t="n">
        <v>2</v>
      </c>
      <c r="D18456" t="inlineStr">
        <is>
          <t>Sceptre du Roi Joueur; Amulette du Strigide; Bague Trithon; Alliance Gloursonne; Bouclier Taverne; Ceinture du Barbétoal; Kidibonnet; Cape des Malveilleurs; Bottes Trithon; Dofus Émeraude; Dofus Pourpre; Dokoko; Dofus Turquoise; Remueur; Culbuteur majeur; Muldo Indigo et Orchidée</t>
        </is>
      </c>
    </row>
    <row r="18457">
      <c r="A18457" t="inlineStr">
        <is>
          <t>zob</t>
        </is>
      </c>
      <c r="B18457">
        <f>HYPERLINK("https://www.dofusbook.net/fr/equipement/2937775-zob-/objets", "link")</f>
        <v/>
      </c>
      <c r="C18457" t="n">
        <v>0</v>
      </c>
      <c r="D18457" t="inlineStr">
        <is>
          <t>Rapière aux Glyphes; Amulette du Strigide; Bracelet du Piloztère; Alliance Gloursonne; Bouclier Taverne; Sangle Ouare; Kidibonnet; Cape du Sinistrofu; Bottes du Strigide; Dokoko; Dofus Turquoise; Dofus Émeraude; Chanceux majeur; Muldo Indigo et Pourpre</t>
        </is>
      </c>
    </row>
    <row r="18458">
      <c r="A18458" t="inlineStr">
        <is>
          <t>zob</t>
        </is>
      </c>
      <c r="B18458">
        <f>HYPERLINK("https://www.dofusbook.net/fr/equipement/2934023-zob-/objets", "link")</f>
        <v/>
      </c>
      <c r="C18458" t="n">
        <v>1</v>
      </c>
      <c r="D18458" t="inlineStr">
        <is>
          <t>Arc de Guten Tak; Amulette de Guten Tak; Anneau de Guten Tak; Alliance de Guten Tak; Bouclier Taverne; Ceinture de la Reine des Voleurs; Coiffe de la Reine des Voleurs; Cape Luminescente; Bottes de la Reine des Voleurs; Dofus Émeraude; Dofus Turquoise; Dokoko; Chanceux majeur; Culbuteur majeur; Muldo Doré et Indigo</t>
        </is>
      </c>
    </row>
    <row r="18459">
      <c r="A18459" t="inlineStr">
        <is>
          <t>news</t>
        </is>
      </c>
      <c r="B18459">
        <f>HYPERLINK("https://www.dofusbook.net/fr/equipement/2821091-news/objets", "link")</f>
        <v/>
      </c>
      <c r="C18459" t="n">
        <v>0</v>
      </c>
      <c r="D18459" t="inlineStr">
        <is>
          <t>Hachoirs de Viandargh; Kralamansion; Kralano; Annolamour; Bouclier du Captain Amakna; Ceinture du Strigide; Némès de Tal Kasha; Chevelure de Tal Kasha; Sandales de Tal Kasha; Dofus Turquoise; Dolmanax; Dofus Pourpre; Dofus des Glaces; Dofus Ocre; Joueur majeur; Muldo Doré et Indigo</t>
        </is>
      </c>
    </row>
    <row r="18460">
      <c r="A18460" t="inlineStr">
        <is>
          <t>zo66680</t>
        </is>
      </c>
      <c r="B18460">
        <f>HYPERLINK("https://www.dofusbook.net/fr/equipement/2870116-zo66680/objets", "link")</f>
        <v/>
      </c>
      <c r="C18460" t="n">
        <v>0</v>
      </c>
      <c r="D18460" t="inlineStr">
        <is>
          <t>Rapière aux Glyphes; Amulette de Shokkoth; Bracelet des Fonds marins; Alliance Gloursonne; Bouclier du Captain Amakna; Poulpagne; Kidibonnet; Cape de Mantaze; Sandales des Fonds marins; Dofus Pourpre; Chanceux majeur; Nomade; Déserteur majeur; Remueur; Muldo Indigo</t>
        </is>
      </c>
    </row>
    <row r="18461">
      <c r="A18461" t="inlineStr">
        <is>
          <t>Stuff 1</t>
        </is>
      </c>
      <c r="B18461">
        <f>HYPERLINK("https://www.dofusbook.net/fr/equipement/2790402-stuff-1/objets", "link")</f>
        <v/>
      </c>
      <c r="C18461" t="n">
        <v>0</v>
      </c>
      <c r="D18461" t="inlineStr">
        <is>
          <t>Baguette Héroclite; Amulette de Shokkoth; Bracelet du Piloztère; Alliance Gloursonne; Quatre-feuilles; Ceintacé; Capuche de l'Œil Putride; Chevelure de Tal Kasha; Sandales de Tal Kasha; Dofus Turquoise; Dofus Pourpre; Chanceux majeur; Nomade; Remueur; Vigoureux majeur; Kramkram</t>
        </is>
      </c>
    </row>
    <row r="18462">
      <c r="A18462" t="inlineStr">
        <is>
          <t>Stuff 1</t>
        </is>
      </c>
      <c r="B18462">
        <f>HYPERLINK("https://www.dofusbook.net/fr/equipement/2802989-stuff-1/objets", "link")</f>
        <v/>
      </c>
      <c r="C18462" t="n">
        <v>0</v>
      </c>
      <c r="D18462" t="inlineStr">
        <is>
          <t>Rapière aux Glyphes; Amulette Voldelor; Bracelet du Piloztère; Alliance Gloursonne; Bouclier du Captain Amakna; Ceintacé; Capuche de l'Œil Putride; Chevelure de Tal Kasha; Sandales de Tal Kasha; Dofus Turquoise; Dofus Pourpre; Dofus Émeraude; Nomade; Chanceux majeur; Remueur; Muldo Prune et Ebène</t>
        </is>
      </c>
    </row>
    <row r="18463">
      <c r="A18463" t="inlineStr">
        <is>
          <t>Stuff 2</t>
        </is>
      </c>
      <c r="B18463">
        <f>HYPERLINK("https://www.dofusbook.net/fr/equipement/585181-stuff-2/objets", "link")</f>
        <v/>
      </c>
      <c r="C18463" t="n">
        <v>0</v>
      </c>
      <c r="D18463" t="inlineStr">
        <is>
          <t>Dagues de Srambad; Amulette Ementaire Deluxe; Alliance du Lévitrof; Alliance Gloursonne; Bouclier alvéolé; Ceintacé; Coiffe de la Reine des Voleurs; Voile d'encre; Bottes de la Reine des Voleurs; Dofus Pourpre; Dofus Ocre; Dokoko; Nomade; Remueur; Miraculé majeur; Muldo Ebène</t>
        </is>
      </c>
    </row>
    <row r="18464">
      <c r="A18464" t="inlineStr">
        <is>
          <t>Stuff 1</t>
        </is>
      </c>
      <c r="B18464">
        <f>HYPERLINK("https://www.dofusbook.net/fr/equipement/2790409-stuff-1/objets", "link")</f>
        <v/>
      </c>
      <c r="C18464" t="n">
        <v>0</v>
      </c>
      <c r="D18464" t="inlineStr">
        <is>
          <t>Arc de Koutoulou; Amulette du Strigide; Alliance Gloursonne; Bracelet du Piloztère; Bouclier du Captain Amakna; Ceinture du Strigide; Némès de Tal Kasha; Chevelure de Tal Kasha; Sandales de Tal Kasha; Dofus Ivoire; Dofus Ocre; Dofus Émeraude; Dofus Turquoise; Dofus Nébuleux; Dofus Pourpre; Muldo Ebène et Indigo</t>
        </is>
      </c>
    </row>
    <row r="18465">
      <c r="A18465" t="inlineStr">
        <is>
          <t>muli</t>
        </is>
      </c>
      <c r="B18465">
        <f>HYPERLINK("https://www.dofusbook.net/fr/equipement/2434641-muli/objets", "link")</f>
        <v/>
      </c>
      <c r="C18465" t="n">
        <v>0</v>
      </c>
      <c r="D18465" t="inlineStr">
        <is>
          <t>Rapière aux Glyphes; Amulette du Strigide; Alliance Gloursonne; Bracelet du Piloztère; Ceintacé; Capuche de l'Œil Attentif; Chevelure de Tal Kasha; Bottes du Strigide; Dofus Turquoise; Dofus Pourpre; Déserteur majeur; Nomade; Vigoureux majeur; Remueur; Muldo Indigo et Orchidée</t>
        </is>
      </c>
    </row>
    <row r="18466">
      <c r="A18466" t="inlineStr">
        <is>
          <t>Stuff 1</t>
        </is>
      </c>
      <c r="B18466">
        <f>HYPERLINK("https://www.dofusbook.net/fr/equipement/585189-stuff-1/objets", "link")</f>
        <v/>
      </c>
      <c r="C18466" t="n">
        <v>2</v>
      </c>
      <c r="D18466" t="inlineStr">
        <is>
          <t>Arc de Koutoulou; Amulette du Strigide; Alliance Gloursonne; Bracelet du Piloztère; Bouclier du Captain Amakna; Ceinture du Strigide; Némès de Tal Kasha; Chevelure de Tal Kasha; Sandales de Tal Kasha; Dofus Émeraude; Dofus Turquoise; Dofus Nébuleux; Dofus Pourpre; Dofus Ivoire; Dofus Ocre; Muldo Ebène et Indigo</t>
        </is>
      </c>
    </row>
    <row r="18467">
      <c r="A18467" t="inlineStr">
        <is>
          <t>aboom</t>
        </is>
      </c>
      <c r="B18467">
        <f>HYPERLINK("https://www.dofusbook.net/fr/equipement/2733411-aboom/objets", "link")</f>
        <v/>
      </c>
      <c r="C18467" t="n">
        <v>0</v>
      </c>
      <c r="D18467" t="inlineStr">
        <is>
          <t>Dagoulinantes; Amulette de l'Œil Attentif; Bracelet des Fonds marins; Alliance Gloursonne; Bouclier du Captain Amakna; Ceinture de l'Esprit Salvateur; Masque de l'Esprit Salvateur; Cape de l'Œil Attentif; Bottes de l'Esprit Salvateur; Dofus Nébuleux; Dofus Pourpre; Dofus Ocre; Dofus Turquoise; Dolmanax</t>
        </is>
      </c>
    </row>
    <row r="18468">
      <c r="A18468" t="inlineStr">
        <is>
          <t>Stuff 3</t>
        </is>
      </c>
      <c r="B18468">
        <f>HYPERLINK("https://www.dofusbook.net/fr/equipement/2729849-stuff-3/objets", "link")</f>
        <v/>
      </c>
      <c r="C18468" t="n">
        <v>1</v>
      </c>
      <c r="D18468" t="inlineStr">
        <is>
          <t>Epée Kari; Amulette du Strigide; Anneau Crustique; Anneau Chevelu; Bouclier du Captain Amakna; Ceintacé; Masque de Koutoulou; Cape au Logis; Bottes du Strigide; Dofus Pourpre; Forcené majeur; Remueur; Enragé majeur; Nomade; Vigoureux majeur; Kompost</t>
        </is>
      </c>
    </row>
    <row r="18469">
      <c r="A18469" t="inlineStr">
        <is>
          <t>Stuff 3</t>
        </is>
      </c>
      <c r="B18469">
        <f>HYPERLINK("https://www.dofusbook.net/fr/equipement/2729847-stuff-3/objets", "link")</f>
        <v/>
      </c>
      <c r="C18469" t="n">
        <v>1</v>
      </c>
      <c r="D18469" t="inlineStr">
        <is>
          <t>Epée Kari; Amulette du Strigide; Anneau Chevelu; Anneau Crustique; Bouclier du Captain Amakna; Ceintacé; Masque de Koutoulou; Cape au Logis; Bottes du Strigide; Dofus Pourpre; Enragé majeur; Nomade; Vigoureux majeur; Forcené majeur; Remueur; Kompost</t>
        </is>
      </c>
    </row>
    <row r="18470">
      <c r="A18470" t="inlineStr">
        <is>
          <t>Stuff 2</t>
        </is>
      </c>
      <c r="B18470">
        <f>HYPERLINK("https://www.dofusbook.net/fr/equipement/585173-stuff-2/objets", "link")</f>
        <v/>
      </c>
      <c r="C18470" t="n">
        <v>0</v>
      </c>
      <c r="D18470" t="inlineStr"/>
    </row>
    <row r="18471">
      <c r="A18471" t="inlineStr">
        <is>
          <t>muli</t>
        </is>
      </c>
      <c r="B18471">
        <f>HYPERLINK("https://www.dofusbook.net/fr/equipement/2659898-muli/objets", "link")</f>
        <v/>
      </c>
      <c r="C18471" t="n">
        <v>0</v>
      </c>
      <c r="D18471" t="inlineStr">
        <is>
          <t>Dagoulinantes; Amulette du Sinistrofu; Cape Solution; Bottes du Sinistrofu; Chanceux majeur; Remueur; Dévastateur Eau majeur; Nomade</t>
        </is>
      </c>
    </row>
    <row r="18472">
      <c r="A18472" t="inlineStr">
        <is>
          <t>vfgeg</t>
        </is>
      </c>
      <c r="B18472">
        <f>HYPERLINK("https://www.dofusbook.net/fr/equipement/1939932-vfgeg/objets", "link")</f>
        <v/>
      </c>
      <c r="C18472" t="n">
        <v>0</v>
      </c>
      <c r="D18472" t="inlineStr">
        <is>
          <t>Epée Maudite du Saigneur Guerrier; Amulette du Strigide; Alliance Gloursonne; Bracelet du Piloztère; Bouclier Akwadala; Ceinture du Strigide; Coiffe de Padgref; Chevelure de Tal Kasha; Pataugastrique; Dokoko; Dofus Turquoise; Dofus Pourpre; Remueur; Carapace Feu majeur; Nomade; Muldo Prune et Emeraude</t>
        </is>
      </c>
    </row>
    <row r="18473">
      <c r="A18473" t="inlineStr">
        <is>
          <t>zbeub</t>
        </is>
      </c>
      <c r="B18473">
        <f>HYPERLINK("https://www.dofusbook.net/fr/equipement/2425858-zbeub/objets", "link")</f>
        <v/>
      </c>
      <c r="C18473" t="n">
        <v>1</v>
      </c>
      <c r="D18473" t="inlineStr"/>
    </row>
    <row r="18474">
      <c r="A18474" t="inlineStr">
        <is>
          <t>intel</t>
        </is>
      </c>
      <c r="B18474">
        <f>HYPERLINK("https://www.dofusbook.net/fr/equipement/2340670-intel/objets", "link")</f>
        <v/>
      </c>
      <c r="C18474" t="n">
        <v>0</v>
      </c>
      <c r="D18474" t="inlineStr"/>
    </row>
    <row r="18475">
      <c r="A18475" t="inlineStr">
        <is>
          <t>Stuff 1</t>
        </is>
      </c>
      <c r="B18475">
        <f>HYPERLINK("https://www.dofusbook.net/fr/equipement/585175-stuff-1/objets", "link")</f>
        <v/>
      </c>
      <c r="C18475" t="n">
        <v>0</v>
      </c>
      <c r="D18475" t="inlineStr">
        <is>
          <t>Dagues Eurfolles; Amulette d'Ougicle; Annokami; Blopanneau Griotte; Ceinture Fulgurante; ; Cape Fulgurante; Bottokami; Dokoko; Dofus Vulbis; Dolmanax; Dofus Ocre; Dofus des Glaces; Observateur</t>
        </is>
      </c>
    </row>
    <row r="18476">
      <c r="A18476" t="inlineStr">
        <is>
          <t>Stuff 1</t>
        </is>
      </c>
      <c r="B18476">
        <f>HYPERLINK("https://www.dofusbook.net/fr/equipement/585187-stuff-1/objets", "link")</f>
        <v/>
      </c>
      <c r="C18476" t="n">
        <v>3</v>
      </c>
      <c r="D18476" t="inlineStr">
        <is>
          <t>Dagues de Srambad; Amulette de l'Indicible; Bague Gloursonne; Bracelet du Piloztère; Ceintacé; Coiffe de la Reine des Voleurs; Cape Luminescente; Bottes de l'Indicible; Dofus Pourpre; Carapace Feu majeur; Remueur; Joueur majeur; Carapace Terre majeur; Nomade; Muldo Doré et Ebène</t>
        </is>
      </c>
    </row>
    <row r="18477">
      <c r="A18477" t="inlineStr">
        <is>
          <t>Stuff 3</t>
        </is>
      </c>
      <c r="B18477">
        <f>HYPERLINK("https://www.dofusbook.net/fr/equipement/585182-stuff-3/objets", "link")</f>
        <v/>
      </c>
      <c r="C18477" t="n">
        <v>0</v>
      </c>
      <c r="D18477" t="inlineStr">
        <is>
          <t>Dagues Érhy; Amulette du Strigide; Bague Gloursonne; Anneau Tique; Ceinture du Strigide; Chapeau de Gein; Cape au Logis; Pantoufles Émar; Dofus Turquoise; Dofus Pourpre; Nomade; Remueur; Kramkram</t>
        </is>
      </c>
    </row>
    <row r="18478">
      <c r="A18478" t="inlineStr">
        <is>
          <t>Stuff 3</t>
        </is>
      </c>
      <c r="B18478">
        <f>HYPERLINK("https://www.dofusbook.net/fr/equipement/585177-stuff-3/objets", "link")</f>
        <v/>
      </c>
      <c r="C18478" t="n">
        <v>0</v>
      </c>
      <c r="D18478" t="inlineStr">
        <is>
          <t>Bêche Asse; Amulette Héroclite; Anneau Chevelu; Anneau de Brouce; Ceinture de Brouce; Capuche de Sylargh; Cape au Logis; Sabots Minables; Dofus Turquoise; Dofus Pourpre; Enragé majeur; Vigoureux majeur; Nomade; Remueur; Dragodinde en armure</t>
        </is>
      </c>
    </row>
    <row r="18479">
      <c r="A18479" t="inlineStr">
        <is>
          <t>Stuff 1</t>
        </is>
      </c>
      <c r="B18479">
        <f>HYPERLINK("https://www.dofusbook.net/fr/equipement/585172-stuff-1/objets", "link")</f>
        <v/>
      </c>
      <c r="C18479" t="n">
        <v>0</v>
      </c>
      <c r="D18479" t="inlineStr">
        <is>
          <t>Manthache; Torquistik; Gant du Valet Veinard; Alliance Gloursonne; Menoture; Boucle d'oreille de Kongoku; Cape Indescriptible; Palmes Trithons; Dofus Turquoise; Dofus Pourpre; Remueur; Vigoureux majeur; Nomade; Cascadeur majeur; Muldo Ebène et Indigo</t>
        </is>
      </c>
    </row>
    <row r="18480">
      <c r="A18480" t="inlineStr">
        <is>
          <t>Stuff 2</t>
        </is>
      </c>
      <c r="B18480">
        <f>HYPERLINK("https://www.dofusbook.net/fr/equipement/585184-stuff-2/objets", "link")</f>
        <v/>
      </c>
      <c r="C18480" t="n">
        <v>0</v>
      </c>
      <c r="D18480" t="inlineStr">
        <is>
          <t>Dagues Érhy; Amulette Luminescente; Chevalière du Roi Joueur; Alliance Gloursonne; Le Karde Cœur cassé; Ceinture Luminescente; Couronne du Roi Joueur; Cape Luminescente; Bottes du Roi Joueur; Dofus Pourpre; Dofus Ocre; Dofus Vulbis; Dofus Turquoise; Entraveur majeur; Vagabond majeur; Kramkram</t>
        </is>
      </c>
    </row>
    <row r="18481">
      <c r="A18481" t="inlineStr">
        <is>
          <t>Stuff 1</t>
        </is>
      </c>
      <c r="B18481">
        <f>HYPERLINK("https://www.dofusbook.net/fr/equipement/585186-stuff-1/objets", "link")</f>
        <v/>
      </c>
      <c r="C18481" t="n">
        <v>0</v>
      </c>
      <c r="D18481" t="inlineStr">
        <is>
          <t>Dagues Érhy; Amulette du Strigide; Bracelet du Piloztère; Bague Gloursonne; Ceintacé; Chapeau Lisson; Cape au Logis; Bottes du Strigide; Dofus Turquoise; Dofus Pourpre; Carapace Terre majeur; Vigoureux majeur; Nomade; Remueur; Kramkram</t>
        </is>
      </c>
    </row>
    <row r="18482">
      <c r="A18482" t="inlineStr">
        <is>
          <t>Stuff 2</t>
        </is>
      </c>
      <c r="B18482">
        <f>HYPERLINK("https://www.dofusbook.net/fr/equipement/585171-stuff-2/objets", "link")</f>
        <v/>
      </c>
      <c r="C18482" t="n">
        <v>0</v>
      </c>
      <c r="D18482" t="inlineStr">
        <is>
          <t>Marteau Reine; Amulette du Strigide; Bague Gloursonne; Alliance Gloursonne; Ceinture Rasboulaire du Rasboul; Coiffe de la Reine des Voleurs; Voile d'encre; Bottes d'Allister</t>
        </is>
      </c>
    </row>
    <row r="18483">
      <c r="A18483" t="inlineStr">
        <is>
          <t>Stuff 1</t>
        </is>
      </c>
      <c r="B18483">
        <f>HYPERLINK("https://www.dofusbook.net/fr/equipement/585183-stuff-1/objets", "link")</f>
        <v/>
      </c>
      <c r="C18483" t="n">
        <v>0</v>
      </c>
      <c r="D18483" t="inlineStr">
        <is>
          <t>Epée Gloursonne; Amulette du Strigide; Alliance Gloursonne; Bague Gloursonne; Ceinture du Strigide; Coiffe du Glourséleste; Voile d'encre; Bottes du Strigide; Dolmanax; Dofus des Glaces; Dofus Turquoise; Dofus Vulbis; Dofus Pourpre; Dofus Ocre; Kramkram</t>
        </is>
      </c>
    </row>
    <row r="18484">
      <c r="A18484" t="inlineStr">
        <is>
          <t>Stuff 1</t>
        </is>
      </c>
      <c r="B18484">
        <f>HYPERLINK("https://www.dofusbook.net/fr/equipement/585190-stuff-1/objets", "link")</f>
        <v/>
      </c>
      <c r="C18484" t="n">
        <v>2</v>
      </c>
      <c r="D18484" t="inlineStr">
        <is>
          <t>Dagues Érhy; Pendentif affamé; Chevalière du Roi Joueur; Anneau Tamie; Ceinture Séculaire; Coiffe Séculaire; Cape de Nileza; Bottes Innommables; Dofus Ocre; Dévastateur Feu majeur; Astucieux majeur; Remueur; Érudit majeur; Nomade; Brûlih</t>
        </is>
      </c>
    </row>
    <row r="18485">
      <c r="A18485" t="inlineStr">
        <is>
          <t>Stuff 3</t>
        </is>
      </c>
      <c r="B18485">
        <f>HYPERLINK("https://www.dofusbook.net/fr/equipement/585185-stuff-3/objets", "link")</f>
        <v/>
      </c>
      <c r="C18485" t="n">
        <v>0</v>
      </c>
      <c r="D18485" t="inlineStr">
        <is>
          <t>Rapière aux Glyphes; Talisman Igans; Alliance Gloursonne; Pikano; Ceinture de la Reine des Voleurs; Kidibonnet; Cape Matelassée; Pataugastrique; Dofus Turquoise; Temporiseur majeur; Remueur; Entraveur majeur; Chanceux majeur; Nomade; Croum</t>
        </is>
      </c>
    </row>
    <row r="18486">
      <c r="A18486" t="inlineStr">
        <is>
          <t>Stuff 1</t>
        </is>
      </c>
      <c r="B18486">
        <f>HYPERLINK("https://www.dofusbook.net/fr/equipement/585180-stuff-1/objets", "link")</f>
        <v/>
      </c>
      <c r="C18486" t="n">
        <v>0</v>
      </c>
      <c r="D18486" t="inlineStr">
        <is>
          <t>Sabres d'Atcham; Amulette du Strigide; Bague Gloursonne; Bracelet du Piloztère; Ceinture du Barbétoal; Chapeau des Malveilleurs; Cape des Malveilleurs; Pataugastrique; Dofus Turquoise; Dofus Pourpre; Nomade; Remueur; Vigoureux majeur; Carapace Eau majeur; Kramkram</t>
        </is>
      </c>
    </row>
    <row r="18487">
      <c r="A18487" t="inlineStr">
        <is>
          <t>Stuff 1</t>
        </is>
      </c>
      <c r="B18487">
        <f>HYPERLINK("https://www.dofusbook.net/fr/equipement/585170-stuff-1/objets", "link")</f>
        <v/>
      </c>
      <c r="C18487" t="n">
        <v>1</v>
      </c>
      <c r="D18487" t="inlineStr">
        <is>
          <t>Marteau Reine; Frimamulette; Alliance Gloursonne; Anneau de la Fuji Givrefoux; Ceinture Rasboulaire du Rasboul; Coiffe de la Fuji Givrefoux; Voile d'encre; Bottes d'Allister; Dofus Turquoise; Dofus Ocre; Remueur; Cascadeur majeur; Nomade; Miraculé majeur; Dragodinde en armure</t>
        </is>
      </c>
    </row>
    <row r="18488">
      <c r="A18488" t="inlineStr">
        <is>
          <t>Stuff 1</t>
        </is>
      </c>
      <c r="B18488">
        <f>HYPERLINK("https://www.dofusbook.net/fr/equipement/585162-stuff-1/objets", "link")</f>
        <v/>
      </c>
      <c r="C18488" t="n">
        <v>0</v>
      </c>
      <c r="D18488" t="inlineStr">
        <is>
          <t>Dagues de Srambad; Amulette de l'Indicible; Bracelet du Piloztère; Bague Gloursonne; Ceintacé; Coiffe de la Reine des Voleurs; Cape Luminescente; Bottes de l'Indicible; Dofus Pourpre; Nomade; Carapace Feu majeur; Remueur; Joueur majeur; Carapace Terre majeur; Muldo Doré et Ebène</t>
        </is>
      </c>
    </row>
    <row r="18489">
      <c r="A18489" t="inlineStr">
        <is>
          <t>Stuff 3</t>
        </is>
      </c>
      <c r="B18489">
        <f>HYPERLINK("https://www.dofusbook.net/fr/equipement/585164-stuff-3/objets", "link")</f>
        <v/>
      </c>
      <c r="C18489" t="n">
        <v>1</v>
      </c>
      <c r="D18489" t="inlineStr">
        <is>
          <t>Epée Maudite du Saigneur Guerrier; Amulette du Strigide; Anneau du Père Fwetar; Bracelet du Piloztère; Ceintacé; Maskrobe; Capille; Bottes du Strigide; Dofus Turquoise; Dofus Ocre; Dofus Pourpre; Vigoureux majeur; Remueur; Nomade; Dragodinde en armure</t>
        </is>
      </c>
    </row>
    <row r="18490">
      <c r="A18490" t="inlineStr">
        <is>
          <t>Stuff 2</t>
        </is>
      </c>
      <c r="B18490">
        <f>HYPERLINK("https://www.dofusbook.net/fr/equipement/585163-stuff-2/objets", "link")</f>
        <v/>
      </c>
      <c r="C18490" t="n">
        <v>2</v>
      </c>
      <c r="D18490" t="inlineStr">
        <is>
          <t>Marteau des égarés; Amulette du Strigide; Bague Gloursonne; Bracelet du Piloztère; Ceinture du Barbétoal; Coiffe d'Ogivol; Cape Matelassée; Bottes du Strigide; Dofus Pourpre; Dofus Turquoise; Nomade; Miraculé majeur; Vigoureux majeur; Remueur; Kramkram</t>
        </is>
      </c>
    </row>
    <row r="18491">
      <c r="A18491" t="inlineStr">
        <is>
          <t>Stuff 3</t>
        </is>
      </c>
      <c r="B18491">
        <f>HYPERLINK("https://www.dofusbook.net/fr/equipement/585164-stuff-3/objets", "link")</f>
        <v/>
      </c>
      <c r="C18491" t="n">
        <v>1</v>
      </c>
      <c r="D18491" t="inlineStr">
        <is>
          <t>Epée Maudite du Saigneur Guerrier; Amulette du Strigide; Anneau du Père Fwetar; Bracelet du Piloztère; Ceintacé; Maskrobe; Capille; Bottes du Strigide; Dofus Ocre; Dofus Pourpre; Dofus Turquoise; Vigoureux majeur; Remueur; Nomade; Dragodinde en armure</t>
        </is>
      </c>
    </row>
    <row r="18492">
      <c r="A18492" t="inlineStr">
        <is>
          <t>Pandawa F 200</t>
        </is>
      </c>
      <c r="B18492">
        <f>HYPERLINK("https://www.dofusbook.net/fr/equipement/5980192-pandawa-f-200/objets", "link")</f>
        <v/>
      </c>
      <c r="C18492" t="n">
        <v>3</v>
      </c>
      <c r="D18492" t="inlineStr">
        <is>
          <t>Arc corrompu; Amulette du Granduk; Alliance Brûlâme; Anneau de XLII; Bouclier précieux; Ceinture de XLII; Masque du Granduk; Voile d'encre; Bottes de XLII; Dofus Turquoise; Dofus Ocre; Dofus Pourpre; Dofus Émeraude; Tacleur majeur; Survivant majeur; Kramkram</t>
        </is>
      </c>
    </row>
    <row r="18493">
      <c r="A18493" t="inlineStr">
        <is>
          <t>Pandawa M 200</t>
        </is>
      </c>
      <c r="B18493">
        <f>HYPERLINK("https://www.dofusbook.net/fr/equipement/5965783-pandawa-m-200/objets", "link")</f>
        <v/>
      </c>
      <c r="C18493" t="n">
        <v>0</v>
      </c>
      <c r="D18493" t="inlineStr">
        <is>
          <t>Dagues Ricol; Amulette du Strigide; Alliance Brûlâme; Bague Gloursonne; Cadran de Feu; Ceintacé; Chapeau de Gein; Voile d'encre; Bottes du Strigide; Dofus des Glaces; Dofus Pourpre; Dofus Turquoise; Dofus Ocre; Vigoureux majeur; Nomade; Fëanor</t>
        </is>
      </c>
    </row>
    <row r="18494">
      <c r="A18494" t="inlineStr">
        <is>
          <t>Iop M 200</t>
        </is>
      </c>
      <c r="B18494">
        <f>HYPERLINK("https://www.dofusbook.net/fr/equipement/5924752-iop-m-200/objets", "link")</f>
        <v/>
      </c>
      <c r="C18494" t="n">
        <v>5</v>
      </c>
      <c r="D18494" t="inlineStr">
        <is>
          <t>Hache Ériphe; Amulette Ementaire Deluxe; Anneau de XLII; Alliance Gloursonne; Sept ans de malheur; Slip Iholo; Capuche de Moum-Ra; Cape de l'Œil Putride; Bottes de XLII; Dofus Émeraude; Dofus Ocre; Dofus Abyssal; Carapace Air majeur; Obstructeur majeur; Remueur; Kougnard</t>
        </is>
      </c>
    </row>
    <row r="18495">
      <c r="A18495" t="inlineStr">
        <is>
          <t>Féca M 200</t>
        </is>
      </c>
      <c r="B18495">
        <f>HYPERLINK("https://www.dofusbook.net/fr/equipement/5893098-feca-m-200/objets", "link")</f>
        <v/>
      </c>
      <c r="C18495" t="n">
        <v>2</v>
      </c>
      <c r="D18495" t="inlineStr">
        <is>
          <t>Marteau des égarés; Amulette Voldelor; Alliance Gloursonne; Anneau Volkorne; Cadran d'Eau; Ceinture Volkorne; Casque Dragoeuf; Cape du Chalœil; Chaussures Face; Dofus Abyssal; Dofus Pourpre; Dofus Turquoise; Dofus Ocre; Nomade; Remueur; Volkorne Rubis et Améthyste</t>
        </is>
      </c>
    </row>
    <row r="18496">
      <c r="A18496" t="inlineStr">
        <is>
          <t>Iop M 200</t>
        </is>
      </c>
      <c r="B18496">
        <f>HYPERLINK("https://www.dofusbook.net/fr/equipement/5877410-iop-m-200/objets", "link")</f>
        <v/>
      </c>
      <c r="C18496" t="n">
        <v>8</v>
      </c>
      <c r="D18496" t="inlineStr">
        <is>
          <t>Glaive Icération; Amulette d'Oshimo; Anneau Crustique; Anneau Crustique; Bouclier alvéolé; Ceinture du Comte Razof; Chapeau du Comte Razof; Cape de la Cour Sombre; Pataugastrique; Dofus Pourpre; Dofus Turquoise; Dofus Émeraude; Remueur; Vigoureux majeur; Nomade; Boskito</t>
        </is>
      </c>
    </row>
    <row r="18497">
      <c r="A18497" t="inlineStr">
        <is>
          <t>Iop M 200</t>
        </is>
      </c>
      <c r="B18497">
        <f>HYPERLINK("https://www.dofusbook.net/fr/equipement/5826220-iop-m-200/objets", "link")</f>
        <v/>
      </c>
      <c r="C18497" t="n">
        <v>2</v>
      </c>
      <c r="D18497" t="inlineStr">
        <is>
          <t>Rhizome du Tynril; Amulette du Strigide; Alliance Gloursonne; Anneau de XLII; Sept ans de malheur; Slip Iholo; Dorabysses; Voile d'encre; Bottes de XLII; Dofus Abyssal; Dofus Émeraude; Dofus Ocre; Obstructeur majeur; Remueur; Bloqueur majeur; Tanuk</t>
        </is>
      </c>
    </row>
    <row r="18498">
      <c r="A18498" t="inlineStr">
        <is>
          <t>Féca M 200</t>
        </is>
      </c>
      <c r="B18498">
        <f>HYPERLINK("https://www.dofusbook.net/fr/equipement/5823637-feca-m-200/objets", "link")</f>
        <v/>
      </c>
      <c r="C18498" t="n">
        <v>1</v>
      </c>
      <c r="D18498" t="inlineStr">
        <is>
          <t>Pelle de la Cour Sombre; Collier du Valet Veinard; Anneau d'Allister; Gant du Valet Veinard; Quatre-feuilles; Ceintouse; Couronne d'Allister; Cape du Valet Veinard; Bottes d'Allister; Dofus Ocre; Dofus Pourpre; Dofus Abyssal; Kramkram</t>
        </is>
      </c>
    </row>
    <row r="18499">
      <c r="A18499" t="inlineStr">
        <is>
          <t>Sacrieur M 200</t>
        </is>
      </c>
      <c r="B18499">
        <f>HYPERLINK("https://www.dofusbook.net/fr/equipement/5801660-sacrieur-m-200/objets", "link")</f>
        <v/>
      </c>
      <c r="C18499" t="n">
        <v>1</v>
      </c>
      <c r="D18499" t="inlineStr">
        <is>
          <t>Hache Ériphe; Amulette du Strigide; Anneau Vicieux; Alliance Brûlâme; Écorce de Brouce; Ceinture de XLII; Casque Cyclopéen; Cape Indescriptible; Bottes de XLII; Dofus Émeraude; Dofus Pourpre; Dofus Turquoise; Dofus Ocre; Nomade; Remueur; Kramkram</t>
        </is>
      </c>
    </row>
    <row r="18500">
      <c r="A18500" t="inlineStr">
        <is>
          <t>Iop M 200</t>
        </is>
      </c>
      <c r="B18500">
        <f>HYPERLINK("https://www.dofusbook.net/fr/equipement/5789801-iop-m-200/objets", "link")</f>
        <v/>
      </c>
      <c r="C18500" t="n">
        <v>4</v>
      </c>
      <c r="D18500" t="inlineStr">
        <is>
          <t>Sabres d'Atcham; Amulette du Strigide; Alliance de Missiz Frizz; Anneau de Padgref; Bouclier du Captain Amakna; Ceinture du Strigide; Coiffe de Padgref; Cape d'Atcham; Getas de Padgref; Dofus Pourpre; Dofus Ocre; Dofus Ébène; Dofus Turquoise; Dofus Ivoire; Dofus Vulbis; Sakochère</t>
        </is>
      </c>
    </row>
    <row r="18501">
      <c r="A18501" t="inlineStr">
        <is>
          <t>Pandawa M 200</t>
        </is>
      </c>
      <c r="B18501">
        <f>HYPERLINK("https://www.dofusbook.net/fr/equipement/5731986-pandawa-m-200/objets", "link")</f>
        <v/>
      </c>
      <c r="C18501" t="n">
        <v>10</v>
      </c>
      <c r="D18501" t="inlineStr">
        <is>
          <t>Epée Maudite du Saigneur Guerrier; Amulette de Pol Ouatnos; Alliance Gloursonne; Anneau de Pol Ouatnos; Bouclier d'Anerice; Ceintacé; Masque d'Anerice; Cape de Kongoku; Bottes de l'Indicible; Bloqueur; Obstructeur majeur; Obstructeur; Bloqueur majeur; Tacleur majeur; Fonceur majeur; Gupin</t>
        </is>
      </c>
    </row>
    <row r="18502">
      <c r="A18502" t="inlineStr">
        <is>
          <t>Iop M 200</t>
        </is>
      </c>
      <c r="B18502">
        <f>HYPERLINK("https://www.dofusbook.net/fr/equipement/5766537-iop-m-200/objets", "link")</f>
        <v/>
      </c>
      <c r="C18502" t="n">
        <v>0</v>
      </c>
      <c r="D18502" t="inlineStr">
        <is>
          <t>Lav'Hache; Amulette du Cœur Vaillant; Anneau Crustique; Anneau Crustique; Sept ans de malheur; Ceintouse; Chapeau du Comte Razof; Cape de la Cour Sombre; Tentassons; Dofus Abyssal; Dofus Ocre; Dofus Pourpre; Dofus Émeraude; Nomade; Remueur; Volkorne Jade et Ivoire</t>
        </is>
      </c>
    </row>
    <row r="18503">
      <c r="A18503" t="inlineStr">
        <is>
          <t>Iop M 200</t>
        </is>
      </c>
      <c r="B18503">
        <f>HYPERLINK("https://www.dofusbook.net/fr/equipement/5763293-iop-m-200/objets", "link")</f>
        <v/>
      </c>
      <c r="C18503" t="n">
        <v>3</v>
      </c>
      <c r="D18503" t="inlineStr">
        <is>
          <t>Dagues Ricol; Amulette du Strigide; Bague Gloursonne; Anneau Volkorne; Cadran de Feu; Ceinture Volkorne; Chapeau de Gein; Voile d'encre; Pompes Funèbres; Dofus Abyssal; Dofus Ocre; Dofus Pourpre; Dofus Turquoise; Nomade; Remueur; Sakochère</t>
        </is>
      </c>
    </row>
    <row r="18504">
      <c r="A18504" t="inlineStr">
        <is>
          <t>Iop M 200</t>
        </is>
      </c>
      <c r="B18504">
        <f>HYPERLINK("https://www.dofusbook.net/fr/equipement/5756400-iop-m-200/objets", "link")</f>
        <v/>
      </c>
      <c r="C18504" t="n">
        <v>4</v>
      </c>
      <c r="D18504" t="inlineStr">
        <is>
          <t>Epée Gloursonne; Amulette du Strigide; Bague Gloursonne; Alliance Gloursonne; Bouclier d'Anerice; Ceinture du Strigide; Masque d'Anerice; Cape d'Anerice; Bottes du Strigide; Dolmanax; Dofus Pourpre; Dofus Nébuleux; Dofus Turquoise; Dofus Ivoire; Dofus Ébène; Muldo Doré et Indigo</t>
        </is>
      </c>
    </row>
    <row r="18505">
      <c r="A18505" t="inlineStr">
        <is>
          <t>Iop M 200</t>
        </is>
      </c>
      <c r="B18505">
        <f>HYPERLINK("https://www.dofusbook.net/fr/equipement/5751009-iop-m-200/objets", "link")</f>
        <v/>
      </c>
      <c r="C18505" t="n">
        <v>3</v>
      </c>
      <c r="D18505" t="inlineStr">
        <is>
          <t>Sabres d'Atcham; Amulette du Strigide; Bracelet du Piloztère; Anneau de Padgref; Bouclier du Captain Amakna; Ceinture du Strigide; Coiffe de Padgref; Cape d'Atcham; Getas de Padgref; Dofus Turquoise; Dofus Ocre; Dofus Abyssal; Dofus Ébène; Dofus Pourpre; Dofus Vulbis; Sakochère</t>
        </is>
      </c>
    </row>
    <row r="18506">
      <c r="A18506" t="inlineStr">
        <is>
          <t>Iop M 200</t>
        </is>
      </c>
      <c r="B18506">
        <f>HYPERLINK("https://www.dofusbook.net/fr/equipement/5674342-iop-m-200/objets", "link")</f>
        <v/>
      </c>
      <c r="C18506" t="n">
        <v>14</v>
      </c>
      <c r="D18506" t="inlineStr">
        <is>
          <t>Dagues d'Ilyzaelle; Amulette du Strigide; Anneau Crustique; Bague Gloursonne; Ceinture du Strigide; Chapeau de Gein; Voile d'encre; Bottes de la Cour Sombre; Dofus Ébène; Dofus Ocre; Dofus Ivoire; Dofus Turquoise; Nomade; Remueur; Sakochère</t>
        </is>
      </c>
    </row>
    <row r="18507">
      <c r="A18507" t="inlineStr">
        <is>
          <t>Pandawa M 200</t>
        </is>
      </c>
      <c r="B18507">
        <f>HYPERLINK("https://www.dofusbook.net/fr/equipement/5679019-pandawa-m-200/objets", "link")</f>
        <v/>
      </c>
      <c r="C18507" t="n">
        <v>2</v>
      </c>
      <c r="D18507" t="inlineStr">
        <is>
          <t>Epée Gloursonne; Amulette du Strigide; Bague Gloursonne; Alliance Gloursonne; Bouclier d'Anerice; Ceinture du Strigide; Masque d'Anerice; Cape d'Anerice; Bottes du Strigide; Dofus Émeraude; Dofus Abyssal; Dokoko; Dofus Pourpre; Dofus des Glaces; Dofus Turquoise; Muldo Roux et Indigo</t>
        </is>
      </c>
    </row>
    <row r="18508">
      <c r="A18508" t="inlineStr">
        <is>
          <t>Pandawa M 200</t>
        </is>
      </c>
      <c r="B18508">
        <f>HYPERLINK("https://www.dofusbook.net/fr/equipement/5668217-pandawa-m-200/objets", "link")</f>
        <v/>
      </c>
      <c r="C18508" t="n">
        <v>6</v>
      </c>
      <c r="D18508" t="inlineStr">
        <is>
          <t>Rhizome du Tynril; Talisman Igans; Alliance Brûlâme; Anneau de Pol Ouatnos; Sept ans de malheur; Ceinture de XLII; Kidibonnet; Voile d'encre; Bottes de XLII; Dofus Émeraude; Dofus Pourpre; Dofus Abyssal; Obstructeur majeur; Bloqueur majeur; Remueur; Croum</t>
        </is>
      </c>
    </row>
    <row r="18509">
      <c r="A18509" t="inlineStr">
        <is>
          <t>docientosvienretiros</t>
        </is>
      </c>
      <c r="B18509">
        <f>HYPERLINK("https://www.dofusbook.net/fr/equipement/1060371-docientosvienretiros/objets", "link")</f>
        <v/>
      </c>
      <c r="C18509" t="n">
        <v>6</v>
      </c>
      <c r="D18509" t="inlineStr">
        <is>
          <t>Baguette Hique; Amulette des Chocomanciens; Alliance Gloursonne; Pikano; Bouclier cubiste; Ceinture des Chocomanciens; Casquette de Meno; Cape de la Dame du Hasard; Bottes Honyme; Temporiseur; Nomade; Ralentisseur majeur; Remueur; Temporiseur majeur; Entraveur majeur; Léopardo</t>
        </is>
      </c>
    </row>
    <row r="18510">
      <c r="A18510" t="inlineStr">
        <is>
          <t>Iop M 200</t>
        </is>
      </c>
      <c r="B18510">
        <f>HYPERLINK("https://www.dofusbook.net/fr/equipement/5653363-iop-m-200/objets", "link")</f>
        <v/>
      </c>
      <c r="C18510" t="n">
        <v>9</v>
      </c>
      <c r="D18510" t="inlineStr">
        <is>
          <t>Dagues d'Ilyzaelle; Collier de Tourthon; Goulano; Anneau Volkorne; Bouclier de Bowisse; Ceinture Volkorne; Masque de Koutoulou; Cape au Logis; Bottes du Cœur Saignant; Dofus Nébuleux; Dofus Turquoise; Dofus Abyssal; Dofus Ocre; Dofus Pourpre; Remueur; Croum</t>
        </is>
      </c>
    </row>
    <row r="18511">
      <c r="A18511" t="inlineStr">
        <is>
          <t>Pandawa M 200</t>
        </is>
      </c>
      <c r="B18511">
        <f>HYPERLINK("https://www.dofusbook.net/fr/equipement/5604233-pandawa-m-200/objets", "link")</f>
        <v/>
      </c>
      <c r="C18511" t="n">
        <v>9</v>
      </c>
      <c r="D18511" t="inlineStr">
        <is>
          <t>Sceptre du Roi Joueur; Amulette Voldelor; Anneau Volkorne; Alliance Gloursonne; Bouclier Aerdala; Ceintacé; Kidibonnet; Cape du Chalœil; Sandales des Fonds marins; Dofus Pourpre; Dokoko; Dofus des Glaces; Dofus Émeraude; Dofus Turquoise; Nomade; Kramkram</t>
        </is>
      </c>
    </row>
    <row r="18512">
      <c r="A18512" t="inlineStr">
        <is>
          <t>Iop M 200</t>
        </is>
      </c>
      <c r="B18512">
        <f>HYPERLINK("https://www.dofusbook.net/fr/equipement/5567941-iop-m-200/objets", "link")</f>
        <v/>
      </c>
      <c r="C18512" t="n">
        <v>5</v>
      </c>
      <c r="D18512" t="inlineStr">
        <is>
          <t>Marteau R'ture; Amulette du Cœur Saignant; Anneau Crustique; Anneau Crustique; Bouclier du Captain Amakna; Ceinture Volkorne; Masque de Koutoulou; Cape au Logis; Bottes du Cœur Saignant; Dofus Abyssal; Dofus Ocre; Dofus Nébuleux; Dofus Pourpre; Dofus des Glaces; Dofus Turquoise; Bulbisou</t>
        </is>
      </c>
    </row>
    <row r="18513">
      <c r="A18513" t="inlineStr">
        <is>
          <t>Féca M 200</t>
        </is>
      </c>
      <c r="B18513">
        <f>HYPERLINK("https://www.dofusbook.net/fr/equipement/3443289-feca-m-200/objets", "link")</f>
        <v/>
      </c>
      <c r="C18513" t="n">
        <v>9</v>
      </c>
      <c r="D18513" t="inlineStr">
        <is>
          <t>Marteau des égarés; Amulette du Strigide; Bague Gloursonne; Baguistik; Bouclier Taverne; Ceintacé; Casque de Missiz Frizz; Cape de Kongoku; Bottes du Strigide; Dofus Abyssal; Dofus Pourpre; Dofus Nébuleux; Dofus Ocre; Dolmanax; Dofus Turquoise; Muldo Doré et Emeraude</t>
        </is>
      </c>
    </row>
    <row r="18514">
      <c r="A18514" t="inlineStr">
        <is>
          <t>Iop M 200</t>
        </is>
      </c>
      <c r="B18514">
        <f>HYPERLINK("https://www.dofusbook.net/fr/equipement/3405141-iop-m-200/objets", "link")</f>
        <v/>
      </c>
      <c r="C18514" t="n">
        <v>2</v>
      </c>
      <c r="D18514" t="inlineStr">
        <is>
          <t>Arc du Chalœil; Collier de Tourthon; Anneau Chevelu; Bague Gloursonne; Ceintacé; Masque de Koutoulou; Cape au Logis; Bottes de la Cour Sombre; Dofus Turquoise; Dofus Ivoire; Dofus Émeraude; Dofus Forgelave; Dofus Pourpre; Dofus Nébuleux; Kramkram</t>
        </is>
      </c>
    </row>
    <row r="18515">
      <c r="A18515" t="inlineStr">
        <is>
          <t>Iop M 200</t>
        </is>
      </c>
      <c r="B18515">
        <f>HYPERLINK("https://www.dofusbook.net/fr/equipement/3421934-iop-m-200/objets", "link")</f>
        <v/>
      </c>
      <c r="C18515" t="n">
        <v>0</v>
      </c>
      <c r="D18515" t="inlineStr">
        <is>
          <t>Héqache; Amulette du Strigide; Goulano; Anneau Chevelu; Ceintacé; Masque de Koutoulou; Cape au Logis; Bottes du Strigide; Dofus Nébuleux; Dofus Ocre; Dofus Turquoise; Dofus Abyssal; Dofus Pourpre; Vigoureux majeur; Kramkram</t>
        </is>
      </c>
    </row>
    <row r="18516">
      <c r="A18516" t="inlineStr">
        <is>
          <t>Iop M 200</t>
        </is>
      </c>
      <c r="B18516">
        <f>HYPERLINK("https://www.dofusbook.net/fr/equipement/3319902-iop-m-200/objets", "link")</f>
        <v/>
      </c>
      <c r="C18516" t="n">
        <v>14</v>
      </c>
      <c r="D18516" t="inlineStr">
        <is>
          <t>Héqache; Amulette du Strigide; Bague Gloursonne; Anneau des égarés; Bouclier du Captain Amakna; Ceintacé; Coiffe de la Reine des Voleurs; Cape au Logis; Bottes du Strigide; Dofus Turquoise; Dofus Pourpre; Dofus Nébuleux; Dofus Abyssal; Dofus Ocre; Vigoureux majeur; Kramkram</t>
        </is>
      </c>
    </row>
    <row r="18517">
      <c r="A18517" t="inlineStr">
        <is>
          <t>Sacrieur M 200</t>
        </is>
      </c>
      <c r="B18517">
        <f>HYPERLINK("https://www.dofusbook.net/fr/equipement/3356918-sacrieur-m-200/objets", "link")</f>
        <v/>
      </c>
      <c r="C18517" t="n">
        <v>5</v>
      </c>
      <c r="D18517" t="inlineStr">
        <is>
          <t>Epée Maudite du Saigneur Guerrier; Collier Rophante; Anneau de Pol Ouatnos; Alliance Gloursonne; Bouclier d'Anerice; Ceinture de XLII; Casque Dragoeuf; Cape du Kamasterisk; Bottes de XLII; Bloqueur; Bloqueur majeur; Obstructeur; Obstructeur majeur; Tacleur; Tacleur majeur; Muldo Roux et Indigo</t>
        </is>
      </c>
    </row>
    <row r="18518">
      <c r="A18518" t="inlineStr">
        <is>
          <t>danioscriticos</t>
        </is>
      </c>
      <c r="B18518">
        <f>HYPERLINK("https://www.dofusbook.net/fr/equipement/3095779-danioscriticos/objets", "link")</f>
        <v/>
      </c>
      <c r="C18518" t="n">
        <v>1</v>
      </c>
      <c r="D18518" t="inlineStr">
        <is>
          <t>Dagues d'Ilyzaelle; Amulette du Strigide; Anneau Vicieux; Alliance de Missiz Frizz; Ceintacé; Casquipik; Cape du Cœur Saignant; Bottes du Cœur Saignant; Dofus Nébuleux; Dofus Turquoise; Dofus Ocre; Dofus Pourpre; Remueur; Nomade; Muldo Doré et Emeraude</t>
        </is>
      </c>
    </row>
    <row r="18519">
      <c r="A18519" t="inlineStr">
        <is>
          <t>arcokutulu</t>
        </is>
      </c>
      <c r="B18519">
        <f>HYPERLINK("https://www.dofusbook.net/fr/equipement/3087763-arcokutulu/objets", "link")</f>
        <v/>
      </c>
      <c r="C18519" t="n">
        <v>0</v>
      </c>
      <c r="D18519" t="inlineStr">
        <is>
          <t>Arc de Koutoulou; Amulette du Strigide; Alliance Gloursonne; Bracelet du Piloztère; Quatre-feuilles; Ceintacé; Némès de Tal Kasha; Cape Matelassée; Bottes du Strigide; Dofus Nébuleux; Dofus Turquoise; Dofus Ocre; Dofus Abyssal; Dofus Pourpre; Nomade; Muldo Doré et Emeraude</t>
        </is>
      </c>
    </row>
    <row r="18520">
      <c r="A18520" t="inlineStr">
        <is>
          <t>esquivas pa</t>
        </is>
      </c>
      <c r="B18520">
        <f>HYPERLINK("https://www.dofusbook.net/fr/equipement/3056048-esquivas-pa/objets", "link")</f>
        <v/>
      </c>
      <c r="C18520" t="n">
        <v>1</v>
      </c>
      <c r="D18520" t="inlineStr">
        <is>
          <t>Héqache; Amulette du Strigide; Alliance Brûlâme; Bague Gloursonne; Écorce de Brouce; Ceinture du Strigide; Casque du Chalœil; Cape du Kamasterisk; Tentassons; Dofus Ocre; Dofus Turquoise; Dofus Pourpre; Nomade; Remueur; Évasif majeur; Kramkram</t>
        </is>
      </c>
    </row>
    <row r="18521">
      <c r="A18521" t="inlineStr">
        <is>
          <t>daniosgcpotencia</t>
        </is>
      </c>
      <c r="B18521">
        <f>HYPERLINK("https://www.dofusbook.net/fr/equipement/2853248-daniosgcpotencia/objets", "link")</f>
        <v/>
      </c>
      <c r="C18521" t="n">
        <v>4</v>
      </c>
      <c r="D18521" t="inlineStr">
        <is>
          <t>Bâton Beau; Amulette du Strigide; Alliance de Missiz Frizz; Bague Trithon; Quatre-feuilles; Ceintacé; Casquipik; Cape Matelassée; Bottes du Strigide; Dofus Pourpre; Dofus Turquoise; Dofus Nébuleux; Nomade; Remueur; Vigoureux majeur; Muldo Doré et Emeraude</t>
        </is>
      </c>
    </row>
    <row r="18522">
      <c r="A18522" t="inlineStr">
        <is>
          <t>potencia</t>
        </is>
      </c>
      <c r="B18522">
        <f>HYPERLINK("https://www.dofusbook.net/fr/equipement/2630203-potencia/objets", "link")</f>
        <v/>
      </c>
      <c r="C18522" t="n">
        <v>3</v>
      </c>
      <c r="D18522" t="inlineStr">
        <is>
          <t>Bâton Beau; Amulette du Strigide; Grésilanneau; Bracelet du Piloztère; Bouclier Taverne; Ceintacé; Masque de Koutoulou; Voilamibe; Bottes du Strigide; Dofus Pourpre; Dolmanax; Vigoureux; Nomade; Vigoureux majeur; Remueur; Kramkram</t>
        </is>
      </c>
    </row>
    <row r="18523">
      <c r="A18523" t="inlineStr">
        <is>
          <t>suerteinte retiros</t>
        </is>
      </c>
      <c r="B18523">
        <f>HYPERLINK("https://www.dofusbook.net/fr/equipement/2769021-suerteinte-retiros/objets", "link")</f>
        <v/>
      </c>
      <c r="C18523" t="n">
        <v>0</v>
      </c>
      <c r="D18523" t="inlineStr">
        <is>
          <t>Arc Nécrotique; Amulette de Pol Ouatnos; Goulano; Alliance du Lévitrof; Bouclier Feudala; Ceintacé; Chapeau Lisson; Cape d'Atcham; Pataugastrique; Dofus Pourpre; Étourdisseur majeur; Remueur; Vigoureux majeur; Étourdisseur; Nomade; Kramkram</t>
        </is>
      </c>
    </row>
    <row r="18524">
      <c r="A18524" t="inlineStr">
        <is>
          <t>version obi</t>
        </is>
      </c>
      <c r="B18524">
        <f>HYPERLINK("https://www.dofusbook.net/fr/equipement/2656408-version-obi/objets", "link")</f>
        <v/>
      </c>
      <c r="C18524" t="n">
        <v>0</v>
      </c>
      <c r="D18524" t="inlineStr">
        <is>
          <t>Héqache; Amulette du Strigide; Goulano; Bague Gloursonne; Bouclier Terrdala; Ceintacé; Chapoulpe; Cape au Logis; Tentassons; Dofus Turquoise; Dofus Pourpre; Remueur; Étourdisseur; Étourdisseur majeur; Nomade; Kramkram</t>
        </is>
      </c>
    </row>
    <row r="18525">
      <c r="A18525" t="inlineStr">
        <is>
          <t>tymasetdeclase</t>
        </is>
      </c>
      <c r="B18525">
        <f>HYPERLINK("https://www.dofusbook.net/fr/equipement/2704904-tymasetdeclase/objets", "link")</f>
        <v/>
      </c>
      <c r="C18525" t="n">
        <v>1</v>
      </c>
      <c r="D18525" t="inlineStr">
        <is>
          <t>Baguette de Malléfisk; Amulette de Danathor; Annolamour; Mitaine Aibre; Bouclier Taverne; Sangle Hyssérine; Coiffe Ainte; Cape Endaison; Bottes Opsy; Dragodinde Amande et Emeraude</t>
        </is>
      </c>
    </row>
    <row r="18526">
      <c r="A18526" t="inlineStr">
        <is>
          <t>retiroini</t>
        </is>
      </c>
      <c r="B18526">
        <f>HYPERLINK("https://www.dofusbook.net/fr/equipement/2704881-retiroini/objets", "link")</f>
        <v/>
      </c>
      <c r="C18526" t="n">
        <v>2</v>
      </c>
      <c r="D18526" t="inlineStr">
        <is>
          <t>Marteau R'ture; Amulette du Glourséleste; Anneau Tamie; Anneau Vicieux; Bouclier cubiste; Casquipik; Cape de Léthaline; Pikottes; Dofus Ocre; Fonceur majeur; Temporiseur majeur; Ralentisseur majeur; Remueur; Entraveur majeur; Kramkram</t>
        </is>
      </c>
    </row>
    <row r="18527">
      <c r="A18527" t="inlineStr">
        <is>
          <t>pruebanuevosetmult</t>
        </is>
      </c>
      <c r="B18527">
        <f>HYPERLINK("https://www.dofusbook.net/fr/equipement/2572378-pruebanuevosetmult/objets", "link")</f>
        <v/>
      </c>
      <c r="C18527" t="n">
        <v>2</v>
      </c>
      <c r="D18527" t="inlineStr">
        <is>
          <t>Bâton Beau; Amulette du Strigide; Grésilanneau; Bracelet du Piloztère; Quatre-feuilles; Ceintacé; Le Dorado; Cape du Chalœil; Bottes du Strigide; Dofus Nébuleux; Dofus Turquoise; Dofus des Glaces; Dofus Ocre; Dofus Pourpre; Nomade; Muldo Doré et Emeraude</t>
        </is>
      </c>
    </row>
    <row r="18528">
      <c r="A18528" t="inlineStr">
        <is>
          <t>miguelona</t>
        </is>
      </c>
      <c r="B18528">
        <f>HYPERLINK("https://www.dofusbook.net/fr/equipement/2630257-miguelona/objets", "link")</f>
        <v/>
      </c>
      <c r="C18528" t="n">
        <v>2</v>
      </c>
      <c r="D18528" t="inlineStr">
        <is>
          <t>Marteau du Juge Lou; Amulette de Guten Tak; Anneau du Kaniblou; Anneau Moutheur; Cadran de Terre; Ceinture du Pounicheur; Bottes de Mandrin; Remueur; Nomade; Muldo Doré et Emeraude; Krosmape; Krosmapeau</t>
        </is>
      </c>
    </row>
    <row r="18529">
      <c r="A18529" t="inlineStr">
        <is>
          <t>nuevo</t>
        </is>
      </c>
      <c r="B18529">
        <f>HYPERLINK("https://www.dofusbook.net/fr/equipement/2522161-nuevo/objets", "link")</f>
        <v/>
      </c>
      <c r="C18529" t="n">
        <v>3</v>
      </c>
      <c r="D18529" t="inlineStr">
        <is>
          <t>Dagues d'Ilyzaelle; Amulette du Strigide; Pikano; Bague Gloursonne; Bouclier Pandawa; Ceinture du Strigide; Casquipik; Voile d'encre; Bottes du Strigide; Dofus des Glaces; Dofus Ocre; Dofus Pourpre; Dofus Nébuleux; Dofus Turquoise; Dofus Abyssal; Muldo Doré et Emeraude</t>
        </is>
      </c>
    </row>
    <row r="18530">
      <c r="A18530" t="inlineStr">
        <is>
          <t>ilyzaelle</t>
        </is>
      </c>
      <c r="B18530">
        <f>HYPERLINK("https://www.dofusbook.net/fr/equipement/2571932-ilyzaelle/objets", "link")</f>
        <v/>
      </c>
      <c r="C18530" t="n">
        <v>1</v>
      </c>
      <c r="D18530" t="inlineStr">
        <is>
          <t>Héqache; Amulette du Strigide; Bracelet du Piloztère; Alliance Brûlâme; Ceinture du Strigide; Masque Brûlâme; Cape du Professeur Xa; Pompes Funèbres; Dofus Turquoise; Dofus des Glaces; Dofus Pourpre; Dofus Nébuleux; Dofus Ocre; Dofus Abyssal; Muldo Ebène et Emeraude</t>
        </is>
      </c>
    </row>
    <row r="18531">
      <c r="A18531" t="inlineStr">
        <is>
          <t>iutuverchichi</t>
        </is>
      </c>
      <c r="B18531">
        <f>HYPERLINK("https://www.dofusbook.net/fr/equipement/2383134-iutuverchichi/objets", "link")</f>
        <v/>
      </c>
      <c r="C18531" t="n">
        <v>1</v>
      </c>
      <c r="D18531" t="inlineStr">
        <is>
          <t>Dagues Ricol; Amulette du Strigide; Bague Gloursonne; Alliance Brûlâme; Bouclier Pandawa; Ceinture du Strigide; Masque Brûlâme; Cape du Professeur Xa; Pompes Funèbres; Dofus des Glaces; Dofus Ocre; Dofus Abyssal; Dofus Nébuleux; Dofus Pourpre; Dofus Turquoise; Muldo Prune et Emeraude</t>
        </is>
      </c>
    </row>
    <row r="18532">
      <c r="A18532" t="inlineStr">
        <is>
          <t>doscuarentaycinco</t>
        </is>
      </c>
      <c r="B18532">
        <f>HYPERLINK("https://www.dofusbook.net/fr/equipement/2532528-doscuarentaycinco/objets", "link")</f>
        <v/>
      </c>
      <c r="C18532" t="n">
        <v>2</v>
      </c>
      <c r="D18532" t="inlineStr">
        <is>
          <t>Marteau des égarés; Amulette du Strigide; Bracelet du Piloztère; Bague Trithon; Bouclier alvéolé; Ceinture du Strigide; Masque Trithon; Cape du Professeur Xa; Bottes Trithon; Dofus Turquoise; Dofus Abyssal; Dolmanax; Dofus Ocre; Dofus Pourpre; Dofus Nébuleux; Muldo Orchidée et Emeraude</t>
        </is>
      </c>
    </row>
    <row r="18533">
      <c r="A18533" t="inlineStr">
        <is>
          <t>inte agi</t>
        </is>
      </c>
      <c r="B18533">
        <f>HYPERLINK("https://www.dofusbook.net/fr/equipement/2522455-inte-agi/objets", "link")</f>
        <v/>
      </c>
      <c r="C18533" t="n">
        <v>0</v>
      </c>
      <c r="D18533" t="inlineStr">
        <is>
          <t>Bâton Beau; Amulette du Strigide; Anneau de la Fuji Givrefoux; Bracelet du Piloztère; Bouclier Taverne; Ceintacé; Boucle d'oreille de Kongoku; Capille; Bottes du Strigide; Dofus Pourpre; Dofus Nébuleux; Dofus Ocre; Dofus Abyssal; Dolmanax; Dofus des Glaces; Muldo Caméléon</t>
        </is>
      </c>
    </row>
    <row r="18534">
      <c r="A18534" t="inlineStr">
        <is>
          <t>anusuerte</t>
        </is>
      </c>
      <c r="B18534">
        <f>HYPERLINK("https://www.dofusbook.net/fr/equipement/2390637-anusuerte/objets", "link")</f>
        <v/>
      </c>
      <c r="C18534" t="n">
        <v>2</v>
      </c>
      <c r="D18534" t="inlineStr">
        <is>
          <t>Sceptre du Roi Joueur; Amulette de Shokkoth; Bracelet des Fonds marins; Alliance Gloursonne; Bouclier cubiste; Poulpagne; Coiffe de Danathor; Cape du Sinistrofu; Bottes du Sinistrofu; Dofus des Glaces; Dofus Turquoise; Dofus Pourpre; Nomade; Remueur; Chanceux majeur; Dehluge</t>
        </is>
      </c>
    </row>
    <row r="18535">
      <c r="A18535" t="inlineStr">
        <is>
          <t>copia sram de pvp</t>
        </is>
      </c>
      <c r="B18535">
        <f>HYPERLINK("https://www.dofusbook.net/fr/equipement/2382137-copia-sram-de-pvp/objets", "link")</f>
        <v/>
      </c>
      <c r="C18535" t="n">
        <v>0</v>
      </c>
      <c r="D18535" t="inlineStr">
        <is>
          <t>Epée Gloursonne; Amulette du Kamasterisk; Alliance Gloursonne; Bague Gloursonne; Bouclier cubiste; Ceinture du Frelon Noir; Masque du Frelon Noir; Cape du Kamasterisk; Bottes du Kamasterisk; Dofus Turquoise; Dofus Abyssal; Dofus Ivoire; Dofus Ocre; Dofus Pourpre; Dofus des Glaces; Kramkram</t>
        </is>
      </c>
    </row>
    <row r="18536">
      <c r="A18536" t="inlineStr">
        <is>
          <t>notengoocre</t>
        </is>
      </c>
      <c r="B18536">
        <f>HYPERLINK("https://www.dofusbook.net/fr/equipement/2352079-notengoocre/objets", "link")</f>
        <v/>
      </c>
      <c r="C18536" t="n">
        <v>0</v>
      </c>
      <c r="D18536" t="inlineStr">
        <is>
          <t>Pelle du Professeur Xa; Amulette du Strigide; Bague Gloursonne; Alliance de Missiz Frizz; Bouclier du Captain Amakna; Ceinture du Strigide; Casque de Missiz Frizz; Cape du Professeur Xa; Bottes du Strigide; Dofus Cawotte; Dofus Pourpre; Dofus Émeraude; Dofus Turquoise; Dofus des Glaces; Dokoko; Kramkram</t>
        </is>
      </c>
    </row>
    <row r="18537">
      <c r="A18537" t="inlineStr">
        <is>
          <t>mega2</t>
        </is>
      </c>
      <c r="B18537">
        <f>HYPERLINK("https://www.dofusbook.net/fr/equipement/2352005-mega2/objets", "link")</f>
        <v/>
      </c>
      <c r="C18537" t="n">
        <v>0</v>
      </c>
      <c r="D18537" t="inlineStr">
        <is>
          <t>Hache Téroïde; Amulette du Strigide; Goulano; Bague Gloursonne; Bouclier du Captain Amakna; Slip Iholo; Chapeau de Gein; Cape du Professeur Xa; Bottes du Strigide; Dofus Turquoise; Dofus Pourpre; Remueur; Vigoureux majeur; Nomade; Turbulent; Kramkram</t>
        </is>
      </c>
    </row>
    <row r="18538">
      <c r="A18538" t="inlineStr">
        <is>
          <t>mega</t>
        </is>
      </c>
      <c r="B18538">
        <f>HYPERLINK("https://www.dofusbook.net/fr/equipement/2351934-mega/objets", "link")</f>
        <v/>
      </c>
      <c r="C18538" t="n">
        <v>0</v>
      </c>
      <c r="D18538" t="inlineStr">
        <is>
          <t>Hache Téroïde; Amulette de Gein; Goulano; Bague Gloursonne; Bouclier du Captain Amakna; Slip Iholo; Chapeau de Gein; Cape du Professeur Xa; Pompes Funèbres; Dofus Pourpre; Dofus Turquoise; Turbulent; Remueur; Vigoureux majeur; Nomade; Kramkram</t>
        </is>
      </c>
    </row>
    <row r="18539">
      <c r="A18539" t="inlineStr">
        <is>
          <t>Stuff 2</t>
        </is>
      </c>
      <c r="B18539">
        <f>HYPERLINK("https://www.dofusbook.net/fr/equipement/491424-stuff-2/objets", "link")</f>
        <v/>
      </c>
      <c r="C18539" t="n">
        <v>1</v>
      </c>
      <c r="D18539" t="inlineStr">
        <is>
          <t>Dagues Ricol; Amulette du Strigide; Bague Gloursonne; Anneau Chevelu; Bouclier du Captain Amakna; Ceinture du Strigide; Masque de Koutoulou; Voile d'encre; Chaussures Hau; Dofus Émeraude; Dofus Ocre; Dofus Nébuleux; Dofus Pourpre; Dofus Turquoise; Nomade; Kramkram</t>
        </is>
      </c>
    </row>
    <row r="18540">
      <c r="A18540" t="inlineStr">
        <is>
          <t>escudofinal</t>
        </is>
      </c>
      <c r="B18540">
        <f>HYPERLINK("https://www.dofusbook.net/fr/equipement/1213350-escudofinal/objets", "link")</f>
        <v/>
      </c>
      <c r="C18540" t="n">
        <v>1</v>
      </c>
      <c r="D18540" t="inlineStr">
        <is>
          <t>Arc du Chalœil; Amulette Luminescente; Anneau Chevelu; Bague Gloursonne; Bouclier Taverne; Ceinture Luminescente; Masque de Koutoulou; Cape au Logis; Baleinabottes; Dofus Ocre; Dofus Turquoise; Dofus Nébuleux; Dofus Émeraude; Dofus Pourpre; Nomade; Kramkram</t>
        </is>
      </c>
    </row>
    <row r="18541">
      <c r="A18541" t="inlineStr">
        <is>
          <t>potresisda</t>
        </is>
      </c>
      <c r="B18541">
        <f>HYPERLINK("https://www.dofusbook.net/fr/equipement/1168518-potresisda/objets", "link")</f>
        <v/>
      </c>
      <c r="C18541" t="n">
        <v>0</v>
      </c>
      <c r="D18541" t="inlineStr">
        <is>
          <t>Epée Maudite du Saigneur Guerrier; Amulette Ementaire Deluxe; Bague Gloursonne; Anneau Chevelu; Bouclier Taverne; Slip Iholo; Bonnet Ko; Voile d'encre; Tentassons; Dofus Turquoise; Dofus Pourpre; Dofus Nébuleux; Dofus Ocre; Nomade; Remueur; Kramkram</t>
        </is>
      </c>
    </row>
    <row r="18542">
      <c r="A18542" t="inlineStr">
        <is>
          <t>Stuff 3</t>
        </is>
      </c>
      <c r="B18542">
        <f>HYPERLINK("https://www.dofusbook.net/fr/equipement/491376-stuff-3/objets", "link")</f>
        <v/>
      </c>
      <c r="C18542" t="n">
        <v>0</v>
      </c>
      <c r="D18542" t="inlineStr">
        <is>
          <t>Dagues Açantes; Collier de la Dame du Hasard; Anneau Cryochrone; Bracelet du Piloztère; Bouclier cubiste; Ceinture de Kongoku; Casquette de Meno; Cape de la Dame du Hasard; Pataugastrique; Dolmanax; Dofus Pourpre; Vigoureux majeur; Remueur; Étourdisseur majeur; Nomade; Kramkram</t>
        </is>
      </c>
    </row>
    <row r="18543">
      <c r="A18543" t="inlineStr">
        <is>
          <t>Stuff 3</t>
        </is>
      </c>
      <c r="B18543">
        <f>HYPERLINK("https://www.dofusbook.net/fr/equipement/1060372-stuff-3/objets", "link")</f>
        <v/>
      </c>
      <c r="C18543" t="n">
        <v>0</v>
      </c>
      <c r="D18543" t="inlineStr">
        <is>
          <t>Baguette Hique; Amulette du Glourséleste; Alliance Gloursonne; Pikano; Bouclier cubiste; Ceinture Glaciale; Casquipik; Cape Peupret; Pantoufles Émar; Ralentisseur majeur; Temporiseur; Entraveur majeur; Remueur; Fonceur majeur; Temporiseur majeur; Kramkram</t>
        </is>
      </c>
    </row>
    <row r="18544">
      <c r="A18544" t="inlineStr">
        <is>
          <t>multi</t>
        </is>
      </c>
      <c r="B18544">
        <f>HYPERLINK("https://www.dofusbook.net/fr/equipement/1015480-multi/objets", "link")</f>
        <v/>
      </c>
      <c r="C18544" t="n">
        <v>0</v>
      </c>
      <c r="D18544" t="inlineStr">
        <is>
          <t>Bâton Beau; Amulette du Strigide; Baguistik; Chevalière du Roi Joueur; Bouclier Taverne; Ceinture du Strigide; Chapeau de Gein; Cape du Professeur Xa; Bottes du Chalœil; Dolmanax; Dofus Pourpre; Dofus Ocre; Remueur; Vigoureux majeur; Nomade; Kramkram</t>
        </is>
      </c>
    </row>
    <row r="18545">
      <c r="A18545" t="inlineStr">
        <is>
          <t>potret</t>
        </is>
      </c>
      <c r="B18545">
        <f>HYPERLINK("https://www.dofusbook.net/fr/equipement/948080-potret/objets", "link")</f>
        <v/>
      </c>
      <c r="C18545" t="n">
        <v>0</v>
      </c>
      <c r="D18545" t="inlineStr">
        <is>
          <t>La Baguette des Limbes; Amulette de l'Obsidiantre; Anneau Nobstant; Anneau Nobstant; Bouclier Aerdala; Ceinture Phossile; Bonnet Ko; Cape Phossile; Sandales Gorithme; Dofus Nébuleux; Dofus Ocre; Dolmanax; Dofus Pourpre; Entraveur majeur; Temporiseur majeur; Kramkram</t>
        </is>
      </c>
    </row>
    <row r="18546">
      <c r="A18546" t="inlineStr">
        <is>
          <t>retiros pm</t>
        </is>
      </c>
      <c r="B18546">
        <f>HYPERLINK("https://www.dofusbook.net/fr/equipement/948014-retiros-pm/objets", "link")</f>
        <v/>
      </c>
      <c r="C18546" t="n">
        <v>0</v>
      </c>
      <c r="D18546" t="inlineStr">
        <is>
          <t>La Baguette des Limbes; Amulette du Gorgouille; Gelano; Gantelet du Gorgouille; Bouclier Aerdala; Ceinture du Krokilleur; Masque de l'Abrakleur sombre; La Brouteuse; Bottes Ouroboulos; Dolmanax; Dofus Pourpre; Dofus Nébuleux; Dofus Ocre; Entraveur; Temporiseur; Kompost</t>
        </is>
      </c>
    </row>
    <row r="18547">
      <c r="A18547" t="inlineStr">
        <is>
          <t>retiros</t>
        </is>
      </c>
      <c r="B18547">
        <f>HYPERLINK("https://www.dofusbook.net/fr/equipement/910541-retiros-/objets", "link")</f>
        <v/>
      </c>
      <c r="C18547" t="n">
        <v>0</v>
      </c>
      <c r="D18547" t="inlineStr">
        <is>
          <t>Hache Achinecride; Amulette Nécrotique; Alliance Sorcelée; Anneau Chevelu; Bouclier Aerdala; Ceinture de XLII; Bonnet Ko; Cape de l'Obsidiantre; Bottes de XLII; Dofus Pourpre; Entraveur majeur; Remueur; Enragé majeur; Temporiseur majeur; Nomade; Kompost</t>
        </is>
      </c>
    </row>
    <row r="18548">
      <c r="A18548" t="inlineStr">
        <is>
          <t>cien</t>
        </is>
      </c>
      <c r="B18548">
        <f>HYPERLINK("https://www.dofusbook.net/fr/equipement/864193-cien/objets", "link")</f>
        <v/>
      </c>
      <c r="C18548" t="n">
        <v>0</v>
      </c>
      <c r="D18548" t="inlineStr">
        <is>
          <t>La Baguette des Limbes; Amulette du Gorgouille; Anneau du Dragon Cochon; Gantelet du Gorgouille; Ceinture du Krokilleur; Casque du Chef Bwork; Capitrouille; Chaussures Lepon-Davignon; Dofus Pourpre; Dofus des Glaces; Dolmanax; Remueur; Nomade; Temporiseur; Kompost</t>
        </is>
      </c>
    </row>
    <row r="18549">
      <c r="A18549" t="inlineStr">
        <is>
          <t>retirofarmer</t>
        </is>
      </c>
      <c r="B18549">
        <f>HYPERLINK("https://www.dofusbook.net/fr/equipement/803420-retirofarmer/objets", "link")</f>
        <v/>
      </c>
      <c r="C18549" t="n">
        <v>3</v>
      </c>
      <c r="D18549" t="inlineStr">
        <is>
          <t>Bêche Asse; Collier de Tourthon; Anneau Crustique; Chevalière du Roi Joueur; Bouclier cubiste; Ceinture Luminescente; Couronne du Roi Joueur; Cape de la Cour Sombre; Baleinabottes; Ralentisseur majeur; Nomade; Entraveur majeur; Remueur; Temporiseur majeur; Muldo Doré et Pourpre</t>
        </is>
      </c>
    </row>
    <row r="18550">
      <c r="A18550" t="inlineStr">
        <is>
          <t>suerte</t>
        </is>
      </c>
      <c r="B18550">
        <f>HYPERLINK("https://www.dofusbook.net/fr/equipement/491426-suerte/objets", "link")</f>
        <v/>
      </c>
      <c r="C18550" t="n">
        <v>2</v>
      </c>
      <c r="D18550" t="inlineStr">
        <is>
          <t>Dagoulinantes; Amulette de Shokkoth; Alliance Gloursonne; Bracelet des Fonds marins; Poulpagne; Coiffe de Danathor; Voilamibe; Bottes du Nocturlabe; Dofus Pourpre; Taquin majeur; Nomade; Vigoureux majeur; Chanceux majeur; Remueur; Dehluge</t>
        </is>
      </c>
    </row>
    <row r="18551">
      <c r="A18551" t="inlineStr">
        <is>
          <t>agiresis</t>
        </is>
      </c>
      <c r="B18551">
        <f>HYPERLINK("https://www.dofusbook.net/fr/equipement/491428-agiresis/objets", "link")</f>
        <v/>
      </c>
      <c r="C18551" t="n">
        <v>0</v>
      </c>
      <c r="D18551" t="inlineStr">
        <is>
          <t>Pelle de la Cour Sombre; Amulette du Strigide; Anneau Rifique; Alliance Gloursonne; Ceinture de Vortex; Dorabysses; Cape Matelassée; Baleinabottes; Dofus Ocre; Dofus Pourpre; Dofus Nébuleux; Cascadeur majeur; Carapace Air majeur; Nomade; Dragodinde en armure</t>
        </is>
      </c>
    </row>
    <row r="18552">
      <c r="A18552" t="inlineStr">
        <is>
          <t>Stuff 2</t>
        </is>
      </c>
      <c r="B18552">
        <f>HYPERLINK("https://www.dofusbook.net/fr/equipement/491421-stuff-2/objets", "link")</f>
        <v/>
      </c>
      <c r="C18552" t="n">
        <v>0</v>
      </c>
      <c r="D18552" t="inlineStr">
        <is>
          <t>Dagues Ricol; Amulette du Strigide; Bague Gloursonne; Bracelet du Piloztère; Ceinture de Gein; Chapeau de Gein; Cape du Professeur Xa; Chaussures Hau; Dofus Nébuleux; Dofus Turquoise; Dofus Pourpre; Dofus Ocre; Nomade; Remueur; Kramkram</t>
        </is>
      </c>
    </row>
    <row r="18553">
      <c r="A18553" t="inlineStr">
        <is>
          <t>Stuff 1</t>
        </is>
      </c>
      <c r="B18553">
        <f>HYPERLINK("https://www.dofusbook.net/fr/equipement/491423-stuff-1/objets", "link")</f>
        <v/>
      </c>
      <c r="C18553" t="n">
        <v>0</v>
      </c>
      <c r="D18553" t="inlineStr">
        <is>
          <t>Dagues Ricol; Amulette du Strigide; Bracelet du Piloztère; Bague Gloursonne; Ceinture du Strigide; Coiffe de la Fuji Givrefoux; Voile d'encre; Chaussures Hau; Dofus Pourpre; Dofus Ocre; Dofus des Glaces; Vigoureux majeur; Remueur; Nomade; Kramkram</t>
        </is>
      </c>
    </row>
    <row r="18554">
      <c r="A18554" t="inlineStr">
        <is>
          <t>Stuff 2</t>
        </is>
      </c>
      <c r="B18554">
        <f>HYPERLINK("https://www.dofusbook.net/fr/equipement/491375-stuff-2/objets", "link")</f>
        <v/>
      </c>
      <c r="C18554" t="n">
        <v>0</v>
      </c>
      <c r="D18554" t="inlineStr">
        <is>
          <t>Baguette Hique; Amulette du Glourséleste; Alliance Gloursonne; Pikano; Ceinture Glaciale; Casquipik; Cape Peupret; Pantoufles Émar; Dofus Pourpre; Vigoureux majeur; Entraveur majeur; Remueur; Temporiseur majeur; Nomade; Kramkram</t>
        </is>
      </c>
    </row>
    <row r="18555">
      <c r="A18555" t="inlineStr">
        <is>
          <t>Stuff 3</t>
        </is>
      </c>
      <c r="B18555">
        <f>HYPERLINK("https://www.dofusbook.net/fr/equipement/491425-stuff-3/objets", "link")</f>
        <v/>
      </c>
      <c r="C18555" t="n">
        <v>0</v>
      </c>
      <c r="D18555" t="inlineStr">
        <is>
          <t>Dagues Ricol; Amulette du Strigide; Bague Gloursonne; Anneau Chevelu; Ceinture de Gein; Masque de Koutoulou; Cape au Logis; Sabots Minables; Dofus Pourpre; Dofus Nébuleux; Carapace Neutre majeur; Carapace Eau majeur; Enragé majeur; Carapace Terre majeur; Kramkram</t>
        </is>
      </c>
    </row>
    <row r="18556">
      <c r="A18556" t="inlineStr">
        <is>
          <t>Stuff 1</t>
        </is>
      </c>
      <c r="B18556">
        <f>HYPERLINK("https://www.dofusbook.net/fr/equipement/491420-stuff-1/objets", "link")</f>
        <v/>
      </c>
      <c r="C18556" t="n">
        <v>1</v>
      </c>
      <c r="D18556" t="inlineStr">
        <is>
          <t>Amulette du Strigide; Anneau du Chêne Mou; Bague Gloursonne; Ceinture du Strigide; Ruskauffe; Cape du Professeur Xa; Chaussures Hau; Dokoko; Dofus Pourpre; Dofus Ocre; Nomade; Vigoureux majeur; Remueur; Kramkram</t>
        </is>
      </c>
    </row>
    <row r="18557">
      <c r="A18557" t="inlineStr">
        <is>
          <t>Stuff 2</t>
        </is>
      </c>
      <c r="B18557">
        <f>HYPERLINK("https://www.dofusbook.net/fr/equipement/491427-stuff-2/objets", "link")</f>
        <v/>
      </c>
      <c r="C18557" t="n">
        <v>2</v>
      </c>
      <c r="D18557" t="inlineStr">
        <is>
          <t>Rouleau à Pâtisserie d'Aermyne; Amulette du Kamasterisk; Anneau de Pol Ouatnos; Alliance Gloursonne; Ceinture de XLII; Casque Dragoeuf; Cape Matelassée; Bottes de XLII; Obstructeur; Remueur; Tacleur majeur; Bloqueur majeur; Obstructeur majeur; Nomade; Blokus</t>
        </is>
      </c>
    </row>
    <row r="18558">
      <c r="A18558" t="inlineStr">
        <is>
          <t>Stuff 3</t>
        </is>
      </c>
      <c r="B18558">
        <f>HYPERLINK("https://www.dofusbook.net/fr/equipement/491422-stuff-3/objets", "link")</f>
        <v/>
      </c>
      <c r="C18558" t="n">
        <v>0</v>
      </c>
      <c r="D18558" t="inlineStr">
        <is>
          <t>Arc Hétype; Amulette Ementaire Deluxe; Anneau Tique; Alliance du Lévitrof; Ceinture Séculaire; Coiffe Séculaire; Voile d'encre; Pataugastrique; Dolmanax; Carapace Feu majeur; Érudit majeur; Carapace Terre majeur; Nomade; Remueur; Muldo Orchidée et Pourpre</t>
        </is>
      </c>
    </row>
    <row r="18559">
      <c r="A18559" t="inlineStr">
        <is>
          <t>Stuff 1</t>
        </is>
      </c>
      <c r="B18559">
        <f>HYPERLINK("https://www.dofusbook.net/fr/equipement/491374-stuff-1/objets", "link")</f>
        <v/>
      </c>
      <c r="C18559" t="n">
        <v>3</v>
      </c>
      <c r="D18559" t="inlineStr">
        <is>
          <t>Arc Nécrotique; Collier de la Dame du Hasard; Alliance Gloursonne; Anneau Tique; Sangle Ouare; Casquette de Meno; Cape de la Dame du Hasard; Pataugastrique; Dolmanax; Dofus Pourpre; Vigoureux majeur; Carapace Feu majeur; Nomade; Remueur; Kramkram</t>
        </is>
      </c>
    </row>
    <row r="18560">
      <c r="A18560" t="inlineStr">
        <is>
          <t>Crâ M 200</t>
        </is>
      </c>
      <c r="B18560">
        <f>HYPERLINK("https://www.dofusbook.net/fr/equipement/4277725-cra-m-200/objets", "link")</f>
        <v/>
      </c>
      <c r="C18560" t="n">
        <v>1</v>
      </c>
      <c r="D18560" t="inlineStr">
        <is>
          <t>Arc du Chalœil; Amulette du Strigide; Bracelet du Piloztère; Bague Trithon; Bouclier du Stalak; Ceinture du Strigide; Masque Trithon; Voile d'encre; Bottes Trithon; Dofus Pourpre; Dofus des Glaces; Dofus Ocre; Dofus Nébuleux; Dolmanax; Dofus Turquoise; Muldo Prune et Emeraude</t>
        </is>
      </c>
    </row>
    <row r="18561">
      <c r="A18561" t="inlineStr">
        <is>
          <t>Stuff 2</t>
        </is>
      </c>
      <c r="B18561">
        <f>HYPERLINK("https://www.dofusbook.net/fr/equipement/565357-stuff-2/objets", "link")</f>
        <v/>
      </c>
      <c r="C18561" t="n">
        <v>1</v>
      </c>
      <c r="D18561" t="inlineStr">
        <is>
          <t>Dagues Érhy; Amulette de Pol Ouatnos; Pikano; Bracelet du Piloztère; Ceintacé; Maskrobe; Cape du Chalœil; Bottes du Strigide; Dofus Turquoise; Dolmanax; Dofus Pourpre; Vigoureux majeur; Miraculé majeur; Remueur; Kramkram</t>
        </is>
      </c>
    </row>
    <row r="18562">
      <c r="A18562" t="inlineStr">
        <is>
          <t>Stuff 1</t>
        </is>
      </c>
      <c r="B18562">
        <f>HYPERLINK("https://www.dofusbook.net/fr/equipement/565356-stuff-1/objets", "link")</f>
        <v/>
      </c>
      <c r="C18562" t="n">
        <v>0</v>
      </c>
      <c r="D18562" t="inlineStr">
        <is>
          <t>Dagues Érhy; Amulette du Strigide; Bracelet du Piloztère; Chevalière du Roi Joueur; Ceintacé; Maskrobe; Cape du Chalœil; Bottes du Strigide; Dolmanax; Dofus Turquoise; Dofus Pourpre; Remueur; Fonceur majeur; Nomade; Dragodinde Prune et Ivoire</t>
        </is>
      </c>
    </row>
    <row r="18563">
      <c r="A18563" t="inlineStr">
        <is>
          <t>Stuff 3</t>
        </is>
      </c>
      <c r="B18563">
        <f>HYPERLINK("https://www.dofusbook.net/fr/equipement/565358-stuff-3/objets", "link")</f>
        <v/>
      </c>
      <c r="C18563" t="n">
        <v>0</v>
      </c>
      <c r="D18563" t="inlineStr">
        <is>
          <t>Hache du Chalœil; Amulette du Strigide; Alliance Gloursonne; Bracelet du Piloztère; Bouclier du Sadida cassé; Ceintacé; Casque du Chalœil; Voile d'encre; Bottes du Strigide; Dofus Pourpre; Dolmanax; Dofus Turquoise; Vigoureux majeur; Nomade; Remueur; Kramkram</t>
        </is>
      </c>
    </row>
    <row r="18564">
      <c r="A18564" t="inlineStr">
        <is>
          <t>Eau/feu</t>
        </is>
      </c>
      <c r="B18564">
        <f>HYPERLINK("https://www.dofusbook.net/fr/equipement/6010731-eau-feu/objets", "link")</f>
        <v/>
      </c>
      <c r="C18564" t="n">
        <v>0</v>
      </c>
      <c r="D18564" t="inlineStr">
        <is>
          <t>Pyraguette; Amulette Volkorne; Anneau Volkorne; Alliance Gloursonne; Bouclier du Stalak; Ceinture de l'Esprit Salvateur; Masque de l'Esprit Salvateur; Voilamibe; Bottes de l'Esprit Salvateur; Dofus Pourpre; Dofus Ivoire; Dofus des Glaces; Dofus Abyssal; Robuste majeur; Féroce majeur; Volkorne Orchidée et Indigo</t>
        </is>
      </c>
    </row>
    <row r="18565">
      <c r="A18565" t="inlineStr">
        <is>
          <t>Kelpe ini</t>
        </is>
      </c>
      <c r="B18565">
        <f>HYPERLINK("https://www.dofusbook.net/fr/equipement/6000252-kelpe-ini/objets", "link")</f>
        <v/>
      </c>
      <c r="C18565" t="n">
        <v>4</v>
      </c>
      <c r="D18565" t="inlineStr">
        <is>
          <t>Sceptre du Roi Joueur; Amulette de Shokkoth; Alliance Gloursonne; Anneau Volkorne; Bouclier d'Ilyzaelle; Poulpagne; Capuche de l'Œil Attentif; Cape de l'Œil Attentif; Pataugastrique; Dofus Abyssal; Dofus Émeraude; Dofus Pourpre; Dofus Ivoire; Nomade; Étourdisseur majeur; Drakopin</t>
        </is>
      </c>
    </row>
    <row r="18566">
      <c r="A18566" t="inlineStr">
        <is>
          <t>Xélor eau/ret PvM</t>
        </is>
      </c>
      <c r="B18566">
        <f>HYPERLINK("https://www.dofusbook.net/fr/equipement/5831990-xelor-eau-ret-pvm/objets", "link")</f>
        <v/>
      </c>
      <c r="C18566" t="n">
        <v>0</v>
      </c>
      <c r="D18566" t="inlineStr">
        <is>
          <t>Dagoulinantes; Amulette de Shokkoth; Anneau Volkorne; Alliance Gloursonne; Bouclier du Captain Amakna; Culotte de Bethel; Masque de Funespadon; Cape Solution; Pataugastrique; Dofus Pourpre; Dofus Émeraude; Dofus des Glaces; Dofus Ivoire; Dofus Abyssal; Nomade; Dragodinde Indigo et Ivoire</t>
        </is>
      </c>
    </row>
    <row r="18567">
      <c r="A18567" t="inlineStr">
        <is>
          <t>Xélor eau/ret 1vs1</t>
        </is>
      </c>
      <c r="B18567">
        <f>HYPERLINK("https://www.dofusbook.net/fr/equipement/5832532-xelor-eau-ret-1vs1/objets", "link")</f>
        <v/>
      </c>
      <c r="C18567" t="n">
        <v>0</v>
      </c>
      <c r="D18567" t="inlineStr">
        <is>
          <t>Dagoulinantes; Amulette de Shokkoth; Alliance Gloursonne; Anneau Volkorne; Bouclier d'Ilyzaelle; Culotte de Bethel; Masque de Funespadon; Cape Solution; Pataugastrique; Dofus des Glaces; Dofus Ivoire; Dofus Abyssal; Dofus Émeraude; Étourdisseur majeur; Nomade; Drakopin</t>
        </is>
      </c>
    </row>
    <row r="18568">
      <c r="A18568" t="inlineStr">
        <is>
          <t>Xel Feu 200 v3</t>
        </is>
      </c>
      <c r="B18568">
        <f>HYPERLINK("https://www.dofusbook.net/fr/equipement/5831801-xel-feu-200-v3/objets", "link")</f>
        <v/>
      </c>
      <c r="C18568" t="n">
        <v>0</v>
      </c>
      <c r="D18568" t="inlineStr">
        <is>
          <t>Arc corrompu; Amulette Volkorne; Anneauræus; Anneauræus; Bouclier du Sadida; Ceinture Séculaire; Coiffe Séculaire; Cape de Diondin; Pataugastrique; Dofus Pourpre; Dofus Abyssal; Dofus Turquoise; Dofus des Glaces; Dofus Ivoire; Nomade; Dragodinde Ivoire et Orchidée</t>
        </is>
      </c>
    </row>
    <row r="18569">
      <c r="A18569" t="inlineStr">
        <is>
          <t>Xel feu 200 v2</t>
        </is>
      </c>
      <c r="B18569">
        <f>HYPERLINK("https://www.dofusbook.net/fr/equipement/5831704-xel-feu-200-v2/objets", "link")</f>
        <v/>
      </c>
      <c r="C18569" t="n">
        <v>0</v>
      </c>
      <c r="D18569" t="inlineStr">
        <is>
          <t>Arc corrompu; Amulette Volkorne; Anneauræus; Anneau de Pol Ouatnos; Cadran de Terre; Ceinture de Vortex; Cagoule de Vortex; Cape de Diondin; Pataugastrique; Dofus Abyssal; Dofus Ivoire; Dofus des Glaces; Dofus Pourpre; Nomade; Étourdisseur majeur; Dragodinde Ivoire et Orchidée</t>
        </is>
      </c>
    </row>
    <row r="18570">
      <c r="A18570" t="inlineStr">
        <is>
          <t>Sans crit</t>
        </is>
      </c>
      <c r="B18570">
        <f>HYPERLINK("https://www.dofusbook.net/fr/equipement/5516508-sans-crit/objets", "link")</f>
        <v/>
      </c>
      <c r="C18570" t="n">
        <v>3</v>
      </c>
      <c r="D18570" t="inlineStr">
        <is>
          <t>Rapière aux Glyphes; Amulette d'Ilyzaelle; Alliance Gloursonne; Anneau Volkorne; Bouclier d'Ilyzaelle; Ceinture Luminescente; Casque d'Ilyzaelle; Cape du Sinistrofu; Bottes du Sinistrofu; Dofus Pourpre; Dofus Ivoire; Dofus Vulbis; Dofus Abyssal; Dofus Ébène; Dofus Ocre; Volkorne Améthyste et Indigo</t>
        </is>
      </c>
    </row>
    <row r="18571">
      <c r="A18571" t="inlineStr">
        <is>
          <t>Xélor F 200</t>
        </is>
      </c>
      <c r="B18571">
        <f>HYPERLINK("https://www.dofusbook.net/fr/equipement/5487561-xelor-f-200/objets", "link")</f>
        <v/>
      </c>
      <c r="C18571" t="n">
        <v>0</v>
      </c>
      <c r="D18571" t="inlineStr">
        <is>
          <t>Amulette de l'Œil Attentif; Alliance du Lévitrof; Alliance Brûlâme; Capuche de l'Œil Attentif; Cape de l'Œil Attentif; Dofus Ocre; Dofus Abyssal; Dofus Nébuleux; Dofus Ébène; Dofus Ivoire; Dofus des Glaces</t>
        </is>
      </c>
    </row>
    <row r="18572">
      <c r="A18572" t="inlineStr">
        <is>
          <t>Xélor F 200</t>
        </is>
      </c>
      <c r="B18572">
        <f>HYPERLINK("https://www.dofusbook.net/fr/equipement/5487554-xelor-f-200/objets", "link")</f>
        <v/>
      </c>
      <c r="C18572" t="n">
        <v>0</v>
      </c>
      <c r="D18572" t="inlineStr"/>
    </row>
    <row r="18573">
      <c r="A18573" t="inlineStr">
        <is>
          <t>Sadida M 200</t>
        </is>
      </c>
      <c r="B18573">
        <f>HYPERLINK("https://www.dofusbook.net/fr/equipement/5484234-sadida-m-200/objets", "link")</f>
        <v/>
      </c>
      <c r="C18573" t="n">
        <v>4</v>
      </c>
      <c r="D18573" t="inlineStr">
        <is>
          <t>Sceptre du Roi Joueur; Amulette de Shokkoth; Bracelet des Fonds marins; Alliance Gloursonne; Cadran de Feu; Sangle Ouare; Masque des Fonds marins; Cape Solution; Bottes du Sinistrofu; Dofus Ébène; Dofus Forgelave; Dofus Ivoire; Dofus Ocre; Chanceux majeur; Miraculé majeur; Crocodaille</t>
        </is>
      </c>
    </row>
    <row r="18574">
      <c r="A18574" t="inlineStr">
        <is>
          <t>Pyr</t>
        </is>
      </c>
      <c r="B18574">
        <f>HYPERLINK("https://www.dofusbook.net/fr/equipement/5483902-pyr/objets", "link")</f>
        <v/>
      </c>
      <c r="C18574" t="n">
        <v>0</v>
      </c>
      <c r="D18574" t="inlineStr">
        <is>
          <t>Pyraguette; Amulette Volkorne; Alliance Gloursonne; Anneau Volkorne; Bouclier du Stalak; Ceinture de l'Esprit Salvateur; Capuche de l'Œil Putride; Cape de l'Œil Putride; Pataugastrique; Dofus des Glaces; Dofus Ébène; Dofus Vulbis; Dofus Pourpre; Dofus Ivoire; Dofus Abyssal; Kougnard</t>
        </is>
      </c>
    </row>
    <row r="18575">
      <c r="A18575" t="inlineStr">
        <is>
          <t>Esq</t>
        </is>
      </c>
      <c r="B18575">
        <f>HYPERLINK("https://www.dofusbook.net/fr/equipement/5483490-esq/objets", "link")</f>
        <v/>
      </c>
      <c r="C18575" t="n">
        <v>3</v>
      </c>
      <c r="D18575" t="inlineStr">
        <is>
          <t>Dagoulinantes; Amulette de l'Œil Attentif; Alliance Gloursonne; Bracelet des Fonds marins; Bouclier du Stalak; Poulpagne; Masque des Fonds marins; Cape de l'Œil Attentif; Sandales des Fonds marins; Dofus Pourpre; Dofus Ivoire; Dofus Abyssal; Dofus des Glaces; Dofus Ébène; Dofus Vulbis; Bwak d'Eau</t>
        </is>
      </c>
    </row>
    <row r="18576">
      <c r="A18576" t="inlineStr">
        <is>
          <t>Roublard F 200</t>
        </is>
      </c>
      <c r="B18576">
        <f>HYPERLINK("https://www.dofusbook.net/fr/equipement/5456851-roublard-f-200/objets", "link")</f>
        <v/>
      </c>
      <c r="C18576" t="n">
        <v>17</v>
      </c>
      <c r="D18576" t="inlineStr">
        <is>
          <t>Dagoulinantes; Amulette Voldelor; Alliance Gloursonne; Anneau Volkorne; Bouclier du Stalak; Ceinture Voldelor; Masque de Funespadon; Cape Solution; Bottes du Sinistrofu; Dofus Ivoire; Dofus Abyssal; Dofus Ocre; Dofus Ébène; Dofus Vulbis; Miraculé majeur; Dragodinde Indigo et Ivoire</t>
        </is>
      </c>
    </row>
    <row r="18577">
      <c r="A18577" t="inlineStr">
        <is>
          <t>Iop M 200</t>
        </is>
      </c>
      <c r="B18577">
        <f>HYPERLINK("https://www.dofusbook.net/fr/equipement/4805406-iop-m-200/objets", "link")</f>
        <v/>
      </c>
      <c r="C18577" t="n">
        <v>16</v>
      </c>
      <c r="D18577" t="inlineStr">
        <is>
          <t>Manthache; Collier du Valet Veinard; Gant du Valet Veinard; Alliance Gloursonne; Bouclier d'Ilyzaelle; Menoture; Capuche de Moum-Ra; Bravoure de Rykke Errel; Palmes Trithons; Dofus Ivoire; Dofus Vulbis; Dofus Pourpre; Dofus Abyssal; Imprenable majeur; Évasif majeur; Kougnard</t>
        </is>
      </c>
    </row>
    <row r="18578">
      <c r="A18578" t="inlineStr">
        <is>
          <t>Roublard M 200</t>
        </is>
      </c>
      <c r="B18578">
        <f>HYPERLINK("https://www.dofusbook.net/fr/equipement/5471436-roublard-m-200/objets", "link")</f>
        <v/>
      </c>
      <c r="C18578" t="n">
        <v>3</v>
      </c>
      <c r="D18578" t="inlineStr">
        <is>
          <t>Dagoulinantes; Amulette de Shokkoth; Alliance Gloursonne; Anneau Volkorne; Droiture de Fallanster; Ceinture Glaciale; Masque d'Anerice; Cape d'Anerice; Bottes du Sinistrofu; Dofus Ocre; Dofus Forgelave; Dofus Vulbis; Dofus Ébène; Dofus Ivoire; Dofus Abyssal; Volkorne Amande et Ivoire</t>
        </is>
      </c>
    </row>
    <row r="18579">
      <c r="A18579" t="inlineStr">
        <is>
          <t>gerzxf</t>
        </is>
      </c>
      <c r="B18579">
        <f>HYPERLINK("https://www.dofusbook.net/fr/equipement/5464075-gerzxf/objets", "link")</f>
        <v/>
      </c>
      <c r="C18579" t="n">
        <v>0</v>
      </c>
      <c r="D18579" t="inlineStr">
        <is>
          <t>Sceptre du Roi Joueur; Amulette du Sinistrofu; Anneau Volkorne; Alliance Gloursonne; Droiture de Fallanster; Ceinture Glaciale; Masque de Kao; Cape de l'Œil Attentif; Bottes du Sinistrofu; Dofus Ébène; Dofus Ocre; Dofus Abyssal; Dofus Ivoire; Dragodinde Indigo et Ivoire</t>
        </is>
      </c>
    </row>
    <row r="18580">
      <c r="A18580" t="inlineStr">
        <is>
          <t>Sadida M 200</t>
        </is>
      </c>
      <c r="B18580">
        <f>HYPERLINK("https://www.dofusbook.net/fr/equipement/5460152-sadida-m-200/objets", "link")</f>
        <v/>
      </c>
      <c r="C18580" t="n">
        <v>0</v>
      </c>
      <c r="D18580" t="inlineStr">
        <is>
          <t>Dagues Érhy; Amulette de l'Indicible; Alliance Gloursonne; Bague Gloursonne; Bouclier du Stalak; Ceinture de l'Indicible; Masque de l'Esprit Salvateur; Voilamibe; Bottes de l'Indicible; Dofus Ivoire; Dolmanax; Dofus des Glaces; Dofus Ocre; Dofus Ébène; Dofus Pourpre; Léopardo</t>
        </is>
      </c>
    </row>
    <row r="18581">
      <c r="A18581" t="inlineStr">
        <is>
          <t>Eliotrope F 200</t>
        </is>
      </c>
      <c r="B18581">
        <f>HYPERLINK("https://www.dofusbook.net/fr/equipement/5459031-eliotrope-f-200/objets", "link")</f>
        <v/>
      </c>
      <c r="C18581" t="n">
        <v>0</v>
      </c>
      <c r="D18581" t="inlineStr">
        <is>
          <t>Baguette de Malléfisk; Amulette Volkorne; Anneauræus; Anneauræus; Droiture de Fallanster; Protopagne; Casque Dragoeuf; Voile d'encre; Bottes Innommables; Dofus Argenté; Dofus Ébène; Dofus Ocre; Dofus Abyssal; Dofus Ivoire; Miraculé majeur; Chienchien Tigré</t>
        </is>
      </c>
    </row>
    <row r="18582">
      <c r="A18582" t="inlineStr">
        <is>
          <t>Sacri ini</t>
        </is>
      </c>
      <c r="B18582">
        <f>HYPERLINK("https://www.dofusbook.net/fr/equipement/5456520-sacri-ini/objets", "link")</f>
        <v/>
      </c>
      <c r="C18582" t="n">
        <v>6</v>
      </c>
      <c r="D18582" t="inlineStr">
        <is>
          <t>Epée Loponèze; Amulette d'Ilyzaelle; Alliance Gloursonne; Gant du Valet Veinard; Bouclier d'Ilyzaelle; Sangle Oriole; Casque d'Ilyzaelle; Cape de Crânonier; Palmes Trithons; Dofus Ocre; Dofus Ébène; Dofus Vulbis; Dofus Abyssal; Dofus Pourpre; Dofus Ivoire; Volkorne Améthyste et Ebène</t>
        </is>
      </c>
    </row>
    <row r="18583">
      <c r="A18583" t="inlineStr">
        <is>
          <t>Sacrieur F 200</t>
        </is>
      </c>
      <c r="B18583">
        <f>HYPERLINK("https://www.dofusbook.net/fr/equipement/5087285-sacrieur-f-200/objets", "link")</f>
        <v/>
      </c>
      <c r="C18583" t="n">
        <v>8</v>
      </c>
      <c r="D18583" t="inlineStr">
        <is>
          <t>Manthache; Collier du Valet Veinard; Alliance Gloursonne; Gant du Valet Veinard; Bouclier d'Ilyzaelle; Menoture; Casque d'Ilyzaelle; Cape de Jahash Jurgen; Palmes Trithons; Dofus Ocre; Dofus Ébène; Dofus Vulbis; Dofus Abyssal; Dofus Pourpre; Dofus Ivoire; Petit Chacha Blanc</t>
        </is>
      </c>
    </row>
    <row r="18584">
      <c r="A18584" t="inlineStr">
        <is>
          <t>Osamodas M 200</t>
        </is>
      </c>
      <c r="B18584">
        <f>HYPERLINK("https://www.dofusbook.net/fr/equipement/5449627-osamodas-m-200/objets", "link")</f>
        <v/>
      </c>
      <c r="C18584" t="n">
        <v>6</v>
      </c>
      <c r="D18584" t="inlineStr">
        <is>
          <t>Lav'Hache; Collier de Tourthon; Alliance Brûlâme; Anneau de Brouce; Droiture de Fallanster; Ceinture Volkorne; Masque Brûlâme; Cape du Cœur Saignant; Pompes Funèbres; Dofus Abyssal; Dofus Ivoire; Dofus Vulbis; Dofus Ébène; Dofus Ocre; Dofus des Glaces; Bulbisou</t>
        </is>
      </c>
    </row>
    <row r="18585">
      <c r="A18585" t="inlineStr">
        <is>
          <t>Féca M 200</t>
        </is>
      </c>
      <c r="B18585">
        <f>HYPERLINK("https://www.dofusbook.net/fr/equipement/4910644-feca-m-200/objets", "link")</f>
        <v/>
      </c>
      <c r="C18585" t="n">
        <v>0</v>
      </c>
      <c r="D18585" t="inlineStr">
        <is>
          <t>Lav'Hache; Collier de Tourthon; Anneau Crustique; Droiture de Fallanster; Ceinture Volkorne; Casque Dragoeuf; Cape de la Cour Sombre; Bottes de la Cour Sombre; Dofus Abyssal; Dofus Ivoire; Dofus Vulbis; Dofus Ébène; Dofus Ocre; Étourdisseur majeur; Boskito</t>
        </is>
      </c>
    </row>
    <row r="18586">
      <c r="A18586" t="inlineStr">
        <is>
          <t>Steamer M 200</t>
        </is>
      </c>
      <c r="B18586">
        <f>HYPERLINK("https://www.dofusbook.net/fr/equipement/5339057-steamer-m-200/objets", "link")</f>
        <v/>
      </c>
      <c r="C18586" t="n">
        <v>0</v>
      </c>
      <c r="D18586" t="inlineStr">
        <is>
          <t>Pyraguette; Amulette Volkorne; Anneau Volkorne; Alliance Gloursonne; Bouclier du Stalak; Ceinture de l'Esprit Salvateur; Masque de l'Esprit Salvateur; Voile d'encre; Bottes de l'Esprit Salvateur; Dofus Ivoire; Dofus Abyssal; Dofus Vulbis; Dofus Ébène; Dofus Ocre; Dofus des Glaces; Volkorne Jade</t>
        </is>
      </c>
    </row>
    <row r="18587">
      <c r="A18587" t="inlineStr">
        <is>
          <t>Osamodas F 200</t>
        </is>
      </c>
      <c r="B18587">
        <f>HYPERLINK("https://www.dofusbook.net/fr/equipement/5040878-osamodas-f-200/objets", "link")</f>
        <v/>
      </c>
      <c r="C18587" t="n">
        <v>0</v>
      </c>
      <c r="D18587" t="inlineStr">
        <is>
          <t>Lav'Hache; Amulette Volkorne; Bague Gloursonne; Pikano; Carapar; Ceinture Volkorne; Casque Dragoeuf; Bravoure de Rykke Errel; Sabots Minables; Dofus Ivoire; Dofus Abyssal; Dofus Vulbis; Dofus des Glaces; Dofus Ocre; Dofus Ébène; Dragodinde Dorée et Pourpre</t>
        </is>
      </c>
    </row>
    <row r="18588">
      <c r="A18588" t="inlineStr">
        <is>
          <t>Iop M 200</t>
        </is>
      </c>
      <c r="B18588">
        <f>HYPERLINK("https://www.dofusbook.net/fr/equipement/4928888-iop-m-200/objets", "link")</f>
        <v/>
      </c>
      <c r="C18588" t="n">
        <v>3</v>
      </c>
      <c r="D18588" t="inlineStr">
        <is>
          <t>Lav'Hache; Amulette de Pol Ouatnos; Anneau Chevelu; Bague Trithon; Bouclier d'Ilyzaelle; Ceinture Volkorne; Masque de Koutoulou; Bravoure de Rykke Errel; Bottes Trithon; Dofus Ébène; Dofus Abyssal; Dofus Ivoire; Évasif majeur; Imprenable majeur; Enragé majeur; Chienchien Tigré</t>
        </is>
      </c>
    </row>
    <row r="18589">
      <c r="A18589" t="inlineStr">
        <is>
          <t>Ouginak F 200</t>
        </is>
      </c>
      <c r="B18589">
        <f>HYPERLINK("https://www.dofusbook.net/fr/equipement/4926607-ouginak-f-200/objets", "link")</f>
        <v/>
      </c>
      <c r="C18589" t="n">
        <v>7</v>
      </c>
      <c r="D18589" t="inlineStr">
        <is>
          <t>Manthache; Amulette d'Ilyzaelle; Gant du Valet Veinard; Alliance Gloursonne; Bouclier d'Ilyzaelle; Sangle Oriole; Casque d'Ilyzaelle; Cape de Crânonier; Palmes Trithons; Dofus Ocre; Dofus Abyssal; Dofus Vulbis; Dofus Ivoire; Dofus Émeraude; Dofus Ébène; Volkorne Rubis et Ebène</t>
        </is>
      </c>
    </row>
    <row r="18590">
      <c r="A18590" t="inlineStr">
        <is>
          <t>Eliotrope M 200</t>
        </is>
      </c>
      <c r="B18590">
        <f>HYPERLINK("https://www.dofusbook.net/fr/equipement/4910912-eliotrope-m-200/objets", "link")</f>
        <v/>
      </c>
      <c r="C18590" t="n">
        <v>0</v>
      </c>
      <c r="D18590" t="inlineStr">
        <is>
          <t>Arc du Chalœil; Collier de Tourthon; Anneau de Brouce; Anneau Volkorne; Bouclier du Stalak; Ceinture Volkorne; Masque de Koutoulou; Bravoure de Rykke Errel; Bottes de la Cour Sombre; Bwak d'Eau</t>
        </is>
      </c>
    </row>
    <row r="18591">
      <c r="A18591" t="inlineStr">
        <is>
          <t>Steamer F 200</t>
        </is>
      </c>
      <c r="B18591">
        <f>HYPERLINK("https://www.dofusbook.net/fr/equipement/4709445-steamer-f-200/objets", "link")</f>
        <v/>
      </c>
      <c r="C18591" t="n">
        <v>1</v>
      </c>
      <c r="D18591" t="inlineStr">
        <is>
          <t>Pyraguette; Amulette Volkorne; Alliance Gloursonne; Anneau Volkorne; Bouclier du Stalak; Ceinture de l'Esprit Salvateur; Masque de l'Esprit Salvateur; Cape Paztek; Bottes de l'Esprit Salvateur; Dofus Pourpre; Dofus Abyssal; Dofus Ocre; Dofus Ivoire; Dofus Vulbis; Dofus des Glaces; Volkorne Rubis et Améthyste</t>
        </is>
      </c>
    </row>
    <row r="18592">
      <c r="A18592" t="inlineStr">
        <is>
          <t>Féca F 200</t>
        </is>
      </c>
      <c r="B18592">
        <f>HYPERLINK("https://www.dofusbook.net/fr/equipement/4866012-feca-f-200/objets", "link")</f>
        <v/>
      </c>
      <c r="C18592" t="n">
        <v>0</v>
      </c>
      <c r="D18592" t="inlineStr">
        <is>
          <t>Lav'Hache; Amulette du Strigide; Anneau Crustique; Anneau Chevelu; Bouclier d'Ilyzaelle; Ceintouse; Masque de Koutoulou; Bravoure de Rykke Errel; Tentassons; Dofus Ocre; Dofus Abyssal; Dofus Ébène; Dofus Vulbis; Dofus Ivoire; Étourdisseur majeur; Dragoune Rose</t>
        </is>
      </c>
    </row>
    <row r="18593">
      <c r="A18593" t="inlineStr">
        <is>
          <t>Iop M 200</t>
        </is>
      </c>
      <c r="B18593">
        <f>HYPERLINK("https://www.dofusbook.net/fr/equipement/4857706-iop-m-200/objets", "link")</f>
        <v/>
      </c>
      <c r="C18593" t="n">
        <v>0</v>
      </c>
      <c r="D18593" t="inlineStr">
        <is>
          <t>Rapière aux Glyphes; Amulette d'Ilyzaelle; Alliance Gloursonne; Bracelet des Fonds marins; Bouclier d'Ilyzaelle; Ceinture de Dame Jhessica; Masque des Fonds marins; Cape Paztek; Sandales des Fonds marins; Dofus Vulbis; Dofus Ébène; Dofus Ocre; Dofus Abyssal; Dofus Émeraude; Dofus Ivoire; Volkorne Saphir et Indigo</t>
        </is>
      </c>
    </row>
    <row r="18594">
      <c r="A18594" t="inlineStr">
        <is>
          <t>Zobal M 200</t>
        </is>
      </c>
      <c r="B18594">
        <f>HYPERLINK("https://www.dofusbook.net/fr/equipement/4816118-zobal-m-200/objets", "link")</f>
        <v/>
      </c>
      <c r="C18594" t="n">
        <v>1</v>
      </c>
      <c r="D18594" t="inlineStr">
        <is>
          <t>Héqache; Amulette du Strigide; Alliance Gloursonne; Bague Gloursonne; Bouclier du Captain Amakna; Ceinture Volkorne; Casque Volkorne; Cape des Justiciers; Bottes du Strigide; Dofus Turquoise; Dofus Ivoire; Dofus Vulbis; Dofus Ocre; Dofus Pourpre; Dofus Abyssal; Kokulte</t>
        </is>
      </c>
    </row>
    <row r="18595">
      <c r="A18595" t="inlineStr">
        <is>
          <t>Roublard F 200</t>
        </is>
      </c>
      <c r="B18595">
        <f>HYPERLINK("https://www.dofusbook.net/fr/equipement/4815710-roublard-f-200/objets", "link")</f>
        <v/>
      </c>
      <c r="C18595" t="n">
        <v>1</v>
      </c>
      <c r="D18595" t="inlineStr">
        <is>
          <t>Baguette de Malléfisk; Amulette Volkorne; Anneau Tique; Anneauræus; Bouclier du Stalak; Ceinture de Gein; Heaume Oplate; Voile d'encre; Bottes Innommables; Dofus Pourpre; Dofus Abyssal; Dofus Vulbis; Dofus Ivoire; Dofus Ocre; Érudit majeur; Dragodinde Ivoire et Orchidée</t>
        </is>
      </c>
    </row>
    <row r="18596">
      <c r="A18596" t="inlineStr">
        <is>
          <t>Osamodas F 200</t>
        </is>
      </c>
      <c r="B18596">
        <f>HYPERLINK("https://www.dofusbook.net/fr/equipement/4799756-osamodas-f-200/objets", "link")</f>
        <v/>
      </c>
      <c r="C18596" t="n">
        <v>0</v>
      </c>
      <c r="D18596" t="inlineStr">
        <is>
          <t>Manthache; Collier du Valet Veinard; Gant du Valet Veinard; Alliance Gloursonne; Bouclier du Stalak; Ceintouse; Casque Dragoeuf; Cape du Valet Veinard; Palmes Trithons; Shushu de Rushu</t>
        </is>
      </c>
    </row>
    <row r="18597">
      <c r="A18597" t="inlineStr">
        <is>
          <t>Steamer F 200</t>
        </is>
      </c>
      <c r="B18597">
        <f>HYPERLINK("https://www.dofusbook.net/fr/equipement/4710942-steamer-f-200/objets", "link")</f>
        <v/>
      </c>
      <c r="C18597" t="n">
        <v>0</v>
      </c>
      <c r="D18597" t="inlineStr">
        <is>
          <t>Pelle Fik; Amulette Volkorne; Anneau Volkorne; Bague Trithon; Bouclier du Captain Amakna; Ceintacé; Masque Trithon; Cape de la Dame du Hasard; Bottes de la Dame du Hasard; Dofus Turquoise; Dofus Ivoire; Dofus Ocre; Dofus Abyssal; Dofus Vulbis; Dofus des Glaces; Kokulte</t>
        </is>
      </c>
    </row>
    <row r="18598">
      <c r="A18598" t="inlineStr">
        <is>
          <t>Xélor M 200</t>
        </is>
      </c>
      <c r="B18598">
        <f>HYPERLINK("https://www.dofusbook.net/fr/equipement/4709471-xelor-m-200/objets", "link")</f>
        <v/>
      </c>
      <c r="C18598" t="n">
        <v>0</v>
      </c>
      <c r="D18598" t="inlineStr">
        <is>
          <t>Harpelle; Amulette Volkorne; Anneauræus; Anneauræus; Cadran d'Eau; Ceinture Volkorne; Heaume Oplate; Bravoure de Rykke Errel; Bottes Innommables; Dofus Turquoise; Dofus Ocre; Dofus des Glaces; Dofus Vulbis; Dofus Ivoire; Dofus Pourpre; Pioute rouge</t>
        </is>
      </c>
    </row>
    <row r="18599">
      <c r="A18599" t="inlineStr">
        <is>
          <t>Enutrof F 200</t>
        </is>
      </c>
      <c r="B18599">
        <f>HYPERLINK("https://www.dofusbook.net/fr/equipement/4183780-enutrof-f-200/objets", "link")</f>
        <v/>
      </c>
      <c r="C18599" t="n">
        <v>1</v>
      </c>
      <c r="D18599" t="inlineStr">
        <is>
          <t>Pyraguette; Amulette Volkorne; Anneau Volkorne; Alliance Gloursonne; Bouclier du Stalak; Ceinture de l'Esprit Salvateur; Masque de l'Esprit Salvateur; Cape de la Dame du Hasard; Bottes de l'Esprit Salvateur; Dofus Ocre; Dofus Ivoire; Dofus Vulbis; Dofus des Glaces; Dofus Pourpre; Dofus Abyssal; Volkorne Jade et Saphir</t>
        </is>
      </c>
    </row>
    <row r="18600">
      <c r="A18600" t="inlineStr">
        <is>
          <t>Ecaflip M 200</t>
        </is>
      </c>
      <c r="B18600">
        <f>HYPERLINK("https://www.dofusbook.net/fr/equipement/4169603-ecaflip-m-200/objets", "link")</f>
        <v/>
      </c>
      <c r="C18600" t="n">
        <v>0</v>
      </c>
      <c r="D18600" t="inlineStr"/>
    </row>
    <row r="18601">
      <c r="A18601" t="inlineStr">
        <is>
          <t>Ecaflip M 200</t>
        </is>
      </c>
      <c r="B18601">
        <f>HYPERLINK("https://www.dofusbook.net/fr/equipement/3949471-ecaflip-m-200/objets", "link")</f>
        <v/>
      </c>
      <c r="C18601" t="n">
        <v>0</v>
      </c>
      <c r="D18601" t="inlineStr">
        <is>
          <t>Lav'Hache; Torquistik; Bague Trithon; Anneau Chevelu; Bouclier Taverne; Ceinture Gence; Casque Dragoeuf; Cape au Logis; Bottistik; Dofus Abyssal; Dofus Ivoire; Dofus Ocre; Bousculeur majeur; Culbuteur majeur; Enragé majeur; Black Tiwabbit</t>
        </is>
      </c>
    </row>
    <row r="18602">
      <c r="A18602" t="inlineStr">
        <is>
          <t>Roublard M 200</t>
        </is>
      </c>
      <c r="B18602">
        <f>HYPERLINK("https://www.dofusbook.net/fr/equipement/3616613-roublard-m-200/objets", "link")</f>
        <v/>
      </c>
      <c r="C18602" t="n">
        <v>0</v>
      </c>
      <c r="D18602" t="inlineStr"/>
    </row>
    <row r="18603">
      <c r="A18603" t="inlineStr">
        <is>
          <t>Roublard F 200</t>
        </is>
      </c>
      <c r="B18603">
        <f>HYPERLINK("https://www.dofusbook.net/fr/equipement/3595011-roublard-f-200/objets", "link")</f>
        <v/>
      </c>
      <c r="C18603" t="n">
        <v>3</v>
      </c>
      <c r="D18603" t="inlineStr">
        <is>
          <t>Manthache; Collier du Valet Veinard; Alliance Gloursonne; Gant du Valet Veinard; Bouclier du Stalak; Menoture; Couronne d'Allister; Cape Indescriptible; Palmes Trithons; Dofus Vulbis; Dofus Ivoire; Dofus Ocre; Dofus des Glaces; Dévastateur Air majeur; Cascadeur majeur; Dragodinde Ebène et Ivoire</t>
        </is>
      </c>
    </row>
    <row r="18604">
      <c r="A18604" t="inlineStr">
        <is>
          <t>Feu 2018</t>
        </is>
      </c>
      <c r="B18604">
        <f>HYPERLINK("https://www.dofusbook.net/fr/equipement/2621280-feu-2018/objets", "link")</f>
        <v/>
      </c>
      <c r="C18604" t="n">
        <v>1</v>
      </c>
      <c r="D18604" t="inlineStr">
        <is>
          <t>Pendentif mignon de Koutoulou; Anneau Rifique; Anneauræus; Ceinture Gence; Heaume Oplate</t>
        </is>
      </c>
    </row>
    <row r="18605">
      <c r="A18605" t="inlineStr">
        <is>
          <t>Vladimir 199</t>
        </is>
      </c>
      <c r="B18605">
        <f>HYPERLINK("https://www.dofusbook.net/fr/equipement/2557001-vladimir-199/objets", "link")</f>
        <v/>
      </c>
      <c r="C18605" t="n">
        <v>0</v>
      </c>
      <c r="D18605" t="inlineStr">
        <is>
          <t>Arc Hétype; Amulette de Nileza; Bague Gloursonne; Anneau Tamie; Bouclier du Bûcheron; Ceinture d'Henual; Casqnoar; Cape de Nileza; Pantoufles Émar; Dofus Cawotte; Dofus Pourpre; Dévastateur Feu majeur; Remueur; Érudit majeur; Nomade; Phorror</t>
        </is>
      </c>
    </row>
    <row r="18606">
      <c r="A18606" t="inlineStr">
        <is>
          <t>Iliz</t>
        </is>
      </c>
      <c r="B18606">
        <f>HYPERLINK("https://www.dofusbook.net/fr/equipement/1845382-iliz/objets", "link")</f>
        <v/>
      </c>
      <c r="C18606" t="n">
        <v>0</v>
      </c>
      <c r="D18606" t="inlineStr"/>
    </row>
    <row r="18607">
      <c r="A18607" t="inlineStr">
        <is>
          <t>Katrepat</t>
        </is>
      </c>
      <c r="B18607">
        <f>HYPERLINK("https://www.dofusbook.net/fr/equipement/1293334-katrepat/objets", "link")</f>
        <v/>
      </c>
      <c r="C18607" t="n">
        <v>2</v>
      </c>
      <c r="D18607" t="inlineStr"/>
    </row>
    <row r="18608">
      <c r="A18608" t="inlineStr">
        <is>
          <t>Sinistro</t>
        </is>
      </c>
      <c r="B18608">
        <f>HYPERLINK("https://www.dofusbook.net/fr/equipement/783137-sinistro/objets", "link")</f>
        <v/>
      </c>
      <c r="C18608" t="n">
        <v>0</v>
      </c>
      <c r="D18608" t="inlineStr">
        <is>
          <t>Rapière aux Glyphes; Amulette de Shokkoth; Poulpagne; Kidibonnet; Cape du Sinistrofu; Bottes du Sinistrofu; Kramkram</t>
        </is>
      </c>
    </row>
    <row r="18609">
      <c r="A18609" t="inlineStr">
        <is>
          <t>Dofusteuse FDM</t>
        </is>
      </c>
      <c r="B18609">
        <f>HYPERLINK("https://www.dofusbook.net/fr/equipement/765514-dofusteuse-fdm/objets", "link")</f>
        <v/>
      </c>
      <c r="C18609" t="n">
        <v>0</v>
      </c>
      <c r="D18609" t="inlineStr">
        <is>
          <t>Rapière aux Glyphes; Amulette du Strigide; Alliance Gloursonne; Bracelet des Fonds marins; Bouclier du Stalak; Pagne du Rykaon; Kidibonnet; Dofusteuse; Bottes du Strigide; Dofus Pourpre; Dofus Nébuleux; Nomade; Vigoureux majeur; Remueur; Chanceux majeur; Dehluge</t>
        </is>
      </c>
    </row>
    <row r="18610">
      <c r="A18610" t="inlineStr">
        <is>
          <t>Dofusteuse FDM</t>
        </is>
      </c>
      <c r="B18610">
        <f>HYPERLINK("https://www.dofusbook.net/fr/equipement/765283-dofusteuse-fdm/objets", "link")</f>
        <v/>
      </c>
      <c r="C18610" t="n">
        <v>0</v>
      </c>
      <c r="D18610" t="inlineStr">
        <is>
          <t>Rapière aux Glyphes; Amulette de Shokkoth; Alliance Gloursonne; Bracelet des Fonds marins; Bouclier du Stalak; Pagne du Rykaon; Kidibonnet; Dofusteuse; Sandales des Fonds marins; Dofus Pourpre; Dofus Nébuleux; Remueur; Chanceux majeur; Nomade; Vigoureux majeur; Dehluge</t>
        </is>
      </c>
    </row>
    <row r="18611">
      <c r="A18611" t="inlineStr">
        <is>
          <t>Stuff 3</t>
        </is>
      </c>
      <c r="B18611">
        <f>HYPERLINK("https://www.dofusbook.net/fr/equipement/311641-stuff-3/objets", "link")</f>
        <v/>
      </c>
      <c r="C18611" t="n">
        <v>2</v>
      </c>
      <c r="D18611" t="inlineStr">
        <is>
          <t>Arc Nécrotique; Talisman Igans; Bague Gloursonne; Alliance Gloursonne; Ceintrigue; Le Dorado; Cape de la Dame du Hasard; Bottes Owesli; Dofus Émeraude; Dolmanax; Dofus Pourpre; Dofus des Glaces; Dofus Ocre; Robuste majeur; Kramkram</t>
        </is>
      </c>
    </row>
    <row r="18612">
      <c r="A18612" t="inlineStr">
        <is>
          <t>test yasker</t>
        </is>
      </c>
      <c r="B18612">
        <f>HYPERLINK("https://www.dofusbook.net/fr/equipement/5888895-test-yasker/objets", "link")</f>
        <v/>
      </c>
      <c r="C18612" t="n">
        <v>6</v>
      </c>
      <c r="D18612" t="inlineStr">
        <is>
          <t>Dagues de Srambad; Collier de Tourthon; Bague Gloursonne; Anneau Volkorne; Cadran d'Eau; Ceinture Volkorne; Casque en Grithril; Cape Luminescente; Bottes Honyme; Dofus Émeraude; Dofus Pourpre; Vigoureux majeur; Nomade; Remueur; Robuste majeur; Dragodinde Indigo et Ivoire</t>
        </is>
      </c>
    </row>
    <row r="18613">
      <c r="A18613" t="inlineStr">
        <is>
          <t>eau feu crit</t>
        </is>
      </c>
      <c r="B18613">
        <f>HYPERLINK("https://www.dofusbook.net/fr/equipement/5872342-eau-feu-crit/objets", "link")</f>
        <v/>
      </c>
      <c r="C18613" t="n">
        <v>12</v>
      </c>
      <c r="D18613" t="inlineStr">
        <is>
          <t>Épée Brûlâme; Amulette Volkorne; Anneau Volkorne; Alliance Gloursonne; Cadran d'Eau; Ceintacé; Casque Dragoeuf; Cape de la Dame du Hasard; Pataugastrique; Dofus Turquoise; Dofus Pourpre; Dofus Ivoire; Dofus Émeraude; Dofus Abyssal; Nomade; Kokulte</t>
        </is>
      </c>
    </row>
    <row r="18614">
      <c r="A18614" t="inlineStr">
        <is>
          <t>Eau feu cheap</t>
        </is>
      </c>
      <c r="B18614">
        <f>HYPERLINK("https://www.dofusbook.net/fr/equipement/5831746-eau-feu-cheap/objets", "link")</f>
        <v/>
      </c>
      <c r="C18614" t="n">
        <v>5</v>
      </c>
      <c r="D18614" t="inlineStr">
        <is>
          <t>Épée Brûlâme; Amulette Volkorne; Anneau Volkorne; Alliance Gloursonne; Cadran d'Eau; Sangle Ouare; Kidibonnet; Cape d'Atcham; Bottes de la Dame du Hasard; Dofus Ivoire; Dofus Émeraude; Dofus Abyssal; Dofus Turquoise; Remueur; Nomade; Kokulte</t>
        </is>
      </c>
    </row>
    <row r="18615">
      <c r="A18615" t="inlineStr">
        <is>
          <t>Eau feu no crit</t>
        </is>
      </c>
      <c r="B18615">
        <f>HYPERLINK("https://www.dofusbook.net/fr/equipement/5840180-eau-feu-no-crit/objets", "link")</f>
        <v/>
      </c>
      <c r="C18615" t="n">
        <v>6</v>
      </c>
      <c r="D18615" t="inlineStr">
        <is>
          <t>Couteaux Sacrificiels; Amulette Volkorne; Alliance Gloursonne; Anneau Volkorne; Cadran d'Eau; Sangle Ouare; Kidibonnet; Cape Paztek; Bottes de la Dame du Hasard; Dofus Émeraude; Dofus Ivoire; Dofus Pourpre; Dofus Abyssal; Nomade; Remueur; Walk</t>
        </is>
      </c>
    </row>
    <row r="18616">
      <c r="A18616" t="inlineStr">
        <is>
          <t>Sacrif LEVI</t>
        </is>
      </c>
      <c r="B18616">
        <f>HYPERLINK("https://www.dofusbook.net/fr/equipement/5690830-sacrif-levi/objets", "link")</f>
        <v/>
      </c>
      <c r="C18616" t="n">
        <v>13</v>
      </c>
      <c r="D18616" t="inlineStr">
        <is>
          <t>Couteaux Sacrificiels; Amulette Volkorne; Alliance du Lévitrof; Anneau Volkorne; Cadran d'Eau; Ceinture Volkorne; Coiffe du Lévitrof; Voile d'encre; Bottes du Lévitrof; Dofus Ocre; Dofus Abyssal; Dofus Émeraude; Dofus des Glaces; Dofus Pourpre; Dofus Ivoire; Fëanor</t>
        </is>
      </c>
    </row>
    <row r="18617">
      <c r="A18617" t="inlineStr">
        <is>
          <t>Feu</t>
        </is>
      </c>
      <c r="B18617">
        <f>HYPERLINK("https://www.dofusbook.net/fr/equipement/5819287-feu/objets", "link")</f>
        <v/>
      </c>
      <c r="C18617" t="n">
        <v>0</v>
      </c>
      <c r="D18617" t="inlineStr">
        <is>
          <t>Arc corrompu; Amulette Volkorne; Anneauræus; Anneau Volkorne; Bouclier du Stalak; Croture; Heaume Oplate; Voile d'encre; Bottes Innommables; Bisouglours</t>
        </is>
      </c>
    </row>
    <row r="18618">
      <c r="A18618" t="inlineStr">
        <is>
          <t>rézolol</t>
        </is>
      </c>
      <c r="B18618">
        <f>HYPERLINK("https://www.dofusbook.net/fr/equipement/5812701-rezolol/objets", "link")</f>
        <v/>
      </c>
      <c r="C18618" t="n">
        <v>0</v>
      </c>
      <c r="D18618" t="inlineStr">
        <is>
          <t>Dagues Eudin; Amulette Volkorne; Anneau Volkorne; Chevalière du Roi Joueur; Bouclier du Stalak; Ceinture Volkorne; Couronne du Roi Joueur; Cape de Jahash Jurgen; Bottes du Roi Joueur; Dofus Pourpre; Dofus des Glaces; Dofus Ébène; Dofus Vulbis; Dofus Nébuleux; Dofus Ocre; Fëanor</t>
        </is>
      </c>
    </row>
    <row r="18619">
      <c r="A18619" t="inlineStr">
        <is>
          <t>test cedric</t>
        </is>
      </c>
      <c r="B18619">
        <f>HYPERLINK("https://www.dofusbook.net/fr/equipement/5719154-test-cedric/objets", "link")</f>
        <v/>
      </c>
      <c r="C18619" t="n">
        <v>3</v>
      </c>
      <c r="D18619" t="inlineStr">
        <is>
          <t>Dagoulinantes; Amulette de Shokkoth; Anneau Volkorne; Alliance Gloursonne; Bouclier d'Ilyzaelle; Poulpagne; Capuche de l'Œil Attentif; Voilamibe; Bottes du Sinistrofu; Dofus Émeraude; Dofus Abyssal; Dofus Pourpre; Dofus Ivoire; Nomade; Remueur; Kanigloups</t>
        </is>
      </c>
    </row>
    <row r="18620">
      <c r="A18620" t="inlineStr">
        <is>
          <t>Trollzor-Steoporose</t>
        </is>
      </c>
      <c r="B18620">
        <f>HYPERLINK("https://www.dofusbook.net/fr/equipement/5492816-trollzor-steoporose/objets", "link")</f>
        <v/>
      </c>
      <c r="C18620" t="n">
        <v>20</v>
      </c>
      <c r="D18620" t="inlineStr">
        <is>
          <t>Arc Honte; Amulette Volkorne; Anneau Volkorne; Alliance du Lévitrof; Quatre-feuilles; Ceinture Volkorne; Coiffe du Lévitrof; Cape de Jahash Jurgen; Bottes du Lévitrof; Dofus Pourpre; Dofus Ivoire; Dofus des Glaces; Dofus Ébène; Dofus Ocre; Dofus Abyssal; Fëanor</t>
        </is>
      </c>
    </row>
    <row r="18621">
      <c r="A18621" t="inlineStr">
        <is>
          <t>CRITZOR</t>
        </is>
      </c>
      <c r="B18621">
        <f>HYPERLINK("https://www.dofusbook.net/fr/equipement/4688789-critzor/objets", "link")</f>
        <v/>
      </c>
      <c r="C18621" t="n">
        <v>17</v>
      </c>
      <c r="D18621" t="inlineStr">
        <is>
          <t>Arc Volkorne; Amulette Volkorne; Anneau Volkorne; Anneau de Padgref; Quatre-feuilles; Ceinture Volkorne; Coiffe de Padgref; Chevelure de Tal Kasha; Getas de Padgref; Dofus Pourpre; Dofus Abyssal; Dofus Turquoise; Dofus Ivoire; Dofus Ocre; Kokulte</t>
        </is>
      </c>
    </row>
    <row r="18622">
      <c r="A18622" t="inlineStr">
        <is>
          <t>Volk Chaloeil</t>
        </is>
      </c>
      <c r="B18622">
        <f>HYPERLINK("https://www.dofusbook.net/fr/equipement/5492882-volk-chaloeil/objets", "link")</f>
        <v/>
      </c>
      <c r="C18622" t="n">
        <v>14</v>
      </c>
      <c r="D18622" t="inlineStr">
        <is>
          <t>Arc Honte; Amulette Volkorne; Alliance Gloursonne; Anneau Volkorne; Quatre-feuilles; Ceinture Volkorne; Casque du Chalœil; Cape du Chalœil; Bottes du Chalœil; Dofus Ivoire; Dofus Abyssal; Dofus Pourpre; Dofus Ébène; Dofus Ocre; Dofus des Glaces; Fëanor</t>
        </is>
      </c>
    </row>
    <row r="18623">
      <c r="A18623" t="inlineStr">
        <is>
          <t>Objectif Ced</t>
        </is>
      </c>
      <c r="B18623">
        <f>HYPERLINK("https://www.dofusbook.net/fr/equipement/5719685-objectif-ced/objets", "link")</f>
        <v/>
      </c>
      <c r="C18623" t="n">
        <v>14</v>
      </c>
      <c r="D18623" t="inlineStr">
        <is>
          <t>Manthache; Collier du Valet Veinard; Alliance Gloursonne; Gant du Valet Veinard; Bouclier du Stalak; Menoture; Couronne d'Allister; Cape Indescriptible; Baleinabottes; Dofus Pourpre; Dévastateur Air majeur; Remueur; Cascadeur majeur; Nomade; Blérodoudou</t>
        </is>
      </c>
    </row>
    <row r="18624">
      <c r="A18624" t="inlineStr">
        <is>
          <t>FULLAIR</t>
        </is>
      </c>
      <c r="B18624">
        <f>HYPERLINK("https://www.dofusbook.net/fr/equipement/5622692-fullair/objets", "link")</f>
        <v/>
      </c>
      <c r="C18624" t="n">
        <v>2</v>
      </c>
      <c r="D18624" t="inlineStr">
        <is>
          <t>Manthache; Collier du Valet Veinard; Gant du Valet Veinard; Alliance Gloursonne; Bouclier du Stalak; Menoture; Couronne d'Allister; Cape Indescriptible; Palmes Trithons; Dofus Vulbis; Dofus Ébène; Dofus Pourpre; Dofus Ivoire; Dofus Ocre; Dofus Abyssal; Blérodoudou</t>
        </is>
      </c>
    </row>
    <row r="18625">
      <c r="A18625" t="inlineStr">
        <is>
          <t>Brulame</t>
        </is>
      </c>
      <c r="B18625">
        <f>HYPERLINK("https://www.dofusbook.net/fr/equipement/5648318-brulame/objets", "link")</f>
        <v/>
      </c>
      <c r="C18625" t="n">
        <v>5</v>
      </c>
      <c r="D18625" t="inlineStr">
        <is>
          <t>Épée Brûlâme; Amulette Volkorne; Anneau de Padgref; Anneau Volkorne; Cadran d'Eau; Ceinture Volkorne; Coiffe de Padgref; Chevelure de Tal Kasha; Getas de Padgref; Dofus Turquoise; Dofus Abyssal; Dofus Pourpre; Dofus Ocre; Dofus Émeraude; Dofus Ivoire; Kokulte</t>
        </is>
      </c>
    </row>
    <row r="18626">
      <c r="A18626" t="inlineStr">
        <is>
          <t>Sacrif CHALOEIL</t>
        </is>
      </c>
      <c r="B18626">
        <f>HYPERLINK("https://www.dofusbook.net/fr/equipement/5685216-sacrif-chaloeil/objets", "link")</f>
        <v/>
      </c>
      <c r="C18626" t="n">
        <v>12</v>
      </c>
      <c r="D18626" t="inlineStr">
        <is>
          <t>Couteaux Sacrificiels; Amulette Volkorne; Alliance Gloursonne; Anneau Volkorne; Cadran d'Eau; Ceinture Volkorne; Casque du Chalœil; Cape du Chalœil; Bottes du Chalœil; Dofus des Glaces; Dofus Ocre; Dofus Émeraude; Dofus Ivoire; Dofus Pourpre; Dofus Abyssal; Fëanor</t>
        </is>
      </c>
    </row>
    <row r="18627">
      <c r="A18627" t="inlineStr">
        <is>
          <t>BISTOUILLZOR</t>
        </is>
      </c>
      <c r="B18627">
        <f>HYPERLINK("https://www.dofusbook.net/fr/equipement/4649000-bistouillzor/objets", "link")</f>
        <v/>
      </c>
      <c r="C18627" t="n">
        <v>11</v>
      </c>
      <c r="D18627" t="inlineStr">
        <is>
          <t>Héqache; Collier de Tourthon; Anneau Volkorne; Anneau Chevelu; Bouclier d'Ilyzaelle; Ceinture Volkorne; Masque de Koutoulou; Cape au Logis; Tentassons; Dofus Pourpre; Dofus Ivoire; Dofus Émeraude; Dofus Ocre; Dofus Abyssal; Enragé majeur; Bulbisou</t>
        </is>
      </c>
    </row>
    <row r="18628">
      <c r="A18628" t="inlineStr">
        <is>
          <t>TANKZOR</t>
        </is>
      </c>
      <c r="B18628">
        <f>HYPERLINK("https://www.dofusbook.net/fr/equipement/4620773-tankzor/objets", "link")</f>
        <v/>
      </c>
      <c r="C18628" t="n">
        <v>16</v>
      </c>
      <c r="D18628" t="inlineStr">
        <is>
          <t>Rouleau à Pâtisserie d'Aermyne; Collier Rophante; Alliance Gloursonne; Anneau de Pol Ouatnos; Sept ans de malheur; Ceinture de Kongoku; Masque d'Anerice; Cape d'Anerice; Baleinabottes; Dofus Abyssal; Dofus Émeraude; Dofus Ivoire; Carapace Neutre majeur; Obstructeur majeur; Kougnard</t>
        </is>
      </c>
    </row>
    <row r="18629">
      <c r="A18629" t="inlineStr">
        <is>
          <t>test regen</t>
        </is>
      </c>
      <c r="B18629">
        <f>HYPERLINK("https://www.dofusbook.net/fr/equipement/5146005-test-regen/objets", "link")</f>
        <v/>
      </c>
      <c r="C18629" t="n">
        <v>0</v>
      </c>
      <c r="D18629" t="inlineStr">
        <is>
          <t>Couteaux Sacrificiels; Amulette Volkorne; Anneau Volkorne; Alliance Gloursonne; Cadran d'Eau; Ceinture Volkorne; Masque Paztek; Cape Paztek; Pataugastrique; Dofus Ocre; Dofus Émeraude; Dofus Ivoire; Dofus Pourpre; Dofus Abyssal; Kramkram</t>
        </is>
      </c>
    </row>
    <row r="18630">
      <c r="A18630" t="inlineStr">
        <is>
          <t>Pandawa M 200</t>
        </is>
      </c>
      <c r="B18630">
        <f>HYPERLINK("https://www.dofusbook.net/fr/equipement/4757205-pandawa-m-200/objets", "link")</f>
        <v/>
      </c>
      <c r="C18630" t="n">
        <v>1</v>
      </c>
      <c r="D18630" t="inlineStr">
        <is>
          <t>Héqache; Collier de Tourthon; Anneau Chevelu; Anneau Volkorne; Bouclier d'Ilyzaelle; Ceinture Volkorne; Masque de Koutoulou; Cape au Logis; Tentassons; Dofus Ocre; Dofus Abyssal; Dofus Émeraude; Dofus Ivoire; Dofus Pourpre; Dofus des Glaces; Bulbisou</t>
        </is>
      </c>
    </row>
    <row r="18631">
      <c r="A18631" t="inlineStr">
        <is>
          <t>CLASSZOR</t>
        </is>
      </c>
      <c r="B18631">
        <f>HYPERLINK("https://www.dofusbook.net/fr/equipement/4646832-classzor/objets", "link")</f>
        <v/>
      </c>
      <c r="C18631" t="n">
        <v>4</v>
      </c>
      <c r="D18631" t="inlineStr">
        <is>
          <t>Rouleau à Pâtisserie d'Aermyne; Amulette du Glourséleste; Bracelet du Piloztère; Anneau Raille; Bouclier du Bawbawe; Sangle Huée; Chapeau Lithique; Cape Wéra; Getas Bernacle; Dofus Abyssal; Dofus Ocre; Dofus Ivoire; Dofus Émeraude; Voyageur; Examinateur; Kougnard</t>
        </is>
      </c>
    </row>
    <row r="18632">
      <c r="A18632" t="inlineStr">
        <is>
          <t>TERRDIST</t>
        </is>
      </c>
      <c r="B18632">
        <f>HYPERLINK("https://www.dofusbook.net/fr/equipement/4689333-terrdist/objets", "link")</f>
        <v/>
      </c>
      <c r="C18632" t="n">
        <v>4</v>
      </c>
      <c r="D18632" t="inlineStr">
        <is>
          <t>Arc du Chalœil; Collier de Tourthon; Anneau Chevelu; Anneau Volkorne; Quatre-feuilles; Ceinture Volkorne; Masque de Koutoulou; Cape au Logis; Tentassons; Dofus Ocre; Dofus Turquoise; Dofus des Glaces; Dofus Abyssal; Dofus Pourpre; Dofus Ivoire; Bulbisou</t>
        </is>
      </c>
    </row>
    <row r="18633">
      <c r="A18633" t="inlineStr">
        <is>
          <t>duo</t>
        </is>
      </c>
      <c r="B18633">
        <f>HYPERLINK("https://www.dofusbook.net/fr/equipement/1910810-duo/objets", "link")</f>
        <v/>
      </c>
      <c r="C18633" t="n">
        <v>2</v>
      </c>
      <c r="D18633" t="inlineStr">
        <is>
          <t>Epée Gloursonne; Amulette du Strigide; Bague Gloursonne; Alliance Gloursonne; Quatre-feuilles; Ceinture du Strigide; Coiffe de la Fuji Givrefoux; Cape de la Fuji Givrefoux; Bottes du Strigide; Dofus Pourpre; Dofus Nébuleux; Dofus Turquoise; Dofus Ocre; Dofus des Glaces; Puissant majeur</t>
        </is>
      </c>
    </row>
    <row r="18634">
      <c r="A18634" t="inlineStr">
        <is>
          <t>stri-glour-chaloeil</t>
        </is>
      </c>
      <c r="B18634">
        <f>HYPERLINK("https://www.dofusbook.net/fr/equipement/1668023-stri-glour-chaloeil/objets", "link")</f>
        <v/>
      </c>
      <c r="C18634" t="n">
        <v>5</v>
      </c>
      <c r="D18634" t="inlineStr">
        <is>
          <t>Baguette de Torkélonia; Amulette du Strigide; Alliance Gloursonne; Bague Gloursonne; Quatre-feuilles; Ceinture du Strigide; Corne de Torkélonia; Carapace de Torkélonia; Bottes du Strigide; Dofus Vulbis; Dofus Pourpre; Dofus Nébuleux; Dofus Ocre; Dofus des Glaces; Dofus Turquoise; Sakochère</t>
        </is>
      </c>
    </row>
    <row r="18635">
      <c r="A18635" t="inlineStr">
        <is>
          <t>Eau</t>
        </is>
      </c>
      <c r="B18635">
        <f>HYPERLINK("https://www.dofusbook.net/fr/equipement/3386234-eau/objets", "link")</f>
        <v/>
      </c>
      <c r="C18635" t="n">
        <v>3</v>
      </c>
      <c r="D18635" t="inlineStr">
        <is>
          <t>Bâton K'Tueuh; Amulette de Danathor; Alliance Gloursonne; Anneau Glacial; Bouclier Taverne; Poulpagne; Coiffe de Danathor; Cape Matelassée; Bottes du Sinistrofu; Dofus Nébuleux; Remueur; Taquin majeur; Nomade; Dévastateur Eau majeur; Chanceux majeur; Dragodinde Indigo et Turquoise</t>
        </is>
      </c>
    </row>
    <row r="18636">
      <c r="A18636" t="inlineStr">
        <is>
          <t>Sadida M 200</t>
        </is>
      </c>
      <c r="B18636">
        <f>HYPERLINK("https://www.dofusbook.net/fr/equipement/3321392-sadida-m-200/objets", "link")</f>
        <v/>
      </c>
      <c r="C18636" t="n">
        <v>7</v>
      </c>
      <c r="D18636" t="inlineStr">
        <is>
          <t>Marteau R'ture; Collier de Tourthon; Anneau de Brouce; Anneau du Comte Harebourg; Bouclier d'Ilyzaelle; Ceinture de Brouce; Coiffe du Comte Harebourg; Cape au Logis; Bottes de Brouce; Dofus Nébuleux; Dofus des Glaces; Dofus Ocre; Dofus Pourpre; Forcené majeur; Robuste majeur; Dragodinde Pourpre</t>
        </is>
      </c>
    </row>
    <row r="18637">
      <c r="A18637" t="inlineStr">
        <is>
          <t>eau-air</t>
        </is>
      </c>
      <c r="B18637">
        <f>HYPERLINK("https://www.dofusbook.net/fr/equipement/2736404-eau-air/objets", "link")</f>
        <v/>
      </c>
      <c r="C18637" t="n">
        <v>0</v>
      </c>
      <c r="D18637" t="inlineStr">
        <is>
          <t>Epée Gloursonne; Amulette du Strigide; Bague Gloursonne; Alliance Gloursonne; Bouclier du Stalak; Ceinture du Strigide; Cape des Malveilleurs; Bottes du Strigide; Dofus Pourpre; Dofus Émeraude; Dofus Turquoise; Dofus des Glaces; Dofus Ocre; Puissant majeur; Muldo Indigo et Orchidée</t>
        </is>
      </c>
    </row>
    <row r="18638">
      <c r="A18638" t="inlineStr">
        <is>
          <t>Dopou</t>
        </is>
      </c>
      <c r="B18638">
        <f>HYPERLINK("https://www.dofusbook.net/fr/equipement/2773317-dopou/objets", "link")</f>
        <v/>
      </c>
      <c r="C18638" t="n">
        <v>1</v>
      </c>
      <c r="D18638" t="inlineStr">
        <is>
          <t>Masse Ossiale; Amulette du Sinistrofu; Alliance Gloursonne; Bague Trithon; Bouclier Taverne; Sangle Ouare; Masque Paztek; Cape Solution; Sandales Paztek; Dofus Émeraude; Chanceux majeur; Culbuteur majeur; Bousculeur majeur; Pousseur majeur; Remueur; Balafreux</t>
        </is>
      </c>
    </row>
    <row r="18639">
      <c r="A18639" t="inlineStr">
        <is>
          <t>do pou</t>
        </is>
      </c>
      <c r="B18639">
        <f>HYPERLINK("https://www.dofusbook.net/fr/equipement/2484642-do-pou/objets", "link")</f>
        <v/>
      </c>
      <c r="C18639" t="n">
        <v>2</v>
      </c>
      <c r="D18639" t="inlineStr">
        <is>
          <t>Rouleau à Pâtisserie d'Aermyne; Alliance Gloursonne; Bague Trithon; Bouclier précieux; Ceinture Luminescente; Masque Trithon; Cape Luminescente; Bottes Trithon; Dokoko; Dofus Émeraude; Dofus Ocre; Bousculeur; Pousseur majeur; Bousculeur majeur; Balafreux</t>
        </is>
      </c>
    </row>
    <row r="18640">
      <c r="A18640" t="inlineStr">
        <is>
          <t>Terrefeu</t>
        </is>
      </c>
      <c r="B18640">
        <f>HYPERLINK("https://www.dofusbook.net/fr/equipement/2923077-terrefeu/objets", "link")</f>
        <v/>
      </c>
      <c r="C18640" t="n">
        <v>2</v>
      </c>
      <c r="D18640" t="inlineStr">
        <is>
          <t>Hache Téroïde; Amulette du Strigide; Bague Gloursonne; Chevalière du Roi Joueur; Bouclier du Captain Amakna; Ceinture du Strigide; Couronne du Roi Joueur; Cape au Logis; Bottes du Roi Joueur; Dofus Émeraude; Dofus des Glaces; Dofus Pourpre; Dofus Ocre; Dofus Turquoise; Kokulte</t>
        </is>
      </c>
    </row>
    <row r="18641">
      <c r="A18641" t="inlineStr">
        <is>
          <t>Ouginak M 200</t>
        </is>
      </c>
      <c r="B18641">
        <f>HYPERLINK("https://www.dofusbook.net/fr/equipement/3421489-ouginak-m-200/objets", "link")</f>
        <v/>
      </c>
      <c r="C18641" t="n">
        <v>3</v>
      </c>
      <c r="D18641" t="inlineStr">
        <is>
          <t>L'Épée Nice; Collier du Valet Veinard; Gant du Valet Veinard; Anneau d'Allister; Bouclier d'Ilyzaelle; Ceinture Voldelor; Couronne d'Allister; Cape du Valet Veinard; Bottes d'Allister; Dofus des Glaces; Dofus Abyssal; Dofus Émeraude; Dofus Pourpre; Dofus Ocre; Acrobate majeur; Dragodinde Ebène</t>
        </is>
      </c>
    </row>
    <row r="18642">
      <c r="A18642" t="inlineStr">
        <is>
          <t>full-terre</t>
        </is>
      </c>
      <c r="B18642">
        <f>HYPERLINK("https://www.dofusbook.net/fr/equipement/2865944-full-terre/objets", "link")</f>
        <v/>
      </c>
      <c r="C18642" t="n">
        <v>6</v>
      </c>
      <c r="D18642" t="inlineStr">
        <is>
          <t>Dagues d'Ilyzaelle; Collier de Tourthon; Bague Gloursonne; Anneau de Brouce; Bouclier du Captain Amakna; Ceinture de la Reine des Voleurs; Coiffe de la Reine des Voleurs; Cape au Logis; Baleinabottes; Dofus des Glaces; Dofus Pourpre; Dofus Ocre; Dofus Émeraude; Dévastateur Terre majeur; Enragé majeur; Dragodinde Prune et Pourpre</t>
        </is>
      </c>
    </row>
    <row r="18643">
      <c r="A18643" t="inlineStr">
        <is>
          <t>terre-feu</t>
        </is>
      </c>
      <c r="B18643">
        <f>HYPERLINK("https://www.dofusbook.net/fr/equipement/4979094-terre-feu/objets", "link")</f>
        <v/>
      </c>
      <c r="C18643" t="n">
        <v>1</v>
      </c>
      <c r="D18643" t="inlineStr">
        <is>
          <t>Dagues Érhy; Amulette Volkorne; Bague Gloursonne; Chevalière du Roi Joueur; Bouclier du Captain Amakna; Ceinture Volkorne; Couronne du Roi Joueur; Cape de la Fuji Givrefoux; Bottes du Roi Joueur; Dofus Turquoise; Dofus Pourpre; Dofus Ocre; Dofus des Glaces; Dofus Émeraude; Puissant majeur; Volkorne Pourpre et Orchidée</t>
        </is>
      </c>
    </row>
    <row r="18644">
      <c r="A18644" t="inlineStr">
        <is>
          <t>air 12/6</t>
        </is>
      </c>
      <c r="B18644">
        <f>HYPERLINK("https://www.dofusbook.net/fr/equipement/4979018-air-12-6/objets", "link")</f>
        <v/>
      </c>
      <c r="C18644" t="n">
        <v>0</v>
      </c>
      <c r="D18644" t="inlineStr">
        <is>
          <t>Hachoirs de Viandargh; Collier du Valet Veinard; Anneau d'Allister; Gant du Valet Veinard; Bouclier du Captain Amakna; Ceinture Voldelor; Couronne d'Allister; Cape du Valet Veinard; Bottes d'Allister; Dofus Ocre; Dofus des Glaces; Dofus Pourpre; Voyageur; Saccageur Air majeur; Ravageur Air majeur; Blérodoudou</t>
        </is>
      </c>
    </row>
    <row r="18645">
      <c r="A18645" t="inlineStr">
        <is>
          <t>Eau-do</t>
        </is>
      </c>
      <c r="B18645">
        <f>HYPERLINK("https://www.dofusbook.net/fr/equipement/2908826-eau-do/objets", "link")</f>
        <v/>
      </c>
      <c r="C18645" t="n">
        <v>1</v>
      </c>
      <c r="D18645" t="inlineStr">
        <is>
          <t>Dagoulinantes; Amulette de l'Œil Attentif; Alliance Gloursonne; Anneau Volkorne; Bouclier du Captain Amakna; Ceinture de la Reine des Voleurs; Capuche de l'Œil Attentif; Cape de l'Œil Attentif; Bottes de la Reine des Voleurs; Dofus Ocre; Dofus Émeraude; Dofus Pourpre; Dofus des Glaces; Ravageur Eau majeur; Voyageur; Kanigloups</t>
        </is>
      </c>
    </row>
    <row r="18646">
      <c r="A18646" t="inlineStr">
        <is>
          <t>Pvm</t>
        </is>
      </c>
      <c r="B18646">
        <f>HYPERLINK("https://www.dofusbook.net/fr/equipement/2734438-pvm/objets", "link")</f>
        <v/>
      </c>
      <c r="C18646" t="n">
        <v>1</v>
      </c>
      <c r="D18646" t="inlineStr">
        <is>
          <t>Arc Hétype; Amulette de Nileza; Anneauræus; Anneauræus; Bouclier d'Ilyzaelle; Ceinture de Vortex; Heaume Oplate; Cape de Nileza; Bottes Innommables; Dofus Émeraude; Miraculé majeur; Érudit majeur; Remueur; Dévastateur Feu majeur; Nomade; Dragodinde Prune et Orchidée</t>
        </is>
      </c>
    </row>
    <row r="18647">
      <c r="A18647" t="inlineStr">
        <is>
          <t>eau-feu</t>
        </is>
      </c>
      <c r="B18647">
        <f>HYPERLINK("https://www.dofusbook.net/fr/equipement/2500536-eau-feu/objets", "link")</f>
        <v/>
      </c>
      <c r="C18647" t="n">
        <v>0</v>
      </c>
      <c r="D18647" t="inlineStr">
        <is>
          <t>Pyraguette; Talisman Igans; Bague Gloursonne; Alliance Gloursonne; Bouclier du Stalak; Ceintrigue; Capuche de l'Œil Putride; Cape de Diondin; Bottes Owesli; Dofus Ocre; Dofus Émeraude; Dofus des Glaces; Dofus Pourpre; Robuste majeur; Puissant majeur; Dragodinde Indigo et Orchidée</t>
        </is>
      </c>
    </row>
    <row r="18648">
      <c r="A18648" t="inlineStr">
        <is>
          <t>Iop M 199</t>
        </is>
      </c>
      <c r="B18648">
        <f>HYPERLINK("https://www.dofusbook.net/fr/equipement/3593555-iop-m-199/objets", "link")</f>
        <v/>
      </c>
      <c r="C18648" t="n">
        <v>2</v>
      </c>
      <c r="D18648" t="inlineStr">
        <is>
          <t>Arc corrompu; Pendentif affamé; Anneau Tamie; Bague Gloursonne; Bouclier du Stalak; Ceinture Séculaire; Coiffe Séculaire; Cape de Diondin; Getas de Padgref; Dofus Émeraude; Érudit majeur; Dévastateur Feu majeur; Astucieux majeur; Remueur; Nomade; Brûlih</t>
        </is>
      </c>
    </row>
    <row r="18649">
      <c r="A18649" t="inlineStr">
        <is>
          <t>Tank</t>
        </is>
      </c>
      <c r="B18649">
        <f>HYPERLINK("https://www.dofusbook.net/fr/equipement/1755053-tank/objets", "link")</f>
        <v/>
      </c>
      <c r="C18649" t="n">
        <v>2</v>
      </c>
      <c r="D18649" t="inlineStr">
        <is>
          <t>Rouleau à Pâtisserie d'Aermyne; Collier Rophante; Anneau de Pol Ouatnos; Alliance Gloursonne; Sept ans de malheur; Ceinture de Kongoku; Masque d'Anerice; Cape d'Anerice; Pataugastrique; Dofus Émeraude; Carapace Eau majeur; Remueur; Obstructeur majeur; Carapace Neutre majeur; Bloqueur majeur; Dragodinde Amande</t>
        </is>
      </c>
    </row>
    <row r="18650">
      <c r="A18650" t="inlineStr">
        <is>
          <t>eau-air</t>
        </is>
      </c>
      <c r="B18650">
        <f>HYPERLINK("https://www.dofusbook.net/fr/equipement/3480718-eau-air/objets", "link")</f>
        <v/>
      </c>
      <c r="C18650" t="n">
        <v>0</v>
      </c>
      <c r="D18650" t="inlineStr">
        <is>
          <t>Arc Ahique; Collier du Valet Veinard; Alliance Gloursonne; Gant du Valet Veinard; Bouclier du Stalak; Ceinture de la Reine des Voleurs; Coiffe de la Reine des Voleurs; Cape du Valet Veinard; Bottes de la Reine des Voleurs; Dofus Turquoise; Dofus Ocre; Dofus des Glaces; Dofus Pourpre; Dofus Abyssal; Puissant majeur</t>
        </is>
      </c>
    </row>
    <row r="18651">
      <c r="A18651" t="inlineStr">
        <is>
          <t>enu-pvm</t>
        </is>
      </c>
      <c r="B18651">
        <f>HYPERLINK("https://www.dofusbook.net/fr/equipement/1420497-enu-pvm/objets", "link")</f>
        <v/>
      </c>
      <c r="C18651" t="n">
        <v>0</v>
      </c>
      <c r="D18651" t="inlineStr">
        <is>
          <t>La Baguette des Limbes; Collier de la Dame du Hasard; Alliance Gloursonne; Pikano; Bouclier cubiste; Ceinture Glaciale; Capuche de l'Œil Attentif; Cape de Meno; Bottes de Meno; Temporiseur; Remueur; Dévastateur Eau majeur; Entraveur majeur; Temporiseur majeur; Ralentisseur majeur; Volkorne Turquoise</t>
        </is>
      </c>
    </row>
    <row r="18652">
      <c r="A18652" t="inlineStr">
        <is>
          <t>ret-pm</t>
        </is>
      </c>
      <c r="B18652">
        <f>HYPERLINK("https://www.dofusbook.net/fr/equipement/1516719-ret-pm/objets", "link")</f>
        <v/>
      </c>
      <c r="C18652" t="n">
        <v>0</v>
      </c>
      <c r="D18652" t="inlineStr">
        <is>
          <t>La Baguette des Limbes; Amulette du Glourséleste; Anneau de la Fuji Givrefoux; Pikano; Bouclier cubiste; Bonnet Ko; Cape de Léthaline; Pikottes; Entraveur; Entraveur majeur; Temporiseur; Temporiseur majeur; Ralentisseur majeur; Remueur; Volkorne Turquoise</t>
        </is>
      </c>
    </row>
    <row r="18653">
      <c r="A18653" t="inlineStr">
        <is>
          <t>air</t>
        </is>
      </c>
      <c r="B18653">
        <f>HYPERLINK("https://www.dofusbook.net/fr/equipement/2839635-air/objets", "link")</f>
        <v/>
      </c>
      <c r="C18653" t="n">
        <v>4</v>
      </c>
      <c r="D18653" t="inlineStr">
        <is>
          <t>Dagues Érhy; Collier du Valet Veinard; Alliance Gloursonne; Gant du Valet Veinard; Bouclier du Stalak; Menoture; Couronne d'Allister; Cape Indescriptible; Palmes Trithons; Dofus des Glaces; Dofus Nébuleux; Remueur; Nomade; Cascadeur majeur; Dévastateur Air majeur; Blérodoudou</t>
        </is>
      </c>
    </row>
    <row r="18654">
      <c r="A18654" t="inlineStr">
        <is>
          <t>Iop F 200</t>
        </is>
      </c>
      <c r="B18654">
        <f>HYPERLINK("https://www.dofusbook.net/fr/equipement/3480653-iop-f-200/objets", "link")</f>
        <v/>
      </c>
      <c r="C18654" t="n">
        <v>3</v>
      </c>
      <c r="D18654" t="inlineStr">
        <is>
          <t>Epée Toche; Amulette Volcanique; Anneauræus; Anneau de Nidas; Bouclier cubiste; Ceinture du Glourséleste; Couronne du Roi Joueur; Cape de Diondin; Bottes du Roi Joueur; Dofus Pourpre; Dofus Turquoise; Temporiseur majeur; Ralentisseur majeur; Nomade; Entraveur majeur; Volkorne Turquoise</t>
        </is>
      </c>
    </row>
    <row r="18655">
      <c r="A18655" t="inlineStr">
        <is>
          <t>Eau-res</t>
        </is>
      </c>
      <c r="B18655">
        <f>HYPERLINK("https://www.dofusbook.net/fr/equipement/3057917-eau-res/objets", "link")</f>
        <v/>
      </c>
      <c r="C18655" t="n">
        <v>0</v>
      </c>
      <c r="D18655" t="inlineStr">
        <is>
          <t>La Baguette des Limbes; Amulette du Glourséleste; Anneau de la Fuji Givrefoux; Pikano; Bouclier cubiste; Ceinture de Léthaline; Casquipik; Cape de Léthaline; Bottes de Léthaline; Dofus Cawotte; Ralentisseur; Ralentisseur majeur; Précurseur majeur; Entraveur majeur; Entraveur; Volkorne Turquoise</t>
        </is>
      </c>
    </row>
    <row r="18656">
      <c r="A18656" t="inlineStr">
        <is>
          <t>Stuff 1</t>
        </is>
      </c>
      <c r="B18656">
        <f>HYPERLINK("https://www.dofusbook.net/fr/equipement/155869-stuff-1/objets", "link")</f>
        <v/>
      </c>
      <c r="C18656" t="n">
        <v>3</v>
      </c>
      <c r="D18656" t="inlineStr">
        <is>
          <t>Epée Kari; Amulette du Strigide; Grésilanneau; Bracelet du Piloztère; Bouclier du Stalak; Ceinture du Strigide; Masque de l'Esprit Salvateur; Voile d'encre; Bottes du Strigide; Dolmanax; Dofus Vulbis; Dofus Pourpre; Dofus Ocre; Dofus des Glaces; Dofus Ivoire; Chacha Angora</t>
        </is>
      </c>
    </row>
    <row r="18657">
      <c r="A18657" t="inlineStr">
        <is>
          <t>Stuff 3</t>
        </is>
      </c>
      <c r="B18657">
        <f>HYPERLINK("https://www.dofusbook.net/fr/equipement/155824-stuff-3/objets", "link")</f>
        <v/>
      </c>
      <c r="C18657" t="n">
        <v>1</v>
      </c>
      <c r="D18657" t="inlineStr">
        <is>
          <t>Bêche Asse; Amulette du Strigide; Bracelet du Piloztère; Grésilanneau; Bouclier du Stalak; Sangle Ouare; Masque Trithon; Cape de Meno; Bottes du Strigide; Dofus Pourpre; Dolmanax; Dofus des Glaces; Dofus Ivoire; Dofus Ocre; Vigoureux majeur; Fëanor</t>
        </is>
      </c>
    </row>
    <row r="18658">
      <c r="A18658" t="inlineStr">
        <is>
          <t>Terre-retrai</t>
        </is>
      </c>
      <c r="B18658">
        <f>HYPERLINK("https://www.dofusbook.net/fr/equipement/2971166-terre-retrai/objets", "link")</f>
        <v/>
      </c>
      <c r="C18658" t="n">
        <v>6</v>
      </c>
      <c r="D18658" t="inlineStr">
        <is>
          <t>Arc du Chalœil; Collier de Tourthon; Bracelet du Piloztère; Anneau Chevelu; Bouclier du Stalak; Ceinture de la Cour Sombre; Masque de Koutoulou; Cape au Logis; Bottes de la Cour Sombre; Dofus Pourpre; Enragé majeur; Remueur; Dragodinde Prune et Pourpre</t>
        </is>
      </c>
    </row>
    <row r="18659">
      <c r="A18659" t="inlineStr">
        <is>
          <t>Empoi</t>
        </is>
      </c>
      <c r="B18659">
        <f>HYPERLINK("https://www.dofusbook.net/fr/equipement/2799527-empoi/objets", "link")</f>
        <v/>
      </c>
      <c r="C18659" t="n">
        <v>1</v>
      </c>
      <c r="D18659" t="inlineStr">
        <is>
          <t>La Baguette des Limbes; Amulette du Glourséleste; Anneau Bhli; Anneau de la Fuji Givrefoux; Bouclier cubiste; Sangle Cible; Bonnet Ko; Cape de Léthaline; Pikottes; Fonceur majeur; Entraveur majeur; Temporiseur majeur; Remueur; Entraveur; Temporiseur; Volkorne Turquoise</t>
        </is>
      </c>
    </row>
    <row r="18660">
      <c r="A18660" t="inlineStr">
        <is>
          <t>boost</t>
        </is>
      </c>
      <c r="B18660">
        <f>HYPERLINK("https://www.dofusbook.net/fr/equipement/2750983-boost/objets", "link")</f>
        <v/>
      </c>
      <c r="C18660" t="n">
        <v>0</v>
      </c>
      <c r="D18660" t="inlineStr">
        <is>
          <t>Hache à Lamelles; Amulette Cætera; Mitaine Aibre; Gelano; Bouclier d'Ilyzaelle; Tranche des Sous-bois; Coiffe du Tynril; Cape du Professeur Xa; Bottines des sous-bois; Dofus Kaliptus; Dofus Abyssal; Dofus Cawotte; Taquin majeur; Taquin; Joueur majeur; Tifoux Tigré</t>
        </is>
      </c>
    </row>
    <row r="18661">
      <c r="A18661" t="inlineStr">
        <is>
          <t>Pvm</t>
        </is>
      </c>
      <c r="B18661">
        <f>HYPERLINK("https://www.dofusbook.net/fr/equipement/2987882-pvm/objets", "link")</f>
        <v/>
      </c>
      <c r="C18661" t="n">
        <v>1</v>
      </c>
      <c r="D18661" t="inlineStr">
        <is>
          <t>Epée Gloursonne; Alliance Gloursonne; Bague Gloursonne; Bouclier du Bawbawe; Ceinture de Léthaline; Coiffe du Comte Harebourg; Cape de Léthaline; Bottes de Léthaline; Dofus Kaliptus; Dofus Cawotte; Dofus Émeraude; Joueur majeur; Taquin majeur; Voyageur; Dragodinde Turquoise</t>
        </is>
      </c>
    </row>
    <row r="18662">
      <c r="A18662" t="inlineStr">
        <is>
          <t>Fui</t>
        </is>
      </c>
      <c r="B18662">
        <f>HYPERLINK("https://www.dofusbook.net/fr/equipement/3977981-fui/objets", "link")</f>
        <v/>
      </c>
      <c r="C18662" t="n">
        <v>0</v>
      </c>
      <c r="D18662" t="inlineStr">
        <is>
          <t>La Baguette des Limbes; Pendentif affamé; Alliance du Lévitrof; Alliance Gloursonne; Bouclier du Stalak; Ceinture Luthe; Bonnet Ko; Cape du Sinistrofu; Bottes du Lévitrof; Miraculé majeur; Fuyard majeur; Déserteur majeur; Vagabond majeur; Remueur; Nomade; Tofu Givré</t>
        </is>
      </c>
    </row>
    <row r="18663">
      <c r="A18663" t="inlineStr">
        <is>
          <t>Eniripsa F 200</t>
        </is>
      </c>
      <c r="B18663">
        <f>HYPERLINK("https://www.dofusbook.net/fr/equipement/3577890-eniripsa-f-200/objets", "link")</f>
        <v/>
      </c>
      <c r="C18663" t="n">
        <v>3</v>
      </c>
      <c r="D18663" t="inlineStr">
        <is>
          <t>Arc corrompu; Amulette de Nileza; Anneauræus; Anneauræus; Quatre-feuilles; Ceinture de Vortex; Heaume Oplate; Cape de Nileza; Bottes Innommables; Dofus Turquoise; Nomade; Érudit majeur; Étourdisseur majeur; Remueur; Dragoune Rose</t>
        </is>
      </c>
    </row>
    <row r="18664">
      <c r="A18664" t="inlineStr">
        <is>
          <t>air</t>
        </is>
      </c>
      <c r="B18664">
        <f>HYPERLINK("https://www.dofusbook.net/fr/equipement/1163314-air/objets", "link")</f>
        <v/>
      </c>
      <c r="C18664" t="n">
        <v>1</v>
      </c>
      <c r="D18664" t="inlineStr">
        <is>
          <t>Manthache; Collier du Valet Veinard; Alliance Gloursonne; Gant du Valet Veinard; Bouclier du Stalak; Menoture; Couronne d'Allister; Cape Indescriptible; Palmes Trithons; Dofus Abyssal; Dévastateur Air majeur; Remueur; Nomade; Cascadeur majeur; Étourdisseur majeur; Koalak Sanguin</t>
        </is>
      </c>
    </row>
    <row r="18665">
      <c r="A18665" t="inlineStr">
        <is>
          <t>Feu</t>
        </is>
      </c>
      <c r="B18665">
        <f>HYPERLINK("https://www.dofusbook.net/fr/equipement/155815-feu/objets", "link")</f>
        <v/>
      </c>
      <c r="C18665" t="n">
        <v>1</v>
      </c>
      <c r="D18665" t="inlineStr">
        <is>
          <t>Arc corrompu; Amulette de Nileza; Anneauræus; Anneauræus; Bouclier du Stalak; Sangle Ouare; Heaume Oplate; Cape de Nileza; Bottes Innommables; Dofus Pourpre; Déserteur majeur; Étourdisseur majeur; Érudit majeur; Remueur; Dragodinde Amande et Orchidée</t>
        </is>
      </c>
    </row>
    <row r="18666">
      <c r="A18666" t="inlineStr">
        <is>
          <t>strigi</t>
        </is>
      </c>
      <c r="B18666">
        <f>HYPERLINK("https://www.dofusbook.net/fr/equipement/1521526-strigi/objets", "link")</f>
        <v/>
      </c>
      <c r="C18666" t="n">
        <v>0</v>
      </c>
      <c r="D18666" t="inlineStr">
        <is>
          <t>Baguette Héroclite; Amulette de Shokkoth; Bracelet des Fonds marins; Alliance Gloursonne; Bouclier du Stalak; Poulpagne; Kidibonnet; Cape du Sinistrofu; Dofus Pourpre; Chanceux majeur; Dévastateur Eau majeur; Miraculé majeur; Nomade; Kanigloups</t>
        </is>
      </c>
    </row>
    <row r="18667">
      <c r="A18667" t="inlineStr">
        <is>
          <t>terre-retrat</t>
        </is>
      </c>
      <c r="B18667">
        <f>HYPERLINK("https://www.dofusbook.net/fr/equipement/2986615-terre-retrat/objets", "link")</f>
        <v/>
      </c>
      <c r="C18667" t="n">
        <v>5</v>
      </c>
      <c r="D18667" t="inlineStr">
        <is>
          <t>Lav'Hache; Collier de Tourthon; Anneau Crustique; Anneau Chevelu; Bouclier du Stalak; Ceintouse; Masque de Koutoulou; Cape au Logis; Tentassons; Dofus Émeraude; Dofus Pourpre; Remueur; Étourdisseur majeur; Enragé majeur; Dragodinde Prune et Pourpre</t>
        </is>
      </c>
    </row>
    <row r="18668">
      <c r="A18668" t="inlineStr">
        <is>
          <t>eau</t>
        </is>
      </c>
      <c r="B18668">
        <f>HYPERLINK("https://www.dofusbook.net/fr/equipement/1374729-eau/objets", "link")</f>
        <v/>
      </c>
      <c r="C18668" t="n">
        <v>0</v>
      </c>
      <c r="D18668" t="inlineStr">
        <is>
          <t>Dagoulinantes; Amulette de Shokkoth; Bracelet des Fonds marins; Alliance Gloursonne; Bouclier d'Ilyzaelle; Culotte de Bethel; Masque de Funespadon; Cape Solution; Pataugastrique; Dévastateur Eau majeur; Chanceux majeur; Nomade; Étourdisseur majeur; Dragodinde Amande et Indigo</t>
        </is>
      </c>
    </row>
    <row r="18669">
      <c r="A18669" t="inlineStr">
        <is>
          <t>rezr</t>
        </is>
      </c>
      <c r="B18669">
        <f>HYPERLINK("https://www.dofusbook.net/fr/equipement/2643807-rezr/objets", "link")</f>
        <v/>
      </c>
      <c r="C18669" t="n">
        <v>6</v>
      </c>
      <c r="D18669" t="inlineStr">
        <is>
          <t>Arc du Chalœil; Amulette du Strigide; Bague Gloursonne; Anneau Chevelu; Bouclier du Stalak; Ceinture du Strigide; Masque de Koutoulou; Cape au Logis; Bottes de la Cour Sombre; Dofus Nébuleux; Dofus Pourpre; Dofus Abyssal; Dofus Turquoise; Enragé majeur; Remueur; Dragodinde Prune et Pourpre</t>
        </is>
      </c>
    </row>
    <row r="18670">
      <c r="A18670" t="inlineStr">
        <is>
          <t>Eniripsa F 200</t>
        </is>
      </c>
      <c r="B18670">
        <f>HYPERLINK("https://www.dofusbook.net/fr/equipement/3692791-eniripsa-f-200/objets", "link")</f>
        <v/>
      </c>
      <c r="C18670" t="n">
        <v>0</v>
      </c>
      <c r="D18670" t="inlineStr">
        <is>
          <t>Arc du Chalœil; Collier de Tourthon; Bracelet du Piloztère; Anneau Chevelu; Bouclier du Stalak; Ceinture de Gein; Coiffe de la Reine des Voleurs; Cape au Logis; Baleinabottes; Dofus Pourpre; Enragé majeur; Dévastateur Terre majeur; Remueur; Dragodinde Amande et Pourpre</t>
        </is>
      </c>
    </row>
    <row r="18671">
      <c r="A18671" t="inlineStr">
        <is>
          <t>feu-eau</t>
        </is>
      </c>
      <c r="B18671">
        <f>HYPERLINK("https://www.dofusbook.net/fr/equipement/2879905-feu-eau/objets", "link")</f>
        <v/>
      </c>
      <c r="C18671" t="n">
        <v>6</v>
      </c>
      <c r="D18671" t="inlineStr">
        <is>
          <t>Baguette Hique; Amulette du Strigide; Alliance Gloursonne; Anneau de Padgref; Quatre-feuilles; Ceintacé; Kidibonnet; Chevelure de Tal Kasha; Sandales de Tal Kasha; Dofus Pourpre; Dofus Turquoise; Miraculé majeur; Nomade; Dévastateur Eau majeur; Remueur; Kokulte</t>
        </is>
      </c>
    </row>
    <row r="18672">
      <c r="A18672" t="inlineStr">
        <is>
          <t>terre</t>
        </is>
      </c>
      <c r="B18672">
        <f>HYPERLINK("https://www.dofusbook.net/fr/equipement/155863-terre/objets", "link")</f>
        <v/>
      </c>
      <c r="C18672" t="n">
        <v>2</v>
      </c>
      <c r="D18672" t="inlineStr">
        <is>
          <t>Epée Gloursonne; Collier de la Dame du Hasard; Alliance Gloursonne; Bague Gloursonne; Bouclier du Stalak; Ceinture de l'Esprit Salvateur; Masque de l'Esprit Salvateur; Cape de la Dame du Hasard; Bottes de l'Esprit Salvateur; Dofus des Glaces; Dofus Abyssal; Dofus Pourpre; Dofus Turquoise; Muldo Ebène et Pourpre</t>
        </is>
      </c>
    </row>
    <row r="18673">
      <c r="A18673" t="inlineStr">
        <is>
          <t>force</t>
        </is>
      </c>
      <c r="B18673">
        <f>HYPERLINK("https://www.dofusbook.net/fr/equipement/1674739-force/objets", "link")</f>
        <v/>
      </c>
      <c r="C18673" t="n">
        <v>3</v>
      </c>
      <c r="D18673" t="inlineStr">
        <is>
          <t>Lav'Hache; Collier de Tourthon; Chevalière du Roi Joueur; Anneau Crustique; Bouclier du Stalak; Ceintouse; Casque Dragoeuf; Cape au Logis; Tentassons; Dofus Pourpre; Dofus Abyssal; Enragé majeur; Étourdisseur majeur; Remueur; Temporiseur majeur; Volkorne Ivoire et Turquoise</t>
        </is>
      </c>
    </row>
    <row r="18674">
      <c r="A18674" t="inlineStr">
        <is>
          <t>koutou</t>
        </is>
      </c>
      <c r="B18674">
        <f>HYPERLINK("https://www.dofusbook.net/fr/equipement/960047-koutou/objets", "link")</f>
        <v/>
      </c>
      <c r="C18674" t="n">
        <v>0</v>
      </c>
      <c r="D18674" t="inlineStr">
        <is>
          <t>Arc du Chalœil; Collier de Tourthon; Bague Gloursonne; Bouclier du Stalak; Ceinture de Brouce; Masque de Koutoulou; Cape au Logis; Bottes de la Cour Sombre; Dofus Abyssal; Dofus Nébuleux; Remueur; Dévastateur Terre majeur; Miraculé majeur; Enragé majeur</t>
        </is>
      </c>
    </row>
    <row r="18675">
      <c r="A18675" t="inlineStr">
        <is>
          <t>Trithon</t>
        </is>
      </c>
      <c r="B18675">
        <f>HYPERLINK("https://www.dofusbook.net/fr/equipement/2951385-trithon/objets", "link")</f>
        <v/>
      </c>
      <c r="C18675" t="n">
        <v>3</v>
      </c>
      <c r="D18675" t="inlineStr">
        <is>
          <t>Hache Téroïde; Amulette du Strigide; Bague Gloursonne; Bague Trithon; Cadran d'Eau; Ceinture du Strigide; Masque Trithon; Cape au Logis; Bottes Trithon; Dofus Pourpre; Dofus Abyssal; Dofus des Glaces; Dofus Turquoise; Dofus Émeraude; Balafreux</t>
        </is>
      </c>
    </row>
    <row r="18676">
      <c r="A18676" t="inlineStr">
        <is>
          <t>do cri</t>
        </is>
      </c>
      <c r="B18676">
        <f>HYPERLINK("https://www.dofusbook.net/fr/equipement/3144236-do-cri/objets", "link")</f>
        <v/>
      </c>
      <c r="C18676" t="n">
        <v>5</v>
      </c>
      <c r="D18676" t="inlineStr">
        <is>
          <t>Arc du Chalœil; Amulette du Strigide; Bracelet du Piloztère; Bague Trithon; Bouclier du Stalak; Ceinture du Strigide; Masque Trithon; Cape au Logis; Bottes du Strigide; Dofus Ivoire; Dofus des Glaces; Dofus Émeraude; Dofus Abyssal; Dofus Turquoise; Dofus Pourpre; Kougnard Albâtre</t>
        </is>
      </c>
    </row>
    <row r="18677">
      <c r="A18677" t="inlineStr">
        <is>
          <t>Anti-sgeg</t>
        </is>
      </c>
      <c r="B18677">
        <f>HYPERLINK("https://www.dofusbook.net/fr/equipement/2892681-anti-sgeg/objets", "link")</f>
        <v/>
      </c>
      <c r="C18677" t="n">
        <v>0</v>
      </c>
      <c r="D18677" t="inlineStr">
        <is>
          <t>Arc Nécrotique; Collier de la Dame du Hasard; Alliance Gloursonne; Bague Trithon; Quatre-feuilles; Sangle Ouare; Masque Trithon; Cape de la Dame du Hasard; Bottes de la Dame du Hasard; Dofus Ocre; Dofus des Glaces; Dofus Émeraude; Dofus Abyssal; Dofus Turquoise; Dofus Pourpre; Godron Bontarien</t>
        </is>
      </c>
    </row>
    <row r="18678">
      <c r="A18678" t="inlineStr">
        <is>
          <t>koli-rox</t>
        </is>
      </c>
      <c r="B18678">
        <f>HYPERLINK("https://www.dofusbook.net/fr/equipement/2081945-koli-rox/objets", "link")</f>
        <v/>
      </c>
      <c r="C18678" t="n">
        <v>3</v>
      </c>
      <c r="D18678" t="inlineStr">
        <is>
          <t>Baguette Hique; Amulette du Strigide; Anneau de Pol Ouatnos; Bague Trithon; Quatre-feuilles; Ceinture du Strigide; Masque Trithon; Chevelure de Tal Kasha; Bottes Trithon; Dofus des Glaces; Dofus Ocre; Dofus Ivoire; Dofus Pourpre; Dolmanax; Dofus Turquoise; Kokulte</t>
        </is>
      </c>
    </row>
    <row r="18679">
      <c r="A18679" t="inlineStr">
        <is>
          <t>do-pou</t>
        </is>
      </c>
      <c r="B18679">
        <f>HYPERLINK("https://www.dofusbook.net/fr/equipement/2082218-do-pou/objets", "link")</f>
        <v/>
      </c>
      <c r="C18679" t="n">
        <v>2</v>
      </c>
      <c r="D18679" t="inlineStr">
        <is>
          <t>Arc Nécrotique; Collier de la Dame du Hasard; Anneau Toriété; Bague Trithon; Quatre-feuilles; Ceintacé; Masque Trithon; Cape de la Dame du Hasard; Bottes de la Dame du Hasard; Dofus Émeraude; Dofus Abyssal; Dofus Turquoise; Dofus Pourpre; Dofus Ivoire; Dofus des Glaces; Godron Bontarien</t>
        </is>
      </c>
    </row>
    <row r="18680">
      <c r="A18680" t="inlineStr">
        <is>
          <t>full-eau</t>
        </is>
      </c>
      <c r="B18680">
        <f>HYPERLINK("https://www.dofusbook.net/fr/equipement/2889939-full-eau/objets", "link")</f>
        <v/>
      </c>
      <c r="C18680" t="n">
        <v>6</v>
      </c>
      <c r="D18680" t="inlineStr">
        <is>
          <t>Baguette Héroclite; Amulette de Shokkoth; Bracelet des Fonds marins; Alliance Gloursonne; Bouclier du Stalak; Culotte de Bethel; Masque de Funespadon; Cape Solution; Pataugastrique; Dofus Pourpre; Dofus Ivoire; Nomade; Miraculé majeur; Dévastateur Eau majeur; Chanceux majeur; Kanigloups</t>
        </is>
      </c>
    </row>
    <row r="18681">
      <c r="A18681" t="inlineStr">
        <is>
          <t>Sadi-eau-pvm</t>
        </is>
      </c>
      <c r="B18681">
        <f>HYPERLINK("https://www.dofusbook.net/fr/equipement/3693017-sadi-eau-pvm/objets", "link")</f>
        <v/>
      </c>
      <c r="C18681" t="n">
        <v>2</v>
      </c>
      <c r="D18681" t="inlineStr">
        <is>
          <t>Bâton K'Tueuh; Amulette d'Hel Munster; Alliance Gloursonne; Anneau Glacial; Bouclier Taverne; Ceinture de Danathor; Coiffe de Danathor; Cape des Malveilleurs; Bottes du Sinistrofu; Joueur majeur; Remueur; Taquin majeur; Nomade; Dévastateur Eau majeur; Chanceux majeur; Dragodinde Indigo et Turquoise</t>
        </is>
      </c>
    </row>
    <row r="18682">
      <c r="A18682" t="inlineStr">
        <is>
          <t>Sadida M 200</t>
        </is>
      </c>
      <c r="B18682">
        <f>HYPERLINK("https://www.dofusbook.net/fr/equipement/3712145-sadida-m-200/objets", "link")</f>
        <v/>
      </c>
      <c r="C18682" t="n">
        <v>0</v>
      </c>
      <c r="D18682" t="inlineStr">
        <is>
          <t>Dagues Érhy; Amulette du Granduk; Alliance Gloursonne; Gant du Valet Veinard; Bouclier du Stalak; Menoture; Masque de Klime; Cape de Klime; Bottes d'Allister; Dofus Abyssal; Vagabond majeur; Remueur; Cascadeur majeur; Déserteur majeur; Nomade; Dragodinde Ebène et Turquoise</t>
        </is>
      </c>
    </row>
    <row r="18683">
      <c r="A18683" t="inlineStr">
        <is>
          <t>multi</t>
        </is>
      </c>
      <c r="B18683">
        <f>HYPERLINK("https://www.dofusbook.net/fr/equipement/3234556-multi/objets", "link")</f>
        <v/>
      </c>
      <c r="C18683" t="n">
        <v>9</v>
      </c>
      <c r="D18683" t="inlineStr">
        <is>
          <t>Hache du Guerrier Zoth; Amulette de Nevark; Bague Gloursonne; Anneau Chevelu; Bouclier Taverne; Ceinture Bine; Coiffe du Comte Harebourg; Cape au Logis; Bottes du Kamasterisk; Dofus Kaliptus; Dofus Pourpre; Enragé majeur; Dévastateur Terre majeur; Nomade; Remueur; Dragodinde Turquoise et Pourpre</t>
        </is>
      </c>
    </row>
    <row r="18684">
      <c r="A18684" t="inlineStr">
        <is>
          <t>Sadida F 200</t>
        </is>
      </c>
      <c r="B18684">
        <f>HYPERLINK("https://www.dofusbook.net/fr/equipement/3699528-sadida-f-200/objets", "link")</f>
        <v/>
      </c>
      <c r="C18684" t="n">
        <v>0</v>
      </c>
      <c r="D18684" t="inlineStr">
        <is>
          <t>Hache du Guerrier Zoth; Amulette de Nevark; Anneau d'Allister; Anneau Colerette; Bouclier du Stalak; Menoture; Couronne d'Allister; Cape Matelassée; Bottes du Kamasterisk; Dofus Kaliptus; Dévastateur Air majeur; Nomade; Saccageur Air majeur; Cascadeur majeur; Acrobate majeur; Dragodinde Ebène et Turquoise</t>
        </is>
      </c>
    </row>
    <row r="18685">
      <c r="A18685" t="inlineStr">
        <is>
          <t>feu</t>
        </is>
      </c>
      <c r="B18685">
        <f>HYPERLINK("https://www.dofusbook.net/fr/equipement/2895035-feu/objets", "link")</f>
        <v/>
      </c>
      <c r="C18685" t="n">
        <v>1</v>
      </c>
      <c r="D18685" t="inlineStr">
        <is>
          <t>Arc corrompu; Amulette de Nileza; Anneauræus; Anneauræus; Bouclier du Stalak; Ceinture de Vortex; Heaume Oplate; Cape de Nileza; Bottes Innommables; Dofus Pourpre; Dofus Ivoire; Dofus Abyssal; Nomade; Remueur; Érudit majeur; Dragodinde Amande et Orchidée</t>
        </is>
      </c>
    </row>
    <row r="18686">
      <c r="A18686" t="inlineStr">
        <is>
          <t>Pvp-Dopou</t>
        </is>
      </c>
      <c r="B18686">
        <f>HYPERLINK("https://www.dofusbook.net/fr/equipement/2657404-pvp-dopou/objets", "link")</f>
        <v/>
      </c>
      <c r="C18686" t="n">
        <v>8</v>
      </c>
      <c r="D18686" t="inlineStr">
        <is>
          <t>Arc du Chalœil; Torquistik; Bague Instable; Bague Trithon; Bouclier précieux; Sangle Ouare; Casque Dragoeuf; Cape Solution; Bottistik; Dofus Émeraude; Dofus Ivoire; Remueur; Bousculeur majeur; Culbuteur majeur; Culbuteur; Tofu Poisseux</t>
        </is>
      </c>
    </row>
    <row r="18687">
      <c r="A18687" t="inlineStr">
        <is>
          <t>Féca F 200</t>
        </is>
      </c>
      <c r="B18687">
        <f>HYPERLINK("https://www.dofusbook.net/fr/equipement/3758136-feca-f-200/objets", "link")</f>
        <v/>
      </c>
      <c r="C18687" t="n">
        <v>3</v>
      </c>
      <c r="D18687" t="inlineStr">
        <is>
          <t>Arc Nécrotique; Collier de la Dame du Hasard; Bague Trithon; Anneau Toriété; Quatre-feuilles; Ceintacé; Masque Trithon; Cape de la Dame du Hasard; Bottes de la Dame du Hasard; Dofus Émeraude; Dofus Abyssal; Dofus Turquoise; Dofus Pourpre; Dofus Ivoire; Dofus des Glaces; Godron Bontarien</t>
        </is>
      </c>
    </row>
    <row r="18688">
      <c r="A18688" t="inlineStr">
        <is>
          <t>Deadara</t>
        </is>
      </c>
      <c r="B18688">
        <f>HYPERLINK("https://www.dofusbook.net/fr/equipement/2325316-deadara/objets", "link")</f>
        <v/>
      </c>
      <c r="C18688" t="n">
        <v>1</v>
      </c>
      <c r="D18688" t="inlineStr">
        <is>
          <t>Baguette Hique; Amulette du Strigide; Bague Trithon; Anneau Toriété; Quatre-feuilles; Ceinture du Strigide; Masque Trithon; Cape de la Dame du Hasard; Bottes du Strigide; Dolmanax; Dofus Ocre; Dofus Pourpre; Dofus des Glaces; Dofus Turquoise; Godron Bontarien</t>
        </is>
      </c>
    </row>
    <row r="18689">
      <c r="A18689" t="inlineStr">
        <is>
          <t>res</t>
        </is>
      </c>
      <c r="B18689">
        <f>HYPERLINK("https://www.dofusbook.net/fr/equipement/2986749-res/objets", "link")</f>
        <v/>
      </c>
      <c r="C18689" t="n">
        <v>1</v>
      </c>
      <c r="D18689" t="inlineStr">
        <is>
          <t>Pelle de la Cour Sombre; Collier du Valet Veinard; Alliance Gloursonne; Gant du Valet Veinard; Bouclier d'Ilyzaelle; Menoture; Couronne d'Allister; Cape Indescriptible; Palmes Trithons; Dofus des Glaces; Dofus Ocre; Dofus Ivoire; Dévastateur Air majeur; Cascadeur majeur; Nomade; Blérodoudou</t>
        </is>
      </c>
    </row>
    <row r="18690">
      <c r="A18690" t="inlineStr">
        <is>
          <t>Full-rox</t>
        </is>
      </c>
      <c r="B18690">
        <f>HYPERLINK("https://www.dofusbook.net/fr/equipement/3586672-full-rox/objets", "link")</f>
        <v/>
      </c>
      <c r="C18690" t="n">
        <v>0</v>
      </c>
      <c r="D18690" t="inlineStr">
        <is>
          <t>Manthache; Collier du Valet Veinard; Alliance Gloursonne; Gant du Valet Veinard; Bouclier du Stalak; Menoture; Couronne d'Allister; Cape Indescriptible; Palmes Trithons; Dofus des Glaces; Dofus Ocre; Dofus Ivoire; Nomade; Dévastateur Air majeur; Cascadeur majeur; Blérodoudou</t>
        </is>
      </c>
    </row>
    <row r="18691">
      <c r="A18691" t="inlineStr">
        <is>
          <t>retrai-PA</t>
        </is>
      </c>
      <c r="B18691">
        <f>HYPERLINK("https://www.dofusbook.net/fr/equipement/3217923-retrai-pa/objets", "link")</f>
        <v/>
      </c>
      <c r="C18691" t="n">
        <v>12</v>
      </c>
      <c r="D18691" t="inlineStr">
        <is>
          <t>Dagoulinantes; Amulette de Shokkoth; Alliance Gloursonne; Bracelet des Fonds marins; Bouclier du Stalak; Culotte de Bethel; Masque de Funespadon; Cape Solution; Pataugastrique; Dofus Ivoire; Dofus des Glaces; Chanceux majeur; Nomade; Étourdisseur majeur; Dévastateur Eau majeur; Kanigloups</t>
        </is>
      </c>
    </row>
    <row r="18692">
      <c r="A18692" t="inlineStr">
        <is>
          <t>Test-do</t>
        </is>
      </c>
      <c r="B18692">
        <f>HYPERLINK("https://www.dofusbook.net/fr/equipement/3026565-test-do/objets", "link")</f>
        <v/>
      </c>
      <c r="C18692" t="n">
        <v>3</v>
      </c>
      <c r="D18692" t="inlineStr">
        <is>
          <t>Arc du Chalœil; Amulette Luminescente; Bague Gloursonne; Bague Trithon; Bouclier d'Ilyzaelle; Ceinture Luminescente; Masque Trithon; Cape Luminescente; Bottes Trithon; Dofus Ocre; Dofus Turquoise; Dofus des Glaces; Dofus Pourpre; Dofus Abyssal; Sakochère</t>
        </is>
      </c>
    </row>
    <row r="18693">
      <c r="A18693" t="inlineStr">
        <is>
          <t>Sadida F 200</t>
        </is>
      </c>
      <c r="B18693">
        <f>HYPERLINK("https://www.dofusbook.net/fr/equipement/3602950-sadida-f-200/objets", "link")</f>
        <v/>
      </c>
      <c r="C18693" t="n">
        <v>3</v>
      </c>
      <c r="D18693" t="inlineStr">
        <is>
          <t>Epée Gloursonne; Amulette de l'Œil Putride; Alliance Gloursonne; Bague Gloursonne; Bouclier du Stalak; Ceinture de l'Esprit Salvateur; Masque de l'Esprit Salvateur; Cape de l'Œil Putride; Bottes de l'Esprit Salvateur; Dofus Ivoire; Dofus Pourpre; Dofus des Glaces; Dolmanax; Dofus Ocre; Entraveur majeur; Muldo Ebène et Pourpre</t>
        </is>
      </c>
    </row>
    <row r="18694">
      <c r="A18694" t="inlineStr">
        <is>
          <t>Sadida eau</t>
        </is>
      </c>
      <c r="B18694">
        <f>HYPERLINK("https://www.dofusbook.net/fr/equipement/3382475-sadida-eau/objets", "link")</f>
        <v/>
      </c>
      <c r="C18694" t="n">
        <v>3</v>
      </c>
      <c r="D18694" t="inlineStr">
        <is>
          <t>Sceptre du Roi Joueur; Amulette de l'Œil Attentif; Alliance Gloursonne; Bouclier du Stalak; Ceinture de la Reine des Voleurs; Capuche de l'Œil Attentif; Cape de l'Œil Attentif; Bottes de la Reine des Voleurs; Dofus des Glaces; Dofus Pourpre; Dofus Ivoire; Dofus Ocre; Kanigloups</t>
        </is>
      </c>
    </row>
    <row r="18695">
      <c r="A18695" t="inlineStr">
        <is>
          <t>PVM-Terre</t>
        </is>
      </c>
      <c r="B18695">
        <f>HYPERLINK("https://www.dofusbook.net/fr/equipement/3699333-pvm-terre/objets", "link")</f>
        <v/>
      </c>
      <c r="C18695" t="n">
        <v>1</v>
      </c>
      <c r="D18695" t="inlineStr">
        <is>
          <t>Hache du Guerrier Zoth; Amulette du Nocturlabe; Anneau de Brouce; Bague Gloursonne; Bouclier d'Ilyzaelle; Ceinture Bine; Coiffe du Comte Harebourg; Cape du Professeur Xa; Bottes de Brouce; Dofus Kaliptus; Enragé majeur; Dévastateur Terre majeur; Forcené majeur; Furibond majeur; Remueur; Dragodinde Turquoise et Pourpre</t>
        </is>
      </c>
    </row>
    <row r="18696">
      <c r="A18696" t="inlineStr">
        <is>
          <t>pvm-eca</t>
        </is>
      </c>
      <c r="B18696">
        <f>HYPERLINK("https://www.dofusbook.net/fr/equipement/1405454-pvm-eca/objets", "link")</f>
        <v/>
      </c>
      <c r="C18696" t="n">
        <v>2</v>
      </c>
      <c r="D18696" t="inlineStr">
        <is>
          <t>Bâtonnet Ronien; Amulette de l'Œil Putride; Anneau de Padgref; Alliance Gloursonne; Bouclier du Stalak; Ceinture de l'Esprit Salvateur; Masque de l'Esprit Salvateur; Cape de l'Œil Putride; Bottes de l'Esprit Salvateur; Dofus Pourpre; Dofus des Glaces; Dofus Ocre; Dofus Abyssal; Dofus Turquoise; Dofus Ivoire; Muldo Ebène</t>
        </is>
      </c>
    </row>
    <row r="18697">
      <c r="A18697" t="inlineStr">
        <is>
          <t>Stuff 1</t>
        </is>
      </c>
      <c r="B18697">
        <f>HYPERLINK("https://www.dofusbook.net/fr/equipement/155822-stuff-1/objets", "link")</f>
        <v/>
      </c>
      <c r="C18697" t="n">
        <v>4</v>
      </c>
      <c r="D18697" t="inlineStr">
        <is>
          <t>Arc corrompu; Amulette de Nileza; Anneauræus; Anneauræus; Bouclier du Stalak; Ceinture de Vortex; Heaume Oplate; Cape de Nileza; Bottes Innommables; Dofus Pourpre; Dofus Turquoise; Dévastateur Feu majeur; Nomade; Remueur; Érudit majeur; Dragodinde Amande et Orchidée</t>
        </is>
      </c>
    </row>
    <row r="18698">
      <c r="A18698" t="inlineStr">
        <is>
          <t>Air</t>
        </is>
      </c>
      <c r="B18698">
        <f>HYPERLINK("https://www.dofusbook.net/fr/equipement/2987828-air/objets", "link")</f>
        <v/>
      </c>
      <c r="C18698" t="n">
        <v>2</v>
      </c>
      <c r="D18698" t="inlineStr">
        <is>
          <t>Manthache; Collier du Valet Veinard; Alliance Gloursonne; Gant du Valet Veinard; Bouclier du Stalak; Menoture; Casque Dragoeuf; Cape Indescriptible; Palmes Trithons; Dofus Abyssal; Dofus Pourpre; Dofus Émeraude; Cascadeur majeur; Dévastateur Air majeur; Remueur; Muldo Ebène</t>
        </is>
      </c>
    </row>
    <row r="18699">
      <c r="A18699" t="inlineStr">
        <is>
          <t>stri-glour-chaloeil</t>
        </is>
      </c>
      <c r="B18699">
        <f>HYPERLINK("https://www.dofusbook.net/fr/equipement/1654415-stri-glour-chaloeil/objets", "link")</f>
        <v/>
      </c>
      <c r="C18699" t="n">
        <v>1</v>
      </c>
      <c r="D18699" t="inlineStr">
        <is>
          <t>Arc du Chalœil; Collier de Tourthon; Anneau du Comte Harebourg; Bague Gloursonne; Bouclier du Stalak; Ceinture Volkorne; Masque de Koutoulou; Cape au Logis; Bottes du Comte Harebourg; Dofus Pourpre; Dofus Abyssal; Dofus Nébuleux; Remueur; Enragé majeur; Dragodinde Amande et Pourpre</t>
        </is>
      </c>
    </row>
    <row r="18700">
      <c r="A18700" t="inlineStr">
        <is>
          <t>eau-invocation</t>
        </is>
      </c>
      <c r="B18700">
        <f>HYPERLINK("https://www.dofusbook.net/fr/equipement/2846098-eau-invocation/objets", "link")</f>
        <v/>
      </c>
      <c r="C18700" t="n">
        <v>4</v>
      </c>
      <c r="D18700" t="inlineStr">
        <is>
          <t>Sceptre du Roi Joueur; Amulette de Shokkoth; Alliance Gloursonne; Bracelet des Fonds marins; Cadran de Feu; Sangle Ouare; Masque d'Anerice; Cape d'Anerice; Pataugastrique; Dofus Émeraude; Carapace Eau majeur; Carapace Terre majeur; Dévastateur Eau majeur; Chanceux majeur; Remueur; Dragodinde Amande et Indigo</t>
        </is>
      </c>
    </row>
    <row r="18701">
      <c r="A18701" t="inlineStr">
        <is>
          <t>Surprise-mothefuckeu</t>
        </is>
      </c>
      <c r="B18701">
        <f>HYPERLINK("https://www.dofusbook.net/fr/equipement/2831222-surprise-mothefuckeu/objets", "link")</f>
        <v/>
      </c>
      <c r="C18701" t="n">
        <v>3</v>
      </c>
      <c r="D18701" t="inlineStr">
        <is>
          <t>Dagues Érhy; Collier de Tourthon; Anneau du Comte Harebourg; Anneau Crustique; Bouclier du Stalak; Ceinture Volkorne; Masque de Koutoulou; Cape au Logis; Bottes du Comte Harebourg; Dofus Ivoire; Dofus Ocre; Dofus Émeraude; Dofus Pourpre; Dofus Abyssal; Miraculé majeur; Dragodinde Dorée et Pourpre</t>
        </is>
      </c>
    </row>
    <row r="18702">
      <c r="A18702" t="inlineStr">
        <is>
          <t>rox</t>
        </is>
      </c>
      <c r="B18702">
        <f>HYPERLINK("https://www.dofusbook.net/fr/equipement/1329309-rox/objets", "link")</f>
        <v/>
      </c>
      <c r="C18702" t="n">
        <v>3</v>
      </c>
      <c r="D18702" t="inlineStr">
        <is>
          <t>Marteau R'ture; Collier de Tourthon; Bague Gloursonne; Anneau Chevelu; Bouclier du Stalak; Ceinture de la Reine des Voleurs; Coiffe de la Reine des Voleurs; Cape au Logis; Bottes de la Cour Sombre; Dofus Abyssal; Dofus des Glaces; Dofus Ivoire; Dofus Pourpre; Dofus Ocre</t>
        </is>
      </c>
    </row>
    <row r="18703">
      <c r="A18703" t="inlineStr">
        <is>
          <t>Ouginak F 200</t>
        </is>
      </c>
      <c r="B18703">
        <f>HYPERLINK("https://www.dofusbook.net/fr/equipement/3421524-ouginak-f-200/objets", "link")</f>
        <v/>
      </c>
      <c r="C18703" t="n">
        <v>3</v>
      </c>
      <c r="D18703" t="inlineStr">
        <is>
          <t>Baguette de Malléfisk; Amulette de Nileza; Anneauræus; Anneauræus; Bouclier du Stalak; Ceinture de Vortex; Heaume Oplate; Cape de Nileza; Bottes Innommables; Dofus Pourpre; Dofus Ivoire; Dofus Vulbis; Dofus Ocre; Dofus Abyssal; Érudit majeur; Dragodinde Amande et Orchidée</t>
        </is>
      </c>
    </row>
    <row r="18704">
      <c r="A18704" t="inlineStr">
        <is>
          <t>Steamer M 200</t>
        </is>
      </c>
      <c r="B18704">
        <f>HYPERLINK("https://www.dofusbook.net/fr/equipement/3615621-steamer-m-200/objets", "link")</f>
        <v/>
      </c>
      <c r="C18704" t="n">
        <v>1</v>
      </c>
      <c r="D18704" t="inlineStr">
        <is>
          <t>Arc corrompu; Amulette de Nileza; Anneauræus; Anneauræus; Bouclier du Stalak; Ceinture de Vortex; Heaume Oplate; Cape de Nileza; Bottes Innommables; Dofus Abyssal; Dofus Pourpre; Dofus Ivoire; Dofus Vulbis; Dofus Ocre; Érudit majeur; Dragodinde Amande et Orchidée</t>
        </is>
      </c>
    </row>
    <row r="18705">
      <c r="A18705" t="inlineStr">
        <is>
          <t>Feu-Ret</t>
        </is>
      </c>
      <c r="B18705">
        <f>HYPERLINK("https://www.dofusbook.net/fr/equipement/3232995-feu-ret/objets", "link")</f>
        <v/>
      </c>
      <c r="C18705" t="n">
        <v>5</v>
      </c>
      <c r="D18705" t="inlineStr">
        <is>
          <t>Arc corrompu; Pendentif affamé; Anneau Rifique; Anneauræus; Sept ans de malheur; Ceinture de Vortex; Masque Ardent; Cape de Diondin; Chaussures Ardentes; Dofus Ivoire; Dofus Ocre; Étourdisseur majeur; Déserteur majeur; Vagabond majeur; Érudit majeur; Muldo Orchidée et Amande</t>
        </is>
      </c>
    </row>
    <row r="18706">
      <c r="A18706" t="inlineStr">
        <is>
          <t>Eniripsa F 200</t>
        </is>
      </c>
      <c r="B18706">
        <f>HYPERLINK("https://www.dofusbook.net/fr/equipement/3609189-eniripsa-f-200/objets", "link")</f>
        <v/>
      </c>
      <c r="C18706" t="n">
        <v>1</v>
      </c>
      <c r="D18706" t="inlineStr">
        <is>
          <t>Manthache; Collier du Valet Veinard; Gant du Valet Veinard; Alliance Gloursonne; Sept ans de malheur; Menoture; Casque Volkorne; Cape de Crânonier; Palmes Trithons; Dofus Ivoire; Dofus Ocre; Déserteur majeur; Étourdisseur majeur; Paralyseur majeur; Cascadeur majeur; Muldo Ebène et Amande</t>
        </is>
      </c>
    </row>
    <row r="18707">
      <c r="A18707" t="inlineStr">
        <is>
          <t>Sadida M 200</t>
        </is>
      </c>
      <c r="B18707">
        <f>HYPERLINK("https://www.dofusbook.net/fr/equipement/3603106-sadida-m-200/objets", "link")</f>
        <v/>
      </c>
      <c r="C18707" t="n">
        <v>1</v>
      </c>
      <c r="D18707" t="inlineStr">
        <is>
          <t>Dagues Érhy; Amulette Volcanique; Anneau Volkorne; Anneau Chevelu; Bouclier cubiste; Ceinture Volkorne; Casque Dragoeuf; Sac Volcanique; Sabots Volcaniques; Dofus Pourpre; Dofus Ocre; Dofus Vulbis; Dofus Ivoire; Dofus Émeraude; Entraveur majeur; Volkorne Améthyste et Turquoise</t>
        </is>
      </c>
    </row>
    <row r="18708">
      <c r="A18708" t="inlineStr">
        <is>
          <t>Sadida M 200</t>
        </is>
      </c>
      <c r="B18708">
        <f>HYPERLINK("https://www.dofusbook.net/fr/equipement/3357917-sadida-m-200/objets", "link")</f>
        <v/>
      </c>
      <c r="C18708" t="n">
        <v>3</v>
      </c>
      <c r="D18708" t="inlineStr">
        <is>
          <t>Baguette Hique; Amulette Volkorne; Anneau Volkorne; Alliance Gloursonne; Bouclier cubiste; Ceinture de l'Esprit Malsain; Casquette de Meno; Cape de Meno; Bottes de Meno; Dofus Ocre; Dofus Turquoise; Dofus des Glaces; Dofus Pourpre; Dofus Vulbis; Entraveur majeur; Volkorne Jade et Turquoise</t>
        </is>
      </c>
    </row>
    <row r="18709">
      <c r="A18709" t="inlineStr">
        <is>
          <t>Sadida F 200</t>
        </is>
      </c>
      <c r="B18709">
        <f>HYPERLINK("https://www.dofusbook.net/fr/equipement/3321280-sadida-f-200/objets", "link")</f>
        <v/>
      </c>
      <c r="C18709" t="n">
        <v>2</v>
      </c>
      <c r="D18709" t="inlineStr">
        <is>
          <t>Baguette Hique; Collier de la Dame du Hasard; Bracelet du Piloztère; Alliance Gloursonne; Bouclier cubiste; Poulpagne; Coiffe du Lévitrof; Cape de Meno; Bottes de Meno; Dofus Ivoire; Dofus Pourpre; Dofus Turquoise; Dofus Ocre; Temporiseur majeur; Entraveur majeur; Muldo Ebène et Indigo</t>
        </is>
      </c>
    </row>
    <row r="18710">
      <c r="A18710" t="inlineStr">
        <is>
          <t>Feu-pm</t>
        </is>
      </c>
      <c r="B18710">
        <f>HYPERLINK("https://www.dofusbook.net/fr/equipement/3586652-feu-pm/objets", "link")</f>
        <v/>
      </c>
      <c r="C18710" t="n">
        <v>1</v>
      </c>
      <c r="D18710" t="inlineStr">
        <is>
          <t>Arc corrompu; Amulette de l'Œil Putride; Anneauræus; Anneauræus; Bouclier cubiste; Ceinture de l'Esprit Malsain; Heaume Oplate; Cape de l'Œil Putride; Chaussures Ardentes; Dofus Abyssal; Dofus Vulbis; Dofus Ivoire; Entraveur majeur; Temporiseur majeur; Érudit majeur; Volkorne Améthyste et Turquoise</t>
        </is>
      </c>
    </row>
    <row r="18711">
      <c r="A18711" t="inlineStr">
        <is>
          <t>Sadida F 200</t>
        </is>
      </c>
      <c r="B18711">
        <f>HYPERLINK("https://www.dofusbook.net/fr/equipement/3602923-sadida-f-200/objets", "link")</f>
        <v/>
      </c>
      <c r="C18711" t="n">
        <v>0</v>
      </c>
      <c r="D18711" t="inlineStr"/>
    </row>
    <row r="18712">
      <c r="A18712" t="inlineStr">
        <is>
          <t>Sadida F 200</t>
        </is>
      </c>
      <c r="B18712">
        <f>HYPERLINK("https://www.dofusbook.net/fr/equipement/3602898-sadida-f-200/objets", "link")</f>
        <v/>
      </c>
      <c r="C18712" t="n">
        <v>1</v>
      </c>
      <c r="D18712" t="inlineStr">
        <is>
          <t>Arc corrompu; Amulette de l'Œil Putride; Anneauræus; Anneau de Nidas; Bouclier cubiste; Ceinture de l'Esprit Malsain; Capuche de l'Œil Putride; Cape de Diondin; Chaussures Ardentes; Dofus Ivoire; Dofus Ocre; Carapace Feu majeur; Érudit majeur; Temporiseur majeur; Entraveur majeur; Muldo Orchidée et Amande</t>
        </is>
      </c>
    </row>
    <row r="18713">
      <c r="A18713" t="inlineStr">
        <is>
          <t>Sadida F 200</t>
        </is>
      </c>
      <c r="B18713">
        <f>HYPERLINK("https://www.dofusbook.net/fr/equipement/3602866-sadida-f-200/objets", "link")</f>
        <v/>
      </c>
      <c r="C18713" t="n">
        <v>1</v>
      </c>
      <c r="D18713" t="inlineStr">
        <is>
          <t>Dagues Érhy; Amulette Martegel; Gant du Valet Veinard; Alliance Gloursonne; Bouclier cubiste; Menoture; Casque Dragoeuf; Cape Martegel; Palmes Trithons; Dofus Ocre; Dofus Ivoire; Dofus Pourpre; Dofus Vulbis; Entraveur majeur; Temporiseur majeur; Dragodinde Dorée et Ebène</t>
        </is>
      </c>
    </row>
    <row r="18714">
      <c r="A18714" t="inlineStr">
        <is>
          <t>Sadida M 200</t>
        </is>
      </c>
      <c r="B18714">
        <f>HYPERLINK("https://www.dofusbook.net/fr/equipement/3314209-sadida-m-200/objets", "link")</f>
        <v/>
      </c>
      <c r="C18714" t="n">
        <v>7</v>
      </c>
      <c r="D18714" t="inlineStr">
        <is>
          <t>Arc Honte; Amulette de l'Œil Putride; Alliance Gloursonne; Bague Gloursonne; Bouclier cubiste; Ceinture de l'Esprit Salvateur; Masque de l'Esprit Salvateur; Cape de l'Œil Putride; Bottes de l'Esprit Salvateur; Dofus Ocre; Dofus Ivoire; Dofus des Glaces; Dofus Pourpre; Dofus Vulbis; Entraveur majeur; Volkorne Jade et Turquoise</t>
        </is>
      </c>
    </row>
    <row r="18715">
      <c r="A18715" t="inlineStr">
        <is>
          <t>Retrai</t>
        </is>
      </c>
      <c r="B18715">
        <f>HYPERLINK("https://www.dofusbook.net/fr/equipement/3520571-retrai/objets", "link")</f>
        <v/>
      </c>
      <c r="C18715" t="n">
        <v>2</v>
      </c>
      <c r="D18715" t="inlineStr">
        <is>
          <t>Dagues Érhy; Amulette Volcanique; Anneau Volkorne; Alliance du Lévitrof; Bouclier cubiste; Ceinture Volkorne; Casque Dragoeuf; Sac Volcanique; Sabots Volcaniques; Dofus Ocre; Dofus Pourpre; Dofus Forgelave; Dofus Vulbis; Dofus Ivoire; Entraveur majeur; Dragodinde Amande et Pourpre</t>
        </is>
      </c>
    </row>
    <row r="18716">
      <c r="A18716" t="inlineStr">
        <is>
          <t>Sadida M 200</t>
        </is>
      </c>
      <c r="B18716">
        <f>HYPERLINK("https://www.dofusbook.net/fr/equipement/3589135-sadida-m-200/objets", "link")</f>
        <v/>
      </c>
      <c r="C18716" t="n">
        <v>2</v>
      </c>
      <c r="D18716" t="inlineStr">
        <is>
          <t>Sceptre du Roi Joueur; Amulette de Shokkoth; Alliance Gloursonne; Anneau Volkorne; Bouclier du Stalak; Poulpagne; Masque d'Anerice; Cape d'Anerice; Bottes du Sinistrofu; Dofus des Glaces; Dofus Ocre; Dofus Ivoire; Dofus Pourpre; Dofus Abyssal; Chanceux majeur; Muldo Ebène et Orchidée</t>
        </is>
      </c>
    </row>
    <row r="18717">
      <c r="A18717" t="inlineStr">
        <is>
          <t>Sram F 200</t>
        </is>
      </c>
      <c r="B18717">
        <f>HYPERLINK("https://www.dofusbook.net/fr/equipement/3480677-sram-f-200/objets", "link")</f>
        <v/>
      </c>
      <c r="C18717" t="n">
        <v>0</v>
      </c>
      <c r="D18717" t="inlineStr">
        <is>
          <t>Manthache; Collier du Valet Veinard; Alliance Gloursonne; Gant du Valet Veinard; Bouclier du Stalak; Menoture; Couronne d'Allister; Cape de la Fuji Givrefoux; Palmes Trithons; Dofus Pourpre; Saccageur Air majeur; Equilibriste majeur; Remueur; Dévastateur Air majeur; Cascadeur majeur; Dragodinde Prune et Ebène</t>
        </is>
      </c>
    </row>
    <row r="18718">
      <c r="A18718" t="inlineStr">
        <is>
          <t>feu</t>
        </is>
      </c>
      <c r="B18718">
        <f>HYPERLINK("https://www.dofusbook.net/fr/equipement/1957532-feu/objets", "link")</f>
        <v/>
      </c>
      <c r="C18718" t="n">
        <v>7</v>
      </c>
      <c r="D18718" t="inlineStr">
        <is>
          <t>Manthache; Collier du Valet Veinard; Gant du Valet Veinard; Anneau d'Allister; Bouclier du Stalak; Ceinture Voldelor; Couronne d'Allister; Cape du Valet Veinard; Bottes d'Allister; Dofus des Glaces; Dofus Vulbis; Dofus Ivoire; Dofus Ocre; Dofus Pourpre; Ravageur Air majeur; Dragodinde Ebène</t>
        </is>
      </c>
    </row>
    <row r="18719">
      <c r="A18719" t="inlineStr">
        <is>
          <t>Sadida M 200</t>
        </is>
      </c>
      <c r="B18719">
        <f>HYPERLINK("https://www.dofusbook.net/fr/equipement/3586643-sadida-m-200/objets", "link")</f>
        <v/>
      </c>
      <c r="C18719" t="n">
        <v>0</v>
      </c>
      <c r="D18719" t="inlineStr">
        <is>
          <t>Arc corrompu; Amulette de Nileza; Anneauræus; Anneauræus; Bouclier du Stalak; Ceinture de Vortex; Heaume Oplate; Cape de Nileza; Bottes Innommables; Dofus Ocre; Dofus Abyssal; Dofus Émeraude; Dofus Vulbis; Dofus Ivoire; Érudit majeur; Dragodinde Ivoire et Orchidée</t>
        </is>
      </c>
    </row>
    <row r="18720">
      <c r="A18720" t="inlineStr">
        <is>
          <t>Retrai-pm</t>
        </is>
      </c>
      <c r="B18720">
        <f>HYPERLINK("https://www.dofusbook.net/fr/equipement/3528510-retrai-pm/objets", "link")</f>
        <v/>
      </c>
      <c r="C18720" t="n">
        <v>2</v>
      </c>
      <c r="D18720" t="inlineStr">
        <is>
          <t>Manthache; Amulette Martegel; Alliance Gloursonne; Gant du Valet Veinard; Bouclier cubiste; Menoture; Chapeau de Tournoyé; Cape de Crânonier; Palmes Trithons; Dofus Vulbis; Dofus des Glaces; Dofus Ivoire; Entraveur majeur; Cascadeur majeur; Temporiseur majeur; Volkorne Améthyste et Turquoise</t>
        </is>
      </c>
    </row>
    <row r="18721">
      <c r="A18721" t="inlineStr">
        <is>
          <t>Eniripsa F 200</t>
        </is>
      </c>
      <c r="B18721">
        <f>HYPERLINK("https://www.dofusbook.net/fr/equipement/3577753-eniripsa-f-200/objets", "link")</f>
        <v/>
      </c>
      <c r="C18721" t="n">
        <v>0</v>
      </c>
      <c r="D18721" t="inlineStr">
        <is>
          <t>Arc corrompu; Amulette Volkorne; Anneauræus; Anneauræus; Bouclier cubiste; Ceinture Séculaire; Masque Ardent; Cape Martegel; Chaussures Ardentes; Dofus Ivoire; Dofus Ocre; Dofus Vulbis; Déserteur majeur; Érudit majeur; Temporiseur majeur; Volkorne Ivoire et Turquoise</t>
        </is>
      </c>
    </row>
    <row r="18722">
      <c r="A18722" t="inlineStr">
        <is>
          <t>Eniripsa F 200</t>
        </is>
      </c>
      <c r="B18722">
        <f>HYPERLINK("https://www.dofusbook.net/fr/equipement/3577641-eniripsa-f-200/objets", "link")</f>
        <v/>
      </c>
      <c r="C18722" t="n">
        <v>1</v>
      </c>
      <c r="D18722" t="inlineStr">
        <is>
          <t>Manthache; Collier du Valet Veinard; Alliance Gloursonne; Gant du Valet Veinard; Bouclier du Stalak; Menoture; Couronne d'Allister; Cape Martegel; Palmes Trithons; Dofus Ocre; Dofus Ivoire; Dofus Abyssal; Dofus Pourpre; Vagabond majeur; Déserteur majeur; Muldo Ebène et Orchidée</t>
        </is>
      </c>
    </row>
    <row r="18723">
      <c r="A18723" t="inlineStr">
        <is>
          <t>Sadida F 200</t>
        </is>
      </c>
      <c r="B18723">
        <f>HYPERLINK("https://www.dofusbook.net/fr/equipement/3517337-sadida-f-200/objets", "link")</f>
        <v/>
      </c>
      <c r="C18723" t="n">
        <v>3</v>
      </c>
      <c r="D18723" t="inlineStr">
        <is>
          <t>Pyraguette; Amulette Martegel; Anneau Tique; Anneauræus; Bouclier cubiste; Ceinture de l'Esprit Malsain; Capuche de l'Œil Putride; Cape de l'Œil Putride; Bottes Innommables; Dofus Ocre; Dofus des Glaces; Dofus Ivoire; Dofus Vulbis; Dofus Forgelave; Temporiseur majeur; Volkorne Amande et Turquoise</t>
        </is>
      </c>
    </row>
    <row r="18724">
      <c r="A18724" t="inlineStr">
        <is>
          <t>Eau-tank</t>
        </is>
      </c>
      <c r="B18724">
        <f>HYPERLINK("https://www.dofusbook.net/fr/equipement/3232913-eau-tank/objets", "link")</f>
        <v/>
      </c>
      <c r="C18724" t="n">
        <v>4</v>
      </c>
      <c r="D18724" t="inlineStr">
        <is>
          <t>Sceptre du Roi Joueur; Amulette de Shokkoth; Alliance Gloursonne; Bracelet des Fonds marins; Bouclier du Stalak; Poulpagne; Masque d'Anerice; Cape d'Anerice; Bottes du Sinistrofu; Dofus Pourpre; Dofus Émeraude; Remueur; Dévastateur Eau majeur; Déserteur majeur; Chanceux majeur; Muldo Ebène et Indigo</t>
        </is>
      </c>
    </row>
    <row r="18725">
      <c r="A18725" t="inlineStr">
        <is>
          <t>Terre-retraiPM</t>
        </is>
      </c>
      <c r="B18725">
        <f>HYPERLINK("https://www.dofusbook.net/fr/equipement/3520564-terre-retraipm/objets", "link")</f>
        <v/>
      </c>
      <c r="C18725" t="n">
        <v>2</v>
      </c>
      <c r="D18725" t="inlineStr">
        <is>
          <t>Marteau R'ture; Amulette du Cœur Saignant; Anneau Crustique; Anneau Volkorne; Bouclier cubiste; Ceinture Volkorne; Casque Volkorne; Cape du Cœur Saignant; Bottes du Cœur Saignant; Dofus Turquoise; Dofus Abyssal; Dofus Ocre; Dofus Ivoire; Dofus Pourpre; Dofus Nébuleux; Volkorne Saphir et Turquoise</t>
        </is>
      </c>
    </row>
    <row r="18726">
      <c r="A18726" t="inlineStr">
        <is>
          <t>Répou-Eau</t>
        </is>
      </c>
      <c r="B18726">
        <f>HYPERLINK("https://www.dofusbook.net/fr/equipement/3534321-repou-eau/objets", "link")</f>
        <v/>
      </c>
      <c r="C18726" t="n">
        <v>0</v>
      </c>
      <c r="D18726" t="inlineStr">
        <is>
          <t>Baguette Héroclite; Amulette de l'Œil Attentif; Bracelet des Fonds marins; Alliance Gloursonne; Bouclier de Solar; Culotte de Bethel; Capuche de l'Œil Attentif; Cape de l'Œil Attentif; Sandales des Fonds marins; Dofus Forgelave; Dofus Ocre; Dofus Abyssal; Dofus Vulbis; Dofus Ivoire; Paralyseur majeur; Volkorne Amande et Ivoire</t>
        </is>
      </c>
    </row>
    <row r="18727">
      <c r="A18727" t="inlineStr">
        <is>
          <t>test</t>
        </is>
      </c>
      <c r="B18727">
        <f>HYPERLINK("https://www.dofusbook.net/fr/equipement/2926181-test/objets", "link")</f>
        <v/>
      </c>
      <c r="C18727" t="n">
        <v>1</v>
      </c>
      <c r="D18727" t="inlineStr">
        <is>
          <t>Dagoulinantes; Amulette de Shokkoth; Alliance Gloursonne; Anneau Volkorne; Sept ans de malheur; Culotte de Bethel; Masque de Funespadon; Cape de l'Œil Attentif; Chaussons de Macrab; Dofus Vulbis; Dofus Ocre; Dofus Ivoire; Dofus Émeraude; Dofus Abyssal; Engourdisseur majeur; Volkorne Améthyste et Ivoire</t>
        </is>
      </c>
    </row>
    <row r="18728">
      <c r="A18728" t="inlineStr">
        <is>
          <t>Roublard F 200</t>
        </is>
      </c>
      <c r="B18728">
        <f>HYPERLINK("https://www.dofusbook.net/fr/equipement/3520521-roublard-f-200/objets", "link")</f>
        <v/>
      </c>
      <c r="C18728" t="n">
        <v>2</v>
      </c>
      <c r="D18728" t="inlineStr">
        <is>
          <t>Arc corrompu; Amulette Martegel; Anneauræus; Anneauræus; Bouclier du Stalak; Ceintrigue; Cape Martegel; Bottes Owesli; Dofus Pourpre; Dofus Nébuleux; Dofus Ocre; Dofus Ivoire; Dofus Vulbis; Dofus des Glaces; Volkorne Rubis et Orchidée</t>
        </is>
      </c>
    </row>
    <row r="18729">
      <c r="A18729" t="inlineStr">
        <is>
          <t>feu</t>
        </is>
      </c>
      <c r="B18729">
        <f>HYPERLINK("https://www.dofusbook.net/fr/equipement/2721061-feu/objets", "link")</f>
        <v/>
      </c>
      <c r="C18729" t="n">
        <v>0</v>
      </c>
      <c r="D18729" t="inlineStr">
        <is>
          <t>Arc corrompu; Amulette Volkorne; Anneauræus; Anneau Volkorne; Bouclier du Stalak; Ceinture Volkorne; Masque Ardent; Cape Ardente; Chaussures Ardentes; Dofus Abyssal; Dofus des Glaces; Dofus Ivoire; Dofus Ocre; Dofus Nébuleux; Dofus Pourpre; Volkorne Rubis et Orchidée</t>
        </is>
      </c>
    </row>
    <row r="18730">
      <c r="A18730" t="inlineStr">
        <is>
          <t>Iop F 200</t>
        </is>
      </c>
      <c r="B18730">
        <f>HYPERLINK("https://www.dofusbook.net/fr/equipement/3480656-iop-f-200/objets", "link")</f>
        <v/>
      </c>
      <c r="C18730" t="n">
        <v>1</v>
      </c>
      <c r="D18730" t="inlineStr">
        <is>
          <t>Epée Kari; Amulette Héroclite; Anneau de Brouce; Bague Gloursonne; Cadran d'Eau; Ceinture de Brouce; Bonnet Ko; Cape au Logis; Bottes de Brouce; Dofus Abyssal; Dofus Pourpre; Dofus Turquoise; Forcené majeur; Voyageur; Furibond majeur; Dragodinde Pourpre</t>
        </is>
      </c>
    </row>
    <row r="18731">
      <c r="A18731" t="inlineStr">
        <is>
          <t>Féca M 200</t>
        </is>
      </c>
      <c r="B18731">
        <f>HYPERLINK("https://www.dofusbook.net/fr/equipement/3468804-feca-m-200/objets", "link")</f>
        <v/>
      </c>
      <c r="C18731" t="n">
        <v>0</v>
      </c>
      <c r="D18731" t="inlineStr">
        <is>
          <t>Arc de Koutoulou; Amulette du Strigide; Bague Trithon; Alliance Gloursonne; Bouclier du Stalak; Ceinture du Strigide; Masque Trithon; Chevelure de Tal Kasha; Bottes Trithon; Dofus Ivoire; Dofus Turquoise; Dofus Ocre; Dofus des Glaces; Dofus Pourpre; Dofus Abyssal; Muldo Ebène</t>
        </is>
      </c>
    </row>
    <row r="18732">
      <c r="A18732" t="inlineStr">
        <is>
          <t>air-thanos</t>
        </is>
      </c>
      <c r="B18732">
        <f>HYPERLINK("https://www.dofusbook.net/fr/equipement/2951724-air-thanos/objets", "link")</f>
        <v/>
      </c>
      <c r="C18732" t="n">
        <v>2</v>
      </c>
      <c r="D18732" t="inlineStr">
        <is>
          <t>Collier du Valet Veinard; Alliance Gloursonne; Gant du Valet Veinard; Bouclier du Stalak; Menoture; Couronne d'Allister; Cape Indescriptible; Palmes Trithons; Dofus Vulbis; Dofus Pourpre; Dofus Ocre; Dofus Ivoire; Dofus des Glaces; Cascadeur majeur; Dragodinde Amande et Ebène</t>
        </is>
      </c>
    </row>
    <row r="18733">
      <c r="A18733" t="inlineStr">
        <is>
          <t>Roublard M 200</t>
        </is>
      </c>
      <c r="B18733">
        <f>HYPERLINK("https://www.dofusbook.net/fr/equipement/3391782-roublard-m-200/objets", "link")</f>
        <v/>
      </c>
      <c r="C18733" t="n">
        <v>0</v>
      </c>
      <c r="D18733" t="inlineStr">
        <is>
          <t>Epée Gloursonne; Amulette Martegel; Bague Gloursonne; Alliance Gloursonne; Bouclier du Stalak; Ceinture du Strigide; Masquegel; Cape Martegel; Bottes du Strigide; Dofus Ocre; Dofus Ivoire; Dofus Pourpre; Dofus des Glaces; Dofus Vulbis; Dofus Abyssal; Dragodinde Prune et Ivoire</t>
        </is>
      </c>
    </row>
    <row r="18734">
      <c r="A18734" t="inlineStr">
        <is>
          <t>Stuff 2</t>
        </is>
      </c>
      <c r="B18734">
        <f>HYPERLINK("https://www.dofusbook.net/fr/equipement/155858-stuff-2/objets", "link")</f>
        <v/>
      </c>
      <c r="C18734" t="n">
        <v>7</v>
      </c>
      <c r="D18734" t="inlineStr">
        <is>
          <t>Manthache; Collier Rophante; Alliance Gloursonne; Gant du Valet Veinard; Carapar; Menoture; Masque d'Anerice; Cape d'Anerice; Palmes Trithons; Dofus Émeraude; Remueur; Cascadeur majeur; Carapace Air majeur; Miraculé majeur; Dragodinde Prune et Amande</t>
        </is>
      </c>
    </row>
    <row r="18735">
      <c r="A18735" t="inlineStr">
        <is>
          <t>feca-koli</t>
        </is>
      </c>
      <c r="B18735">
        <f>HYPERLINK("https://www.dofusbook.net/fr/equipement/1887066-feca-koli/objets", "link")</f>
        <v/>
      </c>
      <c r="C18735" t="n">
        <v>1</v>
      </c>
      <c r="D18735" t="inlineStr">
        <is>
          <t>Arc Hétype; Pendentif mignon de Koutoulou; Anneauræus; Anneauræus; Bouclier du Stalak; Ceinture de Vortex; Casque Cyclopéen; Cape de Diondin; Bottes Innommables; Dofus Pourpre; Dofus Abyssal; Savant majeur; Remueur; Dévastateur Feu majeur; Érudit majeur; Muldo Ebène et Orchidée</t>
        </is>
      </c>
    </row>
    <row r="18736">
      <c r="A18736" t="inlineStr">
        <is>
          <t>Terrz</t>
        </is>
      </c>
      <c r="B18736">
        <f>HYPERLINK("https://www.dofusbook.net/fr/equipement/2650274-terrz/objets", "link")</f>
        <v/>
      </c>
      <c r="C18736" t="n">
        <v>1</v>
      </c>
      <c r="D18736" t="inlineStr">
        <is>
          <t>Arc du Chalœil; Collier de Tourthon; Anneau Crustique; Anneau Crustique; Bouclier du Stalak; Ceintouse; Masque de Koutoulou; Cape de la Cour Sombre; Tentassons; Dofus Ivoire; Dofus Pourpre; Dofus Nébuleux; Enragé majeur; Étourdisseur majeur; Remueur; Muldo Pourpre</t>
        </is>
      </c>
    </row>
    <row r="18737">
      <c r="A18737" t="inlineStr">
        <is>
          <t>Koi</t>
        </is>
      </c>
      <c r="B18737">
        <f>HYPERLINK("https://www.dofusbook.net/fr/equipement/1423943-koi/objets", "link")</f>
        <v/>
      </c>
      <c r="C18737" t="n">
        <v>2</v>
      </c>
      <c r="D18737" t="inlineStr">
        <is>
          <t>Sceptre du Roi Joueur; Amulette de Shokkoth; Alliance Gloursonne; Bracelet des Fonds marins; Bouclier du Stalak; Poulpagne; Masque d'Anerice; Cape d'Anerice; Bottes du Sinistrofu; Paralyseur majeur; Étourdisseur majeur; Dévastateur Eau majeur; Engourdisseur majeur; Chanceux majeur; Remueur; Muldo Indigo</t>
        </is>
      </c>
    </row>
    <row r="18738">
      <c r="A18738" t="inlineStr">
        <is>
          <t>Ecaflip F 200</t>
        </is>
      </c>
      <c r="B18738">
        <f>HYPERLINK("https://www.dofusbook.net/fr/equipement/3389501-ecaflip-f-200/objets", "link")</f>
        <v/>
      </c>
      <c r="C18738" t="n">
        <v>0</v>
      </c>
      <c r="D18738" t="inlineStr"/>
    </row>
    <row r="18739">
      <c r="A18739" t="inlineStr">
        <is>
          <t>Ecaflip M 200</t>
        </is>
      </c>
      <c r="B18739">
        <f>HYPERLINK("https://www.dofusbook.net/fr/equipement/3386204-ecaflip-m-200/objets", "link")</f>
        <v/>
      </c>
      <c r="C18739" t="n">
        <v>0</v>
      </c>
      <c r="D18739" t="inlineStr">
        <is>
          <t>Sceptre du Roi Joueur; Amulette de Shokkoth; Alliance Gloursonne; Bracelet des Fonds marins; Bouclier du Stalak; Poulpagne; Masque d'Anerice; Cape d'Anerice; Bottes du Sinistrofu; Dofus Turquoise; Dofus Émeraude; Dofus Pourpre; Remueur; Chanceux majeur; Dévastateur Eau majeur; Muldo Ebène et Indigo</t>
        </is>
      </c>
    </row>
    <row r="18740">
      <c r="A18740" t="inlineStr">
        <is>
          <t>Sadida M 200</t>
        </is>
      </c>
      <c r="B18740">
        <f>HYPERLINK("https://www.dofusbook.net/fr/equipement/3382379-sadida-m-200/objets", "link")</f>
        <v/>
      </c>
      <c r="C18740" t="n">
        <v>5</v>
      </c>
      <c r="D18740" t="inlineStr">
        <is>
          <t>Hache du Korriandre; Amulette de Shokkoth; Bracelet des Fonds marins; Alliance Gloursonne; Bouclier du Stalak; Poulpagne; Némès de Tal Kasha; Cape du Sinistrofu; Bottes du Sinistrofu; Dofus Émeraude; Dofus Pourpre; Chanceux majeur; Remueur; Dévastateur Eau majeur; Étourdisseur majeur; Muldo Ebène et Indigo</t>
        </is>
      </c>
    </row>
    <row r="18741">
      <c r="A18741" t="inlineStr">
        <is>
          <t>Sadida M 200</t>
        </is>
      </c>
      <c r="B18741">
        <f>HYPERLINK("https://www.dofusbook.net/fr/equipement/3382362-sadida-m-200/objets", "link")</f>
        <v/>
      </c>
      <c r="C18741" t="n">
        <v>0</v>
      </c>
      <c r="D18741" t="inlineStr">
        <is>
          <t>Ceinture de l'Esprit Salvateur; Bottes de l'Esprit Salvateur; Dofus Pourpre; Dofus Émeraude; Remueur</t>
        </is>
      </c>
    </row>
    <row r="18742">
      <c r="A18742" t="inlineStr">
        <is>
          <t>eau-pvm</t>
        </is>
      </c>
      <c r="B18742">
        <f>HYPERLINK("https://www.dofusbook.net/fr/equipement/1131262-eau-pvm/objets", "link")</f>
        <v/>
      </c>
      <c r="C18742" t="n">
        <v>7</v>
      </c>
      <c r="D18742" t="inlineStr">
        <is>
          <t>Héqache; Amulette Luminescente; Bague Gloursonne; Anneau Chevelu; Bouclier du Stalak; Ceinture Luminescente; Masque de Koutoulou; Cape au Logis; Bottes de la Cour Sombre; Dofus Pourpre; Dofus Turquoise; Remueur; Enragé majeur; Kramkram</t>
        </is>
      </c>
    </row>
    <row r="18743">
      <c r="A18743" t="inlineStr">
        <is>
          <t>terre</t>
        </is>
      </c>
      <c r="B18743">
        <f>HYPERLINK("https://www.dofusbook.net/fr/equipement/2082128-terre/objets", "link")</f>
        <v/>
      </c>
      <c r="C18743" t="n">
        <v>4</v>
      </c>
      <c r="D18743" t="inlineStr">
        <is>
          <t>Arc du Chalœil; Collier de Tourthon; Bague Gloursonne; Anneau Chevelu; Bouclier du Stalak; Ceinture de Brouce; Masque de Koutoulou; Cape au Logis; Bottes de Brouce; Dofus Turquoise; Dofus Pourpre; Dofus Émeraude; Enragé majeur; Remueur; Déserteur majeur; Kramkram</t>
        </is>
      </c>
    </row>
    <row r="18744">
      <c r="A18744" t="inlineStr">
        <is>
          <t>Stuff 1</t>
        </is>
      </c>
      <c r="B18744">
        <f>HYPERLINK("https://www.dofusbook.net/fr/equipement/155857-stuff-1/objets", "link")</f>
        <v/>
      </c>
      <c r="C18744" t="n">
        <v>4</v>
      </c>
      <c r="D18744" t="inlineStr">
        <is>
          <t>Baguette de Malléfisk; Pendentif mignon de Koutoulou; Anneauræus; Anneauræus; Carapar; Ceinture de Vortex; Casque Cyclopéen; Cape de Diondin; Bottes Innommables; Dofus Émeraude; Carapace Terre majeur; Remueur; Érudit majeur; Miraculé majeur; Muldo Ebène et Orchidée</t>
        </is>
      </c>
    </row>
    <row r="18745">
      <c r="A18745" t="inlineStr">
        <is>
          <t>Blitzz-eau</t>
        </is>
      </c>
      <c r="B18745">
        <f>HYPERLINK("https://www.dofusbook.net/fr/equipement/3133022-blitzz-eau/objets", "link")</f>
        <v/>
      </c>
      <c r="C18745" t="n">
        <v>0</v>
      </c>
      <c r="D18745" t="inlineStr">
        <is>
          <t>Sceptre du Roi Joueur; Amulette de Shokkoth; Bracelet des Fonds marins; Alliance Gloursonne; Bouclier du Stalak; Poulpagne; Kidibonnet; Cape du Sinistrofu; Bottes du Sinistrofu; Dofus Émeraude; Dofus Pourpre; Dévastateur Eau majeur; Chanceux majeur; Déserteur majeur; Muldo Ebène et Indigo</t>
        </is>
      </c>
    </row>
    <row r="18746">
      <c r="A18746" t="inlineStr">
        <is>
          <t>eau-tank</t>
        </is>
      </c>
      <c r="B18746">
        <f>HYPERLINK("https://www.dofusbook.net/fr/equipement/3132811-eau-tank/objets", "link")</f>
        <v/>
      </c>
      <c r="C18746" t="n">
        <v>4</v>
      </c>
      <c r="D18746" t="inlineStr">
        <is>
          <t>Pyraguette; Amulette de Shokkoth; Alliance Gloursonne; Bracelet des Fonds marins; Bouclier cubiste; Poulpagne; Casque Dragoeuf; Cape Solution; Sandales des Fonds marins; Dofus Pourpre; Dofus Abyssal; Dofus Émeraude; Chanceux majeur; Remueur; Dévastateur Eau majeur; Muldo Ebène et Indigo</t>
        </is>
      </c>
    </row>
    <row r="18747">
      <c r="A18747" t="inlineStr">
        <is>
          <t>eau-retrait</t>
        </is>
      </c>
      <c r="B18747">
        <f>HYPERLINK("https://www.dofusbook.net/fr/equipement/3217968-eau-retrait/objets", "link")</f>
        <v/>
      </c>
      <c r="C18747" t="n">
        <v>3</v>
      </c>
      <c r="D18747" t="inlineStr">
        <is>
          <t>Arc Ontanporin; Amulette de Shokkoth; Alliance Gloursonne; Bracelet des Fonds marins; Sept ans de malheur; Poulpagne; Capuche de l'Œil Attentif; Cape de l'Œil Attentif; Pataugastrique; Déserteur majeur; Nomade; Étourdisseur majeur; Remueur; Engourdisseur majeur; Chanceux majeur; Muldo Ebène et Indigo</t>
        </is>
      </c>
    </row>
    <row r="18748">
      <c r="A18748" t="inlineStr">
        <is>
          <t>Eau</t>
        </is>
      </c>
      <c r="B18748">
        <f>HYPERLINK("https://www.dofusbook.net/fr/equipement/3217941-eau/objets", "link")</f>
        <v/>
      </c>
      <c r="C18748" t="n">
        <v>2</v>
      </c>
      <c r="D18748" t="inlineStr">
        <is>
          <t>Sceptre du Roi Joueur; Amulette de Shokkoth; Alliance Gloursonne; Bracelet des Fonds marins; Cadran d'Air; Poulpagne; Capuche de l'Œil Attentif; Cape de l'Œil Attentif; Pataugastrique; Dofus Abyssal; Dofus Pourpre; Chanceux majeur; Nomade; Remueur; Muldo Ebène et Indigo</t>
        </is>
      </c>
    </row>
    <row r="18749">
      <c r="A18749" t="inlineStr">
        <is>
          <t>eau-dopou</t>
        </is>
      </c>
      <c r="B18749">
        <f>HYPERLINK("https://www.dofusbook.net/fr/equipement/3184520-eau-dopou/objets", "link")</f>
        <v/>
      </c>
      <c r="C18749" t="n">
        <v>2</v>
      </c>
      <c r="D18749" t="inlineStr">
        <is>
          <t>Hachoirs de Viandargh; Amulette Luminescente; Bague Trithon; Alliance Gloursonne; Bouclier précieux; Ceinture Luminescente; Masque Trithon; Cape Luminescente; Bottes Trithon</t>
        </is>
      </c>
    </row>
    <row r="18750">
      <c r="A18750" t="inlineStr">
        <is>
          <t>Feu</t>
        </is>
      </c>
      <c r="B18750">
        <f>HYPERLINK("https://www.dofusbook.net/fr/equipement/1910641-feu/objets", "link")</f>
        <v/>
      </c>
      <c r="C18750" t="n">
        <v>0</v>
      </c>
      <c r="D18750" t="inlineStr">
        <is>
          <t>Le Thanos; Pendentif mignon de Koutoulou; Anneauræus; Anneauræus; Carapar; Ceinture Séculaire; Casque Cyclopéen; Cape de Diondin; Bottes Innommables; Dofus Émeraude; Érudit majeur; Remueur; Carapace Feu majeur; Carapace Air majeur; Miraculé majeur; Muldo Orchidée et Pourpre</t>
        </is>
      </c>
    </row>
    <row r="18751">
      <c r="A18751" t="inlineStr">
        <is>
          <t>full-terre</t>
        </is>
      </c>
      <c r="B18751">
        <f>HYPERLINK("https://www.dofusbook.net/fr/equipement/3018347-full-terre/objets", "link")</f>
        <v/>
      </c>
      <c r="C18751" t="n">
        <v>0</v>
      </c>
      <c r="D18751" t="inlineStr">
        <is>
          <t>Arc du Chalœil; Collier de Tourthon; Bague Gloursonne; Anneau Chevelu; Cadran d'Eau; Ceintacé; Coiffe du Comte Harebourg; Cape au Logis; Bottes du Comte Harebourg; Dofus Turquoise; Dofus Nébuleux; Dofus Abyssal; Enragé majeur; Remueur; Kramkram</t>
        </is>
      </c>
    </row>
    <row r="18752">
      <c r="A18752" t="inlineStr">
        <is>
          <t>full-terre</t>
        </is>
      </c>
      <c r="B18752">
        <f>HYPERLINK("https://www.dofusbook.net/fr/equipement/2986885-full-terre/objets", "link")</f>
        <v/>
      </c>
      <c r="C18752" t="n">
        <v>2</v>
      </c>
      <c r="D18752" t="inlineStr">
        <is>
          <t>Arc du Chalœil; Collier de Tourthon; Anneau Chevelu; Anneau Crustique; Bouclier d'Ilyzaelle; Ceinture de la Cour Sombre; Masque de Koutoulou; Cape au Logis; Bottes de la Cour Sombre; Dofus Ocre; Dofus Abyssal; Dofus Nébuleux; Dofus Ivoire; Dofus Pourpre; Enragé majeur; Pioute vert</t>
        </is>
      </c>
    </row>
    <row r="18753">
      <c r="A18753" t="inlineStr">
        <is>
          <t>FullVITA-Dopou</t>
        </is>
      </c>
      <c r="B18753">
        <f>HYPERLINK("https://www.dofusbook.net/fr/equipement/2986847-fullvita-dopou/objets", "link")</f>
        <v/>
      </c>
      <c r="C18753" t="n">
        <v>1</v>
      </c>
      <c r="D18753" t="inlineStr">
        <is>
          <t>Arc du Chalœil; Collier Rophante; Bague Trithon; Alliance Gloursonne; Bouclier précieux; Ceinture Gence; Masque d'Anerice; Cape d'Anerice; Bottes Owesli; Dofus Ivoire; Dofus des Veilleurs; Dofus Abyssal; Bousculeur majeur; Culbuteur majeur; Remueur; Péki</t>
        </is>
      </c>
    </row>
    <row r="18754">
      <c r="A18754" t="inlineStr">
        <is>
          <t>On-tank</t>
        </is>
      </c>
      <c r="B18754">
        <f>HYPERLINK("https://www.dofusbook.net/fr/equipement/2950545-on-tank/objets", "link")</f>
        <v/>
      </c>
      <c r="C18754" t="n">
        <v>1</v>
      </c>
      <c r="D18754" t="inlineStr">
        <is>
          <t>Dagoulinantes; Amulette de Shokkoth; Bracelet des Fonds marins; Alliance Gloursonne; Cadran de Terre; Poulpagne; Masque d'Anerice; Cape d'Anerice; Bottes du Sinistrofu; Dofus des Glaces; Dofus Abyssal; Dofus Ivoire; Chanceux majeur; Remueur; Étourdisseur majeur; Muldo Indigo</t>
        </is>
      </c>
    </row>
    <row r="18755">
      <c r="A18755" t="inlineStr">
        <is>
          <t>eau</t>
        </is>
      </c>
      <c r="B18755">
        <f>HYPERLINK("https://www.dofusbook.net/fr/equipement/2547314-eau/objets", "link")</f>
        <v/>
      </c>
      <c r="C18755" t="n">
        <v>0</v>
      </c>
      <c r="D18755" t="inlineStr">
        <is>
          <t>Arc Ontanporin; Amulette de Shokkoth; Bracelet des Fonds marins; Alliance Gloursonne; Cadran d'Air; Poulpagne; Masque des Fonds marins; Cape de l'Œil Attentif; Bottes du Sinistrofu; Dofus Abyssal; Dofus Ivoire; Chanceux majeur; Miraculé majeur; Remueur; Étourdisseur majeur; Muldo Indigo</t>
        </is>
      </c>
    </row>
    <row r="18756">
      <c r="A18756" t="inlineStr">
        <is>
          <t>feu-soutien</t>
        </is>
      </c>
      <c r="B18756">
        <f>HYPERLINK("https://www.dofusbook.net/fr/equipement/2846413-feu-soutien/objets", "link")</f>
        <v/>
      </c>
      <c r="C18756" t="n">
        <v>0</v>
      </c>
      <c r="D18756" t="inlineStr">
        <is>
          <t>Arc Hétype; Pendentif mignon de Koutoulou; Anneauræus; Anneauræus; Cadran d'Air; Ceinture de Vortex; Casque Cyclopéen; Cape de Diondin; Bottes Innommables; Dofus Ivoire; Dofus Abyssal; Érudit majeur; Carapace Feu majeur; Remueur; Muldo Ebène et Orchidée</t>
        </is>
      </c>
    </row>
    <row r="18757">
      <c r="A18757" t="inlineStr">
        <is>
          <t>Egarer</t>
        </is>
      </c>
      <c r="B18757">
        <f>HYPERLINK("https://www.dofusbook.net/fr/equipement/2944215-egarer/objets", "link")</f>
        <v/>
      </c>
      <c r="C18757" t="n">
        <v>0</v>
      </c>
      <c r="D18757" t="inlineStr">
        <is>
          <t>Marteau des égarés; Amulette de l'Indicible; Bague Gloursonne; Alliance Gloursonne; Cadran d'Air; Ceinture de l'Indicible; Capuche de l'Œil Putride; Cape de l'Œil Putride; Bottes de l'Indicible; Dofus Ivoire; Dofus Émeraude; Dofus des Glaces; Dofus Ocre; Dofus Cawotte; Muldo Ebène et Orchidée</t>
        </is>
      </c>
    </row>
    <row r="18758">
      <c r="A18758" t="inlineStr">
        <is>
          <t>anti-sgeg</t>
        </is>
      </c>
      <c r="B18758">
        <f>HYPERLINK("https://www.dofusbook.net/fr/equipement/2894736-anti-sgeg/objets", "link")</f>
        <v/>
      </c>
      <c r="C18758" t="n">
        <v>0</v>
      </c>
      <c r="D18758" t="inlineStr">
        <is>
          <t>Baguette de Malléfisk; Pendentif mignon de Koutoulou; Anneau Rifique; Anneauræus; Cadran de Feu; Ceinture de Gein; Casque Dragoeuf; Cape de Diondin; Bottes Innommables; Dofus Abyssal; Dofus Ivoire; Remueur; Érudit majeur; Carapace Feu majeur; Carapace Neutre majeur; Muldo Ebène et Indigo</t>
        </is>
      </c>
    </row>
    <row r="18759">
      <c r="A18759" t="inlineStr">
        <is>
          <t>full-terre</t>
        </is>
      </c>
      <c r="B18759">
        <f>HYPERLINK("https://www.dofusbook.net/fr/equipement/2865963-full-terre/objets", "link")</f>
        <v/>
      </c>
      <c r="C18759" t="n">
        <v>0</v>
      </c>
      <c r="D18759" t="inlineStr">
        <is>
          <t>Arc du Chalœil; Collier de Tourthon; Anneau Crustique; Anneau Chevelu; Cadran d'Air; Ceinture Gence; Coiffe du Comte Harebourg; Cape au Logis; Bottes de la Cour Sombre; Dofus Ivoire; Dofus Émeraude; Miraculé majeur; Remueur; Enragé majeur; Carapace Terre majeur; Péki</t>
        </is>
      </c>
    </row>
    <row r="18760">
      <c r="A18760" t="inlineStr">
        <is>
          <t>full-terre</t>
        </is>
      </c>
      <c r="B18760">
        <f>HYPERLINK("https://www.dofusbook.net/fr/equipement/2863403-full-terre/objets", "link")</f>
        <v/>
      </c>
      <c r="C18760" t="n">
        <v>1</v>
      </c>
      <c r="D18760" t="inlineStr">
        <is>
          <t>Lav'Hache; Collier de Tourthon; Anneau Chevelu; Anneau Crustique; Bouclier d'Ilyzaelle; Ceinture de la Cour Sombre; Masque de Koutoulou; Cape au Logis; Bottes de la Cour Sombre; Dofus Ivoire; Dofus Nébuleux; Dofus Abyssal; Évasif majeur; Remueur; Enragé majeur</t>
        </is>
      </c>
    </row>
    <row r="18761">
      <c r="A18761" t="inlineStr">
        <is>
          <t>tank</t>
        </is>
      </c>
      <c r="B18761">
        <f>HYPERLINK("https://www.dofusbook.net/fr/equipement/2923066-tank/objets", "link")</f>
        <v/>
      </c>
      <c r="C18761" t="n">
        <v>0</v>
      </c>
      <c r="D18761" t="inlineStr"/>
    </row>
    <row r="18762">
      <c r="A18762" t="inlineStr">
        <is>
          <t>Air</t>
        </is>
      </c>
      <c r="B18762">
        <f>HYPERLINK("https://www.dofusbook.net/fr/equipement/2908984-air/objets", "link")</f>
        <v/>
      </c>
      <c r="C18762" t="n">
        <v>0</v>
      </c>
      <c r="D18762" t="inlineStr">
        <is>
          <t>Manthache; Collier du Valet Veinard; Gant du Valet Veinard; Alliance Gloursonne; Cadran d'Air; Menoture; Capuche de Moum-Ra; Cape Indescriptible; Palmes Trithons; Dofus Émeraude; Dofus Ivoire; Miraculé majeur; Cascadeur majeur; Remueur; Muldo Ebène</t>
        </is>
      </c>
    </row>
    <row r="18763">
      <c r="A18763" t="inlineStr">
        <is>
          <t>eau-feu</t>
        </is>
      </c>
      <c r="B18763">
        <f>HYPERLINK("https://www.dofusbook.net/fr/equipement/2904893-eau-feu/objets", "link")</f>
        <v/>
      </c>
      <c r="C18763" t="n">
        <v>0</v>
      </c>
      <c r="D18763" t="inlineStr">
        <is>
          <t>Épée Brûlâme; Collier de la Dame du Hasard; Lavanneau; Alliance Gloursonne; Bouclier du Stalak; Ceinture de l'Esprit Malsain; Capuche de l'Œil Putride; Cape de la Dame du Hasard; Bottes de la Dame du Hasard</t>
        </is>
      </c>
    </row>
    <row r="18764">
      <c r="A18764" t="inlineStr">
        <is>
          <t>eau-anti sgeg</t>
        </is>
      </c>
      <c r="B18764">
        <f>HYPERLINK("https://www.dofusbook.net/fr/equipement/2894874-eau-anti-sgeg/objets", "link")</f>
        <v/>
      </c>
      <c r="C18764" t="n">
        <v>0</v>
      </c>
      <c r="D18764" t="inlineStr">
        <is>
          <t>Baguette Héroclite; Amulette du Sinistrofu; Bracelet des Fonds marins; Alliance Gloursonne; Cadran de Feu; Poulpagne; Masque des Fonds marins; Cape Ovri; Bottes du Nocturlabe; Dofus Abyssal; Dofus Ivoire; Muraille Feu majeure; Carapace Air majeur; Muraille Air majeure; Remueur; Muldo Ebène</t>
        </is>
      </c>
    </row>
    <row r="18765">
      <c r="A18765" t="inlineStr">
        <is>
          <t>tank-eau</t>
        </is>
      </c>
      <c r="B18765">
        <f>HYPERLINK("https://www.dofusbook.net/fr/equipement/1759350-tank-eau/objets", "link")</f>
        <v/>
      </c>
      <c r="C18765" t="n">
        <v>0</v>
      </c>
      <c r="D18765" t="inlineStr">
        <is>
          <t>Sceptre du Roi Joueur; Amulette de Shokkoth; Alliance Gloursonne; Bracelet des Fonds marins; Cadran d'Air; Poulpagne; Kidibonnet; Cape de Mantaze; Sandales des Fonds marins; Dofus Abyssal; Miraculé majeur; Carapace Air majeur; Chanceux majeur; Carapace Eau majeur; Muldo Indigo</t>
        </is>
      </c>
    </row>
    <row r="18766">
      <c r="A18766" t="inlineStr">
        <is>
          <t>air-eau</t>
        </is>
      </c>
      <c r="B18766">
        <f>HYPERLINK("https://www.dofusbook.net/fr/equipement/2881545-air-eau/objets", "link")</f>
        <v/>
      </c>
      <c r="C18766" t="n">
        <v>0</v>
      </c>
      <c r="D18766" t="inlineStr">
        <is>
          <t>Manthache; Collier du Valet Veinard; Alliance Gloursonne; Gant du Valet Veinard; Cadran d'Air; Menoture; Dorabysses; Cape Indescriptible; Palmes Trithons; Dofus Abyssal; Dofus Ivoire; Cascadeur majeur; Miraculé majeur; Remueur; Muldo Ebène</t>
        </is>
      </c>
    </row>
    <row r="18767">
      <c r="A18767" t="inlineStr">
        <is>
          <t>air-tere</t>
        </is>
      </c>
      <c r="B18767">
        <f>HYPERLINK("https://www.dofusbook.net/fr/equipement/2870609-air-tere/objets", "link")</f>
        <v/>
      </c>
      <c r="C18767" t="n">
        <v>0</v>
      </c>
      <c r="D18767" t="inlineStr">
        <is>
          <t>Héqache; Amulette du Strigide; Anneau Toriété; Anneau de la Fuji Givrefoux; Bouclier du Captain Amakna; Ceinture du Strigide; Coiffe de la Fuji Givrefoux; Cape de la Fuji Givrefoux; Bottes de la Fuji Givrefoux</t>
        </is>
      </c>
    </row>
    <row r="18768">
      <c r="A18768" t="inlineStr">
        <is>
          <t>feu-terre</t>
        </is>
      </c>
      <c r="B18768">
        <f>HYPERLINK("https://www.dofusbook.net/fr/equipement/2862887-feu-terre/objets", "link")</f>
        <v/>
      </c>
      <c r="C18768" t="n">
        <v>0</v>
      </c>
      <c r="D18768" t="inlineStr"/>
    </row>
    <row r="18769">
      <c r="A18769" t="inlineStr">
        <is>
          <t>feu-eau</t>
        </is>
      </c>
      <c r="B18769">
        <f>HYPERLINK("https://www.dofusbook.net/fr/equipement/2851944-feu-eau/objets", "link")</f>
        <v/>
      </c>
      <c r="C18769" t="n">
        <v>0</v>
      </c>
      <c r="D18769" t="inlineStr">
        <is>
          <t>Arc Nécrotique; Amulette de l'Œil Putride; Bracelet du Piloztère; Alliance Gloursonne; Cadran d'Air; Ceinture de l'Esprit Malsain; Capuche de l'Œil Putride; Cape de l'Œil Putride; Bottes de l'Esprit Malsain; Dofus Émeraude; Dofus Abyssal; Dofus Ocre; Dofus Ivoire; Dofus des Glaces</t>
        </is>
      </c>
    </row>
    <row r="18770">
      <c r="A18770" t="inlineStr">
        <is>
          <t>New-eau</t>
        </is>
      </c>
      <c r="B18770">
        <f>HYPERLINK("https://www.dofusbook.net/fr/equipement/2851906-new-eau/objets", "link")</f>
        <v/>
      </c>
      <c r="C18770" t="n">
        <v>1</v>
      </c>
      <c r="D18770" t="inlineStr">
        <is>
          <t>Baguette Héroclite; Amulette de l'Œil Attentif; Bracelet des Fonds marins; Anneau Glacial; Cadran d'Air; Ceinture Glaciale; Capuche de l'Œil Attentif; Cape de l'Œil Attentif; Sandales des Fonds marins; Dofus Abyssal; Dofus Ocre; Dofus Ivoire; Dofus des Glaces; Dofus Émeraude</t>
        </is>
      </c>
    </row>
    <row r="18771">
      <c r="A18771" t="inlineStr">
        <is>
          <t>terre</t>
        </is>
      </c>
      <c r="B18771">
        <f>HYPERLINK("https://www.dofusbook.net/fr/equipement/2851695-terre/objets", "link")</f>
        <v/>
      </c>
      <c r="C18771" t="n">
        <v>0</v>
      </c>
      <c r="D18771" t="inlineStr">
        <is>
          <t>Marteau des égarés; Amulette de l'Indicible; Alliance Brûlâme; Alliance Gloursonne; Bouclier d'Ilyzaelle; Ceinture de l'Indicible; Capuche de l'Œil Putride; Dofusteuse; Pataugastrique; Dofus Abyssal; Dofus Émeraude; Dofus Ivoire; Dofus des Glaces; Remueur; Miraculé majeur</t>
        </is>
      </c>
    </row>
    <row r="18772">
      <c r="A18772" t="inlineStr">
        <is>
          <t>Eau-ret</t>
        </is>
      </c>
      <c r="B18772">
        <f>HYPERLINK("https://www.dofusbook.net/fr/equipement/2838513-eau-ret/objets", "link")</f>
        <v/>
      </c>
      <c r="C18772" t="n">
        <v>1</v>
      </c>
      <c r="D18772" t="inlineStr">
        <is>
          <t>Dagoulinantes; Amulette de Shokkoth; Bracelet des Fonds marins; Alliance Gloursonne; Sept ans de malheur; Poulpagne; Capuche de l'Œil Attentif; Cape de l'Œil Attentif; Pataugastrique; Dofus Ivoire; Dofus des Glaces; Dofus Abyssal; Remueur</t>
        </is>
      </c>
    </row>
    <row r="18773">
      <c r="A18773" t="inlineStr">
        <is>
          <t>Eau-balmasque</t>
        </is>
      </c>
      <c r="B18773">
        <f>HYPERLINK("https://www.dofusbook.net/fr/equipement/2831497-eau-balmasque/objets", "link")</f>
        <v/>
      </c>
      <c r="C18773" t="n">
        <v>1</v>
      </c>
      <c r="D18773" t="inlineStr">
        <is>
          <t>Sceptre du Roi Joueur; Amulette de Shokkoth; Alliance Gloursonne; Bracelet des Fonds marins; Bouclier d'Ilyzaelle; Poulpagne; Kidibonnet; Cape de l'Œil Attentif; Sandales des Fonds marins; Dofus Ivoire; Dofus Abyssal; Dofus Émeraude; Dofus des Veilleurs; Carapace Eau majeur; Muldo Ebène et Indigo</t>
        </is>
      </c>
    </row>
    <row r="18774">
      <c r="A18774" t="inlineStr">
        <is>
          <t>feu-soutien</t>
        </is>
      </c>
      <c r="B18774">
        <f>HYPERLINK("https://www.dofusbook.net/fr/equipement/2831049-feu-soutien/objets", "link")</f>
        <v/>
      </c>
      <c r="C18774" t="n">
        <v>1</v>
      </c>
      <c r="D18774" t="inlineStr">
        <is>
          <t>Baguette de Malléfisk; Pendentif affamé; Anneau Tique; Anneau Rifique; Cadran de Feu; Ceinture de Vortex; Casque Cyclopéen; Cape de Diondin; Bottes Dogues; Dofus Émeraude; Miraculé majeur; Érudit majeur; Carapace Feu majeur; Remueur; Carapace Terre majeur; Muldo Indigo et Orchidée</t>
        </is>
      </c>
    </row>
    <row r="18775">
      <c r="A18775" t="inlineStr">
        <is>
          <t>iop-pvm-2</t>
        </is>
      </c>
      <c r="B18775">
        <f>HYPERLINK("https://www.dofusbook.net/fr/equipement/2752313-iop-pvm-2/objets", "link")</f>
        <v/>
      </c>
      <c r="C18775" t="n">
        <v>1</v>
      </c>
      <c r="D18775" t="inlineStr">
        <is>
          <t>Epée Toche; Amulette du Strigide; Bague Gloursonne; Anneau de Brouce; Bouclier du Captain Amakna; Ceinture du Strigide; Bonnet Ko; Voile d'encre; Bottes de la Cour Sombre; Dofus Turquoise; Dofus Pourpre; Nomade; Voyageur; Remueur; Vigoureux majeur; Kwaltess</t>
        </is>
      </c>
    </row>
    <row r="18776">
      <c r="A18776" t="inlineStr">
        <is>
          <t>feu-duo</t>
        </is>
      </c>
      <c r="B18776">
        <f>HYPERLINK("https://www.dofusbook.net/fr/equipement/2736641-feu-duo/objets", "link")</f>
        <v/>
      </c>
      <c r="C18776" t="n">
        <v>1</v>
      </c>
      <c r="D18776" t="inlineStr">
        <is>
          <t>Arc Hétype; Pendentif affamé; Anneauræus; Anneau Tamie; Bouclier du Stalak; Ceintrigue; Capuche de l'Œil Putride; Cape de Diondin; Bottes Innommables; Dofus Émeraude; Dofus des Glaces; Nomade; Dévastateur Feu majeur; Remueur; Érudit majeur; Brûlih</t>
        </is>
      </c>
    </row>
    <row r="18777">
      <c r="A18777" t="inlineStr">
        <is>
          <t>duo</t>
        </is>
      </c>
      <c r="B18777">
        <f>HYPERLINK("https://www.dofusbook.net/fr/equipement/2736495-duo/objets", "link")</f>
        <v/>
      </c>
      <c r="C18777" t="n">
        <v>0</v>
      </c>
      <c r="D18777" t="inlineStr">
        <is>
          <t>Le Thanos; Pendentif affamé; Anneauræus; Anneau Rifique; Carapar; Ceinture de Vortex; Casque Cyclopéen; Cape de Diondin; Bottes Innommables; Dofus Émeraude; Dofus Ivoire; Remueur; Guérisseur majeur; Miraculé majeur; Érudit majeur; Muldo Ebène et Orchidée</t>
        </is>
      </c>
    </row>
    <row r="18778">
      <c r="A18778" t="inlineStr">
        <is>
          <t>hahique</t>
        </is>
      </c>
      <c r="B18778">
        <f>HYPERLINK("https://www.dofusbook.net/fr/equipement/2724741-hahique/objets", "link")</f>
        <v/>
      </c>
      <c r="C18778" t="n">
        <v>0</v>
      </c>
      <c r="D18778" t="inlineStr">
        <is>
          <t>Hache Téroïde; Amulette Héroclite; Anneau Chevelu; Bague Gloursonne; Cadran d'Eau; Ceinture de Brouce; Chapeau Lisson; Cape au Logis; Pantoufles Émar; Dokoko; Miraculé majeur; Nomade; Érudit majeur; Remueur</t>
        </is>
      </c>
    </row>
    <row r="18779">
      <c r="A18779" t="inlineStr">
        <is>
          <t>pvp-tank</t>
        </is>
      </c>
      <c r="B18779">
        <f>HYPERLINK("https://www.dofusbook.net/fr/equipement/2720941-pvp-tank/objets", "link")</f>
        <v/>
      </c>
      <c r="C18779" t="n">
        <v>0</v>
      </c>
      <c r="D18779" t="inlineStr">
        <is>
          <t>L'Épée Nice; Amulette d'Hel Munster; Anneau d'Allister; Anneau Colerette; Cadran d'Air; Ceinture de Nevark; Casque Dragoeuf; Cape de Nevark; Pantoufles Émar; Dokoko; Cascadeur majeur; Nomade; Remueur; Observateur; Miraculé majeur; Siroko</t>
        </is>
      </c>
    </row>
    <row r="18780">
      <c r="A18780" t="inlineStr">
        <is>
          <t>brisage</t>
        </is>
      </c>
      <c r="B18780">
        <f>HYPERLINK("https://www.dofusbook.net/fr/equipement/2712027-brisage/objets", "link")</f>
        <v/>
      </c>
      <c r="C18780" t="n">
        <v>0</v>
      </c>
      <c r="D18780" t="inlineStr">
        <is>
          <t>Marteau Ronto</t>
        </is>
      </c>
    </row>
    <row r="18781">
      <c r="A18781" t="inlineStr">
        <is>
          <t>nécrotique</t>
        </is>
      </c>
      <c r="B18781">
        <f>HYPERLINK("https://www.dofusbook.net/fr/equipement/2691049-necrotique/objets", "link")</f>
        <v/>
      </c>
      <c r="C18781" t="n">
        <v>3</v>
      </c>
      <c r="D18781" t="inlineStr">
        <is>
          <t>Arc Nécrotique; Collier de la Dame du Hasard; Anneau Tamie; Bracelet du Piloztère; Bouclier cubiste; Ceintrigue; Kidibonnet; Cape de la Dame du Hasard; Pataugastrique; Dofus Turquoise; Temporiseur majeur; Remueur; Vigoureux majeur; Entraveur majeur; Nomade; Dehluge</t>
        </is>
      </c>
    </row>
    <row r="18782">
      <c r="A18782" t="inlineStr">
        <is>
          <t>feu-eau</t>
        </is>
      </c>
      <c r="B18782">
        <f>HYPERLINK("https://www.dofusbook.net/fr/equipement/2688107-feu-eau/objets", "link")</f>
        <v/>
      </c>
      <c r="C18782" t="n">
        <v>0</v>
      </c>
      <c r="D18782" t="inlineStr">
        <is>
          <t>Le Thanos; Amulette de Théodoran Ax; Anneau des Prophètes; Anneau d'Henual; Bouclier du Bûcheron; Ceinture du Tengu Givrefoux; Chapeau Stapokaliptik; Cape de Théodoran Ax; Pantoufles Émar; Dokoko; Érudit majeur; Miraculé; Nomade; Guérisseur; Remueur; Brûlih</t>
        </is>
      </c>
    </row>
    <row r="18783">
      <c r="A18783" t="inlineStr">
        <is>
          <t>osa-invo</t>
        </is>
      </c>
      <c r="B18783">
        <f>HYPERLINK("https://www.dofusbook.net/fr/equipement/2682621-osa-invo/objets", "link")</f>
        <v/>
      </c>
      <c r="C18783" t="n">
        <v>1</v>
      </c>
      <c r="D18783" t="inlineStr">
        <is>
          <t>Hache du Minotoror; Collier du Minotoror; Alliance d'Elya Wood; Bouclier du Bûcheron; Ceinture du Minotoror; Casque Dragoeuf; Caracape Minotoris; Bottes du Minotoror; Dokoko; Survivant; Précurseur</t>
        </is>
      </c>
    </row>
    <row r="18784">
      <c r="A18784" t="inlineStr">
        <is>
          <t>vs-cra</t>
        </is>
      </c>
      <c r="B18784">
        <f>HYPERLINK("https://www.dofusbook.net/fr/equipement/2678816-vs-cra/objets", "link")</f>
        <v/>
      </c>
      <c r="C18784" t="n">
        <v>0</v>
      </c>
      <c r="D18784" t="inlineStr">
        <is>
          <t>Arc Ahique; Collier du Valet Veinard; Alliance Gloursonne; Gant du Valet Veinard; Cadran d'Air; Ceinture de la Reine des Voleurs; Coiffe de la Reine des Voleurs; Cape du Valet Veinard; Bottes de la Reine des Voleurs; Dofus Turquoise; Dofus Nébuleux; Dofus Ocre; Dofus Abyssal; Dofus des Glaces; Dofus Ivoire; Muldo Ebène et Pourpre</t>
        </is>
      </c>
    </row>
    <row r="18785">
      <c r="A18785" t="inlineStr">
        <is>
          <t>pvp</t>
        </is>
      </c>
      <c r="B18785">
        <f>HYPERLINK("https://www.dofusbook.net/fr/equipement/2659166-pvp/objets", "link")</f>
        <v/>
      </c>
      <c r="C18785" t="n">
        <v>0</v>
      </c>
      <c r="D18785" t="inlineStr">
        <is>
          <t>Sceptre du Roi Joueur; Amulette de l'Œil Attentif; Alliance Gloursonne; Bracelet des Fonds marins; Bouclier d'Ilyzaelle; Poulpagne; Capuche de l'Œil Attentif; Cape de l'Œil Attentif; Sandales des Fonds marins; Muldo Ebène et Pourpre</t>
        </is>
      </c>
    </row>
    <row r="18786">
      <c r="A18786" t="inlineStr">
        <is>
          <t>heal</t>
        </is>
      </c>
      <c r="B18786">
        <f>HYPERLINK("https://www.dofusbook.net/fr/equipement/2658622-heal/objets", "link")</f>
        <v/>
      </c>
      <c r="C18786" t="n">
        <v>0</v>
      </c>
      <c r="D18786" t="inlineStr">
        <is>
          <t>Le Thanos; Amulette d'Otomaï; Anneau des Prophètes; Bague Nostik; Bouclier du Bûcheron; Ceinture du Tengu Givrefoux; Chapeau Stapokaliptik; Puissante Cape Fulgurante; Pantoufles Émar; Dokoko; Guérisseur; Érudit majeur; Nomade; Miraculé majeur; Remueur; Brûlih</t>
        </is>
      </c>
    </row>
    <row r="18787">
      <c r="A18787" t="inlineStr">
        <is>
          <t>Dopou-Corrompu</t>
        </is>
      </c>
      <c r="B18787">
        <f>HYPERLINK("https://www.dofusbook.net/fr/equipement/2658507-dopou-corrompu/objets", "link")</f>
        <v/>
      </c>
      <c r="C18787" t="n">
        <v>1</v>
      </c>
      <c r="D18787" t="inlineStr">
        <is>
          <t>Lance corrompue; Torquistik; Alliance Brûlâme; Alliance Gloursonne; Bouclier précieux; Ceinture de la Reine des Voleurs; Coiffe de la Reine des Voleurs; Cape du Cœur Vaillant; Baleinabottes; Dofus Abyssal; Dokoko; Dofus Émeraude; Dofus Ivoire; Culbuteur majeur; Remueur; Muldo Ebène et Pourpre</t>
        </is>
      </c>
    </row>
    <row r="18788">
      <c r="A18788" t="inlineStr">
        <is>
          <t>terre</t>
        </is>
      </c>
      <c r="B18788">
        <f>HYPERLINK("https://www.dofusbook.net/fr/equipement/2658268-terre/objets", "link")</f>
        <v/>
      </c>
      <c r="C18788" t="n">
        <v>0</v>
      </c>
      <c r="D18788" t="inlineStr">
        <is>
          <t>Lance corrompue; Amulette du Kamasterisk; Alliance Gloursonne; Alliance Brûlâme; Bouclier d'Ilyzaelle; Ceinture de la Reine des Voleurs; Coiffe de la Reine des Voleurs; Cape du Kamasterisk; Bottes de la Reine des Voleurs; Dofus Nébuleux; Dofus Turquoise; Dofus Abyssal; Dofus Pourpre; Dofus Ivoire; Dofus Ocre; Muldo Ebène et Pourpre</t>
        </is>
      </c>
    </row>
    <row r="18789">
      <c r="A18789" t="inlineStr">
        <is>
          <t>Iop-air</t>
        </is>
      </c>
      <c r="B18789">
        <f>HYPERLINK("https://www.dofusbook.net/fr/equipement/2657800-iop-air/objets", "link")</f>
        <v/>
      </c>
      <c r="C18789" t="n">
        <v>0</v>
      </c>
      <c r="D18789" t="inlineStr">
        <is>
          <t>Manthache; Collier du Valet Veinard; Gant du Valet Veinard; Alliance Gloursonne; Cadran d'Air; Menoture; Casque Dragoeuf; Cape Indescriptible; Palmes Trithons; Dofus Émeraude; Dofus Abyssal; Dokoko; Dofus Ivoire; Remueur; Cascadeur majeur; Muldo Ebène et Pourpre</t>
        </is>
      </c>
    </row>
    <row r="18790">
      <c r="A18790" t="inlineStr">
        <is>
          <t>Pvp</t>
        </is>
      </c>
      <c r="B18790">
        <f>HYPERLINK("https://www.dofusbook.net/fr/equipement/2656208-pvp/objets", "link")</f>
        <v/>
      </c>
      <c r="C18790" t="n">
        <v>0</v>
      </c>
      <c r="D18790" t="inlineStr">
        <is>
          <t>Manthache; Collier du Valet Veinard; Gant du Valet Veinard; Alliance Gloursonne; Cadran d'Air; Menoture; Casque Dragoeuf; Cape Indescriptible; Palmes Trithons; Dofus Émeraude; Remueur; Miraculé majeur; Cascadeur majeur; Nomade; Muldo Ebène et Indigo</t>
        </is>
      </c>
    </row>
    <row r="18791">
      <c r="A18791" t="inlineStr">
        <is>
          <t>Air reda</t>
        </is>
      </c>
      <c r="B18791">
        <f>HYPERLINK("https://www.dofusbook.net/fr/equipement/2557958-air-reda/objets", "link")</f>
        <v/>
      </c>
      <c r="C18791" t="n">
        <v>0</v>
      </c>
      <c r="D18791" t="inlineStr">
        <is>
          <t>Amulette d'Hel Munster; Alliance Gloursonne; Anneau d'Allister; Ceinture de Nevark; Masque de Klime; Cape de Klime; Pantoufles Émar; Dévastateur Air majeur; Nomade; Cascadeur majeur; Miraculé majeur; Remueur; Acrobate majeur; Siroko</t>
        </is>
      </c>
    </row>
    <row r="18792">
      <c r="A18792" t="inlineStr">
        <is>
          <t>feu</t>
        </is>
      </c>
      <c r="B18792">
        <f>HYPERLINK("https://www.dofusbook.net/fr/equipement/2637143-feu/objets", "link")</f>
        <v/>
      </c>
      <c r="C18792" t="n">
        <v>0</v>
      </c>
      <c r="D18792" t="inlineStr">
        <is>
          <t>Arc Hétype; Amulette de Nileza; Anneau Tique; Bague Gloursonne; Carapar; Sangle Aise; Casque Dragoeuf; Cape de Nileza; Pantoufles Émar; Dokoko; Dofus Émeraude; Miraculé majeur; Érudit majeur; Nomade; Remueur; Muldo Indigo et Orchidée</t>
        </is>
      </c>
    </row>
    <row r="18793">
      <c r="A18793" t="inlineStr">
        <is>
          <t>Chance</t>
        </is>
      </c>
      <c r="B18793">
        <f>HYPERLINK("https://www.dofusbook.net/fr/equipement/2553888-chance/objets", "link")</f>
        <v/>
      </c>
      <c r="C18793" t="n">
        <v>0</v>
      </c>
      <c r="D18793" t="inlineStr">
        <is>
          <t>Ares; Amulette du Royalmouth; Anneau des Prophètes; Anneau Ancestral; Bouclier du Bûcheron; Pagniglou; Chapeau Stapokaliptik; Bottes Hoktone; Dokoko; Dofus Émeraude; Miraculé majeur; Nomade; Remueur; Chanceux majeur; Dehluge</t>
        </is>
      </c>
    </row>
    <row r="18794">
      <c r="A18794" t="inlineStr">
        <is>
          <t>do-pou</t>
        </is>
      </c>
      <c r="B18794">
        <f>HYPERLINK("https://www.dofusbook.net/fr/equipement/2548837-do-pou/objets", "link")</f>
        <v/>
      </c>
      <c r="C18794" t="n">
        <v>0</v>
      </c>
      <c r="D18794" t="inlineStr">
        <is>
          <t>Rouleau à Pâtisserie d'Aermyne; Torquistik; Bague Instable; Bague Trithon; Bouclier précieux; Ceintacé; Casque Dragoeuf; Cape d'Anerice; Bottistik; Dofus Émeraude; Pousseur majeur; Culbuteur majeur; Miraculé majeur; Bousculeur majeur; Remueur; Muldo Orchidée et Pourpre</t>
        </is>
      </c>
    </row>
    <row r="18795">
      <c r="A18795" t="inlineStr">
        <is>
          <t>kak</t>
        </is>
      </c>
      <c r="B18795">
        <f>HYPERLINK("https://www.dofusbook.net/fr/equipement/2512719-kak/objets", "link")</f>
        <v/>
      </c>
      <c r="C18795" t="n">
        <v>0</v>
      </c>
      <c r="D18795" t="inlineStr">
        <is>
          <t>Ares; Amulette de Danathor; Anneau des Prophètes; Anneau des Matougarous; Cadran d'Air; Ceinture des Matougarous; Coiffe de Danathor; Cape des Matougarous; Dokoko; Dofus Émeraude; Chanceux majeur; Miraculé majeur; Remueur; Nomade; Dehluge</t>
        </is>
      </c>
    </row>
    <row r="18796">
      <c r="A18796" t="inlineStr">
        <is>
          <t>soins</t>
        </is>
      </c>
      <c r="B18796">
        <f>HYPERLINK("https://www.dofusbook.net/fr/equipement/2485477-soins/objets", "link")</f>
        <v/>
      </c>
      <c r="C18796" t="n">
        <v>0</v>
      </c>
      <c r="D18796" t="inlineStr">
        <is>
          <t>Baguette de Malléfisk; Pendentif affamé; Anneau de Nidas; Anneau Tique; Carapar; Ceinture Séculaire; Coiffe Séculaire; Voile d'encre; Pataugastrique</t>
        </is>
      </c>
    </row>
    <row r="18797">
      <c r="A18797" t="inlineStr">
        <is>
          <t>nécrotique</t>
        </is>
      </c>
      <c r="B18797">
        <f>HYPERLINK("https://www.dofusbook.net/fr/equipement/2478441-necrotique/objets", "link")</f>
        <v/>
      </c>
      <c r="C18797" t="n">
        <v>0</v>
      </c>
      <c r="D18797" t="inlineStr">
        <is>
          <t>Collier de la Dame du Hasard; Alliance Gloursonne; Bracelet du Piloztère; Ceintrigue; Cape de la Dame du Hasard; Bottes de la Dame du Hasard</t>
        </is>
      </c>
    </row>
    <row r="18798">
      <c r="A18798" t="inlineStr">
        <is>
          <t>nécrot</t>
        </is>
      </c>
      <c r="B18798">
        <f>HYPERLINK("https://www.dofusbook.net/fr/equipement/2473263-necrot/objets", "link")</f>
        <v/>
      </c>
      <c r="C18798" t="n">
        <v>0</v>
      </c>
      <c r="D18798" t="inlineStr">
        <is>
          <t>Arc de Koutoulou; Amulette du Strigide; Alliance Gloursonne; Bague Trithon; Bouclier cubiste; Ceinture du Strigide; Masque Trithon; Chevelure de Tal Kasha; Bottes du Strigide</t>
        </is>
      </c>
    </row>
    <row r="18799">
      <c r="A18799" t="inlineStr">
        <is>
          <t>arc</t>
        </is>
      </c>
      <c r="B18799">
        <f>HYPERLINK("https://www.dofusbook.net/fr/equipement/2473195-arc/objets", "link")</f>
        <v/>
      </c>
      <c r="C18799" t="n">
        <v>0</v>
      </c>
      <c r="D18799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Dokoko; Dofus Turquoise; Dofus Émeraude; Dofus Ocre; Muldo Ebène</t>
        </is>
      </c>
    </row>
    <row r="18800">
      <c r="A18800" t="inlineStr">
        <is>
          <t>sasa</t>
        </is>
      </c>
      <c r="B18800">
        <f>HYPERLINK("https://www.dofusbook.net/fr/equipement/2404457-sasa/objets", "link")</f>
        <v/>
      </c>
      <c r="C18800" t="n">
        <v>0</v>
      </c>
      <c r="D18800" t="inlineStr">
        <is>
          <t>Racine de Floribonde; Amulette de l'Obsidiantre; Anneau Nobstant; Goldoture; Doro le Blak; Corbacape Mastralis; Les Maidartes</t>
        </is>
      </c>
    </row>
    <row r="18801">
      <c r="A18801" t="inlineStr">
        <is>
          <t>kakashi-Au-Sharigan</t>
        </is>
      </c>
      <c r="B18801">
        <f>HYPERLINK("https://www.dofusbook.net/fr/equipement/2341227-kakashi-au-sharigan/objets", "link")</f>
        <v/>
      </c>
      <c r="C18801" t="n">
        <v>1</v>
      </c>
      <c r="D18801" t="inlineStr">
        <is>
          <t>Anneau Skargo; Anneau Ancestral; Bouclier du Bawbawe; Ceinture Précieuse; Puissante Cape Fulgurante; Sandales du Minotot; Observateur; Dévastateur Eau; Dévastateur Eau mineur; Taquin; Chanceux; Phorror</t>
        </is>
      </c>
    </row>
    <row r="18802">
      <c r="A18802" t="inlineStr">
        <is>
          <t>Do-pou</t>
        </is>
      </c>
      <c r="B18802">
        <f>HYPERLINK("https://www.dofusbook.net/fr/equipement/2210475-do-pou/objets", "link")</f>
        <v/>
      </c>
      <c r="C18802" t="n">
        <v>0</v>
      </c>
      <c r="D18802" t="inlineStr">
        <is>
          <t>Héqache; Amulette du Strigide; Bague Trithon; Anneau Chevelu; Ceinture du Strigide; Masque Trithon; Voile d'encre; Bottes Trithon; Dofus Ocre; Dofus Turquoise; Dokoko; Dofus Émeraude; Bousculeur majeur; Pousseur majeur; Muldo Ebène et Orchidée</t>
        </is>
      </c>
    </row>
    <row r="18803">
      <c r="A18803" t="inlineStr">
        <is>
          <t>do-pou</t>
        </is>
      </c>
      <c r="B18803">
        <f>HYPERLINK("https://www.dofusbook.net/fr/equipement/2082209-do-pou/objets", "link")</f>
        <v/>
      </c>
      <c r="C18803" t="n">
        <v>0</v>
      </c>
      <c r="D18803" t="inlineStr">
        <is>
          <t>Héqache; Torquistik; Bague Instable; Bague Trithon; Bouclier précieux; Ceintacé; Casque Dragoeuf; Cape d'Anerice; Bottistik; Dofus Émeraude; Miraculé majeur; Bousculeur majeur; Remueur; Culbuteur majeur; Déserteur majeur; Muldo Ebène et Pourpre</t>
        </is>
      </c>
    </row>
    <row r="18804">
      <c r="A18804" t="inlineStr">
        <is>
          <t>do-pou</t>
        </is>
      </c>
      <c r="B18804">
        <f>HYPERLINK("https://www.dofusbook.net/fr/equipement/2081750-do-pou/objets", "link")</f>
        <v/>
      </c>
      <c r="C18804" t="n">
        <v>0</v>
      </c>
      <c r="D18804" t="inlineStr">
        <is>
          <t>Héqache; Torquistik; Bague Trithon; Baguistik; Bouclier précieux; Ceintacé; Masque d'Anerice; Cape d'Anerice; Bottistik; Dofus Émeraude; Pousseur majeur; Bousculeur majeur; Muldo Ebène et Pourpre</t>
        </is>
      </c>
    </row>
    <row r="18805">
      <c r="A18805" t="inlineStr">
        <is>
          <t>polo</t>
        </is>
      </c>
      <c r="B18805">
        <f>HYPERLINK("https://www.dofusbook.net/fr/equipement/1910809-polo/objets", "link")</f>
        <v/>
      </c>
      <c r="C18805" t="n">
        <v>0</v>
      </c>
      <c r="D18805" t="inlineStr"/>
    </row>
    <row r="18806">
      <c r="A18806" t="inlineStr">
        <is>
          <t>koli-multi</t>
        </is>
      </c>
      <c r="B18806">
        <f>HYPERLINK("https://www.dofusbook.net/fr/equipement/1903768-koli-multi/objets", "link")</f>
        <v/>
      </c>
      <c r="C18806" t="n">
        <v>0</v>
      </c>
      <c r="D18806" t="inlineStr">
        <is>
          <t>Héqache; Amulette du Kamasterisk; Bracelet du Piloztère; Alliance Gloursonne; Cadran d'Air; Ceintacé; Chapoulpe; Cape du Kamasterisk; Bottes du Cycloïde; Dofus Ocre; Dofus Pourpre; Dofus Turquoise; Nomade; Temporiseur majeur; Kramkram</t>
        </is>
      </c>
    </row>
    <row r="18807">
      <c r="A18807" t="inlineStr">
        <is>
          <t>sram-koli</t>
        </is>
      </c>
      <c r="B18807">
        <f>HYPERLINK("https://www.dofusbook.net/fr/equipement/1887432-sram-koli/objets", "link")</f>
        <v/>
      </c>
      <c r="C18807" t="n">
        <v>0</v>
      </c>
      <c r="D18807" t="inlineStr">
        <is>
          <t>Epée Gloursonne; Amulette de Gein; Bague Gloursonne; Alliance Gloursonne; Bouclier du Stalak; Ceinture de Gein; Chapeau de Gein; Voile d'encre; Bottes du Cycloïde; Dofus Turquoise; Dofus Ocre; Dofus Émeraude; Dofus des Veilleurs; Dofus Pourpre; Entraveur majeur; Muldo Ebène et Pourpre</t>
        </is>
      </c>
    </row>
    <row r="18808">
      <c r="A18808" t="inlineStr">
        <is>
          <t>feca-koli</t>
        </is>
      </c>
      <c r="B18808">
        <f>HYPERLINK("https://www.dofusbook.net/fr/equipement/1887060-feca-koli/objets", "link")</f>
        <v/>
      </c>
      <c r="C18808" t="n">
        <v>0</v>
      </c>
      <c r="D18808" t="inlineStr">
        <is>
          <t>Bouclier d'Anerice</t>
        </is>
      </c>
    </row>
    <row r="18809">
      <c r="A18809" t="inlineStr">
        <is>
          <t>resi-air</t>
        </is>
      </c>
      <c r="B18809">
        <f>HYPERLINK("https://www.dofusbook.net/fr/equipement/1882330-resi-air/objets", "link")</f>
        <v/>
      </c>
      <c r="C18809" t="n">
        <v>1</v>
      </c>
      <c r="D18809" t="inlineStr">
        <is>
          <t>Hache Euvale; Amulette du Sinistrofu; Goulano; Baguistik; Cadran d'Air; Sangle de Sylargh; Coiffe du Glourséleste; Cape de Sylargh; Bottes du Nocturlabe</t>
        </is>
      </c>
    </row>
    <row r="18810">
      <c r="A18810" t="inlineStr">
        <is>
          <t>Heal</t>
        </is>
      </c>
      <c r="B18810">
        <f>HYPERLINK("https://www.dofusbook.net/fr/equipement/1762336-heal/objets", "link")</f>
        <v/>
      </c>
      <c r="C18810" t="n">
        <v>1</v>
      </c>
      <c r="D18810" t="inlineStr">
        <is>
          <t>Baguette de Malléfisk; Pendentif affamé; Anneau de Nidas; Cadran de Feu; Ceinture de Vortex; Couronne de Nidas; Cape de Diondin; Bottes Innommables; Dofus Ocre; Dofus Abyssal; Dofus Émeraude; Carapace Terre majeur; Érudit majeur; Observateur; Muldo Indigo et Orchidée</t>
        </is>
      </c>
    </row>
    <row r="18811">
      <c r="A18811" t="inlineStr">
        <is>
          <t>Tac</t>
        </is>
      </c>
      <c r="B18811">
        <f>HYPERLINK("https://www.dofusbook.net/fr/equipement/1755125-tac/objets", "link")</f>
        <v/>
      </c>
      <c r="C18811" t="n">
        <v>0</v>
      </c>
      <c r="D18811" t="inlineStr">
        <is>
          <t>Collier du Valet Veinard; Cadran d'Air; Ceintouse; Casque Dragoeuf; Cape du Valet Veinard</t>
        </is>
      </c>
    </row>
    <row r="18812">
      <c r="A18812" t="inlineStr">
        <is>
          <t>Fui-pme</t>
        </is>
      </c>
      <c r="B18812">
        <f>HYPERLINK("https://www.dofusbook.net/fr/equipement/1754746-fui-pme/objets", "link")</f>
        <v/>
      </c>
      <c r="C18812" t="n">
        <v>0</v>
      </c>
      <c r="D18812" t="inlineStr">
        <is>
          <t>Amulette de Nevark; Bague Gloursonne; Anneau de Brouce; Bouclier à hélice; Ceinture de Brouce; Casque de Missiz Frizz; Ankhape; Bottes de Brouce</t>
        </is>
      </c>
    </row>
    <row r="18813">
      <c r="A18813" t="inlineStr">
        <is>
          <t>Terre</t>
        </is>
      </c>
      <c r="B18813">
        <f>HYPERLINK("https://www.dofusbook.net/fr/equipement/1747624-terre/objets", "link")</f>
        <v/>
      </c>
      <c r="C18813" t="n">
        <v>1</v>
      </c>
      <c r="D18813" t="inlineStr">
        <is>
          <t>Arc du Chalœil; Collier de Tourthon; Anneau de Brouce; Anneau Chevelu; Cadran d'Air; Ceinture de Brouce; Masque de Koutoulou; Cape au Logis; Bottarpille; Dofus Turquoise; Dofus Abyssal; Dofus Ocre; Dofus Pourpre; Dofus des Glaces; Carapace Terre majeur; Muldo Indigo</t>
        </is>
      </c>
    </row>
    <row r="18814">
      <c r="A18814" t="inlineStr">
        <is>
          <t>Stuff 2</t>
        </is>
      </c>
      <c r="B18814">
        <f>HYPERLINK("https://www.dofusbook.net/fr/equipement/155839-stuff-2/objets", "link")</f>
        <v/>
      </c>
      <c r="C18814" t="n">
        <v>0</v>
      </c>
      <c r="D18814" t="inlineStr">
        <is>
          <t>Amulette de Shokkoth; Bracelet des Fonds marins; Alliance Gloursonne; Bouclier d'Anerice; Ceinture du Barbétoal; Masque d'Anerice; Cape d'Anerice; Sandales des Fonds marins; Dofus Abyssal; Dofus Pourpre; Dofus Ocre; Dofus Turquoise; Dofus des Glaces; Dofus Émeraude; Muldo Indigo</t>
        </is>
      </c>
    </row>
    <row r="18815">
      <c r="A18815" t="inlineStr">
        <is>
          <t>koutou</t>
        </is>
      </c>
      <c r="B18815">
        <f>HYPERLINK("https://www.dofusbook.net/fr/equipement/1691348-koutou/objets", "link")</f>
        <v/>
      </c>
      <c r="C18815" t="n">
        <v>0</v>
      </c>
      <c r="D18815" t="inlineStr">
        <is>
          <t>Arc de Koutoulou; Amulette du Strigide; Anneau de Padgref; Bague Trithon; Quatre-feuilles; Ceinture du Strigide; Némès de Tal Kasha; Chevelure de Tal Kasha; Sandales de Tal Kasha; Dofus Pourpre; Dofus Turquoise; Dofus Ocre; Dofus des Glaces; Carapace Air majeur; Carapace Feu majeur; Muldo Prune et Emeraude</t>
        </is>
      </c>
    </row>
    <row r="18816">
      <c r="A18816" t="inlineStr">
        <is>
          <t>koutoulou</t>
        </is>
      </c>
      <c r="B18816">
        <f>HYPERLINK("https://www.dofusbook.net/fr/equipement/1675086-koutoulou/objets", "link")</f>
        <v/>
      </c>
      <c r="C18816" t="n">
        <v>1</v>
      </c>
      <c r="D18816" t="inlineStr">
        <is>
          <t>Arc de Koutoulou; Amulette Voldelor; Alliance Gloursonne; Anneau de Padgref; Quatre-feuilles; Ceintacé; Némès de Tal Kasha; Chevelure de Tal Kasha; Pataugastrique; Dofus Turquoise; Chanceux majeur; Remueur; Cascadeur majeur; Vigoureux majeur; Nomade; Muldo Prune et Emeraude</t>
        </is>
      </c>
    </row>
    <row r="18817">
      <c r="A18817" t="inlineStr">
        <is>
          <t>levitrof</t>
        </is>
      </c>
      <c r="B18817">
        <f>HYPERLINK("https://www.dofusbook.net/fr/equipement/1672152-levitrof/objets", "link")</f>
        <v/>
      </c>
      <c r="C18817" t="n">
        <v>0</v>
      </c>
      <c r="D18817" t="inlineStr">
        <is>
          <t>Baguette Hique; Amulette du Strigide; Bracelet du Piloztère; Alliance du Lévitrof; Cadran d'Air; Ceinture du Strigide; Coiffe du Lévitrof; Cape des Justiciers; Bottes du Lévitrof; Dofus Pourpre; Dofus Turquoise; Saccageur Eau majeur; Examinateur; Ravageur Eau majeur; Puissant majeur; Muldo Indigo et Orchidée</t>
        </is>
      </c>
    </row>
    <row r="18818">
      <c r="A18818" t="inlineStr">
        <is>
          <t>koutoulou</t>
        </is>
      </c>
      <c r="B18818">
        <f>HYPERLINK("https://www.dofusbook.net/fr/equipement/1666848-koutoulou/objets", "link")</f>
        <v/>
      </c>
      <c r="C18818" t="n">
        <v>0</v>
      </c>
      <c r="D18818" t="inlineStr">
        <is>
          <t>Arc de Koutoulou; Amulette du Strigide; Anneau de Padgref; Alliance Gloursonne; Quatre-feuilles; Ceintacé; Némès de Tal Kasha; Chevelure de Tal Kasha; Pataugastrique; Dofus Turquoise; Nomade; Vigoureux majeur; Remueur; Cascadeur majeur; Chanceux majeur; Muldo Prune et Emeraude</t>
        </is>
      </c>
    </row>
    <row r="18819">
      <c r="A18819" t="inlineStr">
        <is>
          <t>Cup</t>
        </is>
      </c>
      <c r="B18819">
        <f>HYPERLINK("https://www.dofusbook.net/fr/equipement/1664760-cup/objets", "link")</f>
        <v/>
      </c>
      <c r="C18819" t="n">
        <v>0</v>
      </c>
      <c r="D18819" t="inlineStr">
        <is>
          <t>Epée Gloursonne; Amulette du Strigide; Bague Gloursonne; Alliance Gloursonne; Ceinture du Strigide; Casque du Chalœil; Cape du Chalœil; Bottes du Strigide; Dofus Turquoise; Dofus des Glaces; Dofus Vulbis; Dofus Nébuleux; Dofus Pourpre; Dofus Ocre; Kramkram</t>
        </is>
      </c>
    </row>
    <row r="18820">
      <c r="A18820" t="inlineStr">
        <is>
          <t>Malvei-stri</t>
        </is>
      </c>
      <c r="B18820">
        <f>HYPERLINK("https://www.dofusbook.net/fr/equipement/1664746-malvei-stri/objets", "link")</f>
        <v/>
      </c>
      <c r="C18820" t="n">
        <v>0</v>
      </c>
      <c r="D18820" t="inlineStr">
        <is>
          <t>Epée Gloursonne; Amulette du Strigide; Bague Gloursonne; Alliance Gloursonne; Quatre-feuilles; Ceinture du Strigide; Chapeau des Malveilleurs; Cape des Malveilleurs; Bottes des Malveilleurs; Dofus Émeraude; Dofus Pourpre; Dofus Turquoise; Vagabond majeur; Examinateur; Puissant majeur; Muldo Indigo et Orchidée</t>
        </is>
      </c>
    </row>
    <row r="18821">
      <c r="A18821" t="inlineStr">
        <is>
          <t>pvm-sram</t>
        </is>
      </c>
      <c r="B18821">
        <f>HYPERLINK("https://www.dofusbook.net/fr/equipement/1624912-pvm-sram/objets", "link")</f>
        <v/>
      </c>
      <c r="C18821" t="n">
        <v>0</v>
      </c>
      <c r="D18821" t="inlineStr">
        <is>
          <t>Dagues Érhy; Amulette du Kamasterisk; Alliance Gloursonne; Quatre-feuilles; Ceintouse; Chapoulpe; Cape du Kamasterisk; Tentassons</t>
        </is>
      </c>
    </row>
    <row r="18822">
      <c r="A18822" t="inlineStr">
        <is>
          <t>eminem</t>
        </is>
      </c>
      <c r="B18822">
        <f>HYPERLINK("https://www.dofusbook.net/fr/equipement/1571233-eminem/objets", "link")</f>
        <v/>
      </c>
      <c r="C18822" t="n">
        <v>0</v>
      </c>
      <c r="D18822" t="inlineStr">
        <is>
          <t>Epée Toche; Amulette du Strigide; Bracelet du Piloztère; Bague Gloursonne; Cadran d'Eau; Ceinture du Strigide; Casque du Chalœil; Cape du Chalœil; Bottes du Strigide; Dofus Turquoise; Dofus Nébuleux; Dofus Vulbis; Dofus Pourpre; Dofus Ocre; Vigoureux majeur; Kramkram</t>
        </is>
      </c>
    </row>
    <row r="18823">
      <c r="A18823" t="inlineStr">
        <is>
          <t>multi</t>
        </is>
      </c>
      <c r="B18823">
        <f>HYPERLINK("https://www.dofusbook.net/fr/equipement/1521565-multi/objets", "link")</f>
        <v/>
      </c>
      <c r="C18823" t="n">
        <v>1</v>
      </c>
      <c r="D18823" t="inlineStr">
        <is>
          <t>Sabres d'Atcham; Amulette du Strigide; Alliance Gloursonne; Anneau de Padgref; Quatre-feuilles; Ceintacé; Coiffe de Padgref; Cape d'Atcham; Getas de Padgref; Dofus Turquoise; Voyageur; Joueur majeur; Survivant majeur; Engourdisseur majeur; Savant majeur; Muldo Prune et Emeraude</t>
        </is>
      </c>
    </row>
    <row r="18824">
      <c r="A18824" t="inlineStr">
        <is>
          <t>pvm-tape</t>
        </is>
      </c>
      <c r="B18824">
        <f>HYPERLINK("https://www.dofusbook.net/fr/equipement/1521451-pvm-tape/objets", "link")</f>
        <v/>
      </c>
      <c r="C18824" t="n">
        <v>0</v>
      </c>
      <c r="D18824" t="inlineStr">
        <is>
          <t>Amulette du Strigide; Bague Gloursonne; Anneau de Brouce; Bouclier du Captain Amakna; Ceinture du Strigide; Bonnet Ko; Cape de la Fuji Givrefoux; Bottes de la Cour Sombre; Vigoureux majeur; Miraculé majeur; Nomade; Enragé majeur; Remueur; Kwaltess</t>
        </is>
      </c>
    </row>
    <row r="18825">
      <c r="A18825" t="inlineStr">
        <is>
          <t>pvm</t>
        </is>
      </c>
      <c r="B18825">
        <f>HYPERLINK("https://www.dofusbook.net/fr/equipement/1515826-pvm/objets", "link")</f>
        <v/>
      </c>
      <c r="C18825" t="n">
        <v>2</v>
      </c>
      <c r="D18825" t="inlineStr">
        <is>
          <t>Epée Gloursonne; Amulette du Strigide; Bague Gloursonne; Alliance Gloursonne; Ceinture du Strigide; Coiffe de Padgref; Cape Reski; Bottes du Strigide; Turbulent; Joueur majeur; Voyageur; Furibond majeur; Puissant majeur; Entraveur majeur; Muldo Prune et Emeraude</t>
        </is>
      </c>
    </row>
    <row r="18826">
      <c r="A18826" t="inlineStr">
        <is>
          <t>gein</t>
        </is>
      </c>
      <c r="B18826">
        <f>HYPERLINK("https://www.dofusbook.net/fr/equipement/1515577-gein/objets", "link")</f>
        <v/>
      </c>
      <c r="C18826" t="n">
        <v>0</v>
      </c>
      <c r="D18826" t="inlineStr">
        <is>
          <t>Arc Hétype; Amulette de Gein; Chevalière du Roi Joueur; Bague Gloursonne; Carapar; Ceinture de Gein; Chapeau de Gein; Cape de Diondin; Bottes du Roi Joueur; Dofus Turquoise; Dofus Pourpre; Dofus Émeraude; Muldo Ebène et Orchidée</t>
        </is>
      </c>
    </row>
    <row r="18827">
      <c r="A18827" t="inlineStr">
        <is>
          <t>pvm-roub</t>
        </is>
      </c>
      <c r="B18827">
        <f>HYPERLINK("https://www.dofusbook.net/fr/equipement/1405913-pvm-roub/objets", "link")</f>
        <v/>
      </c>
      <c r="C18827" t="n">
        <v>0</v>
      </c>
      <c r="D18827" t="inlineStr">
        <is>
          <t>Arc Hétype; Amulette Séculaire; Anneau Tamie; Anneau Tamie; Carapar; Sangle Ouare; Coiffe Séculaire; Cape de Diondin; Pataugastrique; Dévastateur Feu majeur; Nomade; Érudit; Remueur; Savant majeur; Érudit majeur; Brûlih</t>
        </is>
      </c>
    </row>
    <row r="18828">
      <c r="A18828" t="inlineStr">
        <is>
          <t>full</t>
        </is>
      </c>
      <c r="B18828">
        <f>HYPERLINK("https://www.dofusbook.net/fr/equipement/1455311-full/objets", "link")</f>
        <v/>
      </c>
      <c r="C18828" t="n">
        <v>0</v>
      </c>
      <c r="D18828" t="inlineStr">
        <is>
          <t>Sabres d'Atcham; Amulette Séculaire; Bague Gloursonne; Anneau Tamie; Ceinture Séculaire; Coiffe Séculaire; Cape d'Atcham; Sandales  d'Atcham</t>
        </is>
      </c>
    </row>
    <row r="18829">
      <c r="A18829" t="inlineStr">
        <is>
          <t>cra-pvm</t>
        </is>
      </c>
      <c r="B18829">
        <f>HYPERLINK("https://www.dofusbook.net/fr/equipement/1454407-cra-pvm/objets", "link")</f>
        <v/>
      </c>
      <c r="C18829" t="n">
        <v>2</v>
      </c>
      <c r="D18829" t="inlineStr">
        <is>
          <t>Baguette Range; Amulette du Strigide; Bracelet du Piloztère; Anneau de Padgref; Quatre-feuilles; Ceintacé; Coiffe de Padgref; Cape d'Atcham; Pataugastrique; Cascadeur majeur; Remueur; Érudit majeur; Puissant majeur; Vigoureux majeur; Nomade; Muldo Prune et Emeraude</t>
        </is>
      </c>
    </row>
    <row r="18830">
      <c r="A18830" t="inlineStr">
        <is>
          <t>vita</t>
        </is>
      </c>
      <c r="B18830">
        <f>HYPERLINK("https://www.dofusbook.net/fr/equipement/1424055-vita/objets", "link")</f>
        <v/>
      </c>
      <c r="C18830" t="n">
        <v>0</v>
      </c>
      <c r="D18830" t="inlineStr">
        <is>
          <t>Manthache; Collier du Valet Veinard; Alliance Gloursonne; Gant du Valet Veinard; Cadran d'Eau; Menoture; Couronne d'Allister; Cape Indescriptible; Baleinabottes; Dofus Émeraude; Acrobate majeur; Remueur; Miraculé majeur; Cascadeur majeur; Nomade; Muldo Ebène</t>
        </is>
      </c>
    </row>
    <row r="18831">
      <c r="A18831" t="inlineStr">
        <is>
          <t>mama</t>
        </is>
      </c>
      <c r="B18831">
        <f>HYPERLINK("https://www.dofusbook.net/fr/equipement/1424321-mama/objets", "link")</f>
        <v/>
      </c>
      <c r="C18831" t="n">
        <v>0</v>
      </c>
      <c r="D18831" t="inlineStr">
        <is>
          <t>Epée Gloursonne; Amulette du Strigide; Bague Gloursonne; Alliance Gloursonne; Bouclier d'Anerice; Ceinture du Strigide; Masque d'Anerice; Cape d'Anerice; Bottes du Strigide; Dofus Turquoise; Dofus Émeraude; Furibond majeur; Puissant majeur; Survivant majeur; Vagabond majeur; Muldo Indigo et Pourpre</t>
        </is>
      </c>
    </row>
    <row r="18832">
      <c r="A18832" t="inlineStr">
        <is>
          <t>pvm-zozo</t>
        </is>
      </c>
      <c r="B18832">
        <f>HYPERLINK("https://www.dofusbook.net/fr/equipement/1420643-pvm-zozo/objets", "link")</f>
        <v/>
      </c>
      <c r="C18832" t="n">
        <v>1</v>
      </c>
      <c r="D18832" t="inlineStr">
        <is>
          <t>Marteau R'ture; Collier de Tourthon; Anneau Crustique; Bracelet du Piloztère; Cadran d'Eau; Ceinture du Strigide; Coiffe du Comte Harebourg; Ankhape; Bottes du Strigide; Dofus Pourpre; Dofus Émeraude; Miraculé majeur; Nomade; Remueur; Vigoureux majeur; Dragodinde Emeraude et Rousse</t>
        </is>
      </c>
    </row>
    <row r="18833">
      <c r="A18833" t="inlineStr">
        <is>
          <t>Pvm-dada</t>
        </is>
      </c>
      <c r="B18833">
        <f>HYPERLINK("https://www.dofusbook.net/fr/equipement/1409792-pvm-dada/objets", "link")</f>
        <v/>
      </c>
      <c r="C18833" t="n">
        <v>1</v>
      </c>
      <c r="D18833" t="inlineStr">
        <is>
          <t>Arc Hétype; Amulette Séculaire; Bague Gloursonne; Anneau de Nidas; Ceinture Séculaire; Casque Dragoeuf; Cape de Diondin; Pataugastrique; Carapace Feu majeur; Nomade; Carapace Eau majeur; Érudit majeur; Carapace Neutre majeur; Remueur; Muldo Orchidée et Pourpre</t>
        </is>
      </c>
    </row>
    <row r="18834">
      <c r="A18834" t="inlineStr">
        <is>
          <t>pvm</t>
        </is>
      </c>
      <c r="B18834">
        <f>HYPERLINK("https://www.dofusbook.net/fr/equipement/1405706-pvm/objets", "link")</f>
        <v/>
      </c>
      <c r="C18834" t="n">
        <v>2</v>
      </c>
      <c r="D18834" t="inlineStr">
        <is>
          <t>Héqache; Amulette du Strigide; Alliance de Missiz Frizz; Bracelet du Piloztère; Bouclier du Captain Amakna; Ceinture du Strigide; Bonnet Ko; Cape du Kamasterisk; Bottes du Cycloïde; Dofus Pourpre; Dofus Turquoise; Nomade; Remueur; Vigoureux majeur; Muldo Prune et Emeraude</t>
        </is>
      </c>
    </row>
    <row r="18835">
      <c r="A18835" t="inlineStr">
        <is>
          <t>pvm-zozo</t>
        </is>
      </c>
      <c r="B18835">
        <f>HYPERLINK("https://www.dofusbook.net/fr/equipement/1405550-pvm-zozo/objets", "link")</f>
        <v/>
      </c>
      <c r="C18835" t="n">
        <v>1</v>
      </c>
      <c r="D18835" t="inlineStr">
        <is>
          <t>Héqache; Amulette du Strigide; Bracelet du Piloztère; Anneau de Brouce; Cadran d'Eau; Ceinture du Strigide; Chapoulpe; Cape du Kamasterisk; Baleinabottes; Dofus Émeraude; Dofus Turquoise; Miraculé majeur; Remueur; Vigoureux majeur; Nomade; Muldo Ebène et Pourpre</t>
        </is>
      </c>
    </row>
    <row r="18836">
      <c r="A18836" t="inlineStr">
        <is>
          <t>Poli</t>
        </is>
      </c>
      <c r="B18836">
        <f>HYPERLINK("https://www.dofusbook.net/fr/equipement/1384571-poli/objets", "link")</f>
        <v/>
      </c>
      <c r="C18836" t="n">
        <v>0</v>
      </c>
      <c r="D18836" t="inlineStr">
        <is>
          <t>Harpelle; Pendentif affamé; Bague Gloursonne; Anneau Tique; Sept ans de malheur; Ceinture de Vortex; Cagoule de Vortex; Voile d'encre; Pataugastrique; Dofus Turquoise; Érudit majeur; Carapace Neutre majeur; Remueur; Érudit majeur; Étourdisseur majeur; Muldo Orchidée et Pourpre</t>
        </is>
      </c>
    </row>
    <row r="18837">
      <c r="A18837" t="inlineStr">
        <is>
          <t>koli-iop-dada</t>
        </is>
      </c>
      <c r="B18837">
        <f>HYPERLINK("https://www.dofusbook.net/fr/equipement/1381022-koli-iop-dada/objets", "link")</f>
        <v/>
      </c>
      <c r="C18837" t="n">
        <v>0</v>
      </c>
      <c r="D18837" t="inlineStr">
        <is>
          <t>Arc Nécrotique; Collier de la Dame du Hasard; Anneau Tique; Alliance Gloursonne; Bouclier cubiste; Ceinture de Vortex; Cagoule de Vortex; Voile d'encre; Pataugastrique; Dofus Pourpre; Dofus Turquoise; Étourdisseur majeur; Remueur; Engourdisseur majeur; Étourdisseur; Muldo Pourpre</t>
        </is>
      </c>
    </row>
    <row r="18838">
      <c r="A18838" t="inlineStr">
        <is>
          <t>shanks</t>
        </is>
      </c>
      <c r="B18838">
        <f>HYPERLINK("https://www.dofusbook.net/fr/equipement/1380383-shanks/objets", "link")</f>
        <v/>
      </c>
      <c r="C18838" t="n">
        <v>0</v>
      </c>
      <c r="D18838" t="inlineStr">
        <is>
          <t>Arc Hétype; Amulette Séculaire; Anneau Tique; Bague Gloursonne; Carapar; Ceinture de Vortex; Casque Dragoeuf; Voile d'encre; Pataugastrique; Carapace Neutre majeur; Érudit majeur; Carapace Terre majeur; Remueur; Muldo Turquoise et Pourpre</t>
        </is>
      </c>
    </row>
    <row r="18839">
      <c r="A18839" t="inlineStr">
        <is>
          <t>atch</t>
        </is>
      </c>
      <c r="B18839">
        <f>HYPERLINK("https://www.dofusbook.net/fr/equipement/1374682-atch/objets", "link")</f>
        <v/>
      </c>
      <c r="C18839" t="n">
        <v>1</v>
      </c>
      <c r="D18839" t="inlineStr">
        <is>
          <t>Sabres d'Atcham; Amulette du Strigide; Anneau de Padgref; Alliance Gloursonne; Sept ans de malheur; Ceinture du Strigide; Coiffe de Padgref; Cape d'Atcham; Sandales  d'Atcham; Dofus Turquoise; Dofus des Glaces; Dofus Pourpre; Puissant majeur; Paralyseur majeur; Engourdisseur majeur; Muldo Ebène et Indigo</t>
        </is>
      </c>
    </row>
    <row r="18840">
      <c r="A18840" t="inlineStr">
        <is>
          <t>lmi</t>
        </is>
      </c>
      <c r="B18840">
        <f>HYPERLINK("https://www.dofusbook.net/fr/equipement/1370779-lmi/objets", "link")</f>
        <v/>
      </c>
      <c r="C18840" t="n">
        <v>0</v>
      </c>
      <c r="D18840" t="inlineStr">
        <is>
          <t>Dagues de Srambad; Amulette Luminescente; Alliance Gloursonne; Alliance du Lévitrof; Bouclier alvéolé; Ceinture Luminescente; Coiffe du Lévitrof; Cape Luminescente; Bottes du Lévitrof; Dofus des Veilleurs; Dofus Turquoise; Dofus Pourpre; Dofus Ocre; Dofus Émeraude; Muldo Ebène et Pourpre</t>
        </is>
      </c>
    </row>
    <row r="18841">
      <c r="A18841" t="inlineStr">
        <is>
          <t>ben-arfa</t>
        </is>
      </c>
      <c r="B18841">
        <f>HYPERLINK("https://www.dofusbook.net/fr/equipement/1366156-ben-arfa/objets", "link")</f>
        <v/>
      </c>
      <c r="C18841" t="n">
        <v>1</v>
      </c>
      <c r="D18841" t="inlineStr">
        <is>
          <t>Marteau d'Henual; Amulette du Strigide; Bague Gloursonne; Chevalière du Roi Joueur; Ceintacé; Chapeau de Gein; Voile d'encre; Bottes du Strigide; Dofus Turquoise; Dofus Pourpre; Vigoureux majeur; Nomade; Remueur; Muldo Indigo et Pourpre</t>
        </is>
      </c>
    </row>
    <row r="18842">
      <c r="A18842" t="inlineStr">
        <is>
          <t>marjouba</t>
        </is>
      </c>
      <c r="B18842">
        <f>HYPERLINK("https://www.dofusbook.net/fr/equipement/1367551-marjouba/objets", "link")</f>
        <v/>
      </c>
      <c r="C18842" t="n">
        <v>0</v>
      </c>
      <c r="D18842" t="inlineStr">
        <is>
          <t>Epée Gloursonne; Amulette du Strigide; Bague Gloursonne; Alliance Gloursonne; Bouclier d'Anerice; Ceinture du Strigide; Masque d'Anerice; Cape d'Anerice; Bottes du Strigide; Dofus Turquoise; Dofus Pourpre; Dofus Émeraude; Dofus des Veilleurs; Vagabond majeur; Puissant majeur; Muldo Ebène et Indigo</t>
        </is>
      </c>
    </row>
    <row r="18843">
      <c r="A18843" t="inlineStr">
        <is>
          <t>Kante</t>
        </is>
      </c>
      <c r="B18843">
        <f>HYPERLINK("https://www.dofusbook.net/fr/equipement/1367407-kante/objets", "link")</f>
        <v/>
      </c>
      <c r="C18843" t="n">
        <v>0</v>
      </c>
      <c r="D18843" t="inlineStr">
        <is>
          <t>Sabres d'Atcham; Amulette du Strigide; Alliance Gloursonne; Anneau de Padgref; Quatre-feuilles; Ceinture du Strigide; Coiffe de Padgref; Cape d'Atcham; Getas de Padgref; Dofus Ocre; Dofus Turquoise; Dofus Émeraude; Dofus Pourpre; Ralentisseur majeur; Engourdisseur majeur; Muldo Ebène et Indigo</t>
        </is>
      </c>
    </row>
    <row r="18844">
      <c r="A18844" t="inlineStr">
        <is>
          <t>payet</t>
        </is>
      </c>
      <c r="B18844">
        <f>HYPERLINK("https://www.dofusbook.net/fr/equipement/1367384-payet/objets", "link")</f>
        <v/>
      </c>
      <c r="C18844" t="n">
        <v>0</v>
      </c>
      <c r="D18844" t="inlineStr">
        <is>
          <t>Marteau de Katrepat; Amulette du Strigide; Bracelet du Piloztère; Anneau de Padgref; Goulclier; Ceinture du Strigide; Coiffe de Padgref; Voile d'encre; Getas de Padgref; Dofus Pourpre; Dofus Ocre; Dofus Émeraude; Dokoko; Dofus Turquoise; Puissant majeur</t>
        </is>
      </c>
    </row>
    <row r="18845">
      <c r="A18845" t="inlineStr">
        <is>
          <t>benzema</t>
        </is>
      </c>
      <c r="B18845">
        <f>HYPERLINK("https://www.dofusbook.net/fr/equipement/1366103-benzema/objets", "link")</f>
        <v/>
      </c>
      <c r="C18845" t="n">
        <v>0</v>
      </c>
      <c r="D18845" t="inlineStr">
        <is>
          <t>Héqache; Amulette du Strigide; Bracelet du Piloztère; Bague Gloursonne; Bouclier précieux; Ceintacé; Masque Trithon; Voile d'encre; Bottes Trithon; Dofus Émeraude; Dofus Turquoise; Culbuteur majeur; Vigoureux majeur; Bousculeur majeur; Remueur; Muldo Ebène et Pourpre</t>
        </is>
      </c>
    </row>
    <row r="18846">
      <c r="A18846" t="inlineStr">
        <is>
          <t>koli</t>
        </is>
      </c>
      <c r="B18846">
        <f>HYPERLINK("https://www.dofusbook.net/fr/equipement/1365757-koli/objets", "link")</f>
        <v/>
      </c>
      <c r="C18846" t="n">
        <v>0</v>
      </c>
      <c r="D18846" t="inlineStr">
        <is>
          <t>Héqache; Amulette du Strigide; Bracelet du Piloztère; Alliance Gloursonne; Bouclier précieux; Ceintacé; Chapoulpe; Cape du Kamasterisk; Bottes du Kamasterisk; Dofus Émeraude; Dofus Turquoise; Carapace Feu majeur; Remueur; Carapace Air majeur; Vigoureux majeur; Muldo Ebène et Indigo</t>
        </is>
      </c>
    </row>
    <row r="18847">
      <c r="A18847" t="inlineStr">
        <is>
          <t>lolita</t>
        </is>
      </c>
      <c r="B18847">
        <f>HYPERLINK("https://www.dofusbook.net/fr/equipement/1347985-lolita/objets", "link")</f>
        <v/>
      </c>
      <c r="C18847" t="n">
        <v>0</v>
      </c>
      <c r="D18847" t="inlineStr">
        <is>
          <t>Baguette Range; Gelano; Anneau de Padgref; Quatre-feuilles; Sangle Aise; Coiffe de Padgref; Voile d'encre; Getas de Padgref; Dofus Turquoise; Saccageur Feu majeur; Savant majeur; Puissant majeur; Astucieux majeur; Muldo Prune et Emeraude</t>
        </is>
      </c>
    </row>
    <row r="18848">
      <c r="A18848" t="inlineStr">
        <is>
          <t>pvp</t>
        </is>
      </c>
      <c r="B18848">
        <f>HYPERLINK("https://www.dofusbook.net/fr/equipement/1178924-pvp/objets", "link")</f>
        <v/>
      </c>
      <c r="C18848" t="n">
        <v>0</v>
      </c>
      <c r="D18848" t="inlineStr">
        <is>
          <t>Rapière aux Glyphes; Amulette de Shokkoth; Bracelet des Fonds marins; Alliance Gloursonne; Cadran de Feu; Poulpagne; Kidibonnet; Cape du Sinistrofu; Bottes du Sinistrofu; Dofus Turquoise; Dofus Émeraude; Dokoko; Dofus Pourpre; Muldo Ebène et Indigo</t>
        </is>
      </c>
    </row>
    <row r="18849">
      <c r="A18849" t="inlineStr">
        <is>
          <t>rere</t>
        </is>
      </c>
      <c r="B18849">
        <f>HYPERLINK("https://www.dofusbook.net/fr/equipement/1157304-rere/objets", "link")</f>
        <v/>
      </c>
      <c r="C18849" t="n">
        <v>1</v>
      </c>
      <c r="D18849" t="inlineStr"/>
    </row>
    <row r="18850">
      <c r="A18850" t="inlineStr">
        <is>
          <t>popk</t>
        </is>
      </c>
      <c r="B18850">
        <f>HYPERLINK("https://www.dofusbook.net/fr/equipement/1150987-popk/objets", "link")</f>
        <v/>
      </c>
      <c r="C18850" t="n">
        <v>0</v>
      </c>
      <c r="D18850" t="inlineStr">
        <is>
          <t>Rapière aux Glyphes; Amulette de Shokkoth; Anneau Cryochrone; Alliance Gloursonne; Quatre-feuilles; Poulpagne; Kidibonnet; Cape du Sinistrofu; Bottes du Sinistrofu; Voyageur; Nomade; Chanceux majeur; Remueur; Taquin majeur; Vigoureux majeur; Dehluge</t>
        </is>
      </c>
    </row>
    <row r="18851">
      <c r="A18851" t="inlineStr">
        <is>
          <t>fic</t>
        </is>
      </c>
      <c r="B18851">
        <f>HYPERLINK("https://www.dofusbook.net/fr/equipement/1144704-fic/objets", "link")</f>
        <v/>
      </c>
      <c r="C18851" t="n">
        <v>0</v>
      </c>
      <c r="D18851" t="inlineStr">
        <is>
          <t>Arc de Koutoulou; Amulette du Strigide; Alliance Gloursonne; Bracelet du Piloztère; Quatre-feuilles; Ceintacé; Némès de Tal Kasha; Chevelure de Tal Kasha; Bottes du Sinistrofu; Dofus Turquoise; Dofus Émeraude; Dokoko; Vigoureux majeur; Nomade; Remueur; Muldo Ebène et Indigo</t>
        </is>
      </c>
    </row>
    <row r="18852">
      <c r="A18852" t="inlineStr">
        <is>
          <t>pvm</t>
        </is>
      </c>
      <c r="B18852">
        <f>HYPERLINK("https://www.dofusbook.net/fr/equipement/1128947-pvm/objets", "link")</f>
        <v/>
      </c>
      <c r="C18852" t="n">
        <v>0</v>
      </c>
      <c r="D18852" t="inlineStr">
        <is>
          <t>Arc du Chalœil; Amulette du Strigide; Bracelet du Piloztère; Alliance de Missiz Frizz; Bivalve; Ceinture du Strigide; Bonnet Ko; Voile d'encre; Bottes de la Cour Sombre; Dofus Pourpre; Dofus Turquoise; Enragé majeur; Vigoureux majeur; Nomade; Remueur; Muldo Prune</t>
        </is>
      </c>
    </row>
    <row r="18853">
      <c r="A18853" t="inlineStr">
        <is>
          <t>Pvm</t>
        </is>
      </c>
      <c r="B18853">
        <f>HYPERLINK("https://www.dofusbook.net/fr/equipement/1128783-pvm/objets", "link")</f>
        <v/>
      </c>
      <c r="C18853" t="n">
        <v>0</v>
      </c>
      <c r="D18853" t="inlineStr">
        <is>
          <t>Arc de Koutoulou; Amulette du Strigide; Anneau de Padgref; Bracelet du Piloztère; Quatre-feuilles; Ceintacé; Coiffe de Padgref; Chevelure de Tal Kasha; Bottes Voldelor; Dofus Pourpre; Dofus Turquoise; Nomade; Remueur; Puissant majeur; Vigoureux majeur; Muldo Prune et Emeraude</t>
        </is>
      </c>
    </row>
    <row r="18854">
      <c r="A18854" t="inlineStr">
        <is>
          <t>pom</t>
        </is>
      </c>
      <c r="B18854">
        <f>HYPERLINK("https://www.dofusbook.net/fr/equipement/1084409-pom/objets", "link")</f>
        <v/>
      </c>
      <c r="C18854" t="n">
        <v>0</v>
      </c>
      <c r="D18854" t="inlineStr">
        <is>
          <t>Amulette de Shokkoth; Kidibonnet</t>
        </is>
      </c>
    </row>
    <row r="18855">
      <c r="A18855" t="inlineStr">
        <is>
          <t>tank</t>
        </is>
      </c>
      <c r="B18855">
        <f>HYPERLINK("https://www.dofusbook.net/fr/equipement/1045228-tank/objets", "link")</f>
        <v/>
      </c>
      <c r="C18855" t="n">
        <v>0</v>
      </c>
      <c r="D18855" t="inlineStr">
        <is>
          <t>Amulette Séculaire; Bague Gloursonne; Anneau de Nidas; Carapar; Ceinture Séculaire; Casque Dragoeuf; Cape de Diondin; Pataugastrique; Dofus Émeraude; Carapace Feu majeur; Remueur; Fonceur majeur; Carapace Neutre majeur; Déserteur majeur; Muldo Indigo et Pourpre</t>
        </is>
      </c>
    </row>
    <row r="18856">
      <c r="A18856" t="inlineStr">
        <is>
          <t>feu</t>
        </is>
      </c>
      <c r="B18856">
        <f>HYPERLINK("https://www.dofusbook.net/fr/equipement/881912-feu/objets", "link")</f>
        <v/>
      </c>
      <c r="C18856" t="n">
        <v>0</v>
      </c>
      <c r="D18856" t="inlineStr">
        <is>
          <t>Arc Hétype; Amulette de Nileza; Anneau Tique; Bague Gloursonne; Carapar; Ceintacé; Coiffe Séculaire; Cape de Nileza; Getas Bernacle; Carapace Air majeur; Savant majeur; Remueur; Déserteur majeur; Nomade; Érudit majeur; Muldo Orchidée</t>
        </is>
      </c>
    </row>
    <row r="18857">
      <c r="A18857" t="inlineStr">
        <is>
          <t>feufeunikou</t>
        </is>
      </c>
      <c r="B18857">
        <f>HYPERLINK("https://www.dofusbook.net/fr/equipement/732415-feufeunikou/objets", "link")</f>
        <v/>
      </c>
      <c r="C18857" t="n">
        <v>0</v>
      </c>
      <c r="D18857" t="inlineStr">
        <is>
          <t>La Baguette des Limbes; Amulette Séculaire; Anneau de Padgref; Anneau Tique; Ceinture Hanium; Bonnet Ko; Cape du Professeur Xa; Getas de Padgref; Dofus Kaliptus; Dofus Turquoise; Remueur; Érudit majeur; Astucieux majeur; Savant majeur; Dragodinde Turquoise</t>
        </is>
      </c>
    </row>
    <row r="18858">
      <c r="A18858" t="inlineStr">
        <is>
          <t>terre</t>
        </is>
      </c>
      <c r="B18858">
        <f>HYPERLINK("https://www.dofusbook.net/fr/equipement/728988-terre/objets", "link")</f>
        <v/>
      </c>
      <c r="C18858" t="n">
        <v>1</v>
      </c>
      <c r="D18858" t="inlineStr">
        <is>
          <t>Pelle du Professeur Xa; Amulette du Nocturlabe; Grésilanneau; Anneau Chevelu; Quatre-feuilles; Ceinture Bine; Coiffe du Comte Harebourg; Cape du Professeur Xa; Bottes de Brouce; Dofus Kaliptus; Enragé majeur; Nomade; Forcené majeur; Remueur; Furibond majeur; Dragodinde Turquoise</t>
        </is>
      </c>
    </row>
    <row r="18859">
      <c r="A18859" t="inlineStr">
        <is>
          <t>Drop-dada</t>
        </is>
      </c>
      <c r="B18859">
        <f>HYPERLINK("https://www.dofusbook.net/fr/equipement/687553-drop-dada/objets", "link")</f>
        <v/>
      </c>
      <c r="C18859" t="n">
        <v>0</v>
      </c>
      <c r="D18859" t="inlineStr">
        <is>
          <t>La Baguette des Limbes; Amulette Cætera; Grésilanneau; Ceinture de Danathor; Chapeau Pourih; Cape Matelassée; Getas de Padgref; Dofus Kaliptus; Taquin majeur; Joueur majeur; Nomade; Chanceux majeur; Remueur; Dragodinde Turquoise</t>
        </is>
      </c>
    </row>
    <row r="18860">
      <c r="A18860" t="inlineStr">
        <is>
          <t>Stuff 3</t>
        </is>
      </c>
      <c r="B18860">
        <f>HYPERLINK("https://www.dofusbook.net/fr/equipement/155832-stuff-3/objets", "link")</f>
        <v/>
      </c>
      <c r="C18860" t="n">
        <v>0</v>
      </c>
      <c r="D18860" t="inlineStr">
        <is>
          <t>Pelle du Professeur Xa; Amulette Cætera; Anneau de la Fuji Givrefoux; Grésilanneau; Ceinture Instable; Casquipik; Cape Matelassée; Bottes Hoktone; Dofus Kaliptus; Nomade; Taquin majeur; Remueur; Temporiseur majeur; Chanceux majeur; Dragodinde Turquoise</t>
        </is>
      </c>
    </row>
    <row r="18861">
      <c r="A18861" t="inlineStr">
        <is>
          <t>Stuff 1</t>
        </is>
      </c>
      <c r="B18861">
        <f>HYPERLINK("https://www.dofusbook.net/fr/equipement/155830-stuff-1/objets", "link")</f>
        <v/>
      </c>
      <c r="C18861" t="n">
        <v>0</v>
      </c>
      <c r="D18861" t="inlineStr">
        <is>
          <t>Hache du Guerrier Zoth; Amulette Cætera; Grésilanneau; Anneau Chevelu; Ceinture Instable; Cape Peupret; Bottes de la Cour Sombre; Dofus Kaliptus; Nomade; Forcené majeur; Temporiseur majeur; Remueur; Furibond majeur; Dragodinde Turquoise</t>
        </is>
      </c>
    </row>
    <row r="18862">
      <c r="A18862" t="inlineStr">
        <is>
          <t>popo</t>
        </is>
      </c>
      <c r="B18862">
        <f>HYPERLINK("https://www.dofusbook.net/fr/equipement/658063-popo/objets", "link")</f>
        <v/>
      </c>
      <c r="C18862" t="n">
        <v>0</v>
      </c>
      <c r="D18862" t="inlineStr">
        <is>
          <t>Hache du Guerrier Zoth; Frimamulette; Grésilanneau; Anneau d'Allister; Menoture; Masque de Klime; Cape de la Fuji Givrefoux; Bottes d'Allister; Dofus Kaliptus; Cascadeur majeur; Taquin majeur; Nomade; Equilibriste majeur; Remueur; Dragodinde Turquoise</t>
        </is>
      </c>
    </row>
    <row r="18863">
      <c r="A18863" t="inlineStr">
        <is>
          <t>Stuff 3</t>
        </is>
      </c>
      <c r="B18863">
        <f>HYPERLINK("https://www.dofusbook.net/fr/equipement/155797-stuff-3/objets", "link")</f>
        <v/>
      </c>
      <c r="C18863" t="n">
        <v>0</v>
      </c>
      <c r="D18863" t="inlineStr">
        <is>
          <t>La Baguette des Limbes; Amulette Séculaire; Grésilanneau; Anneau Bliteré; Quatre-feuilles; Sangle Aise; Coiffe Séculaire; Cape Peupret; Getas de Padgref; Dofus Kaliptus; Érudit majeur; Taquin majeur; Remueur; Astucieux majeur; Nomade; Dragodinde Turquoise</t>
        </is>
      </c>
    </row>
    <row r="18864">
      <c r="A18864" t="inlineStr">
        <is>
          <t>roub-drop</t>
        </is>
      </c>
      <c r="B18864">
        <f>HYPERLINK("https://www.dofusbook.net/fr/equipement/613838-roub-drop/objets", "link")</f>
        <v/>
      </c>
      <c r="C18864" t="n">
        <v>0</v>
      </c>
      <c r="D18864" t="inlineStr">
        <is>
          <t>Frimamulette; Anneau Colerette; Grésilanneau; Ceinture de Klime; Masque de Klime; Cape de Klime; Getas de Padgref; Dofus Kaliptus; Dragodinde Turquoise</t>
        </is>
      </c>
    </row>
    <row r="18865">
      <c r="A18865" t="inlineStr">
        <is>
          <t>Stuff 3</t>
        </is>
      </c>
      <c r="B18865">
        <f>HYPERLINK("https://www.dofusbook.net/fr/equipement/155800-stuff-3/objets", "link")</f>
        <v/>
      </c>
      <c r="C18865" t="n">
        <v>1</v>
      </c>
      <c r="D18865" t="inlineStr">
        <is>
          <t>Epée Toche; Amulette du Strigide; Anneau de Padgref; Bracelet du Piloztère; Ceinture de Gein; Bonnet Ko; Voile d'encre; Bottes du Strigide; Dofus Émeraude; Dofus Turquoise; Nomade; Remueur; Vigoureux majeur; Turbulent; Muldo Prune et Emeraude</t>
        </is>
      </c>
    </row>
    <row r="18866">
      <c r="A18866" t="inlineStr">
        <is>
          <t>Stuff 2</t>
        </is>
      </c>
      <c r="B18866">
        <f>HYPERLINK("https://www.dofusbook.net/fr/equipement/155820-stuff-2/objets", "link")</f>
        <v/>
      </c>
      <c r="C18866" t="n">
        <v>1</v>
      </c>
      <c r="D18866" t="inlineStr">
        <is>
          <t>Bêche Asse; Collier de Tourthon; Anneau de Brouce; Bague Gloursonne; Ceinture de Brouce; Chapeau de Gein; Cape au Logis; Sabots Minables; Dofus Turquoise; Miraculé majeur; Furibond majeur; Enragé majeur; Remueur; Carapace Neutre majeur; Muldo Indigo et Pourpre</t>
        </is>
      </c>
    </row>
    <row r="18867">
      <c r="A18867" t="inlineStr">
        <is>
          <t>Stuff 1</t>
        </is>
      </c>
      <c r="B18867">
        <f>HYPERLINK("https://www.dofusbook.net/fr/equipement/155881-stuff-1/objets", "link")</f>
        <v/>
      </c>
      <c r="C18867" t="n">
        <v>1</v>
      </c>
      <c r="D18867" t="inlineStr">
        <is>
          <t>Dagoulinantes; Amulette de Shokkoth; Alliance Gloursonne; Bracelet des Fonds marins; Pagne du Rykaon; Kidibonnet; Cape de Mantaze; Sandales des Fonds marins; Dofus Turquoise; Dofus Abyssal; Dofus Ocre; Dofus Émeraude; Déserteur majeur; Miraculé majeur; Muldo Ebène et Indigo</t>
        </is>
      </c>
    </row>
    <row r="18868">
      <c r="A18868" t="inlineStr">
        <is>
          <t>Stuff 2</t>
        </is>
      </c>
      <c r="B18868">
        <f>HYPERLINK("https://www.dofusbook.net/fr/equipement/155823-stuff-2/objets", "link")</f>
        <v/>
      </c>
      <c r="C18868" t="n">
        <v>0</v>
      </c>
      <c r="D18868" t="inlineStr">
        <is>
          <t>Manthache; Collier du Valet Veinard; Alliance Gloursonne; Gant du Valet Veinard; Menoture; Couronne d'Allister; Cape Indescriptible; Palmes Trithons; Dofus Émeraude; Dofus Abyssal; Dofus Ocre; Cascadeur majeur; Carapace Neutre majeur; Carapace Feu majeur; Muldo Orchidée et Pourpre</t>
        </is>
      </c>
    </row>
    <row r="18869">
      <c r="A18869" t="inlineStr">
        <is>
          <t>Stuff 2</t>
        </is>
      </c>
      <c r="B18869">
        <f>HYPERLINK("https://www.dofusbook.net/fr/equipement/155867-stuff-2/objets", "link")</f>
        <v/>
      </c>
      <c r="C18869" t="n">
        <v>0</v>
      </c>
      <c r="D18869" t="inlineStr">
        <is>
          <t>Sabres d'Atcham; Amulette du Strigide; Alliance Gloursonne; Anneau de Padgref; Ceinture du Strigide; Némès de Tal Kasha; Chevelure de Tal Kasha; Sandales de Tal Kasha; Dofus Ocre; Dofus Turquoise; Dolmanax; Dofus Émeraude; Dofus des Glaces; Dofus Abyssal; Muldo Indigo et Orchidée</t>
        </is>
      </c>
    </row>
    <row r="18870">
      <c r="A18870" t="inlineStr">
        <is>
          <t>Stuff 3</t>
        </is>
      </c>
      <c r="B18870">
        <f>HYPERLINK("https://www.dofusbook.net/fr/equipement/155859-stuff-3/objets", "link")</f>
        <v/>
      </c>
      <c r="C18870" t="n">
        <v>4</v>
      </c>
      <c r="D18870" t="inlineStr">
        <is>
          <t>Rapière aux Glyphes; Amulette de Shokkoth; Alliance Gloursonne; Bracelet des Fonds marins; Poulpagne; Casque Dragoeuf; Cape du Sinistrofu; Bottes du Sinistrofu; Dofus Ocre; Dofus Turquoise; Dofus Émeraude; Dofus Abyssal; Déserteur majeur; Chanceux majeur; Muldo Ebène et Pourpre</t>
        </is>
      </c>
    </row>
    <row r="18871">
      <c r="A18871" t="inlineStr">
        <is>
          <t>Stuff 3</t>
        </is>
      </c>
      <c r="B18871">
        <f>HYPERLINK("https://www.dofusbook.net/fr/equipement/155818-stuff-3/objets", "link")</f>
        <v/>
      </c>
      <c r="C18871" t="n">
        <v>0</v>
      </c>
      <c r="D18871" t="inlineStr">
        <is>
          <t>Baguette Hique; Amulette de Shokkoth; Pikano; Alliance Gloursonne; Bouclier cubiste; Poulpagne; Casquette de Meno; Cape de Meno; Pataugastrique; Temporiseur majeur; Chanceux majeur; Ralentisseur majeur; Remueur; Entraveur majeur; Nomade; Muldo Indigo et Amande</t>
        </is>
      </c>
    </row>
    <row r="18872">
      <c r="A18872" t="inlineStr">
        <is>
          <t>Stuff 1</t>
        </is>
      </c>
      <c r="B18872">
        <f>HYPERLINK("https://www.dofusbook.net/fr/equipement/155845-stuff-1/objets", "link")</f>
        <v/>
      </c>
      <c r="C18872" t="n">
        <v>1</v>
      </c>
      <c r="D18872" t="inlineStr">
        <is>
          <t>Dagoulinantes; Amulette de Shokkoth; Anneau Tique; Bague Trithon; Pagne du Rykaon; Kidibonnet; Cape de Mantaze; Bottes Trithon; Dofus Émeraude; Dofus Abyssal; Dofus Ocre; Carapace Air majeur; Miraculé majeur; Carapace Feu majeur; Muldo Indigo et Pourpre</t>
        </is>
      </c>
    </row>
    <row r="18873">
      <c r="A18873" t="inlineStr">
        <is>
          <t>Stuff 1</t>
        </is>
      </c>
      <c r="B18873">
        <f>HYPERLINK("https://www.dofusbook.net/fr/equipement/155813-stuff-1/objets", "link")</f>
        <v/>
      </c>
      <c r="C18873" t="n">
        <v>0</v>
      </c>
      <c r="D18873" t="inlineStr">
        <is>
          <t>Epée Gloursonne; Amulette du Strigide; Bague Gloursonne; Alliance Gloursonne; Ceinture du Strigide; Casque de Missiz Frizz; Sac Rebleux; Bottes du Strigide; Dofus Turquoise; Dofus Ocre; Dofus Pourpre; Furibond majeur; Joueur majeur; Puissant majeur; Muldo Emeraude</t>
        </is>
      </c>
    </row>
    <row r="18874">
      <c r="A18874" t="inlineStr">
        <is>
          <t>Stuff 3</t>
        </is>
      </c>
      <c r="B18874">
        <f>HYPERLINK("https://www.dofusbook.net/fr/equipement/155840-stuff-3/objets", "link")</f>
        <v/>
      </c>
      <c r="C18874" t="n">
        <v>0</v>
      </c>
      <c r="D18874" t="inlineStr">
        <is>
          <t>Sabres d'Atcham; Amulette du Strigide; Anneau de Padgref; Alliance Gloursonne; Ceinture du Strigide; Coiffe de Padgref; Cape d'Atcham; Sandales  d'Atcham; Dofus Ocre; Dofus Pourpre; Dofus Abyssal; Dofus Turquoise; Dofus Nébuleux; Dofus Émeraude; Muldo Ebène et Orchidée</t>
        </is>
      </c>
    </row>
    <row r="18875">
      <c r="A18875" t="inlineStr">
        <is>
          <t>Stuff 1</t>
        </is>
      </c>
      <c r="B18875">
        <f>HYPERLINK("https://www.dofusbook.net/fr/equipement/155895-stuff-1/objets", "link")</f>
        <v/>
      </c>
      <c r="C18875" t="n">
        <v>0</v>
      </c>
      <c r="D18875" t="inlineStr">
        <is>
          <t>Arc de Koutoulou; Amulette de l'Indicible; Alliance Gloursonne; Bracelet du Piloztère; Bouclier d'Asse cassé; Ceinture de l'Indicible; Némès de Tal Kasha; Chevelure de Tal Kasha; Bottes de l'Indicible; Dofus Turquoise; Dofus Émeraude; Nomade; Remueur; Vigoureux majeur; Muldo Ebène et Indigo</t>
        </is>
      </c>
    </row>
    <row r="18876">
      <c r="A18876" t="inlineStr">
        <is>
          <t>Stuff 3</t>
        </is>
      </c>
      <c r="B18876">
        <f>HYPERLINK("https://www.dofusbook.net/fr/equipement/155808-stuff-3/objets", "link")</f>
        <v/>
      </c>
      <c r="C18876" t="n">
        <v>1</v>
      </c>
      <c r="D18876" t="inlineStr">
        <is>
          <t>Racine de Floribonde; Collier du Valet Veinard; Alliance Gloursonne; Gant du Valet Veinard; Menoture; Couronne d'Allister; Cape Indescriptible; Palmes Trithons; Dofus des Glaces; Dévastateur Air majeur; Cascadeur majeur; Remueur; Nomade; Siroko</t>
        </is>
      </c>
    </row>
    <row r="18877">
      <c r="A18877" t="inlineStr">
        <is>
          <t>Stuff 3</t>
        </is>
      </c>
      <c r="B18877">
        <f>HYPERLINK("https://www.dofusbook.net/fr/equipement/155835-stuff-3/objets", "link")</f>
        <v/>
      </c>
      <c r="C18877" t="n">
        <v>0</v>
      </c>
      <c r="D18877" t="inlineStr">
        <is>
          <t>Manthache; Collier du Valet Veinard; Gant du Valet Veinard; Alliance Gloursonne; Menoture; Casque Dragoeuf; Cape Indescriptible; Palmes Trithons; Dofus Émeraude; Remueur; Fonceur majeur; Nomade; Initiateur mineur; Cascadeur majeur; Muldo Ebène</t>
        </is>
      </c>
    </row>
    <row r="18878">
      <c r="A18878" t="inlineStr">
        <is>
          <t>Stuff 1</t>
        </is>
      </c>
      <c r="B18878">
        <f>HYPERLINK("https://www.dofusbook.net/fr/equipement/155890-stuff-1/objets", "link")</f>
        <v/>
      </c>
      <c r="C18878" t="n">
        <v>0</v>
      </c>
      <c r="D18878" t="inlineStr">
        <is>
          <t>La Baguette des Limbes; La Meulette; Anneau du Chêne Mou; Anneau Nobstant; Ceinture Phossile; Bonnet Ko; Cape Phossile; Bottes du Dragoeuf; Dofus Émeraude; Remueur; Miraculé majeur; Sanguinaire majeur; Robuste majeur; Vigoureux majeur; Muldo Doré et Pourpre</t>
        </is>
      </c>
    </row>
    <row r="18879">
      <c r="A18879" t="inlineStr">
        <is>
          <t>Stuff 3</t>
        </is>
      </c>
      <c r="B18879">
        <f>HYPERLINK("https://www.dofusbook.net/fr/equipement/155803-stuff-3/objets", "link")</f>
        <v/>
      </c>
      <c r="C18879" t="n">
        <v>0</v>
      </c>
      <c r="D18879" t="inlineStr">
        <is>
          <t>Harpelle; Pendentif affamé; Anneau Tique; Anneau de Nidas; Quatre-feuilles; Ceinture de Vortex; Couronne de Nidas; Cape de Diondin; Bottes de Meno; Dofus Turquoise; Dofus Ocre; Érudit majeur; Muldo Indigo et Orchidée</t>
        </is>
      </c>
    </row>
    <row r="18880">
      <c r="A18880" t="inlineStr">
        <is>
          <t>Stuff 3</t>
        </is>
      </c>
      <c r="B18880">
        <f>HYPERLINK("https://www.dofusbook.net/fr/equipement/155883-stuff-3/objets", "link")</f>
        <v/>
      </c>
      <c r="C18880" t="n">
        <v>3</v>
      </c>
      <c r="D18880" t="inlineStr">
        <is>
          <t>Dague Adou; Amulette du Strigide; Alliance Gloursonne; Bague Trithon; Ceinture du Strigide; Némès de Tal Kasha; Chevelure de Tal Kasha; Sandales de Tal Kasha; Dofus Turquoise; Dofus Émeraude; Dofus Ocre; Dofus des Glaces; Dofus Nébuleux; Dofus Abyssal; Muldo Ebène et Indigo</t>
        </is>
      </c>
    </row>
    <row r="18881">
      <c r="A18881" t="inlineStr">
        <is>
          <t>Stuff 1</t>
        </is>
      </c>
      <c r="B18881">
        <f>HYPERLINK("https://www.dofusbook.net/fr/equipement/155825-stuff-1/objets", "link")</f>
        <v/>
      </c>
      <c r="C18881" t="n">
        <v>0</v>
      </c>
      <c r="D18881" t="inlineStr">
        <is>
          <t>Manthache; Collier du Valet Veinard; Gant du Valet Veinard; Alliance Gloursonne; Menoture; Couronne d'Allister; Cape Indescriptible; Palmes Trithons; Dofus Émeraude; Dévastateur Air majeur; Acrobate majeur; Cascadeur majeur; Remueur; Nomade; Siroko</t>
        </is>
      </c>
    </row>
    <row r="18882">
      <c r="A18882" t="inlineStr">
        <is>
          <t>Stuff 2</t>
        </is>
      </c>
      <c r="B18882">
        <f>HYPERLINK("https://www.dofusbook.net/fr/equipement/155820-stuff-2/objets", "link")</f>
        <v/>
      </c>
      <c r="C18882" t="n">
        <v>1</v>
      </c>
      <c r="D18882" t="inlineStr">
        <is>
          <t>Bêche Asse; Collier de Tourthon; Anneau de Brouce; Bague Gloursonne; Ceinture de Brouce; Chapeau de Gein; Cape au Logis; Sabots Minables; Dofus Turquoise; Miraculé majeur; Furibond majeur; Enragé majeur; Remueur; Carapace Neutre majeur; Muldo Indigo et Pourpre</t>
        </is>
      </c>
    </row>
    <row r="18883">
      <c r="A18883" t="inlineStr">
        <is>
          <t>Stuff 2</t>
        </is>
      </c>
      <c r="B18883">
        <f>HYPERLINK("https://www.dofusbook.net/fr/equipement/155864-stuff-2/objets", "link")</f>
        <v/>
      </c>
      <c r="C18883" t="n">
        <v>0</v>
      </c>
      <c r="D18883" t="inlineStr">
        <is>
          <t>Dagues de Srambad; Torquistik; Baguistik; Alliance Gloursonne; Ceinture de la Reine des Voleurs; Coiffe de la Reine des Voleurs; Voile d'encre; Bottes de la Reine des Voleurs; Dolmanax; Dofus Ocre; Dofus des Glaces; Dofus Émeraude; Dofus Pourpre; Dofus Abyssal; Muldo Ebène et Amande</t>
        </is>
      </c>
    </row>
    <row r="18884">
      <c r="A18884" t="inlineStr">
        <is>
          <t>Stuff 3</t>
        </is>
      </c>
      <c r="B18884">
        <f>HYPERLINK("https://www.dofusbook.net/fr/equipement/155847-stuff-3/objets", "link")</f>
        <v/>
      </c>
      <c r="C18884" t="n">
        <v>0</v>
      </c>
      <c r="D18884" t="inlineStr">
        <is>
          <t>Harpelle; Pendentif affamé; Anneauræus; Anneau Tique; Ceinture de Gein; Chapeau de Gein; Voile d'encre; Pataugastrique; Dofus Ocre; Dofus Turquoise; Dofus Abyssal; Dofus Émeraude; Déserteur majeur; Miraculé majeur; Muldo Ebène et Pourpre</t>
        </is>
      </c>
    </row>
    <row r="18885">
      <c r="A18885" t="inlineStr">
        <is>
          <t>Stuff 1</t>
        </is>
      </c>
      <c r="B18885">
        <f>HYPERLINK("https://www.dofusbook.net/fr/equipement/155842-stuff-1/objets", "link")</f>
        <v/>
      </c>
      <c r="C18885" t="n">
        <v>0</v>
      </c>
      <c r="D18885" t="inlineStr">
        <is>
          <t>Sabres d'Atcham; Amulette du Strigide; Anneau Tique; Anneau de Padgref; Ceinture du Strigide; Coiffe de Padgref; Cape d'Atcham; Sandales  d'Atcham; Dofus Ocre; Dofus Pourpre; Dofus Abyssal; Dofus Turquoise; Dofus des Glaces; Dofus Émeraude; Muldo Ebène et Orchidée</t>
        </is>
      </c>
    </row>
    <row r="18886">
      <c r="A18886" t="inlineStr">
        <is>
          <t>Stuff 3</t>
        </is>
      </c>
      <c r="B18886">
        <f>HYPERLINK("https://www.dofusbook.net/fr/equipement/155897-stuff-3/objets", "link")</f>
        <v/>
      </c>
      <c r="C18886" t="n">
        <v>0</v>
      </c>
      <c r="D18886" t="inlineStr">
        <is>
          <t>Baguette de Malléfisk; Pendentif affamé; Bracelet du Piloztère; Anneau Tique; Ceinture Séculaire; Coiffe Séculaire; Voile d'encre; Pataugastrique; Dofus Turquoise; Dofus Émeraude; Remueur; Nomade; Carapace Neutre majeur; Érudit majeur; Muldo Orchidée et Pourpre</t>
        </is>
      </c>
    </row>
    <row r="18887">
      <c r="A18887" t="inlineStr">
        <is>
          <t>Stuff 1</t>
        </is>
      </c>
      <c r="B18887">
        <f>HYPERLINK("https://www.dofusbook.net/fr/equipement/155887-stuff-1/objets", "link")</f>
        <v/>
      </c>
      <c r="C18887" t="n">
        <v>0</v>
      </c>
      <c r="D18887" t="inlineStr">
        <is>
          <t>Baguette Rhon; Médaille Kido; Anneau du Chêne Mou; Alliance d'Elya Wood; Ceintruche; Bonnet Ko; Cape Souveraine du Roissingue; Tongues du dimanche du Chêne Mou; Dofus Émeraude; Dévastateur Feu majeur; Érudit majeur; Nomade; Remueur; Miraculé majeur; Muldo Ebène et Indigo</t>
        </is>
      </c>
    </row>
    <row r="18888">
      <c r="A18888" t="inlineStr">
        <is>
          <t>Stuff 3</t>
        </is>
      </c>
      <c r="B18888">
        <f>HYPERLINK("https://www.dofusbook.net/fr/equipement/155871-stuff-3/objets", "link")</f>
        <v/>
      </c>
      <c r="C18888" t="n">
        <v>0</v>
      </c>
      <c r="D18888" t="inlineStr">
        <is>
          <t>Dague Adou; Amulette du Strigide; Bague Trithon; Alliance Gloursonne; Ceinture du Strigide; Némès de Tal Kasha; Chevelure de Tal Kasha; Sandales de Tal Kasha; Dolmanax; Dofus Abyssal; Dofus Émeraude; Dofus des Glaces; Dofus Turquoise; Dofus Ocre; Muldo Ebène et Indigo</t>
        </is>
      </c>
    </row>
    <row r="18889">
      <c r="A18889" t="inlineStr">
        <is>
          <t>Stuff 3</t>
        </is>
      </c>
      <c r="B18889">
        <f>HYPERLINK("https://www.dofusbook.net/fr/equipement/155827-stuff-3/objets", "link")</f>
        <v/>
      </c>
      <c r="C18889" t="n">
        <v>0</v>
      </c>
      <c r="D18889" t="inlineStr">
        <is>
          <t>Epée Loponèze; Amulette du Strigide; Alliance du Lévitrof; Alliance Gloursonne; Ceinture du Strigide; Coiffe du Lévitrof; Cape des Malveilleurs; Bottes du Lévitrof; Dofus Turquoise; Dofus Émeraude; Dofus Pourpre; Dofus Ocre; Puissant majeur; Tacleur majeur; Muldo Indigo et Orchidée</t>
        </is>
      </c>
    </row>
    <row r="18890">
      <c r="A18890" t="inlineStr">
        <is>
          <t>Stuff 1</t>
        </is>
      </c>
      <c r="B18890">
        <f>HYPERLINK("https://www.dofusbook.net/fr/equipement/155866-stuff-1/objets", "link")</f>
        <v/>
      </c>
      <c r="C18890" t="n">
        <v>0</v>
      </c>
      <c r="D18890" t="inlineStr">
        <is>
          <t>Marteau R'ture; Amulette Ementaire Deluxe; Alliance Gloursonne; Bague Gloursonne; Sangle de Sylargh; Capuche de Sylargh; Cape du Chalœil; Baleinabottes; Dofus Abyssal; Dofus des Glaces; Dofus Émeraude; Dofus Ocre; Muraille Air majeure; Cuirassé Air majeur; Muldo Orchidée et Pourpre</t>
        </is>
      </c>
    </row>
    <row r="18891">
      <c r="A18891" t="inlineStr">
        <is>
          <t>Stuff 2</t>
        </is>
      </c>
      <c r="B18891">
        <f>HYPERLINK("https://www.dofusbook.net/fr/equipement/155817-stuff-2/objets", "link")</f>
        <v/>
      </c>
      <c r="C18891" t="n">
        <v>0</v>
      </c>
      <c r="D18891" t="inlineStr">
        <is>
          <t>Rapière aux Glyphes; Amulette de Danathor; Pikano; Alliance Gloursonne; Ceinture Glaciale; Casquipik; Cape Matelassée; Pataugastrique; Chanceux majeur; Entraveur majeur; Nomade; Temporiseur majeur; Remueur; Temporiseur; Muldo Pourpre</t>
        </is>
      </c>
    </row>
    <row r="18892">
      <c r="A18892" t="inlineStr">
        <is>
          <t>Stuff 3</t>
        </is>
      </c>
      <c r="B18892">
        <f>HYPERLINK("https://www.dofusbook.net/fr/equipement/155844-stuff-3/objets", "link")</f>
        <v/>
      </c>
      <c r="C18892" t="n">
        <v>0</v>
      </c>
      <c r="D18892" t="inlineStr">
        <is>
          <t>Sabres d'Atcham; Amulette du Strigide; Anneau Tique; Anneau de Padgref; Ceinture du Strigide; Coiffe de Padgref; Cape d'Atcham; Sandales  d'Atcham; Dofus Abyssal; Dofus Turquoise; Dolmanax; Dofus Émeraude; Dofus Ocre; Dofus Pourpre; Muldo Orchidée et Emeraude</t>
        </is>
      </c>
    </row>
    <row r="18893">
      <c r="A18893" t="inlineStr">
        <is>
          <t>Stuff 2</t>
        </is>
      </c>
      <c r="B18893">
        <f>HYPERLINK("https://www.dofusbook.net/fr/equipement/155894-stuff-2/objets", "link")</f>
        <v/>
      </c>
      <c r="C18893" t="n">
        <v>1</v>
      </c>
      <c r="D18893" t="inlineStr">
        <is>
          <t>Marteau R'ture; Collier de Tourthon; Anneau de Brouce; Anneau Chevelu; Ceinture de Brouce; Masque de Koutoulou; Cape au Logis; Baleinabottes; Dofus Émeraude; Remueur; Enragé majeur; Furibond majeur; Nomade; Miraculé majeur; Eliôme</t>
        </is>
      </c>
    </row>
    <row r="18894">
      <c r="A18894" t="inlineStr">
        <is>
          <t>Stuff 2</t>
        </is>
      </c>
      <c r="B18894">
        <f>HYPERLINK("https://www.dofusbook.net/fr/equipement/155807-stuff-2/objets", "link")</f>
        <v/>
      </c>
      <c r="C18894" t="n">
        <v>0</v>
      </c>
      <c r="D18894" t="inlineStr">
        <is>
          <t>Épée du Granduk; Amulette du Granduk; Anneau de Padgref; Anneau d'Allister; Ceinture de Klime; Masque du Granduk; Cape de Klime; Bottes d'Allister; Dofus Ocre; Dofus Turquoise; Voyageur; Acrobate majeur; Ravageur Air majeur; Equilibriste majeur; Siroko</t>
        </is>
      </c>
    </row>
    <row r="18895">
      <c r="A18895" t="inlineStr">
        <is>
          <t>Stuff 2</t>
        </is>
      </c>
      <c r="B18895">
        <f>HYPERLINK("https://www.dofusbook.net/fr/equipement/155802-stuff-2/objets", "link")</f>
        <v/>
      </c>
      <c r="C18895" t="n">
        <v>0</v>
      </c>
      <c r="D18895" t="inlineStr">
        <is>
          <t>Harpelle; Pendentif affamé; Anneau Tique; Anneau de Padgref; Sangle Aise; Coiffe de Padgref; Cape de Diondin; Bottes Innommables; Dévastateur Feu majeur; Voyageur; Savant majeur; Remueur; Érudit majeur; Nomade; Brûlih</t>
        </is>
      </c>
    </row>
    <row r="18896">
      <c r="A18896" t="inlineStr">
        <is>
          <t>Stuff 2</t>
        </is>
      </c>
      <c r="B18896">
        <f>HYPERLINK("https://www.dofusbook.net/fr/equipement/155834-stuff-2/objets", "link")</f>
        <v/>
      </c>
      <c r="C18896" t="n">
        <v>0</v>
      </c>
      <c r="D18896" t="inlineStr">
        <is>
          <t>Arc Hétype; Pendentif affamé; Anneau Tique; Anneau de Nidas; Ceinture Séculaire; Couronne de Nidas; Cape de Diondin; Bottes Innommables; Dofus Émeraude; Dofus Pourpre; Dofus Turquoise; Remueur; Érudit majeur; Dévastateur Feu majeur; Muldo Orchidée</t>
        </is>
      </c>
    </row>
    <row r="18897">
      <c r="A18897" t="inlineStr">
        <is>
          <t>Stuff 2</t>
        </is>
      </c>
      <c r="B18897">
        <f>HYPERLINK("https://www.dofusbook.net/fr/equipement/155882-stuff-2/objets", "link")</f>
        <v/>
      </c>
      <c r="C18897" t="n">
        <v>0</v>
      </c>
      <c r="D18897" t="inlineStr">
        <is>
          <t>Arc Hétype; Pendentif affamé; Anneauræus; Anneau Rifique; Ceinture Séculaire; Coiffe Séculaire; Voile d'encre; Pataugastrique; Dofus Turquoise; Dofus Émeraude; Dofus Abyssal; Carapace Neutre majeur; Érudit majeur; Remueur; Muldo Indigo et Orchidée</t>
        </is>
      </c>
    </row>
    <row r="18898">
      <c r="A18898" t="inlineStr">
        <is>
          <t>Stuff 2</t>
        </is>
      </c>
      <c r="B18898">
        <f>HYPERLINK("https://www.dofusbook.net/fr/equipement/155829-stuff-2/objets", "link")</f>
        <v/>
      </c>
      <c r="C18898" t="n">
        <v>0</v>
      </c>
      <c r="D18898" t="inlineStr">
        <is>
          <t>Harpelle; Pendentif affamé; Bague Gloursonne; Anneau de Padgref; Sangle Aise; Coiffe de Padgref; Cape de Diondin; Bottes Innommables; Dofus Turquoise; Érudit majeur; Nomade; Dévastateur Feu majeur; Savant majeur; Remueur; Brûlih</t>
        </is>
      </c>
    </row>
    <row r="18899">
      <c r="A18899" t="inlineStr">
        <is>
          <t>Stuff 3</t>
        </is>
      </c>
      <c r="B18899">
        <f>HYPERLINK("https://www.dofusbook.net/fr/equipement/155868-stuff-3/objets", "link")</f>
        <v/>
      </c>
      <c r="C18899" t="n">
        <v>0</v>
      </c>
      <c r="D18899" t="inlineStr">
        <is>
          <t>Héqache; Amulette du Strigide; Bracelet du Piloztère; Bague Trithon; Ceinture du Strigide; Masque Trithon; Cape du Kamasterisk; Bottes du Strigide; Dofus Turquoise; Dofus des Glaces; Dofus Émeraude; Dofus Abyssal; Dolmanax; Dofus Ocre; Muldo Ebène et Orchidée</t>
        </is>
      </c>
    </row>
    <row r="18900">
      <c r="A18900" t="inlineStr">
        <is>
          <t>Stuff 1</t>
        </is>
      </c>
      <c r="B18900">
        <f>HYPERLINK("https://www.dofusbook.net/fr/equipement/155819-stuff-1/objets", "link")</f>
        <v/>
      </c>
      <c r="C18900" t="n">
        <v>1</v>
      </c>
      <c r="D18900" t="inlineStr">
        <is>
          <t>Bêche Asse; Collier de Tourthon; Anneau de Brouce; Bague Gloursonne; Ceinture de Brouce; Masque de Koutoulou; Cape au Logis; Bottes de la Cour Sombre; Dofus Turquoise; Carapace Neutre majeur; Furibond majeur; Déserteur majeur; Remueur; Enragé majeur; Muldo Indigo et Pourpre</t>
        </is>
      </c>
    </row>
    <row r="18901">
      <c r="A18901" t="inlineStr">
        <is>
          <t>Stuff 2</t>
        </is>
      </c>
      <c r="B18901">
        <f>HYPERLINK("https://www.dofusbook.net/fr/equipement/155814-stuff-2/objets", "link")</f>
        <v/>
      </c>
      <c r="C18901" t="n">
        <v>1</v>
      </c>
      <c r="D18901" t="inlineStr">
        <is>
          <t>Arc Hétype; Amulette Séculaire; Bracelet du Piloztère; Anneau de Padgref; Sangle Aise; Coiffe Séculaire; Sac Rebleux; Bottes d'Otomaï; Dofus Turquoise; Miraculé majeur; Nomade; Érudit majeur; Remueur; Savant majeur; Muldo Prune</t>
        </is>
      </c>
    </row>
    <row r="18902">
      <c r="A18902" t="inlineStr">
        <is>
          <t>Stuff 2</t>
        </is>
      </c>
      <c r="B18902">
        <f>HYPERLINK("https://www.dofusbook.net/fr/equipement/155846-stuff-2/objets", "link")</f>
        <v/>
      </c>
      <c r="C18902" t="n">
        <v>0</v>
      </c>
      <c r="D18902" t="inlineStr">
        <is>
          <t>Rapière aux Glyphes; Amulette de Shokkoth; Bracelet des Fonds marins; Alliance Gloursonne; Poulpagne; Kidibonnet; Cape du Sinistrofu; Bottes du Sinistrofu; Dofus Abyssal; Dofus Turquoise; Dofus Émeraude; Carapace Air majeur; Miraculé majeur; Carapace Terre majeur; Muldo Indigo et Pourpre</t>
        </is>
      </c>
    </row>
    <row r="18903">
      <c r="A18903" t="inlineStr">
        <is>
          <t>Stuff 2</t>
        </is>
      </c>
      <c r="B18903">
        <f>HYPERLINK("https://www.dofusbook.net/fr/equipement/155896-stuff-2/objets", "link")</f>
        <v/>
      </c>
      <c r="C18903" t="n">
        <v>0</v>
      </c>
      <c r="D18903" t="inlineStr">
        <is>
          <t>Dagoulinantes; Amulette de Shokkoth; Alliance Gloursonne; Bracelet du Piloztère; Poulpagne; Kidibonnet; Cape du Sinistrofu; Bottes du Sinistrofu; Dofus Émeraude; Remueur; Chanceux majeur; Dévastateur Eau majeur; Nomade; Taquin majeur; Muldo Roux et Amande</t>
        </is>
      </c>
    </row>
    <row r="18904">
      <c r="A18904" t="inlineStr">
        <is>
          <t>Stuff 1</t>
        </is>
      </c>
      <c r="B18904">
        <f>HYPERLINK("https://www.dofusbook.net/fr/equipement/155809-stuff-1/objets", "link")</f>
        <v/>
      </c>
      <c r="C18904" t="n">
        <v>1</v>
      </c>
      <c r="D18904" t="inlineStr">
        <is>
          <t>Manthache; Collier du Valet Veinard; Gant du Valet Veinard; Alliance Gloursonne; Cadran d'Air; Menoture; Couronne d'Allister; Cape Indescriptible; Baleinabottes; Dévastateur Air majeur; Nomade; Miraculé majeur; Remueur; Acrobate majeur; Cascadeur majeur; Siroko</t>
        </is>
      </c>
    </row>
    <row r="18905">
      <c r="A18905" t="inlineStr">
        <is>
          <t>Stuff 2</t>
        </is>
      </c>
      <c r="B18905">
        <f>HYPERLINK("https://www.dofusbook.net/fr/equipement/155843-stuff-2/objets", "link")</f>
        <v/>
      </c>
      <c r="C18905" t="n">
        <v>1</v>
      </c>
      <c r="D18905" t="inlineStr">
        <is>
          <t>Hache du Chalœil; Amulette du Strigide; Alliance Gloursonne; Alliance du Lévitrof; Ceinture du Strigide; Coiffe du Lévitrof; Dofusteuse; Bottes du Strigide; Dofus Abyssal; Dofus Turquoise; Dofus Émeraude; Dofus Ocre; Dofus des Glaces; Dolmanax; Muldo Indigo et Orchidée</t>
        </is>
      </c>
    </row>
    <row r="18906">
      <c r="A18906" t="inlineStr">
        <is>
          <t>Stuff 1</t>
        </is>
      </c>
      <c r="B18906">
        <f>HYPERLINK("https://www.dofusbook.net/fr/equipement/155806-stuff-1/objets", "link")</f>
        <v/>
      </c>
      <c r="C18906" t="n">
        <v>0</v>
      </c>
      <c r="D18906" t="inlineStr">
        <is>
          <t>Arc Hétype; Amulette Séculaire; Anneau Tamie; Bague Gloursonne; Sangle Aise; Coiffe Séculaire; Voile d'encre; Bottes d'Otomaï; Dofus Turquoise; Dévastateur Feu majeur; Érudit majeur; Remueur; Savant majeur; Nomade; Brûlih</t>
        </is>
      </c>
    </row>
    <row r="18907">
      <c r="A18907" t="inlineStr">
        <is>
          <t>Stuff 3</t>
        </is>
      </c>
      <c r="B18907">
        <f>HYPERLINK("https://www.dofusbook.net/fr/equipement/155838-stuff-3/objets", "link")</f>
        <v/>
      </c>
      <c r="C18907" t="n">
        <v>0</v>
      </c>
      <c r="D18907" t="inlineStr">
        <is>
          <t>Amulette Cætera; Anneau Chevelu; Grésilanneau; Sangle Ouare; Coiffe Ranshi; Cape Peupret; Grésilobottes; Dofus Kaliptus; Dofus Turquoise; Puissant majeur; Remueur; Vigoureux majeur; Nomade; Dragodinde Turquoise</t>
        </is>
      </c>
    </row>
    <row r="18908">
      <c r="A18908" t="inlineStr">
        <is>
          <t>Stuff 1</t>
        </is>
      </c>
      <c r="B18908">
        <f>HYPERLINK("https://www.dofusbook.net/fr/equipement/155893-stuff-1/objets", "link")</f>
        <v/>
      </c>
      <c r="C18908" t="n">
        <v>0</v>
      </c>
      <c r="D18908" t="inlineStr">
        <is>
          <t>Hache du Guerrier Zoth; Amulette de Grozilla; Anneau du Chêne Mou; Anneau Nobstant; Slip Hie; Bonnet Ko; Cape Souveraine du Roissingue; Bottes du Nowel Cauchemardesque; Dofus Émeraude; Culbuteur majeur; Miraculé majeur; Nomade; Bousculeur majeur; Remueur; Muldo Ebène et Pourpre</t>
        </is>
      </c>
    </row>
    <row r="18909">
      <c r="A18909" t="inlineStr">
        <is>
          <t>Stuff 1</t>
        </is>
      </c>
      <c r="B18909">
        <f>HYPERLINK("https://www.dofusbook.net/fr/equipement/155833-stuff-1/objets", "link")</f>
        <v/>
      </c>
      <c r="C18909" t="n">
        <v>0</v>
      </c>
      <c r="D18909" t="inlineStr">
        <is>
          <t>Marteau R'ture; Collier de Tourthon; Anneau Chevelu; Anneau de Brouce; Ceinture de Brouce; Masque de Koutoulou; Cape au Logis; Bottes de la Cour Sombre; Dofus Émeraude; Dofus Pourpre; Dofus Turquoise; Remueur; Miraculé majeur; Enragé majeur; Muldo Indigo et Pourpre</t>
        </is>
      </c>
    </row>
    <row r="18910">
      <c r="A18910" t="inlineStr">
        <is>
          <t>Stuff 1</t>
        </is>
      </c>
      <c r="B18910">
        <f>HYPERLINK("https://www.dofusbook.net/fr/equipement/155801-stuff-1/objets", "link")</f>
        <v/>
      </c>
      <c r="C18910" t="n">
        <v>0</v>
      </c>
      <c r="D18910" t="inlineStr">
        <is>
          <t>Sabres d'Atcham; Amulette du Strigide; Alliance Gloursonne; Anneau de Padgref; Quatre-feuilles; Ceinture du Strigide; Coiffe de Padgref; Cape Matelassée; Getas de Padgref; Dofus Turquoise; Dofus Pourpre; Joueur majeur; Acrobate majeur; Savant majeur; Muldo Emeraude</t>
        </is>
      </c>
    </row>
    <row r="18911">
      <c r="A18911" t="inlineStr">
        <is>
          <t>Stuff 1</t>
        </is>
      </c>
      <c r="B18911">
        <f>HYPERLINK("https://www.dofusbook.net/fr/equipement/155828-stuff-1/objets", "link")</f>
        <v/>
      </c>
      <c r="C18911" t="n">
        <v>0</v>
      </c>
      <c r="D18911" t="inlineStr">
        <is>
          <t>Marteau R'ture; Collier de Tourthon; Bague Gloursonne; Anneau Chevelu; Ceinture de Brouce; Masque de Koutoulou; Cape au Logis; Bottes de Brouce; Dofus Turquoise; Remueur; Enragé majeur; Nomade; Furibond majeur; Forcené majeur; Kompost</t>
        </is>
      </c>
    </row>
    <row r="18912">
      <c r="A18912" t="inlineStr">
        <is>
          <t>Stuff 1</t>
        </is>
      </c>
      <c r="B18912">
        <f>HYPERLINK("https://www.dofusbook.net/fr/equipement/155881-stuff-1/objets", "link")</f>
        <v/>
      </c>
      <c r="C18912" t="n">
        <v>1</v>
      </c>
      <c r="D18912" t="inlineStr">
        <is>
          <t>Dagoulinantes; Amulette de Shokkoth; Alliance Gloursonne; Bracelet des Fonds marins; Pagne du Rykaon; Kidibonnet; Cape de Mantaze; Sandales des Fonds marins; Dofus Turquoise; Dofus Abyssal; Dofus Ocre; Dofus Émeraude; Déserteur majeur; Miraculé majeur; Muldo Ebène et Indigo</t>
        </is>
      </c>
    </row>
    <row r="18913">
      <c r="A18913" t="inlineStr">
        <is>
          <t>Stuff 2</t>
        </is>
      </c>
      <c r="B18913">
        <f>HYPERLINK("https://www.dofusbook.net/fr/equipement/155823-stuff-2/objets", "link")</f>
        <v/>
      </c>
      <c r="C18913" t="n">
        <v>0</v>
      </c>
      <c r="D18913" t="inlineStr">
        <is>
          <t>Manthache; Collier du Valet Veinard; Gant du Valet Veinard; Alliance Gloursonne; Menoture; Couronne d'Allister; Cape Indescriptible; Palmes Trithons; Dofus Émeraude; Dofus Abyssal; Dofus Ocre; Carapace Neutre majeur; Carapace Feu majeur; Cascadeur majeur; Muldo Orchidée et Pourpre</t>
        </is>
      </c>
    </row>
    <row r="18914">
      <c r="A18914" t="inlineStr">
        <is>
          <t>Stuff 2</t>
        </is>
      </c>
      <c r="B18914">
        <f>HYPERLINK("https://www.dofusbook.net/fr/equipement/155867-stuff-2/objets", "link")</f>
        <v/>
      </c>
      <c r="C18914" t="n">
        <v>0</v>
      </c>
      <c r="D18914" t="inlineStr">
        <is>
          <t>Sabres d'Atcham; Amulette du Strigide; Anneau de Padgref; Alliance Gloursonne; Ceinture du Strigide; Némès de Tal Kasha; Chevelure de Tal Kasha; Sandales de Tal Kasha; Dolmanax; Dofus Émeraude; Dofus des Glaces; Dofus Abyssal; Dofus Ocre; Dofus Turquoise; Muldo Indigo et Orchidée</t>
        </is>
      </c>
    </row>
    <row r="18915">
      <c r="A18915" t="inlineStr">
        <is>
          <t>Stuff 3</t>
        </is>
      </c>
      <c r="B18915">
        <f>HYPERLINK("https://www.dofusbook.net/fr/equipement/155818-stuff-3/objets", "link")</f>
        <v/>
      </c>
      <c r="C18915" t="n">
        <v>0</v>
      </c>
      <c r="D18915" t="inlineStr">
        <is>
          <t>Baguette Hique; Amulette de Shokkoth; Alliance Gloursonne; Pikano; Bouclier cubiste; Poulpagne; Casquette de Meno; Cape de Meno; Pataugastrique; Entraveur majeur; Nomade; Temporiseur majeur; Chanceux majeur; Ralentisseur majeur; Remueur; Muldo Indigo et Amande</t>
        </is>
      </c>
    </row>
    <row r="18916">
      <c r="A18916" t="inlineStr">
        <is>
          <t>Stuff 3</t>
        </is>
      </c>
      <c r="B18916">
        <f>HYPERLINK("https://www.dofusbook.net/fr/equipement/155859-stuff-3/objets", "link")</f>
        <v/>
      </c>
      <c r="C18916" t="n">
        <v>4</v>
      </c>
      <c r="D18916" t="inlineStr">
        <is>
          <t>Rapière aux Glyphes; Amulette de Shokkoth; Bracelet des Fonds marins; Alliance Gloursonne; Poulpagne; Casque Dragoeuf; Cape du Sinistrofu; Bottes du Sinistrofu; Dofus Turquoise; Dofus Émeraude; Dofus Abyssal; Dofus Ocre; Déserteur majeur; Chanceux majeur; Muldo Ebène et Pourpre</t>
        </is>
      </c>
    </row>
    <row r="18917">
      <c r="A18917" t="inlineStr">
        <is>
          <t>Stuff 1</t>
        </is>
      </c>
      <c r="B18917">
        <f>HYPERLINK("https://www.dofusbook.net/fr/equipement/155813-stuff-1/objets", "link")</f>
        <v/>
      </c>
      <c r="C18917" t="n">
        <v>0</v>
      </c>
      <c r="D18917" t="inlineStr">
        <is>
          <t>Epée Gloursonne; Amulette du Strigide; Bague Gloursonne; Alliance Gloursonne; Ceinture du Strigide; Casque de Missiz Frizz; Sac Rebleux; Bottes du Strigide; Dofus Turquoise; Dofus Ocre; Dofus Pourpre; Joueur majeur; Puissant majeur; Furibond majeur; Muldo Emeraude</t>
        </is>
      </c>
    </row>
    <row r="18918">
      <c r="A18918" t="inlineStr">
        <is>
          <t>Stuff 1</t>
        </is>
      </c>
      <c r="B18918">
        <f>HYPERLINK("https://www.dofusbook.net/fr/equipement/155845-stuff-1/objets", "link")</f>
        <v/>
      </c>
      <c r="C18918" t="n">
        <v>1</v>
      </c>
      <c r="D18918" t="inlineStr">
        <is>
          <t>Dagoulinantes; Amulette de Shokkoth; Bague Trithon; Anneau Tique; Pagne du Rykaon; Kidibonnet; Cape de Mantaze; Bottes Trithon; Dofus Ocre; Dofus Émeraude; Dofus Abyssal; Miraculé majeur; Carapace Feu majeur; Carapace Air majeur; Muldo Indigo et Pourpre</t>
        </is>
      </c>
    </row>
    <row r="18919">
      <c r="A18919" t="inlineStr">
        <is>
          <t>Stuff 3</t>
        </is>
      </c>
      <c r="B18919">
        <f>HYPERLINK("https://www.dofusbook.net/fr/equipement/155808-stuff-3/objets", "link")</f>
        <v/>
      </c>
      <c r="C18919" t="n">
        <v>1</v>
      </c>
      <c r="D18919" t="inlineStr">
        <is>
          <t>Racine de Floribonde; Collier du Valet Veinard; Gant du Valet Veinard; Alliance Gloursonne; Menoture; Couronne d'Allister; Cape Indescriptible; Palmes Trithons; Dofus des Glaces; Nomade; Dévastateur Air majeur; Cascadeur majeur; Remueur; Siroko</t>
        </is>
      </c>
    </row>
    <row r="18920">
      <c r="A18920" t="inlineStr">
        <is>
          <t>Stuff 3</t>
        </is>
      </c>
      <c r="B18920">
        <f>HYPERLINK("https://www.dofusbook.net/fr/equipement/155840-stuff-3/objets", "link")</f>
        <v/>
      </c>
      <c r="C18920" t="n">
        <v>0</v>
      </c>
      <c r="D18920" t="inlineStr">
        <is>
          <t>Sabres d'Atcham; Amulette du Strigide; Alliance Gloursonne; Anneau de Padgref; Ceinture du Strigide; Coiffe de Padgref; Cape d'Atcham; Sandales  d'Atcham; Dofus Abyssal; Dofus Turquoise; Dofus Nébuleux; Dofus Émeraude; Dofus Ocre; Dofus Pourpre; Muldo Ebène et Orchidée</t>
        </is>
      </c>
    </row>
    <row r="18921">
      <c r="A18921" t="inlineStr">
        <is>
          <t>Stuff 1</t>
        </is>
      </c>
      <c r="B18921">
        <f>HYPERLINK("https://www.dofusbook.net/fr/equipement/155895-stuff-1/objets", "link")</f>
        <v/>
      </c>
      <c r="C18921" t="n">
        <v>0</v>
      </c>
      <c r="D18921" t="inlineStr">
        <is>
          <t>Arc de Koutoulou; Amulette de l'Indicible; Bracelet du Piloztère; Alliance Gloursonne; Bouclier d'Asse cassé; Ceinture de l'Indicible; Némès de Tal Kasha; Chevelure de Tal Kasha; Bottes de l'Indicible; Dofus Émeraude; Dofus Turquoise; Remueur; Vigoureux majeur; Nomade; Muldo Ebène et Indigo</t>
        </is>
      </c>
    </row>
    <row r="18922">
      <c r="A18922" t="inlineStr">
        <is>
          <t>Stuff 3</t>
        </is>
      </c>
      <c r="B18922">
        <f>HYPERLINK("https://www.dofusbook.net/fr/equipement/155835-stuff-3/objets", "link")</f>
        <v/>
      </c>
      <c r="C18922" t="n">
        <v>0</v>
      </c>
      <c r="D18922" t="inlineStr">
        <is>
          <t>Manthache; Collier du Valet Veinard; Alliance Gloursonne; Gant du Valet Veinard; Menoture; Casque Dragoeuf; Cape Indescriptible; Palmes Trithons; Dofus Émeraude; Initiateur mineur; Cascadeur majeur; Remueur; Fonceur majeur; Nomade; Muldo Ebène</t>
        </is>
      </c>
    </row>
    <row r="18923">
      <c r="A18923" t="inlineStr">
        <is>
          <t>Stuff 1</t>
        </is>
      </c>
      <c r="B18923">
        <f>HYPERLINK("https://www.dofusbook.net/fr/equipement/155890-stuff-1/objets", "link")</f>
        <v/>
      </c>
      <c r="C18923" t="n">
        <v>0</v>
      </c>
      <c r="D18923" t="inlineStr">
        <is>
          <t>La Baguette des Limbes; La Meulette; Anneau du Chêne Mou; Anneau Nobstant; Ceinture Phossile; Bonnet Ko; Cape Phossile; Bottes du Dragoeuf; Dofus Émeraude; Remueur; Miraculé majeur; Sanguinaire majeur; Robuste majeur; Vigoureux majeur; Muldo Doré et Pourpre</t>
        </is>
      </c>
    </row>
    <row r="18924">
      <c r="A18924" t="inlineStr">
        <is>
          <t>Stuff 2</t>
        </is>
      </c>
      <c r="B18924">
        <f>HYPERLINK("https://www.dofusbook.net/fr/equipement/155820-stuff-2/objets", "link")</f>
        <v/>
      </c>
      <c r="C18924" t="n">
        <v>1</v>
      </c>
      <c r="D18924" t="inlineStr">
        <is>
          <t>Bêche Asse; Collier de Tourthon; Anneau de Brouce; Bague Gloursonne; Ceinture de Brouce; Chapeau de Gein; Cape au Logis; Sabots Minables; Dofus Turquoise; Carapace Neutre majeur; Miraculé majeur; Furibond majeur; Enragé majeur; Remueur; Muldo Indigo et Pourpre</t>
        </is>
      </c>
    </row>
    <row r="18925">
      <c r="A18925" t="inlineStr">
        <is>
          <t>Stuff 2</t>
        </is>
      </c>
      <c r="B18925">
        <f>HYPERLINK("https://www.dofusbook.net/fr/equipement/155864-stuff-2/objets", "link")</f>
        <v/>
      </c>
      <c r="C18925" t="n">
        <v>0</v>
      </c>
      <c r="D18925" t="inlineStr">
        <is>
          <t>Dagues de Srambad; Torquistik; Alliance Gloursonne; Baguistik; Ceinture de la Reine des Voleurs; Coiffe de la Reine des Voleurs; Voile d'encre; Bottes de la Reine des Voleurs; Dofus Pourpre; Dofus Abyssal; Dolmanax; Dofus Ocre; Dofus des Glaces; Dofus Émeraude; Muldo Ebène et Amande</t>
        </is>
      </c>
    </row>
    <row r="18926">
      <c r="A18926" t="inlineStr">
        <is>
          <t>Stuff 3</t>
        </is>
      </c>
      <c r="B18926">
        <f>HYPERLINK("https://www.dofusbook.net/fr/equipement/155847-stuff-3/objets", "link")</f>
        <v/>
      </c>
      <c r="C18926" t="n">
        <v>0</v>
      </c>
      <c r="D18926" t="inlineStr">
        <is>
          <t>Harpelle; Pendentif affamé; Anneauræus; Anneau Tique; Ceinture de Gein; Chapeau de Gein; Voile d'encre; Pataugastrique; Dofus Émeraude; Dofus Ocre; Dofus Turquoise; Dofus Abyssal; Déserteur majeur; Miraculé majeur; Muldo Ebène et Pourpre</t>
        </is>
      </c>
    </row>
    <row r="18927">
      <c r="A18927" t="inlineStr">
        <is>
          <t>Stuff 1</t>
        </is>
      </c>
      <c r="B18927">
        <f>HYPERLINK("https://www.dofusbook.net/fr/equipement/155795-stuff-1/objets", "link")</f>
        <v/>
      </c>
      <c r="C18927" t="n">
        <v>0</v>
      </c>
      <c r="D18927" t="inlineStr">
        <is>
          <t>La Baguette des Limbes; Amulette d'Otomaï; Anneau de Padgref; Anneau Bhli; Sangle Aise; Masque Vaudou Ark; Cape Lati; Getas de Padgref; Astucieux majeur; Érudit majeur; Nomade; Remueur; Saccageur Feu majeur; Dévastateur Feu majeur; Brûlih</t>
        </is>
      </c>
    </row>
    <row r="18928">
      <c r="A18928" t="inlineStr">
        <is>
          <t>Stuff 1</t>
        </is>
      </c>
      <c r="B18928">
        <f>HYPERLINK("https://www.dofusbook.net/fr/equipement/155792-stuff-1/objets", "link")</f>
        <v/>
      </c>
      <c r="C18928" t="n">
        <v>0</v>
      </c>
      <c r="D18928" t="inlineStr">
        <is>
          <t>Rapière aux Glyphes; Amulette de Shokkoth; Anneau Tique; Alliance Gloursonne; Poulpagne; Coiffe de Danathor; Cape du Sinistrofu; Bottes du Sinistrofu; Dofus Turquoise; Carapace Eau majeur; Carapace Feu majeur; Chanceux majeur; Fonceur majeur; Remueur; Muldo Roux et Amande</t>
        </is>
      </c>
    </row>
    <row r="18929">
      <c r="A18929" t="inlineStr">
        <is>
          <t>Stuff 2</t>
        </is>
      </c>
      <c r="B18929">
        <f>HYPERLINK("https://www.dofusbook.net/fr/equipement/155799-stuff-2/objets", "link")</f>
        <v/>
      </c>
      <c r="C18929" t="n">
        <v>2</v>
      </c>
      <c r="D18929" t="inlineStr">
        <is>
          <t>Dagues Érhy; Amulette du Strigide; Bague Gloursonne; Bracelet du Piloztère; Ceinture du Strigide; Bonnet Ko; Voile d'encre; Getas de Padgref; Dofus Pourpre; Dofus Ocre; Dofus Turquoise; Remueur; Nomade; Vigoureux majeur; Muldo Doré et Pourpre; Bouclier qui pète</t>
        </is>
      </c>
    </row>
    <row r="18930">
      <c r="A18930" t="inlineStr">
        <is>
          <t>Stuff 3</t>
        </is>
      </c>
      <c r="B18930">
        <f>HYPERLINK("https://www.dofusbook.net/fr/equipement/155794-stuff-3/objets", "link")</f>
        <v/>
      </c>
      <c r="C18930" t="n">
        <v>0</v>
      </c>
      <c r="D18930" t="inlineStr">
        <is>
          <t>Arc Honte; Amulette de Shokkoth; Alliance Gloursonne; Anneau Tique; Ceintacé; Kidibonnet; Cape de la Dame du Hasard; Bottes de la Dame du Hasard; Dofus Turquoise; Carapace Eau majeur; Déserteur majeur; Obstructeur majeur; Carapace Feu majeur; Carapace Terre majeur; Muldo Orchidée et Pourpre</t>
        </is>
      </c>
    </row>
    <row r="18931">
      <c r="A18931" t="inlineStr">
        <is>
          <t>Stuff 2</t>
        </is>
      </c>
      <c r="B18931">
        <f>HYPERLINK("https://www.dofusbook.net/fr/equipement/155796-stuff-2/objets", "link")</f>
        <v/>
      </c>
      <c r="C18931" t="n">
        <v>0</v>
      </c>
      <c r="D18931" t="inlineStr">
        <is>
          <t>Hache du Guerrier Zoth; Amulette de Gein; Grésilanneau; Anneau de Padgref; Ceinture de Gein; Coiffe de Padgref; Cape Matelassée; Getas de Padgref; Dofus Kaliptus; Taquin majeur; Forcené majeur</t>
        </is>
      </c>
    </row>
    <row r="18932">
      <c r="A18932" t="inlineStr">
        <is>
          <t>Stuff 1</t>
        </is>
      </c>
      <c r="B18932">
        <f>HYPERLINK("https://www.dofusbook.net/fr/equipement/155798-stuff-1/objets", "link")</f>
        <v/>
      </c>
      <c r="C18932" t="n">
        <v>0</v>
      </c>
      <c r="D18932" t="inlineStr">
        <is>
          <t>Dagues Érhy; Amulette du Strigide; Bague Gloursonne; Bracelet du Piloztère; Ceinture du Strigide; Bonnet Ko; Cape Reski; Getas de Padgref; Dofus Ocre; Dofus Turquoise; Dofus Pourpre; Remueur; Vigoureux majeur; Nomade; Muldo Emeraude; Bouclier qui pète</t>
        </is>
      </c>
    </row>
    <row r="18933">
      <c r="A18933" t="inlineStr">
        <is>
          <t>Stuff 2</t>
        </is>
      </c>
      <c r="B18933">
        <f>HYPERLINK("https://www.dofusbook.net/fr/equipement/155793-stuff-2/objets", "link")</f>
        <v/>
      </c>
      <c r="C18933" t="n">
        <v>0</v>
      </c>
      <c r="D18933" t="inlineStr">
        <is>
          <t>Rapière aux Glyphes; Amulette de Shokkoth; Alliance du Lévitrof; Alliance Gloursonne; Poulpagne; Kidibonnet; Cape du Sinistrofu; Bottes du Sinistrofu; Dofus Turquoise; Carapace Eau majeur; Carapace Feu majeur; Chanceux majeur; Fonceur majeur; Carapace Terre majeur; Muldo Roux et Amande</t>
        </is>
      </c>
    </row>
    <row r="18934">
      <c r="A18934" t="inlineStr">
        <is>
          <t>Pandawa Drop</t>
        </is>
      </c>
      <c r="B18934">
        <f>HYPERLINK("https://www.dofusbook.net/fr/equipement/6016397-pandawa-drop/objets", "link")</f>
        <v/>
      </c>
      <c r="C18934" t="n">
        <v>0</v>
      </c>
      <c r="D18934" t="inlineStr">
        <is>
          <t>Hache à Lamelles; Collier du Minotot; Anneau Bliteré; Bracelet du Minotot; Bouclier du Stalak; Tranche des Sous-bois; Casque Harnage; Cape du Minotot; Bottines des sous-bois; Dokille; Dofus Kaliptus; Joueur majeur; Taquin; Joueur; Taquin majeur; Nomoon</t>
        </is>
      </c>
    </row>
    <row r="18935">
      <c r="A18935" t="inlineStr">
        <is>
          <t>Pandawa Eau</t>
        </is>
      </c>
      <c r="B18935">
        <f>HYPERLINK("https://www.dofusbook.net/fr/equipement/6011091-pandawa-eau/objets", "link")</f>
        <v/>
      </c>
      <c r="C18935" t="n">
        <v>0</v>
      </c>
      <c r="D18935" t="inlineStr">
        <is>
          <t>Rapière aux Glyphes; Amulette de Danathor; Gelano; Alliance Gloursonne; Bouclier du Stalak; Ceinture de la Reine des Voleurs; Coiffe de Danathor; Cape du Sinistrofu; Pataugastrique; Dofus Ocre; Dofus Émeraude; Chanceux majeur; Nomade; Miraculé majeur; Taquin majeur; Dragodinde Prune et Indigo</t>
        </is>
      </c>
    </row>
    <row r="18936">
      <c r="A18936" t="inlineStr">
        <is>
          <t>Pandawa Tank</t>
        </is>
      </c>
      <c r="B18936">
        <f>HYPERLINK("https://www.dofusbook.net/fr/equipement/6007784-pandawa-tank/objets", "link")</f>
        <v/>
      </c>
      <c r="C18936" t="n">
        <v>0</v>
      </c>
      <c r="D18936" t="inlineStr">
        <is>
          <t>Rouleau à Pâtisserie d'Aermyne; Collier Rophante; Anneau de Pol Ouatnos; Alliance Gloursonne; Bouclier précieux; Ceinture de Kongoku; Casque Dragoeuf; Cape d'Aermyne; Pataugastrique; Dofus Émeraude; Dofus Ocre; Obstructeur majeur; Remueur; Bloqueur majeur; Miraculé majeur; Platypus</t>
        </is>
      </c>
    </row>
    <row r="18937">
      <c r="A18937" t="inlineStr">
        <is>
          <t>Ecaflip M 200</t>
        </is>
      </c>
      <c r="B18937">
        <f>HYPERLINK("https://www.dofusbook.net/fr/equipement/4807332-ecaflip-m-200/objets", "link")</f>
        <v/>
      </c>
      <c r="C18937" t="n">
        <v>0</v>
      </c>
      <c r="D18937" t="inlineStr"/>
    </row>
    <row r="18938">
      <c r="A18938" t="inlineStr">
        <is>
          <t>Iop M 200</t>
        </is>
      </c>
      <c r="B18938">
        <f>HYPERLINK("https://www.dofusbook.net/fr/equipement/4752944-iop-m-200/objets", "link")</f>
        <v/>
      </c>
      <c r="C18938" t="n">
        <v>4</v>
      </c>
      <c r="D18938" t="inlineStr">
        <is>
          <t>Arc du Chalœil; Torquistik; Bague Trithon; Bague Instable; Bouclier précieux; Ceinture Gence; Casque Dragoeuf; Cape Luminescente; Bottes Trithon; Dokoko; Bousculeur majeur; Remueur; Miraculé majeur; Nomade; Culbuteur majeur; Balafreux</t>
        </is>
      </c>
    </row>
    <row r="18939">
      <c r="A18939" t="inlineStr">
        <is>
          <t>Eniripsa M 200</t>
        </is>
      </c>
      <c r="B18939">
        <f>HYPERLINK("https://www.dofusbook.net/fr/equipement/4578855-eniripsa-m-200/objets", "link")</f>
        <v/>
      </c>
      <c r="C18939" t="n">
        <v>6</v>
      </c>
      <c r="D18939" t="inlineStr">
        <is>
          <t>Dagoulinantes; Amulette de Shokkoth; Alliance Gloursonne; Anneau Volkorne; Bouclier d'Ilyzaelle; Sangle Ouare; Némès de Tal Kasha; Chevelure de Tal Kasha; Pataugastrique; Dofus Émeraude; Carapace Terre majeur; Nomade; Remueur; Chanceux majeur; Koalak Sanguin</t>
        </is>
      </c>
    </row>
    <row r="18940">
      <c r="A18940" t="inlineStr">
        <is>
          <t>Eniripsa M 200</t>
        </is>
      </c>
      <c r="B18940">
        <f>HYPERLINK("https://www.dofusbook.net/fr/equipement/4578908-eniripsa-m-200/objets", "link")</f>
        <v/>
      </c>
      <c r="C18940" t="n">
        <v>6</v>
      </c>
      <c r="D18940" t="inlineStr">
        <is>
          <t>Arc corrompu; Amulette Volkorne; Anneau Toriété; Anneau de Nidas; Bivalve; Ceinture de Vortex; Couronne de Nidas; Cape de Diondin; Bottes Innommables; Guérisseur majeur; Nomade; Miraculé majeur; Érudit majeur; Carapace Terre majeur; Remueur; Bisouglours</t>
        </is>
      </c>
    </row>
    <row r="18941">
      <c r="A18941" t="inlineStr">
        <is>
          <t>Osamodas F 200</t>
        </is>
      </c>
      <c r="B18941">
        <f>HYPERLINK("https://www.dofusbook.net/fr/equipement/4495313-osamodas-f-200/objets", "link")</f>
        <v/>
      </c>
      <c r="C18941" t="n">
        <v>10</v>
      </c>
      <c r="D18941" t="inlineStr">
        <is>
          <t>Baguette de Malléfisk; Amulette Séculaire; Anneau de Nidas; Anneau Toriété; Carapar; Protopagne; Couronne de Nidas; Cape de Diondin; Bottes Innommables; Érudit majeur; Guérisseur majeur; Remueur; Miraculé majeur; Carapace Eau majeur; Dragodinde Dorée et Rousse</t>
        </is>
      </c>
    </row>
    <row r="18942">
      <c r="A18942" t="inlineStr">
        <is>
          <t>Osamodas F 200</t>
        </is>
      </c>
      <c r="B18942">
        <f>HYPERLINK("https://www.dofusbook.net/fr/equipement/4494294-osamodas-f-200/objets", "link")</f>
        <v/>
      </c>
      <c r="C18942" t="n">
        <v>11</v>
      </c>
      <c r="D18942" t="inlineStr">
        <is>
          <t>Baguette de Malléfisk; Amulette Volkorne; Anneauræus; Anneau de Nidas; Carapar; Protopagne; Masque d'Anerice; Cape d'Anerice; Bottes Innommables; Dokoko; Miraculé majeur; Guérisseur majeur; Nomade; Remueur; Érudit majeur; Volkorne Saphir et Orchidée</t>
        </is>
      </c>
    </row>
    <row r="18943">
      <c r="A18943" t="inlineStr">
        <is>
          <t>Osamodas F 200</t>
        </is>
      </c>
      <c r="B18943">
        <f>HYPERLINK("https://www.dofusbook.net/fr/equipement/4493568-osamodas-f-200/objets", "link")</f>
        <v/>
      </c>
      <c r="C18943" t="n">
        <v>4</v>
      </c>
      <c r="D18943" t="inlineStr">
        <is>
          <t>Pelle de la Cour Sombre; Amulette du Cycloïde; Gant du Valet Veinard; Alliance Gloursonne; Bouclier cubiste; Ceinture du Barbétoal; Couronne d'Allister; Cape du Valet Veinard; Baleinabottes; Acrobate majeur; Nomade; Carapace Air majeur; Remueur; Dévastateur Air majeur; Cascadeur majeur; Blérodoudou</t>
        </is>
      </c>
    </row>
    <row r="18944">
      <c r="A18944" t="inlineStr">
        <is>
          <t>Enutrof M 200</t>
        </is>
      </c>
      <c r="B18944">
        <f>HYPERLINK("https://www.dofusbook.net/fr/equipement/4482870-enutrof-m-200/objets", "link")</f>
        <v/>
      </c>
      <c r="C18944" t="n">
        <v>3</v>
      </c>
      <c r="D18944" t="inlineStr">
        <is>
          <t>Baguette Hique; Collier de la Dame du Hasard; Anneau de Pol Ouatnos; Alliance Gloursonne; Bouclier cubiste; Ceinture de Kongoku; Kidibonnet; Cape de Meno; Bottes de Meno; Temporiseur majeur; Nomade; Carapace Eau majeur; Remueur; Chanceux majeur; Entraveur majeur; Gwo Tofu Ventripotent</t>
        </is>
      </c>
    </row>
    <row r="18945">
      <c r="A18945" t="inlineStr">
        <is>
          <t>Sadida F 200</t>
        </is>
      </c>
      <c r="B18945">
        <f>HYPERLINK("https://www.dofusbook.net/fr/equipement/4482783-sadida-f-200/objets", "link")</f>
        <v/>
      </c>
      <c r="C18945" t="n">
        <v>4</v>
      </c>
      <c r="D18945" t="inlineStr">
        <is>
          <t>Dagues Érhy; Amulette du Cycloïde; Pikano; Anneau Chevelu; Ambrouclier; Ceinture Volkorne; Masque de Koutoulou; Cape au Logis; Baleinabottes; Carapace Terre majeur; Remueur; Vigoureux majeur; Nomade; Observateur; Enragé majeur; Dragodinde Prune et Pourpre</t>
        </is>
      </c>
    </row>
    <row r="18946">
      <c r="A18946" t="inlineStr">
        <is>
          <t>Eniripsa M 200</t>
        </is>
      </c>
      <c r="B18946">
        <f>HYPERLINK("https://www.dofusbook.net/fr/equipement/4460992-eniripsa-m-200/objets", "link")</f>
        <v/>
      </c>
      <c r="C18946" t="n">
        <v>1</v>
      </c>
      <c r="D18946" t="inlineStr"/>
    </row>
    <row r="18947">
      <c r="A18947" t="inlineStr">
        <is>
          <t>Zobal M 200</t>
        </is>
      </c>
      <c r="B18947">
        <f>HYPERLINK("https://www.dofusbook.net/fr/equipement/4458758-zobal-m-200/objets", "link")</f>
        <v/>
      </c>
      <c r="C18947" t="n">
        <v>4</v>
      </c>
      <c r="D18947" t="inlineStr">
        <is>
          <t>Dagoulinantes; Amulette Luminescente; Anneau Volkorne; Bague Trithon; Bouclier Taverne; Sangle Ouare; Masque Trithon; Cape Solution; Bottes du Sinistrofu; Remueur; Pousseur majeur; Nomade; Bousculeur majeur; Culbuteur majeur; Chanceux majeur; Volkorne Roux et Indigo</t>
        </is>
      </c>
    </row>
    <row r="18948">
      <c r="A18948" t="inlineStr">
        <is>
          <t>Féca M 200</t>
        </is>
      </c>
      <c r="B18948">
        <f>HYPERLINK("https://www.dofusbook.net/fr/equipement/4456430-feca-m-200/objets", "link")</f>
        <v/>
      </c>
      <c r="C18948" t="n">
        <v>4</v>
      </c>
      <c r="D18948" t="inlineStr">
        <is>
          <t>Bâtonnet Ronien; Amulette du Strigide; Anneau de Pol Ouatnos; Alliance Gloursonne; Ambrouclier; Ceinture de Kongoku; Kidibonnet; Chevelure de Tal Kasha; Sandales de Tal Kasha; Dofus Pourpre; Dofus Turquoise; Remueur; Nomade; Carapace Air majeur; Vigoureux majeur; Bwak d'Eau</t>
        </is>
      </c>
    </row>
    <row r="18949">
      <c r="A18949" t="inlineStr">
        <is>
          <t>Eniripsa M 200</t>
        </is>
      </c>
      <c r="B18949">
        <f>HYPERLINK("https://www.dofusbook.net/fr/equipement/4448475-eniripsa-m-200/objets", "link")</f>
        <v/>
      </c>
      <c r="C18949" t="n">
        <v>4</v>
      </c>
      <c r="D18949" t="inlineStr">
        <is>
          <t>Lance Horselé; Collier du Valet Veinard; Anneau de Pol Ouatnos; Gant du Valet Veinard; Bouclier du Cycloïde; Menoture; Couronne d'Allister; Cape Indescriptible; Baleinabottes; Dofus Pourpre; Dofus des Veilleurs; Vigoureux majeur; Remueur; Nomade; Cascadeur majeur; Dragodinde Ebène et Ivoire</t>
        </is>
      </c>
    </row>
    <row r="18950">
      <c r="A18950" t="inlineStr">
        <is>
          <t>Eniripsa M 200</t>
        </is>
      </c>
      <c r="B18950">
        <f>HYPERLINK("https://www.dofusbook.net/fr/equipement/4448431-eniripsa-m-200/objets", "link")</f>
        <v/>
      </c>
      <c r="C18950" t="n">
        <v>0</v>
      </c>
      <c r="D18950" t="inlineStr">
        <is>
          <t>Collier du Valet Veinard; Gant du Valet Veinard; Alliance Gloursonne; Bouclier du Stalak; Menoture; Couronne d'Allister; Cape Indescriptible; Baleinabottes; Dofus Turquoise; Dofus Pourpre; Cascadeur majeur; Remueur; Vigoureux majeur; Nomade; Dragodinde Ebène et Ivoire</t>
        </is>
      </c>
    </row>
    <row r="18951">
      <c r="A18951" t="inlineStr">
        <is>
          <t>Féca M 200</t>
        </is>
      </c>
      <c r="B18951">
        <f>HYPERLINK("https://www.dofusbook.net/fr/equipement/4428015-feca-m-200/objets", "link")</f>
        <v/>
      </c>
      <c r="C18951" t="n">
        <v>14</v>
      </c>
      <c r="D18951" t="inlineStr">
        <is>
          <t>Hache Téroïde; Amulette du Strigide; Goulano; Bague Trithon; Quatre-feuilles; Ceintacé; Masque Trithon; Chevelure de Tal Kasha; Sandales  d'Atcham; Dofus Pourpre; Dofus Ivoire; Dofus Turquoise; Dofus Ocre; Nomade; Carapace Feu majeur; Kokulte</t>
        </is>
      </c>
    </row>
    <row r="18952">
      <c r="A18952" t="inlineStr">
        <is>
          <t>Féca M 200</t>
        </is>
      </c>
      <c r="B18952">
        <f>HYPERLINK("https://www.dofusbook.net/fr/equipement/4428002-feca-m-200/objets", "link")</f>
        <v/>
      </c>
      <c r="C18952" t="n">
        <v>8</v>
      </c>
      <c r="D18952" t="inlineStr">
        <is>
          <t>Epée Gloursonne; Amulette du Strigide; Bague Gloursonne; Alliance Gloursonne; Bouclier d'Anerice; Ceinture du Strigide; Masque d'Anerice; Cape d'Anerice; Bottes du Strigide; Dofus Émeraude; Dofus des Glaces; Dofus Turquoise; Dofus Abyssal; Dofus Pourpre; Dofus Ivoire; Muldo Doré et Indigo</t>
        </is>
      </c>
    </row>
    <row r="18953">
      <c r="A18953" t="inlineStr">
        <is>
          <t>eau feu</t>
        </is>
      </c>
      <c r="B18953">
        <f>HYPERLINK("https://www.dofusbook.net/fr/equipement/4421562-eau-feu/objets", "link")</f>
        <v/>
      </c>
      <c r="C18953" t="n">
        <v>4</v>
      </c>
      <c r="D18953" t="inlineStr">
        <is>
          <t>Arc Nécrotique; Collier de la Dame du Hasard; Anneau Tique; Anneau Toriété; Bouclier cubiste; Ceinture de Kongoku; Casquette de Meno; Cape de la Dame du Hasard; Pataugastrique; Dofus Turquoise; Dofus Ocre; Dofus Pourpre; Vigoureux majeur; Carapace Feu majeur; Nomade; Bwak de Terre</t>
        </is>
      </c>
    </row>
    <row r="18954">
      <c r="A18954" t="inlineStr">
        <is>
          <t>PVM</t>
        </is>
      </c>
      <c r="B18954">
        <f>HYPERLINK("https://www.dofusbook.net/fr/equipement/4243448-pvm/objets", "link")</f>
        <v/>
      </c>
      <c r="C18954" t="n">
        <v>6</v>
      </c>
      <c r="D18954" t="inlineStr">
        <is>
          <t>Arc Nécrotique; Collier de la Dame du Hasard; Chevalière du Roi Joueur; Alliance Gloursonne; Bouclier cubiste; Ceinture de Kongoku; Kidibonnet; Cape de la Dame du Hasard; Bottes de Meno; Dofus Pourpre; Dofus Turquoise; Remueur; Nomade; Vigoureux majeur; Muldo Ebène et Indigo</t>
        </is>
      </c>
    </row>
    <row r="18955">
      <c r="A18955" t="inlineStr">
        <is>
          <t>full air</t>
        </is>
      </c>
      <c r="B18955">
        <f>HYPERLINK("https://www.dofusbook.net/fr/equipement/1562626-full-air/objets", "link")</f>
        <v/>
      </c>
      <c r="C18955" t="n">
        <v>7</v>
      </c>
      <c r="D18955" t="inlineStr">
        <is>
          <t>Manthache; Collier du Valet Veinard; Alliance Gloursonne; Gant du Valet Veinard; Bouclier d'Ilyzaelle; Menoture; Dorabysses; Cape Indescriptible; Palmes Trithons; Dofus Abyssal; Dofus Ocre; Nomade; Obstructeur majeur; Carapace Air majeur; Cascadeur majeur; Muldo Ebène et Pourpre</t>
        </is>
      </c>
    </row>
    <row r="18956">
      <c r="A18956" t="inlineStr">
        <is>
          <t>Féca M 200</t>
        </is>
      </c>
      <c r="B18956">
        <f>HYPERLINK("https://www.dofusbook.net/fr/equipement/4420785-feca-m-200/objets", "link")</f>
        <v/>
      </c>
      <c r="C18956" t="n">
        <v>0</v>
      </c>
      <c r="D18956" t="inlineStr">
        <is>
          <t>Rapière aux Glyphes; Amulette du Sinistrofu; Anneau Volkorne; Bracelet des Fonds marins; Poulpagne; Masque des Fonds marins; Cape du Sinistrofu; Sandales des Fonds marins</t>
        </is>
      </c>
    </row>
    <row r="18957">
      <c r="A18957" t="inlineStr">
        <is>
          <t>Féca M 200</t>
        </is>
      </c>
      <c r="B18957">
        <f>HYPERLINK("https://www.dofusbook.net/fr/equipement/4419156-feca-m-200/objets", "link")</f>
        <v/>
      </c>
      <c r="C18957" t="n">
        <v>14</v>
      </c>
      <c r="D18957" t="inlineStr">
        <is>
          <t>Dagoulinantes; Amulette de Shokkoth; Alliance Gloursonne; Anneau Volkorne; Bouclier cubiste; Sangle Ouare; Kidibonnet; Cape du Sinistrofu; Sandales des Fonds marins; Dofus Ivoire; Dofus Émeraude; Dofus Abyssal; Dofus Pourpre; Dofus Ocre; Chanceux majeur; Muldo Ebène et Pourpre</t>
        </is>
      </c>
    </row>
    <row r="18958">
      <c r="A18958" t="inlineStr">
        <is>
          <t>Pandawa M 200</t>
        </is>
      </c>
      <c r="B18958">
        <f>HYPERLINK("https://www.dofusbook.net/fr/equipement/4409179-pandawa-m-200/objets", "link")</f>
        <v/>
      </c>
      <c r="C18958" t="n">
        <v>6</v>
      </c>
      <c r="D18958" t="inlineStr">
        <is>
          <t>Lav'Hache; Collier de Tourthon; Anneau Chevelu; Anneau Crustique; Bouclier précieux; Ceinture de la Cour Sombre; Casque Dragoeuf; Cape au Logis; Sabots Minables; Dofus Émeraude; Obstructeur majeur; Carapace Terre majeur; Remueur; Bloqueur majeur; Enragé majeur; Muldo Roux et Pourpre</t>
        </is>
      </c>
    </row>
    <row r="18959">
      <c r="A18959" t="inlineStr">
        <is>
          <t>tank tacle</t>
        </is>
      </c>
      <c r="B18959">
        <f>HYPERLINK("https://www.dofusbook.net/fr/equipement/4376498-tank-tacle/objets", "link")</f>
        <v/>
      </c>
      <c r="C18959" t="n">
        <v>12</v>
      </c>
      <c r="D18959" t="inlineStr">
        <is>
          <t>Rouleau à Pâtisserie d'Aermyne; Collier Rophante; Alliance Gloursonne; Bague Trithon; Bouclier précieux; Ceinture de Kongoku; Masque d'Anerice; Cape d'Anerice; Pataugastrique; Dofus Émeraude; Remueur; Bloqueur majeur; Obstructeur majeur; Miraculé majeur; Carapace Neutre majeur; Muldo Roux et Indigo</t>
        </is>
      </c>
    </row>
    <row r="18960">
      <c r="A18960" t="inlineStr">
        <is>
          <t>Iop M 200</t>
        </is>
      </c>
      <c r="B18960">
        <f>HYPERLINK("https://www.dofusbook.net/fr/equipement/4405417-iop-m-200/objets", "link")</f>
        <v/>
      </c>
      <c r="C18960" t="n">
        <v>13</v>
      </c>
      <c r="D18960" t="inlineStr">
        <is>
          <t>Lav'Hache; Collier de Tourthon; Anneau Crustique; Anneau Chevelu; Bouclier d'Ilyzaelle; Ceinture Gence; Masque de Koutoulou; Cape au Logis; Bottes de la Cour Sombre; Dofus Pourpre; Carapace Terre majeur; Nomade; Enragé majeur; Vigoureux majeur; Remueur; Bulbisou</t>
        </is>
      </c>
    </row>
    <row r="18961">
      <c r="A18961" t="inlineStr">
        <is>
          <t>Crâ F 200</t>
        </is>
      </c>
      <c r="B18961">
        <f>HYPERLINK("https://www.dofusbook.net/fr/equipement/4395616-cra-f-200/objets", "link")</f>
        <v/>
      </c>
      <c r="C18961" t="n">
        <v>3</v>
      </c>
      <c r="D18961" t="inlineStr">
        <is>
          <t>Arc Volkorne; Amulette du Strigide; Anneau de Padgref; Bague Gloursonne; Quatre-feuilles; Ceinture du Strigide; Chapeau des Malveilleurs; Cape des Justiciers; Pataugastrique; Dofus Pourpre; Dofus Turquoise; Vigoureux majeur; Observateur; Nomade; Remueur; Kokulte</t>
        </is>
      </c>
    </row>
    <row r="18962">
      <c r="A18962" t="inlineStr">
        <is>
          <t>Crâ F 200</t>
        </is>
      </c>
      <c r="B18962">
        <f>HYPERLINK("https://www.dofusbook.net/fr/equipement/4391997-cra-f-200/objets", "link")</f>
        <v/>
      </c>
      <c r="C18962" t="n">
        <v>5</v>
      </c>
      <c r="D18962" t="inlineStr">
        <is>
          <t>Arc du Chalœil; Collier de Tourthon; Anneau Chevelu; Bague Gloursonne; Quatre-feuilles; Ceinture de Brouce; Masque de Koutoulou; Cape au Logis; Baleinabottes; Dofus Turquoise; Dofus Pourpre; Remueur; Vigoureux majeur; Enragé majeur; Observateur; Pioute vert</t>
        </is>
      </c>
    </row>
    <row r="18963">
      <c r="A18963" t="inlineStr">
        <is>
          <t>Osamodas M 200</t>
        </is>
      </c>
      <c r="B18963">
        <f>HYPERLINK("https://www.dofusbook.net/fr/equipement/4378026-osamodas-m-200/objets", "link")</f>
        <v/>
      </c>
      <c r="C18963" t="n">
        <v>3</v>
      </c>
      <c r="D18963" t="inlineStr">
        <is>
          <t>Manthache; Amulette du Cycloïde; Alliance Gloursonne; Gant du Valet Veinard; Bouclier du Stalak; Ceinture du Barbétoal; Couronne d'Allister; Cape du Valet Veinard; Baleinabottes; Dofus Pourpre; Vigoureux majeur; Cascadeur majeur; Carapace Air majeur; Nomade; Remueur; Muldo Ebène et Orchidée</t>
        </is>
      </c>
    </row>
    <row r="18964">
      <c r="A18964" t="inlineStr">
        <is>
          <t>terre tank</t>
        </is>
      </c>
      <c r="B18964">
        <f>HYPERLINK("https://www.dofusbook.net/fr/equipement/4292603-terre-tank/objets", "link")</f>
        <v/>
      </c>
      <c r="C18964" t="n">
        <v>3</v>
      </c>
      <c r="D18964" t="inlineStr">
        <is>
          <t>Lav'Hache; Collier de Tourthon; Anneau Chevelu; Bague Gloursonne; Bouclier d'Ilyzaelle; Ceinture de la Cour Sombre; Masque de Koutoulou; Cape au Logis; Bottes de la Cour Sombre; Dofus Émeraude; Enragé majeur; Remueur; Carapace Terre majeur; Vigoureux majeur; Obstructeur majeur; Muldo Roux et Pourpre</t>
        </is>
      </c>
    </row>
    <row r="18965">
      <c r="A18965" t="inlineStr">
        <is>
          <t>Sadida M 200</t>
        </is>
      </c>
      <c r="B18965">
        <f>HYPERLINK("https://www.dofusbook.net/fr/equipement/4368449-sadida-m-200/objets", "link")</f>
        <v/>
      </c>
      <c r="C18965" t="n">
        <v>9</v>
      </c>
      <c r="D18965" t="inlineStr">
        <is>
          <t>Dagues Érhy; Amulette Volkorne; Pikano; Anneau de Nidas; Bouclier cubiste; Ceinture Volkorne; Boucle d'oreille de Kongoku; Voile d'encre; Baleinabottes; Dofus Ocre; Dofus Pourpre; Dofus Ivoire; Carapace Terre majeur; Nomade; Vigoureux majeur; Gwo Tofu Ventripotent</t>
        </is>
      </c>
    </row>
    <row r="18966">
      <c r="A18966" t="inlineStr">
        <is>
          <t>Eniripsa M 200</t>
        </is>
      </c>
      <c r="B18966">
        <f>HYPERLINK("https://www.dofusbook.net/fr/equipement/4358302-eniripsa-m-200/objets", "link")</f>
        <v/>
      </c>
      <c r="C18966" t="n">
        <v>0</v>
      </c>
      <c r="D18966" t="inlineStr">
        <is>
          <t>Arc corrompu; Pendentif affamé; Anneau Tique; Anneauræus; Bouclier du Cycloïde; Ceinture de Vortex; Heaume Oplate; Cape de Diondin; Sabots de Vortex; Dofus Turquoise; Vigoureux majeur; Remueur; Guérisseur majeur; Nomade; Érudit majeur; Dragodinde Orchidée et Rousse</t>
        </is>
      </c>
    </row>
    <row r="18967">
      <c r="A18967" t="inlineStr">
        <is>
          <t>Eniripsa M 200</t>
        </is>
      </c>
      <c r="B18967">
        <f>HYPERLINK("https://www.dofusbook.net/fr/equipement/4356318-eniripsa-m-200/objets", "link")</f>
        <v/>
      </c>
      <c r="C18967" t="n">
        <v>2</v>
      </c>
      <c r="D18967" t="inlineStr">
        <is>
          <t>Baguette Hernelle; Amulette du Strigide; Anneau de Pol Ouatnos; Anneau de Padgref; Quatre-feuilles; Ceinture du Strigide; Coiffe de Padgref; Cape d'Atcham; Getas de Padgref; Dofus Turquoise; Dofus Pourpre; Dofus Ocre; Soigneur majeur; Savant majeur; Voyageur; Kokulte</t>
        </is>
      </c>
    </row>
    <row r="18968">
      <c r="A18968" t="inlineStr">
        <is>
          <t>Pandawa M 200</t>
        </is>
      </c>
      <c r="B18968">
        <f>HYPERLINK("https://www.dofusbook.net/fr/equipement/4354352-pandawa-m-200/objets", "link")</f>
        <v/>
      </c>
      <c r="C18968" t="n">
        <v>2</v>
      </c>
      <c r="D18968" t="inlineStr">
        <is>
          <t>Arc du Chalœil; Amulette du Strigide; Anneau de Pol Ouatnos; Anneau Crustique; Quatre-feuilles; Ceinture du Strigide; Casque Dragoeuf; Cape au Logis; Sabots Minables; Dofus Turquoise; Dofus Pourpre; Vigoureux majeur; Remueur; Enragé majeur; Pioute vert</t>
        </is>
      </c>
    </row>
    <row r="18969">
      <c r="A18969" t="inlineStr">
        <is>
          <t>Pandawa M 200</t>
        </is>
      </c>
      <c r="B18969">
        <f>HYPERLINK("https://www.dofusbook.net/fr/equipement/4354279-pandawa-m-200/objets", "link")</f>
        <v/>
      </c>
      <c r="C18969" t="n">
        <v>5</v>
      </c>
      <c r="D18969" t="inlineStr">
        <is>
          <t>Dagues d'Ilyzaelle; Amulette du Strigide; Anneau Crustique; Anneau de Pol Ouatnos; Bouclier du Captain Amakna; Ceinture du Strigide; Casque Dragoeuf; Cape au Logis; Sabots Minables; Dofus Turquoise; Dofus Pourpre; Dofus Émeraude; Enragé majeur; Vigoureux majeur; Remueur; Pioute vert</t>
        </is>
      </c>
    </row>
    <row r="18970">
      <c r="A18970" t="inlineStr">
        <is>
          <t>panda terre</t>
        </is>
      </c>
      <c r="B18970">
        <f>HYPERLINK("https://www.dofusbook.net/fr/equipement/4353519-panda-terre/objets", "link")</f>
        <v/>
      </c>
      <c r="C18970" t="n">
        <v>0</v>
      </c>
      <c r="D18970" t="inlineStr">
        <is>
          <t>Lav'Hache; Collier de Tourthon; Anneau Crustique; Anneau de Brouce; Bouclier Taverne; Ceinture de la Reine des Voleurs; Coiffe de la Reine des Voleurs; Cape au Logis; Sabots Minables; Dofus Pourpre; Dofus Émeraude; Vigoureux majeur; Nomade; Enragé majeur; Kompost</t>
        </is>
      </c>
    </row>
    <row r="18971">
      <c r="A18971" t="inlineStr">
        <is>
          <t>Huppermage F 200</t>
        </is>
      </c>
      <c r="B18971">
        <f>HYPERLINK("https://www.dofusbook.net/fr/equipement/4345567-huppermage-f-200/objets", "link")</f>
        <v/>
      </c>
      <c r="C18971" t="n">
        <v>0</v>
      </c>
      <c r="D18971" t="inlineStr">
        <is>
          <t>Lav'Hache; Torquistik; Anneau de Pol Ouatnos; Bague Trithon; Bouclier précieux; Ceinture Gence; Masque Paztek; Cape du Cœur Vaillant; Sandales Paztek; Dofus Abyssal; Dofus Ivoire; Culbuteur majeur; Bousculeur majeur; Pousseur majeur; Carapace Terre majeur; Volkorne Jade et Roux</t>
        </is>
      </c>
    </row>
    <row r="18972">
      <c r="A18972" t="inlineStr">
        <is>
          <t>Pandawa M 200</t>
        </is>
      </c>
      <c r="B18972">
        <f>HYPERLINK("https://www.dofusbook.net/fr/equipement/4338523-pandawa-m-200/objets", "link")</f>
        <v/>
      </c>
      <c r="C18972" t="n">
        <v>1</v>
      </c>
      <c r="D18972" t="inlineStr">
        <is>
          <t>Baguette Héroclite; Amulette de Shokkoth; Alliance Gloursonne; Bracelet des Fonds marins; Bouclier du Stalak; Sangle Ouare; Kidibonnet; Cape Solution; Sandales des Fonds marins; Dofus Pourpre; Nomade; Vigoureux majeur; Carapace Eau majeur; Remueur; Chanceux majeur; Kanigloups</t>
        </is>
      </c>
    </row>
    <row r="18973">
      <c r="A18973" t="inlineStr">
        <is>
          <t>Pandawa M 200</t>
        </is>
      </c>
      <c r="B18973">
        <f>HYPERLINK("https://www.dofusbook.net/fr/equipement/4338421-pandawa-m-200/objets", "link")</f>
        <v/>
      </c>
      <c r="C18973" t="n">
        <v>0</v>
      </c>
      <c r="D18973" t="inlineStr">
        <is>
          <t>Arc corrompu; Amulette Séculaire; Anneauræus; Anneau de Padgref; Quatre-feuilles; Ceinture du Strigide; Heaume Oplate; Cape de Diondin; Bottes du Strigide; Dofus Turquoise; Dofus Pourpre; Érudit majeur; Vigoureux majeur; Nomade; Remueur; Pioute rouge</t>
        </is>
      </c>
    </row>
    <row r="18974">
      <c r="A18974" t="inlineStr">
        <is>
          <t>Sram F 200</t>
        </is>
      </c>
      <c r="B18974">
        <f>HYPERLINK("https://www.dofusbook.net/fr/equipement/4337218-sram-f-200/objets", "link")</f>
        <v/>
      </c>
      <c r="C18974" t="n">
        <v>9</v>
      </c>
      <c r="D18974" t="inlineStr">
        <is>
          <t>Manthache; Collier du Valet Veinard; Gant du Valet Veinard; Alliance Gloursonne; Bivalve; Menoture; Capuche de Moum-Ra; Cape Indescriptible; Baleinabottes; Dofus Pourpre; Nomade; Cascadeur majeur; Remueur; Carapace Air majeur; Vigoureux majeur; Blérodoudou</t>
        </is>
      </c>
    </row>
    <row r="18975">
      <c r="A18975" t="inlineStr">
        <is>
          <t>Iop M 200</t>
        </is>
      </c>
      <c r="B18975">
        <f>HYPERLINK("https://www.dofusbook.net/fr/equipement/4331676-iop-m-200/objets", "link")</f>
        <v/>
      </c>
      <c r="C18975" t="n">
        <v>3</v>
      </c>
      <c r="D18975" t="inlineStr">
        <is>
          <t>Arc du Chalœil; Amulette du Strigide; Anneau Crustique; Alliance de Missiz Frizz; Bivalve; Ceinture du Strigide; Masque de Koutoulou; Cape au Logis; Bottes du Cœur Saignant; Dofus Pourpre; Dofus Turquoise; Remueur; Enragé majeur; Nomade; Vigoureux majeur; Kokulte</t>
        </is>
      </c>
    </row>
    <row r="18976">
      <c r="A18976" t="inlineStr">
        <is>
          <t>Pandawa M 200</t>
        </is>
      </c>
      <c r="B18976">
        <f>HYPERLINK("https://www.dofusbook.net/fr/equipement/4325940-pandawa-m-200/objets", "link")</f>
        <v/>
      </c>
      <c r="C18976" t="n">
        <v>0</v>
      </c>
      <c r="D18976" t="inlineStr">
        <is>
          <t>Héqache; Collier de Tourthon; Alliance Brûlâme; Anneau Crustique; Bouclier d'Ilyzaelle; Ceintouse; Masque de Koutoulou; Cape au Logis; Sabots Minables; Dofus Émeraude; Dofus Pourpre; Enragé majeur; Nomade; Vigoureux majeur; Remueur; Bwak de Terre</t>
        </is>
      </c>
    </row>
    <row r="18977">
      <c r="A18977" t="inlineStr">
        <is>
          <t>Pandawa M 200</t>
        </is>
      </c>
      <c r="B18977">
        <f>HYPERLINK("https://www.dofusbook.net/fr/equipement/4317796-pandawa-m-200/objets", "link")</f>
        <v/>
      </c>
      <c r="C18977" t="n">
        <v>1</v>
      </c>
      <c r="D18977" t="inlineStr">
        <is>
          <t>Arc Nécrotique; Talisman Igans; Anneau Tique; Alliance Gloursonne; Bouclier cubiste; Ceintrigue; Kidibonnet; Cape de la Dame du Hasard; Bottes de Meno; Dofus Turquoise; Dofus Pourpre; Dofus Nébuleux; Nomade; Remueur; Vigoureux majeur; Muldo Indigo et Orchidée</t>
        </is>
      </c>
    </row>
    <row r="18978">
      <c r="A18978" t="inlineStr">
        <is>
          <t>Zobal M 200</t>
        </is>
      </c>
      <c r="B18978">
        <f>HYPERLINK("https://www.dofusbook.net/fr/equipement/4314113-zobal-m-200/objets", "link")</f>
        <v/>
      </c>
      <c r="C18978" t="n">
        <v>31</v>
      </c>
      <c r="D18978" t="inlineStr">
        <is>
          <t>Manthache; Collier du Valet Veinard; Alliance Gloursonne; Gant du Valet Veinard; Bouclier cubiste; Menoture; Couronne d'Allister; Chevelure de Tal Kasha; Palmes Trithons; Dofus Pourpre; Nomade; Vigoureux majeur; Obstructeur majeur; Remueur; Cascadeur majeur; Volkorne Améthyste et Ebène</t>
        </is>
      </c>
    </row>
    <row r="18979">
      <c r="A18979" t="inlineStr">
        <is>
          <t>Osamodas F 200</t>
        </is>
      </c>
      <c r="B18979">
        <f>HYPERLINK("https://www.dofusbook.net/fr/equipement/4297990-osamodas-f-200/objets", "link")</f>
        <v/>
      </c>
      <c r="C18979" t="n">
        <v>0</v>
      </c>
      <c r="D18979" t="inlineStr">
        <is>
          <t>Manthache; Amulette du Cycloïde; Gant du Valet Veinard; Anneau de Pol Ouatnos; Bouclier du Stalak; Menoture; Couronne d'Allister; Cape du Valet Veinard; Baleinabottes; Cascadeur majeur; Remueur; Robuste majeur; Vigoureux majeur; Observateur; Nomade; Dragodinde Ebène et Ivoire</t>
        </is>
      </c>
    </row>
    <row r="18980">
      <c r="A18980" t="inlineStr">
        <is>
          <t>Osamodas M 200</t>
        </is>
      </c>
      <c r="B18980">
        <f>HYPERLINK("https://www.dofusbook.net/fr/equipement/4105179-osamodas-m-200/objets", "link")</f>
        <v/>
      </c>
      <c r="C18980" t="n">
        <v>2</v>
      </c>
      <c r="D18980" t="inlineStr">
        <is>
          <t>Manthache; Amulette du Cycloïde; Alliance Gloursonne; Gant du Valet Veinard; Bouclier du Stalak; Ceinture du Barbétoal; Couronne d'Allister; Cape du Valet Veinard; Baleinabottes; Dofus Pourpre; Vigoureux majeur; Nomade; Cascadeur majeur; Carapace Air majeur; Remueur; Muldo Ebène et Indigo</t>
        </is>
      </c>
    </row>
    <row r="18981">
      <c r="A18981" t="inlineStr">
        <is>
          <t>Iop M 200</t>
        </is>
      </c>
      <c r="B18981">
        <f>HYPERLINK("https://www.dofusbook.net/fr/equipement/4289928-iop-m-200/objets", "link")</f>
        <v/>
      </c>
      <c r="C18981" t="n">
        <v>0</v>
      </c>
      <c r="D18981" t="inlineStr">
        <is>
          <t>Épée du Granduk; Amulette du Granduk; Alliance Gloursonne; Gant du Valet Veinard; Menoture; Masque du Granduk; Cape du Valet Veinard; Palmes Trithons; Volkorne Doré et Ebène</t>
        </is>
      </c>
    </row>
    <row r="18982">
      <c r="A18982" t="inlineStr">
        <is>
          <t>Iop M 200</t>
        </is>
      </c>
      <c r="B18982">
        <f>HYPERLINK("https://www.dofusbook.net/fr/equipement/4114146-iop-m-200/objets", "link")</f>
        <v/>
      </c>
      <c r="C18982" t="n">
        <v>3</v>
      </c>
      <c r="D18982" t="inlineStr">
        <is>
          <t>Dagues d'Ilyzaelle; Amulette du Cœur Saignant; Anneau Crustique; Anneau Chevelu; Bouclier du Captain Amakna; Ceinture de la Cour Sombre; Masque de Koutoulou; Cape au Logis; Bottes de la Cour Sombre; Dofus Nébuleux; Dofus Ivoire; Dofus Turquoise; Dofus Ocre; Dofus Pourpre; Enragé majeur; Kokulte</t>
        </is>
      </c>
    </row>
    <row r="18983">
      <c r="A18983" t="inlineStr">
        <is>
          <t>Iop M 200</t>
        </is>
      </c>
      <c r="B18983">
        <f>HYPERLINK("https://www.dofusbook.net/fr/equipement/4113162-iop-m-200/objets", "link")</f>
        <v/>
      </c>
      <c r="C18983" t="n">
        <v>0</v>
      </c>
      <c r="D18983" t="inlineStr">
        <is>
          <t>Dagues d'Ilyzaelle; Collier de Tourthon; Anneau du Comte Harebourg; Anneau de Brouce; Bouclier du Captain Amakna; Ceinture Volkorne; Coiffe du Comte Harebourg; Cape au Logis; Bottes de Brouce; Dofus Turquoise; Dofus Nébuleux; Dofus Ocre; Dofus Pourpre; Dofus Vulbis; Forcené majeur; Kompost</t>
        </is>
      </c>
    </row>
    <row r="18984">
      <c r="A18984" t="inlineStr">
        <is>
          <t>Ecaflip M 200</t>
        </is>
      </c>
      <c r="B18984">
        <f>HYPERLINK("https://www.dofusbook.net/fr/equipement/4113103-ecaflip-m-200/objets", "link")</f>
        <v/>
      </c>
      <c r="C18984" t="n">
        <v>0</v>
      </c>
      <c r="D18984" t="inlineStr">
        <is>
          <t>Epée Gloursonne; Amulette du Strigide; Bague Gloursonne; Alliance Gloursonne; Bouclier d'Anerice; Ceinture du Strigide; Masque d'Anerice; Cape d'Anerice; Bottes du Strigide; Dofus des Glaces; Dofus Abyssal; Dofus Turquoise; Dofus Ivoire; Dofus Nébuleux; Dofus Pourpre; Kokulte</t>
        </is>
      </c>
    </row>
    <row r="18985">
      <c r="A18985" t="inlineStr">
        <is>
          <t>Ecaflip M 200</t>
        </is>
      </c>
      <c r="B18985">
        <f>HYPERLINK("https://www.dofusbook.net/fr/equipement/4112974-ecaflip-m-200/objets", "link")</f>
        <v/>
      </c>
      <c r="C18985" t="n">
        <v>1</v>
      </c>
      <c r="D18985" t="inlineStr">
        <is>
          <t>Epée Maudite du Saigneur Guerrier; Amulette du Strigide; Bracelet du Piloztère; Alliance de Missiz Frizz; Bouclier du Captain Amakna; Ceintacé; Némès de Tal Kasha; Cape d'Atcham; Bottes du Strigide; Dofus Émeraude; Dofus Turquoise; Dofus Pourpre; Nomade; Vigoureux majeur; Remueur; Kokulte</t>
        </is>
      </c>
    </row>
    <row r="18986">
      <c r="A18986" t="inlineStr">
        <is>
          <t>Zobal M 200</t>
        </is>
      </c>
      <c r="B18986">
        <f>HYPERLINK("https://www.dofusbook.net/fr/equipement/4102188-zobal-m-200/objets", "link")</f>
        <v/>
      </c>
      <c r="C18986" t="n">
        <v>3</v>
      </c>
      <c r="D18986" t="inlineStr">
        <is>
          <t>Marteau R'ture; Amulette du Strigide; Anneau Crustique; Anneau Chevelu; Bouclier alvéolé; Ceinture de la Cour Sombre; Masque de Koutoulou; Cape au Logis; Bottes de la Cour Sombre; Dofus Pourpre; Dofus Turquoise; Dofus Émeraude; Remueur; Vigoureux majeur; Enragé majeur; Muldo Indigo et Pourpre</t>
        </is>
      </c>
    </row>
    <row r="18987">
      <c r="A18987" t="inlineStr">
        <is>
          <t>Crâ M 200</t>
        </is>
      </c>
      <c r="B18987">
        <f>HYPERLINK("https://www.dofusbook.net/fr/equipement/4101030-cra-m-200/objets", "link")</f>
        <v/>
      </c>
      <c r="C18987" t="n">
        <v>0</v>
      </c>
      <c r="D18987" t="inlineStr">
        <is>
          <t>Pyraguette; Amulette de Shokkoth; Alliance Gloursonne; Bracelet des Fonds marins; Bouclier du Stalak; Sangle Cible; Kidibonnet; Cape Solution; Sandales des Fonds marins; Dofus Pourpre; Vigoureux majeur; Nomade; Remueur; Carapace Eau majeur; Chanceux majeur; Muldo Ebène et Indigo</t>
        </is>
      </c>
    </row>
    <row r="18988">
      <c r="A18988" t="inlineStr">
        <is>
          <t>Féca M 200</t>
        </is>
      </c>
      <c r="B18988">
        <f>HYPERLINK("https://www.dofusbook.net/fr/equipement/4100954-feca-m-200/objets", "link")</f>
        <v/>
      </c>
      <c r="C18988" t="n">
        <v>0</v>
      </c>
      <c r="D18988" t="inlineStr">
        <is>
          <t>Sceptre du Roi Joueur; Amulette de Shokkoth; Bracelet des Fonds marins; Alliance Gloursonne; Quatre-feuilles; Ceintacé; Némès de Tal Kasha; Chevelure de Tal Kasha; Pataugastrique; Dofus Turquoise; Dofus Pourpre; Vigoureux majeur; Chanceux majeur; Nomade; Étourdisseur majeur; Muldo Prune et Indigo</t>
        </is>
      </c>
    </row>
    <row r="18989">
      <c r="A18989" t="inlineStr">
        <is>
          <t>cra eau sapeuh</t>
        </is>
      </c>
      <c r="B18989">
        <f>HYPERLINK("https://www.dofusbook.net/fr/equipement/4092943-cra-eau-sapeuh/objets", "link")</f>
        <v/>
      </c>
      <c r="C18989" t="n">
        <v>1</v>
      </c>
      <c r="D18989" t="inlineStr">
        <is>
          <t>Sceptre du Roi Joueur; Amulette de Shokkoth; Alliance Gloursonne; Anneau Toriété; Cadran de Terre; Culotte de Bethel; Kidibonnet; Cape de l'Œil Attentif; Chaussons de Macrab; Dofus Pourpre; Nomade; Carapace Eau majeur; Chanceux majeur; Remueur; Étourdisseur majeur; Dragodinde Indigo et Ivoire</t>
        </is>
      </c>
    </row>
    <row r="18990">
      <c r="A18990" t="inlineStr">
        <is>
          <t>Eliotrope M 200</t>
        </is>
      </c>
      <c r="B18990">
        <f>HYPERLINK("https://www.dofusbook.net/fr/equipement/4098329-eliotrope-m-200/objets", "link")</f>
        <v/>
      </c>
      <c r="C18990" t="n">
        <v>1</v>
      </c>
      <c r="D18990" t="inlineStr">
        <is>
          <t>Rapière aux Glyphes; Amulette de Shokkoth; Bracelet des Fonds marins; Alliance Gloursonne; Bouclier cubiste; Sangle Ouare; Kidibonnet; Cape du Sinistrofu; Sandales des Fonds marins; Dofus Pourpre; Vigoureux majeur; Chanceux majeur; Miraculé majeur; Remueur; Carapace Eau majeur; Muldo Indigo et Pourpre</t>
        </is>
      </c>
    </row>
    <row r="18991">
      <c r="A18991" t="inlineStr">
        <is>
          <t>Eliotrope M 200</t>
        </is>
      </c>
      <c r="B18991">
        <f>HYPERLINK("https://www.dofusbook.net/fr/equipement/4098269-eliotrope-m-200/objets", "link")</f>
        <v/>
      </c>
      <c r="C18991" t="n">
        <v>3</v>
      </c>
      <c r="D18991" t="inlineStr">
        <is>
          <t>Manthache; Collier du Valet Veinard; Alliance Gloursonne; Gant du Valet Veinard; Cadran d'Air; Menoture; Dorabysses; Cape Indescriptible; Palmes Trithons; Dofus Pourpre; Vigoureux majeur; Cascadeur majeur; Remueur; Carapace Terre majeur; Nomade; Muldo Ebène</t>
        </is>
      </c>
    </row>
    <row r="18992">
      <c r="A18992" t="inlineStr">
        <is>
          <t>Pandawa M 200</t>
        </is>
      </c>
      <c r="B18992">
        <f>HYPERLINK("https://www.dofusbook.net/fr/equipement/4098202-pandawa-m-200/objets", "link")</f>
        <v/>
      </c>
      <c r="C18992" t="n">
        <v>2</v>
      </c>
      <c r="D18992" t="inlineStr">
        <is>
          <t>Arc corrompu; Amulette de Nileza; Anneauræus; Anneau de Nidas; Bouclier cubiste; Ceinture de Vortex; Couronne de Nidas; Voile d'encre; Pataugastrique; Dofus Pourpre; Érudit majeur; Observateur; Remueur; Vigoureux majeur; Nomade; Muldo Ebène et Pourpre</t>
        </is>
      </c>
    </row>
    <row r="18993">
      <c r="A18993" t="inlineStr">
        <is>
          <t>Pandawa M 200</t>
        </is>
      </c>
      <c r="B18993">
        <f>HYPERLINK("https://www.dofusbook.net/fr/equipement/4098170-pandawa-m-200/objets", "link")</f>
        <v/>
      </c>
      <c r="C18993" t="n">
        <v>2</v>
      </c>
      <c r="D18993" t="inlineStr">
        <is>
          <t>Dagoulinantes; Amulette de Shokkoth; Alliance Gloursonne; Bracelet des Fonds marins; Bivalve; Sangle Ouare; Capuche de l'Œil Attentif; Cape Solution; Sandales des Fonds marins; Dofus Pourpre; Vigoureux majeur; Nomade; Chanceux majeur; Carapace Eau majeur; Remueur; Kramkram</t>
        </is>
      </c>
    </row>
    <row r="18994">
      <c r="A18994" t="inlineStr">
        <is>
          <t>Iop F 200</t>
        </is>
      </c>
      <c r="B18994">
        <f>HYPERLINK("https://www.dofusbook.net/fr/equipement/4094525-iop-f-200/objets", "link")</f>
        <v/>
      </c>
      <c r="C18994" t="n">
        <v>25</v>
      </c>
      <c r="D18994" t="inlineStr">
        <is>
          <t>Arc Hétype; Pendentif mignon de Koutoulou; Anneau Rifique; Anneauræus; Bouclier du Stalak; Ceinture de Vortex; Heaume Oplate; Voile d'encre; Pataugastrique; Dofus Pourpre; Remueur; Vigoureux majeur; Nomade; Carapace Feu majeur; Érudit majeur; Muldo Doré et Pourpre</t>
        </is>
      </c>
    </row>
    <row r="18995">
      <c r="A18995" t="inlineStr">
        <is>
          <t>Sram M 200</t>
        </is>
      </c>
      <c r="B18995">
        <f>HYPERLINK("https://www.dofusbook.net/fr/equipement/4094070-sram-m-200/objets", "link")</f>
        <v/>
      </c>
      <c r="C18995" t="n">
        <v>6</v>
      </c>
      <c r="D18995" t="inlineStr">
        <is>
          <t>Marteau R'ture; Amulette du Strigide; Anneau Crustique; Anneau Chevelu; Bivalve; Ceinture Volkorne; Masque de Koutoulou; Cape au Logis; Bottes du Strigide; Dofus Pourpre; Dofus Turquoise; Carapace Eau majeur; Enragé majeur; Remueur; Nomade; Kokulte</t>
        </is>
      </c>
    </row>
    <row r="18996">
      <c r="A18996" t="inlineStr">
        <is>
          <t>pvm</t>
        </is>
      </c>
      <c r="B18996">
        <f>HYPERLINK("https://www.dofusbook.net/fr/equipement/4094007-pvm/objets", "link")</f>
        <v/>
      </c>
      <c r="C18996" t="n">
        <v>4</v>
      </c>
      <c r="D18996" t="inlineStr">
        <is>
          <t>Marteau R'ture; Collier de Tourthon; Anneau de Brouce; Anneau Crustique; Bivalve; Ceinture de Brouce; Masque de Koutoulou; Cape au Logis; Bottes du Cœur Saignant; Dofus Pourpre; Remueur; Forcené majeur; Nomade; Vigoureux majeur; Enragé majeur; Dragodinde Ivoire et Pourpre</t>
        </is>
      </c>
    </row>
    <row r="18997">
      <c r="A18997" t="inlineStr">
        <is>
          <t>mode feu</t>
        </is>
      </c>
      <c r="B18997">
        <f>HYPERLINK("https://www.dofusbook.net/fr/equipement/4093141-mode-feu/objets", "link")</f>
        <v/>
      </c>
      <c r="C18997" t="n">
        <v>0</v>
      </c>
      <c r="D18997" t="inlineStr">
        <is>
          <t>Marteau Phossile; Pendentif mignon de Koutoulou; Alliance Brûlâme; Anneau Toriété; Bouclier cubiste; Ceinture de l'Esprit Salvateur; Masquegel; Cape Martegel; Pantoufles Émar; Dofus Pourpre; Robuste majeur; Vigoureux majeur; Remueur; Observateur; Nomade; Willy le Relou</t>
        </is>
      </c>
    </row>
    <row r="18998">
      <c r="A18998" t="inlineStr">
        <is>
          <t>full eau retrait</t>
        </is>
      </c>
      <c r="B18998">
        <f>HYPERLINK("https://www.dofusbook.net/fr/equipement/4089951-full-eau-retrait/objets", "link")</f>
        <v/>
      </c>
      <c r="C18998" t="n">
        <v>1</v>
      </c>
      <c r="D18998" t="inlineStr">
        <is>
          <t>Sceptre du Roi Joueur; Amulette de Shokkoth; Alliance Gloursonne; Bracelet des Fonds marins; Bouclier du Stalak; Ceinture du Barbétoal; Masque du Barbétoal; Cape Solution; Pataugastrique; Dofus Nébuleux; Dofus Pourpre; Étourdisseur majeur; Chanceux majeur; Nomade; Muldo Indigo</t>
        </is>
      </c>
    </row>
    <row r="18999">
      <c r="A18999" t="inlineStr">
        <is>
          <t>Terre CaC</t>
        </is>
      </c>
      <c r="B18999">
        <f>HYPERLINK("https://www.dofusbook.net/fr/equipement/3768418-terre-cac/objets", "link")</f>
        <v/>
      </c>
      <c r="C18999" t="n">
        <v>4</v>
      </c>
      <c r="D18999" t="inlineStr">
        <is>
          <t>Héqache; Amulette du Strigide; Anneau Chevelu; Anneau Crustique; Bouclier alvéolé; Ceinture de Gein; Masque de Koutoulou; Cape du Cœur Saignant; Bottes du Cœur Saignant; Dofus Pourpre; Dofus Turquoise; Dofus Abyssal; Remueur; Nomade; Enragé majeur; Muldo Doré et Pourpre</t>
        </is>
      </c>
    </row>
    <row r="19000">
      <c r="A19000" t="inlineStr">
        <is>
          <t>Crâ M 200</t>
        </is>
      </c>
      <c r="B19000">
        <f>HYPERLINK("https://www.dofusbook.net/fr/equipement/4083715-cra-m-200/objets", "link")</f>
        <v/>
      </c>
      <c r="C19000" t="n">
        <v>0</v>
      </c>
      <c r="D19000" t="inlineStr">
        <is>
          <t>Bâtonnet Ronien; Amulette de Shokkoth; Bracelet des Fonds marins; Alliance Gloursonne; Quatre-feuilles; Menoture; Némès de Tal Kasha; Chevelure de Tal Kasha; Sandales  d'Atcham; Dofus Pourpre; Dofus Turquoise; Nomade; Étourdisseur majeur; Remueur; Vigoureux majeur; Muldo Prune et Emeraude</t>
        </is>
      </c>
    </row>
    <row r="19001">
      <c r="A19001" t="inlineStr">
        <is>
          <t>Pandawa M 200</t>
        </is>
      </c>
      <c r="B19001">
        <f>HYPERLINK("https://www.dofusbook.net/fr/equipement/4078216-pandawa-m-200/objets", "link")</f>
        <v/>
      </c>
      <c r="C19001" t="n">
        <v>0</v>
      </c>
      <c r="D19001" t="inlineStr">
        <is>
          <t>Dagues d'Ilyzaelle; Collier de Tourthon; Anneau de Pol Ouatnos; Anneau Crustique; Cadran d'Eau; Ceintacé; Masque de Koutoulou; Cape du Cœur Saignant; Bottes du Cœur Saignant; Dofus Émeraude; Dofus Turquoise; Dofus Pourpre; Enragé majeur; Carapace Terre majeur; Nomade; Kokulte</t>
        </is>
      </c>
    </row>
    <row r="19002">
      <c r="A19002" t="inlineStr">
        <is>
          <t>Pandawa M 200</t>
        </is>
      </c>
      <c r="B19002">
        <f>HYPERLINK("https://www.dofusbook.net/fr/equipement/4078180-pandawa-m-200/objets", "link")</f>
        <v/>
      </c>
      <c r="C19002" t="n">
        <v>0</v>
      </c>
      <c r="D19002" t="inlineStr">
        <is>
          <t>Arc du Chalœil; Collier de Tourthon; Bracelet du Piloztère; Anneau Crustique; Bouclier cubiste; Ceintacé; Masque de Funespadon; Cape du Cœur Saignant; Bottes du Cœur Saignant; Dofus Pourpre; Dofus Turquoise; Carapace Terre majeur; Remueur; Nomade; Enragé majeur; Muldo Pourpre</t>
        </is>
      </c>
    </row>
    <row r="19003">
      <c r="A19003" t="inlineStr">
        <is>
          <t>Iop M 200</t>
        </is>
      </c>
      <c r="B19003">
        <f>HYPERLINK("https://www.dofusbook.net/fr/equipement/3975709-iop-m-200/objets", "link")</f>
        <v/>
      </c>
      <c r="C19003" t="n">
        <v>18</v>
      </c>
      <c r="D19003" t="inlineStr">
        <is>
          <t>Harpelle; Amulette de Nileza; Anneau Tique; Anneauræus; Bivalve; Ceinture de Vortex; Couronne de Nidas; Cape de Diondin; Pataugastrique; Dofus Turquoise; Dofus Pourpre; Remueur; Érudit majeur; Vigoureux majeur; Nomade; Muldo Indigo et Pourpre</t>
        </is>
      </c>
    </row>
    <row r="19004">
      <c r="A19004" t="inlineStr">
        <is>
          <t>Eniripsa M 200</t>
        </is>
      </c>
      <c r="B19004">
        <f>HYPERLINK("https://www.dofusbook.net/fr/equipement/3945655-eniripsa-m-200/objets", "link")</f>
        <v/>
      </c>
      <c r="C19004" t="n">
        <v>1</v>
      </c>
      <c r="D19004" t="inlineStr">
        <is>
          <t>Amulette Volkorne; Anneauræus; Anneau de Nidas; Ceinture de Vortex; Couronne de Nidas; Cape Martegel; Tongues de Nidas; Dofus Pourpre; Dofus Ivoire; Dofus Ocre; Dofus Abyssal</t>
        </is>
      </c>
    </row>
    <row r="19005">
      <c r="A19005" t="inlineStr">
        <is>
          <t>Eniripsa M 200</t>
        </is>
      </c>
      <c r="B19005">
        <f>HYPERLINK("https://www.dofusbook.net/fr/equipement/3786068-eniripsa-m-200/objets", "link")</f>
        <v/>
      </c>
      <c r="C19005" t="n">
        <v>6</v>
      </c>
      <c r="D19005" t="inlineStr">
        <is>
          <t>Harpelle; Amulette de Nileza; Anneau Tique; Anneau de Nidas; Bouclier cubiste; Ceinture de Vortex; Couronne de Nidas; Cape de Diondin; Pataugastrique; Dofus Pourpre; Dofus Émeraude; Nomade; Guérisseur majeur; Remueur; Érudit majeur; Dragodinde Orchidée et Rousse</t>
        </is>
      </c>
    </row>
    <row r="19006">
      <c r="A19006" t="inlineStr">
        <is>
          <t>Sram M 200</t>
        </is>
      </c>
      <c r="B19006">
        <f>HYPERLINK("https://www.dofusbook.net/fr/equipement/3697077-sram-m-200/objets", "link")</f>
        <v/>
      </c>
      <c r="C19006" t="n">
        <v>31</v>
      </c>
      <c r="D19006" t="inlineStr">
        <is>
          <t>Marteau R'ture; Amulette du Strigide; Bracelet du Piloztère; Anneau Crustique; Bouclier du Captain Amakna; Ceinture de la Reine des Voleurs; Masque de Koutoulou; Cape au Logis; Baleinabottes; Dofus Pourpre; Dokoko; Enragé majeur; Carapace Eau majeur; Remueur; Vigoureux majeur; Muldo Pourpre</t>
        </is>
      </c>
    </row>
    <row r="19007">
      <c r="A19007" t="inlineStr">
        <is>
          <t>Eniripsa M 200</t>
        </is>
      </c>
      <c r="B19007">
        <f>HYPERLINK("https://www.dofusbook.net/fr/equipement/3836505-eniripsa-m-200/objets", "link")</f>
        <v/>
      </c>
      <c r="C19007" t="n">
        <v>0</v>
      </c>
      <c r="D19007" t="inlineStr">
        <is>
          <t>Harpelle; Pendentif affamé; Anneau Tique; Anneauræus; Bouclier cubiste; Ceinture de Vortex; Casque Dragoeuf; Cape de Diondin; Sabots de Vortex; Remueur; Érudit majeur; Guérisseur majeur; Carapace Terre majeur; Nomade; Miraculé majeur; Muldo Orchidée</t>
        </is>
      </c>
    </row>
    <row r="19008">
      <c r="A19008" t="inlineStr">
        <is>
          <t>osa terre pauvre</t>
        </is>
      </c>
      <c r="B19008">
        <f>HYPERLINK("https://www.dofusbook.net/fr/equipement/3831530-osa-terre-pauvre/objets", "link")</f>
        <v/>
      </c>
      <c r="C19008" t="n">
        <v>0</v>
      </c>
      <c r="D19008" t="inlineStr">
        <is>
          <t>Héqache; Amulette du Cycloïde; Alliance du Lévitrof; Anneau Chevelu; Sept ans de malheur; Ceinture de la Cour Sombre; Masque de Koutoulou; Cape au Logis; Sabots Minables; Dokoko; Vigoureux majeur; Carapace Terre majeur; Miraculé majeur; Remueur; Enragé majeur; Muldo Ebène et Indigo</t>
        </is>
      </c>
    </row>
    <row r="19009">
      <c r="A19009" t="inlineStr">
        <is>
          <t>Huppermage M 200</t>
        </is>
      </c>
      <c r="B19009">
        <f>HYPERLINK("https://www.dofusbook.net/fr/equipement/3819772-huppermage-m-200/objets", "link")</f>
        <v/>
      </c>
      <c r="C19009" t="n">
        <v>7</v>
      </c>
      <c r="D19009" t="inlineStr">
        <is>
          <t>Arc corrompu; Pendentif affamé; Anneauræus; Anneau Tique; Bouclier cubiste; Ceinture de Vortex; Cagoule de Vortex; Cape de Diondin; Pataugastrique; Dofus Pourpre; Vigoureux majeur; Nomade; Remueur; Miraculé majeur; Érudit majeur; Muldo Doré et Orchidée</t>
        </is>
      </c>
    </row>
    <row r="19010">
      <c r="A19010" t="inlineStr">
        <is>
          <t>Sacrieur M 200</t>
        </is>
      </c>
      <c r="B19010">
        <f>HYPERLINK("https://www.dofusbook.net/fr/equipement/3819608-sacrieur-m-200/objets", "link")</f>
        <v/>
      </c>
      <c r="C19010" t="n">
        <v>23</v>
      </c>
      <c r="D19010" t="inlineStr">
        <is>
          <t>Baguette de Malléfisk; Amulette de Nileza; Anneau de Nidas; Anneau Tique; Bouclier du Cycloïde; Ceinture de Vortex; Couronne de Nidas; Cape de Diondin; Pataugastrique; Dofus Pourpre; Guérisseur majeur; Vigoureux majeur; Nomade; Remueur; Érudit majeur; Muldo Orchidée et Pourpre</t>
        </is>
      </c>
    </row>
    <row r="19011">
      <c r="A19011" t="inlineStr">
        <is>
          <t>Zobal M 200</t>
        </is>
      </c>
      <c r="B19011">
        <f>HYPERLINK("https://www.dofusbook.net/fr/equipement/3787613-zobal-m-200/objets", "link")</f>
        <v/>
      </c>
      <c r="C19011" t="n">
        <v>1</v>
      </c>
      <c r="D19011" t="inlineStr">
        <is>
          <t>Marteau R'ture; Collier de Tourthon; Anneau Chevelu; Anneau Crustique; Bouclier alvéolé; Ceinture de la Cour Sombre; Masque de Koutoulou; Cape au Logis; Bottes de la Cour Sombre; Dofus Pourpre; Dofus Émeraude; Nomade; Miraculé majeur; Remueur; Enragé majeur; Dragodinde Ivoire et Pourpre</t>
        </is>
      </c>
    </row>
    <row r="19012">
      <c r="A19012" t="inlineStr">
        <is>
          <t>do crit riche</t>
        </is>
      </c>
      <c r="B19012">
        <f>HYPERLINK("https://www.dofusbook.net/fr/equipement/3802247-do-crit-riche/objets", "link")</f>
        <v/>
      </c>
      <c r="C19012" t="n">
        <v>6</v>
      </c>
      <c r="D19012" t="inlineStr">
        <is>
          <t>Dagues d'Ilyzaelle; Collier de Tourthon; Anneau Chevelu; Bracelet du Piloztère; Bouclier du Captain Amakna; Ceintacé; Masque de Koutoulou; Cape du Cœur Saignant; Bottes du Cœur Saignant; Dofus Ocre; Dofus Pourpre; Dofus Nébuleux; Dofus Turquoise; Nomade; Enragé majeur; Kokulte</t>
        </is>
      </c>
    </row>
    <row r="19013">
      <c r="A19013" t="inlineStr">
        <is>
          <t>korri kocksis</t>
        </is>
      </c>
      <c r="B19013">
        <f>HYPERLINK("https://www.dofusbook.net/fr/equipement/3783046-korri-kocksis/objets", "link")</f>
        <v/>
      </c>
      <c r="C19013" t="n">
        <v>1</v>
      </c>
      <c r="D19013" t="inlineStr">
        <is>
          <t>Epée de Kocksis; Collier de Tourthon; Bracelet du Piloztère; Anneau de Brouce; Bouclier du Stalak; Ceinture de la Reine des Voleurs; Coiffe de la Reine des Voleurs; Cape au Logis; Baleinabottes; Observateur; Nomade; Dévastateur Terre majeur; Remueur; Saccageur Terre majeur; Enragé majeur; Dragodinde Pourpre</t>
        </is>
      </c>
    </row>
    <row r="19014">
      <c r="A19014" t="inlineStr">
        <is>
          <t>Steamer M 200</t>
        </is>
      </c>
      <c r="B19014">
        <f>HYPERLINK("https://www.dofusbook.net/fr/equipement/3782878-steamer-m-200/objets", "link")</f>
        <v/>
      </c>
      <c r="C19014" t="n">
        <v>4</v>
      </c>
      <c r="D19014" t="inlineStr">
        <is>
          <t>Hachoirs de Viandargh; Amulette du Cœur Vaillant; Bague Trithon; Gant du Valet Veinard; Bouclier Taverne; Menoture; Dorabysses; Capibou; Bottes Trithon; Dofus Ocre; Dofus Turquoise; Carapace Air majeur; Cascadeur majeur; Bousculeur majeur; Culbuteur majeur; Balafreux</t>
        </is>
      </c>
    </row>
    <row r="19015">
      <c r="A19015" t="inlineStr">
        <is>
          <t>Zobal M 200</t>
        </is>
      </c>
      <c r="B19015">
        <f>HYPERLINK("https://www.dofusbook.net/fr/equipement/3777996-zobal-m-200/objets", "link")</f>
        <v/>
      </c>
      <c r="C19015" t="n">
        <v>0</v>
      </c>
      <c r="D19015" t="inlineStr">
        <is>
          <t>Dagoulinantes; Amulette du Sinistrofu; Bague Trithon; Alliance Gloursonne; Bouclier Taverne; Sangle Ouare; Kidibonnet; Cape Solution; Bottes Trithon; Remueur; Culbuteur majeur; Pousseur majeur; Bousculeur majeur; Nomade; Chanceux majeur; Écumouth</t>
        </is>
      </c>
    </row>
    <row r="19016">
      <c r="A19016" t="inlineStr">
        <is>
          <t>air pvm</t>
        </is>
      </c>
      <c r="B19016">
        <f>HYPERLINK("https://www.dofusbook.net/fr/equipement/3773955-air-pvm/objets", "link")</f>
        <v/>
      </c>
      <c r="C19016" t="n">
        <v>3</v>
      </c>
      <c r="D19016" t="inlineStr">
        <is>
          <t>Pelle de la Cour Sombre; Collier du Valet Veinard; Alliance Gloursonne; Gant du Valet Veinard; Bouclier du Cycloïde; Menoture; Dorabysses; Cape Indescriptible; Baleinabottes; Dofus Pourpre; Dévastateur Air majeur; Remueur; Obstructeur majeur; Nomade; Cascadeur majeur; Muldo Roux et Ebène</t>
        </is>
      </c>
    </row>
    <row r="19017">
      <c r="A19017" t="inlineStr">
        <is>
          <t>Enutrof M 200</t>
        </is>
      </c>
      <c r="B19017">
        <f>HYPERLINK("https://www.dofusbook.net/fr/equipement/3764907-enutrof-m-200/objets", "link")</f>
        <v/>
      </c>
      <c r="C19017" t="n">
        <v>1</v>
      </c>
      <c r="D19017" t="inlineStr">
        <is>
          <t>Marteau R'ture; Amulette du Kamasterisk; Chevalière du Roi Joueur; Bracelet du Piloztère; Bouclier cubiste; Ceinture Luminescente; Masque de Koutoulou; Cape au Logis; Bottes du Roi Joueur; Dofus Pourpre; Carapace Terre majeur; Remueur; Entraveur majeur; Enragé majeur; Muldo Pourpre</t>
        </is>
      </c>
    </row>
    <row r="19018">
      <c r="A19018" t="inlineStr">
        <is>
          <t>Enutrof M 200</t>
        </is>
      </c>
      <c r="B19018">
        <f>HYPERLINK("https://www.dofusbook.net/fr/equipement/3764826-enutrof-m-200/objets", "link")</f>
        <v/>
      </c>
      <c r="C19018" t="n">
        <v>0</v>
      </c>
      <c r="D19018" t="inlineStr">
        <is>
          <t>Arc Hétype; Pendentif affamé; Anneau Tique; Anneau de Nidas; Bouclier cubiste; Ceinture de Vortex; Couronne de Nidas; Cape de Diondin; Pataugastrique; Carapace Feu majeur; Nomade; Temporiseur majeur; Remueur; Carapace Eau majeur; Érudit majeur; Gwo Tofu Ventripotent</t>
        </is>
      </c>
    </row>
    <row r="19019">
      <c r="A19019" t="inlineStr">
        <is>
          <t>cafard</t>
        </is>
      </c>
      <c r="B19019">
        <f>HYPERLINK("https://www.dofusbook.net/fr/equipement/3745622-cafard/objets", "link")</f>
        <v/>
      </c>
      <c r="C19019" t="n">
        <v>5</v>
      </c>
      <c r="D19019" t="inlineStr">
        <is>
          <t>Baguette de Malléfisk; Amulette de Nileza; Anneau Tique; Anneau de Nidas; Bouclier cubiste; Ceinture de Vortex; Couronne de Nidas; Voile d'encre; Pataugastrique; Dofus Abyssal; Dofus Ocre; Nomade; Guérisseur majeur; Érudit majeur</t>
        </is>
      </c>
    </row>
    <row r="19020">
      <c r="A19020" t="inlineStr">
        <is>
          <t>nunu pauvre</t>
        </is>
      </c>
      <c r="B19020">
        <f>HYPERLINK("https://www.dofusbook.net/fr/equipement/3742550-nunu-pauvre/objets", "link")</f>
        <v/>
      </c>
      <c r="C19020" t="n">
        <v>5</v>
      </c>
      <c r="D19020" t="inlineStr">
        <is>
          <t>Marteau R'ture; Amulette Luminescente; Baguistik; Bracelet du Piloztère; Bouclier cubiste; Ceinture Luminescente; Masque de Koutoulou; Cape au Logis; Baleinabottes; Miraculé majeur; Remueur; Enragé majeur; Entraveur majeur; Temporiseur majeur; Muldo Indigo et Pourpre</t>
        </is>
      </c>
    </row>
    <row r="19021">
      <c r="A19021" t="inlineStr">
        <is>
          <t>mode feu</t>
        </is>
      </c>
      <c r="B19021">
        <f>HYPERLINK("https://www.dofusbook.net/fr/equipement/3710293-mode-feu/objets", "link")</f>
        <v/>
      </c>
      <c r="C19021" t="n">
        <v>23</v>
      </c>
      <c r="D19021" t="inlineStr">
        <is>
          <t>Arc Hétype; Pendentif affamé; Anneau Tique; Anneau de Nidas; Bouclier cubiste; Ceinture de Vortex; Couronne de Nidas; Cape de Diondin; Bottes Innommables; Dokoko; Érudit majeur; Remueur; Dévastateur Feu majeur; Miraculé majeur; Nomade; Muldo Indigo et Orchidée</t>
        </is>
      </c>
    </row>
    <row r="19022">
      <c r="A19022" t="inlineStr">
        <is>
          <t>opti pvp</t>
        </is>
      </c>
      <c r="B19022">
        <f>HYPERLINK("https://www.dofusbook.net/fr/equipement/3716059-opti-pvp/objets", "link")</f>
        <v/>
      </c>
      <c r="C19022" t="n">
        <v>3</v>
      </c>
      <c r="D19022" t="inlineStr">
        <is>
          <t>Dagoulinantes; Amulette de Shokkoth; Anneau Volkorne; Alliance Gloursonne; Bouclier d'Ilyzaelle; Poulpagne; Kidibonnet; Cape de l'Œil Attentif; Sandales des Fonds marins; Dofus Émeraude; Dofus Ocre; Dofus Ivoire; Carapace Terre majeur; Miraculé majeur; Chanceux majeur; Muldo Ebène et Indigo</t>
        </is>
      </c>
    </row>
    <row r="19023">
      <c r="A19023" t="inlineStr">
        <is>
          <t>terre feu res</t>
        </is>
      </c>
      <c r="B19023">
        <f>HYPERLINK("https://www.dofusbook.net/fr/equipement/3715964-terre-feu-res/objets", "link")</f>
        <v/>
      </c>
      <c r="C19023" t="n">
        <v>11</v>
      </c>
      <c r="D19023" t="inlineStr">
        <is>
          <t>Hache Téroïde; Amulette de Pol Ouatnos; Chevalière du Roi Joueur; Goulano; Bouclier alvéolé; Ceinture de Kongoku; Couronne du Roi Joueur; Voile d'encre; Bottes Honyme; Dofus Pourpre; Dofus Ivoire; Dofus des Glaces; Dofus Ocre; Vigoureux majeur; Carapace Terre majeur; Kramkram</t>
        </is>
      </c>
    </row>
    <row r="19024">
      <c r="A19024" t="inlineStr">
        <is>
          <t>terre eau air</t>
        </is>
      </c>
      <c r="B19024">
        <f>HYPERLINK("https://www.dofusbook.net/fr/equipement/3715310-terre-eau-air/objets", "link")</f>
        <v/>
      </c>
      <c r="C19024" t="n">
        <v>7</v>
      </c>
      <c r="D19024" t="inlineStr">
        <is>
          <t>Héqache; Amulette de Pol Ouatnos; Bracelet du Piloztère; Alliance Gloursonne; Bouclier cubiste; Ceintacé; Coiffe de la Reine des Voleurs; Cape de Kongoku; Bottes de la Reine des Voleurs; Dofus des Glaces; Dofus Pourpre; Remueur; Miraculé majeur; Carapace Air majeur; Vigoureux majeur; Muldo Ebène</t>
        </is>
      </c>
    </row>
    <row r="19025">
      <c r="A19025" t="inlineStr">
        <is>
          <t>Ecaflip M 200</t>
        </is>
      </c>
      <c r="B19025">
        <f>HYPERLINK("https://www.dofusbook.net/fr/equipement/3715247-ecaflip-m-200/objets", "link")</f>
        <v/>
      </c>
      <c r="C19025" t="n">
        <v>8</v>
      </c>
      <c r="D19025" t="inlineStr">
        <is>
          <t>Faux Maudite du Saigneur Guerrier; Amulette du Strigide; Bracelet du Piloztère; Alliance Gloursonne; Bouclier du Captain Amakna; Ceintacé; Casque du Chalœil; Voile d'encre; Bottes du Strigide; Dofus Turquoise; Dofus des Glaces; Dofus Ocre; Dofus Pourpre; Miraculé majeur; Vigoureux majeur; Muldo Ebène et Indigo</t>
        </is>
      </c>
    </row>
    <row r="19026">
      <c r="A19026" t="inlineStr">
        <is>
          <t>terre opti</t>
        </is>
      </c>
      <c r="B19026">
        <f>HYPERLINK("https://www.dofusbook.net/fr/equipement/3714500-terre-opti/objets", "link")</f>
        <v/>
      </c>
      <c r="C19026" t="n">
        <v>8</v>
      </c>
      <c r="D19026" t="inlineStr">
        <is>
          <t>Dagues d'Ilyzaelle; Collier de Tourthon; Anneau Crustique; Goulano; Bouclier alvéolé; Ceintacé; Masque de Koutoulou; Cape du Cœur Saignant; Bottes du Cœur Saignant; Dofus Turquoise; Dofus Émeraude; Enragé majeur; Nomade; Miraculé majeur; Remueur; Muldo Orchidée et Pourpre</t>
        </is>
      </c>
    </row>
    <row r="19027">
      <c r="A19027" t="inlineStr">
        <is>
          <t>feu pvm</t>
        </is>
      </c>
      <c r="B19027">
        <f>HYPERLINK("https://www.dofusbook.net/fr/equipement/3714490-feu-pvm/objets", "link")</f>
        <v/>
      </c>
      <c r="C19027" t="n">
        <v>14</v>
      </c>
      <c r="D19027" t="inlineStr">
        <is>
          <t>Arc corrompu; Pendentif affamé; Anneau de Nidas; Anneau Tique; Bouclier cubiste; Ceinture de Vortex; Couronne de Nidas; Cape de Diondin; Pataugastrique; Dofus Turquoise; Dofus des Veilleurs; Érudit majeur; Nomade; Guérisseur majeur; Remueur; Dragodinde Orchidée et Rousse</t>
        </is>
      </c>
    </row>
    <row r="19028">
      <c r="A19028" t="inlineStr">
        <is>
          <t>pvp air eau</t>
        </is>
      </c>
      <c r="B19028">
        <f>HYPERLINK("https://www.dofusbook.net/fr/equipement/3714406-pvp-air-eau/objets", "link")</f>
        <v/>
      </c>
      <c r="C19028" t="n">
        <v>10</v>
      </c>
      <c r="D19028" t="inlineStr">
        <is>
          <t>Hache du Korriandre; Amulette de l'Œil Putride; Alliance Gloursonne; Bracelet du Piloztère; Bouclier cubiste; Ceinture du Barbétoal; Némès de Tal Kasha; Chevelure de Tal Kasha; Bottes Honyme; Dofus Pourpre; Dofus Turquoise; Dokoko; Nomade; Remueur; Carapace Air majeur; Muldo Indigo</t>
        </is>
      </c>
    </row>
    <row r="19029">
      <c r="A19029" t="inlineStr">
        <is>
          <t>Sram F 200</t>
        </is>
      </c>
      <c r="B19029">
        <f>HYPERLINK("https://www.dofusbook.net/fr/equipement/3714386-sram-f-200/objets", "link")</f>
        <v/>
      </c>
      <c r="C19029" t="n">
        <v>20</v>
      </c>
      <c r="D19029" t="inlineStr">
        <is>
          <t>Dagues d'Ilyzaelle; Collier de Tourthon; Bracelet du Piloztère; Chevalière du Roi Joueur; Bouclier du Captain Amakna; Ceintacé; Masque de Koutoulou; Cape du Cœur Saignant; Bottes du Cœur Saignant; Dofus Turquoise; Dokoko; Remueur; Miraculé majeur; Enragé majeur; Nomade; Muldo Indigo et Pourpre</t>
        </is>
      </c>
    </row>
    <row r="19030">
      <c r="A19030" t="inlineStr">
        <is>
          <t>cra kori low cost</t>
        </is>
      </c>
      <c r="B19030">
        <f>HYPERLINK("https://www.dofusbook.net/fr/equipement/3713903-cra-kori-low-cost/objets", "link")</f>
        <v/>
      </c>
      <c r="C19030" t="n">
        <v>43</v>
      </c>
      <c r="D19030" t="inlineStr">
        <is>
          <t>Baguette Hique; Amulette du Strigide; Bracelet du Piloztère; Anneau de Padgref; Quatre-feuilles; Ceinture du Strigide; Capuche de l'Œil Putride; Cape des Justiciers; Pataugastrique; Dofus Pourpre; Dofus Turquoise; Dokoko; Vigoureux majeur; Remueur; Nomade; Muldo Prune et Emeraude</t>
        </is>
      </c>
    </row>
    <row r="19031">
      <c r="A19031" t="inlineStr">
        <is>
          <t>Féca M 200</t>
        </is>
      </c>
      <c r="B19031">
        <f>HYPERLINK("https://www.dofusbook.net/fr/equipement/3713774-feca-m-200/objets", "link")</f>
        <v/>
      </c>
      <c r="C19031" t="n">
        <v>0</v>
      </c>
      <c r="D19031" t="inlineStr">
        <is>
          <t>Dagoulinantes; Amulette de Shokkoth; Alliance Gloursonne; Bracelet des Fonds marins; Bivalve; Sangle Ouare; Kidibonnet; Cape du Sinistrofu; Sandales des Fonds marins; Dofus Pourpre; Dofus Ocre; Dofus des Glaces; Vigoureux majeur; Dévastateur Eau majeur; Chanceux majeur; Dragodinde Indigo et Ivoire</t>
        </is>
      </c>
    </row>
    <row r="19032">
      <c r="A19032" t="inlineStr">
        <is>
          <t>Zobal M 200</t>
        </is>
      </c>
      <c r="B19032">
        <f>HYPERLINK("https://www.dofusbook.net/fr/equipement/3713707-zobal-m-200/objets", "link")</f>
        <v/>
      </c>
      <c r="C19032" t="n">
        <v>17</v>
      </c>
      <c r="D19032" t="inlineStr">
        <is>
          <t>Hache Téroïde; Amulette du Strigide; Anneau Tique; Chevalière du Roi Joueur; Bouclier alvéolé; Ceintacé; Chapeau de Gein; Voile d'encre; Bottes du Strigide; Dofus Émeraude; Dofus Turquoise; Dofus Pourpre; Miraculé majeur; Vigoureux majeur; Remueur; Muldo Pourpre</t>
        </is>
      </c>
    </row>
    <row r="19033">
      <c r="A19033" t="inlineStr">
        <is>
          <t>terre feu eau</t>
        </is>
      </c>
      <c r="B19033">
        <f>HYPERLINK("https://www.dofusbook.net/fr/equipement/3713295-terre-feu-eau/objets", "link")</f>
        <v/>
      </c>
      <c r="C19033" t="n">
        <v>13</v>
      </c>
      <c r="D19033" t="inlineStr">
        <is>
          <t>Hache du Chalœil; Amulette du Strigide; Bracelet du Piloztère; Alliance du Lévitrof; Bouclier cubiste; Ceintacé; Le Dorado; Dofusteuse; Bottes du Strigide; Dofus Abyssal; Dofus Pourpre; Dolmanax; Dofus des Glaces; Dofus Turquoise; Vigoureux majeur; Muldo Prune et Emeraude</t>
        </is>
      </c>
    </row>
    <row r="19034">
      <c r="A19034" t="inlineStr">
        <is>
          <t>Crâ M 200</t>
        </is>
      </c>
      <c r="B19034">
        <f>HYPERLINK("https://www.dofusbook.net/fr/equipement/3713172-cra-m-200/objets", "link")</f>
        <v/>
      </c>
      <c r="C19034" t="n">
        <v>18</v>
      </c>
      <c r="D19034" t="inlineStr">
        <is>
          <t>Sabres d'Atcham; Amulette du Strigide; Bracelet du Piloztère; Anneau Volkorne; Bivalve; Ceinture Volkorne; Le Dorado; Cape d'Atcham; Bottes du Strigide; Dofus Vulbis; Dofus Nébuleux; Dofus Pourpre; Dofus des Glaces; Dofus Ocre; Robuste majeur; Dragodinde Ivoire</t>
        </is>
      </c>
    </row>
    <row r="19035">
      <c r="A19035" t="inlineStr">
        <is>
          <t>pvp 200 TER/AIR DO P</t>
        </is>
      </c>
      <c r="B19035">
        <f>HYPERLINK("https://www.dofusbook.net/fr/equipement/3699518-pvp-200-ter-air-do-p/objets", "link")</f>
        <v/>
      </c>
      <c r="C19035" t="n">
        <v>66</v>
      </c>
      <c r="D19035" t="inlineStr">
        <is>
          <t>Héqache; Amibou; Bague Trithon; Alliance Brûlâme; Bouclier précieux; Ceinture Gence; Masque Trithon; Cape du Cœur Vaillant; Tentassons; Dofus des Glaces; Dofus Ocre; Dofus Ivoire; Dofus Pourpre; Vigoureux majeur; Culbuteur majeur; Muldo Ebène et Pourpre</t>
        </is>
      </c>
    </row>
    <row r="19036">
      <c r="A19036" t="inlineStr">
        <is>
          <t>Crâ M 200</t>
        </is>
      </c>
      <c r="B19036">
        <f>HYPERLINK("https://www.dofusbook.net/fr/equipement/3699424-cra-m-200/objets", "link")</f>
        <v/>
      </c>
      <c r="C19036" t="n">
        <v>0</v>
      </c>
      <c r="D19036" t="inlineStr"/>
    </row>
    <row r="19037">
      <c r="A19037" t="inlineStr">
        <is>
          <t>crop terre eau cheat</t>
        </is>
      </c>
      <c r="B19037">
        <f>HYPERLINK("https://www.dofusbook.net/fr/equipement/3699294-crop-terre-eau-cheat/objets", "link")</f>
        <v/>
      </c>
      <c r="C19037" t="n">
        <v>21</v>
      </c>
      <c r="D19037" t="inlineStr">
        <is>
          <t>Dagues de Srambad; Amulette du Strigide; Bracelet du Piloztère; Pikano; Bouclier cubiste; Ceinture du Strigide; Masque de Funespadon; Cape du Cœur Saignant; Bottes Honyme; Dofus Abyssal; Dofus Pourpre; Dofus Nébuleux; Dofus Ocre; Vigoureux majeur; Temporiseur majeur; Muldo Indigo</t>
        </is>
      </c>
    </row>
    <row r="19038">
      <c r="A19038" t="inlineStr">
        <is>
          <t>eau pvp multi</t>
        </is>
      </c>
      <c r="B19038">
        <f>HYPERLINK("https://www.dofusbook.net/fr/equipement/3699098-eau-pvp-multi/objets", "link")</f>
        <v/>
      </c>
      <c r="C19038" t="n">
        <v>13</v>
      </c>
      <c r="D19038" t="inlineStr">
        <is>
          <t>Sceptre du Roi Joueur; Amulette de l'Œil Attentif; Alliance Gloursonne; Anneau de Pol Ouatnos; Bouclier alvéolé; Pagne du Rykaon; Kidibonnet; Cape de l'Œil Attentif; Pataugastrique; Dofus Pourpre; Dofus Émeraude; Remueur; Miraculé majeur; Chanceux majeur; Muldo Indigo et Orchidée</t>
        </is>
      </c>
    </row>
    <row r="19039">
      <c r="A19039" t="inlineStr">
        <is>
          <t>Roublard M 200</t>
        </is>
      </c>
      <c r="B19039">
        <f>HYPERLINK("https://www.dofusbook.net/fr/equipement/3698994-roublard-m-200/objets", "link")</f>
        <v/>
      </c>
      <c r="C19039" t="n">
        <v>13</v>
      </c>
      <c r="D19039" t="inlineStr">
        <is>
          <t>Dagoulinantes; Amulette de Shokkoth; Alliance Gloursonne; Bracelet des Fonds marins; Sept ans de malheur; Culotte de Bethel; Kidibonnet; Chevelure de Tal Kasha; Chaussons de Macrab; Dofus Ocre; Dofus Ivoire; Étourdisseur majeur; Chanceux majeur; Dévastateur Eau majeur; Muldo Indigo et Pourpre</t>
        </is>
      </c>
    </row>
    <row r="19040">
      <c r="A19040" t="inlineStr">
        <is>
          <t>Sacrieur F 200</t>
        </is>
      </c>
      <c r="B19040">
        <f>HYPERLINK("https://www.dofusbook.net/fr/equipement/3698939-sacrieur-f-200/objets", "link")</f>
        <v/>
      </c>
      <c r="C19040" t="n">
        <v>12</v>
      </c>
      <c r="D19040" t="inlineStr">
        <is>
          <t>Marteau des Anciens Steamers; Amulette Voldelor; Bracelet du Piloztère; Alliance Gloursonne; Bouclier alvéolé; Ceinture du Barbétoal; Némès de Tal Kasha; Chevelure de Tal Kasha; Pataugastrique; Dofus Pourpre; Dofus Turquoise; Dofus des Glaces; Dofus Ocre; Dofus Ivoire; Vigoureux majeur; Muldo Ebène</t>
        </is>
      </c>
    </row>
    <row r="19041">
      <c r="A19041" t="inlineStr">
        <is>
          <t>air 0 exo</t>
        </is>
      </c>
      <c r="B19041">
        <f>HYPERLINK("https://www.dofusbook.net/fr/equipement/3698912-air-0-exo/objets", "link")</f>
        <v/>
      </c>
      <c r="C19041" t="n">
        <v>4</v>
      </c>
      <c r="D19041" t="inlineStr">
        <is>
          <t>Manthache; Collier du Valet Veinard; Alliance Gloursonne; Gant du Valet Veinard; Bouclier cubiste; Menoture; Dorabysses; Chevelure de Tal Kasha; Baleinabottes; Remueur; Miraculé majeur; Obstructeur majeur; Nomade; Dévastateur Air majeur; Cascadeur majeur; Muldo Ebène</t>
        </is>
      </c>
    </row>
    <row r="19042">
      <c r="A19042" t="inlineStr">
        <is>
          <t>multi pvm do cri</t>
        </is>
      </c>
      <c r="B19042">
        <f>HYPERLINK("https://www.dofusbook.net/fr/equipement/3698832-multi-pvm-do-cri/objets", "link")</f>
        <v/>
      </c>
      <c r="C19042" t="n">
        <v>3</v>
      </c>
      <c r="D19042" t="inlineStr">
        <is>
          <t>Marteau du Glouragan; Amulette du Strigide; Bracelet du Piloztère; Anneau de Padgref; Bouclier cubiste; Ceintacé; Casquette de Meno; Chevelure de Tal Kasha; Bottes du Strigide; Dofus des Glaces; Dofus Turquoise; Dolmanax; Dofus Ocre; Dofus Pourpre; Vigoureux majeur; Muldo Prune et Doré</t>
        </is>
      </c>
    </row>
    <row r="19043">
      <c r="A19043" t="inlineStr">
        <is>
          <t>multi opti res</t>
        </is>
      </c>
      <c r="B19043">
        <f>HYPERLINK("https://www.dofusbook.net/fr/equipement/319230-multi-opti-res/objets", "link")</f>
        <v/>
      </c>
      <c r="C19043" t="n">
        <v>33</v>
      </c>
      <c r="D19043" t="inlineStr">
        <is>
          <t>Marteau des égarés; Amulette Ementaire Deluxe; Bague Gloursonne; Alliance Gloursonne; Bivalve; Ceintacé; Casque Dragoeuf; Voile d'encre; Bottes du Chalœil; Dolmanax; Dofus Émeraude; Dofus Ocre; Dofus Pourpre; Carapace Terre majeur; Vigoureux majeur; Muldo Ebène et Pourpre</t>
        </is>
      </c>
    </row>
    <row r="19044">
      <c r="A19044" t="inlineStr">
        <is>
          <t>feu pvp</t>
        </is>
      </c>
      <c r="B19044">
        <f>HYPERLINK("https://www.dofusbook.net/fr/equipement/3698659-feu-pvp/objets", "link")</f>
        <v/>
      </c>
      <c r="C19044" t="n">
        <v>6</v>
      </c>
      <c r="D19044" t="inlineStr">
        <is>
          <t>Plumeau Bil; Amulette de Nileza; Anneau Tique; Anneau de Nidas; Bouclier alvéolé; Ceinture de Vortex; Couronne de Nidas; Voile d'encre; Pataugastrique; Dofus Ivoire; Dofus Pourpre; Dofus Ocre; Dofus Émeraude; Érudit majeur; Nomade; Dragodinde Ivoire et Orchidée</t>
        </is>
      </c>
    </row>
    <row r="19045">
      <c r="A19045" t="inlineStr">
        <is>
          <t>air balais-couilles</t>
        </is>
      </c>
      <c r="B19045">
        <f>HYPERLINK("https://www.dofusbook.net/fr/equipement/3698554-air-balais-couilles/objets", "link")</f>
        <v/>
      </c>
      <c r="C19045" t="n">
        <v>29</v>
      </c>
      <c r="D19045" t="inlineStr">
        <is>
          <t>Épée du Granduk; Amulette du Granduk; Alliance Gloursonne; Gant du Valet Veinard; Bouclier du Captain Amakna; Menoture; Masque du Granduk; Cape du Valet Veinard; Palmes Trithons; Dofus Nébuleux; Dofus Émeraude; Dofus des Glaces; Dofus Pourpre; Dofus Abyssal; Dolmanax; Dragodinde Ebène et Ivoire</t>
        </is>
      </c>
    </row>
    <row r="19046">
      <c r="A19046" t="inlineStr">
        <is>
          <t>Crâ M 200</t>
        </is>
      </c>
      <c r="B19046">
        <f>HYPERLINK("https://www.dofusbook.net/fr/equipement/3697234-cra-m-200/objets", "link")</f>
        <v/>
      </c>
      <c r="C19046" t="n">
        <v>2</v>
      </c>
      <c r="D19046" t="inlineStr">
        <is>
          <t>Épouvante; Amulette Luminescente; Bracelet du Piloztère; Pikano; Bouclier cubiste; Ceinture de Kongoku; Boucle d'oreille de Kongoku; Cape de Kongoku; Pikottes; Dofus Nébuleux; Dofus des Glaces; Dofus Turquoise; Dofus Ivoire; Dofus Ocre; Dofus Pourpre</t>
        </is>
      </c>
    </row>
    <row r="19047">
      <c r="A19047" t="inlineStr">
        <is>
          <t>Osamodas F 200</t>
        </is>
      </c>
      <c r="B19047">
        <f>HYPERLINK("https://www.dofusbook.net/fr/equipement/3697226-osamodas-f-200/objets", "link")</f>
        <v/>
      </c>
      <c r="C19047" t="n">
        <v>13</v>
      </c>
      <c r="D19047" t="inlineStr">
        <is>
          <t>Rapière aux Glyphes; Amulette de Shokkoth; Alliance Gloursonne; Bracelet des Fonds marins; Bouclier cubiste; Sangle Ouare; Masque des Fonds marins; Cape Solution; Pataugastrique; Dokoko; Dofus Ivoire; Chanceux majeur; Carapace Eau majeur; Miraculé majeur; Dragodinde Indigo et Ivoire</t>
        </is>
      </c>
    </row>
    <row r="19048">
      <c r="A19048" t="inlineStr">
        <is>
          <t>Ecaflip M 200</t>
        </is>
      </c>
      <c r="B19048">
        <f>HYPERLINK("https://www.dofusbook.net/fr/equipement/3697218-ecaflip-m-200/objets", "link")</f>
        <v/>
      </c>
      <c r="C19048" t="n">
        <v>21</v>
      </c>
      <c r="D19048" t="inlineStr">
        <is>
          <t>Epée Gloursonne; Amulette de l'Indicible; Alliance Gloursonne; Bague Gloursonne; Bouclier cubiste; Ceinture de l'Indicible; Casque du Chalœil; Cape du Chalœil; Bottes du Chalœil; Dofus Pourpre; Dofus Émeraude; Dofus Ocre; Dofus des Glaces; Dofus Ivoire; Muldo Indigo</t>
        </is>
      </c>
    </row>
    <row r="19049">
      <c r="A19049" t="inlineStr">
        <is>
          <t>Sram M 200</t>
        </is>
      </c>
      <c r="B19049">
        <f>HYPERLINK("https://www.dofusbook.net/fr/equipement/3697195-sram-m-200/objets", "link")</f>
        <v/>
      </c>
      <c r="C19049" t="n">
        <v>12</v>
      </c>
      <c r="D19049" t="inlineStr">
        <is>
          <t>Héqache; Amulette du Strigide; Bracelet du Piloztère; Anneau des égarés; Bouclier cubiste; Ceintacé; Casque des égarés; Cape de la Fuji Givrefoux; Baleinabottes; Dofus Turquoise; Dofus Pourpre; Observateur; Miraculé majeur; Remueur; Vigoureux majeur; Muldo Orchidée et Pourpre</t>
        </is>
      </c>
    </row>
    <row r="19050">
      <c r="A19050" t="inlineStr">
        <is>
          <t>Sram M 200</t>
        </is>
      </c>
      <c r="B19050">
        <f>HYPERLINK("https://www.dofusbook.net/fr/equipement/3697182-sram-m-200/objets", "link")</f>
        <v/>
      </c>
      <c r="C19050" t="n">
        <v>24</v>
      </c>
      <c r="D19050" t="inlineStr">
        <is>
          <t>Manthache; Collier du Valet Veinard; Gant du Valet Veinard; Alliance Gloursonne; Bouclier cubiste; Menoture; Dorabysses; Cape de Crânonier; Palmes Trithons; Dofus Ocre; Dofus Pourpre; Nomade; Cascadeur majeur; Obstructeur majeur; Vigoureux majeur; Dragodinde Ebène et Ivoire</t>
        </is>
      </c>
    </row>
    <row r="19051">
      <c r="A19051" t="inlineStr">
        <is>
          <t>pvp multi</t>
        </is>
      </c>
      <c r="B19051">
        <f>HYPERLINK("https://www.dofusbook.net/fr/equipement/3697167-pvp-multi/objets", "link")</f>
        <v/>
      </c>
      <c r="C19051" t="n">
        <v>41</v>
      </c>
      <c r="D19051" t="inlineStr">
        <is>
          <t>Epée Gloursonne; Amulette de l'Indicible; Bague Gloursonne; Alliance Gloursonne; Bouclier cubiste; Ceinture de l'Indicible; Casque du Chalœil; Dofusteuse; Bottes de l'Indicible; Dokoko; Dofus Abyssal; Dolmanax; Dofus Nébuleux; Dofus Pourpre; Dofus Ocre; Muldo Indigo et Orchidée</t>
        </is>
      </c>
    </row>
    <row r="19052">
      <c r="A19052" t="inlineStr">
        <is>
          <t>Crâ M 200</t>
        </is>
      </c>
      <c r="B19052">
        <f>HYPERLINK("https://www.dofusbook.net/fr/equipement/3697143-cra-m-200/objets", "link")</f>
        <v/>
      </c>
      <c r="C19052" t="n">
        <v>13</v>
      </c>
      <c r="D19052" t="inlineStr">
        <is>
          <t>Dagoulinantes; Amulette de l'Œil Putride; Bracelet du Piloztère; Alliance Gloursonne; Quatre-feuilles; Ceinture du Barbétoal; Némès de Tal Kasha; Chevelure de Tal Kasha; Pataugastrique; Dofus Pourpre; Dofus Turquoise; Remueur; Étourdisseur majeur; Vigoureux majeur; Nomade; Muldo Indigo</t>
        </is>
      </c>
    </row>
    <row r="19053">
      <c r="A19053" t="inlineStr">
        <is>
          <t>zobal air 200</t>
        </is>
      </c>
      <c r="B19053">
        <f>HYPERLINK("https://www.dofusbook.net/fr/equipement/3697122-zobal-air-200/objets", "link")</f>
        <v/>
      </c>
      <c r="C19053" t="n">
        <v>17</v>
      </c>
      <c r="D19053" t="inlineStr">
        <is>
          <t>Manthache; Collier du Valet Veinard; Alliance Gloursonne; Gant du Valet Veinard; Bouclier alvéolé; Sangle Oriole; Couronne d'Allister; Cape Indescriptible; Palmes Trithons; Dofus Émeraude; Dofus Ocre; Dofus Pourpre; Remueur; Cascadeur majeur; Muldo Ebène</t>
        </is>
      </c>
    </row>
    <row r="19054">
      <c r="A19054" t="inlineStr">
        <is>
          <t>Iop M 200</t>
        </is>
      </c>
      <c r="B19054">
        <f>HYPERLINK("https://www.dofusbook.net/fr/equipement/3697105-iop-m-200/objets", "link")</f>
        <v/>
      </c>
      <c r="C19054" t="n">
        <v>47</v>
      </c>
      <c r="D19054" t="inlineStr">
        <is>
          <t>Dagues d'Ilyzaelle; Collier de Tourthon; Anneau de Brouce; Anneau du Comte Harebourg; Bouclier du Captain Amakna; Ceintacé; Coiffe du Comte Harebourg; Cape au Logis; Sabots Minables; Dofus Turquoise; Dévastateur Terre majeur; Vigoureux majeur; Forcené majeur; Remueur; Enragé majeur; Muldo Doré et Emeraude</t>
        </is>
      </c>
    </row>
    <row r="19055">
      <c r="A19055" t="inlineStr">
        <is>
          <t>terre air do pou</t>
        </is>
      </c>
      <c r="B19055">
        <f>HYPERLINK("https://www.dofusbook.net/fr/equipement/3662600-terre-air-do-pou/objets", "link")</f>
        <v/>
      </c>
      <c r="C19055" t="n">
        <v>1</v>
      </c>
      <c r="D19055" t="inlineStr">
        <is>
          <t>Lance corrompue; Amulette de Pol Ouatnos; Alliance Brûlâme; Bague Trithon; Bivalve; Ceintacé; Masque Trithon; Cape au Logis; Bottes du Cœur Vaillant; Dofus Pourpre; Bousculeur majeur; Vigoureux majeur; Miraculé majeur; Remueur; Culbuteur majeur; Dragodinde Ebène et Ivoire</t>
        </is>
      </c>
    </row>
    <row r="19056">
      <c r="A19056" t="inlineStr">
        <is>
          <t>Osamodas F 200</t>
        </is>
      </c>
      <c r="B19056">
        <f>HYPERLINK("https://www.dofusbook.net/fr/equipement/3651833-osamodas-f-200/objets", "link")</f>
        <v/>
      </c>
      <c r="C19056" t="n">
        <v>1</v>
      </c>
      <c r="D19056" t="inlineStr">
        <is>
          <t>Héqache; Amulette du Cycloïde; Alliance du Lévitrof; Anneau Crustique; Bouclier d'Ilyzaelle; Ceinture Luminescente; Coiffe de la Reine des Voleurs; Cape du Cœur Saignant; Sabots Minables; Dofus Émeraude; Remueur; Enragé majeur; Nomade; Miraculé majeur; Vigoureux majeur; Muldo Ebène et Pourpre</t>
        </is>
      </c>
    </row>
    <row r="19057">
      <c r="A19057" t="inlineStr">
        <is>
          <t>Steamer M 200</t>
        </is>
      </c>
      <c r="B19057">
        <f>HYPERLINK("https://www.dofusbook.net/fr/equipement/3648136-steamer-m-200/objets", "link")</f>
        <v/>
      </c>
      <c r="C19057" t="n">
        <v>1</v>
      </c>
      <c r="D19057" t="inlineStr">
        <is>
          <t>Manthache; Collier du Valet Veinard; Gant du Valet Veinard; Alliance Gloursonne; Ceinture du Nocturlabe; Dorabysses; Cape Indescriptible; Baleinabottes</t>
        </is>
      </c>
    </row>
    <row r="19058">
      <c r="A19058" t="inlineStr">
        <is>
          <t>Eniripsa M 200</t>
        </is>
      </c>
      <c r="B19058">
        <f>HYPERLINK("https://www.dofusbook.net/fr/equipement/3645390-eniripsa-m-200/objets", "link")</f>
        <v/>
      </c>
      <c r="C19058" t="n">
        <v>0</v>
      </c>
      <c r="D19058" t="inlineStr">
        <is>
          <t>Manthache; Collier du Valet Veinard; Alliance Gloursonne; Gant du Valet Veinard; Goulclier; Menoture; Casque Dragoeuf; Cape Indescriptible; Palmes Trithons; Dofus Émeraude; Dofus Pourpre; Remueur; Cascadeur majeur; Nomade; Miraculé majeur; Muldo Ebène</t>
        </is>
      </c>
    </row>
    <row r="19059">
      <c r="A19059" t="inlineStr">
        <is>
          <t>Eniripsa M 200</t>
        </is>
      </c>
      <c r="B19059">
        <f>HYPERLINK("https://www.dofusbook.net/fr/equipement/3645342-eniripsa-m-200/objets", "link")</f>
        <v/>
      </c>
      <c r="C19059" t="n">
        <v>2</v>
      </c>
      <c r="D19059" t="inlineStr">
        <is>
          <t>Dagoulinantes; Amulette de Shokkoth; Bracelet des Fonds marins; Alliance Gloursonne; Sept ans de malheur; Ceinture du Barbétoal; Némès de Tal Kasha; Cape du Barbétoal; Pataugastrique; Chanceux majeur; Vigoureux majeur; Remueur; Étourdisseur majeur; Nomade; Carapace Eau majeur; Muldo Indigo</t>
        </is>
      </c>
    </row>
    <row r="19060">
      <c r="A19060" t="inlineStr">
        <is>
          <t>je suis prisme</t>
        </is>
      </c>
      <c r="B19060">
        <f>HYPERLINK("https://www.dofusbook.net/fr/equipement/3635879-je-suis-prisme/objets", "link")</f>
        <v/>
      </c>
      <c r="C19060" t="n">
        <v>5</v>
      </c>
      <c r="D19060" t="inlineStr">
        <is>
          <t>Dagues d'Ilyzaelle; Amulette du Cœur Saignant; Alliance Brûlâme; Anneau Crustique; Bouclier du Captain Amakna; Ceintacé; Masque de Koutoulou; Cape du Cœur Saignant; Bottes du Cycloïde; Dofus Turquoise; Miraculé majeur; Vigoureux majeur; Remueur; Enragé majeur; Carapace Terre majeur; Muldo Prune et Emeraude</t>
        </is>
      </c>
    </row>
    <row r="19061">
      <c r="A19061" t="inlineStr">
        <is>
          <t>enu eau pvm ret pm</t>
        </is>
      </c>
      <c r="B19061">
        <f>HYPERLINK("https://www.dofusbook.net/fr/equipement/3196562-enu-eau-pvm-ret-pm/objets", "link")</f>
        <v/>
      </c>
      <c r="C19061" t="n">
        <v>2</v>
      </c>
      <c r="D19061" t="inlineStr">
        <is>
          <t>Dagoulinantes; Collier de la Dame du Hasard; Alliance Gloursonne; Bracelet des Fonds marins; Bouclier cubiste; Pagne du Rykaon; Casquette de Meno; Cape Solution; Bottes de la Dame du Hasard; Dofus Turquoise; Entraveur majeur; Remueur; Chanceux majeur; Temporiseur majeur; Nomade; Muldo Doré et Indigo</t>
        </is>
      </c>
    </row>
    <row r="19062">
      <c r="A19062" t="inlineStr">
        <is>
          <t>énu eau 1.29</t>
        </is>
      </c>
      <c r="B19062">
        <f>HYPERLINK("https://www.dofusbook.net/fr/equipement/3183164-enu-eau-1-29/objets", "link")</f>
        <v/>
      </c>
      <c r="C19062" t="n">
        <v>0</v>
      </c>
      <c r="D19062" t="inlineStr">
        <is>
          <t>Ares; Torque Ancestral; Anneau Ancestral; Gelano; Abrature Ancestrale; Abracaska Ancestral; Abracapa Ancestrale; Protège-Tibias Ancestraux; Dofus Cawotte; Dofus Kaliptus; Dragodinde Prune et Turquoise</t>
        </is>
      </c>
    </row>
    <row r="19063">
      <c r="A19063" t="inlineStr">
        <is>
          <t>Multi pvp</t>
        </is>
      </c>
      <c r="B19063">
        <f>HYPERLINK("https://www.dofusbook.net/fr/equipement/3179088-multi-pvp/objets", "link")</f>
        <v/>
      </c>
      <c r="C19063" t="n">
        <v>0</v>
      </c>
      <c r="D19063" t="inlineStr">
        <is>
          <t>Héqache; Amulette de l'Indicible; Alliance Gloursonne; Bracelet du Piloztère; Ceintacé; Casque du Chalœil; Voile d'encre; Bottes de l'Indicible; Dofus Pourpre; Dofus Abyssal; Dofus Ocre; Dofus Ivoire; Dofus des Glaces; Nomade; Kramkram</t>
        </is>
      </c>
    </row>
    <row r="19064">
      <c r="A19064" t="inlineStr">
        <is>
          <t>eau</t>
        </is>
      </c>
      <c r="B19064">
        <f>HYPERLINK("https://www.dofusbook.net/fr/equipement/3169729-eau/objets", "link")</f>
        <v/>
      </c>
      <c r="C19064" t="n">
        <v>0</v>
      </c>
      <c r="D19064" t="inlineStr">
        <is>
          <t>Dagoulinantes; Amulette de Shokkoth; Alliance Gloursonne; Bracelet des Fonds marins; Bouclier d'Ilyzaelle; Sangle Ouare; Casque Dragoeuf; Cape Solution; Sandales des Fonds marins; Dofus Pourpre; Dofus Abyssal; Miraculé majeur; Chanceux majeur; Carapace Feu majeur; Remueur; Muldo Ebène et Indigo</t>
        </is>
      </c>
    </row>
    <row r="19065">
      <c r="A19065" t="inlineStr">
        <is>
          <t>Kaam-elott</t>
        </is>
      </c>
      <c r="B19065">
        <f>HYPERLINK("https://www.dofusbook.net/fr/equipement/3122165-kaam-elott/objets", "link")</f>
        <v/>
      </c>
      <c r="C19065" t="n">
        <v>0</v>
      </c>
      <c r="D19065" t="inlineStr"/>
    </row>
    <row r="19066">
      <c r="A19066" t="inlineStr">
        <is>
          <t>air feu ret PA</t>
        </is>
      </c>
      <c r="B19066">
        <f>HYPERLINK("https://www.dofusbook.net/fr/equipement/3096405-air-feu-ret-pa/objets", "link")</f>
        <v/>
      </c>
      <c r="C19066" t="n">
        <v>3</v>
      </c>
      <c r="D19066" t="inlineStr">
        <is>
          <t>Arc corrompu; Amulette du Strigide; Alliance Gloursonne; Anneau Tique; Sept ans de malheur; Ceintacé; Cagoule de Vortex; Voile d'encre; Sabots de Vortex; Dofus Pourpre; Étourdisseur majeur; Vigoureux majeur; Nomade; Cascadeur majeur; Remueur; Muldo Orchidée</t>
        </is>
      </c>
    </row>
    <row r="19067">
      <c r="A19067" t="inlineStr">
        <is>
          <t>air ret pa</t>
        </is>
      </c>
      <c r="B19067">
        <f>HYPERLINK("https://www.dofusbook.net/fr/equipement/2936800-air-ret-pa/objets", "link")</f>
        <v/>
      </c>
      <c r="C19067" t="n">
        <v>1</v>
      </c>
      <c r="D19067" t="inlineStr">
        <is>
          <t>Hache du Korriandre; Amulette du Cœur Vaillant; Alliance Gloursonne; Gant du Valet Veinard; Sept ans de malheur; Menoture; Casque des égarés; Cape du Cœur Vaillant; Sabots de Vortex; Paralyseur majeur; Carapace Air majeur; Chanceux majeur; Nomade; Cascadeur majeur; Remueur; Muldo Ebène et Indigo</t>
        </is>
      </c>
    </row>
    <row r="19068">
      <c r="A19068" t="inlineStr">
        <is>
          <t>terre eau ret pa</t>
        </is>
      </c>
      <c r="B19068">
        <f>HYPERLINK("https://www.dofusbook.net/fr/equipement/3091076-terre-eau-ret-pa/objets", "link")</f>
        <v/>
      </c>
      <c r="C19068" t="n">
        <v>2</v>
      </c>
      <c r="D19068" t="inlineStr">
        <is>
          <t>Lav'Hache; Amulette du Strigide; Bracelet du Piloztère; Alliance Gloursonne; Sept ans de malheur; Culotte de Bethel; Masque de Funespadon; Cape Solution; Bottes Honyme; Dofus des Glaces; Dofus Turquoise; Dofus Pourpre; Paralyseur majeur; Remueur; Vigoureux majeur; Muldo Ebène et Orchidée</t>
        </is>
      </c>
    </row>
    <row r="19069">
      <c r="A19069" t="inlineStr">
        <is>
          <t>air pas cher</t>
        </is>
      </c>
      <c r="B19069">
        <f>HYPERLINK("https://www.dofusbook.net/fr/equipement/3031388-air-pas-cher/objets", "link")</f>
        <v/>
      </c>
      <c r="C19069" t="n">
        <v>0</v>
      </c>
      <c r="D19069" t="inlineStr">
        <is>
          <t>Manthache; Amulette du Cycloïde; Alliance Gloursonne; Gant du Valet Veinard; Cadran d'Air; Ceinture du Barbétoal; Couronne d'Allister; Cape du Valet Veinard; Baleinabottes; Dokoko; Cascadeur majeur; Remueur; Miraculé majeur; Carapace Feu majeur; Nomade; Muldo Ebène et Pourpre</t>
        </is>
      </c>
    </row>
    <row r="19070">
      <c r="A19070" t="inlineStr">
        <is>
          <t>air</t>
        </is>
      </c>
      <c r="B19070">
        <f>HYPERLINK("https://www.dofusbook.net/fr/equipement/3026495-air/objets", "link")</f>
        <v/>
      </c>
      <c r="C19070" t="n">
        <v>0</v>
      </c>
      <c r="D19070" t="inlineStr">
        <is>
          <t>Lance Horselé; Amulette du Cycloïde; Gant du Valet Veinard; Alliance Gloursonne; Bouclier du Stalak; Ceinture du Barbétoal; Couronne d'Allister; Cape de Crânonier; Baleinabottes; Dokoko; Nomade; Miraculé majeur; Remueur; Cascadeur majeur; Carapace Air majeur; Muldo Ebène et Indigo</t>
        </is>
      </c>
    </row>
    <row r="19071">
      <c r="A19071" t="inlineStr">
        <is>
          <t>mode eau</t>
        </is>
      </c>
      <c r="B19071">
        <f>HYPERLINK("https://www.dofusbook.net/fr/equipement/3025714-mode-eau/objets", "link")</f>
        <v/>
      </c>
      <c r="C19071" t="n">
        <v>2</v>
      </c>
      <c r="D19071" t="inlineStr">
        <is>
          <t>Sceptre du Roi Joueur; Amulette de Shokkoth; Bracelet des Fonds marins; Alliance Gloursonne; Bouclier du Stalak; Ceinture Luminescente; Masque des Fonds marins; Cape Solution; Chaussons de Macrab; Remueur; Carapace Terre majeur; Chanceux majeur; Carapace Eau majeur; Nomade; Miraculé majeur; Muldo Indigo</t>
        </is>
      </c>
    </row>
    <row r="19072">
      <c r="A19072" t="inlineStr">
        <is>
          <t>Feu 130</t>
        </is>
      </c>
      <c r="B19072">
        <f>HYPERLINK("https://www.dofusbook.net/fr/equipement/2940629-feu-130/objets", "link")</f>
        <v/>
      </c>
      <c r="C19072" t="n">
        <v>0</v>
      </c>
      <c r="D19072" t="inlineStr">
        <is>
          <t>La Baguette des Limbes; Médaille Kido; Alliance d'Elya Wood; Gelano; Bouclier du Sadida; Ceintruche; Casque Dragoeuf; Ortiz; Bottes du Dragoeuf; Dokoko; Dofus Émeraude; Dofus Pourpre; Remueur; Érudit; Carapace Neutre; Muldo Indigo et Pourpre</t>
        </is>
      </c>
    </row>
    <row r="19073">
      <c r="A19073" t="inlineStr">
        <is>
          <t>terre 130 koli</t>
        </is>
      </c>
      <c r="B19073">
        <f>HYPERLINK("https://www.dofusbook.net/fr/equipement/2943776-terre-130-koli/objets", "link")</f>
        <v/>
      </c>
      <c r="C19073" t="n">
        <v>0</v>
      </c>
      <c r="D19073" t="inlineStr">
        <is>
          <t>Les Dagues du Bouwin; Amulette du Renouveau; Gelano; Anneau du Meulou; Coupe de Dragokart; Ceinture Claire en Abrakleur; Kaskargo; Cape Ricieuse; Bottes du Wabbit Garou; Dofus Émeraude; Dofus Pourpre; Dokoko; Nomade; Remueur; Enragé</t>
        </is>
      </c>
    </row>
    <row r="19074">
      <c r="A19074" t="inlineStr">
        <is>
          <t>mode eau pvp 130</t>
        </is>
      </c>
      <c r="B19074">
        <f>HYPERLINK("https://www.dofusbook.net/fr/equipement/2943722-mode-eau-pvp-130/objets", "link")</f>
        <v/>
      </c>
      <c r="C19074" t="n">
        <v>0</v>
      </c>
      <c r="D19074" t="inlineStr">
        <is>
          <t>Pelle Hikule; La Feuille de Printemps; Gelano; Anneau Ancestral; Bouclier Aerdala; Ceinture Sula; Doro le Blak; Corbacape Mastralis; Bottes du Dragoeuf; Dofus Pourpre; Dokoko; Dofus Émeraude; Remueur; Chanceux; Nomade; Muldo Ebène et Orchidée</t>
        </is>
      </c>
    </row>
    <row r="19075">
      <c r="A19075" t="inlineStr">
        <is>
          <t>lvl 130 do pou</t>
        </is>
      </c>
      <c r="B19075">
        <f>HYPERLINK("https://www.dofusbook.net/fr/equipement/2943695-lvl-130-do-pou/objets", "link")</f>
        <v/>
      </c>
      <c r="C19075" t="n">
        <v>0</v>
      </c>
      <c r="D19075" t="inlineStr">
        <is>
          <t>La Baguette des Limbes; Amulette du Royalmouth; Gelano; Gant du Capitaine Ekarlatte; Coupe de Dragokart; Ceinture du Royalmouth; Coiffe du Muloubar; Cape du Muloubar; Bottes du Royalmouth; Dofus Émeraude; Dofus Pourpre; Dokoko; Pousseur; Bousculeur; Survivant; Dragodinde Emeraude et Rousse</t>
        </is>
      </c>
    </row>
    <row r="19076">
      <c r="A19076" t="inlineStr">
        <is>
          <t>sacri 130 koli</t>
        </is>
      </c>
      <c r="B19076">
        <f>HYPERLINK("https://www.dofusbook.net/fr/equipement/2939372-sacri-130-koli/objets", "link")</f>
        <v/>
      </c>
      <c r="C19076" t="n">
        <v>0</v>
      </c>
      <c r="D19076" t="inlineStr">
        <is>
          <t>La Hache Menbien; Amulette du Dragoeuf; Anneau Cérémonial du Seigneur des Rats; Gelano; Bouclier Terrdala; Ceinture Claire en Abrakleur; Casque Dragoeuf; Caracape Minotoris; Sandales Titude; Dofus Pourpre; Dokoko; Dofus Émeraude; Cascadeur; Carapace Neutre; Remueur; Muldo Ebène et Indigo</t>
        </is>
      </c>
    </row>
    <row r="19077">
      <c r="A19077" t="inlineStr">
        <is>
          <t>terre air do pou</t>
        </is>
      </c>
      <c r="B19077">
        <f>HYPERLINK("https://www.dofusbook.net/fr/equipement/2914512-terre-air-do-pou/objets", "link")</f>
        <v/>
      </c>
      <c r="C19077" t="n">
        <v>0</v>
      </c>
      <c r="D19077" t="inlineStr">
        <is>
          <t>Lance corrompue; Amulette du Cœur Vaillant; Bague Instable; Bague Trithon; Bouclier précieux; Ceinture Gence; Masque Trithon; Cape du Cœur Vaillant; Bottes du Cœur Vaillant; Dofus Émeraude; Dofus Abyssal; Dofus des Glaces; Dokoko; Dofus Nébuleux; Bousculeur majeur; Muldo Pourpre</t>
        </is>
      </c>
    </row>
    <row r="19078">
      <c r="A19078" t="inlineStr">
        <is>
          <t>eau 12/6</t>
        </is>
      </c>
      <c r="B19078">
        <f>HYPERLINK("https://www.dofusbook.net/fr/equipement/2906999-eau-12-6/objets", "link")</f>
        <v/>
      </c>
      <c r="C19078" t="n">
        <v>2</v>
      </c>
      <c r="D19078" t="inlineStr">
        <is>
          <t>Rapière aux Glyphes; Amulette Luminescente; Bracelet des Fonds marins; Alliance Gloursonne; Ambrouclier; Ceinture Luminescente; Masque des Fonds marins; Cape Luminescente; Sandales des Fonds marins; Dofus Kaliptus; Dofus Ocre; Dofus Pourpre; Dokille; Dofus Turquoise; Entraveur majeur; Muldo Indigo</t>
        </is>
      </c>
    </row>
    <row r="19079">
      <c r="A19079" t="inlineStr">
        <is>
          <t>mode eau</t>
        </is>
      </c>
      <c r="B19079">
        <f>HYPERLINK("https://www.dofusbook.net/fr/equipement/2905614-mode-eau/objets", "link")</f>
        <v/>
      </c>
      <c r="C19079" t="n">
        <v>1</v>
      </c>
      <c r="D19079" t="inlineStr">
        <is>
          <t>Rapière aux Glyphes; Amulette de Shokkoth; Alliance Gloursonne; Bracelet des Fonds marins; Bouclier du Cycloïde; Sangle Ouare; Capuche de l'Œil Attentif; Cape Solution; Sandales des Fonds marins; Dofus des Veilleurs; Dofus Pourpre; Dofus Ocre; Chanceux majeur; Vigoureux majeur; Carapace Eau majeur; Muldo Indigo et Orchidée</t>
        </is>
      </c>
    </row>
    <row r="19080">
      <c r="A19080" t="inlineStr">
        <is>
          <t>feu dws</t>
        </is>
      </c>
      <c r="B19080">
        <f>HYPERLINK("https://www.dofusbook.net/fr/equipement/2826634-feu-dws/objets", "link")</f>
        <v/>
      </c>
      <c r="C19080" t="n">
        <v>1</v>
      </c>
      <c r="D19080" t="inlineStr">
        <is>
          <t>Arc corrompu; Pendentif affamé; Anneau Tique; Anneauræus; Bouclier du Stalak; Ceinture de Vortex; Coiffe Séculaire; Cape Ardente; Chaussures Ardentes; Dofus Abyssal; Dofus Ivoire; Dofus des Veilleurs; Dofus Ocre; Érudit majeur; Remueur; Muldo Orchidée</t>
        </is>
      </c>
    </row>
    <row r="19081">
      <c r="A19081" t="inlineStr">
        <is>
          <t>terre/feu réseau dws</t>
        </is>
      </c>
      <c r="B19081">
        <f>HYPERLINK("https://www.dofusbook.net/fr/equipement/2826592-terre-feu-reseau-dws/objets", "link")</f>
        <v/>
      </c>
      <c r="C19081" t="n">
        <v>1</v>
      </c>
      <c r="D19081" t="inlineStr">
        <is>
          <t>Marteau de Katrepat; Amulette de l'Indicible; Alliance Brûlâme; Anneau du Cycloïde; Bouclier cubiste; Ceinture de l'Indicible; Masque Brûlâme; Voile d'encre; Pompes Funèbres; Dofus Nébuleux; Dofus Abyssal; Dofus Vulbis; Dofus des Glaces; Dofus Pourpre; Dofus Ocre; Kramkram</t>
        </is>
      </c>
    </row>
    <row r="19082">
      <c r="A19082" t="inlineStr">
        <is>
          <t>sram dws air eau 1</t>
        </is>
      </c>
      <c r="B19082">
        <f>HYPERLINK("https://www.dofusbook.net/fr/equipement/2826571-sram-dws-air-eau-1/objets", "link")</f>
        <v/>
      </c>
      <c r="C19082" t="n">
        <v>2</v>
      </c>
      <c r="D19082" t="inlineStr">
        <is>
          <t>Arc de Koutoulou; Collier du Valet Veinard; Alliance Gloursonne; Gant du Valet Veinard; Bouclier du Stalak; Ceinture de la Reine des Voleurs; Coiffe de la Reine des Voleurs; Cape du Valet Veinard; Bottes de la Reine des Voleurs; Dolmanax; Dofus Ocre; Dofus Pourpre; Dofus des Glaces; Dofus Vulbis; Dofus Abyssal; Croum</t>
        </is>
      </c>
    </row>
    <row r="19083">
      <c r="A19083" t="inlineStr">
        <is>
          <t>dws eau 1</t>
        </is>
      </c>
      <c r="B19083">
        <f>HYPERLINK("https://www.dofusbook.net/fr/equipement/2826321-dws-eau-1/objets", "link")</f>
        <v/>
      </c>
      <c r="C19083" t="n">
        <v>1</v>
      </c>
      <c r="D19083" t="inlineStr">
        <is>
          <t>Baguette Héroclite; Amulette de l'Œil Attentif; Anneau Toriété; Bracelet des Fonds marins; Poulpagne; Capuche de l'Œil Attentif; Cape de l'Œil Attentif; Sandales des Fonds marins</t>
        </is>
      </c>
    </row>
    <row r="19084">
      <c r="A19084" t="inlineStr">
        <is>
          <t>dws terre 1</t>
        </is>
      </c>
      <c r="B19084">
        <f>HYPERLINK("https://www.dofusbook.net/fr/equipement/2820783-dws-terre-1/objets", "link")</f>
        <v/>
      </c>
      <c r="C19084" t="n">
        <v>0</v>
      </c>
      <c r="D19084" t="inlineStr">
        <is>
          <t>Arc du Chalœil; Amulette Luminescente; Chevalière du Roi Joueur; Anneau Toriété; Ambrouclier; Ceinture Luminescente; Couronne du Roi Joueur; Cape Luminescente; Bottes du Roi Joueur; Dofus Ivoire; Dofus Turquoise; Dofus Pourpre; Dofus Ocre; Dofus Cawotte; Dofus Abyssal; Muldo Pourpre</t>
        </is>
      </c>
    </row>
    <row r="19085">
      <c r="A19085" t="inlineStr">
        <is>
          <t>dws feu 1</t>
        </is>
      </c>
      <c r="B19085">
        <f>HYPERLINK("https://www.dofusbook.net/fr/equipement/2820679-dws-feu-1/objets", "link")</f>
        <v/>
      </c>
      <c r="C19085" t="n">
        <v>0</v>
      </c>
      <c r="D19085" t="inlineStr">
        <is>
          <t>Arc Hétype; Collier de la Dame du Hasard; Anneauræus; Anneau de Nidas; Ambrouclier; Ceinture de Vortex; Heaume Oplate; Cape de Diondin; Tongues de Nidas; Dofus Abyssal; Dofus Vulbis; Remueur; Érudit majeur; Carapace Neutre majeur; Temporiseur majeur; Muldo Orchidée</t>
        </is>
      </c>
    </row>
    <row r="19086">
      <c r="A19086" t="inlineStr">
        <is>
          <t>eau ret pm drop</t>
        </is>
      </c>
      <c r="B19086">
        <f>HYPERLINK("https://www.dofusbook.net/fr/equipement/2778563-eau-ret-pm-drop/objets", "link")</f>
        <v/>
      </c>
      <c r="C19086" t="n">
        <v>0</v>
      </c>
      <c r="D19086" t="inlineStr">
        <is>
          <t>Dagues Açantes; Pendentif Oton; Anneau de Pol Ouatnos; Alliance Gloursonne; Ambrouclier; Poulpagne; Kidibonnet; Cape du Sinistrofu; Bottes du Sinistrofu; Dofus Kaliptus; Entraveur majeur; Temporiseur majeur; Nomade; Ralentisseur majeur; Remueur; Nomoon</t>
        </is>
      </c>
    </row>
    <row r="19087">
      <c r="A19087" t="inlineStr">
        <is>
          <t>mode farm bot Ok</t>
        </is>
      </c>
      <c r="B19087">
        <f>HYPERLINK("https://www.dofusbook.net/fr/equipement/1964950-mode-farm-bot-ok/objets", "link")</f>
        <v/>
      </c>
      <c r="C19087" t="n">
        <v>1</v>
      </c>
      <c r="D19087" t="inlineStr">
        <is>
          <t>Baguette Range; Amulette du Strigide; Bracelet du Piloztère; Anneau du Père Fwetar; Quatre-feuilles; Ceinture du Strigide; Coiffe de Padgref; Cape Reski; Pataugastrique; Dofus Turquoise; Dofus Pourpre; Observateur; Nomade; Vigoureux majeur; Remueur; Muldo Doré et Emeraude</t>
        </is>
      </c>
    </row>
    <row r="19088">
      <c r="A19088" t="inlineStr">
        <is>
          <t>mode farm nico</t>
        </is>
      </c>
      <c r="B19088">
        <f>HYPERLINK("https://www.dofusbook.net/fr/equipement/2739182-mode-farm-nico/objets", "link")</f>
        <v/>
      </c>
      <c r="C19088" t="n">
        <v>0</v>
      </c>
      <c r="D19088" t="inlineStr"/>
    </row>
    <row r="19089">
      <c r="A19089" t="inlineStr">
        <is>
          <t>do crit farm</t>
        </is>
      </c>
      <c r="B19089">
        <f>HYPERLINK("https://www.dofusbook.net/fr/equipement/1967852-do-crit-farm/objets", "link")</f>
        <v/>
      </c>
      <c r="C19089" t="n">
        <v>0</v>
      </c>
      <c r="D19089" t="inlineStr">
        <is>
          <t>Sabres d'Atcham; Amulette du Strigide; Gelano; Anneau de Padgref; Quatre-feuilles; Ceinture du Strigide; Coiffe de Padgref; Cape d'Atcham; Bottes du Strigide; Dofus Turquoise; Dofus Pourpre; Entraveur majeur; Puissant majeur; Turbulent; Examinateur; Muldo Prune et Emeraude</t>
        </is>
      </c>
    </row>
    <row r="19090">
      <c r="A19090" t="inlineStr">
        <is>
          <t>feu farm</t>
        </is>
      </c>
      <c r="B19090">
        <f>HYPERLINK("https://www.dofusbook.net/fr/equipement/2733581-feu-farm/objets", "link")</f>
        <v/>
      </c>
      <c r="C19090" t="n">
        <v>2</v>
      </c>
      <c r="D19090" t="inlineStr">
        <is>
          <t>Arc corrompu; Pendentif affamé; Anneau Tique; Anneau Tamie; Bouclier du Stalak; Ceinture Séculaire; Coiffe Séculaire; Cape de Diondin; Pataugastrique; Érudit majeur; Nomade; Vigoureux majeur; Remueur; Astucieux majeur; Dévastateur Feu majeur; Muldo Prune et Doré</t>
        </is>
      </c>
    </row>
    <row r="19091">
      <c r="A19091" t="inlineStr">
        <is>
          <t>Air</t>
        </is>
      </c>
      <c r="B19091">
        <f>HYPERLINK("https://www.dofusbook.net/fr/equipement/2531521-air/objets", "link")</f>
        <v/>
      </c>
      <c r="C19091" t="n">
        <v>0</v>
      </c>
      <c r="D19091" t="inlineStr">
        <is>
          <t>Manthache; Collier du Valet Veinard; Alliance Gloursonne; Gant du Valet Veinard; Bouclier cubiste; Ceinture de la Reine des Voleurs; Coiffe de la Reine des Voleurs; Cape du Valet Veinard; Bottes de la Reine des Voleurs; Dofus Ocre; Dofus Abyssal; Dofus Pourpre; Dofus Turquoise; Dofus des Glaces; Dofus Nébuleux; Muldo Ebène</t>
        </is>
      </c>
    </row>
    <row r="19092">
      <c r="A19092" t="inlineStr">
        <is>
          <t>multi usage</t>
        </is>
      </c>
      <c r="B19092">
        <f>HYPERLINK("https://www.dofusbook.net/fr/equipement/2528058-multi-usage/objets", "link")</f>
        <v/>
      </c>
      <c r="C19092" t="n">
        <v>0</v>
      </c>
      <c r="D19092" t="inlineStr">
        <is>
          <t>Dagues Érhy; Amulette du Strigide; Bracelet du Piloztère; Bague Gloursonne; Bouclier du Captain Amakna; Ceintacé; Chapeau de Gein; Voile d'encre; Bottes du Strigide; Dofus Pourpre; Dofus Turquoise; Nomade; Remueur; Vigoureux majeur; Muldo Orchidée et Pourpre</t>
        </is>
      </c>
    </row>
    <row r="19093">
      <c r="A19093" t="inlineStr">
        <is>
          <t>air cheat arc ahique</t>
        </is>
      </c>
      <c r="B19093">
        <f>HYPERLINK("https://www.dofusbook.net/fr/equipement/2371385-air-cheat-arc-ahique/objets", "link")</f>
        <v/>
      </c>
      <c r="C19093" t="n">
        <v>1</v>
      </c>
      <c r="D19093" t="inlineStr">
        <is>
          <t>Arc Ahique; Amulette du Strigide; Alliance Gloursonne; Gant du Valet Veinard; Bouclier du Stalak; Menoture; Coiffe de la Reine des Voleurs; Chevelure de Tal Kasha; Bottes de la Reine des Voleurs; Dofus des Glaces; Dofus Turquoise; Remueur; Cascadeur majeur; Carapace Feu majeur; Étourdisseur majeur; Muldo Ebène et Indigo</t>
        </is>
      </c>
    </row>
    <row r="19094">
      <c r="A19094" t="inlineStr">
        <is>
          <t>air cheat arc ahique</t>
        </is>
      </c>
      <c r="B19094">
        <f>HYPERLINK("https://www.dofusbook.net/fr/equipement/2371386-air-cheat-arc-ahique/objets", "link")</f>
        <v/>
      </c>
      <c r="C19094" t="n">
        <v>0</v>
      </c>
      <c r="D19094" t="inlineStr"/>
    </row>
    <row r="19095">
      <c r="A19095" t="inlineStr">
        <is>
          <t>full air</t>
        </is>
      </c>
      <c r="B19095">
        <f>HYPERLINK("https://www.dofusbook.net/fr/equipement/2283036-full-air/objets", "link")</f>
        <v/>
      </c>
      <c r="C19095" t="n">
        <v>0</v>
      </c>
      <c r="D19095" t="inlineStr">
        <is>
          <t>Manthache; Amibou; Alliance Gloursonne; Gant du Valet Veinard; Bouclier du Cycloïde; Menoture; Capuche de Moum-Ra; Chevelure de Tal Kasha; Sandales de Tal Kasha; Dofus Turquoise; Vigoureux majeur; Cascadeur majeur; Carapace Feu majeur; Nomade; Remueur; Muldo Ebène</t>
        </is>
      </c>
    </row>
    <row r="19096">
      <c r="A19096" t="inlineStr">
        <is>
          <t>Nino dramak</t>
        </is>
      </c>
      <c r="B19096">
        <f>HYPERLINK("https://www.dofusbook.net/fr/equipement/2275825-nino-dramak/objets", "link")</f>
        <v/>
      </c>
      <c r="C19096" t="n">
        <v>0</v>
      </c>
      <c r="D19096" t="inlineStr">
        <is>
          <t>Gelano; Blopanneau Griotte; Geloture; Boufcoiffe Royale; Cape du Kitsou; Gelobottes</t>
        </is>
      </c>
    </row>
    <row r="19097">
      <c r="A19097" t="inlineStr">
        <is>
          <t>F kV g</t>
        </is>
      </c>
      <c r="B19097">
        <f>HYPERLINK("https://www.dofusbook.net/fr/equipement/1834208-f-kv-g/objets", "link")</f>
        <v/>
      </c>
      <c r="C19097" t="n">
        <v>0</v>
      </c>
      <c r="D19097" t="inlineStr">
        <is>
          <t>Marteau de Katrepat; Amulette du Strigide; Alliance Brûlâme; Bracelet du Piloztère; Bouclier du Cycloïde; Ceintacé; Masque Brûlâme; Dofusteuse; Bottes du Cycloïde; Dofus Turquoise; Dofus Pourpre; Vigoureux majeur; Nomade; Remueur; Muldo Orchidée</t>
        </is>
      </c>
    </row>
    <row r="19098">
      <c r="A19098" t="inlineStr">
        <is>
          <t>full feu arc</t>
        </is>
      </c>
      <c r="B19098">
        <f>HYPERLINK("https://www.dofusbook.net/fr/equipement/2237593-full-feu-arc/objets", "link")</f>
        <v/>
      </c>
      <c r="C19098" t="n">
        <v>1</v>
      </c>
      <c r="D19098" t="inlineStr">
        <is>
          <t>Arc corrompu; Pendentif affamé; Anneau de Nidas; Anneauræus; Bouclier du Cycloïde; Ceinture de Vortex; Couronne de Nidas; Cape de Diondin; Bottes Innommables; Dofus des Veilleurs; Dokoko; Nomade; Érudit majeur; Remueur; Miraculé majeur; Muldo Orchidée</t>
        </is>
      </c>
    </row>
    <row r="19099">
      <c r="A19099" t="inlineStr">
        <is>
          <t>air 12 PA pas cher</t>
        </is>
      </c>
      <c r="B19099">
        <f>HYPERLINK("https://www.dofusbook.net/fr/equipement/2233336-air-12-pa-pas-cher/objets", "link")</f>
        <v/>
      </c>
      <c r="C19099" t="n">
        <v>1</v>
      </c>
      <c r="D19099" t="inlineStr">
        <is>
          <t>Arc Ahique; Collier du Valet Veinard; Gant du Valet Veinard; Anneau Raille; Bouclier du Stalak; Ceinture de la Reine des Voleurs; Coiffe de la Reine des Voleurs; Cape du Valet Veinard; Bottes de la Reine des Voleurs; Dokoko; Dofus Émeraude; Dofus Ocre; Dofus des Glaces; Dofus Pourpre; Puissant majeur; Muldo Ebène et Orchidée</t>
        </is>
      </c>
    </row>
    <row r="19100">
      <c r="A19100" t="inlineStr">
        <is>
          <t>stri fuji</t>
        </is>
      </c>
      <c r="B19100">
        <f>HYPERLINK("https://www.dofusbook.net/fr/equipement/2228645-stri-fuji/objets", "link")</f>
        <v/>
      </c>
      <c r="C19100" t="n">
        <v>0</v>
      </c>
      <c r="D19100" t="inlineStr">
        <is>
          <t>Héqache; Amulette du Strigide; Anneau de la Fuji Givrefoux; Anneau des égarés; Ceinture du Strigide; Coiffe de la Fuji Givrefoux; Cape de la Fuji Givrefoux; Bottes du Strigide</t>
        </is>
      </c>
    </row>
    <row r="19101">
      <c r="A19101" t="inlineStr">
        <is>
          <t>air arc</t>
        </is>
      </c>
      <c r="B19101">
        <f>HYPERLINK("https://www.dofusbook.net/fr/equipement/2228574-air-arc-/objets", "link")</f>
        <v/>
      </c>
      <c r="C19101" t="n">
        <v>0</v>
      </c>
      <c r="D19101" t="inlineStr">
        <is>
          <t>Arc Ahique; Collier du Valet Veinard; Anneau Raille; Gant du Valet Veinard; Bouclier du Stalak; Ceinture de la Reine des Voleurs; Coiffe de la Reine des Voleurs; Cape du Valet Veinard; Bottes de la Reine des Voleurs; Dokoko; Dofus Ocre; Dolmanax; Dofus des Glaces; Dofus Pourpre; Dofus Abyssal; Muldo Ebène et Orchidée</t>
        </is>
      </c>
    </row>
    <row r="19102">
      <c r="A19102" t="inlineStr">
        <is>
          <t>terre do crit</t>
        </is>
      </c>
      <c r="B19102">
        <f>HYPERLINK("https://www.dofusbook.net/fr/equipement/2120158-terre-do-crit/objets", "link")</f>
        <v/>
      </c>
      <c r="C19102" t="n">
        <v>0</v>
      </c>
      <c r="D19102" t="inlineStr">
        <is>
          <t>Dagues d'Ilyzaelle; Amulette du Cœur Saignant; Anneau Crustique; Bracelet du Piloztère; Bouclier du Captain Amakna; Ceinture de Gein; Chapeau de Gein; Cape du Cœur Saignant; Bottes du Cœur Saignant; Dofus Pourpre; Dofus Nébuleux; Dofus des Glaces; Dofus Turquoise; Dofus Ocre; Furibond majeur; Muldo Ebène et Indigo</t>
        </is>
      </c>
    </row>
    <row r="19103">
      <c r="A19103" t="inlineStr">
        <is>
          <t>full terre cheat</t>
        </is>
      </c>
      <c r="B19103">
        <f>HYPERLINK("https://www.dofusbook.net/fr/equipement/2104548-full-terre-cheat/objets", "link")</f>
        <v/>
      </c>
      <c r="C19103" t="n">
        <v>2</v>
      </c>
      <c r="D19103" t="inlineStr">
        <is>
          <t>Marteau R'ture; Collier de Tourthon; Anneau de Brouce; Bracelet du Piloztère; Bouclier du Captain Amakna; Ceinture de la Reine des Voleurs; Coiffe de la Reine des Voleurs; Voile d'encre; Baleinabottes; Dofus Pourpre; Dokoko; Enragé majeur; Remueur; Miraculé majeur; Muldo Orchidée et Pourpre</t>
        </is>
      </c>
    </row>
    <row r="19104">
      <c r="A19104" t="inlineStr">
        <is>
          <t>air ret pa thanos 2</t>
        </is>
      </c>
      <c r="B19104">
        <f>HYPERLINK("https://www.dofusbook.net/fr/equipement/2068673-air-ret-pa-thanos-2/objets", "link")</f>
        <v/>
      </c>
      <c r="C19104" t="n">
        <v>0</v>
      </c>
      <c r="D19104" t="inlineStr">
        <is>
          <t>Le Thanos; Amulette du Cœur Vaillant; Alliance Gloursonne; Gant du Valet Veinard; Bouclier d'Ilyzaelle; Ceintouse; Chapoulpe; Cape du Cœur Vaillant; Bottes du Cœur Vaillant; Dofus Émeraude; Dofus Turquoise; Dokoko; Dofus Ocre; Dofus Pourpre; Dofus Abyssal; Muldo Ebène et Indigo</t>
        </is>
      </c>
    </row>
    <row r="19105">
      <c r="A19105" t="inlineStr">
        <is>
          <t>air ret PA Thanos</t>
        </is>
      </c>
      <c r="B19105">
        <f>HYPERLINK("https://www.dofusbook.net/fr/equipement/2068645-air-ret-pa-thanos/objets", "link")</f>
        <v/>
      </c>
      <c r="C19105" t="n">
        <v>0</v>
      </c>
      <c r="D19105" t="inlineStr">
        <is>
          <t>Le Thanos; Amulette du Cœur Vaillant; Anneau des égarés; Alliance Gloursonne; Menoture; Némès de Tal Kasha; Chevelure de Tal Kasha; Palmes Trithons; Dokoko; Miraculé majeur; Carapace Eau majeur; Cascadeur majeur; Remueur; Étourdisseur majeur; Muldo Ebène</t>
        </is>
      </c>
    </row>
    <row r="19106">
      <c r="A19106" t="inlineStr">
        <is>
          <t>iop pvm ballec</t>
        </is>
      </c>
      <c r="B19106">
        <f>HYPERLINK("https://www.dofusbook.net/fr/equipement/1626591-iop-pvm-ballec/objets", "link")</f>
        <v/>
      </c>
      <c r="C19106" t="n">
        <v>0</v>
      </c>
      <c r="D19106" t="inlineStr">
        <is>
          <t>Epée Gloursonne; Amulette du Strigide; Bague Gloursonne; Alliance Gloursonne; Bouclier du Captain Amakna; Ceinture du Strigide; Coiffe Ranshi; Cape Reski; Bottes du Strigide; Dolmanax; Dofus Pourpre; Dofus Turquoise; Dofus des Glaces; Puissant majeur; Voyageur; Muldo Prune et Emeraude</t>
        </is>
      </c>
    </row>
    <row r="19107">
      <c r="A19107" t="inlineStr">
        <is>
          <t>test</t>
        </is>
      </c>
      <c r="B19107">
        <f>HYPERLINK("https://www.dofusbook.net/fr/equipement/2012542-test/objets", "link")</f>
        <v/>
      </c>
      <c r="C19107" t="n">
        <v>1</v>
      </c>
      <c r="D19107" t="inlineStr">
        <is>
          <t>Arc de Koutoulou; Talisman Glouti; Bracelet du Piloztère; Alliance Gloursonne; Bouclier du Captain Amakna; Ceintacé; Dorabysses; Chevelure de Tal Kasha; Pataugastrique; Dofus Pourpre; Dofus Turquoise; Miraculé majeur; Carapace Terre majeur; Nomade; Vigoureux majeur; Muldo Ebène et Indigo</t>
        </is>
      </c>
    </row>
    <row r="19108">
      <c r="A19108" t="inlineStr">
        <is>
          <t>do pou cheat 2</t>
        </is>
      </c>
      <c r="B19108">
        <f>HYPERLINK("https://www.dofusbook.net/fr/equipement/2011496-do-pou-cheat-2/objets", "link")</f>
        <v/>
      </c>
      <c r="C19108" t="n">
        <v>0</v>
      </c>
      <c r="D19108" t="inlineStr">
        <is>
          <t>Epée Gloursonne; Amulette du Strigide; Alliance Gloursonne; Bague Gloursonne; Bouclier d'Anerice; Ceinture du Strigide; Masque d'Anerice; Cape d'Anerice; Bottes du Strigide; Dofus des Glaces; Dofus Turquoise; Dofus Émeraude; Dofus Nébuleux; Dofus Pourpre; Dofus Abyssal; Muldo Doré et Indigo</t>
        </is>
      </c>
    </row>
    <row r="19109">
      <c r="A19109" t="inlineStr">
        <is>
          <t>terre ai ret PA 2</t>
        </is>
      </c>
      <c r="B19109">
        <f>HYPERLINK("https://www.dofusbook.net/fr/equipement/2011478-terre-ai-ret-pa-2/objets", "link")</f>
        <v/>
      </c>
      <c r="C19109" t="n">
        <v>2</v>
      </c>
      <c r="D19109" t="inlineStr"/>
    </row>
    <row r="19110">
      <c r="A19110" t="inlineStr">
        <is>
          <t>mode terre air</t>
        </is>
      </c>
      <c r="B19110">
        <f>HYPERLINK("https://www.dofusbook.net/fr/equipement/2011472-mode-terre-air/objets", "link")</f>
        <v/>
      </c>
      <c r="C19110" t="n">
        <v>0</v>
      </c>
      <c r="D19110" t="inlineStr">
        <is>
          <t>Cape du Cœur Vaillant</t>
        </is>
      </c>
    </row>
    <row r="19111">
      <c r="A19111" t="inlineStr">
        <is>
          <t>air feu wtf</t>
        </is>
      </c>
      <c r="B19111">
        <f>HYPERLINK("https://www.dofusbook.net/fr/equipement/2010026-air-feu-wtf/objets", "link")</f>
        <v/>
      </c>
      <c r="C19111" t="n">
        <v>0</v>
      </c>
      <c r="D19111" t="inlineStr">
        <is>
          <t>Dagues Érhy; Amulette du Strigide; Bracelet du Piloztère; Anneau Tique; Bouclier du Cycloïde; Ceintacé; Dorabysses; Voile d'encre; Bottes du Cycloïde; Dofus Turquoise; Dofus Pourpre; Remueur; Carapace Terre majeur; Nomade; Vigoureux majeur; Muldo Orchidée et Pourpre</t>
        </is>
      </c>
    </row>
    <row r="19112">
      <c r="A19112" t="inlineStr">
        <is>
          <t>test</t>
        </is>
      </c>
      <c r="B19112">
        <f>HYPERLINK("https://www.dofusbook.net/fr/equipement/2010006-test/objets", "link")</f>
        <v/>
      </c>
      <c r="C19112" t="n">
        <v>1</v>
      </c>
      <c r="D19112" t="inlineStr">
        <is>
          <t>Arc Nécrotique; Collier de la Dame du Hasard; Alliance Gloursonne; Bracelet du Piloztère; Quatre-feuilles; Ceintacé; Capuche de l'Œil Putride; Cape de la Dame du Hasard; Pataugastrique; Dofus Turquoise; Dofus Pourpre; Vigoureux majeur; Carapace Feu majeur; Nomade; Carapace Eau majeur; Muldo Orchidée et Pourpre</t>
        </is>
      </c>
    </row>
    <row r="19113">
      <c r="A19113" t="inlineStr">
        <is>
          <t>cra bot farm 190</t>
        </is>
      </c>
      <c r="B19113">
        <f>HYPERLINK("https://www.dofusbook.net/fr/equipement/1968510-cra-bot-farm-190/objets", "link")</f>
        <v/>
      </c>
      <c r="C19113" t="n">
        <v>0</v>
      </c>
      <c r="D19113" t="inlineStr">
        <is>
          <t>Epée Kari; Racine Hueuse; Gelano; Anneau Nobstant; Cadran de Terre; Slip Iholo; Bonnet Ko; Cape Peupret; Bottes Phossiles; Dofus Turquoise; Dofus Pourpre; Nomade; Puissant majeur; Remueur; Vigoureux majeur; Chacha Angora</t>
        </is>
      </c>
    </row>
    <row r="19114">
      <c r="A19114" t="inlineStr">
        <is>
          <t>cra bot farm 199</t>
        </is>
      </c>
      <c r="B19114">
        <f>HYPERLINK("https://www.dofusbook.net/fr/equipement/1968393-cra-bot-farm-199/objets", "link")</f>
        <v/>
      </c>
      <c r="C19114" t="n">
        <v>0</v>
      </c>
      <c r="D19114" t="inlineStr">
        <is>
          <t>La Baguette des Limbes; Amulette du Glourséleste; Alliance de Missiz Frizz; Anneau de Padgref; Ceinture du Père Fwetar; Coiffe de Padgref; Cape Reski; Pantoufles Émar; Dofus Pourpre; Dofus Turquoise; Chanceux majeur; Vigoureux majeur; Puissant majeur; Remueur; Chacha Angora</t>
        </is>
      </c>
    </row>
    <row r="19115">
      <c r="A19115" t="inlineStr">
        <is>
          <t>feu res ret pa</t>
        </is>
      </c>
      <c r="B19115">
        <f>HYPERLINK("https://www.dofusbook.net/fr/equipement/1964010-feu-res-ret-pa/objets", "link")</f>
        <v/>
      </c>
      <c r="C19115" t="n">
        <v>0</v>
      </c>
      <c r="D19115" t="inlineStr">
        <is>
          <t>Harpelle; Amulette de Nileza; Anneau de Nidas; Anneau Tique; Ceinture de Vortex; Couronne de Nidas; Cape de Diondin; Pataugastrique; Érudit majeur; Carapace Eau majeur; Étourdisseur majeur; Nomade; Guérisseur majeur; Remueur; Muldo Orchidée et Pourpre</t>
        </is>
      </c>
    </row>
    <row r="19116">
      <c r="A19116" t="inlineStr">
        <is>
          <t>feu res</t>
        </is>
      </c>
      <c r="B19116">
        <f>HYPERLINK("https://www.dofusbook.net/fr/equipement/1961688-feu-res/objets", "link")</f>
        <v/>
      </c>
      <c r="C19116" t="n">
        <v>2</v>
      </c>
      <c r="D19116" t="inlineStr">
        <is>
          <t>Plumeau Bil; Amulette de Nileza; Anneau Tique; Anneau de Nidas; Ceinture de Vortex; Couronne de Nidas; Voile d'encre; Pataugastrique; Remueur; Carapace Eau majeur; Guérisseur majeur; Carapace Air majeur; Nomade; Érudit majeur; Muldo Orchidée et Pourpre</t>
        </is>
      </c>
    </row>
    <row r="19117">
      <c r="A19117" t="inlineStr">
        <is>
          <t>feu soin enzo</t>
        </is>
      </c>
      <c r="B19117">
        <f>HYPERLINK("https://www.dofusbook.net/fr/equipement/1961557-feu-soin-enzo/objets", "link")</f>
        <v/>
      </c>
      <c r="C19117" t="n">
        <v>1</v>
      </c>
      <c r="D19117" t="inlineStr">
        <is>
          <t>Arc corrompu; Pendentif affamé; Anneau de Nidas; Anneau Tique; Bouclier du Cycloïde; Ceinture de Vortex; Cagoule de Vortex; Cape de Diondin; Bottes Innommables; Étourdisseur majeur; Nomade; Carapace Neutre majeur; Remueur; Guérisseur majeur; Érudit majeur; Muldo Orchidée</t>
        </is>
      </c>
    </row>
    <row r="19118">
      <c r="A19118" t="inlineStr">
        <is>
          <t>panda eau gabite</t>
        </is>
      </c>
      <c r="B19118">
        <f>HYPERLINK("https://www.dofusbook.net/fr/equipement/1834228-panda-eau-gabite/objets", "link")</f>
        <v/>
      </c>
      <c r="C19118" t="n">
        <v>0</v>
      </c>
      <c r="D19118" t="inlineStr">
        <is>
          <t>Rapière aux Glyphes; Amulette du Sinistrofu; Bracelet du Piloztère; Alliance Gloursonne; Sangle Ouare; Kidibonnet; Cape Matelassée; Bottes du Sinistrofu; Dokoko; Chanceux majeur; Fonceur majeur; Remueur; Vigoureux majeur; Miraculé majeur; Muldo Indigo</t>
        </is>
      </c>
    </row>
    <row r="19119">
      <c r="A19119" t="inlineStr">
        <is>
          <t>terre air ret PA</t>
        </is>
      </c>
      <c r="B19119">
        <f>HYPERLINK("https://www.dofusbook.net/fr/equipement/1833728-terre-air-ret-pa/objets", "link")</f>
        <v/>
      </c>
      <c r="C19119" t="n">
        <v>1</v>
      </c>
      <c r="D19119" t="inlineStr"/>
    </row>
    <row r="19120">
      <c r="A19120" t="inlineStr">
        <is>
          <t>Eau bourrin</t>
        </is>
      </c>
      <c r="B19120">
        <f>HYPERLINK("https://www.dofusbook.net/fr/equipement/1739995-eau-bourrin/objets", "link")</f>
        <v/>
      </c>
      <c r="C19120" t="n">
        <v>0</v>
      </c>
      <c r="D19120" t="inlineStr">
        <is>
          <t>Rapière aux Glyphes; Amulette de Shokkoth; Alliance Gloursonne; Bracelet des Fonds marins; Bouclier du Captain Amakna; Poulpagne; Kidibonnet; Cape du Sinistrofu; Bottes du Sinistrofu; Dofus Pourpre; Dofus Turquoise; Nomade; Carapace Terre majeur; Remueur; Chanceux majeur; Muldo Doré et Emeraude</t>
        </is>
      </c>
    </row>
    <row r="19121">
      <c r="A19121" t="inlineStr">
        <is>
          <t>tri elem pvp</t>
        </is>
      </c>
      <c r="B19121">
        <f>HYPERLINK("https://www.dofusbook.net/fr/equipement/1627153-tri-elem-pvp/objets", "link")</f>
        <v/>
      </c>
      <c r="C19121" t="n">
        <v>1</v>
      </c>
      <c r="D19121" t="inlineStr">
        <is>
          <t>Marteau de Katrepat; Amulette du Strigide; Anneau de Padgref; Alliance Gloursonne; Quatre-feuilles; Ceinture de Kongoku; Masque de Koutoulou; Voile d'encre; Bottes du Strigide; Dofus Pourpre; Dofus Nébuleux; Dofus Turquoise; Dofus Abyssal; Dofus Ocre; Carapace Terre majeur; Muldo Prune et Emeraude</t>
        </is>
      </c>
    </row>
    <row r="19122">
      <c r="A19122" t="inlineStr">
        <is>
          <t>cra pvm ballec</t>
        </is>
      </c>
      <c r="B19122">
        <f>HYPERLINK("https://www.dofusbook.net/fr/equipement/1626615-cra-pvm-ballec/objets", "link")</f>
        <v/>
      </c>
      <c r="C19122" t="n">
        <v>0</v>
      </c>
      <c r="D19122" t="inlineStr">
        <is>
          <t>Epée Gloursonne; Amulette du Strigide; Alliance Gloursonne; Bague Gloursonne; Quatre-feuilles; Ceinture du Strigide; Masque Vaudou Tam; Cape Reski; Bottes du Strigide; Dofus Pourpre; Dofus Cawotte; Dofus Émeraude; Dokoko; Dofus Turquoise; Voyageur; Muldo Prune et Emeraude</t>
        </is>
      </c>
    </row>
    <row r="19123">
      <c r="A19123" t="inlineStr">
        <is>
          <t>full eau</t>
        </is>
      </c>
      <c r="B19123">
        <f>HYPERLINK("https://www.dofusbook.net/fr/equipement/1568161-full-eau/objets", "link")</f>
        <v/>
      </c>
      <c r="C19123" t="n">
        <v>1</v>
      </c>
      <c r="D19123" t="inlineStr">
        <is>
          <t>Dagoulinantes; Amulette de Shokkoth; Alliance Gloursonne; Bracelet des Fonds marins; Poulpagne; Kidibonnet; Cape du Sinistrofu; Bottes du Sinistrofu; Dokoko; Miraculé majeur; Nomade; Remueur; Chanceux majeur; Carapace Eau majeur; Muldo Indigo et Pourpre</t>
        </is>
      </c>
    </row>
    <row r="19124">
      <c r="A19124" t="inlineStr">
        <is>
          <t>terre feu eau</t>
        </is>
      </c>
      <c r="B19124">
        <f>HYPERLINK("https://www.dofusbook.net/fr/equipement/1564686-terre-feu-eau/objets", "link")</f>
        <v/>
      </c>
      <c r="C19124" t="n">
        <v>2</v>
      </c>
      <c r="D19124" t="inlineStr">
        <is>
          <t>Hache du Chalœil; Amulette du Strigide; Alliance du Lévitrof; Goulano; Goulclier; Ceinture du Strigide; Coiffe du Lévitrof; Voile d'encre; Goulbottes; Dofus Turquoise; Dofus des Glaces; Dofus Pourpre; Dolmanax; Dofus Ocre; Dokoko</t>
        </is>
      </c>
    </row>
    <row r="19125">
      <c r="A19125" t="inlineStr">
        <is>
          <t>eau ret pa</t>
        </is>
      </c>
      <c r="B19125">
        <f>HYPERLINK("https://www.dofusbook.net/fr/equipement/1564074-eau-ret-pa/objets", "link")</f>
        <v/>
      </c>
      <c r="C19125" t="n">
        <v>0</v>
      </c>
      <c r="D19125" t="inlineStr">
        <is>
          <t>Sceptre du Roi Joueur; Amulette de Shokkoth; Alliance Gloursonne; Bracelet des Fonds marins; Bouclier alvéolé; Ceinture du Barbétoal; Masque du Barbétoal; Cape du Sinistrofu; Pataugastrique; Dofus Turquoise; Nomade; Étourdisseur majeur; Remueur; Carapace Feu majeur; Chanceux majeur; Muldo Ebène et Indigo</t>
        </is>
      </c>
    </row>
    <row r="19126">
      <c r="A19126" t="inlineStr">
        <is>
          <t>feu</t>
        </is>
      </c>
      <c r="B19126">
        <f>HYPERLINK("https://www.dofusbook.net/fr/equipement/1563855-feu/objets", "link")</f>
        <v/>
      </c>
      <c r="C19126" t="n">
        <v>0</v>
      </c>
      <c r="D19126" t="inlineStr">
        <is>
          <t>Pendentif affamé; Anneau Tique; Anneau de Nidas; Carapar; Ceinture de Vortex; Couronne de Nidas; Cape de Diondin; Bottes Innommables; Dokoko; Guérisseur majeur; Érudit majeur; Nomade; Miraculé majeur; Remueur; Muldo Orchidée</t>
        </is>
      </c>
    </row>
    <row r="19127">
      <c r="A19127" t="inlineStr">
        <is>
          <t>full feu heal</t>
        </is>
      </c>
      <c r="B19127">
        <f>HYPERLINK("https://www.dofusbook.net/fr/equipement/1505455-full-feu-heal/objets", "link")</f>
        <v/>
      </c>
      <c r="C19127" t="n">
        <v>1</v>
      </c>
      <c r="D19127" t="inlineStr">
        <is>
          <t>Arc Hétype; Collier de la Dame du Hasard; Anneau Tique; Anneau de Nidas; Bouclier cubiste; Ceinture de Kongoku; Couronne de Nidas; Cape de Diondin; Bottes de Meno; Nomade; Érudit majeur; Remueur; Carapace Eau majeur; Entraveur majeur; Temporiseur majeur; Muldo Orchidée</t>
        </is>
      </c>
    </row>
    <row r="19128">
      <c r="A19128" t="inlineStr">
        <is>
          <t>toche cheat</t>
        </is>
      </c>
      <c r="B19128">
        <f>HYPERLINK("https://www.dofusbook.net/fr/equipement/1439142-toche-cheat/objets", "link")</f>
        <v/>
      </c>
      <c r="C19128" t="n">
        <v>0</v>
      </c>
      <c r="D19128" t="inlineStr">
        <is>
          <t>Epée Toche; Amulette du Strigide; Gelano; Bague Gloursonne; Ceintacé; Chapeau de Gein; Cape au Logis; Bottes du Strigide; Dofus Émeraude; Dokoko; Dofus Turquoise; Vigoureux majeur; Miraculé majeur; Remueur; Kramkram</t>
        </is>
      </c>
    </row>
    <row r="19129">
      <c r="A19129" t="inlineStr">
        <is>
          <t>do pou cheat</t>
        </is>
      </c>
      <c r="B19129">
        <f>HYPERLINK("https://www.dofusbook.net/fr/equipement/1431345-do-pou-cheat/objets", "link")</f>
        <v/>
      </c>
      <c r="C19129" t="n">
        <v>1</v>
      </c>
      <c r="D19129" t="inlineStr">
        <is>
          <t>Arc du Chalœil; Torquistik; Bague Instable; Bague Trithon; Ceintacé; Casque Dragoeuf; Voile d'encre; Bottistik; Dofus Émeraude; Dokoko; Culbuteur majeur; Miraculé majeur; Bousculeur majeur; Remueur; Muldo Pourpre</t>
        </is>
      </c>
    </row>
    <row r="19130">
      <c r="A19130" t="inlineStr">
        <is>
          <t>full air</t>
        </is>
      </c>
      <c r="B19130">
        <f>HYPERLINK("https://www.dofusbook.net/fr/equipement/1407142-full-air/objets", "link")</f>
        <v/>
      </c>
      <c r="C19130" t="n">
        <v>0</v>
      </c>
      <c r="D19130" t="inlineStr">
        <is>
          <t>Manthache; Amulette du Strigide; Alliance Gloursonne; Gelano; Bouclier précieux; Ceintacé; Dorabysses; Cape de Klime; Bottes du Kamasterisk; Dofus Émeraude; Dokoko; Miraculé majeur; Carapace Neutre majeur; Remueur; Cascadeur majeur; Muldo Ebène et Pourpre</t>
        </is>
      </c>
    </row>
    <row r="19131">
      <c r="A19131" t="inlineStr">
        <is>
          <t>eau air</t>
        </is>
      </c>
      <c r="B19131">
        <f>HYPERLINK("https://www.dofusbook.net/fr/equipement/1406250-eau-air/objets", "link")</f>
        <v/>
      </c>
      <c r="C19131" t="n">
        <v>0</v>
      </c>
      <c r="D19131" t="inlineStr">
        <is>
          <t>Marteau des Anciens Steamers; Talisman Glouti; Alliance Gloursonne; Gelano; Bouclier alvéolé; Ceinture du Barbétoal; Dorabysses; Cape Matelassée; Bottes de la Reine des Voleurs; Dofus Pourpre; Dokoko; Vigoureux majeur; Remueur; Miraculé majeur; Muldo Ebène</t>
        </is>
      </c>
    </row>
    <row r="19132">
      <c r="A19132" t="inlineStr">
        <is>
          <t>multi</t>
        </is>
      </c>
      <c r="B19132">
        <f>HYPERLINK("https://www.dofusbook.net/fr/equipement/1406169-multi/objets", "link")</f>
        <v/>
      </c>
      <c r="C19132" t="n">
        <v>0</v>
      </c>
      <c r="D19132" t="inlineStr">
        <is>
          <t>Epée Gloursonne; Amulette du Strigide; Bague Gloursonne; Alliance Gloursonne; Bouclier d'Anerice; Ceinture du Strigide; Masque d'Anerice; Cape d'Anerice; Bottes du Strigide; Dofus Ocre; Dofus Turquoise; Dofus Pourpre; Dokoko; Dofus des Glaces; Dofus Abyssal; Muldo Doré et Indigo</t>
        </is>
      </c>
    </row>
    <row r="19133">
      <c r="A19133" t="inlineStr">
        <is>
          <t>feu air 199</t>
        </is>
      </c>
      <c r="B19133">
        <f>HYPERLINK("https://www.dofusbook.net/fr/equipement/1387017-feu-air-199/objets", "link")</f>
        <v/>
      </c>
      <c r="C19133" t="n">
        <v>0</v>
      </c>
      <c r="D19133" t="inlineStr">
        <is>
          <t>Canne Harr; Amulette Rangleur; Alliance Gloursonne; Anneau de Padgref; Ceinture d'Ogivol; Coiffe de Padgref; Cape Parition; Pantoufles Émar; Dokoko; Dofus Émeraude; Nomade; Vigoureux majeur; Remueur; Miraculé majeur; Muldo Indigo et Orchidée</t>
        </is>
      </c>
    </row>
    <row r="19134">
      <c r="A19134" t="inlineStr">
        <is>
          <t>terre air pvm</t>
        </is>
      </c>
      <c r="B19134">
        <f>HYPERLINK("https://www.dofusbook.net/fr/equipement/861354-terre-air-pvm/objets", "link")</f>
        <v/>
      </c>
      <c r="C19134" t="n">
        <v>2</v>
      </c>
      <c r="D19134" t="inlineStr">
        <is>
          <t>Héqache; Amulette du Strigide; Bracelet du Piloztère; Anneau des égarés; Bouclier du Captain Amakna; Ceinture Rasboulaire du Rasboul; Casque des égarés; Cape de la Fuji Givrefoux; Baleinabottes; Dofus Émeraude; Dokoko; Dofus Pourpre; Carapace Neutre majeur; Remueur; Vigoureux majeur; Muldo Orchidée et Pourpre</t>
        </is>
      </c>
    </row>
    <row r="19135">
      <c r="A19135" t="inlineStr">
        <is>
          <t>feu</t>
        </is>
      </c>
      <c r="B19135">
        <f>HYPERLINK("https://www.dofusbook.net/fr/equipement/807190-feu/objets", "link")</f>
        <v/>
      </c>
      <c r="C19135" t="n">
        <v>2</v>
      </c>
      <c r="D19135" t="inlineStr">
        <is>
          <t>Harpelle; Amulette de Nileza; Anneau Tique; Anneau de Nidas; Ceinture de Vortex; Couronne de Nidas; Voile d'encre; Pataugastrique; Dofus Pourpre; Dofus Émeraude; Dokoko; Remueur; Érudit majeur; Carapace Terre majeur; Muldo Orchidée et Pourpre</t>
        </is>
      </c>
    </row>
    <row r="19136">
      <c r="A19136" t="inlineStr">
        <is>
          <t>terre PO tank</t>
        </is>
      </c>
      <c r="B19136">
        <f>HYPERLINK("https://www.dofusbook.net/fr/equipement/760295-terre-po-tank/objets", "link")</f>
        <v/>
      </c>
      <c r="C19136" t="n">
        <v>1</v>
      </c>
      <c r="D19136" t="inlineStr">
        <is>
          <t>Arc du Chalœil; Collier de Tourthon; Bracelet du Piloztère; Anneau de Brouce; Bouclier du Stalak; Ceinture de la Reine des Voleurs; Coiffe de la Reine des Voleurs; Voile d'encre; Baleinabottes; Dofus Émeraude; Dofus Pourpre; Dokoko; Nomade; Remueur; Enragé majeur; Muldo Indigo et Pourpre</t>
        </is>
      </c>
    </row>
    <row r="19137">
      <c r="A19137" t="inlineStr">
        <is>
          <t>mode terre 2</t>
        </is>
      </c>
      <c r="B19137">
        <f>HYPERLINK("https://www.dofusbook.net/fr/equipement/794297-mode-terre-2/objets", "link")</f>
        <v/>
      </c>
      <c r="C19137" t="n">
        <v>1</v>
      </c>
      <c r="D19137" t="inlineStr">
        <is>
          <t>Arc du Chalœil; Amulette Luminescente; Bracelet du Piloztère; Anneau Crustique; Bouclier du Stalak; Ceintouse; Masque de Koutoulou; Voile d'encre; Tentassons; Dofus Émeraude; Dokoko; Carapace Neutre majeur; Remueur; Enragé majeur; Nomade; Muldo Indigo et Pourpre</t>
        </is>
      </c>
    </row>
    <row r="19138">
      <c r="A19138" t="inlineStr">
        <is>
          <t>eau feu necro</t>
        </is>
      </c>
      <c r="B19138">
        <f>HYPERLINK("https://www.dofusbook.net/fr/equipement/754867-eau-feu-necro/objets", "link")</f>
        <v/>
      </c>
      <c r="C19138" t="n">
        <v>0</v>
      </c>
      <c r="D19138" t="inlineStr">
        <is>
          <t>Arc Nécrotique; Collier de la Dame du Hasard; Alliance Gloursonne; Bracelet du Piloztère; Bouclier du Stalak; Ceintacé; Casquette de Meno; Voile d'encre; Bottes de Meno; Dokoko; Dofus Pourpre; Dofus Turquoise; Remueur; Vigoureux majeur; Nomade; Muldo Orchidée et Pourpre</t>
        </is>
      </c>
    </row>
    <row r="19139">
      <c r="A19139" t="inlineStr">
        <is>
          <t>terre eau</t>
        </is>
      </c>
      <c r="B19139">
        <f>HYPERLINK("https://www.dofusbook.net/fr/equipement/793212-terre-eau/objets", "link")</f>
        <v/>
      </c>
      <c r="C19139" t="n">
        <v>0</v>
      </c>
      <c r="D19139" t="inlineStr">
        <is>
          <t>Dagues de Srambad; Amulette de Pol Ouatnos; Bracelet du Piloztère; Alliance du Lévitrof; Ceinture de la Reine des Voleurs; Kidibonnet; Voile d'encre; Pantoufles du Piloztère; Dokoko; Dofus Pourpre; Dofus Émeraude; Carapace Terre majeur; Remueur; Vigoureux majeur; Muldo Ebène et Pourpre</t>
        </is>
      </c>
    </row>
    <row r="19140">
      <c r="A19140" t="inlineStr">
        <is>
          <t>terre eau feu chaloe</t>
        </is>
      </c>
      <c r="B19140">
        <f>HYPERLINK("https://www.dofusbook.net/fr/equipement/781926-terre-eau-feu-chaloe/objets", "link")</f>
        <v/>
      </c>
      <c r="C19140" t="n">
        <v>1</v>
      </c>
      <c r="D19140" t="inlineStr">
        <is>
          <t>Hache du Chalœil; Amulette Luminescente; Bracelet du Piloztère; Alliance du Lévitrof; Ceinture Luminescente; Coiffe du Lévitrof; Cape Luminescente; Bottes du Lévitrof; Dofus Pourpre; Dofus Ocre; Dofus Émeraude; Dokoko; Dofus des Glaces; Dofus Turquoise; Muldo Indigo et Orchidée</t>
        </is>
      </c>
    </row>
    <row r="19141">
      <c r="A19141" t="inlineStr">
        <is>
          <t>eau res</t>
        </is>
      </c>
      <c r="B19141">
        <f>HYPERLINK("https://www.dofusbook.net/fr/equipement/777872-eau-res/objets", "link")</f>
        <v/>
      </c>
      <c r="C19141" t="n">
        <v>0</v>
      </c>
      <c r="D19141" t="inlineStr">
        <is>
          <t>Dagoulinantes; Amulette Cryochrone; Anneau de Pol Ouatnos; Alliance Gloursonne; Ceinture du Barbétoal; Kidibonnet; Cape de Kongoku; Pataugastrique; Dofus Émeraude; Dokoko; Observateur; Chanceux majeur; Remueur; Muldo Indigo</t>
        </is>
      </c>
    </row>
    <row r="19142">
      <c r="A19142" t="inlineStr">
        <is>
          <t>hupper eau pvp</t>
        </is>
      </c>
      <c r="B19142">
        <f>HYPERLINK("https://www.dofusbook.net/fr/equipement/673661-hupper-eau-pvp/objets", "link")</f>
        <v/>
      </c>
      <c r="C19142" t="n">
        <v>0</v>
      </c>
      <c r="D19142" t="inlineStr">
        <is>
          <t>Dagoulinantes; Pendentif affamé; Alliance Gloursonne; Bracelet des Fonds marins; Bouclier précieux; Sangle Ouare; Kidibonnet; Cape du Sinistrofu; Bottes du Sinistrofu; Dokoko; Dofus Émeraude; Dofus Turquoise; Chanceux majeur; Remueur; Carapace Air majeur; Muldo Indigo et Pourpre</t>
        </is>
      </c>
    </row>
    <row r="19143">
      <c r="A19143" t="inlineStr">
        <is>
          <t>terre opti res</t>
        </is>
      </c>
      <c r="B19143">
        <f>HYPERLINK("https://www.dofusbook.net/fr/equipement/776701-terre-opti-res/objets", "link")</f>
        <v/>
      </c>
      <c r="C19143" t="n">
        <v>0</v>
      </c>
      <c r="D19143" t="inlineStr">
        <is>
          <t>Arc du Chalœil; Collier de Tourthon; Bracelet du Piloztère; Anneau Chevelu; Bouclier du Stalak; Ceinture de la Reine des Voleurs; Coiffe de la Reine des Voleurs; Voile d'encre; Baleinabottes; Dokoko; Dofus Émeraude; Remueur; Nomade; Carapace Eau majeur; Enragé majeur; Muldo Orchidée et Pourpre</t>
        </is>
      </c>
    </row>
    <row r="19144">
      <c r="A19144" t="inlineStr">
        <is>
          <t>mode eau sapeuh</t>
        </is>
      </c>
      <c r="B19144">
        <f>HYPERLINK("https://www.dofusbook.net/fr/equipement/773535-mode-eau-sapeuh/objets", "link")</f>
        <v/>
      </c>
      <c r="C19144" t="n">
        <v>0</v>
      </c>
      <c r="D19144" t="inlineStr">
        <is>
          <t>Rapière aux Glyphes; Amulette Luminescente; Bracelet des Fonds marins; Alliance Gloursonne; Bouclier du Stalak; Ceinture Luminescente; Masque des Fonds marins; Cape Luminescente; Sandales des Fonds marins; Dofus Émeraude; Dofus Abyssal; Dofus Turquoise; Dofus Ocre; Dofus Pourpre; Dokoko; Muldo Indigo</t>
        </is>
      </c>
    </row>
    <row r="19145">
      <c r="A19145" t="inlineStr">
        <is>
          <t>terre bourrin res</t>
        </is>
      </c>
      <c r="B19145">
        <f>HYPERLINK("https://www.dofusbook.net/fr/equipement/768565-terre-bourrin-res/objets", "link")</f>
        <v/>
      </c>
      <c r="C19145" t="n">
        <v>3</v>
      </c>
      <c r="D19145" t="inlineStr">
        <is>
          <t>Arc du Chalœil; Amulette du Strigide; Bague Gloursonne; Anneau de Brouce; Bouclier du Stalak; Ceintacé; Chapeau de Gein; Voile d'encre; Bottes du Strigide; Dofus Turquoise; Dofus Pourpre; Dokoko; Dofus Émeraude; Remueur; Nomade; Muldo Pourpre</t>
        </is>
      </c>
    </row>
    <row r="19146">
      <c r="A19146" t="inlineStr">
        <is>
          <t>terrre/res pas cher</t>
        </is>
      </c>
      <c r="B19146">
        <f>HYPERLINK("https://www.dofusbook.net/fr/equipement/768436-terrre-res-pas-cher/objets", "link")</f>
        <v/>
      </c>
      <c r="C19146" t="n">
        <v>0</v>
      </c>
      <c r="D19146" t="inlineStr">
        <is>
          <t>Arc du Chalœil; Collier de Tourthon; Bracelet du Piloztère; Anneau de Brouce; Bouclier du Stalak; Ceinture de la Reine des Voleurs; Coiffe de la Reine des Voleurs; Cape au Logis; Baleinabottes; Dokoko; Dofus Pourpre; Dofus Émeraude; Remueur; Vigoureux majeur; Enragé majeur; Muldo Ebène et Pourpre</t>
        </is>
      </c>
    </row>
    <row r="19147">
      <c r="A19147" t="inlineStr">
        <is>
          <t>terre tank</t>
        </is>
      </c>
      <c r="B19147">
        <f>HYPERLINK("https://www.dofusbook.net/fr/equipement/756245-terre-tank/objets", "link")</f>
        <v/>
      </c>
      <c r="C19147" t="n">
        <v>0</v>
      </c>
      <c r="D19147" t="inlineStr">
        <is>
          <t>Marteau R'ture; Collier de Tourthon; Anneau Crustique; Anneau de Brouce; Ceinture de la Reine des Voleurs; Masque de Koutoulou; Voile d'encre; Bottes de Brouce; Dokoko; Dofus Émeraude; Enragé majeur; Nomade; Carapace Terre majeur; Remueur; Muldo Pourpre</t>
        </is>
      </c>
    </row>
    <row r="19148">
      <c r="A19148" t="inlineStr">
        <is>
          <t>eau feu necro 2</t>
        </is>
      </c>
      <c r="B19148">
        <f>HYPERLINK("https://www.dofusbook.net/fr/equipement/755731-eau-feu-necro-2/objets", "link")</f>
        <v/>
      </c>
      <c r="C19148" t="n">
        <v>0</v>
      </c>
      <c r="D19148" t="inlineStr">
        <is>
          <t>Arc Nécrotique; Talisman Igans; Anneau Tique; Alliance Gloursonne; Bouclier du Cycloïde; Ceinture de Kongoku; Kidibonnet; Voile d'encre; Bottes Owesli; Dofus Turquoise; Dofus Pourpre; Dokoko; Vigoureux majeur; Nomade; Remueur; Muldo Orchidée et Pourpre</t>
        </is>
      </c>
    </row>
    <row r="19149">
      <c r="A19149" t="inlineStr">
        <is>
          <t>eau dofus</t>
        </is>
      </c>
      <c r="B19149">
        <f>HYPERLINK("https://www.dofusbook.net/fr/equipement/754802-eau-dofus/objets", "link")</f>
        <v/>
      </c>
      <c r="C19149" t="n">
        <v>0</v>
      </c>
      <c r="D19149" t="inlineStr">
        <is>
          <t>Rapière aux Glyphes; Amulette de Shokkoth; Alliance Gloursonne; Bracelet des Fonds marins; Bouclier du Stalak; Poulpagne; Casquette de Meno; Cape Matelassée; Sandales des Fonds marins; Dofus Émeraude; Dofus Abyssal; Dofus Turquoise; Dofus Pourpre; Dokoko; Chanceux majeur; Muldo Ebène et Indigo</t>
        </is>
      </c>
    </row>
    <row r="19150">
      <c r="A19150" t="inlineStr">
        <is>
          <t>sram</t>
        </is>
      </c>
      <c r="B19150">
        <f>HYPERLINK("https://www.dofusbook.net/fr/equipement/579607-sram/objets", "link")</f>
        <v/>
      </c>
      <c r="C19150" t="n">
        <v>0</v>
      </c>
      <c r="D19150" t="inlineStr">
        <is>
          <t>Manthache; Amulette du Strigide; Alliance Gloursonne; Gant du Valet Veinard; Ceinture du Barbétoal; Dorabysses; Cape Indescriptible; Baleinabottes; Dofus Émeraude; Dokoko; Carapace Air majeur; Remueur; Cascadeur majeur; Nomade; Muldo Orchidée et Pourpre</t>
        </is>
      </c>
    </row>
    <row r="19151">
      <c r="A19151" t="inlineStr">
        <is>
          <t>terre air do crit</t>
        </is>
      </c>
      <c r="B19151">
        <f>HYPERLINK("https://www.dofusbook.net/fr/equipement/629488-terre-air-do-crit/objets", "link")</f>
        <v/>
      </c>
      <c r="C19151" t="n">
        <v>1</v>
      </c>
      <c r="D19151" t="inlineStr">
        <is>
          <t>Héqache; Amulette du Kamasterisk; Anneau de Padgref; Bracelet du Piloztère; Ceintacé; Chapoulpe; Cape du Kamasterisk; Bottes du Cycloïde; Dofus Turquoise; Dofus Pourpre; Remueur; Vigoureux majeur; Carapace Terre majeur; Nomade; Muldo Orchidée et Pourpre</t>
        </is>
      </c>
    </row>
    <row r="19152">
      <c r="A19152" t="inlineStr">
        <is>
          <t>terre air</t>
        </is>
      </c>
      <c r="B19152">
        <f>HYPERLINK("https://www.dofusbook.net/fr/equipement/590223-terre-air/objets", "link")</f>
        <v/>
      </c>
      <c r="C19152" t="n">
        <v>0</v>
      </c>
      <c r="D19152" t="inlineStr">
        <is>
          <t>Héqache; Amulette du Strigide; Bracelet du Piloztère; Alliance Gloursonne; Ceintouse; Casque des égarés; Cape du Kamasterisk; Baleinabottes; Dofus Émeraude; Dofus Pourpre; Dokoko; Nomade; Remueur; Vigoureux majeur; Muldo Indigo et Pourpre</t>
        </is>
      </c>
    </row>
    <row r="19153">
      <c r="A19153" t="inlineStr">
        <is>
          <t>full air troll</t>
        </is>
      </c>
      <c r="B19153">
        <f>HYPERLINK("https://www.dofusbook.net/fr/equipement/584696-full-air-troll/objets", "link")</f>
        <v/>
      </c>
      <c r="C19153" t="n">
        <v>0</v>
      </c>
      <c r="D19153" t="inlineStr">
        <is>
          <t>Manthache; Amulette du Strigide; Gant du Valet Veinard; Alliance Gloursonne; Menoture; Dorabysses; Cape Indescriptible; Palmes Trithons; Dofus Turquoise; Dofus Émeraude; Remueur; Obstructeur majeur; Cascadeur majeur; Nomade; Muldo Ebène et Orchidée</t>
        </is>
      </c>
    </row>
    <row r="19154">
      <c r="A19154" t="inlineStr">
        <is>
          <t>full terre troll</t>
        </is>
      </c>
      <c r="B19154">
        <f>HYPERLINK("https://www.dofusbook.net/fr/equipement/584175-full-terre-troll/objets", "link")</f>
        <v/>
      </c>
      <c r="C19154" t="n">
        <v>1</v>
      </c>
      <c r="D19154" t="inlineStr">
        <is>
          <t>Arc du Chalœil; Collier de Tourthon; Anneau Crustique; Anneau de Brouce; Ceinture de Brouce; Masque de Koutoulou; Cape au Logis; Baleinabottes; Dofus Émeraude; Dofus Turquoise; Dokoko; Carapace Terre majeur; Remueur; Enragé majeur; Muldo Pourpre</t>
        </is>
      </c>
    </row>
    <row r="19155">
      <c r="A19155" t="inlineStr">
        <is>
          <t>eauairfeu crit 12 5</t>
        </is>
      </c>
      <c r="B19155">
        <f>HYPERLINK("https://www.dofusbook.net/fr/equipement/317417-eauairfeu-crit-12-5/objets", "link")</f>
        <v/>
      </c>
      <c r="C19155" t="n">
        <v>1</v>
      </c>
      <c r="D19155" t="inlineStr">
        <is>
          <t>Sabres d'Atcham; Amulette du Strigide; Bracelet du Piloztère; Anneau de Padgref; Ceinture du Strigide; Coiffe de Padgref; Cape d'Atcham; Getas de Padgref; Dofus Turquoise; Dolmanax; Dofus Pourpre; Dofus Ocre; Dofus des Glaces; Dofus Abyssal; Muldo Doré et Emeraude</t>
        </is>
      </c>
    </row>
    <row r="19156">
      <c r="A19156" t="inlineStr">
        <is>
          <t>fun tri elements</t>
        </is>
      </c>
      <c r="B19156">
        <f>HYPERLINK("https://www.dofusbook.net/fr/equipement/581812-fun-tri-elements/objets", "link")</f>
        <v/>
      </c>
      <c r="C19156" t="n">
        <v>0</v>
      </c>
      <c r="D19156" t="inlineStr">
        <is>
          <t>Canne Harr; Amulette du Strigide; Anneau du Cycloïde; Alliance Gloursonne; Ceinture du Strigide; Masque du Katcheur; Voile d'encre; Baleinabottes; Dofus Pourpre; Dofus Turquoise; Dokoko; Carapace Air majeur; Nomade; Remueur; Muldo Orchidée et Pourpre</t>
        </is>
      </c>
    </row>
    <row r="19157">
      <c r="A19157" t="inlineStr">
        <is>
          <t>terre air pvp pvpm</t>
        </is>
      </c>
      <c r="B19157">
        <f>HYPERLINK("https://www.dofusbook.net/fr/equipement/575902-terre-air-pvp-pvpm/objets", "link")</f>
        <v/>
      </c>
      <c r="C19157" t="n">
        <v>0</v>
      </c>
      <c r="D19157" t="inlineStr">
        <is>
          <t>Héqache; Amulette du Strigide; Anneau des égarés; Bracelet du Piloztère; Menoture; Casque des égarés; Cape du Kamasterisk; Baleinabottes; Dofus Pourpre; Dofus Turquoise; Remueur; Vigoureux majeur; Carapace Terre majeur; Nomade; Muldo Indigo et Orchidée</t>
        </is>
      </c>
    </row>
    <row r="19158">
      <c r="A19158" t="inlineStr">
        <is>
          <t>cra multi</t>
        </is>
      </c>
      <c r="B19158">
        <f>HYPERLINK("https://www.dofusbook.net/fr/equipement/575278-cra-multi-/objets", "link")</f>
        <v/>
      </c>
      <c r="C19158" t="n">
        <v>1</v>
      </c>
      <c r="D19158" t="inlineStr">
        <is>
          <t>Faux Maudite du Saigneur Guerrier; Amulette du Strigide; Bracelet du Piloztère; Alliance Gloursonne; Ceintacé; Masque de Koutoulou; Voile d'encre; Bottes du Strigide; Dofus Turquoise; Dofus Pourpre; Nomade; Remueur; Vigoureux majeur; Observateur; Muldo Pourpre</t>
        </is>
      </c>
    </row>
    <row r="19159">
      <c r="A19159" t="inlineStr">
        <is>
          <t>enzo</t>
        </is>
      </c>
      <c r="B19159">
        <f>HYPERLINK("https://www.dofusbook.net/fr/equipement/561402-enzo/objets", "link")</f>
        <v/>
      </c>
      <c r="C19159" t="n">
        <v>0</v>
      </c>
      <c r="D19159" t="inlineStr">
        <is>
          <t>Manthache; Collier du Valet Veinard; Alliance Gloursonne; Gant du Valet Veinard; Menoture; Dorabysses; Cape Indescriptible; Palmes Trithons; Dofus Pourpre; Dévastateur Air majeur; Remueur; Cascadeur majeur; Carapace Air majeur; Nomade; Muldo Ebène et Pourpre</t>
        </is>
      </c>
    </row>
    <row r="19160">
      <c r="A19160" t="inlineStr">
        <is>
          <t>eca weed-sama</t>
        </is>
      </c>
      <c r="B19160">
        <f>HYPERLINK("https://www.dofusbook.net/fr/equipement/518516-eca-weed-sama/objets", "link")</f>
        <v/>
      </c>
      <c r="C19160" t="n">
        <v>0</v>
      </c>
      <c r="D19160" t="inlineStr">
        <is>
          <t>Marteau des Anciens Steamers; Amulette Héroclite; Alliance Gloursonne; Anneau du Père Fwetar; Ceinture du Père Fwetar; Casque de Missiz Frizz; Cape Matelassée; Pantoufles Émar; Dokoko; Dofus Émeraude; Miraculé majeur; Nomade; Remueur; Vigoureux majeur; Muldo Doré et Indigo</t>
        </is>
      </c>
    </row>
    <row r="19161">
      <c r="A19161" t="inlineStr">
        <is>
          <t>flo</t>
        </is>
      </c>
      <c r="B19161">
        <f>HYPERLINK("https://www.dofusbook.net/fr/equipement/480764-flo/objets", "link")</f>
        <v/>
      </c>
      <c r="C19161" t="n">
        <v>0</v>
      </c>
      <c r="D19161" t="inlineStr">
        <is>
          <t>Baguette Hique; Amulette du Glourséleste; Anneau Tamie; Pikano; Ceinture Instable; Casquipik; Cape de Léthaline; Pantoufles Émar; Remueur; Temporiseur; Entraveur; Entraveur majeur; Ralentisseur majeur; Temporiseur majeur; Dehluge</t>
        </is>
      </c>
    </row>
    <row r="19162">
      <c r="A19162" t="inlineStr">
        <is>
          <t>terre feu</t>
        </is>
      </c>
      <c r="B19162">
        <f>HYPERLINK("https://www.dofusbook.net/fr/equipement/373984-terre-feu/objets", "link")</f>
        <v/>
      </c>
      <c r="C19162" t="n">
        <v>0</v>
      </c>
      <c r="D19162" t="inlineStr">
        <is>
          <t>Dagues Érhy; Amulette du Strigide; Chevalière du Roi Joueur; Bague Gloursonne; Bouclier du Cycloïde; Ceintacé; Chapeau de Gein; Voile d'encre; Bottes du Strigide; Dofus Pourpre; Dofus Turquoise; Remueur; Carapace Feu majeur; Nomade; Vigoureux majeur; Muldo Pourpre</t>
        </is>
      </c>
    </row>
    <row r="19163">
      <c r="A19163" t="inlineStr">
        <is>
          <t>Stuff 3</t>
        </is>
      </c>
      <c r="B19163">
        <f>HYPERLINK("https://www.dofusbook.net/fr/equipement/317532-stuff-3/objets", "link")</f>
        <v/>
      </c>
      <c r="C19163" t="n">
        <v>0</v>
      </c>
      <c r="D19163" t="inlineStr">
        <is>
          <t>Marteau des Anciens Steamers; Amulette du Strigide; Alliance Gloursonne; Bracelet du Piloztère; Ceinture du Barbétoal; Dorabysses; Cape Matelassée; Bottes du Strigide; Dofus Turquoise; Dofus Émeraude; Dofus Pourpre; Nomade; Remueur; Vigoureux majeur; Muldo Ebène et Indigo</t>
        </is>
      </c>
    </row>
    <row r="19164">
      <c r="A19164" t="inlineStr">
        <is>
          <t>Stuff 1</t>
        </is>
      </c>
      <c r="B19164">
        <f>HYPERLINK("https://www.dofusbook.net/fr/equipement/317523-stuff-1/objets", "link")</f>
        <v/>
      </c>
      <c r="C19164" t="n">
        <v>0</v>
      </c>
      <c r="D19164" t="inlineStr">
        <is>
          <t>Hache du Chalœil; Amulette Ementaire Deluxe; Alliance Gloursonne; Alliance du Lévitrof; Ceinture de l'Indicible; Coiffe du Lévitrof; Voile d'encre; Bottes du Chalœil; Dolmanax; Dofus Ocre; Dofus Pourpre; Carapace Terre majeur; Remueur; Nomade; Muldo Indigo et Pourpre</t>
        </is>
      </c>
    </row>
    <row r="19165">
      <c r="A19165" t="inlineStr">
        <is>
          <t>Stuff 3</t>
        </is>
      </c>
      <c r="B19165">
        <f>HYPERLINK("https://www.dofusbook.net/fr/equipement/317525-stuff-3/objets", "link")</f>
        <v/>
      </c>
      <c r="C19165" t="n">
        <v>0</v>
      </c>
      <c r="D19165" t="inlineStr">
        <is>
          <t>Hache du Chalœil; Amulette Ementaire Deluxe; Pikano; Alliance du Lévitrof; Ceinture de l'Indicible; Casque du Chalœil; Voile d'encre; Bottes du Chalœil; Dofus Pourpre; Dofus Ocre; Remueur; Vigoureux majeur; Nomade; Carapace Eau majeur; Muldo Pourpre</t>
        </is>
      </c>
    </row>
    <row r="19166">
      <c r="A19166" t="inlineStr">
        <is>
          <t>Stuff 2</t>
        </is>
      </c>
      <c r="B19166">
        <f>HYPERLINK("https://www.dofusbook.net/fr/equipement/317531-stuff-2/objets", "link")</f>
        <v/>
      </c>
      <c r="C19166" t="n">
        <v>0</v>
      </c>
      <c r="D19166" t="inlineStr">
        <is>
          <t>Sabres d'Atcham; Amulette du Strigide; Anneau Tique; Alliance Gloursonne; Ceintacé; Chapeau des Malveilleurs; Cape des Malveilleurs; Bottes du Chalœil; Dofus Turquoise; Dofus Émeraude; Dofus Pourpre; Vigoureux majeur; Nomade; Remueur; Muldo Orchidée et Pourpre</t>
        </is>
      </c>
    </row>
    <row r="19167">
      <c r="A19167" t="inlineStr">
        <is>
          <t>Stuff 2</t>
        </is>
      </c>
      <c r="B19167">
        <f>HYPERLINK("https://www.dofusbook.net/fr/equipement/317524-stuff-2/objets", "link")</f>
        <v/>
      </c>
      <c r="C19167" t="n">
        <v>0</v>
      </c>
      <c r="D19167" t="inlineStr">
        <is>
          <t>Hache du Chalœil; Amulette Ementaire Deluxe; Alliance Gloursonne; Alliance du Lévitrof; Sangle Ouare; Coiffe du Lévitrof; Voile d'encre; Bottes du Lévitrof; Dofus Abyssal; Dofus Pourpre; Dofus Émeraude; Dolmanax; Dofus Ocre; Entraveur majeur; Muldo Pourpre</t>
        </is>
      </c>
    </row>
    <row r="19168">
      <c r="A19168" t="inlineStr">
        <is>
          <t>Stuff 1</t>
        </is>
      </c>
      <c r="B19168">
        <f>HYPERLINK("https://www.dofusbook.net/fr/equipement/317530-stuff-1/objets", "link")</f>
        <v/>
      </c>
      <c r="C19168" t="n">
        <v>0</v>
      </c>
      <c r="D19168" t="inlineStr">
        <is>
          <t>Epée Gloursonne; Amulette du Strigide; Bague Gloursonne; Alliance Gloursonne; Ceinture du Strigide; Maskrobe; Voile d'encre; Bottes du Strigide; Dofus Turquoise; Dofus Émeraude; Dokoko; Dofus Pourpre; Puissant majeur; Survivant majeur; Muldo Indigo et Pourpre</t>
        </is>
      </c>
    </row>
    <row r="19169">
      <c r="A19169" t="inlineStr">
        <is>
          <t>Stuff 1</t>
        </is>
      </c>
      <c r="B19169">
        <f>HYPERLINK("https://www.dofusbook.net/fr/equipement/317477-stuff-1/objets", "link")</f>
        <v/>
      </c>
      <c r="C19169" t="n">
        <v>0</v>
      </c>
      <c r="D19169" t="inlineStr">
        <is>
          <t>La Baguette des Limbes; Médaille Kido; Anneau Bliteré; Alliance d'Elya Wood; Slip Noze; Chapeau de Dremoan; Cape de l'Obsidiantre; Pantoufles de Soissanth; Dokoko; Carapace Terre majeur; Remueur; Cuirassé Feu majeur; Érudit majeur; Dévastateur Feu majeur; Muldo Orchidée et Pourpre</t>
        </is>
      </c>
    </row>
    <row r="19170">
      <c r="A19170" t="inlineStr">
        <is>
          <t>Stuff 2</t>
        </is>
      </c>
      <c r="B19170">
        <f>HYPERLINK("https://www.dofusbook.net/fr/equipement/317453-stuff-2/objets", "link")</f>
        <v/>
      </c>
      <c r="C19170" t="n">
        <v>0</v>
      </c>
      <c r="D19170" t="inlineStr">
        <is>
          <t>Hache Ériphe; Amulette du Strigide; Bracelet du Piloztère; Anneau des égarés; Ceintacé; Casque des égarés; Cape du Kamasterisk; Baleinabottes; Dofus Pourpre; Dofus Turquoise; Remueur; Nomade; Vigoureux majeur; Muldo Orchidée et Pourpre</t>
        </is>
      </c>
    </row>
    <row r="19171">
      <c r="A19171" t="inlineStr">
        <is>
          <t>Stuff 3</t>
        </is>
      </c>
      <c r="B19171">
        <f>HYPERLINK("https://www.dofusbook.net/fr/equipement/317440-stuff-3/objets", "link")</f>
        <v/>
      </c>
      <c r="C19171" t="n">
        <v>0</v>
      </c>
      <c r="D19171" t="inlineStr">
        <is>
          <t>Marteau du Juge Lou; Amulette de Grozilla; Bracelet du Minotot; Gelano; Pagniglou; Bonnet Ko; Corbacape Mastralis; Bottes du Nowel Cauchemardesque; Chanceux majeur; Étourdisseur majeur; Miraculé majeur; Nomade; Paralyseur majeur; Remueur; Dragodinde Emeraude et Rousse</t>
        </is>
      </c>
    </row>
    <row r="19172">
      <c r="A19172" t="inlineStr">
        <is>
          <t>Stuff 1</t>
        </is>
      </c>
      <c r="B19172">
        <f>HYPERLINK("https://www.dofusbook.net/fr/equipement/317423-stuff-1/objets", "link")</f>
        <v/>
      </c>
      <c r="C19172" t="n">
        <v>0</v>
      </c>
      <c r="D19172" t="inlineStr">
        <is>
          <t>Marteau R'ture; Collier de Tourthon; Anneauræus; Anneau du Katcheur; Ceintacé; Masque du Katcheur; Ankhape; Bottes Trithon; Dokoko; Dofus Émeraude; Miraculé majeur; Nomade; Remueur; Vigoureux majeur; Muldo Orchidée et Pourpre</t>
        </is>
      </c>
    </row>
    <row r="19173">
      <c r="A19173" t="inlineStr">
        <is>
          <t>Stuff 2</t>
        </is>
      </c>
      <c r="B19173">
        <f>HYPERLINK("https://www.dofusbook.net/fr/equipement/317487-stuff-2/objets", "link")</f>
        <v/>
      </c>
      <c r="C19173" t="n">
        <v>0</v>
      </c>
      <c r="D19173" t="inlineStr">
        <is>
          <t>Dagues Érhy; Amulette du Strigide; Bracelet du Piloztère; Anneau Chevelu; Ceintacé; Masque de Koutoulou; Cape au Logis; Bottes du Strigide; Dofus Émeraude; Enragé majeur; Miraculé majeur; Vigoureux majeur; Remueur; Carapace Terre majeur; Muldo Orchidée et Pourpre</t>
        </is>
      </c>
    </row>
    <row r="19174">
      <c r="A19174" t="inlineStr">
        <is>
          <t>Stuff 3</t>
        </is>
      </c>
      <c r="B19174">
        <f>HYPERLINK("https://www.dofusbook.net/fr/equipement/317479-stuff-3/objets", "link")</f>
        <v/>
      </c>
      <c r="C19174" t="n">
        <v>1</v>
      </c>
      <c r="D19174" t="inlineStr">
        <is>
          <t>Épée Brûlâme; Collier de la Dame du Hasard; Alliance Gloursonne; Anneau Tique; Bouclier du Captain Amakna; Ceinture de Kongoku; Kidibonnet; Cape de la Dame du Hasard; Pataugastrique; Dofus Turquoise; Dofus Pourpre; Remueur; Vigoureux majeur; Nomade; Carapace Terre majeur; Muldo Indigo et Orchidée</t>
        </is>
      </c>
    </row>
    <row r="19175">
      <c r="A19175" t="inlineStr">
        <is>
          <t>Stuff 1</t>
        </is>
      </c>
      <c r="B19175">
        <f>HYPERLINK("https://www.dofusbook.net/fr/equipement/317455-stuff-1/objets", "link")</f>
        <v/>
      </c>
      <c r="C19175" t="n">
        <v>0</v>
      </c>
      <c r="D19175" t="inlineStr">
        <is>
          <t>Sceptre du Roi Joueur; Amulette de Shokkoth; Alliance Gloursonne; Bracelet des Fonds marins; Sangle Ouare; Kidibonnet; Cape de Meno; Bottes de Meno; Dofus Turquoise; Dofus Pourpre; Chanceux majeur; Remueur; Temporiseur majeur; Nomade; Kramkram</t>
        </is>
      </c>
    </row>
    <row r="19176">
      <c r="A19176" t="inlineStr">
        <is>
          <t>Stuff 2</t>
        </is>
      </c>
      <c r="B19176">
        <f>HYPERLINK("https://www.dofusbook.net/fr/equipement/317442-stuff-2/objets", "link")</f>
        <v/>
      </c>
      <c r="C19176" t="n">
        <v>0</v>
      </c>
      <c r="D19176" t="inlineStr">
        <is>
          <t>Arc Hétype; Amulette de Nileza; Anneau Tique; Anneau de Nidas; Ceinture de Vortex; Couronne de Nidas; Voile d'encre; Pataugastrique; Carapace Air majeur; Érudit majeur; Nomade; Carapace Eau majeur; Remueur; Muldo Orchidée et Pourpre</t>
        </is>
      </c>
    </row>
    <row r="19177">
      <c r="A19177" t="inlineStr">
        <is>
          <t>Stuff 3</t>
        </is>
      </c>
      <c r="B19177">
        <f>HYPERLINK("https://www.dofusbook.net/fr/equipement/317425-stuff-3/objets", "link")</f>
        <v/>
      </c>
      <c r="C19177" t="n">
        <v>0</v>
      </c>
      <c r="D19177" t="inlineStr">
        <is>
          <t>Arc du Chalœil; Amulette du Strigide; Anneau de Brouce; Anneau Chevelu; Ceintacé; Masque de Koutoulou; Cape au Logis; Bottes de Brouce; Dokoko; Dofus Turquoise; Enragé majeur; Carapace Air majeur; Carapace Eau majeur; Remueur; Muldo Pourpre</t>
        </is>
      </c>
    </row>
    <row r="19178">
      <c r="A19178" t="inlineStr">
        <is>
          <t>Stuff 1</t>
        </is>
      </c>
      <c r="B19178">
        <f>HYPERLINK("https://www.dofusbook.net/fr/equipement/317498-stuff-1/objets", "link")</f>
        <v/>
      </c>
      <c r="C19178" t="n">
        <v>0</v>
      </c>
      <c r="D19178" t="inlineStr">
        <is>
          <t>Épée du Granduk; Amulette du Granduk; Alliance Gloursonne; Gant du Valet Veinard; Ceinture de Klime; Masque du Granduk; Cape de Klime; Baleinabottes; Dofus Turquoise; Dofus Pourpre; Dokoko; Equilibriste majeur; Acrobate majeur; Ravageur Air majeur; Muldo Doré et Pourpre</t>
        </is>
      </c>
    </row>
    <row r="19179">
      <c r="A19179" t="inlineStr">
        <is>
          <t>Stuff 2</t>
        </is>
      </c>
      <c r="B19179">
        <f>HYPERLINK("https://www.dofusbook.net/fr/equipement/317478-stuff-2/objets", "link")</f>
        <v/>
      </c>
      <c r="C19179" t="n">
        <v>1</v>
      </c>
      <c r="D19179" t="inlineStr">
        <is>
          <t>La Baguette des Limbes; Amulette Ementaire Deluxe; Anneau Bliteré; Alliance d'Elya Wood; Ceinture de Soissanth; Blopronne Royale; Cape de l'Obsidiantre; Pantoufles de Soissanth; Dofus Ocre; Dokoko; Miraculé majeur; Érudit majeur; Remueur; Carapace Air majeur; Muldo Orchidée</t>
        </is>
      </c>
    </row>
    <row r="19180">
      <c r="A19180" t="inlineStr">
        <is>
          <t>Stuff 3</t>
        </is>
      </c>
      <c r="B19180">
        <f>HYPERLINK("https://www.dofusbook.net/fr/equipement/317454-stuff-3/objets", "link")</f>
        <v/>
      </c>
      <c r="C19180" t="n">
        <v>0</v>
      </c>
      <c r="D19180" t="inlineStr">
        <is>
          <t>Hache du Chalœil; Amulette du Strigide; Bracelet du Piloztère; Alliance du Lévitrof; Ceintacé; Casque du Chalœil; Voile d'encre; Bottes du Strigide; Dofus Turquoise; Dolmanax; Dofus Pourpre; Remueur; Vigoureux majeur; Nomade; Muldo Orchidée et Pourpre</t>
        </is>
      </c>
    </row>
    <row r="19181">
      <c r="A19181" t="inlineStr">
        <is>
          <t>Stuff 1</t>
        </is>
      </c>
      <c r="B19181">
        <f>HYPERLINK("https://www.dofusbook.net/fr/equipement/317441-stuff-1/objets", "link")</f>
        <v/>
      </c>
      <c r="C19181" t="n">
        <v>0</v>
      </c>
      <c r="D19181" t="inlineStr">
        <is>
          <t>Dagoulinantes; Amulette de Shokkoth; Alliance Gloursonne; Bracelet des Fonds marins; Bouclier du Stalak; Sangle Ouare; Kidibonnet; Cape du Sinistrofu; Bottes du Sinistrofu; Dofus Émeraude; Dofus Turquoise; Remueur; Miraculé majeur; Carapace Terre majeur; Chanceux majeur; Muldo Indigo et Pourpre</t>
        </is>
      </c>
    </row>
    <row r="19182">
      <c r="A19182" t="inlineStr">
        <is>
          <t>Stuff 2</t>
        </is>
      </c>
      <c r="B19182">
        <f>HYPERLINK("https://www.dofusbook.net/fr/equipement/317424-stuff-2/objets", "link")</f>
        <v/>
      </c>
      <c r="C19182" t="n">
        <v>0</v>
      </c>
      <c r="D19182" t="inlineStr">
        <is>
          <t>Baguette Range; Amulette du Strigide; Alliance Gloursonne; Anneau de Padgref; Ceinture du Strigide; Coiffe de Padgref; Voile d'encre; Getas de Padgref; Dofus Nébuleux; Dofus Émeraude; Dofus Turquoise; Dofus Ocre; Dofus Pourpre; Dofus des Glaces; Muldo Prune et Emeraude</t>
        </is>
      </c>
    </row>
    <row r="19183">
      <c r="A19183" t="inlineStr">
        <is>
          <t>Stuff 3</t>
        </is>
      </c>
      <c r="B19183">
        <f>HYPERLINK("https://www.dofusbook.net/fr/equipement/317488-stuff-3/objets", "link")</f>
        <v/>
      </c>
      <c r="C19183" t="n">
        <v>1</v>
      </c>
      <c r="D19183" t="inlineStr">
        <is>
          <t>Marteau R'ture; Amulette du Strigide; Bague Gloursonne; Anneau de Brouce; Ceintacé; Masque de Koutoulou; Cape au Logis; Bottes du Strigide; Dofus Émeraude; Miraculé majeur; Carapace Terre majeur; Enragé majeur; Vigoureux majeur; Remueur; Muldo Pourpre</t>
        </is>
      </c>
    </row>
    <row r="19184">
      <c r="A19184" t="inlineStr">
        <is>
          <t>Stuff 1</t>
        </is>
      </c>
      <c r="B19184">
        <f>HYPERLINK("https://www.dofusbook.net/fr/equipement/317480-stuff-1/objets", "link")</f>
        <v/>
      </c>
      <c r="C19184" t="n">
        <v>0</v>
      </c>
      <c r="D19184" t="inlineStr">
        <is>
          <t>Marteau des Anciens Steamers; Talisman Glouti; Anneau de Pol Ouatnos; Alliance Gloursonne; Ceintacé; Dorabysses; Cape du Barbétoal; Bottes de la Reine des Voleurs; Dofus Turquoise; Dofus Pourpre; Dofus Émeraude; Observateur; Remueur; Vigoureux majeur; Muldo Ebène et Pourpre</t>
        </is>
      </c>
    </row>
    <row r="19185">
      <c r="A19185" t="inlineStr">
        <is>
          <t>Stuff 2</t>
        </is>
      </c>
      <c r="B19185">
        <f>HYPERLINK("https://www.dofusbook.net/fr/equipement/317456-stuff-2/objets", "link")</f>
        <v/>
      </c>
      <c r="C19185" t="n">
        <v>0</v>
      </c>
      <c r="D19185" t="inlineStr">
        <is>
          <t>Dagues de Srambad; Amulette Luminescente; Bracelet du Piloztère; Pikano; Ceinture Glaciale; Kidibonnet; Voile d'encre; Pikottes; Dofus Pourpre; Vigoureux majeur; Temporiseur majeur; Nomade; Entraveur majeur; Remueur; Muldo Doré et Pourpre</t>
        </is>
      </c>
    </row>
    <row r="19186">
      <c r="A19186" t="inlineStr">
        <is>
          <t>Stuff 3</t>
        </is>
      </c>
      <c r="B19186">
        <f>HYPERLINK("https://www.dofusbook.net/fr/equipement/317443-stuff-3/objets", "link")</f>
        <v/>
      </c>
      <c r="C19186" t="n">
        <v>15</v>
      </c>
      <c r="D19186" t="inlineStr">
        <is>
          <t>Marteau des égarés; Amulette du Strigide; Bracelet du Piloztère; Alliance Gloursonne; Ceintacé; Coiffe d'Ogivol; Voile d'encre; Bottes du Strigide; Dolmanax; Dofus Turquoise; Dofus Pourpre; Remueur; Vigoureux majeur; Nomade; Kramkram</t>
        </is>
      </c>
    </row>
    <row r="19187">
      <c r="A19187" t="inlineStr">
        <is>
          <t>Stuff 1</t>
        </is>
      </c>
      <c r="B19187">
        <f>HYPERLINK("https://www.dofusbook.net/fr/equipement/317438-stuff-1/objets", "link")</f>
        <v/>
      </c>
      <c r="C19187" t="n">
        <v>0</v>
      </c>
      <c r="D19187" t="inlineStr">
        <is>
          <t>Marteau du Glouragan; Amulette du Glourséleste; Alliance Gloursonne; Bague Gloursonne; Ceinture du Glourséleste; Masque du Glourséleste; Cape du Glourséleste; Bottes du Glourséleste; Dofus des Glaces; Dofus Turquoise; Dofus Émeraude; Dofus Ocre; Dofus Pourpre; Survivant majeur; Kramkram</t>
        </is>
      </c>
    </row>
    <row r="19188">
      <c r="A19188" t="inlineStr">
        <is>
          <t>Stuff 2</t>
        </is>
      </c>
      <c r="B19188">
        <f>HYPERLINK("https://www.dofusbook.net/fr/equipement/317499-stuff-2/objets", "link")</f>
        <v/>
      </c>
      <c r="C19188" t="n">
        <v>0</v>
      </c>
      <c r="D19188" t="inlineStr">
        <is>
          <t>Pelle de la Cour Sombre; Collier du Valet Veinard; Alliance Gloursonne; Gant du Valet Veinard; Menoture; Dorabysses; Cape du Kamasterisk; Baleinabottes; Miraculé majeur; Nomade; Carapace Air majeur; Remueur; Carapace Feu majeur; Cascadeur majeur; Muldo Ebène et Orchidée</t>
        </is>
      </c>
    </row>
    <row r="19189">
      <c r="A19189" t="inlineStr">
        <is>
          <t>Stuff 3</t>
        </is>
      </c>
      <c r="B19189">
        <f>HYPERLINK("https://www.dofusbook.net/fr/equipement/317482-stuff-3/objets", "link")</f>
        <v/>
      </c>
      <c r="C19189" t="n">
        <v>0</v>
      </c>
      <c r="D19189" t="inlineStr">
        <is>
          <t>Marteau des Anciens Steamers; Amulette Voldelor; Anneau Tique; Alliance Gloursonne; Ceintacé; Masque du Barbétoal; Cape Matelassée; Bottes Voldelor; Dofus Turquoise; Dofus Pourpre; Vigoureux majeur; Remueur; Miraculé majeur; Nomade; Muldo Ebène</t>
        </is>
      </c>
    </row>
    <row r="19190">
      <c r="A19190" t="inlineStr">
        <is>
          <t>Stuff 1</t>
        </is>
      </c>
      <c r="B19190">
        <f>HYPERLINK("https://www.dofusbook.net/fr/equipement/317477-stuff-1/objets", "link")</f>
        <v/>
      </c>
      <c r="C19190" t="n">
        <v>0</v>
      </c>
      <c r="D19190" t="inlineStr">
        <is>
          <t>La Baguette des Limbes; Médaille Kido; Anneau Bliteré; Alliance d'Elya Wood; Slip Noze; Chapeau de Dremoan; Cape de l'Obsidiantre; Pantoufles de Soissanth; Dokoko; Dévastateur Feu majeur; Carapace Terre majeur; Remueur; Cuirassé Feu majeur; Érudit majeur; Muldo Orchidée et Pourpre</t>
        </is>
      </c>
    </row>
    <row r="19191">
      <c r="A19191" t="inlineStr">
        <is>
          <t>Stuff 2</t>
        </is>
      </c>
      <c r="B19191">
        <f>HYPERLINK("https://www.dofusbook.net/fr/equipement/317453-stuff-2/objets", "link")</f>
        <v/>
      </c>
      <c r="C19191" t="n">
        <v>0</v>
      </c>
      <c r="D19191" t="inlineStr">
        <is>
          <t>Hache Ériphe; Amulette du Strigide; Bracelet du Piloztère; Anneau des égarés; Ceintacé; Casque des égarés; Cape du Kamasterisk; Baleinabottes; Dofus Turquoise; Dofus Pourpre; Nomade; Vigoureux majeur; Remueur; Muldo Orchidée et Pourpre</t>
        </is>
      </c>
    </row>
    <row r="19192">
      <c r="A19192" t="inlineStr">
        <is>
          <t>Stuff 3</t>
        </is>
      </c>
      <c r="B19192">
        <f>HYPERLINK("https://www.dofusbook.net/fr/equipement/317440-stuff-3/objets", "link")</f>
        <v/>
      </c>
      <c r="C19192" t="n">
        <v>0</v>
      </c>
      <c r="D19192" t="inlineStr">
        <is>
          <t>Marteau du Juge Lou; Amulette de Grozilla; Bracelet du Minotot; Gelano; Pagniglou; Bonnet Ko; Corbacape Mastralis; Bottes du Nowel Cauchemardesque; Nomade; Paralyseur majeur; Remueur; Chanceux majeur; Étourdisseur majeur; Miraculé majeur; Dragodinde Emeraude et Rousse</t>
        </is>
      </c>
    </row>
    <row r="19193">
      <c r="A19193" t="inlineStr">
        <is>
          <t>Stuff 1</t>
        </is>
      </c>
      <c r="B19193">
        <f>HYPERLINK("https://www.dofusbook.net/fr/equipement/317423-stuff-1/objets", "link")</f>
        <v/>
      </c>
      <c r="C19193" t="n">
        <v>0</v>
      </c>
      <c r="D19193" t="inlineStr">
        <is>
          <t>Marteau R'ture; Collier de Tourthon; Anneau du Katcheur; Anneauræus; Ceintacé; Masque du Katcheur; Ankhape; Bottes Trithon; Dofus Émeraude; Dokoko; Nomade; Remueur; Vigoureux majeur; Miraculé majeur; Muldo Orchidée et Pourpre</t>
        </is>
      </c>
    </row>
    <row r="19194">
      <c r="A19194" t="inlineStr">
        <is>
          <t>Stuff 2</t>
        </is>
      </c>
      <c r="B19194">
        <f>HYPERLINK("https://www.dofusbook.net/fr/equipement/317487-stuff-2/objets", "link")</f>
        <v/>
      </c>
      <c r="C19194" t="n">
        <v>0</v>
      </c>
      <c r="D19194" t="inlineStr">
        <is>
          <t>Dagues Érhy; Amulette du Strigide; Bracelet du Piloztère; Anneau Chevelu; Ceintacé; Masque de Koutoulou; Cape au Logis; Bottes du Strigide; Dofus Émeraude; Enragé majeur; Miraculé majeur; Vigoureux majeur; Remueur; Carapace Terre majeur; Muldo Orchidée et Pourpre</t>
        </is>
      </c>
    </row>
    <row r="19195">
      <c r="A19195" t="inlineStr">
        <is>
          <t>Stuff 3</t>
        </is>
      </c>
      <c r="B19195">
        <f>HYPERLINK("https://www.dofusbook.net/fr/equipement/317479-stuff-3/objets", "link")</f>
        <v/>
      </c>
      <c r="C19195" t="n">
        <v>1</v>
      </c>
      <c r="D19195" t="inlineStr">
        <is>
          <t>Épée Brûlâme; Collier de la Dame du Hasard; Anneau Tique; Alliance Gloursonne; Bouclier du Captain Amakna; Ceinture de Kongoku; Kidibonnet; Cape de la Dame du Hasard; Pataugastrique; Dofus Turquoise; Dofus Pourpre; Carapace Terre majeur; Remueur; Vigoureux majeur; Nomade; Muldo Indigo et Orchidée</t>
        </is>
      </c>
    </row>
    <row r="19196">
      <c r="A19196" t="inlineStr">
        <is>
          <t>Stuff 1</t>
        </is>
      </c>
      <c r="B19196">
        <f>HYPERLINK("https://www.dofusbook.net/fr/equipement/317455-stuff-1/objets", "link")</f>
        <v/>
      </c>
      <c r="C19196" t="n">
        <v>0</v>
      </c>
      <c r="D19196" t="inlineStr">
        <is>
          <t>Sceptre du Roi Joueur; Amulette de Shokkoth; Bracelet des Fonds marins; Alliance Gloursonne; Sangle Ouare; Kidibonnet; Cape de Meno; Bottes de Meno; Dofus Turquoise; Dofus Pourpre; Remueur; Temporiseur majeur; Nomade; Chanceux majeur; Kramkram</t>
        </is>
      </c>
    </row>
    <row r="19197">
      <c r="A19197" t="inlineStr">
        <is>
          <t>Stuff 2</t>
        </is>
      </c>
      <c r="B19197">
        <f>HYPERLINK("https://www.dofusbook.net/fr/equipement/317418-stuff-2/objets", "link")</f>
        <v/>
      </c>
      <c r="C19197" t="n">
        <v>0</v>
      </c>
      <c r="D19197" t="inlineStr">
        <is>
          <t>Dagues de Srambad; Amulette du Strigide; Pikano; Bracelet du Piloztère; Ceinture Luminescente; Kidibonnet; Voile d'encre; Pikottes; Dofus Pourpre; Vigoureux majeur; Remueur; Temporiseur majeur; Carapace Eau majeur; Nomade; Muldo Pourpre</t>
        </is>
      </c>
    </row>
    <row r="19198">
      <c r="A19198" t="inlineStr">
        <is>
          <t>Pandawa M 200</t>
        </is>
      </c>
      <c r="B19198">
        <f>HYPERLINK("https://www.dofusbook.net/fr/equipement/5877592-pandawa-m-200/objets", "link")</f>
        <v/>
      </c>
      <c r="C19198" t="n">
        <v>2</v>
      </c>
      <c r="D19198" t="inlineStr">
        <is>
          <t>Marteau R'ture; Amulette Volkorne; Baguistik; Bague Gloursonne; Quatre-feuilles; Ceinture Volkorne; Couronne du Roi Joueur; Cape au Logis; Bottes Honyme; Dofus des Glaces; Dofus Turquoise; Dofus Pourpre; Remueur; Vigoureux majeur; Fonceur majeur; El Scarador</t>
        </is>
      </c>
    </row>
    <row r="19199">
      <c r="A19199" t="inlineStr">
        <is>
          <t>Iop M 199</t>
        </is>
      </c>
      <c r="B19199">
        <f>HYPERLINK("https://www.dofusbook.net/fr/equipement/5859250-iop-m-199/objets", "link")</f>
        <v/>
      </c>
      <c r="C19199" t="n">
        <v>2</v>
      </c>
      <c r="D19199" t="inlineStr">
        <is>
          <t>Arc du Chalœil; Amulette du Strigide; Anneau Crustique; Anneau Crustique; Quatre-feuilles; Ceinture Gence; Masque de Koutoulou; Cape au Logis; Bottes du Strigide; Dofus Turquoise; Dofus des Glaces; Dofus Pourpre; Vigoureux majeur; Enragé majeur; Forcené majeur; Pioute vert</t>
        </is>
      </c>
    </row>
    <row r="19200">
      <c r="A19200" t="inlineStr">
        <is>
          <t>Crâ M 160</t>
        </is>
      </c>
      <c r="B19200">
        <f>HYPERLINK("https://www.dofusbook.net/fr/equipement/5842926-cra-m-160/objets", "link")</f>
        <v/>
      </c>
      <c r="C19200" t="n">
        <v>1</v>
      </c>
      <c r="D19200" t="inlineStr">
        <is>
          <t>Hache du Chalœil; Amulette du Strigide; Alliance Gloursonne; Bracelet du Piloztère; Quatre-feuilles; Ceintacé; Casque du Chalœil; Cape de la Dame du Hasard; Bottes du Strigide; Dofus des Glaces; Dolmanax; Dofus Ocre; Dofus Turquoise; Dofus Nébuleux; Dofus Pourpre; Muldo Prune et Doré</t>
        </is>
      </c>
    </row>
    <row r="19201">
      <c r="A19201" t="inlineStr">
        <is>
          <t>Eniripsa M 200</t>
        </is>
      </c>
      <c r="B19201">
        <f>HYPERLINK("https://www.dofusbook.net/fr/equipement/5842949-eniripsa-m-200/objets", "link")</f>
        <v/>
      </c>
      <c r="C19201" t="n">
        <v>2</v>
      </c>
      <c r="D19201" t="inlineStr">
        <is>
          <t>Arc corrompu; Pendentif affamé; Bague Gloursonne; Anneau Tique; Bouclier du Cycloïde; Ceinture Séculaire; Coiffe Séculaire; Cape de Diondin; Bottes Innommables; Dofus Turquoise; Dofus Pourpre; Érudit majeur; Remueur; Carapace Feu majeur; Nomade; Pioute rouge</t>
        </is>
      </c>
    </row>
    <row r="19202">
      <c r="A19202" t="inlineStr">
        <is>
          <t>Enutrof M 199</t>
        </is>
      </c>
      <c r="B19202">
        <f>HYPERLINK("https://www.dofusbook.net/fr/equipement/5859260-enutrof-m-199/objets", "link")</f>
        <v/>
      </c>
      <c r="C19202" t="n">
        <v>1</v>
      </c>
      <c r="D19202" t="inlineStr">
        <is>
          <t>Marteau R'ture; Amulette des Chocomanciens; Anneau Vicieux; Crocanneau; Bouclier cubiste; Ceinture des Chocomanciens; Couronne du Roi Joueur; Cape du Cœur Saignant; Bottes Lunaires; Dofus Ocre; Dofus Pourpre; Fonceur majeur; Entraveur majeur; Nomade; Temporiseur majeur; Gwo Tofu Ventripotent</t>
        </is>
      </c>
    </row>
    <row r="19203">
      <c r="A19203" t="inlineStr">
        <is>
          <t>Crâ M 199</t>
        </is>
      </c>
      <c r="B19203">
        <f>HYPERLINK("https://www.dofusbook.net/fr/equipement/5859268-cra-m-199/objets", "link")</f>
        <v/>
      </c>
      <c r="C19203" t="n">
        <v>1</v>
      </c>
      <c r="D19203" t="inlineStr">
        <is>
          <t>Hache du Chalœil; Amulette du Strigide; Bracelet du Piloztère; Alliance de Missiz Frizz; Quatre-feuilles; Ceintacé; Casque de Missiz Frizz; Cape de la Dame du Hasard; Pataugastrique; Dofus Pourpre; Dofus Turquoise; Dofus des Glaces; Remueur; Nomade; Vigoureux majeur; Muldo Prune et Doré</t>
        </is>
      </c>
    </row>
    <row r="19204">
      <c r="A19204" t="inlineStr">
        <is>
          <t>Iop M 160</t>
        </is>
      </c>
      <c r="B19204">
        <f>HYPERLINK("https://www.dofusbook.net/fr/equipement/5852760-iop-m-160/objets", "link")</f>
        <v/>
      </c>
      <c r="C19204" t="n">
        <v>1</v>
      </c>
      <c r="D19204" t="inlineStr">
        <is>
          <t>Arc du Chalœil; Amulette du Strigide; Bracelet du Piloztère; Alliance Brûlâme; Quatre-feuilles; Ceinture Volkorne; Casque Volkorne; Cape au Logis; Baleinabottes; Dofus Turquoise; Dofus Pourpre; Dofus des Glaces; Dofus Ocre; Enragé majeur; Vigoureux majeur; Mékrabe</t>
        </is>
      </c>
    </row>
    <row r="19205">
      <c r="A19205" t="inlineStr">
        <is>
          <t>Eliotrope M 200</t>
        </is>
      </c>
      <c r="B19205">
        <f>HYPERLINK("https://www.dofusbook.net/fr/equipement/5842999-eliotrope-m-200/objets", "link")</f>
        <v/>
      </c>
      <c r="C19205" t="n">
        <v>0</v>
      </c>
      <c r="D19205" t="inlineStr"/>
    </row>
    <row r="19206">
      <c r="A19206" t="inlineStr">
        <is>
          <t>Ouginak M 200</t>
        </is>
      </c>
      <c r="B19206">
        <f>HYPERLINK("https://www.dofusbook.net/fr/equipement/5929660-ouginak-m-200/objets", "link")</f>
        <v/>
      </c>
      <c r="C19206" t="n">
        <v>0</v>
      </c>
      <c r="D19206" t="inlineStr">
        <is>
          <t>Manthache; Amulette du Strigide; Gant du Valet Veinard; Alliance Gloursonne; Quatre-feuilles; Ceinture du Barbétoal; Casque Volkorne; Cape Indescriptible; Baleinabottes; Dofus Pourpre; Dofus Turquoise; Dofus des Glaces; Cascadeur majeur; Remueur; Nomade; Blérodoudou</t>
        </is>
      </c>
    </row>
    <row r="19207">
      <c r="A19207" t="inlineStr">
        <is>
          <t>Ecaflip M 200</t>
        </is>
      </c>
      <c r="B19207">
        <f>HYPERLINK("https://www.dofusbook.net/fr/equipement/5842972-ecaflip-m-200/objets", "link")</f>
        <v/>
      </c>
      <c r="C19207" t="n">
        <v>0</v>
      </c>
      <c r="D19207" t="inlineStr">
        <is>
          <t>Arc Volkorne; Amulette Volkorne; Anneau Volkorne; Bracelet du Piloztère; Quatre-feuilles; Ceinture Volkorne; Le Dorado; Cape du Chalœil; Bottes du Chalœil; Dofus des Glaces; Dolmanax; Dofus Ocre; Dofus Pourpre; Dofus Nébuleux; Dofus Turquoise; Chacha Angora</t>
        </is>
      </c>
    </row>
    <row r="19208">
      <c r="A19208" t="inlineStr">
        <is>
          <t>Pandawa M 199</t>
        </is>
      </c>
      <c r="B19208">
        <f>HYPERLINK("https://www.dofusbook.net/fr/equipement/5859304-pandawa-m-199/objets", "link")</f>
        <v/>
      </c>
      <c r="C19208" t="n">
        <v>0</v>
      </c>
      <c r="D19208" t="inlineStr">
        <is>
          <t>Hache du Chalœil; Amulette Volkorne; Bracelet du Piloztère; Anneau Volkorne; Quatre-feuilles; Ceinture Volkorne; Le Dorado; Cape du Chalœil; Bottes du Chalœil; Dofus des Glaces; Dofus Turquoise; Dofus Pourpre; Dofus Nébuleux; Dofus Ocre; Dolmanax; Chacha Angora</t>
        </is>
      </c>
    </row>
    <row r="19209">
      <c r="A19209" t="inlineStr">
        <is>
          <t>Enutrof M 160</t>
        </is>
      </c>
      <c r="B19209">
        <f>HYPERLINK("https://www.dofusbook.net/fr/equipement/5854109-enutrof-m-160/objets", "link")</f>
        <v/>
      </c>
      <c r="C19209" t="n">
        <v>1</v>
      </c>
      <c r="D19209" t="inlineStr"/>
    </row>
    <row r="19210">
      <c r="A19210" t="inlineStr">
        <is>
          <t>Eliotrope M160</t>
        </is>
      </c>
      <c r="B19210">
        <f>HYPERLINK("https://www.dofusbook.net/fr/equipement/5854121-eliotrope-m160/objets", "link")</f>
        <v/>
      </c>
      <c r="C19210" t="n">
        <v>1</v>
      </c>
      <c r="D19210" t="inlineStr">
        <is>
          <t>Arc de Koutoulou; Amulette du Strigide; Bracelet du Piloztère; Alliance Gloursonne; Quatre-feuilles; Ceintacé; Némès de Tal Kasha; Chevelure de Tal Kasha; Sandales  d'Atcham; Dofus Pourpre; Dofus Turquoise; Remueur; Cascadeur majeur; Chanceux majeur; Fonceur majeur; Muldo Prune et Doré</t>
        </is>
      </c>
    </row>
    <row r="19211">
      <c r="A19211" t="inlineStr">
        <is>
          <t>Eniripsa M160</t>
        </is>
      </c>
      <c r="B19211">
        <f>HYPERLINK("https://www.dofusbook.net/fr/equipement/5852796-eniripsa-m160/objets", "link")</f>
        <v/>
      </c>
      <c r="C19211" t="n">
        <v>2</v>
      </c>
      <c r="D19211" t="inlineStr">
        <is>
          <t>Arc corrompu; Amulette Volkorne; Anneau Tique; Bague Gloursonne; Quatre-feuilles; Ceinture Séculaire; Coiffe Séculaire; Cape de Diondin; Pataugastrique; Dofus Turquoise; Dofus Pourpre; Érudit majeur; Carapace Terre majeur; Nomade; Carapace Feu majeur; Pioute rouge</t>
        </is>
      </c>
    </row>
    <row r="19212">
      <c r="A19212" t="inlineStr">
        <is>
          <t>Sram M 200</t>
        </is>
      </c>
      <c r="B19212">
        <f>HYPERLINK("https://www.dofusbook.net/fr/equipement/5834531-sram-m-200/objets", "link")</f>
        <v/>
      </c>
      <c r="C19212" t="n">
        <v>0</v>
      </c>
      <c r="D19212" t="inlineStr">
        <is>
          <t>Dagues Eudin; Kralamansion; Annolamour; Kralano; Ceinture Mycosine; Chapignon; Voile d'encre; Chaussons Pignons</t>
        </is>
      </c>
    </row>
    <row r="19213">
      <c r="A19213" t="inlineStr">
        <is>
          <t>Iop F 200</t>
        </is>
      </c>
      <c r="B19213">
        <f>HYPERLINK("https://www.dofusbook.net/fr/equipement/5799227-iop-f-200/objets", "link")</f>
        <v/>
      </c>
      <c r="C19213" t="n">
        <v>1</v>
      </c>
      <c r="D19213" t="inlineStr">
        <is>
          <t>Arc du Chalœil; Collier de Tourthon; Alliance de Missiz Frizz; Anneau de Brouce; Quatre-feuilles; Ceinture de Brouce; Casque de Missiz Frizz; Cape du Cœur Saignant; Bottes de Brouce; Dofus Turquoise; Dofus Nébuleux; Dofus Ocre; Dofus des Glaces; Dofus Pourpre; Dofus Vulbis; Pioute vert</t>
        </is>
      </c>
    </row>
    <row r="19214">
      <c r="A19214" t="inlineStr">
        <is>
          <t>Crâ F 200</t>
        </is>
      </c>
      <c r="B19214">
        <f>HYPERLINK("https://www.dofusbook.net/fr/equipement/5792735-cra-f-200/objets", "link")</f>
        <v/>
      </c>
      <c r="C19214" t="n">
        <v>0</v>
      </c>
      <c r="D19214" t="inlineStr">
        <is>
          <t>Hache à Lamelles; Collier du Minotot; Bracelet du Minotot; Gelano; Ceinture du Minotot; Coiffe du Minotot; Cape du Minotot; Bottes du Dragoeuf; Dofus Kaliptus; Dofus Pourpre; Dofus Ocre</t>
        </is>
      </c>
    </row>
    <row r="19215">
      <c r="A19215" t="inlineStr">
        <is>
          <t>Sacrieur M 200</t>
        </is>
      </c>
      <c r="B19215">
        <f>HYPERLINK("https://www.dofusbook.net/fr/equipement/5676348-sacrieur-m-200/objets", "link")</f>
        <v/>
      </c>
      <c r="C19215" t="n">
        <v>2</v>
      </c>
      <c r="D19215" t="inlineStr">
        <is>
          <t>Baguetterelle; Kralamansion; Kralano; Annolamour; Ceinture Rasboulaire du Rasboul; Chapignon; Voile d'encre; Bottes du Dragoeuf; Dofus Kaliptus; Dofus Ocre; Dofus Cawotte; Dofus Turquoise; Dofus Émeraude; Dofus Pourpre</t>
        </is>
      </c>
    </row>
    <row r="19216">
      <c r="A19216" t="inlineStr">
        <is>
          <t>Enutrof M 200</t>
        </is>
      </c>
      <c r="B19216">
        <f>HYPERLINK("https://www.dofusbook.net/fr/equipement/5676325-enutrof-m-200/objets", "link")</f>
        <v/>
      </c>
      <c r="C19216" t="n">
        <v>0</v>
      </c>
      <c r="D19216" t="inlineStr">
        <is>
          <t>Ougarteau; Collier du Minotot; Sceau Souverain du Roissingue; Anneau Bliteré; Ceinture Toré; Casque Harnage; Cape Souveraine du Roissingue; Bottes Répané; Dofus Cawotte; Dofus Kaliptus; Dofus Turquoise; Dragodinde Amande</t>
        </is>
      </c>
    </row>
    <row r="19217">
      <c r="A19217" t="inlineStr">
        <is>
          <t>Iop M 200</t>
        </is>
      </c>
      <c r="B19217">
        <f>HYPERLINK("https://www.dofusbook.net/fr/equipement/4099590-iop-m-200/objets", "link")</f>
        <v/>
      </c>
      <c r="C19217" t="n">
        <v>0</v>
      </c>
      <c r="D19217" t="inlineStr">
        <is>
          <t>Baguette de Torkélonia; Amulette du Strigide; Anneau de Padgref; Bracelet du Piloztère; Bouclier du Captain Amakna; Ceinture du Strigide; Coiffe de Padgref; Carapace de Torkélonia; Getas de Padgref; Dofus Turquoise; Dofus des Glaces; Dofus Vulbis; Dofus Pourpre; Dofus Ébène; Dofus Ocre; Sakochère</t>
        </is>
      </c>
    </row>
    <row r="19218">
      <c r="A19218" t="inlineStr">
        <is>
          <t>Stuff 1</t>
        </is>
      </c>
      <c r="B19218">
        <f>HYPERLINK("https://www.dofusbook.net/fr/equipement/239592-stuff-1/objets", "link")</f>
        <v/>
      </c>
      <c r="C19218" t="n">
        <v>0</v>
      </c>
      <c r="D19218" t="inlineStr">
        <is>
          <t>Baguette de Torkélonia; Amulette du Strigide; Bracelet du Piloztère; Anneau de Padgref; Quatre-feuilles; Ceinture du Strigide; Coiffe de Padgref; Carapace de Torkélonia; Getas de Padgref; Dofus Ocre; Dofus des Glaces; Dofus Vulbis; Dofus Pourpre; Dofus Ébène; Dofus Turquoise; Sakochère</t>
        </is>
      </c>
    </row>
    <row r="19219">
      <c r="A19219" t="inlineStr">
        <is>
          <t>EAU</t>
        </is>
      </c>
      <c r="B19219">
        <f>HYPERLINK("https://www.dofusbook.net/fr/equipement/239579-eau/objets", "link")</f>
        <v/>
      </c>
      <c r="C19219" t="n">
        <v>1</v>
      </c>
      <c r="D19219" t="inlineStr">
        <is>
          <t>Dagoulinantes; Amulette de Shokkoth; Pikano; Bracelet des Fonds marins; Bouclier cubiste; Poulpagne; Capuche de l'Œil Putride; Cape de l'Œil Putride; Bottes de la Dame du Hasard; Dofus Turquoise; Remueur; Chanceux majeur; Nomade; Temporiseur majeur; Entraveur majeur; Dehluge</t>
        </is>
      </c>
    </row>
    <row r="19220">
      <c r="A19220" t="inlineStr">
        <is>
          <t>12/6 ultime</t>
        </is>
      </c>
      <c r="B19220">
        <f>HYPERLINK("https://www.dofusbook.net/fr/equipement/3575557-12-6-ultime/objets", "link")</f>
        <v/>
      </c>
      <c r="C19220" t="n">
        <v>10</v>
      </c>
      <c r="D19220" t="inlineStr">
        <is>
          <t>Arc Volkorne; Amulette du Strigide; Bracelet du Piloztère; Anneau de Padgref; Quatre-feuilles; Ceinture du Strigide; Coiffe de Padgref; Voile d'encre; Getas de Padgref; Dolmanax; Dofus des Glaces; Dofus Turquoise; Dofus Pourpre; Dofus Vulbis; Dofus Ocre; Sakochère</t>
        </is>
      </c>
    </row>
    <row r="19221">
      <c r="A19221" t="inlineStr">
        <is>
          <t>AGI</t>
        </is>
      </c>
      <c r="B19221">
        <f>HYPERLINK("https://www.dofusbook.net/fr/equipement/239561-agi/objets", "link")</f>
        <v/>
      </c>
      <c r="C19221" t="n">
        <v>3</v>
      </c>
      <c r="D19221" t="inlineStr">
        <is>
          <t>Pelle de la Cour Sombre; Collier du Valet Veinard; Alliance Gloursonne; Gant du Valet Veinard; Bouclier du Stalak; Ceinture du Nocturlabe; Couronne d'Allister; Cape Indescriptible; Palmes Trithons; Dofus Ocre; Cascadeur majeur; Vigoureux majeur; Remueur; Fonceur majeur; Nomade; Volkorne Ebène</t>
        </is>
      </c>
    </row>
    <row r="19222">
      <c r="A19222" t="inlineStr">
        <is>
          <t>volkornechaloeil</t>
        </is>
      </c>
      <c r="B19222">
        <f>HYPERLINK("https://www.dofusbook.net/fr/equipement/4115412-volkornechaloeil/objets", "link")</f>
        <v/>
      </c>
      <c r="C19222" t="n">
        <v>0</v>
      </c>
      <c r="D19222" t="inlineStr">
        <is>
          <t>Arc Volkorne; Amulette Volkorne; Anneau Volkorne; Bracelet du Piloztère; Bouclier du Captain Amakna; Ceinture Volkorne; Casque du Chalœil; Cape du Chalœil; Bottes du Chalœil; Dofus Turquoise; Dofus des Glaces; Dolmanax; Dofus Pourpre; Dofus Ivoire; Dofus Ocre; Sakochère</t>
        </is>
      </c>
    </row>
    <row r="19223">
      <c r="A19223" t="inlineStr">
        <is>
          <t>Pandawa feu 12/6</t>
        </is>
      </c>
      <c r="B19223">
        <f>HYPERLINK("https://www.dofusbook.net/fr/equipement/4100633-pandawa-feu-12-6/objets", "link")</f>
        <v/>
      </c>
      <c r="C19223" t="n">
        <v>1</v>
      </c>
      <c r="D19223" t="inlineStr">
        <is>
          <t>Arc Hétype; Amulette Volkorne; Anneau Tique; Anneauræus; Bouclier du Stalak; Ceinture Séculaire; Coiffe Séculaire; Voile d'encre; Bottes Innommables; Dofus Ocre; Érudit majeur; Carapace Neutre majeur; Nomade; Remueur; Fonceur majeur; Volkorne Rubis et Orchidée</t>
        </is>
      </c>
    </row>
    <row r="19224">
      <c r="A19224" t="inlineStr">
        <is>
          <t>panda feu</t>
        </is>
      </c>
      <c r="B19224">
        <f>HYPERLINK("https://www.dofusbook.net/fr/equipement/4085012-panda-feu/objets", "link")</f>
        <v/>
      </c>
      <c r="C19224" t="n">
        <v>0</v>
      </c>
      <c r="D19224" t="inlineStr">
        <is>
          <t>Arc Hétype; Amulette Volkorne; Anneau Tique; Anneauræus; Bouclier du Stalak; Ceinture Séculaire; Heaume Oplate; Cape de Diondin; Bottes Innommables; Fonceur majeur; Érudit majeur; Carapace Feu majeur; Dévastateur Feu majeur; Miraculé majeur; Nomade; Kramkram</t>
        </is>
      </c>
    </row>
    <row r="19225">
      <c r="A19225" t="inlineStr">
        <is>
          <t>John terre sans exo</t>
        </is>
      </c>
      <c r="B19225">
        <f>HYPERLINK("https://www.dofusbook.net/fr/equipement/4088099-john-terre-sans-exo/objets", "link")</f>
        <v/>
      </c>
      <c r="C19225" t="n">
        <v>1</v>
      </c>
      <c r="D19225" t="inlineStr">
        <is>
          <t>Marteau R'ture; Collier de Tourthon; Anneau Crustique; Anneau du Comte Harebourg; Bouclier du Captain Amakna; Ceinture Gence; Masque de Koutoulou; Cape au Logis; Bottes du Comte Harebourg; Dofus des Glaces; Dofus Pourpre; Dofus Turquoise; Dofus Vulbis; Dofus Ocre; Enragé majeur; Kokulte</t>
        </is>
      </c>
    </row>
    <row r="19226">
      <c r="A19226" t="inlineStr">
        <is>
          <t>Eliotrope M 200</t>
        </is>
      </c>
      <c r="B19226">
        <f>HYPERLINK("https://www.dofusbook.net/fr/equipement/4094451-eliotrope-m-200/objets", "link")</f>
        <v/>
      </c>
      <c r="C19226" t="n">
        <v>0</v>
      </c>
      <c r="D19226" t="inlineStr"/>
    </row>
    <row r="19227">
      <c r="A19227" t="inlineStr">
        <is>
          <t>Steamer M 200</t>
        </is>
      </c>
      <c r="B19227">
        <f>HYPERLINK("https://www.dofusbook.net/fr/equipement/4094412-steamer-m-200/objets", "link")</f>
        <v/>
      </c>
      <c r="C19227" t="n">
        <v>1</v>
      </c>
      <c r="D19227" t="inlineStr"/>
    </row>
    <row r="19228">
      <c r="A19228" t="inlineStr">
        <is>
          <t>Zobal M 200</t>
        </is>
      </c>
      <c r="B19228">
        <f>HYPERLINK("https://www.dofusbook.net/fr/equipement/4094386-zobal-m-200/objets", "link")</f>
        <v/>
      </c>
      <c r="C19228" t="n">
        <v>0</v>
      </c>
      <c r="D19228" t="inlineStr"/>
    </row>
    <row r="19229">
      <c r="A19229" t="inlineStr">
        <is>
          <t>Ret PM cheap</t>
        </is>
      </c>
      <c r="B19229">
        <f>HYPERLINK("https://www.dofusbook.net/fr/equipement/4088552-ret-pm-cheap/objets", "link")</f>
        <v/>
      </c>
      <c r="C19229" t="n">
        <v>0</v>
      </c>
      <c r="D19229" t="inlineStr">
        <is>
          <t>Marteau R'ture; Amulette du Glourséleste; Anneau Tamie; Anneau Tamie; Bouclier cubiste; Poulpagne; Casquipik; Cape de Léthaline; Pikottes; Temporiseur; Temporiseur majeur; Ralentisseur majeur; Remueur; Entraveur; Entraveur majeur; Volkorne Turquoise</t>
        </is>
      </c>
    </row>
    <row r="19230">
      <c r="A19230" t="inlineStr">
        <is>
          <t>AGI CHEAP</t>
        </is>
      </c>
      <c r="B19230">
        <f>HYPERLINK("https://www.dofusbook.net/fr/equipement/4087569-agi-cheap/objets", "link")</f>
        <v/>
      </c>
      <c r="C19230" t="n">
        <v>1</v>
      </c>
      <c r="D19230" t="inlineStr">
        <is>
          <t>Pelle de la Cour Sombre; Collier du Valet Veinard; Alliance Gloursonne; Bracelet du Piloztère; Bouclier du Stalak; Menoture; Couronne d'Allister; Cape du Valet Veinard; Baleinabottes; Vigoureux majeur; Miraculé majeur; Remueur; Cascadeur majeur; Fonceur majeur; Nomade; Muldo Roux et Amande</t>
        </is>
      </c>
    </row>
    <row r="19231">
      <c r="A19231" t="inlineStr">
        <is>
          <t>PVP LAUL</t>
        </is>
      </c>
      <c r="B19231">
        <f>HYPERLINK("https://www.dofusbook.net/fr/equipement/3934454-pvp-laul/objets", "link")</f>
        <v/>
      </c>
      <c r="C19231" t="n">
        <v>4</v>
      </c>
      <c r="D19231" t="inlineStr">
        <is>
          <t>Baguette Range; Amulette du Strigide; Anneau de Padgref; Bracelet du Piloztère; Quatre-feuilles; Ceinture du Strigide; Coiffe de Padgref; Voile d'encre; Getas de Padgref; Dofus Vulbis; Dofus Ocre; Dofus Turquoise; Dofus Ivoire; Dofus des Glaces; Dofus Pourpre; Chacha Angora</t>
        </is>
      </c>
    </row>
    <row r="19232">
      <c r="A19232" t="inlineStr">
        <is>
          <t>FULL TERRE</t>
        </is>
      </c>
      <c r="B19232">
        <f>HYPERLINK("https://www.dofusbook.net/fr/equipement/2971809-full-terre/objets", "link")</f>
        <v/>
      </c>
      <c r="C19232" t="n">
        <v>1</v>
      </c>
      <c r="D19232" t="inlineStr">
        <is>
          <t>Arc du Chalœil; Collier de Tourthon; Anneau Crustique; Bracelet du Piloztère; Quatre-feuilles; Ceinture de Brouce; Masque de Koutoulou; Cape au Logis; Bottes de Brouce; Dofus Turquoise; Dofus Pourpre; Remueur; Vigoureux majeur; Forcené majeur; Enragé majeur; Kompost</t>
        </is>
      </c>
    </row>
    <row r="19233">
      <c r="A19233" t="inlineStr">
        <is>
          <t>FULAIR</t>
        </is>
      </c>
      <c r="B19233">
        <f>HYPERLINK("https://www.dofusbook.net/fr/equipement/2847766-fulair/objets", "link")</f>
        <v/>
      </c>
      <c r="C19233" t="n">
        <v>0</v>
      </c>
      <c r="D19233" t="inlineStr">
        <is>
          <t>Manthache; Collier du Valet Veinard; Gant du Valet Veinard; Alliance Gloursonne; Bivalve; Menoture; Chapeau de Tournoyé; Cape Indescriptible; Palmes Trithons; Dofus des Glaces; Cascadeur majeur; Nomade; Vigoureux majeur; Dévastateur Air majeur; Remueur; Siroko</t>
        </is>
      </c>
    </row>
    <row r="19234">
      <c r="A19234" t="inlineStr">
        <is>
          <t>Stuff 3</t>
        </is>
      </c>
      <c r="B19234">
        <f>HYPERLINK("https://www.dofusbook.net/fr/equipement/239575-stuff-3/objets", "link")</f>
        <v/>
      </c>
      <c r="C19234" t="n">
        <v>1</v>
      </c>
      <c r="D19234" t="inlineStr">
        <is>
          <t>Harpelle; Pendentif affamé; Baguistik; Lavanneau; Bouclier du Cycloïde; Ceinture Séculaire; Coiffe Séculaire; Cape de Diondin; Bottes Innommables; Guérisseur majeur; Docteur majeur; Carapace Feu majeur; Remueur; Érudit majeur; Nomade; Brûlih</t>
        </is>
      </c>
    </row>
    <row r="19235">
      <c r="A19235" t="inlineStr">
        <is>
          <t>ret PM</t>
        </is>
      </c>
      <c r="B19235">
        <f>HYPERLINK("https://www.dofusbook.net/fr/equipement/3648557-ret-pm/objets", "link")</f>
        <v/>
      </c>
      <c r="C19235" t="n">
        <v>0</v>
      </c>
      <c r="D19235" t="inlineStr">
        <is>
          <t>Pelle de Nidas; Amulette du Glourséleste; Pikano; Anneau Tamie; Bouclier cubiste; Sangle Cible; Coiffe d'Ogivol; Cape de Léthaline; Pikottes; Dofus Ocre; Temporiseur; Ralentisseur majeur; Temporiseur majeur; Remueur; Entraveur majeur; Volkorne Turquoise</t>
        </is>
      </c>
    </row>
    <row r="19236">
      <c r="A19236" t="inlineStr">
        <is>
          <t>ANTICC</t>
        </is>
      </c>
      <c r="B19236">
        <f>HYPERLINK("https://www.dofusbook.net/fr/equipement/2998227-anticc/objets", "link")</f>
        <v/>
      </c>
      <c r="C19236" t="n">
        <v>1</v>
      </c>
      <c r="D19236" t="inlineStr">
        <is>
          <t>Marteau des égarés; Amulette de l'Indicible; Alliance Gloursonne; Bague Gloursonne; Bouclier du Stalak; Ceinture de l'Esprit Salvateur; Masque de l'Esprit Salvateur; Voilamibe; Bottes de l'Esprit Salvateur; Dofus Pourpre; Dofus Ivoire; Dofus Ocre; Dolmanax; Dofus des Glaces; Robuste majeur; Kramkram</t>
        </is>
      </c>
    </row>
    <row r="19237">
      <c r="A19237" t="inlineStr">
        <is>
          <t>FULL TERRE</t>
        </is>
      </c>
      <c r="B19237">
        <f>HYPERLINK("https://www.dofusbook.net/fr/equipement/2954028-full-terre/objets", "link")</f>
        <v/>
      </c>
      <c r="C19237" t="n">
        <v>3</v>
      </c>
      <c r="D19237" t="inlineStr">
        <is>
          <t>Arc du Chalœil; Collier de Tourthon; Anneau Crustique; Bracelet du Piloztère; Quatre-feuilles; Ceinture de Brouce; Masque de Koutoulou; Cape au Logis; Bottes de Brouce; Dofus Ocre; Dofus des Glaces; Dofus Turquoise; Dofus Nébuleux; Dofus Pourpre; Enragé majeur; Kompost</t>
        </is>
      </c>
    </row>
    <row r="19238">
      <c r="A19238" t="inlineStr">
        <is>
          <t>EAU FEU</t>
        </is>
      </c>
      <c r="B19238">
        <f>HYPERLINK("https://www.dofusbook.net/fr/equipement/239573-eau-feu/objets", "link")</f>
        <v/>
      </c>
      <c r="C19238" t="n">
        <v>1</v>
      </c>
      <c r="D19238" t="inlineStr">
        <is>
          <t>Épée Brûlâme; Talisman Igans; Anneauræus; Lavanneau; Bouclier du Cycloïde; Ceintrigue; Masque de l'Esprit Malsain; Cape de Diondin; Bottes de Meno; Dofus des Glaces; Dofus Turquoise; Dolmanax; Remueur; Guérisseur majeur; Nomade; Kramkram</t>
        </is>
      </c>
    </row>
    <row r="19239">
      <c r="A19239" t="inlineStr">
        <is>
          <t>Eniterre lAUL</t>
        </is>
      </c>
      <c r="B19239">
        <f>HYPERLINK("https://www.dofusbook.net/fr/equipement/2919157-eniterre-laul/objets", "link")</f>
        <v/>
      </c>
      <c r="C19239" t="n">
        <v>0</v>
      </c>
      <c r="D19239" t="inlineStr">
        <is>
          <t>Arc du Chalœil; Collier de Tourthon; Anneau de Brouce; Bracelet du Piloztère; Bivalve; Ceinture de la Reine des Voleurs; Masque de Koutoulou; Cape au Logis; Bottes de Brouce; Dofus Pourpre; Dofus des Glaces; Dofus Turquoise; Dofus Ocre; Enragé majeur; Dévastateur Terre majeur; Kompost</t>
        </is>
      </c>
    </row>
    <row r="19240">
      <c r="A19240" t="inlineStr">
        <is>
          <t>FEU EAU</t>
        </is>
      </c>
      <c r="B19240">
        <f>HYPERLINK("https://www.dofusbook.net/fr/equipement/239580-feu-eau/objets", "link")</f>
        <v/>
      </c>
      <c r="C19240" t="n">
        <v>0</v>
      </c>
      <c r="D19240" t="inlineStr">
        <is>
          <t>Épée Brûlâme; Talisman Igans; Lavanneau; Anneau de Nidas; Bouclier cubiste; Poulpagne; Capuche de l'Œil Putride; Cape de l'Œil Putride; Bottes de la Dame du Hasard; Dofus des Glaces; Dofus Pourpre; Entraveur majeur; Remueur; Nomade; Temporiseur majeur; Kramkram</t>
        </is>
      </c>
    </row>
    <row r="19241">
      <c r="A19241" t="inlineStr">
        <is>
          <t>TERRE</t>
        </is>
      </c>
      <c r="B19241">
        <f>HYPERLINK("https://www.dofusbook.net/fr/equipement/239581-terre/objets", "link")</f>
        <v/>
      </c>
      <c r="C19241" t="n">
        <v>0</v>
      </c>
      <c r="D19241" t="inlineStr">
        <is>
          <t>Arc du Chalœil; Amulette Volcanique; Bracelet du Piloztère; Anneau Crustique; Bouclier cubiste; Ceinture Gence; Masque de Koutoulou; Cape du Cœur Saignant; Bottes du Cœur Saignant; Dofus Turquoise; Nomade; Entraveur majeur; Déserteur majeur; Enragé majeur; Temporiseur majeur; Kompost</t>
        </is>
      </c>
    </row>
    <row r="19242">
      <c r="A19242" t="inlineStr">
        <is>
          <t>RET PM</t>
        </is>
      </c>
      <c r="B19242">
        <f>HYPERLINK("https://www.dofusbook.net/fr/equipement/2846333-ret-pm/objets", "link")</f>
        <v/>
      </c>
      <c r="C19242" t="n">
        <v>0</v>
      </c>
      <c r="D19242" t="inlineStr">
        <is>
          <t>Marteau R'ture; Amulette du Glourséleste; Anneau de Nidas; Chevalière du Roi Joueur; Bouclier cubiste; Sangle Cible; Casquipik; Cape de la Dame du Hasard; Bottes du Roi Joueur; Dofus Ocre; Temporiseur; Temporiseur majeur; Ralentisseur majeur; Remueur; Entraveur majeur; Givrefoux</t>
        </is>
      </c>
    </row>
    <row r="19243">
      <c r="A19243" t="inlineStr">
        <is>
          <t>MODE EAU</t>
        </is>
      </c>
      <c r="B19243">
        <f>HYPERLINK("https://www.dofusbook.net/fr/equipement/2810249-mode-eau/objets", "link")</f>
        <v/>
      </c>
      <c r="C19243" t="n">
        <v>0</v>
      </c>
      <c r="D19243" t="inlineStr">
        <is>
          <t>Dagoulinantes; Amulette de Shokkoth; Bracelet des Fonds marins; Alliance Gloursonne; Bouclier du Captain Amakna; Ceinture Voldelor; Kidibonnet; Cape Solution; Bottes Voldelor; Dofus des Glaces; Dofus Pourpre; Dofus Turquoise; Nomade; Miraculé majeur; Vigoureux majeur; Dehluge</t>
        </is>
      </c>
    </row>
    <row r="19244">
      <c r="A19244" t="inlineStr">
        <is>
          <t>Stuff 3</t>
        </is>
      </c>
      <c r="B19244">
        <f>HYPERLINK("https://www.dofusbook.net/fr/equipement/239572-stuff-3/objets", "link")</f>
        <v/>
      </c>
      <c r="C19244" t="n">
        <v>0</v>
      </c>
      <c r="D19244" t="inlineStr">
        <is>
          <t>Sceptre du Roi Joueur; Amulette du Strigide; Bracelet du Piloztère; Anneau de Padgref; Bouclier d'Ilyzaelle; Ceinture du Strigide; Coiffe de Padgref; Cape Luminescente; Getas de Padgref; Dolmanax; Dofus Turquoise; Dofus Émeraude; Dofus Ocre; Dofus Pourpre; Dofus des Glaces; Muldo Doré et Emeraude</t>
        </is>
      </c>
    </row>
    <row r="19245">
      <c r="A19245" t="inlineStr">
        <is>
          <t>Stuff 2</t>
        </is>
      </c>
      <c r="B19245">
        <f>HYPERLINK("https://www.dofusbook.net/fr/equipement/2710345-stuff-2/objets", "link")</f>
        <v/>
      </c>
      <c r="C19245" t="n">
        <v>0</v>
      </c>
      <c r="D19245" t="inlineStr">
        <is>
          <t>Marteau des égarés; Amulette de l'Indicible; Alliance Gloursonne; Bague Gloursonne; Bivalve; Ceinture de l'Esprit Salvateur; Masque de l'Esprit Salvateur; Voilamibe; Bottes de l'Esprit Salvateur; Dofus des Glaces; Dofus Pourpre; Dofus Ocre; Dolmanax; Robuste; Robuste majeur; Kramkram</t>
        </is>
      </c>
    </row>
    <row r="19246">
      <c r="A19246" t="inlineStr">
        <is>
          <t>Stuff 2</t>
        </is>
      </c>
      <c r="B19246">
        <f>HYPERLINK("https://www.dofusbook.net/fr/equipement/2646810-stuff-2/objets", "link")</f>
        <v/>
      </c>
      <c r="C19246" t="n">
        <v>0</v>
      </c>
      <c r="D19246" t="inlineStr">
        <is>
          <t>Lance corrompue; Amulette de l'Indicible; Bague Gloursonne; Alliance Gloursonne; Bouclier du Stalak; Ceinture de l'Esprit Salvateur; Masque de l'Esprit Salvateur; Voilamibe; Bottes de l'Esprit Salvateur; Dofus des Glaces; Dofus Pourpre; Dofus Ocre; Dolmanax; Robuste; Robuste majeur; Kramkram</t>
        </is>
      </c>
    </row>
    <row r="19247">
      <c r="A19247" t="inlineStr">
        <is>
          <t>Stuff 2</t>
        </is>
      </c>
      <c r="B19247">
        <f>HYPERLINK("https://www.dofusbook.net/fr/equipement/2646761-stuff-2/objets", "link")</f>
        <v/>
      </c>
      <c r="C19247" t="n">
        <v>0</v>
      </c>
      <c r="D19247" t="inlineStr">
        <is>
          <t>Arc Ahique; Amulette de l'Indicible; Alliance Gloursonne; Bague Gloursonne; Jadis; Ceinture de l'Esprit Salvateur; Masque de l'Esprit Salvateur; Voilamibe; Bottes de l'Esprit Salvateur; Dofus des Glaces; Dofus Pourpre; Dofus Émeraude; Dofus Ocre; Robuste majeur; Kramkram</t>
        </is>
      </c>
    </row>
    <row r="19248">
      <c r="A19248" t="inlineStr">
        <is>
          <t>Stuff 1</t>
        </is>
      </c>
      <c r="B19248">
        <f>HYPERLINK("https://www.dofusbook.net/fr/equipement/239567-stuff-1/objets", "link")</f>
        <v/>
      </c>
      <c r="C19248" t="n">
        <v>0</v>
      </c>
      <c r="D19248" t="inlineStr">
        <is>
          <t>Arc de Koutoulou; Amulette d'Ilyzaelle; Bracelet du Piloztère; Alliance Gloursonne; Bouclier d'Ilyzaelle; Ceinture du Barbétoal; Casque d'Ilyzaelle; Cape du Barbétoal; Bottes Voldelor; Dofus Ocre; Dolmanax; Dofus Pourpre; Dofus Nébuleux; Dofus des Glaces; Robuste majeur; Muldo Doré</t>
        </is>
      </c>
    </row>
    <row r="19249">
      <c r="A19249" t="inlineStr">
        <is>
          <t>Stuff 2</t>
        </is>
      </c>
      <c r="B19249">
        <f>HYPERLINK("https://www.dofusbook.net/fr/equipement/1125245-stuff-2/objets", "link")</f>
        <v/>
      </c>
      <c r="C19249" t="n">
        <v>0</v>
      </c>
      <c r="D19249" t="inlineStr">
        <is>
          <t>Marteau de Katrepat; Amulette du Strigide; Bague Gloursonne; Anneau de Padgref; Bouclier du Captain Amakna; Ceinture du Strigide; Coiffe de Padgref; Voile d'encre; Getas de Padgref; Dofus des Glaces; Dofus Pourpre; Dofus Ocre; Dolmanax; Dofus Nébuleux; Dofus Turquoise; Muldo Doré et Emeraude</t>
        </is>
      </c>
    </row>
    <row r="19250">
      <c r="A19250" t="inlineStr">
        <is>
          <t>Stuff 2</t>
        </is>
      </c>
      <c r="B19250">
        <f>HYPERLINK("https://www.dofusbook.net/fr/equipement/1251663-stuff-2/objets", "link")</f>
        <v/>
      </c>
      <c r="C19250" t="n">
        <v>0</v>
      </c>
      <c r="D19250" t="inlineStr">
        <is>
          <t>Sabres d'Atcham; Amulette du Strigide; Bracelet du Piloztère; Anneau de Padgref; Bouclier du Cycloïde; Ceinture du Strigide; Coiffe de Padgref; Cape d'Atcham; Getas de Padgref; Dofus Ocre; Dolmanax; Dofus Nébuleux; Dofus Turquoise; Dofus des Glaces; Dofus Pourpre; Muldo Doré et Emeraude</t>
        </is>
      </c>
    </row>
    <row r="19251">
      <c r="A19251" t="inlineStr">
        <is>
          <t>Stuff 1</t>
        </is>
      </c>
      <c r="B19251">
        <f>HYPERLINK("https://www.dofusbook.net/fr/equipement/239589-stuff-1/objets", "link")</f>
        <v/>
      </c>
      <c r="C19251" t="n">
        <v>0</v>
      </c>
      <c r="D19251" t="inlineStr">
        <is>
          <t>Sabres d'Atcham; Amulette du Strigide; Anneau de Padgref; Bracelet du Piloztère; Quatre-feuilles; Ceinture du Strigide; Coiffe de Padgref; Cape d'Atcham; Getas de Padgref; Dofus Ocre; Dolmanax; Dofus Nébuleux; Dofus Turquoise; Dofus des Glaces; Dofus Pourpre; Muldo Doré et Emeraude</t>
        </is>
      </c>
    </row>
    <row r="19252">
      <c r="A19252" t="inlineStr">
        <is>
          <t>Stuff 1</t>
        </is>
      </c>
      <c r="B19252">
        <f>HYPERLINK("https://www.dofusbook.net/fr/equipement/239576-stuff-1/objets", "link")</f>
        <v/>
      </c>
      <c r="C19252" t="n">
        <v>1</v>
      </c>
      <c r="D19252" t="inlineStr">
        <is>
          <t>Sabres d'Atcham; Amulette du Strigide; Bracelet du Piloztère; Anneau de Padgref; Quatre-feuilles; Ceinture du Strigide; Coiffe de Padgref; Cape d'Atcham; Getas de Padgref; Dofus Ocre; Dolmanax; Dofus Nébuleux; Dofus Turquoise; Dofus des Glaces; Dofus Pourpre; Muldo Doré et Emeraude</t>
        </is>
      </c>
    </row>
    <row r="19253">
      <c r="A19253" t="inlineStr">
        <is>
          <t>Stuff 1</t>
        </is>
      </c>
      <c r="B19253">
        <f>HYPERLINK("https://www.dofusbook.net/fr/equipement/239582-stuff-1/objets", "link")</f>
        <v/>
      </c>
      <c r="C19253" t="n">
        <v>0</v>
      </c>
      <c r="D19253" t="inlineStr">
        <is>
          <t>Manthache; Collier du Valet Veinard; Gant du Valet Veinard; Alliance Gloursonne; Ceinture Billonnante; Coiffe de la Reine des Voleurs; Cape Indescriptible; Baleinabottes; Vigoureux majeur; Nomade; Cascadeur majeur; Remueur; Déserteur majeur; Dévastateur Air majeur; Siroko</t>
        </is>
      </c>
    </row>
    <row r="19254">
      <c r="A19254" t="inlineStr">
        <is>
          <t>Stuff 2</t>
        </is>
      </c>
      <c r="B19254">
        <f>HYPERLINK("https://www.dofusbook.net/fr/equipement/239577-stuff-2/objets", "link")</f>
        <v/>
      </c>
      <c r="C19254" t="n">
        <v>0</v>
      </c>
      <c r="D19254" t="inlineStr">
        <is>
          <t>Harpelle; Pendentif affamé; Anneau Tamie; Anneau Tamie; Ceinture Séculaire; Coiffe Séculaire; Cape de Diondin; Bottes Innommables; Dofus des Glaces; Dofus Turquoise; Dévastateur Feu majeur; Remueur; Érudit majeur; Nomade; Brûlih</t>
        </is>
      </c>
    </row>
    <row r="19255">
      <c r="A19255" t="inlineStr">
        <is>
          <t>Stuff 2</t>
        </is>
      </c>
      <c r="B19255">
        <f>HYPERLINK("https://www.dofusbook.net/fr/equipement/239571-stuff-2/objets", "link")</f>
        <v/>
      </c>
      <c r="C19255" t="n">
        <v>0</v>
      </c>
      <c r="D19255" t="inlineStr">
        <is>
          <t>Dagues Érhy; Amulette du Strigide; Alliance de Missiz Frizz; Bague Gloursonne; Ceinture du Strigide; Casque de Missiz Frizz; Cape au Logis; Bottes du Strigide; Dofus des Glaces; Dofus Émeraude; Dofus Pourpre; Dofus Turquoise; Dofus Ocre; Survivant majeur; Homlett</t>
        </is>
      </c>
    </row>
    <row r="19256">
      <c r="A19256" t="inlineStr">
        <is>
          <t>Stuff 3</t>
        </is>
      </c>
      <c r="B19256">
        <f>HYPERLINK("https://www.dofusbook.net/fr/equipement/239591-stuff-3/objets", "link")</f>
        <v/>
      </c>
      <c r="C19256" t="n">
        <v>0</v>
      </c>
      <c r="D19256" t="inlineStr">
        <is>
          <t>Marteau des égarés; Amulette du Strigide; Alliance Gloursonne; Bracelet du Piloztère; Ceinture du Strigide; Coiffe du Lévitrof; Voile d'encre; Baleinabottes; Dofus Turquoise; Dolmanax; Dofus Pourpre; Vigoureux majeur; Nomade; Remueur; Kramkram</t>
        </is>
      </c>
    </row>
    <row r="19257">
      <c r="A19257" t="inlineStr">
        <is>
          <t>Stuff 3</t>
        </is>
      </c>
      <c r="B19257">
        <f>HYPERLINK("https://www.dofusbook.net/fr/equipement/239585-stuff-3/objets", "link")</f>
        <v/>
      </c>
      <c r="C19257" t="n">
        <v>0</v>
      </c>
      <c r="D19257" t="inlineStr">
        <is>
          <t>Sabres d'Atcham; Amulette du Strigide; Alliance Gloursonne; Anneau de Padgref; Ceinture du Strigide; Coiffe de Padgref; Cape d'Atcham; Getas de Padgref; Dofus Ocre; Dofus des Glaces; Dofus Turquoise; Dolmanax; Dofus Pourpre; Voyageur; Kramkram</t>
        </is>
      </c>
    </row>
    <row r="19258">
      <c r="A19258" t="inlineStr">
        <is>
          <t>Stuff 1</t>
        </is>
      </c>
      <c r="B19258">
        <f>HYPERLINK("https://www.dofusbook.net/fr/equipement/239570-stuff-1/objets", "link")</f>
        <v/>
      </c>
      <c r="C19258" t="n">
        <v>1</v>
      </c>
      <c r="D19258" t="inlineStr">
        <is>
          <t>Pelle de Nidas; Amulette du Strigide; Bracelet du Piloztère; Alliance Gloursonne; Ceintacé; Coiffe d'Ogivol; Cape du Chalœil; Bottes du Strigide; Dofus des Glaces; Dofus Pourpre; Dofus Turquoise; Nomade; Miraculé majeur; Remueur; Kramkram</t>
        </is>
      </c>
    </row>
    <row r="19259">
      <c r="A19259" t="inlineStr">
        <is>
          <t>Stuff 2</t>
        </is>
      </c>
      <c r="B19259">
        <f>HYPERLINK("https://www.dofusbook.net/fr/equipement/239590-stuff-2/objets", "link")</f>
        <v/>
      </c>
      <c r="C19259" t="n">
        <v>0</v>
      </c>
      <c r="D19259" t="inlineStr">
        <is>
          <t>Arc du Chalœil; Collier de Tourthon; Anneau Crustique; Anneau de Brouce; Ceinture de Brouce; Masque de Koutoulou; Cape au Logis; Bottes du Comte Harebourg; Dofus Pourpre; Forcené majeur; Remueur; Vigoureux majeur; Nomade; Enragé majeur; Kompost</t>
        </is>
      </c>
    </row>
    <row r="19260">
      <c r="A19260" t="inlineStr">
        <is>
          <t>Stuff 1</t>
        </is>
      </c>
      <c r="B19260">
        <f>HYPERLINK("https://www.dofusbook.net/fr/equipement/239583-stuff-1/objets", "link")</f>
        <v/>
      </c>
      <c r="C19260" t="n">
        <v>0</v>
      </c>
      <c r="D19260" t="inlineStr">
        <is>
          <t>La Baguette des Limbes; Amulette du Renouveau; Anneau de Fraktale; Gelano; Ceinture de Fraktale; Solomonk; Abracapa Ancestrale; Bottes du Wabbit Garou; Dofus Pourpre; Dofus Émeraude; Dofus Cawotte; Dragoune Rose</t>
        </is>
      </c>
    </row>
    <row r="19261">
      <c r="A19261" t="inlineStr">
        <is>
          <t>Stuff 3</t>
        </is>
      </c>
      <c r="B19261">
        <f>HYPERLINK("https://www.dofusbook.net/fr/equipement/239578-stuff-3/objets", "link")</f>
        <v/>
      </c>
      <c r="C19261" t="n">
        <v>0</v>
      </c>
      <c r="D19261" t="inlineStr">
        <is>
          <t>Hache du Chalœil; Amulette du Strigide; Bracelet du Piloztère; Bague Gloursonne; Ceintacé; Coiffe du Lévitrof; Cape du Chalœil; Bottes du Chalœil; Dofus Turquoise; Dofus Pourpre; Miraculé majeur; Carapace Terre majeur; Remueur; Carapace Eau majeur; Muldo Indigo et Pourpre</t>
        </is>
      </c>
    </row>
    <row r="19262">
      <c r="A19262" t="inlineStr">
        <is>
          <t>Stuff 1</t>
        </is>
      </c>
      <c r="B19262">
        <f>HYPERLINK("https://www.dofusbook.net/fr/equipement/239587-stuff-1/objets", "link")</f>
        <v/>
      </c>
      <c r="C19262" t="n">
        <v>0</v>
      </c>
      <c r="D19262" t="inlineStr">
        <is>
          <t>Marteau des égarés; Amulette du Strigide; Bague Gloursonne; Bracelet du Piloztère; Ceintacé; Coiffe d'Ogivol; Cape du Chalœil; Bottes du Chalœil; Dofus des Glaces; Dofus Turquoise; Dofus Pourpre; Nomade; Remueur; Vigoureux majeur; Kramkram</t>
        </is>
      </c>
    </row>
    <row r="19263">
      <c r="A19263" t="inlineStr">
        <is>
          <t>Stuff 3</t>
        </is>
      </c>
      <c r="B19263">
        <f>HYPERLINK("https://www.dofusbook.net/fr/equipement/239563-stuff-3/objets", "link")</f>
        <v/>
      </c>
      <c r="C19263" t="n">
        <v>0</v>
      </c>
      <c r="D19263" t="inlineStr">
        <is>
          <t>Marteau des égarés; Amulette du Strigide; Alliance Gloursonne; Bracelet du Piloztère; Ceinture du Strigide; Chapeau des Malveilleurs; Voile d'encre; Baleinabottes; Bloqueur majeur; Obstructeur majeur; Miraculé majeur; Nomade; Carapace Feu majeur; Remueur; Blokus</t>
        </is>
      </c>
    </row>
    <row r="19264">
      <c r="A19264" t="inlineStr">
        <is>
          <t>Stuff 2</t>
        </is>
      </c>
      <c r="B19264">
        <f>HYPERLINK("https://www.dofusbook.net/fr/equipement/239568-stuff-2/objets", "link")</f>
        <v/>
      </c>
      <c r="C19264" t="n">
        <v>0</v>
      </c>
      <c r="D19264" t="inlineStr">
        <is>
          <t>Dagoulinantes; Amulette de Shokkoth; Alliance Gloursonne; Bracelet des Fonds marins; Ceinture Glaciale; Kidibonnet; Cape de Mantaze; Sandales des Fonds marins; Dofus des Glaces; Chanceux majeur; Miraculé majeur; Remueur; Vigoureux majeur; Nomade; Dehluge</t>
        </is>
      </c>
    </row>
    <row r="19265">
      <c r="A19265" t="inlineStr">
        <is>
          <t>Stuff 3</t>
        </is>
      </c>
      <c r="B19265">
        <f>HYPERLINK("https://www.dofusbook.net/fr/equipement/239569-stuff-3/objets", "link")</f>
        <v/>
      </c>
      <c r="C19265" t="n">
        <v>0</v>
      </c>
      <c r="D19265" t="inlineStr">
        <is>
          <t>Arc Hétype; Pendentif affamé; Anneau Tamie; Anneau Tamie; Ceinture Séculaire; Coiffe Séculaire; Cape de Diondin; Bottes Innommables; Dofus des Glaces; Miraculé majeur; Dévastateur Feu majeur; Remueur; Érudit majeur; Nomade; Brûlih</t>
        </is>
      </c>
    </row>
    <row r="19266">
      <c r="A19266" t="inlineStr">
        <is>
          <t>Test</t>
        </is>
      </c>
      <c r="B19266">
        <f>HYPERLINK("https://www.dofusbook.net/fr/equipement/5966678-test/objets", "link")</f>
        <v/>
      </c>
      <c r="C19266" t="n">
        <v>0</v>
      </c>
      <c r="D19266" t="inlineStr">
        <is>
          <t>Marteau Phossile; Amulette Volkorne; Gant du Valet Veinard; Anneau Rifique; Bouclier d'Ilyzaelle; Ceinture de Vortex; Casque Volkorne; Cape de Jahash Jurgen; Pataugastrique; Dofus Vulbis; Dofus Abyssal; Dofus Ocre; Dofus Ébène; Dofus Argenté; Dofus Ivoire; Willy le Relou</t>
        </is>
      </c>
    </row>
    <row r="19267">
      <c r="A19267" t="inlineStr">
        <is>
          <t>Sacri opti 1v1</t>
        </is>
      </c>
      <c r="B19267">
        <f>HYPERLINK("https://www.dofusbook.net/fr/equipement/5736646-sacri-opti-1v1-/objets", "link")</f>
        <v/>
      </c>
      <c r="C19267" t="n">
        <v>5</v>
      </c>
      <c r="D19267" t="inlineStr">
        <is>
          <t>Arc corrompu; Amulette Volkorne; Anneauræus; Anneau Tique; Trompe-la-Mort; Ceinture Volkorne; Casque Dragoeuf; Cape de Diondin; Chaussures Ardentes; Dofus Émeraude; Dofus Ocre; Dofus Vulbis; Dofus Ébène; Dokoko; Dofus Ivoire; Bisouglours</t>
        </is>
      </c>
    </row>
    <row r="19268">
      <c r="A19268" t="inlineStr">
        <is>
          <t>Jprend-Cher</t>
        </is>
      </c>
      <c r="B19268">
        <f>HYPERLINK("https://www.dofusbook.net/fr/equipement/5706488-jprend-cher/objets", "link")</f>
        <v/>
      </c>
      <c r="C19268" t="n">
        <v>0</v>
      </c>
      <c r="D19268" t="inlineStr">
        <is>
          <t>Dagues Érhy; Amulette Volkorne; Anneauræus; Anneauræus; Droiture de Fallanster; Ceinture Volkorne; Heaume Oplate; Voile d'encre; Bottes Innommables; Dokoko; Dofus Ivoire; Dofus Émeraude; Dofus Ocre; Dofus Ébène; Nomade; Pioute rouge</t>
        </is>
      </c>
    </row>
    <row r="19269">
      <c r="A19269" t="inlineStr">
        <is>
          <t>Terre Move Poudre</t>
        </is>
      </c>
      <c r="B19269">
        <f>HYPERLINK("https://www.dofusbook.net/fr/equipement/5684160-terre-move-poudre/objets", "link")</f>
        <v/>
      </c>
      <c r="C19269" t="n">
        <v>1</v>
      </c>
      <c r="D19269" t="inlineStr">
        <is>
          <t>Arc du Chalœil; Collier de Tourthon; Anneau de Brouce; Anneau du Comte Harebourg; Bouclier du Stalak; Ceinture Volkorne; Coiffe du Comte Harebourg; Cape au Logis; Bottes du Comte Harebourg; Dofus Pourpre; Dofus Ivoire; Dofus Abyssal; Dofus Ocre; Dofus des Glaces; Saccageur Terre majeur; Bulbisou</t>
        </is>
      </c>
    </row>
    <row r="19270">
      <c r="A19270" t="inlineStr">
        <is>
          <t>Intel 6 PO</t>
        </is>
      </c>
      <c r="B19270">
        <f>HYPERLINK("https://www.dofusbook.net/fr/equipement/5684120-intel-6-po-/objets", "link")</f>
        <v/>
      </c>
      <c r="C19270" t="n">
        <v>6</v>
      </c>
      <c r="D19270" t="inlineStr">
        <is>
          <t>Arc corrompu; Amulette de Nileza; Anneauræus; Chevalière du Roi Joueur; Bouclier du Stalak; Croture; Heaume Oplate; Cape de Nileza; Bottes Innommables; Dofus des Glaces; Dofus Ocre; Dofus Ébène; Dofus Ivoire; Nomade; Dévastateur Feu majeur; Bisouglours</t>
        </is>
      </c>
    </row>
    <row r="19271">
      <c r="A19271" t="inlineStr">
        <is>
          <t>INTEL - 200</t>
        </is>
      </c>
      <c r="B19271">
        <f>HYPERLINK("https://www.dofusbook.net/fr/equipement/4129863-intel---200/objets", "link")</f>
        <v/>
      </c>
      <c r="C19271" t="n">
        <v>90</v>
      </c>
      <c r="D19271" t="inlineStr">
        <is>
          <t>Arc corrompu; Amulette Volkorne; Anneauræus; Anneauræus; Bouclier du Stalak; Ceinture Volkorne; Heaume Oplate; Voile d'encre; Bottes Innommables; Dofus des Glaces; Dofus Ivoire; Dofus Ébène; Dofus Ocre; Dofus Abyssal; Nomade; Bisouglours</t>
        </is>
      </c>
    </row>
    <row r="19272">
      <c r="A19272" t="inlineStr">
        <is>
          <t>EAU - 200</t>
        </is>
      </c>
      <c r="B19272">
        <f>HYPERLINK("https://www.dofusbook.net/fr/equipement/4129658-eau---200/objets", "link")</f>
        <v/>
      </c>
      <c r="C19272" t="n">
        <v>22</v>
      </c>
      <c r="D19272" t="inlineStr">
        <is>
          <t>Rapière aux Glyphes; Amulette de Shokkoth; Anneau Volkorne; Alliance Gloursonne; Cadran de Terre; Culotte de Bethel; Masque des Fonds marins; Cape Solution; Chaussons de Macrab; Dofus Abyssal; Dofus Ivoire; Dofus Ébène; Dofus Ocre; Nomade; Étourdisseur majeur; Kanigloups</t>
        </is>
      </c>
    </row>
    <row r="19273">
      <c r="A19273" t="inlineStr">
        <is>
          <t>Julien Low Cost</t>
        </is>
      </c>
      <c r="B19273">
        <f>HYPERLINK("https://www.dofusbook.net/fr/equipement/5578231-julien-low-cost/objets", "link")</f>
        <v/>
      </c>
      <c r="C19273" t="n">
        <v>7</v>
      </c>
      <c r="D19273" t="inlineStr">
        <is>
          <t>L'Épée Nice; Collier du Valet Veinard; Gant du Valet Veinard; Alliance Gloursonne; Bouclier du Stalak; Menoture; Dorabysses; Cape Martegel; Baleinabottes; Dofus Abyssal; Dokoko; Dofus Pourpre; Cascadeur majeur; Nomade; Remueur; Blérodoudou</t>
        </is>
      </c>
    </row>
    <row r="19274">
      <c r="A19274" t="inlineStr">
        <is>
          <t>Tank</t>
        </is>
      </c>
      <c r="B19274">
        <f>HYPERLINK("https://www.dofusbook.net/fr/equipement/5550233-tank/objets", "link")</f>
        <v/>
      </c>
      <c r="C19274" t="n">
        <v>1</v>
      </c>
      <c r="D19274" t="inlineStr">
        <is>
          <t>Epée Loponèze; Collier du Valet Veinard; Alliance Gloursonne; Bracelet du Piloztère; Sept ans de malheur; Menoture; Masque d'Anerice; Cape d'Anerice; Baleinabottes; Dofus Émeraude; Miraculé majeur; Remueur; Obstructeur majeur; Carapace Air majeur; Nomade; Platypus</t>
        </is>
      </c>
    </row>
    <row r="19275">
      <c r="A19275" t="inlineStr">
        <is>
          <t>Agi / 1v1</t>
        </is>
      </c>
      <c r="B19275">
        <f>HYPERLINK("https://www.dofusbook.net/fr/equipement/5511692-agi---1v1/objets", "link")</f>
        <v/>
      </c>
      <c r="C19275" t="n">
        <v>6</v>
      </c>
      <c r="D19275" t="inlineStr">
        <is>
          <t>Pelle de la Cour Sombre; Collier du Valet Veinard; Alliance Gloursonne; Gant du Valet Veinard; Bouclier du Stalak; Menoture; Couronne d'Allister; Cape du Kamasterisk; Palmes Trithons; Dofus Pourpre; Dofus Ivoire; Dofus Vulbis; Dofus Ocre; Dofus Abyssal; Dofus Ébène; Blérodoudou</t>
        </is>
      </c>
    </row>
    <row r="19276">
      <c r="A19276" t="inlineStr">
        <is>
          <t>Non opti</t>
        </is>
      </c>
      <c r="B19276">
        <f>HYPERLINK("https://www.dofusbook.net/fr/equipement/5329401-non-opti/objets", "link")</f>
        <v/>
      </c>
      <c r="C19276" t="n">
        <v>2</v>
      </c>
      <c r="D19276" t="inlineStr">
        <is>
          <t>La Baguette des Limbes; Amulette Volkorne; Anneau de Nidas; Bague Gloursonne; Bouclier du Stalak; Ceinture Séculaire; Coiffe Séculaire; Voile d'encre; Pataugastrique; Dofus Turquoise; Savant majeur; Nomade; Astucieux majeur; Remueur; Érudit majeur; Brûlih</t>
        </is>
      </c>
    </row>
    <row r="19277">
      <c r="A19277" t="inlineStr">
        <is>
          <t>Objectif</t>
        </is>
      </c>
      <c r="B19277">
        <f>HYPERLINK("https://www.dofusbook.net/fr/equipement/5530827-objectif/objets", "link")</f>
        <v/>
      </c>
      <c r="C19277" t="n">
        <v>0</v>
      </c>
      <c r="D19277" t="inlineStr">
        <is>
          <t>Arc du Chalœil; Collier de Tourthon; Anneau de Brouce; Bague Gloursonne; Bouclier du Stalak; Ceinture de la Reine des Voleurs; Coiffe de la Reine des Voleurs; Cape au Logis; Baleinabottes; Dofus Ivoire; Dofus des Glaces; Dofus Ébène; Dévastateur Terre majeur; Remueur; Enragé majeur; Bulbisou</t>
        </is>
      </c>
    </row>
    <row r="19278">
      <c r="A19278" t="inlineStr">
        <is>
          <t>Semi-Opti</t>
        </is>
      </c>
      <c r="B19278">
        <f>HYPERLINK("https://www.dofusbook.net/fr/equipement/5530673-semi-opti/objets", "link")</f>
        <v/>
      </c>
      <c r="C19278" t="n">
        <v>0</v>
      </c>
      <c r="D19278" t="inlineStr">
        <is>
          <t>Arc du Chalœil; Collier de Tourthon; Anneau Chevelu; Anneau Volkorne; Bouclier du Stalak; Ceinture Volkorne; Masque de Koutoulou; Cape au Logis; Baleinabottes; Dofus Pourpre; Dévastateur Terre majeur; Remueur; Vigoureux majeur; Saccageur Terre majeur; Enragé majeur; Bulbisou</t>
        </is>
      </c>
    </row>
    <row r="19279">
      <c r="A19279" t="inlineStr">
        <is>
          <t>RET PM</t>
        </is>
      </c>
      <c r="B19279">
        <f>HYPERLINK("https://www.dofusbook.net/fr/equipement/5519849-ret-pm/objets", "link")</f>
        <v/>
      </c>
      <c r="C19279" t="n">
        <v>0</v>
      </c>
      <c r="D19279" t="inlineStr">
        <is>
          <t>Dagues Açantes; Collier de la Dame du Hasard; Bracelet du Piloztère; Pikano; Bouclier cubiste; Sangle Ouare; Kidibonnet; Cape Matelassée; Pikottes; Ralentisseur majeur; Nomade; Temporiseur majeur; Remueur; Chanceux majeur; Entraveur majeur; Gwo Tofu Ventripotent</t>
        </is>
      </c>
    </row>
    <row r="19280">
      <c r="A19280" t="inlineStr">
        <is>
          <t>Semi-opti</t>
        </is>
      </c>
      <c r="B19280">
        <f>HYPERLINK("https://www.dofusbook.net/fr/equipement/5329373-semi-opti/objets", "link")</f>
        <v/>
      </c>
      <c r="C19280" t="n">
        <v>7</v>
      </c>
      <c r="D19280" t="inlineStr">
        <is>
          <t>Marteau R'ture; Amulette du Strigide; Anneau Volkorne; Bague Gloursonne; Bouclier Taverne; Ceinture Volkorne; Masque de Koutoulou; Cape au Logis; Baleinabottes; Dofus Pourpre; Dofus Turquoise; Forcené majeur; Remueur; Enragé majeur; Nomade; Pioute vert</t>
        </is>
      </c>
    </row>
    <row r="19281">
      <c r="A19281" t="inlineStr">
        <is>
          <t>Opti</t>
        </is>
      </c>
      <c r="B19281">
        <f>HYPERLINK("https://www.dofusbook.net/fr/equipement/5404439-opti/objets", "link")</f>
        <v/>
      </c>
      <c r="C19281" t="n">
        <v>9</v>
      </c>
      <c r="D19281" t="inlineStr">
        <is>
          <t>Marteau R'ture; Amulette du Cœur Saignant; Anneau Volkorne; Anneau Chevelu; Bouclier du Captain Amakna; Ceinture Volkorne; Masque de Funespadon; Cape du Cœur Saignant; Bottes du Cœur Saignant; Dofus Turquoise; Dofus Ocre; Dofus Vulbis; Dofus Ébène; Dofus Pourpre; Dofus Ivoire; Pioute vert</t>
        </is>
      </c>
    </row>
    <row r="19282">
      <c r="A19282" t="inlineStr">
        <is>
          <t>Full eau</t>
        </is>
      </c>
      <c r="B19282">
        <f>HYPERLINK("https://www.dofusbook.net/fr/equipement/5516171-full-eau/objets", "link")</f>
        <v/>
      </c>
      <c r="C19282" t="n">
        <v>1</v>
      </c>
      <c r="D19282" t="inlineStr">
        <is>
          <t>Baguette Hique; Amulette de Shokkoth; Anneau Volkorne; Alliance Gloursonne; Quatre-feuilles; Ceinture de Kongoku; Kidibonnet; Cape de la Dame du Hasard; Bottes de la Dame du Hasard; Dofus Vulbis; Dofus Ocre; Dofus Turquoise; Dofus Ébène; Dofus Pourpre; Dofus Ivoire; Pioute bleu</t>
        </is>
      </c>
    </row>
    <row r="19283">
      <c r="A19283" t="inlineStr">
        <is>
          <t>1v1 Classe CaC</t>
        </is>
      </c>
      <c r="B19283">
        <f>HYPERLINK("https://www.dofusbook.net/fr/equipement/5512905-1v1-classe-cac/objets", "link")</f>
        <v/>
      </c>
      <c r="C19283" t="n">
        <v>6</v>
      </c>
      <c r="D19283" t="inlineStr">
        <is>
          <t>Marteau R'ture; Amulette du Cœur Saignant; Anneau Chevelu; Anneau Volkorne; Bouclier alvéolé; Ceinture Volkorne; Masque de Koutoulou; Cape au Logis; Bottes du Cœur Saignant; Dofus Pourpre; Dofus Ivoire; Dofus Abyssal; Dofus Ocre; Dofus Turquoise; Dofus Ébène; Pioute vert</t>
        </is>
      </c>
    </row>
    <row r="19284">
      <c r="A19284" t="inlineStr">
        <is>
          <t>Intel / Soutien</t>
        </is>
      </c>
      <c r="B19284">
        <f>HYPERLINK("https://www.dofusbook.net/fr/equipement/5512797-intel---soutien/objets", "link")</f>
        <v/>
      </c>
      <c r="C19284" t="n">
        <v>8</v>
      </c>
      <c r="D19284" t="inlineStr">
        <is>
          <t>Baguette de Malléfisk; Amulette Volkorne; Anneau de Nidas; Anneau Tique; Carapar; Ceinture Volkorne; Couronne de Nidas; Voile d'encre; Tongues de Nidas; Dofus Vulbis; Dofus Ocre; Dofus Abyssal; Dofus Ébène; Dofus Pourpre; Dofus Ivoire; Médugivre</t>
        </is>
      </c>
    </row>
    <row r="19285">
      <c r="A19285" t="inlineStr">
        <is>
          <t>Intel Low Cost</t>
        </is>
      </c>
      <c r="B19285">
        <f>HYPERLINK("https://www.dofusbook.net/fr/equipement/5469229-intel-low-cost/objets", "link")</f>
        <v/>
      </c>
      <c r="C19285" t="n">
        <v>0</v>
      </c>
      <c r="D19285" t="inlineStr">
        <is>
          <t>La Baguette des Limbes; Amulette Volkorne; Bague Gloursonne; Anneau de Nidas; Bouclier du Stalak; Ceinture Séculaire; Coiffe Séculaire; Voile d'encre; Pataugastrique; Savant majeur; Nomade; Astucieux majeur; Remueur; Vigoureux majeur; Érudit majeur; Brûlih</t>
        </is>
      </c>
    </row>
    <row r="19286">
      <c r="A19286" t="inlineStr">
        <is>
          <t>Tank/Chance</t>
        </is>
      </c>
      <c r="B19286">
        <f>HYPERLINK("https://www.dofusbook.net/fr/equipement/5437778-tank-chance/objets", "link")</f>
        <v/>
      </c>
      <c r="C19286" t="n">
        <v>2</v>
      </c>
      <c r="D19286" t="inlineStr">
        <is>
          <t>Sceptre du Roi Joueur; Amulette Volkorne; Alliance Gloursonne; Anneau Volkorne; Bouclier d'Ilyzaelle; Sangle Ouare; Masque d'Anerice; Cape d'Anerice; Pataugastrique; Dofus Abyssal; Dofus Ocre; Dofus Émeraude; Dofus Ébène; Dofus Pourpre; Dofus Ivoire; Kramkram</t>
        </is>
      </c>
    </row>
    <row r="19287">
      <c r="A19287" t="inlineStr">
        <is>
          <t>Do crit</t>
        </is>
      </c>
      <c r="B19287">
        <f>HYPERLINK("https://www.dofusbook.net/fr/equipement/5423341-do-crit/objets", "link")</f>
        <v/>
      </c>
      <c r="C19287" t="n">
        <v>9</v>
      </c>
      <c r="D19287" t="inlineStr">
        <is>
          <t>Dagues du Dragoeuf; Amulette du Strigide; Bague Trithon; Bague Gloursonne; Bouclier du Captain Amakna; Ceinture du Strigide; Corne de Torkélonia; Carapace de Torkélonia; Bottes Trithon; Dofus Turquoise; Dofus Ocre; Dofus Vulbis; Dofus Ébène; Dofus Pourpre; Dofus Ivoire; Kokulte</t>
        </is>
      </c>
    </row>
    <row r="19288">
      <c r="A19288" t="inlineStr">
        <is>
          <t>Objectif 2000 force</t>
        </is>
      </c>
      <c r="B19288">
        <f>HYPERLINK("https://www.dofusbook.net/fr/equipement/5436198-objectif-2000-force/objets", "link")</f>
        <v/>
      </c>
      <c r="C19288" t="n">
        <v>4</v>
      </c>
      <c r="D19288" t="inlineStr">
        <is>
          <t>Arc du Chalœil; Collier de Tourthon; Anneau Crustique; Anneau Crustique; Bouclier du Stalak; Ceinture Gence; Coiffe du Comte Harebourg; Cape au Logis; Bottes du Comte Harebourg; Dofus Pourpre; Enragé majeur; Robuste majeur; Forcené majeur; Remueur; Vigoureux majeur; Kompost</t>
        </is>
      </c>
    </row>
    <row r="19289">
      <c r="A19289" t="inlineStr">
        <is>
          <t>Axolita</t>
        </is>
      </c>
      <c r="B19289">
        <f>HYPERLINK("https://www.dofusbook.net/fr/equipement/4484924-axolita/objets", "link")</f>
        <v/>
      </c>
      <c r="C19289" t="n">
        <v>13</v>
      </c>
      <c r="D19289" t="inlineStr">
        <is>
          <t>Manthache; Collier du Valet Veinard; Alliance Gloursonne; Gant du Valet Veinard; Bouclier d'Ilyzaelle; Menoture; Dorabysses; Cape Martegel; Palmes Trithons; Dofus Abyssal; Dofus Pourpre; Nomade; Miraculé majeur; Remueur; Cascadeur majeur; Blérodoudou</t>
        </is>
      </c>
    </row>
    <row r="19290">
      <c r="A19290" t="inlineStr">
        <is>
          <t>Anti-Torkélonia</t>
        </is>
      </c>
      <c r="B19290">
        <f>HYPERLINK("https://www.dofusbook.net/fr/equipement/5416944-anti-torkelonia/objets", "link")</f>
        <v/>
      </c>
      <c r="C19290" t="n">
        <v>25</v>
      </c>
      <c r="D19290" t="inlineStr">
        <is>
          <t>Dagues de Srambad; Amulette du Kamasterisk; Goulano; Crocanneau; Bouclier Bontarien; Ceinture de la Reine des Voleurs; Coiffe de la Reine des Voleurs; Cape au Logis; Goulbottes; Dofus Pourpre; Dofus Ocre; Dofus des Glaces; Dofus Ébène; Dofus Ivoire; Bastion majeur; Wabbit</t>
        </is>
      </c>
    </row>
    <row r="19291">
      <c r="A19291" t="inlineStr">
        <is>
          <t>1.29</t>
        </is>
      </c>
      <c r="B19291">
        <f>HYPERLINK("https://www.dofusbook.net/fr/equipement/5422981-1-29/objets", "link")</f>
        <v/>
      </c>
      <c r="C19291" t="n">
        <v>0</v>
      </c>
      <c r="D19291" t="inlineStr">
        <is>
          <t>Bâton Brageut; Kralamansion; Annolamour; Kralano; Quatre-feuilles; Ceinture de Léthaline; Le Kim; Cape de Léthaline; Bottes de Léthaline; Dofus Pourpre; Dofus Ivoire; Dofus Turquoise; Dofus Ocre; Dofus Émeraude; Dofus Ébène; Dragodinde en armure</t>
        </is>
      </c>
    </row>
    <row r="19292">
      <c r="A19292" t="inlineStr">
        <is>
          <t>Do crit</t>
        </is>
      </c>
      <c r="B19292">
        <f>HYPERLINK("https://www.dofusbook.net/fr/equipement/5416915-do-crit/objets", "link")</f>
        <v/>
      </c>
      <c r="C19292" t="n">
        <v>17</v>
      </c>
      <c r="D19292" t="inlineStr">
        <is>
          <t>Baguette de Torkélonia; Amulette du Strigide; Anneau de Padgref; Bracelet du Piloztère; Quatre-feuilles; Ceinture du Strigide; Corne de Torkélonia; Carapace de Torkélonia; Bottes du Strigide; Dofus des Glaces; Dofus Ivoire; Dofus Pourpre; Dofus Ocre; Dolmanax; Dofus Turquoise; Kokulte</t>
        </is>
      </c>
    </row>
    <row r="19293">
      <c r="A19293" t="inlineStr">
        <is>
          <t>Sram Eau</t>
        </is>
      </c>
      <c r="B19293">
        <f>HYPERLINK("https://www.dofusbook.net/fr/equipement/5208417-sram-eau/objets", "link")</f>
        <v/>
      </c>
      <c r="C19293" t="n">
        <v>19</v>
      </c>
      <c r="D19293" t="inlineStr">
        <is>
          <t>Dagues Açantes; Amulette du Sinistrofu; Anneau Volkorne; Pikano; Bouclier du Captain Amakna; Pagne du Rykaon; Kidibonnet; Cape de la Dame du Hasard; Bottes de la Dame du Hasard; Dofus Ocre; Dofus Pourpre; Dofus Turquoise; Dofus Ébène; Dofus Vulbis; Dofus Ivoire; Pioute bleu</t>
        </is>
      </c>
    </row>
    <row r="19294">
      <c r="A19294" t="inlineStr">
        <is>
          <t>Rall PM Opti</t>
        </is>
      </c>
      <c r="B19294">
        <f>HYPERLINK("https://www.dofusbook.net/fr/equipement/5416033-rall-pm-opti/objets", "link")</f>
        <v/>
      </c>
      <c r="C19294" t="n">
        <v>4</v>
      </c>
      <c r="D19294" t="inlineStr">
        <is>
          <t>Baguette Hique; Collier de la Dame du Hasard; Pikano; Alliance Gloursonne; Bouclier cubiste; Ceinture Luminescente; Kidibonnet; Cape de la Dame du Hasard; Bottes de Meno; Dofus Turquoise; Dofus Pourpre; Dofus Ocre; Dofus Vulbis; Entraveur majeur; Temporiseur majeur; Léopardo</t>
        </is>
      </c>
    </row>
    <row r="19295">
      <c r="A19295" t="inlineStr">
        <is>
          <t>Opti</t>
        </is>
      </c>
      <c r="B19295">
        <f>HYPERLINK("https://www.dofusbook.net/fr/equipement/5396964-opti/objets", "link")</f>
        <v/>
      </c>
      <c r="C19295" t="n">
        <v>8</v>
      </c>
      <c r="D19295" t="inlineStr">
        <is>
          <t>Arc corrompu; Amulette Volkorne; Anneauræus; Anneauræus; Quatre-feuilles; Ceinture Volkorne; Heaume Oplate; Voile d'encre; Bottes Innommables; Dofus Pourpre; Dofus Turquoise; Érudit majeur; Nomade; Vigoureux majeur; Remueur; Pioute rouge</t>
        </is>
      </c>
    </row>
    <row r="19296">
      <c r="A19296" t="inlineStr">
        <is>
          <t>Low Cost</t>
        </is>
      </c>
      <c r="B19296">
        <f>HYPERLINK("https://www.dofusbook.net/fr/equipement/5415776-low-cost/objets", "link")</f>
        <v/>
      </c>
      <c r="C19296" t="n">
        <v>7</v>
      </c>
      <c r="D19296" t="inlineStr">
        <is>
          <t>Arc corrompu; Amulette Volkorne; Anneauræus; Anneau Toriété; Bouclier du Stalak; Ceinture Volkorne; Heaume Oplate; Voile d'encre; Pataugastrique; Dofus Pourpre; Dofus Turquoise; Érudit majeur; Nomade; Remueur; Vigoureux majeur; Pioute rouge</t>
        </is>
      </c>
    </row>
    <row r="19297">
      <c r="A19297" t="inlineStr">
        <is>
          <t>Full Crit</t>
        </is>
      </c>
      <c r="B19297">
        <f>HYPERLINK("https://www.dofusbook.net/fr/equipement/5412503-full-crit/objets", "link")</f>
        <v/>
      </c>
      <c r="C19297" t="n">
        <v>10</v>
      </c>
      <c r="D19297" t="inlineStr">
        <is>
          <t>Baguette de Torkélonia; Amulette du Strigide; Bracelet du Piloztère; Anneau de Padgref; Quatre-feuilles; Ceinture du Strigide; Corne de Torkélonia; Carapace de Torkélonia; Bottes du Strigide; Dofus Turquoise; Dofus Ivoire; Dofus des Glaces; Dofus Ocre; Dofus Pourpre; Dofus Ébène; Kokulte</t>
        </is>
      </c>
    </row>
    <row r="19298">
      <c r="A19298" t="inlineStr">
        <is>
          <t>Semi-Opti</t>
        </is>
      </c>
      <c r="B19298">
        <f>HYPERLINK("https://www.dofusbook.net/fr/equipement/5329563-semi-opti/objets", "link")</f>
        <v/>
      </c>
      <c r="C19298" t="n">
        <v>3</v>
      </c>
      <c r="D19298" t="inlineStr">
        <is>
          <t>Rapière aux Glyphes; Amulette du Sinistrofu; Anneau Volkorne; Alliance Gloursonne; Bouclier du Stalak; Sangle Ouare; Kidibonnet; Cape Solution; Bottes du Sinistrofu; Dofus Pourpre; Dofus Turquoise; Chanceux majeur; Taquin majeur; Remueur; Vigoureux majeur; Pioute bleu</t>
        </is>
      </c>
    </row>
    <row r="19299">
      <c r="A19299" t="inlineStr">
        <is>
          <t>Ikooh</t>
        </is>
      </c>
      <c r="B19299">
        <f>HYPERLINK("https://www.dofusbook.net/fr/equipement/5363197-ikooh/objets", "link")</f>
        <v/>
      </c>
      <c r="C19299" t="n">
        <v>2</v>
      </c>
      <c r="D19299" t="inlineStr">
        <is>
          <t>Baguette Hernelle; Amulette du Granduk; Anneau de Padgref; Alliance Gloursonne; Quatre-feuilles; Menoture; Coiffe de Padgref; Cape de Klime; Baleinabottes; Dofus Pourpre; Dofus Turquoise; Vigoureux majeur; Cascadeur majeur; Nomade; Remueur; Siroko</t>
        </is>
      </c>
    </row>
    <row r="19300">
      <c r="A19300" t="inlineStr">
        <is>
          <t>PVM dans ta gueul</t>
        </is>
      </c>
      <c r="B19300">
        <f>HYPERLINK("https://www.dofusbook.net/fr/equipement/5302639-pvm-dans-ta-gueul/objets", "link")</f>
        <v/>
      </c>
      <c r="C19300" t="n">
        <v>5</v>
      </c>
      <c r="D19300" t="inlineStr">
        <is>
          <t>Dagues d'Ilyzaelle; Amulette du Strigide; Anneau Volkorne; Bague Gloursonne; Bouclier du Captain Amakna; Ceinture Volkorne; Masque de Koutoulou; Cape au Logis; Bottes du Roi Joueur; Dofus Pourpre; Dofus des Glaces; Dofus Turquoise; Vigoureux majeur; Enragé majeur; Remueur; Pioute vert</t>
        </is>
      </c>
    </row>
    <row r="19301">
      <c r="A19301" t="inlineStr">
        <is>
          <t>Do crit</t>
        </is>
      </c>
      <c r="B19301">
        <f>HYPERLINK("https://www.dofusbook.net/fr/equipement/4926113-do-crit/objets", "link")</f>
        <v/>
      </c>
      <c r="C19301" t="n">
        <v>11</v>
      </c>
      <c r="D19301" t="inlineStr">
        <is>
          <t>Arc Nécrotique; Amulette Volkorne; Bague Trithon; Anneau Volkorne; Quatre-feuilles; Ceinture Volkorne; Masque Trithon; Chevelure de Tal Kasha; Bottes Trithon; Dofus Turquoise; Dofus Ivoire; Dofus Ocre; Dofus des Glaces; Dofus Pourpre; Dofus Ébène; Kokulte</t>
        </is>
      </c>
    </row>
    <row r="19302">
      <c r="A19302" t="inlineStr">
        <is>
          <t>Soutenir l.avenir</t>
        </is>
      </c>
      <c r="B19302">
        <f>HYPERLINK("https://www.dofusbook.net/fr/equipement/5298425-soutenir-l-avenir/objets", "link")</f>
        <v/>
      </c>
      <c r="C19302" t="n">
        <v>6</v>
      </c>
      <c r="D19302" t="inlineStr">
        <is>
          <t>Héqache; Torquistik; Alliance Gloursonne; Bague Trithon; Bouclier précieux; Ceinture de Dame Jhessica; Casque Dragoeuf; Cape Solution; Bottistik; Dofus Ivoire; Dofus Émeraude; Dofus Ocre; Obstructeur majeur; Miraculé majeur; Culbuteur majeur; Balafreux</t>
        </is>
      </c>
    </row>
    <row r="19303">
      <c r="A19303" t="inlineStr">
        <is>
          <t>Apporte l.avenir</t>
        </is>
      </c>
      <c r="B19303">
        <f>HYPERLINK("https://www.dofusbook.net/fr/equipement/5298657-apporte-l-avenir/objets", "link")</f>
        <v/>
      </c>
      <c r="C19303" t="n">
        <v>0</v>
      </c>
      <c r="D19303" t="inlineStr">
        <is>
          <t>Marteau R'ture; Collier de Tourthon; Anneau Volkorne; Anneau Chevelu; Droiture de Fallanster; Ceinture Volkorne; Masque de Koutoulou; Cape au Logis; Bottes de la Cour Sombre; Dofus Abyssal; Dofus Ébène; Dofus Émeraude; Dofus Ivoire; Dofus Pourpre; Dofus Ocre; Bulbisou</t>
        </is>
      </c>
    </row>
    <row r="19304">
      <c r="A19304" t="inlineStr">
        <is>
          <t>Porte l.avenir</t>
        </is>
      </c>
      <c r="B19304">
        <f>HYPERLINK("https://www.dofusbook.net/fr/equipement/5298809-porte-l-avenir/objets", "link")</f>
        <v/>
      </c>
      <c r="C19304" t="n">
        <v>0</v>
      </c>
      <c r="D19304" t="inlineStr">
        <is>
          <t>Baguette de Malléfisk; Amulette Volkorne; Anneauræus; Anneauræus; Bouclier du Stalak; Ceinture Volkorne; Heaume Oplate; Voile d'encre; Bottes Innommables; Dofus Ébène; Dofus Ivoire; Dofus Pourpre; Érudit majeur; Nomade; Fonceur majeur; Kougnard</t>
        </is>
      </c>
    </row>
    <row r="19305">
      <c r="A19305" t="inlineStr">
        <is>
          <t>Retire l.avenir</t>
        </is>
      </c>
      <c r="B19305">
        <f>HYPERLINK("https://www.dofusbook.net/fr/equipement/5263975-retire-l-avenir/objets", "link")</f>
        <v/>
      </c>
      <c r="C19305" t="n">
        <v>3</v>
      </c>
      <c r="D19305" t="inlineStr">
        <is>
          <t>L'Épée Nice; Collier de Tourthon; Anneau Crustique; Alliance Gloursonne; Droiture de Fallanster; Menoture; Chapoulpe; Cape de la Cour Sombre; Tentassons; Dofus Ivoire; Dofus Émeraude; Dofus Ocre; Dofus Ébène; Étourdisseur majeur; Miraculé majeur; Drakopin</t>
        </is>
      </c>
    </row>
    <row r="19306">
      <c r="A19306" t="inlineStr">
        <is>
          <t>Plante l.avenir</t>
        </is>
      </c>
      <c r="B19306">
        <f>HYPERLINK("https://www.dofusbook.net/fr/equipement/5298676-plante-l-avenir/objets", "link")</f>
        <v/>
      </c>
      <c r="C19306" t="n">
        <v>0</v>
      </c>
      <c r="D19306" t="inlineStr">
        <is>
          <t>Arc Nécrotique; Amulette Volkorne; Alliance Gloursonne; Anneau Volkorne; Droiture de Fallanster; Ceinture de Kongoku; Capuche de l'Œil Putride; Cape de l'Œil Putride; Pataugastrique; Dofus Pourpre; Dofus Ocre; Dofus Vulbis; Dofus Ébène; Dofus des Glaces; Dofus Ivoire; Gwo Tofu Ventripotent</t>
        </is>
      </c>
    </row>
    <row r="19307">
      <c r="A19307" t="inlineStr">
        <is>
          <t>TAPE AU SORT</t>
        </is>
      </c>
      <c r="B19307">
        <f>HYPERLINK("https://www.dofusbook.net/fr/equipement/5298513-tape-au-sort/objets", "link")</f>
        <v/>
      </c>
      <c r="C19307" t="n">
        <v>0</v>
      </c>
      <c r="D19307" t="inlineStr">
        <is>
          <t>Bâton Beau; Amulette Volkorne; Bague Trithon; Anneau Volkorne; Bouclier du Captain Amakna; Ceinture Volkorne; Masque Trithon; Cape de Jahash Jurgen; Pataugastrique; Dofus Pourpre; Dofus Ivoire; Dofus des Glaces; Dofus Ocre; Dofus Turquoise; Dofus Ébène; Kokulte</t>
        </is>
      </c>
    </row>
    <row r="19308">
      <c r="A19308" t="inlineStr">
        <is>
          <t>La Chance de Crit</t>
        </is>
      </c>
      <c r="B19308">
        <f>HYPERLINK("https://www.dofusbook.net/fr/equipement/5298339-la-chance-de-crit/objets", "link")</f>
        <v/>
      </c>
      <c r="C19308" t="n">
        <v>3</v>
      </c>
      <c r="D19308" t="inlineStr">
        <is>
          <t>Marteau des Anciens Steamers; Amulette Volkorne; Anneau Volkorne; Alliance Gloursonne; Bouclier du Captain Amakna; Sangle Ouare; Némès de Tal Kasha; Chevelure de Tal Kasha; Sandales de Tal Kasha; Dofus Turquoise; Dofus Ivoire; Dofus des Glaces; Dofus Ocre; Dofus Pourpre; Dofus Ébène; Pioute bleu</t>
        </is>
      </c>
    </row>
    <row r="19309">
      <c r="A19309" t="inlineStr">
        <is>
          <t>Toche</t>
        </is>
      </c>
      <c r="B19309">
        <f>HYPERLINK("https://www.dofusbook.net/fr/equipement/5284303-toche/objets", "link")</f>
        <v/>
      </c>
      <c r="C19309" t="n">
        <v>0</v>
      </c>
      <c r="D19309" t="inlineStr">
        <is>
          <t>Epée Toche; Amulette Volkorne; Chevalière du Roi Joueur; Bague Gloursonne; Bouclier alvéolé; Ceinture Volkorne; Heaume Oplate; Voile d'encre; Bottes du Cœur Saignant; Dofus Pourpre; Dofus Ivoire; Dofus Turquoise; Dofus Ocre; Dofus Vulbis; Dofus Ébène; Kokulte</t>
        </is>
      </c>
    </row>
    <row r="19310">
      <c r="A19310" t="inlineStr">
        <is>
          <t>Nécrotique</t>
        </is>
      </c>
      <c r="B19310">
        <f>HYPERLINK("https://www.dofusbook.net/fr/equipement/5284276-necrotique/objets", "link")</f>
        <v/>
      </c>
      <c r="C19310" t="n">
        <v>0</v>
      </c>
      <c r="D19310" t="inlineStr">
        <is>
          <t>Arc Nécrotique; Amulette Volkorne; Anneau Volkorne; Bracelet des Fonds marins; Quatre-feuilles; Ceinture Volkorne; Kidibonnet; Cape de la Dame du Hasard; Bottes de la Dame du Hasard; Dofus Turquoise; Dofus Ocre; Dofus des Glaces; Dofus Ébène; Dofus Pourpre; Dofus Ivoire; Kokulte</t>
        </is>
      </c>
    </row>
    <row r="19311">
      <c r="A19311" t="inlineStr">
        <is>
          <t>Ret PA/PM</t>
        </is>
      </c>
      <c r="B19311">
        <f>HYPERLINK("https://www.dofusbook.net/fr/equipement/5265027-ret-pa-pm/objets", "link")</f>
        <v/>
      </c>
      <c r="C19311" t="n">
        <v>3</v>
      </c>
      <c r="D19311" t="inlineStr">
        <is>
          <t>Lav'Hache; Amulette du Cœur Saignant; Anneau Crustique; Chevalière du Roi Joueur; Cadran de Terre; Ceintouse; Chapoulpe; Cape du Cœur Saignant; Bottes du Cœur Saignant; Dofus Turquoise; Dofus Ocre; Dofus Vulbis; Dofus Ébène; Dofus Pourpre; Dofus Ivoire; Volkorne Ivoire et Turquoise</t>
        </is>
      </c>
    </row>
    <row r="19312">
      <c r="A19312" t="inlineStr">
        <is>
          <t>Full Intel</t>
        </is>
      </c>
      <c r="B19312">
        <f>HYPERLINK("https://www.dofusbook.net/fr/equipement/5265150-full-intel/objets", "link")</f>
        <v/>
      </c>
      <c r="C19312" t="n">
        <v>0</v>
      </c>
      <c r="D19312" t="inlineStr">
        <is>
          <t>Baguette de Malléfisk; Amulette Volkorne; Anneauræus; Anneauræus; Bouclier du Stalak; Ceinture Volkorne; Heaume Oplate; Voile d'encre; Bottes Innommables; Dofus Ocre; Dofus Vulbis; Dofus Ébène; Dofus Pourpre; Dofus Ivoire; Érudit majeur; Bisouglours</t>
        </is>
      </c>
    </row>
    <row r="19313">
      <c r="A19313" t="inlineStr">
        <is>
          <t>Agi mêlée</t>
        </is>
      </c>
      <c r="B19313">
        <f>HYPERLINK("https://www.dofusbook.net/fr/equipement/5278365-agi-melee/objets", "link")</f>
        <v/>
      </c>
      <c r="C19313" t="n">
        <v>1</v>
      </c>
      <c r="D19313" t="inlineStr">
        <is>
          <t>Manthache; Collier du Valet Veinard; Alliance Gloursonne; Gant du Valet Veinard; Bouclier d'Ilyzaelle; Menoture; Dorabysses; Cape Martegel; Palmes Trithons; Dofus Ébène; Dofus Ivoire; Dofus Pourpre; Dofus Émeraude; Nomade; Remueur; Blérodoudou</t>
        </is>
      </c>
    </row>
    <row r="19314">
      <c r="A19314" t="inlineStr">
        <is>
          <t>Full eau</t>
        </is>
      </c>
      <c r="B19314">
        <f>HYPERLINK("https://www.dofusbook.net/fr/equipement/5278335-full-eau/objets", "link")</f>
        <v/>
      </c>
      <c r="C19314" t="n">
        <v>3</v>
      </c>
      <c r="D19314" t="inlineStr">
        <is>
          <t>Dagoulinantes; Amulette de Shokkoth; Anneau Volkorne; Alliance Gloursonne; Bouclier d'Ilyzaelle; Poulpagne; Capuche de l'Œil Attentif; Cape de la Dame du Hasard; Bottes de la Dame du Hasard; Dofus Turquoise; Dofus Ébène; Dofus Ivoire; Dofus Pourpre; Remueur; Nomade; Pioute bleu</t>
        </is>
      </c>
    </row>
    <row r="19315">
      <c r="A19315" t="inlineStr">
        <is>
          <t>Support</t>
        </is>
      </c>
      <c r="B19315">
        <f>HYPERLINK("https://www.dofusbook.net/fr/equipement/5278259-support/objets", "link")</f>
        <v/>
      </c>
      <c r="C19315" t="n">
        <v>4</v>
      </c>
      <c r="D19315" t="inlineStr">
        <is>
          <t>Baguette de Malléfisk; Amulette Volkorne; Baguistik; Anneau de Nidas; Carapar; Ceinture Volkorne; Casque Dragoeuf; Cape de Diondin; Bottes Innommables; Dofus Ébène; Dofus Émeraude; Dofus Ivoire; Nomade; Érudit majeur; Remueur; Atouin</t>
        </is>
      </c>
    </row>
    <row r="19316">
      <c r="A19316" t="inlineStr">
        <is>
          <t>Esquive PA</t>
        </is>
      </c>
      <c r="B19316">
        <f>HYPERLINK("https://www.dofusbook.net/fr/equipement/5277712-esquive-pa/objets", "link")</f>
        <v/>
      </c>
      <c r="C19316" t="n">
        <v>4</v>
      </c>
      <c r="D19316" t="inlineStr">
        <is>
          <t>Arc du Chalœil; Amulette du Strigide; Anneau Volkorne; Anneau Chevelu; Écorce de Brouce; Ceinture Volkorne; Masque de Koutoulou; Voile d'encre; Pantoufles du Piloztère; Dofus Ivoire; Dofus Pourpre; Dofus Turquoise; Évasif majeur; Nomade; Remueur; Petit Chacha Blanc</t>
        </is>
      </c>
    </row>
    <row r="19317">
      <c r="A19317" t="inlineStr">
        <is>
          <t>Perco Esquive PA</t>
        </is>
      </c>
      <c r="B19317">
        <f>HYPERLINK("https://www.dofusbook.net/fr/equipement/5277358-perco-esquive-pa/objets", "link")</f>
        <v/>
      </c>
      <c r="C19317" t="n">
        <v>3</v>
      </c>
      <c r="D19317" t="inlineStr">
        <is>
          <t>Arc de Koutoulou; Amulette d'Ilyzaelle; Alliance Gloursonne; Bague Instable; Bouclier Taverne; Sangle Ouare; Masque Paztek; Cape Solution; Sandales Paztek; Dofus Émeraude; Dofus Ivoire; Bousculeur majeur; Évasif majeur; Culbuteur majeur; Remueur; Écumouth</t>
        </is>
      </c>
    </row>
    <row r="19318">
      <c r="A19318" t="inlineStr">
        <is>
          <t>Bistouillade</t>
        </is>
      </c>
      <c r="B19318">
        <f>HYPERLINK("https://www.dofusbook.net/fr/equipement/5265081-bistouillade/objets", "link")</f>
        <v/>
      </c>
      <c r="C19318" t="n">
        <v>4</v>
      </c>
      <c r="D19318" t="inlineStr">
        <is>
          <t>Crocobur; Amulette du Cœur Saignant; Anneau Chevelu; Anneau Crustique; Droiture de Fallanster; Ceinture de la Cour Sombre; Casque Dragoeuf; Cape de la Cour Sombre; Baleinabottes; Dofus Ivoire; Dofus Pourpre; Dofus Émeraude; Nomade; Remueur; Enragé majeur; Pioute vert</t>
        </is>
      </c>
    </row>
    <row r="19319">
      <c r="A19319" t="inlineStr">
        <is>
          <t>Mode esq</t>
        </is>
      </c>
      <c r="B19319">
        <f>HYPERLINK("https://www.dofusbook.net/fr/equipement/5264943-mode-esq/objets", "link")</f>
        <v/>
      </c>
      <c r="C19319" t="n">
        <v>3</v>
      </c>
      <c r="D19319" t="inlineStr">
        <is>
          <t>Rapière aux Glyphes; Amulette du Sinistrofu; Alliance Gloursonne; Bague Instable; Bouclier Taverne; Poulpagne; Masque Paztek; Cape Paztek; Bottes Trithon; Dofus Ivoire; Dofus Ocre; Cavaleur majeur; Bousculeur majeur; Évasif majeur; Culbuteur majeur; Balafreux</t>
        </is>
      </c>
    </row>
    <row r="19320">
      <c r="A19320" t="inlineStr">
        <is>
          <t>Soin sa mere</t>
        </is>
      </c>
      <c r="B19320">
        <f>HYPERLINK("https://www.dofusbook.net/fr/equipement/5264871-soin-sa-mere/objets", "link")</f>
        <v/>
      </c>
      <c r="C19320" t="n">
        <v>0</v>
      </c>
      <c r="D19320" t="inlineStr">
        <is>
          <t>Le Thanos; Pendentif affamé; Bague Gloursonne; Anneau de Nidas; Carapar; Ceinture de Vortex; Couronne de Nidas; Cape de Diondin; Bottes Innommables; Dofus Ocre; Dofus Ivoire; Guérisseur majeur; Nomade; Érudit majeur; Docteur majeur; Meuch</t>
        </is>
      </c>
    </row>
    <row r="19321">
      <c r="A19321" t="inlineStr">
        <is>
          <t>Embu/Volkorne</t>
        </is>
      </c>
      <c r="B19321">
        <f>HYPERLINK("https://www.dofusbook.net/fr/equipement/4354101-embu-volkorne/objets", "link")</f>
        <v/>
      </c>
      <c r="C19321" t="n">
        <v>1</v>
      </c>
      <c r="D19321" t="inlineStr">
        <is>
          <t>Arc Volkorne; Amulette Volkorne; Bague Trithon; Anneau Volkorne; Quatre-feuilles; Ceinture Volkorne; Masque Trithon; Chevelure de Tal Kasha; Bottes Trithon; Dofus Turquoise; Dofus Ivoire; Dofus Nébuleux; Dofus Ocre; Dofus Pourpre; Dofus Ébène; Kokulte</t>
        </is>
      </c>
    </row>
    <row r="19322">
      <c r="A19322" t="inlineStr">
        <is>
          <t>Soufle</t>
        </is>
      </c>
      <c r="B19322">
        <f>HYPERLINK("https://www.dofusbook.net/fr/equipement/5263768-soufle/objets", "link")</f>
        <v/>
      </c>
      <c r="C19322" t="n">
        <v>1</v>
      </c>
      <c r="D19322" t="inlineStr">
        <is>
          <t>Baguette Hernelle; Amulette du Strigide; Alliance Gloursonne; Anneau de Padgref; Quatre-feuilles; Ceinture du Strigide; Coiffe de Padgref; Cape d'Atcham; Getas de Padgref; Dofus Turquoise; Dofus Ivoire; Dofus Vulbis; Dofus Pourpre; Dofus Ocre; Dofus Ébène; Kokulte</t>
        </is>
      </c>
    </row>
    <row r="19323">
      <c r="A19323" t="inlineStr">
        <is>
          <t>Intel/Cac</t>
        </is>
      </c>
      <c r="B19323">
        <f>HYPERLINK("https://www.dofusbook.net/fr/equipement/5262509-intel-cac/objets", "link")</f>
        <v/>
      </c>
      <c r="C19323" t="n">
        <v>4</v>
      </c>
      <c r="D19323" t="inlineStr">
        <is>
          <t>Harpelle; Amulette Volkorne; Anneauræus; Anneauræus; Cadran d'Eau; Ceinture Volkorne; Heaume Oplate; Voile d'encre; Bottes Innommables; Dofus Ébène; Dofus Ivoire; Dofus Turquoise; Dofus Ocre; Dofus Pourpre; Nomade; Pioute rouge</t>
        </is>
      </c>
    </row>
    <row r="19324">
      <c r="A19324" t="inlineStr">
        <is>
          <t>Je soufle</t>
        </is>
      </c>
      <c r="B19324">
        <f>HYPERLINK("https://www.dofusbook.net/fr/equipement/5262068-je-soufle-/objets", "link")</f>
        <v/>
      </c>
      <c r="C19324" t="n">
        <v>3</v>
      </c>
      <c r="D19324" t="inlineStr">
        <is>
          <t>Plume de Buhorado; Amibou; Alliance Gloursonne; Gant du Valet Veinard; Bouclier Taverne; Ceinture du Nocturlabe; Chapibou; Cape Solution; Bottes du Cœur Vaillant; Dofus Ivoire; Dofus Ocre; Dofus Turquoise; Dofus Ébène; Culbuteur majeur; Bousculeur majeur; Tofoudre</t>
        </is>
      </c>
    </row>
    <row r="19325">
      <c r="A19325" t="inlineStr">
        <is>
          <t>JE TAPE</t>
        </is>
      </c>
      <c r="B19325">
        <f>HYPERLINK("https://www.dofusbook.net/fr/equipement/5261935-je-tape/objets", "link")</f>
        <v/>
      </c>
      <c r="C19325" t="n">
        <v>0</v>
      </c>
      <c r="D19325" t="inlineStr">
        <is>
          <t>Arc corrompu; Amulette Volkorne; Anneauræus; Anneauræus; Bouclier du Stalak; Ceinture Volkorne; Heaume Oplate; Voile d'encre; Bottes Innommables; Dofus Ivoire; Dofus Ébène; Dofus Pourpre; Dofus Turquoise; Nomade; Remueur; Brûlih</t>
        </is>
      </c>
    </row>
    <row r="19326">
      <c r="A19326" t="inlineStr">
        <is>
          <t>Twink 200</t>
        </is>
      </c>
      <c r="B19326">
        <f>HYPERLINK("https://www.dofusbook.net/fr/equipement/4735889-twink-200/objets", "link")</f>
        <v/>
      </c>
      <c r="C19326" t="n">
        <v>4</v>
      </c>
      <c r="D19326" t="inlineStr">
        <is>
          <t>Épée Brûlâme; Amulette Volkorne; Lavanneau; Anneau Volkorne; Bouclier d'Ilyzaelle; Ceintrigue; Casque Volkorne; Cape Solution; Bottes Owesli; Dofus Ocre; Dofus des Glaces; Dofus Ébène; Dofus Pourpre; Dofus Ivoire; Dofus Turquoise; Walk</t>
        </is>
      </c>
    </row>
    <row r="19327">
      <c r="A19327" t="inlineStr">
        <is>
          <t>Original</t>
        </is>
      </c>
      <c r="B19327">
        <f>HYPERLINK("https://www.dofusbook.net/fr/equipement/5257709-original/objets", "link")</f>
        <v/>
      </c>
      <c r="C19327" t="n">
        <v>2</v>
      </c>
      <c r="D19327" t="inlineStr">
        <is>
          <t>Hache Ériphe; Amulette du Strigide; Alliance Gloursonne; Anneau des égarés; Bouclier du Stalak; Ceinture de la Reine des Voleurs; Coiffe de la Reine des Voleurs; Cape de Jahash Jurgen; Baleinabottes; Dofus Ivoire; Dofus Pourpre; Dofus Ocre; Dofus Vulbis; Dofus Ébène; Dofus des Glaces; Mékrabe</t>
        </is>
      </c>
    </row>
    <row r="19328">
      <c r="A19328" t="inlineStr">
        <is>
          <t>UN-INTER</t>
        </is>
      </c>
      <c r="B19328">
        <f>HYPERLINK("https://www.dofusbook.net/fr/equipement/4528496-un-inter/objets", "link")</f>
        <v/>
      </c>
      <c r="C19328" t="n">
        <v>10</v>
      </c>
      <c r="D19328" t="inlineStr">
        <is>
          <t>Rapière aux Glyphes; Amulette du Sinistrofu; Anneau Volkorne; Alliance Gloursonne; Bouclier Taverne; Sangle Ouare; Masque Paztek; Cape Solution; Sandales Paztek; Dofus Ivoire; Dofus Pourpre; Dofus Ocre; Chanceux majeur; Culbuteur majeur; Bousculeur majeur; Écumouth</t>
        </is>
      </c>
    </row>
    <row r="19329">
      <c r="A19329" t="inlineStr">
        <is>
          <t>Twink 200</t>
        </is>
      </c>
      <c r="B19329">
        <f>HYPERLINK("https://www.dofusbook.net/fr/equipement/4731845-twink-200/objets", "link")</f>
        <v/>
      </c>
      <c r="C19329" t="n">
        <v>4</v>
      </c>
      <c r="D19329" t="inlineStr">
        <is>
          <t>Hachoirs de Viandargh; Torquistik; Bague Trithon; Bague Instable; Bouclier précieux; Ceinture Gence; Masque Paztek; Cape Solution; Bottistik; Dofus Ivoire; Bousculeur; Culbuteur majeur; Bousculeur majeur; Pousseur majeur; Culbuteur; Balafreux</t>
        </is>
      </c>
    </row>
    <row r="19330">
      <c r="A19330" t="inlineStr">
        <is>
          <t>xel feu</t>
        </is>
      </c>
      <c r="B19330">
        <f>HYPERLINK("https://www.dofusbook.net/fr/equipement/5201563-xel-feu/objets", "link")</f>
        <v/>
      </c>
      <c r="C19330" t="n">
        <v>0</v>
      </c>
      <c r="D19330" t="inlineStr">
        <is>
          <t>Arc corrompu; Amulette Volkorne; Anneauræus; Anneauræus; Bouclier du Stalak; Ceinture Volkorne; Diadème de Ganymède; Cape de Jahash Jurgen; Bottes Innommables; Dofus Ivoire; Dofus Abyssal; Dofus Ocre; Dofus Ébène; Dofus Pourpre; Érudit majeur; Bisouglours</t>
        </is>
      </c>
    </row>
    <row r="19331">
      <c r="A19331" t="inlineStr">
        <is>
          <t>Tim</t>
        </is>
      </c>
      <c r="B19331">
        <f>HYPERLINK("https://www.dofusbook.net/fr/equipement/5047657-tim/objets", "link")</f>
        <v/>
      </c>
      <c r="C19331" t="n">
        <v>0</v>
      </c>
      <c r="D19331" t="inlineStr"/>
    </row>
    <row r="19332">
      <c r="A19332" t="inlineStr">
        <is>
          <t>Cheat</t>
        </is>
      </c>
      <c r="B19332">
        <f>HYPERLINK("https://www.dofusbook.net/fr/equipement/4732019-cheat/objets", "link")</f>
        <v/>
      </c>
      <c r="C19332" t="n">
        <v>5</v>
      </c>
      <c r="D19332" t="inlineStr">
        <is>
          <t>Plume de Buhorado; Amulette du Cœur Vaillant; Alliance Gloursonne; Gant du Valet Veinard; Bouclier Taverne; Ceinture Gence; Chapibou; Capibou; Bottes des Malveilleurs; Dofus Turquoise; Dofus Pourpre; Dofus Ivoire; Dofus Ocre; Cascadeur majeur; Culbuteur majeur; Tofoudre</t>
        </is>
      </c>
    </row>
    <row r="19333">
      <c r="A19333" t="inlineStr">
        <is>
          <t>Fourbe 3 - Air/Feu</t>
        </is>
      </c>
      <c r="B19333">
        <f>HYPERLINK("https://www.dofusbook.net/fr/equipement/4655929-fourbe-3---air-feu/objets", "link")</f>
        <v/>
      </c>
      <c r="C19333" t="n">
        <v>10</v>
      </c>
      <c r="D19333" t="inlineStr">
        <is>
          <t>Marteau Phossile; Amulette Volkorne; Alliance Gloursonne; Anneau Rifique; Bouclier cubiste; Menoture; Casque Volkorne; Cape de Diondin; Sabots de Vortex; Dofus Pourpre; Vigoureux majeur; Nomade; Temporiseur majeur; Remueur; Entraveur majeur; Gwo Tofu Ventripotent</t>
        </is>
      </c>
    </row>
    <row r="19334">
      <c r="A19334" t="inlineStr">
        <is>
          <t>Panda eau</t>
        </is>
      </c>
      <c r="B19334">
        <f>HYPERLINK("https://www.dofusbook.net/fr/equipement/4685877-panda-eau/objets", "link")</f>
        <v/>
      </c>
      <c r="C19334" t="n">
        <v>0</v>
      </c>
      <c r="D19334" t="inlineStr">
        <is>
          <t>Epée Loponèze; Amulette Luminescente; Anneau Volkorne; Alliance Gloursonne; Bouclier du Stalak; Ceinture Luminescente; Masque des Fonds marins; Cape Luminescente; Sandales des Fonds marins; Dolmanax; Dofus Pourpre; Dofus des Glaces; Dofus Ivoire; Dofus Abyssal; Dofus Ocre; Muldo Doré et Amande</t>
        </is>
      </c>
    </row>
    <row r="19335">
      <c r="A19335" t="inlineStr">
        <is>
          <t>Bistouille-opti</t>
        </is>
      </c>
      <c r="B19335">
        <f>HYPERLINK("https://www.dofusbook.net/fr/equipement/4666156-bistouille-opti/objets", "link")</f>
        <v/>
      </c>
      <c r="C19335" t="n">
        <v>1</v>
      </c>
      <c r="D19335" t="inlineStr">
        <is>
          <t>Crocobur; Amulette Volkorne; Anneau Volkorne; Anneau Crustique; Droiture de Fallanster; Ceinture de la Cour Sombre; Casque Volkorne; Cape de la Cour Sombre; Bottes de la Cour Sombre; Dofus Émeraude; Dofus Abyssal; Dofus Pourpre; Dofus Ivoire; Dofus Ocre; Bloqueur majeur; Volkorne Pourpre</t>
        </is>
      </c>
    </row>
    <row r="19336">
      <c r="A19336" t="inlineStr">
        <is>
          <t>Anti-Eca</t>
        </is>
      </c>
      <c r="B19336">
        <f>HYPERLINK("https://www.dofusbook.net/fr/equipement/4666775-anti-eca/objets", "link")</f>
        <v/>
      </c>
      <c r="C19336" t="n">
        <v>9</v>
      </c>
      <c r="D19336" t="inlineStr">
        <is>
          <t>Dagues de Srambad; Amulette de Pol Ouatnos; Goulano; Anneau en Grithril; Bouclier du Stalak; Ceinture de la Reine des Voleurs; Coiffe de la Reine des Voleurs; Cape du Chalœil; Baleinabottes; Dofus Ivoire; Dofus Pourpre; Dofus Ébène; Dofus Ocre; Fortification majeure; Bastion majeur; Wabbit</t>
        </is>
      </c>
    </row>
    <row r="19337">
      <c r="A19337" t="inlineStr">
        <is>
          <t>Fourbe Glyphe</t>
        </is>
      </c>
      <c r="B19337">
        <f>HYPERLINK("https://www.dofusbook.net/fr/equipement/4647583-fourbe-glyphe/objets", "link")</f>
        <v/>
      </c>
      <c r="C19337" t="n">
        <v>23</v>
      </c>
      <c r="D19337" t="inlineStr">
        <is>
          <t>Pyraguette; Amulette Volkorne; Lavanneau; Anneau Volkorne; Bouclier du Stalak; Ceintrigue; Masque Paztek; Cape Solution; Pataugastrique; Dofus des Glaces; Dofus Pourpre; Robuste majeur; Remueur; Vigoureux majeur; Nomade; Walk</t>
        </is>
      </c>
    </row>
    <row r="19338">
      <c r="A19338" t="inlineStr">
        <is>
          <t>Fourbe 2 - Secousse</t>
        </is>
      </c>
      <c r="B19338">
        <f>HYPERLINK("https://www.dofusbook.net/fr/equipement/4652438-fourbe-2---secousse/objets", "link")</f>
        <v/>
      </c>
      <c r="C19338" t="n">
        <v>0</v>
      </c>
      <c r="D19338" t="inlineStr">
        <is>
          <t>Hachoirs de Viandargh; Amibou; Alliance Gloursonne; Gant du Valet Veinard; Bouclier du Stalak; Menoture; Couronne d'Allister; Capibou; Baleinabottes; Dofus des Glaces; Dofus Pourpre; Temporiseur majeur; Remueur; Nomade; Cascadeur majeur; Gwo Tofu Ventripotent</t>
        </is>
      </c>
    </row>
    <row r="19339">
      <c r="A19339" t="inlineStr">
        <is>
          <t>Mode 2.51</t>
        </is>
      </c>
      <c r="B19339">
        <f>HYPERLINK("https://www.dofusbook.net/fr/equipement/4652524-mode-2-51/objets", "link")</f>
        <v/>
      </c>
      <c r="C19339" t="n">
        <v>3</v>
      </c>
      <c r="D19339" t="inlineStr">
        <is>
          <t>Epée Toche; Amulette du Strigide; Bague Gloursonne; Anneau Chevelu; Bouclier alvéolé; Ceinture du Strigide; Masque de Koutoulou; Voile d'encre; Bottes du Roi Joueur; Dofus Turquoise; Dofus Ivoire; Dofus Pourpre; Dofus Nébuleux; Dofus Ocre; Nomade; Kokulte</t>
        </is>
      </c>
    </row>
    <row r="19340">
      <c r="A19340" t="inlineStr">
        <is>
          <t>Fourbe Tremblement</t>
        </is>
      </c>
      <c r="B19340">
        <f>HYPERLINK("https://www.dofusbook.net/fr/equipement/4647551-fourbe-tremblement/objets", "link")</f>
        <v/>
      </c>
      <c r="C19340" t="n">
        <v>6</v>
      </c>
      <c r="D19340" t="inlineStr">
        <is>
          <t>Arc corrompu; Amulette Volkorne; Anneau Volkorne; Chevalière du Roi Joueur; Bouclier du Stalak; Sangle Aise; Heaume Oplate; Cape de Nileza; Bottes Innommables; Dofus des Glaces; Dofus Pourpre; Érudit majeur; Nomade; Dévastateur Feu majeur; Remueur; Bisouglours</t>
        </is>
      </c>
    </row>
    <row r="19341">
      <c r="A19341" t="inlineStr">
        <is>
          <t>Fourbe - Tac/Fui</t>
        </is>
      </c>
      <c r="B19341">
        <f>HYPERLINK("https://www.dofusbook.net/fr/equipement/4647729-fourbe---tac-fui/objets", "link")</f>
        <v/>
      </c>
      <c r="C19341" t="n">
        <v>22</v>
      </c>
      <c r="D19341" t="inlineStr">
        <is>
          <t>Manthache; Collier du Valet Veinard; Gant du Valet Veinard; Alliance Gloursonne; Sept ans de malheur; Menoture; Dorabysses; Cape Martegel; Baleinabottes; Dofus Émeraude; Miraculé majeur; Cascadeur majeur; Déserteur majeur; Obstructeur majeur; Remueur; Muldo Roux et Amande</t>
        </is>
      </c>
    </row>
    <row r="19342">
      <c r="A19342" t="inlineStr">
        <is>
          <t>Fourbe Placement</t>
        </is>
      </c>
      <c r="B19342">
        <f>HYPERLINK("https://www.dofusbook.net/fr/equipement/4647596-fourbe-placement/objets", "link")</f>
        <v/>
      </c>
      <c r="C19342" t="n">
        <v>2</v>
      </c>
      <c r="D19342" t="inlineStr">
        <is>
          <t>Épée du Granduk; Collier du Valet Veinard; Alliance Gloursonne; Gant du Valet Veinard; Sept ans de malheur; Menoture; Dorabysses; Cape Martegel; Baleinabottes; Dofus Émeraude; Miraculé majeur; Nomade; Cascadeur majeur; Remueur; Déserteur majeur; Blokus</t>
        </is>
      </c>
    </row>
    <row r="19343">
      <c r="A19343" t="inlineStr">
        <is>
          <t>Terre Feu</t>
        </is>
      </c>
      <c r="B19343">
        <f>HYPERLINK("https://www.dofusbook.net/fr/equipement/4637190-terre-feu/objets", "link")</f>
        <v/>
      </c>
      <c r="C19343" t="n">
        <v>2</v>
      </c>
      <c r="D19343" t="inlineStr">
        <is>
          <t>Dagues Érhy; Amulette Volkorne; Anneau Chevelu; Bague Gloursonne; Carapar; Ceinture Volkorne; Masque de Koutoulou; Voile d'encre; Bottes Dogues; Dofus Abyssal; Dofus Ivoire; Dofus des Glaces; Érudit majeur; Enragé majeur; Remueur; Cromeugnon</t>
        </is>
      </c>
    </row>
    <row r="19344">
      <c r="A19344" t="inlineStr">
        <is>
          <t>Do Pou / Ini</t>
        </is>
      </c>
      <c r="B19344">
        <f>HYPERLINK("https://www.dofusbook.net/fr/equipement/4617863-do-pou---ini/objets", "link")</f>
        <v/>
      </c>
      <c r="C19344" t="n">
        <v>1</v>
      </c>
      <c r="D19344" t="inlineStr">
        <is>
          <t>Lav'Hache; Amulette Luminescente; Bague Instable; Anneau Instable; Bouclier précieux; Ceinture Glaciale; Casque Dragoeuf; Cape Solution; Sandales Paztek; Dofus Ivoire; Culbuteur; Bousculeur majeur; Pousseur majeur; Culbuteur majeur; Balafreux</t>
        </is>
      </c>
    </row>
    <row r="19345">
      <c r="A19345" t="inlineStr">
        <is>
          <t>Eau/tank</t>
        </is>
      </c>
      <c r="B19345">
        <f>HYPERLINK("https://www.dofusbook.net/fr/equipement/4551885-eau-tank/objets", "link")</f>
        <v/>
      </c>
      <c r="C19345" t="n">
        <v>40</v>
      </c>
      <c r="D19345" t="inlineStr">
        <is>
          <t>Epée Loponèze; Amulette de Shokkoth; Alliance Gloursonne; Bracelet des Fonds marins; Bouclier d'Ilyzaelle; Sangle Ouare; Capuche de l'Œil Attentif; Cape Solution; Sandales des Fonds marins; Dofus Pourpre; Dofus Ébène; Dofus Ivoire; Remueur; Chanceux majeur; Vigoureux majeur; Dehluge</t>
        </is>
      </c>
    </row>
    <row r="19346">
      <c r="A19346" t="inlineStr">
        <is>
          <t>Eca Chance</t>
        </is>
      </c>
      <c r="B19346">
        <f>HYPERLINK("https://www.dofusbook.net/fr/equipement/4615299-eca-chance/objets", "link")</f>
        <v/>
      </c>
      <c r="C19346" t="n">
        <v>2</v>
      </c>
      <c r="D19346" t="inlineStr">
        <is>
          <t>Sceptre du Roi Joueur; Amulette Volkorne; Alliance Gloursonne; Anneau Volkorne; Bouclier du Stalak; Sangle Ouare; Capuche de l'Œil Attentif; Cape Solution; Pataugastrique; Dofus Pourpre; Dofus Ivoire; Dofus Turquoise; Dofus Ébène; Vigoureux majeur; Chanceux majeur; Pioute bleu</t>
        </is>
      </c>
    </row>
    <row r="19347">
      <c r="A19347" t="inlineStr">
        <is>
          <t>Intel/Chance</t>
        </is>
      </c>
      <c r="B19347">
        <f>HYPERLINK("https://www.dofusbook.net/fr/equipement/4604161-intel-chance/objets", "link")</f>
        <v/>
      </c>
      <c r="C19347" t="n">
        <v>4</v>
      </c>
      <c r="D19347" t="inlineStr">
        <is>
          <t>Couteaux Sacrificiels; Talisman Igans; Anneau Volkorne; Alliance Gloursonne; Cadran d'Eau; Sangle Ouare; Kidibonnet; Cape de l'Œil Putride; Bottes Owesli; Dolmanax; Dofus Ocre; Dofus des Glaces; Dofus Ivoire; Chanceux majeur; Érudit majeur; Walk</t>
        </is>
      </c>
    </row>
    <row r="19348">
      <c r="A19348" t="inlineStr">
        <is>
          <t>Cra Full Terre songe</t>
        </is>
      </c>
      <c r="B19348">
        <f>HYPERLINK("https://www.dofusbook.net/fr/equipement/4599181-cra-full-terre-songe/objets", "link")</f>
        <v/>
      </c>
      <c r="C19348" t="n">
        <v>1</v>
      </c>
      <c r="D19348" t="inlineStr">
        <is>
          <t>Arc du Chalœil; Amulette du Strigide; Bracelet du Piloztère; Anneau du Comte Harebourg; Quatre-feuilles; Ceinture de Brouce; Masque de Koutoulou; Cape au Logis; Bottes de Brouce; Dofus Turquoise; Dofus Ocre; Dofus Nébuleux; Forcené majeur; Enragé majeur; Vigoureux majeur; Pioute vert</t>
        </is>
      </c>
    </row>
    <row r="19349">
      <c r="A19349" t="inlineStr">
        <is>
          <t>Sacrieur F 200</t>
        </is>
      </c>
      <c r="B19349">
        <f>HYPERLINK("https://www.dofusbook.net/fr/equipement/4486915-sacrieur-f-200/objets", "link")</f>
        <v/>
      </c>
      <c r="C19349" t="n">
        <v>25</v>
      </c>
      <c r="D19349" t="inlineStr">
        <is>
          <t>Manthache; Collier du Valet Veinard; Alliance Gloursonne; Gant du Valet Veinard; Droiture de Fallanster; Menoture; Casque Dragoeuf; Cape Martegel; Palmes Trithons; Dofus Émeraude; Dofus Ocre; Dofus Ébène; Dofus Ivoire; Miraculé majeur; Nomade; Eliôme</t>
        </is>
      </c>
    </row>
    <row r="19350">
      <c r="A19350" t="inlineStr">
        <is>
          <t>Sacri Terre</t>
        </is>
      </c>
      <c r="B19350">
        <f>HYPERLINK("https://www.dofusbook.net/fr/equipement/4583662-sacri-terre/objets", "link")</f>
        <v/>
      </c>
      <c r="C19350" t="n">
        <v>0</v>
      </c>
      <c r="D19350" t="inlineStr">
        <is>
          <t>Arc du Chalœil; Amulette du Strigide; Anneau Volkorne; Anneau de Brouce; Bouclier d'Ilyzaelle; Ceinture Volkorne; Masque de Koutoulou; Bravoure de Rykke Errel; Bottes du Cœur Saignant; Dofus Pourpre; Dofus Ivoire; Dofus Ocre; Dofus Ébène; Dofus Turquoise; Nomade; Pioute vert</t>
        </is>
      </c>
    </row>
    <row r="19351">
      <c r="A19351" t="inlineStr">
        <is>
          <t>Anti Osa Air</t>
        </is>
      </c>
      <c r="B19351">
        <f>HYPERLINK("https://www.dofusbook.net/fr/equipement/4570688-anti-osa-air/objets", "link")</f>
        <v/>
      </c>
      <c r="C19351" t="n">
        <v>9</v>
      </c>
      <c r="D19351" t="inlineStr">
        <is>
          <t>Baguette Héroclite; Amulette du Sinistrofu; Bracelet des Fonds marins; Alliance Gloursonne; Cadran d'Air; Sangle Ouare; Masque des Fonds marins; Cape des Justiciers; Bottes du Nocturlabe; Dofus Pourpre; Dofus Abyssal; Dofus Ivoire; Dofus Ocre; Chanceux majeur; Muraille Air majeure; Tiwabbit Kiafin</t>
        </is>
      </c>
    </row>
    <row r="19352">
      <c r="A19352" t="inlineStr">
        <is>
          <t>INTEL - DO POU - 200</t>
        </is>
      </c>
      <c r="B19352">
        <f>HYPERLINK("https://www.dofusbook.net/fr/equipement/4254445-intel---do-pou---200/objets", "link")</f>
        <v/>
      </c>
      <c r="C19352" t="n">
        <v>2</v>
      </c>
      <c r="D19352" t="inlineStr">
        <is>
          <t>Masse Ossiale; Amulette Volkorne; Bague Trithon; Anneau Volkorne; Bouclier Taverne; Ceinture Volkorne; Masque Paztek; Cape Paztek; Sandales Paztek; Dofus Ivoire; Dofus Ocre; Scarakiri</t>
        </is>
      </c>
    </row>
    <row r="19353">
      <c r="A19353" t="inlineStr">
        <is>
          <t>Do crit eau dist</t>
        </is>
      </c>
      <c r="B19353">
        <f>HYPERLINK("https://www.dofusbook.net/fr/equipement/4556902-do-crit-eau-dist/objets", "link")</f>
        <v/>
      </c>
      <c r="C19353" t="n">
        <v>2</v>
      </c>
      <c r="D19353" t="inlineStr">
        <is>
          <t>Pelle Fik; Amulette du Strigide; Anneau Volkorne; Pikano; Bouclier du Captain Amakna; Ceinture du Strigide; Némès de Tal Kasha; Chevelure de Tal Kasha; Sandales de Tal Kasha; Dofus Ocre; Dofus Pourpre; Dofus Vulbis; Dofus des Glaces; Dofus Turquoise; Dofus Nébuleux; Kokulte</t>
        </is>
      </c>
    </row>
    <row r="19354">
      <c r="A19354" t="inlineStr">
        <is>
          <t>Eniripsa F 200</t>
        </is>
      </c>
      <c r="B19354">
        <f>HYPERLINK("https://www.dofusbook.net/fr/equipement/4552069-eniripsa-f-200/objets", "link")</f>
        <v/>
      </c>
      <c r="C19354" t="n">
        <v>0</v>
      </c>
      <c r="D19354" t="inlineStr">
        <is>
          <t>Arc corrompu; Amulette Volkorne; Bouclier du Stalak; Audace de Dodge; Heaume Oplate; Cape Ardente; Chaussures Ardentes; Dofus Ocre; Dofus Ivoire; Érudit majeur; Nomade; Guérisseur majeur; Miraculé majeur</t>
        </is>
      </c>
    </row>
    <row r="19355">
      <c r="A19355" t="inlineStr">
        <is>
          <t>Eau/Tank</t>
        </is>
      </c>
      <c r="B19355">
        <f>HYPERLINK("https://www.dofusbook.net/fr/equipement/4499624-eau-tank/objets", "link")</f>
        <v/>
      </c>
      <c r="C19355" t="n">
        <v>2</v>
      </c>
      <c r="D19355" t="inlineStr">
        <is>
          <t>Baguette Héroclite; Amulette de Shokkoth; Bracelet des Fonds marins; Alliance Gloursonne; Bouclier d'Ilyzaelle; Ceinture de Dame Jhessica; Casque Dragoeuf; Cape Solution; Sandales des Fonds marins; Dofus Émeraude; Dofus Ivoire; Dofus Pourpre; Nomade; Chanceux majeur; Obstructeur majeur; Volkorne Saphir et Amande</t>
        </is>
      </c>
    </row>
    <row r="19356">
      <c r="A19356" t="inlineStr">
        <is>
          <t>Stuff Xelor Tank/Ret</t>
        </is>
      </c>
      <c r="B19356">
        <f>HYPERLINK("https://www.dofusbook.net/fr/equipement/4410792-stuff-xelor-tank-ret/objets", "link")</f>
        <v/>
      </c>
      <c r="C19356" t="n">
        <v>5</v>
      </c>
      <c r="D19356" t="inlineStr">
        <is>
          <t>Rouleau à Pâtisserie d'Aermyne; Amulette de l'Œil Attentif; Anneau Tique; Alliance Gloursonne; Sept ans de malheur; Protopagne; Coiffe d'Aermyne; Capchalot; Tentassons; Dofus Émeraude; Dofus Ocre; Dofus Abyssal; Dofus Ivoire; Paralyseur majeur; Étourdisseur majeur; Drakopin</t>
        </is>
      </c>
    </row>
    <row r="19357">
      <c r="A19357" t="inlineStr">
        <is>
          <t>ROUB EAU/AIR</t>
        </is>
      </c>
      <c r="B19357">
        <f>HYPERLINK("https://www.dofusbook.net/fr/equipement/4350260-roub-eau-air/objets", "link")</f>
        <v/>
      </c>
      <c r="C19357" t="n">
        <v>4</v>
      </c>
      <c r="D19357" t="inlineStr">
        <is>
          <t>Arc de Koutoulou; Amulette d'Ilyzaelle; Anneau Volkorne; Alliance Gloursonne; Bouclier du Stalak; Ceinture de l'Esprit Salvateur; Casque Volkorne; Cape Matelassée; Bottes de la Reine des Voleurs; Dofus Pourpre; Dofus des Glaces; Dofus Ocre; Vigoureux majeur; Sanguinaire majeur; Nomade; Mini Wa</t>
        </is>
      </c>
    </row>
    <row r="19358">
      <c r="A19358" t="inlineStr">
        <is>
          <t>AIR - 200</t>
        </is>
      </c>
      <c r="B19358">
        <f>HYPERLINK("https://www.dofusbook.net/fr/equipement/4129546-air---200/objets", "link")</f>
        <v/>
      </c>
      <c r="C19358" t="n">
        <v>17</v>
      </c>
      <c r="D19358" t="inlineStr">
        <is>
          <t>Manthache; Collier du Valet Veinard; Alliance Gloursonne; Gant du Valet Veinard; Cadran d'Air; Menoture; Couronne d'Allister; Cape Martegel; Palmes Trithons; Dofus des Glaces; Dofus Ivoire; Dofus Pourpre; Dofus Ocre; Dofus Abyssal; Nomade; Blérodoudou</t>
        </is>
      </c>
    </row>
    <row r="19359">
      <c r="A19359" t="inlineStr">
        <is>
          <t>EAU - 200</t>
        </is>
      </c>
      <c r="B19359">
        <f>HYPERLINK("https://www.dofusbook.net/fr/equipement/4154741-eau---200/objets", "link")</f>
        <v/>
      </c>
      <c r="C19359" t="n">
        <v>58</v>
      </c>
      <c r="D19359" t="inlineStr">
        <is>
          <t>Rapière aux Glyphes; Amulette de Shokkoth; Alliance Gloursonne; Anneau Volkorne; Bouclier d'Ilyzaelle; Poulpagne; Casque Dragoeuf; Cape du Sinistrofu; Bottes du Sinistrofu; Dofus Émeraude; Dofus Pourpre; Dofus Ivoire; Dofus Ocre; Nomade; Chanceux majeur; Kanigloups</t>
        </is>
      </c>
    </row>
    <row r="19360">
      <c r="A19360" t="inlineStr">
        <is>
          <t>Air / Ret / Ini</t>
        </is>
      </c>
      <c r="B19360">
        <f>HYPERLINK("https://www.dofusbook.net/fr/equipement/4404177-air---ret---ini/objets", "link")</f>
        <v/>
      </c>
      <c r="C19360" t="n">
        <v>46</v>
      </c>
      <c r="D19360" t="inlineStr">
        <is>
          <t>L'Épée Nice; Collier du Valet Veinard; Anneau du Cycloïde; Alliance Gloursonne; Cadran d'Air; Menoture; Chapoulpe; Chevelure de Tal Kasha; Tentassons; Dofus Ivoire; Dofus Pourpre; Dofus Ocre; Dofus Émeraude; Étourdisseur majeur; Cascadeur majeur; Minimino</t>
        </is>
      </c>
    </row>
    <row r="19361">
      <c r="A19361" t="inlineStr">
        <is>
          <t>Full terre</t>
        </is>
      </c>
      <c r="B19361">
        <f>HYPERLINK("https://www.dofusbook.net/fr/equipement/4410679-full-terre/objets", "link")</f>
        <v/>
      </c>
      <c r="C19361" t="n">
        <v>3</v>
      </c>
      <c r="D19361" t="inlineStr">
        <is>
          <t>Arc du Chalœil; Amulette du Strigide; Bague Gloursonne; Anneau Chevelu; Quatre-feuilles; Ceinture de la Reine des Voleurs; Coiffe de la Reine des Voleurs; Cape au Logis; Baleinabottes; Dofus Pourpre; Dofus Ivoire; Dofus Nébuleux; Dofus Ocre; Dofus Turquoise; Enragé majeur; Pioute vert</t>
        </is>
      </c>
    </row>
    <row r="19362">
      <c r="A19362" t="inlineStr">
        <is>
          <t>Full dégat Eau</t>
        </is>
      </c>
      <c r="B19362">
        <f>HYPERLINK("https://www.dofusbook.net/fr/equipement/4410860-full-degat-eau/objets", "link")</f>
        <v/>
      </c>
      <c r="C19362" t="n">
        <v>9</v>
      </c>
      <c r="D19362" t="inlineStr">
        <is>
          <t>Baguette Hique; Amulette de Shokkoth; Alliance Gloursonne; Anneau Volkorne; Quatre-feuilles; Pagne du Rykaon; Kidibonnet; Cape de la Dame du Hasard; Bottes de la Dame du Hasard; Dofus Nébuleux; Dofus Pourpre; Dofus Ivoire; Dofus Ocre; Dofus Turquoise; Nomade; Pioute bleu</t>
        </is>
      </c>
    </row>
    <row r="19363">
      <c r="A19363" t="inlineStr">
        <is>
          <t>Eau / Ret / Ini</t>
        </is>
      </c>
      <c r="B19363">
        <f>HYPERLINK("https://www.dofusbook.net/fr/equipement/4410347-eau---ret---ini/objets", "link")</f>
        <v/>
      </c>
      <c r="C19363" t="n">
        <v>1</v>
      </c>
      <c r="D19363" t="inlineStr">
        <is>
          <t>Sceptre du Roi Joueur; Amulette de Shokkoth; Alliance Gloursonne; Anneau Volkorne; Cadran de Terre; Poulpagne; Masque de Funespadon; Cape de l'Œil Attentif; Chaussons de Macrab; Dofus Pourpre; Dofus Ocre; Dofus Abyssal; Dofus Ivoire; Nomade; Étourdisseur majeur; Minimino</t>
        </is>
      </c>
    </row>
    <row r="19364">
      <c r="A19364" t="inlineStr">
        <is>
          <t>Full Terre 3</t>
        </is>
      </c>
      <c r="B19364">
        <f>HYPERLINK("https://www.dofusbook.net/fr/equipement/4410427-full-terre-3/objets", "link")</f>
        <v/>
      </c>
      <c r="C19364" t="n">
        <v>4</v>
      </c>
      <c r="D19364" t="inlineStr">
        <is>
          <t>Marteau R'ture; Amulette Volkorne; Anneau du Cycloïde; Anneau Crustique; Bouclier du Captain Amakna; Ceinture Volkorne; Masque de Koutoulou; Cape au Logis; Bottes de la Cour Sombre; Dofus Pourpre; Dofus Ocre; Dofus Nébuleux; Dofus Abyssal; Dofus Turquoise; Dofus Ivoire; Kompost</t>
        </is>
      </c>
    </row>
    <row r="19365">
      <c r="A19365" t="inlineStr">
        <is>
          <t>Ret spam glas</t>
        </is>
      </c>
      <c r="B19365">
        <f>HYPERLINK("https://www.dofusbook.net/fr/equipement/4410834-ret-spam-glas/objets", "link")</f>
        <v/>
      </c>
      <c r="C19365" t="n">
        <v>0</v>
      </c>
      <c r="D19365" t="inlineStr">
        <is>
          <t>Pelle de Nidas; Amulette de l'Indicible; Alliance Gloursonne; Alliance Brûlâme; Sept ans de malheur; Ceinture de la Reine des Voleurs; Coiffe de la Reine des Voleurs; Voile d'encre; Baleinabottes; Dofus des Glaces; Dofus Ocre; Dofus Abyssal; Dofus Pourpre; Dofus Ivoire; Nomade; Minimino</t>
        </is>
      </c>
    </row>
    <row r="19366">
      <c r="A19366" t="inlineStr">
        <is>
          <t>Atcham Xel</t>
        </is>
      </c>
      <c r="B19366">
        <f>HYPERLINK("https://www.dofusbook.net/fr/equipement/4410696-atcham-xel/objets", "link")</f>
        <v/>
      </c>
      <c r="C19366" t="n">
        <v>0</v>
      </c>
      <c r="D19366" t="inlineStr">
        <is>
          <t>Sabres d'Atcham; Amulette Volkorne; Alliance Gloursonne; Anneau Volkorne; Quatre-feuilles; Ceinture du Strigide; Casque Volkorne; Cape d'Atcham; Sandales  d'Atcham; Dofus Turquoise; Dofus Ivoire; Dofus Pourpre; Dofus Ocre; Dofus Nébuleux; Dofus Abyssal; Kokulte</t>
        </is>
      </c>
    </row>
    <row r="19367">
      <c r="A19367" t="inlineStr">
        <is>
          <t>Full terre 2</t>
        </is>
      </c>
      <c r="B19367">
        <f>HYPERLINK("https://www.dofusbook.net/fr/equipement/4410686-full-terre-2/objets", "link")</f>
        <v/>
      </c>
      <c r="C19367" t="n">
        <v>1</v>
      </c>
      <c r="D19367" t="inlineStr">
        <is>
          <t>Dagues d'Ilyzaelle; Amulette du Strigide; Anneau Chevelu; Bague Gloursonne; Bouclier du Captain Amakna; Ceintacé; Chapeau de Gein; Cape au Logis; Bottes du Strigide; Dofus Nébuleux; Dofus Ocre; Dofus Turquoise; Dofus Abyssal; Dofus Pourpre; Dofus Ivoire; Kompost</t>
        </is>
      </c>
    </row>
    <row r="19368">
      <c r="A19368" t="inlineStr">
        <is>
          <t>Ikooh-Xel-Perco</t>
        </is>
      </c>
      <c r="B19368">
        <f>HYPERLINK("https://www.dofusbook.net/fr/equipement/4410391-ikooh-xel-perco/objets", "link")</f>
        <v/>
      </c>
      <c r="C19368" t="n">
        <v>0</v>
      </c>
      <c r="D19368" t="inlineStr">
        <is>
          <t>Arc corrompu; Amulette Volkorne; Anneauræus; Anneau du Cycloïde; Cadran de Terre; Ceinture de Vortex; Masquegel; Cape Martegel; Pataugastrique; Dofus Ivoire; Dofus Pourpre; Dofus Ocre; Dofus Abyssal; Étourdisseur majeur; Nomade; Minimino</t>
        </is>
      </c>
    </row>
    <row r="19369">
      <c r="A19369" t="inlineStr">
        <is>
          <t>TERRE - 200</t>
        </is>
      </c>
      <c r="B19369">
        <f>HYPERLINK("https://www.dofusbook.net/fr/equipement/4232570-terre---200/objets", "link")</f>
        <v/>
      </c>
      <c r="C19369" t="n">
        <v>19</v>
      </c>
      <c r="D19369" t="inlineStr">
        <is>
          <t>Arc du Chalœil; Amulette du Strigide; Anneau du Cycloïde; Anneau Chevelu; Quatre-feuilles; Ceintacé; Masque du Katcheur; Cape au Logis; Bottes du Katcheur; Dofus Ivoire; Dofus Turquoise; Dofus Pourpre; Enragé majeur; Remueur; Vigoureux majeur; Chaperlipopette</t>
        </is>
      </c>
    </row>
    <row r="19370">
      <c r="A19370" t="inlineStr">
        <is>
          <t>Stagière</t>
        </is>
      </c>
      <c r="B19370">
        <f>HYPERLINK("https://www.dofusbook.net/fr/equipement/4294338-stagiere/objets", "link")</f>
        <v/>
      </c>
      <c r="C19370" t="n">
        <v>4</v>
      </c>
      <c r="D19370" t="inlineStr">
        <is>
          <t>Arc corrompu; Amulette Volkorne; Anneau Tique; Bague Gloursonne; Bouclier du Stalak; Ceinture Volkorne; Couronne de Nidas; Cape de Diondin; Bottes d'Otomaï; Vigoureux majeur; Remueur; Miraculé majeur; Érudit majeur; Savant majeur; Nomade; Brûlih</t>
        </is>
      </c>
    </row>
    <row r="19371">
      <c r="A19371" t="inlineStr">
        <is>
          <t>Iop Perco</t>
        </is>
      </c>
      <c r="B19371">
        <f>HYPERLINK("https://www.dofusbook.net/fr/equipement/4384742-iop-perco/objets", "link")</f>
        <v/>
      </c>
      <c r="C19371" t="n">
        <v>5</v>
      </c>
      <c r="D19371" t="inlineStr">
        <is>
          <t>Épée du Granduk; Amibou; Alliance Gloursonne; Anneau d'Allister; Quatre-feuilles; Menoture; Masque du Granduk; Cape de Klime; Bottes du Katcheur; Dofus Pourpre; Dofus Nébuleux; Cascadeur majeur; Nomade; Equilibriste majeur; Remueur; Chaperlipopette</t>
        </is>
      </c>
    </row>
    <row r="19372">
      <c r="A19372" t="inlineStr">
        <is>
          <t>ENI EAU/FEU PVM</t>
        </is>
      </c>
      <c r="B19372">
        <f>HYPERLINK("https://www.dofusbook.net/fr/equipement/4350137-eni-eau-feu-pvm/objets", "link")</f>
        <v/>
      </c>
      <c r="C19372" t="n">
        <v>0</v>
      </c>
      <c r="D19372" t="inlineStr"/>
    </row>
    <row r="19373">
      <c r="A19373" t="inlineStr">
        <is>
          <t>Ret PM - Eau</t>
        </is>
      </c>
      <c r="B19373">
        <f>HYPERLINK("https://www.dofusbook.net/fr/equipement/4294325-ret-pm---eau/objets", "link")</f>
        <v/>
      </c>
      <c r="C19373" t="n">
        <v>1</v>
      </c>
      <c r="D19373" t="inlineStr">
        <is>
          <t>Dagues Açantes; Amulette de Shokkoth; Alliance Gloursonne; Pikano; Bouclier cubiste; Ceinture Glaciale; Kidibonnet; Cape Matelassée; Pikottes; Entraveur majeur; Nomade; Temporiseur majeur; Remueur; Ralentisseur majeur; Chanceux majeur; Gwo Tofu Ventripotent</t>
        </is>
      </c>
    </row>
    <row r="19374">
      <c r="A19374" t="inlineStr">
        <is>
          <t>TAPER</t>
        </is>
      </c>
      <c r="B19374">
        <f>HYPERLINK("https://www.dofusbook.net/fr/equipement/4291388-taper/objets", "link")</f>
        <v/>
      </c>
      <c r="C19374" t="n">
        <v>2</v>
      </c>
      <c r="D19374" t="inlineStr">
        <is>
          <t>Arc corrompu; Amulette Volkorne; Anneauræus; Anneauræus; Quatre-feuilles; Ceinture Séculaire; Masque du Katcheur; Cape de Diondin; Bottes du Katcheur; Dofus Ivoire; Dofus Pourpre; Dofus Turquoise; Vigoureux majeur; Remueur; Érudit majeur; Chaperlipopette</t>
        </is>
      </c>
    </row>
    <row r="19375">
      <c r="A19375" t="inlineStr">
        <is>
          <t>RET PA - 200</t>
        </is>
      </c>
      <c r="B19375">
        <f>HYPERLINK("https://www.dofusbook.net/fr/equipement/4270044-ret-pa---200/objets", "link")</f>
        <v/>
      </c>
      <c r="C19375" t="n">
        <v>16</v>
      </c>
      <c r="D19375" t="inlineStr">
        <is>
          <t>Héqache; Amulette Martegel; Anneau Crustique; Alliance Gloursonne; Sept ans de malheur; Menoture; Casque Dragoeuf; Cape Martegel; Tentassons; Dofus Émeraude; Dofus Ivoire; Remueur; Étourdisseur majeur; Nomade; Évasif majeur; Petit Chacha Blanc</t>
        </is>
      </c>
    </row>
    <row r="19376">
      <c r="A19376" t="inlineStr">
        <is>
          <t>Terre-200</t>
        </is>
      </c>
      <c r="B19376">
        <f>HYPERLINK("https://www.dofusbook.net/fr/equipement/4191896-terre-200/objets", "link")</f>
        <v/>
      </c>
      <c r="C19376" t="n">
        <v>19</v>
      </c>
      <c r="D19376" t="inlineStr">
        <is>
          <t>Arc du Chalœil; Collier de Tourthon; Anneau Volkorne; Anneau Chevelu; Quatre-feuilles; Ceinture Volkorne; Masque de Koutoulou; Cape au Logis; Bottes de la Cour Sombre; Dofus Pourpre; Dofus Turquoise; Remueur; Miraculé majeur; Fonceur majeur; Enragé majeur; Bulbisou</t>
        </is>
      </c>
    </row>
    <row r="19377">
      <c r="A19377" t="inlineStr">
        <is>
          <t>Skinn Envahisseur</t>
        </is>
      </c>
      <c r="B19377">
        <f>HYPERLINK("https://www.dofusbook.net/fr/equipement/4217871-skinn-envahisseur/objets", "link")</f>
        <v/>
      </c>
      <c r="C19377" t="n">
        <v>0</v>
      </c>
      <c r="D19377" t="inlineStr"/>
    </row>
    <row r="19378">
      <c r="A19378" t="inlineStr">
        <is>
          <t>Yaya</t>
        </is>
      </c>
      <c r="B19378">
        <f>HYPERLINK("https://www.dofusbook.net/fr/equipement/4171749-yaya/objets", "link")</f>
        <v/>
      </c>
      <c r="C19378" t="n">
        <v>44</v>
      </c>
      <c r="D19378" t="inlineStr">
        <is>
          <t>Arc du Chalœil; Amulette Ementaire Deluxe; Alliance du Lévitrof; Anneau de Brouce; Quatre-feuilles; Ceintacé; Chapeau de Gein; Cape du Cœur Saignant; Bottes du Cœur Saignant; Dolmanax; Dofus Turquoise; Dofus Ivoire; Dofus Pourpre; Nomade; Remueur; Pioute vert</t>
        </is>
      </c>
    </row>
    <row r="19379">
      <c r="A19379" t="inlineStr">
        <is>
          <t>AGI - 200</t>
        </is>
      </c>
      <c r="B19379">
        <f>HYPERLINK("https://www.dofusbook.net/fr/equipement/4130437-agi---200/objets", "link")</f>
        <v/>
      </c>
      <c r="C19379" t="n">
        <v>5</v>
      </c>
      <c r="D19379" t="inlineStr">
        <is>
          <t>Manthache; Collier du Valet Veinard; Gant du Valet Veinard; Alliance Gloursonne; Bouclier d'Ilyzaelle; Menoture; Casque Dragoeuf; Cape Martegel; Palmes Trithons; Dofus Ivoire; Dofus Émeraude; Dofus Ocre; Dofus Pourpre; Dofus Abyssal; Cascadeur majeur; Muldo Ebène</t>
        </is>
      </c>
    </row>
    <row r="19380">
      <c r="A19380" t="inlineStr">
        <is>
          <t>INTEL - EAU - PVM</t>
        </is>
      </c>
      <c r="B19380">
        <f>HYPERLINK("https://www.dofusbook.net/fr/equipement/4154796-intel---eau---pvm/objets", "link")</f>
        <v/>
      </c>
      <c r="C19380" t="n">
        <v>17</v>
      </c>
      <c r="D19380" t="inlineStr">
        <is>
          <t>Épée Brûlâme; Amulette Volkorne; Lavanneau; Anneau Volkorne; Quatre-feuilles; Ceintrigue; Casquette de Meno; Cape de la Dame du Hasard; Pataugastrique; Dofus des Glaces; Dofus Pourpre; Dofus Turquoise; Nomade; Remueur; Vigoureux majeur; Walk</t>
        </is>
      </c>
    </row>
    <row r="19381">
      <c r="A19381" t="inlineStr">
        <is>
          <t>INTEL - 200</t>
        </is>
      </c>
      <c r="B19381">
        <f>HYPERLINK("https://www.dofusbook.net/fr/equipement/4136029-intel---200/objets", "link")</f>
        <v/>
      </c>
      <c r="C19381" t="n">
        <v>1</v>
      </c>
      <c r="D19381" t="inlineStr">
        <is>
          <t>Arc corrompu; Amulette Volkorne; Anneauræus; Anneauræus; Bouclier du Stalak; Ceinture Volkorne; Heaume Oplate; Voile d'encre; Bottes Innommables; Dofus Abyssal; Dofus Ivoire; Dofus Pourpre; Dofus Ocre; Nomade; Érudit majeur; Ross</t>
        </is>
      </c>
    </row>
    <row r="19382">
      <c r="A19382" t="inlineStr">
        <is>
          <t>Team-Koli</t>
        </is>
      </c>
      <c r="B19382">
        <f>HYPERLINK("https://www.dofusbook.net/fr/equipement/4132084-team-koli/objets", "link")</f>
        <v/>
      </c>
      <c r="C19382" t="n">
        <v>23</v>
      </c>
      <c r="D19382" t="inlineStr">
        <is>
          <t>Hache du Chalœil; Amulette du Strigide; Anneau de Padgref; Bracelet du Piloztère; Bouclier du Captain Amakna; Ceintacé; Masque Trithon; Cape du Chalœil; Bottes du Strigide; Dofus Pourpre; Dofus Turquoise; Nomade; Remueur; Miraculé majeur; Vigoureux majeur; Kokulte</t>
        </is>
      </c>
    </row>
    <row r="19383">
      <c r="A19383" t="inlineStr">
        <is>
          <t>EAU - 200</t>
        </is>
      </c>
      <c r="B19383">
        <f>HYPERLINK("https://www.dofusbook.net/fr/equipement/4130440-eau---200/objets", "link")</f>
        <v/>
      </c>
      <c r="C19383" t="n">
        <v>4</v>
      </c>
      <c r="D19383" t="inlineStr">
        <is>
          <t>Baguette Hique; Amulette du Strigide; Anneau Volkorne; Alliance Gloursonne; Quatre-feuilles; Pagne du Rykaon; Kidibonnet; Cape de la Dame du Hasard; Bottes de la Dame du Hasard; Dofus Abyssal; Dofus Turquoise; Dofus Ivoire; Dofus Pourpre; Dofus Ocre; Nomade; Pioute bleu</t>
        </is>
      </c>
    </row>
    <row r="19384">
      <c r="A19384" t="inlineStr">
        <is>
          <t>TERRE - 200</t>
        </is>
      </c>
      <c r="B19384">
        <f>HYPERLINK("https://www.dofusbook.net/fr/equipement/4129918-terre---200/objets", "link")</f>
        <v/>
      </c>
      <c r="C19384" t="n">
        <v>24</v>
      </c>
      <c r="D19384" t="inlineStr">
        <is>
          <t>Arc du Chalœil; Collier de Tourthon; Anneau de Brouce; Anneau Chevelu; Bouclier du Stalak; Ceinture de la Reine des Voleurs; Coiffe de la Reine des Voleurs; Cape au Logis; Baleinabottes; Dofus des Glaces; Dofus Ivoire; Dofus Pourpre; Dofus Ocre; Dofus Abyssal; Enragé majeur; Bulbisou</t>
        </is>
      </c>
    </row>
    <row r="19385">
      <c r="A19385" t="inlineStr">
        <is>
          <t>ret pm</t>
        </is>
      </c>
      <c r="B19385">
        <f>HYPERLINK("https://www.dofusbook.net/fr/equipement/5823782-ret-pm/objets", "link")</f>
        <v/>
      </c>
      <c r="C19385" t="n">
        <v>0</v>
      </c>
      <c r="D19385" t="inlineStr">
        <is>
          <t>Epée Loponèze; Amulette des Chocomanciens; Alliance Gloursonne; Annolamour; Bouclier cubiste; Ceinture des Chocomanciens; Boucle d'oreille de Kongoku; Cape Matelassée; Pikottes; Temporiseur majeur; Remueur; Précurseur majeur; Entraveur majeur; Fonceur majeur; Nomade; Volkorne Turquoise</t>
        </is>
      </c>
    </row>
    <row r="19386">
      <c r="A19386" t="inlineStr">
        <is>
          <t>pug</t>
        </is>
      </c>
      <c r="B19386">
        <f>HYPERLINK("https://www.dofusbook.net/fr/equipement/5825130-pug/objets", "link")</f>
        <v/>
      </c>
      <c r="C19386" t="n">
        <v>0</v>
      </c>
      <c r="D19386" t="inlineStr">
        <is>
          <t>Arc du Chalœil; Collier de Tourthon; Anneau Chevelu; Anneau Volkorne; Quatre-feuilles; Ceinture Volkorne; Masque de Koutoulou; Cape au Logis; Baleinabottes; Dofus Abyssal; Dofus Ivoire; Dofus Pourpre; Dofus Ébène; Dofus Turquoise; Enragé majeur; Bulbisou</t>
        </is>
      </c>
    </row>
    <row r="19387">
      <c r="A19387" t="inlineStr">
        <is>
          <t>crit eau post maj</t>
        </is>
      </c>
      <c r="B19387">
        <f>HYPERLINK("https://www.dofusbook.net/fr/equipement/5354316-crit-eau-post-maj/objets", "link")</f>
        <v/>
      </c>
      <c r="C19387" t="n">
        <v>16</v>
      </c>
      <c r="D19387" t="inlineStr">
        <is>
          <t>Dagoulinantes; Amulette de Shokkoth; Alliance Gloursonne; Anneau Volkorne; Quatre-feuilles; Sangle Ouare; Kidibonnet; Cape de la Dame du Hasard; Bottes de la Dame du Hasard; Dofus Pourpre; Dofus Turquoise; Dofus Ivoire; Dofus Ébène; Chanceux majeur; Remueur; Kanigloups</t>
        </is>
      </c>
    </row>
    <row r="19388">
      <c r="A19388" t="inlineStr">
        <is>
          <t>eau 43</t>
        </is>
      </c>
      <c r="B19388">
        <f>HYPERLINK("https://www.dofusbook.net/fr/equipement/5788032-eau-43/objets", "link")</f>
        <v/>
      </c>
      <c r="C19388" t="n">
        <v>1</v>
      </c>
      <c r="D19388" t="inlineStr">
        <is>
          <t>Dagoulinantes; Amulette de Shokkoth; Alliance Gloursonne; Anneau Volkorne; Quatre-feuilles; Poulpagne; Kidibonnet; Cape du Sinistrofu; Bottes du Sinistrofu; Dofus Ivoire; Dofus Pourpre; Dofus Ébène; Dofus Turquoise; Nomade; Chanceux majeur; Kanigloups</t>
        </is>
      </c>
    </row>
    <row r="19389">
      <c r="A19389" t="inlineStr">
        <is>
          <t>Enutrof F 200</t>
        </is>
      </c>
      <c r="B19389">
        <f>HYPERLINK("https://www.dofusbook.net/fr/equipement/5762895-enutrof-f-200/objets", "link")</f>
        <v/>
      </c>
      <c r="C19389" t="n">
        <v>0</v>
      </c>
      <c r="D19389" t="inlineStr"/>
    </row>
    <row r="19390">
      <c r="A19390" t="inlineStr">
        <is>
          <t>tenta eau</t>
        </is>
      </c>
      <c r="B19390">
        <f>HYPERLINK("https://www.dofusbook.net/fr/equipement/5738917-tenta-eau/objets", "link")</f>
        <v/>
      </c>
      <c r="C19390" t="n">
        <v>0</v>
      </c>
      <c r="D19390" t="inlineStr">
        <is>
          <t>Rouleau à Pâtisserie d'Aermyne; Collier Rophante; Alliance Gloursonne; Quatre-feuilles; Ceinture de XLII; Coiffe d'Aermyne; Cape d'Aermyne; Bottes de XLII; Volkorne Ebène</t>
        </is>
      </c>
    </row>
    <row r="19391">
      <c r="A19391" t="inlineStr">
        <is>
          <t>multi pano</t>
        </is>
      </c>
      <c r="B19391">
        <f>HYPERLINK("https://www.dofusbook.net/fr/equipement/5708439-multi-pano/objets", "link")</f>
        <v/>
      </c>
      <c r="C19391" t="n">
        <v>1</v>
      </c>
      <c r="D19391" t="inlineStr">
        <is>
          <t>Sceptre du Roi Joueur; Amulette de Shokkoth; Anneau Volkorne; Bracelet des Fonds marins; Quatre-feuilles; Ceinture Volkorne; Masque des Fonds marins; Cape de Mantaze; Sandales des Fonds marins; Dofus Turquoise; Dofus Ébène; Dofus Nébuleux; Dofus Ivoire; Dofus Vulbis; Dofus Ocre; Volkorne Emeraude et Indigo</t>
        </is>
      </c>
    </row>
    <row r="19392">
      <c r="A19392" t="inlineStr">
        <is>
          <t>avec ocre</t>
        </is>
      </c>
      <c r="B19392">
        <f>HYPERLINK("https://www.dofusbook.net/fr/equipement/5710148-avec-ocre/objets", "link")</f>
        <v/>
      </c>
      <c r="C19392" t="n">
        <v>0</v>
      </c>
      <c r="D19392" t="inlineStr">
        <is>
          <t>Arc Nécrotique; Amulette Volkorne; Anneau Volkorne; Bague Trithon; Quatre-feuilles; Ceintacé; Masque Trithon; Cape de la Dame du Hasard; Bottes de la Dame du Hasard; Dofus Turquoise; Dofus Ivoire; Dofus Ébène; Dofus Vulbis; Dofus Pourpre; Dofus Ocre; Kokulte</t>
        </is>
      </c>
    </row>
    <row r="19393">
      <c r="A19393" t="inlineStr">
        <is>
          <t>eau actuel</t>
        </is>
      </c>
      <c r="B19393">
        <f>HYPERLINK("https://www.dofusbook.net/fr/equipement/5708647-eau-actuel/objets", "link")</f>
        <v/>
      </c>
      <c r="C19393" t="n">
        <v>5</v>
      </c>
      <c r="D19393" t="inlineStr">
        <is>
          <t>Sceptre du Roi Joueur; Collier de la Dame du Hasard; Anneau Volkorne; Alliance Gloursonne; Quatre-feuilles; Sangle Ouare; Capuche de l'Œil Attentif; Cape de la Dame du Hasard; Pataugastrique; Dofus Pourpre; Dofus Turquoise; Dofus Ébène; Dofus Ivoire; Remueur; Chanceux majeur; Pioute bleu</t>
        </is>
      </c>
    </row>
    <row r="19394">
      <c r="A19394" t="inlineStr">
        <is>
          <t>eau crit kokult cac</t>
        </is>
      </c>
      <c r="B19394">
        <f>HYPERLINK("https://www.dofusbook.net/fr/equipement/5654925-eau-crit-kokult-cac/objets", "link")</f>
        <v/>
      </c>
      <c r="C19394" t="n">
        <v>5</v>
      </c>
      <c r="D19394" t="inlineStr">
        <is>
          <t>Hache à Lamelles; Collier du Minotot; Anneau Ancestral; Bracelet du Minotot; Quatre-feuilles; Tranche des Sous-bois; Casque Harnage; Cape du Minotot; Bottines des sous-bois; Dofus Abyssal; Dofus Ivoire; Dofus Ébène; Dofus Kaliptus; Dofus Pourpre; Nomoon</t>
        </is>
      </c>
    </row>
    <row r="19395">
      <c r="A19395" t="inlineStr">
        <is>
          <t>crit</t>
        </is>
      </c>
      <c r="B19395">
        <f>HYPERLINK("https://www.dofusbook.net/fr/equipement/5704614-crit/objets", "link")</f>
        <v/>
      </c>
      <c r="C19395" t="n">
        <v>2</v>
      </c>
      <c r="D19395" t="inlineStr">
        <is>
          <t>Arc Nécrotique; Amulette du Strigide; Crocanneau; Bague Trithon; Quatre-feuilles; Ceintacé; Maskrobe; Cape de la Dame du Hasard; Bottes de la Dame du Hasard; Dofus Turquoise; Dofus des Glaces; Dofus Pourpre; Chanceux majeur; Vigoureux majeur; Érudit majeur; Kokulte</t>
        </is>
      </c>
    </row>
    <row r="19396">
      <c r="A19396" t="inlineStr">
        <is>
          <t>do crit</t>
        </is>
      </c>
      <c r="B19396">
        <f>HYPERLINK("https://www.dofusbook.net/fr/equipement/5701824-do-crit/objets", "link")</f>
        <v/>
      </c>
      <c r="C19396" t="n">
        <v>0</v>
      </c>
      <c r="D19396" t="inlineStr">
        <is>
          <t>Marteau des Anciens Steamers; Amulette du Strigide; Bague Trithon; Anneau de Padgref; Bouclier du Captain Amakna; Ceinture du Strigide; Némès de Tal Kasha; Chevelure de Tal Kasha; Sandales de Tal Kasha; Dofus Turquoise; Dofus Ébène; Dofus Vulbis; Dofus Ocre; Dofus Pourpre; Dofus Ivoire; Kokulte</t>
        </is>
      </c>
    </row>
    <row r="19397">
      <c r="A19397" t="inlineStr">
        <is>
          <t>eau pas do crit</t>
        </is>
      </c>
      <c r="B19397">
        <f>HYPERLINK("https://www.dofusbook.net/fr/equipement/5676520-eau-pas-do-crit/objets", "link")</f>
        <v/>
      </c>
      <c r="C19397" t="n">
        <v>10</v>
      </c>
      <c r="D19397" t="inlineStr">
        <is>
          <t>Dagoulinantes; Amulette de Shokkoth; Alliance Gloursonne; Anneau Volkorne; Quatre-feuilles; Sangle Ouare; Kidibonnet; Cape du Sinistrofu; Bottes du Sinistrofu; Dofus Pourpre; Dofus Turquoise; Dofus Ébène; Dofus Ivoire; Remueur; Chanceux majeur; Kanigloups</t>
        </is>
      </c>
    </row>
    <row r="19398">
      <c r="A19398" t="inlineStr">
        <is>
          <t>esquive pa</t>
        </is>
      </c>
      <c r="B19398">
        <f>HYPERLINK("https://www.dofusbook.net/fr/equipement/5670769-esquive-pa/objets", "link")</f>
        <v/>
      </c>
      <c r="C19398" t="n">
        <v>2</v>
      </c>
      <c r="D19398" t="inlineStr">
        <is>
          <t>Manthache; Collier du Valet Veinard; Gant du Valet Veinard; Alliance Gloursonne; Bouclier du Stalak; Menoture; Couronne d'Allister; Cape Indescriptible; Palmes Trithons; Dofus Ébène; Dofus Pourpre; Dofus Abyssal; Dofus Ivoire; Nomade; Remueur; Blérodoudou</t>
        </is>
      </c>
    </row>
    <row r="19399">
      <c r="A19399" t="inlineStr">
        <is>
          <t>air res torke</t>
        </is>
      </c>
      <c r="B19399">
        <f>HYPERLINK("https://www.dofusbook.net/fr/equipement/5670485-air-res-torke/objets", "link")</f>
        <v/>
      </c>
      <c r="C19399" t="n">
        <v>3</v>
      </c>
      <c r="D19399" t="inlineStr">
        <is>
          <t>Pelle de la Cour Sombre; Collier du Valet Veinard; Gant du Valet Veinard; Alliance Gloursonne; Bouclier d'Ilyzaelle; Menoture; Dorabysses; Carapace de Torkélonia; Palmes Trithons; Dofus Pourpre; Dofus Ébène; Dofus Ivoire; Dofus Émeraude; Remueur; Nomade; Blérodoudou</t>
        </is>
      </c>
    </row>
    <row r="19400">
      <c r="A19400" t="inlineStr">
        <is>
          <t>sacri air res</t>
        </is>
      </c>
      <c r="B19400">
        <f>HYPERLINK("https://www.dofusbook.net/fr/equipement/5520548-sacri-air-res/objets", "link")</f>
        <v/>
      </c>
      <c r="C19400" t="n">
        <v>8</v>
      </c>
      <c r="D19400" t="inlineStr">
        <is>
          <t>Karnak; Collier du Valet Veinard; Alliance Gloursonne; Gant du Valet Veinard; Bouclier d'Ilyzaelle; Menoture; Dorabysses; Cape Martegel; Palmes Trithons; Dofus Émeraude; Dofus Ébène; Dofus Pourpre; Dofus Ivoire; Cascadeur majeur; Remueur; Blérodoudou</t>
        </is>
      </c>
    </row>
    <row r="19401">
      <c r="A19401" t="inlineStr">
        <is>
          <t>Sacrieur F 200</t>
        </is>
      </c>
      <c r="B19401">
        <f>HYPERLINK("https://www.dofusbook.net/fr/equipement/5465470-sacrieur-f-200/objets", "link")</f>
        <v/>
      </c>
      <c r="C19401" t="n">
        <v>1</v>
      </c>
      <c r="D19401" t="inlineStr">
        <is>
          <t>Pelle de la Cour Sombre; Collier du Valet Veinard; Gant du Valet Veinard; Alliance Gloursonne; Menoture; Dorabysses; Cape Indescriptible; Baleinabottes; Dofus Ébène; Dofus Ivoire; Dofus Émeraude; Dofus Vulbis; Dofus Pourpre; Cascadeur majeur; Blérodoudou</t>
        </is>
      </c>
    </row>
    <row r="19402">
      <c r="A19402" t="inlineStr">
        <is>
          <t>res crit</t>
        </is>
      </c>
      <c r="B19402">
        <f>HYPERLINK("https://www.dofusbook.net/fr/equipement/5561230-res-crit/objets", "link")</f>
        <v/>
      </c>
      <c r="C19402" t="n">
        <v>2</v>
      </c>
      <c r="D19402" t="inlineStr">
        <is>
          <t>Dagues de Srambad; Amulette du Sinistrofu; Anneau en Grithril; Goulano; Goulclier; Ceinture en Grithril; Casque en Grithril; Cape du Sinistrofu; Goulbottes; Dofus Émeraude; Dofus Vulbis; Dofus Ébène; Dofus Ocre; Dofus Forgelave; Dofus Ivoire; Bouftor</t>
        </is>
      </c>
    </row>
    <row r="19403">
      <c r="A19403" t="inlineStr">
        <is>
          <t>sacri eau res</t>
        </is>
      </c>
      <c r="B19403">
        <f>HYPERLINK("https://www.dofusbook.net/fr/equipement/5553822-sacri-eau-res/objets", "link")</f>
        <v/>
      </c>
      <c r="C19403" t="n">
        <v>3</v>
      </c>
      <c r="D19403" t="inlineStr">
        <is>
          <t>Dagoulinantes; Amulette de Shokkoth; Alliance Gloursonne; Anneau Volkorne; Bouclier d'Ilyzaelle; Ceinture Volkorne; Masque des Fonds marins; Cape Solution; Bottes du Sinistrofu; Dofus Pourpre; Dofus Ébène; Dofus Émeraude; Dofus Ivoire; Nomade; Remueur; Kanigloups</t>
        </is>
      </c>
    </row>
    <row r="19404">
      <c r="A19404" t="inlineStr">
        <is>
          <t>terre crit</t>
        </is>
      </c>
      <c r="B19404">
        <f>HYPERLINK("https://www.dofusbook.net/fr/equipement/5352636-terre-crit/objets", "link")</f>
        <v/>
      </c>
      <c r="C19404" t="n">
        <v>1</v>
      </c>
      <c r="D19404" t="inlineStr">
        <is>
          <t>Arc du Chalœil; Amulette du Strigide; Anneau Chevelu; Anneau Volkorne; Quatre-feuilles; Ceinture Volkorne; Masque de Koutoulou; Cape au Logis; Baleinabottes; Dofus Ébène; Dofus Ivoire; Dofus Pourpre; Dofus Turquoise; Vigoureux majeur; Enragé majeur; Kokulte</t>
        </is>
      </c>
    </row>
    <row r="19405">
      <c r="A19405" t="inlineStr">
        <is>
          <t>Ecaflip M 200</t>
        </is>
      </c>
      <c r="B19405">
        <f>HYPERLINK("https://www.dofusbook.net/fr/equipement/5496028-ecaflip-m-200/objets", "link")</f>
        <v/>
      </c>
      <c r="C19405" t="n">
        <v>0</v>
      </c>
      <c r="D19405" t="inlineStr">
        <is>
          <t>Crocobur; Collier de Tourthon; Anneau Volkorne; Anneau Chevelu; Bouclier d'Ilyzaelle; Ceinture Volkorne; Masque de Koutoulou; Cape au Logis; Bottes de la Cour Sombre; Dofus Pourpre; Dofus Abyssal; Dofus Émeraude; Dofus Ocre; Dofus Ébène; Dofus Ivoire; Dragodinde Amande et Pourpre</t>
        </is>
      </c>
    </row>
    <row r="19406">
      <c r="A19406" t="inlineStr">
        <is>
          <t>terre res</t>
        </is>
      </c>
      <c r="B19406">
        <f>HYPERLINK("https://www.dofusbook.net/fr/equipement/5650441-terre-res/objets", "link")</f>
        <v/>
      </c>
      <c r="C19406" t="n">
        <v>0</v>
      </c>
      <c r="D19406" t="inlineStr">
        <is>
          <t>Lav'Hache; Collier de Tourthon; Anneau Chevelu; Anneau Volkorne; Bouclier d'Ilyzaelle; Ceinture Volkorne; Masque de Koutoulou; Cape au Logis; Bottes Honyme; Dofus Ébène; Dofus Émeraude; Dofus Pourpre; Dofus Abyssal; Dofus Ivoire; Carapace Feu majeur; Bulbisou</t>
        </is>
      </c>
    </row>
    <row r="19407">
      <c r="A19407" t="inlineStr">
        <is>
          <t>Enutrof F 200</t>
        </is>
      </c>
      <c r="B19407">
        <f>HYPERLINK("https://www.dofusbook.net/fr/equipement/5496219-enutrof-f-200/objets", "link")</f>
        <v/>
      </c>
      <c r="C19407" t="n">
        <v>7</v>
      </c>
      <c r="D19407" t="inlineStr">
        <is>
          <t>Karnak; Collier du Valet Veinard; Alliance Gloursonne; Gant du Valet Veinard; Bouclier du Stalak; Menoture; Couronne d'Allister; Cape Indescriptible; Baleinabottes; Dofus Pourpre; Equilibriste majeur; Cascadeur majeur; Nomade; Vigoureux majeur; Remueur; Dragodinde Ebène et Ivoire</t>
        </is>
      </c>
    </row>
    <row r="19408">
      <c r="A19408" t="inlineStr">
        <is>
          <t>Ecaflip F 200</t>
        </is>
      </c>
      <c r="B19408">
        <f>HYPERLINK("https://www.dofusbook.net/fr/equipement/5314958-ecaflip-f-200/objets", "link")</f>
        <v/>
      </c>
      <c r="C19408" t="n">
        <v>6</v>
      </c>
      <c r="D19408" t="inlineStr">
        <is>
          <t>Sceptre du Roi Joueur; Amulette Volkorne; Alliance Gloursonne; Anneau Volkorne; Quatre-feuilles; Sangle Ouare; Kidibonnet; Cape de la Dame du Hasard; Pataugastrique; Dofus Pourpre; Dofus Turquoise; Nomade; Taquin majeur; Vigoureux majeur; Chanceux majeur; Dragodinde Emeraude et Indigo</t>
        </is>
      </c>
    </row>
    <row r="19409">
      <c r="A19409" t="inlineStr">
        <is>
          <t>eau crit</t>
        </is>
      </c>
      <c r="B19409">
        <f>HYPERLINK("https://www.dofusbook.net/fr/equipement/5465517-eau-crit/objets", "link")</f>
        <v/>
      </c>
      <c r="C19409" t="n">
        <v>0</v>
      </c>
      <c r="D19409" t="inlineStr">
        <is>
          <t>Dagoulinantes; Amulette Cryochrone; Anneau Volkorne; Alliance Gloursonne; Bouclier d'Ilyzaelle; Kidibonnet; Cape Solution; Dofus Ivoire; Dofus Pourpre; Dofus Turquoise; Dofus Ébène; Nomade; Chanceux majeur; Kanigloups</t>
        </is>
      </c>
    </row>
    <row r="19410">
      <c r="A19410" t="inlineStr">
        <is>
          <t>Eniripsa F 200</t>
        </is>
      </c>
      <c r="B19410">
        <f>HYPERLINK("https://www.dofusbook.net/fr/equipement/5298148-eniripsa-f-200/objets", "link")</f>
        <v/>
      </c>
      <c r="C19410" t="n">
        <v>1</v>
      </c>
      <c r="D19410" t="inlineStr">
        <is>
          <t>Arc corrompu; Pendentif affamé; Anneauræus; Chevalière du Roi Joueur; Quatre-feuilles; Ceinture Séculaire; Coiffe Séculaire; Cape de Diondin; Bottes Innommables; Dofus Pourpre; Dofus Turquoise; Astucieux majeur; Remueur; Érudit majeur; Nomade; Bisouglours</t>
        </is>
      </c>
    </row>
    <row r="19411">
      <c r="A19411" t="inlineStr">
        <is>
          <t>Ecaflip M 200</t>
        </is>
      </c>
      <c r="B19411">
        <f>HYPERLINK("https://www.dofusbook.net/fr/equipement/4857804-ecaflip-m-200/objets", "link")</f>
        <v/>
      </c>
      <c r="C19411" t="n">
        <v>3</v>
      </c>
      <c r="D19411" t="inlineStr">
        <is>
          <t>Sceptre du Roi Joueur; Collier de la Dame du Hasard; Alliance Gloursonne; Anneau Volkorne; Bouclier du Stalak; Sangle Ouare; Capuche de l'Œil Attentif; Cape de la Dame du Hasard; Pataugastrique; Dofus Pourpre; Dofus Turquoise; Chanceux majeur; Nomade; Vigoureux majeur; Remueur; Pioute bleu</t>
        </is>
      </c>
    </row>
    <row r="19412">
      <c r="A19412" t="inlineStr">
        <is>
          <t>Ecaflip M 200</t>
        </is>
      </c>
      <c r="B19412">
        <f>HYPERLINK("https://www.dofusbook.net/fr/equipement/5354408-ecaflip-m-200/objets", "link")</f>
        <v/>
      </c>
      <c r="C19412" t="n">
        <v>1</v>
      </c>
      <c r="D19412" t="inlineStr">
        <is>
          <t>Arc Volkorne; Amulette du Strigide; Anneau Toriété; Anneau Volkorne; Quatre-feuilles; Ceinture du Strigide; Casque Volkorne; Voile d'encre; Bottes du Strigide; Dofus Pourpre; Dofus Ébène; Dofus des Glaces; Dofus Ocre; Dofus Turquoise; Dofus Ivoire; Kokulte</t>
        </is>
      </c>
    </row>
    <row r="19413">
      <c r="A19413" t="inlineStr">
        <is>
          <t>Zobal M 200</t>
        </is>
      </c>
      <c r="B19413">
        <f>HYPERLINK("https://www.dofusbook.net/fr/equipement/5298225-zobal-m-200/objets", "link")</f>
        <v/>
      </c>
      <c r="C19413" t="n">
        <v>0</v>
      </c>
      <c r="D19413" t="inlineStr">
        <is>
          <t>Amulette du Strigide; Bague Gloursonne; Alliance Gloursonne; Quatre-feuilles; Ceinture du Strigide; Bottes du Strigide; Dofus Ivoire; Dofus Ébène; Dofus Ocre; Dofus Turquoise; Dofus Vulbis; Dofus Pourpre; Kokulte</t>
        </is>
      </c>
    </row>
    <row r="19414">
      <c r="A19414" t="inlineStr">
        <is>
          <t>couteau eau-feu</t>
        </is>
      </c>
      <c r="B19414">
        <f>HYPERLINK("https://www.dofusbook.net/fr/equipement/5291532-couteau-eau-feu/objets", "link")</f>
        <v/>
      </c>
      <c r="C19414" t="n">
        <v>1</v>
      </c>
      <c r="D19414" t="inlineStr">
        <is>
          <t>Couteaux Sacrificiels; Amulette Volkorne; Alliance Gloursonne; Anneau Volkorne; Bouclier alvéolé; Ceintrigue; Le Dorado; Cape Paztek; Pataugastrique; Dofus Ivoire; Dofus des Glaces; Dofus Pourpre; Vigoureux majeur; Nomade; Robuste majeur; Walk</t>
        </is>
      </c>
    </row>
    <row r="19415">
      <c r="A19415" t="inlineStr">
        <is>
          <t>Iop F 200</t>
        </is>
      </c>
      <c r="B19415">
        <f>HYPERLINK("https://www.dofusbook.net/fr/equipement/5203536-iop-f-200/objets", "link")</f>
        <v/>
      </c>
      <c r="C19415" t="n">
        <v>1</v>
      </c>
      <c r="D19415" t="inlineStr">
        <is>
          <t>Epée Gloursonne; Amulette Volkorne; Alliance Gloursonne; Bague Gloursonne; Bouclier du Stalak; Ceinture Volkorne; Masque de l'Esprit Salvateur; Voilamibe; Bottes de l'Esprit Salvateur; Dofus Ivoire; Dofus Pourpre; Dofus des Glaces; Dofus Turquoise; Dofus Ocre; Wabbit</t>
        </is>
      </c>
    </row>
    <row r="19416">
      <c r="A19416" t="inlineStr">
        <is>
          <t>terre full</t>
        </is>
      </c>
      <c r="B19416">
        <f>HYPERLINK("https://www.dofusbook.net/fr/equipement/5203493-terre-full/objets", "link")</f>
        <v/>
      </c>
      <c r="C19416" t="n">
        <v>2</v>
      </c>
      <c r="D19416" t="inlineStr">
        <is>
          <t>Marteau R'ture; Collier de Tourthon; Anneau Volkorne; Anneau Chevelu; Bouclier d'Ilyzaelle; Ceinture Volkorne; Masque de Koutoulou; Cape au Logis; Baleinabottes; Dofus Turquoise; Dofus Ivoire; Dofus Pourpre; Forcené majeur; Enragé majeur; Vigoureux majeur; Dragodinde Ivoire et Pourpre</t>
        </is>
      </c>
    </row>
    <row r="19417">
      <c r="A19417" t="inlineStr">
        <is>
          <t>intelroub</t>
        </is>
      </c>
      <c r="B19417">
        <f>HYPERLINK("https://www.dofusbook.net/fr/equipement/2055141-intelroub/objets", "link")</f>
        <v/>
      </c>
      <c r="C19417" t="n">
        <v>5</v>
      </c>
      <c r="D19417" t="inlineStr">
        <is>
          <t>Manthache; Collier du Valet Veinard; Alliance Gloursonne; Gant du Valet Veinard; Bouclier du Stalak; Menoture; Couronne d'Allister; Cape Indescriptible; Palmes Trithons; Dofus Pourpre; Remueur; Equilibriste majeur; Cascadeur majeur; Nomade; Dévastateur Air majeur; Siroko</t>
        </is>
      </c>
    </row>
    <row r="19418">
      <c r="A19418" t="inlineStr">
        <is>
          <t>Terre Feu fat</t>
        </is>
      </c>
      <c r="B19418">
        <f>HYPERLINK("https://www.dofusbook.net/fr/equipement/5143235-terre-feu-fat-/objets", "link")</f>
        <v/>
      </c>
      <c r="C19418" t="n">
        <v>3</v>
      </c>
      <c r="D19418" t="inlineStr">
        <is>
          <t>Dagues Érhy; Amulette Volkorne; Chevalière du Roi Joueur; Bague Gloursonne; Quatre-feuilles; Ceinture Volkorne; Chapeau de Gein; Voile d'encre; Bottes Honyme; Dofus Turquoise; Dofus Pourpre; Nomade; Remueur; Vigoureux majeur; Érudit majeur; Cromeugnon</t>
        </is>
      </c>
    </row>
    <row r="19419">
      <c r="A19419" t="inlineStr">
        <is>
          <t>Sram F 200</t>
        </is>
      </c>
      <c r="B19419">
        <f>HYPERLINK("https://www.dofusbook.net/fr/equipement/5142480-sram-f-200/objets", "link")</f>
        <v/>
      </c>
      <c r="C19419" t="n">
        <v>0</v>
      </c>
      <c r="D19419" t="inlineStr">
        <is>
          <t>Pyraguette; Amulette Volkorne; Anneau Volkorne; Anneau Cryochrone; Bouclier du Stalak; Ceintrigue; Masque Paztek; Cape de l'Œil Putride; Pataugastrique; Dofus Pourpre; Dofus Ivoire; Nomade; Chanceux majeur; Remueur; Érudit majeur</t>
        </is>
      </c>
    </row>
    <row r="19420">
      <c r="A19420" t="inlineStr">
        <is>
          <t>feures</t>
        </is>
      </c>
      <c r="B19420">
        <f>HYPERLINK("https://www.dofusbook.net/fr/equipement/5130510-feures/objets", "link")</f>
        <v/>
      </c>
      <c r="C19420" t="n">
        <v>2</v>
      </c>
      <c r="D19420" t="inlineStr">
        <is>
          <t>Baguette de Malléfisk; Amulette Volkorne; Chevalière du Roi Joueur; Anneauræus; Bouclier du Stalak; Ceinture Volkorne; Casque Dragoeuf; Cape de Diondin; Bottes Innommables; Dofus Ivoire; Dofus Pourpre; Dofus Ébène; Nomade; Remueur; Érudit majeur; Bisouglours</t>
        </is>
      </c>
    </row>
    <row r="19421">
      <c r="A19421" t="inlineStr">
        <is>
          <t>Stuff 1</t>
        </is>
      </c>
      <c r="B19421">
        <f>HYPERLINK("https://www.dofusbook.net/fr/equipement/1376542-stuff-1/objets", "link")</f>
        <v/>
      </c>
      <c r="C19421" t="n">
        <v>0</v>
      </c>
      <c r="D19421" t="inlineStr">
        <is>
          <t>Amulette du Strigide; Ceintacé; Cape au Logis; Bottes du Strigide</t>
        </is>
      </c>
    </row>
    <row r="19422">
      <c r="A19422" t="inlineStr">
        <is>
          <t>Iop F 200</t>
        </is>
      </c>
      <c r="B19422">
        <f>HYPERLINK("https://www.dofusbook.net/fr/equipement/3524121-iop-f-200/objets", "link")</f>
        <v/>
      </c>
      <c r="C19422" t="n">
        <v>2</v>
      </c>
      <c r="D19422" t="inlineStr">
        <is>
          <t>Epée Toche; Amulette Volkorne; Baguistik; Bague Gloursonne; Bouclier du Captain Amakna; Ceinture Volkorne; Chapeau de Gein; Voile d'encre; Bottes Honyme; Dofus Turquoise; Dofus Pourpre; Dofus Nébuleux; Vigoureux majeur; Nomade; Remueur</t>
        </is>
      </c>
    </row>
    <row r="19423">
      <c r="A19423" t="inlineStr">
        <is>
          <t>Crâ F 200</t>
        </is>
      </c>
      <c r="B19423">
        <f>HYPERLINK("https://www.dofusbook.net/fr/equipement/5035549-cra-f-200/objets", "link")</f>
        <v/>
      </c>
      <c r="C19423" t="n">
        <v>0</v>
      </c>
      <c r="D19423" t="inlineStr">
        <is>
          <t>Arc corrompu; Amulette Volkorne; Anneauræus; Chevalière du Roi Joueur; Bouclier du Stalak; Ceinture Volkorne; Heaume Oplate; Cape de Diondin; Bottes Innommables; Dofus Pourpre; Dofus Nébuleux; Astucieux majeur; Nomade; Vigoureux majeur; Érudit majeur; Bisouglours</t>
        </is>
      </c>
    </row>
    <row r="19424">
      <c r="A19424" t="inlineStr">
        <is>
          <t>Stuff 2</t>
        </is>
      </c>
      <c r="B19424">
        <f>HYPERLINK("https://www.dofusbook.net/fr/equipement/1376535-stuff-2/objets", "link")</f>
        <v/>
      </c>
      <c r="C19424" t="n">
        <v>2</v>
      </c>
      <c r="D19424" t="inlineStr">
        <is>
          <t>Arc Honte; Talisman Igans; Bracelet des Fonds marins; Alliance Gloursonne; Bouclier du Stalak; Ceinture Glaciale; Chapeau des Malveilleurs; Cape des Malveilleurs; Pataugastrique; Dofus Pourpre; Chanceux majeur; Érudit majeur; Nomade; Vigoureux majeur; Remueur; Walk</t>
        </is>
      </c>
    </row>
    <row r="19425">
      <c r="A19425" t="inlineStr">
        <is>
          <t>Stuff 2</t>
        </is>
      </c>
      <c r="B19425">
        <f>HYPERLINK("https://www.dofusbook.net/fr/equipement/1376510-stuff-2/objets", "link")</f>
        <v/>
      </c>
      <c r="C19425" t="n">
        <v>2</v>
      </c>
      <c r="D19425" t="inlineStr">
        <is>
          <t>Épée Brûlâme; Amulette Volkorne; Alliance Gloursonne; Anneau Volkorne; Quatre-feuilles; Ceinture de l'Esprit Malsain; Capuche de l'Œil Putride; Voile d'encre; Pataugastrique; Dofus Pourpre; Dofus Turquoise; Nomade; Remueur; Fonceur majeur; Vigoureux majeur; Walk</t>
        </is>
      </c>
    </row>
    <row r="19426">
      <c r="A19426" t="inlineStr">
        <is>
          <t>Zobal F 200</t>
        </is>
      </c>
      <c r="B19426">
        <f>HYPERLINK("https://www.dofusbook.net/fr/equipement/3612499-zobal-f-200/objets", "link")</f>
        <v/>
      </c>
      <c r="C19426" t="n">
        <v>4</v>
      </c>
      <c r="D19426" t="inlineStr">
        <is>
          <t>Massier; Amulette Volcanique; Bracelet du Piloztère; Chevalière du Roi Joueur; Bouclier alvéolé; Ceintacé; Chapeau de Gein; Voile d'encre; Sabots Volcaniques; Dofus Turquoise; Dofus Ocre; Dofus Ivoire; Dofus Pourpre; Vigoureux majeur; Obstructeur majeur; Muldo Roux et Pourpre</t>
        </is>
      </c>
    </row>
    <row r="19427">
      <c r="A19427" t="inlineStr">
        <is>
          <t>FEU</t>
        </is>
      </c>
      <c r="B19427">
        <f>HYPERLINK("https://www.dofusbook.net/fr/equipement/1788430-feu/objets", "link")</f>
        <v/>
      </c>
      <c r="C19427" t="n">
        <v>4</v>
      </c>
      <c r="D19427" t="inlineStr">
        <is>
          <t>Arc corrompu; Pendentif affamé; Chevalière du Roi Joueur; Anneauræus; Quatre-feuilles; Ceinture Séculaire; Coiffe Séculaire; Cape de Diondin; Bottes Innommables; Dofus Pourpre; Dofus Turquoise; Érudit majeur; Remueur; Astucieux majeur; Nomade; Brûlih</t>
        </is>
      </c>
    </row>
    <row r="19428">
      <c r="A19428" t="inlineStr">
        <is>
          <t>Eniripsa F 200</t>
        </is>
      </c>
      <c r="B19428">
        <f>HYPERLINK("https://www.dofusbook.net/fr/equipement/3546123-eniripsa-f-200/objets", "link")</f>
        <v/>
      </c>
      <c r="C19428" t="n">
        <v>0</v>
      </c>
      <c r="D19428" t="inlineStr">
        <is>
          <t>Arc corrompu; Pendentif affamé; Anneauræus; Quatre-feuilles; Ceinture Séculaire; Coiffe Séculaire; Cape de Diondin; Bottes Innommables; Dofus Pourpre; Dofus Turquoise; Astucieux majeur; Érudit majeur; Nomade; Remueur; Dragodinde Ivoire et Orchidée</t>
        </is>
      </c>
    </row>
    <row r="19429">
      <c r="A19429" t="inlineStr">
        <is>
          <t>Crâ F 200</t>
        </is>
      </c>
      <c r="B19429">
        <f>HYPERLINK("https://www.dofusbook.net/fr/equipement/3537568-cra-f-200/objets", "link")</f>
        <v/>
      </c>
      <c r="C19429" t="n">
        <v>4</v>
      </c>
      <c r="D19429" t="inlineStr">
        <is>
          <t>Marteau Phossile; Amulette du Strigide; Anneau de Padgref; Anneau Rifique; Quatre-feuilles; Ceinture du Strigide; Coiffe de Padgref; Cape d'Atcham; Bottes du Strigide; Dofus Ocre; Dofus Turquoise; Dofus des Glaces; Dofus Pourpre; Dofus Abyssal; Dofus Nébuleux; Muldo Doré et Emeraude</t>
        </is>
      </c>
    </row>
    <row r="19430">
      <c r="A19430" t="inlineStr">
        <is>
          <t>Xélor F 200</t>
        </is>
      </c>
      <c r="B19430">
        <f>HYPERLINK("https://www.dofusbook.net/fr/equipement/3537444-xelor-f-200/objets", "link")</f>
        <v/>
      </c>
      <c r="C19430" t="n">
        <v>2</v>
      </c>
      <c r="D19430" t="inlineStr">
        <is>
          <t>Sceptre du Roi Joueur; Amulette du Strigide; Bracelet des Fonds marins; Alliance Gloursonne; Bouclier cubiste; Ceinture Glaciale; Kidibonnet; Cape de la Dame du Hasard; Bottes de la Dame du Hasard; Dofus Turquoise; Dofus Pourpre; Temporiseur majeur; Nomade; Chanceux majeur; Remueur; Dragodinde Emeraude et Indigo</t>
        </is>
      </c>
    </row>
    <row r="19431">
      <c r="A19431" t="inlineStr">
        <is>
          <t>Crâ F 200</t>
        </is>
      </c>
      <c r="B19431">
        <f>HYPERLINK("https://www.dofusbook.net/fr/equipement/3526885-cra-f-200/objets", "link")</f>
        <v/>
      </c>
      <c r="C19431" t="n">
        <v>4</v>
      </c>
      <c r="D19431" t="inlineStr">
        <is>
          <t>Arc Volkorne; Amulette de l'Œil Putride; Goulano; Alliance Gloursonne; Goulclier; Ceinture de la Reine des Voleurs; Coiffe de la Reine des Voleurs; Cape de l'Œil Putride; Bottes de la Reine des Voleurs; Dofus Turquoise; Dofus des Glaces; Dofus Ivoire; Dofus Ocre; Dofus Pourpre; Dofus Abyssal; Muldo Prune et Doré</t>
        </is>
      </c>
    </row>
    <row r="19432">
      <c r="A19432" t="inlineStr">
        <is>
          <t>Enutrof M 200</t>
        </is>
      </c>
      <c r="B19432">
        <f>HYPERLINK("https://www.dofusbook.net/fr/equipement/3532852-enutrof-m-200/objets", "link")</f>
        <v/>
      </c>
      <c r="C19432" t="n">
        <v>0</v>
      </c>
      <c r="D19432" t="inlineStr">
        <is>
          <t>Dagoulinantes; Amulette de Shokkoth; Alliance Gloursonne; Anneau Volkorne; Bouclier cubiste; Poulpagne; Capuche de l'Œil Attentif; Cape du Sinistrofu; Bottes du Sinistrofu; Dofus Pourpre; Nomade; Temporiseur majeur; Remueur; Chanceux majeur; Dehluge</t>
        </is>
      </c>
    </row>
    <row r="19433">
      <c r="A19433" t="inlineStr">
        <is>
          <t>Stuff 3</t>
        </is>
      </c>
      <c r="B19433">
        <f>HYPERLINK("https://www.dofusbook.net/fr/equipement/1376547-stuff-3/objets", "link")</f>
        <v/>
      </c>
      <c r="C19433" t="n">
        <v>2</v>
      </c>
      <c r="D19433" t="inlineStr">
        <is>
          <t>Arc du Chalœil; Amulette du Strigide; Bague Gloursonne; Anneau Chevelu; Quatre-feuilles; Ceintacé; Chapeau de Gein; Cape au Logis; Bottes du Strigide; Dofus Nébuleux; Dofus Pourpre; Dofus Turquoise; Vigoureux majeur; Remueur; Enragé majeur; Kramkram</t>
        </is>
      </c>
    </row>
    <row r="19434">
      <c r="A19434" t="inlineStr">
        <is>
          <t>Ecaflip F 200</t>
        </is>
      </c>
      <c r="B19434">
        <f>HYPERLINK("https://www.dofusbook.net/fr/equipement/3512379-ecaflip-f-200/objets", "link")</f>
        <v/>
      </c>
      <c r="C19434" t="n">
        <v>0</v>
      </c>
      <c r="D19434" t="inlineStr">
        <is>
          <t>Arc Volkorne; Amulette du Strigide; Alliance Gloursonne; Anneau Volkorne; Quatre-feuilles; Ceinture du Strigide; Casque Volkorne; Voile d'encre; Bottes du Strigide; Dofus Ivoire; Dofus Nébuleux; Dofus Ocre; Dofus des Glaces; Dofus Abyssal; Dofus Turquoise; Volkorne Prune et Emeraude</t>
        </is>
      </c>
    </row>
    <row r="19435">
      <c r="A19435" t="inlineStr">
        <is>
          <t>eautacle</t>
        </is>
      </c>
      <c r="B19435">
        <f>HYPERLINK("https://www.dofusbook.net/fr/equipement/2036933-eautacle/objets", "link")</f>
        <v/>
      </c>
      <c r="C19435" t="n">
        <v>2</v>
      </c>
      <c r="D19435" t="inlineStr">
        <is>
          <t>Epée Loponèze; Talisman Glouti; Annolamour; Alliance Gloursonne; Bouclier alvéolé; Sangle Ouare; Masque des Fonds marins; Cape Matelassée; Sandales des Fonds marins; Dofus Pourpre; Obstructeur majeur; Remueur; Fonceur majeur; Chanceux majeur</t>
        </is>
      </c>
    </row>
    <row r="19436">
      <c r="A19436" t="inlineStr">
        <is>
          <t>du sale</t>
        </is>
      </c>
      <c r="B19436">
        <f>HYPERLINK("https://www.dofusbook.net/fr/equipement/1994063-du-sale/objets", "link")</f>
        <v/>
      </c>
      <c r="C19436" t="n">
        <v>0</v>
      </c>
      <c r="D19436" t="inlineStr">
        <is>
          <t>Arc de Koutoulou; Amulette du Strigide; Bracelet des Fonds marins; Alliance Gloursonne; Quatre-feuilles; Ceinture du Strigide; Coiffe d'Ogivol; Chevelure de Tal Kasha; Bottes Voldelor; Dofus Ocre; Dofus Pourpre; Dofus Nébuleux; Dofus Turquoise; Remueur; Muldo Prune et Doré</t>
        </is>
      </c>
    </row>
    <row r="19437">
      <c r="A19437" t="inlineStr">
        <is>
          <t>terre</t>
        </is>
      </c>
      <c r="B19437">
        <f>HYPERLINK("https://www.dofusbook.net/fr/equipement/1970736-terre/objets", "link")</f>
        <v/>
      </c>
      <c r="C19437" t="n">
        <v>0</v>
      </c>
      <c r="D19437" t="inlineStr">
        <is>
          <t>Héqache; Amulette du Strigide; Bague Gloursonne; Anneau Chevelu; Quatre-feuilles; Ceinture de la Cour Sombre; Masque de Koutoulou; Cape au Logis; Bottes de la Cour Sombre; Dofus Pourpre; Dofus Nébuleux; Dofus Turquoise; Dofus Ocre; Enragé majeur; Nomade; Kompost</t>
        </is>
      </c>
    </row>
    <row r="19438">
      <c r="A19438" t="inlineStr">
        <is>
          <t>Stuff 3</t>
        </is>
      </c>
      <c r="B19438">
        <f>HYPERLINK("https://www.dofusbook.net/fr/equipement/1376514-stuff-3/objets", "link")</f>
        <v/>
      </c>
      <c r="C19438" t="n">
        <v>2</v>
      </c>
      <c r="D19438" t="inlineStr">
        <is>
          <t>Épouvante; Amulette du Strigide; Bracelet du Piloztère; Alliance Brûlâme; Quatre-feuilles; Ceinture du Strigide; Masque de Koutoulou; Cape Ovri; Sandales Circulaires du Kimbo; Dofus Pourpre; Dofus Turquoise; Remueur; Vigoureux majeur; Déserteur majeur; Nomade; Kramkram</t>
        </is>
      </c>
    </row>
    <row r="19439">
      <c r="A19439" t="inlineStr">
        <is>
          <t>Steamer F 200</t>
        </is>
      </c>
      <c r="B19439">
        <f>HYPERLINK("https://www.dofusbook.net/fr/equipement/5804280-steamer-f-200/objets", "link")</f>
        <v/>
      </c>
      <c r="C19439" t="n">
        <v>0</v>
      </c>
      <c r="D19439" t="inlineStr">
        <is>
          <t>Arc corrompu; Amulette Volkorne; Anneau de Padgref; Anneauræus; Quatre-feuilles; Ceinture Séculaire; Coiffe de Padgref; Cape d'Atcham; Getas de Padgref; Dofus Pourpre; Dofus Ivoire; Dofus Turquoise; Dofus des Glaces; Dofus Ocre; Dofus Abyssal; Bisouglours</t>
        </is>
      </c>
    </row>
    <row r="19440">
      <c r="A19440" t="inlineStr">
        <is>
          <t>Sram F 200</t>
        </is>
      </c>
      <c r="B19440">
        <f>HYPERLINK("https://www.dofusbook.net/fr/equipement/5702860-sram-f-200/objets", "link")</f>
        <v/>
      </c>
      <c r="C19440" t="n">
        <v>0</v>
      </c>
      <c r="D19440" t="inlineStr">
        <is>
          <t>Crocobur; Amulette Volkorne; Bracelet du Piloztère; Anneau Volkorne; Bouclier du Stalak; Ceinture Volkorne; Masque de l'Esprit Salvateur; Cape des Justiciers; Bottes de l'Esprit Salvateur; Dofus Ocre; Dofus Abyssal; Dofus Ivoire; Dofus des Glaces; Dofus Pourpre; Dofus Ébène; Dragodinde Prune et Ivoire</t>
        </is>
      </c>
    </row>
    <row r="19441">
      <c r="A19441" t="inlineStr">
        <is>
          <t>Sram F 200</t>
        </is>
      </c>
      <c r="B19441">
        <f>HYPERLINK("https://www.dofusbook.net/fr/equipement/5694900-sram-f-200/objets", "link")</f>
        <v/>
      </c>
      <c r="C19441" t="n">
        <v>1</v>
      </c>
      <c r="D19441" t="inlineStr">
        <is>
          <t>Baguette Héroclite; Amulette de l'Œil Attentif; Bracelet des Fonds marins; Anneau Volkorne; Bouclier du Stalak; Pagne du Rykaon; Capuche de l'Œil Attentif; Cape de l'Œil Attentif; Pantoufles du Piloztère; Dofus Pourpre; Dofus Ivoire; Dofus Turquoise; Dofus Ébène; Dofus Ocre; Dofus Abyssal; Kanigloups</t>
        </is>
      </c>
    </row>
    <row r="19442">
      <c r="A19442" t="inlineStr">
        <is>
          <t>Sram F 200</t>
        </is>
      </c>
      <c r="B19442">
        <f>HYPERLINK("https://www.dofusbook.net/fr/equipement/5692683-sram-f-200/objets", "link")</f>
        <v/>
      </c>
      <c r="C19442" t="n">
        <v>0</v>
      </c>
      <c r="D19442" t="inlineStr">
        <is>
          <t>Dagues de Srambad; Amulette Luminescente; Anneau Volkorne; Anneau en Grithril; Quatre-feuilles; Ceinture Volkorne; Masque de Funespadon; Cape Luminescente; Chaussons de Macrab; Dofus Ivoire; Dofus Abyssal; Dofus Pourpre; Dofus Ébène; Dofus Ocre; Dofus des Glaces</t>
        </is>
      </c>
    </row>
    <row r="19443">
      <c r="A19443" t="inlineStr">
        <is>
          <t>Sram F 200</t>
        </is>
      </c>
      <c r="B19443">
        <f>HYPERLINK("https://www.dofusbook.net/fr/equipement/5659796-sram-f-200/objets", "link")</f>
        <v/>
      </c>
      <c r="C19443" t="n">
        <v>4</v>
      </c>
      <c r="D19443" t="inlineStr">
        <is>
          <t>Arc corrompu; Amulette Volkorne; Anneauræus; Anneau Volkorne; Bouclier du Stalak; Ceinture de l'Esprit Salvateur; Couronne du Roi Joueur; Cape de Diondin; Bottes Innommables; Dofus Ébène; Dofus Ocre; Dofus des Glaces; Dofus Ivoire; Dofus Abyssal; Dofus Argenté; Bisouglours</t>
        </is>
      </c>
    </row>
    <row r="19444">
      <c r="A19444" t="inlineStr">
        <is>
          <t>Sram F 200</t>
        </is>
      </c>
      <c r="B19444">
        <f>HYPERLINK("https://www.dofusbook.net/fr/equipement/5531570-sram-f-200/objets", "link")</f>
        <v/>
      </c>
      <c r="C19444" t="n">
        <v>0</v>
      </c>
      <c r="D19444" t="inlineStr">
        <is>
          <t>Arc Volkorne; Amulette Volkorne; Anneau Toriété; Anneau Volkorne; Bouclier du Stalak; Ceinture de l'Esprit Salvateur; Masque de l'Esprit Salvateur; Cape des Justiciers; Bottes de l'Esprit Salvateur; Dofus Ocre; Dofus Abyssal; Dofus Ivoire; Dofus des Glaces; Dofus Pourpre; Dofus Ébène; Chacha Angora</t>
        </is>
      </c>
    </row>
    <row r="19445">
      <c r="A19445" t="inlineStr">
        <is>
          <t>Sram F 200</t>
        </is>
      </c>
      <c r="B19445">
        <f>HYPERLINK("https://www.dofusbook.net/fr/equipement/5511128-sram-f-200/objets", "link")</f>
        <v/>
      </c>
      <c r="C19445" t="n">
        <v>0</v>
      </c>
      <c r="D19445" t="inlineStr">
        <is>
          <t>Dagues Érhy; Amulette Volkorne; Bague Gloursonne; Baguistik; Bouclier du Captain Amakna; Ceinture Volkorne; Chapeau de Gein; Voile d'encre; Bottes du Roi Joueur; Dofus Ocre; Dofus des Glaces; Dofus Ivoire; Dofus Ébène; Nomade; Remueur; Kramkram</t>
        </is>
      </c>
    </row>
    <row r="19446">
      <c r="A19446" t="inlineStr">
        <is>
          <t>Zobal F 200</t>
        </is>
      </c>
      <c r="B19446">
        <f>HYPERLINK("https://www.dofusbook.net/fr/equipement/3872333-zobal-f-200/objets", "link")</f>
        <v/>
      </c>
      <c r="C19446" t="n">
        <v>0</v>
      </c>
      <c r="D19446" t="inlineStr"/>
    </row>
    <row r="19447">
      <c r="A19447" t="inlineStr">
        <is>
          <t>Zobal F 200</t>
        </is>
      </c>
      <c r="B19447">
        <f>HYPERLINK("https://www.dofusbook.net/fr/equipement/3872325-zobal-f-200/objets", "link")</f>
        <v/>
      </c>
      <c r="C19447" t="n">
        <v>0</v>
      </c>
      <c r="D19447" t="inlineStr"/>
    </row>
    <row r="19448">
      <c r="A19448" t="inlineStr">
        <is>
          <t>Zobal M 200</t>
        </is>
      </c>
      <c r="B19448">
        <f>HYPERLINK("https://www.dofusbook.net/fr/equipement/3594184-zobal-m-200/objets", "link")</f>
        <v/>
      </c>
      <c r="C19448" t="n">
        <v>0</v>
      </c>
      <c r="D19448" t="inlineStr"/>
    </row>
    <row r="19449">
      <c r="A19449" t="inlineStr">
        <is>
          <t>Roublard F 200</t>
        </is>
      </c>
      <c r="B19449">
        <f>HYPERLINK("https://www.dofusbook.net/fr/equipement/3409670-roublard-f-200/objets", "link")</f>
        <v/>
      </c>
      <c r="C19449" t="n">
        <v>1</v>
      </c>
      <c r="D19449" t="inlineStr">
        <is>
          <t>Harpelle; Pendentif affamé; Anneau Tique; Anneau de Nidas; Bouclier du Stalak; Ceinture de Vortex; Couronne de Nidas; Cape de Diondin; Pantoufles Émar; Dofus Émeraude; Nomade; Miraculé majeur; Remueur; Carapace Feu majeur; Érudit majeur; Moumoute</t>
        </is>
      </c>
    </row>
    <row r="19450">
      <c r="A19450" t="inlineStr">
        <is>
          <t>Roublard F 200</t>
        </is>
      </c>
      <c r="B19450">
        <f>HYPERLINK("https://www.dofusbook.net/fr/equipement/3413397-roublard-f-200/objets", "link")</f>
        <v/>
      </c>
      <c r="C19450" t="n">
        <v>0</v>
      </c>
      <c r="D19450" t="inlineStr">
        <is>
          <t>Arc du Chalœil; Collier de Tourthon; Anneau des égarés; Bracelet du Piloztère; Bouclier du Stalak; Ceinture de la Cour Sombre; Masque de Koutoulou; Cape de la Cour Sombre; Baleinabottes; Dofus Émeraude; Dofus Turquoise; Nomade; Évasif majeur; Remueur; Carapace Terre majeur; Muldo Indigo et Pourpre</t>
        </is>
      </c>
    </row>
    <row r="19451">
      <c r="A19451" t="inlineStr">
        <is>
          <t>Steamer F 200</t>
        </is>
      </c>
      <c r="B19451">
        <f>HYPERLINK("https://www.dofusbook.net/fr/equipement/3398894-steamer-f-200/objets", "link")</f>
        <v/>
      </c>
      <c r="C19451" t="n">
        <v>0</v>
      </c>
      <c r="D19451" t="inlineStr"/>
    </row>
    <row r="19452">
      <c r="A19452" t="inlineStr">
        <is>
          <t>Agi</t>
        </is>
      </c>
      <c r="B19452">
        <f>HYPERLINK("https://www.dofusbook.net/fr/equipement/3151340-agi/objets", "link")</f>
        <v/>
      </c>
      <c r="C19452" t="n">
        <v>0</v>
      </c>
      <c r="D19452" t="inlineStr">
        <is>
          <t>Lance Horselé; Collier du Valet Veinard; Anneau Rifique; Gant du Valet Veinard; Bouclier du Stalak; Menoture; Capuche de Moum-Ra; Cape Indescriptible; Palmes Trithons; Dofus Émeraude; Dofus Pourpre; Remueur; Cascadeur majeur; Nomade; Carapace Air majeur; Muldo Ebène et Pourpre</t>
        </is>
      </c>
    </row>
    <row r="19453">
      <c r="A19453" t="inlineStr">
        <is>
          <t>Vitaterre</t>
        </is>
      </c>
      <c r="B19453">
        <f>HYPERLINK("https://www.dofusbook.net/fr/equipement/2932771-vitaterre/objets", "link")</f>
        <v/>
      </c>
      <c r="C19453" t="n">
        <v>0</v>
      </c>
      <c r="D19453" t="inlineStr">
        <is>
          <t>Arc du Chalœil; Collier de Tourthon; Bracelet du Piloztère; Anneau du Katcheur; Bouclier du Stalak; Ceinture de Gein; Masque du Katcheur; Ankhape; Baleinabottes; Dofus Émeraude; Nomade; Miraculé majeur; Remueur; Carapace Terre majeur; Enragé majeur; Cube</t>
        </is>
      </c>
    </row>
    <row r="19454">
      <c r="A19454" t="inlineStr">
        <is>
          <t>Terrefeu</t>
        </is>
      </c>
      <c r="B19454">
        <f>HYPERLINK("https://www.dofusbook.net/fr/equipement/2932092-terrefeu/objets", "link")</f>
        <v/>
      </c>
      <c r="C19454" t="n">
        <v>0</v>
      </c>
      <c r="D19454" t="inlineStr">
        <is>
          <t>Marteau d'Henual; Amulette de Gein; Bracelet du Piloztère; Bague Gloursonne; Bouclier du Stalak; Ceintacé; Chapeau de Gein; Voile d'encre; Bottes de la Cour Sombre; Dofus Émeraude; Dokoko; Miraculé majeur; Remueur; Déserteur majeur; Nomade</t>
        </is>
      </c>
    </row>
    <row r="19455">
      <c r="A19455" t="inlineStr">
        <is>
          <t>Terre</t>
        </is>
      </c>
      <c r="B19455">
        <f>HYPERLINK("https://www.dofusbook.net/fr/equipement/2896129-terre/objets", "link")</f>
        <v/>
      </c>
      <c r="C19455" t="n">
        <v>0</v>
      </c>
      <c r="D19455" t="inlineStr">
        <is>
          <t>Arc du Chalœil; Collier de Tourthon; Anneau de Brouce; Bracelet du Piloztère; Bouclier du Stalak; Ceintacé; Masque de Koutoulou; Cape de la Cour Sombre; Bottes de la Cour Sombre; Dokoko; Dofus Émeraude; Miraculé majeur; Nomade; Carapace Terre majeur; Remueur; Muldo Indigo et Pourpre</t>
        </is>
      </c>
    </row>
    <row r="19456">
      <c r="A19456" t="inlineStr">
        <is>
          <t>Multi12pa</t>
        </is>
      </c>
      <c r="B19456">
        <f>HYPERLINK("https://www.dofusbook.net/fr/equipement/2888797-multi12pa/objets", "link")</f>
        <v/>
      </c>
      <c r="C19456" t="n">
        <v>0</v>
      </c>
      <c r="D19456" t="inlineStr">
        <is>
          <t>Epée Gloursonne; Amulette de l'Œil Putride; Bague Gloursonne; Alliance Gloursonne; Bouclier du Stalak; Ceinture de l'Indicible; Capuche de l'Œil Putride; Cape de l'Œil Putride; Bottes de l'Indicible; Dofus Émeraude; Dofus Abyssal; Dofus Pourpre; Dofus Ivoire; Dofus des Glaces; Dofus Ocre; Muldo Ebène et Pourpre</t>
        </is>
      </c>
    </row>
    <row r="19457">
      <c r="A19457" t="inlineStr">
        <is>
          <t>Multi12.2</t>
        </is>
      </c>
      <c r="B19457">
        <f>HYPERLINK("https://www.dofusbook.net/fr/equipement/2888864-multi12-2/objets", "link")</f>
        <v/>
      </c>
      <c r="C19457" t="n">
        <v>0</v>
      </c>
      <c r="D19457" t="inlineStr">
        <is>
          <t>Epée Gloursonne; Amulette du Strigide; Alliance Gloursonne; Bague Gloursonne; Bouclier du Stalak; Ceinture du Strigide; Chapeau des Malveilleurs; Cape des Malveilleurs; Bottes des Malveilleurs; Dofus Ivoire; Dofus Émeraude; Dofus des Glaces; Dofus Pourpre; Dofus Abyssal; Dofus Ocre; Muldo Indigo et Orchidée</t>
        </is>
      </c>
    </row>
    <row r="19458">
      <c r="A19458" t="inlineStr">
        <is>
          <t>Airfeulowcost</t>
        </is>
      </c>
      <c r="B19458">
        <f>HYPERLINK("https://www.dofusbook.net/fr/equipement/2888662-airfeulowcost/objets", "link")</f>
        <v/>
      </c>
      <c r="C19458" t="n">
        <v>0</v>
      </c>
      <c r="D19458" t="inlineStr">
        <is>
          <t>Baguette Range; Pendentif affamé; Gant du Valet Veinard; Alliance Gloursonne; Bouclier du Stalak; Ceinture Séculaire; Coiffe Séculaire; Cape de Diondin; Pantoufles Émar; Dofus Émeraude; Dofus Pourpre; Carapace Feu majeur; Remueur; Miraculé majeur; Nomade; Muldo Indigo et Orchidée</t>
        </is>
      </c>
    </row>
    <row r="19459">
      <c r="A19459" t="inlineStr">
        <is>
          <t>Airfeu</t>
        </is>
      </c>
      <c r="B19459">
        <f>HYPERLINK("https://www.dofusbook.net/fr/equipement/2887068-airfeu/objets", "link")</f>
        <v/>
      </c>
      <c r="C19459" t="n">
        <v>0</v>
      </c>
      <c r="D19459" t="inlineStr">
        <is>
          <t>Baguette Range; Pendentif mignon de Koutoulou; Anneau de Nidas; Bracelet du Piloztère; Bouclier du Stalak; Ceinture de Vortex; Casque Cyclopéen; Cape de Diondin; Pantoufles Émar; Dokoko; Dofus Émeraude; Miraculé majeur; Nomade; Érudit majeur; Remueur; Muldo Orchidée et Pourpre</t>
        </is>
      </c>
    </row>
    <row r="19460">
      <c r="A19460" t="inlineStr">
        <is>
          <t>terrefeu</t>
        </is>
      </c>
      <c r="B19460">
        <f>HYPERLINK("https://www.dofusbook.net/fr/equipement/2878375-terrefeu/objets", "link")</f>
        <v/>
      </c>
      <c r="C19460" t="n">
        <v>0</v>
      </c>
      <c r="D19460" t="inlineStr">
        <is>
          <t>Dagues Ricol; Pendentif affamé; Bague Gloursonne; Bracelet du Piloztère; Ceinture de Gein; Chapeau de Gein; Cape de Diondin; Baleinabottes; Dofus Émeraude; Dokoko; Nomade; Carapace Air majeur; Remueur; Miraculé majeur</t>
        </is>
      </c>
    </row>
    <row r="19461">
      <c r="A19461" t="inlineStr">
        <is>
          <t>Terre12pa</t>
        </is>
      </c>
      <c r="B19461">
        <f>HYPERLINK("https://www.dofusbook.net/fr/equipement/2879824-terre12pa/objets", "link")</f>
        <v/>
      </c>
      <c r="C19461" t="n">
        <v>0</v>
      </c>
      <c r="D19461" t="inlineStr"/>
    </row>
    <row r="19462">
      <c r="A19462" t="inlineStr">
        <is>
          <t>Terre12Pa</t>
        </is>
      </c>
      <c r="B19462">
        <f>HYPERLINK("https://www.dofusbook.net/fr/equipement/2879331-terre12pa/objets", "link")</f>
        <v/>
      </c>
      <c r="C19462" t="n">
        <v>0</v>
      </c>
      <c r="D19462" t="inlineStr">
        <is>
          <t>Epée Gloursonne; Amulette de Gein; Alliance Gloursonne; Bague Gloursonne; Bouclier du Stalak; Ceinture de la Cour Sombre; Chapeau de Gein; Cape de la Cour Sombre; Bottes de la Cour Sombre; Dofus Pourpre; Dofus Ivoire; Dofus Turquoise; Dofus Abyssal; Dofus Émeraude; Dofus Ocre; Muldo Ebène et Indigo</t>
        </is>
      </c>
    </row>
    <row r="19463">
      <c r="A19463" t="inlineStr">
        <is>
          <t>Terre12Pa</t>
        </is>
      </c>
      <c r="B19463">
        <f>HYPERLINK("https://www.dofusbook.net/fr/equipement/281267-terre12pa/objets", "link")</f>
        <v/>
      </c>
      <c r="C19463" t="n">
        <v>0</v>
      </c>
      <c r="D19463" t="inlineStr">
        <is>
          <t>Epée Gloursonne; Amulette de Gein; Alliance Gloursonne; Bague Gloursonne; Bouclier du Captain Amakna; Ceinture de la Cour Sombre; Chapeau de Gein; Cape de la Cour Sombre; Bottes de la Cour Sombre; Dolmanax; Dofus Turquoise; Dofus Émeraude; Dofus Ocre; Dofus Pourpre; Furibond majeur; Muldo Prune et Emeraude</t>
        </is>
      </c>
    </row>
    <row r="19464">
      <c r="A19464" t="inlineStr">
        <is>
          <t>terrefeu</t>
        </is>
      </c>
      <c r="B19464">
        <f>HYPERLINK("https://www.dofusbook.net/fr/equipement/2878378-terrefeu/objets", "link")</f>
        <v/>
      </c>
      <c r="C19464" t="n">
        <v>0</v>
      </c>
      <c r="D19464" t="inlineStr"/>
    </row>
    <row r="19465">
      <c r="A19465" t="inlineStr">
        <is>
          <t>terrefeu</t>
        </is>
      </c>
      <c r="B19465">
        <f>HYPERLINK("https://www.dofusbook.net/fr/equipement/2878377-terrefeu/objets", "link")</f>
        <v/>
      </c>
      <c r="C19465" t="n">
        <v>0</v>
      </c>
      <c r="D19465" t="inlineStr"/>
    </row>
    <row r="19466">
      <c r="A19466" t="inlineStr">
        <is>
          <t>Terrair</t>
        </is>
      </c>
      <c r="B19466">
        <f>HYPERLINK("https://www.dofusbook.net/fr/equipement/2867727-terrair/objets", "link")</f>
        <v/>
      </c>
      <c r="C19466" t="n">
        <v>0</v>
      </c>
      <c r="D19466" t="inlineStr">
        <is>
          <t>Héqache; Amulette du Strigide; Anneau des égarés; Bracelet du Piloztère; Bouclier du Stalak; Menoture; Casque Dragoeuf; Cape Indescriptible; Baleinabottes; Dofus Émeraude; Dokoko; Nomade; Miraculé majeur; Remueur; Vigoureux majeur; Muldo Ebène et Pourpre</t>
        </is>
      </c>
    </row>
    <row r="19467">
      <c r="A19467" t="inlineStr">
        <is>
          <t>Fullterre</t>
        </is>
      </c>
      <c r="B19467">
        <f>HYPERLINK("https://www.dofusbook.net/fr/equipement/2830513-fullterre/objets", "link")</f>
        <v/>
      </c>
      <c r="C19467" t="n">
        <v>0</v>
      </c>
      <c r="D19467" t="inlineStr">
        <is>
          <t>Arc du Chalœil; Collier de Tourthon; Anneau de Brouce; Bracelet du Piloztère; Bouclier du Stalak; Ceintacé; Casque Dragoeuf; Voile d'encre; Baleinabottes; Dokoko; Dofus Émeraude; Enragé majeur; Nomade; Remueur; Muldo Pourpre</t>
        </is>
      </c>
    </row>
    <row r="19468">
      <c r="A19468" t="inlineStr">
        <is>
          <t>Fullfeu</t>
        </is>
      </c>
      <c r="B19468">
        <f>HYPERLINK("https://www.dofusbook.net/fr/equipement/2750154-fullfeu/objets", "link")</f>
        <v/>
      </c>
      <c r="C19468" t="n">
        <v>0</v>
      </c>
      <c r="D19468" t="inlineStr">
        <is>
          <t>Pendentif affamé; Anneau de Nidas; Ceintacé; Couronne de Nidas; Cape de Diondin; Bottes Innommables</t>
        </is>
      </c>
    </row>
    <row r="19469">
      <c r="A19469" t="inlineStr">
        <is>
          <t>Feures</t>
        </is>
      </c>
      <c r="B19469">
        <f>HYPERLINK("https://www.dofusbook.net/fr/equipement/2351715-feures/objets", "link")</f>
        <v/>
      </c>
      <c r="C19469" t="n">
        <v>0</v>
      </c>
      <c r="D19469" t="inlineStr">
        <is>
          <t>Arc corrompu; Pendentif affamé; Anneau de Nidas; Bracelet du Piloztère; Bouclier du Stalak; Ceinture de Vortex; Casque Dragoeuf; Voile d'encre; Pantoufles Émar; Dokoko; Dofus Émeraude; Nomade; Remueur; Miraculé majeur; Muldo Orchidée et Pourpre</t>
        </is>
      </c>
    </row>
    <row r="19470">
      <c r="A19470" t="inlineStr">
        <is>
          <t>Tankair</t>
        </is>
      </c>
      <c r="B19470">
        <f>HYPERLINK("https://www.dofusbook.net/fr/equipement/2161292-tankair/objets", "link")</f>
        <v/>
      </c>
      <c r="C19470" t="n">
        <v>1</v>
      </c>
      <c r="D19470" t="inlineStr">
        <is>
          <t>Pelle de la Cour Sombre; Collier du Valet Veinard; Alliance Gloursonne; Gant du Valet Veinard; Bouclier d'Ilyzaelle; Menoture; Casque Dragoeuf; Cape Indescriptible; Baleinabottes; Miraculé majeur; Remueur; Cascadeur majeur; Nomade; Muldo Ebène</t>
        </is>
      </c>
    </row>
    <row r="19471">
      <c r="A19471" t="inlineStr">
        <is>
          <t>Tankair</t>
        </is>
      </c>
      <c r="B19471">
        <f>HYPERLINK("https://www.dofusbook.net/fr/equipement/2161223-tankair/objets", "link")</f>
        <v/>
      </c>
      <c r="C19471" t="n">
        <v>0</v>
      </c>
      <c r="D19471" t="inlineStr">
        <is>
          <t>Pelle de la Cour Sombre; Collier du Valet Veinard; Gant du Valet Veinard; Alliance Gloursonne; Bouclier d'Ilyzaelle; Menoture; Casque Dragoeuf; Cape Indescriptible; Baleinabottes; Miraculé majeur; Remueur; Cascadeur majeur; Nomade; Muldo Ebène</t>
        </is>
      </c>
    </row>
    <row r="19472">
      <c r="A19472" t="inlineStr">
        <is>
          <t>Tankair</t>
        </is>
      </c>
      <c r="B19472">
        <f>HYPERLINK("https://www.dofusbook.net/fr/equipement/2148511-tankair/objets", "link")</f>
        <v/>
      </c>
      <c r="C19472" t="n">
        <v>0</v>
      </c>
      <c r="D19472" t="inlineStr">
        <is>
          <t>Collier du Valet Veinard; Alliance Gloursonne; Gant du Valet Veinard; Bouclier d'Ilyzaelle; Menoture; Casque Dragoeuf; Cape Indescriptible; Pantoufles Émar; Cascadeur majeur; Nomade; Miraculé majeur; Remueur; Muldo Ebène</t>
        </is>
      </c>
    </row>
    <row r="19473">
      <c r="A19473" t="inlineStr">
        <is>
          <t>Airlowcost</t>
        </is>
      </c>
      <c r="B19473">
        <f>HYPERLINK("https://www.dofusbook.net/fr/equipement/2063619-airlowcost/objets", "link")</f>
        <v/>
      </c>
      <c r="C19473" t="n">
        <v>0</v>
      </c>
      <c r="D19473" t="inlineStr">
        <is>
          <t>Epée Loponèze; Collier du Valet Veinard; Alliance Gloursonne; Gant du Valet Veinard; Bouclier du Stalak; Menoture; Couronne d'Allister; Cape Indescriptible; Pantoufles Émar; Carapace Air majeur; Miraculé majeur; Nomade; Cascadeur majeur; Remueur; Muldo Orchidée et Pourpre</t>
        </is>
      </c>
    </row>
    <row r="19474">
      <c r="A19474" t="inlineStr">
        <is>
          <t>Tankair</t>
        </is>
      </c>
      <c r="B19474">
        <f>HYPERLINK("https://www.dofusbook.net/fr/equipement/2145113-tankair/objets", "link")</f>
        <v/>
      </c>
      <c r="C19474" t="n">
        <v>0</v>
      </c>
      <c r="D19474" t="inlineStr">
        <is>
          <t>Pelle de la Cour Sombre; Collier du Valet Veinard; Alliance Gloursonne; Gant du Valet Veinard; Bouclier d'Ilyzaelle; Menoture; Casque Dragoeuf; Cape Indescriptible; Baleinabottes; Nomade; Miraculé majeur; Remueur; Cascadeur majeur; Muldo Ebène</t>
        </is>
      </c>
    </row>
    <row r="19475">
      <c r="A19475" t="inlineStr">
        <is>
          <t>Tankair</t>
        </is>
      </c>
      <c r="B19475">
        <f>HYPERLINK("https://www.dofusbook.net/fr/equipement/2143050-tankair/objets", "link")</f>
        <v/>
      </c>
      <c r="C19475" t="n">
        <v>0</v>
      </c>
      <c r="D19475" t="inlineStr">
        <is>
          <t>Pelle de la Cour Sombre; Collier du Valet Veinard; Gant du Valet Veinard; Alliance Gloursonne; Bouclier d'Ilyzaelle; Menoture; Casque Dragoeuf; Cape Indescriptible; Baleinabottes; Miraculé majeur; Remueur; Cascadeur majeur; Nomade; Muldo Ebène</t>
        </is>
      </c>
    </row>
    <row r="19476">
      <c r="A19476" t="inlineStr">
        <is>
          <t>Eauair</t>
        </is>
      </c>
      <c r="B19476">
        <f>HYPERLINK("https://www.dofusbook.net/fr/equipement/2142974-eauair/objets", "link")</f>
        <v/>
      </c>
      <c r="C19476" t="n">
        <v>0</v>
      </c>
      <c r="D19476" t="inlineStr">
        <is>
          <t>Arc de Koutoulou; Amulette Voldelor; Alliance Gloursonne; Bracelet du Piloztère; Bouclier du Stalak; Ceinture du Nocturlabe; Casque d'Ilyzaelle; Cape des Justiciers; Bottes du Nocturlabe; Miraculé majeur; Nomade; Vigoureux majeur; Remueur; Carapace Air majeur; Muldo Ebène et Indigo</t>
        </is>
      </c>
    </row>
    <row r="19477">
      <c r="A19477" t="inlineStr">
        <is>
          <t>ogeri</t>
        </is>
      </c>
      <c r="B19477">
        <f>HYPERLINK("https://www.dofusbook.net/fr/equipement/2142759-ogeri/objets", "link")</f>
        <v/>
      </c>
      <c r="C19477" t="n">
        <v>0</v>
      </c>
      <c r="D19477" t="inlineStr">
        <is>
          <t>Arc corrompu; Pendentif affamé; Anneauræus; Anneau Tique; Bouclier du Stalak; Ceintacé; Couronne de Nidas; Cape de Nileza; Pantoufles Émar; Érudit majeur; Remueur; Carapace Feu majeur; Dévastateur Feu majeur; Nomade</t>
        </is>
      </c>
    </row>
    <row r="19478">
      <c r="A19478" t="inlineStr">
        <is>
          <t>Terre air</t>
        </is>
      </c>
      <c r="B19478">
        <f>HYPERLINK("https://www.dofusbook.net/fr/equipement/2120555-terre-air/objets", "link")</f>
        <v/>
      </c>
      <c r="C19478" t="n">
        <v>0</v>
      </c>
      <c r="D19478" t="inlineStr">
        <is>
          <t>Lance corrompue; Amulette du Cœur Vaillant; Bracelet du Piloztère; Anneau des égarés; Bouclier du Captain Amakna; Ceintacé; Masque de Koutoulou; Cape du Cœur Vaillant; Bottes Trithon; Dofus Nébuleux; Dofus des Glaces; Carapace Terre majeur; Nomade; Culbuteur majeur; Remueur; Muldo Ebène et Pourpre</t>
        </is>
      </c>
    </row>
    <row r="19479">
      <c r="A19479" t="inlineStr">
        <is>
          <t>feuu</t>
        </is>
      </c>
      <c r="B19479">
        <f>HYPERLINK("https://www.dofusbook.net/fr/equipement/2118449-feuu/objets", "link")</f>
        <v/>
      </c>
      <c r="C19479" t="n">
        <v>0</v>
      </c>
      <c r="D19479" t="inlineStr">
        <is>
          <t>Plumeau Bil; Amulette du Strigide; Bracelet du Piloztère; Anneau Tique; Ceintacé; Coiffe Séculaire; Cape de Diondin; Bottes du Strigide; Déserteur majeur; Nomade; Miraculé majeur; Remueur; Carapace Feu majeur</t>
        </is>
      </c>
    </row>
    <row r="19480">
      <c r="A19480" t="inlineStr">
        <is>
          <t>terrefeu</t>
        </is>
      </c>
      <c r="B19480">
        <f>HYPERLINK("https://www.dofusbook.net/fr/equipement/2109927-terrefeu/objets", "link")</f>
        <v/>
      </c>
      <c r="C19480" t="n">
        <v>1</v>
      </c>
      <c r="D19480" t="inlineStr">
        <is>
          <t>Poolache; Amulette du Strigide; Anneau de Nidas; Chevalière du Roi Joueur; Le Karde Cœur; Ceintacé; Masque de Koutoulou; Voile d'encre; Bottes du Roi Joueur; Dofus Turquoise; Temporiseur majeur; Nomade; Fortification majeure; Remueur; Carapace Neutre majeur; Muldo Ebène et Pourpre</t>
        </is>
      </c>
    </row>
    <row r="19481">
      <c r="A19481" t="inlineStr">
        <is>
          <t>Airlowcost</t>
        </is>
      </c>
      <c r="B19481">
        <f>HYPERLINK("https://www.dofusbook.net/fr/equipement/2107086-airlowcost/objets", "link")</f>
        <v/>
      </c>
      <c r="C19481" t="n">
        <v>0</v>
      </c>
      <c r="D19481" t="inlineStr">
        <is>
          <t>Manthache; Collier du Valet Veinard; Alliance Gloursonne; Gant du Valet Veinard; Bouclier du Stalak; Ceinture Rasboulaire du Rasboul; Couronne d'Allister; Cape Indescriptible; Pantoufles Émar; Carapace Air majeur; Miraculé majeur; Nomade; Cascadeur majeur; Remueur; Muldo Orchidée et Pourpre</t>
        </is>
      </c>
    </row>
    <row r="19482">
      <c r="A19482" t="inlineStr">
        <is>
          <t>Feuvita</t>
        </is>
      </c>
      <c r="B19482">
        <f>HYPERLINK("https://www.dofusbook.net/fr/equipement/2106271-feuvita/objets", "link")</f>
        <v/>
      </c>
      <c r="C19482" t="n">
        <v>0</v>
      </c>
      <c r="D19482" t="inlineStr">
        <is>
          <t>Arc Nécrotique; Collier de la Dame du Hasard; Anneau de Nidas; Bracelet des Fonds marins; Bouclier du Stalak; Ceintacé; Casquette de Meno; Cape de la Dame du Hasard; Pataugastrique; Dokoko; Carapace Feu majeur; Remueur; Miraculé majeur; Observateur; Nomade; Muldo Orchidée et Pourpre</t>
        </is>
      </c>
    </row>
    <row r="19483">
      <c r="A19483" t="inlineStr">
        <is>
          <t>Rescrit</t>
        </is>
      </c>
      <c r="B19483">
        <f>HYPERLINK("https://www.dofusbook.net/fr/equipement/2104633-rescrit/objets", "link")</f>
        <v/>
      </c>
      <c r="C19483" t="n">
        <v>0</v>
      </c>
      <c r="D19483" t="inlineStr">
        <is>
          <t>Pelle de Nidas; Amulette de Pol Ouatnos; Alliance Gloursonne; Bracelet du Piloztère; Bouclier Bontarien; Ceintacé; Coiffe de la Reine des Voleurs; Cape Matelassée; Bottes de la Reine des Voleurs; Obstructeur majeur; Carapace Air majeur; Cascadeur majeur; Nomade; Fortification majeure; Remueur; Croum</t>
        </is>
      </c>
    </row>
    <row r="19484">
      <c r="A19484" t="inlineStr">
        <is>
          <t>pasdenom</t>
        </is>
      </c>
      <c r="B19484">
        <f>HYPERLINK("https://www.dofusbook.net/fr/equipement/2104480-pasdenom/objets", "link")</f>
        <v/>
      </c>
      <c r="C19484" t="n">
        <v>0</v>
      </c>
      <c r="D19484" t="inlineStr">
        <is>
          <t>Pelle de Katrepat; Amulette du Strigide; Bracelet du Piloztère; Bracelet des Fonds marins; Ceintacé; Kidibonnet; Cape de la Dame du Hasard; Bottes de la Dame du Hasard; Dokoko; Dofus Turquoise; Chanceux majeur; Nomade; Miraculé majeur; Remueur</t>
        </is>
      </c>
    </row>
    <row r="19485">
      <c r="A19485" t="inlineStr">
        <is>
          <t>oiuyt</t>
        </is>
      </c>
      <c r="B19485">
        <f>HYPERLINK("https://www.dofusbook.net/fr/equipement/2102364-oiuyt/objets", "link")</f>
        <v/>
      </c>
      <c r="C19485" t="n">
        <v>0</v>
      </c>
      <c r="D19485" t="inlineStr">
        <is>
          <t>Marteau de Katrepat; Amulette du Strigide; Bracelet du Piloztère; Anneau du Katcheur; Ceintacé; Masque Brûlâme; Cape du Chalœil; Pompes Funèbres</t>
        </is>
      </c>
    </row>
    <row r="19486">
      <c r="A19486" t="inlineStr">
        <is>
          <t>rglm</t>
        </is>
      </c>
      <c r="B19486">
        <f>HYPERLINK("https://www.dofusbook.net/fr/equipement/2102306-rglm/objets", "link")</f>
        <v/>
      </c>
      <c r="C19486" t="n">
        <v>0</v>
      </c>
      <c r="D19486" t="inlineStr">
        <is>
          <t>Arc de Koutoulou; Amulette Voldelor; Bracelet des Fonds marins; Alliance Gloursonne; Ceinture du Nocturlabe; Casque d'Ilyzaelle; Cape Matelassée; Bottes du Nocturlabe; Nomade; Remueur; Muldo Ebène et Indigo</t>
        </is>
      </c>
    </row>
    <row r="19487">
      <c r="A19487" t="inlineStr">
        <is>
          <t>Feau</t>
        </is>
      </c>
      <c r="B19487">
        <f>HYPERLINK("https://www.dofusbook.net/fr/equipement/2101833-feau/objets", "link")</f>
        <v/>
      </c>
      <c r="C19487" t="n">
        <v>0</v>
      </c>
      <c r="D19487" t="inlineStr">
        <is>
          <t>Arc Nécrotique; Amulette du Strigide; Anneau Tique; Bracelet des Fonds marins; Bouclier du Stalak; Ceintacé; Kidibonnet; Cape de la Dame du Hasard; Bottes de la Dame du Hasard; Nomade; Remueur; Vigoureux majeur; Muldo Orchidée et Pourpre</t>
        </is>
      </c>
    </row>
    <row r="19488">
      <c r="A19488" t="inlineStr">
        <is>
          <t>terreair</t>
        </is>
      </c>
      <c r="B19488">
        <f>HYPERLINK("https://www.dofusbook.net/fr/equipement/2101774-terreair/objets", "link")</f>
        <v/>
      </c>
      <c r="C19488" t="n">
        <v>0</v>
      </c>
      <c r="D19488" t="inlineStr">
        <is>
          <t>Lance corrompue; Amulette du Kamasterisk; Alliance Gloursonne; Anneau des égarés; Ceintacé; Coiffe de la Reine des Voleurs; Cape de Nevark; Bottes du Kamasterisk</t>
        </is>
      </c>
    </row>
    <row r="19489">
      <c r="A19489" t="inlineStr">
        <is>
          <t>eoribjrb</t>
        </is>
      </c>
      <c r="B19489">
        <f>HYPERLINK("https://www.dofusbook.net/fr/equipement/2101719-eoribjrb/objets", "link")</f>
        <v/>
      </c>
      <c r="C19489" t="n">
        <v>0</v>
      </c>
      <c r="D19489" t="inlineStr">
        <is>
          <t>Épouvante; Amulette d'Oshimo; Alliance du Lévitrof; Bracelet du Piloztère; Ceintacé; Kidibonnet; Voile d'encre; Bottes d'Oshimo</t>
        </is>
      </c>
    </row>
    <row r="19490">
      <c r="A19490" t="inlineStr">
        <is>
          <t>arc</t>
        </is>
      </c>
      <c r="B19490">
        <f>HYPERLINK("https://www.dofusbook.net/fr/equipement/2101585-arc/objets", "link")</f>
        <v/>
      </c>
      <c r="C19490" t="n">
        <v>0</v>
      </c>
      <c r="D19490" t="inlineStr">
        <is>
          <t>Arc du Chalœil; Amulette Luminescente; Bracelet du Piloztère; Pikano; Bouclier Taverne; Ceintacé; Masque de Koutoulou; Cape Luminescente; Bottes de la Cour Sombre; Miraculé majeur; Nomade; Culbuteur majeur; Remueur; Muldo Ebène et Pourpre</t>
        </is>
      </c>
    </row>
    <row r="19491">
      <c r="A19491" t="inlineStr">
        <is>
          <t>nouestuf</t>
        </is>
      </c>
      <c r="B19491">
        <f>HYPERLINK("https://www.dofusbook.net/fr/equipement/2096488-nouestuf/objets", "link")</f>
        <v/>
      </c>
      <c r="C19491" t="n">
        <v>0</v>
      </c>
      <c r="D19491" t="inlineStr">
        <is>
          <t>Amulette du Strigide; Alliance Gloursonne; Bracelet du Piloztère; Ceintacé; Kidibonnet; Bottes du Strigide; Nomade; Cascadeur majeur; Remueur; Carapace Air majeur</t>
        </is>
      </c>
    </row>
    <row r="19492">
      <c r="A19492" t="inlineStr">
        <is>
          <t>Distance</t>
        </is>
      </c>
      <c r="B19492">
        <f>HYPERLINK("https://www.dofusbook.net/fr/equipement/2085453-distance/objets", "link")</f>
        <v/>
      </c>
      <c r="C19492" t="n">
        <v>0</v>
      </c>
      <c r="D19492" t="inlineStr">
        <is>
          <t>Arc de Koutoulou; Amulette Voldelor; Alliance Gloursonne; Gant du Valet Veinard; Bouclier du Stalak; Ceintacé; Kidibonnet; Chevelure de Tal Kasha; Sandales de Tal Kasha; Nomade; Remueur; Carapace Air majeur</t>
        </is>
      </c>
    </row>
    <row r="19493">
      <c r="A19493" t="inlineStr">
        <is>
          <t>new</t>
        </is>
      </c>
      <c r="B19493">
        <f>HYPERLINK("https://www.dofusbook.net/fr/equipement/2061889-new/objets", "link")</f>
        <v/>
      </c>
      <c r="C19493" t="n">
        <v>1</v>
      </c>
      <c r="D19493" t="inlineStr">
        <is>
          <t>Héqache; Collier de Tourthon; Anneau Crustique; Bracelet du Piloztère; Ceintacé; Masque de Koutoulou; Cape du Cœur Saignant; Bottes du Cœur Saignant; Nomade; Remueur; Enragé majeur</t>
        </is>
      </c>
    </row>
    <row r="19494">
      <c r="A19494" t="inlineStr">
        <is>
          <t>Full air</t>
        </is>
      </c>
      <c r="B19494">
        <f>HYPERLINK("https://www.dofusbook.net/fr/equipement/2061834-full-air/objets", "link")</f>
        <v/>
      </c>
      <c r="C19494" t="n">
        <v>0</v>
      </c>
      <c r="D19494" t="inlineStr">
        <is>
          <t>Manthache; Amulette d'Ilyzaelle; Alliance Gloursonne; Gant du Valet Veinard; Menoture; Casque d'Ilyzaelle; Cape Indescriptible; Palmes Trithons; Déserteur majeur; Carapace Air majeur; Miraculé majeur; Nomade; Cascadeur majeur; Remueur; Muldo Ebène et Indigo</t>
        </is>
      </c>
    </row>
    <row r="19495">
      <c r="A19495" t="inlineStr">
        <is>
          <t>reroll</t>
        </is>
      </c>
      <c r="B19495">
        <f>HYPERLINK("https://www.dofusbook.net/fr/equipement/2061776-reroll/objets", "link")</f>
        <v/>
      </c>
      <c r="C19495" t="n">
        <v>0</v>
      </c>
      <c r="D19495" t="inlineStr">
        <is>
          <t>Plumeau Bil; Pendentif affamé; Anneau Tique; Anneau de Nidas; Bouclier du Stalak; Ceintacé; Couronne de Nidas; Cape de Nileza; Pantoufles Émar; Miraculé majeur; Nomade; Érudit majeur; Remueur; Carapace Feu majeur; Muldo Indigo et Orchidée</t>
        </is>
      </c>
    </row>
    <row r="19496">
      <c r="A19496" t="inlineStr">
        <is>
          <t>feupui</t>
        </is>
      </c>
      <c r="B19496">
        <f>HYPERLINK("https://www.dofusbook.net/fr/equipement/2032865-feupui/objets", "link")</f>
        <v/>
      </c>
      <c r="C19496" t="n">
        <v>0</v>
      </c>
      <c r="D19496" t="inlineStr">
        <is>
          <t>Harpelle; Pendentif affamé; Anneau Tique; Anneau de Nidas; Bouclier du Stalak; Ceintacé; Couronne de Nidas; Cape de Diondin; Bottes Innommables; Carapace Feu majeur; Miraculé majeur; Nomade; Érudit majeur; Remueur; Muldo Indigo et Orchidée</t>
        </is>
      </c>
    </row>
    <row r="19497">
      <c r="A19497" t="inlineStr">
        <is>
          <t>Koutoulou</t>
        </is>
      </c>
      <c r="B19497">
        <f>HYPERLINK("https://www.dofusbook.net/fr/equipement/2010648-koutoulou/objets", "link")</f>
        <v/>
      </c>
      <c r="C19497" t="n">
        <v>0</v>
      </c>
      <c r="D19497" t="inlineStr">
        <is>
          <t>Arc de Koutoulou; Amulette du Strigide; Alliance Gloursonne; Bracelet du Piloztère; Quatre-feuilles; Ceintacé; Kidibonnet; Chevelure de Tal Kasha; Bottes du Strigide; Dofus Turquoise; Carapace Eau majeur; Nomade; Carapace Feu majeur; Remueur; Muldo Ebène et Pourpre</t>
        </is>
      </c>
    </row>
    <row r="19498">
      <c r="A19498" t="inlineStr">
        <is>
          <t>feu2.43</t>
        </is>
      </c>
      <c r="B19498">
        <f>HYPERLINK("https://www.dofusbook.net/fr/equipement/2010595-feu2-43/objets", "link")</f>
        <v/>
      </c>
      <c r="C19498" t="n">
        <v>0</v>
      </c>
      <c r="D19498" t="inlineStr">
        <is>
          <t>Arc corrompu; Pendentif affamé; Anneau Tique; Anneauræus; Bouclier du Stalak; Ceinture de l'Esprit Malsain; Capuche de l'Œil Putride; Cape de Diondin; Bottes Innommables; Dofus des Glaces; Nomade; Dévastateur Feu majeur; Remueur; Carapace Feu majeur; Miraculé majeur; Muldo Indigo et Orchidée</t>
        </is>
      </c>
    </row>
    <row r="19499">
      <c r="A19499" t="inlineStr">
        <is>
          <t>Fullfeu</t>
        </is>
      </c>
      <c r="B19499">
        <f>HYPERLINK("https://www.dofusbook.net/fr/equipement/2003256-fullfeu/objets", "link")</f>
        <v/>
      </c>
      <c r="C19499" t="n">
        <v>0</v>
      </c>
      <c r="D19499" t="inlineStr">
        <is>
          <t>Arc de Koutoulou; Amulette d'Ilyzaelle; Gant du Valet Veinard; Alliance Gloursonne; Ceinture du Nocturlabe; Casque d'Ilyzaelle; Cape des Justiciers; Bottes du Nocturlabe; Dofus Émeraude; Dofus des Glaces; Dofus Pourpre; Dofus Abyssal; Dofus Vulbis; Dofus Ocre</t>
        </is>
      </c>
    </row>
    <row r="19500">
      <c r="A19500" t="inlineStr">
        <is>
          <t>Apou</t>
        </is>
      </c>
      <c r="B19500">
        <f>HYPERLINK("https://www.dofusbook.net/fr/equipement/2003230-apou/objets", "link")</f>
        <v/>
      </c>
      <c r="C19500" t="n">
        <v>0</v>
      </c>
      <c r="D19500" t="inlineStr">
        <is>
          <t>Épée Brûlâme; Amulette du Strigide; Capuche de l'Œil Putride; Cape de l'Œil Putride</t>
        </is>
      </c>
    </row>
    <row r="19501">
      <c r="A19501" t="inlineStr">
        <is>
          <t>Eaupou</t>
        </is>
      </c>
      <c r="B19501">
        <f>HYPERLINK("https://www.dofusbook.net/fr/equipement/1915497-eaupou/objets", "link")</f>
        <v/>
      </c>
      <c r="C19501" t="n">
        <v>0</v>
      </c>
      <c r="D19501" t="inlineStr">
        <is>
          <t>Dagoulinantes; Amulette Luminescente; Alliance Gloursonne; Bague Trithon; Bouclier du Captain Amakna; Poulpagne; Némès de Tal Kasha; Cape Luminescente; Sandales des Fonds marins; Dofus Turquoise; Carapace Eau majeur; Nomade; Carapace Air majeur; Remueur; Culbuteur majeur; Muldo Ebène et Indigo</t>
        </is>
      </c>
    </row>
    <row r="19502">
      <c r="A19502" t="inlineStr">
        <is>
          <t>Terrefeu</t>
        </is>
      </c>
      <c r="B19502">
        <f>HYPERLINK("https://www.dofusbook.net/fr/equipement/1915446-terrefeu/objets", "link")</f>
        <v/>
      </c>
      <c r="C19502" t="n">
        <v>1</v>
      </c>
      <c r="D19502" t="inlineStr">
        <is>
          <t>Epée Toche; Amulette du Strigide; Bracelet du Piloztère; Bague Gloursonne; Bouclier du Captain Amakna; Ceintacé; Couronne du Roi Joueur; Voile d'encre; Bottes du Roi Joueur; Dofus Émeraude; Dofus Turquoise; Vigoureux majeur; Nomade; Carapace Feu majeur; Remueur; Muldo Orchidée et Pourpre</t>
        </is>
      </c>
    </row>
    <row r="19503">
      <c r="A19503" t="inlineStr">
        <is>
          <t>Feu</t>
        </is>
      </c>
      <c r="B19503">
        <f>HYPERLINK("https://www.dofusbook.net/fr/equipement/1895628-feu/objets", "link")</f>
        <v/>
      </c>
      <c r="C19503" t="n">
        <v>0</v>
      </c>
      <c r="D19503" t="inlineStr">
        <is>
          <t>Épée d'Otomaï; Pendentif affamé; Anneau Tique; Anneauræus; Quatre-feuilles; Ceintacé; Coiffe Séculaire; Cape de Diondin; Bottes Innommables; Dofus des Glaces; Érudit majeur; Nomade; Carapace Feu majeur; Remueur; Miraculé majeur; Muldo Orchidée et Pourpre</t>
        </is>
      </c>
    </row>
    <row r="19504">
      <c r="A19504" t="inlineStr">
        <is>
          <t>Feu</t>
        </is>
      </c>
      <c r="B19504">
        <f>HYPERLINK("https://www.dofusbook.net/fr/equipement/1892935-feu/objets", "link")</f>
        <v/>
      </c>
      <c r="C19504" t="n">
        <v>0</v>
      </c>
      <c r="D19504" t="inlineStr">
        <is>
          <t>Épée d'Otomaï; Pendentif affamé; Anneauræus; Anneau Tique; Quatre-feuilles; Ceintacé; Coiffe Séculaire; Cape de Diondin; Bottes Innommables; Dofus des Glaces; Miraculé majeur; Érudit majeur; Nomade; Carapace Feu majeur; Remueur; Muldo Orchidée et Pourpre</t>
        </is>
      </c>
    </row>
    <row r="19505">
      <c r="A19505" t="inlineStr">
        <is>
          <t>Terretank</t>
        </is>
      </c>
      <c r="B19505">
        <f>HYPERLINK("https://www.dofusbook.net/fr/equipement/281269-terretank/objets", "link")</f>
        <v/>
      </c>
      <c r="C19505" t="n">
        <v>0</v>
      </c>
      <c r="D19505" t="inlineStr">
        <is>
          <t>L'Épée Nice; Amulette du Strigide; Anneau de Brouce; Bracelet du Piloztère; Ceintacé; Casque Dragoeuf; Voile d'encre; Bottes de la Cour Sombre; Dolmanax; Enragé majeur; Remueur; Miraculé majeur; Nomade; Dévastateur Terre majeur; Dragodinde en armure</t>
        </is>
      </c>
    </row>
    <row r="19506">
      <c r="A19506" t="inlineStr">
        <is>
          <t>Fullagi</t>
        </is>
      </c>
      <c r="B19506">
        <f>HYPERLINK("https://www.dofusbook.net/fr/equipement/281278-fullagi/objets", "link")</f>
        <v/>
      </c>
      <c r="C19506" t="n">
        <v>0</v>
      </c>
      <c r="D19506" t="inlineStr">
        <is>
          <t>Manthache; Collier du Valet Veinard; Gant du Valet Veinard; Alliance Gloursonne; Menoture; Casque des égarés; Cape Indescriptible; Palmes Trithons; Dofus des Glaces; Nomade; Dévastateur Air majeur; Remueur; Carapace Air majeur; Cascadeur majeur; Blérodoudou</t>
        </is>
      </c>
    </row>
    <row r="19507">
      <c r="A19507" t="inlineStr">
        <is>
          <t>RetPm/Poolache</t>
        </is>
      </c>
      <c r="B19507">
        <f>HYPERLINK("https://www.dofusbook.net/fr/equipement/281274-retpm-poolache/objets", "link")</f>
        <v/>
      </c>
      <c r="C19507" t="n">
        <v>0</v>
      </c>
      <c r="D19507" t="inlineStr">
        <is>
          <t>Poolache; Amulette du Strigide; Bracelet du Piloztère; Bague Gloursonne; Ceintacé; Couronne du Roi Joueur; Cape de Kongoku; Bottes du Roi Joueur; Dolmanax; Vigoureux majeur; Nomade; Temporiseur majeur; Enragé majeur; Remueur; Kramkram</t>
        </is>
      </c>
    </row>
    <row r="19508">
      <c r="A19508" t="inlineStr">
        <is>
          <t>Specialmortel</t>
        </is>
      </c>
      <c r="B19508">
        <f>HYPERLINK("https://www.dofusbook.net/fr/equipement/281272-specialmortel/objets", "link")</f>
        <v/>
      </c>
      <c r="C19508" t="n">
        <v>1</v>
      </c>
      <c r="D19508" t="inlineStr">
        <is>
          <t>Dagues Érhy; Amulette du Strigide; Chevalière du Roi Joueur; Bracelet du Piloztère; Sangle Glinglin; Couronne du Roi Joueur; Voile d'encre; Baleinabottes; Dolmanax; Fonceur majeur; Remueur; Miraculé majeur; Nomade; Enragé majeur; Dragodinde en armure</t>
        </is>
      </c>
    </row>
    <row r="19509">
      <c r="A19509" t="inlineStr">
        <is>
          <t>Koli2</t>
        </is>
      </c>
      <c r="B19509">
        <f>HYPERLINK("https://www.dofusbook.net/fr/equipement/1878116-koli2/objets", "link")</f>
        <v/>
      </c>
      <c r="C19509" t="n">
        <v>0</v>
      </c>
      <c r="D19509" t="inlineStr">
        <is>
          <t>La Baguette des Limbes; Amulette de Moon; Gelano; Alliance des Forestiers; Le Karde Cœur; Puissante Ceinture Fulgurante; Billréole; Cape de Moon; Fourbabottes; Dévastateur Feu; Nomade; Cavaleur; Remueur; Déserteur; Miraculé; Homlett</t>
        </is>
      </c>
    </row>
    <row r="19510">
      <c r="A19510" t="inlineStr">
        <is>
          <t>Koli1</t>
        </is>
      </c>
      <c r="B19510">
        <f>HYPERLINK("https://www.dofusbook.net/fr/equipement/1819958-koli1/objets", "link")</f>
        <v/>
      </c>
      <c r="C19510" t="n">
        <v>0</v>
      </c>
      <c r="D19510" t="inlineStr">
        <is>
          <t>Le Flan des Étoiles; Gelano; Blopanneau Griotte; Ceinture Bontarienne; Caracoiffe; Cape Fulgurante; Bottes du Vulkain; Dofus Pourpre; Dofus Émeraude; Dévastateur Feu mineur; Érudit mineur; Fonceur mineur; Miraculé mineur; Dragodinde Prune et Emeraude</t>
        </is>
      </c>
    </row>
    <row r="19511">
      <c r="A19511" t="inlineStr">
        <is>
          <t>Ougiki</t>
        </is>
      </c>
      <c r="B19511">
        <f>HYPERLINK("https://www.dofusbook.net/fr/equipement/1813371-ougiki/objets", "link")</f>
        <v/>
      </c>
      <c r="C19511" t="n">
        <v>1</v>
      </c>
      <c r="D19511" t="inlineStr">
        <is>
          <t>Arc de Koutoulou; Amulette du Strigide; Alliance Gloursonne; Bague Trithon; Bouclier du Captain Amakna; Ceinture du Strigide; Némès de Tal Kasha; Chevelure de Tal Kasha; Sandales de Tal Kasha; Dofus Turquoise; Vigoureux majeur; Carapace Eau majeur; Nomade; Carapace Air majeur; Remueur; Muldo Prune et Emeraude</t>
        </is>
      </c>
    </row>
    <row r="19512">
      <c r="A19512" t="inlineStr">
        <is>
          <t>Rescritfull</t>
        </is>
      </c>
      <c r="B19512">
        <f>HYPERLINK("https://www.dofusbook.net/fr/equipement/1805292-rescritfull/objets", "link")</f>
        <v/>
      </c>
      <c r="C19512" t="n">
        <v>0</v>
      </c>
      <c r="D19512" t="inlineStr">
        <is>
          <t>Dagues de Srambad; Torquistik; Baguistik; Goulano; Goulclier; Ceinture de la Reine des Voleurs; Coiffe de la Reine des Voleurs; Cape du Chalœil; Bottes de la Reine des Voleurs; Dofus Émeraude; Dofus des Glaces; Dofus Abyssal; Dofus Turquoise; Dofus Pourpre; Dofus Ocre; Muldo Ebène et Orchidée</t>
        </is>
      </c>
    </row>
    <row r="19513">
      <c r="A19513" t="inlineStr">
        <is>
          <t>Vita</t>
        </is>
      </c>
      <c r="B19513">
        <f>HYPERLINK("https://www.dofusbook.net/fr/equipement/1712201-vita/objets", "link")</f>
        <v/>
      </c>
      <c r="C19513" t="n">
        <v>0</v>
      </c>
      <c r="D19513" t="inlineStr">
        <is>
          <t>Epée Toche; Amulette du Strigide; Bague Trithon; Anneau Crustique; Roncier; Ceintacé; Masque du Katcheur; Voile d'encre; Bottes du Strigide; Dofus Émeraude; Dofus Turquoise; Miraculé majeur; Nomade; Carapace Feu majeur; Remueur; Muldo Ebène et Pourpre</t>
        </is>
      </c>
    </row>
    <row r="19514">
      <c r="A19514" t="inlineStr">
        <is>
          <t>Rescrit</t>
        </is>
      </c>
      <c r="B19514">
        <f>HYPERLINK("https://www.dofusbook.net/fr/equipement/1696174-rescrit/objets", "link")</f>
        <v/>
      </c>
      <c r="C19514" t="n">
        <v>0</v>
      </c>
      <c r="D19514" t="inlineStr">
        <is>
          <t>Dagues de Srambad; Amulette de Pol Ouatnos; Pikano; Goulano; Bouclier du Stalak; Ceinture de la Reine des Voleurs; Masque de Koutoulou; Cape de Kongoku; Bottes de la Reine des Voleurs; Dofus Ocre; Dofus Turquoise; Étourdisseur majeur; Carapace Neutre majeur; Remueur; Fortification majeure; Muldo Ebène et Indigo</t>
        </is>
      </c>
    </row>
    <row r="19515">
      <c r="A19515" t="inlineStr">
        <is>
          <t>aaaaaaaaaaaaa</t>
        </is>
      </c>
      <c r="B19515">
        <f>HYPERLINK("https://www.dofusbook.net/fr/equipement/1695991-aaaaaaaaaaaaa/objets", "link")</f>
        <v/>
      </c>
      <c r="C19515" t="n">
        <v>0</v>
      </c>
      <c r="D19515" t="inlineStr">
        <is>
          <t>Marteau du Glouragan; Amulette du Strigide; Alliance Gloursonne; Bracelet du Piloztère; Bouclier du Captain Amakna; Ceintacé; Kidibonnet; Cape des Malveilleurs; Bottes du Strigide; Dofus Turquoise; Carapace Feu majeur; Vigoureux majeur; Carapace Eau majeur; Nomade; Remueur; Muldo Ebène et Pourpre</t>
        </is>
      </c>
    </row>
    <row r="19516">
      <c r="A19516" t="inlineStr">
        <is>
          <t>Airfeu</t>
        </is>
      </c>
      <c r="B19516">
        <f>HYPERLINK("https://www.dofusbook.net/fr/equipement/1666353-airfeu/objets", "link")</f>
        <v/>
      </c>
      <c r="C19516" t="n">
        <v>0</v>
      </c>
      <c r="D19516" t="inlineStr">
        <is>
          <t>Marteau Reine; Amulette du Strigide; Anneau Crustique; Alliance Gloursonne; Bouclier du Mont Kipou; Menoture; Chapoulpe; Cape d'Atcham; Tentassons; Carapace Air majeur; Étourdisseur majeur; Nomade; Carapace Eau majeur; Remueur; Muldo Indigo et Orchidée</t>
        </is>
      </c>
    </row>
    <row r="19517">
      <c r="A19517" t="inlineStr">
        <is>
          <t>pasdenom</t>
        </is>
      </c>
      <c r="B19517">
        <f>HYPERLINK("https://www.dofusbook.net/fr/equipement/1666318-pasdenom/objets", "link")</f>
        <v/>
      </c>
      <c r="C19517" t="n">
        <v>0</v>
      </c>
      <c r="D19517" t="inlineStr">
        <is>
          <t>Dagues de Srambad; Amulette du Strigide; Bracelet du Piloztère; Alliance Gloursonne; Goulclier; Ceinture de la Reine des Voleurs; Kidibonnet; Cape du Chalœil; Bottes du Chalœil</t>
        </is>
      </c>
    </row>
    <row r="19518">
      <c r="A19518" t="inlineStr">
        <is>
          <t>Terrefeu</t>
        </is>
      </c>
      <c r="B19518">
        <f>HYPERLINK("https://www.dofusbook.net/fr/equipement/1660734-terrefeu/objets", "link")</f>
        <v/>
      </c>
      <c r="C19518" t="n">
        <v>0</v>
      </c>
      <c r="D19518" t="inlineStr">
        <is>
          <t>Marteau R'ture; Amulette du Strigide; Anneau de Nidas; Bracelet du Piloztère; Ceinture de Gein; Couronne du Roi Joueur; Cape de Kongoku; Bottes du Roi Joueur; Dofus Ocre; Dofus Pourpre; Dofus Abyssal; Dofus Turquoise; Muldo Orchidée et Pourpre</t>
        </is>
      </c>
    </row>
    <row r="19519">
      <c r="A19519" t="inlineStr">
        <is>
          <t>Fullterre</t>
        </is>
      </c>
      <c r="B19519">
        <f>HYPERLINK("https://www.dofusbook.net/fr/equipement/1652673-fullterre/objets", "link")</f>
        <v/>
      </c>
      <c r="C19519" t="n">
        <v>1</v>
      </c>
      <c r="D19519" t="inlineStr">
        <is>
          <t>Marteau R'ture; Collier de Tourthon; Goulano; Bracelet du Piloztère; Bouclier Ventaille; Ceintacé; Masque de Koutoulou; Voile d'encre; Goulbottes; Carapace Terre majeur; Remueur; Carapace Eau majeur; Fortification majeure; Nomade; Muldo Orchidée et Pourpre</t>
        </is>
      </c>
    </row>
    <row r="19520">
      <c r="A19520" t="inlineStr">
        <is>
          <t>Fulleau</t>
        </is>
      </c>
      <c r="B19520">
        <f>HYPERLINK("https://www.dofusbook.net/fr/equipement/1652615-fulleau/objets", "link")</f>
        <v/>
      </c>
      <c r="C19520" t="n">
        <v>0</v>
      </c>
      <c r="D19520" t="inlineStr">
        <is>
          <t>Hache Euvale; Amulette Luminescente; Alliance Gloursonne; Pikano; Bouclier précieux; Poulpagne; Masque des Fonds marins; Cape Luminescente; Bottes Owesli; Dévastateur Eau majeur; Nomade; Carapace Air majeur; Remueur; Culbuteur majeur; Carapace Eau majeur; Muldo Indigo et Pourpre</t>
        </is>
      </c>
    </row>
    <row r="19521">
      <c r="A19521" t="inlineStr">
        <is>
          <t>Terreau</t>
        </is>
      </c>
      <c r="B19521">
        <f>HYPERLINK("https://www.dofusbook.net/fr/equipement/1648068-terreau/objets", "link")</f>
        <v/>
      </c>
      <c r="C19521" t="n">
        <v>0</v>
      </c>
      <c r="D19521" t="inlineStr">
        <is>
          <t>Dagues de Srambad; Amulette de Pol Ouatnos; Goulano; Pikano; Bouclier du Stalak; Ceinture de la Reine des Voleurs; Masque de Koutoulou; Cape de Kongoku; Bottes de la Reine des Voleurs; Dofus Ocre; Dofus Turquoise; Étourdisseur majeur; Carapace Neutre majeur; Remueur; Fortification majeure; Muldo Ebène et Indigo</t>
        </is>
      </c>
    </row>
    <row r="19522">
      <c r="A19522" t="inlineStr">
        <is>
          <t>Marteau</t>
        </is>
      </c>
      <c r="B19522">
        <f>HYPERLINK("https://www.dofusbook.net/fr/equipement/1617042-marteau/objets", "link")</f>
        <v/>
      </c>
      <c r="C19522" t="n">
        <v>0</v>
      </c>
      <c r="D19522" t="inlineStr">
        <is>
          <t>Marteau de Katrepat; Amulette du Strigide; Bague Gloursonne; Bracelet du Piloztère; Bouclier du Stalak; Ceintacé; Chapeau de Gein; Voile d'encre; Bottes du Strigide; Dofus Turquoise; Dofus Ocre; Dofus Abyssal; Dofus des Glaces; Nomade; Remueur; Muldo Orchidée et Pourpre</t>
        </is>
      </c>
    </row>
    <row r="19523">
      <c r="A19523" t="inlineStr">
        <is>
          <t>Stuff 1</t>
        </is>
      </c>
      <c r="B19523">
        <f>HYPERLINK("https://www.dofusbook.net/fr/equipement/281283-stuff-1/objets", "link")</f>
        <v/>
      </c>
      <c r="C19523" t="n">
        <v>0</v>
      </c>
      <c r="D19523" t="inlineStr">
        <is>
          <t>Arc de Koutoulou; Amulette du Strigide; Alliance Gloursonne; Bracelet du Piloztère; Bouclier du Stalak; Ceintacé; Kidibonnet; Cape des Malveilleurs; Bottes du Strigide; Dofus Turquoise; Vigoureux majeur; Carapace Feu majeur; Nomade; Remueur</t>
        </is>
      </c>
    </row>
    <row r="19524">
      <c r="A19524" t="inlineStr">
        <is>
          <t>aaaaaaaaaaaaa</t>
        </is>
      </c>
      <c r="B19524">
        <f>HYPERLINK("https://www.dofusbook.net/fr/equipement/1523013-aaaaaaaaaaaaa/objets", "link")</f>
        <v/>
      </c>
      <c r="C19524" t="n">
        <v>0</v>
      </c>
      <c r="D19524" t="inlineStr">
        <is>
          <t>Sabres d'Atcham; Amulette du Strigide; Alliance Gloursonne; Bracelet du Piloztère; Ceintacé; Kidibonnet; Chevelure de Tal Kasha; Bottes du Strigide; Dofus Turquoise; Vigoureux majeur; Carapace Eau majeur; Nomade; Remueur; Muldo Ebène et Pourpre</t>
        </is>
      </c>
    </row>
    <row r="19525">
      <c r="A19525" t="inlineStr">
        <is>
          <t>Stuff 3</t>
        </is>
      </c>
      <c r="B19525">
        <f>HYPERLINK("https://www.dofusbook.net/fr/equipement/1519883-stuff-3/objets", "link")</f>
        <v/>
      </c>
      <c r="C19525" t="n">
        <v>0</v>
      </c>
      <c r="D19525" t="inlineStr">
        <is>
          <t>Dagues de Srambad; Amulette de Pol Ouatnos; Anneau Glacial; Alliance Gloursonne; Goulclier; Ceinture de la Reine des Voleurs; Coiffe de la Reine des Voleurs; Cape de Kongoku; Bottes de la Cour Sombre; Dolmanax; Dofus Ocre; Carapace Air majeur; Remueur; Déserteur majeur; Fortification majeure; Croum</t>
        </is>
      </c>
    </row>
    <row r="19526">
      <c r="A19526" t="inlineStr">
        <is>
          <t>Eauair</t>
        </is>
      </c>
      <c r="B19526">
        <f>HYPERLINK("https://www.dofusbook.net/fr/equipement/1353793-eauair/objets", "link")</f>
        <v/>
      </c>
      <c r="C19526" t="n">
        <v>0</v>
      </c>
      <c r="D19526" t="inlineStr">
        <is>
          <t>Hache du Korriandre; Amulette Voldelor; Alliance Gloursonne; Bracelet du Piloztère; Bouclier du Captain Amakna; Ceinture Voldelor; Boucle d'oreille de Kongoku; Cape d'Atcham; Pataugastrique; Dofus Pourpre; Dofus Émeraude; Dofus Turquoise; Nomade; Remueur; Dragodinde en armure</t>
        </is>
      </c>
    </row>
    <row r="19527">
      <c r="A19527" t="inlineStr">
        <is>
          <t>bo rijborib</t>
        </is>
      </c>
      <c r="B19527">
        <f>HYPERLINK("https://www.dofusbook.net/fr/equipement/1353726-bo-rijborib/objets", "link")</f>
        <v/>
      </c>
      <c r="C19527" t="n">
        <v>0</v>
      </c>
      <c r="D19527" t="inlineStr">
        <is>
          <t>Marteau Phossile; Amulette du Strigide; Anneau Tique; Anneau de Padgref; Bouclier du Captain Amakna; Ceintacé; Capuche de Moum-Ra; Cape d'Atcham; Sandales  d'Atcham; Dofus Pourpre; Dofus Émeraude; Dofus Turquoise; Nomade; Remueur; Muldo Ebène et Orchidée</t>
        </is>
      </c>
    </row>
    <row r="19528">
      <c r="A19528" t="inlineStr">
        <is>
          <t>Multicrit</t>
        </is>
      </c>
      <c r="B19528">
        <f>HYPERLINK("https://www.dofusbook.net/fr/equipement/1344956-multicrit/objets", "link")</f>
        <v/>
      </c>
      <c r="C19528" t="n">
        <v>0</v>
      </c>
      <c r="D19528" t="inlineStr">
        <is>
          <t>Epée Gloursonne; Amulette du Strigide; Alliance Gloursonne; Bague Gloursonne; Bouclier du Captain Amakna; Ceinture du Strigide; Chapibou; Voile d'encre; Bottes du Strigide; Dofus Turquoise; Dofus Abyssal; Dofus Pourpre; Dofus Ocre; Dofus Émeraude; Dofus des Glaces; Muldo Pourpre et Emeraude</t>
        </is>
      </c>
    </row>
    <row r="19529">
      <c r="A19529" t="inlineStr">
        <is>
          <t>Tank</t>
        </is>
      </c>
      <c r="B19529">
        <f>HYPERLINK("https://www.dofusbook.net/fr/equipement/1344230-tank/objets", "link")</f>
        <v/>
      </c>
      <c r="C19529" t="n">
        <v>0</v>
      </c>
      <c r="D19529" t="inlineStr">
        <is>
          <t>Rouleau à Pâtisserie d'Aermyne; Amulette du Strigide; Anneau Tique; Alliance Gloursonne; Bouclier Ventaille; Ceinture du Strigide; Casque Dragoeuf; Voile d'encre; Sandales  d'Atcham; Dofus Ocre; Dofus Pourpre; Dofus des Glaces; Dofus Émeraude; Remueur; Nomade; Muldo Prune et Emeraude</t>
        </is>
      </c>
    </row>
    <row r="19530">
      <c r="A19530" t="inlineStr">
        <is>
          <t>eoirbjoibtj</t>
        </is>
      </c>
      <c r="B19530">
        <f>HYPERLINK("https://www.dofusbook.net/fr/equipement/1338300-eoirbjoibtj/objets", "link")</f>
        <v/>
      </c>
      <c r="C19530" t="n">
        <v>0</v>
      </c>
      <c r="D19530" t="inlineStr">
        <is>
          <t>Epée Toche; Torquistik; Baguistik; Bracelet du Piloztère; Bouclier du Captain Amakna; Sangle Glinglin; Masque de Koutoulou; Ankhape; Bottes du Roi Joueur; Dofus Pourpre; Dofus Émeraude; Dofus Turquoise; Nomade; Remueur; Muldo Pourpre et Emeraude</t>
        </is>
      </c>
    </row>
    <row r="19531">
      <c r="A19531" t="inlineStr">
        <is>
          <t>marteau</t>
        </is>
      </c>
      <c r="B19531">
        <f>HYPERLINK("https://www.dofusbook.net/fr/equipement/1282505-marteau/objets", "link")</f>
        <v/>
      </c>
      <c r="C19531" t="n">
        <v>0</v>
      </c>
      <c r="D19531" t="inlineStr">
        <is>
          <t>Marteau Reine; Amulette du Strigide; Anneau des égarés; Bracelet du Piloztère; Bouclier du Captain Amakna; Ceintacé; Boucle d'oreille de Kongoku; Cape Indescriptible; Bottes du Strigide; Dofus Pourpre; Dofus des Glaces; Dofus Émeraude; Dofus Turquoise; Remueur; Nomade; Muldo Prune et Pourpre</t>
        </is>
      </c>
    </row>
    <row r="19532">
      <c r="A19532" t="inlineStr">
        <is>
          <t>airfeu</t>
        </is>
      </c>
      <c r="B19532">
        <f>HYPERLINK("https://www.dofusbook.net/fr/equipement/1223271-airfeu/objets", "link")</f>
        <v/>
      </c>
      <c r="C19532" t="n">
        <v>0</v>
      </c>
      <c r="D19532" t="inlineStr">
        <is>
          <t>Baguette Range; Amulette du Strigide; Alliance Gloursonne; Bracelet du Piloztère; Bouclier cubiste; Ceintacé; Boucle d'oreille de Kongoku; Cape d'Atcham; Sandales  d'Atcham; Dofus Pourpre; Dofus des Glaces; Dofus Émeraude; Dofus Turquoise; Nomade; Remueur; Muldo Ebène et Orchidée</t>
        </is>
      </c>
    </row>
    <row r="19533">
      <c r="A19533" t="inlineStr">
        <is>
          <t>Feu</t>
        </is>
      </c>
      <c r="B19533">
        <f>HYPERLINK("https://www.dofusbook.net/fr/equipement/1221205-feu/objets", "link")</f>
        <v/>
      </c>
      <c r="C19533" t="n">
        <v>0</v>
      </c>
      <c r="D19533" t="inlineStr">
        <is>
          <t>Marteau des égarés; Amulette de l'Indicible; Bracelet du Piloztère; Alliance Gloursonne; Bouclier du Captain Amakna; Ceinture de l'Indicible; Le Dorado; Voile d'encre; Sandales  d'Atcham; Dofus Émeraude; Dofus des Glaces; Dofus Turquoise; Dolmanax; Remueur; Nomade; Kramkram</t>
        </is>
      </c>
    </row>
    <row r="19534">
      <c r="A19534" t="inlineStr">
        <is>
          <t>Fullterre</t>
        </is>
      </c>
      <c r="B19534">
        <f>HYPERLINK("https://www.dofusbook.net/fr/equipement/1210877-fullterre/objets", "link")</f>
        <v/>
      </c>
      <c r="C19534" t="n">
        <v>0</v>
      </c>
      <c r="D19534" t="inlineStr">
        <is>
          <t>Marteau R'ture; Collier de Tourthon; Anneau Crustique; Bague Gloursonne; Ceinture de Gein; Masque de Koutoulou; Voile d'encre; Bottes du Roi Joueur; Dofus Turquoise; Dofus Abyssal; Dofus Ocre; Dofus Émeraude; Remueur; Nomade</t>
        </is>
      </c>
    </row>
    <row r="19535">
      <c r="A19535" t="inlineStr">
        <is>
          <t>fullfeu</t>
        </is>
      </c>
      <c r="B19535">
        <f>HYPERLINK("https://www.dofusbook.net/fr/equipement/1210674-fullfeu/objets", "link")</f>
        <v/>
      </c>
      <c r="C19535" t="n">
        <v>0</v>
      </c>
      <c r="D19535" t="inlineStr">
        <is>
          <t>Harpelle; Pendentif affamé; Bague Gloursonne; Anneau de Nidas; Ceinture Séculaire; Coiffe Séculaire; Cape de Diondin; Bottes Innommables</t>
        </is>
      </c>
    </row>
    <row r="19536">
      <c r="A19536" t="inlineStr">
        <is>
          <t>Fullfeu</t>
        </is>
      </c>
      <c r="B19536">
        <f>HYPERLINK("https://www.dofusbook.net/fr/equipement/930752-fullfeu/objets", "link")</f>
        <v/>
      </c>
      <c r="C19536" t="n">
        <v>0</v>
      </c>
      <c r="D19536" t="inlineStr">
        <is>
          <t>Dague de Meloro; Pendentif affamé; Anneau de Nidas; Anneau Tique; Ceintacé; Couronne du Roi Joueur; Cape d'Atcham; Sandales  d'Atcham; Dofus Turquoise; Dofus Pourpre; Dofus Émeraude; Nomade; Dévastateur Feu majeur; Remueur; Muldo Orchidée et Emeraude</t>
        </is>
      </c>
    </row>
    <row r="19537">
      <c r="A19537" t="inlineStr">
        <is>
          <t>Fulleau</t>
        </is>
      </c>
      <c r="B19537">
        <f>HYPERLINK("https://www.dofusbook.net/fr/equipement/903539-fulleau/objets", "link")</f>
        <v/>
      </c>
      <c r="C19537" t="n">
        <v>0</v>
      </c>
      <c r="D19537" t="inlineStr">
        <is>
          <t>Dague Adou; Amulette du Strigide; Alliance Gloursonne; Gant du Valet Veinard; Bouclier du Captain Amakna; Ceinture Voldelor; Némès de Tal Kasha; Chevelure de Tal Kasha; Sandales  d'Atcham; Dofus Ocre; Dofus Émeraude; Dofus des Glaces; Dofus Turquoise; Nomade; Remueur; Muldo Ebène et Emeraude</t>
        </is>
      </c>
    </row>
    <row r="19538">
      <c r="A19538" t="inlineStr">
        <is>
          <t>Feuvita</t>
        </is>
      </c>
      <c r="B19538">
        <f>HYPERLINK("https://www.dofusbook.net/fr/equipement/895149-feuvita/objets", "link")</f>
        <v/>
      </c>
      <c r="C19538" t="n">
        <v>0</v>
      </c>
      <c r="D19538" t="inlineStr">
        <is>
          <t>Harpelle; Pendentif affamé; Bracelet du Piloztère; Anneau du Katcheur; Ceintacé; Masque du Katcheur; Cape de Diondin; Bottes Innommables; Dofus Pourpre; Dofus Émeraude; Miraculé majeur; Nomade; Remueur; Muldo Orchidée et Pourpre</t>
        </is>
      </c>
    </row>
    <row r="19539">
      <c r="A19539" t="inlineStr">
        <is>
          <t>Fullfeu</t>
        </is>
      </c>
      <c r="B19539">
        <f>HYPERLINK("https://www.dofusbook.net/fr/equipement/820055-fullfeu/objets", "link")</f>
        <v/>
      </c>
      <c r="C19539" t="n">
        <v>0</v>
      </c>
      <c r="D19539" t="inlineStr">
        <is>
          <t>Dague de Meloro; Pendentif affamé; Anneau de Nidas; Anneau Tique; Ceinture du Strigide; Coiffe de Padgref; Cape de Diondin; Bottes du Strigide; Dofus Pourpre; Dofus Émeraude; Dofus Turquoise; Érudit majeur; Remueur; Muldo Prune et Emeraude</t>
        </is>
      </c>
    </row>
    <row r="19540">
      <c r="A19540" t="inlineStr">
        <is>
          <t>Eau</t>
        </is>
      </c>
      <c r="B19540">
        <f>HYPERLINK("https://www.dofusbook.net/fr/equipement/513372-eau/objets", "link")</f>
        <v/>
      </c>
      <c r="C19540" t="n">
        <v>0</v>
      </c>
      <c r="D19540" t="inlineStr">
        <is>
          <t>Dagoulinantes; Amulette de Shokkoth; Bracelet des Fonds marins; Alliance Gloursonne; Poulpagne; Kidibonnet; Cape de Mantaze; Sandales de Tal Kasha; Dofus Pourpre; Dofus Ocre; Dofus Turquoise; Dofus des Glaces; Dofus Émeraude; Vigoureux majeur; Kanigloups</t>
        </is>
      </c>
    </row>
    <row r="19541">
      <c r="A19541" t="inlineStr">
        <is>
          <t>Stuff 2</t>
        </is>
      </c>
      <c r="B19541">
        <f>HYPERLINK("https://www.dofusbook.net/fr/equipement/281287-stuff-2/objets", "link")</f>
        <v/>
      </c>
      <c r="C19541" t="n">
        <v>0</v>
      </c>
      <c r="D19541" t="inlineStr">
        <is>
          <t>Bâthon; Amulette du Strigide; Anneau de Nidas; Chevalière du Roi Joueur; Ceinture de Kongoku; Masque de Koutoulou; Voile d'encre; Bottes du Roi Joueur; Dofus des Glaces; Vigoureux majeur; Remueur; Temporiseur majeur; Nomade; Obstructeur majeur; Muldo Roux et Pourpre</t>
        </is>
      </c>
    </row>
    <row r="19542">
      <c r="A19542" t="inlineStr">
        <is>
          <t>Stuff 3</t>
        </is>
      </c>
      <c r="B19542">
        <f>HYPERLINK("https://www.dofusbook.net/fr/equipement/281282-stuff-3/objets", "link")</f>
        <v/>
      </c>
      <c r="C19542" t="n">
        <v>0</v>
      </c>
      <c r="D19542" t="inlineStr">
        <is>
          <t>Dagues Érhy; Amulette du Strigide; Bague Gloursonne; Bracelet du Piloztère; Ceinture du Strigide; Chapeau de Gein; Cape au Logis; Pantoufles Émar; Dofus Turquoise; Dofus Pourpre; Vigoureux majeur; Cascadeur majeur; Remueur; Nomade; Croum</t>
        </is>
      </c>
    </row>
    <row r="19543">
      <c r="A19543" t="inlineStr">
        <is>
          <t>Stuff 1</t>
        </is>
      </c>
      <c r="B19543">
        <f>HYPERLINK("https://www.dofusbook.net/fr/equipement/281304-stuff-1/objets", "link")</f>
        <v/>
      </c>
      <c r="C19543" t="n">
        <v>0</v>
      </c>
      <c r="D19543" t="inlineStr">
        <is>
          <t>Dagues Érhy; Amulette du Strigide; Alliance Gloursonne; Anneau de Padgref; Ceinture du Strigide; Coiffe Séculaire; Cape Matelassée; Pantoufles Émar; Dofus Turquoise; Dofus Émeraude; Vigoureux majeur; Nomade; Carapace Air majeur; Remueur; Muldo Orchidée et Emeraude</t>
        </is>
      </c>
    </row>
    <row r="19544">
      <c r="A19544" t="inlineStr">
        <is>
          <t>Stuff 2</t>
        </is>
      </c>
      <c r="B19544">
        <f>HYPERLINK("https://www.dofusbook.net/fr/equipement/281262-stuff-2/objets", "link")</f>
        <v/>
      </c>
      <c r="C19544" t="n">
        <v>0</v>
      </c>
      <c r="D19544" t="inlineStr">
        <is>
          <t>Dagues de Srambad; Amulette de l'Indicible; Alliance Gloursonne; Bracelet du Piloztère; Ceintacé; Coiffe de la Reine des Voleurs; Cape du Chalœil; Bottes de la Reine des Voleurs; Nomade; Étourdisseur majeur; Vigoureux majeur; Enragé majeur; Remueur; Cascadeur majeur; Kramkram</t>
        </is>
      </c>
    </row>
    <row r="19545">
      <c r="A19545" t="inlineStr">
        <is>
          <t>Stuff 3</t>
        </is>
      </c>
      <c r="B19545">
        <f>HYPERLINK("https://www.dofusbook.net/fr/equipement/281299-stuff-3/objets", "link")</f>
        <v/>
      </c>
      <c r="C19545" t="n">
        <v>0</v>
      </c>
      <c r="D19545" t="inlineStr">
        <is>
          <t>Pelle de la Cour Sombre; Amulette du Strigide; Bracelet du Piloztère; Alliance Gloursonne; Ceinture Rasboulaire du Rasboul; Capuche de Moum-Ra; Cape Matelassée; Pantoufles Émar; Cavaleur majeur; Remueur; Vigoureux majeur; Nomade; Cascadeur majeur; Dragodinde en armure</t>
        </is>
      </c>
    </row>
    <row r="19546">
      <c r="A19546" t="inlineStr">
        <is>
          <t>Stuff 3</t>
        </is>
      </c>
      <c r="B19546">
        <f>HYPERLINK("https://www.dofusbook.net/fr/equipement/281290-stuff-3/objets", "link")</f>
        <v/>
      </c>
      <c r="C19546" t="n">
        <v>0</v>
      </c>
      <c r="D19546" t="inlineStr">
        <is>
          <t>Marteau des Anciens Steamers; Talisman Glouti; Alliance Gloursonne; Bracelet du Piloztère; Sangle Ouare; Kidibonnet; Cape Matelassée; Bottes de la Reine des Voleurs; Vigoureux majeur; Carapace Air majeur; Remueur; Cascadeur majeur; Nomade; Kramkram</t>
        </is>
      </c>
    </row>
    <row r="19547">
      <c r="A19547" t="inlineStr">
        <is>
          <t>Stuff 3</t>
        </is>
      </c>
      <c r="B19547">
        <f>HYPERLINK("https://www.dofusbook.net/fr/equipement/281285-stuff-3/objets", "link")</f>
        <v/>
      </c>
      <c r="C19547" t="n">
        <v>0</v>
      </c>
      <c r="D19547" t="inlineStr">
        <is>
          <t>Marteau des Anciens Steamers; Amulette du Strigide; Alliance Gloursonne; Pikano; Sangle Ouare; Kidibonnet; Cape Matelassée; Bottes du Strigide; Dolmanax; Vigoureux majeur; Nomade; Carapace Eau majeur; Cascadeur majeur; Remueur; Kramkram</t>
        </is>
      </c>
    </row>
    <row r="19548">
      <c r="A19548" t="inlineStr">
        <is>
          <t>Stuff 1</t>
        </is>
      </c>
      <c r="B19548">
        <f>HYPERLINK("https://www.dofusbook.net/fr/equipement/281280-stuff-1/objets", "link")</f>
        <v/>
      </c>
      <c r="C19548" t="n">
        <v>0</v>
      </c>
      <c r="D19548" t="inlineStr">
        <is>
          <t>Dague Hirr; Amulette du Strigide; Bracelet du Piloztère; Anneau des égarés; Ceinture du Strigide; Bonnet Vicieux; Cape du Kamasterisk; Baleinabottes; Dolmanax; Remueur; Cascadeur majeur; Nomade; Vigoureux majeur; Kramkram</t>
        </is>
      </c>
    </row>
    <row r="19549">
      <c r="A19549" t="inlineStr">
        <is>
          <t>Stuff 1</t>
        </is>
      </c>
      <c r="B19549">
        <f>HYPERLINK("https://www.dofusbook.net/fr/equipement/281307-stuff-1/objets", "link")</f>
        <v/>
      </c>
      <c r="C19549" t="n">
        <v>0</v>
      </c>
      <c r="D19549" t="inlineStr">
        <is>
          <t>Pelle de la Cour Sombre; Amulette du Strigide; Bracelet du Piloztère; Alliance Gloursonne; Ceinture du Strigide; Masque du Granduk; Cape Matelassée; Pantoufles Émar; Nomade; Vigoureux majeur; Remueur; Cascadeur majeur; Croum</t>
        </is>
      </c>
    </row>
    <row r="19550">
      <c r="A19550" t="inlineStr">
        <is>
          <t>Stuff 2</t>
        </is>
      </c>
      <c r="B19550">
        <f>HYPERLINK("https://www.dofusbook.net/fr/equipement/281271-stuff-2/objets", "link")</f>
        <v/>
      </c>
      <c r="C19550" t="n">
        <v>0</v>
      </c>
      <c r="D19550" t="inlineStr">
        <is>
          <t>Dague Hirr; Amulette du Strigide; Bracelet du Piloztère; Anneau des égarés; Ceintacé; Coiffe de la Reine des Voleurs; Cape du Kamasterisk; Bottes du Kamasterisk; Dolmanax; Cascadeur majeur; Remueur; Vigoureux majeur; Nomade; Miraculé majeur; Dragodinde en armure</t>
        </is>
      </c>
    </row>
    <row r="19551">
      <c r="A19551" t="inlineStr">
        <is>
          <t>Stuff 2</t>
        </is>
      </c>
      <c r="B19551">
        <f>HYPERLINK("https://www.dofusbook.net/fr/equipement/281265-stuff-2/objets", "link")</f>
        <v/>
      </c>
      <c r="C19551" t="n">
        <v>0</v>
      </c>
      <c r="D19551" t="inlineStr">
        <is>
          <t>Sabres d'Atcham; Amulette du Strigide; Alliance Gloursonne; Anneau de Padgref; Ceinture du Strigide; Coiffe de Padgref; Cape d'Atcham; Sandales  d'Atcham; Dofus Ocre; Dofus Pourpre; Dolmanax; Dofus des Glaces; Joueur majeur; Voyageur; Kramkram</t>
        </is>
      </c>
    </row>
    <row r="19552">
      <c r="A19552" t="inlineStr">
        <is>
          <t>Stuff 3</t>
        </is>
      </c>
      <c r="B19552">
        <f>HYPERLINK("https://www.dofusbook.net/fr/equipement/281302-stuff-3/objets", "link")</f>
        <v/>
      </c>
      <c r="C19552" t="n">
        <v>0</v>
      </c>
      <c r="D19552" t="inlineStr">
        <is>
          <t>Poolache; Amulette du Strigide; Bague Gloursonne; Bracelet du Piloztère; Ceintacé; Chapeau de Gein; Voile d'encre; Bottes du Strigide; Dofus Turquoise; Dofus des Glaces; Déserteur majeur; Remueur; Nomade; Dragodinde en armure</t>
        </is>
      </c>
    </row>
    <row r="19553">
      <c r="A19553" t="inlineStr">
        <is>
          <t>Stuff 3</t>
        </is>
      </c>
      <c r="B19553">
        <f>HYPERLINK("https://www.dofusbook.net/fr/equipement/281260-stuff-3/objets", "link")</f>
        <v/>
      </c>
      <c r="C19553" t="n">
        <v>0</v>
      </c>
      <c r="D19553" t="inlineStr">
        <is>
          <t>Dagues de Srambad; Amulette de Pol Ouatnos; Anneau Glacial; Alliance Gloursonne; Ceinture de la Reine des Voleurs; Coiffe de la Reine des Voleurs; Cape de Kongoku; Bottes de la Cour Sombre; Dofus Ocre; Dolmanax; Fortification majeure; Carapace Air majeur; Remueur; Déserteur majeur; Croum</t>
        </is>
      </c>
    </row>
    <row r="19554">
      <c r="A19554" t="inlineStr">
        <is>
          <t>Stuff 1</t>
        </is>
      </c>
      <c r="B19554">
        <f>HYPERLINK("https://www.dofusbook.net/fr/equipement/281297-stuff-1/objets", "link")</f>
        <v/>
      </c>
      <c r="C19554" t="n">
        <v>0</v>
      </c>
      <c r="D19554" t="inlineStr">
        <is>
          <t>Pelle de la Cour Sombre; Amulette du Strigide; Bracelet du Piloztère; Anneau des égarés; Ceintacé; Chapoulpe; Cape du Kamasterisk; Palmes Trithons; Vigoureux majeur; Nomade; Obstructeur majeur; Remueur; Dragodinde en armure</t>
        </is>
      </c>
    </row>
    <row r="19555">
      <c r="A19555" t="inlineStr">
        <is>
          <t>Stuff 2</t>
        </is>
      </c>
      <c r="B19555">
        <f>HYPERLINK("https://www.dofusbook.net/fr/equipement/281292-stuff-2/objets", "link")</f>
        <v/>
      </c>
      <c r="C19555" t="n">
        <v>0</v>
      </c>
      <c r="D19555" t="inlineStr">
        <is>
          <t>Arc Hétype; Pendentif affamé; Bague Gloursonne; Anneau de Nidas; Ceinture de Vortex; Couronne de Nidas; Cape de Diondin; Bottes Innommables; Guérisseur majeur; Nomade; Érudit majeur; Temporiseur majeur; Remueur; Croum</t>
        </is>
      </c>
    </row>
    <row r="19556">
      <c r="A19556" t="inlineStr">
        <is>
          <t>Stuff 2</t>
        </is>
      </c>
      <c r="B19556">
        <f>HYPERLINK("https://www.dofusbook.net/fr/equipement/281287-stuff-2/objets", "link")</f>
        <v/>
      </c>
      <c r="C19556" t="n">
        <v>0</v>
      </c>
      <c r="D19556" t="inlineStr">
        <is>
          <t>Bâthon; Amulette du Strigide; Anneau de Nidas; Chevalière du Roi Joueur; Ceinture de Kongoku; Masque de Koutoulou; Voile d'encre; Bottes du Roi Joueur; Dofus des Glaces; Obstructeur majeur; Vigoureux majeur; Remueur; Temporiseur majeur; Nomade; Muldo Roux et Pourpre</t>
        </is>
      </c>
    </row>
    <row r="19557">
      <c r="A19557" t="inlineStr">
        <is>
          <t>Stuff 3</t>
        </is>
      </c>
      <c r="B19557">
        <f>HYPERLINK("https://www.dofusbook.net/fr/equipement/281282-stuff-3/objets", "link")</f>
        <v/>
      </c>
      <c r="C19557" t="n">
        <v>0</v>
      </c>
      <c r="D19557" t="inlineStr">
        <is>
          <t>Dagues Érhy; Amulette du Strigide; Bague Gloursonne; Bracelet du Piloztère; Ceinture du Strigide; Chapeau de Gein; Cape au Logis; Pantoufles Émar; Dofus Turquoise; Dofus Pourpre; Vigoureux majeur; Cascadeur majeur; Remueur; Nomade; Croum</t>
        </is>
      </c>
    </row>
    <row r="19558">
      <c r="A19558" t="inlineStr">
        <is>
          <t>Stuff 1</t>
        </is>
      </c>
      <c r="B19558">
        <f>HYPERLINK("https://www.dofusbook.net/fr/equipement/281304-stuff-1/objets", "link")</f>
        <v/>
      </c>
      <c r="C19558" t="n">
        <v>0</v>
      </c>
      <c r="D19558" t="inlineStr">
        <is>
          <t>Dagues Érhy; Amulette du Strigide; Alliance Gloursonne; Anneau de Padgref; Ceinture du Strigide; Coiffe Séculaire; Cape Matelassée; Pantoufles Émar; Dofus Turquoise; Dofus Émeraude; Carapace Air majeur; Remueur; Vigoureux majeur; Nomade; Muldo Orchidée et Emeraude</t>
        </is>
      </c>
    </row>
    <row r="19559">
      <c r="A19559" t="inlineStr">
        <is>
          <t>Stuff 2</t>
        </is>
      </c>
      <c r="B19559">
        <f>HYPERLINK("https://www.dofusbook.net/fr/equipement/281262-stuff-2/objets", "link")</f>
        <v/>
      </c>
      <c r="C19559" t="n">
        <v>0</v>
      </c>
      <c r="D19559" t="inlineStr">
        <is>
          <t>Dagues de Srambad; Amulette de l'Indicible; Alliance Gloursonne; Bracelet du Piloztère; Ceintacé; Coiffe de la Reine des Voleurs; Cape du Chalœil; Bottes de la Reine des Voleurs; Cascadeur majeur; Nomade; Étourdisseur majeur; Vigoureux majeur; Enragé majeur; Remueur; Kramkram</t>
        </is>
      </c>
    </row>
    <row r="19560">
      <c r="A19560" t="inlineStr">
        <is>
          <t>Stuff 3</t>
        </is>
      </c>
      <c r="B19560">
        <f>HYPERLINK("https://www.dofusbook.net/fr/equipement/281299-stuff-3/objets", "link")</f>
        <v/>
      </c>
      <c r="C19560" t="n">
        <v>0</v>
      </c>
      <c r="D19560" t="inlineStr">
        <is>
          <t>Pelle de la Cour Sombre; Amulette du Strigide; Alliance Gloursonne; Bracelet du Piloztère; Ceinture Rasboulaire du Rasboul; Capuche de Moum-Ra; Cape Matelassée; Pantoufles Émar; Cascadeur majeur; Cavaleur majeur; Remueur; Vigoureux majeur; Nomade; Dragodinde en armure</t>
        </is>
      </c>
    </row>
    <row r="19561">
      <c r="A19561" t="inlineStr">
        <is>
          <t>Stuff 1</t>
        </is>
      </c>
      <c r="B19561">
        <f>HYPERLINK("https://www.dofusbook.net/fr/equipement/281294-stuff-1/objets", "link")</f>
        <v/>
      </c>
      <c r="C19561" t="n">
        <v>0</v>
      </c>
      <c r="D19561" t="inlineStr">
        <is>
          <t>Manthache; Collier du Valet Veinard; Gant du Valet Veinard; Alliance Gloursonne; Menoture; Casque des égarés; Cape Indescriptible; Palmes Trithons; Dofus des Glaces; Nomade; Dévastateur Air majeur; Remueur; Carapace Air majeur; Cascadeur majeur; Blérodoudou</t>
        </is>
      </c>
    </row>
    <row r="19562">
      <c r="A19562" t="inlineStr">
        <is>
          <t>Stuff 2</t>
        </is>
      </c>
      <c r="B19562">
        <f>HYPERLINK("https://www.dofusbook.net/fr/equipement/281289-stuff-2/objets", "link")</f>
        <v/>
      </c>
      <c r="C19562" t="n">
        <v>0</v>
      </c>
      <c r="D19562" t="inlineStr">
        <is>
          <t>Arc du Chalœil; Amulette du Strigide; Bracelet du Piloztère; Bague Gloursonne; Ceintacé; Chapeau de Gein; Voile d'encre; Tong Aclou; Érudit majeur; Carapace Terre majeur; Remueur; Vigoureux majeur; Nomade; Kramkram</t>
        </is>
      </c>
    </row>
    <row r="19563">
      <c r="A19563" t="inlineStr">
        <is>
          <t>Stuff 2</t>
        </is>
      </c>
      <c r="B19563">
        <f>HYPERLINK("https://www.dofusbook.net/fr/equipement/281284-stuff-2/objets", "link")</f>
        <v/>
      </c>
      <c r="C19563" t="n">
        <v>0</v>
      </c>
      <c r="D19563" t="inlineStr">
        <is>
          <t>Marteau des égarés; Amulette de l'Indicible; Bracelet du Piloztère; Alliance Gloursonne; Ceinture de l'Indicible; Casque du Chalœil; Cape Reski; Baleinabottes; Dolmanax; Remueur; Érudit majeur; Nomade; Dragodinde en armure</t>
        </is>
      </c>
    </row>
    <row r="19564">
      <c r="A19564" t="inlineStr">
        <is>
          <t>Stuff 3</t>
        </is>
      </c>
      <c r="B19564">
        <f>HYPERLINK("https://www.dofusbook.net/fr/equipement/281306-stuff-3/objets", "link")</f>
        <v/>
      </c>
      <c r="C19564" t="n">
        <v>0</v>
      </c>
      <c r="D19564" t="inlineStr">
        <is>
          <t>Rouleau à Pâtisserie d'Aermyne; Talisman Glouti; Bracelet du Minotoboule; Bracelet du Piloztère; Ceintacé; Coiffe d'Aermyne; Voile d'encre; Bottes du Sinistrofu; Dofus Émeraude; Miraculé majeur; Nomade; Remueur; Péki</t>
        </is>
      </c>
    </row>
    <row r="19565">
      <c r="A19565" t="inlineStr">
        <is>
          <t>Stuff 1</t>
        </is>
      </c>
      <c r="B19565">
        <f>HYPERLINK("https://www.dofusbook.net/fr/equipement/281270-stuff-1/objets", "link")</f>
        <v/>
      </c>
      <c r="C19565" t="n">
        <v>0</v>
      </c>
      <c r="D19565" t="inlineStr">
        <is>
          <t>L'Épée Nice; Amulette du Kamasterisk; Anneau des égarés; Bracelet du Piloztère; Ceinture de Nevark; Coiffe de la Reine des Voleurs; Cape de Nevark; Baleinabottes; Dolmanax; Miraculé majeur; Cascadeur majeur; Remueur; Vigoureux majeur; Nomade; Dragodinde en armure</t>
        </is>
      </c>
    </row>
    <row r="19566">
      <c r="A19566" t="inlineStr">
        <is>
          <t>Stuff 3</t>
        </is>
      </c>
      <c r="B19566">
        <f>HYPERLINK("https://www.dofusbook.net/fr/equipement/281299-stuff-3/objets", "link")</f>
        <v/>
      </c>
      <c r="C19566" t="n">
        <v>0</v>
      </c>
      <c r="D19566" t="inlineStr">
        <is>
          <t>Pelle de la Cour Sombre; Amulette du Strigide; Alliance Gloursonne; Bracelet du Piloztère; Ceinture Rasboulaire du Rasboul; Capuche de Moum-Ra; Cape Matelassée; Pantoufles Émar; Vigoureux majeur; Nomade; Cascadeur majeur; Cavaleur majeur; Remueur; Dragodinde en armure</t>
        </is>
      </c>
    </row>
    <row r="19567">
      <c r="A19567" t="inlineStr">
        <is>
          <t>Stuff 2</t>
        </is>
      </c>
      <c r="B19567">
        <f>HYPERLINK("https://www.dofusbook.net/fr/equipement/281262-stuff-2/objets", "link")</f>
        <v/>
      </c>
      <c r="C19567" t="n">
        <v>0</v>
      </c>
      <c r="D19567" t="inlineStr">
        <is>
          <t>Dagues de Srambad; Amulette de l'Indicible; Bracelet du Piloztère; Alliance Gloursonne; Ceintacé; Coiffe de la Reine des Voleurs; Cape du Chalœil; Bottes de la Reine des Voleurs; Remueur; Cascadeur majeur; Nomade; Étourdisseur majeur; Vigoureux majeur; Enragé majeur; Kramkram</t>
        </is>
      </c>
    </row>
    <row r="19568">
      <c r="A19568" t="inlineStr">
        <is>
          <t>Stuff 1</t>
        </is>
      </c>
      <c r="B19568">
        <f>HYPERLINK("https://www.dofusbook.net/fr/equipement/281294-stuff-1/objets", "link")</f>
        <v/>
      </c>
      <c r="C19568" t="n">
        <v>0</v>
      </c>
      <c r="D19568" t="inlineStr">
        <is>
          <t>Manthache; Collier du Valet Veinard; Gant du Valet Veinard; Alliance Gloursonne; Menoture; Casque des égarés; Cape Indescriptible; Palmes Trithons; Dofus des Glaces; Nomade; Dévastateur Air majeur; Remueur; Carapace Air majeur; Cascadeur majeur; Blérodoudou</t>
        </is>
      </c>
    </row>
    <row r="19569">
      <c r="A19569" t="inlineStr">
        <is>
          <t>Stuff 2</t>
        </is>
      </c>
      <c r="B19569">
        <f>HYPERLINK("https://www.dofusbook.net/fr/equipement/281289-stuff-2/objets", "link")</f>
        <v/>
      </c>
      <c r="C19569" t="n">
        <v>0</v>
      </c>
      <c r="D19569" t="inlineStr">
        <is>
          <t>Arc du Chalœil; Amulette du Strigide; Bracelet du Piloztère; Bague Gloursonne; Ceintacé; Chapeau de Gein; Voile d'encre; Tong Aclou; Vigoureux majeur; Nomade; Érudit majeur; Carapace Terre majeur; Remueur; Kramkram</t>
        </is>
      </c>
    </row>
    <row r="19570">
      <c r="A19570" t="inlineStr">
        <is>
          <t>Stuff 2</t>
        </is>
      </c>
      <c r="B19570">
        <f>HYPERLINK("https://www.dofusbook.net/fr/equipement/281284-stuff-2/objets", "link")</f>
        <v/>
      </c>
      <c r="C19570" t="n">
        <v>0</v>
      </c>
      <c r="D19570" t="inlineStr">
        <is>
          <t>Marteau des égarés; Amulette de l'Indicible; Alliance Gloursonne; Bracelet du Piloztère; Ceinture de l'Indicible; Casque du Chalœil; Cape Reski; Baleinabottes; Dolmanax; Remueur; Érudit majeur; Nomade; Dragodinde en armure</t>
        </is>
      </c>
    </row>
    <row r="19571">
      <c r="A19571" t="inlineStr">
        <is>
          <t>Stuff 1</t>
        </is>
      </c>
      <c r="B19571">
        <f>HYPERLINK("https://www.dofusbook.net/fr/equipement/281270-stuff-1/objets", "link")</f>
        <v/>
      </c>
      <c r="C19571" t="n">
        <v>0</v>
      </c>
      <c r="D19571" t="inlineStr">
        <is>
          <t>L'Épée Nice; Amulette du Kamasterisk; Anneau des égarés; Bracelet du Piloztère; Ceinture de Nevark; Coiffe de la Reine des Voleurs; Cape de Nevark; Baleinabottes; Dolmanax; Vigoureux majeur; Nomade; Miraculé majeur; Cascadeur majeur; Remueur; Dragodinde en armure</t>
        </is>
      </c>
    </row>
    <row r="19572">
      <c r="A19572" t="inlineStr">
        <is>
          <t>Stuff 3</t>
        </is>
      </c>
      <c r="B19572">
        <f>HYPERLINK("https://www.dofusbook.net/fr/equipement/281306-stuff-3/objets", "link")</f>
        <v/>
      </c>
      <c r="C19572" t="n">
        <v>0</v>
      </c>
      <c r="D19572" t="inlineStr">
        <is>
          <t>Rouleau à Pâtisserie d'Aermyne; Talisman Glouti; Bracelet du Minotoboule; Bracelet du Piloztère; Ceintacé; Coiffe d'Aermyne; Voile d'encre; Bottes du Sinistrofu; Dofus Émeraude; Remueur; Miraculé majeur; Nomade; Péki</t>
        </is>
      </c>
    </row>
    <row r="19573">
      <c r="A19573" t="inlineStr">
        <is>
          <t>Stuff 2</t>
        </is>
      </c>
      <c r="B19573">
        <f>HYPERLINK("https://www.dofusbook.net/fr/equipement/281301-stuff-2/objets", "link")</f>
        <v/>
      </c>
      <c r="C19573" t="n">
        <v>0</v>
      </c>
      <c r="D19573" t="inlineStr">
        <is>
          <t>Arc Hétype; Pendentif affamé; Anneau de Nidas; Anneau Tique; Ceintacé; Casque Dragoeuf; Voile d'encre; Tongues de Nidas; Nomade; Érudit majeur; Remueur; Dévastateur Feu majeur; Miraculé majeur; Guérisseur majeur; Muldo Ebène et Orchidée</t>
        </is>
      </c>
    </row>
    <row r="19574">
      <c r="A19574" t="inlineStr">
        <is>
          <t>Stuff 1</t>
        </is>
      </c>
      <c r="B19574">
        <f>HYPERLINK("https://www.dofusbook.net/fr/equipement/281264-stuff-1/objets", "link")</f>
        <v/>
      </c>
      <c r="C19574" t="n">
        <v>0</v>
      </c>
      <c r="D19574" t="inlineStr">
        <is>
          <t>Marteau Reine; Amulette du Strigide; Anneau de Pol Ouatnos; Bracelet du Piloztère; Ceinture du Strigide; Casque des égarés; Cape de Nevark; Baleinabottes; Dofus Turquoise; Remueur; Cavaleur majeur; Vigoureux majeur; Obstructeur majeur; Nomade; Dragodinde en armure</t>
        </is>
      </c>
    </row>
    <row r="19575">
      <c r="A19575" t="inlineStr">
        <is>
          <t>Stuff 3</t>
        </is>
      </c>
      <c r="B19575">
        <f>HYPERLINK("https://www.dofusbook.net/fr/equipement/281296-stuff-3/objets", "link")</f>
        <v/>
      </c>
      <c r="C19575" t="n">
        <v>0</v>
      </c>
      <c r="D19575" t="inlineStr">
        <is>
          <t>Dagues Érhy; Amulette du Strigide; Bracelet du Piloztère; Kralano; Ceintacé; Casque de Missiz Frizz; Cape Matelassée; Bottes du Strigide; Érudit majeur; Remueur; Examinateur; Vigoureux majeur; Cascadeur majeur; Nomade; Dragodinde Prune et Emeraude</t>
        </is>
      </c>
    </row>
    <row r="19576">
      <c r="A19576" t="inlineStr">
        <is>
          <t>Stuff 2</t>
        </is>
      </c>
      <c r="B19576">
        <f>HYPERLINK("https://www.dofusbook.net/fr/equipement/281259-stuff-2/objets", "link")</f>
        <v/>
      </c>
      <c r="C19576" t="n">
        <v>0</v>
      </c>
      <c r="D19576" t="inlineStr">
        <is>
          <t>Arc Hétype; Amulette d'Otomaï; Anneau de Nidas; Bracelet Ming; Ceinture Séculaire; Couronne de Nidas; Voile d'encre; Pantoufles Émar; Déserteur majeur; Remueur; Érudit majeur; Nomade; Miraculé majeur; Guérisseur majeur; Croum</t>
        </is>
      </c>
    </row>
    <row r="19577">
      <c r="A19577" t="inlineStr">
        <is>
          <t>Stuff 1</t>
        </is>
      </c>
      <c r="B19577">
        <f>HYPERLINK("https://www.dofusbook.net/fr/equipement/281291-stuff-1/objets", "link")</f>
        <v/>
      </c>
      <c r="C19577" t="n">
        <v>0</v>
      </c>
      <c r="D19577" t="inlineStr">
        <is>
          <t>Manthache; Collier du Valet Veinard; Gant du Valet Veinard; Alliance Gloursonne; Menoture; Casque Dragoeuf; Cape Indescriptible; Palmes Trithons; Vigoureux majeur; Nomade; Cascadeur majeur; Carapace Air majeur; Remueur; Croum</t>
        </is>
      </c>
    </row>
    <row r="19578">
      <c r="A19578" t="inlineStr">
        <is>
          <t>Stuff 1</t>
        </is>
      </c>
      <c r="B19578">
        <f>HYPERLINK("https://www.dofusbook.net/fr/equipement/281286-stuff-1/objets", "link")</f>
        <v/>
      </c>
      <c r="C19578" t="n">
        <v>0</v>
      </c>
      <c r="D19578" t="inlineStr">
        <is>
          <t>Dagues Érhy; Amulette du Strigide; Chevalière du Roi Joueur; Anneau de Nidas; Ceinture de Kongoku; Couronne du Roi Joueur; Voile d'encre; Baleinabottes; Dofus Pourpre; Temporiseur majeur; Nomade; Vigoureux majeur; Carapace Terre majeur; Remueur; Kramkram</t>
        </is>
      </c>
    </row>
    <row r="19579">
      <c r="A19579" t="inlineStr">
        <is>
          <t>Stuff 2</t>
        </is>
      </c>
      <c r="B19579">
        <f>HYPERLINK("https://www.dofusbook.net/fr/equipement/281281-stuff-2/objets", "link")</f>
        <v/>
      </c>
      <c r="C19579" t="n">
        <v>0</v>
      </c>
      <c r="D19579" t="inlineStr">
        <is>
          <t>Marteau Phossile; Amibou; Gant du Valet Veinard; Anneau de Padgref; Ceinture de Vortex; Chapibou; Cape des Malveilleurs; Pantoufles Émar; Cascadeur majeur; Vigoureux majeur; Bousculeur majeur; Remueur; Culbuteur majeur; Nomade; Dragodinde en armure</t>
        </is>
      </c>
    </row>
    <row r="19580">
      <c r="A19580" t="inlineStr">
        <is>
          <t>Stuff 2</t>
        </is>
      </c>
      <c r="B19580">
        <f>HYPERLINK("https://www.dofusbook.net/fr/equipement/281308-stuff-2/objets", "link")</f>
        <v/>
      </c>
      <c r="C19580" t="n">
        <v>0</v>
      </c>
      <c r="D19580" t="inlineStr">
        <is>
          <t>Marteau des égarés; Amulette du Strigide; Alliance Gloursonne; Chevalière du Roi Joueur; Ceintacé; Casque du Chalœil; Dofusteuse; Bottes du Strigide; Dofus Pourpre; Dolmanax; Dofus des Glaces; Nomade; Remueur; Muldo Doré et Emeraude</t>
        </is>
      </c>
    </row>
    <row r="19581">
      <c r="A19581" t="inlineStr">
        <is>
          <t>Stuff 1</t>
        </is>
      </c>
      <c r="B19581">
        <f>HYPERLINK("https://www.dofusbook.net/fr/equipement/1845001-stuff-1/objets", "link")</f>
        <v/>
      </c>
      <c r="C19581" t="n">
        <v>0</v>
      </c>
      <c r="D19581" t="inlineStr">
        <is>
          <t>Pelle de la Cour Sombre; Collier du Valet Veinard; Bracelet des Fonds marins; Gant du Valet Veinard; Ceinture Voldelor; Masque des Fonds marins; Cape du Valet Veinard; Sandales des Fonds marins; Dofus Pourpre; Dofus des Glaces; Dofus Ocre; Dolmanax; Voyageur; Robuste majeur; Dragodinde en armure</t>
        </is>
      </c>
    </row>
    <row r="19582">
      <c r="A19582" t="inlineStr">
        <is>
          <t>Stuff 2</t>
        </is>
      </c>
      <c r="B19582">
        <f>HYPERLINK("https://www.dofusbook.net/fr/equipement/1844996-stuff-2/objets", "link")</f>
        <v/>
      </c>
      <c r="C19582" t="n">
        <v>0</v>
      </c>
      <c r="D19582" t="inlineStr">
        <is>
          <t>Arc du Chalœil; Amulette du Strigide; Bracelet du Piloztère; Anneau Chevelu; Ceintacé; Chapeau de Gein; Cape au Logis; Bottes du Strigide; Dofus Turquoise; Dokoko; Dofus Ocre; Remueur; Miraculé majeur; Nomade; Dragodinde en armure</t>
        </is>
      </c>
    </row>
    <row r="19583">
      <c r="A19583" t="inlineStr">
        <is>
          <t>Stuff 3</t>
        </is>
      </c>
      <c r="B19583">
        <f>HYPERLINK("https://www.dofusbook.net/fr/equipement/1845028-stuff-3/objets", "link")</f>
        <v/>
      </c>
      <c r="C19583" t="n">
        <v>0</v>
      </c>
      <c r="D19583" t="inlineStr">
        <is>
          <t>Dagues Érhy; Amulette du Strigide; Alliance Gloursonne; Bracelet du Piloztère; Ceintacé; Dorabysses; Voile d'encre; Bottes du Strigide</t>
        </is>
      </c>
    </row>
    <row r="19584">
      <c r="A19584" t="inlineStr">
        <is>
          <t>Stuff 3</t>
        </is>
      </c>
      <c r="B19584">
        <f>HYPERLINK("https://www.dofusbook.net/fr/equipement/1844991-stuff-3/objets", "link")</f>
        <v/>
      </c>
      <c r="C19584" t="n">
        <v>0</v>
      </c>
      <c r="D19584" t="inlineStr">
        <is>
          <t>Dagues Érhy; Collier du Valet Veinard; Gant du Valet Veinard; Alliance Gloursonne; Menoture; Couronne d'Allister; Cape Indescriptible; Palmes Trithons; Dofus Émeraude; Dokoko; Nomade; Cascadeur majeur; Remueur; Miraculé majeur; Péki</t>
        </is>
      </c>
    </row>
    <row r="19585">
      <c r="A19585" t="inlineStr">
        <is>
          <t>Stuff 1</t>
        </is>
      </c>
      <c r="B19585">
        <f>HYPERLINK("https://www.dofusbook.net/fr/equipement/1845023-stuff-1/objets", "link")</f>
        <v/>
      </c>
      <c r="C19585" t="n">
        <v>0</v>
      </c>
      <c r="D19585" t="inlineStr">
        <is>
          <t>Amulette de Nileza; Chevalière du Roi Joueur; Bague Gloursonne; Ceinture de Gein; Chapeau de Gein; Voile d'encre; Pataugastrique</t>
        </is>
      </c>
    </row>
    <row r="19586">
      <c r="A19586" t="inlineStr">
        <is>
          <t>Stuff 1</t>
        </is>
      </c>
      <c r="B19586">
        <f>HYPERLINK("https://www.dofusbook.net/fr/equipement/1844986-stuff-1/objets", "link")</f>
        <v/>
      </c>
      <c r="C19586" t="n">
        <v>0</v>
      </c>
      <c r="D19586" t="inlineStr">
        <is>
          <t>Dagoulinantes; Amulette de Shokkoth; Alliance Gloursonne; Bracelet des Fonds marins; Poulpagne; Kidibonnet; Cape du Sinistrofu; Bottes du Sinistrofu; Dofus Pourpre; Carapace Eau majeur; Vigoureux majeur; Nomade; Miraculé majeur; Chanceux majeur; Dragodinde en armure</t>
        </is>
      </c>
    </row>
    <row r="19587">
      <c r="A19587" t="inlineStr">
        <is>
          <t>Stuff 1</t>
        </is>
      </c>
      <c r="B19587">
        <f>HYPERLINK("https://www.dofusbook.net/fr/equipement/1845018-stuff-1/objets", "link")</f>
        <v/>
      </c>
      <c r="C19587" t="n">
        <v>0</v>
      </c>
      <c r="D19587" t="inlineStr">
        <is>
          <t>Arc Hétype; Collier de la Dame du Hasard; Bague Gloursonne; Chevalière du Roi Joueur; Ceinture Hanium; Couronne du Roi Joueur; Voile d'encre; Pataugastrique; Carapace Terre majeur; Nomade; Miraculé majeur; Remueur; Érudit majeur; Temporiseur majeur; Croum</t>
        </is>
      </c>
    </row>
    <row r="19588">
      <c r="A19588" t="inlineStr">
        <is>
          <t>Stuff 1</t>
        </is>
      </c>
      <c r="B19588">
        <f>HYPERLINK("https://www.dofusbook.net/fr/equipement/1845013-stuff-1/objets", "link")</f>
        <v/>
      </c>
      <c r="C19588" t="n">
        <v>0</v>
      </c>
      <c r="D19588" t="inlineStr">
        <is>
          <t>Dagues Érhy; Amulette du Strigide; Chevalière du Roi Joueur; Bague Gloursonne; Ceintacé; Chapeau de Gein; Voile d'encre; Bottes du Strigide; Dofus des Glaces; Dofus Turquoise; Dofus Pourpre; Vigoureux majeur; Nomade; Remueur; Dragodinde en armure</t>
        </is>
      </c>
    </row>
    <row r="19589">
      <c r="A19589" t="inlineStr">
        <is>
          <t>Stuff 2</t>
        </is>
      </c>
      <c r="B19589">
        <f>HYPERLINK("https://www.dofusbook.net/fr/equipement/1845008-stuff-2/objets", "link")</f>
        <v/>
      </c>
      <c r="C19589" t="n">
        <v>0</v>
      </c>
      <c r="D19589" t="inlineStr">
        <is>
          <t>Dagues de Srambad; Amulette du Strigide; Alliance Gloursonne; Grésilanneau; Ceinture de la Reine des Voleurs; Coiffe de la Reine des Voleurs; Voile d'encre; Pataugastrique; Dofus Pourpre; Dolmanax; Dofus des Glaces; Nomade; Étourdisseur majeur; Remueur; Dragodinde en armure</t>
        </is>
      </c>
    </row>
    <row r="19590">
      <c r="A19590" t="inlineStr">
        <is>
          <t>Stuff 3</t>
        </is>
      </c>
      <c r="B19590">
        <f>HYPERLINK("https://www.dofusbook.net/fr/equipement/1845003-stuff-3/objets", "link")</f>
        <v/>
      </c>
      <c r="C19590" t="n">
        <v>0</v>
      </c>
      <c r="D19590" t="inlineStr">
        <is>
          <t>Pelle de la Cour Sombre; Collier du Valet Veinard; Alliance Gloursonne; Gant du Valet Veinard; Menoture; Couronne d'Allister; Cape Indescriptible; Palmes Trithons; Dolmanax; Miraculé majeur; Remueur; Carapace Air majeur; Cascadeur majeur; Nomade; Dragodinde en armure</t>
        </is>
      </c>
    </row>
    <row r="19591">
      <c r="A19591" t="inlineStr">
        <is>
          <t>Stuff 1</t>
        </is>
      </c>
      <c r="B19591">
        <f>HYPERLINK("https://www.dofusbook.net/fr/equipement/1844998-stuff-1/objets", "link")</f>
        <v/>
      </c>
      <c r="C19591" t="n">
        <v>0</v>
      </c>
      <c r="D19591" t="inlineStr">
        <is>
          <t>Dagues Érhy; Amulette du Strigide; Gant du Valet Veinard; Alliance Gloursonne; Ceinture du Strigide; Couronne d'Allister; Cape du Valet Veinard; Bottes du Strigide</t>
        </is>
      </c>
    </row>
    <row r="19592">
      <c r="A19592" t="inlineStr">
        <is>
          <t>Stuff 2</t>
        </is>
      </c>
      <c r="B19592">
        <f>HYPERLINK("https://www.dofusbook.net/fr/equipement/1845030-stuff-2/objets", "link")</f>
        <v/>
      </c>
      <c r="C19592" t="n">
        <v>0</v>
      </c>
      <c r="D19592" t="inlineStr">
        <is>
          <t>Arc Hétype; Collier de la Dame du Hasard; Alliance Gloursonne; Chevalière du Roi Joueur; Sangle Ouare; Couronne du Roi Joueur; Cape de la Dame du Hasard; Bottes de la Dame du Hasard; Dofus Turquoise; Dofus Ocre; Dofus Émeraude; Vagabond majeur; Croum</t>
        </is>
      </c>
    </row>
    <row r="19593">
      <c r="A19593" t="inlineStr">
        <is>
          <t>Stuff 2</t>
        </is>
      </c>
      <c r="B19593">
        <f>HYPERLINK("https://www.dofusbook.net/fr/equipement/1844993-stuff-2/objets", "link")</f>
        <v/>
      </c>
      <c r="C19593" t="n">
        <v>0</v>
      </c>
      <c r="D19593" t="inlineStr">
        <is>
          <t>Baguette de Malléfisk; Alliance Gloursonne; Anneau Rifique; Menoture; Voile d'encre; Palmes Trithons</t>
        </is>
      </c>
    </row>
    <row r="19594">
      <c r="A19594" t="inlineStr">
        <is>
          <t>Stuff 3</t>
        </is>
      </c>
      <c r="B19594">
        <f>HYPERLINK("https://www.dofusbook.net/fr/equipement/1845025-stuff-3/objets", "link")</f>
        <v/>
      </c>
      <c r="C19594" t="n">
        <v>0</v>
      </c>
      <c r="D19594" t="inlineStr">
        <is>
          <t>Alliance Gloursonne; Chapeau Lisson; Voilamibe; Nomade; Remueur; Dragodinde en armure</t>
        </is>
      </c>
    </row>
    <row r="19595">
      <c r="A19595" t="inlineStr">
        <is>
          <t>Stuff 3</t>
        </is>
      </c>
      <c r="B19595">
        <f>HYPERLINK("https://www.dofusbook.net/fr/equipement/1844988-stuff-3/objets", "link")</f>
        <v/>
      </c>
      <c r="C19595" t="n">
        <v>0</v>
      </c>
      <c r="D19595" t="inlineStr">
        <is>
          <t>Dagues Érhy; Collier du Valet Veinard; Gant du Valet Veinard; Alliance Gloursonne; Menoture; Couronne d'Allister; Cape de Klime; Palmes Trithons; Dofus Pourpre; Dofus des Glaces; Nomade; Miraculé majeur; Remueur; Vigoureux majeur; Dragodinde en armure</t>
        </is>
      </c>
    </row>
    <row r="19596">
      <c r="A19596" t="inlineStr">
        <is>
          <t>Stuff 3</t>
        </is>
      </c>
      <c r="B19596">
        <f>HYPERLINK("https://www.dofusbook.net/fr/equipement/1845020-stuff-3/objets", "link")</f>
        <v/>
      </c>
      <c r="C19596" t="n">
        <v>0</v>
      </c>
      <c r="D19596" t="inlineStr">
        <is>
          <t>Arc Hétype; Collier de la Dame du Hasard; Chevalière du Roi Joueur; Bague Gloursonne; Ceinture de Gein; Couronne du Roi Joueur; Voile d'encre; Pataugastrique; Dofus Pourpre; Nomade; Miraculé majeur; Remueur; Érudit majeur; Temporiseur majeur; Croum</t>
        </is>
      </c>
    </row>
    <row r="19597">
      <c r="A19597" t="inlineStr">
        <is>
          <t>Stuff 1</t>
        </is>
      </c>
      <c r="B19597">
        <f>HYPERLINK("https://www.dofusbook.net/fr/equipement/1844983-stuff-1/objets", "link")</f>
        <v/>
      </c>
      <c r="C19597" t="n">
        <v>0</v>
      </c>
      <c r="D19597" t="inlineStr">
        <is>
          <t>Dagues Érhy; Collier du Valet Veinard; Gant du Valet Veinard; Alliance Gloursonne; Bouclier du Stalak; Menoture; Couronne d'Allister; Cape du Valet Veinard; Palmes Trithons; Dofus Abyssal; Muldo Ebène et Orchidée</t>
        </is>
      </c>
    </row>
    <row r="19598">
      <c r="A19598" t="inlineStr">
        <is>
          <t>Stuff 3</t>
        </is>
      </c>
      <c r="B19598">
        <f>HYPERLINK("https://www.dofusbook.net/fr/equipement/1845015-stuff-3/objets", "link")</f>
        <v/>
      </c>
      <c r="C19598" t="n">
        <v>0</v>
      </c>
      <c r="D19598" t="inlineStr">
        <is>
          <t>Hache du Chalœil; Amulette du Strigide; Bracelet du Piloztère; Alliance Gloursonne; Ceintacé; Casque du Chalœil; Voile d'encre; Bottes du Strigide; Dofus Pourpre; Dofus Turquoise; Temporiseur majeur; Vigoureux majeur; Nomade; Remueur; Dragodinde en armure</t>
        </is>
      </c>
    </row>
    <row r="19599">
      <c r="A19599" t="inlineStr">
        <is>
          <t>Stuff 1</t>
        </is>
      </c>
      <c r="B19599">
        <f>HYPERLINK("https://www.dofusbook.net/fr/equipement/1845010-stuff-1/objets", "link")</f>
        <v/>
      </c>
      <c r="C19599" t="n">
        <v>0</v>
      </c>
      <c r="D19599" t="inlineStr">
        <is>
          <t>Arc Hétype; Collier de la Dame du Hasard; Alliance Gloursonne; Anneau Rifique; Poulpagne; Casquette de Meno; Voile d'encre; Bottes de Meno</t>
        </is>
      </c>
    </row>
    <row r="19600">
      <c r="A19600" t="inlineStr">
        <is>
          <t>Stuff 2</t>
        </is>
      </c>
      <c r="B19600">
        <f>HYPERLINK("https://www.dofusbook.net/fr/equipement/1845005-stuff-2/objets", "link")</f>
        <v/>
      </c>
      <c r="C19600" t="n">
        <v>0</v>
      </c>
      <c r="D19600" t="inlineStr">
        <is>
          <t>Rapière aux Glyphes; Collier de la Dame du Hasard; Bracelet des Fonds marins; Alliance Gloursonne; Sangle Ouare; Kidibonnet; Voile d'encre; Bottes de la Dame du Hasard; Dofus Pourpre; Miraculé majeur; Remueur; Chanceux majeur; Vigoureux majeur; Carapace Terre majeur; Croum</t>
        </is>
      </c>
    </row>
    <row r="19601">
      <c r="A19601" t="inlineStr">
        <is>
          <t>Stuff 1</t>
        </is>
      </c>
      <c r="B19601">
        <f>HYPERLINK("https://www.dofusbook.net/fr/equipement/1844986-stuff-1/objets", "link")</f>
        <v/>
      </c>
      <c r="C19601" t="n">
        <v>0</v>
      </c>
      <c r="D19601" t="inlineStr">
        <is>
          <t>Dagoulinantes; Amulette de Shokkoth; Alliance Gloursonne; Bracelet des Fonds marins; Poulpagne; Kidibonnet; Cape du Sinistrofu; Bottes du Sinistrofu; Dofus Pourpre; Chanceux majeur; Carapace Eau majeur; Vigoureux majeur; Nomade; Miraculé majeur; Dragodinde en armure</t>
        </is>
      </c>
    </row>
    <row r="19602">
      <c r="A19602" t="inlineStr">
        <is>
          <t>Stuff 1</t>
        </is>
      </c>
      <c r="B19602">
        <f>HYPERLINK("https://www.dofusbook.net/fr/equipement/1845018-stuff-1/objets", "link")</f>
        <v/>
      </c>
      <c r="C19602" t="n">
        <v>0</v>
      </c>
      <c r="D19602" t="inlineStr">
        <is>
          <t>Arc Hétype; Collier de la Dame du Hasard; Bague Gloursonne; Chevalière du Roi Joueur; Ceinture Hanium; Couronne du Roi Joueur; Voile d'encre; Pataugastrique; Miraculé majeur; Remueur; Érudit majeur; Temporiseur majeur; Carapace Terre majeur; Nomade; Croum</t>
        </is>
      </c>
    </row>
    <row r="19603">
      <c r="A19603" t="inlineStr">
        <is>
          <t>Stuff 1</t>
        </is>
      </c>
      <c r="B19603">
        <f>HYPERLINK("https://www.dofusbook.net/fr/equipement/1845013-stuff-1/objets", "link")</f>
        <v/>
      </c>
      <c r="C19603" t="n">
        <v>0</v>
      </c>
      <c r="D19603" t="inlineStr">
        <is>
          <t>Dagues Érhy; Amulette du Strigide; Bague Gloursonne; Chevalière du Roi Joueur; Ceintacé; Chapeau de Gein; Voile d'encre; Bottes du Strigide; Dofus Pourpre; Dofus des Glaces; Dofus Turquoise; Nomade; Remueur; Vigoureux majeur; Dragodinde en armure</t>
        </is>
      </c>
    </row>
    <row r="19604">
      <c r="A19604" t="inlineStr">
        <is>
          <t>Stuff 2</t>
        </is>
      </c>
      <c r="B19604">
        <f>HYPERLINK("https://www.dofusbook.net/fr/equipement/1845008-stuff-2/objets", "link")</f>
        <v/>
      </c>
      <c r="C19604" t="n">
        <v>0</v>
      </c>
      <c r="D19604" t="inlineStr">
        <is>
          <t>Dagues de Srambad; Amulette du Strigide; Grésilanneau; Alliance Gloursonne; Ceinture de la Reine des Voleurs; Coiffe de la Reine des Voleurs; Voile d'encre; Pataugastrique; Dolmanax; Dofus des Glaces; Dofus Pourpre; Nomade; Étourdisseur majeur; Remueur; Dragodinde en armure</t>
        </is>
      </c>
    </row>
    <row r="19605">
      <c r="A19605" t="inlineStr">
        <is>
          <t>Stuff 3</t>
        </is>
      </c>
      <c r="B19605">
        <f>HYPERLINK("https://www.dofusbook.net/fr/equipement/1845003-stuff-3/objets", "link")</f>
        <v/>
      </c>
      <c r="C19605" t="n">
        <v>0</v>
      </c>
      <c r="D19605" t="inlineStr">
        <is>
          <t>Pelle de la Cour Sombre; Collier du Valet Veinard; Gant du Valet Veinard; Alliance Gloursonne; Menoture; Couronne d'Allister; Cape Indescriptible; Palmes Trithons; Dolmanax; Nomade; Miraculé majeur; Remueur; Carapace Air majeur; Cascadeur majeur; Dragodinde en armure</t>
        </is>
      </c>
    </row>
    <row r="19606">
      <c r="A19606" t="inlineStr">
        <is>
          <t>Stuff 1</t>
        </is>
      </c>
      <c r="B19606">
        <f>HYPERLINK("https://www.dofusbook.net/fr/equipement/1844998-stuff-1/objets", "link")</f>
        <v/>
      </c>
      <c r="C19606" t="n">
        <v>0</v>
      </c>
      <c r="D19606" t="inlineStr">
        <is>
          <t>Dagues Érhy; Amulette du Strigide; Gant du Valet Veinard; Alliance Gloursonne; Ceinture du Strigide; Couronne d'Allister; Cape du Valet Veinard; Bottes du Strigide</t>
        </is>
      </c>
    </row>
    <row r="19607">
      <c r="A19607" t="inlineStr">
        <is>
          <t>Stuff 2</t>
        </is>
      </c>
      <c r="B19607">
        <f>HYPERLINK("https://www.dofusbook.net/fr/equipement/1845030-stuff-2/objets", "link")</f>
        <v/>
      </c>
      <c r="C19607" t="n">
        <v>0</v>
      </c>
      <c r="D19607" t="inlineStr">
        <is>
          <t>Arc Hétype; Collier de la Dame du Hasard; Chevalière du Roi Joueur; Alliance Gloursonne; Sangle Ouare; Couronne du Roi Joueur; Cape de la Dame du Hasard; Bottes de la Dame du Hasard; Dofus Turquoise; Dofus Ocre; Dofus Émeraude; Vagabond majeur; Croum</t>
        </is>
      </c>
    </row>
    <row r="19608">
      <c r="A19608" t="inlineStr">
        <is>
          <t>Stuff 2</t>
        </is>
      </c>
      <c r="B19608">
        <f>HYPERLINK("https://www.dofusbook.net/fr/equipement/1844993-stuff-2/objets", "link")</f>
        <v/>
      </c>
      <c r="C19608" t="n">
        <v>0</v>
      </c>
      <c r="D19608" t="inlineStr">
        <is>
          <t>Baguette de Malléfisk; Anneau Rifique; Alliance Gloursonne; Menoture; Voile d'encre; Palmes Trithons</t>
        </is>
      </c>
    </row>
    <row r="19609">
      <c r="A19609" t="inlineStr">
        <is>
          <t>Stuff 3</t>
        </is>
      </c>
      <c r="B19609">
        <f>HYPERLINK("https://www.dofusbook.net/fr/equipement/1845025-stuff-3/objets", "link")</f>
        <v/>
      </c>
      <c r="C19609" t="n">
        <v>0</v>
      </c>
      <c r="D19609" t="inlineStr">
        <is>
          <t>Alliance Gloursonne; Chapeau Lisson; Voilamibe; Nomade; Remueur; Dragodinde en armure</t>
        </is>
      </c>
    </row>
    <row r="19610">
      <c r="A19610" t="inlineStr">
        <is>
          <t>Stuff 3</t>
        </is>
      </c>
      <c r="B19610">
        <f>HYPERLINK("https://www.dofusbook.net/fr/equipement/1844988-stuff-3/objets", "link")</f>
        <v/>
      </c>
      <c r="C19610" t="n">
        <v>0</v>
      </c>
      <c r="D19610" t="inlineStr">
        <is>
          <t>Dagues Érhy; Collier du Valet Veinard; Gant du Valet Veinard; Alliance Gloursonne; Menoture; Couronne d'Allister; Cape de Klime; Palmes Trithons; Dofus des Glaces; Dofus Pourpre; Vigoureux majeur; Nomade; Miraculé majeur; Remueur; Dragodinde en armure</t>
        </is>
      </c>
    </row>
    <row r="19611">
      <c r="A19611" t="inlineStr">
        <is>
          <t>Stuff 3</t>
        </is>
      </c>
      <c r="B19611">
        <f>HYPERLINK("https://www.dofusbook.net/fr/equipement/1845020-stuff-3/objets", "link")</f>
        <v/>
      </c>
      <c r="C19611" t="n">
        <v>0</v>
      </c>
      <c r="D19611" t="inlineStr">
        <is>
          <t>Arc Hétype; Collier de la Dame du Hasard; Bague Gloursonne; Chevalière du Roi Joueur; Ceinture de Gein; Couronne du Roi Joueur; Voile d'encre; Pataugastrique; Dofus Pourpre; Érudit majeur; Temporiseur majeur; Nomade; Miraculé majeur; Remueur; Croum</t>
        </is>
      </c>
    </row>
    <row r="19612">
      <c r="A19612" t="inlineStr">
        <is>
          <t>Stuff 1</t>
        </is>
      </c>
      <c r="B19612">
        <f>HYPERLINK("https://www.dofusbook.net/fr/equipement/1844983-stuff-1/objets", "link")</f>
        <v/>
      </c>
      <c r="C19612" t="n">
        <v>0</v>
      </c>
      <c r="D19612" t="inlineStr">
        <is>
          <t>Dagues Érhy; Collier du Valet Veinard; Alliance Gloursonne; Gant du Valet Veinard; Bouclier du Stalak; Menoture; Couronne d'Allister; Cape du Valet Veinard; Palmes Trithons; Dofus Abyssal; Muldo Ebène et Orchidée</t>
        </is>
      </c>
    </row>
    <row r="19613">
      <c r="A19613" t="inlineStr">
        <is>
          <t>Stuff 3</t>
        </is>
      </c>
      <c r="B19613">
        <f>HYPERLINK("https://www.dofusbook.net/fr/equipement/1845015-stuff-3/objets", "link")</f>
        <v/>
      </c>
      <c r="C19613" t="n">
        <v>0</v>
      </c>
      <c r="D19613" t="inlineStr">
        <is>
          <t>Hache du Chalœil; Amulette du Strigide; Bracelet du Piloztère; Alliance Gloursonne; Ceintacé; Casque du Chalœil; Voile d'encre; Bottes du Strigide; Dofus Turquoise; Dofus Pourpre; Remueur; Temporiseur majeur; Vigoureux majeur; Nomade; Dragodinde en armure</t>
        </is>
      </c>
    </row>
    <row r="19614">
      <c r="A19614" t="inlineStr">
        <is>
          <t>Stuff 1</t>
        </is>
      </c>
      <c r="B19614">
        <f>HYPERLINK("https://www.dofusbook.net/fr/equipement/1845010-stuff-1/objets", "link")</f>
        <v/>
      </c>
      <c r="C19614" t="n">
        <v>0</v>
      </c>
      <c r="D19614" t="inlineStr">
        <is>
          <t>Arc Hétype; Collier de la Dame du Hasard; Alliance Gloursonne; Anneau Rifique; Poulpagne; Casquette de Meno; Voile d'encre; Bottes de Meno</t>
        </is>
      </c>
    </row>
    <row r="19615">
      <c r="A19615" t="inlineStr">
        <is>
          <t>Stuff 2</t>
        </is>
      </c>
      <c r="B19615">
        <f>HYPERLINK("https://www.dofusbook.net/fr/equipement/1845005-stuff-2/objets", "link")</f>
        <v/>
      </c>
      <c r="C19615" t="n">
        <v>0</v>
      </c>
      <c r="D19615" t="inlineStr">
        <is>
          <t>Rapière aux Glyphes; Collier de la Dame du Hasard; Alliance Gloursonne; Bracelet des Fonds marins; Sangle Ouare; Kidibonnet; Voile d'encre; Bottes de la Dame du Hasard; Dofus Pourpre; Carapace Terre majeur; Miraculé majeur; Remueur; Chanceux majeur; Vigoureux majeur; Croum</t>
        </is>
      </c>
    </row>
    <row r="19616">
      <c r="A19616" t="inlineStr">
        <is>
          <t>Stuff 3</t>
        </is>
      </c>
      <c r="B19616">
        <f>HYPERLINK("https://www.dofusbook.net/fr/equipement/1845000-stuff-3/objets", "link")</f>
        <v/>
      </c>
      <c r="C19616" t="n">
        <v>0</v>
      </c>
      <c r="D19616" t="inlineStr">
        <is>
          <t>Baguette de Malléfisk; Pendentif mignon de Koutoulou; Anneau Rifique; Alliance Gloursonne; Menoture; Couronne d'Allister; Voile d'encre; Palmes Trithons; Dolmanax; Cascadeur majeur; Remueur; Miraculé majeur; Observateur</t>
        </is>
      </c>
    </row>
    <row r="19617">
      <c r="A19617" t="inlineStr">
        <is>
          <t>Stuff 1</t>
        </is>
      </c>
      <c r="B19617">
        <f>HYPERLINK("https://www.dofusbook.net/fr/equipement/1845032-stuff-1/objets", "link")</f>
        <v/>
      </c>
      <c r="C19617" t="n">
        <v>1</v>
      </c>
      <c r="D19617" t="inlineStr">
        <is>
          <t>Sabres d'Atcham; Amulette du Strigide; Anneau de Padgref; Alliance Gloursonne; Ceinture du Strigide; Coiffe de Padgref; Cape d'Atcham; Getas de Padgref; Dofus Turquoise; Phorror</t>
        </is>
      </c>
    </row>
    <row r="19618">
      <c r="A19618" t="inlineStr">
        <is>
          <t>Stuff 1</t>
        </is>
      </c>
      <c r="B19618">
        <f>HYPERLINK("https://www.dofusbook.net/fr/equipement/1844995-stuff-1/objets", "link")</f>
        <v/>
      </c>
      <c r="C19618" t="n">
        <v>0</v>
      </c>
      <c r="D19618" t="inlineStr">
        <is>
          <t>Pelle de la Cour Sombre; Collier du Valet Veinard; Alliance Gloursonne; Gant du Valet Veinard; Menoture; Couronne d'Allister; Cape de Klime; Palmes Trithons; Nomade; Cascadeur majeur; Miraculé majeur; Remueur; Fonceur majeur; Dragodinde en armure</t>
        </is>
      </c>
    </row>
    <row r="19619">
      <c r="A19619" t="inlineStr">
        <is>
          <t>Stuff 2</t>
        </is>
      </c>
      <c r="B19619">
        <f>HYPERLINK("https://www.dofusbook.net/fr/equipement/1845027-stuff-2/objets", "link")</f>
        <v/>
      </c>
      <c r="C19619" t="n">
        <v>0</v>
      </c>
      <c r="D19619" t="inlineStr">
        <is>
          <t>Dagues Érhy; Collier du Valet Veinard; Anneau Raille; Gant du Valet Veinard; Ceinture du Barbétoal; Couronne d'Allister; Cape du Kamasterisk; Baleinabottes; Dofus des Glaces; Nomade; Miraculé majeur; Remueur; Fonceur majeur; Cascadeur majeur; Dragodinde en armure</t>
        </is>
      </c>
    </row>
    <row r="19620">
      <c r="A19620" t="inlineStr">
        <is>
          <t>Stuff 2</t>
        </is>
      </c>
      <c r="B19620">
        <f>HYPERLINK("https://www.dofusbook.net/fr/equipement/1844990-stuff-2/objets", "link")</f>
        <v/>
      </c>
      <c r="C19620" t="n">
        <v>0</v>
      </c>
      <c r="D19620" t="inlineStr">
        <is>
          <t>Dagoulinantes; Collier du Valet Veinard; Gant du Valet Veinard; Alliance Gloursonne; Menoture; Couronne d'Allister; Dofusteuse; Palmes Trithons; Dofus Pourpre; Vigoureux majeur; Remueur; Dragodinde à Plumes</t>
        </is>
      </c>
    </row>
    <row r="19621">
      <c r="A19621" t="inlineStr">
        <is>
          <t>Stuff 1</t>
        </is>
      </c>
      <c r="B19621">
        <f>HYPERLINK("https://www.dofusbook.net/fr/equipement/1844983-stuff-1/objets", "link")</f>
        <v/>
      </c>
      <c r="C19621" t="n">
        <v>0</v>
      </c>
      <c r="D19621" t="inlineStr">
        <is>
          <t>Dagues Érhy; Collier du Valet Veinard; Alliance Gloursonne; Gant du Valet Veinard; Bouclier du Stalak; Menoture; Couronne d'Allister; Cape du Valet Veinard; Palmes Trithons; Dofus Abyssal; Muldo Ebène et Orchidée</t>
        </is>
      </c>
    </row>
    <row r="19622">
      <c r="A19622" t="inlineStr">
        <is>
          <t>Stuff 3</t>
        </is>
      </c>
      <c r="B19622">
        <f>HYPERLINK("https://www.dofusbook.net/fr/equipement/1845015-stuff-3/objets", "link")</f>
        <v/>
      </c>
      <c r="C19622" t="n">
        <v>0</v>
      </c>
      <c r="D19622" t="inlineStr">
        <is>
          <t>Hache du Chalœil; Amulette du Strigide; Bracelet du Piloztère; Alliance Gloursonne; Ceintacé; Casque du Chalœil; Voile d'encre; Bottes du Strigide; Dofus Pourpre; Dofus Turquoise; Temporiseur majeur; Vigoureux majeur; Nomade; Remueur; Dragodinde en armure</t>
        </is>
      </c>
    </row>
    <row r="19623">
      <c r="A19623" t="inlineStr">
        <is>
          <t>Stuff 1</t>
        </is>
      </c>
      <c r="B19623">
        <f>HYPERLINK("https://www.dofusbook.net/fr/equipement/1845010-stuff-1/objets", "link")</f>
        <v/>
      </c>
      <c r="C19623" t="n">
        <v>0</v>
      </c>
      <c r="D19623" t="inlineStr">
        <is>
          <t>Arc Hétype; Collier de la Dame du Hasard; Alliance Gloursonne; Anneau Rifique; Poulpagne; Casquette de Meno; Voile d'encre; Bottes de Meno</t>
        </is>
      </c>
    </row>
    <row r="19624">
      <c r="A19624" t="inlineStr">
        <is>
          <t>Stuff 2</t>
        </is>
      </c>
      <c r="B19624">
        <f>HYPERLINK("https://www.dofusbook.net/fr/equipement/1845005-stuff-2/objets", "link")</f>
        <v/>
      </c>
      <c r="C19624" t="n">
        <v>0</v>
      </c>
      <c r="D19624" t="inlineStr">
        <is>
          <t>Rapière aux Glyphes; Collier de la Dame du Hasard; Bracelet des Fonds marins; Alliance Gloursonne; Sangle Ouare; Kidibonnet; Voile d'encre; Bottes de la Dame du Hasard; Dofus Pourpre; Chanceux majeur; Vigoureux majeur; Carapace Terre majeur; Miraculé majeur; Remueur; Croum</t>
        </is>
      </c>
    </row>
    <row r="19625">
      <c r="A19625" t="inlineStr">
        <is>
          <t>Stuff 3</t>
        </is>
      </c>
      <c r="B19625">
        <f>HYPERLINK("https://www.dofusbook.net/fr/equipement/1845000-stuff-3/objets", "link")</f>
        <v/>
      </c>
      <c r="C19625" t="n">
        <v>0</v>
      </c>
      <c r="D19625" t="inlineStr">
        <is>
          <t>Baguette de Malléfisk; Pendentif mignon de Koutoulou; Alliance Gloursonne; Anneau Rifique; Menoture; Couronne d'Allister; Voile d'encre; Palmes Trithons; Dolmanax; Observateur; Cascadeur majeur; Remueur; Miraculé majeur</t>
        </is>
      </c>
    </row>
    <row r="19626">
      <c r="A19626" t="inlineStr">
        <is>
          <t>Stuff 1</t>
        </is>
      </c>
      <c r="B19626">
        <f>HYPERLINK("https://www.dofusbook.net/fr/equipement/1845032-stuff-1/objets", "link")</f>
        <v/>
      </c>
      <c r="C19626" t="n">
        <v>1</v>
      </c>
      <c r="D19626" t="inlineStr">
        <is>
          <t>Sabres d'Atcham; Amulette du Strigide; Anneau de Padgref; Alliance Gloursonne; Ceinture du Strigide; Coiffe de Padgref; Cape d'Atcham; Getas de Padgref; Dofus Turquoise; Phorror</t>
        </is>
      </c>
    </row>
    <row r="19627">
      <c r="A19627" t="inlineStr">
        <is>
          <t>Stuff 1</t>
        </is>
      </c>
      <c r="B19627">
        <f>HYPERLINK("https://www.dofusbook.net/fr/equipement/1844995-stuff-1/objets", "link")</f>
        <v/>
      </c>
      <c r="C19627" t="n">
        <v>0</v>
      </c>
      <c r="D19627" t="inlineStr">
        <is>
          <t>Pelle de la Cour Sombre; Collier du Valet Veinard; Alliance Gloursonne; Gant du Valet Veinard; Menoture; Couronne d'Allister; Cape de Klime; Palmes Trithons; Miraculé majeur; Remueur; Fonceur majeur; Nomade; Cascadeur majeur; Dragodinde en armure</t>
        </is>
      </c>
    </row>
    <row r="19628">
      <c r="A19628" t="inlineStr">
        <is>
          <t>Stuff 2</t>
        </is>
      </c>
      <c r="B19628">
        <f>HYPERLINK("https://www.dofusbook.net/fr/equipement/1845027-stuff-2/objets", "link")</f>
        <v/>
      </c>
      <c r="C19628" t="n">
        <v>0</v>
      </c>
      <c r="D19628" t="inlineStr">
        <is>
          <t>Dagues Érhy; Collier du Valet Veinard; Anneau Raille; Gant du Valet Veinard; Ceinture du Barbétoal; Couronne d'Allister; Cape du Kamasterisk; Baleinabottes; Dofus des Glaces; Miraculé majeur; Remueur; Fonceur majeur; Cascadeur majeur; Nomade; Dragodinde en armure</t>
        </is>
      </c>
    </row>
    <row r="19629">
      <c r="A19629" t="inlineStr">
        <is>
          <t>Stuff 2</t>
        </is>
      </c>
      <c r="B19629">
        <f>HYPERLINK("https://www.dofusbook.net/fr/equipement/1844990-stuff-2/objets", "link")</f>
        <v/>
      </c>
      <c r="C19629" t="n">
        <v>0</v>
      </c>
      <c r="D19629" t="inlineStr">
        <is>
          <t>Dagoulinantes; Collier du Valet Veinard; Alliance Gloursonne; Gant du Valet Veinard; Menoture; Couronne d'Allister; Dofusteuse; Palmes Trithons; Dofus Pourpre; Remueur; Vigoureux majeur; Dragodinde à Plumes</t>
        </is>
      </c>
    </row>
    <row r="19630">
      <c r="A19630" t="inlineStr">
        <is>
          <t>Stuff 2</t>
        </is>
      </c>
      <c r="B19630">
        <f>HYPERLINK("https://www.dofusbook.net/fr/equipement/1845022-stuff-2/objets", "link")</f>
        <v/>
      </c>
      <c r="C19630" t="n">
        <v>0</v>
      </c>
      <c r="D19630" t="inlineStr">
        <is>
          <t>Ceinture Séculaire; Pataugastrique</t>
        </is>
      </c>
    </row>
    <row r="19631">
      <c r="A19631" t="inlineStr">
        <is>
          <t>hmm</t>
        </is>
      </c>
      <c r="B19631">
        <f>HYPERLINK("https://www.dofusbook.net/fr/equipement/2460350-hmm/objets", "link")</f>
        <v/>
      </c>
      <c r="C19631" t="n">
        <v>0</v>
      </c>
      <c r="D19631" t="inlineStr"/>
    </row>
    <row r="19632">
      <c r="A19632" t="inlineStr">
        <is>
          <t>Bbbb</t>
        </is>
      </c>
      <c r="B19632">
        <f>HYPERLINK("https://www.dofusbook.net/fr/equipement/2427426-bbbb/objets", "link")</f>
        <v/>
      </c>
      <c r="C19632" t="n">
        <v>0</v>
      </c>
      <c r="D19632" t="inlineStr">
        <is>
          <t>Casque d'Ilyzaelle</t>
        </is>
      </c>
    </row>
    <row r="19633">
      <c r="A19633" t="inlineStr">
        <is>
          <t>B.B. B.B.</t>
        </is>
      </c>
      <c r="B19633">
        <f>HYPERLINK("https://www.dofusbook.net/fr/equipement/1410409-b-b--b-b-/objets", "link")</f>
        <v/>
      </c>
      <c r="C19633" t="n">
        <v>0</v>
      </c>
      <c r="D19633" t="inlineStr"/>
    </row>
    <row r="19634">
      <c r="A19634" t="inlineStr">
        <is>
          <t>uuu</t>
        </is>
      </c>
      <c r="B19634">
        <f>HYPERLINK("https://www.dofusbook.net/fr/equipement/920848-uuu/objets", "link")</f>
        <v/>
      </c>
      <c r="C19634" t="n">
        <v>0</v>
      </c>
      <c r="D19634" t="inlineStr">
        <is>
          <t>Anneau du Comte Harebourg; Cape de Mantaze</t>
        </is>
      </c>
    </row>
    <row r="19635">
      <c r="A19635" t="inlineStr">
        <is>
          <t>lkjlk</t>
        </is>
      </c>
      <c r="B19635">
        <f>HYPERLINK("https://www.dofusbook.net/fr/equipement/560573-lkjlk/objets", "link")</f>
        <v/>
      </c>
      <c r="C19635" t="n">
        <v>0</v>
      </c>
      <c r="D19635" t="inlineStr">
        <is>
          <t>Sabres d'Atcham; Anneau du Cycloïde; Cadran de Feu</t>
        </is>
      </c>
    </row>
    <row r="19636">
      <c r="A19636" t="inlineStr">
        <is>
          <t>Stuff 1</t>
        </is>
      </c>
      <c r="B19636">
        <f>HYPERLINK("https://www.dofusbook.net/fr/equipement/560544-stuff-1/objets", "link")</f>
        <v/>
      </c>
      <c r="C19636" t="n">
        <v>0</v>
      </c>
      <c r="D19636" t="inlineStr">
        <is>
          <t>Plumeau Bil; Amulette de Nileza; Bague Gloursonne; Ceinture de Vortex; Cagoule de Vortex; Cape de Nileza; Sabots de Vortex; Dofus des Glaces; Dofus Turquoise; Dofus Ocre; Savant majeur; Paralyseur majeur; Engourdisseur majeur; Dragodinde Prune et Emeraude</t>
        </is>
      </c>
    </row>
    <row r="19637">
      <c r="A19637" t="inlineStr">
        <is>
          <t>Stuff 1</t>
        </is>
      </c>
      <c r="B19637">
        <f>HYPERLINK("https://www.dofusbook.net/fr/equipement/560539-stuff-1/objets", "link")</f>
        <v/>
      </c>
      <c r="C19637" t="n">
        <v>0</v>
      </c>
      <c r="D19637" t="inlineStr">
        <is>
          <t>Amulette du Strigide; Ceinture du Strigide; Bottes du Strigide; Vigoureux majeur</t>
        </is>
      </c>
    </row>
    <row r="19638">
      <c r="A19638" t="inlineStr">
        <is>
          <t>Stuff 3</t>
        </is>
      </c>
      <c r="B19638">
        <f>HYPERLINK("https://www.dofusbook.net/fr/equipement/560546-stuff-3/objets", "link")</f>
        <v/>
      </c>
      <c r="C19638" t="n">
        <v>0</v>
      </c>
      <c r="D19638" t="inlineStr">
        <is>
          <t>Baguette Hernelle; Amulette Séculaire; Anneau de Padgref; Kralano; Ceinture Séculaire; Coiffe Séculaire; Cape Lati; Bottes Dogues; Dofus Turquoise; Dofus des Glaces; Dofus Ocre; Savant majeur</t>
        </is>
      </c>
    </row>
    <row r="19639">
      <c r="A19639" t="inlineStr">
        <is>
          <t>Stuff 1</t>
        </is>
      </c>
      <c r="B19639">
        <f>HYPERLINK("https://www.dofusbook.net/fr/equipement/560541-stuff-1/objets", "link")</f>
        <v/>
      </c>
      <c r="C19639" t="n">
        <v>4</v>
      </c>
      <c r="D19639" t="inlineStr">
        <is>
          <t>Youyettes; Kralamansion; Alliance de Missiz Frizz; Anneau de Brouce; Ceinture de Brouce; Casque de Missiz Frizz; Cape au Logis; Bottes de Brouce; Dofus Turquoise; Acrobate majeur; Forcené majeur; Furibond majeur; Saccageur Terre majeur; Turbulent; Dragodinde Emeraude et Rousse</t>
        </is>
      </c>
    </row>
    <row r="19640">
      <c r="A19640" t="inlineStr">
        <is>
          <t>Stuff 3</t>
        </is>
      </c>
      <c r="B19640">
        <f>HYPERLINK("https://www.dofusbook.net/fr/equipement/560543-stuff-3/objets", "link")</f>
        <v/>
      </c>
      <c r="C19640" t="n">
        <v>0</v>
      </c>
      <c r="D19640" t="inlineStr">
        <is>
          <t>Dagues Érhy; Amulette du Strigide; Alliance de Missiz Frizz; Bague Gloursonne; Ceinture du Strigide; Casque de Missiz Frizz; Cape du Professeur Xa; Bottes du Strigide; Dofus Turquoise</t>
        </is>
      </c>
    </row>
    <row r="19641">
      <c r="A19641" t="inlineStr">
        <is>
          <t>Stuff 2</t>
        </is>
      </c>
      <c r="B19641">
        <f>HYPERLINK("https://www.dofusbook.net/fr/equipement/560545-stuff-2/objets", "link")</f>
        <v/>
      </c>
      <c r="C19641" t="n">
        <v>0</v>
      </c>
      <c r="D19641" t="inlineStr">
        <is>
          <t>Amulette de Nileza; Bague Gloursonne; Anneau de Padgref; Ceinture de Vortex; Cagoule de Vortex; Cape de Nileza; Sabots de Vortex; Dolmanax; Dofus des Glaces; Dofus Turquoise; Dofus Ocre; Paralyseur majeur; Engourdisseur majeur; Dragodinde Prune et Emeraude</t>
        </is>
      </c>
    </row>
    <row r="19642">
      <c r="A19642" t="inlineStr">
        <is>
          <t>Stuff 1</t>
        </is>
      </c>
      <c r="B19642">
        <f>HYPERLINK("https://www.dofusbook.net/fr/equipement/560540-stuff-1/objets", "link")</f>
        <v/>
      </c>
      <c r="C19642" t="n">
        <v>0</v>
      </c>
      <c r="D19642" t="inlineStr">
        <is>
          <t>Hache Ériphe; Amulette du Strigide; Anneau des égarés; Anneau de la Fuji Givrefoux; Ceinture du Strigide; Coiffe de la Fuji Givrefoux; Cape de la Fuji Givrefoux; Bottes du Strigide; Dofus Émeraude; Dofus Pourpre; Dofus Turquoise; Dofus des Glaces; Dofus Ocre; Puissant majeur; Dragodinde en armure</t>
        </is>
      </c>
    </row>
    <row r="19643">
      <c r="A19643" t="inlineStr">
        <is>
          <t>Stuff 1</t>
        </is>
      </c>
      <c r="B19643">
        <f>HYPERLINK("https://www.dofusbook.net/fr/equipement/560547-stuff-1/objets", "link")</f>
        <v/>
      </c>
      <c r="C19643" t="n">
        <v>0</v>
      </c>
      <c r="D19643" t="inlineStr">
        <is>
          <t>Dagues Érhy; Amulette du Strigide; Bracelet du Piloztère; Alliance du Lévitrof; Ceinture du Strigide; Coiffe du Lévitrof; Voile d'encre; Bottes du Lévitrof; Dolmanax; Dofus Turquoise; Dofus des Glaces; Dofus Ocre; Dofus Pourpre; Puissant majeur; Dragodinde Prune et Emeraude</t>
        </is>
      </c>
    </row>
    <row r="19644">
      <c r="A19644" t="inlineStr">
        <is>
          <t>Stuff 2</t>
        </is>
      </c>
      <c r="B19644">
        <f>HYPERLINK("https://www.dofusbook.net/fr/equipement/560542-stuff-2/objets", "link")</f>
        <v/>
      </c>
      <c r="C19644" t="n">
        <v>0</v>
      </c>
      <c r="D19644" t="inlineStr">
        <is>
          <t>Epée Toche; Amulette de Gein; Anneau du Comte Harebourg; Bague Gloursonne; Ceinture de Gein; Chapeau de Gein; Cape du Professeur Xa; Bottes du Cycloïde; Dofus Turquoise; Dofus Pourpre; Dofus Émeraude; Dofus Ocre; Dolmanax; Dofus des Glaces; Kramkram</t>
        </is>
      </c>
    </row>
    <row r="19645">
      <c r="A19645" t="inlineStr">
        <is>
          <t>Air eau</t>
        </is>
      </c>
      <c r="B19645">
        <f>HYPERLINK("https://www.dofusbook.net/fr/equipement/5795135-air-eau/objets", "link")</f>
        <v/>
      </c>
      <c r="C19645" t="n">
        <v>1</v>
      </c>
      <c r="D19645" t="inlineStr">
        <is>
          <t>Arc de Koutoulou; Amulette Voldelor; Alliance Gloursonne; Anneau Volkorne; Quatre-feuilles; Ceinture Voldelor; Casque Volkorne; Cape d'Atcham; Bottes Voldelor; Dofus Ocre; Dofus Ébène; Dofus Vulbis; Dofus Abyssal; Dokoko; Dofus Ivoire; Mini Wa</t>
        </is>
      </c>
    </row>
    <row r="19646">
      <c r="A19646" t="inlineStr">
        <is>
          <t>Feu</t>
        </is>
      </c>
      <c r="B19646">
        <f>HYPERLINK("https://www.dofusbook.net/fr/equipement/5795391-feu/objets", "link")</f>
        <v/>
      </c>
      <c r="C19646" t="n">
        <v>0</v>
      </c>
      <c r="D19646" t="inlineStr">
        <is>
          <t>Arc corrompu; Amulette de Nileza; Anneau Rifique; Anneau Tique; Bouclier du Stalak; Croture; Heaume Oplate; Cape de Nileza; Bottes Innommables; Dokoko; Dofus Ivoire; Dofus Ocre; Dofus Ébène; Dofus Vulbis; Dofus Abyssal; Bisouglours</t>
        </is>
      </c>
    </row>
    <row r="19647">
      <c r="A19647" t="inlineStr">
        <is>
          <t>Air 12 pa</t>
        </is>
      </c>
      <c r="B19647">
        <f>HYPERLINK("https://www.dofusbook.net/fr/equipement/5888767-air-12-pa/objets", "link")</f>
        <v/>
      </c>
      <c r="C19647" t="n">
        <v>0</v>
      </c>
      <c r="D19647" t="inlineStr">
        <is>
          <t>Manthache; Collier du Valet Veinard; Alliance Gloursonne; Gant du Valet Veinard; Bouclier du Stalak; Ceinture Volkorne; Casque Volkorne; Cape du Valet Veinard; Palmes Trithons; Dofus Ocre; Dofus Ébène; Dofus Vulbis; Dofus Abyssal; Dokoko; Dofus Ivoire; Fëanor</t>
        </is>
      </c>
    </row>
    <row r="19648">
      <c r="A19648" t="inlineStr">
        <is>
          <t>feu 12 pa</t>
        </is>
      </c>
      <c r="B19648">
        <f>HYPERLINK("https://www.dofusbook.net/fr/equipement/5888706-feu-12-pa/objets", "link")</f>
        <v/>
      </c>
      <c r="C19648" t="n">
        <v>0</v>
      </c>
      <c r="D19648" t="inlineStr">
        <is>
          <t>Arc corrompu; Amulette de Nileza; Anneauræus; Chevalière du Roi Joueur; Bouclier du Stalak; Croture; Couronne du Roi Joueur; Cape de Nileza; Bottes du Roi Joueur; Dokoko; Dofus Ivoire; Dofus Ocre; Dofus Ébène; Dofus Vulbis; Dofus Abyssal; Fëanor</t>
        </is>
      </c>
    </row>
    <row r="19649">
      <c r="A19649" t="inlineStr">
        <is>
          <t>huper 2</t>
        </is>
      </c>
      <c r="B19649">
        <f>HYPERLINK("https://www.dofusbook.net/fr/equipement/5805596-huper-2/objets", "link")</f>
        <v/>
      </c>
      <c r="C19649" t="n">
        <v>0</v>
      </c>
      <c r="D19649" t="inlineStr">
        <is>
          <t>Massier; Amulette Volkorne; Bague Gloursonne; Chevalière du Roi Joueur; Droiture de Fallanster; Ceinture Volkorne; Couronne du Roi Joueur; Voile d'encre; Bottes du Roi Joueur; Dokoko; Dofus Ivoire; Dofus Ocre; Dofus Ébène; Dofus Abyssal; Dofus Vulbis; Kougnard</t>
        </is>
      </c>
    </row>
    <row r="19650">
      <c r="A19650" t="inlineStr">
        <is>
          <t>terre 12 pa</t>
        </is>
      </c>
      <c r="B19650">
        <f>HYPERLINK("https://www.dofusbook.net/fr/equipement/5888530-terre-12-pa/objets", "link")</f>
        <v/>
      </c>
      <c r="C19650" t="n">
        <v>1</v>
      </c>
      <c r="D19650" t="inlineStr">
        <is>
          <t>Arc du Chalœil; Amulette du Cœur Saignant; Chevalière du Roi Joueur; Anneau Volkorne; Quatre-feuilles; Ceinture Volkorne; Couronne du Roi Joueur; Cape du Cœur Saignant; Bottes du Cœur Saignant; Dofus Ocre; Dofus Ébène; Dofus Vulbis; Dofus Abyssal; Dokoko; Dofus Ivoire; Sakochère</t>
        </is>
      </c>
    </row>
    <row r="19651">
      <c r="A19651" t="inlineStr">
        <is>
          <t>eau ini</t>
        </is>
      </c>
      <c r="B19651">
        <f>HYPERLINK("https://www.dofusbook.net/fr/equipement/5876387-eau-ini/objets", "link")</f>
        <v/>
      </c>
      <c r="C19651" t="n">
        <v>0</v>
      </c>
      <c r="D19651" t="inlineStr">
        <is>
          <t>Dagoulinantes; Amulette de Shokkoth; Bracelet des Fonds marins; Anneau Volkorne; Bouclier du Stalak; Ceinture Volkorne; Masque des Fonds marins; Cape de Mantaze; Sandales des Fonds marins; Dokoko; Dofus Ivoire; Dofus Ocre; Dofus Ébène; Dofus Vulbis; Dofus Abyssal; Kougnard</t>
        </is>
      </c>
    </row>
    <row r="19652">
      <c r="A19652" t="inlineStr">
        <is>
          <t>Terre air</t>
        </is>
      </c>
      <c r="B19652">
        <f>HYPERLINK("https://www.dofusbook.net/fr/equipement/5847187-terre-air/objets", "link")</f>
        <v/>
      </c>
      <c r="C19652" t="n">
        <v>0</v>
      </c>
      <c r="D19652" t="inlineStr">
        <is>
          <t>Lance corrompue; Amulette du Kamasterisk; Bague Gloursonne; Alliance Gloursonne; Droiture de Fallanster; Ceinture de la Reine des Voleurs; Coiffe de la Reine des Voleurs; Cape du Kamasterisk; Bottes du Kamasterisk; Dofus Ocre; Dofus Ébène; Dofus Vulbis; Dofus Abyssal; Dokoko; Dofus Ivoire; Mékrabe</t>
        </is>
      </c>
    </row>
    <row r="19653">
      <c r="A19653" t="inlineStr">
        <is>
          <t>terre anti steam</t>
        </is>
      </c>
      <c r="B19653">
        <f>HYPERLINK("https://www.dofusbook.net/fr/equipement/5818251-terre-anti-steam/objets", "link")</f>
        <v/>
      </c>
      <c r="C19653" t="n">
        <v>1</v>
      </c>
      <c r="D19653" t="inlineStr">
        <is>
          <t>Arc du Chalœil; Collier de Tourthon; Anneau Crustique; Anneau de Brouce; Droiture de Fallanster; Ceinture de la Reine des Voleurs; Coiffe de la Reine des Voleurs; Voile d'encre; Baleinabottes; Dokoko; Dofus Ivoire; Dofus Ocre; Dofus Ébène; Dofus Vulbis; Dofus Abyssal; Bouftor</t>
        </is>
      </c>
    </row>
    <row r="19654">
      <c r="A19654" t="inlineStr">
        <is>
          <t>Air</t>
        </is>
      </c>
      <c r="B19654">
        <f>HYPERLINK("https://www.dofusbook.net/fr/equipement/5474079-air/objets", "link")</f>
        <v/>
      </c>
      <c r="C19654" t="n">
        <v>2</v>
      </c>
      <c r="D19654" t="inlineStr">
        <is>
          <t>Manthache; Collier du Valet Veinard; Alliance Gloursonne; Gant du Valet Veinard; Droiture de Fallanster; Menoture; Dorabysses; Cape Martegel; Palmes Trithons; Dofus Vulbis; Dofus Ébène; Dofus Ocre; Dofus Abyssal; Dokoko; Dofus Ivoire; Siroko</t>
        </is>
      </c>
    </row>
    <row r="19655">
      <c r="A19655" t="inlineStr">
        <is>
          <t>Terre feu</t>
        </is>
      </c>
      <c r="B19655">
        <f>HYPERLINK("https://www.dofusbook.net/fr/equipement/5467016-terre-feu/objets", "link")</f>
        <v/>
      </c>
      <c r="C19655" t="n">
        <v>2</v>
      </c>
      <c r="D19655" t="inlineStr">
        <is>
          <t>Arc du Chalœil; Amulette Volkorne; Chevalière du Roi Joueur; Bague Gloursonne; Droiture de Fallanster; Ceinture Volkorne; Couronne du Roi Joueur; Sac Volcanique; Bottes du Roi Joueur; Dokoko; Dofus Ivoire; Dofus Ocre; Dofus Ébène; Dofus Vulbis; Dofus Abyssal; Cromeugnon</t>
        </is>
      </c>
    </row>
    <row r="19656">
      <c r="A19656" t="inlineStr">
        <is>
          <t>Eau air prédo eau</t>
        </is>
      </c>
      <c r="B19656">
        <f>HYPERLINK("https://www.dofusbook.net/fr/equipement/5695299-eau-air-predo-eau/objets", "link")</f>
        <v/>
      </c>
      <c r="C19656" t="n">
        <v>1</v>
      </c>
      <c r="D19656" t="inlineStr">
        <is>
          <t>Arc de Koutoulou; Amulette de Shokkoth; Anneau Volkorne; Alliance Gloursonne; Droiture de Fallanster; Ceinture de la Reine des Voleurs; Casque Volkorne; Cape Solution; Bottes de la Reine des Voleurs; Dokoko; Dofus Ocre; Dofus Vulbis; Dofus Ivoire; Dofus Ébène; Dofus Abyssal; Mini Wa</t>
        </is>
      </c>
    </row>
    <row r="19657">
      <c r="A19657" t="inlineStr">
        <is>
          <t>Air feu</t>
        </is>
      </c>
      <c r="B19657">
        <f>HYPERLINK("https://www.dofusbook.net/fr/equipement/5466890-air-feu/objets", "link")</f>
        <v/>
      </c>
      <c r="C19657" t="n">
        <v>0</v>
      </c>
      <c r="D19657" t="inlineStr">
        <is>
          <t>Marteau Phossile; Pendentif mignon de Koutoulou; Anneau Tique; Anneau Rifique; Droiture de Fallanster; Ceinture de Vortex; Casque Cyclopéen; Cape Martegel; Sabots de Vortex; Dofus Ocre; Dofus Ébène; Dofus Vulbis; Dofus Abyssal; Dokoko; Dofus Ivoire; Willy le Relou</t>
        </is>
      </c>
    </row>
    <row r="19658">
      <c r="A19658" t="inlineStr">
        <is>
          <t>Terre</t>
        </is>
      </c>
      <c r="B19658">
        <f>HYPERLINK("https://www.dofusbook.net/fr/equipement/5475949-terre/objets", "link")</f>
        <v/>
      </c>
      <c r="C19658" t="n">
        <v>1</v>
      </c>
      <c r="D19658" t="inlineStr">
        <is>
          <t>Arc du Chalœil; Collier de Tourthon; Anneau Crustique; Anneau de Brouce; Droiture de Fallanster; Ceinture de la Reine des Voleurs; Coiffe de la Reine des Voleurs; Voile d'encre; Baleinabottes; Dokoko; Dofus Ivoire; Dofus Ocre; Dofus Ébène; Dofus Vulbis; Dofus Abyssal; Kompost</t>
        </is>
      </c>
    </row>
    <row r="19659">
      <c r="A19659" t="inlineStr">
        <is>
          <t>eau</t>
        </is>
      </c>
      <c r="B19659">
        <f>HYPERLINK("https://www.dofusbook.net/fr/equipement/5690800-eau-/objets", "link")</f>
        <v/>
      </c>
      <c r="C19659" t="n">
        <v>1</v>
      </c>
      <c r="D19659" t="inlineStr">
        <is>
          <t>Dagoulinantes; Amulette de Shokkoth; Anneau Volkorne; Bracelet des Fonds marins; Droiture de Fallanster; Ceinture Volkorne; Masque des Fonds marins; Cape de Mantaze; Sandales des Fonds marins; Dofus Ocre; Dofus Ébène; Dofus Vulbis; Dofus Abyssal; Dokoko; Dofus Ivoire; Kanigloups</t>
        </is>
      </c>
    </row>
    <row r="19660">
      <c r="A19660" t="inlineStr">
        <is>
          <t>Zobal M 200</t>
        </is>
      </c>
      <c r="B19660">
        <f>HYPERLINK("https://www.dofusbook.net/fr/equipement/5602799-zobal-m-200/objets", "link")</f>
        <v/>
      </c>
      <c r="C19660" t="n">
        <v>0</v>
      </c>
      <c r="D19660" t="inlineStr">
        <is>
          <t>Rouleau à Pâtisserie d'Aermyne; Collier Rophante; Alliance Gloursonne; Bague Trithon; Bouclier des Chocomanciens; Ceintacé; Masque d'Anerice; Cape d'Anerice; Bottes Honyme; Dofus Argenté; Dofus Émeraude; Dokoko; Miraculé; Survivant majeur; Miraculé majeur; Bontique</t>
        </is>
      </c>
    </row>
    <row r="19661">
      <c r="A19661" t="inlineStr">
        <is>
          <t>Zobal M 200</t>
        </is>
      </c>
      <c r="B19661">
        <f>HYPERLINK("https://www.dofusbook.net/fr/equipement/5149535-zobal-m-200/objets", "link")</f>
        <v/>
      </c>
      <c r="C19661" t="n">
        <v>0</v>
      </c>
      <c r="D19661" t="inlineStr">
        <is>
          <t>Arc corrompu; Amulette d'Otomaï; Chevalière du Roi Joueur; Anneauræus; Quatre-feuilles; Ceintacé; Coiffe de Padgref; Cape de Diondin; Bottes d'Otomaï; Dofus Pourpre; Dofus Turquoise; Érudit majeur; Vigoureux majeur; Nomade; Carapace Feu majeur; Pioute rouge</t>
        </is>
      </c>
    </row>
    <row r="19662">
      <c r="A19662" t="inlineStr">
        <is>
          <t>Zobal F 200</t>
        </is>
      </c>
      <c r="B19662">
        <f>HYPERLINK("https://www.dofusbook.net/fr/equipement/5257249-zobal-f-200/objets", "link")</f>
        <v/>
      </c>
      <c r="C19662" t="n">
        <v>1</v>
      </c>
      <c r="D19662" t="inlineStr">
        <is>
          <t>Baguette Range; Amulette du Strigide; Anneau de Padgref; Anneau Toriété; Quatre-feuilles; Ceinture du Strigide; Coiffe de Padgref; Cape des Justiciers; Getas de Padgref; Dofus Émeraude; Dofus Turquoise; Dofus des Glaces; Dofus Pourpre; Survivant majeur; Puissant majeur; Kokulte</t>
        </is>
      </c>
    </row>
    <row r="19663">
      <c r="A19663" t="inlineStr">
        <is>
          <t>Crâ M 200</t>
        </is>
      </c>
      <c r="B19663">
        <f>HYPERLINK("https://www.dofusbook.net/fr/equipement/5141170-cra-m-200/objets", "link")</f>
        <v/>
      </c>
      <c r="C19663" t="n">
        <v>1</v>
      </c>
      <c r="D19663" t="inlineStr">
        <is>
          <t>Épouvante; Amulette de Pol Ouatnos; Anneau Volkorne; Pikano; Quatre-feuilles; Ceinture Volkorne; Masque de Funespadon; Cape des Justiciers; Bottes Honyme; Dofus Turquoise; Dofus des Glaces; Dofus Pourpre; Vigoureux majeur; Puissant majeur; Carapace Terre majeur; Chacha Angora</t>
        </is>
      </c>
    </row>
    <row r="19664">
      <c r="A19664" t="inlineStr">
        <is>
          <t>Eniripsa M 200</t>
        </is>
      </c>
      <c r="B19664">
        <f>HYPERLINK("https://www.dofusbook.net/fr/equipement/5025141-eniripsa-m-200/objets", "link")</f>
        <v/>
      </c>
      <c r="C19664" t="n">
        <v>3</v>
      </c>
      <c r="D19664" t="inlineStr">
        <is>
          <t>Arc de Koutoulou; Amulette de l'Œil Putride; Alliance Gloursonne; Anneau Volkorne; Quatre-feuilles; Ceintacé; Casque Volkorne; Cape Matelassée; Sandales  d'Atcham; Dofus Pourpre; Dofus des Glaces; Dofus Turquoise; Carapace Air majeur; Vigoureux majeur; Nomade; Kokulte</t>
        </is>
      </c>
    </row>
    <row r="19665">
      <c r="A19665" t="inlineStr">
        <is>
          <t>Iop M 200</t>
        </is>
      </c>
      <c r="B19665">
        <f>HYPERLINK("https://www.dofusbook.net/fr/equipement/6012302-iop-m-200/objets", "link")</f>
        <v/>
      </c>
      <c r="C19665" t="n">
        <v>0</v>
      </c>
      <c r="D19665" t="inlineStr">
        <is>
          <t>Bâton de Karotz</t>
        </is>
      </c>
    </row>
    <row r="19666">
      <c r="A19666" t="inlineStr">
        <is>
          <t>mode cac</t>
        </is>
      </c>
      <c r="B19666">
        <f>HYPERLINK("https://www.dofusbook.net/fr/equipement/5922954-mode-cac/objets", "link")</f>
        <v/>
      </c>
      <c r="C19666" t="n">
        <v>0</v>
      </c>
      <c r="D19666" t="inlineStr">
        <is>
          <t>Dagues Açantes; Collier de la Dame du Hasard; Bracelet du Piloztère; Alliance Gloursonne; Droiture de Fallanster; Ceinture du Barbétoal; Casque Dragoeuf; Cape de la Dame du Hasard; Bottes de la Dame du Hasard; Dofus Abyssal; Dofus Turquoise; Dolmanax; Dofus Émeraude; Dofus Ocre; Voyageur; Kougnard</t>
        </is>
      </c>
    </row>
    <row r="19667">
      <c r="A19667" t="inlineStr">
        <is>
          <t>mode pp tacle</t>
        </is>
      </c>
      <c r="B19667">
        <f>HYPERLINK("https://www.dofusbook.net/fr/equipement/6011615-mode-pp-tacle-/objets", "link")</f>
        <v/>
      </c>
      <c r="C19667" t="n">
        <v>0</v>
      </c>
      <c r="D19667" t="inlineStr">
        <is>
          <t>Hache à Lamelles; Collier Rophante; Anneau Glacial; Alliance Gloursonne; Cadran d'Eau; Ceintacé; Casque Dragoeuf; Cape du Sinistrofu; Baleinabottes; Dofus Émeraude; Dofus Kaliptus; Dolmanax; Chanceux majeur; Bloqueur majeur; Obstructeur majeur; Givrefoux</t>
        </is>
      </c>
    </row>
    <row r="19668">
      <c r="A19668" t="inlineStr">
        <is>
          <t>Zobal M 200</t>
        </is>
      </c>
      <c r="B19668">
        <f>HYPERLINK("https://www.dofusbook.net/fr/equipement/6002383-zobal-m-200/objets", "link")</f>
        <v/>
      </c>
      <c r="C19668" t="n">
        <v>1</v>
      </c>
      <c r="D19668" t="inlineStr">
        <is>
          <t>Hache Ériphe; Amulette du Strigide; Bracelet du Piloztère; Anneau des égarés; Quatre-feuilles; Ceintacé; Corne de Torkélonia; Carapace de Torkélonia; Baleinabottes; Dofus des Glaces; Dofus Turquoise; Dofus Pourpre; Nomade; Remueur; Kokulte</t>
        </is>
      </c>
    </row>
    <row r="19669">
      <c r="A19669" t="inlineStr">
        <is>
          <t>cra terre nebu</t>
        </is>
      </c>
      <c r="B19669">
        <f>HYPERLINK("https://www.dofusbook.net/fr/equipement/5971961-cra-terre-nebu/objets", "link")</f>
        <v/>
      </c>
      <c r="C19669" t="n">
        <v>1</v>
      </c>
      <c r="D19669" t="inlineStr">
        <is>
          <t>Arc du Chalœil; Collier de Tourthon; Bague Gloursonne; Anneau de Brouce; Quatre-feuilles; Ceinture de Brouce; Masque de Koutoulou; Cape au Logis; Sabots Minables; Dofus Nébuleux; Remueur; Forcené majeur; Nomade; Enragé majeur; Vigoureux majeur; Pioute vert</t>
        </is>
      </c>
    </row>
    <row r="19670">
      <c r="A19670" t="inlineStr">
        <is>
          <t>team songes</t>
        </is>
      </c>
      <c r="B19670">
        <f>HYPERLINK("https://www.dofusbook.net/fr/equipement/5922236-team-songes/objets", "link")</f>
        <v/>
      </c>
      <c r="C19670" t="n">
        <v>4</v>
      </c>
      <c r="D19670" t="inlineStr">
        <is>
          <t>Couteaux Sacrificiels; Amulette Volkorne; Anneau Volkorne; Alliance Gloursonne; Bouclier alvéolé; Ceinture Volkorne; Masque Paztek; Cape Paztek; Pataugastrique; Dofus Émeraude; Dofus des Glaces; Dolmanax; Dofus Ocre; Dofus Pourpre; Dofus Ivoire; Walk</t>
        </is>
      </c>
    </row>
    <row r="19671">
      <c r="A19671" t="inlineStr">
        <is>
          <t>Zobal M 200</t>
        </is>
      </c>
      <c r="B19671">
        <f>HYPERLINK("https://www.dofusbook.net/fr/equipement/5977633-zobal-m-200/objets", "link")</f>
        <v/>
      </c>
      <c r="C19671" t="n">
        <v>1</v>
      </c>
      <c r="D19671" t="inlineStr">
        <is>
          <t>Arc Nécrotique; Amulette Volkorne; Anneau Volkorne; Anneau Cryochrone; Quatre-feuilles; Ceintrigue; Kidibonnet; Cape de la Dame du Hasard; Pataugastrique; Dofus Turquoise; Voyageur; Érudit majeur; Remueur; Chanceux majeur; Nomade; Kokulte</t>
        </is>
      </c>
    </row>
    <row r="19672">
      <c r="A19672" t="inlineStr">
        <is>
          <t>MODE FULL AIR ROXX</t>
        </is>
      </c>
      <c r="B19672">
        <f>HYPERLINK("https://www.dofusbook.net/fr/equipement/5971986-mode-full-air-roxx/objets", "link")</f>
        <v/>
      </c>
      <c r="C19672" t="n">
        <v>1</v>
      </c>
      <c r="D19672" t="inlineStr">
        <is>
          <t>Manthache; Collier du Valet Veinard; Alliance Gloursonne; Anneau d'Allister; Bouclier du Stalak; Menoture; Couronne d'Allister; Cape Indescriptible; Baleinabottes; Cascadeur majeur; Nomade; Vigoureux majeur; Voyageur; Dévastateur Air majeur; Remueur; Blérodoudou</t>
        </is>
      </c>
    </row>
    <row r="19673">
      <c r="A19673" t="inlineStr">
        <is>
          <t>team songes</t>
        </is>
      </c>
      <c r="B19673">
        <f>HYPERLINK("https://www.dofusbook.net/fr/equipement/5922322-team-songes/objets", "link")</f>
        <v/>
      </c>
      <c r="C19673" t="n">
        <v>2</v>
      </c>
      <c r="D19673" t="inlineStr">
        <is>
          <t>Plumeau Bil; Amulette Séculaire; Anneauræus; Anneauræus; Bouclier du Captain Amakna; Ceinture Séculaire; Heaume Oplate; Voile d'encre; Bottes Innommables; Dofus Émeraude; Dofus Turquoise; Dofus Pourpre; Nomade; Érudit majeur; Remueur; Pioute rouge</t>
        </is>
      </c>
    </row>
    <row r="19674">
      <c r="A19674" t="inlineStr">
        <is>
          <t>team songes</t>
        </is>
      </c>
      <c r="B19674">
        <f>HYPERLINK("https://www.dofusbook.net/fr/equipement/5217032-team-songes/objets", "link")</f>
        <v/>
      </c>
      <c r="C19674" t="n">
        <v>4</v>
      </c>
      <c r="D19674" t="inlineStr">
        <is>
          <t>Dagues d'Ilyzaelle; Collier de Tourthon; Anneau du Comte Harebourg; Bague Gloursonne; Cadran d'Eau; Ceinture Volkorne; Masque de Koutoulou; Cape au Logis; Bottes du Comte Harebourg; Dofus Turquoise; Dofus Abyssal; Dofus Pourpre; Vigoureux majeur; Enragé majeur; Remueur; Pioute vert</t>
        </is>
      </c>
    </row>
    <row r="19675">
      <c r="A19675" t="inlineStr">
        <is>
          <t>full rall pm</t>
        </is>
      </c>
      <c r="B19675">
        <f>HYPERLINK("https://www.dofusbook.net/fr/equipement/5959682-full-rall-pm/objets", "link")</f>
        <v/>
      </c>
      <c r="C19675" t="n">
        <v>0</v>
      </c>
      <c r="D19675" t="inlineStr">
        <is>
          <t>Dagues Açantes; Amulette du Glourséleste; Anneau Tamie; Pikano; Bouclier cubiste; Ceinture Instable; Casquipik; Cape de Léthaline; Pantoufles Émar; Dofus Cawotte; Chanceux majeur; Remueur; Temporiseur; Ralentisseur majeur; Temporiseur majeur; Léopardo</t>
        </is>
      </c>
    </row>
    <row r="19676">
      <c r="A19676" t="inlineStr">
        <is>
          <t>mode random</t>
        </is>
      </c>
      <c r="B19676">
        <f>HYPERLINK("https://www.dofusbook.net/fr/equipement/5949548-mode-random/objets", "link")</f>
        <v/>
      </c>
      <c r="C19676" t="n">
        <v>1</v>
      </c>
      <c r="D19676" t="inlineStr">
        <is>
          <t>Pyraguette; Amulette Volkorne; Anneau Volkorne; Alliance Gloursonne; Bouclier du Stalak; Ceinture Volkorne; Casqnoar; Voile d'encre; Pataugastrique; Dofus Pourpre; Dofus des Glaces; Dolmanax; Dofus Abyssal; Entraveur majeur; Féroce majeur; Volkorne Turquoise</t>
        </is>
      </c>
    </row>
    <row r="19677">
      <c r="A19677" t="inlineStr">
        <is>
          <t>MODE TERRE FEU</t>
        </is>
      </c>
      <c r="B19677">
        <f>HYPERLINK("https://www.dofusbook.net/fr/equipement/5950310-mode-terre-feu-/objets", "link")</f>
        <v/>
      </c>
      <c r="C19677" t="n">
        <v>0</v>
      </c>
      <c r="D19677" t="inlineStr">
        <is>
          <t>Hache Téroïde; Amulette Volkorne; Bague Gloursonne; Chevalière du Roi Joueur; Quatre-feuilles; Ceinture Volkorne; Couronne du Roi Joueur; Voile d'encre; Bottes du Roi Joueur; Dofus Pourpre; Dofus Ocre; Dolmanax; Dofus des Glaces; Dofus Abyssal; Voyageur; Fëanor</t>
        </is>
      </c>
    </row>
    <row r="19678">
      <c r="A19678" t="inlineStr">
        <is>
          <t>mode 100Million</t>
        </is>
      </c>
      <c r="B19678">
        <f>HYPERLINK("https://www.dofusbook.net/fr/equipement/5949489-mode-100million/objets", "link")</f>
        <v/>
      </c>
      <c r="C19678" t="n">
        <v>0</v>
      </c>
      <c r="D19678" t="inlineStr">
        <is>
          <t>Arc Honte; Amulette Martegel; Alliance Gloursonne; Bague Gloursonne; Bouclier du Stalak; Ceinture de l'Esprit Salvateur; Masque de l'Esprit Salvateur; Cape Martegel; Bottes de l'Esprit Salvateur; Dolmanax; Dofus des Glaces; Dofus Pourpre; Dofus Abyssal; Dofus Ocre; Voyageur; Volkorne Turquoise</t>
        </is>
      </c>
    </row>
    <row r="19679">
      <c r="A19679" t="inlineStr">
        <is>
          <t>team songes</t>
        </is>
      </c>
      <c r="B19679">
        <f>HYPERLINK("https://www.dofusbook.net/fr/equipement/5922211-team-songes/objets", "link")</f>
        <v/>
      </c>
      <c r="C19679" t="n">
        <v>0</v>
      </c>
      <c r="D19679" t="inlineStr">
        <is>
          <t>Rouleau à Pâtisserie d'Aermyne; Collier Rophante; Anneau Chevelu; Alliance Gloursonne; Droiture de Fallanster; Poulpagne; Masque d'Anerice; Cape d'Anerice; Sabots Minables; Dofus Émeraude; Dofus Ivoire; Obstructeur majeur; Miraculé majeur; Fonceur majeur; Bloqueur majeur; Givrefoux</t>
        </is>
      </c>
    </row>
    <row r="19680">
      <c r="A19680" t="inlineStr">
        <is>
          <t>terre air</t>
        </is>
      </c>
      <c r="B19680">
        <f>HYPERLINK("https://www.dofusbook.net/fr/equipement/2419917-terre-air/objets", "link")</f>
        <v/>
      </c>
      <c r="C19680" t="n">
        <v>0</v>
      </c>
      <c r="D19680" t="inlineStr">
        <is>
          <t>Baguette de Torkélonia; Amulette du Cœur Vaillant; Alliance Brûlâme; Anneau des égarés; Quatre-feuilles; Ceinture du Strigide; Corne de Torkélonia; Cape de la Fuji Givrefoux; Baleinabottes; Dofus des Glaces; Dofus Turquoise; Dofus Nébuleux; Dofus Pourpre; Vigoureux majeur; Remueur; Mékrabe</t>
        </is>
      </c>
    </row>
    <row r="19681">
      <c r="A19681" t="inlineStr">
        <is>
          <t>agi 200do</t>
        </is>
      </c>
      <c r="B19681">
        <f>HYPERLINK("https://www.dofusbook.net/fr/equipement/2182198-agi-200do/objets", "link")</f>
        <v/>
      </c>
      <c r="C19681" t="n">
        <v>1</v>
      </c>
      <c r="D19681" t="inlineStr">
        <is>
          <t>Lance Horselé; Collier du Valet Veinard; Alliance Gloursonne; Gant du Valet Veinard; Ceinture du Nocturlabe; Chapibou; Cape Indescriptible; Palmes Trithons; Dofus des Glaces; Dofus Ocre; Dofus Nébuleux; Dofus Pourpre; Dévastateur Air majeur; Remueur; Blérodoudou</t>
        </is>
      </c>
    </row>
    <row r="19682">
      <c r="A19682" t="inlineStr">
        <is>
          <t>agi ret pm</t>
        </is>
      </c>
      <c r="B19682">
        <f>HYPERLINK("https://www.dofusbook.net/fr/equipement/2930991-agi-ret-pm/objets", "link")</f>
        <v/>
      </c>
      <c r="C19682" t="n">
        <v>2</v>
      </c>
      <c r="D19682" t="inlineStr">
        <is>
          <t>Hachoirs de Viandargh; Amibou; Gant du Valet Veinard; Anneau Vicieux; Bouclier cubiste; Menoture; Maskrobe; Capibou; Bottes du Kamasterisk; Dévastateur Air majeur; Equilibriste majeur; Entraveur majeur; Remueur; Temporiseur majeur; Cascadeur majeur; Gwo Tofu Ventripotent</t>
        </is>
      </c>
    </row>
    <row r="19683">
      <c r="A19683" t="inlineStr">
        <is>
          <t>agi do pou</t>
        </is>
      </c>
      <c r="B19683">
        <f>HYPERLINK("https://www.dofusbook.net/fr/equipement/3013043-agi-do-pou/objets", "link")</f>
        <v/>
      </c>
      <c r="C19683" t="n">
        <v>2</v>
      </c>
      <c r="D19683" t="inlineStr">
        <is>
          <t>Hachoirs de Viandargh; Amibou; Alliance Gloursonne; Gant du Valet Veinard; Bouclier Taverne; Menoture; Chapibou; Cape du Barbétoal; Getas de Padgref; Dofus Nébuleux; Dofus Turquoise; Culbuteur majeur; Cascadeur majeur; Bousculeur majeur; Remueur; Tofoudre</t>
        </is>
      </c>
    </row>
    <row r="19684">
      <c r="A19684" t="inlineStr">
        <is>
          <t>eau roxx</t>
        </is>
      </c>
      <c r="B19684">
        <f>HYPERLINK("https://www.dofusbook.net/fr/equipement/2975874-eau-roxx/objets", "link")</f>
        <v/>
      </c>
      <c r="C19684" t="n">
        <v>2</v>
      </c>
      <c r="D19684" t="inlineStr">
        <is>
          <t>Sceptre du Roi Joueur; Amulette du Sinistrofu; Anneau Volkorne; Bracelet des Fonds marins; Quatre-feuilles; Poulpagne; Capuche de l'Œil Attentif; Cape Solution; Bottes du Sinistrofu; Dofus Nébuleux; Dofus Turquoise; Dofus Pourpre; Chanceux majeur; Nomade; Remueur; Kanigloups</t>
        </is>
      </c>
    </row>
    <row r="19685">
      <c r="A19685" t="inlineStr">
        <is>
          <t>feu</t>
        </is>
      </c>
      <c r="B19685">
        <f>HYPERLINK("https://www.dofusbook.net/fr/equipement/2979290-feu/objets", "link")</f>
        <v/>
      </c>
      <c r="C19685" t="n">
        <v>3</v>
      </c>
      <c r="D19685" t="inlineStr">
        <is>
          <t>Harpelle; Pendentif affamé; Bague Gloursonne; Anneauræus; Quatre-feuilles; Croture; Coiffe de Padgref; Cape de Diondin; Bottes de la Dame du Hasard; Dofus Nébuleux; Dofus Pourpre; Dofus Turquoise; Érudit majeur; Remueur; Dévastateur Feu majeur; Pioute rouge</t>
        </is>
      </c>
    </row>
    <row r="19686">
      <c r="A19686" t="inlineStr">
        <is>
          <t>feu</t>
        </is>
      </c>
      <c r="B19686">
        <f>HYPERLINK("https://www.dofusbook.net/fr/equipement/2219923-feu/objets", "link")</f>
        <v/>
      </c>
      <c r="C19686" t="n">
        <v>0</v>
      </c>
      <c r="D19686" t="inlineStr">
        <is>
          <t>Massier; Amulette d'Otomaï; Bague Gloursonne; Anneauræus; Bivalve; Ceinture Séculaire; Heaume Oplate; Voile d'encre; Bottes d'Otomaï; Dofus Pourpre; Dofus Turquoise; Évasif majeur; Remueur; Fonceur majeur; Dévastateur Feu majeur; Meuch</t>
        </is>
      </c>
    </row>
    <row r="19687">
      <c r="A19687" t="inlineStr">
        <is>
          <t>Stuff 3</t>
        </is>
      </c>
      <c r="B19687">
        <f>HYPERLINK("https://www.dofusbook.net/fr/equipement/247944-stuff-3/objets", "link")</f>
        <v/>
      </c>
      <c r="C19687" t="n">
        <v>0</v>
      </c>
      <c r="D19687" t="inlineStr">
        <is>
          <t>Arc Hétype; Amulette d'Otomaï; Bague Gloursonne; Anneau de Nidas; Bivalve; Ceinture de Vortex; Masque Ardent; Cape de Diondin; Bottes d'Otomaï; Remueur; Dévastateur Feu majeur; Guérisseur majeur; Nomade; Savant majeur; Érudit majeur</t>
        </is>
      </c>
    </row>
    <row r="19688">
      <c r="A19688" t="inlineStr">
        <is>
          <t>feu distance</t>
        </is>
      </c>
      <c r="B19688">
        <f>HYPERLINK("https://www.dofusbook.net/fr/equipement/2731178-feu-distance/objets", "link")</f>
        <v/>
      </c>
      <c r="C19688" t="n">
        <v>0</v>
      </c>
      <c r="D19688" t="inlineStr">
        <is>
          <t>Arc corrompu; Amulette d'Otomaï; Bague Gloursonne; Chevalière du Roi Joueur; Cadran de Terre; Ceinture Séculaire; Coiffe Séculaire; Cape de la Dame du Hasard; Pataugastrique; Dofus Pourpre; Dofus Turquoise; Dofus Nébuleux; Dévastateur Feu majeur; Remueur; Carapace Neutre majeur; Bisouglours</t>
        </is>
      </c>
    </row>
    <row r="19689">
      <c r="A19689" t="inlineStr">
        <is>
          <t>terre</t>
        </is>
      </c>
      <c r="B19689">
        <f>HYPERLINK("https://www.dofusbook.net/fr/equipement/1234390-terre/objets", "link")</f>
        <v/>
      </c>
      <c r="C19689" t="n">
        <v>4</v>
      </c>
      <c r="D19689" t="inlineStr">
        <is>
          <t>Pyraguette; Talisman Igans; Bague Instable; Anneau Kturne; Bivalve; Ceintrigue; Masque Paztek; Cape Paztek; Bottes Owesli; Dofus Ocre; Dofus Nébuleux; Dofus Turquoise; Dofus Pourpre; Turbulent; Bousculeur majeur; Balafreux</t>
        </is>
      </c>
    </row>
    <row r="19690">
      <c r="A19690" t="inlineStr">
        <is>
          <t>terre pvm</t>
        </is>
      </c>
      <c r="B19690">
        <f>HYPERLINK("https://www.dofusbook.net/fr/equipement/1732777-terre-pvm/objets", "link")</f>
        <v/>
      </c>
      <c r="C19690" t="n">
        <v>1</v>
      </c>
      <c r="D19690" t="inlineStr">
        <is>
          <t>Amulette Volcanique; Chevalière du Roi Joueur; Anneau de Brouce; Bouclier du Captain Amakna; Ceinture Volkorne; Couronne du Roi Joueur; Cape au Logis; Bottes Honyme; Dofus Pourpre; Dofus Nébuleux; Dofus Turquoise; Temporiseur majeur; Remueur; Entraveur majeur; Léopardo</t>
        </is>
      </c>
    </row>
    <row r="19691">
      <c r="A19691" t="inlineStr">
        <is>
          <t>terre eau</t>
        </is>
      </c>
      <c r="B19691">
        <f>HYPERLINK("https://www.dofusbook.net/fr/equipement/1732724-terre-eau/objets", "link")</f>
        <v/>
      </c>
      <c r="C19691" t="n">
        <v>0</v>
      </c>
      <c r="D19691" t="inlineStr">
        <is>
          <t>Baguette des égarés; Amulette Luminescente; Anneau en Grithril; Anneau Volkorne; Quatre-feuilles; Ceinture Volkorne; Masque de Funespadon; Cape Ovri; Bottes de la Dame du Hasard; Dofus Nébuleux; Dofus Pourpre; Dofus Abyssal; Dofus Ocre; Dofus des Glaces; Dofus Turquoise; Kokulte</t>
        </is>
      </c>
    </row>
    <row r="19692">
      <c r="A19692" t="inlineStr">
        <is>
          <t>eau</t>
        </is>
      </c>
      <c r="B19692">
        <f>HYPERLINK("https://www.dofusbook.net/fr/equipement/2694055-eau/objets", "link")</f>
        <v/>
      </c>
      <c r="C19692" t="n">
        <v>2</v>
      </c>
      <c r="D19692" t="inlineStr">
        <is>
          <t>Sceptre du Roi Joueur; Amulette du Sinistrofu; Anneau Volkorne; Bracelet des Fonds marins; Quatre-feuilles; Poulpagne; Capuche de l'Œil Attentif; Cape de l'Œil Attentif; Bottes de la Dame du Hasard; Dofus Turquoise; Dofus Nébuleux; Dofus Pourpre; Chanceux majeur; Nomade; Remueur; Pioute bleu</t>
        </is>
      </c>
    </row>
    <row r="19693">
      <c r="A19693" t="inlineStr">
        <is>
          <t>agi pété</t>
        </is>
      </c>
      <c r="B19693">
        <f>HYPERLINK("https://www.dofusbook.net/fr/equipement/2946761-agi--pete/objets", "link")</f>
        <v/>
      </c>
      <c r="C19693" t="n">
        <v>1</v>
      </c>
      <c r="D19693" t="inlineStr">
        <is>
          <t>Baguette de Torkélonia; Amulette du Kamasterisk; Anneau des égarés; Crocanneau; Quatre-feuilles; Ceinture du Strigide; Corne de Torkélonia; Cape de la Fuji Givrefoux; Baleinabottes; Dofus Pourpre; Dofus Nébuleux; Dofus Turquoise; Dofus des Glaces; Dofus Ocre; Vigoureux majeur; Kokulte</t>
        </is>
      </c>
    </row>
    <row r="19694">
      <c r="A19694" t="inlineStr">
        <is>
          <t>tannk</t>
        </is>
      </c>
      <c r="B19694">
        <f>HYPERLINK("https://www.dofusbook.net/fr/equipement/2101488-tannk/objets", "link")</f>
        <v/>
      </c>
      <c r="C19694" t="n">
        <v>1</v>
      </c>
      <c r="D19694" t="inlineStr">
        <is>
          <t>Epée Gloursonne; Collier Rophante; Alliance Gloursonne; Bague Gloursonne; Bouclier d'Anerice; Ceinture de Kongoku; Casque Dragoeuf; Cape d'Anerice; Sandales des Fonds marins; Dofus Ocre; Dofus Abyssal; Dofus Ivoire; Kramkram</t>
        </is>
      </c>
    </row>
    <row r="19695">
      <c r="A19695" t="inlineStr">
        <is>
          <t>air do</t>
        </is>
      </c>
      <c r="B19695">
        <f>HYPERLINK("https://www.dofusbook.net/fr/equipement/2616318-air-do/objets", "link")</f>
        <v/>
      </c>
      <c r="C19695" t="n">
        <v>1</v>
      </c>
      <c r="D19695" t="inlineStr">
        <is>
          <t>Hachoirs de Viandargh; Amibou; Alliance Gloursonne; Gant du Valet Veinard; Bouclier du Captain Amakna; Menoture; Chapeau de Tournoyé; Cape du Valet Veinard; Palmes Trithons; Dofus Turquoise; Dofus Nébuleux; Dofus Pourpre; Cascadeur majeur; Dévastateur Air majeur; Remueur; Blérodoudou</t>
        </is>
      </c>
    </row>
    <row r="19696">
      <c r="A19696" t="inlineStr">
        <is>
          <t>Cancer phase terminal</t>
        </is>
      </c>
      <c r="B19696">
        <f>HYPERLINK("https://www.dofusbook.net/fr/equipement/813633-cancer-phase-terminal/objets", "link")</f>
        <v/>
      </c>
      <c r="C19696" t="n">
        <v>1</v>
      </c>
      <c r="D19696" t="inlineStr">
        <is>
          <t>Lav'Hache; Collier Rophante; Anneau Crustique; Anneau Crustique; Sept ans de malheur; Menoture; Casque Dragoeuf; Cape de la Cour Sombre; Bottes de la Cour Sombre; Dofus Ocre; Dofus Abyssal; Dofus Ivoire; Carapace Neutre majeur; Temporiseur majeur; Obstructeur majeur; Drakopin</t>
        </is>
      </c>
    </row>
    <row r="19697">
      <c r="A19697" t="inlineStr">
        <is>
          <t>mumu</t>
        </is>
      </c>
      <c r="B19697">
        <f>HYPERLINK("https://www.dofusbook.net/fr/equipement/921647-mumu/objets", "link")</f>
        <v/>
      </c>
      <c r="C19697" t="n">
        <v>0</v>
      </c>
      <c r="D19697" t="inlineStr">
        <is>
          <t>Épée Brûlâme; Talisman Igans; Lavanneau; Lavanneau; Quatre-feuilles; Ceinture de l'Esprit Malsain; Casquette de Meno; Cape de la Dame du Hasard; Pataugastrique; Dofus Pourpre; Dofus Turquoise; Dofus Nébuleux; Nomade; Vigoureux majeur; Remueur; Chacha Angora</t>
        </is>
      </c>
    </row>
    <row r="19698">
      <c r="A19698" t="inlineStr">
        <is>
          <t>Stuff 1</t>
        </is>
      </c>
      <c r="B19698">
        <f>HYPERLINK("https://www.dofusbook.net/fr/equipement/247963-stuff-1/objets", "link")</f>
        <v/>
      </c>
      <c r="C19698" t="n">
        <v>0</v>
      </c>
      <c r="D19698" t="inlineStr">
        <is>
          <t>Sceptre du Roi Joueur; Amulette du Sinistrofu; Anneau Volkorne; Bracelet des Fonds marins; Quatre-feuilles; Ceinture Glaciale; Capuche de l'Œil Attentif; Cape Solution; Bottes du Sinistrofu; Dofus Pourpre; Dofus Turquoise; Dofus Nébuleux; Remueur; Chanceux majeur; Nomade; Kanigloups</t>
        </is>
      </c>
    </row>
    <row r="19699">
      <c r="A19699" t="inlineStr">
        <is>
          <t>feu-eau-12/5</t>
        </is>
      </c>
      <c r="B19699">
        <f>HYPERLINK("https://www.dofusbook.net/fr/equipement/3081611-feu-eau-12-5/objets", "link")</f>
        <v/>
      </c>
      <c r="C19699" t="n">
        <v>2</v>
      </c>
      <c r="D19699" t="inlineStr">
        <is>
          <t>Arc Volkorne; Amulette du Strigide; Alliance Gloursonne; Bague Gloursonne; Quatre-feuilles; Ceinture du Strigide; Chapeau Lisson; Cape de Jahash Jurgen; Bottes du Strigide; Dofus Pourpre; Dofus Ocre; Dolmanax; Dofus des Glaces; Dofus Turquoise; Dofus Nébuleux</t>
        </is>
      </c>
    </row>
    <row r="19700">
      <c r="A19700" t="inlineStr">
        <is>
          <t>terre eau</t>
        </is>
      </c>
      <c r="B19700">
        <f>HYPERLINK("https://www.dofusbook.net/fr/equipement/2975682-terre-eau/objets", "link")</f>
        <v/>
      </c>
      <c r="C19700" t="n">
        <v>2</v>
      </c>
      <c r="D19700" t="inlineStr">
        <is>
          <t>Hache Euvale; Amulette du Strigide; Bracelet du Piloztère; Anneau de Guten Tak; Bouclier Taverne; Ceinture de la Reine des Voleurs; Coiffe de la Reine des Voleurs; Cape de Jahash Jurgen; Bottes Honyme; Dofus Pourpre; Dofus Turquoise; Remueur; Culbuteur majeur; Vigoureux majeur; Nomade; Muldo Doré et Emeraude</t>
        </is>
      </c>
    </row>
    <row r="19701">
      <c r="A19701" t="inlineStr">
        <is>
          <t>terre</t>
        </is>
      </c>
      <c r="B19701">
        <f>HYPERLINK("https://www.dofusbook.net/fr/equipement/3198145-terre/objets", "link")</f>
        <v/>
      </c>
      <c r="C19701" t="n">
        <v>2</v>
      </c>
      <c r="D19701" t="inlineStr">
        <is>
          <t>Hache du Chalœil; Amulette du Strigide; Alliance du Lévitrof; Goulano; Quatre-feuilles; Ceinture du Strigide; Coiffe du Glourséleste; Cape de Jahash Jurgen; Bottes Honyme; Dofus Abyssal; Dofus des Glaces; Dofus Turquoise; Dofus Nébuleux; Dofus Pourpre; Dofus Ocre; Chacha Angora</t>
        </is>
      </c>
    </row>
    <row r="19702">
      <c r="A19702" t="inlineStr">
        <is>
          <t>Stuff 3</t>
        </is>
      </c>
      <c r="B19702">
        <f>HYPERLINK("https://www.dofusbook.net/fr/equipement/247962-stuff-3/objets", "link")</f>
        <v/>
      </c>
      <c r="C19702" t="n">
        <v>0</v>
      </c>
      <c r="D19702" t="inlineStr">
        <is>
          <t>Pelle du Professeur Xa; Amulette Luminescente; Bracelet du Piloztère; Anneau en Grithril; Quatre-feuilles; Ceinture de la Reine des Voleurs; Masque de Funespadon; Cape du Professeur Xa; Bottes du Strigide; Dofus des Glaces; Dofus Pourpre; Dofus Turquoise; Dofus Nébuleux; Remueur; Léopardo</t>
        </is>
      </c>
    </row>
    <row r="19703">
      <c r="A19703" t="inlineStr">
        <is>
          <t>feu eau air 3</t>
        </is>
      </c>
      <c r="B19703">
        <f>HYPERLINK("https://www.dofusbook.net/fr/equipement/2101683-feu-eau-air-3/objets", "link")</f>
        <v/>
      </c>
      <c r="C19703" t="n">
        <v>0</v>
      </c>
      <c r="D19703" t="inlineStr">
        <is>
          <t>Arc Volkorne; Amulette Volkorne; Bague Gloursonne; Alliance Gloursonne; Quatre-feuilles; Ceinture Volkorne; Masque de l'Esprit Salvateur; Cape du Professeur Xa; Bottes de l'Esprit Salvateur; Dofus Pourpre; Dofus Ocre; Dofus Abyssal; Dofus des Glaces; Dofus Turquoise; Dofus Nébuleux; Fëanor</t>
        </is>
      </c>
    </row>
    <row r="19704">
      <c r="A19704" t="inlineStr">
        <is>
          <t>Stuff 3</t>
        </is>
      </c>
      <c r="B19704">
        <f>HYPERLINK("https://www.dofusbook.net/fr/equipement/247965-stuff-3/objets", "link")</f>
        <v/>
      </c>
      <c r="C19704" t="n">
        <v>0</v>
      </c>
      <c r="D19704" t="inlineStr">
        <is>
          <t>Manthache; Collier Rophante; Gant du Valet Veinard; Alliance Gloursonne; Bouclier d'Anerice; Ceinture de Kongoku; Casque Dragoeuf; Cape d'Anerice; Getas Bernacle; Dofus Émeraude; Obstructeur majeur; Déserteur majeur; Remueur; Tacleur majeur; Carapace Air majeur; Kougnard</t>
        </is>
      </c>
    </row>
    <row r="19705">
      <c r="A19705" t="inlineStr">
        <is>
          <t>agi chance</t>
        </is>
      </c>
      <c r="B19705">
        <f>HYPERLINK("https://www.dofusbook.net/fr/equipement/2101496-agi-chance-/objets", "link")</f>
        <v/>
      </c>
      <c r="C19705" t="n">
        <v>1</v>
      </c>
      <c r="D19705" t="inlineStr">
        <is>
          <t>Bâtonnet Ronien; Pendentif Oton; Bracelet du Piloztère; Alliance Gloursonne; Quatre-feuilles; Ceinture Voldelor; Némès de Tal Kasha; Cape Matelassée; Bottes de la Reine des Voleurs; Dofus Pourpre; Dofus Nébuleux; Dofus Turquoise; Remueur; Vigoureux majeur; Nomade; Kougnard</t>
        </is>
      </c>
    </row>
    <row r="19706">
      <c r="A19706" t="inlineStr">
        <is>
          <t>feu eau ret pm</t>
        </is>
      </c>
      <c r="B19706">
        <f>HYPERLINK("https://www.dofusbook.net/fr/equipement/2220351-feu-eau-ret-pm/objets", "link")</f>
        <v/>
      </c>
      <c r="C19706" t="n">
        <v>0</v>
      </c>
      <c r="D19706" t="inlineStr">
        <is>
          <t>Pelle du Professeur Xa; Kralamansion; Annolamour; Kralano; Bouclier cubiste; Ceinture de Léthaline; Masque des Fonds marins; Cape de Léthaline; Bottes de Léthaline; Dofus Cawotte; Ralentisseur majeur; Entraveur majeur; Entraveur; Gwo Tofu Ventripotent</t>
        </is>
      </c>
    </row>
    <row r="19707">
      <c r="A19707" t="inlineStr">
        <is>
          <t>feu-eau no cc</t>
        </is>
      </c>
      <c r="B19707">
        <f>HYPERLINK("https://www.dofusbook.net/fr/equipement/1717948-feu-eau-no-cc/objets", "link")</f>
        <v/>
      </c>
      <c r="C19707" t="n">
        <v>0</v>
      </c>
      <c r="D19707" t="inlineStr">
        <is>
          <t>Épée Brûlâme; Talisman Igans; Anneau Kturne; Lavanneau; Quatre-feuilles; Ceintrigue; Capuche de l'Œil Putride; Cape de la Dame du Hasard; Pataugastrique; Dofus Pourpre; Remueur; Entraveur majeur; Vigoureux majeur; Temporiseur majeur; Nomade; Léopardo</t>
        </is>
      </c>
    </row>
    <row r="19708">
      <c r="A19708" t="inlineStr">
        <is>
          <t>feu ret 196 pm</t>
        </is>
      </c>
      <c r="B19708">
        <f>HYPERLINK("https://www.dofusbook.net/fr/equipement/2781089-feu-ret-196-pm-/objets", "link")</f>
        <v/>
      </c>
      <c r="C19708" t="n">
        <v>0</v>
      </c>
      <c r="D19708" t="inlineStr">
        <is>
          <t>Massier; Amulette d'Otomaï; Anneau Tamie; Anneauræus; Quatre-feuilles; Ceintrigue; Heaume Oplate; Cape de Jahash Jurgen; Bottes d'Otomaï; Temporiseur majeur; Entraveur majeur; Nomade; Ralentisseur majeur; Érudit majeur; Remueur; Bisouglours</t>
        </is>
      </c>
    </row>
    <row r="19709">
      <c r="A19709" t="inlineStr">
        <is>
          <t>feu air</t>
        </is>
      </c>
      <c r="B19709">
        <f>HYPERLINK("https://www.dofusbook.net/fr/equipement/1732850-feu-air/objets", "link")</f>
        <v/>
      </c>
      <c r="C19709" t="n">
        <v>0</v>
      </c>
      <c r="D19709" t="inlineStr">
        <is>
          <t>Baguette Range; Pendentif mignon de Koutoulou; Anneau Rifique; Anneau de Padgref; Quatre-feuilles; Ceinture de Vortex; Masque Brûlâme; Cape de Jahash Jurgen; Pantoufles Émar; Dofus Pourpre; Nomade; Temporiseur majeur; Vigoureux majeur; Entraveur majeur; Remueur; Willy le Relou</t>
        </is>
      </c>
    </row>
    <row r="19710">
      <c r="A19710" t="inlineStr">
        <is>
          <t>agi</t>
        </is>
      </c>
      <c r="B19710">
        <f>HYPERLINK("https://www.dofusbook.net/fr/equipement/2461695-agi/objets", "link")</f>
        <v/>
      </c>
      <c r="C19710" t="n">
        <v>0</v>
      </c>
      <c r="D19710" t="inlineStr">
        <is>
          <t>Lance Horselé; Collier du Valet Veinard; Alliance Gloursonne; Gant du Valet Veinard; Quatre-feuilles; Menoture; Couronne d'Allister; Cape Indescriptible; Palmes Trithons; Dofus Turquoise; Dofus Pourpre; Dévastateur Air majeur; Cascadeur majeur; Vigoureux majeur; Remueur; Blérodoudou</t>
        </is>
      </c>
    </row>
    <row r="19711">
      <c r="A19711" t="inlineStr">
        <is>
          <t>air eau</t>
        </is>
      </c>
      <c r="B19711">
        <f>HYPERLINK("https://www.dofusbook.net/fr/equipement/2461683-air-eau/objets", "link")</f>
        <v/>
      </c>
      <c r="C19711" t="n">
        <v>0</v>
      </c>
      <c r="D19711" t="inlineStr">
        <is>
          <t>Dagoulinantes; Amulette d'Ilyzaelle; Anneau Volkorne; Anneau Glacial; Quatre-feuilles; Ceinture Glaciale; Kidibonnet; Bottes du Nocturlabe; Entraveur majeur; Chanceux majeur; Nomade; Dévastateur Eau majeur; Temporiseur majeur; Remueur; Léopardo</t>
        </is>
      </c>
    </row>
    <row r="19712">
      <c r="A19712" t="inlineStr">
        <is>
          <t>feu ret 196 pm</t>
        </is>
      </c>
      <c r="B19712">
        <f>HYPERLINK("https://www.dofusbook.net/fr/equipement/2930980-feu-ret-196-pm-/objets", "link")</f>
        <v/>
      </c>
      <c r="C19712" t="n">
        <v>0</v>
      </c>
      <c r="D19712" t="inlineStr">
        <is>
          <t>Massier; Amulette d'Otomaï; Bague Gloursonne; Anneauræus; Quatre-feuilles; Ceinture Séculaire; Heaume Oplate; Bottes d'Otomaï; Érudit majeur; Temporiseur majeur; Remueur; Nomade</t>
        </is>
      </c>
    </row>
    <row r="19713">
      <c r="A19713" t="inlineStr">
        <is>
          <t>Stuff 3</t>
        </is>
      </c>
      <c r="B19713">
        <f>HYPERLINK("https://www.dofusbook.net/fr/equipement/1452997-stuff-3/objets", "link")</f>
        <v/>
      </c>
      <c r="C19713" t="n">
        <v>1</v>
      </c>
      <c r="D19713" t="inlineStr">
        <is>
          <t>Epée Toche; Amulette du Strigide; Bague Gloursonne; Chevalière du Roi Joueur; Bouclier du Captain Amakna; Ceinture du Strigide; Voile d'encre; Bottes du Roi Joueur; Dofus Turquoise; Dofus Nébuleux; Dofus Pourpre; Dofus Ocre; Dofus Abyssal; Carapace Neutre majeur; Kokulte</t>
        </is>
      </c>
    </row>
    <row r="19714">
      <c r="A19714" t="inlineStr">
        <is>
          <t>ret pa feu</t>
        </is>
      </c>
      <c r="B19714">
        <f>HYPERLINK("https://www.dofusbook.net/fr/equipement/3053049-ret-pa-feu/objets", "link")</f>
        <v/>
      </c>
      <c r="C19714" t="n">
        <v>2</v>
      </c>
      <c r="D19714" t="inlineStr">
        <is>
          <t>Arc corrompu; Amulette d'Otomaï; Anneau de Nidas; Bague Gloursonne; Sept ans de malheur; Ceinture de Vortex; Masque Ardent; Cape Ardente; Bottes Honyme; Dofus Pourpre; Dofus Nébuleux; Dofus Ocre; Carapace Neutre majeur; Carapace Feu majeur; Érudit majeur; Kouin-Kouin Noir</t>
        </is>
      </c>
    </row>
    <row r="19715">
      <c r="A19715" t="inlineStr">
        <is>
          <t>feu-feu-feu</t>
        </is>
      </c>
      <c r="B19715">
        <f>HYPERLINK("https://www.dofusbook.net/fr/equipement/1459427-feu-feu-feu/objets", "link")</f>
        <v/>
      </c>
      <c r="C19715" t="n">
        <v>0</v>
      </c>
      <c r="D19715" t="inlineStr">
        <is>
          <t>Harpelle; Amulette d'Otomaï; Anneauræus; Bague Gloursonne; Quatre-feuilles; Ceinture de Kongoku; Masque Ardent; Cape de Diondin; Chaussures Ardentes; Dofus Nébuleux; Dévastateur Feu majeur; Remueur; Érudit majeur; Bisouglours</t>
        </is>
      </c>
    </row>
    <row r="19716">
      <c r="A19716" t="inlineStr">
        <is>
          <t>eau ret</t>
        </is>
      </c>
      <c r="B19716">
        <f>HYPERLINK("https://www.dofusbook.net/fr/equipement/247979-eau-ret/objets", "link")</f>
        <v/>
      </c>
      <c r="C19716" t="n">
        <v>1</v>
      </c>
      <c r="D19716" t="inlineStr">
        <is>
          <t>Rapière aux Glyphes; Amulette de l'Œil Attentif; Anneau Volkorne; Alliance Gloursonne; Quatre-feuilles; Poulpagne; Casque Dragoeuf; Cape de l'Œil Attentif; Sandales des Fonds marins; Dofus Abyssal; Dofus Turquoise; Dofus Nébuleux; Dofus Pourpre; Dofus Ocre; Chanceux majeur; Kanigloups</t>
        </is>
      </c>
    </row>
    <row r="19717">
      <c r="A19717" t="inlineStr">
        <is>
          <t>fofofo2</t>
        </is>
      </c>
      <c r="B19717">
        <f>HYPERLINK("https://www.dofusbook.net/fr/equipement/2736341-fofofo2/objets", "link")</f>
        <v/>
      </c>
      <c r="C19717" t="n">
        <v>4</v>
      </c>
      <c r="D19717" t="inlineStr">
        <is>
          <t>Arc du Chalœil; Collier de Tourthon; Anneau de Brouce; Bague Gloursonne; Quatre-feuilles; Ceinture Volkorne; Masque de Koutoulou; Cape au Logis; Bottes de Brouce; Dofus Pourpre; Dofus Nébuleux; Dofus Turquoise; Dofus des Glaces; Remueur; Enragé majeur; Bulbisou</t>
        </is>
      </c>
    </row>
    <row r="19718">
      <c r="A19718" t="inlineStr">
        <is>
          <t>agi pété</t>
        </is>
      </c>
      <c r="B19718">
        <f>HYPERLINK("https://www.dofusbook.net/fr/equipement/2931053-agi--pete/objets", "link")</f>
        <v/>
      </c>
      <c r="C19718" t="n">
        <v>0</v>
      </c>
      <c r="D19718" t="inlineStr">
        <is>
          <t>Hachoirs de Viandargh; Collier du Valet Veinard; Gant du Valet Veinard; Anneau d'Allister; Bouclier du Captain Amakna; Sangle Oriole; Couronne d'Allister; Cape du Valet Veinard; Bottes d'Allister; Dofus Nébuleux; Dofus Turquoise; Dofus Ocre; Dofus Pourpre; Acrobate majeur; Equilibriste majeur; Kokulte</t>
        </is>
      </c>
    </row>
    <row r="19719">
      <c r="A19719" t="inlineStr">
        <is>
          <t>ret cancer</t>
        </is>
      </c>
      <c r="B19719">
        <f>HYPERLINK("https://www.dofusbook.net/fr/equipement/3036801-ret-cancer/objets", "link")</f>
        <v/>
      </c>
      <c r="C19719" t="n">
        <v>0</v>
      </c>
      <c r="D19719" t="inlineStr">
        <is>
          <t>Pelle du Professeur Xa; Amulette du Cœur Vaillant; Anneau Crustique; Anneau Crustique; Sept ans de malheur; Culotte de Bethel; Casque Dragoeuf; Cape du Cœur Vaillant; Chaussons de Macrab; Dofus Abyssal; Dofus Ocre; Dofus Émeraude; Dofus Pourpre; Engourdisseur majeur; Paralyseur majeur; Drakopin</t>
        </is>
      </c>
    </row>
    <row r="19720">
      <c r="A19720" t="inlineStr">
        <is>
          <t>multi crit</t>
        </is>
      </c>
      <c r="B19720">
        <f>HYPERLINK("https://www.dofusbook.net/fr/equipement/2101674-multi-crit/objets", "link")</f>
        <v/>
      </c>
      <c r="C19720" t="n">
        <v>1</v>
      </c>
      <c r="D19720" t="inlineStr">
        <is>
          <t>Hache du Chalœil; Amulette du Strigide; Anneau Volkorne; Alliance Gloursonne; Quatre-feuilles; Ceinture du Strigide; Casque Volkorne; Cape du Chalœil; Bottes du Strigide; Dofus Turquoise; Dofus des Glaces; Dofus Pourpre; Dofus Nébuleux; Dofus Ocre; Puissant majeur; Muldo Indigo et Orchidée</t>
        </is>
      </c>
    </row>
    <row r="19721">
      <c r="A19721" t="inlineStr">
        <is>
          <t>FEU DO POU</t>
        </is>
      </c>
      <c r="B19721">
        <f>HYPERLINK("https://www.dofusbook.net/fr/equipement/3261393-feu-do-pou/objets", "link")</f>
        <v/>
      </c>
      <c r="C19721" t="n">
        <v>0</v>
      </c>
      <c r="D19721" t="inlineStr">
        <is>
          <t>Epée Toche; Amulette du Strigide; Bague Gloursonne; Chevalière du Roi Joueur; Bouclier du Captain Amakna; Ceinture du Strigide; Couronne du Roi Joueur; Voile d'encre; Bottes du Roi Joueur; Dofus Turquoise; Dofus Nébuleux; Dofus Pourpre; Dofus Ocre; Dofus Abyssal; Carapace Neutre majeur; Kokulte</t>
        </is>
      </c>
    </row>
    <row r="19722">
      <c r="A19722" t="inlineStr">
        <is>
          <t>multi no crit</t>
        </is>
      </c>
      <c r="B19722">
        <f>HYPERLINK("https://www.dofusbook.net/fr/equipement/2511046-multi-no-crit/objets", "link")</f>
        <v/>
      </c>
      <c r="C19722" t="n">
        <v>0</v>
      </c>
      <c r="D19722" t="inlineStr">
        <is>
          <t>Epée Maudite du Saigneur Guerrier; Amulette Volkorne; Bague Gloursonne; Alliance Gloursonne; Bouclier du Captain Amakna; Ceinture Volkorne; Casque du Chalœil; Cape du Chalœil; Bottes du Chalœil; Dofus des Glaces; Dofus Pourpre; Dofus Nébuleux; Dofus Ocre; Robuste; Robuste majeur; Kramkram</t>
        </is>
      </c>
    </row>
    <row r="19723">
      <c r="A19723" t="inlineStr">
        <is>
          <t>xxxx</t>
        </is>
      </c>
      <c r="B19723">
        <f>HYPERLINK("https://www.dofusbook.net/fr/equipement/1925546-xxxx/objets", "link")</f>
        <v/>
      </c>
      <c r="C19723" t="n">
        <v>0</v>
      </c>
      <c r="D19723" t="inlineStr">
        <is>
          <t>Lav'Hache; Amulette du Strigide; Bague Gloursonne; Anneau Crustique; Bouclier du Captain Amakna; Ceinture Volkorne; Masque de Koutoulou; Cape au Logis; Bottes de la Cour Sombre; Dofus Ocre; Dofus Turquoise; Dofus Nébuleux; Dévastateur Terre majeur; Enragé majeur; Kompost</t>
        </is>
      </c>
    </row>
    <row r="19724">
      <c r="A19724" t="inlineStr">
        <is>
          <t>agi pété</t>
        </is>
      </c>
      <c r="B19724">
        <f>HYPERLINK("https://www.dofusbook.net/fr/equipement/2930499-agi--pete/objets", "link")</f>
        <v/>
      </c>
      <c r="C19724" t="n">
        <v>0</v>
      </c>
      <c r="D19724" t="inlineStr">
        <is>
          <t>Lance Horselé; Amulette du Strigide; Anneau de Padgref; Gant du Valet Veinard; Bouclier du Captain Amakna; Menoture; Chapibou; Cape Indescriptible; Palmes Trithons; Dofus Pourpre; Dofus Nébuleux; Dofus Turquoise; Dofus Ocre; Cascadeur majeur; Dévastateur Air majeur; Pioute jaune</t>
        </is>
      </c>
    </row>
    <row r="19725">
      <c r="A19725" t="inlineStr">
        <is>
          <t>Stuff 1</t>
        </is>
      </c>
      <c r="B19725">
        <f>HYPERLINK("https://www.dofusbook.net/fr/equipement/247948-stuff-1/objets", "link")</f>
        <v/>
      </c>
      <c r="C19725" t="n">
        <v>2</v>
      </c>
      <c r="D19725" t="inlineStr">
        <is>
          <t>Arc Volkorne; Amulette Volkorne; Quatre-feuilles; Ceinture Volkorne; Cape des Justiciers; Dofus Turquoise; Dofus Nébuleux; Dofus Pourpre; Dofus des Glaces; Remueur; Vigoureux majeur; Muldo Doré et Emeraude</t>
        </is>
      </c>
    </row>
    <row r="19726">
      <c r="A19726" t="inlineStr">
        <is>
          <t>air</t>
        </is>
      </c>
      <c r="B19726">
        <f>HYPERLINK("https://www.dofusbook.net/fr/equipement/2905159-air-/objets", "link")</f>
        <v/>
      </c>
      <c r="C19726" t="n">
        <v>0</v>
      </c>
      <c r="D19726" t="inlineStr">
        <is>
          <t>Manthache; Amibou; Alliance Gloursonne; Gant du Valet Veinard; Quatre-feuilles; Menoture; Couronne d'Allister; Cape du Valet Veinard; Palmes Trithons; Dofus Nébuleux; Dofus Pourpre; Remueur; Dévastateur Air majeur; Ravageur Air majeur; Cascadeur majeur; Blérodoudou</t>
        </is>
      </c>
    </row>
    <row r="19727">
      <c r="A19727" t="inlineStr">
        <is>
          <t>ini 10000</t>
        </is>
      </c>
      <c r="B19727">
        <f>HYPERLINK("https://www.dofusbook.net/fr/equipement/2905280-ini-10000/objets", "link")</f>
        <v/>
      </c>
      <c r="C19727" t="n">
        <v>2</v>
      </c>
      <c r="D19727" t="inlineStr">
        <is>
          <t>Bâton Fracass; Amulette de Danathor; Bague Instable; Anneau Instable; Bouclier Brâkmarien; Ceinture Instable; Kanistère; Cape de l'Œil Attentif; Bottines des sous-bois; Dofus Turquoise; Dofus Pourpre; Initiateur majeur; Précurseur majeur; Précurseur; Givrefoux</t>
        </is>
      </c>
    </row>
    <row r="19728">
      <c r="A19728" t="inlineStr">
        <is>
          <t>eau</t>
        </is>
      </c>
      <c r="B19728">
        <f>HYPERLINK("https://www.dofusbook.net/fr/equipement/2930485-eau/objets", "link")</f>
        <v/>
      </c>
      <c r="C19728" t="n">
        <v>0</v>
      </c>
      <c r="D19728" t="inlineStr">
        <is>
          <t>Sceptre du Roi Joueur; Amulette du Sinistrofu; Bracelet des Fonds marins; Anneau Volkorne; Bouclier du Captain Amakna; Ceinture Glaciale; Capuche de l'Œil Attentif; Cape Solution; Bottes du Sinistrofu; Dofus Turquoise; Dofus Nébuleux; Dofus Pourpre; Remueur; Chanceux majeur; Nomade; Kanigloups</t>
        </is>
      </c>
    </row>
    <row r="19729">
      <c r="A19729" t="inlineStr">
        <is>
          <t>feu</t>
        </is>
      </c>
      <c r="B19729">
        <f>HYPERLINK("https://www.dofusbook.net/fr/equipement/1341268-feu/objets", "link")</f>
        <v/>
      </c>
      <c r="C19729" t="n">
        <v>0</v>
      </c>
      <c r="D19729" t="inlineStr">
        <is>
          <t>Massier; Amulette d'Otomaï; Bague Gloursonne; Anneauræus; Quatre-feuilles; Ceinture Séculaire; Heaume Oplate; Cape de la Dame du Hasard; Bottes d'Otomaï; Dofus Ocre; Dofus Nébuleux; Remueur; Nomade; Dévastateur Feu majeur; Érudit majeur; Bisouglours</t>
        </is>
      </c>
    </row>
    <row r="19730">
      <c r="A19730" t="inlineStr">
        <is>
          <t>rien a foutre</t>
        </is>
      </c>
      <c r="B19730">
        <f>HYPERLINK("https://www.dofusbook.net/fr/equipement/2975040-rien-a-foutre-/objets", "link")</f>
        <v/>
      </c>
      <c r="C19730" t="n">
        <v>0</v>
      </c>
      <c r="D19730" t="inlineStr">
        <is>
          <t>Hache du Korriandre; Amulette d'Oshimo; Anneau du Professeur Xa; Alliance Gloursonne; Bouclier du Captain Amakna; Poulpagne; Némès de Tal Kasha; Chevelure de Tal Kasha; Sandales de Tal Kasha; Dofus Ocre; Dofus Pourpre; Dofus Nébuleux; Dofus des Glaces; Dofus Turquoise; Furibond majeur; Muldo Ebène et Indigo</t>
        </is>
      </c>
    </row>
    <row r="19731">
      <c r="A19731" t="inlineStr">
        <is>
          <t>terre feu air</t>
        </is>
      </c>
      <c r="B19731">
        <f>HYPERLINK("https://www.dofusbook.net/fr/equipement/1933725-terre-feu-air/objets", "link")</f>
        <v/>
      </c>
      <c r="C19731" t="n">
        <v>0</v>
      </c>
      <c r="D19731" t="inlineStr">
        <is>
          <t>Marteau de Katrepat; Amulette du Cycloïde; Anneau du Cycloïde; Alliance Brûlâme; Bouclier du Captain Amakna; Ceinture du Strigide; Masque Brûlâme; Voile d'encre; Pompes Funèbres; Dofus Ocre; Dofus Pourpre; Dofus des Glaces; Dofus Turquoise; Dofus Nébuleux; Kokulte</t>
        </is>
      </c>
    </row>
    <row r="19732">
      <c r="A19732" t="inlineStr">
        <is>
          <t>Iop M 200</t>
        </is>
      </c>
      <c r="B19732">
        <f>HYPERLINK("https://www.dofusbook.net/fr/equipement/3261451-iop-m-200/objets", "link")</f>
        <v/>
      </c>
      <c r="C19732" t="n">
        <v>3</v>
      </c>
      <c r="D19732" t="inlineStr">
        <is>
          <t>Marteau R'ture; Amulette du Strigide; Bague Gloursonne; Anneau du Comte Harebourg; Bouclier du Captain Amakna; Ceinture Gence; Coiffe du Comte Harebourg; Cape au Logis; Bottes de la Cour Sombre; Dofus Nébuleux; Dofus Ocre; Dofus Turquoise; Forcené majeur; Enragé majeur; Dévastateur Terre majeur; Bulbisou</t>
        </is>
      </c>
    </row>
    <row r="19733">
      <c r="A19733" t="inlineStr">
        <is>
          <t>Stuff 3</t>
        </is>
      </c>
      <c r="B19733">
        <f>HYPERLINK("https://www.dofusbook.net/fr/equipement/247953-stuff-3/objets", "link")</f>
        <v/>
      </c>
      <c r="C19733" t="n">
        <v>0</v>
      </c>
      <c r="D19733" t="inlineStr">
        <is>
          <t>Arc du Chalœil; Amulette du Strigide; Bague Gloursonne; Anneau du Comte Harebourg; Bouclier du Captain Amakna; Ceinture de Brouce; Coiffe du Comte Harebourg; Voile d'encre; Bottes de la Cour Sombre; Dofus Ocre; Dofus Turquoise; Forcené majeur; Enragé majeur; Remueur; Nomade; Pioute vert</t>
        </is>
      </c>
    </row>
    <row r="19734">
      <c r="A19734" t="inlineStr">
        <is>
          <t>Stuff 3</t>
        </is>
      </c>
      <c r="B19734">
        <f>HYPERLINK("https://www.dofusbook.net/fr/equipement/247956-stuff-3/objets", "link")</f>
        <v/>
      </c>
      <c r="C19734" t="n">
        <v>0</v>
      </c>
      <c r="D19734" t="inlineStr">
        <is>
          <t>Arc du Chalœil; Amulette Luminescente; Bague Trithon; Bague Instable; Bouclier Taverne; Ceinture Gence; Casque Dragoeuf; Cape Luminescente; Bottes du Cœur Vaillant; Dofus Pourpre; Dofus Turquoise; Bousculeur majeur; Remueur; Culbuteur majeur; Nomade; Molosk</t>
        </is>
      </c>
    </row>
    <row r="19735">
      <c r="A19735" t="inlineStr">
        <is>
          <t>do pou</t>
        </is>
      </c>
      <c r="B19735">
        <f>HYPERLINK("https://www.dofusbook.net/fr/equipement/2461571-do-pou/objets", "link")</f>
        <v/>
      </c>
      <c r="C19735" t="n">
        <v>0</v>
      </c>
      <c r="D19735" t="inlineStr">
        <is>
          <t>Arc du Chalœil; Amulette Luminescente; Bague Instable; Bague Trithon; Bouclier Taverne; Ceinture Gence; Casque Dragoeuf; Cape Luminescente; Bottes du Cœur Vaillant; Dofus Turquoise; Dofus Pourpre; Remueur; Culbuteur majeur; Nomade; Bousculeur majeur; Molosk</t>
        </is>
      </c>
    </row>
    <row r="19736">
      <c r="A19736" t="inlineStr">
        <is>
          <t>air ret pa</t>
        </is>
      </c>
      <c r="B19736">
        <f>HYPERLINK("https://www.dofusbook.net/fr/equipement/2511101-air-ret-pa/objets", "link")</f>
        <v/>
      </c>
      <c r="C19736" t="n">
        <v>0</v>
      </c>
      <c r="D19736" t="inlineStr">
        <is>
          <t>Lance Horselé; Amulette du Cœur Vaillant; Anneau d'Allister; Alliance Gloursonne; Sept ans de malheur; Menoture; Masque du Granduk; Chevelure de Tal Kasha; Sandales de Tal Kasha; Dofus Turquoise; Dofus Pourpre; Remueur; Étourdisseur majeur; Carapace Air majeur; Nomade</t>
        </is>
      </c>
    </row>
    <row r="19737">
      <c r="A19737" t="inlineStr">
        <is>
          <t>terre feu</t>
        </is>
      </c>
      <c r="B19737">
        <f>HYPERLINK("https://www.dofusbook.net/fr/equipement/2908559-terre-feu-/objets", "link")</f>
        <v/>
      </c>
      <c r="C19737" t="n">
        <v>0</v>
      </c>
      <c r="D19737" t="inlineStr">
        <is>
          <t>Dagues Érhy; Amulette du Strigide; Bague Gloursonne; Chevalière du Roi Joueur; Quatre-feuilles; Ceinture du Strigide; Couronne du Roi Joueur; Voile d'encre; Bottes du Roi Joueur; Dofus Turquoise; Dofus Nébuleux; Dofus Pourpre; Dofus Ocre; Dofus Abyssal; Dofus des Glaces; Volkorne Pourpre et Orchidée</t>
        </is>
      </c>
    </row>
    <row r="19738">
      <c r="A19738" t="inlineStr">
        <is>
          <t>agi pété</t>
        </is>
      </c>
      <c r="B19738">
        <f>HYPERLINK("https://www.dofusbook.net/fr/equipement/3015220-agi--pete/objets", "link")</f>
        <v/>
      </c>
      <c r="C19738" t="n">
        <v>0</v>
      </c>
      <c r="D19738" t="inlineStr">
        <is>
          <t>Karnak; Amibou; Gant du Valet Veinard; Alliance Gloursonne; Quatre-feuilles; Menoture; Chapeau de Tournoyé; Capibou; Palmes Trithons; Dofus Pourpre; Dofus Turquoise; Cascadeur majeur; Dévastateur Air majeur; Remueur; Nomade; Dragodinde Ebène</t>
        </is>
      </c>
    </row>
    <row r="19739">
      <c r="A19739" t="inlineStr">
        <is>
          <t>multi res</t>
        </is>
      </c>
      <c r="B19739">
        <f>HYPERLINK("https://www.dofusbook.net/fr/equipement/3093463-multi-res/objets", "link")</f>
        <v/>
      </c>
      <c r="C19739" t="n">
        <v>0</v>
      </c>
      <c r="D19739" t="inlineStr">
        <is>
          <t>Epée Gloursonne; Amulette du Strigide; Alliance Gloursonne; Bague Gloursonne; Bouclier du Captain Amakna; Ceinture du Strigide; Chapeau Lisson; Dofusteuse; Bottes du Strigide; Dofus Ocre; Dofus des Glaces; Dofus Turquoise; Dofus Nébuleux; Dofus Pourpre; Puissant majeur; Dragodinde Emeraude et Ivoire</t>
        </is>
      </c>
    </row>
    <row r="19740">
      <c r="A19740" t="inlineStr">
        <is>
          <t>terre eau air</t>
        </is>
      </c>
      <c r="B19740">
        <f>HYPERLINK("https://www.dofusbook.net/fr/equipement/2415540-terre-eau-air/objets", "link")</f>
        <v/>
      </c>
      <c r="C19740" t="n">
        <v>0</v>
      </c>
      <c r="D19740" t="inlineStr">
        <is>
          <t>Hache Euvale; Amulette Luminescente; Anneau en Grithril; Bracelet du Piloztère; Bouclier Taverne; Ceinture de la Reine des Voleurs; Masque de Funespadon; Cape Luminescente; Bottes Honyme; Dofus Pourpre; Dofus Turquoise; Chanceux majeur; Enragé majeur; Nomade; Vigoureux majeur; Volkorne Pourpre et Indigo</t>
        </is>
      </c>
    </row>
    <row r="19741">
      <c r="A19741" t="inlineStr">
        <is>
          <t>fofofo2</t>
        </is>
      </c>
      <c r="B19741">
        <f>HYPERLINK("https://www.dofusbook.net/fr/equipement/1079352-fofofo2/objets", "link")</f>
        <v/>
      </c>
      <c r="C19741" t="n">
        <v>0</v>
      </c>
      <c r="D19741" t="inlineStr">
        <is>
          <t>Epée Toche; Amulette de Gein; Bague Gloursonne; Chevalière du Roi Joueur; Bouclier du Captain Amakna; Ceinture du Strigide; Chapeau de Gein; Voile d'encre; Bottes Honyme; Dofus Turquoise; Dofus Nébuleux; Dofus Pourpre; Remueur; Sanguinaire majeur; Vigoureux majeur; Muldo Prune et Emeraude</t>
        </is>
      </c>
    </row>
    <row r="19742">
      <c r="A19742" t="inlineStr">
        <is>
          <t>terre</t>
        </is>
      </c>
      <c r="B19742">
        <f>HYPERLINK("https://www.dofusbook.net/fr/equipement/2220190-terre/objets", "link")</f>
        <v/>
      </c>
      <c r="C19742" t="n">
        <v>1</v>
      </c>
      <c r="D19742" t="inlineStr">
        <is>
          <t>Dagues d'Ilyzaelle; Amulette Luminescente; Anneau Crustique; Chevalière du Roi Joueur; Bouclier cubiste; Ceinture Luminescente; Couronne du Roi Joueur; Cape Luminescente; Bottes du Roi Joueur; Dofus Turquoise; Dofus Pourpre; Entraveur; Ralentisseur majeur; Entraveur majeur; Forcené majeur; Volkorne Pourpre et Orchidée</t>
        </is>
      </c>
    </row>
    <row r="19743">
      <c r="A19743" t="inlineStr">
        <is>
          <t>terre</t>
        </is>
      </c>
      <c r="B19743">
        <f>HYPERLINK("https://www.dofusbook.net/fr/equipement/2975795-terre/objets", "link")</f>
        <v/>
      </c>
      <c r="C19743" t="n">
        <v>1</v>
      </c>
      <c r="D19743" t="inlineStr">
        <is>
          <t>Dagues d'Ilyzaelle; Amulette Volcanique; Chevalière du Roi Joueur; Anneau Crustique; Bouclier du Captain Amakna; Ceinture du Strigide; Couronne du Roi Joueur; Cape du Professeur Xa; Bottes du Cœur Saignant; Dofus Turquoise; Dofus Nébuleux; Dofus Pourpre; Enragé majeur; Dévastateur Terre majeur; Remueur; Volkorne Pourpre</t>
        </is>
      </c>
    </row>
    <row r="19744">
      <c r="A19744" t="inlineStr">
        <is>
          <t>Stuff 2</t>
        </is>
      </c>
      <c r="B19744">
        <f>HYPERLINK("https://www.dofusbook.net/fr/equipement/247961-stuff-2/objets", "link")</f>
        <v/>
      </c>
      <c r="C19744" t="n">
        <v>1</v>
      </c>
      <c r="D19744" t="inlineStr">
        <is>
          <t>Baguette Hique; Amulette Luminescente; Pikano; Anneau des Prophètes; Bouclier cubiste; Ceinture Glaciale; Casquette de Meno; Cape Solution; Bottes de Meno; Temporiseur majeur; Remueur; Chanceux majeur; Entraveur majeur; Dévastateur Eau majeur; Nomade; Dragodinde Prune et Indigo</t>
        </is>
      </c>
    </row>
    <row r="19745">
      <c r="A19745" t="inlineStr">
        <is>
          <t>eau</t>
        </is>
      </c>
      <c r="B19745">
        <f>HYPERLINK("https://www.dofusbook.net/fr/equipement/2635640-eau/objets", "link")</f>
        <v/>
      </c>
      <c r="C19745" t="n">
        <v>1</v>
      </c>
      <c r="D19745" t="inlineStr">
        <is>
          <t>Dagoulinantes; Amulette de Shokkoth; Anneau Glacial; Alliance Gloursonne; Bouclier Taverne; Ceinture Glaciale; Capuche de l'Œil Attentif; Cape Solution; Bottes du Nocturlabe; Dofus Pourpre; Remueur; Dévastateur Eau majeur; Vigoureux majeur; Nomade; Chanceux majeur; Dragodinde Indigo et Ivoire</t>
        </is>
      </c>
    </row>
    <row r="19746">
      <c r="A19746" t="inlineStr">
        <is>
          <t>terre-retpm</t>
        </is>
      </c>
      <c r="B19746">
        <f>HYPERLINK("https://www.dofusbook.net/fr/equipement/2100716-terre-retpm/objets", "link")</f>
        <v/>
      </c>
      <c r="C19746" t="n">
        <v>0</v>
      </c>
      <c r="D19746" t="inlineStr">
        <is>
          <t>Dagues d'Ilyzaelle; Amulette Luminescente; Chevalière du Roi Joueur; Anneau Vicieux; Bouclier cubiste; Ceinture Luminescente; Couronne du Roi Joueur; Cape de Kongoku; Bottes du Roi Joueur; Dofus Turquoise; Dofus Pourpre; Dofus Ocre; Entraveur majeur; Entraveur; Ralentisseur majeur; Dragodinde Ivoire et Pourpre</t>
        </is>
      </c>
    </row>
    <row r="19747">
      <c r="A19747" t="inlineStr">
        <is>
          <t>air pvm</t>
        </is>
      </c>
      <c r="B19747">
        <f>HYPERLINK("https://www.dofusbook.net/fr/equipement/2781076-air-pvm/objets", "link")</f>
        <v/>
      </c>
      <c r="C19747" t="n">
        <v>0</v>
      </c>
      <c r="D19747" t="inlineStr">
        <is>
          <t>Karnak; Amibou; Gant du Valet Veinard; Alliance Gloursonne; Quatre-feuilles; Menoture; Chapeau de Tournoyé; Cape du Valet Veinard; Palmes Trithons; Dofus Nébuleux; Dofus Turquoise; Dofus Pourpre; Remueur; Cascadeur majeur; Dévastateur Air majeur; Dragodinde Dorée et Ebène</t>
        </is>
      </c>
    </row>
    <row r="19748">
      <c r="A19748" t="inlineStr">
        <is>
          <t>on va voir</t>
        </is>
      </c>
      <c r="B19748">
        <f>HYPERLINK("https://www.dofusbook.net/fr/equipement/2930990-on-va-voir-/objets", "link")</f>
        <v/>
      </c>
      <c r="C19748" t="n">
        <v>0</v>
      </c>
      <c r="D19748" t="inlineStr">
        <is>
          <t>Baguette Range; Pendentif mignon de Koutoulou; Anneau de Padgref; Anneau Rifique; Bouclier cubiste; Ceinture du Strigide; Maskrobe; Cape de l'Œil Putride; Pantoufles Émar; Dofus Pourpre; Entraveur majeur; Remueur; Temporiseur majeur; Vigoureux majeur; Ralentisseur majeur; Dragodinde Ebène et Orchidée</t>
        </is>
      </c>
    </row>
    <row r="19749">
      <c r="A19749" t="inlineStr">
        <is>
          <t>terre feu ret pm</t>
        </is>
      </c>
      <c r="B19749">
        <f>HYPERLINK("https://www.dofusbook.net/fr/equipement/2930847-terre-feu-ret-pm/objets", "link")</f>
        <v/>
      </c>
      <c r="C19749" t="n">
        <v>0</v>
      </c>
      <c r="D19749" t="inlineStr">
        <is>
          <t>Epée Gloursonne; Amulette Volcanique; Alliance Gloursonne; Bague Gloursonne; Bouclier cubiste; Ceinture Hanium; Couronne du Roi Joueur; Sac Volcanique; Sabots Volcaniques; Dofus Pourpre; Dofus Turquoise; Ralentisseur majeur; Entraveur majeur; Furibond majeur; Savant majeur; Kwaltess</t>
        </is>
      </c>
    </row>
    <row r="19750">
      <c r="A19750" t="inlineStr">
        <is>
          <t>feu air</t>
        </is>
      </c>
      <c r="B19750">
        <f>HYPERLINK("https://www.dofusbook.net/fr/equipement/3543328-feu-air/objets", "link")</f>
        <v/>
      </c>
      <c r="C19750" t="n">
        <v>0</v>
      </c>
      <c r="D19750" t="inlineStr">
        <is>
          <t>Epée Gloursonne; Amulette Volkorne; Bague Gloursonne; Anneau Volkorne; Bouclier d'Ilyzaelle; Ceinture Volkorne; Casque Volkorne; Chevelure de Tal Kasha; Sandales de Tal Kasha; Dofus Ocre; Dofus Pourpre; Dofus des Glaces; Dofus Nébuleux; Puissant majeur; Dragodinde Ebène et Indigo</t>
        </is>
      </c>
    </row>
    <row r="19751">
      <c r="A19751" t="inlineStr">
        <is>
          <t>air eau</t>
        </is>
      </c>
      <c r="B19751">
        <f>HYPERLINK("https://www.dofusbook.net/fr/equipement/2461675-air-eau/objets", "link")</f>
        <v/>
      </c>
      <c r="C19751" t="n">
        <v>0</v>
      </c>
      <c r="D19751" t="inlineStr">
        <is>
          <t>Épée Brûlâme; Talisman Igans; Anneau Toriété; Alliance du Lévitrof; Quatre-feuilles; Ceintrigue; Casquette de Meno; Cape de la Dame du Hasard; Pataugastrique; Dofus Pourpre; Dofus Turquoise; Vigoureux majeur; Remueur; Chanceux majeur; Érudit majeur; Dragodinde Emeraude et Ivoire</t>
        </is>
      </c>
    </row>
    <row r="19752">
      <c r="A19752" t="inlineStr">
        <is>
          <t>feu distance</t>
        </is>
      </c>
      <c r="B19752">
        <f>HYPERLINK("https://www.dofusbook.net/fr/equipement/2705742-feu-distance/objets", "link")</f>
        <v/>
      </c>
      <c r="C19752" t="n">
        <v>0</v>
      </c>
      <c r="D19752" t="inlineStr">
        <is>
          <t>Épée Brûlâme; Talisman Igans; Anneau Toriété; Alliance du Lévitrof; Quatre-feuilles; Ceintrigue; Casquette de Meno; Cape de la Dame du Hasard; Pataugastrique; Dofus Pourpre; Dofus Turquoise; Vigoureux majeur; Remueur; Chanceux majeur; Érudit majeur; Dragodinde Emeraude et Ivoire</t>
        </is>
      </c>
    </row>
    <row r="19753">
      <c r="A19753" t="inlineStr">
        <is>
          <t>feu-eau</t>
        </is>
      </c>
      <c r="B19753">
        <f>HYPERLINK("https://www.dofusbook.net/fr/equipement/985859-feu-eau/objets", "link")</f>
        <v/>
      </c>
      <c r="C19753" t="n">
        <v>0</v>
      </c>
      <c r="D19753" t="inlineStr">
        <is>
          <t>Épée Brûlâme; Talisman Igans; Alliance du Lévitrof; Anneau Toriété; Quatre-feuilles; Ceintrigue; Casquette de Meno; Cape de la Dame du Hasard; Pataugastrique; Dofus Turquoise; Dofus Pourpre; Érudit majeur; Vigoureux majeur; Remueur; Chanceux majeur; Dragodinde Emeraude et Ivoire</t>
        </is>
      </c>
    </row>
    <row r="19754">
      <c r="A19754" t="inlineStr">
        <is>
          <t>feu-eau</t>
        </is>
      </c>
      <c r="B19754">
        <f>HYPERLINK("https://www.dofusbook.net/fr/equipement/2801712-feu-eau/objets", "link")</f>
        <v/>
      </c>
      <c r="C19754" t="n">
        <v>1</v>
      </c>
      <c r="D19754" t="inlineStr">
        <is>
          <t>Épée Brûlâme; Collier de la Dame du Hasard; Anneau Kturne; Alliance du Lévitrof; Bouclier du Captain Amakna; Ceinture de l'Esprit Malsain; Casquette de Meno; Cape de la Dame du Hasard; Pataugastrique; Dofus Pourpre; Dofus Nébuleux; Dofus des Glaces; Dofus Turquoise; Vigoureux majeur; Remueur; Muldo Prune et Emeraude</t>
        </is>
      </c>
    </row>
    <row r="19755">
      <c r="A19755" t="inlineStr">
        <is>
          <t>terre air</t>
        </is>
      </c>
      <c r="B19755">
        <f>HYPERLINK("https://www.dofusbook.net/fr/equipement/3158620-terre-air/objets", "link")</f>
        <v/>
      </c>
      <c r="C19755" t="n">
        <v>0</v>
      </c>
      <c r="D19755" t="inlineStr">
        <is>
          <t>Hache Ériphe; Amulette du Cœur Vaillant; Bague Trithon; Alliance Brûlâme; Bouclier Taverne; Ceinture du Strigide; Masque Trithon; Cape de la Fuji Givrefoux; Baleinabottes; Dofus Turquoise; Dofus Nébuleux; Dofus Pourpre; Culbuteur majeur; Carapace Terre majeur; Remueur; Tatouf</t>
        </is>
      </c>
    </row>
    <row r="19756">
      <c r="A19756" t="inlineStr">
        <is>
          <t>vvfvfvf</t>
        </is>
      </c>
      <c r="B19756">
        <f>HYPERLINK("https://www.dofusbook.net/fr/equipement/1934765-vvfvfvf/objets", "link")</f>
        <v/>
      </c>
      <c r="C19756" t="n">
        <v>0</v>
      </c>
      <c r="D19756" t="inlineStr">
        <is>
          <t>Arc Volkorne; Amulette du Strigide; Goulano; Anneau Toriété; Bouclier du Captain Amakna; Ceinture du Strigide; Casque de Missiz Frizz; Cape des Justiciers; Bottes du Cycloïde; Dofus Turquoise; Dofus Nébuleux; Dofus Pourpre; Dofus des Glaces; Remueur; Vigoureux majeur; Muldo Doré et Emeraude</t>
        </is>
      </c>
    </row>
    <row r="19757">
      <c r="A19757" t="inlineStr">
        <is>
          <t>terre 3</t>
        </is>
      </c>
      <c r="B19757">
        <f>HYPERLINK("https://www.dofusbook.net/fr/equipement/3171369-terre-3/objets", "link")</f>
        <v/>
      </c>
      <c r="C19757" t="n">
        <v>1</v>
      </c>
      <c r="D19757" t="inlineStr">
        <is>
          <t>Dagues d'Ilyzaelle; Amulette du Strigide; Anneau du Comte Harebourg; Bague Gloursonne; Bouclier du Captain Amakna; Ceinture Gence; Coiffe du Comte Harebourg; Cape au Logis; Bottes de la Cour Sombre; Dofus Turquoise; Dofus Nébuleux; Dofus Ocre; Enragé majeur; Dévastateur Terre majeur; Forcené majeur; Dragodinde Pourpre</t>
        </is>
      </c>
    </row>
    <row r="19758">
      <c r="A19758" t="inlineStr">
        <is>
          <t>Stuff 2</t>
        </is>
      </c>
      <c r="B19758">
        <f>HYPERLINK("https://www.dofusbook.net/fr/equipement/247958-stuff-2/objets", "link")</f>
        <v/>
      </c>
      <c r="C19758" t="n">
        <v>0</v>
      </c>
      <c r="D19758" t="inlineStr">
        <is>
          <t>Epée Toche; Amulette Volcanique; Bague Gloursonne; Baguistik; Bivalve; Ceinture du Comte Razof; Chapeau du Comte Razof; Cape du Professeur Xa; Bottes du Roi Joueur; Dofus des Glaces; Dofus des Veilleurs; Dofus Pourpre; Érudit majeur; Remueur; Nomade; Kwaltess</t>
        </is>
      </c>
    </row>
    <row r="19759">
      <c r="A19759" t="inlineStr">
        <is>
          <t>Staff 4</t>
        </is>
      </c>
      <c r="B19759">
        <f>HYPERLINK("https://www.dofusbook.net/fr/equipement/2220295-staff-4/objets", "link")</f>
        <v/>
      </c>
      <c r="C19759" t="n">
        <v>0</v>
      </c>
      <c r="D19759" t="inlineStr">
        <is>
          <t>Arc corrompu; Amulette d'Otomaï; Anneauræus; Bague Gloursonne; Quatre-feuilles; Ceinture Séculaire; Heaume Oplate; Cape de la Dame du Hasard; Bottes d'Otomaï; Dofus Pourpre; Dofus Turquoise; Érudit majeur; Astucieux majeur; Dévastateur Feu majeur; Remueur; Brûlih</t>
        </is>
      </c>
    </row>
    <row r="19760">
      <c r="A19760" t="inlineStr">
        <is>
          <t>multi no crit</t>
        </is>
      </c>
      <c r="B19760">
        <f>HYPERLINK("https://www.dofusbook.net/fr/equipement/3093422-multi-no-crit/objets", "link")</f>
        <v/>
      </c>
      <c r="C19760" t="n">
        <v>3</v>
      </c>
      <c r="D19760" t="inlineStr">
        <is>
          <t>Epée Maudite du Saigneur Guerrier; Amulette du Strigide; Anneau Volkorne; Bague Trithon; Bouclier du Captain Amakna; Ceinture du Strigide; Casque Volkorne; Dofusteuse; Bottes du Strigide; Dofus Nébuleux; Dofus Pourpre; Dolmanax; Dofus Turquoise; Dofus Ocre; Dofus des Glaces; Volkorne Pourpre et Orchidée</t>
        </is>
      </c>
    </row>
    <row r="19761">
      <c r="A19761" t="inlineStr">
        <is>
          <t>terre ret pa</t>
        </is>
      </c>
      <c r="B19761">
        <f>HYPERLINK("https://www.dofusbook.net/fr/equipement/3197867-terre-ret-pa/objets", "link")</f>
        <v/>
      </c>
      <c r="C19761" t="n">
        <v>0</v>
      </c>
      <c r="D19761" t="inlineStr">
        <is>
          <t>Harpelle; Amulette d'Otomaï; Bague Gloursonne; Anneauræus; Bivalve; Ceinture Séculaire; Couronne de Nidas; Cape de Meno; Bottes de Meno; Dofus Pourpre; Dofus Turquoise; Guérisseur majeur; Nomade; Érudit majeur; Remueur; Volkorne Rubis et Orchidée</t>
        </is>
      </c>
    </row>
    <row r="19762">
      <c r="A19762" t="inlineStr">
        <is>
          <t>feu</t>
        </is>
      </c>
      <c r="B19762">
        <f>HYPERLINK("https://www.dofusbook.net/fr/equipement/3013231-feu/objets", "link")</f>
        <v/>
      </c>
      <c r="C19762" t="n">
        <v>0</v>
      </c>
      <c r="D19762" t="inlineStr">
        <is>
          <t>Faux Maudite du Saigneur Guerrier; Amulette du Strigide; Anneau Volkorne; Bague Trithon; Bouclier du Captain Amakna; Ceinture du Strigide; Casque Volkorne; Dofusteuse; Bottes du Strigide; Dofus Nébuleux; Dofus Pourpre; Dolmanax; Dofus Turquoise; Dofus Ocre; Dofus des Glaces; Volkorne Pourpre et Orchidée</t>
        </is>
      </c>
    </row>
    <row r="19763">
      <c r="A19763" t="inlineStr">
        <is>
          <t>eau-air</t>
        </is>
      </c>
      <c r="B19763">
        <f>HYPERLINK("https://www.dofusbook.net/fr/equipement/1234259-eau-air/objets", "link")</f>
        <v/>
      </c>
      <c r="C19763" t="n">
        <v>0</v>
      </c>
      <c r="D19763" t="inlineStr">
        <is>
          <t>Hache du Korriandre; Amulette du Strigide; Alliance Gloursonne; Bracelet du Piloztère; Bouclier du Captain Amakna; Ceintacé; Némès de Tal Kasha; Chevelure de Tal Kasha; Bottes de la Reine des Voleurs; Dofus Émeraude; Dofus Pourpre; Dofus Nébuleux; Dofus Turquoise; Vigoureux majeur; Remueur; Muldo Doré et Emeraude</t>
        </is>
      </c>
    </row>
    <row r="19764">
      <c r="A19764" t="inlineStr">
        <is>
          <t>multi</t>
        </is>
      </c>
      <c r="B19764">
        <f>HYPERLINK("https://www.dofusbook.net/fr/equipement/3158546-multi/objets", "link")</f>
        <v/>
      </c>
      <c r="C19764" t="n">
        <v>0</v>
      </c>
      <c r="D19764" t="inlineStr">
        <is>
          <t>Arc Volkorne; Amulette du Strigide; Goulano; Anneau Toriété; Bouclier du Captain Amakna; Ceinture du Strigide; Casque de Missiz Frizz; Cape des Justiciers; Bottes du Cycloïde; Dofus Turquoise; Dofus Nébuleux; Dofus Pourpre; Dofus des Glaces; Remueur; Vigoureux majeur; Muldo Doré et Emeraude</t>
        </is>
      </c>
    </row>
    <row r="19765">
      <c r="A19765" t="inlineStr">
        <is>
          <t>Sacrieur M 200</t>
        </is>
      </c>
      <c r="B19765">
        <f>HYPERLINK("https://www.dofusbook.net/fr/equipement/3261349-sacrieur-m-200/objets", "link")</f>
        <v/>
      </c>
      <c r="C19765" t="n">
        <v>1</v>
      </c>
      <c r="D19765" t="inlineStr">
        <is>
          <t>Sabres d'Atcham; Amulette de l'Œil Putride; Alliance Gloursonne; Bague Trithon; Bouclier Taverne; Ceintacé; Chapeau des Malveilleurs; Cape des Malveilleurs; Getas de Padgref; Dofus Nébuleux; Dofus Pourpre; Dofus Turquoise; Remueur</t>
        </is>
      </c>
    </row>
    <row r="19766">
      <c r="A19766" t="inlineStr">
        <is>
          <t>Stuff 2</t>
        </is>
      </c>
      <c r="B19766">
        <f>HYPERLINK("https://www.dofusbook.net/fr/equipement/991147-stuff-2/objets", "link")</f>
        <v/>
      </c>
      <c r="C19766" t="n">
        <v>0</v>
      </c>
      <c r="D19766" t="inlineStr">
        <is>
          <t>Dagues d'Ilyzaelle; Amulette du Strigide; Anneau de Brouce; Anneau Crustique; Bouclier Taverne; Ceintacé; Masque de Koutoulou; Cape du Cœur Saignant; Bottes de Brouce; Dofus des Glaces; Dofus Pourpre; Dofus Nébuleux; Dofus Turquoise; Carapace Terre majeur; Enragé majeur; Muldo Prune et Emeraude</t>
        </is>
      </c>
    </row>
    <row r="19767">
      <c r="A19767" t="inlineStr">
        <is>
          <t>terre esq pa</t>
        </is>
      </c>
      <c r="B19767">
        <f>HYPERLINK("https://www.dofusbook.net/fr/equipement/3173749-terre-esq-pa-/objets", "link")</f>
        <v/>
      </c>
      <c r="C19767" t="n">
        <v>0</v>
      </c>
      <c r="D19767" t="inlineStr">
        <is>
          <t>Youyettes; Collier de Tourthon; Anneau de Brouce; Anneau Crustique; Bouclier Taverne; Ceinture de Brouce; Masque de Koutoulou; Cape au Logis; Baleinabottes; Dofus Nébuleux; Dofus Turquoise; Dofus Pourpre; Remueur; Carapace Terre majeur; Enragé majeur; Muldo Indigo et Pourpre</t>
        </is>
      </c>
    </row>
    <row r="19768">
      <c r="A19768" t="inlineStr">
        <is>
          <t>terre2</t>
        </is>
      </c>
      <c r="B19768">
        <f>HYPERLINK("https://www.dofusbook.net/fr/equipement/3091157-terre2/objets", "link")</f>
        <v/>
      </c>
      <c r="C19768" t="n">
        <v>1</v>
      </c>
      <c r="D19768" t="inlineStr">
        <is>
          <t>Marteau R'ture; Amulette de Nevark; Anneau Crustique; Anneau Crustique; Bouclier Taverne; Ceinture Gence; Coiffe du Comte Harebourg; Cape de la Cour Sombre; Bottes de Brouce; Dofus Pourpre; Dofus des Glaces; Dofus Nébuleux; Dofus Turquoise; Remueur; Enragé majeur; Kompost</t>
        </is>
      </c>
    </row>
    <row r="19769">
      <c r="A19769" t="inlineStr">
        <is>
          <t>Feu eau air 2</t>
        </is>
      </c>
      <c r="B19769">
        <f>HYPERLINK("https://www.dofusbook.net/fr/equipement/3211067-feu-eau-air-2/objets", "link")</f>
        <v/>
      </c>
      <c r="C19769" t="n">
        <v>0</v>
      </c>
      <c r="D19769" t="inlineStr">
        <is>
          <t>Epée Gloursonne; Amulette du Strigide; Bague Gloursonne; Alliance Gloursonne; Bouclier Taverne; Ceinture du Strigide; Chapeau des Malveilleurs; Cape des Malveilleurs; Bottes des Malveilleurs; Dofus Pourpre; Dofus des Glaces; Dofus Turquoise; Dofus Nébuleux; Dofus Ocre; Muldo Indigo et Orchidée</t>
        </is>
      </c>
    </row>
    <row r="19770">
      <c r="A19770" t="inlineStr">
        <is>
          <t>terre esq pa</t>
        </is>
      </c>
      <c r="B19770">
        <f>HYPERLINK("https://www.dofusbook.net/fr/equipement/3203647-terre-esq-pa/objets", "link")</f>
        <v/>
      </c>
      <c r="C19770" t="n">
        <v>0</v>
      </c>
      <c r="D19770" t="inlineStr">
        <is>
          <t>Lav'Hache; Amulette du Strigide; Bague Trithon; Anneau Crustique; Bouclier Taverne; Ceinture Gence; Masque Trithon; Cape du Kamasterisk; Pantoufles du Piloztère; Dofus Turquoise; Dofus des Glaces; Dofus Nébuleux; Bousculeur majeur; Culbuteur majeur; Remueur; Muldo Orchidée et Ivoire</t>
        </is>
      </c>
    </row>
    <row r="19771">
      <c r="A19771" t="inlineStr">
        <is>
          <t>agi do pou</t>
        </is>
      </c>
      <c r="B19771">
        <f>HYPERLINK("https://www.dofusbook.net/fr/equipement/3193356-agi-do-pou/objets", "link")</f>
        <v/>
      </c>
      <c r="C19771" t="n">
        <v>0</v>
      </c>
      <c r="D19771" t="inlineStr">
        <is>
          <t>Hachoirs de Viandargh; Amibou; Alliance Gloursonne; Bague Trithon; Bouclier Taverne; Menoture; Casque Dragoeuf; Capibou; Getas de Padgref; Dofus Nébuleux; Dofus Turquoise; Bousculeur majeur; Remueur; Culbuteur majeur; Cascadeur majeur; Muldo Ebène</t>
        </is>
      </c>
    </row>
    <row r="19772">
      <c r="A19772" t="inlineStr">
        <is>
          <t>agi do pou</t>
        </is>
      </c>
      <c r="B19772">
        <f>HYPERLINK("https://www.dofusbook.net/fr/equipement/3193305-agi-do-pou/objets", "link")</f>
        <v/>
      </c>
      <c r="C19772" t="n">
        <v>1</v>
      </c>
      <c r="D19772" t="inlineStr">
        <is>
          <t>Hachoirs de Viandargh; Amibou; Alliance Gloursonne; Bague Trithon; Bouclier Taverne; Menoture; Casque Dragoeuf; Capibou; Getas de Padgref; Dofus Nébuleux; Dofus Turquoise; Culbuteur majeur; Cascadeur majeur; Bousculeur majeur; Remueur; Muldo Ebène</t>
        </is>
      </c>
    </row>
    <row r="19773">
      <c r="A19773" t="inlineStr">
        <is>
          <t>agi do pou</t>
        </is>
      </c>
      <c r="B19773">
        <f>HYPERLINK("https://www.dofusbook.net/fr/equipement/3193288-agi-do-pou/objets", "link")</f>
        <v/>
      </c>
      <c r="C19773" t="n">
        <v>1</v>
      </c>
      <c r="D19773" t="inlineStr">
        <is>
          <t>Hachoirs de Viandargh; Amibou; Alliance Gloursonne; Bague Trithon; Bouclier Taverne; Menoture; Casque Dragoeuf; Capibou; Getas de Padgref; Dofus Nébuleux; Dofus Turquoise; Bousculeur majeur; Remueur; Culbuteur majeur; Cascadeur majeur; Muldo Ebène</t>
        </is>
      </c>
    </row>
    <row r="19774">
      <c r="A19774" t="inlineStr">
        <is>
          <t>do pou</t>
        </is>
      </c>
      <c r="B19774">
        <f>HYPERLINK("https://www.dofusbook.net/fr/equipement/3193002-do-pou/objets", "link")</f>
        <v/>
      </c>
      <c r="C19774" t="n">
        <v>0</v>
      </c>
      <c r="D19774" t="inlineStr">
        <is>
          <t>Arc du Chalœil; Amulette Luminescente; Bague Trithon; Bague Instable; Bouclier Taverne; Ceinture Gence; Cape Luminescente; Bottes du Cœur Vaillant; Dofus Pourpre; Dofus Turquoise; Culbuteur majeur; Nomade; Bousculeur majeur; Remueur; Kramkram</t>
        </is>
      </c>
    </row>
    <row r="19775">
      <c r="A19775" t="inlineStr">
        <is>
          <t>air do crit défonce</t>
        </is>
      </c>
      <c r="B19775">
        <f>HYPERLINK("https://www.dofusbook.net/fr/equipement/3143144-air-do-crit-defonce-/objets", "link")</f>
        <v/>
      </c>
      <c r="C19775" t="n">
        <v>0</v>
      </c>
      <c r="D19775" t="inlineStr">
        <is>
          <t>Hachoirs de Viandargh; Amulette du Strigide; Gant du Valet Veinard; Alliance Gloursonne; Cadran d'Eau; Ceinture du Strigide; Chapeau de Tournoyé; Cape Indescriptible; Baleinabottes; Dofus Turquoise; Dofus des Glaces; Dofus Pourpre; Dofus Nébuleux; Carapace Air majeur; Remueur; Muldo Ebène et Orchidée</t>
        </is>
      </c>
    </row>
    <row r="19776">
      <c r="A19776" t="inlineStr">
        <is>
          <t>feu</t>
        </is>
      </c>
      <c r="B19776">
        <f>HYPERLINK("https://www.dofusbook.net/fr/equipement/3138690-feu/objets", "link")</f>
        <v/>
      </c>
      <c r="C19776" t="n">
        <v>0</v>
      </c>
      <c r="D19776" t="inlineStr">
        <is>
          <t>Arc corrompu; Amulette d'Otomaï; Bague Gloursonne; Anneauræus; Bouclier Taverne; Ceinture Séculaire; Heaume Oplate; Voile d'encre; Bottes d'Otomaï; Dofus Turquoise; Dofus Nébuleux; Dofus Pourpre; Dévastateur Feu majeur; Évasif majeur; Remueur; Muldo Orchidée et Pourpre</t>
        </is>
      </c>
    </row>
    <row r="19777">
      <c r="A19777" t="inlineStr">
        <is>
          <t>feu</t>
        </is>
      </c>
      <c r="B19777">
        <f>HYPERLINK("https://www.dofusbook.net/fr/equipement/3138684-feu/objets", "link")</f>
        <v/>
      </c>
      <c r="C19777" t="n">
        <v>0</v>
      </c>
      <c r="D19777" t="inlineStr">
        <is>
          <t>Arc corrompu; Amulette d'Otomaï; Anneauræus; Bague Gloursonne; Quatre-feuilles; Ceinture Séculaire; Heaume Oplate; Voile d'encre; Bottes d'Otomaï; Dofus Nébuleux; Dofus Pourpre; Dofus Turquoise; Dévastateur Feu majeur; Évasif majeur; Remueur; Muldo Orchidée et Pourpre</t>
        </is>
      </c>
    </row>
    <row r="19778">
      <c r="A19778" t="inlineStr">
        <is>
          <t>agi esq pa</t>
        </is>
      </c>
      <c r="B19778">
        <f>HYPERLINK("https://www.dofusbook.net/fr/equipement/3081922-agi-esq-pa-/objets", "link")</f>
        <v/>
      </c>
      <c r="C19778" t="n">
        <v>1</v>
      </c>
      <c r="D19778" t="inlineStr">
        <is>
          <t>Pelle de la Cour Sombre; Amulette du Cœur Vaillant; Alliance Gloursonne; Gant du Valet Veinard; Cadran de Feu; Menoture; Chapeau de Tournoyé; Cape de Crânonier; Palmes Trithons; Dofus Pourpre; Dofus Turquoise; Dofus Nébuleux; Carapace Air majeur; Remueur; Évasif majeur; Muldo Ebène et Orchidée</t>
        </is>
      </c>
    </row>
    <row r="19779">
      <c r="A19779" t="inlineStr">
        <is>
          <t>agi esq pa et res</t>
        </is>
      </c>
      <c r="B19779">
        <f>HYPERLINK("https://www.dofusbook.net/fr/equipement/3093351-agi-esq-pa-et-res/objets", "link")</f>
        <v/>
      </c>
      <c r="C19779" t="n">
        <v>1</v>
      </c>
      <c r="D19779" t="inlineStr">
        <is>
          <t>Lance Horselé; Amibou; Gant du Valet Veinard; Alliance Gloursonne; Écorce de Brouce; Menoture; Chapeau de Tournoyé; Cape de Crânonier; Palmes Trithons; Dofus Nébuleux; Dofus Pourpre; Dofus Turquoise; Évasif majeur; Carapace Air majeur; Remueur; Muldo Ebène et Orchidée</t>
        </is>
      </c>
    </row>
    <row r="19780">
      <c r="A19780" t="inlineStr">
        <is>
          <t>multi res</t>
        </is>
      </c>
      <c r="B19780">
        <f>HYPERLINK("https://www.dofusbook.net/fr/equipement/3093452-multi-res/objets", "link")</f>
        <v/>
      </c>
      <c r="C19780" t="n">
        <v>0</v>
      </c>
      <c r="D19780" t="inlineStr">
        <is>
          <t>Marteau des égarés; Amulette du Strigide; Bague Gloursonne; Alliance Gloursonne; Quatre-feuilles; Ceintacé; Chapeau Lisson; Dofusteuse; Bottes du Chalœil; Dofus des Glaces; Dofus Pourpre; Dofus Nébuleux; Dolmanax; Nomade; Remueur; Kramkram</t>
        </is>
      </c>
    </row>
    <row r="19781">
      <c r="A19781" t="inlineStr">
        <is>
          <t>air res</t>
        </is>
      </c>
      <c r="B19781">
        <f>HYPERLINK("https://www.dofusbook.net/fr/equipement/3081919-air-res/objets", "link")</f>
        <v/>
      </c>
      <c r="C19781" t="n">
        <v>0</v>
      </c>
      <c r="D19781" t="inlineStr">
        <is>
          <t>Pelle de la Cour Sombre; Amulette d'Ilyzaelle; Gant du Valet Veinard; Alliance Gloursonne; Cadran de Feu; Menoture; Chapeau de Tournoyé; Cape d'Anerice; Palmes Trithons; Dofus Nébuleux; Dofus Pourpre; Carapace Air majeur; Cascadeur majeur; Remueur; Dévastateur Air majeur; Muldo Ebène et Orchidée</t>
        </is>
      </c>
    </row>
    <row r="19782">
      <c r="A19782" t="inlineStr">
        <is>
          <t>agi pété</t>
        </is>
      </c>
      <c r="B19782">
        <f>HYPERLINK("https://www.dofusbook.net/fr/equipement/3078462-agi--pete/objets", "link")</f>
        <v/>
      </c>
      <c r="C19782" t="n">
        <v>0</v>
      </c>
      <c r="D19782" t="inlineStr">
        <is>
          <t>Lance Horselé; Collier du Valet Veinard; Gant du Valet Veinard; Anneau d'Allister; Bouclier Taverne; Sangle Oriole; Couronne d'Allister; Cape du Valet Veinard; Bottes d'Allister; Dofus Pourpre; Dofus Nébuleux; Dofus Turquoise; Dofus Ocre; Acrobate majeur; Equilibriste majeur; Muldo Ebène et Orchidée</t>
        </is>
      </c>
    </row>
    <row r="19783">
      <c r="A19783" t="inlineStr">
        <is>
          <t>terre ret pa</t>
        </is>
      </c>
      <c r="B19783">
        <f>HYPERLINK("https://www.dofusbook.net/fr/equipement/247970-terre-ret-pa/objets", "link")</f>
        <v/>
      </c>
      <c r="C19783" t="n">
        <v>0</v>
      </c>
      <c r="D19783" t="inlineStr">
        <is>
          <t>Lav'Hache; Amulette du Cœur Vaillant; Anneau Crustique; Anneau Crustique; Sept ans de malheur; Ceintouse; Chapoulpe; Cape de la Cour Sombre; Baleinabottes; Dofus Émeraude; Obstructeur majeur; Carapace Neutre majeur; Étourdisseur majeur; Carapace Terre majeur; Remueur; Muldo Ebène et Pourpre</t>
        </is>
      </c>
    </row>
    <row r="19784">
      <c r="A19784" t="inlineStr">
        <is>
          <t>agi do pou</t>
        </is>
      </c>
      <c r="B19784">
        <f>HYPERLINK("https://www.dofusbook.net/fr/equipement/3015268-agi-do-pou/objets", "link")</f>
        <v/>
      </c>
      <c r="C19784" t="n">
        <v>0</v>
      </c>
      <c r="D19784" t="inlineStr">
        <is>
          <t>Hachoirs de Viandargh; Amibou; Anneau de Padgref; Alliance Gloursonne; Bouclier Taverne; Ceinture du Nocturlabe; Chapibou; Capibou; Bottes du Cœur Vaillant; Dofus Nébuleux; Dofus Turquoise; Dofus Ocre; Acrobate majeur; Pousseur majeur; Bousculeur majeur; Muldo Ebène</t>
        </is>
      </c>
    </row>
    <row r="19785">
      <c r="A19785" t="inlineStr">
        <is>
          <t>Air eau feu</t>
        </is>
      </c>
      <c r="B19785">
        <f>HYPERLINK("https://www.dofusbook.net/fr/equipement/3014389-air-eau-feu/objets", "link")</f>
        <v/>
      </c>
      <c r="C19785" t="n">
        <v>0</v>
      </c>
      <c r="D19785" t="inlineStr">
        <is>
          <t>Sabres d'Atcham; Amulette de l'Œil Putride; Lavanneau; Alliance Gloursonne; Bouclier Taverne; Ceintacé; Coiffe de Padgref; Cape d'Atcham; Bottes des Malveilleurs; Dofus Nébuleux; Dofus Pourpre; Dofus des Glaces; Dofus Turquoise; Vigoureux majeur; Remueur; Muldo Indigo et Orchidée</t>
        </is>
      </c>
    </row>
    <row r="19786">
      <c r="A19786" t="inlineStr">
        <is>
          <t>do pou</t>
        </is>
      </c>
      <c r="B19786">
        <f>HYPERLINK("https://www.dofusbook.net/fr/equipement/3013801-do-pou/objets", "link")</f>
        <v/>
      </c>
      <c r="C19786" t="n">
        <v>0</v>
      </c>
      <c r="D19786" t="inlineStr">
        <is>
          <t>Arc du Chalœil; Amulette Luminescente; Bague Instable; Bague Trithon; Bouclier Taverne; Ceinture Gence; Chapeau Lisson; Cape Luminescente; Bottes du Cœur Vaillant; Dofus Pourpre; Dofus Turquoise; Culbuteur majeur; Nomade; Bousculeur majeur; Remueur; Kramkram</t>
        </is>
      </c>
    </row>
    <row r="19787">
      <c r="A19787" t="inlineStr">
        <is>
          <t>agi do pou</t>
        </is>
      </c>
      <c r="B19787">
        <f>HYPERLINK("https://www.dofusbook.net/fr/equipement/3013706-agi-do-pou/objets", "link")</f>
        <v/>
      </c>
      <c r="C19787" t="n">
        <v>0</v>
      </c>
      <c r="D19787" t="inlineStr">
        <is>
          <t>Hachoirs de Viandargh; Amibou; Alliance Gloursonne; Anneau de Padgref; Bouclier Taverne; Ceinture du Nocturlabe; Chapibou; Capibou; Bottes du Cœur Vaillant; Dofus Turquoise; Dofus Ocre; Dofus Nébuleux; Pousseur majeur; Bousculeur majeur; Acrobate majeur; Muldo Ebène</t>
        </is>
      </c>
    </row>
    <row r="19788">
      <c r="A19788" t="inlineStr">
        <is>
          <t>feu</t>
        </is>
      </c>
      <c r="B19788">
        <f>HYPERLINK("https://www.dofusbook.net/fr/equipement/3013679-feu/objets", "link")</f>
        <v/>
      </c>
      <c r="C19788" t="n">
        <v>0</v>
      </c>
      <c r="D19788" t="inlineStr">
        <is>
          <t>Massier; Amulette d'Otomaï; Anneauræus; Bague Gloursonne; Bouclier Taverne; Ceinture Séculaire; Heaume Oplate; Voile d'encre; Bottes d'Otomaï; Dofus Nébuleux; Dofus Pourpre; Dofus Turquoise; Dévastateur Feu majeur; Évasif majeur; Remueur; Muldo Orchidée et Pourpre</t>
        </is>
      </c>
    </row>
    <row r="19789">
      <c r="A19789" t="inlineStr">
        <is>
          <t>feu 2</t>
        </is>
      </c>
      <c r="B19789">
        <f>HYPERLINK("https://www.dofusbook.net/fr/equipement/2989012-feu-2/objets", "link")</f>
        <v/>
      </c>
      <c r="C19789" t="n">
        <v>0</v>
      </c>
      <c r="D19789" t="inlineStr">
        <is>
          <t>Epée Gloursonne; Amulette Séculaire; Bague Gloursonne; Alliance Gloursonne; Quatre-feuilles; Ceinture Séculaire; Coiffe Séculaire; Voile d'encre; Bottes d'Otomaï; Dofus Turquoise; Dofus Nébuleux; Dofus Ocre; Dofus Pourpre; Ravageur Feu majeur; Savant majeur; Kramkram</t>
        </is>
      </c>
    </row>
    <row r="19790">
      <c r="A19790" t="inlineStr">
        <is>
          <t>eau2</t>
        </is>
      </c>
      <c r="B19790">
        <f>HYPERLINK("https://www.dofusbook.net/fr/equipement/2983171-eau2/objets", "link")</f>
        <v/>
      </c>
      <c r="C19790" t="n">
        <v>0</v>
      </c>
      <c r="D19790" t="inlineStr">
        <is>
          <t>Dagoulinantes; Amulette de l'Œil Attentif; Bracelet des Fonds marins; Anneau Kturne; Bouclier Taverne; Poulpagne; Capuche de l'Œil Attentif; Cape Glaciale; Bottes du Sinistrofu; Dofus Pourpre; Dofus Turquoise; Remueur; Chanceux majeur; Évasif majeur; Carapace Eau majeur; Muldo Indigo et Pourpre</t>
        </is>
      </c>
    </row>
    <row r="19791">
      <c r="A19791" t="inlineStr">
        <is>
          <t>feu</t>
        </is>
      </c>
      <c r="B19791">
        <f>HYPERLINK("https://www.dofusbook.net/fr/equipement/2979349-feu/objets", "link")</f>
        <v/>
      </c>
      <c r="C19791" t="n">
        <v>0</v>
      </c>
      <c r="D19791" t="inlineStr">
        <is>
          <t>Massier; Amulette d'Otomaï; Bague Gloursonne; Anneauræus; Quatre-feuilles; Ceinture Séculaire; Heaume Oplate; Voile d'encre; Bottes d'Otomaï; Dofus Pourpre; Dofus Turquoise; Érudit majeur; Remueur; Nomade; Dévastateur Feu majeur</t>
        </is>
      </c>
    </row>
    <row r="19792">
      <c r="A19792" t="inlineStr">
        <is>
          <t>eau esquive pa</t>
        </is>
      </c>
      <c r="B19792">
        <f>HYPERLINK("https://www.dofusbook.net/fr/equipement/2976182-eau-esquive-pa/objets", "link")</f>
        <v/>
      </c>
      <c r="C19792" t="n">
        <v>0</v>
      </c>
      <c r="D19792" t="inlineStr">
        <is>
          <t>Hache Rot; Amulette du Strigide; Anneau Kturne; Bracelet des Fonds marins; Bouclier Taverne; Poulpagne; Capuche de l'Œil Attentif; Cape de l'Œil Attentif; Bottes du Sinistrofu; Dofus Turquoise; Dofus Nébuleux; Dofus Pourpre; Évasif majeur; Carapace Eau majeur; Remueur; Muldo Indigo</t>
        </is>
      </c>
    </row>
    <row r="19793">
      <c r="A19793" t="inlineStr">
        <is>
          <t>agi esq pa2</t>
        </is>
      </c>
      <c r="B19793">
        <f>HYPERLINK("https://www.dofusbook.net/fr/equipement/2976028-agi-esq-pa2/objets", "link")</f>
        <v/>
      </c>
      <c r="C19793" t="n">
        <v>1</v>
      </c>
      <c r="D19793" t="inlineStr">
        <is>
          <t>Pelle de la Cour Sombre; Amulette du Cœur Vaillant; Alliance Gloursonne; Gant du Valet Veinard; Cadran de Feu; Sangle Oriole; Chapeau de Tournoyé; Cape de Crânonier; Palmes Trithons; Dofus Pourpre; Dofus Turquoise; Dofus Nébuleux; Dofus Ocre; Insaisissable majeur; Imprenable majeur; Muldo Ebène</t>
        </is>
      </c>
    </row>
    <row r="19794">
      <c r="A19794" t="inlineStr">
        <is>
          <t>Stuff 2</t>
        </is>
      </c>
      <c r="B19794">
        <f>HYPERLINK("https://www.dofusbook.net/fr/equipement/247955-stuff-2/objets", "link")</f>
        <v/>
      </c>
      <c r="C19794" t="n">
        <v>0</v>
      </c>
      <c r="D19794" t="inlineStr">
        <is>
          <t>Épée du Granduk; Amulette du Granduk; Anneau d'Allister; Gant du Valet Veinard; Bouclier Taverne; Menoture; Masque du Granduk; Cape du Valet Veinard; Bottes d'Allister; Dofus Pourpre; Dofus Turquoise; Dofus Émeraude; Equilibriste majeur; Acrobate majeur; Ravageur Air majeur; Siroko</t>
        </is>
      </c>
    </row>
    <row r="19795">
      <c r="A19795" t="inlineStr">
        <is>
          <t>eaueaueau</t>
        </is>
      </c>
      <c r="B19795">
        <f>HYPERLINK("https://www.dofusbook.net/fr/equipement/2942661-eaueaueau/objets", "link")</f>
        <v/>
      </c>
      <c r="C19795" t="n">
        <v>1</v>
      </c>
      <c r="D19795" t="inlineStr">
        <is>
          <t>Sceptre du Roi Joueur; Kralamansion; Bracelet des Fonds marins; Alliance Gloursonne; Cadran d'Air; Poulpagne; Casque Dragoeuf; Cape du Sinistrofu; Bottes du Sinistrofu; Dofus Émeraude; Dofus des Glaces; Dofus Pourpre; Dofus Nébuleux; Dofus Ivoire; Dofus Ocre</t>
        </is>
      </c>
    </row>
    <row r="19796">
      <c r="A19796" t="inlineStr">
        <is>
          <t>agi pété</t>
        </is>
      </c>
      <c r="B19796">
        <f>HYPERLINK("https://www.dofusbook.net/fr/equipement/2938103-agi--pete/objets", "link")</f>
        <v/>
      </c>
      <c r="C19796" t="n">
        <v>0</v>
      </c>
      <c r="D19796" t="inlineStr">
        <is>
          <t>Hachoirs de Viandargh; Collier du Valet Veinard; Gant du Valet Veinard; Anneau d'Allister; Bouclier Taverne; Sangle Oriole; Couronne d'Allister; Cape du Valet Veinard; Bottes d'Allister; Dofus Turquoise; Dofus Ocre; Dofus Pourpre; Dofus Nébuleux; Acrobate majeur; Equilibriste majeur; Muldo Ebène et Orchidée</t>
        </is>
      </c>
    </row>
    <row r="19797">
      <c r="A19797" t="inlineStr">
        <is>
          <t>eau2</t>
        </is>
      </c>
      <c r="B19797">
        <f>HYPERLINK("https://www.dofusbook.net/fr/equipement/2930491-eau2/objets", "link")</f>
        <v/>
      </c>
      <c r="C19797" t="n">
        <v>1</v>
      </c>
      <c r="D19797" t="inlineStr">
        <is>
          <t>Dagoulinantes; Amulette de l'Œil Attentif; Anneau Kturne; Bracelet des Fonds marins; Bouclier Taverne; Poulpagne; Capuche de l'Œil Attentif; Cape Glaciale; Bottes du Sinistrofu; Dofus Turquoise; Dofus Pourpre; Carapace Eau majeur; Remueur; Chanceux majeur; Évasif majeur; Muldo Indigo et Pourpre</t>
        </is>
      </c>
    </row>
    <row r="19798">
      <c r="A19798" t="inlineStr">
        <is>
          <t>feu distance</t>
        </is>
      </c>
      <c r="B19798">
        <f>HYPERLINK("https://www.dofusbook.net/fr/equipement/2731196-feu-distance/objets", "link")</f>
        <v/>
      </c>
      <c r="C19798" t="n">
        <v>0</v>
      </c>
      <c r="D19798" t="inlineStr">
        <is>
          <t>Pelle de Katrepat; Amulette du Strigide; Anneau Kturne; Bague Nostik; Bouclier cubiste; Ceinture de l'Esprit Malsain; Casquette de Meno; Cape de Meno; Pataugastrique; Dofus Nébuleux; Dofus Pourpre; Dofus Turquoise; Évasif majeur; Carapace Feu majeur; Remueur; Dragodinde en armure</t>
        </is>
      </c>
    </row>
    <row r="19799">
      <c r="A19799" t="inlineStr">
        <is>
          <t>agi pété</t>
        </is>
      </c>
      <c r="B19799">
        <f>HYPERLINK("https://www.dofusbook.net/fr/equipement/2930255-agi--pete/objets", "link")</f>
        <v/>
      </c>
      <c r="C19799" t="n">
        <v>1</v>
      </c>
      <c r="D19799" t="inlineStr">
        <is>
          <t>Hachoirs de Viandargh; Collier du Valet Veinard; Gant du Valet Veinard; Anneau d'Allister; Quatre-feuilles; Sangle Oriole; Couronne d'Allister; Cape du Valet Veinard; Bottes d'Allister; Dofus Turquoise; Dofus Ocre; Dofus Pourpre; Dofus Nébuleux; Acrobate majeur; Equilibriste majeur; Molosk</t>
        </is>
      </c>
    </row>
    <row r="19800">
      <c r="A19800" t="inlineStr">
        <is>
          <t>agi esq pa</t>
        </is>
      </c>
      <c r="B19800">
        <f>HYPERLINK("https://www.dofusbook.net/fr/equipement/2731217-agi-esq-pa/objets", "link")</f>
        <v/>
      </c>
      <c r="C19800" t="n">
        <v>0</v>
      </c>
      <c r="D19800" t="inlineStr">
        <is>
          <t>Pelle de la Cour Sombre; Amulette du Cœur Vaillant; Gant du Valet Veinard; Alliance Gloursonne; Cadran de Feu; Menoture; Chapeau de Tournoyé; Cape de Crânonier; Palmes Trithons; Dofus Nébuleux; Dofus Pourpre; Dofus Turquoise; Évasif majeur; Carapace Air majeur; Remueur; Muldo Ebène et Orchidée</t>
        </is>
      </c>
    </row>
    <row r="19801">
      <c r="A19801" t="inlineStr">
        <is>
          <t>agi ret pm</t>
        </is>
      </c>
      <c r="B19801">
        <f>HYPERLINK("https://www.dofusbook.net/fr/equipement/2725713-agi-ret-pm/objets", "link")</f>
        <v/>
      </c>
      <c r="C19801" t="n">
        <v>0</v>
      </c>
      <c r="D19801" t="inlineStr">
        <is>
          <t>Hachoirs de Viandargh; Amibou; Anneau Vicieux; Alliance Gloursonne; Bouclier cubiste; Menoture; Maskrobe; Capibou; Bottes du Kamasterisk; Dévastateur Air majeur; Ralentisseur majeur; Entraveur majeur; Remueur; Temporiseur majeur; Cascadeur majeur; Dragoune Noire</t>
        </is>
      </c>
    </row>
    <row r="19802">
      <c r="A19802" t="inlineStr">
        <is>
          <t>agi pété</t>
        </is>
      </c>
      <c r="B19802">
        <f>HYPERLINK("https://www.dofusbook.net/fr/equipement/2890963-agi--pete/objets", "link")</f>
        <v/>
      </c>
      <c r="C19802" t="n">
        <v>0</v>
      </c>
      <c r="D19802" t="inlineStr">
        <is>
          <t>Hachoirs de Viandargh; Collier du Valet Veinard; Anneau d'Allister; Gant du Valet Veinard; Bouclier du Captain Amakna; Sangle Oriole; Couronne d'Allister; Cape du Valet Veinard; Bottes d'Allister; Dofus Pourpre; Dofus Nébuleux; Dofus Turquoise; Dofus Ocre; Acrobate majeur; Equilibriste majeur; Muldo Prune et Emeraude</t>
        </is>
      </c>
    </row>
    <row r="19803">
      <c r="A19803" t="inlineStr">
        <is>
          <t>agi pété</t>
        </is>
      </c>
      <c r="B19803">
        <f>HYPERLINK("https://www.dofusbook.net/fr/equipement/2833741-agi--pete/objets", "link")</f>
        <v/>
      </c>
      <c r="C19803" t="n">
        <v>0</v>
      </c>
      <c r="D19803" t="inlineStr">
        <is>
          <t>Pelle de la Cour Sombre; Collier du Valet Veinard; Gant du Valet Veinard; Anneau d'Allister; Quatre-feuilles; Sangle Oriole; Couronne d'Allister; Cape du Valet Veinard; Bottes d'Allister; Dofus Turquoise; Dofus Ocre; Dofus Pourpre; Imprenable majeur; Ravageur Air majeur; Equilibriste majeur; Muldo Ebène et Orchidée</t>
        </is>
      </c>
    </row>
    <row r="19804">
      <c r="A19804" t="inlineStr">
        <is>
          <t>feu do</t>
        </is>
      </c>
      <c r="B19804">
        <f>HYPERLINK("https://www.dofusbook.net/fr/equipement/2801400-feu-do/objets", "link")</f>
        <v/>
      </c>
      <c r="C19804" t="n">
        <v>0</v>
      </c>
      <c r="D19804" t="inlineStr">
        <is>
          <t>Massier; Amulette Séculaire; Anneauræus; Anneauræus; Bivalve; Ceinture Séculaire; Heaume Oplate; Voile d'encre; Bottes Innommables; Dofus Pourpre; Dofus Turquoise; Dofus Nébuleux; Carapace Feu majeur; Remueur; Évasif majeur; Muldo Indigo et Pourpre</t>
        </is>
      </c>
    </row>
    <row r="19805">
      <c r="A19805" t="inlineStr">
        <is>
          <t>air res</t>
        </is>
      </c>
      <c r="B19805">
        <f>HYPERLINK("https://www.dofusbook.net/fr/equipement/2754621-air-res/objets", "link")</f>
        <v/>
      </c>
      <c r="C19805" t="n">
        <v>0</v>
      </c>
      <c r="D19805" t="inlineStr">
        <is>
          <t>Manthache; Amulette d'Ilyzaelle; Alliance Gloursonne; Gant du Valet Veinard; Bouclier Taverne; Menoture; Casque Dragoeuf; Cape du Valet Veinard; Palmes Trithons; Dofus Pourpre; Cascadeur majeur; Remueur; Dévastateur Air majeur; Évasif majeur; Carapace Air majeur; Muldo Ebène et Orchidée</t>
        </is>
      </c>
    </row>
    <row r="19806">
      <c r="A19806" t="inlineStr">
        <is>
          <t>feu-eau</t>
        </is>
      </c>
      <c r="B19806">
        <f>HYPERLINK("https://www.dofusbook.net/fr/equipement/2801919-feu-eau/objets", "link")</f>
        <v/>
      </c>
      <c r="C19806" t="n">
        <v>0</v>
      </c>
      <c r="D19806" t="inlineStr">
        <is>
          <t>Épée Brûlâme; Collier de la Dame du Hasard; Lavanneau; Alliance du Lévitrof; Bouclier du Captain Amakna; Ceinture de l'Esprit Malsain; Casquette de Meno; Cape de la Dame du Hasard; Pataugastrique; Dofus Pourpre; Dofus Nébuleux; Dofus des Glaces; Dofus Turquoise; Vigoureux majeur; Remueur; Muldo Prune et Emeraude</t>
        </is>
      </c>
    </row>
    <row r="19807">
      <c r="A19807" t="inlineStr">
        <is>
          <t>feu-eau</t>
        </is>
      </c>
      <c r="B19807">
        <f>HYPERLINK("https://www.dofusbook.net/fr/equipement/2801640-feu-eau/objets", "link")</f>
        <v/>
      </c>
      <c r="C19807" t="n">
        <v>0</v>
      </c>
      <c r="D19807" t="inlineStr">
        <is>
          <t>Épée Brûlâme; Collier de la Dame du Hasard; Lavanneau; Alliance du Lévitrof; Quatre-feuilles; Ceinture de l'Esprit Malsain; Casquette de Meno; Cape de la Dame du Hasard; Pataugastrique; Dofus Turquoise; Dofus Pourpre; Carapace Feu majeur; Vigoureux majeur; Remueur; Nomade; Muldo Prune et Emeraude</t>
        </is>
      </c>
    </row>
    <row r="19808">
      <c r="A19808" t="inlineStr">
        <is>
          <t>feu-eau2</t>
        </is>
      </c>
      <c r="B19808">
        <f>HYPERLINK("https://www.dofusbook.net/fr/equipement/2801627-feu-eau2/objets", "link")</f>
        <v/>
      </c>
      <c r="C19808" t="n">
        <v>0</v>
      </c>
      <c r="D19808" t="inlineStr">
        <is>
          <t>Épée Brûlâme; Collier de la Dame du Hasard; Lavanneau; Alliance du Lévitrof; Quatre-feuilles; Ceinture de l'Esprit Malsain; Casquette de Meno; Cape de la Dame du Hasard; Pataugastrique; Dofus Pourpre; Dofus Nébuleux; Dofus des Glaces; Dofus Turquoise; Remueur; Vigoureux majeur; Muldo Doré et Emeraude</t>
        </is>
      </c>
    </row>
    <row r="19809">
      <c r="A19809" t="inlineStr">
        <is>
          <t>feu-eau2</t>
        </is>
      </c>
      <c r="B19809">
        <f>HYPERLINK("https://www.dofusbook.net/fr/equipement/2801616-feu-eau2/objets", "link")</f>
        <v/>
      </c>
      <c r="C19809" t="n">
        <v>0</v>
      </c>
      <c r="D19809" t="inlineStr">
        <is>
          <t>Épée Brûlâme; Collier de la Dame du Hasard; Lavanneau; Alliance du Lévitrof; Quatre-feuilles; Ceinture de l'Esprit Malsain; Casquette de Meno; Cape de la Dame du Hasard; Pataugastrique; Dofus des Glaces; Dofus Turquoise; Dofus Pourpre; Dofus Nébuleux; Vigoureux majeur; Remueur; Muldo Doré et Emeraude</t>
        </is>
      </c>
    </row>
    <row r="19810">
      <c r="A19810" t="inlineStr">
        <is>
          <t>feu-eau2</t>
        </is>
      </c>
      <c r="B19810">
        <f>HYPERLINK("https://www.dofusbook.net/fr/equipement/2801599-feu-eau2/objets", "link")</f>
        <v/>
      </c>
      <c r="C19810" t="n">
        <v>0</v>
      </c>
      <c r="D19810" t="inlineStr">
        <is>
          <t>Épée Brûlâme; Collier de la Dame du Hasard; Lavanneau; Alliance du Lévitrof; Quatre-feuilles; Ceinture de l'Esprit Malsain; Casquette de Meno; Cape de la Dame du Hasard; Pataugastrique; Dofus Pourpre; Dofus Nébuleux; Dofus des Glaces; Dofus Turquoise; Remueur; Vigoureux majeur; Muldo Doré et Emeraude</t>
        </is>
      </c>
    </row>
    <row r="19811">
      <c r="A19811" t="inlineStr">
        <is>
          <t>air do crit</t>
        </is>
      </c>
      <c r="B19811">
        <f>HYPERLINK("https://www.dofusbook.net/fr/equipement/2758806-air-do-crit/objets", "link")</f>
        <v/>
      </c>
      <c r="C19811" t="n">
        <v>0</v>
      </c>
      <c r="D19811" t="inlineStr">
        <is>
          <t>Lance Horselé; Collier du Valet Veinard; Gant du Valet Veinard; Anneau d'Allister; Sangle Oriole; Le Dorado; Cape Indescriptible; Palmes Trithons</t>
        </is>
      </c>
    </row>
    <row r="19812">
      <c r="A19812" t="inlineStr">
        <is>
          <t>agi ret pa</t>
        </is>
      </c>
      <c r="B19812">
        <f>HYPERLINK("https://www.dofusbook.net/fr/equipement/2754836-agi-ret-pa/objets", "link")</f>
        <v/>
      </c>
      <c r="C19812" t="n">
        <v>0</v>
      </c>
      <c r="D19812" t="inlineStr">
        <is>
          <t>Lance Horselé; Amulette du Cœur Vaillant; Anneau Vicieux; Alliance Gloursonne; Cadran d'Air; Menoture; Masque du Granduk; Cape Indescriptible; Bottes du Cœur Vaillant; Dofus Turquoise; Étourdisseur majeur; Cascadeur majeur; Dévastateur Air majeur; Nomade; Remueur; Muldo Ebène et Indigo</t>
        </is>
      </c>
    </row>
    <row r="19813">
      <c r="A19813" t="inlineStr">
        <is>
          <t>agi ret pm</t>
        </is>
      </c>
      <c r="B19813">
        <f>HYPERLINK("https://www.dofusbook.net/fr/equipement/2754826-agi-ret-pm/objets", "link")</f>
        <v/>
      </c>
      <c r="C19813" t="n">
        <v>0</v>
      </c>
      <c r="D19813" t="inlineStr">
        <is>
          <t>Hachoirs de Viandargh; Amibou; Alliance Gloursonne; Anneau Vicieux; Cadran d'Air; Menoture; Chapibou; Cape Indescriptible; Palmes Trithons; Entraveur majeur; Remueur; Temporiseur majeur; Cascadeur majeur; Dévastateur Air majeur; Nomade; Muldo Ebène et Indigo</t>
        </is>
      </c>
    </row>
    <row r="19814">
      <c r="A19814" t="inlineStr">
        <is>
          <t>feu ret 196 pm</t>
        </is>
      </c>
      <c r="B19814">
        <f>HYPERLINK("https://www.dofusbook.net/fr/equipement/247960-feu-ret-196-pm-/objets", "link")</f>
        <v/>
      </c>
      <c r="C19814" t="n">
        <v>0</v>
      </c>
      <c r="D19814" t="inlineStr">
        <is>
          <t>Arc corrompu; Collier de la Dame du Hasard; Anneau Tamie; Chevalière du Roi Joueur; Bouclier cubiste; Ceinture de Kongoku; Casquette de Meno; Cape de Meno; Pantoufles Émar; Nomade; Ralentisseur majeur; Érudit majeur; Remueur; Temporiseur majeur; Entraveur majeur; Muldo Pourpre</t>
        </is>
      </c>
    </row>
    <row r="19815">
      <c r="A19815" t="inlineStr">
        <is>
          <t>air do crit</t>
        </is>
      </c>
      <c r="B19815">
        <f>HYPERLINK("https://www.dofusbook.net/fr/equipement/2746064-air-do-crit/objets", "link")</f>
        <v/>
      </c>
      <c r="C19815" t="n">
        <v>0</v>
      </c>
      <c r="D19815" t="inlineStr">
        <is>
          <t>Lance Horselé; Amibou; Anneau de Padgref; Anneau Vicieux; Quatre-feuilles; Menoture; Némès de Tal Kasha; Cape Indescriptible; Sandales de Tal Kasha; Dofus Pourpre; Dofus Turquoise; Remueur; Cascadeur majeur; Dévastateur Air majeur; Nomade; Siroko</t>
        </is>
      </c>
    </row>
    <row r="19816">
      <c r="A19816" t="inlineStr">
        <is>
          <t>terre2</t>
        </is>
      </c>
      <c r="B19816">
        <f>HYPERLINK("https://www.dofusbook.net/fr/equipement/2734335-terre2/objets", "link")</f>
        <v/>
      </c>
      <c r="C19816" t="n">
        <v>0</v>
      </c>
      <c r="D19816" t="inlineStr">
        <is>
          <t>Dagues d'Ilyzaelle; Collier de Tourthon; Chevalière du Roi Joueur; Anneau Crustique; Cadran de Terre; Ceinture Gence; Couronne du Roi Joueur; Cape au Logis; Bottes du Cœur Saignant; Dofus Nébuleux; Dofus Turquoise; Dofus Pourpre; Carapace Neutre majeur; Enragé majeur; Remueur; Muldo Indigo et Pourpre</t>
        </is>
      </c>
    </row>
    <row r="19817">
      <c r="A19817" t="inlineStr">
        <is>
          <t>feu-eau2</t>
        </is>
      </c>
      <c r="B19817">
        <f>HYPERLINK("https://www.dofusbook.net/fr/equipement/2731825-feu-eau2/objets", "link")</f>
        <v/>
      </c>
      <c r="C19817" t="n">
        <v>1</v>
      </c>
      <c r="D19817" t="inlineStr">
        <is>
          <t>Épée Brûlâme; Collier de la Dame du Hasard; Bracelet du Piloztère; Alliance du Lévitrof; Quatre-feuilles; Ceinture de l'Esprit Malsain; Casquette de Meno; Cape de la Dame du Hasard; Pataugastrique; Dofus Pourpre; Dofus Nébuleux; Dofus des Glaces; Dofus Turquoise; Vigoureux majeur; Remueur; Muldo Doré et Emeraude</t>
        </is>
      </c>
    </row>
    <row r="19818">
      <c r="A19818" t="inlineStr">
        <is>
          <t>feu-eau2</t>
        </is>
      </c>
      <c r="B19818">
        <f>HYPERLINK("https://www.dofusbook.net/fr/equipement/2731651-feu-eau2/objets", "link")</f>
        <v/>
      </c>
      <c r="C19818" t="n">
        <v>0</v>
      </c>
      <c r="D19818" t="inlineStr">
        <is>
          <t>Épée Brûlâme; Collier de la Dame du Hasard; Alliance du Lévitrof; Bracelet du Piloztère; Quatre-feuilles; Ceinture de l'Esprit Malsain; Casquette de Meno; Cape de la Dame du Hasard; Pataugastrique; Dofus Pourpre; Dofus Nébuleux; Dofus des Glaces; Dofus Turquoise; Vigoureux majeur; Remueur; Muldo Doré et Emeraude</t>
        </is>
      </c>
    </row>
    <row r="19819">
      <c r="A19819" t="inlineStr">
        <is>
          <t>feu 200 ret pm</t>
        </is>
      </c>
      <c r="B19819">
        <f>HYPERLINK("https://www.dofusbook.net/fr/equipement/247969-feu-200-ret-pm/objets", "link")</f>
        <v/>
      </c>
      <c r="C19819" t="n">
        <v>0</v>
      </c>
      <c r="D19819" t="inlineStr">
        <is>
          <t>Epée Toche; Amulette Volcanique; Chevalière du Roi Joueur; Anneau de Nidas; Bouclier cubiste; Ceinture de Kongoku; Couronne du Roi Joueur; Cape de Diondin; Bottes de Meno; Dofus Turquoise; Remueur; Ralentisseur majeur; Temporiseur; Entraveur majeur; Temporiseur majeur; Muldo Indigo</t>
        </is>
      </c>
    </row>
    <row r="19820">
      <c r="A19820" t="inlineStr">
        <is>
          <t>agi</t>
        </is>
      </c>
      <c r="B19820">
        <f>HYPERLINK("https://www.dofusbook.net/fr/equipement/2725633-agi-/objets", "link")</f>
        <v/>
      </c>
      <c r="C19820" t="n">
        <v>0</v>
      </c>
      <c r="D19820" t="inlineStr">
        <is>
          <t>Pelle de la Cour Sombre; Collier du Valet Veinard; Anneau d'Allister; Gant du Valet Veinard; Bouclier du Captain Amakna; Menoture; Chapeau de Tournoyé; Cape Indescriptible; Palmes Trithons; Dofus Turquoise; Dofus Pourpre; Dofus Nébuleux; Remueur; Dévastateur Air majeur; Carapace Air majeur; Muldo Ebène et Orchidée</t>
        </is>
      </c>
    </row>
    <row r="19821">
      <c r="A19821" t="inlineStr">
        <is>
          <t>agi</t>
        </is>
      </c>
      <c r="B19821">
        <f>HYPERLINK("https://www.dofusbook.net/fr/equipement/2725632-agi-/objets", "link")</f>
        <v/>
      </c>
      <c r="C19821" t="n">
        <v>0</v>
      </c>
      <c r="D19821" t="inlineStr">
        <is>
          <t>Pelle de la Cour Sombre; Collier du Valet Veinard; Gant du Valet Veinard; Anneau d'Allister; Bouclier du Captain Amakna; Menoture; Chapeau de Tournoyé; Cape Indescriptible; Palmes Trithons; Dofus Pourpre; Dofus Nébuleux; Dofus Turquoise; Dévastateur Air majeur; Carapace Air majeur; Remueur; Muldo Ebène et Orchidée</t>
        </is>
      </c>
    </row>
    <row r="19822">
      <c r="A19822" t="inlineStr">
        <is>
          <t>agi</t>
        </is>
      </c>
      <c r="B19822">
        <f>HYPERLINK("https://www.dofusbook.net/fr/equipement/2705704-agi-/objets", "link")</f>
        <v/>
      </c>
      <c r="C19822" t="n">
        <v>0</v>
      </c>
      <c r="D19822" t="inlineStr">
        <is>
          <t>Pelle de la Cour Sombre; Collier du Valet Veinard; Anneau d'Allister; Gant du Valet Veinard; Bouclier Taverne; Menoture; Chapeau de Tournoyé; Cape Indescriptible; Palmes Trithons; Dofus Turquoise; Dofus Pourpre; Dofus Nébuleux; Remueur; Dévastateur Air majeur; Carapace Air majeur; Muldo Ebène et Orchidée</t>
        </is>
      </c>
    </row>
    <row r="19823">
      <c r="A19823" t="inlineStr">
        <is>
          <t>agi</t>
        </is>
      </c>
      <c r="B19823">
        <f>HYPERLINK("https://www.dofusbook.net/fr/equipement/2705607-agi-/objets", "link")</f>
        <v/>
      </c>
      <c r="C19823" t="n">
        <v>0</v>
      </c>
      <c r="D19823" t="inlineStr">
        <is>
          <t>Pelle de la Cour Sombre; Collier du Valet Veinard; Gant du Valet Veinard; Anneau d'Allister; Bouclier Taverne; Menoture; Chapeau de Tournoyé; Cape Indescriptible; Palmes Trithons; Dofus Pourpre; Dofus Nébuleux; Dofus Turquoise; Évasif majeur; Carapace Air majeur; Remueur; Muldo Ebène et Orchidée</t>
        </is>
      </c>
    </row>
    <row r="19824">
      <c r="A19824" t="inlineStr">
        <is>
          <t>eau</t>
        </is>
      </c>
      <c r="B19824">
        <f>HYPERLINK("https://www.dofusbook.net/fr/equipement/2705507-eau/objets", "link")</f>
        <v/>
      </c>
      <c r="C19824" t="n">
        <v>0</v>
      </c>
      <c r="D19824" t="inlineStr">
        <is>
          <t>Sceptre du Roi Joueur; Amulette du Sinistrofu; Bracelet des Fonds marins; Anneau Glacial; Bouclier du Captain Amakna; Ceinture Glaciale; Capuche de l'Œil Attentif; Cape Solution; Bottes de la Dame du Hasard; Dofus Pourpre; Dofus Turquoise; Carapace Eau majeur; Nomade; Chanceux majeur; Remueur; Muldo Doré et Emeraude</t>
        </is>
      </c>
    </row>
    <row r="19825">
      <c r="A19825" t="inlineStr">
        <is>
          <t>feu air</t>
        </is>
      </c>
      <c r="B19825">
        <f>HYPERLINK("https://www.dofusbook.net/fr/equipement/1061186-feu-air/objets", "link")</f>
        <v/>
      </c>
      <c r="C19825" t="n">
        <v>0</v>
      </c>
      <c r="D19825" t="inlineStr">
        <is>
          <t>Dagues Érhy; Amulette de l'Œil Putride; Anneau Rifique; Anneau de Padgref; Bouclier du Stalak; Ceintacé; Coiffe de Padgref; Cape Lati; Sandales  d'Atcham; Dofus Turquoise; Dofus Nébuleux; Dofus Pourpre; Dofus des Glaces; Remueur; Vigoureux majeur; Muldo Ebène et Orchidée</t>
        </is>
      </c>
    </row>
    <row r="19826">
      <c r="A19826" t="inlineStr">
        <is>
          <t>feu air ret pa</t>
        </is>
      </c>
      <c r="B19826">
        <f>HYPERLINK("https://www.dofusbook.net/fr/equipement/2705488-feu-air-ret-pa/objets", "link")</f>
        <v/>
      </c>
      <c r="C19826" t="n">
        <v>0</v>
      </c>
      <c r="D19826" t="inlineStr">
        <is>
          <t>Arc corrompu; Amulette de l'Œil Putride; Alliance Brûlâme; Anneau Rifique; Cadran de Terre; Ceinture de Vortex; Cagoule de Vortex; Cape Lati; Sandales  d'Atcham; Dofus Pourpre; Dofus des Glaces; Dofus Turquoise; Remueur; Vigoureux majeur; Étourdisseur majeur; Muldo Ebène et Orchidée</t>
        </is>
      </c>
    </row>
    <row r="19827">
      <c r="A19827" t="inlineStr">
        <is>
          <t>agi no crit</t>
        </is>
      </c>
      <c r="B19827">
        <f>HYPERLINK("https://www.dofusbook.net/fr/equipement/2694041-agi-no-crit/objets", "link")</f>
        <v/>
      </c>
      <c r="C19827" t="n">
        <v>0</v>
      </c>
      <c r="D19827" t="inlineStr">
        <is>
          <t>Pelle de la Cour Sombre; Collier du Valet Veinard; Anneau d'Allister; Gant du Valet Veinard; Cadran d'Air; Menoture; Casque d'Ilyzaelle; Cape Indescriptible; Palmes Trithons; Dofus Pourpre; Dofus Nébuleux; Évasif majeur; Remueur; Dévastateur Air majeur; Carapace Air majeur; Muldo Ebène et Indigo</t>
        </is>
      </c>
    </row>
    <row r="19828">
      <c r="A19828" t="inlineStr">
        <is>
          <t>agi no crit</t>
        </is>
      </c>
      <c r="B19828">
        <f>HYPERLINK("https://www.dofusbook.net/fr/equipement/2635514-agi-no-crit/objets", "link")</f>
        <v/>
      </c>
      <c r="C19828" t="n">
        <v>0</v>
      </c>
      <c r="D19828" t="inlineStr">
        <is>
          <t>Pelle de la Cour Sombre; Collier du Valet Veinard; Gant du Valet Veinard; Anneau d'Allister; Cadran d'Air; Menoture; Casque d'Ilyzaelle; Cape Indescriptible; Palmes Trithons; Dofus Pourpre; Dofus des Veilleurs; Dévastateur Air majeur; Carapace Air majeur; Nomade; Remueur; Muldo Ebène et Indigo</t>
        </is>
      </c>
    </row>
    <row r="19829">
      <c r="A19829" t="inlineStr">
        <is>
          <t>agi ret pm</t>
        </is>
      </c>
      <c r="B19829">
        <f>HYPERLINK("https://www.dofusbook.net/fr/equipement/247971-agi-ret-pm/objets", "link")</f>
        <v/>
      </c>
      <c r="C19829" t="n">
        <v>0</v>
      </c>
      <c r="D19829" t="inlineStr">
        <is>
          <t>Hachoirs de Viandargh; Amibou; Anneau Vicieux; Alliance Gloursonne; Cadran d'Air; Menoture; Chapibou; Cape Indescriptible; Palmes Trithons; Dévastateur Air majeur; Nomade; Entraveur majeur; Remueur; Temporiseur majeur; Cascadeur majeur; Muldo Ebène et Indigo</t>
        </is>
      </c>
    </row>
    <row r="19830">
      <c r="A19830" t="inlineStr">
        <is>
          <t>eau ret pa</t>
        </is>
      </c>
      <c r="B19830">
        <f>HYPERLINK("https://www.dofusbook.net/fr/equipement/817144-eau-ret-pa/objets", "link")</f>
        <v/>
      </c>
      <c r="C19830" t="n">
        <v>0</v>
      </c>
      <c r="D19830" t="inlineStr">
        <is>
          <t>Dagoulinantes; Amulette de Shokkoth; Anneau Crustique; Anneau Kturne; Bouclier du Stalak; Ceinture Glaciale; Némès de Tal Kasha; Cape Solution; Sandales de Tal Kasha; Dofus Pourpre; Dofus Nébuleux; Étourdisseur majeur; Remueur; Carapace Eau majeur; Nomade; Kramkram</t>
        </is>
      </c>
    </row>
    <row r="19831">
      <c r="A19831" t="inlineStr">
        <is>
          <t>eau</t>
        </is>
      </c>
      <c r="B19831">
        <f>HYPERLINK("https://www.dofusbook.net/fr/equipement/2611601-eau/objets", "link")</f>
        <v/>
      </c>
      <c r="C19831" t="n">
        <v>0</v>
      </c>
      <c r="D19831" t="inlineStr">
        <is>
          <t>Sceptre du Roi Joueur; Amulette du Sinistrofu; Bracelet des Fonds marins; Anneau Glacial; Quatre-feuilles; Ceinture Glaciale; Capuche de l'Œil Attentif; Cape Solution; Bottes de la Dame du Hasard; Dofus Pourpre; Dofus Turquoise; Carapace Eau majeur; Nomade; Chanceux majeur; Remueur; Muldo Doré et Emeraude</t>
        </is>
      </c>
    </row>
    <row r="19832">
      <c r="A19832" t="inlineStr">
        <is>
          <t>feu air do crit</t>
        </is>
      </c>
      <c r="B19832">
        <f>HYPERLINK("https://www.dofusbook.net/fr/equipement/2570785-feu-air-do-crit/objets", "link")</f>
        <v/>
      </c>
      <c r="C19832" t="n">
        <v>0</v>
      </c>
      <c r="D19832" t="inlineStr">
        <is>
          <t>Baguette Range; Amulette de l'Œil Putride; Anneau de Padgref; Anneau Rifique; Quatre-feuilles; Ceintacé; Coiffe de Padgref; Cape Lati; Sandales  d'Atcham; Dofus Nébuleux; Dofus des Glaces; Dofus Pourpre; Dofus Turquoise; Remueur; Vigoureux majeur; Muldo Prune et Emeraude</t>
        </is>
      </c>
    </row>
    <row r="19833">
      <c r="A19833" t="inlineStr">
        <is>
          <t>terre air</t>
        </is>
      </c>
      <c r="B19833">
        <f>HYPERLINK("https://www.dofusbook.net/fr/equipement/2568909-terre-air/objets", "link")</f>
        <v/>
      </c>
      <c r="C19833" t="n">
        <v>0</v>
      </c>
      <c r="D19833" t="inlineStr">
        <is>
          <t>Lance corrompue; Amulette de Nevark; Anneau du Cycloïde; Anneau des égarés; Cadran d'Eau; Ceintouse; Coiffe de la Reine des Voleurs; Cape de Nevark; Baleinabottes; Dofus des Glaces; Dofus Nébuleux; Dofus Pourpre; Nomade; Remueur; Vigoureux majeur; Muldo Doré et Pourpre</t>
        </is>
      </c>
    </row>
    <row r="19834">
      <c r="A19834" t="inlineStr">
        <is>
          <t>eau air</t>
        </is>
      </c>
      <c r="B19834">
        <f>HYPERLINK("https://www.dofusbook.net/fr/equipement/2554432-eau-air-/objets", "link")</f>
        <v/>
      </c>
      <c r="C19834" t="n">
        <v>0</v>
      </c>
      <c r="D19834" t="inlineStr">
        <is>
          <t>Arc de Koutoulou; Amulette Voldelor; Alliance Gloursonne; Bracelet du Piloztère; Quatre-feuilles; Ceinture du Strigide; Némès de Tal Kasha; Cape Matelassée; Sandales de Tal Kasha; Dofus Nébuleux; Dofus Pourpre; Dofus Turquoise; Remueur; Nomade; Muldo Doré et Emeraude</t>
        </is>
      </c>
    </row>
    <row r="19835">
      <c r="A19835" t="inlineStr">
        <is>
          <t>eau</t>
        </is>
      </c>
      <c r="B19835">
        <f>HYPERLINK("https://www.dofusbook.net/fr/equipement/2523724-eau/objets", "link")</f>
        <v/>
      </c>
      <c r="C19835" t="n">
        <v>0</v>
      </c>
      <c r="D19835" t="inlineStr">
        <is>
          <t>Sceptre du Roi Joueur; Amulette du Sinistrofu; Bracelet des Fonds marins; Anneau Glacial; Bouclier du Captain Amakna; Ceinture Glaciale; Capuche de l'Œil Attentif; Cape Solution; Bottes de la Dame du Hasard; Dofus Turquoise; Dofus Pourpre; Nomade; Chanceux majeur; Remueur; Carapace Eau majeur; Muldo Doré et Emeraude</t>
        </is>
      </c>
    </row>
    <row r="19836">
      <c r="A19836" t="inlineStr">
        <is>
          <t>eau</t>
        </is>
      </c>
      <c r="B19836">
        <f>HYPERLINK("https://www.dofusbook.net/fr/equipement/2523687-eau/objets", "link")</f>
        <v/>
      </c>
      <c r="C19836" t="n">
        <v>0</v>
      </c>
      <c r="D19836" t="inlineStr">
        <is>
          <t>Sceptre du Roi Joueur; Amulette du Sinistrofu; Bracelet des Fonds marins; Anneau Glacial; Quatre-feuilles; Ceinture Glaciale; Capuche de l'Œil Attentif; Cape Solution; Bottes de la Dame du Hasard; Dofus Pourpre; Dofus Turquoise; Chanceux majeur; Remueur; Carapace Eau majeur; Nomade; Muldo Doré et Emeraude</t>
        </is>
      </c>
    </row>
    <row r="19837">
      <c r="A19837" t="inlineStr">
        <is>
          <t>eau</t>
        </is>
      </c>
      <c r="B19837">
        <f>HYPERLINK("https://www.dofusbook.net/fr/equipement/2523676-eau/objets", "link")</f>
        <v/>
      </c>
      <c r="C19837" t="n">
        <v>0</v>
      </c>
      <c r="D19837" t="inlineStr">
        <is>
          <t>Sceptre du Roi Joueur; Amulette du Sinistrofu; Bracelet des Fonds marins; Anneau Glacial; Bouclier du Captain Amakna; Ceinture Glaciale; Capuche de l'Œil Attentif; Cape Solution; Bottes de la Dame du Hasard; Dofus Turquoise; Dofus Pourpre; Nomade; Chanceux majeur; Remueur; Carapace Eau majeur; Muldo Doré et Emeraude</t>
        </is>
      </c>
    </row>
    <row r="19838">
      <c r="A19838" t="inlineStr">
        <is>
          <t>eau</t>
        </is>
      </c>
      <c r="B19838">
        <f>HYPERLINK("https://www.dofusbook.net/fr/equipement/2523572-eau/objets", "link")</f>
        <v/>
      </c>
      <c r="C19838" t="n">
        <v>0</v>
      </c>
      <c r="D19838" t="inlineStr">
        <is>
          <t>Sceptre du Roi Joueur; Amulette du Sinistrofu; Bracelet des Fonds marins; Anneau Glacial; Bouclier du Captain Amakna; Ceinture Glaciale; Capuche de l'Œil Attentif; Cape Solution; Bottes de la Dame du Hasard; Dofus Pourpre; Dofus Turquoise; Chanceux majeur; Remueur; Carapace Eau majeur; Nomade; Muldo Doré et Emeraude</t>
        </is>
      </c>
    </row>
    <row r="19839">
      <c r="A19839" t="inlineStr">
        <is>
          <t>multi no crit</t>
        </is>
      </c>
      <c r="B19839">
        <f>HYPERLINK("https://www.dofusbook.net/fr/equipement/2513891-multi-no-crit/objets", "link")</f>
        <v/>
      </c>
      <c r="C19839" t="n">
        <v>0</v>
      </c>
      <c r="D19839" t="inlineStr">
        <is>
          <t>Epée Maudite du Saigneur Guerrier; Amulette de l'Indicible; Bague Gloursonne; Alliance Gloursonne; Bouclier du Stalak; Ceinture de l'Esprit Salvateur; Masque de l'Esprit Salvateur; Dofusteuse; Bottes de l'Esprit Salvateur; Dofus Pourpre; Dofus Nébuleux; Dofus Ocre; Dofus des Glaces; Robuste majeur; Robuste; Kramkram</t>
        </is>
      </c>
    </row>
    <row r="19840">
      <c r="A19840" t="inlineStr">
        <is>
          <t>AIR RET PM</t>
        </is>
      </c>
      <c r="B19840">
        <f>HYPERLINK("https://www.dofusbook.net/fr/equipement/2513880-air-ret-pm/objets", "link")</f>
        <v/>
      </c>
      <c r="C19840" t="n">
        <v>0</v>
      </c>
      <c r="D19840" t="inlineStr">
        <is>
          <t>Hachoirs de Viandargh; Amibou; Alliance Gloursonne; Anneau Vicieux; Bouclier Taverne; Menoture; Chapibou; Cape Indescriptible; Palmes Trithons; Dévastateur Air majeur; Carapace Air majeur; Culbuteur majeur; Remueur; Temporiseur majeur; Cascadeur majeur; Muldo Ebène et Indigo</t>
        </is>
      </c>
    </row>
    <row r="19841">
      <c r="A19841" t="inlineStr">
        <is>
          <t>feu do</t>
        </is>
      </c>
      <c r="B19841">
        <f>HYPERLINK("https://www.dofusbook.net/fr/equipement/2511169-feu-do/objets", "link")</f>
        <v/>
      </c>
      <c r="C19841" t="n">
        <v>0</v>
      </c>
      <c r="D19841" t="inlineStr">
        <is>
          <t>Épée d'Otomaï; Amulette d'Otomaï; Anneauræus; Anneauræus; Bivalve; Ceintrigue; Heaume Oplate; Cape de Nileza; Bottes Innommables; Dofus Pourpre; Dévastateur Feu majeur; Remueur; Ravageur Feu majeur; Carapace Feu majeur; Nomade; Bisouglours</t>
        </is>
      </c>
    </row>
    <row r="19842">
      <c r="A19842" t="inlineStr">
        <is>
          <t>AIR RET PM</t>
        </is>
      </c>
      <c r="B19842">
        <f>HYPERLINK("https://www.dofusbook.net/fr/equipement/247995-air-ret-pm/objets", "link")</f>
        <v/>
      </c>
      <c r="C19842" t="n">
        <v>0</v>
      </c>
      <c r="D19842" t="inlineStr">
        <is>
          <t>Hachoirs de Viandargh; Amibou; Alliance Gloursonne; Anneau Vicieux; Cadran d'Air; Menoture; Chapibou; Cape Indescriptible; Palmes Trithons; Entraveur majeur; Remueur; Temporiseur majeur; Cascadeur majeur; Dévastateur Air majeur; Nomade; Muldo Ebène et Indigo</t>
        </is>
      </c>
    </row>
    <row r="19843">
      <c r="A19843" t="inlineStr">
        <is>
          <t>multi crit</t>
        </is>
      </c>
      <c r="B19843">
        <f>HYPERLINK("https://www.dofusbook.net/fr/equipement/2511071-multi-crit/objets", "link")</f>
        <v/>
      </c>
      <c r="C19843" t="n">
        <v>0</v>
      </c>
      <c r="D19843" t="inlineStr">
        <is>
          <t>Bâtonnet Ronien; Amulette du Strigide; Bague Gloursonne; Alliance Gloursonne; Quatre-feuilles; Ceinture du Strigide; Chapeau Lisson; Dofusteuse; Bottes du Strigide; Dofus Ocre; Dofus Turquoise; Dofus des Glaces; Dofus Pourpre; Dofus Nébuleux; Puissant majeur; Kramkram</t>
        </is>
      </c>
    </row>
    <row r="19844">
      <c r="A19844" t="inlineStr">
        <is>
          <t>feu variante</t>
        </is>
      </c>
      <c r="B19844">
        <f>HYPERLINK("https://www.dofusbook.net/fr/equipement/2492031-feu-variante/objets", "link")</f>
        <v/>
      </c>
      <c r="C19844" t="n">
        <v>0</v>
      </c>
      <c r="D19844" t="inlineStr">
        <is>
          <t>Dagues Ricol; Amulette Séculaire; Chevalière du Roi Joueur; Bague Gloursonne; Bouclier du Captain Amakna; Ceinture Séculaire; Heaume Oplate; Cape de la Dame du Hasard; Bottes d'Otomaï; Dofus Turquoise; Dofus Nébuleux; Dofus Pourpre; Dévastateur Feu majeur; Remueur; Muldo Indigo et Orchidée</t>
        </is>
      </c>
    </row>
    <row r="19845">
      <c r="A19845" t="inlineStr">
        <is>
          <t>feu distance</t>
        </is>
      </c>
      <c r="B19845">
        <f>HYPERLINK("https://www.dofusbook.net/fr/equipement/2492054-feu-distance/objets", "link")</f>
        <v/>
      </c>
      <c r="C19845" t="n">
        <v>0</v>
      </c>
      <c r="D19845" t="inlineStr">
        <is>
          <t>Arc corrompu; Amulette d'Otomaï; Chevalière du Roi Joueur; Bague Gloursonne; Cadran de Terre; Ceinture Séculaire; Coiffe Séculaire; Cape de la Dame du Hasard; Pataugastrique; Dofus Pourpre; Dofus Turquoise; Dofus Nébuleux; Dévastateur Feu majeur; Remueur; Carapace Neutre majeur; Muldo Orchidée et Pourpre</t>
        </is>
      </c>
    </row>
    <row r="19846">
      <c r="A19846" t="inlineStr">
        <is>
          <t>feu cac</t>
        </is>
      </c>
      <c r="B19846">
        <f>HYPERLINK("https://www.dofusbook.net/fr/equipement/2313677-feu-cac/objets", "link")</f>
        <v/>
      </c>
      <c r="C19846" t="n">
        <v>0</v>
      </c>
      <c r="D19846" t="inlineStr">
        <is>
          <t>Harpelle; Amulette d'Otomaï; Bague Gloursonne; Chevalière du Roi Joueur; Bouclier du Sadida; Ceinture Séculaire; Coiffe Séculaire; Cape de la Dame du Hasard; Pataugastrique; Dofus Nébuleux; Dofus Pourpre; Dofus Turquoise; Carapace Neutre majeur; Dévastateur Feu majeur; Remueur; Muldo Orchidée et Pourpre</t>
        </is>
      </c>
    </row>
    <row r="19847">
      <c r="A19847" t="inlineStr">
        <is>
          <t>air eau</t>
        </is>
      </c>
      <c r="B19847">
        <f>HYPERLINK("https://www.dofusbook.net/fr/equipement/2468020-air-eau/objets", "link")</f>
        <v/>
      </c>
      <c r="C19847" t="n">
        <v>0</v>
      </c>
      <c r="D19847" t="inlineStr">
        <is>
          <t>Arc de Koutoulou; Amulette Voldelor; Grésilanneau; Alliance Gloursonne; Cadran d'Air; Ceintacé; Némès de Tal Kasha; Cape d'Atcham; Sandales de Tal Kasha; Dofus Turquoise; Dofus Nébuleux; Dofus Pourpre; Carapace Air majeur; Remueur; Vigoureux majeur; Muldo Prune et Ebène</t>
        </is>
      </c>
    </row>
    <row r="19848">
      <c r="A19848" t="inlineStr">
        <is>
          <t>air eau</t>
        </is>
      </c>
      <c r="B19848">
        <f>HYPERLINK("https://www.dofusbook.net/fr/equipement/2461640-air-eau/objets", "link")</f>
        <v/>
      </c>
      <c r="C19848" t="n">
        <v>0</v>
      </c>
      <c r="D19848" t="inlineStr">
        <is>
          <t>Arc de Koutoulou; Amulette Voldelor; Alliance Gloursonne; Grésilanneau; Cadran d'Air; Ceintacé; Némès de Tal Kasha; Cape d'Atcham; Sandales de Tal Kasha; Dofus Pourpre; Dofus Turquoise; Dofus Nébuleux; Carapace Air majeur; Remueur; Vigoureux majeur; Muldo Prune et Ebène</t>
        </is>
      </c>
    </row>
    <row r="19849">
      <c r="A19849" t="inlineStr">
        <is>
          <t>air eau</t>
        </is>
      </c>
      <c r="B19849">
        <f>HYPERLINK("https://www.dofusbook.net/fr/equipement/2461590-air-eau/objets", "link")</f>
        <v/>
      </c>
      <c r="C19849" t="n">
        <v>0</v>
      </c>
      <c r="D19849" t="inlineStr">
        <is>
          <t>Arc de Koutoulou; Amulette Voldelor; Grésilanneau; Alliance Gloursonne; Cadran d'Air; Ceintacé; Némès de Tal Kasha; Cape d'Atcham; Sandales de Tal Kasha; Dofus Turquoise; Dofus Nébuleux; Dofus Pourpre; Carapace Air majeur; Remueur; Vigoureux majeur; Muldo Prune et Ebène</t>
        </is>
      </c>
    </row>
    <row r="19850">
      <c r="A19850" t="inlineStr">
        <is>
          <t>feu-eau2</t>
        </is>
      </c>
      <c r="B19850">
        <f>HYPERLINK("https://www.dofusbook.net/fr/equipement/2458420-feu-eau2/objets", "link")</f>
        <v/>
      </c>
      <c r="C19850" t="n">
        <v>0</v>
      </c>
      <c r="D19850" t="inlineStr">
        <is>
          <t>Épée Brûlâme; Amulette de l'Œil Putride; Alliance Brûlâme; Anneau Kturne; Bouclier du Captain Amakna; Poulpagne; Casquette de Meno; Cape de la Dame du Hasard; Bottes de la Dame du Hasard; Dofus Pourpre; Dofus Émeraude; Dofus Turquoise; Nomade; Vigoureux majeur; Remueur; Muldo Orchidée</t>
        </is>
      </c>
    </row>
    <row r="19851">
      <c r="A19851" t="inlineStr">
        <is>
          <t>feu-eau2</t>
        </is>
      </c>
      <c r="B19851">
        <f>HYPERLINK("https://www.dofusbook.net/fr/equipement/1092505-feu-eau2/objets", "link")</f>
        <v/>
      </c>
      <c r="C19851" t="n">
        <v>0</v>
      </c>
      <c r="D19851" t="inlineStr">
        <is>
          <t>Épée Brûlâme; Amulette de l'Œil Putride; Anneau Kturne; Alliance Brûlâme; Bouclier du Captain Amakna; Poulpagne; Casquette de Meno; Cape de la Dame du Hasard; Bottes de la Dame du Hasard; Dofus Émeraude; Dofus Turquoise; Dofus Pourpre; Vigoureux majeur; Remueur; Nomade; Muldo Orchidée</t>
        </is>
      </c>
    </row>
    <row r="19852">
      <c r="A19852" t="inlineStr">
        <is>
          <t>feu-eau</t>
        </is>
      </c>
      <c r="B19852">
        <f>HYPERLINK("https://www.dofusbook.net/fr/equipement/2415445-feu-eau/objets", "link")</f>
        <v/>
      </c>
      <c r="C19852" t="n">
        <v>0</v>
      </c>
      <c r="D19852" t="inlineStr">
        <is>
          <t>Épée Brûlâme; Talisman Igans; Anneau Kturne; Alliance du Lévitrof; Bouclier du Captain Amakna; Ceintrigue; Casquette de Meno; Cape de la Dame du Hasard; Pataugastrique; Dofus Pourpre; Dofus Émeraude; Dofus Turquoise; Vigoureux majeur; Remueur; Nomade; Homlett</t>
        </is>
      </c>
    </row>
    <row r="19853">
      <c r="A19853" t="inlineStr">
        <is>
          <t>multi no crit</t>
        </is>
      </c>
      <c r="B19853">
        <f>HYPERLINK("https://www.dofusbook.net/fr/equipement/2359108-multi-no-crit/objets", "link")</f>
        <v/>
      </c>
      <c r="C19853" t="n">
        <v>0</v>
      </c>
      <c r="D19853" t="inlineStr">
        <is>
          <t>Epée Maudite du Saigneur Guerrier; Amulette de l'Indicible; Alliance Gloursonne; Bague Gloursonne; Bouclier du Stalak; Ceinture de l'Esprit Salvateur; Masque de l'Esprit Salvateur; Dofusteuse; Bottes de l'Esprit Salvateur; Dofus Pourpre; Dofus Nébuleux; Dofus Ocre; Dofus des Glaces; Robuste majeur; Robuste; Kramkram</t>
        </is>
      </c>
    </row>
    <row r="19854">
      <c r="A19854" t="inlineStr">
        <is>
          <t>feu air</t>
        </is>
      </c>
      <c r="B19854">
        <f>HYPERLINK("https://www.dofusbook.net/fr/equipement/2322799-feu-air/objets", "link")</f>
        <v/>
      </c>
      <c r="C19854" t="n">
        <v>0</v>
      </c>
      <c r="D19854" t="inlineStr">
        <is>
          <t>Dagues Érhy; Amulette Séculaire; Anneau Rifique; Anneau de Padgref; Bouclier du Captain Amakna; Ceinture Séculaire; Coiffe de Padgref; Cape Lati; Getas de Padgref; Dofus Pourpre; Dofus des Glaces; Dofus Turquoise; Dofus Nébuleux; Dofus Émeraude; Dofus Ocre; Muldo Doré et Emeraude</t>
        </is>
      </c>
    </row>
    <row r="19855">
      <c r="A19855" t="inlineStr">
        <is>
          <t>feu pvp</t>
        </is>
      </c>
      <c r="B19855">
        <f>HYPERLINK("https://www.dofusbook.net/fr/equipement/2317313-feu-pvp/objets", "link")</f>
        <v/>
      </c>
      <c r="C19855" t="n">
        <v>0</v>
      </c>
      <c r="D19855" t="inlineStr">
        <is>
          <t>Dagues Ricol; Amulette d'Otomaï; Chevalière du Roi Joueur; Bague Gloursonne; Bouclier du Sadida; Ceinture Séculaire; Coiffe Séculaire; Cape de la Dame du Hasard; Pataugastrique; Dofus Pourpre; Dofus Turquoise; Dofus Nébuleux; Dévastateur Feu majeur; Remueur; Nomade; Croum</t>
        </is>
      </c>
    </row>
    <row r="19856">
      <c r="A19856" t="inlineStr">
        <is>
          <t>terre</t>
        </is>
      </c>
      <c r="B19856">
        <f>HYPERLINK("https://www.dofusbook.net/fr/equipement/2299828-terre/objets", "link")</f>
        <v/>
      </c>
      <c r="C19856" t="n">
        <v>0</v>
      </c>
      <c r="D19856" t="inlineStr">
        <is>
          <t>Dagues d'Ilyzaelle; Collier de Tourthon; Anneau de Brouce; Anneau Crustique; Bouclier du Captain Amakna; Ceinture de Brouce; Masque de Koutoulou; Cape au Logis; Tentassons; Dofus Nébuleux; Dofus Turquoise; Dofus Pourpre; Carapace Terre majeur; Enragé majeur; Remueur; Muldo Indigo et Pourpre</t>
        </is>
      </c>
    </row>
    <row r="19857">
      <c r="A19857" t="inlineStr">
        <is>
          <t>feu-eau</t>
        </is>
      </c>
      <c r="B19857">
        <f>HYPERLINK("https://www.dofusbook.net/fr/equipement/2299411-feu-eau/objets", "link")</f>
        <v/>
      </c>
      <c r="C19857" t="n">
        <v>0</v>
      </c>
      <c r="D19857" t="inlineStr">
        <is>
          <t>Épée Brûlâme; Amulette Cryochrone; Anneau Cryochrone; Alliance du Lévitrof; Bouclier du Sadida; Ceinture de l'Esprit Malsain; Chapeau Lisson; Cape de la Dame du Hasard; Pataugastrique; Dofus Nébuleux; Dofus Pourpre; Dofus Turquoise; Carapace Neutre majeur; Remueur; Nomade; Croum</t>
        </is>
      </c>
    </row>
    <row r="19858">
      <c r="A19858" t="inlineStr">
        <is>
          <t>multi no crit</t>
        </is>
      </c>
      <c r="B19858">
        <f>HYPERLINK("https://www.dofusbook.net/fr/equipement/2282222-multi-no-crit/objets", "link")</f>
        <v/>
      </c>
      <c r="C19858" t="n">
        <v>0</v>
      </c>
      <c r="D19858" t="inlineStr">
        <is>
          <t>Epée Maudite du Saigneur Guerrier; Amulette de l'Indicible; Alliance Gloursonne; Bague Gloursonne; Bouclier du Stalak; Ceinture de l'Esprit Salvateur; Masque de l'Esprit Salvateur; Dofusteuse; Bottes de l'Esprit Salvateur; Dofus Pourpre; Dofus Nébuleux; Dofus Ocre; Dofus des Glaces; Robuste majeur; Robuste; Kramkram</t>
        </is>
      </c>
    </row>
    <row r="19859">
      <c r="A19859" t="inlineStr">
        <is>
          <t>feu-eau2</t>
        </is>
      </c>
      <c r="B19859">
        <f>HYPERLINK("https://www.dofusbook.net/fr/equipement/2273286-feu-eau2/objets", "link")</f>
        <v/>
      </c>
      <c r="C19859" t="n">
        <v>0</v>
      </c>
      <c r="D19859" t="inlineStr">
        <is>
          <t>Épée Brûlâme; Collier de la Dame du Hasard; Bracelet du Piloztère; Alliance du Lévitrof; Quatre-feuilles; Ceinture de l'Esprit Malsain; Casquette de Meno; Cape de la Dame du Hasard; Pataugastrique; Dofus Pourpre; Dofus Nébuleux; Dofus des Glaces; Dofus Turquoise; Vigoureux majeur; Remueur; Muldo Doré et Emeraude</t>
        </is>
      </c>
    </row>
    <row r="19860">
      <c r="A19860" t="inlineStr">
        <is>
          <t>Stuff 1</t>
        </is>
      </c>
      <c r="B19860">
        <f>HYPERLINK("https://www.dofusbook.net/fr/equipement/2273256-stuff-1/objets", "link")</f>
        <v/>
      </c>
      <c r="C19860" t="n">
        <v>0</v>
      </c>
      <c r="D19860" t="inlineStr">
        <is>
          <t>Pelle de Nidas; Amulette de l'Indicible; Alliance Gloursonne; Anneau du Père Fwetar; Quatre-feuilles; Ceinture de la Reine des Voleurs; Coiffe de la Reine des Voleurs; Voilamibe; Baleinabottes; Dofus Pourpre; Dofus des Glaces; Dofus Turquoise; Vigoureux majeur; Remueur; Nomade; Kramkram</t>
        </is>
      </c>
    </row>
    <row r="19861">
      <c r="A19861" t="inlineStr">
        <is>
          <t>terre eau</t>
        </is>
      </c>
      <c r="B19861">
        <f>HYPERLINK("https://www.dofusbook.net/fr/equipement/2273212-terre-eau/objets", "link")</f>
        <v/>
      </c>
      <c r="C19861" t="n">
        <v>0</v>
      </c>
      <c r="D19861" t="inlineStr">
        <is>
          <t>Épouvante; Amulette Luminescente; Pikano; Bracelet du Piloztère; Quatre-feuilles; Ceinture Luminescente; Casquipik; Cape Luminescente; Pantoufles du Piloztère; Dofus Pourpre; Dofus Ocre; Dofus Turquoise; Dofus des Glaces; Entraveur majeur; Puissant majeur; Muldo Indigo et Pourpre</t>
        </is>
      </c>
    </row>
    <row r="19862">
      <c r="A19862" t="inlineStr">
        <is>
          <t>Stuff 2</t>
        </is>
      </c>
      <c r="B19862">
        <f>HYPERLINK("https://www.dofusbook.net/fr/equipement/2237670-stuff-2/objets", "link")</f>
        <v/>
      </c>
      <c r="C19862" t="n">
        <v>0</v>
      </c>
      <c r="D19862" t="inlineStr">
        <is>
          <t>Sceptre du Roi Joueur; Amulette de Shokkoth; Bracelet du Piloztère; Bracelet des Fonds marins; Bivalve; Poulpagne; Masque des Fonds marins; Cape de la Dame du Hasard; Bottes du Sinistrofu; Dofus Pourpre; Dofus Turquoise; Remueur; Chanceux majeur; Carapace Eau majeur; Nomade; Kramkram</t>
        </is>
      </c>
    </row>
    <row r="19863">
      <c r="A19863" t="inlineStr">
        <is>
          <t>mumu</t>
        </is>
      </c>
      <c r="B19863">
        <f>HYPERLINK("https://www.dofusbook.net/fr/equipement/1061041-mumu/objets", "link")</f>
        <v/>
      </c>
      <c r="C19863" t="n">
        <v>0</v>
      </c>
      <c r="D19863" t="inlineStr">
        <is>
          <t>Sabres d'Atcham; Amulette de l'Œil Putride; Bague Gloursonne; Anneau de Padgref; Bouclier du Captain Amakna; Ceinture du Strigide; Le Dorado; Cape de la Dame du Hasard; Sandales  d'Atcham; Dofus Turquoise; Dofus des Glaces; Dofus Nébuleux; Dofus Pourpre; Vigoureux majeur; Remueur; Muldo Doré et Emeraude</t>
        </is>
      </c>
    </row>
    <row r="19864">
      <c r="A19864" t="inlineStr">
        <is>
          <t>air do crit</t>
        </is>
      </c>
      <c r="B19864">
        <f>HYPERLINK("https://www.dofusbook.net/fr/equipement/2224001-air-do-crit/objets", "link")</f>
        <v/>
      </c>
      <c r="C19864" t="n">
        <v>0</v>
      </c>
      <c r="D19864" t="inlineStr">
        <is>
          <t>Lance Horselé; Amibou; Anneau de Padgref; Anneau Vicieux; Quatre-feuilles; Menoture; Némès de Tal Kasha; Cape Indescriptible; Sandales de Tal Kasha; Dofus Pourpre; Dofus Turquoise; Remueur; Carapace Air majeur; Nomade; Croum</t>
        </is>
      </c>
    </row>
    <row r="19865">
      <c r="A19865" t="inlineStr">
        <is>
          <t>Staff 4</t>
        </is>
      </c>
      <c r="B19865">
        <f>HYPERLINK("https://www.dofusbook.net/fr/equipement/2220327-staff-4/objets", "link")</f>
        <v/>
      </c>
      <c r="C19865" t="n">
        <v>0</v>
      </c>
      <c r="D19865" t="inlineStr">
        <is>
          <t>Sceptre du Roi Joueur; Amulette de Shokkoth; Anneau Glacial; Bracelet des Fonds marins; Quatre-feuilles; Poulpagne; Casquette de Meno; Cape de la Dame du Hasard; Bottes de la Dame du Hasard; Dofus Pourpre; Dofus Turquoise; Dofus Nébuleux; Remueur; Chanceux majeur; Dévastateur Eau majeur; Kramkram</t>
        </is>
      </c>
    </row>
    <row r="19866">
      <c r="A19866" t="inlineStr">
        <is>
          <t>terre</t>
        </is>
      </c>
      <c r="B19866">
        <f>HYPERLINK("https://www.dofusbook.net/fr/equipement/2220183-terre/objets", "link")</f>
        <v/>
      </c>
      <c r="C19866" t="n">
        <v>0</v>
      </c>
      <c r="D19866" t="inlineStr">
        <is>
          <t>Dagues Érhy; Kralamansion; Anneau Crustique; Anneau de Brouce; Quatre-feuilles; Ceinture de Brouce; Masque de Koutoulou; Cape au Logis; Tentassons; Dofus Nébuleux; Dofus Turquoise; Dofus Pourpre; Remueur; Carapace Terre majeur; Enragé majeur; Muldo Ebène et Pourpre</t>
        </is>
      </c>
    </row>
    <row r="19867">
      <c r="A19867" t="inlineStr">
        <is>
          <t>Multi 1</t>
        </is>
      </c>
      <c r="B19867">
        <f>HYPERLINK("https://www.dofusbook.net/fr/equipement/2101632-multi-1/objets", "link")</f>
        <v/>
      </c>
      <c r="C19867" t="n">
        <v>0</v>
      </c>
      <c r="D19867" t="inlineStr">
        <is>
          <t>Epée Gloursonne; Amulette de l'Indicible; Bague Gloursonne; Alliance Gloursonne; Bouclier du Stalak; Ceinture de l'Esprit Salvateur; Masque de l'Esprit Salvateur; Voilamibe; Bottes de l'Esprit Salvateur; Dolmanax; Dofus des Glaces; Dofus Pourpre; Dofus Nébuleux; Dofus Ocre; Robuste majeur; Kramkram</t>
        </is>
      </c>
    </row>
    <row r="19868">
      <c r="A19868" t="inlineStr">
        <is>
          <t>AIR RET PM</t>
        </is>
      </c>
      <c r="B19868">
        <f>HYPERLINK("https://www.dofusbook.net/fr/equipement/2189048-air-ret-pm/objets", "link")</f>
        <v/>
      </c>
      <c r="C19868" t="n">
        <v>0</v>
      </c>
      <c r="D19868" t="inlineStr">
        <is>
          <t>Hachoirs de Viandargh; Amibou; Alliance Gloursonne; Anneau Vicieux; Cadran d'Air; Menoture; Chapibou; Cape Indescriptible; Palmes Trithons; Dofus Pourpre; Temporiseur majeur; Cascadeur majeur; Dévastateur Air majeur; Nomade; Remueur; Croum</t>
        </is>
      </c>
    </row>
    <row r="19869">
      <c r="A19869" t="inlineStr">
        <is>
          <t>air1</t>
        </is>
      </c>
      <c r="B19869">
        <f>HYPERLINK("https://www.dofusbook.net/fr/equipement/2182251-air1/objets", "link")</f>
        <v/>
      </c>
      <c r="C19869" t="n">
        <v>0</v>
      </c>
      <c r="D19869" t="inlineStr">
        <is>
          <t>Pelle de la Cour Sombre; Collier du Valet Veinard; Anneau d'Allister; Gant du Valet Veinard; Bouclier du Stalak; Ceinture de l'Esprit Salvateur; Masque de l'Esprit Salvateur; Cape du Valet Veinard; Bottes de l'Esprit Salvateur; Dofus des Glaces; Dofus Émeraude; Dofus Nébuleux; Dofus Pourpre; Ravageur Air majeur; Robuste majeur; Muldo Ebène et Orchidée</t>
        </is>
      </c>
    </row>
    <row r="19870">
      <c r="A19870" t="inlineStr">
        <is>
          <t>eau air</t>
        </is>
      </c>
      <c r="B19870">
        <f>HYPERLINK("https://www.dofusbook.net/fr/equipement/2178649-eau-air/objets", "link")</f>
        <v/>
      </c>
      <c r="C19870" t="n">
        <v>0</v>
      </c>
      <c r="D19870" t="inlineStr">
        <is>
          <t>Amulette Voldelor; Ceinture du Barbétoal; Casque d'Ilyzaelle; Voilamibe; Bottes de la Reine des Voleurs</t>
        </is>
      </c>
    </row>
    <row r="19871">
      <c r="A19871" t="inlineStr">
        <is>
          <t>feu-eau2</t>
        </is>
      </c>
      <c r="B19871">
        <f>HYPERLINK("https://www.dofusbook.net/fr/equipement/2154698-feu-eau2/objets", "link")</f>
        <v/>
      </c>
      <c r="C19871" t="n">
        <v>0</v>
      </c>
      <c r="D19871" t="inlineStr">
        <is>
          <t>Épée Brûlâme; Collier de la Dame du Hasard; Alliance du Lévitrof; Lavanneau; Quatre-feuilles; Ceinture de l'Esprit Malsain; Casquette de Meno; Cape de la Dame du Hasard; Pataugastrique; Dofus Nébuleux; Dofus des Glaces; Dofus Turquoise; Dofus Pourpre; Vigoureux majeur; Remueur; Muldo Doré et Emeraude</t>
        </is>
      </c>
    </row>
    <row r="19872">
      <c r="A19872" t="inlineStr">
        <is>
          <t>terre</t>
        </is>
      </c>
      <c r="B19872">
        <f>HYPERLINK("https://www.dofusbook.net/fr/equipement/2107914-terre/objets", "link")</f>
        <v/>
      </c>
      <c r="C19872" t="n">
        <v>0</v>
      </c>
      <c r="D19872" t="inlineStr">
        <is>
          <t>Arc du Chalœil; Collier de Tourthon; Anneau Crustique; Anneau de Brouce; Quatre-feuilles; Ceinture de Brouce; Masque de Koutoulou; Cape au Logis; Tentassons; Dofus Pourpre; Dofus Nébuleux; Dofus Turquoise; Remueur; Carapace Terre majeur; Enragé majeur; Muldo Indigo et Pourpre</t>
        </is>
      </c>
    </row>
    <row r="19873">
      <c r="A19873" t="inlineStr">
        <is>
          <t>feu eau air 3</t>
        </is>
      </c>
      <c r="B19873">
        <f>HYPERLINK("https://www.dofusbook.net/fr/equipement/2101708-feu-eau-air-3/objets", "link")</f>
        <v/>
      </c>
      <c r="C19873" t="n">
        <v>0</v>
      </c>
      <c r="D19873" t="inlineStr">
        <is>
          <t>Epée Gloursonne; Amulette de l'Indicible; Alliance Gloursonne; Bague Gloursonne; Bouclier du Stalak; Ceinture de l'Esprit Salvateur; Masque de l'Esprit Salvateur; Voilamibe; Bottes de l'Esprit Salvateur; Dofus Nébuleux; Dofus Ocre; Dolmanax; Dofus des Glaces; Dofus Pourpre; Robuste majeur; Kramkram</t>
        </is>
      </c>
    </row>
    <row r="19874">
      <c r="A19874" t="inlineStr">
        <is>
          <t>agi chance</t>
        </is>
      </c>
      <c r="B19874">
        <f>HYPERLINK("https://www.dofusbook.net/fr/equipement/2101595-agi-chance-/objets", "link")</f>
        <v/>
      </c>
      <c r="C19874" t="n">
        <v>0</v>
      </c>
      <c r="D19874" t="inlineStr">
        <is>
          <t>Arc de Koutoulou; Amulette d'Ilyzaelle; Alliance Gloursonne; Grésilanneau; Cadran d'Air; Ceinture Voldelor; Casque d'Ilyzaelle; Cape Matelassée; Bottes de la Reine des Voleurs; Dofus Pourpre; Remueur; Vigoureux majeur; Robuste majeur; Nomade; Carapace Air majeur; Muldo Doré et Ebène</t>
        </is>
      </c>
    </row>
    <row r="19875">
      <c r="A19875" t="inlineStr">
        <is>
          <t>terre</t>
        </is>
      </c>
      <c r="B19875">
        <f>HYPERLINK("https://www.dofusbook.net/fr/equipement/2101470-terre/objets", "link")</f>
        <v/>
      </c>
      <c r="C19875" t="n">
        <v>0</v>
      </c>
      <c r="D19875" t="inlineStr">
        <is>
          <t>Arc du Chalœil; Collier de Tourthon; Anneau Crustique; Anneau de Brouce; Quatre-feuilles; Ceinture de Brouce; Masque de Koutoulou; Cape au Logis; Tentassons; Dofus Pourpre; Dofus Nébuleux; Dofus Turquoise; Remueur; Carapace Terre majeur; Enragé majeur; Muldo Indigo et Pourpre</t>
        </is>
      </c>
    </row>
    <row r="19876">
      <c r="A19876" t="inlineStr">
        <is>
          <t>terre</t>
        </is>
      </c>
      <c r="B19876">
        <f>HYPERLINK("https://www.dofusbook.net/fr/equipement/2101009-terre/objets", "link")</f>
        <v/>
      </c>
      <c r="C19876" t="n">
        <v>0</v>
      </c>
      <c r="D19876" t="inlineStr">
        <is>
          <t>Arc du Chalœil; Collier de Tourthon; Anneau de Brouce; Anneau Crustique; Quatre-feuilles; Ceinture de Brouce; Masque de Koutoulou; Cape au Logis; Baleinabottes; Dofus Nébuleux; Dofus Turquoise; Dofus Pourpre; Enragé majeur; Remueur; Carapace Terre majeur; Muldo Indigo et Pourpre</t>
        </is>
      </c>
    </row>
    <row r="19877">
      <c r="A19877" t="inlineStr">
        <is>
          <t>terre</t>
        </is>
      </c>
      <c r="B19877">
        <f>HYPERLINK("https://www.dofusbook.net/fr/equipement/2100945-terre/objets", "link")</f>
        <v/>
      </c>
      <c r="C19877" t="n">
        <v>0</v>
      </c>
      <c r="D19877" t="inlineStr">
        <is>
          <t>Arc du Chalœil; Collier de Tourthon; Anneau Crustique; Anneau de Brouce; Bouclier du Captain Amakna; Ceinture de Brouce; Masque de Koutoulou; Cape au Logis; Tentassons; Dofus Pourpre; Dofus Nébuleux; Dofus Turquoise; Remueur; Carapace Terre majeur; Enragé majeur; Muldo Indigo et Pourpre</t>
        </is>
      </c>
    </row>
    <row r="19878">
      <c r="A19878" t="inlineStr">
        <is>
          <t>feu-eau2</t>
        </is>
      </c>
      <c r="B19878">
        <f>HYPERLINK("https://www.dofusbook.net/fr/equipement/2067322-feu-eau2/objets", "link")</f>
        <v/>
      </c>
      <c r="C19878" t="n">
        <v>0</v>
      </c>
      <c r="D19878" t="inlineStr">
        <is>
          <t>Épée Brûlâme; Talisman Igans; Alliance du Lévitrof; Anneau Kturne; Bouclier du Captain Amakna; Ceintrigue; Casquette de Meno; Cape de la Dame du Hasard; Pataugastrique; Dofus Pourpre; Dofus des Glaces; Dofus Turquoise; Dofus Nébuleux; Remueur; Vigoureux majeur; Muldo Doré et Emeraude</t>
        </is>
      </c>
    </row>
    <row r="19879">
      <c r="A19879" t="inlineStr">
        <is>
          <t>feu eau air 2</t>
        </is>
      </c>
      <c r="B19879">
        <f>HYPERLINK("https://www.dofusbook.net/fr/equipement/1933769-feu-eau-air-2/objets", "link")</f>
        <v/>
      </c>
      <c r="C19879" t="n">
        <v>0</v>
      </c>
      <c r="D19879" t="inlineStr">
        <is>
          <t>Sabres d'Atcham; Amulette de l'Œil Putride; Anneau de Padgref; Anneau Tique; Quatre-feuilles; Ceinture du Strigide; Capuche de l'Œil Putride; Cape d'Atcham; Sandales  d'Atcham; Dofus Pourpre; Dofus Nébuleux; Dofus Turquoise; Dofus des Glaces; Dofus Ocre; Examinateur; Muldo Doré et Emeraude</t>
        </is>
      </c>
    </row>
    <row r="19880">
      <c r="A19880" t="inlineStr">
        <is>
          <t>Stuff 3</t>
        </is>
      </c>
      <c r="B19880">
        <f>HYPERLINK("https://www.dofusbook.net/fr/equipement/1933587-stuff-3/objets", "link")</f>
        <v/>
      </c>
      <c r="C19880" t="n">
        <v>0</v>
      </c>
      <c r="D19880" t="inlineStr">
        <is>
          <t>Hachoirs de Viandargh; Amibou; Anneau Vicieux; Alliance Gloursonne; Cadran d'Air; Menoture; Chapibou; Cape Indescriptible; Palmes Trithons; Temporiseur majeur; Cascadeur majeur; Dévastateur Air majeur; Nomade; Entraveur majeur; Remueur; Muldo Ebène et Indigo</t>
        </is>
      </c>
    </row>
    <row r="19881">
      <c r="A19881" t="inlineStr">
        <is>
          <t>fofofo2</t>
        </is>
      </c>
      <c r="B19881">
        <f>HYPERLINK("https://www.dofusbook.net/fr/equipement/1882609-fofofo2/objets", "link")</f>
        <v/>
      </c>
      <c r="C19881" t="n">
        <v>0</v>
      </c>
      <c r="D19881" t="inlineStr">
        <is>
          <t>Epée Toche; Amulette de Gein; Bague Gloursonne; Chevalière du Roi Joueur; Bouclier du Captain Amakna; Ceinture du Strigide; Chapeau de Gein; Voile d'encre; Bottes Honyme; Dofus Turquoise; Dofus Pourpre; Dofus Nébuleux; Vigoureux majeur; Remueur; Carapace Neutre majeur; Muldo Orchidée et Pourpre</t>
        </is>
      </c>
    </row>
    <row r="19882">
      <c r="A19882" t="inlineStr">
        <is>
          <t>feu eau air</t>
        </is>
      </c>
      <c r="B19882">
        <f>HYPERLINK("https://www.dofusbook.net/fr/equipement/247972-feu-eau-air/objets", "link")</f>
        <v/>
      </c>
      <c r="C19882" t="n">
        <v>0</v>
      </c>
      <c r="D19882" t="inlineStr">
        <is>
          <t>Sabres d'Atcham; Amulette du Strigide; Bracelet du Piloztère; Anneau Tique; Quatre-feuilles; Ceinture du Strigide; Chapeau des Malveilleurs; Cape d'Atcham; Sandales  d'Atcham; Dofus des Glaces; Dofus Turquoise; Dofus Nébuleux; Dofus Pourpre; Dofus Ocre; Observateur; Muldo Doré et Emeraude</t>
        </is>
      </c>
    </row>
    <row r="19883">
      <c r="A19883" t="inlineStr">
        <is>
          <t>fofofo</t>
        </is>
      </c>
      <c r="B19883">
        <f>HYPERLINK("https://www.dofusbook.net/fr/equipement/247949-fofofo/objets", "link")</f>
        <v/>
      </c>
      <c r="C19883" t="n">
        <v>0</v>
      </c>
      <c r="D19883" t="inlineStr">
        <is>
          <t>Hache Ériphe; Amulette de Nevark; Anneau de la Fuji Givrefoux; Anneau Crustique; Bouclier du Captain Amakna; Ceinture Gence; Masque de Koutoulou; Cape de Nevark; Dofus Ocre; Dofus des Glaces; Dofus Nébuleux; Dofus Pourpre; Robuste; Robuste majeur; Dragodinde en armure</t>
        </is>
      </c>
    </row>
    <row r="19884">
      <c r="A19884" t="inlineStr">
        <is>
          <t>Staff 4</t>
        </is>
      </c>
      <c r="B19884">
        <f>HYPERLINK("https://www.dofusbook.net/fr/equipement/1737749-staff-4/objets", "link")</f>
        <v/>
      </c>
      <c r="C19884" t="n">
        <v>0</v>
      </c>
      <c r="D19884" t="inlineStr">
        <is>
          <t>Sceptre du Roi Joueur; Amulette de Shokkoth; Anneau Glacial; Bracelet des Fonds marins; Bivalve; Poulpagne; Casquette de Meno; Cape de la Dame du Hasard; Bottes de la Dame du Hasard; Dofus Turquoise; Dofus Nébuleux; Dofus Pourpre; Chanceux majeur; Dévastateur Eau majeur; Remueur; Muldo Doré et Emeraude</t>
        </is>
      </c>
    </row>
    <row r="19885">
      <c r="A19885" t="inlineStr">
        <is>
          <t>Staff 4</t>
        </is>
      </c>
      <c r="B19885">
        <f>HYPERLINK("https://www.dofusbook.net/fr/equipement/1733096-staff-4/objets", "link")</f>
        <v/>
      </c>
      <c r="C19885" t="n">
        <v>0</v>
      </c>
      <c r="D19885" t="inlineStr">
        <is>
          <t>Sceptre du Roi Joueur; Amulette de Shokkoth; Bracelet des Fonds marins; Anneau Glacial; Quatre-feuilles; Poulpagne; Casquette de Meno; Cape de la Dame du Hasard; Bottes de la Dame du Hasard; Dofus Pourpre; Dofus Turquoise; Dofus Nébuleux; Remueur; Chanceux majeur; Dévastateur Eau majeur; Kramkram</t>
        </is>
      </c>
    </row>
    <row r="19886">
      <c r="A19886" t="inlineStr">
        <is>
          <t>Stuff 1</t>
        </is>
      </c>
      <c r="B19886">
        <f>HYPERLINK("https://www.dofusbook.net/fr/equipement/247951-stuff-1/objets", "link")</f>
        <v/>
      </c>
      <c r="C19886" t="n">
        <v>0</v>
      </c>
      <c r="D19886" t="inlineStr">
        <is>
          <t>Épée d'Otomaï; Amulette d'Otomaï; Chevalière du Roi Joueur; Anneauræus; Quatre-feuilles; Sangle Aise; Casqnoar; Cape de Nileza; Bottes Innommables; Dofus Turquoise; Dofus Pourpre; Dévastateur Feu majeur; Nomade; Érudit majeur; Remueur; Brûlih</t>
        </is>
      </c>
    </row>
    <row r="19887">
      <c r="A19887" t="inlineStr">
        <is>
          <t>terre eau</t>
        </is>
      </c>
      <c r="B19887">
        <f>HYPERLINK("https://www.dofusbook.net/fr/equipement/1732954-terre-eau/objets", "link")</f>
        <v/>
      </c>
      <c r="C19887" t="n">
        <v>0</v>
      </c>
      <c r="D19887" t="inlineStr">
        <is>
          <t>Dagues de Srambad; Amulette Luminescente; Annolamour; Bracelet du Piloztère; Quatre-feuilles; Ceinture de la Reine des Voleurs; Masque de Koutoulou; Cape Ovri; Pantoufles du Piloztère; Dofus des Glaces; Dofus Pourpre; Dofus Turquoise; Vigoureux majeur; Remueur; Nomade; Muldo Doré et Emeraude</t>
        </is>
      </c>
    </row>
    <row r="19888">
      <c r="A19888" t="inlineStr">
        <is>
          <t>terre eau</t>
        </is>
      </c>
      <c r="B19888">
        <f>HYPERLINK("https://www.dofusbook.net/fr/equipement/1732837-terre-eau/objets", "link")</f>
        <v/>
      </c>
      <c r="C19888" t="n">
        <v>0</v>
      </c>
      <c r="D19888" t="inlineStr">
        <is>
          <t>Dagoulinantes; Amulette d'Oshimo; Bracelet du Piloztère; Anneau Crustique; Cadran de Terre; Culotte de Bethel; Masque de Koutoulou; Cape Luminescente; Chaussons de Macrab; Dofus Turquoise; Dofus Pourpre; Étourdisseur majeur; Nomade; Vigoureux majeur; Remueur; Muldo Doré et Emeraude</t>
        </is>
      </c>
    </row>
    <row r="19889">
      <c r="A19889" t="inlineStr">
        <is>
          <t>terre eau</t>
        </is>
      </c>
      <c r="B19889">
        <f>HYPERLINK("https://www.dofusbook.net/fr/equipement/1732528-terre-eau/objets", "link")</f>
        <v/>
      </c>
      <c r="C19889" t="n">
        <v>0</v>
      </c>
      <c r="D19889" t="inlineStr">
        <is>
          <t>Baguette des égarés; Amulette Luminescente; Annolamour; Bracelet du Piloztère; Bouclier du Stalak; Ceinture de la Reine des Voleurs; Casque Dragoeuf; Cape Ovri; Pantoufles du Piloztère; Dofus des Glaces; Dofus Pourpre; Dofus Ocre; Vigoureux majeur; Remueur; Robuste majeur; Muldo Doré et Ebène</t>
        </is>
      </c>
    </row>
    <row r="19890">
      <c r="A19890" t="inlineStr">
        <is>
          <t>Staff 4</t>
        </is>
      </c>
      <c r="B19890">
        <f>HYPERLINK("https://www.dofusbook.net/fr/equipement/1726205-staff-4/objets", "link")</f>
        <v/>
      </c>
      <c r="C19890" t="n">
        <v>0</v>
      </c>
      <c r="D19890" t="inlineStr">
        <is>
          <t>Sceptre du Roi Joueur; Amulette de Shokkoth; Bracelet des Fonds marins; Anneau Glacial; Bouclier du Captain Amakna; Poulpagne; Casquette de Meno; Cape de la Dame du Hasard; Bottes de la Dame du Hasard; Dofus Pourpre; Dofus Turquoise; Remueur; Chanceux majeur; Dévastateur Eau majeur; Nomade; Kramkram</t>
        </is>
      </c>
    </row>
    <row r="19891">
      <c r="A19891" t="inlineStr">
        <is>
          <t>Staff 4</t>
        </is>
      </c>
      <c r="B19891">
        <f>HYPERLINK("https://www.dofusbook.net/fr/equipement/1726031-staff-4/objets", "link")</f>
        <v/>
      </c>
      <c r="C19891" t="n">
        <v>0</v>
      </c>
      <c r="D19891" t="inlineStr">
        <is>
          <t>Baguette Hique; Amulette de Shokkoth; Pikano; Bracelet des Fonds marins; Quatre-feuilles; Poulpagne; Casquette de Meno; Cape de la Dame du Hasard; Bottes de Meno; Dofus Pourpre; Chanceux majeur; Dévastateur Eau majeur; Temporiseur majeur; Nomade; Remueur; Kramkram</t>
        </is>
      </c>
    </row>
    <row r="19892">
      <c r="A19892" t="inlineStr">
        <is>
          <t>eau air 1</t>
        </is>
      </c>
      <c r="B19892">
        <f>HYPERLINK("https://www.dofusbook.net/fr/equipement/1711356-eau-air-1-/objets", "link")</f>
        <v/>
      </c>
      <c r="C19892" t="n">
        <v>0</v>
      </c>
      <c r="D19892" t="inlineStr">
        <is>
          <t>Arc de Koutoulou; Amulette du Strigide; Alliance Gloursonne; Bracelet du Piloztère; Quatre-feuilles; Ceintacé; Némès de Tal Kasha; Chevelure de Tal Kasha; Bottes de la Reine des Voleurs; Dofus Pourpre; Dofus Turquoise; Dofus des Glaces; Vigoureux majeur; Nomade; Remueur; Croum</t>
        </is>
      </c>
    </row>
    <row r="19893">
      <c r="A19893" t="inlineStr">
        <is>
          <t>terre-feu-eau</t>
        </is>
      </c>
      <c r="B19893">
        <f>HYPERLINK("https://www.dofusbook.net/fr/equipement/1681966-terre-feu-eau/objets", "link")</f>
        <v/>
      </c>
      <c r="C19893" t="n">
        <v>0</v>
      </c>
      <c r="D19893" t="inlineStr">
        <is>
          <t>Hache du Chalœil; Amulette du Strigide; Alliance du Lévitrof; Goulano; Quatre-feuilles; Ceinture du Strigide; Chapeau Lisson; Voilamibe; Bottes Honyme; Dofus Pourpre; Dofus Turquoise; Dofus Nébuleux; Vigoureux majeur; Sanguinaire majeur; Remueur; Muldo Doré et Emeraude</t>
        </is>
      </c>
    </row>
    <row r="19894">
      <c r="A19894" t="inlineStr">
        <is>
          <t>eau air 3</t>
        </is>
      </c>
      <c r="B19894">
        <f>HYPERLINK("https://www.dofusbook.net/fr/equipement/1599269-eau-air-3/objets", "link")</f>
        <v/>
      </c>
      <c r="C19894" t="n">
        <v>0</v>
      </c>
      <c r="D19894" t="inlineStr">
        <is>
          <t>Manthache; Amulette du Strigide; Alliance Gloursonne; Bracelet du Piloztère; Bouclier du Captain Amakna; Menoture; Némès de Tal Kasha; Chevelure de Tal Kasha; Bottes de la Reine des Voleurs; Dofus Pourpre; Dofus Turquoise; Dofus des Glaces; Vigoureux majeur; Nomade; Remueur; Croum</t>
        </is>
      </c>
    </row>
    <row r="19895">
      <c r="A19895" t="inlineStr">
        <is>
          <t>Stuff 1</t>
        </is>
      </c>
      <c r="B19895">
        <f>HYPERLINK("https://www.dofusbook.net/fr/equipement/1592691-stuff-1/objets", "link")</f>
        <v/>
      </c>
      <c r="C19895" t="n">
        <v>0</v>
      </c>
      <c r="D19895" t="inlineStr">
        <is>
          <t>Dagues Ricol; Amulette d'Otomaï; Bague Gloursonne; Chevalière du Roi Joueur; Bouclier du Captain Amakna; Ceinture Séculaire; Coiffe Séculaire; Cape de la Dame du Hasard; Pataugastrique; Dofus Turquoise; Dofus Pourpre; Remueur; Érudit majeur; Carapace Neutre majeur; Dévastateur Feu majeur; Muldo Orchidée et Ivoire</t>
        </is>
      </c>
    </row>
    <row r="19896">
      <c r="A19896" t="inlineStr">
        <is>
          <t>eau air 2</t>
        </is>
      </c>
      <c r="B19896">
        <f>HYPERLINK("https://www.dofusbook.net/fr/equipement/1528430-eau-air-2/objets", "link")</f>
        <v/>
      </c>
      <c r="C19896" t="n">
        <v>0</v>
      </c>
      <c r="D19896" t="inlineStr">
        <is>
          <t>Epée Loponèze; Amulette du Strigide; Alliance Gloursonne; Bracelet du Piloztère; Bouclier du Captain Amakna; Ceinture du Strigide; Némès de Tal Kasha; Cape Matelassée; Bottes de la Reine des Voleurs; Dofus Pourpre; Dofus Turquoise; Dofus des Glaces; Vigoureux majeur; Nomade; Remueur; Muldo Ebène et Orchidée</t>
        </is>
      </c>
    </row>
    <row r="19897">
      <c r="A19897" t="inlineStr">
        <is>
          <t>eau air 1</t>
        </is>
      </c>
      <c r="B19897">
        <f>HYPERLINK("https://www.dofusbook.net/fr/equipement/1514638-eau-air-1-/objets", "link")</f>
        <v/>
      </c>
      <c r="C19897" t="n">
        <v>0</v>
      </c>
      <c r="D19897" t="inlineStr">
        <is>
          <t>Arc de Koutoulou; Amulette du Strigide; Bracelet du Piloztère; Alliance Gloursonne; Quatre-feuilles; Ceintacé; Némès de Tal Kasha; Chevelure de Tal Kasha; Bottes de la Reine des Voleurs; Dofus Turquoise; Dofus des Glaces; Dofus Pourpre; Nomade; Remueur; Vigoureux majeur; Croum</t>
        </is>
      </c>
    </row>
    <row r="19898">
      <c r="A19898" t="inlineStr">
        <is>
          <t>agi</t>
        </is>
      </c>
      <c r="B19898">
        <f>HYPERLINK("https://www.dofusbook.net/fr/equipement/1481962-agi/objets", "link")</f>
        <v/>
      </c>
      <c r="C19898" t="n">
        <v>0</v>
      </c>
      <c r="D19898" t="inlineStr">
        <is>
          <t>Manthache; Amulette du Granduk; Alliance Gloursonne; Anneau d'Allister; Bouclier du Captain Amakna; Menoture; Masque du Granduk; Cape Indescriptible; Palmes Trithons; Dofus Turquoise; Dofus Pourpre; Dévastateur Air majeur; Cascadeur majeur; Carapace Air majeur; Remueur; Croum</t>
        </is>
      </c>
    </row>
    <row r="19899">
      <c r="A19899" t="inlineStr">
        <is>
          <t>Stuff 1</t>
        </is>
      </c>
      <c r="B19899">
        <f>HYPERLINK("https://www.dofusbook.net/fr/equipement/247981-stuff-1/objets", "link")</f>
        <v/>
      </c>
      <c r="C19899" t="n">
        <v>0</v>
      </c>
      <c r="D19899" t="inlineStr">
        <is>
          <t>Harpelle; Amulette d'Otomaï; Bague Gloursonne; Chevalière du Roi Joueur; Bouclier du Captain Amakna; Ceinture Séculaire; Coiffe Séculaire; Cape de la Dame du Hasard; Pataugastrique; Dofus Nébuleux; Dofus Pourpre; Dofus Turquoise; Carapace Neutre majeur; Dévastateur Feu majeur; Remueur; Muldo Orchidée et Pourpre</t>
        </is>
      </c>
    </row>
    <row r="19900">
      <c r="A19900" t="inlineStr">
        <is>
          <t>Stuff 3</t>
        </is>
      </c>
      <c r="B19900">
        <f>HYPERLINK("https://www.dofusbook.net/fr/equipement/1439825-stuff-3/objets", "link")</f>
        <v/>
      </c>
      <c r="C19900" t="n">
        <v>0</v>
      </c>
      <c r="D19900" t="inlineStr">
        <is>
          <t>Epée Maudite du Saigneur Guerrier; Amulette du Strigide; Bracelet du Piloztère; Anneau du Cycloïde; Bouclier du Captain Amakna; Ceinture du Strigide; Chapeau Lisson; Dofusteuse; Bottes du Chalœil; Dofus des Glaces; Dofus Turquoise; Dofus Pourpre; Dofus Ocre; Remueur; Muldo Doré et Emeraude</t>
        </is>
      </c>
    </row>
    <row r="19901">
      <c r="A19901" t="inlineStr">
        <is>
          <t>Stuff 3</t>
        </is>
      </c>
      <c r="B19901">
        <f>HYPERLINK("https://www.dofusbook.net/fr/equipement/247983-stuff-3/objets", "link")</f>
        <v/>
      </c>
      <c r="C19901" t="n">
        <v>0</v>
      </c>
      <c r="D19901" t="inlineStr">
        <is>
          <t>Epée Maudite du Saigneur Guerrier; Amulette du Strigide; Bracelet du Piloztère; Anneau de la Fuji Givrefoux; Bouclier du Captain Amakna; Ceinture du Strigide; Chapeau Lisson; Dofusteuse; Bottes du Chalœil; Dofus des Glaces; Dofus Turquoise; Dofus Pourpre; Dofus Nébuleux; Dofus Ocre; Remueur; Muldo Doré et Emeraude</t>
        </is>
      </c>
    </row>
    <row r="19902">
      <c r="A19902" t="inlineStr">
        <is>
          <t>Stuff 2</t>
        </is>
      </c>
      <c r="B19902">
        <f>HYPERLINK("https://www.dofusbook.net/fr/equipement/247982-stuff-2/objets", "link")</f>
        <v/>
      </c>
      <c r="C19902" t="n">
        <v>0</v>
      </c>
      <c r="D19902" t="inlineStr">
        <is>
          <t>Épouvante; Amulette Cætera; Pikano; Bracelet du Piloztère; Bouclier du Captain Amakna; Ceinture Luminescente; Masque de Koutoulou; Cape Luminescente; Pantoufles du Piloztère; Dofus Turquoise; Dofus Pourpre; Remueur; Nomade; Vigoureux majeur; Sanguinaire majeur; Kramkram</t>
        </is>
      </c>
    </row>
    <row r="19903">
      <c r="A19903" t="inlineStr">
        <is>
          <t>feu-eau2</t>
        </is>
      </c>
      <c r="B19903">
        <f>HYPERLINK("https://www.dofusbook.net/fr/equipement/1430583-feu-eau2/objets", "link")</f>
        <v/>
      </c>
      <c r="C19903" t="n">
        <v>0</v>
      </c>
      <c r="D19903" t="inlineStr">
        <is>
          <t>Épée Brûlâme; Collier de la Dame du Hasard; Alliance du Lévitrof; Bracelet du Piloztère; Bouclier du Captain Amakna; Ceinture de l'Esprit Malsain; Casquette de Meno; Cape de la Dame du Hasard; Pataugastrique; Dofus Pourpre; Dofus Nébuleux; Dofus des Glaces; Dofus Turquoise; Vigoureux majeur; Remueur; Muldo Doré et Emeraude</t>
        </is>
      </c>
    </row>
    <row r="19904">
      <c r="A19904" t="inlineStr">
        <is>
          <t>feu-eau</t>
        </is>
      </c>
      <c r="B19904">
        <f>HYPERLINK("https://www.dofusbook.net/fr/equipement/1257320-feu-eau/objets", "link")</f>
        <v/>
      </c>
      <c r="C19904" t="n">
        <v>0</v>
      </c>
      <c r="D19904" t="inlineStr">
        <is>
          <t>Arc Nécrotique; Talisman Igans; Anneau Kturne; Alliance du Lévitrof; Quatre-feuilles; Ceintrigue; Casquette de Meno; Cape de la Dame du Hasard; Pataugastrique; Dofus Turquoise; Dofus Pourpre; Vigoureux majeur; Remueur; Nomade; Carapace Feu majeur; Kramkram</t>
        </is>
      </c>
    </row>
    <row r="19905">
      <c r="A19905" t="inlineStr">
        <is>
          <t>agi</t>
        </is>
      </c>
      <c r="B19905">
        <f>HYPERLINK("https://www.dofusbook.net/fr/equipement/1233378-agi/objets", "link")</f>
        <v/>
      </c>
      <c r="C19905" t="n">
        <v>0</v>
      </c>
      <c r="D19905" t="inlineStr">
        <is>
          <t>Hachoirs de Viandargh; Amulette du Granduk; Gant du Valet Veinard; Anneau d'Allister; Bouclier du Captain Amakna; Menoture; Masque du Granduk; Cape Indescriptible; Palmes Trithons; Dofus Turquoise; Dofus Pourpre; Dévastateur Air majeur; Cascadeur majeur; Vigoureux majeur; Remueur; Siroko</t>
        </is>
      </c>
    </row>
    <row r="19906">
      <c r="A19906" t="inlineStr">
        <is>
          <t>feu-eau</t>
        </is>
      </c>
      <c r="B19906">
        <f>HYPERLINK("https://www.dofusbook.net/fr/equipement/1093079-feu-eau/objets", "link")</f>
        <v/>
      </c>
      <c r="C19906" t="n">
        <v>0</v>
      </c>
      <c r="D19906" t="inlineStr">
        <is>
          <t>Épée Brûlâme; Collier de la Dame du Hasard; Bracelet du Piloztère; Alliance du Lévitrof; Quatre-feuilles; Ceinture de l'Esprit Malsain; Casquette de Meno; Cape de la Dame du Hasard; Pataugastrique; Dofus Pourpre; Dofus Turquoise; Remueur; Nomade; Vigoureux majeur; Muldo Doré et Emeraude</t>
        </is>
      </c>
    </row>
    <row r="19907">
      <c r="A19907" t="inlineStr">
        <is>
          <t>feu-eau</t>
        </is>
      </c>
      <c r="B19907">
        <f>HYPERLINK("https://www.dofusbook.net/fr/equipement/986025-feu-eau/objets", "link")</f>
        <v/>
      </c>
      <c r="C19907" t="n">
        <v>0</v>
      </c>
      <c r="D19907" t="inlineStr">
        <is>
          <t>Épée Brûlâme; Talisman Igans; Alliance du Lévitrof; Anneau Kturne; Bouclier du Captain Amakna; Ceintrigue; Chapeau Lisson; Cape de la Dame du Hasard; Pataugastrique; Dofus Turquoise; Dofus Pourpre; Remueur; Évasif majeur; Vigoureux majeur; Carapace Neutre majeur; Muldo Indigo et Emeraude</t>
        </is>
      </c>
    </row>
    <row r="19908">
      <c r="A19908" t="inlineStr">
        <is>
          <t>Stuff 1</t>
        </is>
      </c>
      <c r="B19908">
        <f>HYPERLINK("https://www.dofusbook.net/fr/equipement/1041228-stuff-1/objets", "link")</f>
        <v/>
      </c>
      <c r="C19908" t="n">
        <v>0</v>
      </c>
      <c r="D19908" t="inlineStr">
        <is>
          <t>Dagues Ricol; Amulette d'Otomaï; Bague Gloursonne; Chevalière du Roi Joueur; Bouclier du Cycloïde; Ceinture Séculaire; Coiffe Séculaire; Cape de la Dame du Hasard; Pataugastrique; Dofus Turquoise; Dofus Pourpre; Remueur; Érudit majeur; Nomade; Vigoureux majeur; Brûlih</t>
        </is>
      </c>
    </row>
    <row r="19909">
      <c r="A19909" t="inlineStr">
        <is>
          <t>terre-feu-ret-pa-pm</t>
        </is>
      </c>
      <c r="B19909">
        <f>HYPERLINK("https://www.dofusbook.net/fr/equipement/1012499-terre-feu-ret-pa-pm/objets", "link")</f>
        <v/>
      </c>
      <c r="C19909" t="n">
        <v>0</v>
      </c>
      <c r="D19909" t="inlineStr">
        <is>
          <t>Epée Toche; Collier de Tourthon; Bague Gloursonne; Chevalière du Roi Joueur; Bouclier cubiste; Ceinture du Strigide; Maskrobe; Cape du Professeur Xa; Bottes du Roi Joueur; Dofus Turquoise; Dofus Pourpre; Remueur; Temporiseur majeur; Nomade; Vigoureux majeur; Kramkram</t>
        </is>
      </c>
    </row>
    <row r="19910">
      <c r="A19910" t="inlineStr">
        <is>
          <t>Stuff 1</t>
        </is>
      </c>
      <c r="B19910">
        <f>HYPERLINK("https://www.dofusbook.net/fr/equipement/247975-stuff-1/objets", "link")</f>
        <v/>
      </c>
      <c r="C19910" t="n">
        <v>0</v>
      </c>
      <c r="D19910" t="inlineStr">
        <is>
          <t>Epée Toche; Collier de Tourthon; Bague Gloursonne; Chevalière du Roi Joueur; Quatre-feuilles; Ceinture du Strigide; Couronne du Roi Joueur; Voile d'encre; Bottes Innommables; Dofus Ocre; Dofus Pourpre; Remueur; Nomade; Vigoureux majeur; Kramkram</t>
        </is>
      </c>
    </row>
    <row r="19911">
      <c r="A19911" t="inlineStr">
        <is>
          <t>terre</t>
        </is>
      </c>
      <c r="B19911">
        <f>HYPERLINK("https://www.dofusbook.net/fr/equipement/1005689-terre/objets", "link")</f>
        <v/>
      </c>
      <c r="C19911" t="n">
        <v>0</v>
      </c>
      <c r="D19911" t="inlineStr">
        <is>
          <t>Youyettes; Collier de Tourthon; Anneau Crustique; Anneau du Comte Harebourg; Quatre-feuilles; Ceinture de Brouce; Coiffe du Comte Harebourg; Cape au Logis; Baleinabottes; Dofus Pourpre; Vigoureux majeur; Furibond majeur; Remueur; Forcené majeur; Enragé majeur; Kompost</t>
        </is>
      </c>
    </row>
    <row r="19912">
      <c r="A19912" t="inlineStr">
        <is>
          <t>terre</t>
        </is>
      </c>
      <c r="B19912">
        <f>HYPERLINK("https://www.dofusbook.net/fr/equipement/1005595-terre/objets", "link")</f>
        <v/>
      </c>
      <c r="C19912" t="n">
        <v>0</v>
      </c>
      <c r="D19912" t="inlineStr">
        <is>
          <t>Dagues d'Ilyzaelle; Collier de Tourthon; Anneau Crustique; Anneau de Brouce; Cadran de Terre; Ceinture de Brouce; Masque de Koutoulou; Cape au Logis; Tentassons; Dofus Nébuleux; Dofus Turquoise; Dofus Pourpre; Remueur; Carapace Neutre majeur; Enragé majeur; Muldo Indigo et Pourpre</t>
        </is>
      </c>
    </row>
    <row r="19913">
      <c r="A19913" t="inlineStr">
        <is>
          <t>full intel</t>
        </is>
      </c>
      <c r="B19913">
        <f>HYPERLINK("https://www.dofusbook.net/fr/equipement/1004579-full-intel/objets", "link")</f>
        <v/>
      </c>
      <c r="C19913" t="n">
        <v>0</v>
      </c>
      <c r="D19913" t="inlineStr">
        <is>
          <t>Baguette Range; Pendentif mignon de Koutoulou; Anneau de Padgref; Anneau Rifique; Bouclier du Captain Amakna; Ceinture de Vortex; Coiffe de Padgref; Cape Lati; Pantoufles Émar; Dofus des Glaces; Dofus Nébuleux; Dofus Pourpre; Dofus Ocre; Dofus Turquoise; Kramkram</t>
        </is>
      </c>
    </row>
    <row r="19914">
      <c r="A19914" t="inlineStr">
        <is>
          <t>terre-feu-ret-pa-pm</t>
        </is>
      </c>
      <c r="B19914">
        <f>HYPERLINK("https://www.dofusbook.net/fr/equipement/985665-terre-feu-ret-pa-pm/objets", "link")</f>
        <v/>
      </c>
      <c r="C19914" t="n">
        <v>0</v>
      </c>
      <c r="D19914" t="inlineStr">
        <is>
          <t>Epée Toche; Amulette du Cycloïde; Bague Gloursonne; Chevalière du Roi Joueur; Quatre-feuilles; Ceinture du Comte Razof; Chapeau de Gein; Cape du Professeur Xa; Chaussons du Comte Razof; Dofus Pourpre; Dofus Turquoise; Remueur; Temporiseur majeur; Nomade; Étourdisseur majeur; Kramkram</t>
        </is>
      </c>
    </row>
    <row r="19915">
      <c r="A19915" t="inlineStr">
        <is>
          <t>Stuff 1</t>
        </is>
      </c>
      <c r="B19915">
        <f>HYPERLINK("https://www.dofusbook.net/fr/equipement/247957-stuff-1/objets", "link")</f>
        <v/>
      </c>
      <c r="C19915" t="n">
        <v>0</v>
      </c>
      <c r="D19915" t="inlineStr">
        <is>
          <t>Pelle de Nidas; Amulette de l'Indicible; Alliance Gloursonne; Anneau du Père Fwetar; Quatre-feuilles; Ceinture de la Reine des Voleurs; Coiffe de la Reine des Voleurs; Dofusteuse; Baleinabottes; Dofus des Glaces; Dofus Turquoise; Dofus Pourpre; Dofus Nébuleux; Remueur; Nomade; Kramkram</t>
        </is>
      </c>
    </row>
    <row r="19916">
      <c r="A19916" t="inlineStr">
        <is>
          <t>Stuff 2</t>
        </is>
      </c>
      <c r="B19916">
        <f>HYPERLINK("https://www.dofusbook.net/fr/equipement/874312-stuff-2/objets", "link")</f>
        <v/>
      </c>
      <c r="C19916" t="n">
        <v>0</v>
      </c>
      <c r="D19916" t="inlineStr">
        <is>
          <t>Hachoirs de Viandargh; Collier du Valet Veinard; Gant du Valet Veinard; Alliance Gloursonne; Bouclier du Captain Amakna; Menoture; Couronne d'Allister; Cape Indescriptible; Palmes Trithons; Dofus Turquoise; Cascadeur majeur; Évasif majeur; Vigoureux majeur; Remueur; Dévastateur Air majeur; Muldo Ebène et Indigo</t>
        </is>
      </c>
    </row>
    <row r="19917">
      <c r="A19917" t="inlineStr">
        <is>
          <t>Stuff 2</t>
        </is>
      </c>
      <c r="B19917">
        <f>HYPERLINK("https://www.dofusbook.net/fr/equipement/874281-stuff-2/objets", "link")</f>
        <v/>
      </c>
      <c r="C19917" t="n">
        <v>0</v>
      </c>
      <c r="D19917" t="inlineStr">
        <is>
          <t>Baguette de Malléfisk; Amulette du Granduk; Anneau d'Allister; Quatre-feuilles; Menoture; Masque du Granduk; Cape Indescriptible; Palmes Trithons; Dofus Pourpre; Dofus Turquoise; Remueur; Dévastateur Air majeur; Cascadeur majeur; Nomade; Siroko</t>
        </is>
      </c>
    </row>
    <row r="19918">
      <c r="A19918" t="inlineStr">
        <is>
          <t>Stuff 2</t>
        </is>
      </c>
      <c r="B19918">
        <f>HYPERLINK("https://www.dofusbook.net/fr/equipement/247997-stuff-2/objets", "link")</f>
        <v/>
      </c>
      <c r="C19918" t="n">
        <v>0</v>
      </c>
      <c r="D19918" t="inlineStr">
        <is>
          <t>Sceptre du Roi Joueur; Amulette de Shokkoth; Bracelet des Fonds marins; Alliance Gloursonne; Poulpagne; Masque des Fonds marins; Cape de la Dame du Hasard; Bottes du Sinistrofu; Dofus Turquoise; Carapace Eau majeur; Remueur; Obstructeur majeur; Évasif majeur; Chanceux majeur; Eliôme</t>
        </is>
      </c>
    </row>
    <row r="19919">
      <c r="A19919" t="inlineStr">
        <is>
          <t>Stuff 2</t>
        </is>
      </c>
      <c r="B19919">
        <f>HYPERLINK("https://www.dofusbook.net/fr/equipement/817010-stuff-2/objets", "link")</f>
        <v/>
      </c>
      <c r="C19919" t="n">
        <v>0</v>
      </c>
      <c r="D19919" t="inlineStr">
        <is>
          <t>Epée Toche; Amulette de l'Indicible; Bague Gloursonne; Chevalière du Roi Joueur; Le Karde Cœur; Ceinture du Strigide; Chapeau de Gein; Voile d'encre; Bottes du Roi Joueur; Dofus Ocre; Dofus Pourpre; Dofus Turquoise; Nomade; Temporiseur majeur; Remueur; Kramkram</t>
        </is>
      </c>
    </row>
    <row r="19920">
      <c r="A19920" t="inlineStr">
        <is>
          <t>Stuff 3</t>
        </is>
      </c>
      <c r="B19920">
        <f>HYPERLINK("https://www.dofusbook.net/fr/equipement/247989-stuff-3/objets", "link")</f>
        <v/>
      </c>
      <c r="C19920" t="n">
        <v>0</v>
      </c>
      <c r="D19920" t="inlineStr">
        <is>
          <t>Hachoirs de Viandargh; Amulette du Granduk; Alliance Gloursonne; Anneau d'Allister; Bouclier du Captain Amakna; Menoture; Couronne d'Allister; Cape Indescriptible; Palmes Trithons; Dofus Nébuleux; Dévastateur Air majeur; Cascadeur majeur; Évasif majeur; Vigoureux majeur; Remueur; Muldo Ebène et Indigo</t>
        </is>
      </c>
    </row>
    <row r="19921">
      <c r="A19921" t="inlineStr">
        <is>
          <t>Stuff 2</t>
        </is>
      </c>
      <c r="B19921">
        <f>HYPERLINK("https://www.dofusbook.net/fr/equipement/247976-stuff-2/objets", "link")</f>
        <v/>
      </c>
      <c r="C19921" t="n">
        <v>0</v>
      </c>
      <c r="D19921" t="inlineStr">
        <is>
          <t>Sceptre du Roi Joueur; Amulette de Shokkoth; Bracelet des Fonds marins; Bracelet du Piloztère; Bivalve; Poulpagne; Masque des Fonds marins; Cape de la Dame du Hasard; Bottes du Sinistrofu; Dofus Pourpre; Dofus Turquoise; Remueur; Chanceux majeur; Dévastateur Eau majeur; Nomade; Kramkram</t>
        </is>
      </c>
    </row>
    <row r="19922">
      <c r="A19922" t="inlineStr">
        <is>
          <t>Stuff 3</t>
        </is>
      </c>
      <c r="B19922">
        <f>HYPERLINK("https://www.dofusbook.net/fr/equipement/248001-stuff-3/objets", "link")</f>
        <v/>
      </c>
      <c r="C19922" t="n">
        <v>0</v>
      </c>
      <c r="D19922" t="inlineStr">
        <is>
          <t>Dagues Ricol; Amulette d'Otomaï; Bague Gloursonne; Chevalière du Roi Joueur; Bouclier du Captain Amakna; Ceinture Séculaire; Coiffe Séculaire; Cape de la Dame du Hasard; Pataugastrique; Dofus Turquoise; Insaisissable majeur; Évasif majeur; Dévastateur Feu majeur; Érudit majeur; Remueur; Muldo Orchidée et Ivoire</t>
        </is>
      </c>
    </row>
    <row r="19923">
      <c r="A19923" t="inlineStr">
        <is>
          <t>Stuff 1</t>
        </is>
      </c>
      <c r="B19923">
        <f>HYPERLINK("https://www.dofusbook.net/fr/equipement/247996-stuff-1/objets", "link")</f>
        <v/>
      </c>
      <c r="C19923" t="n">
        <v>0</v>
      </c>
      <c r="D19923" t="inlineStr">
        <is>
          <t>Épée du Granduk; Amulette du Granduk; Alliance Gloursonne; Gant du Valet Veinard; Menoture; Couronne d'Allister; Cape Indescriptible; Palmes Trithons; Dofus Pourpre; Nomade; Vigoureux majeur; Remueur; Cascadeur majeur; Miraculé majeur; Eliôme</t>
        </is>
      </c>
    </row>
    <row r="19924">
      <c r="A19924" t="inlineStr">
        <is>
          <t>Stuff 2</t>
        </is>
      </c>
      <c r="B19924">
        <f>HYPERLINK("https://www.dofusbook.net/fr/equipement/247991-stuff-2/objets", "link")</f>
        <v/>
      </c>
      <c r="C19924" t="n">
        <v>0</v>
      </c>
      <c r="D19924" t="inlineStr">
        <is>
          <t>Arc du Chalœil; Kralamansion; Anneau du Comte Harebourg; Bague Gloursonne; Ceinture de Brouce; Coiffe du Comte Harebourg; Cape au Logis; Bottes de la Cour Sombre; Dofus Turquoise; Dofus Pourpre; Dofus Ocre; Enragé majeur; Remueur; Forcené majeur; Kompost</t>
        </is>
      </c>
    </row>
    <row r="19925">
      <c r="A19925" t="inlineStr">
        <is>
          <t>Stuff 3</t>
        </is>
      </c>
      <c r="B19925">
        <f>HYPERLINK("https://www.dofusbook.net/fr/equipement/247977-stuff-3/objets", "link")</f>
        <v/>
      </c>
      <c r="C19925" t="n">
        <v>0</v>
      </c>
      <c r="D19925" t="inlineStr">
        <is>
          <t>Hache du Chalœil; Amulette du Strigide; Goulano; Chevalière du Roi Joueur; Quatre-feuilles; Ceinture du Strigide; Coiffe du Lévitrof; Cape du Professeur Xa; Bottes du Chalœil; Dofus Turquoise; Dofus Pourpre; Dofus des Glaces; Nomade; Remueur; Vigoureux majeur; Kramkram</t>
        </is>
      </c>
    </row>
    <row r="19926">
      <c r="A19926" t="inlineStr">
        <is>
          <t>Stuff 1</t>
        </is>
      </c>
      <c r="B19926">
        <f>HYPERLINK("https://www.dofusbook.net/fr/equipement/247993-stuff-1/objets", "link")</f>
        <v/>
      </c>
      <c r="C19926" t="n">
        <v>0</v>
      </c>
      <c r="D19926" t="inlineStr">
        <is>
          <t>Arc Hétype; Amulette de Nileza; Anneau Tamie; Bague Gloursonne; Sangle Aise; Coiffe Séculaire; Cape de Nileza; Bottes d'Otomaï; Dofus Pourpre; Érudit majeur; Dévastateur Feu majeur; Nomade; Vigoureux majeur; Remueur; Brûlih</t>
        </is>
      </c>
    </row>
    <row r="19927">
      <c r="A19927" t="inlineStr">
        <is>
          <t>Stuff 3</t>
        </is>
      </c>
      <c r="B19927">
        <f>HYPERLINK("https://www.dofusbook.net/fr/equipement/247986-stuff-3/objets", "link")</f>
        <v/>
      </c>
      <c r="C19927" t="n">
        <v>0</v>
      </c>
      <c r="D19927" t="inlineStr">
        <is>
          <t>Manthache; Collier du Valet Veinard; Alliance Gloursonne; Gant du Valet Veinard; Cadran d'Air; Menoture; Couronne d'Allister; Cape Indescriptible; Palmes Trithons; Dofus Pourpre; Cascadeur majeur; Dévastateur Air majeur; Nomade; Vigoureux majeur; Remueur; Croum</t>
        </is>
      </c>
    </row>
    <row r="19928">
      <c r="A19928" t="inlineStr">
        <is>
          <t>Stuff 2</t>
        </is>
      </c>
      <c r="B19928">
        <f>HYPERLINK("https://www.dofusbook.net/fr/equipement/248000-stuff-2/objets", "link")</f>
        <v/>
      </c>
      <c r="C19928" t="n">
        <v>0</v>
      </c>
      <c r="D19928" t="inlineStr">
        <is>
          <t>Dagoulinantes; Amulette Luminescente; Bracelet des Fonds marins; Alliance Gloursonne; Quatre-feuilles; Ceinture Luminescente; Kidibonnet; Cape des Malveilleurs; Bottes Owesli; Culbuteur majeur; Remueur; Carapace Terre majeur; Miraculé majeur; Carapace Eau majeur; Muldo Ebène et Indigo</t>
        </is>
      </c>
    </row>
    <row r="19929">
      <c r="A19929" t="inlineStr">
        <is>
          <t>Stuff 1</t>
        </is>
      </c>
      <c r="B19929">
        <f>HYPERLINK("https://www.dofusbook.net/fr/equipement/247990-stuff-1/objets", "link")</f>
        <v/>
      </c>
      <c r="C19929" t="n">
        <v>0</v>
      </c>
      <c r="D19929" t="inlineStr">
        <is>
          <t>Youyettes; Collier de Tourthon; Anneau Crustique; Anneau du Comte Harebourg; Bouclier du Captain Amakna; Ceinture de Brouce; Coiffe du Comte Harebourg; Cape au Logis; Baleinabottes; Dofus Pourpre; Vigoureux majeur; Furibond majeur; Remueur; Forcené majeur; Enragé majeur; Kompost</t>
        </is>
      </c>
    </row>
    <row r="19930">
      <c r="A19930" t="inlineStr">
        <is>
          <t>Stuff 2</t>
        </is>
      </c>
      <c r="B19930">
        <f>HYPERLINK("https://www.dofusbook.net/fr/equipement/247943-stuff-2/objets", "link")</f>
        <v/>
      </c>
      <c r="C19930" t="n">
        <v>0</v>
      </c>
      <c r="D19930" t="inlineStr">
        <is>
          <t>Dagoulinantes; Amulette de Shokkoth; Bracelet du Piloztère; Alliance Gloursonne; Sept ans de malheur; Poulpagne; Chapeau Lisson; Cape d'Atcham; Sandales  d'Atcham; Dofus Pourpre; Dofus Turquoise; Chanceux majeur; Engourdisseur majeur; Remueur; Étourdisseur majeur; Muldo Ebène et Indigo</t>
        </is>
      </c>
    </row>
    <row r="19931">
      <c r="A19931" t="inlineStr">
        <is>
          <t>Stuff 1</t>
        </is>
      </c>
      <c r="B19931">
        <f>HYPERLINK("https://www.dofusbook.net/fr/equipement/247954-stuff-1/objets", "link")</f>
        <v/>
      </c>
      <c r="C19931" t="n">
        <v>1</v>
      </c>
      <c r="D19931" t="inlineStr">
        <is>
          <t>Héqache; Amulette du Strigide; Bague Trithon; Anneau des égarés; Ceintouse; Chapoulpe; Cape du Kamasterisk; Baleinabottes; Dofus des Glaces; Dofus Pourpre; Dofus Turquoise; Miraculé majeur; Vigoureux majeur; Remueur; Muldo Turquoise et Ivoire</t>
        </is>
      </c>
    </row>
    <row r="19932">
      <c r="A19932" t="inlineStr">
        <is>
          <t>Stuff 3</t>
        </is>
      </c>
      <c r="B19932">
        <f>HYPERLINK("https://www.dofusbook.net/fr/equipement/247992-stuff-3/objets", "link")</f>
        <v/>
      </c>
      <c r="C19932" t="n">
        <v>0</v>
      </c>
      <c r="D19932" t="inlineStr">
        <is>
          <t>Bâthon; Collier de Tourthon; Chevalière du Roi Joueur; Bague Gloursonne; Quatre-feuilles; Ceinture du Strigide; Couronne du Roi Joueur; Cape au Logis; Bottes de Brouce; Dofus Turquoise; Remueur; Vigoureux majeur; Nomade; Entraveur majeur; Temporiseur majeur; Kramkram</t>
        </is>
      </c>
    </row>
    <row r="19933">
      <c r="A19933" t="inlineStr">
        <is>
          <t>Stuff 1</t>
        </is>
      </c>
      <c r="B19933">
        <f>HYPERLINK("https://www.dofusbook.net/fr/equipement/247945-stuff-1/objets", "link")</f>
        <v/>
      </c>
      <c r="C19933" t="n">
        <v>0</v>
      </c>
      <c r="D19933" t="inlineStr">
        <is>
          <t>Dagoulinantes; Amulette de Shokkoth; Alliance Gloursonne; Anneau Glacial; Quatre-feuilles; Poulpagne; Casquette de Meno; Cape de la Dame du Hasard; Bottes de la Dame du Hasard; Dofus Turquoise; Dofus Pourpre; Nomade; Taquin majeur; Remueur; Chanceux majeur; Dehluge</t>
        </is>
      </c>
    </row>
    <row r="19934">
      <c r="A19934" t="inlineStr">
        <is>
          <t>Stuff 1</t>
        </is>
      </c>
      <c r="B19934">
        <f>HYPERLINK("https://www.dofusbook.net/fr/equipement/247978-stuff-1/objets", "link")</f>
        <v/>
      </c>
      <c r="C19934" t="n">
        <v>0</v>
      </c>
      <c r="D19934" t="inlineStr">
        <is>
          <t>Marteau R'ture; Collier de Tourthon; Anneau du Comte Harebourg; Bague Gloursonne; Quatre-feuilles; Ceinture de Brouce; Couronne du Roi Joueur; Cape du Professeur Xa; Bottes du Comte Harebourg; Dofus Ocre; Dofus Pourpre; Nomade; Remueur; Forcené majeur; Enragé majeur; Kompost</t>
        </is>
      </c>
    </row>
    <row r="19935">
      <c r="A19935" t="inlineStr">
        <is>
          <t>Stuff 1</t>
        </is>
      </c>
      <c r="B19935">
        <f>HYPERLINK("https://www.dofusbook.net/fr/equipement/247999-stuff-1/objets", "link")</f>
        <v/>
      </c>
      <c r="C19935" t="n">
        <v>0</v>
      </c>
      <c r="D19935" t="inlineStr">
        <is>
          <t>Hachoirs de Viandargh; Amulette du Granduk; Anneau d'Allister; Alliance Gloursonne; Bouclier du Captain Amakna; Menoture; Couronne d'Allister; Cape Indescriptible; Palmes Trithons; Dofus Pourpre; Cascadeur majeur; Equilibriste majeur; Nomade; Vigoureux majeur; Remueur; Siroko</t>
        </is>
      </c>
    </row>
    <row r="19936">
      <c r="A19936" t="inlineStr">
        <is>
          <t>Stuff 2</t>
        </is>
      </c>
      <c r="B19936">
        <f>HYPERLINK("https://www.dofusbook.net/fr/equipement/247994-stuff-2/objets", "link")</f>
        <v/>
      </c>
      <c r="C19936" t="n">
        <v>0</v>
      </c>
      <c r="D19936" t="inlineStr">
        <is>
          <t>Arc Hétype; Pendentif affamé; Anneau Tamie; Anneauræus; Ceinture Séculaire; Coiffe Séculaire; Cape de Diondin; Bottes Innommables; Dofus Pourpre; Astucieux majeur; Nomade; Vigoureux majeur; Remueur; Érudit majeur; Brûlih</t>
        </is>
      </c>
    </row>
    <row r="19937">
      <c r="A19937" t="inlineStr">
        <is>
          <t>Stuff 1</t>
        </is>
      </c>
      <c r="B19937">
        <f>HYPERLINK("https://www.dofusbook.net/fr/equipement/247942-stuff-1/objets", "link")</f>
        <v/>
      </c>
      <c r="C19937" t="n">
        <v>0</v>
      </c>
      <c r="D19937" t="inlineStr">
        <is>
          <t>Harpelle; Pendentif affamé; Anneau de Nidas; Anneau Tique; Ceinture de Vortex; Cagoule de Vortex; Cape de Diondin; Bottes Innommables; Étourdisseur majeur; Remueur; Déserteur majeur; Carapace Neutre majeur; Carapace Feu majeur; Nomade; Muldo Indigo et Orchidée</t>
        </is>
      </c>
    </row>
    <row r="19938">
      <c r="A19938" t="inlineStr">
        <is>
          <t>Stuff 3</t>
        </is>
      </c>
      <c r="B19938">
        <f>HYPERLINK("https://www.dofusbook.net/fr/equipement/247980-stuff-3/objets", "link")</f>
        <v/>
      </c>
      <c r="C19938" t="n">
        <v>0</v>
      </c>
      <c r="D19938" t="inlineStr">
        <is>
          <t>Pelle du Professeur Xa; Amulette du Strigide; Anneau de Brouce; Bague Gloursonne; Ceinture de Brouce; Coiffe du Comte Harebourg; Cape du Professeur Xa; Bottes de Brouce; Dofus Ocre; Dofus Turquoise; Dofus Pourpre; Forcené majeur; Furibond majeur; Voyageur; Kompost</t>
        </is>
      </c>
    </row>
    <row r="19939">
      <c r="A19939" t="inlineStr">
        <is>
          <t>Stuff 1</t>
        </is>
      </c>
      <c r="B19939">
        <f>HYPERLINK("https://www.dofusbook.net/fr/equipement/404917-stuff-1/objets", "link")</f>
        <v/>
      </c>
      <c r="C19939" t="n">
        <v>17</v>
      </c>
      <c r="D19939" t="inlineStr">
        <is>
          <t>Arc du Chalœil; Amulette du Cœur Saignant; Chevalière du Roi Joueur; Anneau Volkorne; Quatre-feuilles; Ceinture Volkorne; Couronne du Roi Joueur; Cape du Cœur Saignant; Bottes du Cœur Saignant; Dofus Ocre; Dofus Ébène; Dofus Vulbis; Dofus Ivoire; Dofus Turquoise; Dofus Abyssal; Kougnard</t>
        </is>
      </c>
    </row>
    <row r="19940">
      <c r="A19940" t="inlineStr">
        <is>
          <t>cscs</t>
        </is>
      </c>
      <c r="B19940">
        <f>HYPERLINK("https://www.dofusbook.net/fr/equipement/2320543-cscs/objets", "link")</f>
        <v/>
      </c>
      <c r="C19940" t="n">
        <v>16</v>
      </c>
      <c r="D19940" t="inlineStr">
        <is>
          <t>Arc Nécrotique; Amulette Volkorne; Bague Trithon; Anneau Volkorne; Quatre-feuilles; Ceintacé; Masque Trithon; Cape de la Dame du Hasard; Bottes de la Dame du Hasard; Dofus Ocre; Dofus Abyssal; Dofus Vulbis; Dofus Ivoire; Dofus Turquoise; Dofus Ébène; Kokulte</t>
        </is>
      </c>
    </row>
    <row r="19941">
      <c r="A19941" t="inlineStr">
        <is>
          <t>fsfsdfsd</t>
        </is>
      </c>
      <c r="B19941">
        <f>HYPERLINK("https://www.dofusbook.net/fr/equipement/2025883-fsfsdfsd/objets", "link")</f>
        <v/>
      </c>
      <c r="C19941" t="n">
        <v>10</v>
      </c>
      <c r="D19941" t="inlineStr">
        <is>
          <t>Lav'Hache; Amulette du Strigide; Anneau Crustique; Alliance Gloursonne; Bouclier d'Ilyzaelle; Ceintouse; Masque de Koutoulou; Cape au Logis; Tentassons; Dofus Ivoire; Dofus Abyssal; Dofus Ébène; Étourdisseur majeur; Obstructeur majeur; Remueur; Drakopin</t>
        </is>
      </c>
    </row>
    <row r="19942">
      <c r="A19942" t="inlineStr">
        <is>
          <t>Pandawa F 200</t>
        </is>
      </c>
      <c r="B19942">
        <f>HYPERLINK("https://www.dofusbook.net/fr/equipement/5314704-pandawa-f-200/objets", "link")</f>
        <v/>
      </c>
      <c r="C19942" t="n">
        <v>5</v>
      </c>
      <c r="D19942" t="inlineStr">
        <is>
          <t>Collier Rophante; Alliance Brûlâme; Alliance Gloursonne; Droiture de Fallanster; Ceinture de Kongoku; Casque Dragoeuf; Cape d'Aermyne; Pataugastrique; Dofus Émeraude; Dofus Ivoire; Obstructeur majeur; Remueur; Carapace Neutre majeur; Bloqueur majeur; Platypus</t>
        </is>
      </c>
    </row>
    <row r="19943">
      <c r="A19943" t="inlineStr">
        <is>
          <t>Stuff 1</t>
        </is>
      </c>
      <c r="B19943">
        <f>HYPERLINK("https://www.dofusbook.net/fr/equipement/404923-stuff-1/objets", "link")</f>
        <v/>
      </c>
      <c r="C19943" t="n">
        <v>16</v>
      </c>
      <c r="D19943" t="inlineStr">
        <is>
          <t>Lance Horselé; Collier du Valet Veinard; Alliance Gloursonne; Alliance Brûlâme; Écorce de Brouce; Sangle Oriole; Chapeau de Tournoyé; Cape Martegel; Palmes Trithons; Dofus Abyssal; Dofus Ivoire; Dofus Ocre; Dofus Vulbis; Dofus Ébène; Évasif majeur; Chienchien Tigré</t>
        </is>
      </c>
    </row>
    <row r="19944">
      <c r="A19944" t="inlineStr">
        <is>
          <t>Stuff 3</t>
        </is>
      </c>
      <c r="B19944">
        <f>HYPERLINK("https://www.dofusbook.net/fr/equipement/2069747-stuff-3/objets", "link")</f>
        <v/>
      </c>
      <c r="C19944" t="n">
        <v>2</v>
      </c>
      <c r="D19944" t="inlineStr">
        <is>
          <t>Masse Ossiale; Amulette Luminescente; Anneau Volkorne; Alliance Gloursonne; Bouclier d'Ilyzaelle; Ceintrigue; Masque Paztek; Cape Solution; Sandales Paztek; Dofus Ocre; Dofus Abyssal; Dofus Ivoire; Culbuteur majeur; Bousculeur majeur; Écumouth</t>
        </is>
      </c>
    </row>
    <row r="19945">
      <c r="A19945" t="inlineStr">
        <is>
          <t>gdgdd</t>
        </is>
      </c>
      <c r="B19945">
        <f>HYPERLINK("https://www.dofusbook.net/fr/equipement/3107123-gdgdd/objets", "link")</f>
        <v/>
      </c>
      <c r="C19945" t="n">
        <v>13</v>
      </c>
      <c r="D19945" t="inlineStr">
        <is>
          <t>Baguette Hique; Collier de la Dame du Hasard; Alliance Gloursonne; Pikano; Bouclier cubiste; Ceinture Glaciale; Maskrobe; Cape Solution; Bottes de la Dame du Hasard; Dofus Ocre; Chanceux majeur; Ralentisseur majeur; Entraveur majeur; Temporiseur majeur; Temporiseur; Gwo Tofu Ventripotent</t>
        </is>
      </c>
    </row>
    <row r="19946">
      <c r="A19946" t="inlineStr">
        <is>
          <t>Osamodas F 200</t>
        </is>
      </c>
      <c r="B19946">
        <f>HYPERLINK("https://www.dofusbook.net/fr/equipement/3360913-osamodas-f-200/objets", "link")</f>
        <v/>
      </c>
      <c r="C19946" t="n">
        <v>9</v>
      </c>
      <c r="D19946" t="inlineStr">
        <is>
          <t>Lav'Hache; Amulette Héroclite; Pikano; Anneau Crustique; Ceinture de la Reine des Voleurs; Coiffe de la Reine des Voleurs; Cape au Logis; Sabots Minables; Dofus Ivoire; Dofus des Glaces; Dofus Abyssal</t>
        </is>
      </c>
    </row>
    <row r="19947">
      <c r="A19947" t="inlineStr">
        <is>
          <t>fsfs</t>
        </is>
      </c>
      <c r="B19947">
        <f>HYPERLINK("https://www.dofusbook.net/fr/equipement/3104670-fsfs/objets", "link")</f>
        <v/>
      </c>
      <c r="C19947" t="n">
        <v>7</v>
      </c>
      <c r="D19947" t="inlineStr">
        <is>
          <t>Arc de Koutoulou; Amulette de l'Indicible; Alliance Gloursonne; Bague Gloursonne; Bouclier d'Anerice; Ceinture de l'Indicible; Masque d'Anerice; Cape d'Anerice; Bottes de l'Indicible; Dofus Ocre; Dofus Ivoire; Dofus Turquoise; Dofus des Glaces; Dofus Pourpre; Dofus Abyssal; Muldo Indigo</t>
        </is>
      </c>
    </row>
    <row r="19948">
      <c r="A19948" t="inlineStr">
        <is>
          <t>dddd</t>
        </is>
      </c>
      <c r="B19948">
        <f>HYPERLINK("https://www.dofusbook.net/fr/equipement/3098586-dddd/objets", "link")</f>
        <v/>
      </c>
      <c r="C19948" t="n">
        <v>2</v>
      </c>
      <c r="D19948" t="inlineStr">
        <is>
          <t>Arc corrompu; Amulette Martegel; Anneauræus; Anneauræus; Ceinture Séculaire; Masquegel; Cape de Diondin; Bottes Innommables</t>
        </is>
      </c>
    </row>
    <row r="19949">
      <c r="A19949" t="inlineStr">
        <is>
          <t>hdhdhd</t>
        </is>
      </c>
      <c r="B19949">
        <f>HYPERLINK("https://www.dofusbook.net/fr/equipement/3096717-hdhdhd/objets", "link")</f>
        <v/>
      </c>
      <c r="C19949" t="n">
        <v>3</v>
      </c>
      <c r="D19949" t="inlineStr">
        <is>
          <t>Arc Hétype; Amulette Séculaire; Anneauræus; Chevalière du Roi Joueur; Quatre-feuilles; Ceinture Séculaire; Casque Dragoeuf; Cape de Diondin; Bottes Innommables; Dofus Abyssal; Dofus Turquoise; Dofus Ivoire; Dofus Ocre; Nomade; Érudit majeur; Dragodinde Ivoire et Orchidée</t>
        </is>
      </c>
    </row>
    <row r="19950">
      <c r="A19950" t="inlineStr">
        <is>
          <t>Stuff 3</t>
        </is>
      </c>
      <c r="B19950">
        <f>HYPERLINK("https://www.dofusbook.net/fr/equipement/404925-stuff-3/objets", "link")</f>
        <v/>
      </c>
      <c r="C19950" t="n">
        <v>9</v>
      </c>
      <c r="D19950" t="inlineStr">
        <is>
          <t>Manthache; Collier du Valet Veinard; Gant du Valet Veinard; Alliance Gloursonne; Bouclier d'Ilyzaelle; Menoture; Casque Dragoeuf; Cape Indescriptible; Palmes Trithons; Dofus Abyssal; Dofus Ivoire; Dofus Émeraude; Cascadeur majeur; Remueur; Nomade; Dragodinde Ebène et Ivoire</t>
        </is>
      </c>
    </row>
    <row r="19951">
      <c r="A19951" t="inlineStr">
        <is>
          <t>seff</t>
        </is>
      </c>
      <c r="B19951">
        <f>HYPERLINK("https://www.dofusbook.net/fr/equipement/2555223-seff/objets", "link")</f>
        <v/>
      </c>
      <c r="C19951" t="n">
        <v>4</v>
      </c>
      <c r="D19951" t="inlineStr">
        <is>
          <t>Hache du Chalœil; Amulette Volkorne; Bague Trithon; Anneau Volkorne; Quatre-feuilles; Ceinture Volkorne; Masque Trithon; Voile d'encre; Bottes Trithon; Dolmanax; Dofus Turquoise; Dofus Nébuleux; Dofus Ocre; Dofus Pourpre; Dofus des Glaces; Chacha Angora</t>
        </is>
      </c>
    </row>
    <row r="19952">
      <c r="A19952" t="inlineStr">
        <is>
          <t>gdf</t>
        </is>
      </c>
      <c r="B19952">
        <f>HYPERLINK("https://www.dofusbook.net/fr/equipement/2507433-gdf/objets", "link")</f>
        <v/>
      </c>
      <c r="C19952" t="n">
        <v>10</v>
      </c>
      <c r="D19952" t="inlineStr">
        <is>
          <t>Baguette Range; Amulette du Strigide; Alliance Gloursonne; Anneau de Padgref; Quatre-feuilles; Ceinture du Strigide; Coiffe de Padgref; Cape d'Atcham; Sandales  d'Atcham; Dofus Ocre; Dofus des Glaces; Dofus Nébuleux; Dofus Pourpre; Dofus Vulbis; Dofus Turquoise; Chacha Angora</t>
        </is>
      </c>
    </row>
    <row r="19953">
      <c r="A19953" t="inlineStr">
        <is>
          <t>Xélor F 200</t>
        </is>
      </c>
      <c r="B19953">
        <f>HYPERLINK("https://www.dofusbook.net/fr/equipement/3544841-xelor-f-200/objets", "link")</f>
        <v/>
      </c>
      <c r="C19953" t="n">
        <v>1</v>
      </c>
      <c r="D19953" t="inlineStr">
        <is>
          <t>Dagoulinantes; Amulette du Strigide; Alliance Gloursonne; Anneau Volkorne; Sept ans de malheur; Poulpagne; Némès de Tal Kasha; Chevelure de Tal Kasha; Pataugastrique; Dokoko; Dofus Ivoire; Dofus des Glaces; Dofus Turquoise; Dofus Abyssal; Étourdisseur majeur</t>
        </is>
      </c>
    </row>
    <row r="19954">
      <c r="A19954" t="inlineStr">
        <is>
          <t>Féca M 200</t>
        </is>
      </c>
      <c r="B19954">
        <f>HYPERLINK("https://www.dofusbook.net/fr/equipement/3516907-feca-m-200/objets", "link")</f>
        <v/>
      </c>
      <c r="C19954" t="n">
        <v>5</v>
      </c>
      <c r="D19954" t="inlineStr">
        <is>
          <t>Lance Horselé; Collier du Valet Veinard; Alliance Gloursonne; Gant du Valet Veinard; Sept ans de malheur; Ceintouse; Chapoulpe; Cape du Valet Veinard; Tentassons; Dokoko; Dofus Abyssal; Dofus Émeraude; Dofus Ivoire; Dofus Ocre; Paralyseur majeur</t>
        </is>
      </c>
    </row>
    <row r="19955">
      <c r="A19955" t="inlineStr">
        <is>
          <t>Limbes</t>
        </is>
      </c>
      <c r="B19955">
        <f>HYPERLINK("https://www.dofusbook.net/fr/equipement/404912-limbes/objets", "link")</f>
        <v/>
      </c>
      <c r="C19955" t="n">
        <v>4</v>
      </c>
      <c r="D19955" t="inlineStr">
        <is>
          <t>Arc Volkorne; Alliance Gloursonne; Anneau Volkorne; Quatre-feuilles; Ceinture Volkorne; Casque Volkorne; Voile d'encre; Bottes du Strigide; Dofus Pourpre; Dofus Nébuleux; Dofus Turquoise; Dofus des Glaces</t>
        </is>
      </c>
    </row>
    <row r="19956">
      <c r="A19956" t="inlineStr">
        <is>
          <t>Stuff 2</t>
        </is>
      </c>
      <c r="B19956">
        <f>HYPERLINK("https://www.dofusbook.net/fr/equipement/404924-stuff-2/objets", "link")</f>
        <v/>
      </c>
      <c r="C19956" t="n">
        <v>5</v>
      </c>
      <c r="D19956" t="inlineStr">
        <is>
          <t>Manthache; Collier du Valet Veinard; Alliance Gloursonne; Gant du Valet Veinard; Menoture; Couronne d'Allister; Cape Indescriptible; Palmes Trithons; Dofus Émeraude; Dofus Pourpre; Dofus des Glaces; Nomade; Cascadeur majeur; Remueur; Siroko</t>
        </is>
      </c>
    </row>
    <row r="19957">
      <c r="A19957" t="inlineStr">
        <is>
          <t>dqsdq</t>
        </is>
      </c>
      <c r="B19957">
        <f>HYPERLINK("https://www.dofusbook.net/fr/equipement/3126502-dqsdq/objets", "link")</f>
        <v/>
      </c>
      <c r="C19957" t="n">
        <v>1</v>
      </c>
      <c r="D19957" t="inlineStr">
        <is>
          <t>Lav'Hache; Torquistik; Bague Instable; Bague Trithon; Bouclier précieux; Ceinture Gence; Casque Dragoeuf; Cape du Cœur Vaillant; Bottistik; Dofus Abyssal; Dofus Ivoire; Nomade; Culbuteur majeur; Remueur; Bousculeur majeur; Kafarce</t>
        </is>
      </c>
    </row>
    <row r="19958">
      <c r="A19958" t="inlineStr">
        <is>
          <t>dsd</t>
        </is>
      </c>
      <c r="B19958">
        <f>HYPERLINK("https://www.dofusbook.net/fr/equipement/2426853-dsd/objets", "link")</f>
        <v/>
      </c>
      <c r="C19958" t="n">
        <v>0</v>
      </c>
      <c r="D19958" t="inlineStr">
        <is>
          <t>Torque Ancestral; Gelano; Anneau Ancestral; Abrature Ancestrale; Abracaska Ancestral; Abracapa Ancestrale; Protège-Tibias Ancestraux; Dokoko; Dofus Cawotte; Furibond; Examinateur; Joueur</t>
        </is>
      </c>
    </row>
    <row r="19959">
      <c r="A19959" t="inlineStr">
        <is>
          <t>deuxcent</t>
        </is>
      </c>
      <c r="B19959">
        <f>HYPERLINK("https://www.dofusbook.net/fr/equipement/969833-deuxcent/objets", "link")</f>
        <v/>
      </c>
      <c r="C19959" t="n">
        <v>2</v>
      </c>
      <c r="D19959" t="inlineStr">
        <is>
          <t>Dagues de Srambad; Amulette Ementaire Deluxe; Alliance Brûlâme; Alliance Gloursonne; Ceinture de la Reine des Voleurs; Casque Dragoeuf; Voile d'encre; Bottes de la Reine des Voleurs; Dofus Ocre; Dofus Abyssal; Dofus des Glaces; Dofus Pourpre; Dofus Ivoire; Remueur; Muldo Ebène et Pourpre</t>
        </is>
      </c>
    </row>
    <row r="19960">
      <c r="A19960" t="inlineStr">
        <is>
          <t>Stuff 3</t>
        </is>
      </c>
      <c r="B19960">
        <f>HYPERLINK("https://www.dofusbook.net/fr/equipement/1411487-stuff-3/objets", "link")</f>
        <v/>
      </c>
      <c r="C19960" t="n">
        <v>0</v>
      </c>
      <c r="D19960" t="inlineStr">
        <is>
          <t>Dagues Érhy; Amulette du Strigide; Bague Gloursonne; Bracelet du Piloztère; Bouclier du Captain Amakna; Ceinture du Strigide; Chapeau de Gein; Voile d'encre; Bottes du Roi Joueur; Dofus Abyssal; Dofus Turquoise; Dofus des Glaces; Dofus Ocre; Dofus Pourpre; Remueur; Muldo Orchidée et Pourpre</t>
        </is>
      </c>
    </row>
    <row r="19961">
      <c r="A19961" t="inlineStr">
        <is>
          <t>lljk</t>
        </is>
      </c>
      <c r="B19961">
        <f>HYPERLINK("https://www.dofusbook.net/fr/equipement/1944496-lljk/objets", "link")</f>
        <v/>
      </c>
      <c r="C19961" t="n">
        <v>1</v>
      </c>
      <c r="D19961" t="inlineStr">
        <is>
          <t>Arc de Koutoulou; Amulette du Strigide; Alliance Gloursonne; Bracelet des Fonds marins; Quatre-feuilles; Ceintacé; Casque Dragoeuf; Chevelure de Tal Kasha; Sandales de Tal Kasha; Dofus Turquoise; Dofus Ivoire; Dokoko; Dofus Émeraude; Dofus des Glaces; Remueur; Muldo Ebène et Indigo</t>
        </is>
      </c>
    </row>
    <row r="19962">
      <c r="A19962" t="inlineStr">
        <is>
          <t>Stuff 2</t>
        </is>
      </c>
      <c r="B19962">
        <f>HYPERLINK("https://www.dofusbook.net/fr/equipement/1377405-stuff-2/objets", "link")</f>
        <v/>
      </c>
      <c r="C19962" t="n">
        <v>0</v>
      </c>
      <c r="D19962" t="inlineStr">
        <is>
          <t>Hache du Korriandre; Amulette du Strigide; Alliance Gloursonne; Bague Gloursonne; Quatre-feuilles; Ceinture du Strigide; Némès de Tal Kasha; Chevelure de Tal Kasha; Sandales de Tal Kasha; Dofus Turquoise; Dofus Pourpre; Dofus Ocre; Dokoko; Dofus Émeraude; Dofus des Glaces; Muldo Ebène et Indigo</t>
        </is>
      </c>
    </row>
    <row r="19963">
      <c r="A19963" t="inlineStr">
        <is>
          <t>dfklldk</t>
        </is>
      </c>
      <c r="B19963">
        <f>HYPERLINK("https://www.dofusbook.net/fr/equipement/993784-dfklldk/objets", "link")</f>
        <v/>
      </c>
      <c r="C19963" t="n">
        <v>1</v>
      </c>
      <c r="D19963" t="inlineStr">
        <is>
          <t>Epée Gloursonne; Amulette du Strigide; Bague Gloursonne; Alliance Gloursonne; Quatre-feuilles; Ceinture du Strigide; Chapeau Lisson; Voile d'encre; Bottes du Strigide; Dofus Pourpre; Dofus Turquoise; Dolmanax; Dofus des Glaces; Dofus Ocre; Dofus Nébuleux; Muldo Doré et Indigo</t>
        </is>
      </c>
    </row>
    <row r="19964">
      <c r="A19964" t="inlineStr">
        <is>
          <t>Dagues</t>
        </is>
      </c>
      <c r="B19964">
        <f>HYPERLINK("https://www.dofusbook.net/fr/equipement/404911-dagues/objets", "link")</f>
        <v/>
      </c>
      <c r="C19964" t="n">
        <v>4</v>
      </c>
      <c r="D19964" t="inlineStr">
        <is>
          <t>La Baguette des Limbes; Amulette Ementaire Deluxe; Alliance de Guten Tak; Anneau du Chêne Mou; Cadran d'Air; Ceinture de XLII; Casque Dragoeuf; Cape Souveraine du Roissingue; Bottes de XLII; Dokoko; Dofus Ocre; Dofus Abyssal; Dofus Émeraude; Remueur; Cavaleur majeur; Chacha Angora</t>
        </is>
      </c>
    </row>
    <row r="19965">
      <c r="A19965" t="inlineStr">
        <is>
          <t>Feu/eau 200</t>
        </is>
      </c>
      <c r="B19965">
        <f>HYPERLINK("https://www.dofusbook.net/fr/equipement/5316406-feu-eau-200/objets", "link")</f>
        <v/>
      </c>
      <c r="C19965" t="n">
        <v>6</v>
      </c>
      <c r="D19965" t="inlineStr">
        <is>
          <t>Arc Nécrotique; Amulette Volkorne; Bague Trithon; Anneau Volkorne; Bouclier du Stalak; Ceintacé; Masque Trithon; Cape de la Dame du Hasard; Bottes de la Dame du Hasard; Dofus Ébène; Dofus Ocre; Dofus Abyssal; Dofus Ivoire; Dofus Vulbis; Kokulte</t>
        </is>
      </c>
    </row>
    <row r="19966">
      <c r="A19966" t="inlineStr">
        <is>
          <t>Retpme</t>
        </is>
      </c>
      <c r="B19966">
        <f>HYPERLINK("https://www.dofusbook.net/fr/equipement/5960662-retpme/objets", "link")</f>
        <v/>
      </c>
      <c r="C19966" t="n">
        <v>0</v>
      </c>
      <c r="D19966" t="inlineStr">
        <is>
          <t>Marteau des Anciens Steamers; Amulette de l'Œil Putride; Anneau de Pol Ouatnos; Anneau Volkorne; Quatre-feuilles; Ceinture de l'Esprit Salvateur; Capuche de l'Œil Putride; Cape de l'Œil Putride; Bottes de l'Esprit Salvateur; Dofus Ivoire; Dofus Abyssal; Dofus des Glaces; Dofus Ocre; Gwo Tofu Ventripotent</t>
        </is>
      </c>
    </row>
    <row r="19967">
      <c r="A19967" t="inlineStr">
        <is>
          <t>Feu</t>
        </is>
      </c>
      <c r="B19967">
        <f>HYPERLINK("https://www.dofusbook.net/fr/equipement/5814320-feu-/objets", "link")</f>
        <v/>
      </c>
      <c r="C19967" t="n">
        <v>0</v>
      </c>
      <c r="D19967" t="inlineStr">
        <is>
          <t>Arc corrompu; Amulette Volkorne; Anneau Toriété; Anneau Volkorne; Quatre-feuilles; Croture; Heaume Oplate; Cape Martegel; Bottes Innommables; Dofus Pourpre; Dofus Ébène; Dofus Ocre; Dofus des Glaces; Dofus Ivoire; Érudit majeur; Brûlih</t>
        </is>
      </c>
    </row>
    <row r="19968">
      <c r="A19968" t="inlineStr">
        <is>
          <t>Crit eau/air</t>
        </is>
      </c>
      <c r="B19968">
        <f>HYPERLINK("https://www.dofusbook.net/fr/equipement/5814213-crit-eau-air/objets", "link")</f>
        <v/>
      </c>
      <c r="C19968" t="n">
        <v>0</v>
      </c>
      <c r="D19968" t="inlineStr">
        <is>
          <t>Arc de Koutoulou; Amulette du Strigide; Crocanneau; Anneau Volkorne; Quatre-feuilles; Ceinture du Strigide; Casque Volkorne; Chevelure de Tal Kasha; Sandales de Tal Kasha; Dofus Turquoise; Dofus des Glaces; Dofus Ocre; Dofus Abyssal; Dofus Ivoire; Kokulte</t>
        </is>
      </c>
    </row>
    <row r="19969">
      <c r="A19969" t="inlineStr">
        <is>
          <t>Terre</t>
        </is>
      </c>
      <c r="B19969">
        <f>HYPERLINK("https://www.dofusbook.net/fr/equipement/5793306-terre/objets", "link")</f>
        <v/>
      </c>
      <c r="C19969" t="n">
        <v>0</v>
      </c>
      <c r="D19969" t="inlineStr">
        <is>
          <t>Epée Gloursonne; Amulette du Strigide; Bague Gloursonne; Alliance Gloursonne; Quatre-feuilles; Ceinture du Strigide; Corne de Torkélonia; Carapace de Torkélonia; Bottes du Strigide; Dofus Ocre; Dofus Pourpre; Dofus Nébuleux; Dofus Turquoise; Dofus Ivoire; Kokulte</t>
        </is>
      </c>
    </row>
    <row r="19970">
      <c r="A19970" t="inlineStr">
        <is>
          <t>Air do pou</t>
        </is>
      </c>
      <c r="B19970">
        <f>HYPERLINK("https://www.dofusbook.net/fr/equipement/5681596-air-do-pou/objets", "link")</f>
        <v/>
      </c>
      <c r="C19970" t="n">
        <v>0</v>
      </c>
      <c r="D19970" t="inlineStr">
        <is>
          <t>Hachoirs de Viandargh; Amibou; Alliance Gloursonne; Anneau de Pol Ouatnos; Bouclier Taverne; Ceinture du Nocturlabe; Masque de Kao; Cape des Malveilleurs; Baleinabottes; Dofus Ivoire; Dofus Ocre; Bousculeur majeur; Culbuteur; Culbuteur majeur; Péki</t>
        </is>
      </c>
    </row>
    <row r="19971">
      <c r="A19971" t="inlineStr">
        <is>
          <t>Eau/feu</t>
        </is>
      </c>
      <c r="B19971">
        <f>HYPERLINK("https://www.dofusbook.net/fr/equipement/5019537-eau-feu/objets", "link")</f>
        <v/>
      </c>
      <c r="C19971" t="n">
        <v>7</v>
      </c>
      <c r="D19971" t="inlineStr">
        <is>
          <t>Arc Nécrotique; Amulette Volkorne; Anneau Volkorne; Bracelet du Piloztère; Quatre-feuilles; Le Dorado; Cape de la Dame du Hasard; Bottes de la Dame du Hasard; Dofus Ivoire; Dofus Abyssal; Dofus Turquoise; Dofus Ébène; Dofus Ocre; Dofus des Glaces; Kokulte</t>
        </is>
      </c>
    </row>
    <row r="19972">
      <c r="A19972" t="inlineStr">
        <is>
          <t>Do pou</t>
        </is>
      </c>
      <c r="B19972">
        <f>HYPERLINK("https://www.dofusbook.net/fr/equipement/5340023-do-pou/objets", "link")</f>
        <v/>
      </c>
      <c r="C19972" t="n">
        <v>3</v>
      </c>
      <c r="D19972" t="inlineStr">
        <is>
          <t>Arc du Chalœil; Torquistik; Bague Instable; Baguistik; Bouclier précieux; Ceinture Gence; Casque Dragoeuf; Cape Solution; Bottes du Cul Botté; Dofus Abyssal; Dofus Ivoire; Culbuteur majeur; Bousculeur majeur; Péki</t>
        </is>
      </c>
    </row>
    <row r="19973">
      <c r="A19973" t="inlineStr">
        <is>
          <t>Air/eau 200</t>
        </is>
      </c>
      <c r="B19973">
        <f>HYPERLINK("https://www.dofusbook.net/fr/equipement/5382448-air-eau-200/objets", "link")</f>
        <v/>
      </c>
      <c r="C19973" t="n">
        <v>3</v>
      </c>
      <c r="D19973" t="inlineStr">
        <is>
          <t>Arc de Koutoulou; Amulette du Strigide; Anneau Volkorne; Anneau de Pol Ouatnos; Quatre-feuilles; Ceinture du Strigide; Némès de Tal Kasha; Chevelure de Tal Kasha; Sandales de Tal Kasha; Dofus Ocre; Dofus Abyssal; Dofus Ivoire; Dofus Turquoise; Dofus Ébène; Dragodinde Amande et Emeraude</t>
        </is>
      </c>
    </row>
    <row r="19974">
      <c r="A19974" t="inlineStr">
        <is>
          <t>Terre</t>
        </is>
      </c>
      <c r="B19974">
        <f>HYPERLINK("https://www.dofusbook.net/fr/equipement/5318028-terre/objets", "link")</f>
        <v/>
      </c>
      <c r="C19974" t="n">
        <v>2</v>
      </c>
      <c r="D19974" t="inlineStr">
        <is>
          <t>Marteau R'ture; Amulette du Cœur Saignant; Anneau Volkorne; Bracelet du Piloztère; Bouclier du Stalak; Ceinture Volkorne; Masque de Funespadon; Cape du Cœur Saignant; Bottes du Cœur Saignant; Dofus Ocre; Dofus Abyssal; Dofus Ivoire; Dofus Turquoise; Dofus Ébène; Kompost</t>
        </is>
      </c>
    </row>
    <row r="19975">
      <c r="A19975" t="inlineStr">
        <is>
          <t>Multi</t>
        </is>
      </c>
      <c r="B19975">
        <f>HYPERLINK("https://www.dofusbook.net/fr/equipement/5051279-multi/objets", "link")</f>
        <v/>
      </c>
      <c r="C19975" t="n">
        <v>1</v>
      </c>
      <c r="D19975" t="inlineStr">
        <is>
          <t>Hache du Korriandre; Amulette de l'Œil Putride; Anneau de Padgref; Alliance Gloursonne; Ceinture de l'Esprit Salvateur; Masque de l'Esprit Salvateur; Cape de l'Œil Putride; Bottes de l'Esprit Salvateur; Dofus Ivoire; Dofus Abyssal; Dofus Ébène; Dofus Ocre; Dofus des Glaces</t>
        </is>
      </c>
    </row>
    <row r="19976">
      <c r="A19976" t="inlineStr">
        <is>
          <t>Eau/air</t>
        </is>
      </c>
      <c r="B19976">
        <f>HYPERLINK("https://www.dofusbook.net/fr/equipement/4478019-eau-air-/objets", "link")</f>
        <v/>
      </c>
      <c r="C19976" t="n">
        <v>2</v>
      </c>
      <c r="D19976" t="inlineStr">
        <is>
          <t>Hache du Korriandre; Amulette d'Ilyzaelle; Alliance Gloursonne; Anneau Volkorne; Bouclier d'Ilyzaelle; Sangle Ouare; Casque Volkorne; Cape Solution; Bottes de l'Esprit Salvateur; Dofus Ocre; Dofus Ivoire; Dofus Abyssal; Dofus Pourpre; Dofus des Glaces; Kanigloups</t>
        </is>
      </c>
    </row>
    <row r="19977">
      <c r="A19977" t="inlineStr">
        <is>
          <t>Stuff 200</t>
        </is>
      </c>
      <c r="B19977">
        <f>HYPERLINK("https://www.dofusbook.net/fr/equipement/4087304-stuff-200/objets", "link")</f>
        <v/>
      </c>
      <c r="C19977" t="n">
        <v>0</v>
      </c>
      <c r="D19977" t="inlineStr">
        <is>
          <t>Dagues Érhy; Amulette Volkorne; Alliance Gloursonne; Anneau Volkorne; Bouclier du Stalak; Ceinture de l'Esprit Salvateur; Masque de l'Esprit Salvateur; Cape Martegel; Bottes de l'Esprit Salvateur; Dofus Ocre; Dofus Pourpre; Dofus Abyssal; Dofus des Glaces</t>
        </is>
      </c>
    </row>
    <row r="19978">
      <c r="A19978" t="inlineStr">
        <is>
          <t>dopou</t>
        </is>
      </c>
      <c r="B19978">
        <f>HYPERLINK("https://www.dofusbook.net/fr/equipement/6017914-dopou/objets", "link")</f>
        <v/>
      </c>
      <c r="C19978" t="n">
        <v>0</v>
      </c>
      <c r="D19978" t="inlineStr">
        <is>
          <t>Héqache; Collier Rophante; Bague Instable; Bague Trithon; Bouclier précieux; Ceinture Gence; Masque d'Anerice; Cape d'Anerice; Bottes Owesli; Nomade; Pousseur majeur; Remueur; Culbuteur majeur; Obstructeur majeur; Culbuteur; Péki</t>
        </is>
      </c>
    </row>
    <row r="19979">
      <c r="A19979" t="inlineStr">
        <is>
          <t>Osamodas M 200</t>
        </is>
      </c>
      <c r="B19979">
        <f>HYPERLINK("https://www.dofusbook.net/fr/equipement/6015394-osamodas-m-200/objets", "link")</f>
        <v/>
      </c>
      <c r="C19979" t="n">
        <v>0</v>
      </c>
      <c r="D19979" t="inlineStr">
        <is>
          <t>Rapière aux Glyphes; Amulette de l'Œil Attentif; Bracelet des Fonds marins; Anneau Volkorne; Bouclier du Stalak; Ceinture Glaciale; Casque d'Ilyzaelle; Cape Solution; Sandales des Fonds marins; Dofus Ocre; Dofus Émeraude; Dokoko; Chanceux majeur; Nomade; Dragodinde Indigo</t>
        </is>
      </c>
    </row>
    <row r="19980">
      <c r="A19980" t="inlineStr">
        <is>
          <t>Osamodas F 200</t>
        </is>
      </c>
      <c r="B19980">
        <f>HYPERLINK("https://www.dofusbook.net/fr/equipement/6015379-osamodas-f-200/objets", "link")</f>
        <v/>
      </c>
      <c r="C19980" t="n">
        <v>0</v>
      </c>
      <c r="D19980" t="inlineStr">
        <is>
          <t>Épée du Granduk; Amulette du Granduk; Anneau Volkorne; Anneau d'Allister; Quatre-feuilles; Menoture; Casque Volkorne; Cape Indescriptible; Bottes d'Allister; Dofus Pourpre; Dofus Ébène; Dofus Ocre; Dofus Turquoise; Dofus Abyssal; Examinateur; Dragodinde Prune et Ebène</t>
        </is>
      </c>
    </row>
    <row r="19981">
      <c r="A19981" t="inlineStr">
        <is>
          <t>Féca M 200</t>
        </is>
      </c>
      <c r="B19981">
        <f>HYPERLINK("https://www.dofusbook.net/fr/equipement/6004934-feca-m-200/objets", "link")</f>
        <v/>
      </c>
      <c r="C19981" t="n">
        <v>0</v>
      </c>
      <c r="D19981" t="inlineStr"/>
    </row>
    <row r="19982">
      <c r="A19982" t="inlineStr">
        <is>
          <t>feu degats res 200</t>
        </is>
      </c>
      <c r="B19982">
        <f>HYPERLINK("https://www.dofusbook.net/fr/equipement/5991657-feu-degats-res-200/objets", "link")</f>
        <v/>
      </c>
      <c r="C19982" t="n">
        <v>0</v>
      </c>
      <c r="D19982" t="inlineStr">
        <is>
          <t>Arc corrompu; Amulette Volkorne; Anneauræus; Anneauræus; Bouclier du Stalak; Croture; Heaume Oplate; Voile d'encre; Bottes Innommables; Dofus Ébène; Dofus Abyssal; Dofus Ivoire; Dofus Ocre; Carapace Feu majeur; Érudit majeur; Bisouglours</t>
        </is>
      </c>
    </row>
    <row r="19983">
      <c r="A19983" t="inlineStr">
        <is>
          <t>feu terre 200</t>
        </is>
      </c>
      <c r="B19983">
        <f>HYPERLINK("https://www.dofusbook.net/fr/equipement/5991676-feu-terre-200/objets", "link")</f>
        <v/>
      </c>
      <c r="C19983" t="n">
        <v>0</v>
      </c>
      <c r="D19983" t="inlineStr">
        <is>
          <t>Epée Toche; Amulette Volkorne; Chevalière du Roi Joueur; Bague Gloursonne; Bouclier d'Ilyzaelle; Ceinture Volkorne; Chapeau de Gein; Voile d'encre; Bottes Honyme; Dofus Émeraude; Dofus Ocre; Dofus Abyssal; Dokoko; Dofus Ivoire; Nomade; Dragodinde Orchidée et Pourpre</t>
        </is>
      </c>
    </row>
    <row r="19984">
      <c r="A19984" t="inlineStr">
        <is>
          <t>osa feu soin</t>
        </is>
      </c>
      <c r="B19984">
        <f>HYPERLINK("https://www.dofusbook.net/fr/equipement/5992117-osa-feu-soin/objets", "link")</f>
        <v/>
      </c>
      <c r="C19984" t="n">
        <v>0</v>
      </c>
      <c r="D19984" t="inlineStr">
        <is>
          <t>Plumeau Bil; Amulette d'Otomaï; Anneauræus; Anneauræus; Bouclier du Cycloïde; Ceinture Séculaire; Coiffe Séculaire; Cape Martegel; Pantoufles Émar; Dofus Ocre; Dofus Émeraude; Dokoko; Érudit majeur; Nomade; Guérisseur majeur; Dragodinde Orchidée et Rousse</t>
        </is>
      </c>
    </row>
    <row r="19985">
      <c r="A19985" t="inlineStr">
        <is>
          <t>Osamodas M 200</t>
        </is>
      </c>
      <c r="B19985">
        <f>HYPERLINK("https://www.dofusbook.net/fr/equipement/5954971-osamodas-m-200/objets", "link")</f>
        <v/>
      </c>
      <c r="C19985" t="n">
        <v>0</v>
      </c>
      <c r="D19985" t="inlineStr">
        <is>
          <t>Dagues Érhy; Amulette du Nocturlabe; Crocanneau; Anneau Volkorne; Bouclier du Stalak; Ceinture Volkorne; Masque d'Anerice; Cape d'Anerice; Bottes du Nocturlabe; Dofus Émeraude; Dofus Vulbis; Dofus Abyssal; Dofus Ocre; Dokoko; Dofus des Glaces; Dragodinde Dorée et Indigo</t>
        </is>
      </c>
    </row>
    <row r="19986">
      <c r="A19986" t="inlineStr">
        <is>
          <t>Iop M 200</t>
        </is>
      </c>
      <c r="B19986">
        <f>HYPERLINK("https://www.dofusbook.net/fr/equipement/5950374-iop-m-200/objets", "link")</f>
        <v/>
      </c>
      <c r="C19986" t="n">
        <v>0</v>
      </c>
      <c r="D19986" t="inlineStr"/>
    </row>
    <row r="19987">
      <c r="A19987" t="inlineStr">
        <is>
          <t>Osamodas M 200</t>
        </is>
      </c>
      <c r="B19987">
        <f>HYPERLINK("https://www.dofusbook.net/fr/equipement/5945125-osamodas-m-200/objets", "link")</f>
        <v/>
      </c>
      <c r="C19987" t="n">
        <v>0</v>
      </c>
      <c r="D19987" t="inlineStr">
        <is>
          <t>Epée Gloursonne; Collier du Tanukouï San; Anneau Frage; Anneau du Katcheur; Bouclier Brâkmarien; Ceinture Meulante; Kanistère; Cape d'Aermyne; Bottes du Katcheur; Fonceur; Fonceur majeur; Initiateur; Initiateur majeur; Précurseur; Précurseur majeur; Dragodinde Amande</t>
        </is>
      </c>
    </row>
    <row r="19988">
      <c r="A19988" t="inlineStr">
        <is>
          <t>Féca M 200</t>
        </is>
      </c>
      <c r="B19988">
        <f>HYPERLINK("https://www.dofusbook.net/fr/equipement/5867437-feca-m-200/objets", "link")</f>
        <v/>
      </c>
      <c r="C19988" t="n">
        <v>0</v>
      </c>
      <c r="D19988" t="inlineStr"/>
    </row>
    <row r="19989">
      <c r="A19989" t="inlineStr">
        <is>
          <t>Iop M 200</t>
        </is>
      </c>
      <c r="B19989">
        <f>HYPERLINK("https://www.dofusbook.net/fr/equipement/5779289-iop-m-200/objets", "link")</f>
        <v/>
      </c>
      <c r="C19989" t="n">
        <v>0</v>
      </c>
      <c r="D19989" t="inlineStr">
        <is>
          <t>Arc de Koutoulou; Amulette du Strigide; Anneau Volkorne; Crocanneau; Bouclier du Captain Amakna; Ceinture du Strigide; Casque Volkorne; Chevelure de Tal Kasha; Sandales de Tal Kasha; Dofus Turquoise; Dofus Vulbis; Dofus Ébène; Dofus Pourpre; Dofus Émeraude; Dofus Ocre; Kokulte</t>
        </is>
      </c>
    </row>
    <row r="19990">
      <c r="A19990" t="inlineStr">
        <is>
          <t>Sram M 200</t>
        </is>
      </c>
      <c r="B19990">
        <f>HYPERLINK("https://www.dofusbook.net/fr/equipement/5779279-sram-m-200/objets", "link")</f>
        <v/>
      </c>
      <c r="C19990" t="n">
        <v>0</v>
      </c>
      <c r="D19990" t="inlineStr">
        <is>
          <t>Baguette de Torkélonia; Amulette du Strigide; Anneau des égarés; Alliance Brûlâme; Bouclier d'Ilyzaelle; Ceinture du Strigide; Corne de Torkélonia; Carapace de Torkélonia; Bottes du Strigide; Dofus des Glaces; Dofus Pourpre; Dofus Ébène; Dofus Ocre; Dofus Abyssal; Dofus Turquoise; Kokulte</t>
        </is>
      </c>
    </row>
    <row r="19991">
      <c r="A19991" t="inlineStr">
        <is>
          <t>Eniripsa F 200</t>
        </is>
      </c>
      <c r="B19991">
        <f>HYPERLINK("https://www.dofusbook.net/fr/equipement/5779272-eniripsa-f-200/objets", "link")</f>
        <v/>
      </c>
      <c r="C19991" t="n">
        <v>0</v>
      </c>
      <c r="D19991" t="inlineStr">
        <is>
          <t>Épouvante; Amulette du Strigide; Anneau Volkorne; Anneau en Grithril; Quatre-feuilles; Ceinture Volkorne; Masque de Funespadon; Cape Luminescente; Bottes Honyme; Dofus Turquoise; Dofus Ébène; Dofus Ocre; Dofus Pourpre; Vigoureux majeur; Nomade; Kokulte</t>
        </is>
      </c>
    </row>
    <row r="19992">
      <c r="A19992" t="inlineStr">
        <is>
          <t>Féca M 200</t>
        </is>
      </c>
      <c r="B19992">
        <f>HYPERLINK("https://www.dofusbook.net/fr/equipement/5777927-feca-m-200/objets", "link")</f>
        <v/>
      </c>
      <c r="C19992" t="n">
        <v>0</v>
      </c>
      <c r="D19992" t="inlineStr">
        <is>
          <t>Arc Honte; Collier Lunaire; Lavanneau; Goulano; Bouclier du Stalak; Ceintacé; Cape de la Dame du Hasard; Bottes Lunaires; Dofus Pourpre; Dofus Ocre; Dofus Abyssal; Vigoureux majeur; Robuste majeur; Nomade; Gwo Tofu Ventripotent</t>
        </is>
      </c>
    </row>
    <row r="19993">
      <c r="A19993" t="inlineStr">
        <is>
          <t>Sadida M 200</t>
        </is>
      </c>
      <c r="B19993">
        <f>HYPERLINK("https://www.dofusbook.net/fr/equipement/5698900-sadida-m-200/objets", "link")</f>
        <v/>
      </c>
      <c r="C19993" t="n">
        <v>2</v>
      </c>
      <c r="D19993" t="inlineStr">
        <is>
          <t>Dagues Érhy; Amulette du Strigide; Crocanneau; Anneau des égarés; Bouclier du Stalak; Ceintacé; Corne de Torkélonia; Carapace de Torkélonia; Baleinabottes; Dofus Pourpre; Dofus Turquoise; Vigoureux majeur; Nomade; Temporiseur majeur; Observateur; Gwo Tofu Ventripotent</t>
        </is>
      </c>
    </row>
    <row r="19994">
      <c r="A19994" t="inlineStr">
        <is>
          <t>Osamodas F 200</t>
        </is>
      </c>
      <c r="B19994">
        <f>HYPERLINK("https://www.dofusbook.net/fr/equipement/5624976-osamodas-f-200/objets", "link")</f>
        <v/>
      </c>
      <c r="C19994" t="n">
        <v>0</v>
      </c>
      <c r="D19994" t="inlineStr">
        <is>
          <t>Lav'Hache; Collier de Tourthon; Anneau Chevelu; Pikano; Bouclier du Stalak; Ceinture de la Reine des Voleurs; Coiffe de la Reine des Voleurs; Voile d'encre; Baleinabottes; Dofus Abyssal; Dofus des Glaces; Dofus Ocre; Dofus Ébène; Dofus Vulbis; Enragé majeur; Bulbisou</t>
        </is>
      </c>
    </row>
    <row r="19995">
      <c r="A19995" t="inlineStr">
        <is>
          <t>Osamodas M 200</t>
        </is>
      </c>
      <c r="B19995">
        <f>HYPERLINK("https://www.dofusbook.net/fr/equipement/5624886-osamodas-m-200/objets", "link")</f>
        <v/>
      </c>
      <c r="C19995" t="n">
        <v>0</v>
      </c>
      <c r="D19995" t="inlineStr">
        <is>
          <t>Arc de Koutoulou; Amulette d'Ilyzaelle; Anneau de Pol Ouatnos; Anneau Volkorne; Bouclier d'Ilyzaelle; Ceinture du Nocturlabe; Casque Volkorne; Cape Solution; Bottes du Nocturlabe; Dofus Émeraude; Dofus Abyssal; Dofus Ébène; Dofus des Glaces; Dokoko; Dofus Ocre; Dragodinde Dorée</t>
        </is>
      </c>
    </row>
    <row r="19996">
      <c r="A19996" t="inlineStr">
        <is>
          <t>Osamodas F 200</t>
        </is>
      </c>
      <c r="B19996">
        <f>HYPERLINK("https://www.dofusbook.net/fr/equipement/5624839-osamodas-f-200/objets", "link")</f>
        <v/>
      </c>
      <c r="C19996" t="n">
        <v>0</v>
      </c>
      <c r="D19996" t="inlineStr">
        <is>
          <t>Lance Horselé; Collier du Valet Veinard; Gant du Valet Veinard; Anneau Toriété; Droiture de Fallanster; Menoture; Couronne d'Allister; Cape du Kamasterisk; Baleinabottes; Dokoko; Dofus Ébène; Dofus des Glaces; Dofus Abyssal; Cascadeur majeur; Dévastateur Air majeur; Blérodoudou</t>
        </is>
      </c>
    </row>
    <row r="19997">
      <c r="A19997" t="inlineStr">
        <is>
          <t>Osamodas F 200</t>
        </is>
      </c>
      <c r="B19997">
        <f>HYPERLINK("https://www.dofusbook.net/fr/equipement/5624791-osamodas-f-200/objets", "link")</f>
        <v/>
      </c>
      <c r="C19997" t="n">
        <v>0</v>
      </c>
      <c r="D19997" t="inlineStr">
        <is>
          <t>Epée Toche; Amulette Volkorne; Crocanneau; Bague Gloursonne; Droiture de Fallanster; Ceinture Volkorne; Chapeau de Gein; Voile d'encre; Bottes Dogues; Dofus Émeraude; Dofus des Glaces; Dokoko; Dofus Ocre; Enragé majeur; Érudit majeur; Cromeugnon</t>
        </is>
      </c>
    </row>
    <row r="19998">
      <c r="A19998" t="inlineStr">
        <is>
          <t>Sacrieur M 200</t>
        </is>
      </c>
      <c r="B19998">
        <f>HYPERLINK("https://www.dofusbook.net/fr/equipement/5572719-sacrieur-m-200/objets", "link")</f>
        <v/>
      </c>
      <c r="C19998" t="n">
        <v>1</v>
      </c>
      <c r="D19998" t="inlineStr">
        <is>
          <t>Sabres d'Atcham; Amulette Volkorne; Anneau Volkorne; Anneau Tique; Bouclier Taverne; Ceinture du Strigide; Casque Volkorne; Cape d'Atcham; Sandales  d'Atcham; Dofus Ivoire; Dofus Pourpre; Dofus des Glaces; Dofus Turquoise; Dofus Abyssal; Dofus Ocre; Fëanor</t>
        </is>
      </c>
    </row>
    <row r="19999">
      <c r="A19999" t="inlineStr">
        <is>
          <t>Sacrieur M 200</t>
        </is>
      </c>
      <c r="B19999">
        <f>HYPERLINK("https://www.dofusbook.net/fr/equipement/5572136-sacrieur-m-200/objets", "link")</f>
        <v/>
      </c>
      <c r="C19999" t="n">
        <v>0</v>
      </c>
      <c r="D19999" t="inlineStr">
        <is>
          <t>Épée Brûlâme; Amulette Volkorne; Alliance du Lévitrof; Anneau Volkorne; Bouclier d'Ilyzaelle; Ceinture Volkorne; Coiffe du Lévitrof; Cape de Jahash Jurgen; Bottes du Lévitrof; Dofus Abyssal; Dofus Pourpre; Dofus Ébène; Dofus Ocre; Dofus Émeraude; Dofus Turquoise; Fëanor</t>
        </is>
      </c>
    </row>
    <row r="20000">
      <c r="A20000" t="inlineStr">
        <is>
          <t>Féca M 200</t>
        </is>
      </c>
      <c r="B20000">
        <f>HYPERLINK("https://www.dofusbook.net/fr/equipement/5569344-feca-m-200/objets", "link")</f>
        <v/>
      </c>
      <c r="C20000" t="n">
        <v>0</v>
      </c>
      <c r="D20000" t="inlineStr">
        <is>
          <t>Arc Honte; Collier Lunaire; Anneau Toriété; Chevalière du Roi Joueur; Bouclier du Stalak; Ceintacé; Capuche de l'Œil Putride; Cape de la Dame du Hasard; Bottes Lunaires; Dofus Ocre; Dofus des Glaces; Dofus Pourpre; Robuste majeur; Nomade; Vigoureux majeur; Dragodinde Ivoire et Orchidée</t>
        </is>
      </c>
    </row>
    <row r="20001">
      <c r="A20001" t="inlineStr">
        <is>
          <t>Féca M 200</t>
        </is>
      </c>
      <c r="B20001">
        <f>HYPERLINK("https://www.dofusbook.net/fr/equipement/5569310-feca-m-200/objets", "link")</f>
        <v/>
      </c>
      <c r="C20001" t="n">
        <v>0</v>
      </c>
      <c r="D20001" t="inlineStr">
        <is>
          <t>Dagoulinantes; Amulette de l'Œil Attentif; Anneau Volkorne; Bracelet des Fonds marins; Quatre-feuilles; Pagne du Rykaon; Némès de Tal Kasha; Cape Solution; Sandales de Tal Kasha; Dofus Ocre; Dofus Ébène; Dofus Turquoise; Dofus Pourpre; Nomade; Chanceux majeur; Dragodinde Prune et Indigo</t>
        </is>
      </c>
    </row>
    <row r="20002">
      <c r="A20002" t="inlineStr">
        <is>
          <t>Féca M 200</t>
        </is>
      </c>
      <c r="B20002">
        <f>HYPERLINK("https://www.dofusbook.net/fr/equipement/5569267-feca-m-200/objets", "link")</f>
        <v/>
      </c>
      <c r="C20002" t="n">
        <v>0</v>
      </c>
      <c r="D20002" t="inlineStr">
        <is>
          <t>Arc corrompu; Amulette Volkorne; Anneauræus; Anneauræus; Bouclier du Stalak; Croture; Heaume Oplate; Cape de Jahash Jurgen; Bottes Innommables; Dofus Abyssal; Dofus Ocre; Dofus Pourpre; Dofus Ébène; Nomade; Érudit majeur; Bisouglours</t>
        </is>
      </c>
    </row>
    <row r="20003">
      <c r="A20003" t="inlineStr">
        <is>
          <t>Iop M 200</t>
        </is>
      </c>
      <c r="B20003">
        <f>HYPERLINK("https://www.dofusbook.net/fr/equipement/5569217-iop-m-200/objets", "link")</f>
        <v/>
      </c>
      <c r="C20003" t="n">
        <v>0</v>
      </c>
      <c r="D20003" t="inlineStr">
        <is>
          <t>Dagoulinantes; Amulette de l'Œil Attentif; Anneau Volkorne; Bracelet des Fonds marins; Bouclier d'Ilyzaelle; Ceinture en Grithril; Kidibonnet; Cape Solution; Sandales des Fonds marins; Dofus Pourpre; Dofus Ivoire; Dofus Émeraude; Dofus Ébène; Chanceux majeur; Nomade; Dragodinde Indigo et Ivoire</t>
        </is>
      </c>
    </row>
    <row r="20004">
      <c r="A20004" t="inlineStr">
        <is>
          <t>Pandawa M 200</t>
        </is>
      </c>
      <c r="B20004">
        <f>HYPERLINK("https://www.dofusbook.net/fr/equipement/5542665-pandawa-m-200/objets", "link")</f>
        <v/>
      </c>
      <c r="C20004" t="n">
        <v>0</v>
      </c>
      <c r="D20004" t="inlineStr"/>
    </row>
    <row r="20005">
      <c r="A20005" t="inlineStr">
        <is>
          <t>Pandawa M 200</t>
        </is>
      </c>
      <c r="B20005">
        <f>HYPERLINK("https://www.dofusbook.net/fr/equipement/5542654-pandawa-m-200/objets", "link")</f>
        <v/>
      </c>
      <c r="C20005" t="n">
        <v>0</v>
      </c>
      <c r="D20005" t="inlineStr">
        <is>
          <t>Pelle de Nidas; Amulette du Strigide; Anneau de Padgref; Alliance Gloursonne; Quatre-feuilles; Ceinture du Strigide; Némès de Tal Kasha; Chevelure de Tal Kasha; Sandales de Tal Kasha; Dofus des Glaces; Dofus Pourpre; Dofus Abyssal; Dofus Ocre; Dofus Ivoire; Dofus Turquoise; Sakochère</t>
        </is>
      </c>
    </row>
    <row r="20006">
      <c r="A20006" t="inlineStr">
        <is>
          <t>Enutrof M 200</t>
        </is>
      </c>
      <c r="B20006">
        <f>HYPERLINK("https://www.dofusbook.net/fr/equipement/5542640-enutrof-m-200/objets", "link")</f>
        <v/>
      </c>
      <c r="C20006" t="n">
        <v>0</v>
      </c>
      <c r="D20006" t="inlineStr">
        <is>
          <t>Marteau Phossile; Collier du Valet Veinard; Anneauræus; Anneau Rifique; Bouclier du Stalak; Ceinture de Vortex; Masquegel; Cape Martegel; Pantoufles Émar; Dofus Pourpre; Robuste majeur; Cascadeur majeur; Nomade; Érudit majeur; Remueur; Dragodinde Ebène et Orchidée</t>
        </is>
      </c>
    </row>
    <row r="20007">
      <c r="A20007" t="inlineStr">
        <is>
          <t>Féca M 200</t>
        </is>
      </c>
      <c r="B20007">
        <f>HYPERLINK("https://www.dofusbook.net/fr/equipement/5542603-feca-m-200/objets", "link")</f>
        <v/>
      </c>
      <c r="C20007" t="n">
        <v>0</v>
      </c>
      <c r="D20007" t="inlineStr">
        <is>
          <t>Pyraguette; Amulette Volkorne; Goulano; Anneau Volkorne; Bouclier du Stalak; Ceinture des Chocomanciens; Le Dorado; Cape de la Dame du Hasard; Pataugastrique; Dofus Pourpre; Temporiseur majeur; Chanceux majeur; Nomade; Érudit majeur; Remueur; Dragodinde Indigo et Orchidée</t>
        </is>
      </c>
    </row>
    <row r="20008">
      <c r="A20008" t="inlineStr">
        <is>
          <t>Sadida M 200</t>
        </is>
      </c>
      <c r="B20008">
        <f>HYPERLINK("https://www.dofusbook.net/fr/equipement/5542587-sadida-m-200/objets", "link")</f>
        <v/>
      </c>
      <c r="C20008" t="n">
        <v>0</v>
      </c>
      <c r="D20008" t="inlineStr">
        <is>
          <t>Dagues Érhy; Collier Lunaire; Anneau de Pol Ouatnos; Crocanneau; Quatre-feuilles; Ceintacé; Corne de Torkélonia; Carapace de Torkélonia; Bottes du Kamasterisk; Dofus Turquoise; Dofus Pourpre; Observateur; Temporiseur majeur; Cascadeur majeur; Enragé majeur; Kokulte</t>
        </is>
      </c>
    </row>
    <row r="20009">
      <c r="A20009" t="inlineStr">
        <is>
          <t>Sadida M 200</t>
        </is>
      </c>
      <c r="B20009">
        <f>HYPERLINK("https://www.dofusbook.net/fr/equipement/5542568-sadida-m-200/objets", "link")</f>
        <v/>
      </c>
      <c r="C20009" t="n">
        <v>2</v>
      </c>
      <c r="D20009" t="inlineStr">
        <is>
          <t>Arc corrompu; Amulette Volkorne; Anneauræus; Anneau de Padgref; Quatre-feuilles; Croture; Coiffe de Padgref; Cape de Diondin; Bottes Innommables; Dofus Ébène; Dofus Turquoise; Dofus Pourpre; Dofus Ocre; Nomade; Érudit majeur; Bisouglours</t>
        </is>
      </c>
    </row>
    <row r="20010">
      <c r="A20010" t="inlineStr">
        <is>
          <t>Sram M 200</t>
        </is>
      </c>
      <c r="B20010">
        <f>HYPERLINK("https://www.dofusbook.net/fr/equipement/5522496-sram-m-200/objets", "link")</f>
        <v/>
      </c>
      <c r="C20010" t="n">
        <v>0</v>
      </c>
      <c r="D20010" t="inlineStr">
        <is>
          <t>Pyraguette; Amulette Volkorne; Anneau Toriété; Anneau Volkorne; Bouclier du Stalak; Ceinture de l'Esprit Salvateur; Masque de l'Esprit Salvateur; Cape de Jahash Jurgen; Bottes de l'Esprit Salvateur; Dofus Vulbis; Dofus Ivoire; Dofus Pourpre; Dofus des Glaces; Dofus Ocre; Dofus Abyssal; Pioute rose</t>
        </is>
      </c>
    </row>
    <row r="20011">
      <c r="A20011" t="inlineStr">
        <is>
          <t>Sram M 200</t>
        </is>
      </c>
      <c r="B20011">
        <f>HYPERLINK("https://www.dofusbook.net/fr/equipement/5522540-sram-m-200/objets", "link")</f>
        <v/>
      </c>
      <c r="C20011" t="n">
        <v>0</v>
      </c>
      <c r="D20011" t="inlineStr">
        <is>
          <t>Sceptre du Roi Joueur; Amulette d'Ilyzaelle; Bracelet des Fonds marins; Anneau en Grithril; Bouclier d'Ilyzaelle; Ceinture en Grithril; Casque d'Ilyzaelle; Cape de l'Œil Attentif; Sandales des Fonds marins; Dofus Émeraude; Dofus Pourpre; Dofus Vulbis; Dofus Ivoire; Dofus Ocre; Dofus Abyssal; Kanigloups</t>
        </is>
      </c>
    </row>
    <row r="20012">
      <c r="A20012" t="inlineStr">
        <is>
          <t>Sram M 200</t>
        </is>
      </c>
      <c r="B20012">
        <f>HYPERLINK("https://www.dofusbook.net/fr/equipement/5522516-sram-m-200/objets", "link")</f>
        <v/>
      </c>
      <c r="C20012" t="n">
        <v>0</v>
      </c>
      <c r="D20012" t="inlineStr">
        <is>
          <t>Baguette de Torkélonia; Amulette du Strigide; Bague Gloursonne; Alliance Gloursonne; Quatre-feuilles; Ceinture du Strigide; Corne de Torkélonia; Carapace de Torkélonia; Bottes du Strigide; Dofus Pourpre; Dofus Ivoire; Dofus Ocre; Dofus des Glaces; Dofus Turquoise; Dofus Ébène; Kokulte</t>
        </is>
      </c>
    </row>
    <row r="20013">
      <c r="A20013" t="inlineStr">
        <is>
          <t>Ouginak M 200</t>
        </is>
      </c>
      <c r="B20013">
        <f>HYPERLINK("https://www.dofusbook.net/fr/equipement/5480630-ouginak-m-200/objets", "link")</f>
        <v/>
      </c>
      <c r="C20013" t="n">
        <v>0</v>
      </c>
      <c r="D20013" t="inlineStr">
        <is>
          <t>Dagues Érhy; Amulette du Strigide; Anneau des égarés; Anneau de Pol Ouatnos; Quatre-feuilles; Ceintacé; Corne de Torkélonia; Carapace de Torkélonia; Baleinabottes; Dofus Pourpre; Dofus Turquoise; Enragé majeur; Carapace Terre majeur; Cascadeur majeur; Vigoureux majeur; Kokulte</t>
        </is>
      </c>
    </row>
    <row r="20014">
      <c r="A20014" t="inlineStr">
        <is>
          <t>Féca M 200</t>
        </is>
      </c>
      <c r="B20014">
        <f>HYPERLINK("https://www.dofusbook.net/fr/equipement/5479604-feca-m-200/objets", "link")</f>
        <v/>
      </c>
      <c r="C20014" t="n">
        <v>0</v>
      </c>
      <c r="D20014" t="inlineStr">
        <is>
          <t>Canne Harr; Amulette Martegel; Alliance Brûlâme; Anneau Toriété; Bouclier cubiste; Menoture; Capuche de l'Œil Putride; Cape Martegel; Bottes Lunaires; Dofus des Glaces; Dofus Pourpre; Dofus Ocre; Temporiseur majeur; Robuste majeur; Vigoureux majeur; Willy le Relou</t>
        </is>
      </c>
    </row>
    <row r="20015">
      <c r="A20015" t="inlineStr">
        <is>
          <t>Féca M 200</t>
        </is>
      </c>
      <c r="B20015">
        <f>HYPERLINK("https://www.dofusbook.net/fr/equipement/5479450-feca-m-200/objets", "link")</f>
        <v/>
      </c>
      <c r="C20015" t="n">
        <v>0</v>
      </c>
      <c r="D20015" t="inlineStr">
        <is>
          <t>Rouleau à Pâtisserie d'Aermyne; Collier Rophante; Alliance Gloursonne; Alliance Brûlâme; Droiture de Fallanster; Menoture; Masque d'Anerice; Cape d'Anerice; Baleinabottes; Dofus Émeraude; Dofus Forgelave; Dofus Ivoire; Miraculé majeur; Bloqueur majeur; Obstructeur majeur; Blokus</t>
        </is>
      </c>
    </row>
    <row r="20016">
      <c r="A20016" t="inlineStr">
        <is>
          <t>Sacrieur M 200</t>
        </is>
      </c>
      <c r="B20016">
        <f>HYPERLINK("https://www.dofusbook.net/fr/equipement/5479427-sacrieur-m-200/objets", "link")</f>
        <v/>
      </c>
      <c r="C20016" t="n">
        <v>0</v>
      </c>
      <c r="D20016" t="inlineStr">
        <is>
          <t>Baguette de Torkélonia; Amulette du Cœur Saignant; Chevalière du Roi Joueur; Anneau Volkorne; Bouclier d'Ilyzaelle; Ceinture Volkorne; Corne de Torkélonia; Cape du Cœur Saignant; Bottes du Cœur Saignant; Dofus Ivoire; Dofus Turquoise; Dofus Ébène; Dofus Ocre; Dofus Pourpre; Dofus Vulbis; Bulbisou</t>
        </is>
      </c>
    </row>
    <row r="20017">
      <c r="A20017" t="inlineStr">
        <is>
          <t>Sacrieur M 200</t>
        </is>
      </c>
      <c r="B20017">
        <f>HYPERLINK("https://www.dofusbook.net/fr/equipement/5479395-sacrieur-m-200/objets", "link")</f>
        <v/>
      </c>
      <c r="C20017" t="n">
        <v>0</v>
      </c>
      <c r="D20017" t="inlineStr"/>
    </row>
    <row r="20018">
      <c r="A20018" t="inlineStr">
        <is>
          <t>Roublard M 200</t>
        </is>
      </c>
      <c r="B20018">
        <f>HYPERLINK("https://www.dofusbook.net/fr/equipement/5479392-roublard-m-200/objets", "link")</f>
        <v/>
      </c>
      <c r="C20018" t="n">
        <v>0</v>
      </c>
      <c r="D20018" t="inlineStr"/>
    </row>
    <row r="20019">
      <c r="A20019" t="inlineStr">
        <is>
          <t>Sram M 200</t>
        </is>
      </c>
      <c r="B20019">
        <f>HYPERLINK("https://www.dofusbook.net/fr/equipement/5479361-sram-m-200/objets", "link")</f>
        <v/>
      </c>
      <c r="C20019" t="n">
        <v>0</v>
      </c>
      <c r="D20019" t="inlineStr">
        <is>
          <t>Rapière aux Glyphes; Amulette de l'Œil Attentif; Bracelet des Fonds marins; Anneau Volkorne; Bouclier d'Ilyzaelle; Sangle Ouare; Némès de Tal Kasha; Cape Solution; Sandales de Tal Kasha; Dofus Pourpre; Dofus Turquoise; Remueur; Miraculé majeur; Chanceux majeur; Nomade; Kanigloups</t>
        </is>
      </c>
    </row>
    <row r="20020">
      <c r="A20020" t="inlineStr">
        <is>
          <t>Sram M 200</t>
        </is>
      </c>
      <c r="B20020">
        <f>HYPERLINK("https://www.dofusbook.net/fr/equipement/5479327-sram-m-200/objets", "link")</f>
        <v/>
      </c>
      <c r="C20020" t="n">
        <v>0</v>
      </c>
      <c r="D20020" t="inlineStr">
        <is>
          <t>Dagoulinantes; Amulette du Sinistrofu; Anneau Toriété; Anneau Volkorne; Bouclier d'Ilyzaelle; Ceinture en Grithril; Casque en Grithril; Cape Solution; Pataugastrique; Dofus Pourpre; Dofus Émeraude; Miraculé majeur; Remueur; Chanceux majeur; Nomade; Kanigloups</t>
        </is>
      </c>
    </row>
    <row r="20021">
      <c r="A20021" t="inlineStr">
        <is>
          <t>Sram M 200</t>
        </is>
      </c>
      <c r="B20021">
        <f>HYPERLINK("https://www.dofusbook.net/fr/equipement/5479280-sram-m-200/objets", "link")</f>
        <v/>
      </c>
      <c r="C20021" t="n">
        <v>0</v>
      </c>
      <c r="D20021" t="inlineStr">
        <is>
          <t>Pelle de Nidas; Amulette du Strigide; Grésilanneau; Bracelet du Piloztère; Bouclier du Stalak; Ceinture de la Reine des Voleurs; Coiffe de la Reine des Voleurs; Cape au Logis; Baleinabottes; Dofus Turquoise; Dofus Pourpre; Nomade; Observateur; Remueur; Vigoureux majeur; Kwaltess</t>
        </is>
      </c>
    </row>
    <row r="20022">
      <c r="A20022" t="inlineStr">
        <is>
          <t>Sram M 200</t>
        </is>
      </c>
      <c r="B20022">
        <f>HYPERLINK("https://www.dofusbook.net/fr/equipement/5479247-sram-m-200/objets", "link")</f>
        <v/>
      </c>
      <c r="C20022" t="n">
        <v>0</v>
      </c>
      <c r="D20022" t="inlineStr">
        <is>
          <t>Baguette de Torkélonia; Amulette du Strigide; Anneau Toriété; Crocanneau; Bouclier du Captain Amakna; Ceinture du Strigide; Corne de Torkélonia; Carapace de Torkélonia; Bottes du Strigide; Dofus Émeraude; Dofus Ocre; Dofus Pourpre; Dofus Nébuleux; Dofus Turquoise; Puissant majeur; Kokulte</t>
        </is>
      </c>
    </row>
    <row r="20023">
      <c r="A20023" t="inlineStr">
        <is>
          <t>Ouginak M 200</t>
        </is>
      </c>
      <c r="B20023">
        <f>HYPERLINK("https://www.dofusbook.net/fr/equipement/5478803-ouginak-m-200/objets", "link")</f>
        <v/>
      </c>
      <c r="C20023" t="n">
        <v>0</v>
      </c>
      <c r="D20023" t="inlineStr">
        <is>
          <t>Massier; Torquistik; Anneauræus; Anneauræus; Bouclier Taverne; Croture; Masque Ardent; Cape de Diondin; Bottistik; Dofus Abyssal; Dofus Ocre; Dofus Ivoire; Nomade; Culbuteur majeur; Bousculeur majeur; Scarakiri</t>
        </is>
      </c>
    </row>
    <row r="20024">
      <c r="A20024" t="inlineStr">
        <is>
          <t>Sadida M 200</t>
        </is>
      </c>
      <c r="B20024">
        <f>HYPERLINK("https://www.dofusbook.net/fr/equipement/5478755-sadida-m-200/objets", "link")</f>
        <v/>
      </c>
      <c r="C20024" t="n">
        <v>0</v>
      </c>
      <c r="D20024" t="inlineStr">
        <is>
          <t>Arc corrompu; Amulette Volkorne; Anneauræus; Chevalière du Roi Joueur; Bouclier cubiste; Croture; Heaume Oplate; Cape de Diondin; Bottes du Roi Joueur; Dofus Abyssal; Dofus Pourpre; Dofus Ébène; Temporiseur majeur; Nomade; Érudit majeur; Bisouglours</t>
        </is>
      </c>
    </row>
    <row r="20025">
      <c r="A20025" t="inlineStr">
        <is>
          <t>Sadida M 200</t>
        </is>
      </c>
      <c r="B20025">
        <f>HYPERLINK("https://www.dofusbook.net/fr/equipement/5478726-sadida-m-200/objets", "link")</f>
        <v/>
      </c>
      <c r="C20025" t="n">
        <v>0</v>
      </c>
      <c r="D20025" t="inlineStr">
        <is>
          <t>Arc Nécrotique; Collier Lunaire; Anneau de Pol Ouatnos; Anneau Lunaire; Bouclier cubiste; Ceintacé; Capuche de l'Œil Putride; Cape de l'Œil Putride; Bottes Lunaires; Dofus des Glaces; Dofus Abyssal; Dofus Ocre; Dofus Ébène; Dofus Pourpre; Entraveur majeur; Walk</t>
        </is>
      </c>
    </row>
    <row r="20026">
      <c r="A20026" t="inlineStr">
        <is>
          <t>Sadida M 200</t>
        </is>
      </c>
      <c r="B20026">
        <f>HYPERLINK("https://www.dofusbook.net/fr/equipement/5475252-sadida-m-200/objets", "link")</f>
        <v/>
      </c>
      <c r="C20026" t="n">
        <v>0</v>
      </c>
      <c r="D20026" t="inlineStr">
        <is>
          <t>Dagues Érhy; Collier Lunaire; Anneau Toriété; Crocanneau; Quatre-feuilles; Ceintacé; Corne de Torkélonia; Carapace de Torkélonia; Bottes du Kamasterisk; Dofus Turquoise; Dofus Pourpre; Temporiseur majeur; Remueur; Observateur; Nomade; Dragodinde Prune et Emeraude</t>
        </is>
      </c>
    </row>
    <row r="20027">
      <c r="A20027" t="inlineStr">
        <is>
          <t>Xélor F 200</t>
        </is>
      </c>
      <c r="B20027">
        <f>HYPERLINK("https://www.dofusbook.net/fr/equipement/5474939-xelor-f-200/objets", "link")</f>
        <v/>
      </c>
      <c r="C20027" t="n">
        <v>0</v>
      </c>
      <c r="D20027" t="inlineStr">
        <is>
          <t>Spatule Tranche-Gourmands; Amulette du Strigide; Anneau des égarés; Anneau Toriété; Bouclier du Captain Amakna; Ceintacé; Corne de Torkélonia; Carapace de Torkélonia; Bottes du Cycloïde; Dofus Pourpre; Dofus Turquoise; Dofus Ocre; Vigoureux majeur; Cascadeur majeur; Enragé majeur; Kokulte</t>
        </is>
      </c>
    </row>
    <row r="20028">
      <c r="A20028" t="inlineStr">
        <is>
          <t>Féca M 200</t>
        </is>
      </c>
      <c r="B20028">
        <f>HYPERLINK("https://www.dofusbook.net/fr/equipement/5425791-feca-m-200/objets", "link")</f>
        <v/>
      </c>
      <c r="C20028" t="n">
        <v>0</v>
      </c>
      <c r="D20028" t="inlineStr">
        <is>
          <t>Masse Ossiale; Collier Lunaire; Crocanneau; Anneau Lunaire; Bouclier cubiste; Ceinture de l'Esprit Salvateur; Masque de l'Esprit Salvateur; Voilamibe; Bottes Lunaires; Dofus Ivoire; Dofus Abyssal; Dofus des Glaces; Dofus Ocre; Dofus Pourpre; Robuste majeur; Koalak Sanguin</t>
        </is>
      </c>
    </row>
    <row r="20029">
      <c r="A20029" t="inlineStr">
        <is>
          <t>Crâ M 200</t>
        </is>
      </c>
      <c r="B20029">
        <f>HYPERLINK("https://www.dofusbook.net/fr/equipement/5423278-cra-m-200/objets", "link")</f>
        <v/>
      </c>
      <c r="C20029" t="n">
        <v>0</v>
      </c>
      <c r="D20029" t="inlineStr">
        <is>
          <t>Baguette des égarés; Collier Lunaire; Anneau Volkorne; Anneau Lunaire; Bouclier du Stalak; Ceinture Volkorne; Le Dorado; Voilamibe; Bottes Lunaires; Dofus Ivoire; Dofus des Glaces; Dofus Ocre; Dofus Pourpre; Paralyseur majeur; Entraveur majeur; Gwo Tofu Ventripotent</t>
        </is>
      </c>
    </row>
    <row r="20030">
      <c r="A20030" t="inlineStr">
        <is>
          <t>Sacrieur M 200</t>
        </is>
      </c>
      <c r="B20030">
        <f>HYPERLINK("https://www.dofusbook.net/fr/equipement/5423253-sacrieur-m-200/objets", "link")</f>
        <v/>
      </c>
      <c r="C20030" t="n">
        <v>0</v>
      </c>
      <c r="D20030" t="inlineStr">
        <is>
          <t>Baguette de Torkélonia; Amulette du Strigide; Anneau Volkorne; Crocanneau; Quatre-feuilles; Ceinture Volkorne; Casque Volkorne; Carapace de Torkélonia; Bottes du Strigide; Dofus Ébène; Dofus Turquoise; Dofus Abyssal; Dofus Ocre; Dofus des Glaces; Dofus Pourpre; Kokulte</t>
        </is>
      </c>
    </row>
    <row r="20031">
      <c r="A20031" t="inlineStr">
        <is>
          <t>Huppermage M 200</t>
        </is>
      </c>
      <c r="B20031">
        <f>HYPERLINK("https://www.dofusbook.net/fr/equipement/5423225-huppermage-m-200/objets", "link")</f>
        <v/>
      </c>
      <c r="C20031" t="n">
        <v>0</v>
      </c>
      <c r="D20031" t="inlineStr">
        <is>
          <t>Arc du Chalœil; Collier Lunaire; Anneau Volkorne; Anneau Lunaire; Bouclier du Stalak; Ceinture Volkorne; Casque Volkorne; Cape des Justiciers; Bottes Lunaires; Dofus Ocre; Dofus Ébène; Dofus des Glaces; Dofus Abyssal; Dofus Pourpre; Robuste majeur; Boskito</t>
        </is>
      </c>
    </row>
    <row r="20032">
      <c r="A20032" t="inlineStr">
        <is>
          <t>Sadida M 200</t>
        </is>
      </c>
      <c r="B20032">
        <f>HYPERLINK("https://www.dofusbook.net/fr/equipement/5423218-sadida-m-200/objets", "link")</f>
        <v/>
      </c>
      <c r="C20032" t="n">
        <v>0</v>
      </c>
      <c r="D20032" t="inlineStr">
        <is>
          <t>Baguette de Torkélonia; Amulette du Strigide; Bracelet du Piloztère; Anneau Toriété; Bouclier cubiste; Ceintacé; Corne de Torkélonia; Cape du Kamasterisk; Baleinabottes; Dofus Pourpre; Dofus Turquoise; Remueur; Temporiseur majeur; Vigoureux majeur; Nomade; Pioute rose</t>
        </is>
      </c>
    </row>
    <row r="20033">
      <c r="A20033" t="inlineStr">
        <is>
          <t>Xélor M 200</t>
        </is>
      </c>
      <c r="B20033">
        <f>HYPERLINK("https://www.dofusbook.net/fr/equipement/5423146-xelor-m-200/objets", "link")</f>
        <v/>
      </c>
      <c r="C20033" t="n">
        <v>0</v>
      </c>
      <c r="D20033" t="inlineStr">
        <is>
          <t>Baguette de Torkélonia; Amulette du Strigide; Bague Gloursonne; Alliance Gloursonne; Quatre-feuilles; Ceinture du Strigide; Corne de Torkélonia; Carapace de Torkélonia; Bottes du Strigide; Dofus Ivoire; Dofus Ocre; Dofus Abyssal; Dofus Pourpre; Dofus Ébène; Dofus Turquoise; Kokulte</t>
        </is>
      </c>
    </row>
    <row r="20034">
      <c r="A20034" t="inlineStr">
        <is>
          <t>Xélor M 200</t>
        </is>
      </c>
      <c r="B20034">
        <f>HYPERLINK("https://www.dofusbook.net/fr/equipement/5423145-xelor-m-200/objets", "link")</f>
        <v/>
      </c>
      <c r="C20034" t="n">
        <v>0</v>
      </c>
      <c r="D20034" t="inlineStr"/>
    </row>
    <row r="20035">
      <c r="A20035" t="inlineStr">
        <is>
          <t>Sacrieur M 200</t>
        </is>
      </c>
      <c r="B20035">
        <f>HYPERLINK("https://www.dofusbook.net/fr/equipement/5423135-sacrieur-m-200/objets", "link")</f>
        <v/>
      </c>
      <c r="C20035" t="n">
        <v>0</v>
      </c>
      <c r="D20035" t="inlineStr">
        <is>
          <t>Baguette de Torkélonia; Amulette du Strigide; Anneau des égarés; Alliance Brûlâme; Bouclier d'Ilyzaelle; Ceinture Volkorne; Corne de Torkélonia; Cape au Logis; Baleinabottes; Dofus Pourpre; Dofus Émeraude; Dofus Turquoise; Enragé majeur; Nomade; Remueur; Bulbisou</t>
        </is>
      </c>
    </row>
    <row r="20036">
      <c r="A20036" t="inlineStr">
        <is>
          <t>Sacrieur M 200</t>
        </is>
      </c>
      <c r="B20036">
        <f>HYPERLINK("https://www.dofusbook.net/fr/equipement/5412922-sacrieur-m-200/objets", "link")</f>
        <v/>
      </c>
      <c r="C20036" t="n">
        <v>0</v>
      </c>
      <c r="D20036" t="inlineStr">
        <is>
          <t>Arc corrompu; Amulette Volkorne; Anneauræus; Anneau Toriété; Trompe-la-Mort; Croture; Heaume Oplate; Voile d'encre; Pataugastrique; Dofus Ivoire; Dofus Argenté; Dofus Émeraude; Dofus Abyssal; Dofus Pourpre; Érudit majeur; Bisouglours</t>
        </is>
      </c>
    </row>
    <row r="20037">
      <c r="A20037" t="inlineStr">
        <is>
          <t>Xélor M 200</t>
        </is>
      </c>
      <c r="B20037">
        <f>HYPERLINK("https://www.dofusbook.net/fr/equipement/5324063-xelor-m-200/objets", "link")</f>
        <v/>
      </c>
      <c r="C20037" t="n">
        <v>3</v>
      </c>
      <c r="D20037" t="inlineStr">
        <is>
          <t>Arc corrompu; Amulette Volkorne; Anneau Tique; Anneauræus; Quatre-feuilles; Ceinture Volkorne; Heaume Oplate; Voile d'encre; Bottes Honyme; Dofus Nébuleux; Dofus Turquoise; Dofus Ébène; Dofus Pourpre; Nomade; Érudit majeur; Bisouglours</t>
        </is>
      </c>
    </row>
    <row r="20038">
      <c r="A20038" t="inlineStr">
        <is>
          <t>Iop eau ré pa</t>
        </is>
      </c>
      <c r="B20038">
        <f>HYPERLINK("https://www.dofusbook.net/fr/equipement/5317177-iop-eau-re-pa/objets", "link")</f>
        <v/>
      </c>
      <c r="C20038" t="n">
        <v>0</v>
      </c>
      <c r="D20038" t="inlineStr">
        <is>
          <t>Rapière aux Glyphes; Amulette de l'Œil Attentif; Anneau Volkorne; Bracelet des Fonds marins; Bouclier précieux; Ceinture de Dame Jhessica; Kidibonnet; Cape de l'Œil Attentif; Sandales Circulaires du Kimbo; Dofus Ivoire; Dofus Vulbis; Dofus Abyssal; Dofus Ocre; Dofus Émeraude; Obstructeur majeur; Dragodinde Amande et Indigo</t>
        </is>
      </c>
    </row>
    <row r="20039">
      <c r="A20039" t="inlineStr">
        <is>
          <t>Iop M 200</t>
        </is>
      </c>
      <c r="B20039">
        <f>HYPERLINK("https://www.dofusbook.net/fr/equipement/5317134-iop-m-200/objets", "link")</f>
        <v/>
      </c>
      <c r="C20039" t="n">
        <v>0</v>
      </c>
      <c r="D20039" t="inlineStr">
        <is>
          <t>Baguette Héroclite; Talisman Glouti; Bracelet des Fonds marins; Anneau Volkorne; Bouclier précieux; Ceinture de Dame Jhessica; Kidibonnet; Cape Paztek; Sandales des Fonds marins; Dofus Ocre; Dofus Émeraude; Dofus Ivoire; Dofus Vulbis; Dofus Abyssal; Chanceux majeur; Dragodinde Amande et Indigo</t>
        </is>
      </c>
    </row>
    <row r="20040">
      <c r="A20040" t="inlineStr">
        <is>
          <t>Iop M 200</t>
        </is>
      </c>
      <c r="B20040">
        <f>HYPERLINK("https://www.dofusbook.net/fr/equipement/5208766-iop-m-200/objets", "link")</f>
        <v/>
      </c>
      <c r="C20040" t="n">
        <v>2</v>
      </c>
      <c r="D20040" t="inlineStr">
        <is>
          <t>Sceptre du Roi Joueur; Amulette de l'Œil Attentif; Bracelet des Fonds marins; Anneau Volkorne; Bouclier précieux; Ceinture de Dame Jhessica; Masque des Fonds marins; Cape Solution; Pataugastrique; Dofus Ivoire; Dofus Vulbis; Dofus Abyssal; Dofus Émeraude; Miraculé majeur; Obstructeur majeur; Kanigloups</t>
        </is>
      </c>
    </row>
    <row r="20041">
      <c r="A20041" t="inlineStr">
        <is>
          <t>Xélor F 200</t>
        </is>
      </c>
      <c r="B20041">
        <f>HYPERLINK("https://www.dofusbook.net/fr/equipement/5304474-xelor-f-200/objets", "link")</f>
        <v/>
      </c>
      <c r="C20041" t="n">
        <v>0</v>
      </c>
      <c r="D20041" t="inlineStr">
        <is>
          <t>Hache du Chalœil; Amulette Volkorne; Grésilanneau; Anneau Volkorne; Bouclier du Stalak; Ceinture Volkorne; Casque du Chalœil; Cape du Chalœil; Bottes du Chalœil; Dolmanax; Dofus Ocre; Dofus Ébène; Dofus Pourpre; Dofus Turquoise; Dofus Nébuleux; Fëanor</t>
        </is>
      </c>
    </row>
    <row r="20042">
      <c r="A20042" t="inlineStr">
        <is>
          <t>Xélor F 200</t>
        </is>
      </c>
      <c r="B20042">
        <f>HYPERLINK("https://www.dofusbook.net/fr/equipement/5297850-xelor-f-200/objets", "link")</f>
        <v/>
      </c>
      <c r="C20042" t="n">
        <v>0</v>
      </c>
      <c r="D20042" t="inlineStr">
        <is>
          <t>Marteau des égarés; Amulette de l'Indicible; Alliance Brûlâme; Alliance Gloursonne; Bouclier du Stalak; Ceinture de l'Esprit Salvateur; Le Dorado; Dofusteuse; Bottes de l'Indicible; Dofus Nébuleux; Dofus Ocre; Dofus Ébène; Dofus Pourpre; Remueur; Nomade; Dragodinde Ivoire et Orchidée</t>
        </is>
      </c>
    </row>
    <row r="20043">
      <c r="A20043" t="inlineStr">
        <is>
          <t>Xélor F 200</t>
        </is>
      </c>
      <c r="B20043">
        <f>HYPERLINK("https://www.dofusbook.net/fr/equipement/5297828-xelor-f-200/objets", "link")</f>
        <v/>
      </c>
      <c r="C20043" t="n">
        <v>0</v>
      </c>
      <c r="D20043" t="inlineStr">
        <is>
          <t>Arc corrompu; Pendentif affamé; Anneauræus; Anneau Toriété; Quatre-feuilles; Ceinture Séculaire; Coiffe Séculaire; Voile d'encre; Pataugastrique; Dofus Turquoise; Dofus Pourpre; Dofus Ocre; Dofus Ébène; Observateur; Érudit majeur; Dragodinde Ivoire et Orchidée</t>
        </is>
      </c>
    </row>
    <row r="20044">
      <c r="A20044" t="inlineStr">
        <is>
          <t>Iop M 200</t>
        </is>
      </c>
      <c r="B20044">
        <f>HYPERLINK("https://www.dofusbook.net/fr/equipement/5288004-iop-m-200/objets", "link")</f>
        <v/>
      </c>
      <c r="C20044" t="n">
        <v>0</v>
      </c>
      <c r="D20044" t="inlineStr">
        <is>
          <t>Marteau des Anciens Steamers; Amulette Voldelor; Anneau Volkorne; Alliance Gloursonne; Quatre-feuilles; Ceintacé; Casque Volkorne; Cape Matelassée; Sandales de Tal Kasha; Dofus Turquoise; Dofus Pourpre; Remueur; Cascadeur majeur; Vigoureux majeur; Nomade; Kokulte</t>
        </is>
      </c>
    </row>
    <row r="20045">
      <c r="A20045" t="inlineStr">
        <is>
          <t>Xélor F 200</t>
        </is>
      </c>
      <c r="B20045">
        <f>HYPERLINK("https://www.dofusbook.net/fr/equipement/5287738-xelor-f-200/objets", "link")</f>
        <v/>
      </c>
      <c r="C20045" t="n">
        <v>0</v>
      </c>
      <c r="D20045" t="inlineStr">
        <is>
          <t>Hache du Chalœil; Amulette Volkorne; Grésilanneau; Anneau Volkorne; Bouclier d'Ilyzaelle; Ceinture Volkorne; Casque du Chalœil; Cape du Chalœil; Bottes du Chalœil; Dofus Abyssal; Dofus Turquoise; Dofus Ébène; Dofus Ocre; Dofus Nébuleux; Dofus Pourpre; Fëanor</t>
        </is>
      </c>
    </row>
    <row r="20046">
      <c r="A20046" t="inlineStr">
        <is>
          <t>Zobal M 200</t>
        </is>
      </c>
      <c r="B20046">
        <f>HYPERLINK("https://www.dofusbook.net/fr/equipement/5284033-zobal-m-200/objets", "link")</f>
        <v/>
      </c>
      <c r="C20046" t="n">
        <v>3</v>
      </c>
      <c r="D20046" t="inlineStr">
        <is>
          <t>Epée Toche; Amulette Volcanique; Bracelet du Piloztère; Bague Gloursonne; Bouclier cubiste; Ceintacé; Masque de Koutoulou; Voile d'encre; Sabots Volcaniques; Dofus Pourpre; Dofus des Glaces; Dofus Turquoise; Remueur; Temporiseur majeur; Nomade; Phortiche</t>
        </is>
      </c>
    </row>
    <row r="20047">
      <c r="A20047" t="inlineStr">
        <is>
          <t>Sadida M 200</t>
        </is>
      </c>
      <c r="B20047">
        <f>HYPERLINK("https://www.dofusbook.net/fr/equipement/5283982-sadida-m-200/objets", "link")</f>
        <v/>
      </c>
      <c r="C20047" t="n">
        <v>2</v>
      </c>
      <c r="D20047" t="inlineStr">
        <is>
          <t>Plumeau Bil; Amulette d'Otomaï; Anneau Tamie; Anneau Tamie; Bouclier du Cycloïde; Ceinture Séculaire; Coiffe Séculaire; Voile d'encre; Pataugastrique; Entraveur majeur; Nomade; Temporiseur majeur; Remueur; Guérisseur majeur; Érudit majeur; Bisouglours</t>
        </is>
      </c>
    </row>
    <row r="20048">
      <c r="A20048" t="inlineStr">
        <is>
          <t>Iop M 200</t>
        </is>
      </c>
      <c r="B20048">
        <f>HYPERLINK("https://www.dofusbook.net/fr/equipement/5283890-iop-m-200/objets", "link")</f>
        <v/>
      </c>
      <c r="C20048" t="n">
        <v>0</v>
      </c>
      <c r="D20048" t="inlineStr">
        <is>
          <t>Marteau Phossile; Amulette Martegel; Anneau du Cycloïde; Anneau Toriété; Bouclier des Chocomanciens; Ceinture des Chocomanciens; Masquegel; Cape Martegel; Bottes du Cycloïde; Dofus des Glaces; Dofus Ivoire; Dolmanax; Dofus Pourpre; Dofus Abyssal; Dofus Ocre; Gwo Tofu Ventripotent</t>
        </is>
      </c>
    </row>
    <row r="20049">
      <c r="A20049" t="inlineStr">
        <is>
          <t>Sadida M 200</t>
        </is>
      </c>
      <c r="B20049">
        <f>HYPERLINK("https://www.dofusbook.net/fr/equipement/5283870-sadida-m-200/objets", "link")</f>
        <v/>
      </c>
      <c r="C20049" t="n">
        <v>2</v>
      </c>
      <c r="D20049" t="inlineStr">
        <is>
          <t>Pelle de Nidas; Kralamansion; Bracelet du Piloztère; Anneau Toriété; Quatre-feuilles; Ceinture Volkorne; Casque Volkorne; Cape du Kamasterisk; Baleinabottes; Dofus Pourpre; Dofus Turquoise; Vigoureux majeur; Temporiseur majeur; Nomade; Remueur; Gwo Tofu Ventripotent</t>
        </is>
      </c>
    </row>
    <row r="20050">
      <c r="A20050" t="inlineStr">
        <is>
          <t>Xélor F 200</t>
        </is>
      </c>
      <c r="B20050">
        <f>HYPERLINK("https://www.dofusbook.net/fr/equipement/5278347-xelor-f-200/objets", "link")</f>
        <v/>
      </c>
      <c r="C20050" t="n">
        <v>0</v>
      </c>
      <c r="D20050" t="inlineStr">
        <is>
          <t>Rapière aux Glyphes; Amulette de Danathor; Alliance Gloursonne; Bracelet des Fonds marins; Cadran d'Air; Ceinture Glaciale; Masque des Fonds marins; Cape de Léthaline; Bottes du Nocturlabe; Dofus Ocre; Dofus Ivoire; Muraille Air majeure; Nomade; Carapace Air majeur; Remueur; Tiwabbit Kiafin</t>
        </is>
      </c>
    </row>
    <row r="20051">
      <c r="A20051" t="inlineStr">
        <is>
          <t>Xélor F 200</t>
        </is>
      </c>
      <c r="B20051">
        <f>HYPERLINK("https://www.dofusbook.net/fr/equipement/5274926-xelor-f-200/objets", "link")</f>
        <v/>
      </c>
      <c r="C20051" t="n">
        <v>0</v>
      </c>
      <c r="D20051" t="inlineStr">
        <is>
          <t>Arc Volkorne; Amulette Volkorne; Anneau Volkorne; Grésilanneau; Bouclier du Stalak; Ceinture de l'Esprit Salvateur; Masque de l'Esprit Salvateur; Cape de Jahash Jurgen; Bottes de l'Esprit Salvateur; Dofus Pourpre; Dofus Ocre; Dofus des Glaces; Dolmanax; Dofus Nébuleux; Robuste majeur; Fëanor</t>
        </is>
      </c>
    </row>
    <row r="20052">
      <c r="A20052" t="inlineStr">
        <is>
          <t>Xélor F 200</t>
        </is>
      </c>
      <c r="B20052">
        <f>HYPERLINK("https://www.dofusbook.net/fr/equipement/5274870-xelor-f-200/objets", "link")</f>
        <v/>
      </c>
      <c r="C20052" t="n">
        <v>0</v>
      </c>
      <c r="D20052" t="inlineStr">
        <is>
          <t>Epée Toche; Amulette Volkorne; Bague Gloursonne; Chevalière du Roi Joueur; Quatre-feuilles; Ceinture Volkorne; Chapeau de Gein; Voile d'encre; Bottes Honyme; Dofus Turquoise; Dofus Pourpre; Dofus Ocre; Vigoureux majeur; Nomade; Miraculé majeur; Kokulte</t>
        </is>
      </c>
    </row>
    <row r="20053">
      <c r="A20053" t="inlineStr">
        <is>
          <t>Dégats distance</t>
        </is>
      </c>
      <c r="B20053">
        <f>HYPERLINK("https://www.dofusbook.net/fr/equipement/5264103-degats-distance/objets", "link")</f>
        <v/>
      </c>
      <c r="C20053" t="n">
        <v>4</v>
      </c>
      <c r="D20053" t="inlineStr">
        <is>
          <t>Rapière aux Glyphes; Amulette de Shokkoth; Anneau Toriété; Bracelet des Fonds marins; Quatre-feuilles; Ceintacé; Masque des Fonds marins; Cape Solution; Bottes du Sinistrofu; Dofus Pourpre; Dofus Turquoise; Nomade; Remueur; Observateur; Chanceux majeur; Dragodinde Amande et Indigo</t>
        </is>
      </c>
    </row>
    <row r="20054">
      <c r="A20054" t="inlineStr">
        <is>
          <t>Utilitaire</t>
        </is>
      </c>
      <c r="B20054">
        <f>HYPERLINK("https://www.dofusbook.net/fr/equipement/5262491-utilitaire/objets", "link")</f>
        <v/>
      </c>
      <c r="C20054" t="n">
        <v>8</v>
      </c>
      <c r="D20054" t="inlineStr">
        <is>
          <t>Rouleau à Pâtisserie d'Aermyne; Collier Rophante; Bracelet du Minotoboule; Bracelet du Minotoboule; Sept ans de malheur; Ceintacé; Masque d'Anerice; Cape d'Anerice; Baleinabottes; Dofus Émeraude; Remueur; Obstructeur majeur; Fonceur majeur; Nomade; Miraculé majeur; Dragodinde Amande et Dorée</t>
        </is>
      </c>
    </row>
    <row r="20055">
      <c r="A20055" t="inlineStr">
        <is>
          <t>Pandawa M 200</t>
        </is>
      </c>
      <c r="B20055">
        <f>HYPERLINK("https://www.dofusbook.net/fr/equipement/5263111-pandawa-m-200/objets", "link")</f>
        <v/>
      </c>
      <c r="C20055" t="n">
        <v>3</v>
      </c>
      <c r="D20055" t="inlineStr">
        <is>
          <t>Épée Brûlâme; Amulette du Strigide; Bracelet du Piloztère; Anneau de Padgref; Quatre-feuilles; Ceinture du Strigide; Casque Dragoeuf; Cape Solution; Pataugastrique; Dofus Pourpre; Dofus Turquoise; Remueur; Carapace Feu majeur; Vigoureux majeur; Nomade; Pioute rose</t>
        </is>
      </c>
    </row>
    <row r="20056">
      <c r="A20056" t="inlineStr">
        <is>
          <t>Pandawa M 200</t>
        </is>
      </c>
      <c r="B20056">
        <f>HYPERLINK("https://www.dofusbook.net/fr/equipement/5262348-pandawa-m-200/objets", "link")</f>
        <v/>
      </c>
      <c r="C20056" t="n">
        <v>3</v>
      </c>
      <c r="D20056" t="inlineStr">
        <is>
          <t>Pelle de Katrepat; Amulette Volkorne; Bracelet du Piloztère; Anneau Volkorne; Quatre-feuilles; Ceintacé; Le Dorado; Cape de la Dame du Hasard; Bottes de Meno; Dofus Pourpre; Dofus Turquoise; Vigoureux majeur; Carapace Terre majeur; Nomade; Remueur; Muldo Ebène et Orchidée</t>
        </is>
      </c>
    </row>
    <row r="20057">
      <c r="A20057" t="inlineStr">
        <is>
          <t>Féca M 200</t>
        </is>
      </c>
      <c r="B20057">
        <f>HYPERLINK("https://www.dofusbook.net/fr/equipement/5256899-feca-m-200/objets", "link")</f>
        <v/>
      </c>
      <c r="C20057" t="n">
        <v>3</v>
      </c>
      <c r="D20057" t="inlineStr">
        <is>
          <t>Pelle de Nidas; Amulette du Kamasterisk; Alliance Brûlâme; Anneau Volkorne; Quatre-feuilles; Ceinture Volkorne; Casque Volkorne; Cape du Kamasterisk; Bottes du Kamasterisk; Dofus Nébuleux; Dofus Turquoise; Dolmanax; Dofus Ocre; Dofus Abyssal; Dofus Pourpre; Gwo Tofu Ventripotent</t>
        </is>
      </c>
    </row>
    <row r="20058">
      <c r="A20058" t="inlineStr">
        <is>
          <t>Sadida M 200</t>
        </is>
      </c>
      <c r="B20058">
        <f>HYPERLINK("https://www.dofusbook.net/fr/equipement/5220141-sadida-m-200/objets", "link")</f>
        <v/>
      </c>
      <c r="C20058" t="n">
        <v>1</v>
      </c>
      <c r="D20058" t="inlineStr">
        <is>
          <t>Hachoirs de Viandargh; Collier du Valet Veinard; Anneau d'Allister; Alliance Gloursonne; Bouclier du Stalak; Menoture; Couronne d'Allister; Capibou; Baleinabottes; Dofus Pourpre; Observateur; Remueur; Temporiseur majeur; Nomade; Cascadeur majeur; Gwo Tofu Ventripotent</t>
        </is>
      </c>
    </row>
    <row r="20059">
      <c r="A20059" t="inlineStr">
        <is>
          <t>Xélor M 200</t>
        </is>
      </c>
      <c r="B20059">
        <f>HYPERLINK("https://www.dofusbook.net/fr/equipement/5255075-xelor-m-200/objets", "link")</f>
        <v/>
      </c>
      <c r="C20059" t="n">
        <v>0</v>
      </c>
      <c r="D20059" t="inlineStr"/>
    </row>
    <row r="20060">
      <c r="A20060" t="inlineStr">
        <is>
          <t>Xélor F 200</t>
        </is>
      </c>
      <c r="B20060">
        <f>HYPERLINK("https://www.dofusbook.net/fr/equipement/5255035-xelor-f-200/objets", "link")</f>
        <v/>
      </c>
      <c r="C20060" t="n">
        <v>0</v>
      </c>
      <c r="D20060" t="inlineStr">
        <is>
          <t>Dagoulinantes; Amulette de Shokkoth; Anneau Volkorne; Anneau Toriété; Quatre-feuilles; Culotte de Bethel; Némès de Tal Kasha; Cape Solution; Sandales de Tal Kasha; Dofus Pourpre; Dofus Ocre; Dofus Turquoise; Étourdisseur majeur; Nomade; Chanceux majeur; Dragodinde Emeraude et Indigo</t>
        </is>
      </c>
    </row>
    <row r="20061">
      <c r="A20061" t="inlineStr">
        <is>
          <t>Iop M 200</t>
        </is>
      </c>
      <c r="B20061">
        <f>HYPERLINK("https://www.dofusbook.net/fr/equipement/5253089-iop-m-200/objets", "link")</f>
        <v/>
      </c>
      <c r="C20061" t="n">
        <v>0</v>
      </c>
      <c r="D20061" t="inlineStr">
        <is>
          <t>Épée du Granduk; Amulette du Granduk; Anneau de Padgref; Anneau Volkorne; Bouclier du Captain Amakna; Ceinture du Barbétoal; Casque Volkorne; Cape du Barbétoal; Getas de Padgref</t>
        </is>
      </c>
    </row>
    <row r="20062">
      <c r="A20062" t="inlineStr">
        <is>
          <t>Iop M 200</t>
        </is>
      </c>
      <c r="B20062">
        <f>HYPERLINK("https://www.dofusbook.net/fr/equipement/5252955-iop-m-200/objets", "link")</f>
        <v/>
      </c>
      <c r="C20062" t="n">
        <v>0</v>
      </c>
      <c r="D20062" t="inlineStr">
        <is>
          <t>Sabres d'Atcham; Amulette du Strigide; Alliance de Missiz Frizz; Anneau de Padgref; Bouclier du Captain Amakna; Ceinture du Strigide; Coiffe de Padgref; Cape d'Atcham; Getas de Padgref; Dolmanax; Dofus Ocre; Dofus Ébène; Dofus Turquoise; Dofus des Glaces; Dofus Pourpre; Kokulte</t>
        </is>
      </c>
    </row>
    <row r="20063">
      <c r="A20063" t="inlineStr">
        <is>
          <t>Xélor M 200</t>
        </is>
      </c>
      <c r="B20063">
        <f>HYPERLINK("https://www.dofusbook.net/fr/equipement/5243131-xelor-m-200/objets", "link")</f>
        <v/>
      </c>
      <c r="C20063" t="n">
        <v>1</v>
      </c>
      <c r="D20063" t="inlineStr">
        <is>
          <t>Amulette du Cœur Saignant; Anneau du Comte Harebourg; Anneau Volkorne; Quatre-feuilles; Ceinture Volkorne; Coiffe du Comte Harebourg; Cape du Cœur Saignant; Bottes du Cœur Saignant; Dofus Ébène; Dofus Turquoise; Dofus Abyssal; Dofus Pourpre; Dofus Ocre; Dofus Nébuleux; Bulbisou</t>
        </is>
      </c>
    </row>
    <row r="20064">
      <c r="A20064" t="inlineStr">
        <is>
          <t>Xélor M 200</t>
        </is>
      </c>
      <c r="B20064">
        <f>HYPERLINK("https://www.dofusbook.net/fr/equipement/5243110-xelor-m-200/objets", "link")</f>
        <v/>
      </c>
      <c r="C20064" t="n">
        <v>2</v>
      </c>
      <c r="D20064" t="inlineStr">
        <is>
          <t>Arc corrompu; Amulette Volkorne; Anneauræus; Anneauræus; Bouclier du Stalak; Ceinture Volkorne; Masque Ardent; Cape Ardente; Chaussures Ardentes; Dofus Ébène; Dofus Vulbis; Dofus Ivoire; Dofus Ocre; Dofus Abyssal; Dofus Pourpre; Bisouglours</t>
        </is>
      </c>
    </row>
    <row r="20065">
      <c r="A20065" t="inlineStr">
        <is>
          <t>Iop M 200</t>
        </is>
      </c>
      <c r="B20065">
        <f>HYPERLINK("https://www.dofusbook.net/fr/equipement/5242268-iop-m-200/objets", "link")</f>
        <v/>
      </c>
      <c r="C20065" t="n">
        <v>0</v>
      </c>
      <c r="D20065" t="inlineStr">
        <is>
          <t>Épée du Granduk; Amulette du Granduk; Alliance Gloursonne; Anneau d'Allister; Cadran d'Air; Ceinture de Kongoku; Masque du Granduk; Cape de Kongoku; Bottes d'Allister; Dofus Pourpre; Dofus Ocre; Dofus Abyssal; Dofus Turquoise; Entraveur majeur; Equilibriste majeur; Gwo Tofu Ventripotent</t>
        </is>
      </c>
    </row>
    <row r="20066">
      <c r="A20066" t="inlineStr">
        <is>
          <t>Sacrieur M 200</t>
        </is>
      </c>
      <c r="B20066">
        <f>HYPERLINK("https://www.dofusbook.net/fr/equipement/5236699-sacrieur-m-200/objets", "link")</f>
        <v/>
      </c>
      <c r="C20066" t="n">
        <v>2</v>
      </c>
      <c r="D20066" t="inlineStr">
        <is>
          <t>Le Thanos; Amulette d'Ilyzaelle; Anneau de Padgref; Alliance Gloursonne; Carapar; Menoture; Casque d'Ilyzaelle; Cape des Malveilleurs; Sandales  d'Atcham; Robuste majeur; Nomade; Guérisseur majeur; Remueur; Vigoureux majeur; Érudit majeur; Bilby</t>
        </is>
      </c>
    </row>
    <row r="20067">
      <c r="A20067" t="inlineStr">
        <is>
          <t>Sadida M 200</t>
        </is>
      </c>
      <c r="B20067">
        <f>HYPERLINK("https://www.dofusbook.net/fr/equipement/5236620-sadida-m-200/objets", "link")</f>
        <v/>
      </c>
      <c r="C20067" t="n">
        <v>0</v>
      </c>
      <c r="D20067" t="inlineStr">
        <is>
          <t>Az'tech; Amulette d'Ilyzaelle; Alliance Gloursonne; Bague Gloursonne; Bouclier d'Ilyzaelle; Ceinture de l'Esprit Salvateur; Casque d'Ilyzaelle; Cape du Chalœil; Bottes de l'Esprit Salvateur; Dofus Abyssal; Dofus Pourpre; Dofus Ivoire; Dofus Ocre; Dofus des Glaces; Robuste majeur; Fëanor</t>
        </is>
      </c>
    </row>
    <row r="20068">
      <c r="A20068" t="inlineStr">
        <is>
          <t>Xélor M 200</t>
        </is>
      </c>
      <c r="B20068">
        <f>HYPERLINK("https://www.dofusbook.net/fr/equipement/5228789-xelor-m-200/objets", "link")</f>
        <v/>
      </c>
      <c r="C20068" t="n">
        <v>0</v>
      </c>
      <c r="D20068" t="inlineStr">
        <is>
          <t>Hache du Chalœil; Amulette Volkorne; Grésilanneau; Anneau Volkorne; Bouclier du Stalak; Ceinture Volkorne; Casque du Chalœil; Cape du Chalœil; Bottes du Chalœil; Dofus Ocre; Dofus Pourpre; Dofus Nébuleux; Dofus des Glaces; Puissant majeur; Robuste majeur; Fëanor</t>
        </is>
      </c>
    </row>
    <row r="20069">
      <c r="A20069" t="inlineStr">
        <is>
          <t>Iop M 200</t>
        </is>
      </c>
      <c r="B20069">
        <f>HYPERLINK("https://www.dofusbook.net/fr/equipement/5228674-iop-m-200/objets", "link")</f>
        <v/>
      </c>
      <c r="C20069" t="n">
        <v>0</v>
      </c>
      <c r="D20069" t="inlineStr">
        <is>
          <t>Dagoulinantes; Amulette de Shokkoth; Anneau Volkorne; Bracelet des Fonds marins; Bouclier d'Ilyzaelle; Ceinture Volkorne; Capuche de l'Œil Attentif; Cape de Mantaze; Pataugastrique; Dofus Pourpre; Dofus Émeraude; Remueur; Robuste majeur; Chanceux majeur; Nomade; Kanigloups</t>
        </is>
      </c>
    </row>
    <row r="20070">
      <c r="A20070" t="inlineStr">
        <is>
          <t>Iop M 200</t>
        </is>
      </c>
      <c r="B20070">
        <f>HYPERLINK("https://www.dofusbook.net/fr/equipement/5228527-iop-m-200/objets", "link")</f>
        <v/>
      </c>
      <c r="C20070" t="n">
        <v>0</v>
      </c>
      <c r="D20070" t="inlineStr">
        <is>
          <t>Sceptre du Roi Joueur; Amulette de l'Œil Attentif; Alliance Gloursonne; Bracelet des Fonds marins; Bouclier précieux; Ceinture de Dame Jhessica; Masque des Fonds marins; Cape du Sinistrofu; Pataugastrique; Dofus Émeraude; Dofus Abyssal; Nomade; Remueur; Obstructeur majeur; Chanceux majeur; Platypus</t>
        </is>
      </c>
    </row>
    <row r="20071">
      <c r="A20071" t="inlineStr">
        <is>
          <t>Steamer M 200</t>
        </is>
      </c>
      <c r="B20071">
        <f>HYPERLINK("https://www.dofusbook.net/fr/equipement/5218277-steamer-m-200/objets", "link")</f>
        <v/>
      </c>
      <c r="C20071" t="n">
        <v>0</v>
      </c>
      <c r="D20071" t="inlineStr">
        <is>
          <t>Arc Volkorne; Amulette du Strigide; Bracelet du Piloztère; Anneau de Padgref; Quatre-feuilles; Ceintacé; Maskrobe; Cape des Justiciers; Bottes du Strigide; Dolmanax; Dofus Turquoise; Dofus Pourpre; Vigoureux majeur; Nomade; Remueur; Dragodinde Emeraude et Ivoire</t>
        </is>
      </c>
    </row>
    <row r="20072">
      <c r="A20072" t="inlineStr">
        <is>
          <t>Sadida M 200</t>
        </is>
      </c>
      <c r="B20072">
        <f>HYPERLINK("https://www.dofusbook.net/fr/equipement/5218262-sadida-m-200/objets", "link")</f>
        <v/>
      </c>
      <c r="C20072" t="n">
        <v>0</v>
      </c>
      <c r="D20072" t="inlineStr"/>
    </row>
    <row r="20073">
      <c r="A20073" t="inlineStr">
        <is>
          <t>Eniripsa M 200</t>
        </is>
      </c>
      <c r="B20073">
        <f>HYPERLINK("https://www.dofusbook.net/fr/equipement/5218097-eniripsa-m-200/objets", "link")</f>
        <v/>
      </c>
      <c r="C20073" t="n">
        <v>1</v>
      </c>
      <c r="D20073" t="inlineStr">
        <is>
          <t>Arc corrompu; Amulette Volkorne; Anneauræus; Anneauræus; Bouclier du Cycloïde; Ceinture Volkorne; Heaume Oplate; Voile d'encre; Pataugastrique; Dofus Pourpre; Guérisseur majeur; Remueur; Érudit majeur; Carapace Feu majeur; Nomade; Bisouglours</t>
        </is>
      </c>
    </row>
    <row r="20074">
      <c r="A20074" t="inlineStr">
        <is>
          <t>Eniripsa M 200</t>
        </is>
      </c>
      <c r="B20074">
        <f>HYPERLINK("https://www.dofusbook.net/fr/equipement/5218048-eniripsa-m-200/objets", "link")</f>
        <v/>
      </c>
      <c r="C20074" t="n">
        <v>1</v>
      </c>
      <c r="D20074" t="inlineStr">
        <is>
          <t>Spatule Tranche-Gourmands; Amulette du Strigide; Bague Trithon; Anneau des égarés; Bouclier du Captain Amakna; Ceintacé; Masque Trithon; Cape au Logis; Baleinabottes; Dofus Pourpre; Dofus des Glaces; Dofus Turquoise; Nomade; Vigoureux majeur; Remueur; Kokulte</t>
        </is>
      </c>
    </row>
    <row r="20075">
      <c r="A20075" t="inlineStr">
        <is>
          <t>Iop M 200</t>
        </is>
      </c>
      <c r="B20075">
        <f>HYPERLINK("https://www.dofusbook.net/fr/equipement/5217925-iop-m-200/objets", "link")</f>
        <v/>
      </c>
      <c r="C20075" t="n">
        <v>0</v>
      </c>
      <c r="D20075" t="inlineStr">
        <is>
          <t>Épée du Granduk; Amulette du Granduk; Anneau de Padgref; Anneau de XLII; Quatre-feuilles; Ceinture de XLII; Masque du Granduk; Cape Indescriptible; Bottes de XLII; Dofus Émeraude; Dofus Turquoise; Dofus Nébuleux; Dofus Pourpre; Dofus des Glaces; Dofus Ocre; Blérodoudou</t>
        </is>
      </c>
    </row>
    <row r="20076">
      <c r="A20076" t="inlineStr">
        <is>
          <t>Sadida M 200</t>
        </is>
      </c>
      <c r="B20076">
        <f>HYPERLINK("https://www.dofusbook.net/fr/equipement/5211595-sadida-m-200/objets", "link")</f>
        <v/>
      </c>
      <c r="C20076" t="n">
        <v>0</v>
      </c>
      <c r="D20076" t="inlineStr">
        <is>
          <t>Hachoirs de Viandargh; Collier du Valet Veinard; Gant du Valet Veinard; Anneau Toriété; Bouclier du Stalak; Menoture; Couronne d'Allister; Capibou; Pantoufles Émar; Dofus Pourpre; Observateur; Cascadeur majeur; Nomade; Temporiseur majeur; Remueur; Gwo Tofu Ventripotent</t>
        </is>
      </c>
    </row>
    <row r="20077">
      <c r="A20077" t="inlineStr">
        <is>
          <t>Xélor M 200</t>
        </is>
      </c>
      <c r="B20077">
        <f>HYPERLINK("https://www.dofusbook.net/fr/equipement/5206383-xelor-m-200/objets", "link")</f>
        <v/>
      </c>
      <c r="C20077" t="n">
        <v>0</v>
      </c>
      <c r="D20077" t="inlineStr">
        <is>
          <t>Cape de Jahash Jurgen</t>
        </is>
      </c>
    </row>
    <row r="20078">
      <c r="A20078" t="inlineStr">
        <is>
          <t>Prospecman</t>
        </is>
      </c>
      <c r="B20078">
        <f>HYPERLINK("https://www.dofusbook.net/fr/equipement/5205250-prospecman/objets", "link")</f>
        <v/>
      </c>
      <c r="C20078" t="n">
        <v>0</v>
      </c>
      <c r="D20078" t="inlineStr">
        <is>
          <t>Pelle Fik; Kralamansion; Anneau Bliteré; Anneau Kturne; Bouclier Taverne; Ceinture de Danathor; Coiffe de Danathor; Cape Solution; Bottines des sous-bois; Dofus Kaliptus; Joueur majeur; Nomade; Taquin majeur; Remueur; Chanceux majeur; Bloalak</t>
        </is>
      </c>
    </row>
    <row r="20079">
      <c r="A20079" t="inlineStr">
        <is>
          <t>Zobal M 200</t>
        </is>
      </c>
      <c r="B20079">
        <f>HYPERLINK("https://www.dofusbook.net/fr/equipement/5202253-zobal-m-200/objets", "link")</f>
        <v/>
      </c>
      <c r="C20079" t="n">
        <v>0</v>
      </c>
      <c r="D20079" t="inlineStr">
        <is>
          <t>Épée Brûlâme; Amulette du Strigide; Pikano; Bague Gloursonne; Bouclier du Stalak; Ceintacé; Le Dorado; Cape au Logis; Bottes du Strigide; Dofus Pourpre; Dofus Turquoise; Nomade; Remueur; Observateur; Temporiseur majeur; Gwo Tofu Ventripotent</t>
        </is>
      </c>
    </row>
    <row r="20080">
      <c r="A20080" t="inlineStr">
        <is>
          <t>Ouginak M 200</t>
        </is>
      </c>
      <c r="B20080">
        <f>HYPERLINK("https://www.dofusbook.net/fr/equipement/5197353-ouginak-m-200/objets", "link")</f>
        <v/>
      </c>
      <c r="C20080" t="n">
        <v>0</v>
      </c>
      <c r="D20080" t="inlineStr">
        <is>
          <t>Épouvante; Amulette Volkorne; Bague Trithon; Anneau Volkorne; Bouclier du Captain Amakna; Ceinture Volkorne; Masque Trithon; Cape Ovri; Bottes Trithon; Dolmanax; Dofus Turquoise; Dofus Ébène; Dofus Ocre; Dofus des Glaces; Dofus Pourpre; Bébé Pandawa</t>
        </is>
      </c>
    </row>
    <row r="20081">
      <c r="A20081" t="inlineStr">
        <is>
          <t>Sadida M 200</t>
        </is>
      </c>
      <c r="B20081">
        <f>HYPERLINK("https://www.dofusbook.net/fr/equipement/5196551-sadida-m-200/objets", "link")</f>
        <v/>
      </c>
      <c r="C20081" t="n">
        <v>0</v>
      </c>
      <c r="D20081" t="inlineStr">
        <is>
          <t>Épée du Granduk; Amulette du Granduk; Alliance Gloursonne; Anneau de Padgref; Bouclier cubiste; Ceinture Rasboulaire du Rasboul; Couronne d'Allister; Cape de Klime; Pantoufles Émar; Dofus Pourpre; Entraveur majeur; Remueur; Cascadeur majeur; Temporiseur majeur; Nomade; Dragodinde Ebène</t>
        </is>
      </c>
    </row>
    <row r="20082">
      <c r="A20082" t="inlineStr">
        <is>
          <t>Sadida M 200</t>
        </is>
      </c>
      <c r="B20082">
        <f>HYPERLINK("https://www.dofusbook.net/fr/equipement/5194628-sadida-m-200/objets", "link")</f>
        <v/>
      </c>
      <c r="C20082" t="n">
        <v>1</v>
      </c>
      <c r="D20082" t="inlineStr">
        <is>
          <t>Manthache; Amibou; Gant du Valet Veinard; Anneau d'Allister; Bouclier cubiste; Menoture; Couronne d'Allister; Cape Indescriptible; Baleinabottes; Nomade; Entraveur majeur; Remueur; Cascadeur majeur; Carapace Air majeur; Temporiseur majeur; Blérodoudou</t>
        </is>
      </c>
    </row>
    <row r="20083">
      <c r="A20083" t="inlineStr">
        <is>
          <t>Sadida M 200</t>
        </is>
      </c>
      <c r="B20083">
        <f>HYPERLINK("https://www.dofusbook.net/fr/equipement/5194523-sadida-m-200/objets", "link")</f>
        <v/>
      </c>
      <c r="C20083" t="n">
        <v>0</v>
      </c>
      <c r="D20083" t="inlineStr">
        <is>
          <t>Lance Horselé; Amibou; Gant du Valet Veinard; Anneau d'Allister; Quatre-feuilles; Menoture; Chapeau de Tournoyé; Capibou; Bottes du Kamasterisk; Dofus Turquoise; Nomade; Entraveur majeur; Remueur; Temporiseur majeur; Cascadeur majeur; Blérodoudou</t>
        </is>
      </c>
    </row>
    <row r="20084">
      <c r="A20084" t="inlineStr">
        <is>
          <t>Xélor M 200</t>
        </is>
      </c>
      <c r="B20084">
        <f>HYPERLINK("https://www.dofusbook.net/fr/equipement/5194494-xelor-m-200/objets", "link")</f>
        <v/>
      </c>
      <c r="C20084" t="n">
        <v>0</v>
      </c>
      <c r="D20084" t="inlineStr">
        <is>
          <t>Arc corrompu; Amulette Volkorne; Anneauræus; Anneauræus; Bouclier du Stalak; Ceinture Volkorne; Heaume Oplate; Voile d'encre; Bottes d'Otomaï; Dofus Ocre; Dofus Pourpre; Dofus Ébène; Nomade; Érudit majeur; Vigoureux majeur; Bisouglours</t>
        </is>
      </c>
    </row>
    <row r="20085">
      <c r="A20085" t="inlineStr">
        <is>
          <t>Xélor M 200</t>
        </is>
      </c>
      <c r="B20085">
        <f>HYPERLINK("https://www.dofusbook.net/fr/equipement/5194459-xelor-m-200/objets", "link")</f>
        <v/>
      </c>
      <c r="C20085" t="n">
        <v>1</v>
      </c>
      <c r="D20085" t="inlineStr">
        <is>
          <t>Arc Volkorne; Amulette de l'Indicible; Bracelet du Piloztère; Grésilanneau; Bouclier du Stalak; Ceinture de l'Esprit Salvateur; Diadème de Ganymède; Cape de Jahash Jurgen; Bottes de l'Indicible; Dofus des Glaces; Dofus Ocre; Dofus Pourpre; Robuste majeur; Nomade; Vigoureux majeur; Dragodinde Ivoire</t>
        </is>
      </c>
    </row>
    <row r="20086">
      <c r="A20086" t="inlineStr">
        <is>
          <t>Terre OS</t>
        </is>
      </c>
      <c r="B20086">
        <f>HYPERLINK("https://www.dofusbook.net/fr/equipement/5194412-terre-os/objets", "link")</f>
        <v/>
      </c>
      <c r="C20086" t="n">
        <v>0</v>
      </c>
      <c r="D20086" t="inlineStr">
        <is>
          <t>Arc du Chalœil; Amulette du Cœur Saignant; Anneau Crustique; Anneau Volkorne; Bouclier du Captain Amakna; Ceinture Volkorne; Coiffe du Comte Harebourg; Cape de Jahash Jurgen; Bottes Honyme; Dofus Pourpre; Dofus Ocre; Dofus Nébuleux; Dofus Turquoise; Enragé majeur; Nomade; Bulbisou</t>
        </is>
      </c>
    </row>
    <row r="20087">
      <c r="A20087" t="inlineStr">
        <is>
          <t>Iop M 200</t>
        </is>
      </c>
      <c r="B20087">
        <f>HYPERLINK("https://www.dofusbook.net/fr/equipement/5193948-iop-m-200/objets", "link")</f>
        <v/>
      </c>
      <c r="C20087" t="n">
        <v>0</v>
      </c>
      <c r="D20087" t="inlineStr">
        <is>
          <t>Arc Volkorne; Amulette de Pol Ouatnos; Bracelet du Piloztère; Grésilanneau; Bouclier du Stalak; Ceinture de l'Indicible; Coiffe Ranshi; Voilamibe; Bottes de l'Indicible; Dofus Pourpre; Sanguinaire majeur; Robuste majeur; Remueur; Puissant majeur; Vigoureux majeur; Dragodinde Ivoire</t>
        </is>
      </c>
    </row>
    <row r="20088">
      <c r="A20088" t="inlineStr">
        <is>
          <t>Pandawa M 200</t>
        </is>
      </c>
      <c r="B20088">
        <f>HYPERLINK("https://www.dofusbook.net/fr/equipement/5193903-pandawa-m-200/objets", "link")</f>
        <v/>
      </c>
      <c r="C20088" t="n">
        <v>0</v>
      </c>
      <c r="D20088" t="inlineStr">
        <is>
          <t>Hachoirs de Viandargh; Amulette des Chocomanciens; Gant du Valet Veinard; Anneau de Pol Ouatnos; Bouclier cubiste; Menoture; Chapibou; Capibou; Baleinabottes; Dofus Pourpre; Carapace Eau majeur; Remueur; Temporiseur majeur; Cascadeur majeur; Nomade; Blérodoudou</t>
        </is>
      </c>
    </row>
    <row r="20089">
      <c r="A20089" t="inlineStr">
        <is>
          <t>Pandawa M 200</t>
        </is>
      </c>
      <c r="B20089">
        <f>HYPERLINK("https://www.dofusbook.net/fr/equipement/5193859-pandawa-m-200/objets", "link")</f>
        <v/>
      </c>
      <c r="C20089" t="n">
        <v>0</v>
      </c>
      <c r="D20089" t="inlineStr">
        <is>
          <t>Rouleau à Pâtisserie d'Aermyne; Amulette du Glourséleste; Anneau de XLII; Gelano; Carapar; Ceinture de XLII; Coiffe d'Aermyne; Cape d'Aermyne; Bottes de XLII; Dofus Émeraude; Bloqueur majeur; Fuyard majeur; Tacleur majeur; Initiateur majeur; Survivant majeur; Dragodinde Amande</t>
        </is>
      </c>
    </row>
    <row r="20090">
      <c r="A20090" t="inlineStr">
        <is>
          <t>Zobal M 200</t>
        </is>
      </c>
      <c r="B20090">
        <f>HYPERLINK("https://www.dofusbook.net/fr/equipement/5193848-zobal-m-200/objets", "link")</f>
        <v/>
      </c>
      <c r="C20090" t="n">
        <v>0</v>
      </c>
      <c r="D20090" t="inlineStr">
        <is>
          <t>Epée Toche; Amulette Volcanique; Chevalière du Roi Joueur; Bague Gloursonne; Bouclier du Stalak; Ceintacé; Le Dorado; Voile d'encre; Bottes du Roi Joueur; Dofus des Glaces; Dofus Pourpre; Dofus Turquoise; Temporiseur majeur; Nomade; Remueur; Gwo Tofu Ventripotent</t>
        </is>
      </c>
    </row>
    <row r="20091">
      <c r="A20091" t="inlineStr">
        <is>
          <t>Eniripsa F 200</t>
        </is>
      </c>
      <c r="B20091">
        <f>HYPERLINK("https://www.dofusbook.net/fr/equipement/5193624-eniripsa-f-200/objets", "link")</f>
        <v/>
      </c>
      <c r="C20091" t="n">
        <v>0</v>
      </c>
      <c r="D20091" t="inlineStr">
        <is>
          <t>Manthache; Amulette du Strigide; Anneau de Padgref; Cadran d'Eau; Menoture; Némès de Tal Kasha; Cape Indescriptible; Sandales de Tal Kasha; Dofus Pourpre; Dofus Turquoise; Nomade; Remueur; Vigoureux majeur; Cascadeur majeur; Blérodoudou</t>
        </is>
      </c>
    </row>
    <row r="20092">
      <c r="A20092" t="inlineStr">
        <is>
          <t>Féca M 200</t>
        </is>
      </c>
      <c r="B20092">
        <f>HYPERLINK("https://www.dofusbook.net/fr/equipement/5186611-feca-m-200/objets", "link")</f>
        <v/>
      </c>
      <c r="C20092" t="n">
        <v>0</v>
      </c>
      <c r="D20092" t="inlineStr">
        <is>
          <t>Amulette de l'Indicible; Anneau Toriété; Alliance Gloursonne; Bouclier d'Ilyzaelle; Ceinture de l'Esprit Salvateur; Casque d'Ilyzaelle; Cape des Justiciers; Baleinabottes; Dofus Pourpre; Dofus Abyssal; Nomade; Robuste majeur; Remueur; Vigoureux majeur; Dragodinde Ebène et Indigo</t>
        </is>
      </c>
    </row>
    <row r="20093">
      <c r="A20093" t="inlineStr">
        <is>
          <t>Xelor os t1 en koli</t>
        </is>
      </c>
      <c r="B20093">
        <f>HYPERLINK("https://www.dofusbook.net/fr/equipement/5186082-xelor-os-t1-en-koli/objets", "link")</f>
        <v/>
      </c>
      <c r="C20093" t="n">
        <v>0</v>
      </c>
      <c r="D20093" t="inlineStr">
        <is>
          <t>Crocobur; Amulette Volkorne; Bracelet du Piloztère; Anneau Volkorne; Bouclier d'Ilyzaelle; Ceinture Volkorne; Casque du Chalœil; Cape du Chalœil; Bottes du Chalœil; Dofus Pourpre; Dofus Ocre; Dofus Nébuleux; Dolmanax; Dofus des Glaces; Robuste majeur; Fëanor</t>
        </is>
      </c>
    </row>
    <row r="20094">
      <c r="A20094" t="inlineStr">
        <is>
          <t>Féca M 200</t>
        </is>
      </c>
      <c r="B20094">
        <f>HYPERLINK("https://www.dofusbook.net/fr/equipement/5185958-feca-m-200/objets", "link")</f>
        <v/>
      </c>
      <c r="C20094" t="n">
        <v>0</v>
      </c>
      <c r="D20094" t="inlineStr">
        <is>
          <t>Marteau Phossile; Amulette Volkorne; Alliance Brûlâme; Anneau Rifique; Bouclier d'Ilyzaelle; Menoture; Masquegel; Cape Martegel; Sabots de Vortex; Dofus Pourpre; Dofus Ivoire; Dofus Ocre; Nomade; Vigoureux majeur; Robuste majeur; Eliôme</t>
        </is>
      </c>
    </row>
    <row r="20095">
      <c r="A20095" t="inlineStr">
        <is>
          <t>Féca M 200</t>
        </is>
      </c>
      <c r="B20095">
        <f>HYPERLINK("https://www.dofusbook.net/fr/equipement/5185946-feca-m-200/objets", "link")</f>
        <v/>
      </c>
      <c r="C20095" t="n">
        <v>0</v>
      </c>
      <c r="D20095" t="inlineStr">
        <is>
          <t>Épée Brûlâme; Amulette des Chocomanciens; Alliance Brûlâme; Alliance Gloursonne; Bouclier cubiste; Ceinture des Chocomanciens; Le Dorado; Cape de la Dame du Hasard; Pataugastrique; Dofus Turquoise; Dofus Pourpre; Nomade; Remueur; Vigoureux majeur; Temporiseur majeur; Dragodinde Emeraude et Ivoire</t>
        </is>
      </c>
    </row>
    <row r="20096">
      <c r="A20096" t="inlineStr">
        <is>
          <t>Iop M 200</t>
        </is>
      </c>
      <c r="B20096">
        <f>HYPERLINK("https://www.dofusbook.net/fr/equipement/5185147-iop-m-200/objets", "link")</f>
        <v/>
      </c>
      <c r="C20096" t="n">
        <v>0</v>
      </c>
      <c r="D20096" t="inlineStr">
        <is>
          <t>Epée Kari; Amulette du Strigide; Bracelet du Piloztère; Grésilanneau; Bouclier du Stalak; Ceintacé; Le Dorado; Voilamibe; Bottes du Strigide; Dofus Pourpre; Remueur; Puissant majeur; Vigoureux majeur; Nomade; Robuste majeur; Dragodinde Ivoire</t>
        </is>
      </c>
    </row>
    <row r="20097">
      <c r="A20097" t="inlineStr">
        <is>
          <t>Enutrof M 200</t>
        </is>
      </c>
      <c r="B20097">
        <f>HYPERLINK("https://www.dofusbook.net/fr/equipement/5179142-enutrof-m-200/objets", "link")</f>
        <v/>
      </c>
      <c r="C20097" t="n">
        <v>0</v>
      </c>
      <c r="D20097" t="inlineStr">
        <is>
          <t>Spatule Tranche-Gourmands; Amulette des Chocomanciens; Pikano; Chevalière du Roi Joueur; Bouclier du Stalak; Ceinture des Chocomanciens; Masque de Koutoulou; Cape au Logis; Baleinabottes; Dofus Pourpre; Vigoureux majeur; Temporiseur majeur; Robuste majeur; Nomade; Enragé majeur; Volkorne Jade et Turquoise</t>
        </is>
      </c>
    </row>
    <row r="20098">
      <c r="A20098" t="inlineStr">
        <is>
          <t>Enutrof M 200</t>
        </is>
      </c>
      <c r="B20098">
        <f>HYPERLINK("https://www.dofusbook.net/fr/equipement/5179129-enutrof-m-200/objets", "link")</f>
        <v/>
      </c>
      <c r="C20098" t="n">
        <v>0</v>
      </c>
      <c r="D20098" t="inlineStr">
        <is>
          <t>Rouleau à Pâtisserie d'Aermyne; Amulette des Chocomanciens; Pikano; Chevalière du Roi Joueur; Bouclier des Chocomanciens; Ceinture des Chocomanciens; Coiffe d'Aermyne; Cape d'Aermyne; Pikottes; Dokoko; Dofus Cawotte; Dofus Ivoire; Dofus Ocre; Ralentisseur majeur; Entraveur majeur; Volkorne Doré et Turquoise</t>
        </is>
      </c>
    </row>
    <row r="20099">
      <c r="A20099" t="inlineStr">
        <is>
          <t>Pandawa M 200</t>
        </is>
      </c>
      <c r="B20099">
        <f>HYPERLINK("https://www.dofusbook.net/fr/equipement/5178259-pandawa-m-200/objets", "link")</f>
        <v/>
      </c>
      <c r="C20099" t="n">
        <v>0</v>
      </c>
      <c r="D20099" t="inlineStr"/>
    </row>
    <row r="20100">
      <c r="A20100" t="inlineStr">
        <is>
          <t>Eniripsa F 200</t>
        </is>
      </c>
      <c r="B20100">
        <f>HYPERLINK("https://www.dofusbook.net/fr/equipement/5177894-eniripsa-f-200/objets", "link")</f>
        <v/>
      </c>
      <c r="C20100" t="n">
        <v>0</v>
      </c>
      <c r="D20100" t="inlineStr">
        <is>
          <t>Dagoulinantes; Amulette de Shokkoth; Alliance Gloursonne; Anneau Volkorne; Quatre-feuilles; Ceinture Volkorne; Masque des Fonds marins; Cape du Sinistrofu; Pataugastrique; Dofus Pourpre; Dofus Turquoise; Vigoureux majeur; Chanceux majeur; Nomade; Remueur; Dragodinde Emeraude et Indigo</t>
        </is>
      </c>
    </row>
    <row r="20101">
      <c r="A20101" t="inlineStr">
        <is>
          <t>Pandawa M 200</t>
        </is>
      </c>
      <c r="B20101">
        <f>HYPERLINK("https://www.dofusbook.net/fr/equipement/5177674-pandawa-m-200/objets", "link")</f>
        <v/>
      </c>
      <c r="C20101" t="n">
        <v>0</v>
      </c>
      <c r="D20101" t="inlineStr">
        <is>
          <t>Arc du Chalœil; Amulette du Strigide; Anneau Volkorne; Anneau Chevelu; Quatre-feuilles; Ceinture Volkorne; Masque de Koutoulou; Cape au Logis; Baleinabottes; Dofus Pourpre; Dofus Turquoise; Nomade; Fonceur majeur; Remueur; Enragé majeur; Dragodinde Emeraude et Pourpre</t>
        </is>
      </c>
    </row>
    <row r="20102">
      <c r="A20102" t="inlineStr">
        <is>
          <t>Zobal M 200</t>
        </is>
      </c>
      <c r="B20102">
        <f>HYPERLINK("https://www.dofusbook.net/fr/equipement/5177073-zobal-m-200/objets", "link")</f>
        <v/>
      </c>
      <c r="C20102" t="n">
        <v>0</v>
      </c>
      <c r="D20102" t="inlineStr">
        <is>
          <t>Arc corrompu; Amulette Volkorne; Anneauræus; Anneauræus; Quatre-feuilles; Ceinture Volkorne; Heaume Oplate; Voile d'encre; Bottes du Roi Joueur; Dofus Pourpre; Dofus des Glaces; Dofus Turquoise; Érudit majeur; Nomade; Remueur; Dragodinde Emeraude et Orchidée</t>
        </is>
      </c>
    </row>
    <row r="20103">
      <c r="A20103" t="inlineStr">
        <is>
          <t>Xélor M 200</t>
        </is>
      </c>
      <c r="B20103">
        <f>HYPERLINK("https://www.dofusbook.net/fr/equipement/5158817-xelor-m-200/objets", "link")</f>
        <v/>
      </c>
      <c r="C20103" t="n">
        <v>3</v>
      </c>
      <c r="D20103" t="inlineStr">
        <is>
          <t>Marteau des égarés; Amulette de l'Indicible; Bracelet du Piloztère; Grésilanneau; Bouclier du Stalak; Ceinture de l'Esprit Salvateur; Coiffe Ranshi; Voilamibe; Bottes de l'Indicible; Dofus Pourpre; Dofus Ocre; Robuste majeur; Nomade; Vigoureux majeur; Remueur; Dragodinde Ivoire</t>
        </is>
      </c>
    </row>
    <row r="20104">
      <c r="A20104" t="inlineStr">
        <is>
          <t>Sadida M 200</t>
        </is>
      </c>
      <c r="B20104">
        <f>HYPERLINK("https://www.dofusbook.net/fr/equipement/5156164-sadida-m-200/objets", "link")</f>
        <v/>
      </c>
      <c r="C20104" t="n">
        <v>0</v>
      </c>
      <c r="D20104" t="inlineStr">
        <is>
          <t>Baguette Range; Amulette du Strigide; Anneau de Padgref; Anneau Rifique; Quatre-feuilles; Ceintacé; Maskrobe; Cape de la Dame du Hasard; Bottes du Strigide; Dofus Turquoise; Dofus Pourpre; Remueur; Temporiseur majeur; Nomade; Vigoureux majeur; Gwo Tofu Ventripotent</t>
        </is>
      </c>
    </row>
    <row r="20105">
      <c r="A20105" t="inlineStr">
        <is>
          <t>Iop M 200</t>
        </is>
      </c>
      <c r="B20105">
        <f>HYPERLINK("https://www.dofusbook.net/fr/equipement/5155895-iop-m-200/objets", "link")</f>
        <v/>
      </c>
      <c r="C20105" t="n">
        <v>2</v>
      </c>
      <c r="D20105" t="inlineStr">
        <is>
          <t>Arc Volkorne; Amulette Volkorne; Anneau Volkorne; Bracelet du Piloztère; Bouclier du Stalak; Ceintacé; Coiffe Ranshi; Voilamibe; Bottes du Strigide; Dofus Pourpre; Remueur; Féroce majeur; Vigoureux majeur; Nomade; Robuste majeur; Dragodinde Ivoire</t>
        </is>
      </c>
    </row>
    <row r="20106">
      <c r="A20106" t="inlineStr">
        <is>
          <t>Iop M 200</t>
        </is>
      </c>
      <c r="B20106">
        <f>HYPERLINK("https://www.dofusbook.net/fr/equipement/5151625-iop-m-200/objets", "link")</f>
        <v/>
      </c>
      <c r="C20106" t="n">
        <v>0</v>
      </c>
      <c r="D20106" t="inlineStr">
        <is>
          <t>Hachoirs de Viandargh; Torquistik; Anneau Toriété; Bague Trithon; Bouclier précieux; Ceinture Gence; Casque Dragoeuf; Bravoure de Rykke Errel; Bottistik; Dofus Émeraude; Dofus Ivoire; Culbuteur majeur; Remueur; Bousculeur majeur; Miraculé majeur; Péki</t>
        </is>
      </c>
    </row>
    <row r="20107">
      <c r="A20107" t="inlineStr">
        <is>
          <t>Iop M 200</t>
        </is>
      </c>
      <c r="B20107">
        <f>HYPERLINK("https://www.dofusbook.net/fr/equipement/5151598-iop-m-200/objets", "link")</f>
        <v/>
      </c>
      <c r="C20107" t="n">
        <v>0</v>
      </c>
      <c r="D20107" t="inlineStr">
        <is>
          <t>Arc du Chalœil; Torquistik; Anneau Crustique; Anneau Crustique; Bouclier Taverne; Ceinture Gence; Capuche de Sylargh; Cape de Sylargh; Bottes du Cœur Vaillant; Dofus Ivoire; Remueur; Enragé majeur; Culbuteur majeur; Nomade; Bousculeur majeur; Black Tiwabbit</t>
        </is>
      </c>
    </row>
    <row r="20108">
      <c r="A20108" t="inlineStr">
        <is>
          <t>Xélor M 200</t>
        </is>
      </c>
      <c r="B20108">
        <f>HYPERLINK("https://www.dofusbook.net/fr/equipement/5151553-xelor-m-200/objets", "link")</f>
        <v/>
      </c>
      <c r="C20108" t="n">
        <v>1</v>
      </c>
      <c r="D20108" t="inlineStr">
        <is>
          <t>Rapière aux Glyphes; Amulette de Danathor; Alliance Gloursonne; Gelano; Cadran d'Air; Ceinture Glaciale; Coiffe de Danathor; Cape Matelassée; Sandales Circulaires du Kimbo; Dofus Turquoise; Dofus Pourpre; Vigoureux majeur; Chanceux majeur; Nomade; Remueur; Dehluge</t>
        </is>
      </c>
    </row>
    <row r="20109">
      <c r="A20109" t="inlineStr">
        <is>
          <t>Zobal M 200</t>
        </is>
      </c>
      <c r="B20109">
        <f>HYPERLINK("https://www.dofusbook.net/fr/equipement/5145654-zobal-m-200/objets", "link")</f>
        <v/>
      </c>
      <c r="C20109" t="n">
        <v>3</v>
      </c>
      <c r="D20109" t="inlineStr">
        <is>
          <t>Lav'Hache; Torquistik; Bague Instable; Bague Trithon; Bouclier précieux; Ceinture Gence; Casque Dragoeuf; Bravoure de Rykke Errel; Bottistik; Dofus Émeraude; Bousculeur majeur; Miraculé majeur; Nomade; Culbuteur majeur; Remueur; Péki</t>
        </is>
      </c>
    </row>
    <row r="20110">
      <c r="A20110" t="inlineStr">
        <is>
          <t>Zobal M 200</t>
        </is>
      </c>
      <c r="B20110">
        <f>HYPERLINK("https://www.dofusbook.net/fr/equipement/5145594-zobal-m-200/objets", "link")</f>
        <v/>
      </c>
      <c r="C20110" t="n">
        <v>1</v>
      </c>
      <c r="D20110" t="inlineStr">
        <is>
          <t>Masse Ossiale; Amulette Luminescente; Anneau Volkorne; Bracelet des Fonds marins; Bouclier Taverne; Sangle Ouare; Masque Paztek; Cape Solution; Sandales Paztek; Dofus Émeraude; Chanceux majeur; Remueur; Bousculeur majeur; Miraculé majeur; Culbuteur majeur; Écumouth</t>
        </is>
      </c>
    </row>
    <row r="20111">
      <c r="A20111" t="inlineStr">
        <is>
          <t>Pandawa M 200</t>
        </is>
      </c>
      <c r="B20111">
        <f>HYPERLINK("https://www.dofusbook.net/fr/equipement/5145364-pandawa-m-200/objets", "link")</f>
        <v/>
      </c>
      <c r="C20111" t="n">
        <v>0</v>
      </c>
      <c r="D20111" t="inlineStr">
        <is>
          <t>Bêche Asse; Collier de Tourthon; Anneau de Brouce; Anneau en Grithril; Bouclier d'Ilyzaelle; Ceinture Volkorne; Casque en Grithril; Ankhape; Baleinabottes; Dofus Pourpre; Remueur; Robuste majeur; Nomade; Vigoureux majeur; Enragé majeur; Bulbisou</t>
        </is>
      </c>
    </row>
    <row r="20112">
      <c r="A20112" t="inlineStr">
        <is>
          <t>Pandawa M 200</t>
        </is>
      </c>
      <c r="B20112">
        <f>HYPERLINK("https://www.dofusbook.net/fr/equipement/5145290-pandawa-m-200/objets", "link")</f>
        <v/>
      </c>
      <c r="C20112" t="n">
        <v>0</v>
      </c>
      <c r="D20112" t="inlineStr">
        <is>
          <t>Épée Brûlâme; Amulette Volkorne; Anneau Volkorne; Lavanneau; Quatre-feuilles; Ceintacé; Casquette de Meno; Cape de la Dame du Hasard; Sandales  d'Atcham; Dofus Turquoise; Dofus Pourpre; Remueur; Observateur; Vigoureux majeur; Nomade; Kokulte</t>
        </is>
      </c>
    </row>
    <row r="20113">
      <c r="A20113" t="inlineStr">
        <is>
          <t>Xélor M 200</t>
        </is>
      </c>
      <c r="B20113">
        <f>HYPERLINK("https://www.dofusbook.net/fr/equipement/5144803-xelor-m-200/objets", "link")</f>
        <v/>
      </c>
      <c r="C20113" t="n">
        <v>1</v>
      </c>
      <c r="D20113" t="inlineStr">
        <is>
          <t>Arc Volkorne; Amulette Volkorne; Bracelet du Piloztère; Anneau Volkorne; Bouclier du Stalak; Ceinture Volkorne; Casque du Chalœil; Cape du Chalœil; Bottes du Chalœil; Dofus Nébuleux; Dofus Pourpre; Dofus Abyssal; Dofus Turquoise; Dofus des Glaces; Dofus Ocre; Fëanor</t>
        </is>
      </c>
    </row>
    <row r="20114">
      <c r="A20114" t="inlineStr">
        <is>
          <t>Enutrof M 200</t>
        </is>
      </c>
      <c r="B20114">
        <f>HYPERLINK("https://www.dofusbook.net/fr/equipement/5137517-enutrof-m-200/objets", "link")</f>
        <v/>
      </c>
      <c r="C20114" t="n">
        <v>0</v>
      </c>
      <c r="D20114" t="inlineStr">
        <is>
          <t>Pelle de Nidas; Amulette des Chocomanciens; Anneau Tamie; Pikano; Bouclier cubiste; Ceinture des Chocomanciens; Boucle d'oreille de Kongoku; Cape Tif; Bottes du Cœur Saignant; Temporiseur majeur; Entraveur majeur; Léopardo</t>
        </is>
      </c>
    </row>
    <row r="20115">
      <c r="A20115" t="inlineStr">
        <is>
          <t>Enutrof M 200</t>
        </is>
      </c>
      <c r="B20115">
        <f>HYPERLINK("https://www.dofusbook.net/fr/equipement/5137448-enutrof-m-200/objets", "link")</f>
        <v/>
      </c>
      <c r="C20115" t="n">
        <v>0</v>
      </c>
      <c r="D20115" t="inlineStr">
        <is>
          <t>Dagoulinantes; Amulette du Sinistrofu; Bracelet des Fonds marins; Anneau Volkorne; Quatre-feuilles; Ceinture Glaciale; Binocle Airvoyant; Cape Solution; Bottes du Sinistrofu; Dofus Pourpre; Dofus Turquoise; Temporiseur majeur; Remueur; Chanceux majeur; Nomade; Gwo Tofu Ventripotent</t>
        </is>
      </c>
    </row>
    <row r="20116">
      <c r="A20116" t="inlineStr">
        <is>
          <t>Eliotrope M 200</t>
        </is>
      </c>
      <c r="B20116">
        <f>HYPERLINK("https://www.dofusbook.net/fr/equipement/5137419-eliotrope-m-200/objets", "link")</f>
        <v/>
      </c>
      <c r="C20116" t="n">
        <v>1</v>
      </c>
      <c r="D20116" t="inlineStr">
        <is>
          <t>Arc corrompu; Amulette Volkorne; Anneauræus; Anneauræus; Bouclier du Stalak; Ceinture Volkorne; Chapeau de Gein; Voile d'encre; Pataugastrique; Dofus Pourpre; Remueur; Astucieux majeur; Érudit majeur; Nomade; Dévastateur Feu majeur; Bisouglours</t>
        </is>
      </c>
    </row>
    <row r="20117">
      <c r="A20117" t="inlineStr">
        <is>
          <t>Sadida M 200</t>
        </is>
      </c>
      <c r="B20117">
        <f>HYPERLINK("https://www.dofusbook.net/fr/equipement/5134487-sadida-m-200/objets", "link")</f>
        <v/>
      </c>
      <c r="C20117" t="n">
        <v>0</v>
      </c>
      <c r="D20117" t="inlineStr">
        <is>
          <t>Marteau R'ture; Amulette Luminescente; Anneau Crustique; Anneau Crustique; Bouclier cubiste; Ceinture Volkorne; Masque de Koutoulou; Cape du Cœur Saignant; Bottes du Cœur Saignant; Dofus Pourpre; Dofus Turquoise; Nomade; Enragé majeur; Remueur; Temporiseur majeur; Bulbisou</t>
        </is>
      </c>
    </row>
    <row r="20118">
      <c r="A20118" t="inlineStr">
        <is>
          <t>Sadida M 200</t>
        </is>
      </c>
      <c r="B20118">
        <f>HYPERLINK("https://www.dofusbook.net/fr/equipement/5134453-sadida-m-200/objets", "link")</f>
        <v/>
      </c>
      <c r="C20118" t="n">
        <v>0</v>
      </c>
      <c r="D20118" t="inlineStr">
        <is>
          <t>Pelle de Nidas; Amulette du Strigide; Anneau Volkorne; Anneau des égarés; Quatre-feuilles; Ceinture Volkorne; Casque Volkorne; Cape de Jahash Jurgen; Bottes du Strigide; Dofus Pourpre; Dofus Turquoise; Dofus des Glaces; Dofus Ébène; Dofus Ocre; Dofus Nébuleux; Fëanor</t>
        </is>
      </c>
    </row>
    <row r="20119">
      <c r="A20119" t="inlineStr">
        <is>
          <t>Sadida M 200</t>
        </is>
      </c>
      <c r="B20119">
        <f>HYPERLINK("https://www.dofusbook.net/fr/equipement/5134245-sadida-m-200/objets", "link")</f>
        <v/>
      </c>
      <c r="C20119" t="n">
        <v>1</v>
      </c>
      <c r="D20119" t="inlineStr">
        <is>
          <t>Arc Nécrotique; Collier de la Dame du Hasard; Anneau Cryochrone; Lavanneau; Quatre-feuilles; Ceintacé; Capuche de l'Œil Putride; Cape de la Dame du Hasard; Bottes de Meno; Dofus Pourpre; Dofus Turquoise; Temporiseur majeur; Remueur; Observateur; Nomade; Gwo Tofu Ventripotent</t>
        </is>
      </c>
    </row>
    <row r="20120">
      <c r="A20120" t="inlineStr">
        <is>
          <t>Xélor M 200</t>
        </is>
      </c>
      <c r="B20120">
        <f>HYPERLINK("https://www.dofusbook.net/fr/equipement/5134105-xelor-m-200/objets", "link")</f>
        <v/>
      </c>
      <c r="C20120" t="n">
        <v>0</v>
      </c>
      <c r="D20120" t="inlineStr">
        <is>
          <t>Arc Volkorne; Amulette Volkorne; Alliance Brûlâme; Anneau Volkorne; Bouclier du Stalak; Ceinture Volkorne; Casque du Chalœil; Cape du Chalœil; Bottes du Chalœil; Dofus Turquoise; Dofus des Glaces; Dofus Pourpre; Dofus Abyssal; Dofus Ocre; Dolmanax; Fëanor</t>
        </is>
      </c>
    </row>
    <row r="20121">
      <c r="A20121" t="inlineStr">
        <is>
          <t>Xélor M 200</t>
        </is>
      </c>
      <c r="B20121">
        <f>HYPERLINK("https://www.dofusbook.net/fr/equipement/5134009-xelor-m-200/objets", "link")</f>
        <v/>
      </c>
      <c r="C20121" t="n">
        <v>1</v>
      </c>
      <c r="D20121" t="inlineStr">
        <is>
          <t>Sabres d'Atcham; Amulette du Strigide; Anneau Toriété; Anneau de Padgref; Quatre-feuilles; Ceinture du Strigide; Coiffe de Padgref; Cape d'Atcham; Sandales  d'Atcham; Dofus Nébuleux; Dofus Ocre; Dofus des Glaces; Dofus Turquoise; Dolmanax; Dofus Pourpre; Kokulte</t>
        </is>
      </c>
    </row>
    <row r="20122">
      <c r="A20122" t="inlineStr">
        <is>
          <t>Xélor M 200</t>
        </is>
      </c>
      <c r="B20122">
        <f>HYPERLINK("https://www.dofusbook.net/fr/equipement/5130650-xelor-m-200/objets", "link")</f>
        <v/>
      </c>
      <c r="C20122" t="n">
        <v>1</v>
      </c>
      <c r="D20122" t="inlineStr">
        <is>
          <t>Pelle de Nidas; Amulette Volkorne; Grésilanneau; Anneau Volkorne; Cadran d'Eau; Ceinture Volkorne; Masque de l'Esprit Salvateur; Cape des Justiciers; Bottes de l'Esprit Salvateur; Dofus Pourpre; Dofus Nébuleux; Dofus des Glaces; Dofus Ocre; Dolmanax; Robuste majeur; Wabbit</t>
        </is>
      </c>
    </row>
    <row r="20123">
      <c r="A20123" t="inlineStr">
        <is>
          <t>Ouginak M 200</t>
        </is>
      </c>
      <c r="B20123">
        <f>HYPERLINK("https://www.dofusbook.net/fr/equipement/5126830-ouginak-m-200/objets", "link")</f>
        <v/>
      </c>
      <c r="C20123" t="n">
        <v>1</v>
      </c>
      <c r="D20123" t="inlineStr">
        <is>
          <t>La Baguette des Limbes; Amulette de Nileza; Anneau Tamie; Anneau Tamie; Bouclier cubiste; Ceinture de Vortex; Couronne de Nidas; Cape de Nileza; Pataugastrique; Astucieux majeur; Nomade; Temporiseur majeur; Remueur; Entraveur majeur; Érudit majeur; Dragodinde Dorée et Orchidée</t>
        </is>
      </c>
    </row>
    <row r="20124">
      <c r="A20124" t="inlineStr">
        <is>
          <t>Sacrieur M 200</t>
        </is>
      </c>
      <c r="B20124">
        <f>HYPERLINK("https://www.dofusbook.net/fr/equipement/5126715-sacrieur-m-200/objets", "link")</f>
        <v/>
      </c>
      <c r="C20124" t="n">
        <v>0</v>
      </c>
      <c r="D20124" t="inlineStr">
        <is>
          <t>Dagoulinantes; Amulette de l'Œil Attentif; Bracelet des Fonds marins; Anneau Volkorne; Bouclier du Stalak; Poulpagne; Masque des Fonds marins; Cape Solution; Bottes du Sinistrofu; Dofus Pourpre; Dofus Nébuleux; Dofus Ébène; Nomade; Dévastateur Eau majeur; Chanceux majeur; Kanigloups</t>
        </is>
      </c>
    </row>
    <row r="20125">
      <c r="A20125" t="inlineStr">
        <is>
          <t>Zobal M 200</t>
        </is>
      </c>
      <c r="B20125">
        <f>HYPERLINK("https://www.dofusbook.net/fr/equipement/5126611-zobal-m-200/objets", "link")</f>
        <v/>
      </c>
      <c r="C20125" t="n">
        <v>0</v>
      </c>
      <c r="D20125" t="inlineStr">
        <is>
          <t>Poolache; Amulette du Strigide; Alliance de Missiz Frizz; Bague Gloursonne; Bouclier du Captain Amakna; Ceintacé; Couronne de Brâm Barbe-Monde; Bravoure de Rykke Errel; Bottes du Strigide; Dofus Ocre; Dofus des Glaces; Dofus Pourpre; Dolmanax; Dofus Turquoise; Nomade; Kokulte</t>
        </is>
      </c>
    </row>
    <row r="20126">
      <c r="A20126" t="inlineStr">
        <is>
          <t>Xélor M 200</t>
        </is>
      </c>
      <c r="B20126">
        <f>HYPERLINK("https://www.dofusbook.net/fr/equipement/5126512-xelor-m-200/objets", "link")</f>
        <v/>
      </c>
      <c r="C20126" t="n">
        <v>1</v>
      </c>
      <c r="D20126" t="inlineStr">
        <is>
          <t>Dagues de Srambad; Amulette Luminescente; Goulano; Anneau en Grithril; Goulclier; Ceinture en Grithril; Casque en Grithril; Cape Luminescente; Goulbottes; Dofus Ocre; Dofus Abyssal; Dokoko; Dofus Pourpre; Dofus Vulbis; Dofus Ivoire; Wabbit</t>
        </is>
      </c>
    </row>
    <row r="20127">
      <c r="A20127" t="inlineStr">
        <is>
          <t>Xélor M 200</t>
        </is>
      </c>
      <c r="B20127">
        <f>HYPERLINK("https://www.dofusbook.net/fr/equipement/5126446-xelor-m-200/objets", "link")</f>
        <v/>
      </c>
      <c r="C20127" t="n">
        <v>0</v>
      </c>
      <c r="D20127" t="inlineStr">
        <is>
          <t>Marteau des égarés; Amulette Volkorne; Alliance Brûlâme; Anneau Volkorne; Bouclier du Stalak; Ceinture Volkorne; Casque du Chalœil; Cape du Chalœil; Bottes du Chalœil; Dofus Turquoise; Dofus Ocre; Dolmanax; Dofus Pourpre; Dofus Abyssal; Dofus des Glaces; Fëanor</t>
        </is>
      </c>
    </row>
    <row r="20128">
      <c r="A20128" t="inlineStr">
        <is>
          <t>Xélor F 200</t>
        </is>
      </c>
      <c r="B20128">
        <f>HYPERLINK("https://www.dofusbook.net/fr/equipement/5114605-xelor-f-200/objets", "link")</f>
        <v/>
      </c>
      <c r="C20128" t="n">
        <v>0</v>
      </c>
      <c r="D20128" t="inlineStr">
        <is>
          <t>Marteau R'ture; Collier de Tourthon; Anneau Crustique; Anneau Crustique; Bouclier du Stalak; Ceinture Volkorne; Masque de Koutoulou; Cape de la Cour Sombre; Bottes de la Cour Sombre; Dofus Pourpre; Nomade; Vigoureux majeur; Remueur; Dévastateur Terre majeur; Enragé majeur; Bulbisou</t>
        </is>
      </c>
    </row>
    <row r="20129">
      <c r="A20129" t="inlineStr">
        <is>
          <t>Xélor F 200</t>
        </is>
      </c>
      <c r="B20129">
        <f>HYPERLINK("https://www.dofusbook.net/fr/equipement/5113785-xelor-f-200/objets", "link")</f>
        <v/>
      </c>
      <c r="C20129" t="n">
        <v>0</v>
      </c>
      <c r="D20129" t="inlineStr">
        <is>
          <t>Marteau de Katrepat; Amulette du Strigide; Anneau Toriété; Alliance Brûlâme; Bouclier Taverne; Ceinture du Strigide; Masque Brûlâme; Dofusteuse; Pompes Funèbres; Dofus Émeraude; Dofus Turquoise; Dofus Cawotte; Dofus Ocre; Dokoko; Dofus Pourpre; Dragodinde Emeraude et Ivoire</t>
        </is>
      </c>
    </row>
    <row r="20130">
      <c r="A20130" t="inlineStr">
        <is>
          <t>Pandawa M 200</t>
        </is>
      </c>
      <c r="B20130">
        <f>HYPERLINK("https://www.dofusbook.net/fr/equipement/5111516-pandawa-m-200/objets", "link")</f>
        <v/>
      </c>
      <c r="C20130" t="n">
        <v>2</v>
      </c>
      <c r="D20130" t="inlineStr">
        <is>
          <t>Bêche Asse; Amulette du Strigide; Anneau Chevelu; Anneau de Brouce; Bouclier Taverne; Ceinture de Brouce; Masque de Koutoulou; Cape au Logis; Sabots Minables; Dofus Turquoise; Dofus Émeraude; Remueur; Miraculé majeur; Nomade; Enragé majeur; Dragodinde Emeraude et Pourpre</t>
        </is>
      </c>
    </row>
    <row r="20131">
      <c r="A20131" t="inlineStr">
        <is>
          <t>Crâ M 200</t>
        </is>
      </c>
      <c r="B20131">
        <f>HYPERLINK("https://www.dofusbook.net/fr/equipement/5112732-cra-m-200/objets", "link")</f>
        <v/>
      </c>
      <c r="C20131" t="n">
        <v>0</v>
      </c>
      <c r="D20131" t="inlineStr">
        <is>
          <t>Marteau des égarés; Amulette Ementaire Deluxe; Alliance Brûlâme; Anneau du Père Fwetar; Bouclier d'Anerice; Ceinture du Père Fwetar; Masque d'Anerice; Cape d'Anerice; Bottes du Père Fwetar; Dofus des Glaces; Dofus Turquoise; Dofus Ivoire; Dofus Pourpre; Dolmanax; Dofus Ocre; Wabbit</t>
        </is>
      </c>
    </row>
    <row r="20132">
      <c r="A20132" t="inlineStr">
        <is>
          <t>Pandawa F 200</t>
        </is>
      </c>
      <c r="B20132">
        <f>HYPERLINK("https://www.dofusbook.net/fr/equipement/5111248-pandawa-f-200/objets", "link")</f>
        <v/>
      </c>
      <c r="C20132" t="n">
        <v>0</v>
      </c>
      <c r="D20132" t="inlineStr">
        <is>
          <t>Épée Brûlâme; Amulette Volkorne; Anneau Volkorne; Anneau Toriété; Cadran d'Air; Ceinture du Glourséleste; Casque Dragoeuf; Cape de la Dame du Hasard; Pataugastrique; Dofus Turquoise; Dofus Pourpre; Nomade; Miraculé majeur; Remueur; Observateur; Dragodinde Indigo et Orchidée</t>
        </is>
      </c>
    </row>
    <row r="20133">
      <c r="A20133" t="inlineStr">
        <is>
          <t>Xélor M 200</t>
        </is>
      </c>
      <c r="B20133">
        <f>HYPERLINK("https://www.dofusbook.net/fr/equipement/5111130-xelor-m-200/objets", "link")</f>
        <v/>
      </c>
      <c r="C20133" t="n">
        <v>0</v>
      </c>
      <c r="D20133" t="inlineStr">
        <is>
          <t>Epée Gloursonne; Amulette de Nevark; Bague Gloursonne; Alliance Gloursonne; Bouclier Taverne; Ceinture de la Reine des Voleurs; Coiffe de la Reine des Voleurs; Cape de Nevark; Baleinabottes; Dofus Pourpre; Voyageur; Robuste majeur; Robuste; Féroce majeur; Puissant majeur; Dragodinde Ebène et Ivoire</t>
        </is>
      </c>
    </row>
    <row r="20134">
      <c r="A20134" t="inlineStr">
        <is>
          <t>Eniripsa M 200</t>
        </is>
      </c>
      <c r="B20134">
        <f>HYPERLINK("https://www.dofusbook.net/fr/equipement/5101269-eniripsa-m-200/objets", "link")</f>
        <v/>
      </c>
      <c r="C20134" t="n">
        <v>0</v>
      </c>
      <c r="D20134" t="inlineStr">
        <is>
          <t>Arc Honte; Amulette Volkorne; Anneau Volkorne; Lavanneau; Bouclier du Stalak; Ceinture de l'Esprit Salvateur; Masque de l'Esprit Salvateur; Cape d'Atcham; Bottes de l'Esprit Salvateur; Dofus Ocre; Dofus Pourpre; Dolmanax; Dofus des Glaces; Voyageur; Robuste majeur; Fëanor</t>
        </is>
      </c>
    </row>
    <row r="20135">
      <c r="A20135" t="inlineStr">
        <is>
          <t>Steamer M 200</t>
        </is>
      </c>
      <c r="B20135">
        <f>HYPERLINK("https://www.dofusbook.net/fr/equipement/5101158-steamer-m-200/objets", "link")</f>
        <v/>
      </c>
      <c r="C20135" t="n">
        <v>0</v>
      </c>
      <c r="D20135" t="inlineStr">
        <is>
          <t>Arc Volkorne; Amulette Volkorne; Bague Trithon; Anneau Volkorne; Quatre-feuilles; Ceintacé; Némès de Tal Kasha; Voile d'encre; Bottes du Cycloïde; Dofus Turquoise; Dofus Pourpre; Nomade; Remueur; Sanguinaire majeur; Vigoureux majeur; Kokulte</t>
        </is>
      </c>
    </row>
    <row r="20136">
      <c r="A20136" t="inlineStr">
        <is>
          <t>Zobal M 200</t>
        </is>
      </c>
      <c r="B20136">
        <f>HYPERLINK("https://www.dofusbook.net/fr/equipement/5100867-zobal-m-200/objets", "link")</f>
        <v/>
      </c>
      <c r="C20136" t="n">
        <v>0</v>
      </c>
      <c r="D20136" t="inlineStr">
        <is>
          <t>Marteau R'ture; Amulette du Cœur Saignant; Anneau Crustique; Anneau Chevelu; Bouclier d'Ilyzaelle; Ceinture Volkorne; Masque de Koutoulou; Cape au Logis; Bottes du Cœur Saignant; Dofus Turquoise; Dofus Pourpre; Vigoureux majeur; Enragé majeur; Nomade; Remueur; Bulbisou</t>
        </is>
      </c>
    </row>
    <row r="20137">
      <c r="A20137" t="inlineStr">
        <is>
          <t>Zobal M 200</t>
        </is>
      </c>
      <c r="B20137">
        <f>HYPERLINK("https://www.dofusbook.net/fr/equipement/5100809-zobal-m-200/objets", "link")</f>
        <v/>
      </c>
      <c r="C20137" t="n">
        <v>0</v>
      </c>
      <c r="D20137" t="inlineStr">
        <is>
          <t>Poolache; Amulette du Strigide; Anneau Toriété; Bague Gloursonne; Bouclier du Captain Amakna; Ceintacé; Masque de Koutoulou; Cape au Logis; Bottes du Strigide; Dofus Turquoise; Dofus Pourpre; Miraculé majeur; Remueur; Sanguinaire majeur; Vigoureux majeur; Kokulte</t>
        </is>
      </c>
    </row>
    <row r="20138">
      <c r="A20138" t="inlineStr">
        <is>
          <t>Pandawa M 200</t>
        </is>
      </c>
      <c r="B20138">
        <f>HYPERLINK("https://www.dofusbook.net/fr/equipement/5100517-pandawa-m-200/objets", "link")</f>
        <v/>
      </c>
      <c r="C20138" t="n">
        <v>0</v>
      </c>
      <c r="D20138" t="inlineStr">
        <is>
          <t>Bêche Asse; Amulette d'Oshimo; Bracelet du Piloztère; Bague Gloursonne; Cadran d'Air; Ceinture de la Reine des Voleurs; Coiffe de la Reine des Voleurs; Cape au Logis; Baleinabottes; Dofus Pourpre; Enragé majeur; Vigoureux majeur; Nomade; Fonceur majeur; Remueur; Kompost</t>
        </is>
      </c>
    </row>
    <row r="20139">
      <c r="A20139" t="inlineStr">
        <is>
          <t>Sacrieur M 200</t>
        </is>
      </c>
      <c r="B20139">
        <f>HYPERLINK("https://www.dofusbook.net/fr/equipement/5100629-sacrieur-m-200/objets", "link")</f>
        <v/>
      </c>
      <c r="C20139" t="n">
        <v>0</v>
      </c>
      <c r="D20139" t="inlineStr">
        <is>
          <t>Épée du Granduk; Amulette du Granduk; Anneau de XLII; Alliance Gloursonne; Cadran d'Eau; Ceinture de XLII; Masque du Granduk; Cape Indescriptible; Bottes de XLII; Dofus Émeraude; Dofus Pourpre; Dokoko; Voyageur; Acrobate majeur; Turbulent; Siroko</t>
        </is>
      </c>
    </row>
    <row r="20140">
      <c r="A20140" t="inlineStr">
        <is>
          <t>multi chère</t>
        </is>
      </c>
      <c r="B20140">
        <f>HYPERLINK("https://www.dofusbook.net/fr/equipement/5100280-multi-chere/objets", "link")</f>
        <v/>
      </c>
      <c r="C20140" t="n">
        <v>0</v>
      </c>
      <c r="D20140" t="inlineStr">
        <is>
          <t>Epée Gloursonne; Amulette du Strigide; Alliance Gloursonne; Bague Gloursonne; Quatre-feuilles; Ceinture du Strigide; Masque d'Anerice; Cape d'Anerice; Bottes du Strigide; Dofus Turquoise; Dofus Abyssal; Dofus Émeraude; Dofus Pourpre; Dofus Ocre; Dofus Ivoire; Kokulte</t>
        </is>
      </c>
    </row>
    <row r="20141">
      <c r="A20141" t="inlineStr">
        <is>
          <t>pvm glas</t>
        </is>
      </c>
      <c r="B20141">
        <f>HYPERLINK("https://www.dofusbook.net/fr/equipement/5100471-pvm-glas/objets", "link")</f>
        <v/>
      </c>
      <c r="C20141" t="n">
        <v>0</v>
      </c>
      <c r="D20141" t="inlineStr">
        <is>
          <t>Arc Volkorne; Amulette Volkorne; Alliance Brûlâme; Anneau Volkorne; Bouclier du Stalak; Ceinture de l'Esprit Salvateur; Masque de l'Esprit Salvateur; Voilamibe; Bottes de l'Esprit Salvateur; Dolmanax; Dofus Ocre; Dofus des Glaces; Dofus Pourpre; Dofus Abyssal; Robuste majeur; Dragodinde Ivoire</t>
        </is>
      </c>
    </row>
    <row r="20142">
      <c r="A20142" t="inlineStr">
        <is>
          <t>sacri recons</t>
        </is>
      </c>
      <c r="B20142">
        <f>HYPERLINK("https://www.dofusbook.net/fr/equipement/5100412-sacri-recons/objets", "link")</f>
        <v/>
      </c>
      <c r="C20142" t="n">
        <v>0</v>
      </c>
      <c r="D20142" t="inlineStr">
        <is>
          <t>Marteau des égarés; Amulette du Strigide; Anneau Toriété; Alliance Gloursonne; Droiture de Fallanster; Ceintacé; Masque d'Anerice; Cape d'Anerice; Bottes Trithon; Dofus Pourpre; Dofus des Glaces; Dofus Ivoire; Dolmanax; Dofus Émeraude; Remueur; Kokulte</t>
        </is>
      </c>
    </row>
    <row r="20143">
      <c r="A20143" t="inlineStr">
        <is>
          <t>Enu pvm 200 ret pm</t>
        </is>
      </c>
      <c r="B20143">
        <f>HYPERLINK("https://www.dofusbook.net/fr/equipement/5100337-enu-pvm-200-ret-pm/objets", "link")</f>
        <v/>
      </c>
      <c r="C20143" t="n">
        <v>0</v>
      </c>
      <c r="D20143" t="inlineStr">
        <is>
          <t>Baguette Hique; Amulette des Chocomanciens; Anneau Tamie; Pikano; Bouclier cubiste; Ceinture des Chocomanciens; Kidibonnet; Cape de la Dame du Hasard; Bottes de Meno; Dofus Pourpre; Dofus Turquoise; Temporiseur majeur; Nomade; Vigoureux majeur; Remueur; Gwo Tofu Ventripotent</t>
        </is>
      </c>
    </row>
    <row r="20144">
      <c r="A20144" t="inlineStr">
        <is>
          <t>Xélor M 200</t>
        </is>
      </c>
      <c r="B20144">
        <f>HYPERLINK("https://www.dofusbook.net/fr/equipement/5097885-xelor-m-200/objets", "link")</f>
        <v/>
      </c>
      <c r="C20144" t="n">
        <v>0</v>
      </c>
      <c r="D20144" t="inlineStr">
        <is>
          <t>Hache du Guerrier Zoth; Amulette d'Hel Munster; Alliance Gloursonne; Anneau du Père Fwetar; Bouclier Taverne; Ceinture du Père Fwetar; Coiffe d'Hel Munster; Cape d'Hel Munster; Bottes du Père Fwetar; Dokoko; Dofus Pourpre; Dofus Ocre; Dofus Émeraude; Dofus Turquoise; Voyageur; Kramkram</t>
        </is>
      </c>
    </row>
    <row r="20145">
      <c r="A20145" t="inlineStr">
        <is>
          <t>Pandawa M 200</t>
        </is>
      </c>
      <c r="B20145">
        <f>HYPERLINK("https://www.dofusbook.net/fr/equipement/5097791-pandawa-m-200/objets", "link")</f>
        <v/>
      </c>
      <c r="C20145" t="n">
        <v>0</v>
      </c>
      <c r="D20145" t="inlineStr">
        <is>
          <t>Epée Kari; Amulette de Pol Ouatnos; Anneau de XLII; Anneau Aimgéroks; Bouclier Taverne; Ceinture de XLII; Casque Dragoeuf; Cape au Logis; Bottes de XLII; Dofus Émeraude; Robuste; Bloqueur majeur; Puissant majeur; Survivant majeur; Robuste majeur; Dragodinde Emeraude et Ivoire</t>
        </is>
      </c>
    </row>
    <row r="20146">
      <c r="A20146" t="inlineStr">
        <is>
          <t>Pandawa M 200</t>
        </is>
      </c>
      <c r="B20146">
        <f>HYPERLINK("https://www.dofusbook.net/fr/equipement/5097642-pandawa-m-200/objets", "link")</f>
        <v/>
      </c>
      <c r="C20146" t="n">
        <v>0</v>
      </c>
      <c r="D20146" t="inlineStr">
        <is>
          <t>Epée Kari; Amulette du Strigide; Anneau Chevelu; Bague Gloursonne; Bouclier Taverne; Ceinture du Strigide; Casque Dragoeuf; Cape au Logis; Sabots Minables; Fonceur majeur; Nomade; Vigoureux majeur; Remueur; Miraculé majeur; Observateur; Dragodinde Amande et Ivoire</t>
        </is>
      </c>
    </row>
    <row r="20147">
      <c r="A20147" t="inlineStr">
        <is>
          <t>Xélor M 200</t>
        </is>
      </c>
      <c r="B20147">
        <f>HYPERLINK("https://www.dofusbook.net/fr/equipement/5094754-xelor-m-200/objets", "link")</f>
        <v/>
      </c>
      <c r="C20147" t="n">
        <v>0</v>
      </c>
      <c r="D20147" t="inlineStr">
        <is>
          <t>Hache du Chalœil; Amulette Volkorne; Anneau Volkorne; Bague Trithon; Quatre-feuilles; Ceinture Volkorne; Masque Trithon; Cape de Jahash Jurgen; Bottes Trithon; Dofus des Glaces; Dofus Pourpre; Dofus Nébuleux; Dofus Ocre; Dolmanax; Dofus Turquoise; Fëanor</t>
        </is>
      </c>
    </row>
    <row r="20148">
      <c r="A20148" t="inlineStr">
        <is>
          <t>Steamer M 200</t>
        </is>
      </c>
      <c r="B20148">
        <f>HYPERLINK("https://www.dofusbook.net/fr/equipement/5086410-steamer-m-200/objets", "link")</f>
        <v/>
      </c>
      <c r="C20148" t="n">
        <v>0</v>
      </c>
      <c r="D20148" t="inlineStr">
        <is>
          <t>Epée Gloursonne; Amulette de l'Œil Putride; Bague Gloursonne; Alliance Gloursonne; Quatre-feuilles; Ceinture de l'Indicible; Capuche de l'Œil Putride; Cape de l'Œil Putride; Bottes de l'Indicible; Dofus des Glaces; Dofus Pourpre; Dofus Ivoire; Dofus Ocre; Dofus Turquoise; Dolmanax; Muldo Ebène et Emeraude</t>
        </is>
      </c>
    </row>
    <row r="20149">
      <c r="A20149" t="inlineStr">
        <is>
          <t>Zobal M 200</t>
        </is>
      </c>
      <c r="B20149">
        <f>HYPERLINK("https://www.dofusbook.net/fr/equipement/5086161-zobal-m-200/objets", "link")</f>
        <v/>
      </c>
      <c r="C20149" t="n">
        <v>0</v>
      </c>
      <c r="D20149" t="inlineStr">
        <is>
          <t>Arc du Chalœil; Torquistik; Anneau en Grithril; Baguistik; Bouclier du Stalak; Ceinture en Grithril; Casque en Grithril; Cape au Logis; Bottistik; Dofus des Glaces; Dofus Argenté; Dofus Abyssal; Dofus Ébène; Dofus Pourpre; Dofus Ivoire; Bulbisou</t>
        </is>
      </c>
    </row>
    <row r="20150">
      <c r="A20150" t="inlineStr">
        <is>
          <t>Steamer M 200</t>
        </is>
      </c>
      <c r="B20150">
        <f>HYPERLINK("https://www.dofusbook.net/fr/equipement/5075303-steamer-m-200/objets", "link")</f>
        <v/>
      </c>
      <c r="C20150" t="n">
        <v>0</v>
      </c>
      <c r="D20150" t="inlineStr">
        <is>
          <t>Arc corrompu; Amulette Volkorne; Goulano; Anneau Volkorne; Goulclier; Ceinture de Gein; Masquegel; Cape Martegel; Goulbottes; Dofus Émeraude; Dofus Abyssal; Dofus Ivoire; Dokoko; Dofus Ocre; Voyageur; Bisouglours</t>
        </is>
      </c>
    </row>
    <row r="20151">
      <c r="A20151" t="inlineStr">
        <is>
          <t>Enutrof M 200</t>
        </is>
      </c>
      <c r="B20151">
        <f>HYPERLINK("https://www.dofusbook.net/fr/equipement/5075257-enutrof-m-200/objets", "link")</f>
        <v/>
      </c>
      <c r="C20151" t="n">
        <v>0</v>
      </c>
      <c r="D20151" t="inlineStr">
        <is>
          <t>Lav'Hache; Collier de Tourthon; Anneau Crustique; Anneau Crustique; Bouclier du Stalak; Ceinture de la Reine des Voleurs; Coiffe de la Reine des Voleurs; Cape au Logis; Baleinabottes; Dofus Pourpre; Nomade; Robuste majeur; Remueur; Vigoureux majeur; Enragé majeur; Bulbisou</t>
        </is>
      </c>
    </row>
    <row r="20152">
      <c r="A20152" t="inlineStr">
        <is>
          <t>Xélor M 200</t>
        </is>
      </c>
      <c r="B20152">
        <f>HYPERLINK("https://www.dofusbook.net/fr/equipement/5062244-xelor-m-200/objets", "link")</f>
        <v/>
      </c>
      <c r="C20152" t="n">
        <v>0</v>
      </c>
      <c r="D20152" t="inlineStr">
        <is>
          <t>Sceptre du Roi Joueur; Amulette de l'Œil Attentif; Anneau Volkorne; Bracelet des Fonds marins; Quatre-feuilles; Poulpagne; Masque des Fonds marins; Cape de Jahash Jurgen; Bottes du Sinistrofu; Dofus Ocre; Dofus Pourpre; Dofus Turquoise; Nomade; Vigoureux majeur; Chanceux majeur; Kanigloups</t>
        </is>
      </c>
    </row>
    <row r="20153">
      <c r="A20153" t="inlineStr">
        <is>
          <t>Sacrieur M 200</t>
        </is>
      </c>
      <c r="B20153">
        <f>HYPERLINK("https://www.dofusbook.net/fr/equipement/5058986-sacrieur-m-200/objets", "link")</f>
        <v/>
      </c>
      <c r="C20153" t="n">
        <v>0</v>
      </c>
      <c r="D20153" t="inlineStr">
        <is>
          <t>Arc corrompu; Amulette Volkorne; Anneau Volkorne; Anneau Toriété; Quatre-feuilles; Ceinture Volkorne; Heaume Oplate; Cape de Diondin; Bottes Innommables; Dofus Turquoise; Dofus Abyssal; Dofus Ocre; Dofus Ébène; Dofus Pourpre; Dofus Ivoire; Abra Kadabra</t>
        </is>
      </c>
    </row>
    <row r="20154">
      <c r="A20154" t="inlineStr">
        <is>
          <t>Xélor M 200</t>
        </is>
      </c>
      <c r="B20154">
        <f>HYPERLINK("https://www.dofusbook.net/fr/equipement/5057394-xelor-m-200/objets", "link")</f>
        <v/>
      </c>
      <c r="C20154" t="n">
        <v>0</v>
      </c>
      <c r="D20154" t="inlineStr">
        <is>
          <t>Dagoulinantes; Amulette de l'Œil Attentif; Bracelet des Fonds marins; Anneau Volkorne; Quatre-feuilles; Ceinture Volkorne; Capuche de l'Œil Attentif; Cape de l'Œil Attentif; Sandales des Fonds marins; Dofus Vulbis; Dofus Turquoise; Dofus Ébène; Dofus Ocre; Dofus Ivoire; Dofus Pourpre; Volkorne Doré et Ivoire</t>
        </is>
      </c>
    </row>
    <row r="20155">
      <c r="A20155" t="inlineStr">
        <is>
          <t>Sacrieur M 200</t>
        </is>
      </c>
      <c r="B20155">
        <f>HYPERLINK("https://www.dofusbook.net/fr/equipement/5057278-sacrieur-m-200/objets", "link")</f>
        <v/>
      </c>
      <c r="C20155" t="n">
        <v>0</v>
      </c>
      <c r="D20155" t="inlineStr">
        <is>
          <t>Arc corrompu; Amulette Volkorne; Alliance Brûlâme; Anneau Toriété; Trompe-la-Mort; Ceinture Volkorne; Cape de Diondin; Pompes Funèbres; Dofus Émeraude; Dofus Ocre; Dofus Argenté; Dofus Ivoire; Dokoko; Dofus Abyssal; Dragodinde Ivoire et Orchidée</t>
        </is>
      </c>
    </row>
    <row r="20156">
      <c r="A20156" t="inlineStr">
        <is>
          <t>Sacrieur M 200</t>
        </is>
      </c>
      <c r="B20156">
        <f>HYPERLINK("https://www.dofusbook.net/fr/equipement/5057273-sacrieur-m-200/objets", "link")</f>
        <v/>
      </c>
      <c r="C20156" t="n">
        <v>0</v>
      </c>
      <c r="D20156" t="inlineStr"/>
    </row>
    <row r="20157">
      <c r="A20157" t="inlineStr">
        <is>
          <t>Xélor F 200</t>
        </is>
      </c>
      <c r="B20157">
        <f>HYPERLINK("https://www.dofusbook.net/fr/equipement/5040597-xelor-f-200/objets", "link")</f>
        <v/>
      </c>
      <c r="C20157" t="n">
        <v>0</v>
      </c>
      <c r="D20157" t="inlineStr">
        <is>
          <t>Arc Volkorne; Amulette du Strigide; Anneau de Padgref; Bague Trithon; Quatre-feuilles; Ceinture du Strigide; Masque Trithon; Cape de Jahash Jurgen; Bottes Trithon; Dofus Pourpre; Dofus Ocre; Dofus Turquoise; Dolmanax; Dofus des Glaces; Dofus Vulbis; Kokulte</t>
        </is>
      </c>
    </row>
    <row r="20158">
      <c r="A20158" t="inlineStr">
        <is>
          <t>Xélor F 200</t>
        </is>
      </c>
      <c r="B20158">
        <f>HYPERLINK("https://www.dofusbook.net/fr/equipement/5019876-xelor-f-200/objets", "link")</f>
        <v/>
      </c>
      <c r="C20158" t="n">
        <v>0</v>
      </c>
      <c r="D20158" t="inlineStr">
        <is>
          <t>Marteau des égarés; Amulette Volkorne; Alliance Brûlâme; Anneau Volkorne; Bouclier du Stalak; Ceinture de l'Esprit Salvateur; Masque de l'Esprit Salvateur; Voilamibe; Bottes de l'Esprit Salvateur; Dofus Nébuleux; Dofus des Glaces; Dofus Ivoire; Dofus Ocre; Dofus Abyssal; Dofus Pourpre; Wabbit</t>
        </is>
      </c>
    </row>
    <row r="20159">
      <c r="A20159" t="inlineStr">
        <is>
          <t>Xélor F 200</t>
        </is>
      </c>
      <c r="B20159">
        <f>HYPERLINK("https://www.dofusbook.net/fr/equipement/5031882-xelor-f-200/objets", "link")</f>
        <v/>
      </c>
      <c r="C20159" t="n">
        <v>0</v>
      </c>
      <c r="D20159" t="inlineStr">
        <is>
          <t>Arc de Koutoulou; Amulette du Strigide; Anneau Toriété; Anneau de Pol Ouatnos; Quatre-feuilles; Menoture; Dorabysses; Chevelure de Tal Kasha; Sandales de Tal Kasha; Dofus Pourpre; Dofus Ivoire; Dofus Turquoise; Dofus Ocre; Vigoureux majeur; Étourdisseur majeur; Kokulte</t>
        </is>
      </c>
    </row>
    <row r="20160">
      <c r="A20160" t="inlineStr">
        <is>
          <t>Xélor F 200</t>
        </is>
      </c>
      <c r="B20160">
        <f>HYPERLINK("https://www.dofusbook.net/fr/equipement/5031825-xelor-f-200/objets", "link")</f>
        <v/>
      </c>
      <c r="C20160" t="n">
        <v>0</v>
      </c>
      <c r="D20160" t="inlineStr">
        <is>
          <t>Racine de Floribonde; Amulette du Granduk; Alliance Gloursonne; Anneau Volkorne; Quatre-feuilles; Menoture; Casque Volkorne; Chevelure de Tal Kasha; Sandales de Tal Kasha; Dofus Turquoise; Dofus Ocre; Dofus Ivoire; Dofus Ébène; Dofus Vulbis; Dofus Pourpre; Pioute jaune</t>
        </is>
      </c>
    </row>
    <row r="20161">
      <c r="A20161" t="inlineStr">
        <is>
          <t>Xélor F 200</t>
        </is>
      </c>
      <c r="B20161">
        <f>HYPERLINK("https://www.dofusbook.net/fr/equipement/5031766-xelor-f-200/objets", "link")</f>
        <v/>
      </c>
      <c r="C20161" t="n">
        <v>0</v>
      </c>
      <c r="D20161" t="inlineStr">
        <is>
          <t>Massier; Amulette Volkorne; Anneauræus; Anneau Tique; Bouclier du Stalak; Ceinture Volkorne; Coiffe Séculaire; Cape de Diondin; Bottes de l'Esprit Malsain; Dofus Ébène; Dofus Ocre; Dofus Ivoire; Dokoko; Dofus Pourpre; Nomade; Bisouglours</t>
        </is>
      </c>
    </row>
    <row r="20162">
      <c r="A20162" t="inlineStr">
        <is>
          <t>Sacrieur M 200</t>
        </is>
      </c>
      <c r="B20162">
        <f>HYPERLINK("https://www.dofusbook.net/fr/equipement/5021470-sacrieur-m-200/objets", "link")</f>
        <v/>
      </c>
      <c r="C20162" t="n">
        <v>7</v>
      </c>
      <c r="D20162" t="inlineStr">
        <is>
          <t>Arc du Chalœil; Torquistik; Baguistik; Anneau Toriété; Trompe-la-Mort; Ceinture de la Reine des Voleurs; Coiffe de la Reine des Voleurs; Voile d'encre; Bottistik; Dofus Ocre; Dofus Argenté; Dofus Abyssal; Dofus Émeraude; Dofus Ivoire; Dokoko; Bulbisou</t>
        </is>
      </c>
    </row>
    <row r="20163">
      <c r="A20163" t="inlineStr">
        <is>
          <t>Féca M 200</t>
        </is>
      </c>
      <c r="B20163">
        <f>HYPERLINK("https://www.dofusbook.net/fr/equipement/5017686-feca-m-200/objets", "link")</f>
        <v/>
      </c>
      <c r="C20163" t="n">
        <v>0</v>
      </c>
      <c r="D20163" t="inlineStr">
        <is>
          <t>Sceptre du Roi Joueur; Amulette du Sinistrofu; Bracelet des Fonds marins; Anneau Volkorne; Bouclier du Stalak; Ceinture Volkorne; Masque des Fonds marins; Cape du Sinistrofu; Bottes du Sinistrofu; Dofus Pourpre; Dofus Ébène; Dofus Ocre; Dofus Vulbis; Dofus Ivoire; Dofus Abyssal; Kanigloups</t>
        </is>
      </c>
    </row>
    <row r="20164">
      <c r="A20164" t="inlineStr">
        <is>
          <t>Xélor F 200</t>
        </is>
      </c>
      <c r="B20164">
        <f>HYPERLINK("https://www.dofusbook.net/fr/equipement/5019811-xelor-f-200/objets", "link")</f>
        <v/>
      </c>
      <c r="C20164" t="n">
        <v>0</v>
      </c>
      <c r="D20164" t="inlineStr">
        <is>
          <t>Arc du Chalœil; Amulette du Cœur Saignant; Anneau Volkorne; Anneau des égarés; Bouclier d'Ilyzaelle; Ceinture Volkorne; Casque des égarés; Cape du Cœur Saignant; Bottes du Cœur Saignant; Dofus Ivoire; Dofus Pourpre; Dofus Ébène; Dofus Vulbis; Dofus Ocre; Dofus Turquoise; Volkorne Jade et Pourpre</t>
        </is>
      </c>
    </row>
    <row r="20165">
      <c r="A20165" t="inlineStr">
        <is>
          <t>Xélor F 200</t>
        </is>
      </c>
      <c r="B20165">
        <f>HYPERLINK("https://www.dofusbook.net/fr/equipement/5019763-xelor-f-200/objets", "link")</f>
        <v/>
      </c>
      <c r="C20165" t="n">
        <v>0</v>
      </c>
      <c r="D20165" t="inlineStr">
        <is>
          <t>Arc corrompu; Amulette Volkorne; Anneau Volkorne; Anneauræus; Bouclier du Stalak; Ceinture de Vortex; Masque Ardent; Cape Ardente; Chaussures Ardentes; Dofus Ébène; Dofus Vulbis; Dokoko; Dofus Ivoire; Dofus Ocre; Dofus Abyssal; Bisouglours</t>
        </is>
      </c>
    </row>
    <row r="20166">
      <c r="A20166" t="inlineStr">
        <is>
          <t>Xélor F 200</t>
        </is>
      </c>
      <c r="B20166">
        <f>HYPERLINK("https://www.dofusbook.net/fr/equipement/5004258-xelor-f-200/objets", "link")</f>
        <v/>
      </c>
      <c r="C20166" t="n">
        <v>0</v>
      </c>
      <c r="D20166" t="inlineStr">
        <is>
          <t>Arc Volkorne; Amulette de Pol Ouatnos; Alliance Gloursonne; Alliance Brûlâme; Bouclier du Stalak; Ceinture de l'Esprit Salvateur; Masque de l'Esprit Salvateur; Voilamibe; Bottes du Chalœil; Dofus Ocre; Dofus Pourpre; Dofus des Glaces; Robuste majeur; Remueur; Vigoureux majeur; Dragodinde Ivoire</t>
        </is>
      </c>
    </row>
    <row r="20167">
      <c r="A20167" t="inlineStr">
        <is>
          <t>Xélor M 200</t>
        </is>
      </c>
      <c r="B20167">
        <f>HYPERLINK("https://www.dofusbook.net/fr/equipement/5003650-xelor-m-200/objets", "link")</f>
        <v/>
      </c>
      <c r="C20167" t="n">
        <v>0</v>
      </c>
      <c r="D20167" t="inlineStr">
        <is>
          <t>Sceptre du Roi Joueur; Amulette de l'Œil Attentif; Bracelet des Fonds marins; Anneau Volkorne; Sept ans de malheur; Culotte de Bethel; Masque de Funespadon; Cape de l'Œil Attentif; Chaussons de Macrab; Dofus Abyssal; Volkorne Doré et Ivoire</t>
        </is>
      </c>
    </row>
    <row r="20168">
      <c r="A20168" t="inlineStr">
        <is>
          <t>Xélor M 200</t>
        </is>
      </c>
      <c r="B20168">
        <f>HYPERLINK("https://www.dofusbook.net/fr/equipement/5003578-xelor-m-200/objets", "link")</f>
        <v/>
      </c>
      <c r="C20168" t="n">
        <v>0</v>
      </c>
      <c r="D20168" t="inlineStr">
        <is>
          <t>Marteau des égarés; Amulette Volkorne; Anneau Volkorne; Anneau Toriété; Bouclier du Stalak; Ceinture Volkorne; Casque Volkorne; Cape du Chalœil; Bottes du Chalœil; Dolmanax; Dofus Turquoise; Dofus Ivoire; Dofus Pourpre; Dofus Ocre; Dofus des Glaces; Volkorne Doré et Emeraude</t>
        </is>
      </c>
    </row>
    <row r="20169">
      <c r="A20169" t="inlineStr">
        <is>
          <t>Xélor M 200</t>
        </is>
      </c>
      <c r="B20169">
        <f>HYPERLINK("https://www.dofusbook.net/fr/equipement/5002935-xelor-m-200/objets", "link")</f>
        <v/>
      </c>
      <c r="C20169" t="n">
        <v>0</v>
      </c>
      <c r="D20169" t="inlineStr">
        <is>
          <t>Arc du Chalœil; Amulette du Cœur Saignant; Anneau des égarés; Anneau Volkorne; Quatre-feuilles; Ceinture Volkorne; Casque des égarés; Cape du Cœur Saignant; Bottes du Cœur Saignant; Dofus Ébène; Dofus Ocre; Dofus Vulbis; Dofus Turquoise; Dofus Abyssal; Dofus Pourpre; Bulbisou</t>
        </is>
      </c>
    </row>
    <row r="20170">
      <c r="A20170" t="inlineStr">
        <is>
          <t>Xélor M 200</t>
        </is>
      </c>
      <c r="B20170">
        <f>HYPERLINK("https://www.dofusbook.net/fr/equipement/5002906-xelor-m-200/objets", "link")</f>
        <v/>
      </c>
      <c r="C20170" t="n">
        <v>0</v>
      </c>
      <c r="D20170" t="inlineStr">
        <is>
          <t>Arc corrompu; Amulette Volkorne; Anneauræus; Anneauræus; Quatre-feuilles; Ceinture Séculaire; Coiffe Séculaire; Voile d'encre; Bottes de Nileza; Dofus Pourpre; Dofus Ocre; Dofus Turquoise; Érudit majeur; Nomade; Remueur; Bisouglours</t>
        </is>
      </c>
    </row>
    <row r="20171">
      <c r="A20171" t="inlineStr">
        <is>
          <t>Xélor M 200</t>
        </is>
      </c>
      <c r="B20171">
        <f>HYPERLINK("https://www.dofusbook.net/fr/equipement/4993305-xelor-m-200/objets", "link")</f>
        <v/>
      </c>
      <c r="C20171" t="n">
        <v>0</v>
      </c>
      <c r="D20171" t="inlineStr">
        <is>
          <t>Arc corrompu; Amulette Volkorne; Anneauræus; Anneau Volkorne; Bouclier du Stalak; Ceinture de Vortex; Masque Paztek; Cape de Nileza; Bottes Innommables; Dofus Pourpre; Dofus Ocre; Érudit majeur; Remueur; Carapace Terre majeur; Nomade; Bisouglours</t>
        </is>
      </c>
    </row>
    <row r="20172">
      <c r="A20172" t="inlineStr">
        <is>
          <t>Xélor M 200</t>
        </is>
      </c>
      <c r="B20172">
        <f>HYPERLINK("https://www.dofusbook.net/fr/equipement/4970676-xelor-m-200/objets", "link")</f>
        <v/>
      </c>
      <c r="C20172" t="n">
        <v>0</v>
      </c>
      <c r="D20172" t="inlineStr">
        <is>
          <t>Pendentif mignon de Koutoulou; Anneau Rifique</t>
        </is>
      </c>
    </row>
    <row r="20173">
      <c r="A20173" t="inlineStr">
        <is>
          <t>Xélor M 200</t>
        </is>
      </c>
      <c r="B20173">
        <f>HYPERLINK("https://www.dofusbook.net/fr/equipement/4965777-xelor-m-200/objets", "link")</f>
        <v/>
      </c>
      <c r="C20173" t="n">
        <v>0</v>
      </c>
      <c r="D20173" t="inlineStr">
        <is>
          <t>Karnak; Collier du Valet Veinard; Alliance Gloursonne; Gant du Valet Veinard; Bouclier du Stalak; Ceintouse; Chapoulpe; Cape du Valet Veinard; Tentassons; Dokoko; Dofus Cawotte; Dofus Ocre; Dofus Nébuleux; Dofus Pourpre; Robuste majeur; Blérodoudou</t>
        </is>
      </c>
    </row>
    <row r="20174">
      <c r="A20174" t="inlineStr">
        <is>
          <t>Xélor M 200</t>
        </is>
      </c>
      <c r="B20174">
        <f>HYPERLINK("https://www.dofusbook.net/fr/equipement/4965703-xelor-m-200/objets", "link")</f>
        <v/>
      </c>
      <c r="C20174" t="n">
        <v>0</v>
      </c>
      <c r="D20174" t="inlineStr">
        <is>
          <t>Arc corrompu; Amulette Volkorne; Anneauræus; Anneauræus; Bouclier du Stalak; Ceinture de Vortex; Masque Ardent; Cape Martegel; Chaussures Ardentes; Dofus Ocre; Dofus Pourpre; Nomade; Robuste majeur; Remueur; Érudit majeur; Volkorne Ivoire et Orchidée</t>
        </is>
      </c>
    </row>
    <row r="20175">
      <c r="A20175" t="inlineStr">
        <is>
          <t>Xélor F 200</t>
        </is>
      </c>
      <c r="B20175">
        <f>HYPERLINK("https://www.dofusbook.net/fr/equipement/4965014-xelor-f-200/objets", "link")</f>
        <v/>
      </c>
      <c r="C20175" t="n">
        <v>0</v>
      </c>
      <c r="D20175" t="inlineStr">
        <is>
          <t>Lance Horselé; Amulette du Strigide; Anneau Volkorne; Gant du Valet Veinard; Bouclier d'Ilyzaelle; Ceintouse; Casque Volkorne; Cape Indescriptible; Palmes Trithons; Dofus Turquoise; Dokoko; Dofus Pourpre; Dofus Ocre; Remueur; Nomade; Volkorne Emeraude et Ebène</t>
        </is>
      </c>
    </row>
    <row r="20176">
      <c r="A20176" t="inlineStr">
        <is>
          <t>Xélor M 200</t>
        </is>
      </c>
      <c r="B20176">
        <f>HYPERLINK("https://www.dofusbook.net/fr/equipement/4958986-xelor-m-200/objets", "link")</f>
        <v/>
      </c>
      <c r="C20176" t="n">
        <v>0</v>
      </c>
      <c r="D20176" t="inlineStr"/>
    </row>
    <row r="20177">
      <c r="A20177" t="inlineStr">
        <is>
          <t>Xélor M 200</t>
        </is>
      </c>
      <c r="B20177">
        <f>HYPERLINK("https://www.dofusbook.net/fr/equipement/4956461-xelor-m-200/objets", "link")</f>
        <v/>
      </c>
      <c r="C20177" t="n">
        <v>0</v>
      </c>
      <c r="D20177" t="inlineStr">
        <is>
          <t>Arc de Koutoulou; Amulette du Strigide; Anneau Volkorne; Anneau Toriété; Quatre-feuilles; Ceinture du Strigide; Casque Volkorne; Chevelure de Tal Kasha; Sandales de Tal Kasha; Dofus Turquoise; Dofus des Glaces; Dokoko; Dofus Pourpre; Dofus Ocre; Dofus Ivoire; Volkorne Doré et Emeraude</t>
        </is>
      </c>
    </row>
    <row r="20178">
      <c r="A20178" t="inlineStr">
        <is>
          <t>Xélor M 200</t>
        </is>
      </c>
      <c r="B20178">
        <f>HYPERLINK("https://www.dofusbook.net/fr/equipement/4956405-xelor-m-200/objets", "link")</f>
        <v/>
      </c>
      <c r="C20178" t="n">
        <v>1</v>
      </c>
      <c r="D20178" t="inlineStr">
        <is>
          <t>Karnak; Amulette d'Ilyzaelle; Anneau d'Allister; Alliance Gloursonne; Bouclier d'Ilyzaelle; Sangle Oriole; Chapeau de Tournoyé; Cape du Kamasterisk; Palmes Trithons; Dofus Ocre; Dofus Émeraude; Dofus Ébène; Dofus Ivoire; Dokoko; Dofus Abyssal; Volkorne Rubis et Améthyste</t>
        </is>
      </c>
    </row>
    <row r="20179">
      <c r="A20179" t="inlineStr">
        <is>
          <t>Xélor M 200</t>
        </is>
      </c>
      <c r="B20179">
        <f>HYPERLINK("https://www.dofusbook.net/fr/equipement/4948440-xelor-m-200/objets", "link")</f>
        <v/>
      </c>
      <c r="C20179" t="n">
        <v>0</v>
      </c>
      <c r="D20179" t="inlineStr"/>
    </row>
    <row r="20180">
      <c r="A20180" t="inlineStr">
        <is>
          <t>Xélor M 200</t>
        </is>
      </c>
      <c r="B20180">
        <f>HYPERLINK("https://www.dofusbook.net/fr/equipement/4947613-xelor-m-200/objets", "link")</f>
        <v/>
      </c>
      <c r="C20180" t="n">
        <v>0</v>
      </c>
      <c r="D20180" t="inlineStr">
        <is>
          <t>Lance Horselé; Amulette du Strigide; Anneau d'Allister; Anneau Volkorne; Quatre-feuilles; Menoture; Casque Volkorne; Cape Indescriptible; Palmes Trithons; Dofus Turquoise; Dofus Pourpre; Dofus Nébuleux; Remueur; Nomade; Cascadeur majeur; Siroko</t>
        </is>
      </c>
    </row>
    <row r="20181">
      <c r="A20181" t="inlineStr">
        <is>
          <t>Xélor F 200</t>
        </is>
      </c>
      <c r="B20181">
        <f>HYPERLINK("https://www.dofusbook.net/fr/equipement/4948388-xelor-f-200/objets", "link")</f>
        <v/>
      </c>
      <c r="C20181" t="n">
        <v>0</v>
      </c>
      <c r="D20181" t="inlineStr"/>
    </row>
    <row r="20182">
      <c r="A20182" t="inlineStr">
        <is>
          <t>Xélor F 200</t>
        </is>
      </c>
      <c r="B20182">
        <f>HYPERLINK("https://www.dofusbook.net/fr/equipement/4947264-xelor-f-200/objets", "link")</f>
        <v/>
      </c>
      <c r="C20182" t="n">
        <v>0</v>
      </c>
      <c r="D20182" t="inlineStr">
        <is>
          <t>Baguette Range; Pendentif mignon de Koutoulou; Anneau du Professeur Xa; Anneau Rifique; Bouclier du Stalak; Ceinture de Vortex; Casque Cyclopéen; Cape Martegel; Sabots de Vortex; Dokoko; Dofus Pourpre; Dofus Abyssal; Dofus Ocre; Dofus Ébène; Dofus Ivoire; Kramkram</t>
        </is>
      </c>
    </row>
    <row r="20183">
      <c r="A20183" t="inlineStr">
        <is>
          <t>Xélor M 200</t>
        </is>
      </c>
      <c r="B20183">
        <f>HYPERLINK("https://www.dofusbook.net/fr/equipement/4941065-xelor-m-200/objets", "link")</f>
        <v/>
      </c>
      <c r="C20183" t="n">
        <v>0</v>
      </c>
      <c r="D20183" t="inlineStr">
        <is>
          <t>Arc du Chalœil; Collier de Tourthon; Anneau Volkorne; Anneau Crustique; Quatre-feuilles; Ceinture Volkorne; Masque de Koutoulou; Cape au Logis; Bottes de la Cour Sombre; Dofus Nébuleux; Dofus Abyssal; Dofus Pourpre; Dofus Turquoise; Remueur; Enragé majeur; Bulbisou</t>
        </is>
      </c>
    </row>
    <row r="20184">
      <c r="A20184" t="inlineStr">
        <is>
          <t>Xélor M 200</t>
        </is>
      </c>
      <c r="B20184">
        <f>HYPERLINK("https://www.dofusbook.net/fr/equipement/4941047-xelor-m-200/objets", "link")</f>
        <v/>
      </c>
      <c r="C20184" t="n">
        <v>0</v>
      </c>
      <c r="D20184" t="inlineStr">
        <is>
          <t>Marteau Phossile; Amulette Martegel; Alliance Brûlâme; Anneau Rifique; Bouclier du Stalak; Ceinture de Vortex; Chapeau des Malveilleurs; Cape Martegel; Sandales  d'Atcham; Dofus Abyssal; Dofus Pourpre; Dofus Ocre; Nomade; Remueur; Étourdisseur majeur; Volkorne Doré et Ivoire</t>
        </is>
      </c>
    </row>
    <row r="20185">
      <c r="A20185" t="inlineStr">
        <is>
          <t>Zobal M 200</t>
        </is>
      </c>
      <c r="B20185">
        <f>HYPERLINK("https://www.dofusbook.net/fr/equipement/4940713-zobal-m-200/objets", "link")</f>
        <v/>
      </c>
      <c r="C20185" t="n">
        <v>1</v>
      </c>
      <c r="D20185" t="inlineStr">
        <is>
          <t>Spatule Tranche-Gourmands; Amulette du Strigide; Bague Gloursonne; Anneau Chevelu; Bouclier du Captain Amakna; Ceintacé; Casque de Missiz Frizz; Cape au Logis; Bottes du Strigide; Dofus des Glaces; Dofus Turquoise; Dofus Pourpre; Nomade; Remueur; Vigoureux majeur; Kokulte</t>
        </is>
      </c>
    </row>
    <row r="20186">
      <c r="A20186" t="inlineStr">
        <is>
          <t>Xélor M 200</t>
        </is>
      </c>
      <c r="B20186">
        <f>HYPERLINK("https://www.dofusbook.net/fr/equipement/4936724-xelor-m-200/objets", "link")</f>
        <v/>
      </c>
      <c r="C20186" t="n">
        <v>2</v>
      </c>
      <c r="D20186" t="inlineStr">
        <is>
          <t>Sceptre du Roi Joueur; Amulette de l'Œil Attentif; Anneau Volkorne; Bracelet des Fonds marins; Bouclier du Stalak; Culotte de Bethel; Casque d'Ilyzaelle; Cape de l'Œil Attentif; Bottes du Sinistrofu; Dofus Ébène; Dofus Ocre; Dofus Ivoire; Nomade; Remueur; Chanceux majeur; Volkorne Ivoire et Indigo</t>
        </is>
      </c>
    </row>
    <row r="20187">
      <c r="A20187" t="inlineStr">
        <is>
          <t>Xélor M 200</t>
        </is>
      </c>
      <c r="B20187">
        <f>HYPERLINK("https://www.dofusbook.net/fr/equipement/4933544-xelor-m-200/objets", "link")</f>
        <v/>
      </c>
      <c r="C20187" t="n">
        <v>0</v>
      </c>
      <c r="D20187" t="inlineStr">
        <is>
          <t>Épée du Granduk; Amulette du Granduk; Anneau de Padgref; Gant du Valet Veinard; Quatre-feuilles; Ceinture de Vortex; Masque du Granduk; Cape de Jahash Jurgen; Sabots de Vortex; Dofus Nébuleux; Dofus Pourpre; Dofus Ocre; Dofus Turquoise; Dofus Ébène; Dofus Ivoire; Blérodoudou</t>
        </is>
      </c>
    </row>
    <row r="20188">
      <c r="A20188" t="inlineStr">
        <is>
          <t>Xélor M 200</t>
        </is>
      </c>
      <c r="B20188">
        <f>HYPERLINK("https://www.dofusbook.net/fr/equipement/4933483-xelor-m-200/objets", "link")</f>
        <v/>
      </c>
      <c r="C20188" t="n">
        <v>0</v>
      </c>
      <c r="D20188" t="inlineStr">
        <is>
          <t>Sceptre du Roi Joueur; Amulette de l'Œil Attentif; Anneau Volkorne; Bracelet des Fonds marins; Cadran d'Air; Ceinture Volkorne; Masque des Fonds marins; Cape de l'Œil Attentif; Sandales des Fonds marins; Dokoko; Dofus Abyssal; Dofus Ocre; Dofus Ivoire; Dofus Vulbis; Dofus Ébène; Kanigloups</t>
        </is>
      </c>
    </row>
    <row r="20189">
      <c r="A20189" t="inlineStr">
        <is>
          <t>Xélor M 200</t>
        </is>
      </c>
      <c r="B20189">
        <f>HYPERLINK("https://www.dofusbook.net/fr/equipement/4923754-xelor-m-200/objets", "link")</f>
        <v/>
      </c>
      <c r="C20189" t="n">
        <v>0</v>
      </c>
      <c r="D20189" t="inlineStr">
        <is>
          <t>Arc corrompu; Amulette d'Oshimo; Bague Instable; Anneau Instable; Bouclier d'Anerice; Ceinture Instable; Masque d'Anerice; Cape d'Anerice; Bottes d'Oshimo; Dofus Émeraude; Dofus Ivoire; Dokoko; Dofus Abyssal; Dofus Ocre; Dofus Forgelave; Dragoune Rose</t>
        </is>
      </c>
    </row>
    <row r="20190">
      <c r="A20190" t="inlineStr">
        <is>
          <t>Xélor M 200</t>
        </is>
      </c>
      <c r="B20190">
        <f>HYPERLINK("https://www.dofusbook.net/fr/equipement/4921647-xelor-m-200/objets", "link")</f>
        <v/>
      </c>
      <c r="C20190" t="n">
        <v>0</v>
      </c>
      <c r="D20190" t="inlineStr">
        <is>
          <t>Hache du Chalœil; Amulette Volkorne; Chevalière du Roi Joueur; Anneau Volkorne; Quatre-feuilles; Ceinture Volkorne; Couronne du Roi Joueur; Voile d'encre; Bottes du Roi Joueur; Dofus Abyssal; Dofus Turquoise; Dofus Ocre; Dofus des Glaces; Dofus Pourpre; Dofus Ébène; Volkorne Jade</t>
        </is>
      </c>
    </row>
    <row r="20191">
      <c r="A20191" t="inlineStr">
        <is>
          <t>Xélor M 200</t>
        </is>
      </c>
      <c r="B20191">
        <f>HYPERLINK("https://www.dofusbook.net/fr/equipement/4919624-xelor-m-200/objets", "link")</f>
        <v/>
      </c>
      <c r="C20191" t="n">
        <v>0</v>
      </c>
      <c r="D20191" t="inlineStr">
        <is>
          <t>Dagoulinantes; Amulette de l'Œil Attentif; Anneau Volkorne; Bracelet des Fonds marins; Quatre-feuilles; Culotte de Bethel; Némès de Tal Kasha; Cape Solution; Sandales de Tal Kasha; Dofus Ivoire; Dofus Abyssal; Dofus Ocre; Nomade; Étourdisseur majeur; Chanceux majeur; La Chose</t>
        </is>
      </c>
    </row>
    <row r="20192">
      <c r="A20192" t="inlineStr">
        <is>
          <t>Xélor M 200</t>
        </is>
      </c>
      <c r="B20192">
        <f>HYPERLINK("https://www.dofusbook.net/fr/equipement/4919292-xelor-m-200/objets", "link")</f>
        <v/>
      </c>
      <c r="C20192" t="n">
        <v>0</v>
      </c>
      <c r="D20192" t="inlineStr">
        <is>
          <t>Sabres d'Atcham; Amulette Volkorne; Alliance Brûlâme; Anneau Volkorne; Bouclier du Stalak; Ceinture Volkorne; Casque Volkorne; Cape d'Atcham; Sandales  d'Atcham; Dofus Abyssal; Dofus Ocre; Dofus des Glaces; Dofus Ivoire; Dofus Pourpre; Dofus Ébène; Boskito</t>
        </is>
      </c>
    </row>
    <row r="20193">
      <c r="A20193" t="inlineStr">
        <is>
          <t>Xélor M 200</t>
        </is>
      </c>
      <c r="B20193">
        <f>HYPERLINK("https://www.dofusbook.net/fr/equipement/4896582-xelor-m-200/objets", "link")</f>
        <v/>
      </c>
      <c r="C20193" t="n">
        <v>0</v>
      </c>
      <c r="D20193" t="inlineStr">
        <is>
          <t>Sabres d'Atcham; Amulette Volkorne; Anneau Volkorne; Anneau de Pol Ouatnos; Quatre-feuilles; Ceinture de Vortex; Casque Volkorne; Cape d'Atcham; Sandales  d'Atcham; Dolmanax; Dofus Turquoise; Dofus Pourpre; Dofus Abyssal; Dofus Ocre; Engourdisseur majeur; Kokulte</t>
        </is>
      </c>
    </row>
    <row r="20194">
      <c r="A20194" t="inlineStr">
        <is>
          <t>Xélor M 200</t>
        </is>
      </c>
      <c r="B20194">
        <f>HYPERLINK("https://www.dofusbook.net/fr/equipement/4896536-xelor-m-200/objets", "link")</f>
        <v/>
      </c>
      <c r="C20194" t="n">
        <v>2</v>
      </c>
      <c r="D20194" t="inlineStr">
        <is>
          <t>Arc corrompu; Amulette Volkorne; Anneauræus; Anneauræus; Bouclier du Stalak; Ceinture Volkorne; Heaume Oplate; Voile d'encre; Bottes Innommables; Dofus Abyssal; Dofus Turquoise; Étourdisseur majeur; Remueur; Érudit majeur; Nomade; Bisouglours</t>
        </is>
      </c>
    </row>
    <row r="20195">
      <c r="A20195" t="inlineStr">
        <is>
          <t>Eliotrope M 200</t>
        </is>
      </c>
      <c r="B20195">
        <f>HYPERLINK("https://www.dofusbook.net/fr/equipement/4890336-eliotrope-m-200/objets", "link")</f>
        <v/>
      </c>
      <c r="C20195" t="n">
        <v>2</v>
      </c>
      <c r="D20195" t="inlineStr">
        <is>
          <t>Rapière aux Glyphes; Amulette du Sinistrofu; Anneau Volkorne; Anneau en Grithril; Bouclier Taverne; Poulpagne; Masque de Kao; Cape Paztek; Sandales Paztek; Dofus Abyssal; Dofus Ocre; Dofus Ivoire; Chanceux majeur; Bousculeur majeur; Culbuteur majeur; Écumouth</t>
        </is>
      </c>
    </row>
    <row r="20196">
      <c r="A20196" t="inlineStr">
        <is>
          <t>Eliotrope M 200</t>
        </is>
      </c>
      <c r="B20196">
        <f>HYPERLINK("https://www.dofusbook.net/fr/equipement/4890115-eliotrope-m-200/objets", "link")</f>
        <v/>
      </c>
      <c r="C20196" t="n">
        <v>0</v>
      </c>
      <c r="D20196" t="inlineStr">
        <is>
          <t>Manthache; Amulette d'Ilyzaelle; Anneau d'Allister; Gant du Valet Veinard; Bouclier du Stalak; Menoture; Casque d'Ilyzaelle; Cape du Valet Veinard; Palmes Trithons; Dofus Abyssal; Dofus Ébène; Dofus Pourpre; Dofus des Glaces; Dofus Ivoire; Dofus Ocre; Blérodoudou</t>
        </is>
      </c>
    </row>
    <row r="20197">
      <c r="A20197" t="inlineStr">
        <is>
          <t>Eniripsa M 200</t>
        </is>
      </c>
      <c r="B20197">
        <f>HYPERLINK("https://www.dofusbook.net/fr/equipement/4890054-eniripsa-m-200/objets", "link")</f>
        <v/>
      </c>
      <c r="C20197" t="n">
        <v>1</v>
      </c>
      <c r="D20197" t="inlineStr">
        <is>
          <t>Plume de Buhorado; Amulette du Granduk; Alliance Gloursonne; Anneau de Padgref; Quatre-feuilles; Sangle Oriole; Masque du Granduk; Cape Indescriptible; Baleinabottes; Dofus Ocre; Dofus Abyssal; Dofus Turquoise; Dofus Pourpre; Dofus Ébène; Cascadeur majeur; Dragodinde Ebène</t>
        </is>
      </c>
    </row>
    <row r="20198">
      <c r="A20198" t="inlineStr">
        <is>
          <t>Steamer M 200</t>
        </is>
      </c>
      <c r="B20198">
        <f>HYPERLINK("https://www.dofusbook.net/fr/equipement/4889973-steamer-m-200/objets", "link")</f>
        <v/>
      </c>
      <c r="C20198" t="n">
        <v>0</v>
      </c>
      <c r="D20198" t="inlineStr">
        <is>
          <t>Pelle de Nidas; Amulette du Nocturlabe; Alliance Gloursonne; Anneau Volkorne; Droiture de Fallanster; Ceinture du Nocturlabe; Casque Volkorne; Cape de Léthaline; Bottes du Nocturlabe; Dofus Turquoise; Dofus Ivoire; Dofus Ébène; Dofus des Glaces; Dofus Pourpre; Dofus Ocre; Kramkram</t>
        </is>
      </c>
    </row>
    <row r="20199">
      <c r="A20199" t="inlineStr">
        <is>
          <t>Féca M 200</t>
        </is>
      </c>
      <c r="B20199">
        <f>HYPERLINK("https://www.dofusbook.net/fr/equipement/4889923-feca-m-200/objets", "link")</f>
        <v/>
      </c>
      <c r="C20199" t="n">
        <v>1</v>
      </c>
      <c r="D20199" t="inlineStr">
        <is>
          <t>Épée Brûlâme; Amulette Volkorne; Anneau Volkorne; Lavanneau; Quatre-feuilles; Ceinture Volkorne; Capuche de l'Œil Putride; Cape de l'Œil Putride; Pataugastrique; Dofus Pourpre; Dofus Ivoire; Dofus des Glaces; Dofus Turquoise; Dofus Ébène; Dofus Ocre; Kokulte</t>
        </is>
      </c>
    </row>
    <row r="20200">
      <c r="A20200" t="inlineStr">
        <is>
          <t>Féca M 200</t>
        </is>
      </c>
      <c r="B20200">
        <f>HYPERLINK("https://www.dofusbook.net/fr/equipement/4889826-feca-m-200/objets", "link")</f>
        <v/>
      </c>
      <c r="C20200" t="n">
        <v>2</v>
      </c>
      <c r="D20200" t="inlineStr">
        <is>
          <t>Spatule Tranche-Gourmands; Amulette du Cœur Saignant; Anneau des égarés; Anneau Volkorne; Droiture de Fallanster; Ceinture Volkorne; Casque Volkorne; Cape du Cœur Saignant; Bottes du Cœur Saignant; Dofus Pourpre; Dofus Ivoire; Dofus Ébène; Dofus des Glaces; Dofus Ocre; Dofus Turquoise; Kokulte</t>
        </is>
      </c>
    </row>
    <row r="20201">
      <c r="A20201" t="inlineStr">
        <is>
          <t>Eliotrope M 200</t>
        </is>
      </c>
      <c r="B20201">
        <f>HYPERLINK("https://www.dofusbook.net/fr/equipement/4889713-eliotrope-m-200/objets", "link")</f>
        <v/>
      </c>
      <c r="C20201" t="n">
        <v>0</v>
      </c>
      <c r="D20201" t="inlineStr">
        <is>
          <t>Spatule Tranche-Gourmands; Amulette du Strigide; Anneau de Padgref; Anneau Volkorne; Bouclier du Captain Amakna; Ceinture Volkorne; Casque Volkorne; Cape des Justiciers; Bottes du Strigide; Dofus Pourpre; Dofus Ébène; Dofus Nébuleux; Dofus Turquoise; Dofus Ocre; Dofus des Glaces; Kokulte</t>
        </is>
      </c>
    </row>
    <row r="20202">
      <c r="A20202" t="inlineStr">
        <is>
          <t>Ouginak M 200</t>
        </is>
      </c>
      <c r="B20202">
        <f>HYPERLINK("https://www.dofusbook.net/fr/equipement/4870394-ouginak-m-200/objets", "link")</f>
        <v/>
      </c>
      <c r="C20202" t="n">
        <v>2</v>
      </c>
      <c r="D20202" t="inlineStr">
        <is>
          <t>Lav'Hache; Amulette Volcanique; Anneau Chevelu; Chevalière du Roi Joueur; Bouclier des Chocomanciens; Ceinture des Chocomanciens; Couronne du Roi Joueur; Sac Volcanique; Sabots Volcaniques; Dofus Ivoire; Dofus Émeraude; Dofus Ocre; Dofus Vulbis; Dofus Forgelave; Dofus Abyssal; Eliôme</t>
        </is>
      </c>
    </row>
    <row r="20203">
      <c r="A20203" t="inlineStr">
        <is>
          <t>Sadida M 200</t>
        </is>
      </c>
      <c r="B20203">
        <f>HYPERLINK("https://www.dofusbook.net/fr/equipement/4870294-sadida-m-200/objets", "link")</f>
        <v/>
      </c>
      <c r="C20203" t="n">
        <v>1</v>
      </c>
      <c r="D20203" t="inlineStr">
        <is>
          <t>Arc du Chalœil; Collier de Tourthon; Anneau Crustique; Anneau Crustique; Bouclier du Stalak; Ceinture de la Reine des Voleurs; Coiffe de la Reine des Voleurs; Ankhape; Bottes de la Cour Sombre; Dofus Ivoire; Dofus Vulbis; Dofus des Glaces; Dofus Ocre; Dofus Ébène; Enragé majeur; Kompost</t>
        </is>
      </c>
    </row>
    <row r="20204">
      <c r="A20204" t="inlineStr">
        <is>
          <t>Steamer M 200</t>
        </is>
      </c>
      <c r="B20204">
        <f>HYPERLINK("https://www.dofusbook.net/fr/equipement/4859938-steamer-m-200/objets", "link")</f>
        <v/>
      </c>
      <c r="C20204" t="n">
        <v>0</v>
      </c>
      <c r="D20204" t="inlineStr">
        <is>
          <t>Arc Volkorne; Amulette du Strigide; Anneau Volkorne; Bague Trithon; Quatre-feuilles; Ceinture du Strigide; Casque Volkorne; Cape des Justiciers; Bottes Trithon; Dofus Ocre; Dofus Vulbis; Dofus Pourpre; Dofus Ébène; Dofus Turquoise; Dofus des Glaces; Kokulte</t>
        </is>
      </c>
    </row>
    <row r="20205">
      <c r="A20205" t="inlineStr">
        <is>
          <t>Pandawa M 200</t>
        </is>
      </c>
      <c r="B20205">
        <f>HYPERLINK("https://www.dofusbook.net/fr/equipement/4859800-pandawa-m-200/objets", "link")</f>
        <v/>
      </c>
      <c r="C20205" t="n">
        <v>0</v>
      </c>
      <c r="D20205" t="inlineStr">
        <is>
          <t>Rouleau à Pâtisserie d'Aermyne; Amulette d'Ilyzaelle; Bague Trithon; Anneau de Pol Ouatnos; Bouclier Bontarien; Ceinture Gence; Masque d'Anerice; Cape d'Anerice; Getas Bernacle; Dofus Ivoire; Dokoko; Dofus Émeraude; Dofus Ocre; Dofus Abyssal; Miraculé majeur; Gupin</t>
        </is>
      </c>
    </row>
    <row r="20206">
      <c r="A20206" t="inlineStr">
        <is>
          <t>Eniripsa M 200</t>
        </is>
      </c>
      <c r="B20206">
        <f>HYPERLINK("https://www.dofusbook.net/fr/equipement/4853138-eniripsa-m-200/objets", "link")</f>
        <v/>
      </c>
      <c r="C20206" t="n">
        <v>1</v>
      </c>
      <c r="D20206" t="inlineStr">
        <is>
          <t>Arc corrompu; Amulette Volkorne; Anneauræus; Anneau Volkorne; Quatre-feuilles; Ceinture Séculaire; Coiffe Séculaire; Cape de Diondin; Bottes Innommables; Dofus Ébène; Dofus Ocre; Dofus Vulbis; Dofus Ivoire; Dofus des Glaces; Dofus Turquoise; Bisouglours</t>
        </is>
      </c>
    </row>
    <row r="20207">
      <c r="A20207" t="inlineStr">
        <is>
          <t>Eniripsa M 200</t>
        </is>
      </c>
      <c r="B20207">
        <f>HYPERLINK("https://www.dofusbook.net/fr/equipement/4853127-eniripsa-m-200/objets", "link")</f>
        <v/>
      </c>
      <c r="C20207" t="n">
        <v>1</v>
      </c>
      <c r="D20207" t="inlineStr">
        <is>
          <t>Arc du Chalœil; Amulette du Cœur Saignant; Anneau Crustique; Anneau Volkorne; Bouclier du Stalak; Ceinture Volkorne; Couronne de Brâm Barbe-Monde; Cape du Cœur Saignant; Bottes du Cœur Saignant; Dofus Vulbis; Dofus Abyssal; Dofus Turquoise; Dofus Ébène; Dofus Ocre; Dofus Ivoire; Bulbisou</t>
        </is>
      </c>
    </row>
    <row r="20208">
      <c r="A20208" t="inlineStr">
        <is>
          <t>Eniripsa M 200</t>
        </is>
      </c>
      <c r="B20208">
        <f>HYPERLINK("https://www.dofusbook.net/fr/equipement/4853121-eniripsa-m-200/objets", "link")</f>
        <v/>
      </c>
      <c r="C20208" t="n">
        <v>1</v>
      </c>
      <c r="D20208" t="inlineStr">
        <is>
          <t>Arc de Koutoulou; Amulette des Chocomanciens; Anneau Toriété; Anneau Volkorne; Bouclier du Stalak; Ceinture des Chocomanciens; Casque Volkorne; Chevelure de Tal Kasha; Sandales de Tal Kasha; Dofus Ocre; Dofus Ivoire; Dofus Ébène; Dofus Turquoise; Dofus Pourpre; Dofus Abyssal; Volkorne Doré et Emeraude</t>
        </is>
      </c>
    </row>
    <row r="20209">
      <c r="A20209" t="inlineStr">
        <is>
          <t>Xélor M 200</t>
        </is>
      </c>
      <c r="B20209">
        <f>HYPERLINK("https://www.dofusbook.net/fr/equipement/4818394-xelor-m-200/objets", "link")</f>
        <v/>
      </c>
      <c r="C20209" t="n">
        <v>0</v>
      </c>
      <c r="D20209" t="inlineStr">
        <is>
          <t>Arc corrompu; Amulette Volkorne; Anneauræus; Anneau Volkorne; Cadran de Terre; Ceinture de Vortex; Masque Ardent; Cape Ardente; Chaussures Ardentes; Dofus Ivoire; Dofus Ocre; Dofus Vulbis; Dofus Pourpre; Dofus Abyssal; Dofus Ébène; Bisouglours</t>
        </is>
      </c>
    </row>
    <row r="20210">
      <c r="A20210" t="inlineStr">
        <is>
          <t>Xélor M 200</t>
        </is>
      </c>
      <c r="B20210">
        <f>HYPERLINK("https://www.dofusbook.net/fr/equipement/4818351-xelor-m-200/objets", "link")</f>
        <v/>
      </c>
      <c r="C20210" t="n">
        <v>0</v>
      </c>
      <c r="D20210" t="inlineStr">
        <is>
          <t>Epée Gloursonne; Amulette de l'Indicible; Bague Gloursonne; Alliance Gloursonne; Bouclier du Stalak; Ceinture de l'Indicible; Masque de l'Esprit Salvateur; Voilamibe; Bottes de l'Esprit Salvateur; Dofus des Glaces; Dofus Ébène; Dofus Ocre; Dolmanax; Dofus Pourpre; Robuste majeur; Kramkram</t>
        </is>
      </c>
    </row>
    <row r="20211">
      <c r="A20211" t="inlineStr">
        <is>
          <t>Xélor M 200</t>
        </is>
      </c>
      <c r="B20211">
        <f>HYPERLINK("https://www.dofusbook.net/fr/equipement/4818290-xelor-m-200/objets", "link")</f>
        <v/>
      </c>
      <c r="C20211" t="n">
        <v>0</v>
      </c>
      <c r="D20211" t="inlineStr">
        <is>
          <t>Sabres d'Atcham; Amulette Volkorne; Lavanneau; Anneau Volkorne; Cadran de Terre; Ceinture de l'Esprit Malsain; Masque de l'Esprit Malsain; Cape d'Atcham; Sandales  d'Atcham; Dofus Ivoire; Dofus Vulbis; Dofus des Glaces; Dofus Pourpre; Dofus Ocre; Dofus Ébène; Boskito</t>
        </is>
      </c>
    </row>
    <row r="20212">
      <c r="A20212" t="inlineStr">
        <is>
          <t>Féca M 200</t>
        </is>
      </c>
      <c r="B20212">
        <f>HYPERLINK("https://www.dofusbook.net/fr/equipement/4804595-feca-m-200/objets", "link")</f>
        <v/>
      </c>
      <c r="C20212" t="n">
        <v>0</v>
      </c>
      <c r="D20212" t="inlineStr">
        <is>
          <t>Arc corrompu; Amulette Volkorne; Anneauræus; Anneauræus; Bouclier du Stalak; Ceinture Volkorne; Bonnet Toual; Cape de Diondin; Bottes Innommables; Dofus Ocre; Dofus Ivoire; Dofus Ébène; Dofus Abyssal; Nomade; Érudit majeur; Bisouglours</t>
        </is>
      </c>
    </row>
    <row r="20213">
      <c r="A20213" t="inlineStr">
        <is>
          <t>Iop M 200</t>
        </is>
      </c>
      <c r="B20213">
        <f>HYPERLINK("https://www.dofusbook.net/fr/equipement/4695170-iop-m-200/objets", "link")</f>
        <v/>
      </c>
      <c r="C20213" t="n">
        <v>3</v>
      </c>
      <c r="D20213" t="inlineStr">
        <is>
          <t>Baguette Range; Amulette Volkorne; Alliance Brûlâme; Anneau Rifique; Bouclier du Stalak; Ceinture de Vortex; Casque Volkorne; Cape Martegel; Pantoufles Émar; Dofus des Glaces; Dofus Pourpre; Vigoureux majeur; Nomade; Robuste majeur; Remueur; Willy le Relou</t>
        </is>
      </c>
    </row>
    <row r="20214">
      <c r="A20214" t="inlineStr">
        <is>
          <t>Ouginak M 200</t>
        </is>
      </c>
      <c r="B20214">
        <f>HYPERLINK("https://www.dofusbook.net/fr/equipement/4683536-ouginak-m-200/objets", "link")</f>
        <v/>
      </c>
      <c r="C20214" t="n">
        <v>2</v>
      </c>
      <c r="D20214" t="inlineStr">
        <is>
          <t>Bêche Asse; Collier de Tourthon; Anneau Chevelu; Anneau Volkorne; Cadran de Feu; Ceinture Volkorne; Masque de Koutoulou; Cape au Logis; Baleinabottes; Dofus Pourpre; Dofus Émeraude; Dofus Abyssal; Remueur; Nomade; Enragé majeur; Eliôme</t>
        </is>
      </c>
    </row>
    <row r="20215">
      <c r="A20215" t="inlineStr">
        <is>
          <t>Ouginak M 200</t>
        </is>
      </c>
      <c r="B20215">
        <f>HYPERLINK("https://www.dofusbook.net/fr/equipement/4683437-ouginak-m-200/objets", "link")</f>
        <v/>
      </c>
      <c r="C20215" t="n">
        <v>2</v>
      </c>
      <c r="D20215" t="inlineStr">
        <is>
          <t>Arc Nécrotique; Amulette Volkorne; Goulano; Anneau Volkorne; Droiture de Fallanster; Ceintacé; Masque Paztek; Cape Paztek; Sandales Paztek; Dofus des Glaces; Dofus Forgelave; Dofus Pourpre; Dofus Ivoire; Dofus Ocre; Bousculeur majeur; Eliôme</t>
        </is>
      </c>
    </row>
    <row r="20216">
      <c r="A20216" t="inlineStr">
        <is>
          <t>Ouginak M 200</t>
        </is>
      </c>
      <c r="B20216">
        <f>HYPERLINK("https://www.dofusbook.net/fr/equipement/4683391-ouginak-m-200/objets", "link")</f>
        <v/>
      </c>
      <c r="C20216" t="n">
        <v>2</v>
      </c>
      <c r="D20216" t="inlineStr">
        <is>
          <t>Crocobur; Collier de Tourthon; Anneau Volkorne; Anneau Chevelu; Bouclier d'Ilyzaelle; Ceinture Volkorne; Masque de Koutoulou; Cape au Logis; Bottes de la Cour Sombre; Dofus Abyssal; Dofus des Glaces; Dofus Émeraude; Dofus Ocre; Miraculé majeur; Enragé majeur; Bulbisou</t>
        </is>
      </c>
    </row>
    <row r="20217">
      <c r="A20217" t="inlineStr">
        <is>
          <t>Ouginak M 200</t>
        </is>
      </c>
      <c r="B20217">
        <f>HYPERLINK("https://www.dofusbook.net/fr/equipement/4683262-ouginak-m-200/objets", "link")</f>
        <v/>
      </c>
      <c r="C20217" t="n">
        <v>3</v>
      </c>
      <c r="D20217" t="inlineStr">
        <is>
          <t>Pelle Emélaka; Amulette d'Ilyzaelle; Lavanneau; Anneau Volkorne; Bouclier alvéolé; Ceinture de la Reine des Voleurs; Casque d'Ilyzaelle; Cape Solution; Bottes de la Reine des Voleurs; Dofus des Glaces; Dofus Pourpre; Dofus Vulbis; Dofus Abyssal; Dofus Ocre; Dofus Ivoire; Kanigloups</t>
        </is>
      </c>
    </row>
    <row r="20218">
      <c r="A20218" t="inlineStr">
        <is>
          <t>Ouginak M 200</t>
        </is>
      </c>
      <c r="B20218">
        <f>HYPERLINK("https://www.dofusbook.net/fr/equipement/4683243-ouginak-m-200/objets", "link")</f>
        <v/>
      </c>
      <c r="C20218" t="n">
        <v>0</v>
      </c>
      <c r="D20218" t="inlineStr">
        <is>
          <t>Pelle Fik; Amulette de Shokkoth; Bracelet des Fonds marins; Anneau Volkorne; Bouclier du Captain Amakna; Sangle Ouare; Némès de Tal Kasha; Cape Solution; Sandales de Tal Kasha; Dofus Abyssal; Dofus Pourpre; Dofus Turquoise; Remueur; Dévastateur Eau majeur; Chanceux majeur; Pioute bleu</t>
        </is>
      </c>
    </row>
    <row r="20219">
      <c r="A20219" t="inlineStr">
        <is>
          <t>Ouginak M 200</t>
        </is>
      </c>
      <c r="B20219">
        <f>HYPERLINK("https://www.dofusbook.net/fr/equipement/4678537-ouginak-m-200/objets", "link")</f>
        <v/>
      </c>
      <c r="C20219" t="n">
        <v>0</v>
      </c>
      <c r="D20219" t="inlineStr">
        <is>
          <t>Lance Horselé; Collier du Valet Veinard; Gant du Valet Veinard; Alliance Gloursonne; Bouclier d'Ilyzaelle; Menoture; Casque Dragoeuf; Cape Martegel; Palmes Trithons; Dofus Pourpre; Dofus Abyssal; Dofus Émeraude; Dofus Ocre; Nomade; Cascadeur majeur; La Chose</t>
        </is>
      </c>
    </row>
    <row r="20220">
      <c r="A20220" t="inlineStr">
        <is>
          <t>Ouginak M 200</t>
        </is>
      </c>
      <c r="B20220">
        <f>HYPERLINK("https://www.dofusbook.net/fr/equipement/4677469-ouginak-m-200/objets", "link")</f>
        <v/>
      </c>
      <c r="C20220" t="n">
        <v>0</v>
      </c>
      <c r="D20220" t="inlineStr">
        <is>
          <t>Massier; Amulette Volkorne; Anneauræus; Anneau Volkorne; Cadran d'Eau; Ceinture Séculaire; Heaume Oplate; Cape de Diondin; Bottes Innommables; Dofus Pourpre; Dofus Abyssal; Dofus Turquoise; Érudit majeur; Nomade; Carapace Feu majeur; Bisouglours</t>
        </is>
      </c>
    </row>
    <row r="20221">
      <c r="A20221" t="inlineStr">
        <is>
          <t>Sram M 200</t>
        </is>
      </c>
      <c r="B20221">
        <f>HYPERLINK("https://www.dofusbook.net/fr/equipement/4662805-sram-m-200/objets", "link")</f>
        <v/>
      </c>
      <c r="C20221" t="n">
        <v>2</v>
      </c>
      <c r="D20221" t="inlineStr">
        <is>
          <t>Arc Volkorne; Amulette du Strigide; Anneau Volkorne; Bague Trithon; Quatre-feuilles; Ceinture Volkorne; Masque Trithon; Cape des Justiciers; Bottes du Strigide; Dofus Pourpre; Dofus Nébuleux; Dofus Ébène; Dofus Ocre; Dofus Vulbis; Dofus Abyssal; Kokulte</t>
        </is>
      </c>
    </row>
    <row r="20222">
      <c r="A20222" t="inlineStr">
        <is>
          <t>Ouginak M 200</t>
        </is>
      </c>
      <c r="B20222">
        <f>HYPERLINK("https://www.dofusbook.net/fr/equipement/4662778-ouginak-m-200/objets", "link")</f>
        <v/>
      </c>
      <c r="C20222" t="n">
        <v>0</v>
      </c>
      <c r="D20222" t="inlineStr">
        <is>
          <t>Bêche Asse; Collier de Tourthon; Anneau Crustique; Anneau Volkorne; Droiture de Fallanster; Ceinture Volkorne; Masque de Koutoulou; Cape au Logis; Bottes de la Cour Sombre; Dofus Émeraude; Dofus Pourpre; Dofus Abyssal; Remueur; Nomade; Enragé majeur; Bulbisou</t>
        </is>
      </c>
    </row>
    <row r="20223">
      <c r="A20223" t="inlineStr">
        <is>
          <t>Eniripsa M 200</t>
        </is>
      </c>
      <c r="B20223">
        <f>HYPERLINK("https://www.dofusbook.net/fr/equipement/4653915-eniripsa-m-200/objets", "link")</f>
        <v/>
      </c>
      <c r="C20223" t="n">
        <v>1</v>
      </c>
      <c r="D20223" t="inlineStr">
        <is>
          <t>Crocobur; Amulette du Strigide; Anneau Volkorne; Alliance de Missiz Frizz; Bouclier du Captain Amakna; Ceinture Volkorne; Casque de Missiz Frizz; Cape Solution; Bottes du Strigide; Dofus Vulbis; Dofus Turquoise; Dofus des Glaces; Dofus Ocre; Dofus Ébène; Dofus Pourpre; Kokulte</t>
        </is>
      </c>
    </row>
    <row r="20224">
      <c r="A20224" t="inlineStr">
        <is>
          <t>Steamer M 200</t>
        </is>
      </c>
      <c r="B20224">
        <f>HYPERLINK("https://www.dofusbook.net/fr/equipement/4649736-steamer-m-200/objets", "link")</f>
        <v/>
      </c>
      <c r="C20224" t="n">
        <v>0</v>
      </c>
      <c r="D20224" t="inlineStr">
        <is>
          <t>Arc Volkorne; Amulette Volkorne; Anneau de Pol Ouatnos; Anneau Volkorne; Quatre-feuilles; Ceinture du Strigide; Le Dorado; Cape de Jahash Jurgen; Bottes du Strigide; Dofus Abyssal; Dofus Pourpre; Dofus Ocre; Dofus Turquoise; Dolmanax; Dofus des Glaces; Kokulte</t>
        </is>
      </c>
    </row>
    <row r="20225">
      <c r="A20225" t="inlineStr">
        <is>
          <t>Steamer M 200</t>
        </is>
      </c>
      <c r="B20225">
        <f>HYPERLINK("https://www.dofusbook.net/fr/equipement/4649623-steamer-m-200/objets", "link")</f>
        <v/>
      </c>
      <c r="C20225" t="n">
        <v>1</v>
      </c>
      <c r="D20225" t="inlineStr">
        <is>
          <t>Arc Volkorne; Amulette du Strigide; Alliance Brûlâme; Alliance Gloursonne; Quatre-feuilles; Ceinture du Strigide; Couronne de Brâm Barbe-Monde; Cape d'Anerice; Pataugastrique; Dofus Turquoise; Dofus Abyssal; Dofus Pourpre; Vigoureux majeur; Remueur; Nomade; Kokulte</t>
        </is>
      </c>
    </row>
    <row r="20226">
      <c r="A20226" t="inlineStr">
        <is>
          <t>Steamer M 200</t>
        </is>
      </c>
      <c r="B20226">
        <f>HYPERLINK("https://www.dofusbook.net/fr/equipement/4649452-steamer-m-200/objets", "link")</f>
        <v/>
      </c>
      <c r="C20226" t="n">
        <v>1</v>
      </c>
      <c r="D20226" t="inlineStr">
        <is>
          <t>Harpelle; Amulette Volkorne; Anneauræus; Anneau Volkorne; Bouclier du Stalak; Ceinture de Vortex; Coiffe Séculaire; Cape de Diondin; Bottes Innommables; Dofus Abyssal; Carapace Terre majeur; Érudit majeur; Remueur; Dévastateur Feu majeur; Nomade; Bisouglours</t>
        </is>
      </c>
    </row>
    <row r="20227">
      <c r="A20227" t="inlineStr">
        <is>
          <t>Ouginak M 200</t>
        </is>
      </c>
      <c r="B20227">
        <f>HYPERLINK("https://www.dofusbook.net/fr/equipement/4648916-ouginak-m-200/objets", "link")</f>
        <v/>
      </c>
      <c r="C20227" t="n">
        <v>0</v>
      </c>
      <c r="D20227" t="inlineStr"/>
    </row>
    <row r="20228">
      <c r="A20228" t="inlineStr">
        <is>
          <t>Ouginak M 200</t>
        </is>
      </c>
      <c r="B20228">
        <f>HYPERLINK("https://www.dofusbook.net/fr/equipement/4648879-ouginak-m-200/objets", "link")</f>
        <v/>
      </c>
      <c r="C20228" t="n">
        <v>0</v>
      </c>
      <c r="D20228" t="inlineStr">
        <is>
          <t>Baguette Hernelle; Torquistik; Anneauræus; Anneau Rifique; Bouclier Taverne; Audace de Dodge; Heaume Oplate; Cape Paztek; Sandales Paztek; Dofus Ocre; Dofus Ivoire; Culbuteur majeur; Bousculeur majeur; Nomade; Érudit majeur; Scarakiri</t>
        </is>
      </c>
    </row>
    <row r="20229">
      <c r="A20229" t="inlineStr">
        <is>
          <t>Crâ M 200</t>
        </is>
      </c>
      <c r="B20229">
        <f>HYPERLINK("https://www.dofusbook.net/fr/equipement/4642114-cra-m-200/objets", "link")</f>
        <v/>
      </c>
      <c r="C20229" t="n">
        <v>0</v>
      </c>
      <c r="D20229" t="inlineStr">
        <is>
          <t>Le Thanos; Pendentif affamé; Anneauræus; Anneauræus; Bouclier d'Ilyzaelle; Ceintrigue; Casque d'Ilyzaelle; Cape de Diondin; Bottes Innommables; Dofus Ivoire; Dofus Ocre; Érudit majeur; Nomade; Guérisseur majeur; Remueur; Meuch</t>
        </is>
      </c>
    </row>
    <row r="20230">
      <c r="A20230" t="inlineStr">
        <is>
          <t>Féca M 200</t>
        </is>
      </c>
      <c r="B20230">
        <f>HYPERLINK("https://www.dofusbook.net/fr/equipement/4642078-feca-m-200/objets", "link")</f>
        <v/>
      </c>
      <c r="C20230" t="n">
        <v>0</v>
      </c>
      <c r="D20230" t="inlineStr">
        <is>
          <t>Épée du Granduk; Amulette du Granduk; Anneau de Padgref; Gant du Valet Veinard; Cadran d'Eau; Menoture; Masque du Granduk; Cape du Valet Veinard; Getas de Padgref; Dofus Nébuleux; Dofus Ivoire; Dofus Ébène; Dofus Abyssal; Dofus Pourpre; Dofus Turquoise; Blérodoudou</t>
        </is>
      </c>
    </row>
    <row r="20231">
      <c r="A20231" t="inlineStr">
        <is>
          <t>Ouginak M 200</t>
        </is>
      </c>
      <c r="B20231">
        <f>HYPERLINK("https://www.dofusbook.net/fr/equipement/4642028-ouginak-m-200/objets", "link")</f>
        <v/>
      </c>
      <c r="C20231" t="n">
        <v>0</v>
      </c>
      <c r="D20231" t="inlineStr">
        <is>
          <t>Sabres d'Atcham; Amulette du Strigide; Bracelet du Piloztère; Anneau de Padgref; Bouclier du Captain Amakna; Ceinture du Strigide; Diadème de Ganymède; Cape d'Atcham; Getas de Padgref; Dofus Abyssal; Dofus Ocre; Dofus des Glaces; Dofus Pourpre; Dofus Nébuleux; Dofus Turquoise; Kokulte</t>
        </is>
      </c>
    </row>
    <row r="20232">
      <c r="A20232" t="inlineStr">
        <is>
          <t>Ouginak M 200</t>
        </is>
      </c>
      <c r="B20232">
        <f>HYPERLINK("https://www.dofusbook.net/fr/equipement/4641982-ouginak-m-200/objets", "link")</f>
        <v/>
      </c>
      <c r="C20232" t="n">
        <v>0</v>
      </c>
      <c r="D20232" t="inlineStr">
        <is>
          <t>Epée Maudite du Saigneur Guerrier; Amulette de l'Indicible; Alliance Gloursonne; Alliance Brûlâme; Bouclier Taverne; Ceinture de l'Indicible; Diadème de Ganymède; Cape de Jahash Jurgen; Bottes de Mille Lieues; Dofus Nébuleux; Dofus Ocre; Dofus Pourpre; Vigoureux majeur; Nomade; Robuste majeur; Kramkram</t>
        </is>
      </c>
    </row>
    <row r="20233">
      <c r="A20233" t="inlineStr">
        <is>
          <t>Ouginak M 200</t>
        </is>
      </c>
      <c r="B20233">
        <f>HYPERLINK("https://www.dofusbook.net/fr/equipement/4641941-ouginak-m-200/objets", "link")</f>
        <v/>
      </c>
      <c r="C20233" t="n">
        <v>0</v>
      </c>
      <c r="D20233" t="inlineStr">
        <is>
          <t>Héqache; Amulette du Nocturlabe; Anneau Toriété; Anneau des égarés; Droiture de Fallanster; Ceinture du Nocturlabe; Casque des égarés; Cape du Kamasterisk; Bottes du Kamasterisk; Dofus Pourpre; Dofus Émeraude; Dofus Ocre; Dofus Abyssal; Dokoko; Dofus Ivoire; Titard</t>
        </is>
      </c>
    </row>
    <row r="20234">
      <c r="A20234" t="inlineStr">
        <is>
          <t>Ouginak M 200</t>
        </is>
      </c>
      <c r="B20234">
        <f>HYPERLINK("https://www.dofusbook.net/fr/equipement/4641894-ouginak-m-200/objets", "link")</f>
        <v/>
      </c>
      <c r="C20234" t="n">
        <v>0</v>
      </c>
      <c r="D20234" t="inlineStr">
        <is>
          <t>Baguette Hique; Amulette du Sinistrofu; Anneau Volkorne; Anneau Toriété; Droiture de Fallanster; Ceinture Volkorne; Masque d'Anerice; Cape d'Anerice; Bottes du Sinistrofu; Dofus Turquoise; Dofus Forgelave; Dofus Ébène; Dofus Ocre; Dofus Ivoire; Dofus Abyssal; Fëanor</t>
        </is>
      </c>
    </row>
    <row r="20235">
      <c r="A20235" t="inlineStr">
        <is>
          <t>Ouginak M 200</t>
        </is>
      </c>
      <c r="B20235">
        <f>HYPERLINK("https://www.dofusbook.net/fr/equipement/4641856-ouginak-m-200/objets", "link")</f>
        <v/>
      </c>
      <c r="C20235" t="n">
        <v>0</v>
      </c>
      <c r="D20235" t="inlineStr">
        <is>
          <t>Sabres d'Atcham; Talisman Glouti; Anneau Volkorne; Anneau Tique; Droiture de Fallanster; Ceinture Volkorne; Dorabysses; Cape d'Atcham; Sandales  d'Atcham; Dofus Émeraude; Dofus Turquoise; Dofus Vulbis; Dofus Ivoire; Dofus Pourpre; Dofus Abyssal; Kokulte</t>
        </is>
      </c>
    </row>
    <row r="20236">
      <c r="A20236" t="inlineStr">
        <is>
          <t>Ouginak M 200</t>
        </is>
      </c>
      <c r="B20236">
        <f>HYPERLINK("https://www.dofusbook.net/fr/equipement/4641823-ouginak-m-200/objets", "link")</f>
        <v/>
      </c>
      <c r="C20236" t="n">
        <v>0</v>
      </c>
      <c r="D20236" t="inlineStr">
        <is>
          <t>Marteau R'ture; Collier de Tourthon; Anneau Chevelu; Bracelet du Piloztère; Bouclier Pandawa; Ceinture Gence; Couronne de Brâm Barbe-Monde; Cape du Cœur Saignant; Bottes du Cœur Saignant; Dofus Nébuleux; Dofus Turquoise; Dofus Ivoire; Dofus Émeraude; Nomade; Carapace Neutre majeur; Gupin</t>
        </is>
      </c>
    </row>
    <row r="20237">
      <c r="A20237" t="inlineStr">
        <is>
          <t>Ouginak M 200</t>
        </is>
      </c>
      <c r="B20237">
        <f>HYPERLINK("https://www.dofusbook.net/fr/equipement/4641790-ouginak-m-200/objets", "link")</f>
        <v/>
      </c>
      <c r="C20237" t="n">
        <v>1</v>
      </c>
      <c r="D20237" t="inlineStr">
        <is>
          <t>Baguette Range; Amulette Volcanique; Anneauræus; Anneau de Nidas; Cadran d'Eau; Ceinture Séculaire; Capuche de l'Œil Putride; Cape de l'Œil Putride; Bottes de Meno; Dofus Ocre; Dofus Abyssal; Dofus Ébène; Dofus Ivoire; Temporiseur majeur; Nomade; Volkorne Turquoise</t>
        </is>
      </c>
    </row>
    <row r="20238">
      <c r="A20238" t="inlineStr">
        <is>
          <t>Ouginak M 200</t>
        </is>
      </c>
      <c r="B20238">
        <f>HYPERLINK("https://www.dofusbook.net/fr/equipement/4641750-ouginak-m-200/objets", "link")</f>
        <v/>
      </c>
      <c r="C20238" t="n">
        <v>0</v>
      </c>
      <c r="D20238" t="inlineStr">
        <is>
          <t>L'Épée Nice; Collier du Valet Veinard; Alliance Gloursonne; Anneau Rifique; Bouclier Bontarien; Menoture; Coiffe de la Reine des Voleurs; Cape du Valet Veinard; Bottes de la Reine des Voleurs; Dofus Émeraude; Dofus Abyssal; Dofus Ocre; Dofus Ivoire; Dofus Ébène; Dofus Forgelave; La Chose</t>
        </is>
      </c>
    </row>
    <row r="20239">
      <c r="A20239" t="inlineStr">
        <is>
          <t>Enutrof M 200</t>
        </is>
      </c>
      <c r="B20239">
        <f>HYPERLINK("https://www.dofusbook.net/fr/equipement/4641674-enutrof-m-200/objets", "link")</f>
        <v/>
      </c>
      <c r="C20239" t="n">
        <v>0</v>
      </c>
      <c r="D20239" t="inlineStr">
        <is>
          <t>Sceptre du Roi Joueur; Amulette de l'Œil Attentif; Alliance Gloursonne; Anneau Volkorne; Bouclier Pandawa; Poulpagne; Masque des Fonds marins; Cape du Sinistrofu; Bottes du Sinistrofu; Dofus Turquoise; Dofus Ivoire; Dofus Ocre; Chanceux majeur; Carapace Air majeur; Nomade; Kokulte</t>
        </is>
      </c>
    </row>
    <row r="20240">
      <c r="A20240" t="inlineStr">
        <is>
          <t>Ouginak M 200</t>
        </is>
      </c>
      <c r="B20240">
        <f>HYPERLINK("https://www.dofusbook.net/fr/equipement/4641637-ouginak-m-200/objets", "link")</f>
        <v/>
      </c>
      <c r="C20240" t="n">
        <v>0</v>
      </c>
      <c r="D20240" t="inlineStr">
        <is>
          <t>Bêche Asse; Amulette du Cœur Saignant; Anneau Chevelu; Bague Gloursonne; Bouclier d'Ilyzaelle; Ceinture Gence; Masque de Koutoulou; Cape au Logis; Bottes du Cœur Saignant; Dofus Ivoire; Dokoko; Dofus Émeraude; Dofus Ébène; Dofus Abyssal; Enragé majeur; Bulbisou</t>
        </is>
      </c>
    </row>
    <row r="20241">
      <c r="A20241" t="inlineStr">
        <is>
          <t>Ouginak M 200</t>
        </is>
      </c>
      <c r="B20241">
        <f>HYPERLINK("https://www.dofusbook.net/fr/equipement/4636752-ouginak-m-200/objets", "link")</f>
        <v/>
      </c>
      <c r="C20241" t="n">
        <v>1</v>
      </c>
      <c r="D20241" t="inlineStr">
        <is>
          <t>Massier; Amulette Volkorne; Chevalière du Roi Joueur; Anneau de Nidas; Cadran d'Eau; Ceinture de Vortex; Couronne du Roi Joueur; Voile d'encre; Bottes Innommables; Dofus Ocre; Dofus Turquoise; Dofus Pourpre; Érudit majeur; Remueur; Nomade; Bisouglours</t>
        </is>
      </c>
    </row>
    <row r="20242">
      <c r="A20242" t="inlineStr">
        <is>
          <t>Sram M 200</t>
        </is>
      </c>
      <c r="B20242">
        <f>HYPERLINK("https://www.dofusbook.net/fr/equipement/4636438-sram-m-200/objets", "link")</f>
        <v/>
      </c>
      <c r="C20242" t="n">
        <v>2</v>
      </c>
      <c r="D20242" t="inlineStr">
        <is>
          <t>Marteau R'ture; Collier de Tourthon; Anneau Crustique; Anneau Crustique; Bouclier du Stalak; Ceinture de la Reine des Voleurs; Coiffe de la Reine des Voleurs; Ankhape; Baleinabottes; Dofus Pourpre; Dofus Ocre; Dofus des Glaces; Dofus Vulbis; Dofus Nébuleux; Enragé majeur; Bulbisou</t>
        </is>
      </c>
    </row>
    <row r="20243">
      <c r="A20243" t="inlineStr">
        <is>
          <t>Sacrieur M 200</t>
        </is>
      </c>
      <c r="B20243">
        <f>HYPERLINK("https://www.dofusbook.net/fr/equipement/4628214-sacrieur-m-200/objets", "link")</f>
        <v/>
      </c>
      <c r="C20243" t="n">
        <v>0</v>
      </c>
      <c r="D20243" t="inlineStr">
        <is>
          <t>Manthache; Collier du Valet Veinard; Anneau du Cycloïde; Gant du Valet Veinard; Trompe-la-Mort; Menoture; Masque d'Anerice; Cape d'Anerice; Bottes du Cycloïde; Dofus Ébène; Dofus Abyssal; Dofus Vulbis; Dofus Ivoire; Dofus Pourpre; Dofus Ocre; Blérodoudou</t>
        </is>
      </c>
    </row>
    <row r="20244">
      <c r="A20244" t="inlineStr">
        <is>
          <t>Steamer M 200</t>
        </is>
      </c>
      <c r="B20244">
        <f>HYPERLINK("https://www.dofusbook.net/fr/equipement/4628212-steamer-m-200/objets", "link")</f>
        <v/>
      </c>
      <c r="C20244" t="n">
        <v>0</v>
      </c>
      <c r="D20244" t="inlineStr"/>
    </row>
    <row r="20245">
      <c r="A20245" t="inlineStr">
        <is>
          <t>Ouginak M 200</t>
        </is>
      </c>
      <c r="B20245">
        <f>HYPERLINK("https://www.dofusbook.net/fr/equipement/4628010-ouginak-m-200/objets", "link")</f>
        <v/>
      </c>
      <c r="C20245" t="n">
        <v>2</v>
      </c>
      <c r="D20245" t="inlineStr">
        <is>
          <t>Sceptre du Roi Joueur; Amulette de l'Œil Attentif; Bracelet des Fonds marins; Anneau Volkorne; Droiture de Fallanster; Ceinture de Dame Jhessica; Masque des Fonds marins; Cape de l'Œil Attentif; Sandales des Fonds marins; Dofus Ocre; Dofus Ivoire; Dofus Pourpre; Dofus Abyssal; Dofus Forgelave; Dofus Émeraude; Muldo Indigo et Pourpre</t>
        </is>
      </c>
    </row>
    <row r="20246">
      <c r="A20246" t="inlineStr">
        <is>
          <t>Ouginak M 200</t>
        </is>
      </c>
      <c r="B20246">
        <f>HYPERLINK("https://www.dofusbook.net/fr/equipement/4627985-ouginak-m-200/objets", "link")</f>
        <v/>
      </c>
      <c r="C20246" t="n">
        <v>1</v>
      </c>
      <c r="D20246" t="inlineStr">
        <is>
          <t>Lav'Hache; Amulette du Cœur Saignant; Anneau Chevelu; Anneau des égarés; Droiture de Fallanster; Ceinture Gence; Casque des égarés; Cape au Logis; Bottes du Cœur Saignant; Dofus Ocre; Dofus Forgelave; Dofus Émeraude; Dofus Ivoire; Dofus Turquoise; Dofus Abyssal; Bulbisou</t>
        </is>
      </c>
    </row>
    <row r="20247">
      <c r="A20247" t="inlineStr">
        <is>
          <t>Ouginak M 200</t>
        </is>
      </c>
      <c r="B20247">
        <f>HYPERLINK("https://www.dofusbook.net/fr/equipement/4627943-ouginak-m-200/objets", "link")</f>
        <v/>
      </c>
      <c r="C20247" t="n">
        <v>3</v>
      </c>
      <c r="D20247" t="inlineStr">
        <is>
          <t>Épée de la Reine des Voleurs; Amulette du Kamasterisk; Anneau des égarés; Anneau Volkorne; Droiture de Fallanster; Ceinture Volkorne; Casque des égarés; Cape du Kamasterisk; Bottes du Kamasterisk; Dofus Forgelave; Dofus Émeraude; Dofus Ivoire; Dofus Ocre; Dofus Abyssal; Dofus Pourpre; Wabbit</t>
        </is>
      </c>
    </row>
    <row r="20248">
      <c r="A20248" t="inlineStr">
        <is>
          <t>Ouginak M 200</t>
        </is>
      </c>
      <c r="B20248">
        <f>HYPERLINK("https://www.dofusbook.net/fr/equipement/4627905-ouginak-m-200/objets", "link")</f>
        <v/>
      </c>
      <c r="C20248" t="n">
        <v>2</v>
      </c>
      <c r="D20248" t="inlineStr">
        <is>
          <t>Hache Ériphe; Amulette du Kamasterisk; Anneau des égarés; Anneau de Pol Ouatnos; Bouclier d'Ilyzaelle; Ceinture de la Reine des Voleurs; Coiffe de la Reine des Voleurs; Cape du Cœur Vaillant; Baleinabottes; Dofus Pourpre; Cascadeur majeur; Vigoureux majeur; Robuste majeur; Remueur; Enragé majeur; Mékrabe</t>
        </is>
      </c>
    </row>
    <row r="20249">
      <c r="A20249" t="inlineStr">
        <is>
          <t>Ouginak F 200</t>
        </is>
      </c>
      <c r="B20249">
        <f>HYPERLINK("https://www.dofusbook.net/fr/equipement/4627848-ouginak-f-200/objets", "link")</f>
        <v/>
      </c>
      <c r="C20249" t="n">
        <v>2</v>
      </c>
      <c r="D20249" t="inlineStr">
        <is>
          <t>Héqache; Amulette du Strigide; Anneau de Pol Ouatnos; Anneau des égarés; Bouclier d'Ilyzaelle; Ceinture Volkorne; Casque Volkorne; Cape du Cœur Vaillant; Baleinabottes; Dofus Émeraude; Dofus Pourpre; Dofus Turquoise; Vigoureux majeur; Remueur; Nomade; Kokulte</t>
        </is>
      </c>
    </row>
    <row r="20250">
      <c r="A20250" t="inlineStr">
        <is>
          <t>Ecaflip M 200</t>
        </is>
      </c>
      <c r="B20250">
        <f>HYPERLINK("https://www.dofusbook.net/fr/equipement/4627707-ecaflip-m-200/objets", "link")</f>
        <v/>
      </c>
      <c r="C20250" t="n">
        <v>0</v>
      </c>
      <c r="D20250" t="inlineStr">
        <is>
          <t>Arc corrompu; Amulette Volkorne; Anneau Rifique; Anneauræus; Bouclier du Stalak; Ceinture Séculaire; Coiffe Séculaire; Cape de Diondin; Bottes Innommables; Dofus Pourpre; Dofus Turquoise; Nomade; Savant majeur; Remueur; Érudit majeur; Bisouglours</t>
        </is>
      </c>
    </row>
    <row r="20251">
      <c r="A20251" t="inlineStr">
        <is>
          <t>Féca M 200</t>
        </is>
      </c>
      <c r="B20251">
        <f>HYPERLINK("https://www.dofusbook.net/fr/equipement/4621826-feca-m-200/objets", "link")</f>
        <v/>
      </c>
      <c r="C20251" t="n">
        <v>2</v>
      </c>
      <c r="D20251" t="inlineStr">
        <is>
          <t>Arc du Chalœil; Amulette du Cœur Saignant; Alliance de Missiz Frizz; Anneau Volkorne; Quatre-feuilles; Ceinture Volkorne; Casque de Missiz Frizz; Cape du Cœur Saignant; Bottes du Cœur Saignant; Dofus Ébène; Dofus Pourpre; Dofus Ivoire; Dofus Ocre; Dofus Vulbis; Dofus Turquoise; Bulbisou</t>
        </is>
      </c>
    </row>
    <row r="20252">
      <c r="A20252" t="inlineStr">
        <is>
          <t>Steamer M 200</t>
        </is>
      </c>
      <c r="B20252">
        <f>HYPERLINK("https://www.dofusbook.net/fr/equipement/4621789-steamer-m-200/objets", "link")</f>
        <v/>
      </c>
      <c r="C20252" t="n">
        <v>3</v>
      </c>
      <c r="D20252" t="inlineStr">
        <is>
          <t>Plume de Buhorado; Amulette du Cœur Vaillant; Anneau de Padgref; Gant du Valet Veinard; Bouclier Taverne; Menoture; Casque Volkorne; Capibou; Bottes du Cœur Vaillant; Dofus Turquoise; Remueur; Culbuteur majeur; Bousculeur majeur; Carapace Air majeur; Cascadeur majeur; Tofoudre</t>
        </is>
      </c>
    </row>
    <row r="20253">
      <c r="A20253" t="inlineStr">
        <is>
          <t>Zobal M 200</t>
        </is>
      </c>
      <c r="B20253">
        <f>HYPERLINK("https://www.dofusbook.net/fr/equipement/4621758-zobal-m-200/objets", "link")</f>
        <v/>
      </c>
      <c r="C20253" t="n">
        <v>0</v>
      </c>
      <c r="D20253" t="inlineStr">
        <is>
          <t>Plumeau Bil; Amulette Volkorne; Anneau Rifique; Anneauræus; Bouclier d'Ilyzaelle; Ceinture de Vortex; Casque Cyclopéen; Cape de Diondin; Chaussures Ardentes; Dofus Pourpre; Remueur; Érudit majeur; Nomade; Vigoureux majeur; Robuste majeur; Bisouglours</t>
        </is>
      </c>
    </row>
    <row r="20254">
      <c r="A20254" t="inlineStr">
        <is>
          <t>Zobal M 200</t>
        </is>
      </c>
      <c r="B20254">
        <f>HYPERLINK("https://www.dofusbook.net/fr/equipement/4621146-zobal-m-200/objets", "link")</f>
        <v/>
      </c>
      <c r="C20254" t="n">
        <v>0</v>
      </c>
      <c r="D20254" t="inlineStr">
        <is>
          <t>Lav'Hache; Torquistik; Baguistik; Anneau en Grithril; Bouclier d'Anerice; Ceinture en Grithril; Casque en Grithril; Cape d'Anerice; Bottistik; Dofus Abyssal; Dofus Émeraude; Dofus Argenté; Dofus Ivoire; Dofus Forgelave; Dokoko; Muldo Orchidée et Pourpre</t>
        </is>
      </c>
    </row>
    <row r="20255">
      <c r="A20255" t="inlineStr">
        <is>
          <t>Zobal M 200</t>
        </is>
      </c>
      <c r="B20255">
        <f>HYPERLINK("https://www.dofusbook.net/fr/equipement/4620970-zobal-m-200/objets", "link")</f>
        <v/>
      </c>
      <c r="C20255" t="n">
        <v>1</v>
      </c>
      <c r="D20255" t="inlineStr">
        <is>
          <t>Bêche Asse; Collier de Tourthon; Anneau de Brouce; Anneau Crustique; Bouclier d'Ilyzaelle; Ceinture Gence; Couronne de Brâm Barbe-Monde; Cape au Logis; Bottes de Brouce; Dofus Pourpre; Dofus Émeraude; Nomade; Carapace Terre majeur; Remueur; Enragé majeur; Bulbisou</t>
        </is>
      </c>
    </row>
    <row r="20256">
      <c r="A20256" t="inlineStr">
        <is>
          <t>Iop M 200</t>
        </is>
      </c>
      <c r="B20256">
        <f>HYPERLINK("https://www.dofusbook.net/fr/equipement/4620785-iop-m-200/objets", "link")</f>
        <v/>
      </c>
      <c r="C20256" t="n">
        <v>0</v>
      </c>
      <c r="D20256" t="inlineStr">
        <is>
          <t>Baguette Héroclite; Amulette d'Ilyzaelle; Anneau Volkorne; Bracelet des Fonds marins; Droiture de Fallanster; Ceinture de Dame Jhessica; Casque d'Ilyzaelle; Cape Solution; Sandales des Fonds marins; Dofus Forgelave; Dofus Émeraude; Dofus Ébène; Dofus Ivoire; Dofus Ocre; Dofus Vulbis; La Chose</t>
        </is>
      </c>
    </row>
    <row r="20257">
      <c r="A20257" t="inlineStr">
        <is>
          <t>Zobal M 200</t>
        </is>
      </c>
      <c r="B20257">
        <f>HYPERLINK("https://www.dofusbook.net/fr/equipement/4620729-zobal-m-200/objets", "link")</f>
        <v/>
      </c>
      <c r="C20257" t="n">
        <v>0</v>
      </c>
      <c r="D20257" t="inlineStr">
        <is>
          <t>Hache Euvale; Amulette Luminescente; Anneau Volkorne; Bague Instable; Bouclier Taverne; Sangle Ouare; Masque Paztek; Cape Solution; Sandales Paztek; Dofus Émeraude; Enragé majeur; Chanceux majeur; Remueur; Culbuteur majeur; Bousculeur majeur; Écumouth</t>
        </is>
      </c>
    </row>
    <row r="20258">
      <c r="A20258" t="inlineStr">
        <is>
          <t>Zobal M 200</t>
        </is>
      </c>
      <c r="B20258">
        <f>HYPERLINK("https://www.dofusbook.net/fr/equipement/4620695-zobal-m-200/objets", "link")</f>
        <v/>
      </c>
      <c r="C20258" t="n">
        <v>1</v>
      </c>
      <c r="D20258" t="inlineStr">
        <is>
          <t>Dagues d'Ilyzaelle; Amulette du Cœur Saignant; Anneau Crustique; Anneau Crustique; Bouclier du Captain Amakna; Ceinture Gence; Couronne de Brâm Barbe-Monde; Cape au Logis; Bottes du Cœur Saignant; Dofus Turquoise; Dofus Pourpre; Dofus Abyssal; Enragé majeur; Carapace Terre majeur; Remueur; Bulbisou</t>
        </is>
      </c>
    </row>
    <row r="20259">
      <c r="A20259" t="inlineStr">
        <is>
          <t>Zobal M 200</t>
        </is>
      </c>
      <c r="B20259">
        <f>HYPERLINK("https://www.dofusbook.net/fr/equipement/4618313-zobal-m-200/objets", "link")</f>
        <v/>
      </c>
      <c r="C20259" t="n">
        <v>1</v>
      </c>
      <c r="D20259" t="inlineStr">
        <is>
          <t>Hache du Chalœil; Amulette Volkorne; Chevalière du Roi Joueur; Anneau Volkorne; Bouclier d'Ilyzaelle; Ceinture Volkorne; Couronne du Roi Joueur; Cape au Logis; Bottes du Roi Joueur; Dofus Émeraude; Dofus Turquoise; Dofus Abyssal; Dofus Ocre; Dofus Pourpre; Dofus des Glaces; Kokulte</t>
        </is>
      </c>
    </row>
    <row r="20260">
      <c r="A20260" t="inlineStr">
        <is>
          <t>Zobal M 200</t>
        </is>
      </c>
      <c r="B20260">
        <f>HYPERLINK("https://www.dofusbook.net/fr/equipement/4618215-zobal-m-200/objets", "link")</f>
        <v/>
      </c>
      <c r="C20260" t="n">
        <v>0</v>
      </c>
      <c r="D20260" t="inlineStr">
        <is>
          <t>Hache du Chalœil; Amulette du Strigide; Anneau Toriété; Bague Trithon; Bouclier d'Ilyzaelle; Ceinture du Strigide; Couronne de Brâm Barbe-Monde; Dofusteuse; Bottes Honyme; Dofus des Glaces; Dofus Pourpre; Dofus Turquoise; Carapace Feu majeur; Remueur; Vigoureux majeur; Kokulte</t>
        </is>
      </c>
    </row>
    <row r="20261">
      <c r="A20261" t="inlineStr">
        <is>
          <t>Ouginak M 200</t>
        </is>
      </c>
      <c r="B20261">
        <f>HYPERLINK("https://www.dofusbook.net/fr/equipement/4611777-ouginak-m-200/objets", "link")</f>
        <v/>
      </c>
      <c r="C20261" t="n">
        <v>1</v>
      </c>
      <c r="D20261" t="inlineStr">
        <is>
          <t>Hache Ériphe; Amulette du Cœur Vaillant; Anneau des égarés; Anneau Volkorne; Bouclier d'Ilyzaelle; Ceinture Volkorne; Casque Volkorne; Cape du Cœur Vaillant; Bottes du Cœur Vaillant; Dofus Ébène; Dofus Turquoise; Dofus Ocre; Dofus Abyssal; Dofus Ivoire; Dofus Pourpre; Titard</t>
        </is>
      </c>
    </row>
    <row r="20262">
      <c r="A20262" t="inlineStr">
        <is>
          <t>Ouginak M 200</t>
        </is>
      </c>
      <c r="B20262">
        <f>HYPERLINK("https://www.dofusbook.net/fr/equipement/4594013-ouginak-m-200/objets", "link")</f>
        <v/>
      </c>
      <c r="C20262" t="n">
        <v>0</v>
      </c>
      <c r="D20262" t="inlineStr">
        <is>
          <t>Dagues d'Ilyzaelle; Collier de Tourthon; Bague Gloursonne; Anneau Volkorne; Bouclier d'Ilyzaelle; Ceinture Volkorne; Masque de Koutoulou; Cape au Logis; Bottes de la Cour Sombre; Dofus Turquoise; Dofus Pourpre; Dofus des Glaces; Remueur; Enragé majeur; Carapace Terre majeur; Bulbisou</t>
        </is>
      </c>
    </row>
    <row r="20263">
      <c r="A20263" t="inlineStr">
        <is>
          <t>Ouginak M 200</t>
        </is>
      </c>
      <c r="B20263">
        <f>HYPERLINK("https://www.dofusbook.net/fr/equipement/4597559-ouginak-m-200/objets", "link")</f>
        <v/>
      </c>
      <c r="C20263" t="n">
        <v>1</v>
      </c>
      <c r="D20263" t="inlineStr">
        <is>
          <t>Arc du Chalœil; Collier de Tourthon; Anneau Chevelu; Anneau Volkorne; Bouclier d'Ilyzaelle; Ceinture Volkorne; Masque de Koutoulou; Cape au Logis; Bottes de la Cour Sombre; Dofus Pourpre; Dofus Turquoise; Dofus Émeraude; Remueur; Nomade; Enragé majeur; Bulbisou</t>
        </is>
      </c>
    </row>
    <row r="20264">
      <c r="A20264" t="inlineStr">
        <is>
          <t>Sram M 200</t>
        </is>
      </c>
      <c r="B20264">
        <f>HYPERLINK("https://www.dofusbook.net/fr/equipement/4597393-sram-m-200/objets", "link")</f>
        <v/>
      </c>
      <c r="C20264" t="n">
        <v>3</v>
      </c>
      <c r="D20264" t="inlineStr">
        <is>
          <t>Dagues d'Ilyzaelle; Amulette du Cœur Saignant; Anneau en Grithril; Anneau Crustique; Bouclier du Captain Amakna; Ceinture en Grithril; Casque en Grithril; Cape du Cœur Saignant; Bottes du Cœur Saignant; Dofus Ocre; Dofus Turquoise; Dofus Ébène; Dofus des Glaces; Dofus Vulbis; Dofus Pourpre; Kokulte</t>
        </is>
      </c>
    </row>
    <row r="20265">
      <c r="A20265" t="inlineStr">
        <is>
          <t>Steamer M 200</t>
        </is>
      </c>
      <c r="B20265">
        <f>HYPERLINK("https://www.dofusbook.net/fr/equipement/4592067-steamer-m-200/objets", "link")</f>
        <v/>
      </c>
      <c r="C20265" t="n">
        <v>2</v>
      </c>
      <c r="D20265" t="inlineStr">
        <is>
          <t>Baguette Hique; Amulette Volkorne; Anneau Volkorne; Bague Trithon; Quatre-feuilles; Ceinture Volkorne; Masque Trithon; Voile d'encre; Bottes Trithon; Dofus Pourpre; Dofus des Glaces; Dofus Ivoire; Dofus Ocre; Dofus Ébène; Dofus Turquoise; Kokulte</t>
        </is>
      </c>
    </row>
    <row r="20266">
      <c r="A20266" t="inlineStr">
        <is>
          <t>Zobal M 200</t>
        </is>
      </c>
      <c r="B20266">
        <f>HYPERLINK("https://www.dofusbook.net/fr/equipement/4592018-zobal-m-200/objets", "link")</f>
        <v/>
      </c>
      <c r="C20266" t="n">
        <v>3</v>
      </c>
      <c r="D20266" t="inlineStr">
        <is>
          <t>Sceptre du Roi Joueur; Amulette Luminescente; Bracelet des Fonds marins; Anneau Volkorne; Bouclier Taverne; Sangle Ouare; Masque Paztek; Cape Solution; Sandales Paztek; Dofus Ocre; Dofus Ivoire; Dofus Émeraude; Bousculeur majeur; Chanceux majeur; Culbuteur majeur; Écumouth</t>
        </is>
      </c>
    </row>
    <row r="20267">
      <c r="A20267" t="inlineStr">
        <is>
          <t>Zobal M 200</t>
        </is>
      </c>
      <c r="B20267">
        <f>HYPERLINK("https://www.dofusbook.net/fr/equipement/4591940-zobal-m-200/objets", "link")</f>
        <v/>
      </c>
      <c r="C20267" t="n">
        <v>0</v>
      </c>
      <c r="D20267" t="inlineStr">
        <is>
          <t>Massier; Amulette Volkorne; Anneau Volkorne; Anneauræus; Bouclier du Captain Amakna; Ceinture Séculaire; Couronne de Brâm Barbe-Monde; Voile d'encre; Bottes Innommables; Dofus Ocre; Dofus Pourpre; Dofus Turquoise; Érudit majeur; Nomade; Remueur; Volkorne Doré et Emeraude</t>
        </is>
      </c>
    </row>
    <row r="20268">
      <c r="A20268" t="inlineStr">
        <is>
          <t>Zobal M 200</t>
        </is>
      </c>
      <c r="B20268">
        <f>HYPERLINK("https://www.dofusbook.net/fr/equipement/4590302-zobal-m-200/objets", "link")</f>
        <v/>
      </c>
      <c r="C20268" t="n">
        <v>1</v>
      </c>
      <c r="D20268" t="inlineStr">
        <is>
          <t>Hache Téroïde; Amulette du Strigide; Chevalière du Roi Joueur; Bague Gloursonne; Bouclier du Captain Amakna; Ceintacé; Couronne de Brâm Barbe-Monde; Cape au Logis; Bottes du Strigide; Dofus Turquoise; Dofus des Glaces; Dofus Pourpre; Nomade; Vigoureux majeur; Remueur; Kokulte</t>
        </is>
      </c>
    </row>
    <row r="20269">
      <c r="A20269" t="inlineStr">
        <is>
          <t>Zobal M 200</t>
        </is>
      </c>
      <c r="B20269">
        <f>HYPERLINK("https://www.dofusbook.net/fr/equipement/4589997-zobal-m-200/objets", "link")</f>
        <v/>
      </c>
      <c r="C20269" t="n">
        <v>0</v>
      </c>
      <c r="D20269" t="inlineStr">
        <is>
          <t>Plumeau Bil; Amulette Volkorne; Alliance Brûlâme; Bague Gloursonne; Cadran d'Eau; Ceinture Volkorne; Couronne de Brâm Barbe-Monde; Voile d'encre; Bottes du Roi Joueur; Dofus des Glaces; Dofus Pourpre; Dofus Ocre; Remueur; Nomade; Vigoureux majeur; Fëanor</t>
        </is>
      </c>
    </row>
    <row r="20270">
      <c r="A20270" t="inlineStr">
        <is>
          <t>Sacrieur M 200</t>
        </is>
      </c>
      <c r="B20270">
        <f>HYPERLINK("https://www.dofusbook.net/fr/equipement/4589797-sacrieur-m-200/objets", "link")</f>
        <v/>
      </c>
      <c r="C20270" t="n">
        <v>0</v>
      </c>
      <c r="D20270" t="inlineStr">
        <is>
          <t>Hache Téroïde; Amulette du Cœur Saignant; Alliance de Missiz Frizz; Anneau Volkorne; Bouclier du Captain Amakna; Ceinture Volkorne; Casque de Missiz Frizz; Cape du Cœur Saignant; Bottes du Cœur Saignant; Dofus des Glaces; Dofus Pourpre; Dofus Abyssal; Dofus Turquoise; Dofus Ébène; Dofus Ocre; Bulbisou</t>
        </is>
      </c>
    </row>
    <row r="20271">
      <c r="A20271" t="inlineStr">
        <is>
          <t>Féca M 200</t>
        </is>
      </c>
      <c r="B20271">
        <f>HYPERLINK("https://www.dofusbook.net/fr/equipement/4588261-feca-m-200/objets", "link")</f>
        <v/>
      </c>
      <c r="C20271" t="n">
        <v>2</v>
      </c>
      <c r="D20271" t="inlineStr">
        <is>
          <t>Crocobur; Amulette du Strigide; Anneau Crustique; Anneau Crustique; Bouclier Pandawa; Ceinture du Strigide; Couronne de Brâm Barbe-Monde; Cape au Logis; Bottes du Cœur Saignant; Dofus Nébuleux; Dofus Turquoise; Dofus des Glaces; Dofus Ocre; Dofus Pourpre; Remueur; Kokulte</t>
        </is>
      </c>
    </row>
    <row r="20272">
      <c r="A20272" t="inlineStr">
        <is>
          <t>Huppermage M 200</t>
        </is>
      </c>
      <c r="B20272">
        <f>HYPERLINK("https://www.dofusbook.net/fr/equipement/4588069-huppermage-m-200/objets", "link")</f>
        <v/>
      </c>
      <c r="C20272" t="n">
        <v>2</v>
      </c>
      <c r="D20272" t="inlineStr">
        <is>
          <t>Arc Volkorne; Amulette du Strigide; Anneau de Pol Ouatnos; Anneau de Padgref; Quatre-feuilles; Ceintacé; Masque Trithon; Cape des Justiciers; Bottes du Strigide; Dofus Pourpre; Dofus Turquoise; Dolmanax; Nomade; Vigoureux majeur; Remueur; Kokulte</t>
        </is>
      </c>
    </row>
    <row r="20273">
      <c r="A20273" t="inlineStr">
        <is>
          <t>Ouginak M 200</t>
        </is>
      </c>
      <c r="B20273">
        <f>HYPERLINK("https://www.dofusbook.net/fr/equipement/4586980-ouginak-m-200/objets", "link")</f>
        <v/>
      </c>
      <c r="C20273" t="n">
        <v>0</v>
      </c>
      <c r="D20273" t="inlineStr">
        <is>
          <t>Épée du Granduk; Amulette du Granduk; Anneau de Brouce; Alliance Brûlâme; Bouclier du Captain Amakna; Ceinture de Brouce; Masque du Granduk; Cape au Logis; Bottes de Brouce; Dofus Émeraude; Dofus des Glaces; Dofus Pourpre; Dokoko; Dofus Turquoise; Acrobate majeur; Dragodinde Emeraude et Ivoire</t>
        </is>
      </c>
    </row>
    <row r="20274">
      <c r="A20274" t="inlineStr">
        <is>
          <t>Ouginak M 200</t>
        </is>
      </c>
      <c r="B20274">
        <f>HYPERLINK("https://www.dofusbook.net/fr/equipement/4586916-ouginak-m-200/objets", "link")</f>
        <v/>
      </c>
      <c r="C20274" t="n">
        <v>0</v>
      </c>
      <c r="D20274" t="inlineStr">
        <is>
          <t>Lav'Hache; Amulette du Cœur Saignant; Anneau de Brouce; Anneau en Grithril; Bouclier d'Ilyzaelle; Ceinture en Grithril; Casque en Grithril; Cape du Cœur Saignant; Bottes du Cœur Saignant; Dofus des Glaces; Dofus Pourpre; Dofus Vulbis; Dofus Turquoise; Dofus Ivoire; Dofus Ocre; Bulbisou</t>
        </is>
      </c>
    </row>
    <row r="20275">
      <c r="A20275" t="inlineStr">
        <is>
          <t>Huppermage M 200</t>
        </is>
      </c>
      <c r="B20275">
        <f>HYPERLINK("https://www.dofusbook.net/fr/equipement/4586854-huppermage-m-200/objets", "link")</f>
        <v/>
      </c>
      <c r="C20275" t="n">
        <v>0</v>
      </c>
      <c r="D20275" t="inlineStr">
        <is>
          <t>Rapière aux Glyphes; Amulette de l'Œil Attentif; Bracelet des Fonds marins; Anneau Volkorne; Bouclier d'Ilyzaelle; Pagne du Rykaon; Némès de Tal Kasha; Cape Solution; Sandales de Tal Kasha; Dofus Pourpre; Dofus Turquoise; Dofus des Glaces; Nomade; Chanceux majeur; Remueur; Pioute bleu</t>
        </is>
      </c>
    </row>
    <row r="20276">
      <c r="A20276" t="inlineStr">
        <is>
          <t>Zobal M 200</t>
        </is>
      </c>
      <c r="B20276">
        <f>HYPERLINK("https://www.dofusbook.net/fr/equipement/4579671-zobal-m-200/objets", "link")</f>
        <v/>
      </c>
      <c r="C20276" t="n">
        <v>1</v>
      </c>
      <c r="D20276" t="inlineStr">
        <is>
          <t>Dagoulinantes; Amulette de Shokkoth; Anneau Volkorne; Bracelet des Fonds marins; Bouclier du Captain Amakna; Pagne du Rykaon; Masque des Fonds marins; Cape Solution; Bottes de la Reine des Voleurs; Dofus Pourpre; Dofus Turquoise; Nomade; Dévastateur Eau majeur; Remueur; Chanceux majeur; Pioute bleu</t>
        </is>
      </c>
    </row>
    <row r="20277">
      <c r="A20277" t="inlineStr">
        <is>
          <t>Zobal M 200</t>
        </is>
      </c>
      <c r="B20277">
        <f>HYPERLINK("https://www.dofusbook.net/fr/equipement/4586379-zobal-m-200/objets", "link")</f>
        <v/>
      </c>
      <c r="C20277" t="n">
        <v>0</v>
      </c>
      <c r="D20277" t="inlineStr">
        <is>
          <t>Dagues d'Ilyzaelle; Amulette du Cœur Saignant; Alliance de Missiz Frizz; Anneau Volkorne; Bouclier du Captain Amakna; Ceinture Volkorne; Casque de Missiz Frizz; Cape du Cœur Saignant; Bottes du Cœur Saignant; Dofus Abyssal; Dofus Turquoise; Dofus Ocre; Dofus des Glaces; Dofus Pourpre; Voyageur; Volkorne Emeraude et Pourpre</t>
        </is>
      </c>
    </row>
    <row r="20278">
      <c r="A20278" t="inlineStr">
        <is>
          <t>Zobal M 200</t>
        </is>
      </c>
      <c r="B20278">
        <f>HYPERLINK("https://www.dofusbook.net/fr/equipement/4586344-zobal-m-200/objets", "link")</f>
        <v/>
      </c>
      <c r="C20278" t="n">
        <v>1</v>
      </c>
      <c r="D20278" t="inlineStr">
        <is>
          <t>Dagues d'Ilyzaelle; Collier de Tourthon; Anneau en Grithril; Anneau Chevelu; Bouclier d'Ilyzaelle; Ceinture Volkorne; Casque en Grithril; Cape au Logis; Bottes du Cœur Saignant; Dofus des Glaces; Dofus Pourpre; Dofus Turquoise; Remueur; Nomade; Enragé majeur; Volkorne Doré et Emeraude</t>
        </is>
      </c>
    </row>
    <row r="20279">
      <c r="A20279" t="inlineStr">
        <is>
          <t>Huppermage M 200</t>
        </is>
      </c>
      <c r="B20279">
        <f>HYPERLINK("https://www.dofusbook.net/fr/equipement/4579813-huppermage-m-200/objets", "link")</f>
        <v/>
      </c>
      <c r="C20279" t="n">
        <v>1</v>
      </c>
      <c r="D20279" t="inlineStr">
        <is>
          <t>Marteau Phossile; Amulette Martegel; Alliance Gloursonne; Anneau Rifique; Bouclier du Stalak; Ceinture de Vortex; Masquegel; Cape Martegel; Sabots de Vortex; Dofus Abyssal; Dofus des Glaces; Dofus Ivoire; Dofus Ocre; Dofus Pourpre; Robuste majeur; Kramkram</t>
        </is>
      </c>
    </row>
    <row r="20280">
      <c r="A20280" t="inlineStr">
        <is>
          <t>Pandawa M 200</t>
        </is>
      </c>
      <c r="B20280">
        <f>HYPERLINK("https://www.dofusbook.net/fr/equipement/4579751-pandawa-m-200/objets", "link")</f>
        <v/>
      </c>
      <c r="C20280" t="n">
        <v>2</v>
      </c>
      <c r="D20280" t="inlineStr">
        <is>
          <t>Hache du Chalœil; Amulette Volkorne; Anneau Volkorne; Goulano; Bouclier d'Anerice; Ceinture Volkorne; Casque Dragoeuf; Cape d'Anerice; Bottes Honyme; Dofus Turquoise; Dofus Ivoire; Dofus des Glaces; Dofus Abyssal; Dofus Pourpre; Dofus Ocre; Volkorne Doré et Emeraude</t>
        </is>
      </c>
    </row>
    <row r="20281">
      <c r="A20281" t="inlineStr">
        <is>
          <t>Ouginak M 200</t>
        </is>
      </c>
      <c r="B20281">
        <f>HYPERLINK("https://www.dofusbook.net/fr/equipement/4579608-ouginak-m-200/objets", "link")</f>
        <v/>
      </c>
      <c r="C20281" t="n">
        <v>1</v>
      </c>
      <c r="D20281" t="inlineStr">
        <is>
          <t>Hache du Chalœil; Amulette Volkorne; Chevalière du Roi Joueur; Anneau Volkorne; Quatre-feuilles; Ceinture Volkorne; Couronne du Roi Joueur; Voile d'encre; Bottes du Roi Joueur; Dofus Turquoise; Dofus Émeraude; Dofus Pourpre; Dofus des Glaces; Dofus Ocre; Dofus Abyssal; Volkorne Jade</t>
        </is>
      </c>
    </row>
    <row r="20282">
      <c r="A20282" t="inlineStr">
        <is>
          <t>Ouginak M 200</t>
        </is>
      </c>
      <c r="B20282">
        <f>HYPERLINK("https://www.dofusbook.net/fr/equipement/4579278-ouginak-m-200/objets", "link")</f>
        <v/>
      </c>
      <c r="C20282" t="n">
        <v>0</v>
      </c>
      <c r="D20282" t="inlineStr">
        <is>
          <t>Marteau R'ture; Amulette du Cœur Saignant; Anneau Crustique; Anneau Chevelu; Bouclier d'Ilyzaelle; Ceinture Volkorne; Masque de Koutoulou; Cape au Logis; Bottes du Cœur Saignant; Dofus Pourpre; Dofus Turquoise; Nomade; Enragé majeur; Remueur; Carapace Terre majeur; Bulbisou</t>
        </is>
      </c>
    </row>
    <row r="20283">
      <c r="A20283" t="inlineStr">
        <is>
          <t>Crâ F 200</t>
        </is>
      </c>
      <c r="B20283">
        <f>HYPERLINK("https://www.dofusbook.net/fr/equipement/4558125-cra-f-200/objets", "link")</f>
        <v/>
      </c>
      <c r="C20283" t="n">
        <v>0</v>
      </c>
      <c r="D20283" t="inlineStr">
        <is>
          <t>Épée d'Otomaï; Amulette d'Otomaï; Anneauræus; Anneauræus; Quatre-feuilles; Ceinture de Kongoku; Boucle d'oreille de Kongoku; Cape de Kongoku; Bottes d'Otomaï; Dofus Turquoise; Dofus Ocre; Dofus Vulbis; Dofus des Glaces; Dofus Pourpre; Dofus Ivoire; Bisouglours</t>
        </is>
      </c>
    </row>
    <row r="20284">
      <c r="A20284" t="inlineStr">
        <is>
          <t>Sadida M 200</t>
        </is>
      </c>
      <c r="B20284">
        <f>HYPERLINK("https://www.dofusbook.net/fr/equipement/4552294-sadida-m-200/objets", "link")</f>
        <v/>
      </c>
      <c r="C20284" t="n">
        <v>2</v>
      </c>
      <c r="D20284" t="inlineStr">
        <is>
          <t>Arc de Koutoulou; Amulette du Strigide; Bracelet du Piloztère; Alliance Gloursonne; Quatre-feuilles; Ceintacé; Maskrobe; Chevelure de Tal Kasha; Sandales de Tal Kasha; Dofus Pourpre; Dofus Turquoise; Nomade; Remueur; Sanguinaire majeur; Vigoureux majeur</t>
        </is>
      </c>
    </row>
    <row r="20285">
      <c r="A20285" t="inlineStr">
        <is>
          <t>Huppermage M 200</t>
        </is>
      </c>
      <c r="B20285">
        <f>HYPERLINK("https://www.dofusbook.net/fr/equipement/4552823-huppermage-m-200/objets", "link")</f>
        <v/>
      </c>
      <c r="C20285" t="n">
        <v>3</v>
      </c>
      <c r="D20285" t="inlineStr">
        <is>
          <t>Sabres d'Atcham; Amulette Volkorne; Bracelet du Piloztère; Anneau Volkorne; Quatre-feuilles; Ceinture Volkorne; Casque Volkorne; Cape d'Atcham; Sandales  d'Atcham; Dolmanax; Dofus Abyssal; Dofus Pourpre; Dofus Ocre; Dofus Ivoire; Dofus Turquoise; Volkorne Doré et Emeraude</t>
        </is>
      </c>
    </row>
    <row r="20286">
      <c r="A20286" t="inlineStr">
        <is>
          <t>Sacrieur M 200</t>
        </is>
      </c>
      <c r="B20286">
        <f>HYPERLINK("https://www.dofusbook.net/fr/equipement/4552748-sacrieur-m-200/objets", "link")</f>
        <v/>
      </c>
      <c r="C20286" t="n">
        <v>0</v>
      </c>
      <c r="D20286" t="inlineStr">
        <is>
          <t>Plumeau Bil; Amulette Volkorne; Anneauræus; Anneau Volkorne; Cadran d'Eau; Ceinture Séculaire; Heaume Oplate; Cape Martegel; Bottes Innommables; Dofus Ivoire; Dofus des Glaces; Carapace Feu majeur; Remueur; Érudit majeur; Nomade; Bisouglours</t>
        </is>
      </c>
    </row>
    <row r="20287">
      <c r="A20287" t="inlineStr">
        <is>
          <t>Crâ F 200</t>
        </is>
      </c>
      <c r="B20287">
        <f>HYPERLINK("https://www.dofusbook.net/fr/equipement/4552705-cra-f-200/objets", "link")</f>
        <v/>
      </c>
      <c r="C20287" t="n">
        <v>1</v>
      </c>
      <c r="D20287" t="inlineStr">
        <is>
          <t>Hache Ériphe; Amulette du Cœur Vaillant; Alliance Brûlâme; Anneau de Pol Ouatnos; Bouclier de Solar; Audace de Dodge; Chapibou; Cape du Barbétoal; Bottes du Cœur Vaillant; Dofus Ocre; Dofus Ivoire; Culbuteur majeur; Carapace Air majeur; Bousculeur majeur; Remueur; Tiwabbit Kiafin</t>
        </is>
      </c>
    </row>
    <row r="20288">
      <c r="A20288" t="inlineStr">
        <is>
          <t>Sadida M 200</t>
        </is>
      </c>
      <c r="B20288">
        <f>HYPERLINK("https://www.dofusbook.net/fr/equipement/4552340-sadida-m-200/objets", "link")</f>
        <v/>
      </c>
      <c r="C20288" t="n">
        <v>0</v>
      </c>
      <c r="D20288" t="inlineStr">
        <is>
          <t>Plumeau Bil; Pendentif affamé; Anneauræus; Anneauræus; Bouclier cubiste; Ceinture Séculaire; Masquegel; Cape Martegel; Pataugastrique; Dofus Pourpre; Nomade; Carapace Feu majeur; Érudit majeur; Remueur; Dévastateur Feu majeur; Bisouglours</t>
        </is>
      </c>
    </row>
    <row r="20289">
      <c r="A20289" t="inlineStr">
        <is>
          <t>Sadida M 200</t>
        </is>
      </c>
      <c r="B20289">
        <f>HYPERLINK("https://www.dofusbook.net/fr/equipement/4549658-sadida-m-200/objets", "link")</f>
        <v/>
      </c>
      <c r="C20289" t="n">
        <v>1</v>
      </c>
      <c r="D20289" t="inlineStr">
        <is>
          <t>Arc du Chalœil; Amulette du Cœur Saignant; Chevalière du Roi Joueur; Anneau Volkorne; Quatre-feuilles; Ceinture Volkorne; Couronne du Roi Joueur; Cape du Cœur Saignant; Bottes du Cœur Saignant; Dofus Vulbis; Dofus Turquoise; Dofus Pourpre; Dofus des Glaces; Dofus Ébène; Dofus Ocre; Bulbisou</t>
        </is>
      </c>
    </row>
    <row r="20290">
      <c r="A20290" t="inlineStr">
        <is>
          <t>Sadida M 200</t>
        </is>
      </c>
      <c r="B20290">
        <f>HYPERLINK("https://www.dofusbook.net/fr/equipement/4548997-sadida-m-200/objets", "link")</f>
        <v/>
      </c>
      <c r="C20290" t="n">
        <v>1</v>
      </c>
      <c r="D20290" t="inlineStr">
        <is>
          <t>Hache du Chalœil; Amulette Volkorne; Chevalière du Roi Joueur; Anneau Volkorne; Quatre-feuilles; Ceinture Volkorne; Couronne du Roi Joueur; Cape du Cœur Saignant; Bottes du Roi Joueur; Dofus Abyssal; Dofus Turquoise; Dofus Ébène; Dofus des Glaces; Dofus Ocre; Dofus Pourpre; Kokulte</t>
        </is>
      </c>
    </row>
    <row r="20291">
      <c r="A20291" t="inlineStr">
        <is>
          <t>Osamodas M 200</t>
        </is>
      </c>
      <c r="B20291">
        <f>HYPERLINK("https://www.dofusbook.net/fr/equipement/4548876-osamodas-m-200/objets", "link")</f>
        <v/>
      </c>
      <c r="C20291" t="n">
        <v>2</v>
      </c>
      <c r="D20291" t="inlineStr">
        <is>
          <t>Épée Brûlâme; Amulette Volkorne; Lavanneau; Anneau Volkorne; Bouclier du Captain Amakna; Ceinture de l'Esprit Malsain; Casquette de Meno; Cape de Meno; Bottes de Meno; Dofus des Glaces; Dofus Turquoise; Dofus Vulbis; Dofus Ocre; Dofus Ébène; Dofus Pourpre; Kokulte</t>
        </is>
      </c>
    </row>
    <row r="20292">
      <c r="A20292" t="inlineStr">
        <is>
          <t>Pandawa M 200</t>
        </is>
      </c>
      <c r="B20292">
        <f>HYPERLINK("https://www.dofusbook.net/fr/equipement/4548839-pandawa-m-200/objets", "link")</f>
        <v/>
      </c>
      <c r="C20292" t="n">
        <v>0</v>
      </c>
      <c r="D20292" t="inlineStr">
        <is>
          <t>Épée du Granduk; Amulette du Granduk; Anneau de Padgref; Gant du Valet Veinard; Quatre-feuilles; Menoture; Casque Volkorne; Cape Indescriptible; Palmes Trithons; Dofus Turquoise; Dofus Nébuleux; Dofus Pourpre; Cascadeur majeur; Nomade; Remueur; Blérodoudou</t>
        </is>
      </c>
    </row>
    <row r="20293">
      <c r="A20293" t="inlineStr">
        <is>
          <t>Sram M 200</t>
        </is>
      </c>
      <c r="B20293">
        <f>HYPERLINK("https://www.dofusbook.net/fr/equipement/4548787-sram-m-200/objets", "link")</f>
        <v/>
      </c>
      <c r="C20293" t="n">
        <v>0</v>
      </c>
      <c r="D20293" t="inlineStr">
        <is>
          <t>Arc de Koutoulou; Amulette d'Ilyzaelle; Alliance Gloursonne; Anneau Volkorne; Bouclier d'Ilyzaelle; Ceinture de la Reine des Voleurs; Casque Volkorne; Cape Solution; Bottes de la Reine des Voleurs; Dofus Abyssal; Dofus Ocre; Dofus Vulbis; Dofus des Glaces; Dofus Ivoire; Dofus Pourpre; Mini Wa</t>
        </is>
      </c>
    </row>
    <row r="20294">
      <c r="A20294" t="inlineStr">
        <is>
          <t>Enutrof M 200</t>
        </is>
      </c>
      <c r="B20294">
        <f>HYPERLINK("https://www.dofusbook.net/fr/equipement/4541094-enutrof-m-200/objets", "link")</f>
        <v/>
      </c>
      <c r="C20294" t="n">
        <v>1</v>
      </c>
      <c r="D20294" t="inlineStr">
        <is>
          <t>Arc du Chalœil; Amulette du Cœur Saignant; Anneau Volkorne; Anneau Crustique; Bouclier du Stalak; Ceinture Volkorne; Diadème de Ganymède; Cape au Logis; Bottes du Cœur Saignant; Dofus Nébuleux; Dofus Turquoise; Dofus Vulbis; Dofus Ocre; Dofus Pourpre; Dofus Ébène; Bulbisou</t>
        </is>
      </c>
    </row>
    <row r="20295">
      <c r="A20295" t="inlineStr">
        <is>
          <t>Sadida M 200</t>
        </is>
      </c>
      <c r="B20295">
        <f>HYPERLINK("https://www.dofusbook.net/fr/equipement/4541069-sadida-m-200/objets", "link")</f>
        <v/>
      </c>
      <c r="C20295" t="n">
        <v>1</v>
      </c>
      <c r="D20295" t="inlineStr">
        <is>
          <t>Epée Gloursonne; Amulette Volcanique; Bague Gloursonne; Alliance Gloursonne; Bouclier cubiste; Ceinture de Gein; Chapeau de Gein; Sac Volcanique; Sabots Volcaniques; Dofus Ocre; Dofus Ébène; Dofus Vulbis; Dofus Abyssal; Dofus Pourpre; Dofus Ivoire; Gwo Tofu Ventripotent</t>
        </is>
      </c>
    </row>
    <row r="20296">
      <c r="A20296" t="inlineStr">
        <is>
          <t>Crâ M 200</t>
        </is>
      </c>
      <c r="B20296">
        <f>HYPERLINK("https://www.dofusbook.net/fr/equipement/4541032-cra-m-200/objets", "link")</f>
        <v/>
      </c>
      <c r="C20296" t="n">
        <v>1</v>
      </c>
      <c r="D20296" t="inlineStr">
        <is>
          <t>Dagoulinantes; Amulette de Shokkoth; Bracelet des Fonds marins; Anneau Volkorne; Bouclier du Stalak; Ceinture de la Reine des Voleurs; Capuche de l'Œil Attentif; Cape Solution; Bottes de la Reine des Voleurs; Dofus Ébène; Dofus des Glaces; Nomade; Dévastateur Eau majeur; Remueur; Chanceux majeur; Kanigloups</t>
        </is>
      </c>
    </row>
    <row r="20297">
      <c r="A20297" t="inlineStr">
        <is>
          <t>Ouginak M 200</t>
        </is>
      </c>
      <c r="B20297">
        <f>HYPERLINK("https://www.dofusbook.net/fr/equipement/4541003-ouginak-m-200/objets", "link")</f>
        <v/>
      </c>
      <c r="C20297" t="n">
        <v>1</v>
      </c>
      <c r="D20297" t="inlineStr">
        <is>
          <t>Arc du Chalœil; Amulette du Cœur Saignant; Anneau Chevelu; Anneau Volkorne; Bouclier d'Ilyzaelle; Ceinture Volkorne; Masque d'Anerice; Cape d'Anerice; Bottes du Cœur Saignant; Dofus Vulbis; Dofus Ocre; Dofus Émeraude; Dofus Ivoire; Dofus Turquoise; Dofus Abyssal; Volkorne Emeraude et Pourpre</t>
        </is>
      </c>
    </row>
    <row r="20298">
      <c r="A20298" t="inlineStr">
        <is>
          <t>Ouginak M 200</t>
        </is>
      </c>
      <c r="B20298">
        <f>HYPERLINK("https://www.dofusbook.net/fr/equipement/4540959-ouginak-m-200/objets", "link")</f>
        <v/>
      </c>
      <c r="C20298" t="n">
        <v>0</v>
      </c>
      <c r="D20298" t="inlineStr">
        <is>
          <t>Baguette Range; Amulette Volkorne; Anneau Rifique; Anneau Toriété; Bouclier d'Ilyzaelle; Ceinture de Vortex; Casque Volkorne; Cape Martegel; Bottes de l'Esprit Salvateur; Dofus Abyssal; Dofus Pourpre; Dofus des Glaces; Dofus Ivoire; Dofus Ocre; Remueur; Titard</t>
        </is>
      </c>
    </row>
    <row r="20299">
      <c r="A20299" t="inlineStr">
        <is>
          <t>Sram M 200</t>
        </is>
      </c>
      <c r="B20299">
        <f>HYPERLINK("https://www.dofusbook.net/fr/equipement/4540921-sram-m-200/objets", "link")</f>
        <v/>
      </c>
      <c r="C20299" t="n">
        <v>0</v>
      </c>
      <c r="D20299" t="inlineStr">
        <is>
          <t>Épée Brûlâme; Amulette Volkorne; Lavanneau; Anneau Volkorne; Bouclier du Stalak; Ceinture Volkorne; Masque Paztek; Cape Paztek; Pataugastrique; Dofus Ocre; Dofus Ivoire; Dofus des Glaces; Dofus Pourpre; Robuste majeur; Féroce majeur; Pioute rose</t>
        </is>
      </c>
    </row>
    <row r="20300">
      <c r="A20300" t="inlineStr">
        <is>
          <t>Sram M 200</t>
        </is>
      </c>
      <c r="B20300">
        <f>HYPERLINK("https://www.dofusbook.net/fr/equipement/4540654-sram-m-200/objets", "link")</f>
        <v/>
      </c>
      <c r="C20300" t="n">
        <v>0</v>
      </c>
      <c r="D20300" t="inlineStr">
        <is>
          <t>Épée du Granduk; Amulette du Granduk; Anneau de XLII; Alliance Gloursonne; Droiture de Fallanster; Ceinture de XLII; Masque du Granduk; Cape Indescriptible; Bottes de XLII; Dofus Émeraude; Dofus Forgelave; Dofus Ocre; Dofus Abyssal; Dokoko; Dofus Ivoire; Blérodoudou</t>
        </is>
      </c>
    </row>
    <row r="20301">
      <c r="A20301" t="inlineStr">
        <is>
          <t>Ecaflip M 200</t>
        </is>
      </c>
      <c r="B20301">
        <f>HYPERLINK("https://www.dofusbook.net/fr/equipement/4540620-ecaflip-m-200/objets", "link")</f>
        <v/>
      </c>
      <c r="C20301" t="n">
        <v>0</v>
      </c>
      <c r="D20301" t="inlineStr">
        <is>
          <t>Pyraguette; Amulette Volkorne; Bague Trithon; Anneau Volkorne; Droiture de Fallanster; Ceinture Volkorne; Masque d'Anerice; Cape d'Anerice; Pataugastrique; Dofus Abyssal; Dokoko; Dofus des Glaces; Dofus Ocre; Dofus Pourpre; Dofus Ivoire; Eliôme</t>
        </is>
      </c>
    </row>
    <row r="20302">
      <c r="A20302" t="inlineStr">
        <is>
          <t>Ecaflip M 200</t>
        </is>
      </c>
      <c r="B20302">
        <f>HYPERLINK("https://www.dofusbook.net/fr/equipement/4540575-ecaflip-m-200/objets", "link")</f>
        <v/>
      </c>
      <c r="C20302" t="n">
        <v>1</v>
      </c>
      <c r="D20302" t="inlineStr">
        <is>
          <t>Faux Maudite du Saigneur Guerrier; Amulette Volkorne; Anneau Volkorne; Alliance Gloursonne; Bouclier du Stalak; Ceinture de l'Esprit Salvateur; Masque de l'Esprit Salvateur; Voilamibe; Bottes de l'Esprit Salvateur; Dofus Ocre; Dofus des Glaces; Dofus Pourpre; Dofus Abyssal; Dofus Ivoire; Robuste majeur; Kramkram</t>
        </is>
      </c>
    </row>
    <row r="20303">
      <c r="A20303" t="inlineStr">
        <is>
          <t>Sram M 200</t>
        </is>
      </c>
      <c r="B20303">
        <f>HYPERLINK("https://www.dofusbook.net/fr/equipement/4540531-sram-m-200/objets", "link")</f>
        <v/>
      </c>
      <c r="C20303" t="n">
        <v>0</v>
      </c>
      <c r="D20303" t="inlineStr">
        <is>
          <t>Dagoulinantes; Amulette du Sinistrofu; Bracelet des Fonds marins; Anneau Volkorne; Bouclier du Captain Amakna; Sangle Ouare; Capuche de l'Œil Attentif; Cape Solution; Bottes du Sinistrofu; Dofus Pourpre; Dofus Nébuleux; Dofus Turquoise; Dofus Ocre; Chanceux majeur; Dévastateur Eau majeur; Kokulte</t>
        </is>
      </c>
    </row>
    <row r="20304">
      <c r="A20304" t="inlineStr">
        <is>
          <t>Enutrof M 200</t>
        </is>
      </c>
      <c r="B20304">
        <f>HYPERLINK("https://www.dofusbook.net/fr/equipement/4537000-enutrof-m-200/objets", "link")</f>
        <v/>
      </c>
      <c r="C20304" t="n">
        <v>0</v>
      </c>
      <c r="D20304" t="inlineStr">
        <is>
          <t>Lance Horselé; Amulette Volkorne; Gant du Valet Veinard; Anneau de Padgref; Bouclier du Captain Amakna; Menoture; Casque Volkorne; Cape de Crânonier; Palmes Trithons; Dofus Vulbis; Dofus Turquoise; Dofus Pourpre; Dofus Ébène; Dofus Ocre; Cascadeur majeur; Blérodoudou</t>
        </is>
      </c>
    </row>
    <row r="20305">
      <c r="A20305" t="inlineStr">
        <is>
          <t>Enutrof M 200</t>
        </is>
      </c>
      <c r="B20305">
        <f>HYPERLINK("https://www.dofusbook.net/fr/equipement/4536928-enutrof-m-200/objets", "link")</f>
        <v/>
      </c>
      <c r="C20305" t="n">
        <v>0</v>
      </c>
      <c r="D20305" t="inlineStr">
        <is>
          <t>Plume de Buhorado; Amulette Martegel; Alliance Gloursonne; Gant du Valet Veinard; Bouclier du Stalak; Audace de Dodge; Couronne d'Allister; Cape du Valet Veinard; Baleinabottes; Dofus Ivoire; Dofus Ébène; Dofus Pourpre; Dofus Ocre; Carapace Feu majeur; Cascadeur majeur; Blérodoudou</t>
        </is>
      </c>
    </row>
    <row r="20306">
      <c r="A20306" t="inlineStr">
        <is>
          <t>Sram M 200</t>
        </is>
      </c>
      <c r="B20306">
        <f>HYPERLINK("https://www.dofusbook.net/fr/equipement/4521597-sram-m-200/objets", "link")</f>
        <v/>
      </c>
      <c r="C20306" t="n">
        <v>2</v>
      </c>
      <c r="D20306" t="inlineStr">
        <is>
          <t>Dagues d'Ilyzaelle; Amulette du Cœur Saignant; Anneau Crustique; Anneau en Grithril; Bouclier du Stalak; Ceinture en Grithril; Casque en Grithril; Cape du Cœur Saignant; Bottes du Cœur Saignant; Dofus Ébène; Dofus Pourpre; Dofus des Glaces; Dofus Ocre; Dofus Vulbis; Dofus Turquoise; Kokulte</t>
        </is>
      </c>
    </row>
    <row r="20307">
      <c r="A20307" t="inlineStr">
        <is>
          <t>Sram M 200</t>
        </is>
      </c>
      <c r="B20307">
        <f>HYPERLINK("https://www.dofusbook.net/fr/equipement/4513087-sram-m-200/objets", "link")</f>
        <v/>
      </c>
      <c r="C20307" t="n">
        <v>1</v>
      </c>
      <c r="D20307" t="inlineStr">
        <is>
          <t>Manthache; Collier du Valet Veinard; Alliance Gloursonne; Gant du Valet Veinard; Bouclier du Stalak; Menoture; Couronne d'Allister; Cape Indescriptible; Baleinabottes; Dofus Pourpre; Nomade; Vigoureux majeur; Cascadeur majeur; Robuste majeur; Dévastateur Air majeur; Blérodoudou</t>
        </is>
      </c>
    </row>
    <row r="20308">
      <c r="A20308" t="inlineStr">
        <is>
          <t>Sadida M 200</t>
        </is>
      </c>
      <c r="B20308">
        <f>HYPERLINK("https://www.dofusbook.net/fr/equipement/4509567-sadida-m-200/objets", "link")</f>
        <v/>
      </c>
      <c r="C20308" t="n">
        <v>1</v>
      </c>
      <c r="D20308" t="inlineStr">
        <is>
          <t>Marteau Phossile; Amulette Martegel; Anneau de Padgref; Anneau Rifique; Bouclier cubiste; Ceinture de l'Esprit Salvateur; Masquegel; Cape Martegel; Bottes de l'Esprit Salvateur; Dofus Ivoire; Dofus Ocre; Dofus Abyssal; Dofus des Glaces; Dofus Vulbis; Dofus Pourpre; Gwo Tofu Ventripotent</t>
        </is>
      </c>
    </row>
    <row r="20309">
      <c r="A20309" t="inlineStr">
        <is>
          <t>Iop M 200</t>
        </is>
      </c>
      <c r="B20309">
        <f>HYPERLINK("https://www.dofusbook.net/fr/equipement/4508996-iop-m-200/objets", "link")</f>
        <v/>
      </c>
      <c r="C20309" t="n">
        <v>0</v>
      </c>
      <c r="D20309" t="inlineStr">
        <is>
          <t>Lav'Hache; Torquistik; Bague Instable; Anneau Crustique; Bouclier précieux; Ceinture Gence; Masque Trithon; Cape au Logis; Bottistik; Dofus Ivoire; Dokoko; Dofus Ocre; Bousculeur majeur; Culbuteur majeur; Carapace Terre majeur; Tatouf</t>
        </is>
      </c>
    </row>
    <row r="20310">
      <c r="A20310" t="inlineStr">
        <is>
          <t>Steamer M 200</t>
        </is>
      </c>
      <c r="B20310">
        <f>HYPERLINK("https://www.dofusbook.net/fr/equipement/4508969-steamer-m-200/objets", "link")</f>
        <v/>
      </c>
      <c r="C20310" t="n">
        <v>2</v>
      </c>
      <c r="D20310" t="inlineStr">
        <is>
          <t>Amrothiline; Amulette du Cœur Saignant; Alliance de Missiz Frizz; Anneau Volkorne; Quatre-feuilles; Ceinture Volkorne; Casque de Missiz Frizz; Cape du Cœur Saignant; Bottes du Cœur Saignant; Dofus Ébène; Dofus Turquoise; Dofus Pourpre; Dofus des Glaces; Dofus Vulbis; Dofus Ocre; Kokulte</t>
        </is>
      </c>
    </row>
    <row r="20311">
      <c r="A20311" t="inlineStr">
        <is>
          <t>Huppermage M 200</t>
        </is>
      </c>
      <c r="B20311">
        <f>HYPERLINK("https://www.dofusbook.net/fr/equipement/4508917-huppermage-m-200/objets", "link")</f>
        <v/>
      </c>
      <c r="C20311" t="n">
        <v>0</v>
      </c>
      <c r="D20311" t="inlineStr">
        <is>
          <t>Arc Volkorne; Amulette du Strigide; Bague Trithon; Anneau de Padgref; Quatre-feuilles; Ceinture du Strigide; Masque Trithon; Cape de Jahash Jurgen; Bottes Trithon; Dolmanax; Dofus Turquoise; Dofus Ébène; Dofus Pourpre; Dofus Vulbis; Dofus Ocre; Kokulte</t>
        </is>
      </c>
    </row>
    <row r="20312">
      <c r="A20312" t="inlineStr">
        <is>
          <t>Crâ M 200</t>
        </is>
      </c>
      <c r="B20312">
        <f>HYPERLINK("https://www.dofusbook.net/fr/equipement/4508886-cra-m-200/objets", "link")</f>
        <v/>
      </c>
      <c r="C20312" t="n">
        <v>0</v>
      </c>
      <c r="D20312" t="inlineStr">
        <is>
          <t>Arc de Koutoulou; Amulette Voldelor; Anneau de Padgref; Alliance Gloursonne; Quatre-feuilles; Ceinture Voldelor; Némès de Tal Kasha; Chevelure de Tal Kasha; Sandales de Tal Kasha; Dofus Abyssal; Dofus Turquoise; Dofus Ivoire; Dofus Ocre; Dofus Vulbis; Dofus Pourpre; Kokulte</t>
        </is>
      </c>
    </row>
    <row r="20313">
      <c r="A20313" t="inlineStr">
        <is>
          <t>Crâ F 200</t>
        </is>
      </c>
      <c r="B20313">
        <f>HYPERLINK("https://www.dofusbook.net/fr/equipement/4508835-cra-f-200/objets", "link")</f>
        <v/>
      </c>
      <c r="C20313" t="n">
        <v>0</v>
      </c>
      <c r="D20313" t="inlineStr">
        <is>
          <t>Arc du Chalœil; Amulette du Cœur Saignant; Chevalière du Roi Joueur; Anneau Volkorne; Quatre-feuilles; Ceinture Volkorne; Couronne du Roi Joueur; Cape du Cœur Saignant; Bottes du Cœur Saignant; Dofus Vulbis; Dofus Nébuleux; Dofus Ivoire; Dofus Pourpre; Dofus Ébène; Dofus Ocre; Bulbisou</t>
        </is>
      </c>
    </row>
    <row r="20314">
      <c r="A20314" t="inlineStr">
        <is>
          <t>Steamer M 200</t>
        </is>
      </c>
      <c r="B20314">
        <f>HYPERLINK("https://www.dofusbook.net/fr/equipement/4508805-steamer-m-200/objets", "link")</f>
        <v/>
      </c>
      <c r="C20314" t="n">
        <v>0</v>
      </c>
      <c r="D20314" t="inlineStr">
        <is>
          <t>Plume de Buhorado; Collier du Valet Veinard; Alliance Brûlâme; Gant du Valet Veinard; Bouclier Taverne; Menoture; Masque du Barbétoal; Capibou; Bottes du Cœur Vaillant; Dofus Pourpre; Dofus Ivoire; Dofus Ocre; Cascadeur majeur; Culbuteur majeur; Bousculeur majeur; Tofoudre</t>
        </is>
      </c>
    </row>
    <row r="20315">
      <c r="A20315" t="inlineStr">
        <is>
          <t>Sacrieur M 200</t>
        </is>
      </c>
      <c r="B20315">
        <f>HYPERLINK("https://www.dofusbook.net/fr/equipement/4508661-sacrieur-m-200/objets", "link")</f>
        <v/>
      </c>
      <c r="C20315" t="n">
        <v>1</v>
      </c>
      <c r="D20315" t="inlineStr">
        <is>
          <t>Massier; Amulette Volkorne; Chevalière du Roi Joueur; Anneau Volkorne; Droiture de Fallanster; Ceinture Volkorne; Couronne du Roi Joueur; Bravoure de Rykke Errel; Bottes Honyme; Dokoko; Dofus Ivoire; Dofus Abyssal; Dofus Émeraude; Dofus Ocre; Dofus Forgelave; Bontique</t>
        </is>
      </c>
    </row>
    <row r="20316">
      <c r="A20316" t="inlineStr">
        <is>
          <t>Sram M 200</t>
        </is>
      </c>
      <c r="B20316">
        <f>HYPERLINK("https://www.dofusbook.net/fr/equipement/4508636-sram-m-200/objets", "link")</f>
        <v/>
      </c>
      <c r="C20316" t="n">
        <v>0</v>
      </c>
      <c r="D20316" t="inlineStr">
        <is>
          <t>Pyraguette; Amulette de l'Œil Putride; Anneau Toriété; Lavanneau; Bouclier du Stalak; Ceinture de l'Esprit Salvateur; Masque de l'Esprit Salvateur; Cape de l'Œil Putride; Bottes de l'Esprit Salvateur; Dofus Ivoire; Dofus Pourpre; Dofus Ocre; Dofus des Glaces; Dokoko; Dolmanax; Bontique</t>
        </is>
      </c>
    </row>
    <row r="20317">
      <c r="A20317" t="inlineStr">
        <is>
          <t>Sram M 200</t>
        </is>
      </c>
      <c r="B20317">
        <f>HYPERLINK("https://www.dofusbook.net/fr/equipement/4508577-sram-m-200/objets", "link")</f>
        <v/>
      </c>
      <c r="C20317" t="n">
        <v>1</v>
      </c>
      <c r="D20317" t="inlineStr">
        <is>
          <t>Dagues Érhy; Amulette Volkorne; Anneau Volkorne; Bracelet du Piloztère; Bouclier du Stalak; Ceinture de l'Esprit Salvateur; Masque de l'Esprit Salvateur; Cape de Jahash Jurgen; Bottes de l'Esprit Salvateur; Dofus Vulbis; Dofus des Glaces; Dofus Ivoire; Dofus Pourpre; Dofus Ocre; Dolmanax; Fëanor</t>
        </is>
      </c>
    </row>
    <row r="20318">
      <c r="A20318" t="inlineStr">
        <is>
          <t>Sram M 200</t>
        </is>
      </c>
      <c r="B20318">
        <f>HYPERLINK("https://www.dofusbook.net/fr/equipement/4508483-sram-m-200/objets", "link")</f>
        <v/>
      </c>
      <c r="C20318" t="n">
        <v>1</v>
      </c>
      <c r="D20318" t="inlineStr">
        <is>
          <t>Héqache; Amulette du Strigide; Anneau des égarés; Bague Trithon; Bouclier du Captain Amakna; Ceinture du Strigide; Masque Trithon; Cape du Cœur Saignant; Bottes Trithon; Dofus des Glaces; Dofus Turquoise; Dofus Vulbis; Dofus Ocre; Dofus Nébuleux; Dofus Pourpre; Kokulte</t>
        </is>
      </c>
    </row>
    <row r="20319">
      <c r="A20319" t="inlineStr">
        <is>
          <t>Sadida M 200</t>
        </is>
      </c>
      <c r="B20319">
        <f>HYPERLINK("https://www.dofusbook.net/fr/equipement/4504624-sadida-m-200/objets", "link")</f>
        <v/>
      </c>
      <c r="C20319" t="n">
        <v>0</v>
      </c>
      <c r="D20319" t="inlineStr">
        <is>
          <t>Arc corrompu; Amulette Volkorne; Anneau Tamie; Anneau Tamie; Bouclier du Stalak; Ceinture Séculaire; Couronne de Nidas; Cape de la Dame du Hasard; Bottes de la Dame du Hasard; Dofus Ocre; Déserteur majeur; Nomade; Temporiseur majeur; Remueur; Érudit majeur; Gwo Tofu Ventripotent</t>
        </is>
      </c>
    </row>
    <row r="20320">
      <c r="A20320" t="inlineStr">
        <is>
          <t>Sadida M 200</t>
        </is>
      </c>
      <c r="B20320">
        <f>HYPERLINK("https://www.dofusbook.net/fr/equipement/4504614-sadida-m-200/objets", "link")</f>
        <v/>
      </c>
      <c r="C20320" t="n">
        <v>0</v>
      </c>
      <c r="D20320" t="inlineStr">
        <is>
          <t>Marteau R'ture; Amulette du Kamasterisk; Anneau Crustique; Chevalière du Roi Joueur; Bouclier cubiste; Ceinture Volkorne; Masque de Koutoulou; Cape du Cœur Saignant; Bottes du Kamasterisk; Dofus Pourpre; Remueur; Enragé majeur; Nomade; Déserteur majeur; Temporiseur majeur; Bulbisou</t>
        </is>
      </c>
    </row>
    <row r="20321">
      <c r="A20321" t="inlineStr">
        <is>
          <t>Enutrof M 200</t>
        </is>
      </c>
      <c r="B20321">
        <f>HYPERLINK("https://www.dofusbook.net/fr/equipement/4504580-enutrof-m-200/objets", "link")</f>
        <v/>
      </c>
      <c r="C20321" t="n">
        <v>0</v>
      </c>
      <c r="D20321" t="inlineStr">
        <is>
          <t>Marteau R'ture; Amulette Luminescente; Chevalière du Roi Joueur; Anneau de Nidas; Bouclier cubiste; Ceinture Glaciale; Casquette de Meno; Cape de Léthaline; Bottes de Meno; Dofus des Glaces; Dofus Ocre; Dofus Pourpre; Entraveur majeur; Remueur; Temporiseur majeur; Gwo Tofu Ventripotent</t>
        </is>
      </c>
    </row>
    <row r="20322">
      <c r="A20322" t="inlineStr">
        <is>
          <t>Sram M 200</t>
        </is>
      </c>
      <c r="B20322">
        <f>HYPERLINK("https://www.dofusbook.net/fr/equipement/4504563-sram-m-200/objets", "link")</f>
        <v/>
      </c>
      <c r="C20322" t="n">
        <v>0</v>
      </c>
      <c r="D20322" t="inlineStr">
        <is>
          <t>Dagoulinantes; Amulette de l'Œil Attentif; Lavanneau; Anneau Volkorne; Bouclier du Stalak; Ceinture de la Reine des Voleurs; Masque des Fonds marins; Cape Solution; Bottes de la Reine des Voleurs; Dofus Ocre; Dofus des Glaces; Dofus Pourpre; Nomade; Chanceux majeur; Dévastateur Eau majeur; Kanigloups</t>
        </is>
      </c>
    </row>
    <row r="20323">
      <c r="A20323" t="inlineStr">
        <is>
          <t>Sram M 200</t>
        </is>
      </c>
      <c r="B20323">
        <f>HYPERLINK("https://www.dofusbook.net/fr/equipement/4504538-sram-m-200/objets", "link")</f>
        <v/>
      </c>
      <c r="C20323" t="n">
        <v>0</v>
      </c>
      <c r="D20323" t="inlineStr"/>
    </row>
    <row r="20324">
      <c r="A20324" t="inlineStr">
        <is>
          <t>Ouginak M 200</t>
        </is>
      </c>
      <c r="B20324">
        <f>HYPERLINK("https://www.dofusbook.net/fr/equipement/4494972-ouginak-m-200/objets", "link")</f>
        <v/>
      </c>
      <c r="C20324" t="n">
        <v>0</v>
      </c>
      <c r="D20324" t="inlineStr">
        <is>
          <t>Bâthon; Amulette Volkorne; Chevalière du Roi Joueur; Alliance Brûlâme; Bouclier d'Ilyzaelle; Ceinture Volkorne; Chapeau de Gein; Voile d'encre; Bottes Honyme; Dofus Turquoise; Dofus Pourpre; Nomade; Miraculé majeur; Remueur; Vigoureux majeur; Dragodinde Emeraude et Ivoire</t>
        </is>
      </c>
    </row>
    <row r="20325">
      <c r="A20325" t="inlineStr">
        <is>
          <t>Sram M 200</t>
        </is>
      </c>
      <c r="B20325">
        <f>HYPERLINK("https://www.dofusbook.net/fr/equipement/4494927-sram-m-200/objets", "link")</f>
        <v/>
      </c>
      <c r="C20325" t="n">
        <v>0</v>
      </c>
      <c r="D20325" t="inlineStr">
        <is>
          <t>Héqache; Amulette de Pol Ouatnos; Alliance Brûlâme; Anneau des égarés; Bouclier du Stalak; Ceinture Volkorne; Casque Volkorne; Cape du Kamasterisk; Baleinabottes; Dofus Pourpre; Nomade; Observateur; Robuste majeur; Remueur; Vigoureux majeur; Pioute rose</t>
        </is>
      </c>
    </row>
    <row r="20326">
      <c r="A20326" t="inlineStr">
        <is>
          <t>Zobal M 200</t>
        </is>
      </c>
      <c r="B20326">
        <f>HYPERLINK("https://www.dofusbook.net/fr/equipement/4494850-zobal-m-200/objets", "link")</f>
        <v/>
      </c>
      <c r="C20326" t="n">
        <v>0</v>
      </c>
      <c r="D20326" t="inlineStr">
        <is>
          <t>Lav'Hache; Collier de Tourthon; Anneau en Grithril; Anneau Crustique; Bouclier d'Ilyzaelle; Ceinture Volkorne; Casque en Grithril; Ankhape; Bottes du Cœur Saignant; Dofus Ocre; Dofus Pourpre; Nomade; Robuste majeur; Remueur; Enragé majeur; Volkorne Pourpre</t>
        </is>
      </c>
    </row>
    <row r="20327">
      <c r="A20327" t="inlineStr">
        <is>
          <t>Sram M 200</t>
        </is>
      </c>
      <c r="B20327">
        <f>HYPERLINK("https://www.dofusbook.net/fr/equipement/4494019-sram-m-200/objets", "link")</f>
        <v/>
      </c>
      <c r="C20327" t="n">
        <v>2</v>
      </c>
      <c r="D20327" t="inlineStr">
        <is>
          <t>Arc de Koutoulou; Amulette d'Ilyzaelle; Alliance Gloursonne; Anneau Tique; Bouclier du Stalak; Sangle Ouare; Casque d'Ilyzaelle; Cape des Justiciers; Bottes de la Reine des Voleurs; Dofus Pourpre; Dokoko; Nomade; Observateur; Remueur; Vigoureux majeur; Mini Wa</t>
        </is>
      </c>
    </row>
    <row r="20328">
      <c r="A20328" t="inlineStr">
        <is>
          <t>Iop M 200</t>
        </is>
      </c>
      <c r="B20328">
        <f>HYPERLINK("https://www.dofusbook.net/fr/equipement/4486349-iop-m-200/objets", "link")</f>
        <v/>
      </c>
      <c r="C20328" t="n">
        <v>0</v>
      </c>
      <c r="D20328" t="inlineStr">
        <is>
          <t>Couteaux Sacrificiels; Amulette Volkorne; Anneau Volkorne; Lavanneau; Bouclier d'Ilyzaelle; Ceintrigue; Masque de l'Esprit Salvateur; Cape Paztek; Bottes Refois; Dofus Émeraude; Dofus Ocre; Dofus Pourpre; Dofus des Glaces; Remueur; Nomade; Volkorne Rubis et Saphir</t>
        </is>
      </c>
    </row>
    <row r="20329">
      <c r="A20329" t="inlineStr">
        <is>
          <t>Sram M 200</t>
        </is>
      </c>
      <c r="B20329">
        <f>HYPERLINK("https://www.dofusbook.net/fr/equipement/4483439-sram-m-200/objets", "link")</f>
        <v/>
      </c>
      <c r="C20329" t="n">
        <v>2</v>
      </c>
      <c r="D20329" t="inlineStr">
        <is>
          <t>Dagues d'Ilyzaelle; Amulette du Strigide; Anneau Crustique; Anneau Crustique; Bouclier du Captain Amakna; Ceinture du Strigide; Masque de Koutoulou; Cape au Logis; Bottes du Cœur Saignant; Dofus Pourpre; Dofus Turquoise; Observateur; Enragé majeur; Remueur; Nomade; Bulbisou</t>
        </is>
      </c>
    </row>
    <row r="20330">
      <c r="A20330" t="inlineStr">
        <is>
          <t>Sram M 200</t>
        </is>
      </c>
      <c r="B20330">
        <f>HYPERLINK("https://www.dofusbook.net/fr/equipement/4465063-sram-m-200/objets", "link")</f>
        <v/>
      </c>
      <c r="C20330" t="n">
        <v>0</v>
      </c>
      <c r="D20330" t="inlineStr">
        <is>
          <t>Crocobur; Amulette du Kamasterisk; Anneau Volkorne; Alliance Brûlâme; Droiture de Fallanster; Ceinture Volkorne; Casque Volkorne; Cape du Kamasterisk; Bottes du Kamasterisk; Dokoko; Dofus Pourpre; Dofus des Glaces; Dofus Ocre; Dofus Abyssal; Dofus Ivoire; Fëanor</t>
        </is>
      </c>
    </row>
    <row r="20331">
      <c r="A20331" t="inlineStr">
        <is>
          <t>Sram M 200</t>
        </is>
      </c>
      <c r="B20331">
        <f>HYPERLINK("https://www.dofusbook.net/fr/equipement/4465050-sram-m-200/objets", "link")</f>
        <v/>
      </c>
      <c r="C20331" t="n">
        <v>0</v>
      </c>
      <c r="D20331" t="inlineStr">
        <is>
          <t>Épée du Granduk; Amulette du Granduk; Gant du Valet Veinard; Cadran d'Air; Masque du Granduk; Cape du Valet Veinard; Blérodoudou</t>
        </is>
      </c>
    </row>
    <row r="20332">
      <c r="A20332" t="inlineStr">
        <is>
          <t>Sram M 200</t>
        </is>
      </c>
      <c r="B20332">
        <f>HYPERLINK("https://www.dofusbook.net/fr/equipement/4465027-sram-m-200/objets", "link")</f>
        <v/>
      </c>
      <c r="C20332" t="n">
        <v>0</v>
      </c>
      <c r="D20332" t="inlineStr">
        <is>
          <t>Plume de Buhorado; Collier du Valet Veinard; Anneau d'Allister; Gant du Valet Veinard; Bouclier du Stalak; Menoture; Masquegel; Cape Martegel; Bottes d'Allister; Dokoko; Dofus Abyssal; Dofus Ivoire; Dofus des Glaces; Dofus Pourpre; Dofus Ocre; Blérodoudou</t>
        </is>
      </c>
    </row>
    <row r="20333">
      <c r="A20333" t="inlineStr">
        <is>
          <t>Sram M 200</t>
        </is>
      </c>
      <c r="B20333">
        <f>HYPERLINK("https://www.dofusbook.net/fr/equipement/4463463-sram-m-200/objets", "link")</f>
        <v/>
      </c>
      <c r="C20333" t="n">
        <v>0</v>
      </c>
      <c r="D20333" t="inlineStr">
        <is>
          <t>Dagoulinantes; Amulette de Shokkoth; Anneau Volkorne; Bracelet des Fonds marins; Bouclier d'Ilyzaelle; Sangle Ouare; Kidibonnet; Cape Solution; Sandales des Fonds marins; Dofus Pourpre; Dofus Turquoise; Nomade; Chanceux majeur; Remueur; Dévastateur Eau majeur; Kanigloups</t>
        </is>
      </c>
    </row>
    <row r="20334">
      <c r="A20334" t="inlineStr">
        <is>
          <t>Sram M 200</t>
        </is>
      </c>
      <c r="B20334">
        <f>HYPERLINK("https://www.dofusbook.net/fr/equipement/4463045-sram-m-200/objets", "link")</f>
        <v/>
      </c>
      <c r="C20334" t="n">
        <v>0</v>
      </c>
      <c r="D20334" t="inlineStr">
        <is>
          <t>Plume de Buhorado; Amulette Voldelor; Anneau de Padgref; Gant du Valet Veinard; Quatre-feuilles; Menoture; Casque Volkorne; Cape Indescriptible; Bottes Voldelor; Dofus Turquoise; Dofus des Glaces; Dofus Pourpre; Cascadeur majeur; Dévastateur Air majeur; Remueur; Blérodoudou</t>
        </is>
      </c>
    </row>
    <row r="20335">
      <c r="A20335" t="inlineStr">
        <is>
          <t>Tankman</t>
        </is>
      </c>
      <c r="B20335">
        <f>HYPERLINK("https://www.dofusbook.net/fr/equipement/4463004-tankman/objets", "link")</f>
        <v/>
      </c>
      <c r="C20335" t="n">
        <v>1</v>
      </c>
      <c r="D20335" t="inlineStr">
        <is>
          <t>Pelle de la Cour Sombre; Collier Rophante; Anneau de XLII; Bague Trithon; Droiture de Fallanster; Ceinture de XLII; Casque Dragoeuf; Bravoure de Rykke Errel; Getas Bernacle; Dofus Émeraude; Dofus Ocre; Dofus Ivoire; Remueur; Nomade; Miraculé majeur; Eliôme</t>
        </is>
      </c>
    </row>
    <row r="20336">
      <c r="A20336" t="inlineStr">
        <is>
          <t>Iop M 200</t>
        </is>
      </c>
      <c r="B20336">
        <f>HYPERLINK("https://www.dofusbook.net/fr/equipement/4456601-iop-m-200/objets", "link")</f>
        <v/>
      </c>
      <c r="C20336" t="n">
        <v>0</v>
      </c>
      <c r="D20336" t="inlineStr">
        <is>
          <t>Marteau R'ture; Amulette du Cœur Saignant; Anneau Crustique; Anneau Crustique; Bouclier d'Ilyzaelle; Ceinture Volkorne; Masque de Funespadon; Cape du Cœur Saignant; Bottes de Mille Lieues; Dofus Pourpre; Dofus Abyssal; Dofus Ocre; Dofus Nébuleux; Nomade; Remueur; Volkorne Pourpre</t>
        </is>
      </c>
    </row>
    <row r="20337">
      <c r="A20337" t="inlineStr">
        <is>
          <t>Iop M 200</t>
        </is>
      </c>
      <c r="B20337">
        <f>HYPERLINK("https://www.dofusbook.net/fr/equipement/4456560-iop-m-200/objets", "link")</f>
        <v/>
      </c>
      <c r="C20337" t="n">
        <v>0</v>
      </c>
      <c r="D20337" t="inlineStr">
        <is>
          <t>Couteaux Sacrificiels; Amulette Volkorne; Anneau Volkorne; Lavanneau; Bouclier d'Ilyzaelle; Ceinture de l'Esprit Salvateur; Diadème de Ganymède; Cape Paztek; Bottes de Mille Lieues; Dofus Abyssal; Dofus Pourpre; Dofus Nébuleux; Dofus Ocre; Nomade; Vigoureux majeur; Walk</t>
        </is>
      </c>
    </row>
    <row r="20338">
      <c r="A20338" t="inlineStr">
        <is>
          <t>Iop M 200</t>
        </is>
      </c>
      <c r="B20338">
        <f>HYPERLINK("https://www.dofusbook.net/fr/equipement/4456531-iop-m-200/objets", "link")</f>
        <v/>
      </c>
      <c r="C20338" t="n">
        <v>1</v>
      </c>
      <c r="D20338" t="inlineStr">
        <is>
          <t>Arc du Chalœil; Amulette du Cœur Saignant; Anneau Crustique; Anneau Crustique; Bouclier d'Ilyzaelle; Ceinture Volkorne; Diadème de Ganymède; Cape du Cœur Saignant; Bottes de Mille Lieues; Dofus Nébuleux; Dofus Abyssal; Dofus Ivoire; Dofus Ocre; Enragé majeur; Nomade; Bulbisou</t>
        </is>
      </c>
    </row>
    <row r="20339">
      <c r="A20339" t="inlineStr">
        <is>
          <t>Ouginak M 200</t>
        </is>
      </c>
      <c r="B20339">
        <f>HYPERLINK("https://www.dofusbook.net/fr/equipement/4451263-ouginak-m-200/objets", "link")</f>
        <v/>
      </c>
      <c r="C20339" t="n">
        <v>0</v>
      </c>
      <c r="D20339" t="inlineStr">
        <is>
          <t>Lance Horselé; Collier du Valet Veinard; Anneau de Padgref; Gant du Valet Veinard; Bouclier d'Ilyzaelle; Menoture; Casque Volkorne; Cape Indescriptible; Palmes Trithons; Dofus Pourpre; Dofus Turquoise; Nomade; Cascadeur majeur; Remueur; Dévastateur Air majeur; Kokulte</t>
        </is>
      </c>
    </row>
    <row r="20340">
      <c r="A20340" t="inlineStr">
        <is>
          <t>Zobal M 200</t>
        </is>
      </c>
      <c r="B20340">
        <f>HYPERLINK("https://www.dofusbook.net/fr/equipement/4451246-zobal-m-200/objets", "link")</f>
        <v/>
      </c>
      <c r="C20340" t="n">
        <v>0</v>
      </c>
      <c r="D20340" t="inlineStr">
        <is>
          <t>Dagoulinantes; Amulette Luminescente; Anneau Volkorne; Bague Trithon; Bouclier Taverne; Ceinture Luminescente; Masque Paztek; Cape Paztek; Sandales Paztek; Dofus des Glaces; Dofus Émeraude; Dofus Abyssal; Dofus Ivoire; Dofus Ocre; Bousculeur majeur; Volkorne Doré et Roux</t>
        </is>
      </c>
    </row>
    <row r="20341">
      <c r="A20341" t="inlineStr">
        <is>
          <t>Zobal M 200</t>
        </is>
      </c>
      <c r="B20341">
        <f>HYPERLINK("https://www.dofusbook.net/fr/equipement/4451242-zobal-m-200/objets", "link")</f>
        <v/>
      </c>
      <c r="C20341" t="n">
        <v>1</v>
      </c>
      <c r="D20341" t="inlineStr">
        <is>
          <t>Crocobur; Amulette du Strigide; Anneau Aimgéroks; Bague Trithon; Bouclier du Captain Amakna; Ceinture du Strigide; Masque d'Anerice; Cape d'Anerice; Bottes Trithon; Dofus Nébuleux; Dofus Pourpre; Dofus Vulbis; Dofus Turquoise; Dofus Ébène; Dofus des Glaces; Kokulte</t>
        </is>
      </c>
    </row>
    <row r="20342">
      <c r="A20342" t="inlineStr">
        <is>
          <t>Ecaflip M 200</t>
        </is>
      </c>
      <c r="B20342">
        <f>HYPERLINK("https://www.dofusbook.net/fr/equipement/4451213-ecaflip-m-200/objets", "link")</f>
        <v/>
      </c>
      <c r="C20342" t="n">
        <v>0</v>
      </c>
      <c r="D20342" t="inlineStr">
        <is>
          <t>Plume de Buhorado; Amibou; Gant du Valet Veinard; Alliance Brûlâme; Bouclier Taverne; Audace de Dodge; Masque du Barbétoal; Capibou; Baleinabottes; Dofus Turquoise; Cascadeur majeur; Bousculeur majeur; Remueur; Culbuteur majeur; Nomade; Kafarce</t>
        </is>
      </c>
    </row>
    <row r="20343">
      <c r="A20343" t="inlineStr">
        <is>
          <t>Sacrieur M 200</t>
        </is>
      </c>
      <c r="B20343">
        <f>HYPERLINK("https://www.dofusbook.net/fr/equipement/4451191-sacrieur-m-200/objets", "link")</f>
        <v/>
      </c>
      <c r="C20343" t="n">
        <v>1</v>
      </c>
      <c r="D20343" t="inlineStr">
        <is>
          <t>Plume de Buhorado; Collier du Valet Veinard; Anneau de Padgref; Gant du Valet Veinard; Quatre-feuilles; Menoture; Casque Volkorne; Cape Indescriptible; Palmes Trithons; Dofus Pourpre; Dofus Turquoise; Dofus des Glaces; Dévastateur Air majeur; Cascadeur majeur; Remueur; Kokulte</t>
        </is>
      </c>
    </row>
    <row r="20344">
      <c r="A20344" t="inlineStr">
        <is>
          <t>Sacrieur M 200</t>
        </is>
      </c>
      <c r="B20344">
        <f>HYPERLINK("https://www.dofusbook.net/fr/equipement/4451181-sacrieur-m-200/objets", "link")</f>
        <v/>
      </c>
      <c r="C20344" t="n">
        <v>1</v>
      </c>
      <c r="D20344" t="inlineStr">
        <is>
          <t>Plumeau Bil; Amulette Volkorne; Chevalière du Roi Joueur; Anneauræus; Bouclier d'Ilyzaelle; Ceinture Séculaire; Coiffe Séculaire; Cape de Diondin; Chaussures Ardentes; Dofus des Glaces; Dofus Pourpre; Érudit majeur; Remueur; Dévastateur Feu majeur; Nomade; Bisouglours</t>
        </is>
      </c>
    </row>
    <row r="20345">
      <c r="A20345" t="inlineStr">
        <is>
          <t>Sacrieur M 200</t>
        </is>
      </c>
      <c r="B20345">
        <f>HYPERLINK("https://www.dofusbook.net/fr/equipement/4451164-sacrieur-m-200/objets", "link")</f>
        <v/>
      </c>
      <c r="C20345" t="n">
        <v>0</v>
      </c>
      <c r="D20345" t="inlineStr">
        <is>
          <t>Epée Toche; Amulette Volkorne; Chevalière du Roi Joueur; Bague Gloursonne; Bouclier d'Ilyzaelle; Ceinture Volkorne; Chapeau de Gein; Voile d'encre; Bottes Honyme; Dofus Pourpre; Dofus Turquoise; Dofus des Glaces; Remueur; Nomade; Vigoureux majeur; Kokulte</t>
        </is>
      </c>
    </row>
    <row r="20346">
      <c r="A20346" t="inlineStr">
        <is>
          <t>Zobal M 200</t>
        </is>
      </c>
      <c r="B20346">
        <f>HYPERLINK("https://www.dofusbook.net/fr/equipement/4451013-zobal-m-200/objets", "link")</f>
        <v/>
      </c>
      <c r="C20346" t="n">
        <v>0</v>
      </c>
      <c r="D20346" t="inlineStr">
        <is>
          <t>Dagoulinantes; Amulette de l'Œil Attentif; Anneau Volkorne; Bracelet des Fonds marins; Bouclier d'Ilyzaelle; Pagne du Rykaon; Masque des Fonds marins; Cape Solution; Pataugastrique; Dofus Pourpre; Dofus Turquoise; Vigoureux majeur; Chanceux majeur; Remueur; Nomade; Kanigloups</t>
        </is>
      </c>
    </row>
    <row r="20347">
      <c r="A20347" t="inlineStr">
        <is>
          <t>Zobal M 200</t>
        </is>
      </c>
      <c r="B20347">
        <f>HYPERLINK("https://www.dofusbook.net/fr/equipement/4450917-zobal-m-200/objets", "link")</f>
        <v/>
      </c>
      <c r="C20347" t="n">
        <v>0</v>
      </c>
      <c r="D20347" t="inlineStr">
        <is>
          <t>Couteaux Sacrificiels; Amulette Volkorne; Lavanneau; Anneau Volkorne; Bouclier d'Ilyzaelle; Ceintacé; Chapeau des Malveilleurs; Cape Paztek; Pataugastrique; Dofus Pourpre; Dofus des Glaces; Vigoureux majeur; Remueur; Robuste majeur; Nomade; Walk</t>
        </is>
      </c>
    </row>
    <row r="20348">
      <c r="A20348" t="inlineStr">
        <is>
          <t>Zobal M 200</t>
        </is>
      </c>
      <c r="B20348">
        <f>HYPERLINK("https://www.dofusbook.net/fr/equipement/4449413-zobal-m-200/objets", "link")</f>
        <v/>
      </c>
      <c r="C20348" t="n">
        <v>0</v>
      </c>
      <c r="D20348" t="inlineStr">
        <is>
          <t>Couteaux Sacrificiels; Amulette Volkorne; Anneau Volkorne; Lavanneau; Bouclier d'Ilyzaelle; Ceinture Volkorne; Casque du Chalœil; Cape du Chalœil; Bottes Honyme; Dofus Émeraude; Dofus Ocre; Dofus Pourpre; Dofus des Glaces; Féroce majeur; Robuste majeur; Eliôme</t>
        </is>
      </c>
    </row>
    <row r="20349">
      <c r="A20349" t="inlineStr">
        <is>
          <t>Ouginak M 200</t>
        </is>
      </c>
      <c r="B20349">
        <f>HYPERLINK("https://www.dofusbook.net/fr/equipement/4449235-ouginak-m-200/objets", "link")</f>
        <v/>
      </c>
      <c r="C20349" t="n">
        <v>1</v>
      </c>
      <c r="D20349" t="inlineStr">
        <is>
          <t>Couteaux Sacrificiels; Amulette Volkorne; Goulano; Anneau Volkorne; Bouclier d'Ilyzaelle; Ceintacé; Maskrobe; Cape Paztek; Pataugastrique; Dofus Pourpre; Remueur; Robuste majeur; Nomade; Carapace Feu majeur; Vigoureux majeur; Walk</t>
        </is>
      </c>
    </row>
    <row r="20350">
      <c r="A20350" t="inlineStr">
        <is>
          <t>Ouginak M 200</t>
        </is>
      </c>
      <c r="B20350">
        <f>HYPERLINK("https://www.dofusbook.net/fr/equipement/4449028-ouginak-m-200/objets", "link")</f>
        <v/>
      </c>
      <c r="C20350" t="n">
        <v>0</v>
      </c>
      <c r="D20350" t="inlineStr">
        <is>
          <t>Couteaux Sacrificiels; Amulette Volkorne; Anneau Volkorne; Lavanneau; Bouclier précieux; Ceintacé; Masque Paztek; Cape Paztek; Sandales Paztek; Dofus des Glaces; Dofus Pourpre; Dofus Abyssal; Dofus Ocre; Bousculeur majeur; Robuste majeur; Petit Chienchien Noir</t>
        </is>
      </c>
    </row>
    <row r="20351">
      <c r="A20351" t="inlineStr">
        <is>
          <t>Iop M 200</t>
        </is>
      </c>
      <c r="B20351">
        <f>HYPERLINK("https://www.dofusbook.net/fr/equipement/4448996-iop-m-200/objets", "link")</f>
        <v/>
      </c>
      <c r="C20351" t="n">
        <v>0</v>
      </c>
      <c r="D20351" t="inlineStr">
        <is>
          <t>Couteaux Sacrificiels; Amulette Volkorne; Goulano; Anneau Volkorne; Bouclier d'Ilyzaelle; Ceintrigue; Masque Paztek; Cape Solution; Pataugastrique; Dofus des Glaces; Dofus Pourpre; Nomade; Robuste majeur; Remueur; Vigoureux majeur; Muldo Orchidée</t>
        </is>
      </c>
    </row>
    <row r="20352">
      <c r="A20352" t="inlineStr">
        <is>
          <t>Huppermage M 200</t>
        </is>
      </c>
      <c r="B20352">
        <f>HYPERLINK("https://www.dofusbook.net/fr/equipement/4442635-huppermage-m-200/objets", "link")</f>
        <v/>
      </c>
      <c r="C20352" t="n">
        <v>1</v>
      </c>
      <c r="D20352" t="inlineStr">
        <is>
          <t>Pyraguette; Amulette Volkorne; Anneau Volkorne; Lavanneau; Bouclier du Stalak; Chapeau des Malveilleurs; Cape Solution; Pataugastrique; Dofus Pourpre; Remueur; Robuste majeur; Nomade; Carapace Feu majeur; Vigoureux majeur; Kramkram</t>
        </is>
      </c>
    </row>
    <row r="20353">
      <c r="A20353" t="inlineStr">
        <is>
          <t>Huppermage M 200</t>
        </is>
      </c>
      <c r="B20353">
        <f>HYPERLINK("https://www.dofusbook.net/fr/equipement/4446483-huppermage-m-200/objets", "link")</f>
        <v/>
      </c>
      <c r="C20353" t="n">
        <v>0</v>
      </c>
      <c r="D20353" t="inlineStr">
        <is>
          <t>Pyraguette; Amulette Volkorne; Anneau Volkorne; Lavanneau; Bouclier du Stalak; Sangle Ouare; Capuche de l'Œil Putride; Cape Solution; Bottes Honyme; Dofus Pourpre; Observateur; Robuste majeur; Remueur; Vigoureux majeur; Nomade; Walk</t>
        </is>
      </c>
    </row>
    <row r="20354">
      <c r="A20354" t="inlineStr">
        <is>
          <t>Sacrieur M 200</t>
        </is>
      </c>
      <c r="B20354">
        <f>HYPERLINK("https://www.dofusbook.net/fr/equipement/4442803-sacrieur-m-200/objets", "link")</f>
        <v/>
      </c>
      <c r="C20354" t="n">
        <v>0</v>
      </c>
      <c r="D20354" t="inlineStr">
        <is>
          <t>Baguette Héroclite; Amulette Volkorne; Anneau Volkorne; Bracelet des Fonds marins; Bouclier d'Ilyzaelle; Ceinture de Dame Jhessica; Masque des Fonds marins; Cape Solution; Sandales des Fonds marins; Dokoko; Dofus Abyssal; Dofus Émeraude; Dofus Ivoire; Dofus Vulbis; Dofus Pourpre; La Chose</t>
        </is>
      </c>
    </row>
    <row r="20355">
      <c r="A20355" t="inlineStr">
        <is>
          <t>Sram M 200</t>
        </is>
      </c>
      <c r="B20355">
        <f>HYPERLINK("https://www.dofusbook.net/fr/equipement/4442781-sram-m-200/objets", "link")</f>
        <v/>
      </c>
      <c r="C20355" t="n">
        <v>2</v>
      </c>
      <c r="D20355" t="inlineStr">
        <is>
          <t>Hache du Chalœil; Amulette Volkorne; Chevalière du Roi Joueur; Goulano; Bouclier d'Ilyzaelle; Ceinture Volkorne; Couronne du Roi Joueur; Bravoure de Rykke Errel; Bottes du Roi Joueur; Dokoko; Dolmanax; Dofus Ivoire; Dofus Ocre; Dofus Pourpre; Dofus Vulbis; Kramkram</t>
        </is>
      </c>
    </row>
    <row r="20356">
      <c r="A20356" t="inlineStr">
        <is>
          <t>Sram M 200</t>
        </is>
      </c>
      <c r="B20356">
        <f>HYPERLINK("https://www.dofusbook.net/fr/equipement/4442745-sram-m-200/objets", "link")</f>
        <v/>
      </c>
      <c r="C20356" t="n">
        <v>0</v>
      </c>
      <c r="D20356" t="inlineStr">
        <is>
          <t>Épée Brûlâme; Amulette Volkorne; Lavanneau; Anneau Volkorne; Droiture de Fallanster; Ceinture de l'Esprit Malsain; Casquette de Meno; Cape de la Dame du Hasard; Pataugastrique; Dofus Ocre; Dofus Ivoire; Dofus Turquoise; Nomade; Carapace Feu majeur; Observateur; Kokulte</t>
        </is>
      </c>
    </row>
    <row r="20357">
      <c r="A20357" t="inlineStr">
        <is>
          <t>Zobal M 200</t>
        </is>
      </c>
      <c r="B20357">
        <f>HYPERLINK("https://www.dofusbook.net/fr/equipement/4442688-zobal-m-200/objets", "link")</f>
        <v/>
      </c>
      <c r="C20357" t="n">
        <v>0</v>
      </c>
      <c r="D20357" t="inlineStr">
        <is>
          <t>Lance Horselé; Collier du Valet Veinard; Gant du Valet Veinard; Alliance Brûlâme; Trompe-la-Mort; Sangle Oriole; Chapeau de Tournoyé; Cape de Crânonier; Pompes Funèbres; Dofus Vulbis; Dofus Pourpre; Dofus Abyssal; Dofus Émeraude; Dofus Ocre; Dofus Ivoire; La Chose</t>
        </is>
      </c>
    </row>
    <row r="20358">
      <c r="A20358" t="inlineStr">
        <is>
          <t>Osamodas M 200</t>
        </is>
      </c>
      <c r="B20358">
        <f>HYPERLINK("https://www.dofusbook.net/fr/equipement/4442655-osamodas-m-200/objets", "link")</f>
        <v/>
      </c>
      <c r="C20358" t="n">
        <v>3</v>
      </c>
      <c r="D20358" t="inlineStr">
        <is>
          <t>Couteaux Sacrificiels; Amulette Volkorne; Anneau Volkorne; Lavanneau; Bouclier d'Ilyzaelle; Sangle Ouare; Chapeau des Malveilleurs; Cape Solution; Pataugastrique; Érudit majeur; Féroce majeur; Chanceux majeur; Remueur; Sanguinaire majeur; Nomade; Eliôme</t>
        </is>
      </c>
    </row>
    <row r="20359">
      <c r="A20359" t="inlineStr">
        <is>
          <t>Sram M 200</t>
        </is>
      </c>
      <c r="B20359">
        <f>HYPERLINK("https://www.dofusbook.net/fr/equipement/4442619-sram-m-200/objets", "link")</f>
        <v/>
      </c>
      <c r="C20359" t="n">
        <v>0</v>
      </c>
      <c r="D20359" t="inlineStr">
        <is>
          <t>Amulette Volkorne; Anneau des égarés; Anneau Toriété; Droiture de Fallanster; Ceinture Volkorne; Casque des égarés; Bravoure de Rykke Errel; Baleinabottes; Dofus Pourpre; Dofus Abyssal; Dofus Ébène; Dofus Ocre; Dokoko; Dofus Ivoire; Bulbisou</t>
        </is>
      </c>
    </row>
    <row r="20360">
      <c r="A20360" t="inlineStr">
        <is>
          <t>Féca M 200</t>
        </is>
      </c>
      <c r="B20360">
        <f>HYPERLINK("https://www.dofusbook.net/fr/equipement/4441166-feca-m-200/objets", "link")</f>
        <v/>
      </c>
      <c r="C20360" t="n">
        <v>1</v>
      </c>
      <c r="D20360" t="inlineStr">
        <is>
          <t>Hache du Chalœil; Amulette Volkorne; Anneau Volkorne; Bague Trithon; Quatre-feuilles; Ceinture Volkorne; Masque Trithon; Cape d'Anerice; Bottes Trithon; Dolmanax; Dofus Turquoise; Dofus Ocre; Dofus des Glaces; Dofus Abyssal; Dofus Pourpre; Kokulte</t>
        </is>
      </c>
    </row>
    <row r="20361">
      <c r="A20361" t="inlineStr">
        <is>
          <t>Sadida M 200</t>
        </is>
      </c>
      <c r="B20361">
        <f>HYPERLINK("https://www.dofusbook.net/fr/equipement/4441131-sadida-m-200/objets", "link")</f>
        <v/>
      </c>
      <c r="C20361" t="n">
        <v>0</v>
      </c>
      <c r="D20361" t="inlineStr">
        <is>
          <t>Pyraguette; Amulette Luminescente; Alliance du Lévitrof; Anneau Toriété; Bouclier cubiste; Ceinture Luminescente; Coiffe du Lévitrof; Cape Luminescente; Bottes du Lévitrof; Dofus Pourpre; Dolmanax; Féroce majeur; Robuste majeur; Puissant majeur; Entraveur majeur; Fëanor</t>
        </is>
      </c>
    </row>
    <row r="20362">
      <c r="A20362" t="inlineStr">
        <is>
          <t>Sadida M 200</t>
        </is>
      </c>
      <c r="B20362">
        <f>HYPERLINK("https://www.dofusbook.net/fr/equipement/4441059-sadida-m-200/objets", "link")</f>
        <v/>
      </c>
      <c r="C20362" t="n">
        <v>0</v>
      </c>
      <c r="D20362" t="inlineStr">
        <is>
          <t>Bêche Asse; Amulette Luminescente; Anneau Chevelu; Bracelet du Piloztère; Bouclier cubiste; Ceinture Luminescente; Masque de Koutoulou; Cape au Logis; Baleinabottes; Remueur; Temporiseur majeur; Nomade; Enragé majeur; Observateur; Entraveur majeur; Bulbisou</t>
        </is>
      </c>
    </row>
    <row r="20363">
      <c r="A20363" t="inlineStr">
        <is>
          <t>Sram M 200</t>
        </is>
      </c>
      <c r="B20363">
        <f>HYPERLINK("https://www.dofusbook.net/fr/equipement/4434101-sram-m-200/objets", "link")</f>
        <v/>
      </c>
      <c r="C20363" t="n">
        <v>0</v>
      </c>
      <c r="D20363" t="inlineStr">
        <is>
          <t>Lance Horselé; Amulette du Granduk; Anneau de Padgref; Alliance Gloursonne; Quatre-feuilles; Sangle Oriole; Chapeau de Tournoyé; Cape de Crânonier; Getas de Padgref; Dofus Pourpre; Dofus des Glaces; Dofus Abyssal; Dofus Ocre; Dofus Vulbis; Dofus Turquoise; Dragodinde Prune et Ebène</t>
        </is>
      </c>
    </row>
    <row r="20364">
      <c r="A20364" t="inlineStr">
        <is>
          <t>Ouginak M 200</t>
        </is>
      </c>
      <c r="B20364">
        <f>HYPERLINK("https://www.dofusbook.net/fr/equipement/4434039-ouginak-m-200/objets", "link")</f>
        <v/>
      </c>
      <c r="C20364" t="n">
        <v>0</v>
      </c>
      <c r="D20364" t="inlineStr">
        <is>
          <t>Sabres d'Atcham; Amulette d'Ilyzaelle; Anneau Volkorne; Alliance Gloursonne; Bouclier d'Ilyzaelle; Ceinture Volkorne; Casque d'Ilyzaelle; Cape d'Atcham; Sandales  d'Atcham; Dofus Vulbis; Dofus Ocre; Dolmanax; Dofus des Glaces; Dofus Ivoire; Dofus Pourpre; Kramkram</t>
        </is>
      </c>
    </row>
    <row r="20365">
      <c r="A20365" t="inlineStr">
        <is>
          <t>Huppermage M 200</t>
        </is>
      </c>
      <c r="B20365">
        <f>HYPERLINK("https://www.dofusbook.net/fr/equipement/4432952-huppermage-m-200/objets", "link")</f>
        <v/>
      </c>
      <c r="C20365" t="n">
        <v>0</v>
      </c>
      <c r="D20365" t="inlineStr">
        <is>
          <t>Couteaux Sacrificiels; Amulette Volkorne; Anneau Volkorne; Lavanneau; Bouclier d'Ilyzaelle; Poulpagne; Masque Paztek; Cape Paztek; Sandales Paztek; Dofus Abyssal; Dofus des Glaces; Dofus Émeraude; Dofus Pourpre; Dofus Nébuleux; Dofus Ocre; Kramkram</t>
        </is>
      </c>
    </row>
    <row r="20366">
      <c r="A20366" t="inlineStr">
        <is>
          <t>Huppermage M 200</t>
        </is>
      </c>
      <c r="B20366">
        <f>HYPERLINK("https://www.dofusbook.net/fr/equipement/4432295-huppermage-m-200/objets", "link")</f>
        <v/>
      </c>
      <c r="C20366" t="n">
        <v>2</v>
      </c>
      <c r="D20366" t="inlineStr">
        <is>
          <t>Sabres d'Atcham; Amulette Volkorne; Alliance Gloursonne; Anneau Volkorne; Quatre-feuilles; Ceinture Volkorne; Casque Volkorne; Cape de Jahash Jurgen; Sandales  d'Atcham; Dofus Pourpre; Dofus des Glaces; Dofus Turquoise; Dofus Ivoire; Dolmanax; Dofus Ocre; Volkorne Améthyste</t>
        </is>
      </c>
    </row>
    <row r="20367">
      <c r="A20367" t="inlineStr">
        <is>
          <t>Huppermage M 200</t>
        </is>
      </c>
      <c r="B20367">
        <f>HYPERLINK("https://www.dofusbook.net/fr/equipement/4425983-huppermage-m-200/objets", "link")</f>
        <v/>
      </c>
      <c r="C20367" t="n">
        <v>1</v>
      </c>
      <c r="D20367" t="inlineStr">
        <is>
          <t>Hache du Chalœil; Amulette Volkorne; Anneau Volkorne; Bague Trithon; Quatre-feuilles; Ceinture Volkorne; Diadème de Ganymède; Cape d'Atcham; Bottes Trithon; Dofus Ocre; Dofus des Glaces; Dofus Nébuleux; Dofus Pourpre; Dofus Turquoise; Dolmanax; Kokulte</t>
        </is>
      </c>
    </row>
    <row r="20368">
      <c r="A20368" t="inlineStr">
        <is>
          <t>Sram M 200</t>
        </is>
      </c>
      <c r="B20368">
        <f>HYPERLINK("https://www.dofusbook.net/fr/equipement/4425719-sram-m-200/objets", "link")</f>
        <v/>
      </c>
      <c r="C20368" t="n">
        <v>0</v>
      </c>
      <c r="D20368" t="inlineStr">
        <is>
          <t>Plumeau Bil; Amulette Volkorne; Anneauræus; Anneau Volkorne; Bouclier du Stalak; Ceinture de Vortex; Masque Ardent; Cape de Diondin; Chaussures Ardentes; Dofus Abyssal; Dofus Pourpre; Dofus Vulbis; Dofus des Glaces; Dofus Ivoire; Dofus Ocre; Bisouglours</t>
        </is>
      </c>
    </row>
    <row r="20369">
      <c r="A20369" t="inlineStr">
        <is>
          <t>Pandawa M 200</t>
        </is>
      </c>
      <c r="B20369">
        <f>HYPERLINK("https://www.dofusbook.net/fr/equipement/4425578-pandawa-m-200/objets", "link")</f>
        <v/>
      </c>
      <c r="C20369" t="n">
        <v>0</v>
      </c>
      <c r="D20369" t="inlineStr">
        <is>
          <t>Épée Brûlâme; Amulette du Strigide; Anneau Toriété; Lavanneau; Quatre-feuilles; Ceinture du Strigide; Kidibonnet; Cape de la Dame du Hasard; Pataugastrique; Dofus Turquoise; Dofus Pourpre; Nomade; Observateur; Vigoureux majeur; Remueur; Kokulte</t>
        </is>
      </c>
    </row>
    <row r="20370">
      <c r="A20370" t="inlineStr">
        <is>
          <t>Sadida M 200</t>
        </is>
      </c>
      <c r="B20370">
        <f>HYPERLINK("https://www.dofusbook.net/fr/equipement/4425351-sadida-m-200/objets", "link")</f>
        <v/>
      </c>
      <c r="C20370" t="n">
        <v>0</v>
      </c>
      <c r="D20370" t="inlineStr">
        <is>
          <t>Arc du Chalœil; Amulette du Strigide; Anneau Crustique; Anneau Crustique; Quatre-feuilles; Ceinture du Strigide; Masque de Koutoulou; Cape au Logis; Baleinabottes; Dofus Pourpre; Dofus Turquoise; Remueur; Nomade; Carapace Terre majeur; Enragé majeur; Kokulte</t>
        </is>
      </c>
    </row>
    <row r="20371">
      <c r="A20371" t="inlineStr">
        <is>
          <t>Féca M 200</t>
        </is>
      </c>
      <c r="B20371">
        <f>HYPERLINK("https://www.dofusbook.net/fr/equipement/4425349-feca-m-200/objets", "link")</f>
        <v/>
      </c>
      <c r="C20371" t="n">
        <v>0</v>
      </c>
      <c r="D20371" t="inlineStr"/>
    </row>
    <row r="20372">
      <c r="A20372" t="inlineStr">
        <is>
          <t>Féca M 200</t>
        </is>
      </c>
      <c r="B20372">
        <f>HYPERLINK("https://www.dofusbook.net/fr/equipement/4425144-feca-m-200/objets", "link")</f>
        <v/>
      </c>
      <c r="C20372" t="n">
        <v>3</v>
      </c>
      <c r="D20372" t="inlineStr">
        <is>
          <t>Crocobur; Amulette du Strigide; Anneau Volkorne; Anneau Toriété; Bouclier du Captain Amakna; Ceinture Volkorne; Coiffe de la Reine des Voleurs; Cape des Justiciers; Bottes de la Reine des Voleurs; Dofus Ocre; Dofus Turquoise; Dofus Abyssal; Dofus des Glaces; Dolmanax; Dofus Pourpre; Kokulte</t>
        </is>
      </c>
    </row>
    <row r="20373">
      <c r="A20373" t="inlineStr">
        <is>
          <t>Féca M 200</t>
        </is>
      </c>
      <c r="B20373">
        <f>HYPERLINK("https://www.dofusbook.net/fr/equipement/4423202-feca-m-200/objets", "link")</f>
        <v/>
      </c>
      <c r="C20373" t="n">
        <v>1</v>
      </c>
      <c r="D20373" t="inlineStr">
        <is>
          <t>Couteaux Sacrificiels; Amulette Volkorne; Lavanneau; Anneau Volkorne; Bouclier d'Ilyzaelle; Ceinture de l'Esprit Salvateur; Masque de l'Esprit Salvateur; Cape Paztek; Bottes de l'Esprit Salvateur; Dofus Abyssal; Dofus Ocre; Dolmanax; Dofus des Glaces; Dofus Ivoire; Dofus Pourpre; Muldo Orchidée et Pourpre</t>
        </is>
      </c>
    </row>
    <row r="20374">
      <c r="A20374" t="inlineStr">
        <is>
          <t>Féca M 200</t>
        </is>
      </c>
      <c r="B20374">
        <f>HYPERLINK("https://www.dofusbook.net/fr/equipement/4423175-feca-m-200/objets", "link")</f>
        <v/>
      </c>
      <c r="C20374" t="n">
        <v>0</v>
      </c>
      <c r="D20374" t="inlineStr">
        <is>
          <t>Pelle de la Cour Sombre; Collier du Valet Veinard; Gant du Valet Veinard; Alliance Gloursonne; Bouclier d'Ilyzaelle; Ceintouse; Chapoulpe; Cape du Valet Veinard; Tentassons; Dofus Ivoire; Dofus Émeraude; Dofus Vulbis; Dofus Abyssal; Dofus des Glaces; Dofus Ocre; Bwak d'Air</t>
        </is>
      </c>
    </row>
    <row r="20375">
      <c r="A20375" t="inlineStr">
        <is>
          <t>Féca M 200</t>
        </is>
      </c>
      <c r="B20375">
        <f>HYPERLINK("https://www.dofusbook.net/fr/equipement/4423152-feca-m-200/objets", "link")</f>
        <v/>
      </c>
      <c r="C20375" t="n">
        <v>1</v>
      </c>
      <c r="D20375" t="inlineStr">
        <is>
          <t>Lav'Hache; Amulette du Cœur Saignant; Anneau en Grithril; Anneau Volkorne; Droiture de Fallanster; Ceinture Volkorne; Casque en Grithril; Cape du Cœur Saignant; Bottes du Cœur Saignant; Dofus Ocre; Dofus Pourpre; Dofus Abyssal; Dofus Ivoire; Dofus Vulbis; Dofus Émeraude; Marcassin</t>
        </is>
      </c>
    </row>
    <row r="20376">
      <c r="A20376" t="inlineStr">
        <is>
          <t>Féca M 200</t>
        </is>
      </c>
      <c r="B20376">
        <f>HYPERLINK("https://www.dofusbook.net/fr/equipement/4423101-feca-m-200/objets", "link")</f>
        <v/>
      </c>
      <c r="C20376" t="n">
        <v>3</v>
      </c>
      <c r="D20376" t="inlineStr">
        <is>
          <t>Hache du Chalœil; Amulette Volkorne; Anneau Volkorne; Goulano; Goulclier; Ceinture Volkorne; Masque d'Anerice; Cape d'Anerice; Goulbottes; Dofus des Glaces; Dofus Turquoise; Dolmanax; Dofus Pourpre; Dofus Ivoire; Dofus Ocre; Kokulte</t>
        </is>
      </c>
    </row>
    <row r="20377">
      <c r="A20377" t="inlineStr">
        <is>
          <t>Ouginak M 200</t>
        </is>
      </c>
      <c r="B20377">
        <f>HYPERLINK("https://www.dofusbook.net/fr/equipement/4397154-ouginak-m-200/objets", "link")</f>
        <v/>
      </c>
      <c r="C20377" t="n">
        <v>0</v>
      </c>
      <c r="D20377" t="inlineStr">
        <is>
          <t>Couteaux Sacrificiels; Amulette Volkorne; Alliance Gloursonne; Anneau Volkorne; Cadran d'Eau; Ceintrigue; Masque Paztek; Cape Paztek; Sandales Paztek; Dofus Ivoire; Dofus Ocre; Dolmanax; Dofus des Glaces; Dofus Abyssal; Dofus Pourpre; Volkorne Jade et Rubis</t>
        </is>
      </c>
    </row>
    <row r="20378">
      <c r="A20378" t="inlineStr">
        <is>
          <t>Ouginak M 200</t>
        </is>
      </c>
      <c r="B20378">
        <f>HYPERLINK("https://www.dofusbook.net/fr/equipement/4397061-ouginak-m-200/objets", "link")</f>
        <v/>
      </c>
      <c r="C20378" t="n">
        <v>0</v>
      </c>
      <c r="D20378" t="inlineStr">
        <is>
          <t>Masse Ossiale; Torquistik; Bague Trithon; Bague Instable; Bouclier Taverne; Sangle Ouare; Masque Paztek; Cape Paztek; Bottes Owesli; Dofus Ocre; Dofus des Glaces; Dolmanax; Remueur; Bousculeur majeur; Culbuteur majeur; Scarakiri</t>
        </is>
      </c>
    </row>
    <row r="20379">
      <c r="A20379" t="inlineStr">
        <is>
          <t>Sadida M 200</t>
        </is>
      </c>
      <c r="B20379">
        <f>HYPERLINK("https://www.dofusbook.net/fr/equipement/4391634-sadida-m-200/objets", "link")</f>
        <v/>
      </c>
      <c r="C20379" t="n">
        <v>0</v>
      </c>
      <c r="D20379" t="inlineStr">
        <is>
          <t>Arc du Chalœil; Amulette du Cœur Saignant; Alliance de Missiz Frizz; Anneau Volkorne; Quatre-feuilles; Ceinture Volkorne; Casque de Missiz Frizz; Cape au Logis; Bottes du Cœur Saignant; Dofus Ébène; Dofus Turquoise; Dofus des Glaces; Dofus Pourpre; Dolmanax; Dofus Ocre; Volkorne Jade</t>
        </is>
      </c>
    </row>
    <row r="20380">
      <c r="A20380" t="inlineStr">
        <is>
          <t>Ouginak M 200</t>
        </is>
      </c>
      <c r="B20380">
        <f>HYPERLINK("https://www.dofusbook.net/fr/equipement/4391584-ouginak-m-200/objets", "link")</f>
        <v/>
      </c>
      <c r="C20380" t="n">
        <v>0</v>
      </c>
      <c r="D20380" t="inlineStr">
        <is>
          <t>Bâthon; Amulette du Strigide; Bague Trithon; Chevalière du Roi Joueur; Bouclier d'Ilyzaelle; Ceinture du Strigide; Masque Trithon; Cape au Logis; Bottes du Roi Joueur; Dofus Ivoire; Dofus Turquoise; Dofus Ébène; Dofus Ocre; Dofus des Glaces; Dofus Pourpre; Volkorne Jade et Améthyste</t>
        </is>
      </c>
    </row>
    <row r="20381">
      <c r="A20381" t="inlineStr">
        <is>
          <t>Pandawa M 200</t>
        </is>
      </c>
      <c r="B20381">
        <f>HYPERLINK("https://www.dofusbook.net/fr/equipement/4376951-pandawa-m-200/objets", "link")</f>
        <v/>
      </c>
      <c r="C20381" t="n">
        <v>1</v>
      </c>
      <c r="D20381" t="inlineStr">
        <is>
          <t>Sabres d'Atcham; Amulette Volkorne; Anneau Volkorne; Anneau de Padgref; Quatre-feuilles; Ceintacé; Casque Volkorne; Cape d'Atcham; Getas de Padgref; Dofus des Glaces; Dofus Pourpre; Dofus Ocre; Dofus Turquoise; Dokoko; Dolmanax; Kokulte</t>
        </is>
      </c>
    </row>
    <row r="20382">
      <c r="A20382" t="inlineStr">
        <is>
          <t>Sram M 200</t>
        </is>
      </c>
      <c r="B20382">
        <f>HYPERLINK("https://www.dofusbook.net/fr/equipement/4376887-sram-m-200/objets", "link")</f>
        <v/>
      </c>
      <c r="C20382" t="n">
        <v>0</v>
      </c>
      <c r="D20382" t="inlineStr">
        <is>
          <t>Marteau de Katrepat; Amulette Volkorne; Anneau Volkorne; Alliance Gloursonne; Bouclier du Stalak; Ceinture de l'Esprit Salvateur; Masque de l'Esprit Salvateur; Voilamibe; Bottes de l'Esprit Salvateur; Dofus Ocre; Dofus des Glaces; Dolmanax; Dofus Pourpre; Féroce majeur; Robuste majeur; Wabbit</t>
        </is>
      </c>
    </row>
    <row r="20383">
      <c r="A20383" t="inlineStr">
        <is>
          <t>Steamer M 200</t>
        </is>
      </c>
      <c r="B20383">
        <f>HYPERLINK("https://www.dofusbook.net/fr/equipement/4376868-steamer-m-200/objets", "link")</f>
        <v/>
      </c>
      <c r="C20383" t="n">
        <v>0</v>
      </c>
      <c r="D20383" t="inlineStr">
        <is>
          <t>Plume de Buhorado; Collier du Valet Veinard; Gant du Valet Veinard; Anneau de Padgref; Quatre-feuilles; Menoture; Coiffe de Padgref; Cape du Valet Veinard; Getas de Padgref; Dofus Pourpre; Dofus Turquoise; Dokoko; Dofus Émeraude; Voyageur; Equilibriste majeur; Dragodinde Prune et Ebène</t>
        </is>
      </c>
    </row>
    <row r="20384">
      <c r="A20384" t="inlineStr">
        <is>
          <t>Steamer M 200</t>
        </is>
      </c>
      <c r="B20384">
        <f>HYPERLINK("https://www.dofusbook.net/fr/equipement/4283872-steamer-m-200/objets", "link")</f>
        <v/>
      </c>
      <c r="C20384" t="n">
        <v>0</v>
      </c>
      <c r="D20384" t="inlineStr">
        <is>
          <t>Plume de Buhorado; Amibou; Bague Trithon; Bague Instable; Bouclier Taverne; Audace de Dodge; Masque du Barbétoal; Capibou; Bottes du Cul Botté; Dofus Ocre; Dofus des Glaces; Cascadeur majeur; Remueur; Bousculeur majeur; Culbuteur majeur; Tofoudre</t>
        </is>
      </c>
    </row>
    <row r="20385">
      <c r="A20385" t="inlineStr">
        <is>
          <t>Féca M 200</t>
        </is>
      </c>
      <c r="B20385">
        <f>HYPERLINK("https://www.dofusbook.net/fr/equipement/4283845-feca-m-200/objets", "link")</f>
        <v/>
      </c>
      <c r="C20385" t="n">
        <v>1</v>
      </c>
      <c r="D20385" t="inlineStr">
        <is>
          <t>Arc Nécrotique; Amulette Volkorne; Anneau Toriété; Anneau Volkorne; Bouclier du Stalak; Ceinture de l'Esprit Salvateur; Masque de l'Esprit Salvateur; Cape de Jahash Jurgen; Bottes de l'Esprit Salvateur; Dofus Pourpre; Dofus des Glaces; Dolmanax; Dofus Ivoire; Dofus Abyssal; Robuste majeur; Kramkram</t>
        </is>
      </c>
    </row>
    <row r="20386">
      <c r="A20386" t="inlineStr">
        <is>
          <t>Crâ F 200</t>
        </is>
      </c>
      <c r="B20386">
        <f>HYPERLINK("https://www.dofusbook.net/fr/equipement/4283823-cra-f-200/objets", "link")</f>
        <v/>
      </c>
      <c r="C20386" t="n">
        <v>1</v>
      </c>
      <c r="D20386" t="inlineStr">
        <is>
          <t>Hache du Chalœil; Amulette Volkorne; Chevalière du Roi Joueur; Anneau Volkorne; Bouclier du Stalak; Ceinture Volkorne; Couronne du Roi Joueur; Bravoure de Rykke Errel; Bottes du Roi Joueur; Dofus Abyssal; Dofus Pourpre; Dofus Turquoise; Dofus Ocre; Dofus Ivoire; Dolmanax; Cromeugnon</t>
        </is>
      </c>
    </row>
    <row r="20387">
      <c r="A20387" t="inlineStr">
        <is>
          <t>Crâ F 200</t>
        </is>
      </c>
      <c r="B20387">
        <f>HYPERLINK("https://www.dofusbook.net/fr/equipement/4283650-cra-f-200/objets", "link")</f>
        <v/>
      </c>
      <c r="C20387" t="n">
        <v>0</v>
      </c>
      <c r="D20387" t="inlineStr">
        <is>
          <t>Épée Brûlâme; Amulette Volkorne; Lavanneau; Anneau Volkorne; Bouclier du Stalak; Ceinture Volkorne; Cape Paztek; Sandales Paztek; Dofus Ocre; Dolmanax; Dofus des Glaces; Dofus Pourpre; Féroce majeur; Robuste majeur; Volkorne Rubis et Saphir</t>
        </is>
      </c>
    </row>
    <row r="20388">
      <c r="A20388" t="inlineStr">
        <is>
          <t>Crâ F 200</t>
        </is>
      </c>
      <c r="B20388">
        <f>HYPERLINK("https://www.dofusbook.net/fr/equipement/4281999-cra-f-200/objets", "link")</f>
        <v/>
      </c>
      <c r="C20388" t="n">
        <v>0</v>
      </c>
      <c r="D20388" t="inlineStr">
        <is>
          <t>Arc Volkorne; Amulette Volkorne; Anneau Volkorne; Anneau de Padgref; Quatre-feuilles; Ceinture Volkorne; Diadème de Ganymède; Cape de Jahash Jurgen; Getas de Padgref; Dofus Ocre; Dofus Turquoise; Dolmanax; Dofus des Glaces; Dofus Pourpre; Dofus Nébuleux; Kokulte</t>
        </is>
      </c>
    </row>
    <row r="20389">
      <c r="A20389" t="inlineStr">
        <is>
          <t>Steamer M 200</t>
        </is>
      </c>
      <c r="B20389">
        <f>HYPERLINK("https://www.dofusbook.net/fr/equipement/4263455-steamer-m-200/objets", "link")</f>
        <v/>
      </c>
      <c r="C20389" t="n">
        <v>0</v>
      </c>
      <c r="D20389" t="inlineStr"/>
    </row>
    <row r="20390">
      <c r="A20390" t="inlineStr">
        <is>
          <t>Iop M 200</t>
        </is>
      </c>
      <c r="B20390">
        <f>HYPERLINK("https://www.dofusbook.net/fr/equipement/4263419-iop-m-200/objets", "link")</f>
        <v/>
      </c>
      <c r="C20390" t="n">
        <v>1</v>
      </c>
      <c r="D20390" t="inlineStr">
        <is>
          <t>Couteaux Sacrificiels; Amulette Volkorne; Alliance Gloursonne; Anneau Volkorne; Bouclier d'Ilyzaelle; Ceinture de l'Esprit Salvateur; Diadème de Ganymède; Cape d'Anerice; Bottes de l'Esprit Salvateur; Dofus Vulbis; Dofus Ocre; Dofus Nébuleux; Dofus Pourpre; Dofus des Glaces; Dofus Abyssal; Kramkram</t>
        </is>
      </c>
    </row>
    <row r="20391">
      <c r="A20391" t="inlineStr">
        <is>
          <t>Huppermage F 200</t>
        </is>
      </c>
      <c r="B20391">
        <f>HYPERLINK("https://www.dofusbook.net/fr/equipement/4263388-huppermage-f-200/objets", "link")</f>
        <v/>
      </c>
      <c r="C20391" t="n">
        <v>0</v>
      </c>
      <c r="D20391" t="inlineStr">
        <is>
          <t>Arc du Chalœil; Amulette du Cœur Saignant; Anneau Crustique; Anneau Volkorne; Bouclier du Stalak; Ceinture Volkorne; Couronne de Brâm Barbe-Monde; Cape du Cœur Saignant; Bottes du Cœur Saignant; Dofus Vulbis; Dofus Pourpre; Dofus des Glaces; Dofus Ocre; Dofus Abyssal; Dofus Turquoise; Bulbisou</t>
        </is>
      </c>
    </row>
    <row r="20392">
      <c r="A20392" t="inlineStr">
        <is>
          <t>Enutrof M 200</t>
        </is>
      </c>
      <c r="B20392">
        <f>HYPERLINK("https://www.dofusbook.net/fr/equipement/4155592-enutrof-m-200/objets", "link")</f>
        <v/>
      </c>
      <c r="C20392" t="n">
        <v>0</v>
      </c>
      <c r="D20392" t="inlineStr">
        <is>
          <t>Arc de Koutoulou; Amulette Voldelor; Anneau Volkorne; Alliance Gloursonne; Quatre-feuilles; Ceinture Voldelor; Casque Volkorne; Chevelure de Tal Kasha; Sandales de Tal Kasha; Dofus Vulbis; Dofus Ocre; Dofus Ivoire; Dofus Turquoise; Dofus Abyssal; Dofus Pourpre; Volkorne Emeraude et Ebène</t>
        </is>
      </c>
    </row>
    <row r="20393">
      <c r="A20393" t="inlineStr">
        <is>
          <t>Pandawa M 200</t>
        </is>
      </c>
      <c r="B20393">
        <f>HYPERLINK("https://www.dofusbook.net/fr/equipement/4145802-pandawa-m-200/objets", "link")</f>
        <v/>
      </c>
      <c r="C20393" t="n">
        <v>1</v>
      </c>
      <c r="D20393" t="inlineStr">
        <is>
          <t>Hache du Chalœil; Amulette Volkorne; Anneau Volkorne; Anneau en Grithril; Bouclier du Stalak; Ceinture en Grithril; Casque en Grithril; Cape du Chalœil; Bottes du Chalœil; Dolmanax; Dofus Pourpre; Dofus Vulbis; Dofus des Glaces; Dofus Turquoise; Dofus Ocre; Kokulte</t>
        </is>
      </c>
    </row>
    <row r="20394">
      <c r="A20394" t="inlineStr">
        <is>
          <t>Ouginak M 200</t>
        </is>
      </c>
      <c r="B20394">
        <f>HYPERLINK("https://www.dofusbook.net/fr/equipement/4144949-ouginak-m-200/objets", "link")</f>
        <v/>
      </c>
      <c r="C20394" t="n">
        <v>0</v>
      </c>
      <c r="D20394" t="inlineStr">
        <is>
          <t>Arc du Chalœil; Amulette du Kamasterisk; Alliance Gloursonne; Bague Gloursonne; Bouclier d'Ilyzaelle; Ceinture de l'Esprit Salvateur; Masque de l'Esprit Salvateur; Cape du Kamasterisk; Bottes de l'Esprit Salvateur; Dofus Ocre; Dofus Ivoire; Dofus Pourpre; Dokoko; Dofus Vulbis; Dofus Émeraude; Wabbit</t>
        </is>
      </c>
    </row>
    <row r="20395">
      <c r="A20395" t="inlineStr">
        <is>
          <t>Féca M 200</t>
        </is>
      </c>
      <c r="B20395">
        <f>HYPERLINK("https://www.dofusbook.net/fr/equipement/4138000-feca-m-200/objets", "link")</f>
        <v/>
      </c>
      <c r="C20395" t="n">
        <v>2</v>
      </c>
      <c r="D20395" t="inlineStr">
        <is>
          <t>Sabres d'Atcham; Amulette Volkorne; Anneau Volkorne; Anneau de Padgref; Quatre-feuilles; Ceinture Volkorne; Casque Volkorne; Cape d'Atcham; Sandales  d'Atcham; Dofus Nébuleux; Dofus Pourpre; Dolmanax; Dofus des Glaces; Dofus Turquoise; Dofus Ocre; Kokulte</t>
        </is>
      </c>
    </row>
    <row r="20396">
      <c r="A20396" t="inlineStr">
        <is>
          <t>Ouginak M 200</t>
        </is>
      </c>
      <c r="B20396">
        <f>HYPERLINK("https://www.dofusbook.net/fr/equipement/4137928-ouginak-m-200/objets", "link")</f>
        <v/>
      </c>
      <c r="C20396" t="n">
        <v>2</v>
      </c>
      <c r="D20396" t="inlineStr">
        <is>
          <t>Épée du Granduk; Amulette du Granduk; Alliance Gloursonne; Anneau Volkorne; Bouclier du Captain Amakna; Menoture; Casque Volkorne; Chevelure de Tal Kasha; Sandales de Tal Kasha; Dofus Vulbis; Dofus Pourpre; Dofus Ocre; Dofus Nébuleux; Dofus Turquoise; Dofus des Glaces; Blérodoudou</t>
        </is>
      </c>
    </row>
    <row r="20397">
      <c r="A20397" t="inlineStr">
        <is>
          <t>Sacrieur M 200</t>
        </is>
      </c>
      <c r="B20397">
        <f>HYPERLINK("https://www.dofusbook.net/fr/equipement/4137887-sacrieur-m-200/objets", "link")</f>
        <v/>
      </c>
      <c r="C20397" t="n">
        <v>0</v>
      </c>
      <c r="D20397" t="inlineStr">
        <is>
          <t>Massier; Amulette Volkorne; Chevalière du Roi Joueur; Anneau Volkorne; Bouclier d'Ilyzaelle; Ceinture Volkorne; Couronne du Roi Joueur; Voile d'encre; Bottes du Roi Joueur; Dokoko; Dofus Pourpre; Dofus Émeraude; Dofus Turquoise; Dolmanax; Dofus Ocre; Volkorne Jade et Améthyste</t>
        </is>
      </c>
    </row>
    <row r="20398">
      <c r="A20398" t="inlineStr">
        <is>
          <t>Sadida M 200</t>
        </is>
      </c>
      <c r="B20398">
        <f>HYPERLINK("https://www.dofusbook.net/fr/equipement/4131517-sadida-m-200/objets", "link")</f>
        <v/>
      </c>
      <c r="C20398" t="n">
        <v>0</v>
      </c>
      <c r="D20398" t="inlineStr">
        <is>
          <t>Pelle de la Cour Sombre; Amibou; Gant du Valet Veinard; Anneau Volkorne; Bouclier cubiste; Menoture; Casque Volkorne; Capibou; Bottes du Kamasterisk; Dofus Ocre; Dofus des Glaces; Dofus Ivoire; Dofus Pourpre; Dofus Vulbis; Entraveur majeur; Léopardo</t>
        </is>
      </c>
    </row>
    <row r="20399">
      <c r="A20399" t="inlineStr">
        <is>
          <t>Eniripsa M 200</t>
        </is>
      </c>
      <c r="B20399">
        <f>HYPERLINK("https://www.dofusbook.net/fr/equipement/4128383-eniripsa-m-200/objets", "link")</f>
        <v/>
      </c>
      <c r="C20399" t="n">
        <v>1</v>
      </c>
      <c r="D20399" t="inlineStr">
        <is>
          <t>Sabres d'Atcham; Amulette Volkorne; Bague Trithon; Anneau Volkorne; Quatre-feuilles; Ceinture Volkorne; Masque Trithon; Cape d'Atcham; Sandales  d'Atcham; Dofus Nébuleux; Dofus Turquoise; Dolmanax; Dofus Pourpre; Dofus Ocre; Dofus des Glaces; Kokulte</t>
        </is>
      </c>
    </row>
    <row r="20400">
      <c r="A20400" t="inlineStr">
        <is>
          <t>Crâ M 200</t>
        </is>
      </c>
      <c r="B20400">
        <f>HYPERLINK("https://www.dofusbook.net/fr/equipement/4124530-cra-m-200/objets", "link")</f>
        <v/>
      </c>
      <c r="C20400" t="n">
        <v>1</v>
      </c>
      <c r="D20400" t="inlineStr">
        <is>
          <t>Dagues d'Ilyzaelle; Amulette du Cœur Saignant; Anneau Crustique; Anneau en Grithril; Quatre-feuilles; Ceinture en Grithril; Casque en Grithril; Cape du Cœur Saignant; Bottes du Cœur Saignant; Dofus Ocre; Dofus Nébuleux; Dofus Vulbis; Dofus Turquoise; Dofus des Glaces; Dofus Pourpre; Bulbisou</t>
        </is>
      </c>
    </row>
    <row r="20401">
      <c r="A20401" t="inlineStr">
        <is>
          <t>Sacrieur M 200</t>
        </is>
      </c>
      <c r="B20401">
        <f>HYPERLINK("https://www.dofusbook.net/fr/equipement/4123719-sacrieur-m-200/objets", "link")</f>
        <v/>
      </c>
      <c r="C20401" t="n">
        <v>0</v>
      </c>
      <c r="D20401" t="inlineStr">
        <is>
          <t>Hache du Chalœil; Amulette Volkorne; Anneau Volkorne; Chevalière du Roi Joueur; Bouclier d'Ilyzaelle; Ceinture Volkorne; Couronne du Roi Joueur; Cape du Cœur Saignant; Bottes du Roi Joueur; Dofus Ivoire; Dofus Turquoise; Dofus Abyssal; Dofus Pourpre; Dolmanax; Dofus Ocre; Volkorne Doré et Emeraude</t>
        </is>
      </c>
    </row>
    <row r="20402">
      <c r="A20402" t="inlineStr">
        <is>
          <t>Zobal M 200</t>
        </is>
      </c>
      <c r="B20402">
        <f>HYPERLINK("https://www.dofusbook.net/fr/equipement/4123628-zobal-m-200/objets", "link")</f>
        <v/>
      </c>
      <c r="C20402" t="n">
        <v>1</v>
      </c>
      <c r="D20402" t="inlineStr">
        <is>
          <t>Massier; Amulette Volkorne; Anneau Tique; Anneauræus; Bouclier d'Ilyzaelle; Ceinture Volkorne; Masque Ardent; Cape Ardente; Chaussures Ardentes; Dofus Pourpre; Dofus Ivoire; Dofus Turquoise; Dofus Abyssal; Dofus Ocre; Dofus Vulbis; Volkorne Rubis</t>
        </is>
      </c>
    </row>
    <row r="20403">
      <c r="A20403" t="inlineStr">
        <is>
          <t>Ouginak M 200</t>
        </is>
      </c>
      <c r="B20403">
        <f>HYPERLINK("https://www.dofusbook.net/fr/equipement/4123472-ouginak-m-200/objets", "link")</f>
        <v/>
      </c>
      <c r="C20403" t="n">
        <v>0</v>
      </c>
      <c r="D20403" t="inlineStr">
        <is>
          <t>Arc Nécrotique; Amulette Volkorne; Anneau Toriété; Anneau Volkorne; Bouclier du Captain Amakna; Ceinture de l'Esprit Malsain; Masque de l'Esprit Malsain; Cape de la Dame du Hasard; Bottes de la Dame du Hasard; Dofus Abyssal; Dofus Pourpre; Dolmanax; Dofus des Glaces; Dofus Turquoise; Dofus Ocre; Volkorne Rubis</t>
        </is>
      </c>
    </row>
    <row r="20404">
      <c r="A20404" t="inlineStr">
        <is>
          <t>Ouginak M 200</t>
        </is>
      </c>
      <c r="B20404">
        <f>HYPERLINK("https://www.dofusbook.net/fr/equipement/4123360-ouginak-m-200/objets", "link")</f>
        <v/>
      </c>
      <c r="C20404" t="n">
        <v>0</v>
      </c>
      <c r="D20404" t="inlineStr">
        <is>
          <t>Arc du Chalœil; Amulette du Cœur Saignant; Anneau en Grithril; Anneau de XLII; Bouclier d'Ilyzaelle; Ceinture de XLII; Casque en Grithril; Cape du Cœur Saignant; Bottes de XLII; Dofus Émeraude; Dofus Vulbis; Dofus Ivoire; Dofus Abyssal; Dokoko; Dofus Ocre; Bulbisou</t>
        </is>
      </c>
    </row>
    <row r="20405">
      <c r="A20405" t="inlineStr">
        <is>
          <t>Ouginak M 200</t>
        </is>
      </c>
      <c r="B20405">
        <f>HYPERLINK("https://www.dofusbook.net/fr/equipement/4122566-ouginak-m-200/objets", "link")</f>
        <v/>
      </c>
      <c r="C20405" t="n">
        <v>0</v>
      </c>
      <c r="D20405" t="inlineStr">
        <is>
          <t>Pelle de la Cour Sombre; Collier du Valet Veinard; Anneau de XLII; Gant du Valet Veinard; Bouclier d'Ilyzaelle; Ceinture de XLII; Casque d'Ilyzaelle; Cape du Valet Veinard; Bottes de XLII; Dofus Vulbis; Dofus Émeraude; Dofus Pourpre; Dokoko; Dofus Ocre; Dofus Ivoire; La Chose</t>
        </is>
      </c>
    </row>
    <row r="20406">
      <c r="A20406" t="inlineStr">
        <is>
          <t>Ecaflip M 200</t>
        </is>
      </c>
      <c r="B20406">
        <f>HYPERLINK("https://www.dofusbook.net/fr/equipement/4119109-ecaflip-m-200/objets", "link")</f>
        <v/>
      </c>
      <c r="C20406" t="n">
        <v>0</v>
      </c>
      <c r="D20406" t="inlineStr">
        <is>
          <t>Rapière aux Glyphes; Amulette d'Ilyzaelle; Bague Gloursonne; Alliance Gloursonne; Bouclier d'Ilyzaelle; Ceinture de l'Esprit Salvateur; Casque d'Ilyzaelle; Voilamibe; Bottes de l'Esprit Salvateur; Dofus Abyssal; Dofus des Glaces; Dolmanax; Dofus Pourpre; Dofus Turquoise; Dofus Ocre; Wabbit</t>
        </is>
      </c>
    </row>
    <row r="20407">
      <c r="A20407" t="inlineStr">
        <is>
          <t>Ecaflip M 200</t>
        </is>
      </c>
      <c r="B20407">
        <f>HYPERLINK("https://www.dofusbook.net/fr/equipement/4119099-ecaflip-m-200/objets", "link")</f>
        <v/>
      </c>
      <c r="C20407" t="n">
        <v>0</v>
      </c>
      <c r="D20407" t="inlineStr">
        <is>
          <t>Épée Brûlâme; Amulette Volkorne; Bracelet du Piloztère; Anneau Volkorne; Quatre-feuilles; Sangle Ouare; Casquette de Meno; Cape de la Dame du Hasard; Pataugastrique; Dofus Turquoise; Dofus Pourpre; Dofus des Glaces; Nomade; Vigoureux majeur; Remueur; Kokulte</t>
        </is>
      </c>
    </row>
    <row r="20408">
      <c r="A20408" t="inlineStr">
        <is>
          <t>Huppermage M 200</t>
        </is>
      </c>
      <c r="B20408">
        <f>HYPERLINK("https://www.dofusbook.net/fr/equipement/4119082-huppermage-m-200/objets", "link")</f>
        <v/>
      </c>
      <c r="C20408" t="n">
        <v>0</v>
      </c>
      <c r="D20408" t="inlineStr">
        <is>
          <t>Arc corrompu; Amulette Volkorne; Anneauræus; Anneau Volkorne; Bouclier du Stalak; Ceinture Volkorne; Heaume Oplate; Voile d'encre; Chaussures Ardentes; Dofus Pourpre; Dofus Ivoire; Dofus des Glaces; Dofus Abyssal; Dofus Nébuleux; Dofus Ocre; Bisouglours</t>
        </is>
      </c>
    </row>
    <row r="20409">
      <c r="A20409" t="inlineStr">
        <is>
          <t>Ouginak M 200</t>
        </is>
      </c>
      <c r="B20409">
        <f>HYPERLINK("https://www.dofusbook.net/fr/equipement/4119035-ouginak-m-200/objets", "link")</f>
        <v/>
      </c>
      <c r="C20409" t="n">
        <v>0</v>
      </c>
      <c r="D20409" t="inlineStr">
        <is>
          <t>Pyraguette; Amulette de l'Œil Attentif; Bracelet des Fonds marins; Anneau Volkorne; Bouclier du Stalak; Ceinture Volkorne; Capuche de l'Œil Attentif; Cape de l'Œil Attentif; Sandales des Fonds marins; Dofus Pourpre; Dofus Ivoire; Dofus Ocre; Dofus Abyssal; Dofus Vulbis; Dofus des Glaces; Kanigloups</t>
        </is>
      </c>
    </row>
    <row r="20410">
      <c r="A20410" t="inlineStr">
        <is>
          <t>Huppermage M 200</t>
        </is>
      </c>
      <c r="B20410">
        <f>HYPERLINK("https://www.dofusbook.net/fr/equipement/4052048-huppermage-m-200/objets", "link")</f>
        <v/>
      </c>
      <c r="C20410" t="n">
        <v>1</v>
      </c>
      <c r="D20410" t="inlineStr">
        <is>
          <t>Sabres d'Atcham; Amulette Volkorne; Anneau Volkorne; Bague Trithon; Quatre-feuilles; Ceinture Volkorne; Masque Trithon; Cape d'Atcham; Sandales  d'Atcham; Dofus Ocre; Dofus Turquoise; Dofus Nébuleux; Dofus Pourpre; Dolmanax; Dofus des Glaces; Kokulte</t>
        </is>
      </c>
    </row>
    <row r="20411">
      <c r="A20411" t="inlineStr">
        <is>
          <t>Sram M 200</t>
        </is>
      </c>
      <c r="B20411">
        <f>HYPERLINK("https://www.dofusbook.net/fr/equipement/4044831-sram-m-200/objets", "link")</f>
        <v/>
      </c>
      <c r="C20411" t="n">
        <v>0</v>
      </c>
      <c r="D20411" t="inlineStr">
        <is>
          <t>Arc corrompu; Amulette Volkorne; Anneauræus; Anneauræus; Bouclier du Stalak; Ceinture Volkorne; Heaume Oplate; Cape de Diondin; Chaussures Ardentes; Dofus Pourpre; Astucieux majeur; Robuste majeur; Érudit majeur; Nomade; Dévastateur Feu majeur; Bisouglours</t>
        </is>
      </c>
    </row>
    <row r="20412">
      <c r="A20412" t="inlineStr">
        <is>
          <t>Sram M 200</t>
        </is>
      </c>
      <c r="B20412">
        <f>HYPERLINK("https://www.dofusbook.net/fr/equipement/4044815-sram-m-200/objets", "link")</f>
        <v/>
      </c>
      <c r="C20412" t="n">
        <v>0</v>
      </c>
      <c r="D20412" t="inlineStr">
        <is>
          <t>Épée Brûlâme; Amulette Volkorne; Bague Trithon; Anneau Volkorne; Bouclier Taverne; Sangle Ouare; Masque de l'Esprit Malsain; Cape des Malveilleurs; Pataugastrique; Remueur; Culbuteur majeur; Vigoureux majeur; Nomade; Robuste majeur; Bousculeur majeur; Petit Chienchien Noir</t>
        </is>
      </c>
    </row>
    <row r="20413">
      <c r="A20413" t="inlineStr">
        <is>
          <t>Sadida M 200</t>
        </is>
      </c>
      <c r="B20413">
        <f>HYPERLINK("https://www.dofusbook.net/fr/equipement/4043820-sadida-m-200/objets", "link")</f>
        <v/>
      </c>
      <c r="C20413" t="n">
        <v>1</v>
      </c>
      <c r="D20413" t="inlineStr">
        <is>
          <t>Arc Nécrotique; Amulette Volkorne; Bague Trithon; Anneau Volkorne; Quatre-feuilles; Ceintacé; Masque Trithon; Cape de la Dame du Hasard; Bottes de la Dame du Hasard; Dofus Vulbis; Dofus des Glaces; Dofus Ocre; Dofus Turquoise; Dolmanax; Dofus Pourpre; Kokulte</t>
        </is>
      </c>
    </row>
    <row r="20414">
      <c r="A20414" t="inlineStr">
        <is>
          <t>Féca M 200</t>
        </is>
      </c>
      <c r="B20414">
        <f>HYPERLINK("https://www.dofusbook.net/fr/equipement/4043742-feca-m-200/objets", "link")</f>
        <v/>
      </c>
      <c r="C20414" t="n">
        <v>0</v>
      </c>
      <c r="D20414" t="inlineStr">
        <is>
          <t>Arc de Koutoulou; Amulette Volkorne; Anneau Volkorne; Alliance Gloursonne; Quatre-feuilles; Ceintacé; Némès de Tal Kasha; Chevelure de Tal Kasha; Pataugastrique; Dolmanax; Dofus Pourpre; Dofus des Glaces; Dofus Ocre; Dofus Turquoise; Dofus Vulbis; Kokulte</t>
        </is>
      </c>
    </row>
    <row r="20415">
      <c r="A20415" t="inlineStr">
        <is>
          <t>Iop M 200</t>
        </is>
      </c>
      <c r="B20415">
        <f>HYPERLINK("https://www.dofusbook.net/fr/equipement/4043694-iop-m-200/objets", "link")</f>
        <v/>
      </c>
      <c r="C20415" t="n">
        <v>0</v>
      </c>
      <c r="D20415" t="inlineStr">
        <is>
          <t>Sabres d'Atcham; Amulette Volkorne; Anneau de Padgref; Anneau Volkorne; Bouclier du Captain Amakna; Ceinture du Strigide; Casque Volkorne; Cape d'Atcham; Sandales  d'Atcham; Dolmanax; Dofus Pourpre; Dofus Ocre; Dofus des Glaces; Dofus Nébuleux; Dofus Turquoise; Kokulte</t>
        </is>
      </c>
    </row>
    <row r="20416">
      <c r="A20416" t="inlineStr">
        <is>
          <t>Iop M 200</t>
        </is>
      </c>
      <c r="B20416">
        <f>HYPERLINK("https://www.dofusbook.net/fr/equipement/4043615-iop-m-200/objets", "link")</f>
        <v/>
      </c>
      <c r="C20416" t="n">
        <v>0</v>
      </c>
      <c r="D20416" t="inlineStr">
        <is>
          <t>Baguette Range; Amulette Martegel; Anneau Rifique; Anneau Toriété; Bouclier du Stalak; Ceinture de l'Esprit Salvateur; Masquegel; Cape Martegel; Bottes de l'Esprit Salvateur; Dofus Pourpre; Dofus Ivoire; Dofus des Glaces; Dolmanax; Dofus Ocre; Robuste majeur; Wabbit</t>
        </is>
      </c>
    </row>
    <row r="20417">
      <c r="A20417" t="inlineStr">
        <is>
          <t>Iop M 200</t>
        </is>
      </c>
      <c r="B20417">
        <f>HYPERLINK("https://www.dofusbook.net/fr/equipement/4043616-iop-m-200/objets", "link")</f>
        <v/>
      </c>
      <c r="C20417" t="n">
        <v>0</v>
      </c>
      <c r="D20417" t="inlineStr"/>
    </row>
    <row r="20418">
      <c r="A20418" t="inlineStr">
        <is>
          <t>Iop M 200</t>
        </is>
      </c>
      <c r="B20418">
        <f>HYPERLINK("https://www.dofusbook.net/fr/equipement/4043613-iop-m-200/objets", "link")</f>
        <v/>
      </c>
      <c r="C20418" t="n">
        <v>0</v>
      </c>
      <c r="D20418" t="inlineStr"/>
    </row>
    <row r="20419">
      <c r="A20419" t="inlineStr">
        <is>
          <t>Iop M 200</t>
        </is>
      </c>
      <c r="B20419">
        <f>HYPERLINK("https://www.dofusbook.net/fr/equipement/4043300-iop-m-200/objets", "link")</f>
        <v/>
      </c>
      <c r="C20419" t="n">
        <v>1</v>
      </c>
      <c r="D20419" t="inlineStr">
        <is>
          <t>Dagoulinantes; Amulette du Sinistrofu; Bracelet des Fonds marins; Anneau en Grithril; Bouclier d'Ilyzaelle; Ceinture en Grithril; Casque en Grithril; Cape du Sinistrofu; Bottes du Sinistrofu; Dokoko; Dofus Ocre; Dofus Vulbis; Dofus Ivoire; Dofus Émeraude; Dofus Pourpre; Kanigloups</t>
        </is>
      </c>
    </row>
    <row r="20420">
      <c r="A20420" t="inlineStr">
        <is>
          <t>Ecaflip M 200</t>
        </is>
      </c>
      <c r="B20420">
        <f>HYPERLINK("https://www.dofusbook.net/fr/equipement/4042312-ecaflip-m-200/objets", "link")</f>
        <v/>
      </c>
      <c r="C20420" t="n">
        <v>0</v>
      </c>
      <c r="D20420" t="inlineStr">
        <is>
          <t>Arc du Chalœil; Amulette Volkorne; Anneau Crustique; Anneau Crustique; Bouclier du Stalak; Ceinture Volkorne; Masque de Koutoulou; Cape du Cœur Saignant; Bottes du Cœur Saignant; Dofus Turquoise; Dofus Nébuleux; Dofus Ocre; Dofus Pourpre; Dofus des Glaces; Robuste majeur; Bulbisou</t>
        </is>
      </c>
    </row>
    <row r="20421">
      <c r="A20421" t="inlineStr">
        <is>
          <t>Huppermage M 200</t>
        </is>
      </c>
      <c r="B20421">
        <f>HYPERLINK("https://www.dofusbook.net/fr/equipement/3977333-huppermage-m-200/objets", "link")</f>
        <v/>
      </c>
      <c r="C20421" t="n">
        <v>0</v>
      </c>
      <c r="D20421" t="inlineStr">
        <is>
          <t>Arc du Chalœil; Amulette Luminescente; Bague Trithon; Bague Instable; Bouclier Taverne; Ceinture Luminescente; Masque de Koutoulou; Cape au Logis; Baleinabottes; Remueur; Culbuteur majeur; Nomade; Enragé majeur; Bousculeur majeur; Dévastateur Terre majeur; Black Tiwabbit</t>
        </is>
      </c>
    </row>
    <row r="20422">
      <c r="A20422" t="inlineStr">
        <is>
          <t>Ouginak F 200</t>
        </is>
      </c>
      <c r="B20422">
        <f>HYPERLINK("https://www.dofusbook.net/fr/equipement/4001000-ouginak-f-200/objets", "link")</f>
        <v/>
      </c>
      <c r="C20422" t="n">
        <v>0</v>
      </c>
      <c r="D20422" t="inlineStr">
        <is>
          <t>Dagues Érhy; Torquistik; Baguistik; Goulano; Goulclier; Ceinture de Kongoku; Boucle d'oreille de Kongoku; Cape de Kongoku; Goulbottes; Dofus Vulbis; Dofus Ivoire; Dofus Abyssal; Dofus Pourpre; Dofus Ocre; Dofus des Glaces; Wabbit</t>
        </is>
      </c>
    </row>
    <row r="20423">
      <c r="A20423" t="inlineStr">
        <is>
          <t>Ecaflip M 200</t>
        </is>
      </c>
      <c r="B20423">
        <f>HYPERLINK("https://www.dofusbook.net/fr/equipement/4000741-ecaflip-m-200/objets", "link")</f>
        <v/>
      </c>
      <c r="C20423" t="n">
        <v>0</v>
      </c>
      <c r="D20423" t="inlineStr">
        <is>
          <t>Sabres d'Atcham; Amulette Volkorne; Anneau Volkorne; Anneau de Padgref; Quatre-feuilles; Ceinture Volkorne; Casque Volkorne; Cape d'Atcham; Sandales  d'Atcham; Dofus Ocre; Dofus des Glaces; Dofus Abyssal; Dofus Turquoise; Dolmanax; Dofus Pourpre; Kokulte</t>
        </is>
      </c>
    </row>
    <row r="20424">
      <c r="A20424" t="inlineStr">
        <is>
          <t>Pandawa M 200</t>
        </is>
      </c>
      <c r="B20424">
        <f>HYPERLINK("https://www.dofusbook.net/fr/equipement/4000691-pandawa-m-200/objets", "link")</f>
        <v/>
      </c>
      <c r="C20424" t="n">
        <v>0</v>
      </c>
      <c r="D20424" t="inlineStr">
        <is>
          <t>Sabres d'Atcham; Amulette Volkorne; Alliance Brûlâme; Anneau Volkorne; Bouclier du Stalak; Menoture; Masquegel; Cape Martegel; Sandales  d'Atcham; Dolmanax; Dofus Pourpre; Dofus des Glaces; Dofus Ivoire; Dofus Vulbis; Dofus Ocre; Wabbit</t>
        </is>
      </c>
    </row>
    <row r="20425">
      <c r="A20425" t="inlineStr">
        <is>
          <t>Enutrof M 200</t>
        </is>
      </c>
      <c r="B20425">
        <f>HYPERLINK("https://www.dofusbook.net/fr/equipement/4000226-enutrof-m-200/objets", "link")</f>
        <v/>
      </c>
      <c r="C20425" t="n">
        <v>0</v>
      </c>
      <c r="D20425" t="inlineStr">
        <is>
          <t>Hache du Chalœil; Amulette Volkorne; Anneau Volkorne; Lavanneau; Bouclier cubiste; Ceinture Volkorne; Casquette de Meno; Cape de Meno; Bottes de Meno; Dofus Ivoire; Dofus Ocre; Dofus des Glaces; Dofus Pourpre; Dolmanax; Dofus Turquoise; Kokulte</t>
        </is>
      </c>
    </row>
    <row r="20426">
      <c r="A20426" t="inlineStr">
        <is>
          <t>Sram M 200</t>
        </is>
      </c>
      <c r="B20426">
        <f>HYPERLINK("https://www.dofusbook.net/fr/equipement/3999912-sram-m-200/objets", "link")</f>
        <v/>
      </c>
      <c r="C20426" t="n">
        <v>0</v>
      </c>
      <c r="D20426" t="inlineStr">
        <is>
          <t>Arc corrompu; Amulette d'Otomaï; Anneauræus; Anneauræus; Bouclier du Stalak; Ceinture Séculaire; Coiffe Séculaire; Cape de Diondin; Pataugastrique; Dofus des Glaces; Observateur; Érudit majeur; Remueur; Dévastateur Feu majeur; Nomade; Bisouglours</t>
        </is>
      </c>
    </row>
    <row r="20427">
      <c r="A20427" t="inlineStr">
        <is>
          <t>Sram M 200</t>
        </is>
      </c>
      <c r="B20427">
        <f>HYPERLINK("https://www.dofusbook.net/fr/equipement/3999891-sram-m-200/objets", "link")</f>
        <v/>
      </c>
      <c r="C20427" t="n">
        <v>0</v>
      </c>
      <c r="D20427" t="inlineStr">
        <is>
          <t>Massier; Amulette Volkorne; Anneau Volkorne; Chevalière du Roi Joueur; Bouclier du Stalak; Ceinture Séculaire; Coiffe Séculaire; Cape de Diondin; Bottes du Roi Joueur; Dofus Ivoire; Dofus Ocre; Dofus Nébuleux; Dofus Pourpre; Dofus Vulbis; Dofus des Glaces; Bisouglours</t>
        </is>
      </c>
    </row>
    <row r="20428">
      <c r="A20428" t="inlineStr">
        <is>
          <t>Sadida M 200</t>
        </is>
      </c>
      <c r="B20428">
        <f>HYPERLINK("https://www.dofusbook.net/fr/equipement/3988862-sadida-m-200/objets", "link")</f>
        <v/>
      </c>
      <c r="C20428" t="n">
        <v>0</v>
      </c>
      <c r="D20428" t="inlineStr">
        <is>
          <t>Arc Honte; Pendentif mignon de Koutoulou; Anneau de Nidas; Anneau Rifique; Bouclier cubiste; Ceinture de l'Esprit Salvateur; Masquegel; Cape Martegel; Bottes de l'Esprit Salvateur; Dofus Pourpre; Dofus Ocre; Dofus des Glaces; Dolmanax; Robuste majeur; Entraveur majeur; Gwo Tofu Ventripotent</t>
        </is>
      </c>
    </row>
    <row r="20429">
      <c r="A20429" t="inlineStr">
        <is>
          <t>Steamer M 200</t>
        </is>
      </c>
      <c r="B20429">
        <f>HYPERLINK("https://www.dofusbook.net/fr/equipement/3987932-steamer-m-200/objets", "link")</f>
        <v/>
      </c>
      <c r="C20429" t="n">
        <v>0</v>
      </c>
      <c r="D20429" t="inlineStr">
        <is>
          <t>Héqache; Amulette du Cœur Vaillant; Bague Trithon; Gant du Valet Veinard; Bouclier Taverne; Menoture; Chapibou; Capibou; Palmes Trithons; Remueur; Dévastateur Air majeur; Nomade; Culbuteur majeur; Bousculeur majeur; Cascadeur majeur; Tofoudre</t>
        </is>
      </c>
    </row>
    <row r="20430">
      <c r="A20430" t="inlineStr">
        <is>
          <t>Huppermage M 200</t>
        </is>
      </c>
      <c r="B20430">
        <f>HYPERLINK("https://www.dofusbook.net/fr/equipement/3987573-huppermage-m-200/objets", "link")</f>
        <v/>
      </c>
      <c r="C20430" t="n">
        <v>0</v>
      </c>
      <c r="D20430" t="inlineStr">
        <is>
          <t>Massier; Amulette Volkorne; Anneau Toriété; Anneau Volkorne; Bouclier du Captain Amakna; Ceinture Séculaire; Coiffe Séculaire; Cape de Diondin; Bottes de la Dame du Hasard; Dolmanax; Dofus Pourpre; Dofus Ocre; Dofus Turquoise; Dofus des Glaces; Astucieux majeur; Bisouglours</t>
        </is>
      </c>
    </row>
    <row r="20431">
      <c r="A20431" t="inlineStr">
        <is>
          <t>Enutrof M 200</t>
        </is>
      </c>
      <c r="B20431">
        <f>HYPERLINK("https://www.dofusbook.net/fr/equipement/3987535-enutrof-m-200/objets", "link")</f>
        <v/>
      </c>
      <c r="C20431" t="n">
        <v>1</v>
      </c>
      <c r="D20431" t="inlineStr">
        <is>
          <t>Marteau des égarés; Amulette Volkorne; Anneau Volkorne; Anneau en Grithril; Bouclier du Stalak; Ceinture Volkorne; Casque du Chalœil; Cape du Chalœil; Bottes du Chalœil; Dofus Nébuleux; Dofus Pourpre; Dolmanax; Dofus Ocre; Dofus Turquoise; Dofus des Glaces; Kokulte</t>
        </is>
      </c>
    </row>
    <row r="20432">
      <c r="A20432" t="inlineStr">
        <is>
          <t>Enutrof M 200</t>
        </is>
      </c>
      <c r="B20432">
        <f>HYPERLINK("https://www.dofusbook.net/fr/equipement/3987484-enutrof-m-200/objets", "link")</f>
        <v/>
      </c>
      <c r="C20432" t="n">
        <v>1</v>
      </c>
      <c r="D20432" t="inlineStr">
        <is>
          <t>Marteau Phossile; Amulette Martegel; Bague Gloursonne; Alliance Gloursonne; Bouclier du Stalak; Ceinture de l'Esprit Salvateur; Masquegel; Cape Martegel; Bottes de l'Esprit Salvateur; Dofus Pourpre; Dofus Vulbis; Dofus Ocre; Dofus des Glaces; Féroce majeur; Robuste majeur; Fëanor</t>
        </is>
      </c>
    </row>
    <row r="20433">
      <c r="A20433" t="inlineStr">
        <is>
          <t>Steamer M 200</t>
        </is>
      </c>
      <c r="B20433">
        <f>HYPERLINK("https://www.dofusbook.net/fr/equipement/3959078-steamer-m-200/objets", "link")</f>
        <v/>
      </c>
      <c r="C20433" t="n">
        <v>0</v>
      </c>
      <c r="D20433" t="inlineStr">
        <is>
          <t>Arc Honte; Amulette Volkorne; Lavanneau; Anneau Volkorne; Bouclier du Stalak; Ceinture de l'Esprit Salvateur; Masque de l'Esprit Salvateur; Cape de la Dame du Hasard; Bottes de l'Esprit Salvateur; Dofus Nébuleux; Dofus Vulbis; Dofus des Glaces; Dofus Ocre; Dolmanax; Robuste majeur; Fëanor</t>
        </is>
      </c>
    </row>
    <row r="20434">
      <c r="A20434" t="inlineStr">
        <is>
          <t>Huppermage M 200</t>
        </is>
      </c>
      <c r="B20434">
        <f>HYPERLINK("https://www.dofusbook.net/fr/equipement/3959061-huppermage-m-200/objets", "link")</f>
        <v/>
      </c>
      <c r="C20434" t="n">
        <v>0</v>
      </c>
      <c r="D20434" t="inlineStr">
        <is>
          <t>Arc du Chalœil; Torquistik; Anneau Crustique; Bague Trithon; Bivalve; Ceinture Gence; Masque de Koutoulou; Cape au Logis; Bottistik; Dofus Turquoise; Dofus Pourpre; Bousculeur majeur; Remueur; Culbuteur majeur; Nomade; Black Tiwabbit</t>
        </is>
      </c>
    </row>
    <row r="20435">
      <c r="A20435" t="inlineStr">
        <is>
          <t>Sram M 200</t>
        </is>
      </c>
      <c r="B20435">
        <f>HYPERLINK("https://www.dofusbook.net/fr/equipement/3958605-sram-m-200/objets", "link")</f>
        <v/>
      </c>
      <c r="C20435" t="n">
        <v>0</v>
      </c>
      <c r="D20435" t="inlineStr">
        <is>
          <t>Masse Ossiale; Torquistik; Bague Instable; Bague Trithon; Bouclier Taverne; Ceintrigue; Masque de l'Esprit Malsain; Cape Solution; Bottes Owesli; Dofus Pourpre; Vigoureux majeur; Bousculeur majeur; Remueur; Culbuteur majeur; Nomade; Petit Chienchien Noir</t>
        </is>
      </c>
    </row>
    <row r="20436">
      <c r="A20436" t="inlineStr">
        <is>
          <t>Sram M 200</t>
        </is>
      </c>
      <c r="B20436">
        <f>HYPERLINK("https://www.dofusbook.net/fr/equipement/3958535-sram-m-200/objets", "link")</f>
        <v/>
      </c>
      <c r="C20436" t="n">
        <v>0</v>
      </c>
      <c r="D20436" t="inlineStr">
        <is>
          <t>Lav'Hache; Torquistik; Bague Instable; Bague Trithon; Bouclier précieux; Ceinture Gence; Masque du Barbétoal; Cape du Cœur Vaillant; Bottistik; Culbuteur majeur; Pousseur majeur; Bousculeur majeur; Nomade; Culbuteur; Remueur; Tatouf</t>
        </is>
      </c>
    </row>
    <row r="20437">
      <c r="A20437" t="inlineStr">
        <is>
          <t>Enutrof F 200</t>
        </is>
      </c>
      <c r="B20437">
        <f>HYPERLINK("https://www.dofusbook.net/fr/equipement/3957705-enutrof-f-200/objets", "link")</f>
        <v/>
      </c>
      <c r="C20437" t="n">
        <v>3</v>
      </c>
      <c r="D20437" t="inlineStr">
        <is>
          <t>Hache du Chalœil; Amulette Volkorne; Alliance du Lévitrof; Anneau Volkorne; Bouclier du Stalak; Ceinture Volkorne; Coiffe du Lévitrof; Cape de la Dame du Hasard; Bottes du Lévitrof; Dofus Turquoise; Dolmanax; Dofus Pourpre; Dofus des Glaces; Dofus Ocre; Entraveur majeur; Gwo Tofu Ventripotent</t>
        </is>
      </c>
    </row>
    <row r="20438">
      <c r="A20438" t="inlineStr">
        <is>
          <t>Enutrof F 200</t>
        </is>
      </c>
      <c r="B20438">
        <f>HYPERLINK("https://www.dofusbook.net/fr/equipement/3957668-enutrof-f-200/objets", "link")</f>
        <v/>
      </c>
      <c r="C20438" t="n">
        <v>1</v>
      </c>
      <c r="D20438" t="inlineStr">
        <is>
          <t>Sabres d'Atcham; Amulette Volkorne; Bracelet du Piloztère; Anneau Volkorne; Quatre-feuilles; Ceinture Séculaire; Casque Volkorne; Cape d'Atcham; Sandales  d'Atcham; Dofus Turquoise; Dolmanax; Dofus Pourpre; Dofus Ivoire; Dofus des Glaces; Dofus Ocre; Kokulte</t>
        </is>
      </c>
    </row>
    <row r="20439">
      <c r="A20439" t="inlineStr">
        <is>
          <t>Huppermage M 200</t>
        </is>
      </c>
      <c r="B20439">
        <f>HYPERLINK("https://www.dofusbook.net/fr/equipement/3954017-huppermage-m-200/objets", "link")</f>
        <v/>
      </c>
      <c r="C20439" t="n">
        <v>0</v>
      </c>
      <c r="D20439" t="inlineStr">
        <is>
          <t>Lav'Hache; Torquistik; Anneau Crustique; Bague Trithon; Bouclier Taverne; Ceinture Gence; Masque de Koutoulou; Cape au Logis; Bottistik; Culbuteur majeur; Nomade; Bousculeur majeur; Enragé majeur; Remueur; Dévastateur Terre majeur; Black Tiwabbit</t>
        </is>
      </c>
    </row>
    <row r="20440">
      <c r="A20440" t="inlineStr">
        <is>
          <t>Ouginak M 200</t>
        </is>
      </c>
      <c r="B20440">
        <f>HYPERLINK("https://www.dofusbook.net/fr/equipement/3940779-ouginak-m-200/objets", "link")</f>
        <v/>
      </c>
      <c r="C20440" t="n">
        <v>0</v>
      </c>
      <c r="D20440" t="inlineStr">
        <is>
          <t>Plumeau Bil; Torquistik; Bague Trithon; Anneauræus; Bouclier Taverne; Ceinture de Vortex; Masque de l'Esprit Malsain; Cape des Malveilleurs; Bottistik; Dofus Ocre; Culbuteur majeur; Bousculeur majeur; Remueur; Dévastateur Feu majeur; Nomade; Scarakiri</t>
        </is>
      </c>
    </row>
    <row r="20441">
      <c r="A20441" t="inlineStr">
        <is>
          <t>Crâ F 200</t>
        </is>
      </c>
      <c r="B20441">
        <f>HYPERLINK("https://www.dofusbook.net/fr/equipement/3940760-cra-f-200/objets", "link")</f>
        <v/>
      </c>
      <c r="C20441" t="n">
        <v>2</v>
      </c>
      <c r="D20441" t="inlineStr">
        <is>
          <t>Pelle de la Cour Sombre; Amulette du Strigide; Anneau Volkorne; Alliance Gloursonne; Quatre-feuilles; Menoture; Casque Volkorne; Cape Indescriptible; Palmes Trithons; Dofus Turquoise; Dofus Pourpre; Dofus Ocre; Dofus des Glaces; Cascadeur majeur; Nomade; Pioute jaune</t>
        </is>
      </c>
    </row>
    <row r="20442">
      <c r="A20442" t="inlineStr">
        <is>
          <t>Huppermage M 200</t>
        </is>
      </c>
      <c r="B20442">
        <f>HYPERLINK("https://www.dofusbook.net/fr/equipement/3940746-huppermage-m-200/objets", "link")</f>
        <v/>
      </c>
      <c r="C20442" t="n">
        <v>0</v>
      </c>
      <c r="D20442" t="inlineStr">
        <is>
          <t>Héqache; Amulette du Strigide; Alliance Brûlâme; Alliance Gloursonne; Quatre-feuilles; Ceinture du Strigide; Masque Trithon; Cape des Justiciers; Bottes du Chalœil; Dofus Pourpre; Dofus Turquoise; Remueur; Sanguinaire majeur; Nomade; Vigoureux majeur; Kokulte</t>
        </is>
      </c>
    </row>
    <row r="20443">
      <c r="A20443" t="inlineStr">
        <is>
          <t>Zobal M 200</t>
        </is>
      </c>
      <c r="B20443">
        <f>HYPERLINK("https://www.dofusbook.net/fr/equipement/3939356-zobal-m-200/objets", "link")</f>
        <v/>
      </c>
      <c r="C20443" t="n">
        <v>0</v>
      </c>
      <c r="D20443" t="inlineStr">
        <is>
          <t>Hache Euvale; Amulette de Pol Ouatnos; Bague Gloursonne; Alliance Gloursonne; Bouclier d'Ilyzaelle; Ceinture de l'Esprit Salvateur; Masque de l'Esprit Salvateur; Cape du Chalœil; Bottes de l'Esprit Salvateur; Dofus des Glaces; Dolmanax; Dofus Pourpre; Dofus Ocre; Robuste majeur; Bastion majeur; Wabbit</t>
        </is>
      </c>
    </row>
    <row r="20444">
      <c r="A20444" t="inlineStr">
        <is>
          <t>Crâ M 200</t>
        </is>
      </c>
      <c r="B20444">
        <f>HYPERLINK("https://www.dofusbook.net/fr/equipement/3939183-cra-m-200/objets", "link")</f>
        <v/>
      </c>
      <c r="C20444" t="n">
        <v>0</v>
      </c>
      <c r="D20444" t="inlineStr">
        <is>
          <t>Rapière aux Glyphes; Amulette de l'Œil Attentif; Bracelet des Fonds marins; Anneau Volkorne; Bouclier du Stalak; Ceinture de la Reine des Voleurs; Capuche de l'Œil Attentif; Cape de l'Œil Attentif; Bottes de la Reine des Voleurs; Dofus des Glaces; Dofus Turquoise; Dofus Ocre; Dofus Vulbis; Dofus Pourpre; Dofus Abyssal; Kanigloups</t>
        </is>
      </c>
    </row>
    <row r="20445">
      <c r="A20445" t="inlineStr">
        <is>
          <t>Zobal M 200</t>
        </is>
      </c>
      <c r="B20445">
        <f>HYPERLINK("https://www.dofusbook.net/fr/equipement/3935969-zobal-m-200/objets", "link")</f>
        <v/>
      </c>
      <c r="C20445" t="n">
        <v>1</v>
      </c>
      <c r="D20445" t="inlineStr">
        <is>
          <t>Lance Horselé; Amulette du Granduk; Alliance Gloursonne; Anneau Volkorne; Quatre-feuilles; Sangle Oriole; Casque Volkorne; Cape Indescriptible; Palmes Trithons; Dofus Turquoise; Dofus Pourpre; Dofus Ocre; Remueur; Nomade; Cascadeur majeur; Volkorne Jade et Améthyste</t>
        </is>
      </c>
    </row>
    <row r="20446">
      <c r="A20446" t="inlineStr">
        <is>
          <t>Zobal M 200</t>
        </is>
      </c>
      <c r="B20446">
        <f>HYPERLINK("https://www.dofusbook.net/fr/equipement/3935959-zobal-m-200/objets", "link")</f>
        <v/>
      </c>
      <c r="C20446" t="n">
        <v>2</v>
      </c>
      <c r="D20446" t="inlineStr">
        <is>
          <t>Arc de Guten Tak; Amulette Volkorne; Bague Trithon; Anneau Volkorne; Quatre-feuilles; Ceinture Volkorne; Masque Trithon; Chevelure de Tal Kasha; Bottes Trithon; Dofus Ocre; Dofus Turquoise; Dofus des Glaces; Dofus Nébuleux; Dofus Pourpre; Dolmanax; Kokulte</t>
        </is>
      </c>
    </row>
    <row r="20447">
      <c r="A20447" t="inlineStr">
        <is>
          <t>Huppermage M 200</t>
        </is>
      </c>
      <c r="B20447">
        <f>HYPERLINK("https://www.dofusbook.net/fr/equipement/3935948-huppermage-m-200/objets", "link")</f>
        <v/>
      </c>
      <c r="C20447" t="n">
        <v>0</v>
      </c>
      <c r="D20447" t="inlineStr">
        <is>
          <t>Arc de Guten Tak; Amulette du Strigide; Anneau Toriété; Anneau en Grithril; Bouclier d'Anerice; Ceinture en Grithril; Casque en Grithril; Cape d'Anerice; Bottes du Strigide; Dofus Abyssal; Dofus Pourpre; Dolmanax; Dofus Ocre; Dofus Turquoise; Dofus des Glaces; Kokulte</t>
        </is>
      </c>
    </row>
    <row r="20448">
      <c r="A20448" t="inlineStr">
        <is>
          <t>Huppermage M 200</t>
        </is>
      </c>
      <c r="B20448">
        <f>HYPERLINK("https://www.dofusbook.net/fr/equipement/3935944-huppermage-m-200/objets", "link")</f>
        <v/>
      </c>
      <c r="C20448" t="n">
        <v>0</v>
      </c>
      <c r="D20448" t="inlineStr">
        <is>
          <t>Massier; Amulette Volkorne; Anneau Volkorne; Anneau de Padgref; Bouclier du Captain Amakna; Ceinture Séculaire; Coiffe Séculaire; Cape d'Atcham; Sandales  d'Atcham; Dofus Vulbis; Dofus Turquoise; Dofus des Glaces; Dofus Pourpre; Dofus Nébuleux; Dofus Ocre; Volkorne Doré et Emeraude</t>
        </is>
      </c>
    </row>
    <row r="20449">
      <c r="A20449" t="inlineStr">
        <is>
          <t>Huppermage M 200</t>
        </is>
      </c>
      <c r="B20449">
        <f>HYPERLINK("https://www.dofusbook.net/fr/equipement/3935905-huppermage-m-200/objets", "link")</f>
        <v/>
      </c>
      <c r="C20449" t="n">
        <v>0</v>
      </c>
      <c r="D20449" t="inlineStr">
        <is>
          <t>Hache du Chalœil; Amulette du Strigide; Anneau Toriété; Bague Trithon; Quatre-feuilles; Ceinture du Strigide; Masque Trithon; Cape du Chalœil; Bottes Trithon; Dofus Turquoise; Dofus des Glaces; Dofus Pourpre; Dofus Nébuleux; Dolmanax; Dofus Ocre; Kokulte</t>
        </is>
      </c>
    </row>
    <row r="20450">
      <c r="A20450" t="inlineStr">
        <is>
          <t>Féca M 200</t>
        </is>
      </c>
      <c r="B20450">
        <f>HYPERLINK("https://www.dofusbook.net/fr/equipement/3930251-feca-m-200/objets", "link")</f>
        <v/>
      </c>
      <c r="C20450" t="n">
        <v>0</v>
      </c>
      <c r="D20450" t="inlineStr">
        <is>
          <t>Pyraguette; Amulette Volkorne; Anneau Volkorne; Anneau du Père Fwetar; Bouclier du Stalak; Ceinture de l'Esprit Salvateur; Masque de l'Esprit Salvateur; Voilamibe; Bottes de l'Esprit Salvateur; Dofus des Glaces; Dofus Ocre; Dofus Pourpre; Féroce majeur; Bastion majeur; Robuste majeur; Wabbit</t>
        </is>
      </c>
    </row>
    <row r="20451">
      <c r="A20451" t="inlineStr">
        <is>
          <t>Huppermage M 200</t>
        </is>
      </c>
      <c r="B20451">
        <f>HYPERLINK("https://www.dofusbook.net/fr/equipement/3929741-huppermage-m-200/objets", "link")</f>
        <v/>
      </c>
      <c r="C20451" t="n">
        <v>0</v>
      </c>
      <c r="D20451" t="inlineStr">
        <is>
          <t>Dagues de Srambad; Amulette Luminescente; Anneau Volkorne; Anneau en Grithril; Bouclier du Stalak; Ceinture Volkorne; Casquipik; Cape Ovri; Chaussons de Macrab; Dofus Turquoise; Dofus Pourpre; Dofus Ocre; Remueur; Nomade; Temporiseur majeur; Volkorne Améthyste et Turquoise</t>
        </is>
      </c>
    </row>
    <row r="20452">
      <c r="A20452" t="inlineStr">
        <is>
          <t>Huppermage M 200</t>
        </is>
      </c>
      <c r="B20452">
        <f>HYPERLINK("https://www.dofusbook.net/fr/equipement/3904305-huppermage-m-200/objets", "link")</f>
        <v/>
      </c>
      <c r="C20452" t="n">
        <v>0</v>
      </c>
      <c r="D20452" t="inlineStr">
        <is>
          <t>Sabres d'Atcham; Amulette du Strigide; Anneau Toriété; Anneau de Padgref; Quatre-feuilles; Ceinture du Strigide; Coiffe de Padgref; Cape d'Atcham; Bottes du Strigide; Dofus Turquoise; Dofus Pourpre; Dofus Ocre; Dofus des Glaces; Dofus Nébuleux; Dolmanax; Kokulte</t>
        </is>
      </c>
    </row>
    <row r="20453">
      <c r="A20453" t="inlineStr">
        <is>
          <t>Huppermage M 200</t>
        </is>
      </c>
      <c r="B20453">
        <f>HYPERLINK("https://www.dofusbook.net/fr/equipement/3904083-huppermage-m-200/objets", "link")</f>
        <v/>
      </c>
      <c r="C20453" t="n">
        <v>1</v>
      </c>
      <c r="D20453" t="inlineStr">
        <is>
          <t>Sabres d'Atcham; Amulette Volkorne; Anneau Volkorne; Anneau Tique; Bouclier du Stalak; Ceinture de Vortex; Casque Volkorne; Cape d'Atcham; Sandales  d'Atcham; Dofus Turquoise; Dolmanax; Dofus Pourpre; Dofus des Glaces; Dofus Ocre; Paralyseur majeur; Boskito</t>
        </is>
      </c>
    </row>
    <row r="20454">
      <c r="A20454" t="inlineStr">
        <is>
          <t>Huppermage M 200</t>
        </is>
      </c>
      <c r="B20454">
        <f>HYPERLINK("https://www.dofusbook.net/fr/equipement/3903996-huppermage-m-200/objets", "link")</f>
        <v/>
      </c>
      <c r="C20454" t="n">
        <v>0</v>
      </c>
      <c r="D20454" t="inlineStr">
        <is>
          <t>Dagoulinantes; Amulette de l'Œil Attentif; Alliance Gloursonne; Bracelet des Fonds marins; Bouclier du Captain Amakna; Sangle Ouare; Masque des Fonds marins; Cape Solution; Bottes du Sinistrofu; Dofus Turquoise; Dofus Pourpre; Nomade; Chanceux majeur; Remueur; Dévastateur Eau majeur; Kanigloups</t>
        </is>
      </c>
    </row>
    <row r="20455">
      <c r="A20455" t="inlineStr">
        <is>
          <t>Huppermage M 200</t>
        </is>
      </c>
      <c r="B20455">
        <f>HYPERLINK("https://www.dofusbook.net/fr/equipement/3903532-huppermage-m-200/objets", "link")</f>
        <v/>
      </c>
      <c r="C20455" t="n">
        <v>0</v>
      </c>
      <c r="D20455" t="inlineStr">
        <is>
          <t>Hache du Chalœil; Amulette Volkorne; Bague Trithon; Anneau Volkorne; Quatre-feuilles; Ceinture Volkorne; Masque Trithon; Chevelure de Tal Kasha; Bottes Trithon; Dokoko; Dofus Turquoise; Dofus Abyssal; Dolmanax; Dofus Ocre; Dofus Pourpre; Kokulte</t>
        </is>
      </c>
    </row>
    <row r="20456">
      <c r="A20456" t="inlineStr">
        <is>
          <t>Sram M 200</t>
        </is>
      </c>
      <c r="B20456">
        <f>HYPERLINK("https://www.dofusbook.net/fr/equipement/3899109-sram-m-200/objets", "link")</f>
        <v/>
      </c>
      <c r="C20456" t="n">
        <v>2</v>
      </c>
      <c r="D20456" t="inlineStr">
        <is>
          <t>Arc du Chalœil; Collier de Tourthon; Anneau de Brouce; Anneau Crustique; Bouclier du Stalak; Ceinture de la Reine des Voleurs; Coiffe de la Reine des Voleurs; Cape au Logis; Baleinabottes; Remueur; Dévastateur Terre majeur; Nomade; Vigoureux majeur; Observateur; Enragé majeur; Bulbisou</t>
        </is>
      </c>
    </row>
    <row r="20457">
      <c r="A20457" t="inlineStr">
        <is>
          <t>Huppermage M 200</t>
        </is>
      </c>
      <c r="B20457">
        <f>HYPERLINK("https://www.dofusbook.net/fr/equipement/3903055-huppermage-m-200/objets", "link")</f>
        <v/>
      </c>
      <c r="C20457" t="n">
        <v>0</v>
      </c>
      <c r="D20457" t="inlineStr"/>
    </row>
    <row r="20458">
      <c r="A20458" t="inlineStr">
        <is>
          <t>Huppermage M 200</t>
        </is>
      </c>
      <c r="B20458">
        <f>HYPERLINK("https://www.dofusbook.net/fr/equipement/3902887-huppermage-m-200/objets", "link")</f>
        <v/>
      </c>
      <c r="C20458" t="n">
        <v>0</v>
      </c>
      <c r="D20458" t="inlineStr">
        <is>
          <t>Épouvante; Amulette du Strigide; Anneau Toriété; Bracelet du Piloztère; Bouclier du Captain Amakna; Ceinture en Grithril; Casque en Grithril; Cape Luminescente; Baleinabottes; Dofus Turquoise; Dofus Pourpre; Remueur; Nomade; Observateur; Vigoureux majeur; Bébé Pandawa</t>
        </is>
      </c>
    </row>
    <row r="20459">
      <c r="A20459" t="inlineStr">
        <is>
          <t>Pandawa M 200</t>
        </is>
      </c>
      <c r="B20459">
        <f>HYPERLINK("https://www.dofusbook.net/fr/equipement/3900870-pandawa-m-200/objets", "link")</f>
        <v/>
      </c>
      <c r="C20459" t="n">
        <v>0</v>
      </c>
      <c r="D20459" t="inlineStr">
        <is>
          <t>Lav'Hache; Collier de Tourthon; Bague Gloursonne; Gelano; Bouclier du Captain Amakna; Ceinture de la Reine des Voleurs; Coiffe de la Reine des Voleurs; Voile d'encre; Bottes de la Cour Sombre; Dofus Turquoise; Dofus Pourpre; Nomade; Dévastateur Terre majeur; Remueur; Enragé majeur; Volkorne Emeraude et Pourpre</t>
        </is>
      </c>
    </row>
    <row r="20460">
      <c r="A20460" t="inlineStr">
        <is>
          <t>Pandawa M 200</t>
        </is>
      </c>
      <c r="B20460">
        <f>HYPERLINK("https://www.dofusbook.net/fr/equipement/3899381-pandawa-m-200/objets", "link")</f>
        <v/>
      </c>
      <c r="C20460" t="n">
        <v>2</v>
      </c>
      <c r="D20460" t="inlineStr">
        <is>
          <t>Dagues d'Ilyzaelle; Amulette du Cœur Saignant; Anneau Crustique; Anneau en Grithril; Bouclier du Captain Amakna; Ceinture en Grithril; Casque en Grithril; Cape du Cœur Saignant; Bottes du Cœur Saignant; Dofus Pourpre; Dofus des Glaces; Dofus Ocre; Dolmanax; Dofus Turquoise; Forcené majeur; Phorror</t>
        </is>
      </c>
    </row>
    <row r="20461">
      <c r="A20461" t="inlineStr">
        <is>
          <t>Zobal M 200</t>
        </is>
      </c>
      <c r="B20461">
        <f>HYPERLINK("https://www.dofusbook.net/fr/equipement/3899305-zobal-m-200/objets", "link")</f>
        <v/>
      </c>
      <c r="C20461" t="n">
        <v>3</v>
      </c>
      <c r="D20461" t="inlineStr">
        <is>
          <t>Hache du Chalœil; Amulette Volkorne; Bague Trithon; Anneau Volkorne; Bouclier du Captain Amakna; Ceinture Volkorne; Masque Trithon; Voile d'encre; Bottes Trithon; Dofus Émeraude; Dolmanax; Dofus Ocre; Dofus Turquoise; Dofus des Glaces; Dofus Pourpre; Kokulte</t>
        </is>
      </c>
    </row>
    <row r="20462">
      <c r="A20462" t="inlineStr">
        <is>
          <t>Zobal M 200</t>
        </is>
      </c>
      <c r="B20462">
        <f>HYPERLINK("https://www.dofusbook.net/fr/equipement/3899218-zobal-m-200/objets", "link")</f>
        <v/>
      </c>
      <c r="C20462" t="n">
        <v>0</v>
      </c>
      <c r="D20462" t="inlineStr">
        <is>
          <t>Lav'Hache; Torquistik; Baguistik; Anneau en Grithril; Bouclier d'Ilyzaelle; Ceinture en Grithril; Casque en Grithril; Cape du Cœur Saignant; Bottistik; Dofus Ocre; Dofus Émeraude; Dofus des Glaces; Dofus Pourpre; Voyageur; Vagabond majeur; Bulbisou</t>
        </is>
      </c>
    </row>
    <row r="20463">
      <c r="A20463" t="inlineStr">
        <is>
          <t>Huppermage M 200</t>
        </is>
      </c>
      <c r="B20463">
        <f>HYPERLINK("https://www.dofusbook.net/fr/equipement/3899162-huppermage-m-200/objets", "link")</f>
        <v/>
      </c>
      <c r="C20463" t="n">
        <v>1</v>
      </c>
      <c r="D20463" t="inlineStr">
        <is>
          <t>Sceptre du Roi Joueur; Amulette de Shokkoth; Bracelet des Fonds marins; Alliance Gloursonne; Bouclier d'Ilyzaelle; Poulpagne; Casque d'Ilyzaelle; Cape de Mantaze; Bottes du Nocturlabe; Dofus Pourpre; Nomade; Dévastateur Eau majeur; Remueur; Chanceux majeur; Carapace Eau majeur; Kanigloups</t>
        </is>
      </c>
    </row>
    <row r="20464">
      <c r="A20464" t="inlineStr">
        <is>
          <t>Huppermage F 200</t>
        </is>
      </c>
      <c r="B20464">
        <f>HYPERLINK("https://www.dofusbook.net/fr/equipement/3899042-huppermage-f-200/objets", "link")</f>
        <v/>
      </c>
      <c r="C20464" t="n">
        <v>0</v>
      </c>
      <c r="D20464" t="inlineStr">
        <is>
          <t>Épouvante; Amulette du Strigide; Bracelet du Piloztère; Bague Gloursonne; Quatre-feuilles; Ceinture de la Reine des Voleurs; Coiffe de la Reine des Voleurs; Cape Luminescente; Bottes Honyme; Dofus Pourpre; Dofus Turquoise; Nomade; Sanguinaire majeur; Vigoureux majeur; Remueur; Kokulte</t>
        </is>
      </c>
    </row>
    <row r="20465">
      <c r="A20465" t="inlineStr">
        <is>
          <t>Huppermage F 200</t>
        </is>
      </c>
      <c r="B20465">
        <f>HYPERLINK("https://www.dofusbook.net/fr/equipement/3899041-huppermage-f-200/objets", "link")</f>
        <v/>
      </c>
      <c r="C20465" t="n">
        <v>0</v>
      </c>
      <c r="D20465" t="inlineStr"/>
    </row>
    <row r="20466">
      <c r="A20466" t="inlineStr">
        <is>
          <t>Sram M 200</t>
        </is>
      </c>
      <c r="B20466">
        <f>HYPERLINK("https://www.dofusbook.net/fr/equipement/3895868-sram-m-200/objets", "link")</f>
        <v/>
      </c>
      <c r="C20466" t="n">
        <v>0</v>
      </c>
      <c r="D20466" t="inlineStr">
        <is>
          <t>Arc du Chalœil; Collier de Tourthon; Anneau Crustique; Anneau Volkorne; Bouclier du Stalak; Ceinture Volkorne; Coiffe de la Reine des Voleurs; Ankhape; Bottes du Cœur Saignant; Dofus des Glaces; Dofus Ocre; Enragé majeur; Remueur; Dévastateur Terre majeur; Nomade; Volkorne Pourpre</t>
        </is>
      </c>
    </row>
    <row r="20467">
      <c r="A20467" t="inlineStr">
        <is>
          <t>Osamodas F 200</t>
        </is>
      </c>
      <c r="B20467">
        <f>HYPERLINK("https://www.dofusbook.net/fr/equipement/3895851-osamodas-f-200/objets", "link")</f>
        <v/>
      </c>
      <c r="C20467" t="n">
        <v>0</v>
      </c>
      <c r="D20467" t="inlineStr">
        <is>
          <t>Lav'Hache; Amulette du Cycloïde; Bague Gloursonne; Anneau Crustique; Bouclier du Stalak; Ceinture de la Reine des Voleurs; Coiffe de la Reine des Voleurs; Voile d'encre; Chaussons de Macrab; Remueur; Enragé majeur; Nomade; Dévastateur Terre majeur; Carapace Air majeur; Miraculé majeur; Volkorne Doré et Prune</t>
        </is>
      </c>
    </row>
    <row r="20468">
      <c r="A20468" t="inlineStr">
        <is>
          <t>Huppermage M 200</t>
        </is>
      </c>
      <c r="B20468">
        <f>HYPERLINK("https://www.dofusbook.net/fr/equipement/3895718-huppermage-m-200/objets", "link")</f>
        <v/>
      </c>
      <c r="C20468" t="n">
        <v>1</v>
      </c>
      <c r="D20468" t="inlineStr">
        <is>
          <t>Hache du Chalœil; Amulette Volkorne; Bague Trithon; Anneau Volkorne; Bouclier du Captain Amakna; Ceinture Volkorne; Masque Trithon; Cape d'Anerice; Bottes Trithon; Dofus Turquoise; Dofus des Glaces; Dolmanax; Dofus Pourpre; Dofus Nébuleux; Dofus Ocre; Kokulte</t>
        </is>
      </c>
    </row>
    <row r="20469">
      <c r="A20469" t="inlineStr">
        <is>
          <t>Sadida M 200</t>
        </is>
      </c>
      <c r="B20469">
        <f>HYPERLINK("https://www.dofusbook.net/fr/equipement/3894978-sadida-m-200/objets", "link")</f>
        <v/>
      </c>
      <c r="C20469" t="n">
        <v>2</v>
      </c>
      <c r="D20469" t="inlineStr">
        <is>
          <t>Dagoulinantes; Talisman Glouti; Bracelet des Fonds marins; Anneau Volkorne; Bouclier du Stalak; Sangle Ouare; Masque des Fonds marins; Cape Solution; Bottes du Sinistrofu; Dofus Pourpre; Dofus Turquoise; Remueur; Dévastateur Eau majeur; Nomade; Chanceux majeur; Kanigloups</t>
        </is>
      </c>
    </row>
    <row r="20470">
      <c r="A20470" t="inlineStr">
        <is>
          <t>Sadida F 200</t>
        </is>
      </c>
      <c r="B20470">
        <f>HYPERLINK("https://www.dofusbook.net/fr/equipement/3891390-sadida-f-200/objets", "link")</f>
        <v/>
      </c>
      <c r="C20470" t="n">
        <v>0</v>
      </c>
      <c r="D20470" t="inlineStr">
        <is>
          <t>Dagoulinantes; Amulette de l'Œil Attentif; Bracelet des Fonds marins; Anneau Volkorne; Bouclier du Stalak; Ceinture Volkorne; Capuche de l'Œil Attentif; Cape de l'Œil Attentif; Sandales des Fonds marins; Dolmanax; Dofus des Glaces; Dofus Turquoise; Dofus Ocre; Dofus Nébuleux; Dofus Pourpre; Muldo Ebène et Indigo</t>
        </is>
      </c>
    </row>
    <row r="20471">
      <c r="A20471" t="inlineStr">
        <is>
          <t>Sadida F 200</t>
        </is>
      </c>
      <c r="B20471">
        <f>HYPERLINK("https://www.dofusbook.net/fr/equipement/3891376-sadida-f-200/objets", "link")</f>
        <v/>
      </c>
      <c r="C20471" t="n">
        <v>0</v>
      </c>
      <c r="D20471" t="inlineStr">
        <is>
          <t>Arc Nécrotique; Amulette Volkorne; Anneau Volkorne; Alliance du Lévitrof; Bouclier cubiste; Ceinture Volkorne; Coiffe du Lévitrof; Cape de Meno; Bottes du Lévitrof; Dofus Pourpre; Dofus des Glaces; Dolmanax; Dofus Abyssal; Dofus Turquoise; Dofus Ocre; Volkorne Emeraude et Turquoise</t>
        </is>
      </c>
    </row>
    <row r="20472">
      <c r="A20472" t="inlineStr">
        <is>
          <t>Sadida M 200</t>
        </is>
      </c>
      <c r="B20472">
        <f>HYPERLINK("https://www.dofusbook.net/fr/equipement/3891360-sadida-m-200/objets", "link")</f>
        <v/>
      </c>
      <c r="C20472" t="n">
        <v>0</v>
      </c>
      <c r="D20472" t="inlineStr">
        <is>
          <t>Dagues Érhy; Amulette Martegel; Bague Gloursonne; Alliance Gloursonne; Bouclier cubiste; Ceinture de l'Esprit Salvateur; Masquegel; Cape Martegel; Bottes de l'Esprit Salvateur; Dolmanax; Dofus Ocre; Dofus Pourpre; Dofus Abyssal; Dofus Vulbis; Dofus des Glaces; Volkorne Jade</t>
        </is>
      </c>
    </row>
    <row r="20473">
      <c r="A20473" t="inlineStr">
        <is>
          <t>Osamodas M 200</t>
        </is>
      </c>
      <c r="B20473">
        <f>HYPERLINK("https://www.dofusbook.net/fr/equipement/3884001-osamodas-m-200/objets", "link")</f>
        <v/>
      </c>
      <c r="C20473" t="n">
        <v>2</v>
      </c>
      <c r="D20473" t="inlineStr">
        <is>
          <t>Lav'Hache; Torquistik; Baguistik; Goulano; Goulclier; Ceinture en Grithril; Casque en Grithril; Cape du Cœur Saignant; Bottistik; Dofus Abyssal; Dofus des Glaces; Dolmanax; Dofus Ocre; Forcené majeur; Bastion majeur; Chachyène</t>
        </is>
      </c>
    </row>
    <row r="20474">
      <c r="A20474" t="inlineStr">
        <is>
          <t>Ecaflip M 200</t>
        </is>
      </c>
      <c r="B20474">
        <f>HYPERLINK("https://www.dofusbook.net/fr/equipement/3883899-ecaflip-m-200/objets", "link")</f>
        <v/>
      </c>
      <c r="C20474" t="n">
        <v>0</v>
      </c>
      <c r="D20474" t="inlineStr">
        <is>
          <t>Lav'Hache; Torquistik; Anneau en Grithril; Baguistik; Bouclier d'Anerice; Ceinture en Grithril; Casque en Grithril; Cape d'Anerice; Bottistik; Dofus Turquoise; Dofus Ocre; Dofus Pourpre; Dofus Ivoire; Dolmanax; Dofus des Glaces; Chachyène</t>
        </is>
      </c>
    </row>
    <row r="20475">
      <c r="A20475" t="inlineStr">
        <is>
          <t>Iop M 200</t>
        </is>
      </c>
      <c r="B20475">
        <f>HYPERLINK("https://www.dofusbook.net/fr/equipement/3881059-iop-m-200/objets", "link")</f>
        <v/>
      </c>
      <c r="C20475" t="n">
        <v>0</v>
      </c>
      <c r="D20475" t="inlineStr">
        <is>
          <t>Dagoulinantes; Amulette du Sinistrofu; Anneau en Grithril; Bracelet des Fonds marins; Bouclier d'Ilyzaelle; Ceinture en Grithril; Casque en Grithril; Cape du Sinistrofu; Bottes du Sinistrofu; Dofus Pourpre; Dofus Ivoire; Dofus Vulbis; Dokoko; Dofus Émeraude; Dofus Ocre; Bontique</t>
        </is>
      </c>
    </row>
    <row r="20476">
      <c r="A20476" t="inlineStr">
        <is>
          <t>Pandawa M 200</t>
        </is>
      </c>
      <c r="B20476">
        <f>HYPERLINK("https://www.dofusbook.net/fr/equipement/3881004-pandawa-m-200/objets", "link")</f>
        <v/>
      </c>
      <c r="C20476" t="n">
        <v>2</v>
      </c>
      <c r="D20476" t="inlineStr">
        <is>
          <t>Sabres d'Atcham; Amulette Volkorne; Bague Trithon; Anneau Volkorne; Quatre-feuilles; Ceinture du Strigide; Casque Volkorne; Cape d'Atcham; Sandales  d'Atcham; Dolmanax; Dofus Pourpre; Dofus des Glaces; Dofus Ocre; Dofus Abyssal; Dofus Turquoise; Sakochère</t>
        </is>
      </c>
    </row>
    <row r="20477">
      <c r="A20477" t="inlineStr">
        <is>
          <t>Eniripsa F 200</t>
        </is>
      </c>
      <c r="B20477">
        <f>HYPERLINK("https://www.dofusbook.net/fr/equipement/3880976-eniripsa-f-200/objets", "link")</f>
        <v/>
      </c>
      <c r="C20477" t="n">
        <v>0</v>
      </c>
      <c r="D20477" t="inlineStr">
        <is>
          <t>Hache du Chalœil; Amulette Volkorne; Anneau Volkorne; Anneau de Padgref; Quatre-feuilles; Ceinture Volkorne; Némès de Tal Kasha; Chevelure de Tal Kasha; Sandales de Tal Kasha; Dofus Pourpre; Dofus Ocre; Dofus Ivoire; Dofus Turquoise; Dolmanax; Dofus des Glaces; Kokulte</t>
        </is>
      </c>
    </row>
    <row r="20478">
      <c r="A20478" t="inlineStr">
        <is>
          <t>Pandawa M 200</t>
        </is>
      </c>
      <c r="B20478">
        <f>HYPERLINK("https://www.dofusbook.net/fr/equipement/3880885-pandawa-m-200/objets", "link")</f>
        <v/>
      </c>
      <c r="C20478" t="n">
        <v>2</v>
      </c>
      <c r="D20478" t="inlineStr">
        <is>
          <t>Arc du Chalœil; Amulette du Cœur Saignant; Anneau Crustique; Anneau en Grithril; Bouclier du Captain Amakna; Ceinture en Grithril; Casque en Grithril; Cape du Cœur Saignant; Bottes du Cœur Saignant; Dofus Turquoise; Dofus Pourpre; Furibond majeur; Forcené majeur; Voyageur; Saccageur Terre majeur; Volkorne Pourpre</t>
        </is>
      </c>
    </row>
    <row r="20479">
      <c r="A20479" t="inlineStr">
        <is>
          <t>Pandawa M 200</t>
        </is>
      </c>
      <c r="B20479">
        <f>HYPERLINK("https://www.dofusbook.net/fr/equipement/3880856-pandawa-m-200/objets", "link")</f>
        <v/>
      </c>
      <c r="C20479" t="n">
        <v>1</v>
      </c>
      <c r="D20479" t="inlineStr">
        <is>
          <t>Arc du Chalœil; Amulette du Strigide; Anneau Crustique; Anneau Crustique; Bouclier du Captain Amakna; Ceinture Gence; Masque de Koutoulou; Cape au Logis; Bottes du Strigide; Dofus Pourpre; Dofus Turquoise; Enragé majeur; Remueur; Carapace Terre majeur; Nomade; Bulbisou</t>
        </is>
      </c>
    </row>
    <row r="20480">
      <c r="A20480" t="inlineStr">
        <is>
          <t>Osamodas F 200</t>
        </is>
      </c>
      <c r="B20480">
        <f>HYPERLINK("https://www.dofusbook.net/fr/equipement/3870949-osamodas-f-200/objets", "link")</f>
        <v/>
      </c>
      <c r="C20480" t="n">
        <v>1</v>
      </c>
      <c r="D20480" t="inlineStr">
        <is>
          <t>Épée Brûlâme; Amulette Volkorne; Bague Trithon; Anneau Volkorne; Bouclier du Captain Amakna; Ceinture Volkorne; Masque Trithon; Cape d'Anerice; Bottes Trithon; Dofus Ocre; Dofus Turquoise; Dolmanax; Dofus Pourpre; Dofus Abyssal; Dofus des Glaces; Volkorne Améthyste</t>
        </is>
      </c>
    </row>
    <row r="20481">
      <c r="A20481" t="inlineStr">
        <is>
          <t>Osamodas F 200</t>
        </is>
      </c>
      <c r="B20481">
        <f>HYPERLINK("https://www.dofusbook.net/fr/equipement/3867610-osamodas-f-200/objets", "link")</f>
        <v/>
      </c>
      <c r="C20481" t="n">
        <v>0</v>
      </c>
      <c r="D20481" t="inlineStr">
        <is>
          <t>Hache du Chalœil; Amulette de Gein; Bague Gloursonne; Alliance du Lévitrof; Bouclier du Captain Amakna; Sangle Ouare; Chapeau de Gein; Voile d'encre; Bottes du Chalœil; Dofus Pourpre; Dofus Turquoise; Nomade; Sanguinaire majeur; Vigoureux majeur; Remueur; Volkorne Jade</t>
        </is>
      </c>
    </row>
    <row r="20482">
      <c r="A20482" t="inlineStr">
        <is>
          <t>Pandawa M 200</t>
        </is>
      </c>
      <c r="B20482">
        <f>HYPERLINK("https://www.dofusbook.net/fr/equipement/3846841-pandawa-m-200/objets", "link")</f>
        <v/>
      </c>
      <c r="C20482" t="n">
        <v>1</v>
      </c>
      <c r="D20482" t="inlineStr">
        <is>
          <t>Dagues d'Ilyzaelle; Amulette du Cœur Saignant; Anneau Crustique; Anneau en Grithril; Bouclier du Captain Amakna; Ceinture en Grithril; Casque en Grithril; Cape du Cœur Saignant; Bottes du Cœur Saignant; Dofus Nébuleux; Dofus des Glaces; Dofus Turquoise; Dofus Ocre; Dofus Vulbis; Dofus Pourpre; Kokulte</t>
        </is>
      </c>
    </row>
    <row r="20483">
      <c r="A20483" t="inlineStr">
        <is>
          <t>Zobal M 200</t>
        </is>
      </c>
      <c r="B20483">
        <f>HYPERLINK("https://www.dofusbook.net/fr/equipement/3846804-zobal-m-200/objets", "link")</f>
        <v/>
      </c>
      <c r="C20483" t="n">
        <v>0</v>
      </c>
      <c r="D20483" t="inlineStr">
        <is>
          <t>Hache du Chalœil; Amulette Volkorne; Bague Trithon; Anneau Volkorne; Bouclier du Captain Amakna; Ceinture Volkorne; Masque Trithon; Cape d'Anerice; Bottes Trithon; Dofus Nébuleux; Dofus Pourpre; Dofus Turquoise; Dofus Ocre; Dofus Abyssal; Dofus des Glaces; Volkorne Doré et Emeraude</t>
        </is>
      </c>
    </row>
    <row r="20484">
      <c r="A20484" t="inlineStr">
        <is>
          <t>Roublard M 200</t>
        </is>
      </c>
      <c r="B20484">
        <f>HYPERLINK("https://www.dofusbook.net/fr/equipement/3846721-roublard-m-200/objets", "link")</f>
        <v/>
      </c>
      <c r="C20484" t="n">
        <v>0</v>
      </c>
      <c r="D20484" t="inlineStr">
        <is>
          <t>Arc corrompu; Amulette Martegel; Anneauræus; Anneau Rifique; Bouclier du Stalak; Ceinture de l'Indicible; Masquegel; Cape Martegel; Bottes de l'Indicible; Dofus Ocre; Dolmanax; Dokoko; Dofus Pourpre; Dofus Ivoire; Dofus des Glaces; Muldo Orchidée</t>
        </is>
      </c>
    </row>
    <row r="20485">
      <c r="A20485" t="inlineStr">
        <is>
          <t>Osamodas M 200</t>
        </is>
      </c>
      <c r="B20485">
        <f>HYPERLINK("https://www.dofusbook.net/fr/equipement/3846660-osamodas-m-200/objets", "link")</f>
        <v/>
      </c>
      <c r="C20485" t="n">
        <v>3</v>
      </c>
      <c r="D20485" t="inlineStr">
        <is>
          <t>Hache du Chalœil; Amulette Volkorne; Bague Trithon; Anneau Volkorne; Bouclier du Captain Amakna; Ceinture Volkorne; Masque Trithon; Cape d'Anerice; Bottes Trithon; Dofus Pourpre; Dofus des Glaces; Dofus Turquoise; Dofus Abyssal; Dofus Nébuleux; Dofus Ocre; Kokulte</t>
        </is>
      </c>
    </row>
    <row r="20486">
      <c r="A20486" t="inlineStr">
        <is>
          <t>Osamodas M 200</t>
        </is>
      </c>
      <c r="B20486">
        <f>HYPERLINK("https://www.dofusbook.net/fr/equipement/3846614-osamodas-m-200/objets", "link")</f>
        <v/>
      </c>
      <c r="C20486" t="n">
        <v>4</v>
      </c>
      <c r="D20486" t="inlineStr">
        <is>
          <t>Pelle de Katrepat; Amulette Volkorne; Alliance du Lévitrof; Anneau Volkorne; Bouclier du Stalak; Ceinture Volkorne; Coiffe du Lévitrof; Voile d'encre; Bottes du Lévitrof; Dofus Abyssal; Dolmanax; Dokoko; Dofus Ocre; Dofus Émeraude; Dofus des Glaces; Volkorne Jade et Saphir</t>
        </is>
      </c>
    </row>
    <row r="20487">
      <c r="A20487" t="inlineStr">
        <is>
          <t>Osamodas M 200</t>
        </is>
      </c>
      <c r="B20487">
        <f>HYPERLINK("https://www.dofusbook.net/fr/equipement/3846548-osamodas-m-200/objets", "link")</f>
        <v/>
      </c>
      <c r="C20487" t="n">
        <v>0</v>
      </c>
      <c r="D20487" t="inlineStr">
        <is>
          <t>Hache du Chalœil; Amulette du Strigide; Bague Gloursonne; Alliance du Lévitrof; Bouclier du Captain Amakna; Ceinture du Strigide; Masque Trithon; Voile d'encre; Chaussures Hau; Dofus Pourpre; Dofus Turquoise; Dofus Émeraude; Vigoureux majeur; Remueur; Nomade; Volkorne Pourpre et Orchidée</t>
        </is>
      </c>
    </row>
    <row r="20488">
      <c r="A20488" t="inlineStr">
        <is>
          <t>Pandawa M 200</t>
        </is>
      </c>
      <c r="B20488">
        <f>HYPERLINK("https://www.dofusbook.net/fr/equipement/3830526-pandawa-m-200/objets", "link")</f>
        <v/>
      </c>
      <c r="C20488" t="n">
        <v>1</v>
      </c>
      <c r="D20488" t="inlineStr">
        <is>
          <t>Epée Gloursonne; Amulette du Kamasterisk; Bague Gloursonne; Alliance Gloursonne; Bouclier d'Ilyzaelle; Ceinture de la Reine des Voleurs; Coiffe de la Reine des Voleurs; Cape du Kamasterisk; Bottes de la Reine des Voleurs; Dolmanax; Dofus des Glaces; Dofus Pourpre; Dofus Nébuleux; Dofus Turquoise; Voyageur; Volkorne Rubis</t>
        </is>
      </c>
    </row>
    <row r="20489">
      <c r="A20489" t="inlineStr">
        <is>
          <t>Osamodas M 200</t>
        </is>
      </c>
      <c r="B20489">
        <f>HYPERLINK("https://www.dofusbook.net/fr/equipement/3826499-osamodas-m-200/objets", "link")</f>
        <v/>
      </c>
      <c r="C20489" t="n">
        <v>1</v>
      </c>
      <c r="D20489" t="inlineStr">
        <is>
          <t>Arc Volkorne; Amulette Volkorne; Anneau de Padgref; Anneau Volkorne; Quatre-feuilles; Ceinture Volkorne; Casque du Chalœil; Cape du Chalœil; Bottes du Chalœil; Dofus Pourpre; Dofus Turquoise; Dofus Ocre; Dofus Abyssal; Dofus Nébuleux; Dolmanax; Kokulte</t>
        </is>
      </c>
    </row>
    <row r="20490">
      <c r="A20490" t="inlineStr">
        <is>
          <t>Osamodas M 200</t>
        </is>
      </c>
      <c r="B20490">
        <f>HYPERLINK("https://www.dofusbook.net/fr/equipement/3825917-osamodas-m-200/objets", "link")</f>
        <v/>
      </c>
      <c r="C20490" t="n">
        <v>1</v>
      </c>
      <c r="D20490" t="inlineStr">
        <is>
          <t>Massier; Amulette Volkorne; Anneau Volkorne; Chevalière du Roi Joueur; Bouclier du Captain Amakna; Ceinture Volkorne; Couronne du Roi Joueur; Cape du Cœur Saignant; Bottes du Roi Joueur; Dolmanax; Dofus Turquoise; Dofus Nébuleux; Dofus Pourpre; Dofus des Glaces; Dofus Ocre; Kokulte</t>
        </is>
      </c>
    </row>
    <row r="20491">
      <c r="A20491" t="inlineStr">
        <is>
          <t>Enutrof M 200</t>
        </is>
      </c>
      <c r="B20491">
        <f>HYPERLINK("https://www.dofusbook.net/fr/equipement/3820025-enutrof-m-200/objets", "link")</f>
        <v/>
      </c>
      <c r="C20491" t="n">
        <v>0</v>
      </c>
      <c r="D20491" t="inlineStr">
        <is>
          <t>Bâthon; Amulette Volkorne; Bague Trithon; Chevalière du Roi Joueur; Quatre-feuilles; Ceinture Volkorne; Couronne du Roi Joueur; Voile d'encre; Bottes du Roi Joueur; Dofus Pourpre; Dofus Nébuleux; Dofus Ocre; Dofus des Glaces; Dofus Turquoise; Dofus Vulbis; Cromeugnon</t>
        </is>
      </c>
    </row>
    <row r="20492">
      <c r="A20492" t="inlineStr">
        <is>
          <t>Enutrof M 200</t>
        </is>
      </c>
      <c r="B20492">
        <f>HYPERLINK("https://www.dofusbook.net/fr/equipement/3819803-enutrof-m-200/objets", "link")</f>
        <v/>
      </c>
      <c r="C20492" t="n">
        <v>0</v>
      </c>
      <c r="D20492" t="inlineStr">
        <is>
          <t>Pelle de Katrepat; Amulette Volkorne; Lavanneau; Anneau Volkorne; Bouclier du Stalak; Ceinture Volkorne; Casquette de Meno; Cape de Meno; Bottes de Meno; Dolmanax; Dofus des Glaces; Dofus Nébuleux; Dofus Abyssal; Dofus Pourpre; Dofus Ocre; Volkorne Jade et Rubis</t>
        </is>
      </c>
    </row>
    <row r="20493">
      <c r="A20493" t="inlineStr">
        <is>
          <t>Zobal M 200</t>
        </is>
      </c>
      <c r="B20493">
        <f>HYPERLINK("https://www.dofusbook.net/fr/equipement/3812570-zobal-m-200/objets", "link")</f>
        <v/>
      </c>
      <c r="C20493" t="n">
        <v>0</v>
      </c>
      <c r="D20493" t="inlineStr">
        <is>
          <t>Épouvante; Amulette Luminescente; Goulano; Anneau en Grithril; Goulclier; Ceinture en Grithril; Casque en Grithril; Cape Luminescente; Goulbottes; Dofus des Glaces; Dofus Abyssal; Dofus Ocre; Dokoko; Dofus Pourpre; Dofus Émeraude; Muldo Indigo et Orchidée</t>
        </is>
      </c>
    </row>
    <row r="20494">
      <c r="A20494" t="inlineStr">
        <is>
          <t>Iop M 200</t>
        </is>
      </c>
      <c r="B20494">
        <f>HYPERLINK("https://www.dofusbook.net/fr/equipement/3812370-iop-m-200/objets", "link")</f>
        <v/>
      </c>
      <c r="C20494" t="n">
        <v>0</v>
      </c>
      <c r="D20494" t="inlineStr">
        <is>
          <t>Arc du Chalœil; Amulette du Cœur Vaillant; Bague Trithon; Anneau Volkorne; Bouclier Taverne; Ceinture Volkorne; Casque Volkorne; Cape du Cœur Vaillant; Bottes du Cœur Vaillant; Dofus Ivoire; Dofus Pourpre; Dofus des Glaces; Dofus Nébuleux; Dofus Ocre; Bousculeur majeur; Tatouf</t>
        </is>
      </c>
    </row>
    <row r="20495">
      <c r="A20495" t="inlineStr">
        <is>
          <t>Iop M 200</t>
        </is>
      </c>
      <c r="B20495">
        <f>HYPERLINK("https://www.dofusbook.net/fr/equipement/3812330-iop-m-200/objets", "link")</f>
        <v/>
      </c>
      <c r="C20495" t="n">
        <v>0</v>
      </c>
      <c r="D20495" t="inlineStr">
        <is>
          <t>Hache Euvale; Amulette Luminescente; Anneau en Grithril; Anneau Volkorne; Bouclier du Captain Amakna; Ceinture Volkorne; Casque en Grithril; Cape Luminescente; Bottes Honyme; Dofus Pourpre; Dofus Abyssal; Dofus des Glaces; Dofus Ocre; Dofus Nébuleux; Dofus Vulbis; Bébé Pandawa</t>
        </is>
      </c>
    </row>
    <row r="20496">
      <c r="A20496" t="inlineStr">
        <is>
          <t>Iop M 200</t>
        </is>
      </c>
      <c r="B20496">
        <f>HYPERLINK("https://www.dofusbook.net/fr/equipement/3812307-iop-m-200/objets", "link")</f>
        <v/>
      </c>
      <c r="C20496" t="n">
        <v>0</v>
      </c>
      <c r="D20496" t="inlineStr">
        <is>
          <t>Hache Euvale; Amulette du Cœur Saignant; Anneau en Grithril; Anneau Volkorne; Bouclier du Captain Amakna; Ceinture Volkorne; Casque en Grithril; Cape du Cœur Saignant; Bottes du Cœur Saignant; Dofus Vulbis; Dofus Turquoise; Dofus Nébuleux; Dofus Pourpre; Dofus des Glaces; Dofus Ocre; Kokulte</t>
        </is>
      </c>
    </row>
    <row r="20497">
      <c r="A20497" t="inlineStr">
        <is>
          <t>Enutrof M 200</t>
        </is>
      </c>
      <c r="B20497">
        <f>HYPERLINK("https://www.dofusbook.net/fr/equipement/3807902-enutrof-m-200/objets", "link")</f>
        <v/>
      </c>
      <c r="C20497" t="n">
        <v>0</v>
      </c>
      <c r="D20497" t="inlineStr">
        <is>
          <t>Bâthon; Amulette Volkorne; Anneau Volkorne; Chevalière du Roi Joueur; Quatre-feuilles; Ceinture Volkorne; Couronne du Roi Joueur; Sac Volcanique; Bottes du Roi Joueur; Dofus Pourpre; Dofus des Glaces; Dofus Ocre; Dofus Nébuleux; Dofus Turquoise; Dofus Abyssal; Volkorne Pourpre et Orchidée</t>
        </is>
      </c>
    </row>
    <row r="20498">
      <c r="A20498" t="inlineStr">
        <is>
          <t>Huppermage M 200</t>
        </is>
      </c>
      <c r="B20498">
        <f>HYPERLINK("https://www.dofusbook.net/fr/equipement/3807305-huppermage-m-200/objets", "link")</f>
        <v/>
      </c>
      <c r="C20498" t="n">
        <v>0</v>
      </c>
      <c r="D20498" t="inlineStr">
        <is>
          <t>Baguette des égarés; Amulette du Piloztère; Bracelet du Piloztère; Anneau Volkorne; Quatre-feuilles; Ceinture Volkorne; Kidibonnet; Cape au Logis; Pantoufles du Piloztère; Dofus Abyssal; Dofus Pourpre; Dofus Nébuleux; Dofus Ocre; Dofus Turquoise; Dofus des Glaces; Kokulte</t>
        </is>
      </c>
    </row>
    <row r="20499">
      <c r="A20499" t="inlineStr">
        <is>
          <t>Sadida M 200</t>
        </is>
      </c>
      <c r="B20499">
        <f>HYPERLINK("https://www.dofusbook.net/fr/equipement/3803059-sadida-m-200/objets", "link")</f>
        <v/>
      </c>
      <c r="C20499" t="n">
        <v>0</v>
      </c>
      <c r="D20499" t="inlineStr">
        <is>
          <t>Arc de Koutoulou; Amulette d'Ilyzaelle; Anneau Volkorne; Alliance Gloursonne; Bouclier du Stalak; Ceinture de l'Esprit Salvateur; Casque d'Ilyzaelle; Capille; Bottes de l'Esprit Salvateur; Dofus des Glaces; Dofus Vulbis; Dofus Ocre; Dofus Pourpre; Dofus Nébuleux; Robuste majeur; Volkorne Améthyste</t>
        </is>
      </c>
    </row>
    <row r="20500">
      <c r="A20500" t="inlineStr">
        <is>
          <t>Sadida M 200</t>
        </is>
      </c>
      <c r="B20500">
        <f>HYPERLINK("https://www.dofusbook.net/fr/equipement/3802735-sadida-m-200/objets", "link")</f>
        <v/>
      </c>
      <c r="C20500" t="n">
        <v>1</v>
      </c>
      <c r="D20500" t="inlineStr">
        <is>
          <t>Arc de Koutoulou; Amulette du Strigide; Alliance Gloursonne; Anneau Volkorne; Quatre-feuilles; Ceinture du Strigide; Casque Volkorne; Chevelure de Tal Kasha; Bottes du Strigide; Dofus Nébuleux; Dofus des Glaces; Dofus Vulbis; Dofus Pourpre; Dofus Turquoise; Dofus Ocre; Kokulte</t>
        </is>
      </c>
    </row>
    <row r="20501">
      <c r="A20501" t="inlineStr">
        <is>
          <t>Pandawa M 200</t>
        </is>
      </c>
      <c r="B20501">
        <f>HYPERLINK("https://www.dofusbook.net/fr/equipement/3802131-pandawa-m-200/objets", "link")</f>
        <v/>
      </c>
      <c r="C20501" t="n">
        <v>0</v>
      </c>
      <c r="D20501" t="inlineStr">
        <is>
          <t>Lav'Hache; Amulette du Cœur Saignant; Anneau Crustique; Anneau en Grithril; Bouclier d'Ilyzaelle; Ceinture en Grithril; Casque en Grithril; Cape du Cœur Saignant; Bottes du Cœur Saignant; Dofus Abyssal; Dofus des Glaces; Dofus Ivoire; Dofus Émeraude; Dofus Ocre; Dofus Pourpre; Muldo Orchidée et Pourpre</t>
        </is>
      </c>
    </row>
    <row r="20502">
      <c r="A20502" t="inlineStr">
        <is>
          <t>Eniripsa M 200</t>
        </is>
      </c>
      <c r="B20502">
        <f>HYPERLINK("https://www.dofusbook.net/fr/equipement/3801976-eniripsa-m-200/objets", "link")</f>
        <v/>
      </c>
      <c r="C20502" t="n">
        <v>2</v>
      </c>
      <c r="D20502" t="inlineStr">
        <is>
          <t>Arc du Chalœil; Amulette du Cœur Saignant; Bague Gloursonne; Anneau en Grithril; Quatre-feuilles; Ceinture en Grithril; Casque en Grithril; Cape du Cœur Saignant; Bottes du Cœur Saignant; Dofus Nébuleux; Dofus Turquoise; Dofus Vulbis; Dofus Ocre; Dofus Abyssal; Dofus Pourpre; Kokulte</t>
        </is>
      </c>
    </row>
    <row r="20503">
      <c r="A20503" t="inlineStr">
        <is>
          <t>Zobal M 200</t>
        </is>
      </c>
      <c r="B20503">
        <f>HYPERLINK("https://www.dofusbook.net/fr/equipement/3801253-zobal-m-200/objets", "link")</f>
        <v/>
      </c>
      <c r="C20503" t="n">
        <v>2</v>
      </c>
      <c r="D20503" t="inlineStr">
        <is>
          <t>Marteau Phossile; Amulette Martegel; Bague Gloursonne; Alliance Gloursonne; Bouclier du Stalak; Ceinture de l'Esprit Salvateur; Masquegel; Cape Martegel; Bottes de l'Esprit Salvateur; Dofus Ocre; Dofus Pourpre; Dofus Abyssal; Dofus des Glaces; Dofus Vulbis; Robuste majeur; Volkorne Rubis</t>
        </is>
      </c>
    </row>
    <row r="20504">
      <c r="A20504" t="inlineStr">
        <is>
          <t>Sadida M 200</t>
        </is>
      </c>
      <c r="B20504">
        <f>HYPERLINK("https://www.dofusbook.net/fr/equipement/3798431-sadida-m-200/objets", "link")</f>
        <v/>
      </c>
      <c r="C20504" t="n">
        <v>0</v>
      </c>
      <c r="D20504" t="inlineStr">
        <is>
          <t>Sceptre du Roi Joueur; Amulette de Shokkoth; Anneau Volkorne; Bracelet des Fonds marins; Bouclier du Stalak; Ceinture du Barbétoal; Casque d'Ilyzaelle; Cape de l'Œil Attentif; Sandales des Fonds marins; Dofus des Glaces; Dofus Abyssal; Dofus Pourpre; Dofus Ocre; Remueur; Nomade; Volkorne Saphir</t>
        </is>
      </c>
    </row>
    <row r="20505">
      <c r="A20505" t="inlineStr">
        <is>
          <t>Sadida M 200</t>
        </is>
      </c>
      <c r="B20505">
        <f>HYPERLINK("https://www.dofusbook.net/fr/equipement/3798377-sadida-m-200/objets", "link")</f>
        <v/>
      </c>
      <c r="C20505" t="n">
        <v>0</v>
      </c>
      <c r="D20505" t="inlineStr">
        <is>
          <t>Arc du Chalœil; Amulette du Kamasterisk; Anneau Volkorne; Alliance Brûlâme; Bouclier cubiste; Ceinture Volkorne; Masque Brûlâme; Cape du Kamasterisk; Pompes Funèbres; Dofus Nébuleux; Dofus Turquoise; Dofus Abyssal; Dofus Pourpre; Dofus des Glaces; Dofus Ocre; Bulbisou</t>
        </is>
      </c>
    </row>
    <row r="20506">
      <c r="A20506" t="inlineStr">
        <is>
          <t>Sadida M 200</t>
        </is>
      </c>
      <c r="B20506">
        <f>HYPERLINK("https://www.dofusbook.net/fr/equipement/3798333-sadida-m-200/objets", "link")</f>
        <v/>
      </c>
      <c r="C20506" t="n">
        <v>0</v>
      </c>
      <c r="D20506" t="inlineStr">
        <is>
          <t>Epée Gloursonne; Amulette de l'Indicible; Bague Gloursonne; Alliance Gloursonne; Bouclier du Stalak; Ceinture de l'Esprit Salvateur; Masque de l'Esprit Salvateur; Capille; Bottes de l'Indicible; Dofus des Glaces; Dofus Ocre; Dolmanax; Dofus Pourpre; Dofus Abyssal; Robuste majeur; Muldo Pourpre</t>
        </is>
      </c>
    </row>
    <row r="20507">
      <c r="A20507" t="inlineStr">
        <is>
          <t>Huppermage M 200</t>
        </is>
      </c>
      <c r="B20507">
        <f>HYPERLINK("https://www.dofusbook.net/fr/equipement/3798051-huppermage-m-200/objets", "link")</f>
        <v/>
      </c>
      <c r="C20507" t="n">
        <v>1</v>
      </c>
      <c r="D20507" t="inlineStr">
        <is>
          <t>Dagues de Srambad; Amulette du Piloztère; Bracelet du Piloztère; Anneau en Grithril; Bouclier du Stalak; Ceinture en Grithril; Casque en Grithril; Cape d'Anerice; Pantoufles du Piloztère; Dofus Vulbis; Dofus des Glaces; Dofus Turquoise; Dofus Abyssal; Dofus Pourpre; Dofus Ocre; Volkorne Jade et Rubis</t>
        </is>
      </c>
    </row>
    <row r="20508">
      <c r="A20508" t="inlineStr">
        <is>
          <t>Sram M 200</t>
        </is>
      </c>
      <c r="B20508">
        <f>HYPERLINK("https://www.dofusbook.net/fr/equipement/3797856-sram-m-200/objets", "link")</f>
        <v/>
      </c>
      <c r="C20508" t="n">
        <v>0</v>
      </c>
      <c r="D20508" t="inlineStr">
        <is>
          <t>Arc du Chalœil; Amulette du Cœur Saignant; Anneau Crustique; Anneau Crustique; Bouclier du Stalak; Ceinture de la Reine des Voleurs; Coiffe de la Reine des Voleurs; Cape du Cœur Saignant; Bottes du Cœur Saignant; Dofus Abyssal; Dofus Nébuleux; Dofus des Glaces; Dofus Pourpre; Dofus Ocre; Dofus Vulbis; Bulbisou</t>
        </is>
      </c>
    </row>
    <row r="20509">
      <c r="A20509" t="inlineStr">
        <is>
          <t>Féca M 200</t>
        </is>
      </c>
      <c r="B20509">
        <f>HYPERLINK("https://www.dofusbook.net/fr/equipement/3797823-feca-m-200/objets", "link")</f>
        <v/>
      </c>
      <c r="C20509" t="n">
        <v>2</v>
      </c>
      <c r="D20509" t="inlineStr">
        <is>
          <t>Lav'Hache; Torquistik; Baguistik; Anneau en Grithril; Bouclier d'Anerice; Ceinture en Grithril; Casque en Grithril; Cape d'Anerice; Bottistik; Dokoko; Dofus Ocre; Dofus Émeraude; Dofus Ivoire; Dofus Pourpre; Dofus Abyssal; Muldo Orchidée et Pourpre</t>
        </is>
      </c>
    </row>
    <row r="20510">
      <c r="A20510" t="inlineStr">
        <is>
          <t>Féca M 200</t>
        </is>
      </c>
      <c r="B20510">
        <f>HYPERLINK("https://www.dofusbook.net/fr/equipement/3797794-feca-m-200/objets", "link")</f>
        <v/>
      </c>
      <c r="C20510" t="n">
        <v>2</v>
      </c>
      <c r="D20510" t="inlineStr">
        <is>
          <t>Marteau Phossile; Amulette Martegel; Bague Gloursonne; Alliance Gloursonne; Bouclier cubiste; Ceinture de Vortex; Masquegel; Cape Martegel; Sabots de Vortex; Dofus Ocre; Dofus Émeraude; Dofus Ivoire; Dofus Vulbis; Dofus des Glaces; Dofus Pourpre; Volkorne Rubis et Améthyste</t>
        </is>
      </c>
    </row>
    <row r="20511">
      <c r="A20511" t="inlineStr">
        <is>
          <t>Huppermage M 200</t>
        </is>
      </c>
      <c r="B20511">
        <f>HYPERLINK("https://www.dofusbook.net/fr/equipement/3785092-huppermage-m-200/objets", "link")</f>
        <v/>
      </c>
      <c r="C20511" t="n">
        <v>2</v>
      </c>
      <c r="D20511" t="inlineStr">
        <is>
          <t>Sabres d'Atcham; Amulette du Strigide; Bracelet du Piloztère; Bague Trithon; Bouclier du Captain Amakna; Ceinture du Strigide; Masque Trithon; Cape d'Atcham; Bottes Trithon; Dofus Pourpre; Dofus Nébuleux; Dofus Ocre; Dofus des Glaces; Dofus Turquoise; Dofus Vulbis; Kokulte</t>
        </is>
      </c>
    </row>
    <row r="20512">
      <c r="A20512" t="inlineStr">
        <is>
          <t>Sadida F 200</t>
        </is>
      </c>
      <c r="B20512">
        <f>HYPERLINK("https://www.dofusbook.net/fr/equipement/3795698-sadida-f-200/objets", "link")</f>
        <v/>
      </c>
      <c r="C20512" t="n">
        <v>0</v>
      </c>
      <c r="D20512" t="inlineStr"/>
    </row>
    <row r="20513">
      <c r="A20513" t="inlineStr">
        <is>
          <t>Sadida M 200</t>
        </is>
      </c>
      <c r="B20513">
        <f>HYPERLINK("https://www.dofusbook.net/fr/equipement/3795639-sadida-m-200/objets", "link")</f>
        <v/>
      </c>
      <c r="C20513" t="n">
        <v>0</v>
      </c>
      <c r="D20513" t="inlineStr">
        <is>
          <t>Lav'Hache; Collier de Tourthon; Anneau Crustique; Anneau Crustique; Bouclier du Stalak; Ceinture de la Reine des Voleurs; Coiffe de la Reine des Voleurs; Cape au Logis; Baleinabottes; Dofus Pourpre; Dofus des Glaces; Robuste majeur; Dévastateur Terre majeur; Remueur; Enragé majeur; Bulbisou</t>
        </is>
      </c>
    </row>
    <row r="20514">
      <c r="A20514" t="inlineStr">
        <is>
          <t>Zobal M 200</t>
        </is>
      </c>
      <c r="B20514">
        <f>HYPERLINK("https://www.dofusbook.net/fr/equipement/3792185-zobal-m-200/objets", "link")</f>
        <v/>
      </c>
      <c r="C20514" t="n">
        <v>0</v>
      </c>
      <c r="D20514" t="inlineStr">
        <is>
          <t>Dagues du Dragoeuf; Amulette du Strigide; Bracelet Jande; Bague Gloursonne; Bouclier du Captain Amakna; Slip Iholo; Masque Brûlâme; Voile d'encre; Bottes du Strigide; Dofus Turquoise; Dofus Pourpre; Miraculé majeur; Remueur; Vigoureux majeur; Nomade; Volkorne Pourpre et Orchidée</t>
        </is>
      </c>
    </row>
    <row r="20515">
      <c r="A20515" t="inlineStr">
        <is>
          <t>Osamodas M 200</t>
        </is>
      </c>
      <c r="B20515">
        <f>HYPERLINK("https://www.dofusbook.net/fr/equipement/3785062-osamodas-m-200/objets", "link")</f>
        <v/>
      </c>
      <c r="C20515" t="n">
        <v>0</v>
      </c>
      <c r="D20515" t="inlineStr">
        <is>
          <t>Hache du Chalœil; Amulette du Strigide; Alliance Gloursonne; Bague Gloursonne; Quatre-feuilles; Ceinture du Strigide; Masque d'Anerice; Cape d'Anerice; Bottes du Strigide; Dofus Nébuleux; Dofus Turquoise; Dofus des Glaces; Dofus Pourpre; Dofus Vulbis; Dofus Ocre; Volkorne Saphir</t>
        </is>
      </c>
    </row>
    <row r="20516">
      <c r="A20516" t="inlineStr">
        <is>
          <t>Féca M 200</t>
        </is>
      </c>
      <c r="B20516">
        <f>HYPERLINK("https://www.dofusbook.net/fr/equipement/3783943-feca-m-200/objets", "link")</f>
        <v/>
      </c>
      <c r="C20516" t="n">
        <v>2</v>
      </c>
      <c r="D20516" t="inlineStr">
        <is>
          <t>Arc Volkorne; Amulette Volkorne; Bracelet du Piloztère; Anneau Volkorne; Bouclier du Stalak; Ceinture de l'Esprit Salvateur; Masque de l'Esprit Salvateur; Cape du Chalœil; Bottes de l'Esprit Salvateur; Dofus Abyssal; Dofus Ocre; Dofus des Glaces; Dofus Vulbis; Dofus Pourpre; Robuste majeur; Volkorne Rubis et Saphir</t>
        </is>
      </c>
    </row>
    <row r="20517">
      <c r="A20517" t="inlineStr">
        <is>
          <t>Zobal M 200</t>
        </is>
      </c>
      <c r="B20517">
        <f>HYPERLINK("https://www.dofusbook.net/fr/equipement/3783821-zobal-m-200/objets", "link")</f>
        <v/>
      </c>
      <c r="C20517" t="n">
        <v>0</v>
      </c>
      <c r="D20517" t="inlineStr">
        <is>
          <t>Marteau Phossile; Amulette Martegel; Bague Gloursonne; Alliance Gloursonne; Bouclier d'Ilyzaelle; Ceinture de l'Esprit Salvateur; Masquegel; Cape Martegel; Bottes de l'Esprit Salvateur; Dofus des Glaces; Dofus Pourpre; Dofus Ocre; Dofus Abyssal; Dofus Vulbis; Robuste majeur; Volkorne Rubis</t>
        </is>
      </c>
    </row>
    <row r="20518">
      <c r="A20518" t="inlineStr">
        <is>
          <t>Zobal M 200</t>
        </is>
      </c>
      <c r="B20518">
        <f>HYPERLINK("https://www.dofusbook.net/fr/equipement/3782782-zobal-m-200/objets", "link")</f>
        <v/>
      </c>
      <c r="C20518" t="n">
        <v>0</v>
      </c>
      <c r="D20518" t="inlineStr">
        <is>
          <t>Epée Toche; Amulette du Strigide; Bracelet Jande; Bague Gloursonne; Bouclier du Captain Amakna; Ceinture du Strigide; Masque Brûlâme; Voile d'encre; Bottes du Roi Joueur; Dofus Turquoise; Dofus Ocre; Dofus Pourpre; Remueur; Vigoureux majeur; Nomade; Volkorne Pourpre et Orchidée</t>
        </is>
      </c>
    </row>
    <row r="20519">
      <c r="A20519" t="inlineStr">
        <is>
          <t>Zobal M 200</t>
        </is>
      </c>
      <c r="B20519">
        <f>HYPERLINK("https://www.dofusbook.net/fr/equipement/3779274-zobal-m-200/objets", "link")</f>
        <v/>
      </c>
      <c r="C20519" t="n">
        <v>2</v>
      </c>
      <c r="D20519" t="inlineStr">
        <is>
          <t>Hache du Guerrier Zoth; Amulette du Strigide; Bracelet Jande; Bague Gloursonne; Bouclier du Captain Amakna; Slip Iholo; Masque Brûlâme; Voile d'encre; Bottes du Strigide; Dofus Turquoise; Dokoko; Dofus Pourpre; Remueur; Nomade; Vigoureux majeur; Volkorne Pourpre et Orchidée</t>
        </is>
      </c>
    </row>
    <row r="20520">
      <c r="A20520" t="inlineStr">
        <is>
          <t>Osamodas M 200</t>
        </is>
      </c>
      <c r="B20520">
        <f>HYPERLINK("https://www.dofusbook.net/fr/equipement/3782071-osamodas-m-200/objets", "link")</f>
        <v/>
      </c>
      <c r="C20520" t="n">
        <v>3</v>
      </c>
      <c r="D20520" t="inlineStr">
        <is>
          <t>Amulette du Strigide; Bracelet Jande; Bague Trithon; Ceinture du Strigide; Masque Trithon; Bottes du Strigide</t>
        </is>
      </c>
    </row>
    <row r="20521">
      <c r="A20521" t="inlineStr">
        <is>
          <t>Osamodas M 200</t>
        </is>
      </c>
      <c r="B20521">
        <f>HYPERLINK("https://www.dofusbook.net/fr/equipement/3781904-osamodas-m-200/objets", "link")</f>
        <v/>
      </c>
      <c r="C20521" t="n">
        <v>4</v>
      </c>
      <c r="D20521" t="inlineStr">
        <is>
          <t>Dagues de Srambad; Amulette du Piloztère; Anneau en Grithril; Bracelet du Piloztère; Bouclier d'Anerice; Ceinture en Grithril; Casque en Grithril; Cape d'Anerice; Pantoufles du Piloztère; Dofus Turquoise; Dofus Ocre; Dofus Ivoire; Dofus des Glaces; Dofus Vulbis; Dofus Pourpre; Volkorne Jade et Rubis</t>
        </is>
      </c>
    </row>
    <row r="20522">
      <c r="A20522" t="inlineStr">
        <is>
          <t>Sadida M 200</t>
        </is>
      </c>
      <c r="B20522">
        <f>HYPERLINK("https://www.dofusbook.net/fr/equipement/3772552-sadida-m-200/objets", "link")</f>
        <v/>
      </c>
      <c r="C20522" t="n">
        <v>0</v>
      </c>
      <c r="D20522" t="inlineStr">
        <is>
          <t>Sabres d'Atcham; Amulette Volkorne; Anneau Volkorne; Anneau de Padgref; Quatre-feuilles; Ceinture Volkorne; Casque Volkorne; Cape d'Atcham; Sandales  d'Atcham; Dolmanax; Dofus Ocre; Dofus Turquoise; Dofus Pourpre; Dofus Abyssal; Dofus des Glaces; Kokulte</t>
        </is>
      </c>
    </row>
    <row r="20523">
      <c r="A20523" t="inlineStr">
        <is>
          <t>Sram M 200</t>
        </is>
      </c>
      <c r="B20523">
        <f>HYPERLINK("https://www.dofusbook.net/fr/equipement/3772492-sram-m-200/objets", "link")</f>
        <v/>
      </c>
      <c r="C20523" t="n">
        <v>1</v>
      </c>
      <c r="D20523" t="inlineStr">
        <is>
          <t>Lav'Hache; Collier de Tourthon; Anneau du Comte Harebourg; Anneau Volkorne; Bouclier du Stalak; Ceinture Volkorne; Coiffe du Comte Harebourg; Cape de la Cour Sombre; Bottes du Comte Harebourg; Dofus Nébuleux; Dofus Ocre; Dofus des Glaces; Dofus Pourpre; Dofus Vulbis; Dofus Abyssal; Bulbisou</t>
        </is>
      </c>
    </row>
    <row r="20524">
      <c r="A20524" t="inlineStr">
        <is>
          <t>Zobal M 200</t>
        </is>
      </c>
      <c r="B20524">
        <f>HYPERLINK("https://www.dofusbook.net/fr/equipement/3771612-zobal-m-200/objets", "link")</f>
        <v/>
      </c>
      <c r="C20524" t="n">
        <v>1</v>
      </c>
      <c r="D20524" t="inlineStr">
        <is>
          <t>Sabres d'Atcham; Amulette Volkorne; Bague Trithon; Anneau Volkorne; Quatre-feuilles; Ceinture du Strigide; Casque Volkorne; Cape d'Atcham; Sandales  d'Atcham; Dofus des Glaces; Dofus Turquoise; Dofus Nébuleux; Dofus Pourpre; Dofus Abyssal; Dofus Ocre; Volkorne Doré et Emeraude</t>
        </is>
      </c>
    </row>
    <row r="20525">
      <c r="A20525" t="inlineStr">
        <is>
          <t>Zobal M 200</t>
        </is>
      </c>
      <c r="B20525">
        <f>HYPERLINK("https://www.dofusbook.net/fr/equipement/3758402-zobal-m-200/objets", "link")</f>
        <v/>
      </c>
      <c r="C20525" t="n">
        <v>1</v>
      </c>
      <c r="D20525" t="inlineStr">
        <is>
          <t>Epée Toche; Amulette du Strigide; Bracelet Jande; Bague Gloursonne; Bouclier d'Ilyzaelle; Ceinture du Strigide; Chapeau de Gein; Voile d'encre; Pompes Funèbres; Dofus Turquoise; Dofus Pourpre; Dofus Ocre; Nomade; Vigoureux majeur; Remueur; Kwaltess</t>
        </is>
      </c>
    </row>
    <row r="20526">
      <c r="A20526" t="inlineStr">
        <is>
          <t>Féca M 200</t>
        </is>
      </c>
      <c r="B20526">
        <f>HYPERLINK("https://www.dofusbook.net/fr/equipement/3744147-feca-m-200/objets", "link")</f>
        <v/>
      </c>
      <c r="C20526" t="n">
        <v>2</v>
      </c>
      <c r="D20526" t="inlineStr">
        <is>
          <t>Dagues d'Ilyzaelle; Amulette du Cœur Vaillant; Anneau Volkorne; Alliance Brûlâme; Bouclier du Captain Amakna; Ceinture Volkorne; Casque Volkorne; Cape du Cœur Vaillant; Bottes du Cœur Vaillant; Dofus Turquoise; Dofus des Glaces; Dofus Nébuleux; Dofus Pourpre; Dofus Ocre; Dolmanax; Volkorne Jade et Rubis</t>
        </is>
      </c>
    </row>
    <row r="20527">
      <c r="A20527" t="inlineStr">
        <is>
          <t>Crâ F 200</t>
        </is>
      </c>
      <c r="B20527">
        <f>HYPERLINK("https://www.dofusbook.net/fr/equipement/3739494-cra-f-200/objets", "link")</f>
        <v/>
      </c>
      <c r="C20527" t="n">
        <v>1</v>
      </c>
      <c r="D20527" t="inlineStr">
        <is>
          <t>Sabres d'Atcham; Amulette Volkorne; Anneau Volkorne; Anneau de Padgref; Quatre-feuilles; Ceinture Séculaire; Casque Volkorne; Cape d'Atcham; Getas de Padgref; Dofus des Glaces; Dofus Pourpre; Dofus Turquoise; Dofus Ocre; Dofus Abyssal; Dofus Nébuleux; Volkorne Doré et Emeraude</t>
        </is>
      </c>
    </row>
    <row r="20528">
      <c r="A20528" t="inlineStr">
        <is>
          <t>Pandawa M 200</t>
        </is>
      </c>
      <c r="B20528">
        <f>HYPERLINK("https://www.dofusbook.net/fr/equipement/3739439-pandawa-m-200/objets", "link")</f>
        <v/>
      </c>
      <c r="C20528" t="n">
        <v>0</v>
      </c>
      <c r="D20528" t="inlineStr">
        <is>
          <t>Lav'Hache; Amulette du Cœur Saignant; Anneau en Grithril; Anneau Crustique; Bouclier d'Ilyzaelle; Ceinture en Grithril; Casque en Grithril; Cape du Cœur Saignant; Bottes du Cœur Saignant; Dofus Abyssal; Dofus Ivoire; Dofus Ocre; Dofus Émeraude; Dofus Turquoise; Dofus Pourpre; Muldo Orchidée et Pourpre</t>
        </is>
      </c>
    </row>
    <row r="20529">
      <c r="A20529" t="inlineStr">
        <is>
          <t>Zobal M 200</t>
        </is>
      </c>
      <c r="B20529">
        <f>HYPERLINK("https://www.dofusbook.net/fr/equipement/3727079-zobal-m-200/objets", "link")</f>
        <v/>
      </c>
      <c r="C20529" t="n">
        <v>0</v>
      </c>
      <c r="D20529" t="inlineStr">
        <is>
          <t>Arc du Chalœil; Amulette du Cœur Saignant; Anneau en Grithril; Chevalière du Roi Joueur; Bouclier cubiste; Ceinture en Grithril; Casque en Grithril; Cape du Cœur Saignant; Sabots Taj; Dofus Vulbis; Dofus Pourpre; Dofus Turquoise; Dofus Abyssal; Dofus Nébuleux; Dofus Ocre; Volkorne Turquoise</t>
        </is>
      </c>
    </row>
    <row r="20530">
      <c r="A20530" t="inlineStr">
        <is>
          <t>Zobal M 200</t>
        </is>
      </c>
      <c r="B20530">
        <f>HYPERLINK("https://www.dofusbook.net/fr/equipement/3717766-zobal-m-200/objets", "link")</f>
        <v/>
      </c>
      <c r="C20530" t="n">
        <v>0</v>
      </c>
      <c r="D20530" t="inlineStr">
        <is>
          <t>Épée Brûlâme; Amulette Volkorne; Lavanneau; Anneau Volkorne; Bouclier du Captain Amakna; Ceinture du Strigide; Masque d'Anerice; Cape d'Anerice; Bottes du Strigide; Dofus Ocre; Dofus Nébuleux; Dofus Pourpre; Dofus des Glaces; Dofus Vulbis; Dofus Turquoise; Volkorne Doré et Emeraude</t>
        </is>
      </c>
    </row>
    <row r="20531">
      <c r="A20531" t="inlineStr">
        <is>
          <t>Sadida F 200</t>
        </is>
      </c>
      <c r="B20531">
        <f>HYPERLINK("https://www.dofusbook.net/fr/equipement/3717310-sadida-f-200/objets", "link")</f>
        <v/>
      </c>
      <c r="C20531" t="n">
        <v>0</v>
      </c>
      <c r="D20531" t="inlineStr">
        <is>
          <t>Dagues de Srambad; Amulette du Nocturlabe; Anneau Volkorne; Anneau en Grithril; Bouclier du Stalak; Ceinture Volkorne; Casque en Grithril; Cape Luminescente; Bottes du Nocturlabe; Dolmanax; Dofus Pourpre; Dofus Ocre; Dofus des Glaces; Dofus Vulbis; Dofus Nébuleux; Volkorne Rubis et Améthyste</t>
        </is>
      </c>
    </row>
    <row r="20532">
      <c r="A20532" t="inlineStr">
        <is>
          <t>Féca M 200</t>
        </is>
      </c>
      <c r="B20532">
        <f>HYPERLINK("https://www.dofusbook.net/fr/equipement/3709796-feca-m-200/objets", "link")</f>
        <v/>
      </c>
      <c r="C20532" t="n">
        <v>1</v>
      </c>
      <c r="D20532" t="inlineStr">
        <is>
          <t>Dagoulinantes; Amulette de l'Œil Attentif; Anneau Volkorne; Anneau Vae; Quatre-feuilles; Ceinture Volkorne; Capuche de l'Œil Attentif; Cape de l'Œil Attentif; Sandales des Fonds marins; Dofus Vulbis; Dofus Ocre; Dofus Turquoise; Dofus des Glaces; Dofus Nébuleux; Dofus Pourpre; Volkorne Améthyste et Emeraude</t>
        </is>
      </c>
    </row>
    <row r="20533">
      <c r="A20533" t="inlineStr">
        <is>
          <t>Zobal F 200</t>
        </is>
      </c>
      <c r="B20533">
        <f>HYPERLINK("https://www.dofusbook.net/fr/equipement/3704124-zobal-f-200/objets", "link")</f>
        <v/>
      </c>
      <c r="C20533" t="n">
        <v>2</v>
      </c>
      <c r="D20533" t="inlineStr">
        <is>
          <t>Epée Toche; Amulette Volkorne; Chevalière du Roi Joueur; Bracelet Jande; Bouclier d'Ilyzaelle; Ceinture Volkorne; Couronne du Roi Joueur; Voile d'encre; Bottes du Roi Joueur; Dofus Vulbis; Dofus des Glaces; Dofus Pourpre; Dofus Nébuleux; Dofus Ocre; Dofus Turquoise; Volkorne Jade</t>
        </is>
      </c>
    </row>
    <row r="20534">
      <c r="A20534" t="inlineStr">
        <is>
          <t>Huppermage M 200</t>
        </is>
      </c>
      <c r="B20534">
        <f>HYPERLINK("https://www.dofusbook.net/fr/equipement/3700733-huppermage-m-200/objets", "link")</f>
        <v/>
      </c>
      <c r="C20534" t="n">
        <v>1</v>
      </c>
      <c r="D20534" t="inlineStr">
        <is>
          <t>Sabres d'Atcham; Amulette Volkorne; Anneau Volkorne; Bague Trithon; Bouclier d'Ilyzaelle; Ceinture Volkorne; Casque Volkorne; Cape d'Atcham; Sandales  d'Atcham; Dolmanax; Dofus des Glaces; Dofus Turquoise; Dofus Pourpre; Dofus Nébuleux; Dofus Ocre; Volkorne Améthyste et Emeraude</t>
        </is>
      </c>
    </row>
    <row r="20535">
      <c r="A20535" t="inlineStr">
        <is>
          <t>Zobal M 200</t>
        </is>
      </c>
      <c r="B20535">
        <f>HYPERLINK("https://www.dofusbook.net/fr/equipement/3700696-zobal-m-200/objets", "link")</f>
        <v/>
      </c>
      <c r="C20535" t="n">
        <v>0</v>
      </c>
      <c r="D20535" t="inlineStr">
        <is>
          <t>Arc Volkorne; Amulette Volkorne; Bague Trithon; Anneau Volkorne; Quatre-feuilles; Ceinture Volkorne; Masque Trithon; Cape d'Atcham; Sandales  d'Atcham; Dofus Nébuleux; Dofus Ocre; Dolmanax; Dofus des Glaces; Dofus Turquoise; Dofus Pourpre; Volkorne Améthyste</t>
        </is>
      </c>
    </row>
    <row r="20536">
      <c r="A20536" t="inlineStr">
        <is>
          <t>Zobal M 200</t>
        </is>
      </c>
      <c r="B20536">
        <f>HYPERLINK("https://www.dofusbook.net/fr/equipement/3671400-zobal-m-200/objets", "link")</f>
        <v/>
      </c>
      <c r="C20536" t="n">
        <v>1</v>
      </c>
      <c r="D20536" t="inlineStr">
        <is>
          <t>Sceptre du Roi Joueur; Amulette de l'Œil Attentif; Anneau Volkorne; Alliance Gloursonne; Bouclier d'Ilyzaelle; Ceinture de la Reine des Voleurs; Capuche de l'Œil Attentif; Cape de l'Œil Attentif; Bottes de la Reine des Voleurs; Dofus Vulbis; Dofus des Glaces; Dofus Nébuleux; Dofus Pourpre; Dofus Turquoise; Dofus Ocre; Volkorne Améthyste</t>
        </is>
      </c>
    </row>
    <row r="20537">
      <c r="A20537" t="inlineStr">
        <is>
          <t>Zobal M 200</t>
        </is>
      </c>
      <c r="B20537">
        <f>HYPERLINK("https://www.dofusbook.net/fr/equipement/3671347-zobal-m-200/objets", "link")</f>
        <v/>
      </c>
      <c r="C20537" t="n">
        <v>0</v>
      </c>
      <c r="D20537" t="inlineStr">
        <is>
          <t>Massier; Amulette Volkorne; Anneau de Padgref; Anneau Volkorne; Bouclier d'Ilyzaelle; Ceinture Séculaire; Coiffe Séculaire; Cape de la Dame du Hasard; Bottes de la Dame du Hasard; Dofus Turquoise; Dofus Nébuleux; Dofus Pourpre; Dofus des Glaces; Dofus Vulbis; Dofus Ocre; Volkorne Doré et Emeraude</t>
        </is>
      </c>
    </row>
    <row r="20538">
      <c r="A20538" t="inlineStr">
        <is>
          <t>Zobal M 200</t>
        </is>
      </c>
      <c r="B20538">
        <f>HYPERLINK("https://www.dofusbook.net/fr/equipement/3671328-zobal-m-200/objets", "link")</f>
        <v/>
      </c>
      <c r="C20538" t="n">
        <v>0</v>
      </c>
      <c r="D20538" t="inlineStr">
        <is>
          <t>Arc de Koutoulou; Amulette du Strigide; Anneau Volkorne; Alliance Gloursonne; Quatre-feuilles; Ceinture du Strigide; Casque Volkorne; Chevelure de Tal Kasha; Sandales de Tal Kasha; Dofus Pourpre; Dofus des Glaces; Dofus Vulbis; Dofus Ocre; Dofus Turquoise; Dofus Nébuleux; Volkorne Rubis et Saphir</t>
        </is>
      </c>
    </row>
    <row r="20539">
      <c r="A20539" t="inlineStr">
        <is>
          <t>Zobal M 200</t>
        </is>
      </c>
      <c r="B20539">
        <f>HYPERLINK("https://www.dofusbook.net/fr/equipement/3671310-zobal-m-200/objets", "link")</f>
        <v/>
      </c>
      <c r="C20539" t="n">
        <v>0</v>
      </c>
      <c r="D20539" t="inlineStr">
        <is>
          <t>Pyraguette; Amulette Volkorne; Lavanneau; Anneau Volkorne; Bouclier du Stalak; Ceinture de l'Esprit Salvateur; Masque de l'Esprit Salvateur; Cape de la Dame du Hasard; Bottes de l'Esprit Salvateur; Dofus Vulbis; Dofus des Glaces; Dofus Pourpre; Dofus Nébuleux; Dolmanax; Dofus Ocre; Volkorne Jade et Rubis</t>
        </is>
      </c>
    </row>
    <row r="20540">
      <c r="A20540" t="inlineStr">
        <is>
          <t>Zobal M 200</t>
        </is>
      </c>
      <c r="B20540">
        <f>HYPERLINK("https://www.dofusbook.net/fr/equipement/3671290-zobal-m-200/objets", "link")</f>
        <v/>
      </c>
      <c r="C20540" t="n">
        <v>0</v>
      </c>
      <c r="D20540" t="inlineStr">
        <is>
          <t>Marteau Phossile; Amulette Martegel; Anneau Rifique; Alliance Brûlâme; Bouclier d'Ilyzaelle; Ceinture de l'Esprit Salvateur; Masquegel; Cape Martegel; Bottes de l'Esprit Salvateur; Dofus Nébuleux; Dofus des Glaces; Dofus Vulbis; Dofus Pourpre; Dolmanax; Dofus Ocre; Volkorne Rubis</t>
        </is>
      </c>
    </row>
    <row r="20541">
      <c r="A20541" t="inlineStr">
        <is>
          <t>Zobal M 200</t>
        </is>
      </c>
      <c r="B20541">
        <f>HYPERLINK("https://www.dofusbook.net/fr/equipement/3671271-zobal-m-200/objets", "link")</f>
        <v/>
      </c>
      <c r="C20541" t="n">
        <v>0</v>
      </c>
      <c r="D20541" t="inlineStr">
        <is>
          <t>Dagues de Srambad; Amulette du Cœur Saignant; Anneau Volkorne; Anneau en Grithril; Bouclier d'Ilyzaelle; Ceinture Volkorne; Casque en Grithril; Cape du Cœur Saignant; Bottes du Cœur Saignant; Dofus Vulbis; Dofus Pourpre; Dolmanax; Dofus des Glaces; Dofus Ocre; Dofus Nébuleux; Volkorne Rubis et Améthyste</t>
        </is>
      </c>
    </row>
    <row r="20542">
      <c r="A20542" t="inlineStr">
        <is>
          <t>Zobal M 200</t>
        </is>
      </c>
      <c r="B20542">
        <f>HYPERLINK("https://www.dofusbook.net/fr/equipement/3662791-zobal-m-200/objets", "link")</f>
        <v/>
      </c>
      <c r="C20542" t="n">
        <v>1</v>
      </c>
      <c r="D20542" t="inlineStr">
        <is>
          <t>Plumeau Bil; Amulette Volkorne; Anneau Volkorne; Bracelet Jande; Bouclier d'Ilyzaelle; Ceinture de l'Esprit Salvateur; Masque Ardent; Cape Ardente; Chaussures Ardentes; Dofus Nébuleux; Dofus des Glaces; Dolmanax; Dofus Vulbis; Dofus Ocre; Dofus Pourpre; Volkorne Rubis et Améthyste</t>
        </is>
      </c>
    </row>
    <row r="20543">
      <c r="A20543" t="inlineStr">
        <is>
          <t>Huppermage M 200</t>
        </is>
      </c>
      <c r="B20543">
        <f>HYPERLINK("https://www.dofusbook.net/fr/equipement/3655456-huppermage-m-200/objets", "link")</f>
        <v/>
      </c>
      <c r="C20543" t="n">
        <v>0</v>
      </c>
      <c r="D20543" t="inlineStr">
        <is>
          <t>Pyraguette; Amulette Volkorne; Anneau Volkorne; Alliance Brûlâme; Bouclier d'Ilyzaelle; Ceinture de l'Esprit Salvateur; Masque de l'Esprit Salvateur; Cape de l'Œil Putride; Bottes de l'Esprit Salvateur; Dofus Ocre; Dofus des Glaces; Dofus Nébuleux; Dolmanax; Dofus Abyssal; Dofus Pourpre; Volkorne Jade et Améthyste</t>
        </is>
      </c>
    </row>
    <row r="20544">
      <c r="A20544" t="inlineStr">
        <is>
          <t>Steamer M 200</t>
        </is>
      </c>
      <c r="B20544">
        <f>HYPERLINK("https://www.dofusbook.net/fr/equipement/3652454-steamer-m-200/objets", "link")</f>
        <v/>
      </c>
      <c r="C20544" t="n">
        <v>2</v>
      </c>
      <c r="D20544" t="inlineStr">
        <is>
          <t>Lav'Hache; Torquistik; Anneau de Pol Ouatnos; Bague Trithon; Bouclier précieux; Ceinture Gence; Masque Trithon; Cape Luminescente; Bottes du Cœur Vaillant; Dokoko; Nomade; Culbuteur majeur; Miraculé majeur; Remueur; Bousculeur majeur; Volkorne Roux</t>
        </is>
      </c>
    </row>
    <row r="20545">
      <c r="A20545" t="inlineStr">
        <is>
          <t>Sadida F 200</t>
        </is>
      </c>
      <c r="B20545">
        <f>HYPERLINK("https://www.dofusbook.net/fr/equipement/3644335-sadida-f-200/objets", "link")</f>
        <v/>
      </c>
      <c r="C20545" t="n">
        <v>0</v>
      </c>
      <c r="D20545" t="inlineStr">
        <is>
          <t>Arc du Chalœil; Amulette du Cœur Saignant; Anneau Volkorne; Anneau en Grithril; Quatre-feuilles; Ceinture Volkorne; Casque en Grithril; Cape du Cœur Saignant; Bottes du Cœur Saignant; Dofus Ocre; Dofus Pourpre; Dofus des Glaces; Dofus Abyssal; Dofus Nébuleux; Dofus Turquoise; Volkorne Rubis et Améthyste</t>
        </is>
      </c>
    </row>
    <row r="20546">
      <c r="A20546" t="inlineStr">
        <is>
          <t>Zobal M 200</t>
        </is>
      </c>
      <c r="B20546">
        <f>HYPERLINK("https://www.dofusbook.net/fr/equipement/3575686-zobal-m-200/objets", "link")</f>
        <v/>
      </c>
      <c r="C20546" t="n">
        <v>0</v>
      </c>
      <c r="D20546" t="inlineStr">
        <is>
          <t>Hache du Chalœil; Amulette Volkorne; Bague Trithon; Anneau Volkorne; Bouclier d'Ilyzaelle; Ceinture Volkorne; Masque Trithon; Cape du Chalœil; Bottes Trithon; Dofus Turquoise; Dofus des Glaces; Dofus Nébuleux; Dofus Pourpre; Dolmanax; Dofus Ocre; Volkorne Rubis et Améthyste</t>
        </is>
      </c>
    </row>
    <row r="20547">
      <c r="A20547" t="inlineStr">
        <is>
          <t>Roublard M 200</t>
        </is>
      </c>
      <c r="B20547">
        <f>HYPERLINK("https://www.dofusbook.net/fr/equipement/3575609-roublard-m-200/objets", "link")</f>
        <v/>
      </c>
      <c r="C20547" t="n">
        <v>0</v>
      </c>
      <c r="D20547" t="inlineStr">
        <is>
          <t>Sabres d'Atcham; Amulette Volkorne; Anneau Volkorne; Alliance Gloursonne; Bouclier du Stalak; Ceinture Séculaire; Casque Volkorne; Cape d'Atcham; Sandales  d'Atcham; Dolmanax; Dofus Ocre; Dofus des Glaces; Dofus Nébuleux; Dofus Pourpre; Robuste majeur; Volkorne Jade et Améthyste</t>
        </is>
      </c>
    </row>
    <row r="20548">
      <c r="A20548" t="inlineStr">
        <is>
          <t>Roublard M 200</t>
        </is>
      </c>
      <c r="B20548">
        <f>HYPERLINK("https://www.dofusbook.net/fr/equipement/3575571-roublard-m-200/objets", "link")</f>
        <v/>
      </c>
      <c r="C20548" t="n">
        <v>0</v>
      </c>
      <c r="D20548" t="inlineStr">
        <is>
          <t>Baguette Range; Amulette Volkorne; Anneau Volkorne; Anneau Rifique; Bouclier du Stalak; Ceinture de l'Esprit Salvateur; Casque Volkorne; Cape Martegel; Bottes de l'Esprit Salvateur; Dolmanax; Dofus Ocre; Dofus Ivoire; Dofus des Glaces; Dofus Pourpre; Robuste majeur; Volkorne Jade et Rubis</t>
        </is>
      </c>
    </row>
    <row r="20549">
      <c r="A20549" t="inlineStr">
        <is>
          <t>Pandawa M 200</t>
        </is>
      </c>
      <c r="B20549">
        <f>HYPERLINK("https://www.dofusbook.net/fr/equipement/3573953-pandawa-m-200/objets", "link")</f>
        <v/>
      </c>
      <c r="C20549" t="n">
        <v>3</v>
      </c>
      <c r="D20549" t="inlineStr">
        <is>
          <t>Arc de Koutoulou; Amulette d'Ilyzaelle; Anneau Volkorne; Alliance Gloursonne; Bouclier d'Ilyzaelle; Ceinture de la Reine des Voleurs; Casque Volkorne; Cape du Chalœil; Bottes de la Reine des Voleurs; Dolmanax; Dofus des Glaces; Dofus Turquoise; Dofus Ocre; Dofus Vulbis; Dofus Pourpre; Volkorne Rubis et Améthyste</t>
        </is>
      </c>
    </row>
    <row r="20550">
      <c r="A20550" t="inlineStr">
        <is>
          <t>Pandawa M 200</t>
        </is>
      </c>
      <c r="B20550">
        <f>HYPERLINK("https://www.dofusbook.net/fr/equipement/3573942-pandawa-m-200/objets", "link")</f>
        <v/>
      </c>
      <c r="C20550" t="n">
        <v>0</v>
      </c>
      <c r="D20550" t="inlineStr">
        <is>
          <t>Dagues d'Ilyzaelle; Amulette du Cœur Saignant; Anneau en Grithril; Anneau Volkorne; Bouclier du Captain Amakna; Ceinture Volkorne; Casque en Grithril; Cape du Cœur Saignant; Bottes du Cœur Saignant; Dofus Abyssal; Dofus Turquoise; Dofus Pourpre; Dofus Ocre; Dofus Vulbis; Dofus Nébuleux; Volkorne Doré et Emeraude</t>
        </is>
      </c>
    </row>
    <row r="20551">
      <c r="A20551" t="inlineStr">
        <is>
          <t>Pandawa M 200</t>
        </is>
      </c>
      <c r="B20551">
        <f>HYPERLINK("https://www.dofusbook.net/fr/equipement/3567536-pandawa-m-200/objets", "link")</f>
        <v/>
      </c>
      <c r="C20551" t="n">
        <v>0</v>
      </c>
      <c r="D20551" t="inlineStr">
        <is>
          <t>Bâthon; Amulette Volkorne; Chevalière du Roi Joueur; Anneau Volkorne; Bouclier d'Ilyzaelle; Ceinture Volkorne; Couronne du Roi Joueur; Voile d'encre; Bottes du Roi Joueur; Dofus Pourpre; Dofus Ocre; Dofus Émeraude; Dofus Turquoise; Dolmanax; Dofus des Glaces; Volkorne Jade</t>
        </is>
      </c>
    </row>
    <row r="20552">
      <c r="A20552" t="inlineStr">
        <is>
          <t>Sram M 200</t>
        </is>
      </c>
      <c r="B20552">
        <f>HYPERLINK("https://www.dofusbook.net/fr/equipement/3564832-sram-m-200/objets", "link")</f>
        <v/>
      </c>
      <c r="C20552" t="n">
        <v>0</v>
      </c>
      <c r="D20552" t="inlineStr">
        <is>
          <t>Hache du Chalœil; Amulette Volkorne; Anneau en Grithril; Anneau Volkorne; Bouclier du Stalak; Ceinture Volkorne; Casque du Chalœil; Cape du Chalœil; Bottes du Chalœil; Dofus Nébuleux; Dofus Ocre; Dofus Pourpre; Dofus des Glaces; Dofus Vulbis; Dolmanax; Volkorne Rubis et Saphir</t>
        </is>
      </c>
    </row>
    <row r="20553">
      <c r="A20553" t="inlineStr">
        <is>
          <t>Sadida M 200</t>
        </is>
      </c>
      <c r="B20553">
        <f>HYPERLINK("https://www.dofusbook.net/fr/equipement/3564763-sadida-m-200/objets", "link")</f>
        <v/>
      </c>
      <c r="C20553" t="n">
        <v>1</v>
      </c>
      <c r="D20553" t="inlineStr">
        <is>
          <t>Sabres d'Atcham; Amulette Volkorne; Anneau Volkorne; Alliance Brûlâme; Bouclier du Stalak; Ceinture de l'Esprit Salvateur; Masque de l'Esprit Salvateur; Cape d'Atcham; Bottes de l'Esprit Salvateur; Dolmanax; Dofus Vulbis; Dofus Pourpre; Dofus Ocre; Dofus des Glaces; Robuste majeur; Volkorne Améthyste et Turquoise</t>
        </is>
      </c>
    </row>
    <row r="20554">
      <c r="A20554" t="inlineStr">
        <is>
          <t>Ouginak M 200</t>
        </is>
      </c>
      <c r="B20554">
        <f>HYPERLINK("https://www.dofusbook.net/fr/equipement/3564218-ouginak-m-200/objets", "link")</f>
        <v/>
      </c>
      <c r="C20554" t="n">
        <v>0</v>
      </c>
      <c r="D20554" t="inlineStr">
        <is>
          <t>Sabres d'Atcham; Amulette du Strigide; Alliance Brûlâme; Anneau Volkorne; Bouclier d'Ilyzaelle; Ceinture du Strigide; Casque Volkorne; Cape d'Atcham; Bottes du Strigide; Dofus des Glaces; Dolmanax; Dofus Ocre; Dofus Pourpre; Dofus Vulbis; Dofus Turquoise; Volkorne Jade et Rubis</t>
        </is>
      </c>
    </row>
    <row r="20555">
      <c r="A20555" t="inlineStr">
        <is>
          <t>Ecaflip M 200</t>
        </is>
      </c>
      <c r="B20555">
        <f>HYPERLINK("https://www.dofusbook.net/fr/equipement/3564175-ecaflip-m-200/objets", "link")</f>
        <v/>
      </c>
      <c r="C20555" t="n">
        <v>0</v>
      </c>
      <c r="D20555" t="inlineStr">
        <is>
          <t>Sabres d'Atcham; Amulette du Strigide; Anneau Volkorne; Alliance Brûlâme; Bouclier du Stalak; Ceinture Volkorne; Casque Volkorne; Cape d'Atcham; Bottes du Strigide; Dofus des Glaces; Dofus Pourpre; Dolmanax; Dofus Ocre; Dofus Turquoise; Dofus Nébuleux; Volkorne Rubis et Saphir</t>
        </is>
      </c>
    </row>
    <row r="20556">
      <c r="A20556" t="inlineStr">
        <is>
          <t>Pandawa M 200</t>
        </is>
      </c>
      <c r="B20556">
        <f>HYPERLINK("https://www.dofusbook.net/fr/equipement/3564131-pandawa-m-200/objets", "link")</f>
        <v/>
      </c>
      <c r="C20556" t="n">
        <v>0</v>
      </c>
      <c r="D20556" t="inlineStr">
        <is>
          <t>Épée Brûlâme; Amulette Volkorne; Lavanneau; Anneau Volkorne; Bouclier d'Anerice; Ceinture du Strigide; Masque d'Anerice; Cape d'Anerice; Bottes du Strigide; Dofus Vulbis; Dofus Ocre; Dofus Turquoise; Dofus Ivoire; Dofus Émeraude; Dofus Pourpre; Volkorne Doré et Emeraude</t>
        </is>
      </c>
    </row>
    <row r="20557">
      <c r="A20557" t="inlineStr">
        <is>
          <t>Enutrof M 200</t>
        </is>
      </c>
      <c r="B20557">
        <f>HYPERLINK("https://www.dofusbook.net/fr/equipement/3564035-enutrof-m-200/objets", "link")</f>
        <v/>
      </c>
      <c r="C20557" t="n">
        <v>0</v>
      </c>
      <c r="D20557" t="inlineStr">
        <is>
          <t>Dagues de Srambad; Amulette Volkorne; Anneau en Grithril; Anneau Volkorne; Bouclier d'Ilyzaelle; Ceinture en Grithril; Casque en Grithril; Cape du Chalœil; Bottes du Chalœil; Dofus Vulbis; Dofus Ocre; Dofus Émeraude; Dofus des Glaces; Dofus Pourpre; Dofus Ivoire; Volkorne Jade et Améthyste</t>
        </is>
      </c>
    </row>
    <row r="20558">
      <c r="A20558" t="inlineStr">
        <is>
          <t>Enutrof M 200</t>
        </is>
      </c>
      <c r="B20558">
        <f>HYPERLINK("https://www.dofusbook.net/fr/equipement/3563945-enutrof-m-200/objets", "link")</f>
        <v/>
      </c>
      <c r="C20558" t="n">
        <v>1</v>
      </c>
      <c r="D20558" t="inlineStr">
        <is>
          <t>Massier; Amulette Volkorne; Anneau de Padgref; Anneau Volkorne; Bouclier du Captain Amakna; Ceinture Séculaire; Coiffe Séculaire; Cape d'Anerice; Getas de Padgref; Dofus Émeraude; Dofus Pourpre; Dofus Ivoire; Dofus Ocre; Dofus Turquoise; Dofus Vulbis; Volkorne Améthyste et Emeraude</t>
        </is>
      </c>
    </row>
    <row r="20559">
      <c r="A20559" t="inlineStr">
        <is>
          <t>Zobal M 200</t>
        </is>
      </c>
      <c r="B20559">
        <f>HYPERLINK("https://www.dofusbook.net/fr/equipement/3559175-zobal-m-200/objets", "link")</f>
        <v/>
      </c>
      <c r="C20559" t="n">
        <v>0</v>
      </c>
      <c r="D20559" t="inlineStr">
        <is>
          <t>Faux Maudite du Saigneur Guerrier; Amulette du Strigide; Anneau Volkorne; Alliance Brûlâme; Bouclier d'Ilyzaelle; Ceinture Volkorne; Casque Volkorne; Cape d'Anerice; Bottes du Strigide; Dofus Émeraude; Dofus des Glaces; Dolmanax; Dofus Ocre; Dofus Pourpre; Dofus Turquoise; Volkorne Doré et Emeraude</t>
        </is>
      </c>
    </row>
    <row r="20560">
      <c r="A20560" t="inlineStr">
        <is>
          <t>Iop M 200</t>
        </is>
      </c>
      <c r="B20560">
        <f>HYPERLINK("https://www.dofusbook.net/fr/equipement/3555805-iop-m-200/objets", "link")</f>
        <v/>
      </c>
      <c r="C20560" t="n">
        <v>0</v>
      </c>
      <c r="D20560" t="inlineStr">
        <is>
          <t>Arc du Chalœil; Amulette du Cœur Saignant; Anneau Crustique; Anneau en Grithril; Bouclier d'Ilyzaelle; Ceinture en Grithril; Casque en Grithril; Cape du Cœur Saignant; Bottes du Cœur Saignant; Dofus Nébuleux; Dofus des Glaces; Dofus Turquoise; Dofus Ocre; Dofus Émeraude; Dofus Pourpre; Muldo Orchidée et Pourpre</t>
        </is>
      </c>
    </row>
    <row r="20561">
      <c r="A20561" t="inlineStr">
        <is>
          <t>Iop M 200</t>
        </is>
      </c>
      <c r="B20561">
        <f>HYPERLINK("https://www.dofusbook.net/fr/equipement/3555749-iop-m-200/objets", "link")</f>
        <v/>
      </c>
      <c r="C20561" t="n">
        <v>0</v>
      </c>
      <c r="D20561" t="inlineStr">
        <is>
          <t>Arc du Chalœil; Torquistik; Anneau en Grithril; Baguistik; Bouclier d'Ilyzaelle; Ceinture en Grithril; Casque en Grithril; Cape d'Anerice; Bottistik; Dofus Pourpre; Dofus Ivoire; Dofus Émeraude; Dofus Ocre; Dokoko; Bousculeur majeur; Muldo Pourpre</t>
        </is>
      </c>
    </row>
    <row r="20562">
      <c r="A20562" t="inlineStr">
        <is>
          <t>test</t>
        </is>
      </c>
      <c r="B20562">
        <f>HYPERLINK("https://www.dofusbook.net/fr/equipement/3555741-test/objets", "link")</f>
        <v/>
      </c>
      <c r="C20562" t="n">
        <v>0</v>
      </c>
      <c r="D20562" t="inlineStr">
        <is>
          <t>Sabres d'Atcham; Amulette Volkorne; Anneau Volkorne; Anneau Rifique; Bouclier du Stalak; Ceinture de l'Esprit Salvateur; Casque Volkorne; Cape d'Atcham; Bottes de l'Esprit Salvateur; Dofus Nébuleux; Dofus des Glaces; Dolmanax; Dofus Ocre; Dofus Pourpre; Robuste majeur; Volkorne Jade et Rubis</t>
        </is>
      </c>
    </row>
    <row r="20563">
      <c r="A20563" t="inlineStr">
        <is>
          <t>Crâ F 200</t>
        </is>
      </c>
      <c r="B20563">
        <f>HYPERLINK("https://www.dofusbook.net/fr/equipement/3555413-cra-f-200/objets", "link")</f>
        <v/>
      </c>
      <c r="C20563" t="n">
        <v>2</v>
      </c>
      <c r="D20563" t="inlineStr">
        <is>
          <t>Baguette Range; Amulette Volkorne; Anneau Rifique; Anneau Volkorne; Bouclier du Stalak; Ceinture de l'Esprit Salvateur; Casque Volkorne; Cape Martegel; Bottes de l'Esprit Salvateur; Dofus Ocre; Dofus Pourpre; Dofus Nébuleux; Dofus des Glaces; Dolmanax; Robuste majeur; Volkorne Jade et Rubis</t>
        </is>
      </c>
    </row>
    <row r="20564">
      <c r="A20564" t="inlineStr">
        <is>
          <t>Sram M 200</t>
        </is>
      </c>
      <c r="B20564">
        <f>HYPERLINK("https://www.dofusbook.net/fr/equipement/3554741-sram-m-200/objets", "link")</f>
        <v/>
      </c>
      <c r="C20564" t="n">
        <v>0</v>
      </c>
      <c r="D20564" t="inlineStr">
        <is>
          <t>Hache du Chalœil; Amulette Volkorne; Anneau Volkorne; Alliance Brûlâme; Bouclier du Stalak; Ceinture Volkorne; Casque du Chalœil; Cape du Chalœil; Bottes du Chalœil; Dolmanax; Dofus des Glaces; Dofus Vulbis; Dofus Pourpre; Dofus Abyssal; Dofus Ocre; Volkorne Rubis et Saphir</t>
        </is>
      </c>
    </row>
    <row r="20565">
      <c r="A20565" t="inlineStr">
        <is>
          <t>Steamer F 200</t>
        </is>
      </c>
      <c r="B20565">
        <f>HYPERLINK("https://www.dofusbook.net/fr/equipement/3554712-steamer-f-200/objets", "link")</f>
        <v/>
      </c>
      <c r="C20565" t="n">
        <v>0</v>
      </c>
      <c r="D20565" t="inlineStr">
        <is>
          <t>Arc Volkorne; Amulette Volkorne; Bague Trithon; Anneau Volkorne; Quatre-feuilles; Ceinture Volkorne; Casque Volkorne; Cape d'Anerice; Bottes Trithon; Dolmanax; Dofus Ocre; Dofus Nébuleux; Dofus des Glaces; Dofus Pourpre; Dofus Turquoise; Volkorne Rubis et Améthyste</t>
        </is>
      </c>
    </row>
    <row r="20566">
      <c r="A20566" t="inlineStr">
        <is>
          <t>Steamer F 200</t>
        </is>
      </c>
      <c r="B20566">
        <f>HYPERLINK("https://www.dofusbook.net/fr/equipement/3554698-steamer-f-200/objets", "link")</f>
        <v/>
      </c>
      <c r="C20566" t="n">
        <v>1</v>
      </c>
      <c r="D20566" t="inlineStr">
        <is>
          <t>Sabres d'Atcham; Amulette Volkorne; Anneau Volkorne; Bague Trithon; Quatre-feuilles; Ceinture Volkorne; Casque Volkorne; Cape d'Atcham; Sandales  d'Atcham; Dolmanax; Dofus des Glaces; Dofus Nébuleux; Dofus Turquoise; Dofus Ocre; Dofus Pourpre; Volkorne Améthyste et Emeraude</t>
        </is>
      </c>
    </row>
    <row r="20567">
      <c r="A20567" t="inlineStr">
        <is>
          <t>Zobal M 200</t>
        </is>
      </c>
      <c r="B20567">
        <f>HYPERLINK("https://www.dofusbook.net/fr/equipement/3554672-zobal-m-200/objets", "link")</f>
        <v/>
      </c>
      <c r="C20567" t="n">
        <v>1</v>
      </c>
      <c r="D20567" t="inlineStr">
        <is>
          <t>Arc du Chalœil; Amulette Luminescente; Bague Trithon; Anneau Volkorne; Bouclier d'Ilyzaelle; Ceinture Volkorne; Masque Trithon; Cape Luminescente; Bottes Trithon; Dofus Ivoire; Dofus Turquoise; Dofus des Glaces; Dofus Pourpre; Dofus Vulbis; Dofus Ocre; Volkorne Améthyste et Doré</t>
        </is>
      </c>
    </row>
    <row r="20568">
      <c r="A20568" t="inlineStr">
        <is>
          <t>Ecaflip M 200</t>
        </is>
      </c>
      <c r="B20568">
        <f>HYPERLINK("https://www.dofusbook.net/fr/equipement/3537503-ecaflip-m-200/objets", "link")</f>
        <v/>
      </c>
      <c r="C20568" t="n">
        <v>0</v>
      </c>
      <c r="D20568" t="inlineStr">
        <is>
          <t>Sabres d'Atcham; Amulette Volkorne; Anneau Volkorne; Alliance Gloursonne; Bouclier du Stalak; Ceinture Volkorne; Casque Volkorne; Cape d'Atcham; Sandales  d'Atcham; Dofus Ocre; Dofus des Glaces; Dofus Turquoise; Dolmanax; Dofus Pourpre; Robuste majeur; Volkorne Jade et Améthyste</t>
        </is>
      </c>
    </row>
    <row r="20569">
      <c r="A20569" t="inlineStr">
        <is>
          <t>test res multi</t>
        </is>
      </c>
      <c r="B20569">
        <f>HYPERLINK("https://www.dofusbook.net/fr/equipement/3282530-test-res-multi/objets", "link")</f>
        <v/>
      </c>
      <c r="C20569" t="n">
        <v>0</v>
      </c>
      <c r="D20569" t="inlineStr">
        <is>
          <t>Arc de Koutoulou; Amulette Voldelor; Alliance Gloursonne; Bague Trithon; Bouclier du Stalak; Ceinture Voldelor; Némès de Tal Kasha; Chevelure de Tal Kasha; Sandales de Tal Kasha; Dofus Ocre; Dofus Nébuleux; Dolmanax; Dofus Turquoise; Dofus Pourpre; Robuste majeur; Muldo Ebène</t>
        </is>
      </c>
    </row>
    <row r="20570">
      <c r="A20570" t="inlineStr">
        <is>
          <t>Féca M 200</t>
        </is>
      </c>
      <c r="B20570">
        <f>HYPERLINK("https://www.dofusbook.net/fr/equipement/3407175-feca-m-200/objets", "link")</f>
        <v/>
      </c>
      <c r="C20570" t="n">
        <v>22</v>
      </c>
      <c r="D20570" t="inlineStr">
        <is>
          <t>Rapière aux Glyphes; Amulette de l'Œil Attentif; Alliance Gloursonne; Bracelet des Fonds marins; Quatre-feuilles; Ceinture de la Reine des Voleurs; Masque de Funespadon; Cape Solution; Bottes de la Reine des Voleurs; Dofus Turquoise; Dofus Nébuleux; Dofus Pourpre; Remueur; Chanceux majeur; Observateur; Muldo Ebène</t>
        </is>
      </c>
    </row>
    <row r="20571">
      <c r="A20571" t="inlineStr">
        <is>
          <t>Féca M 200</t>
        </is>
      </c>
      <c r="B20571">
        <f>HYPERLINK("https://www.dofusbook.net/fr/equipement/3407135-feca-m-200/objets", "link")</f>
        <v/>
      </c>
      <c r="C20571" t="n">
        <v>9</v>
      </c>
      <c r="D20571" t="inlineStr">
        <is>
          <t>Hache du Chalœil; Amulette du Strigide; Alliance Brûlâme; Alliance Gloursonne; Bouclier du Captain Amakna; Ceinture du Strigide; Masque Brûlâme; Cape d'Atcham; Bottes du Strigide; Dofus Émeraude; Dofus Turquoise; Dofus Ocre; Dolmanax; Dofus Nébuleux; Dofus Pourpre; Muldo Ebène et Orchidée</t>
        </is>
      </c>
    </row>
    <row r="20572">
      <c r="A20572" t="inlineStr">
        <is>
          <t>Ecaflip M 200</t>
        </is>
      </c>
      <c r="B20572">
        <f>HYPERLINK("https://www.dofusbook.net/fr/equipement/3373370-ecaflip-m-200/objets", "link")</f>
        <v/>
      </c>
      <c r="C20572" t="n">
        <v>0</v>
      </c>
      <c r="D20572" t="inlineStr">
        <is>
          <t>Epée Gloursonne; Amulette Voldelor; Bague Gloursonne; Alliance Gloursonne; Bouclier du Stalak; Ceinture Voldelor; Némès de Tal Kasha; Chevelure de Tal Kasha; Sandales de Tal Kasha; Dolmanax; Dofus Pourpre; Dofus Ocre; Dofus Turquoise; Dofus Nébuleux; Robuste majeur; Muldo Ebène et Pourpre</t>
        </is>
      </c>
    </row>
    <row r="20573">
      <c r="A20573" t="inlineStr">
        <is>
          <t>Ecaflip M 200</t>
        </is>
      </c>
      <c r="B20573">
        <f>HYPERLINK("https://www.dofusbook.net/fr/equipement/3355279-ecaflip-m-200/objets", "link")</f>
        <v/>
      </c>
      <c r="C20573" t="n">
        <v>1</v>
      </c>
      <c r="D20573" t="inlineStr">
        <is>
          <t>Pelle de la Cour Sombre; Collier du Valet Veinard; Alliance Gloursonne; Gant du Valet Veinard; Cadran d'Air; Ceinture de Vortex; Cagoule de Vortex; Cape du Valet Veinard; Sabots de Vortex; Dofus Abyssal; Dokoko; Dofus Nébuleux; Dofus Ocre; Dofus Ivoire; Dofus Émeraude; Muldo Ebène</t>
        </is>
      </c>
    </row>
    <row r="20574">
      <c r="A20574" t="inlineStr">
        <is>
          <t>Ecaflip F 200</t>
        </is>
      </c>
      <c r="B20574">
        <f>HYPERLINK("https://www.dofusbook.net/fr/equipement/3294864-ecaflip-f-200/objets", "link")</f>
        <v/>
      </c>
      <c r="C20574" t="n">
        <v>0</v>
      </c>
      <c r="D20574" t="inlineStr"/>
    </row>
    <row r="20575">
      <c r="A20575" t="inlineStr">
        <is>
          <t>OOOOOOOO</t>
        </is>
      </c>
      <c r="B20575">
        <f>HYPERLINK("https://www.dofusbook.net/fr/equipement/3218890-oooooooo/objets", "link")</f>
        <v/>
      </c>
      <c r="C20575" t="n">
        <v>0</v>
      </c>
      <c r="D20575" t="inlineStr">
        <is>
          <t>Sceptre du Roi Joueur; Amulette de l'Œil Attentif; Alliance Gloursonne; Bracelet des Fonds marins; Bouclier du Stalak; Ceinture de la Reine des Voleurs; Coiffe de Danathor; Cape Solution; Bottes de la Reine des Voleurs; Dofus des Glaces; Remueur; Dévastateur Eau majeur; Taquin majeur; Nomade; Chanceux majeur; Dehluge</t>
        </is>
      </c>
    </row>
    <row r="20576">
      <c r="A20576" t="inlineStr">
        <is>
          <t>invocs</t>
        </is>
      </c>
      <c r="B20576">
        <f>HYPERLINK("https://www.dofusbook.net/fr/equipement/3212961-invocs/objets", "link")</f>
        <v/>
      </c>
      <c r="C20576" t="n">
        <v>1</v>
      </c>
      <c r="D20576" t="inlineStr">
        <is>
          <t>Pelle de Nidas; Amulette Ementaire Deluxe; Anneau de Guten Tak; Alliance Gloursonne; Bouclier d'Ilyzaelle; Ceinture du Barbétoal; Coiffe de la Reine des Voleurs; Cape des Justiciers; Bottes de la Reine des Voleurs; Nomade; Chanceux majeur; Miraculé majeur; Cascadeur majeur; Remueur; Enragé majeur; Muldo Ebène</t>
        </is>
      </c>
    </row>
    <row r="20577">
      <c r="A20577" t="inlineStr">
        <is>
          <t>Mode agi</t>
        </is>
      </c>
      <c r="B20577">
        <f>HYPERLINK("https://www.dofusbook.net/fr/equipement/3177661-mode-agi/objets", "link")</f>
        <v/>
      </c>
      <c r="C20577" t="n">
        <v>1</v>
      </c>
      <c r="D20577" t="inlineStr">
        <is>
          <t>Dagues Maydhyn China; Collier du Dragon Cochon; Gelano; Bracelet du Chef Bwork; Bouclier de Sidimote; Puissante Ceinture Fulgurante; Coiffe du Rat Blanc; Cape du Tofu Fou; Bloptes Coco Royales; Dokoko; Dofus Émeraude; Dofus Argenté; Cascadeur; Remueur; Observateur; Dragodinde Prune et Ebène</t>
        </is>
      </c>
    </row>
    <row r="20578">
      <c r="A20578" t="inlineStr">
        <is>
          <t>mdr</t>
        </is>
      </c>
      <c r="B20578">
        <f>HYPERLINK("https://www.dofusbook.net/fr/equipement/3177553-mdr/objets", "link")</f>
        <v/>
      </c>
      <c r="C20578" t="n">
        <v>0</v>
      </c>
      <c r="D20578" t="inlineStr">
        <is>
          <t>Arc en Racine d'Abraknyde; Amublop Coco; Blopanneau Coco; Anobra; Bouclier du Chafer fantassin; Blopture Coco; Abracaska; Abracapa; Bloptes Coco</t>
        </is>
      </c>
    </row>
    <row r="20579">
      <c r="A20579" t="inlineStr">
        <is>
          <t>Monoc</t>
        </is>
      </c>
      <c r="B20579">
        <f>HYPERLINK("https://www.dofusbook.net/fr/equipement/3177521-monoc/objets", "link")</f>
        <v/>
      </c>
      <c r="C20579" t="n">
        <v>0</v>
      </c>
      <c r="D20579" t="inlineStr">
        <is>
          <t>Epée Royale du Bouftou; Amulette Royale du Bouftou; Anneau Royal du Bouftou; Anobra; Bouclier du Chafer fantassin; Ceinture Royale du Bouftou; Boufcoiffe Royale; Cape Bouffante Royale; Boufbottes Royales; Homlett</t>
        </is>
      </c>
    </row>
    <row r="20580">
      <c r="A20580" t="inlineStr">
        <is>
          <t>Air</t>
        </is>
      </c>
      <c r="B20580">
        <f>HYPERLINK("https://www.dofusbook.net/fr/equipement/3146330-air/objets", "link")</f>
        <v/>
      </c>
      <c r="C20580" t="n">
        <v>0</v>
      </c>
      <c r="D20580" t="inlineStr">
        <is>
          <t>La Baguette des Limbes; Collier du Dragon Cochon; Gelano; Bague des Ecaflipuces; Bouclier en Slip; Ceinture du Berserkoffre; Billréole; Fourbacapa; Bottes du Berserkoffre; Dofus Émeraude; Dévastateur Air; Nomade; Cascadeur; Miraculé; Remueur; Siroko</t>
        </is>
      </c>
    </row>
    <row r="20581">
      <c r="A20581" t="inlineStr">
        <is>
          <t>mode eau</t>
        </is>
      </c>
      <c r="B20581">
        <f>HYPERLINK("https://www.dofusbook.net/fr/equipement/3146304-mode-eau/objets", "link")</f>
        <v/>
      </c>
      <c r="C20581" t="n">
        <v>0</v>
      </c>
      <c r="D20581" t="inlineStr">
        <is>
          <t>Hache du Guerrier Zoth; Collier Yé; Sceau Souverain du Roissingue; Anneau des Matougarous; Cadran de Terre; Ceinture du Kaniblou; Ruskauffe; Cape du Kaniblou; Bottes de Grozilla; Dofus Pourpre; Nomade; Dévastateur Eau majeur; Chanceux majeur; Remueur; Miraculé majeur; Muldo Indigo et Orchidée</t>
        </is>
      </c>
    </row>
    <row r="20582">
      <c r="A20582" t="inlineStr">
        <is>
          <t>Mdrererer</t>
        </is>
      </c>
      <c r="B20582">
        <f>HYPERLINK("https://www.dofusbook.net/fr/equipement/3143154-mdrererer/objets", "link")</f>
        <v/>
      </c>
      <c r="C20582" t="n">
        <v>0</v>
      </c>
      <c r="D20582" t="inlineStr">
        <is>
          <t>Bâton des Rois; Amulette du Scorbute; Craquanneau Légendaire; Gelano; Bouclier Abraknyde; Geloture; Caracoiffe; Cape d'Elya Wood; Bloptes Griotte Royales; Dofus Argenté; Dokoko; Dofus Cawotte; Miraculé mineur; Observateur; Érudit mineur; Dragodinde Prune et Emeraude</t>
        </is>
      </c>
    </row>
    <row r="20583">
      <c r="A20583" t="inlineStr">
        <is>
          <t>plusderes</t>
        </is>
      </c>
      <c r="B20583">
        <f>HYPERLINK("https://www.dofusbook.net/fr/equipement/3138342-plusderes/objets", "link")</f>
        <v/>
      </c>
      <c r="C20583" t="n">
        <v>1</v>
      </c>
      <c r="D20583" t="inlineStr">
        <is>
          <t>Dagues du Dragoeuf; Amulette Ementaire Deluxe; Sceau Souverain du Roissingue; Anneau du Meulou; Bouclier Taverne; Ceinture Phossile; Bonnet Ko; Cape Phossile; Bottes de Grozilla; Dofus Turquoise; Dolmanax; Dofus Pourpre; Vigoureux majeur; Remueur; Nomade; Muldo Indigo et Emeraude</t>
        </is>
      </c>
    </row>
    <row r="20584">
      <c r="A20584" t="inlineStr">
        <is>
          <t>full o</t>
        </is>
      </c>
      <c r="B20584">
        <f>HYPERLINK("https://www.dofusbook.net/fr/equipement/3132640-full-o/objets", "link")</f>
        <v/>
      </c>
      <c r="C20584" t="n">
        <v>1</v>
      </c>
      <c r="D20584" t="inlineStr">
        <is>
          <t>Sceptre du Roi Joueur; Amulette Voldelor; Bracelet des Fonds marins; Alliance Gloursonne; Bouclier d'Ilyzaelle; Pagne du Rykaon; Némès de Tal Kasha; Chevelure de Tal Kasha; Pataugastrique; Dofus Pourpre; Dofus Turquoise; Remueur; Nomade; Vigoureux majeur; Chanceux majeur; Muldo Ebène et Emeraude</t>
        </is>
      </c>
    </row>
    <row r="20585">
      <c r="A20585" t="inlineStr">
        <is>
          <t>Eau rall pa fuite</t>
        </is>
      </c>
      <c r="B20585">
        <f>HYPERLINK("https://www.dofusbook.net/fr/equipement/3131599-eau-rall-pa-fuite/objets", "link")</f>
        <v/>
      </c>
      <c r="C20585" t="n">
        <v>1</v>
      </c>
      <c r="D20585" t="inlineStr">
        <is>
          <t>Dagoulinantes; Amulette de l'Œil Attentif; Bracelet des Fonds marins; Alliance Gloursonne; Bouclier du Stalak; Poulpagne; Kidibonnet; Cape de l'Œil Attentif; Bottes du Sinistrofu; Dofus Pourpre; Dofus Nébuleux; Dolmanax; Chanceux majeur; Remueur; Nomade; Muldo Ebène et Indigo</t>
        </is>
      </c>
    </row>
    <row r="20586">
      <c r="A20586" t="inlineStr">
        <is>
          <t>mode tank ero</t>
        </is>
      </c>
      <c r="B20586">
        <f>HYPERLINK("https://www.dofusbook.net/fr/equipement/3128867-mode-tank-ero/objets", "link")</f>
        <v/>
      </c>
      <c r="C20586" t="n">
        <v>0</v>
      </c>
      <c r="D20586" t="inlineStr">
        <is>
          <t>L'Épée Nice; Amulette Ementaire Deluxe; Alliance de Guten Tak; Sceau Souverain du Roissingue; Bouclier Taverne; Ceinture de XLII; Bonnet Ko; Caracape Minotoris; Bottes de XLII; Dofus Turquoise; Dolmanax; Dofus Pourpre; Nomade; Cascadeur majeur; Remueur; Muldo Ebène et Emeraude</t>
        </is>
      </c>
    </row>
    <row r="20587">
      <c r="A20587" t="inlineStr">
        <is>
          <t>eca</t>
        </is>
      </c>
      <c r="B20587">
        <f>HYPERLINK("https://www.dofusbook.net/fr/equipement/3121766-eca/objets", "link")</f>
        <v/>
      </c>
      <c r="C20587" t="n">
        <v>0</v>
      </c>
      <c r="D20587" t="inlineStr">
        <is>
          <t>Dagues du Dragoeuf; Amulette Ementaire Deluxe; Sceau Souverain du Roissingue; Anneau du Meulou; Bouclier Taverne; Ceinture des Matougarous; Bonnet Ko; Cape des Matougarous; Bottes Phossiles; Dofus Turquoise; Dolmanax; Dofus Pourpre; Vigoureux majeur; Remueur; Nomade; Muldo Indigo et Emeraude</t>
        </is>
      </c>
    </row>
    <row r="20588">
      <c r="A20588" t="inlineStr">
        <is>
          <t>kaktux</t>
        </is>
      </c>
      <c r="B20588">
        <f>HYPERLINK("https://www.dofusbook.net/fr/equipement/3120054-kaktux/objets", "link")</f>
        <v/>
      </c>
      <c r="C20588" t="n">
        <v>2</v>
      </c>
      <c r="D20588" t="inlineStr">
        <is>
          <t>L'Épée Nice; Amulette Nécrotique; Gelano; Alliance de Guten Tak; Cadran d'Air; Ceinture de XLII; Bonnet Ko; Cape Surde; Bottes de XLII; Dofus Pourpre; Observateur; Vigoureux majeur; Remueur; Robuste majeur; Nomade; Muldo Ebène et Pourpre</t>
        </is>
      </c>
    </row>
    <row r="20589">
      <c r="A20589" t="inlineStr">
        <is>
          <t>Mode kikoo rox</t>
        </is>
      </c>
      <c r="B20589">
        <f>HYPERLINK("https://www.dofusbook.net/fr/equipement/3093793-mode-kikoo-rox/objets", "link")</f>
        <v/>
      </c>
      <c r="C20589" t="n">
        <v>1</v>
      </c>
      <c r="D20589" t="inlineStr">
        <is>
          <t>Hache du Guerrier Zoth; Collier des Ecaflipuces; Gelano; Alliance d'Elya Wood; Bouclier du Sadida; Ceinture Cérémoniale du Seigneur des Rats; Casque Dragoeuf; Caracape Minotoris; Dofus Pourpre; Dofus Émeraude; Sanguinaire; Remueur; Vigoureux; Nomade; Muldo Ebène et Orchidée</t>
        </is>
      </c>
    </row>
    <row r="20590">
      <c r="A20590" t="inlineStr">
        <is>
          <t>iopeu</t>
        </is>
      </c>
      <c r="B20590">
        <f>HYPERLINK("https://www.dofusbook.net/fr/equipement/3110566-iopeu/objets", "link")</f>
        <v/>
      </c>
      <c r="C20590" t="n">
        <v>1</v>
      </c>
      <c r="D20590" t="inlineStr">
        <is>
          <t>Dagues du Dragoeuf; Collier des Ecaflipuces; Anneau Cérémonial du Seigneur des Rats; Gelano; Bouclier du Sadida; Cacture; Cascterre; Caracape Minotoris; Bottes Harry; Dofus Pourpre; Dokoko; Dofus Émeraude; Nomade; Cascadeur; Remueur; Muldo Ebène et Pourpre</t>
        </is>
      </c>
    </row>
    <row r="20591">
      <c r="A20591" t="inlineStr">
        <is>
          <t>mode terre eau</t>
        </is>
      </c>
      <c r="B20591">
        <f>HYPERLINK("https://www.dofusbook.net/fr/equipement/3107539-mode-terre-eau/objets", "link")</f>
        <v/>
      </c>
      <c r="C20591" t="n">
        <v>1</v>
      </c>
      <c r="D20591" t="inlineStr">
        <is>
          <t>Dagues de Srambad; Amulette Ementaire Deluxe; Bague Gloursonne; Alliance Gloursonne; Bouclier cubiste; Ceinture de la Reine des Voleurs; Coiffe de la Reine des Voleurs; Cape du Kamasterisk; Bottes de la Reine des Voleurs; Dokoko; Dofus Ocre; Dofus Émeraude; Dofus des Glaces; Dofus Abyssal; Dolmanax; Muldo Ebène et Indigo</t>
        </is>
      </c>
    </row>
    <row r="20592">
      <c r="A20592" t="inlineStr">
        <is>
          <t>Full air</t>
        </is>
      </c>
      <c r="B20592">
        <f>HYPERLINK("https://www.dofusbook.net/fr/equipement/3107327-full-air/objets", "link")</f>
        <v/>
      </c>
      <c r="C20592" t="n">
        <v>0</v>
      </c>
      <c r="D20592" t="inlineStr">
        <is>
          <t>Karnak; Amulette de l'Orfélin; Sceau Souverain du Roissingue; Gelano; Bouclier Taverne; Ceinture de l'Orfélin; Casque Dragoeuf; Caracape Minotoris; Bottes de Grozilla; Dofus Pourpre; Dofus Émeraude; Nomade; Cascadeur majeur; Miraculé majeur; Remueur; Kramkram</t>
        </is>
      </c>
    </row>
    <row r="20593">
      <c r="A20593" t="inlineStr">
        <is>
          <t>terre eau</t>
        </is>
      </c>
      <c r="B20593">
        <f>HYPERLINK("https://www.dofusbook.net/fr/equipement/3107207-terre-eau/objets", "link")</f>
        <v/>
      </c>
      <c r="C20593" t="n">
        <v>0</v>
      </c>
      <c r="D20593" t="inlineStr">
        <is>
          <t>Hache du Guerrier Zoth; La Meulette; Anneau Ancestral; Anneau du Kaniblou; Bouclier Taverne; Ceinture des Matougarous; Bonnet Spairance; Cape des Matougarous; Bottes Phossiles; Dofus Pourpre; Dofus Émeraude; Dofus Turquoise; Nomade; Remueur; Miraculé majeur; Muldo Orchidée et Pourpre</t>
        </is>
      </c>
    </row>
    <row r="20594">
      <c r="A20594" t="inlineStr">
        <is>
          <t>oooooo</t>
        </is>
      </c>
      <c r="B20594">
        <f>HYPERLINK("https://www.dofusbook.net/fr/equipement/3106058-oooooo/objets", "link")</f>
        <v/>
      </c>
      <c r="C20594" t="n">
        <v>0</v>
      </c>
      <c r="D20594" t="inlineStr">
        <is>
          <t>Dagoulinantes; Amulette de l'Œil Attentif; Bracelet des Fonds marins; Alliance Gloursonne; Bouclier d'Ilyzaelle; Poulpagne; Capuche de l'Œil Attentif; Chevelure de Tal Kasha; Bottes du Sinistrofu; Dolmanax; Dofus Pourpre; Dofus Nébuleux; Nomade; Chanceux majeur; Remueur; Muldo Ebène et Indigo</t>
        </is>
      </c>
    </row>
    <row r="20595">
      <c r="A20595" t="inlineStr">
        <is>
          <t>Roub</t>
        </is>
      </c>
      <c r="B20595">
        <f>HYPERLINK("https://www.dofusbook.net/fr/equipement/3106014-roub/objets", "link")</f>
        <v/>
      </c>
      <c r="C20595" t="n">
        <v>0</v>
      </c>
      <c r="D20595" t="inlineStr">
        <is>
          <t>Plumeau Bil; Pendentif affamé; Bague Gloursonne; Anneauræus; Bouclier d'Ilyzaelle; Ceinture Séculaire; Masque d'Anerice; Cape d'Anerice; Bottes Innommables; Dolmanax; Dofus Ocre; Dofus Nébuleux; Nomade; Érudit majeur; Remueur; Muldo Orchidée</t>
        </is>
      </c>
    </row>
    <row r="20596">
      <c r="A20596" t="inlineStr">
        <is>
          <t>testouo</t>
        </is>
      </c>
      <c r="B20596">
        <f>HYPERLINK("https://www.dofusbook.net/fr/equipement/3106012-testouo/objets", "link")</f>
        <v/>
      </c>
      <c r="C20596" t="n">
        <v>0</v>
      </c>
      <c r="D20596" t="inlineStr"/>
    </row>
    <row r="20597">
      <c r="A20597" t="inlineStr">
        <is>
          <t>Mode do crit 199</t>
        </is>
      </c>
      <c r="B20597">
        <f>HYPERLINK("https://www.dofusbook.net/fr/equipement/3103723-mode-do-crit-199/objets", "link")</f>
        <v/>
      </c>
      <c r="C20597" t="n">
        <v>0</v>
      </c>
      <c r="D20597" t="inlineStr">
        <is>
          <t>Bêche Asse; Amulette Héroclite; Alliance de Missiz Frizz; Anneau de Brouce; Bouclier Taverne; Sangle de Sylargh; Casque de Missiz Frizz; Cape au Logis; Sabots Minables; Dofus Pourpre; Dofus Turquoise; Enragé majeur; Remueur; Vigoureux majeur; Robuste majeur; Muldo Pourpre et Emeraude</t>
        </is>
      </c>
    </row>
    <row r="20598">
      <c r="A20598" t="inlineStr">
        <is>
          <t>Mode ero</t>
        </is>
      </c>
      <c r="B20598">
        <f>HYPERLINK("https://www.dofusbook.net/fr/equipement/3103690-mode-ero/objets", "link")</f>
        <v/>
      </c>
      <c r="C20598" t="n">
        <v>0</v>
      </c>
      <c r="D20598" t="inlineStr">
        <is>
          <t>Pelle de la Cour Sombre; Amulette Voldelor; Alliance Gloursonne; Gant du Valet Veinard; Bouclier d'Ilyzaelle; Menoture; Chapibou; Capibou; Bottes du Cycloïde; Dofus Pourpre; Dofus Turquoise; Cascadeur majeur; Vigoureux majeur; Remueur; Nomade; Muldo Ebène</t>
        </is>
      </c>
    </row>
    <row r="20599">
      <c r="A20599" t="inlineStr">
        <is>
          <t>testyohan</t>
        </is>
      </c>
      <c r="B20599">
        <f>HYPERLINK("https://www.dofusbook.net/fr/equipement/3103606-testyohan/objets", "link")</f>
        <v/>
      </c>
      <c r="C20599" t="n">
        <v>0</v>
      </c>
      <c r="D20599" t="inlineStr">
        <is>
          <t>Epée Gloursonne; Collier de la Dame du Hasard; Alliance Gloursonne; Bague Gloursonne; Bouclier cubiste; Ceinture de Kongoku; Boucle d'oreille de Kongoku; Cape de la Dame du Hasard; Bottes de la Dame du Hasard; Dofus Turquoise; Dofus Abyssal; Dolmanax; Dofus Ocre; Dofus Pourpre; Dofus des Glaces; Muldo Pourpre</t>
        </is>
      </c>
    </row>
    <row r="20600">
      <c r="A20600" t="inlineStr">
        <is>
          <t>tromblon air</t>
        </is>
      </c>
      <c r="B20600">
        <f>HYPERLINK("https://www.dofusbook.net/fr/equipement/3102383-tromblon-air/objets", "link")</f>
        <v/>
      </c>
      <c r="C20600" t="n">
        <v>0</v>
      </c>
      <c r="D20600" t="inlineStr">
        <is>
          <t>Arc de Koutoulou; Amulette Voldelor; Anneau Toriété; Alliance Gloursonne; Bouclier du Stalak; Ceinture de la Reine des Voleurs; Casque d'Ilyzaelle; Cape des Justiciers; Bottes de la Reine des Voleurs; Dofus Pourpre; Dofus Nébuleux; Dolmanax; Robuste majeur; Vigoureux majeur; Remueur; Muldo Ebène</t>
        </is>
      </c>
    </row>
    <row r="20601">
      <c r="A20601" t="inlineStr">
        <is>
          <t>Mode agi tromblon</t>
        </is>
      </c>
      <c r="B20601">
        <f>HYPERLINK("https://www.dofusbook.net/fr/equipement/3100110-mode-agi-tromblon/objets", "link")</f>
        <v/>
      </c>
      <c r="C20601" t="n">
        <v>0</v>
      </c>
      <c r="D20601" t="inlineStr">
        <is>
          <t>Sabres d'Atcham; Amulette d'Ilyzaelle; Alliance Gloursonne; Bague Gloursonne; Bouclier d'Ilyzaelle; Ceinture de l'Esprit Salvateur; Casque d'Ilyzaelle; Cape d'Atcham; Sandales  d'Atcham; Dolmanax; Dofus Nébuleux; Dofus Pourpre; Dofus Ocre; Féroce majeur; Robuste majeur; Muldo Ebène</t>
        </is>
      </c>
    </row>
    <row r="20602">
      <c r="A20602" t="inlineStr">
        <is>
          <t>no crit</t>
        </is>
      </c>
      <c r="B20602">
        <f>HYPERLINK("https://www.dofusbook.net/fr/equipement/3097769-no-crit/objets", "link")</f>
        <v/>
      </c>
      <c r="C20602" t="n">
        <v>0</v>
      </c>
      <c r="D20602" t="inlineStr">
        <is>
          <t>Pyraguette; Amulette de l'Indicible; Alliance Gloursonne; Alliance Brûlâme; Bouclier du Stalak; Ceinture de l'Esprit Salvateur; Masque de l'Esprit Salvateur; Cape des Justiciers; Bottes du Strigide; Dofus Pourpre; Remueur; Robuste majeur; Nomade; Vigoureux majeur; Observateur; Muldo Orchidée et Pourpre</t>
        </is>
      </c>
    </row>
    <row r="20603">
      <c r="A20603" t="inlineStr">
        <is>
          <t>eca</t>
        </is>
      </c>
      <c r="B20603">
        <f>HYPERLINK("https://www.dofusbook.net/fr/equipement/3097420-eca/objets", "link")</f>
        <v/>
      </c>
      <c r="C20603" t="n">
        <v>0</v>
      </c>
      <c r="D20603" t="inlineStr"/>
    </row>
    <row r="20604">
      <c r="A20604" t="inlineStr">
        <is>
          <t>Tutulike</t>
        </is>
      </c>
      <c r="B20604">
        <f>HYPERLINK("https://www.dofusbook.net/fr/equipement/3097296-tutulike/objets", "link")</f>
        <v/>
      </c>
      <c r="C20604" t="n">
        <v>1</v>
      </c>
      <c r="D20604" t="inlineStr">
        <is>
          <t>Dagues du Dragoeuf; Amulette Ementaire Deluxe; Anneau du Meulou; Gelano; Bouclier Taverne; Ceinture des Matougarous; Bonnet Ko; Cape des Matougarous; Bottes Phossiles; Dofus Pourpre; Dofus Turquoise; Dolmanax; Vigoureux majeur; Remueur; Nomade; Muldo Emeraude</t>
        </is>
      </c>
    </row>
    <row r="20605">
      <c r="A20605" t="inlineStr">
        <is>
          <t>distance no crit</t>
        </is>
      </c>
      <c r="B20605">
        <f>HYPERLINK("https://www.dofusbook.net/fr/equipement/3092355-distance-no-crit/objets", "link")</f>
        <v/>
      </c>
      <c r="C20605" t="n">
        <v>0</v>
      </c>
      <c r="D20605" t="inlineStr">
        <is>
          <t>Arc Honte; Amulette de l'Œil Putride; Lavanneau; Goulano; Goulclier; Ceinture de l'Esprit Malsain; Capuche de l'Œil Putride; Cape de l'Œil Putride; Goulbottes; Dofus Nébuleux; Dofus Abyssal; Dofus des Glaces; Dofus Pourpre; Dolmanax; Dofus Ocre; Muldo Orchidée</t>
        </is>
      </c>
    </row>
    <row r="20606">
      <c r="A20606" t="inlineStr">
        <is>
          <t>dague cacterre</t>
        </is>
      </c>
      <c r="B20606">
        <f>HYPERLINK("https://www.dofusbook.net/fr/equipement/3089681-dague-cacterre/objets", "link")</f>
        <v/>
      </c>
      <c r="C20606" t="n">
        <v>1</v>
      </c>
      <c r="D20606" t="inlineStr">
        <is>
          <t>Dagues Cacterre; La Feuille de Printemps; Anneau Tranchant; Gelano; Bouclier du Sadida; String Fouetteur; La Bekille; Ortiz; Bottes du Dragoeuf; Dofus Pourpre; Dofus Émeraude; Sanguinaire; Remueur; Vigoureux; Nomade; Muldo Prune et Emeraude</t>
        </is>
      </c>
    </row>
    <row r="20607">
      <c r="A20607" t="inlineStr">
        <is>
          <t>eau ret pa tank</t>
        </is>
      </c>
      <c r="B20607">
        <f>HYPERLINK("https://www.dofusbook.net/fr/equipement/3089603-eau-ret-pa-tank/objets", "link")</f>
        <v/>
      </c>
      <c r="C20607" t="n">
        <v>0</v>
      </c>
      <c r="D20607" t="inlineStr">
        <is>
          <t>Sceptre du Roi Joueur; Amulette de Shokkoth; Alliance Gloursonne; Bracelet des Fonds marins; Bouclier d'Ilyzaelle; Poulpagne; Masque des Fonds marins; Cape Solution; Sandales de Tal Kasha; Dofus Nébuleux; Dofus Pourpre; Dolmanax; Remueur; Nomade; Chanceux majeur; Muldo Ebène et Indigo</t>
        </is>
      </c>
    </row>
    <row r="20608">
      <c r="A20608" t="inlineStr">
        <is>
          <t>mode rezo toujours</t>
        </is>
      </c>
      <c r="B20608">
        <f>HYPERLINK("https://www.dofusbook.net/fr/equipement/3089308-mode-rezo-toujours/objets", "link")</f>
        <v/>
      </c>
      <c r="C20608" t="n">
        <v>0</v>
      </c>
      <c r="D20608" t="inlineStr">
        <is>
          <t>Epée Toche; Amulette Ementaire Deluxe; Alliance Gloursonne; Bague Gloursonne; Bouclier Taverne; Ceinture du Glourséleste; Chapeau Lisson; Cape au Logis; Pantoufles Émar; Dofus Pourpre; Dofus Nébuleux; Dolmanax; Nomade; Vigoureux majeur; Remueur; Kramkram</t>
        </is>
      </c>
    </row>
    <row r="20609">
      <c r="A20609" t="inlineStr">
        <is>
          <t>Mode rezo</t>
        </is>
      </c>
      <c r="B20609">
        <f>HYPERLINK("https://www.dofusbook.net/fr/equipement/3089286-mode-rezo/objets", "link")</f>
        <v/>
      </c>
      <c r="C20609" t="n">
        <v>0</v>
      </c>
      <c r="D20609" t="inlineStr">
        <is>
          <t>Dagues du Dragoeuf; Amulette Ementaire Deluxe; Bracelet Ventré; Anneau Bliteré; Bouclier Taverne; Ceinture de XLII; Chapeau Lisson; Cape Peupret; Bottes de XLII; Dolmanax; Dofus Nébuleux; Dofus Pourpre; Nomade; Vigoureux majeur; Remueur; Muldo Ebène et Indigo</t>
        </is>
      </c>
    </row>
    <row r="20610">
      <c r="A20610" t="inlineStr">
        <is>
          <t>Mode vita</t>
        </is>
      </c>
      <c r="B20610">
        <f>HYPERLINK("https://www.dofusbook.net/fr/equipement/3085920-mode-vita/objets", "link")</f>
        <v/>
      </c>
      <c r="C20610" t="n">
        <v>0</v>
      </c>
      <c r="D20610" t="inlineStr">
        <is>
          <t>Hache du Guerrier Zoth; Amulette d'Ali Grothor; Anneau Nobstant; Anneau Nobstant; Bouclier en Slip; Ceinture Phossile; Bonnet Ko; Pèlerine d'Augilol; Bottes Phossiles; Dofus Pourpre; Dofus Émeraude; Nomade; Miraculé; Miraculé majeur; Remueur; Dauge</t>
        </is>
      </c>
    </row>
    <row r="20611">
      <c r="A20611" t="inlineStr">
        <is>
          <t>sart</t>
        </is>
      </c>
      <c r="B20611">
        <f>HYPERLINK("https://www.dofusbook.net/fr/equipement/3085845-sart/objets", "link")</f>
        <v/>
      </c>
      <c r="C20611" t="n">
        <v>0</v>
      </c>
      <c r="D20611" t="inlineStr">
        <is>
          <t>Dagues du Dragoeuf; Amulette du Renouveau; Gelano; Alliance d'Elya Wood; Le Karde Cœur; Ceinture du Wabbit Garou; Solomonk; Cape Dragoeuf; Bottes du Wabbit Garou; Entraveur; Remueur; Miraculé; Nomade; Temporiseur; Enragé; Muldo Ebène et Pourpre</t>
        </is>
      </c>
    </row>
    <row r="20612">
      <c r="A20612" t="inlineStr">
        <is>
          <t>GNEU TAPER</t>
        </is>
      </c>
      <c r="B20612">
        <f>HYPERLINK("https://www.dofusbook.net/fr/equipement/3010556-gneu-taper/objets", "link")</f>
        <v/>
      </c>
      <c r="C20612" t="n">
        <v>0</v>
      </c>
      <c r="D20612" t="inlineStr">
        <is>
          <t>Dagues du Dragoeuf; Amulette de Cantile; Anneau Cérémonial du Seigneur des Rats; Anneau du Meulou; Bouclier Taverne; Ceinture Phossile; Solomonk; Cape de Cantile; Sandales Gorithme; Dolmanax; Dofus Pourpre; Vigoureux majeur; Nomade; Remueur; Sanguinaire majeur; Kramkram</t>
        </is>
      </c>
    </row>
    <row r="20613">
      <c r="A20613" t="inlineStr">
        <is>
          <t>feu eau do pou</t>
        </is>
      </c>
      <c r="B20613">
        <f>HYPERLINK("https://www.dofusbook.net/fr/equipement/3071242-feu-eau-do-pou/objets", "link")</f>
        <v/>
      </c>
      <c r="C20613" t="n">
        <v>0</v>
      </c>
      <c r="D20613" t="inlineStr">
        <is>
          <t>Epée Gloursonne; Talisman Igans; Alliance Gloursonne; Bague Gloursonne; Bouclier précieux; Ceintrigue; Chapeau des Malveilleurs; Cape des Malveilleurs; Bottes Owesli; Dofus Émeraude; Dofus Ocre; Dolmanax; Dokoko; Dofus Pourpre; Bousculeur majeur; Muldo Indigo et Orchidée</t>
        </is>
      </c>
    </row>
    <row r="20614">
      <c r="A20614" t="inlineStr">
        <is>
          <t>RRRR</t>
        </is>
      </c>
      <c r="B20614">
        <f>HYPERLINK("https://www.dofusbook.net/fr/equipement/3070228-rrrr/objets", "link")</f>
        <v/>
      </c>
      <c r="C20614" t="n">
        <v>0</v>
      </c>
      <c r="D20614" t="inlineStr">
        <is>
          <t>La Baguette des Limbes; Collier Cérémonial du Seigneur des Rats; Anneau Cérémonial du Seigneur des Rats; Bouclier du Sadida; Ceinture Cérémoniale du Seigneur des Rats; Coiffe Cérémoniale du Seigneur des Rats; Cape Cérémoniale du Seigneur des Rats; Bottes Cérémoniales du Seigneur des Rats; Dofus Émeraude; Dofus Pourpre; Dolmanax; Féroce majeur; Puissant majeur; Robuste majeur; Kramkram</t>
        </is>
      </c>
    </row>
    <row r="20615">
      <c r="A20615" t="inlineStr">
        <is>
          <t>Roublard</t>
        </is>
      </c>
      <c r="B20615">
        <f>HYPERLINK("https://www.dofusbook.net/fr/equipement/3063262-roublard/objets", "link")</f>
        <v/>
      </c>
      <c r="C20615" t="n">
        <v>0</v>
      </c>
      <c r="D20615" t="inlineStr">
        <is>
          <t>La Baguette des Limbes; Col de Ush; Alliance d'Elya Wood; Anneau du Chêne Mou; Bouclier Taverne; Ceinture Phossile; Bonnet Ko; Ortiz; Bottes de Ush; Dolmanax; Dofus Pourpre; Observateur; Remueur; Miraculé majeur; Érudit majeur; Muldo Ebène et Indigo</t>
        </is>
      </c>
    </row>
    <row r="20616">
      <c r="A20616" t="inlineStr">
        <is>
          <t>Feu fuite rox res</t>
        </is>
      </c>
      <c r="B20616">
        <f>HYPERLINK("https://www.dofusbook.net/fr/equipement/3063226-feu-fuite-rox-res/objets", "link")</f>
        <v/>
      </c>
      <c r="C20616" t="n">
        <v>0</v>
      </c>
      <c r="D20616" t="inlineStr">
        <is>
          <t>Arc corrompu; Pendentif affamé; Anneau Toriété; Anneau de Nidas; Bouclier du Stalak; Ceinture Séculaire; Coiffe Séculaire; Voile d'encre; Pataugastrique; Dolmanax; Dofus Pourpre; Érudit majeur; Vigoureux majeur; Remueur; Miraculé majeur; Muldo Orchidée et Pourpre</t>
        </is>
      </c>
    </row>
    <row r="20617">
      <c r="A20617" t="inlineStr">
        <is>
          <t>oooooo</t>
        </is>
      </c>
      <c r="B20617">
        <f>HYPERLINK("https://www.dofusbook.net/fr/equipement/3051299-oooooo/objets", "link")</f>
        <v/>
      </c>
      <c r="C20617" t="n">
        <v>1</v>
      </c>
      <c r="D20617" t="inlineStr">
        <is>
          <t>Ares; La Feuille de Printemps; Gelano; Nageanneau; Bouclier du Sadida; Pagniglou; Masque du Sergent Zoth; Corbacape Mastralis; Bottes du Dragoeuf; Dokoko; Dofus Émeraude; Dofus Pourpre; Chanceux; Remueur; Nomade; Muldo Ebène et Orchidée</t>
        </is>
      </c>
    </row>
    <row r="20618">
      <c r="A20618" t="inlineStr">
        <is>
          <t>FULODEBILO</t>
        </is>
      </c>
      <c r="B20618">
        <f>HYPERLINK("https://www.dofusbook.net/fr/equipement/3051240-fulodebilo/objets", "link")</f>
        <v/>
      </c>
      <c r="C20618" t="n">
        <v>1</v>
      </c>
      <c r="D20618" t="inlineStr">
        <is>
          <t>Bâton K'Tueuh; La Feuille de Printemps; Gelano; Sceau Souverain du Roissingue; Bouclier Taverne; Ceinture du Kaniblou; Bonnet Ko; Cape du Kaniblou; Bottes de Grozilla; Dofus Pourpre; Chanceux majeur; Nomade; Vigoureux majeur; Miraculé majeur; Remueur; Muldo Indigo et Pourpre</t>
        </is>
      </c>
    </row>
    <row r="20619">
      <c r="A20619" t="inlineStr">
        <is>
          <t>pano de classe</t>
        </is>
      </c>
      <c r="B20619">
        <f>HYPERLINK("https://www.dofusbook.net/fr/equipement/3049413-pano-de-classe/objets", "link")</f>
        <v/>
      </c>
      <c r="C20619" t="n">
        <v>0</v>
      </c>
      <c r="D20619" t="inlineStr">
        <is>
          <t>La Baguette des Limbes; La Feuille de Printemps; Anneau du Meulou; Anneau Hell; Bouclier du Sadida; Sangle Glinglin; Chapeau Grave; Cape Routh; Bottes Hox; Dokoko; Dolmanax; Dofus Émeraude; Dofus Pourpre; Féroce majeur; Robuste majeur; Dragodinde Prune et Emeraude</t>
        </is>
      </c>
    </row>
    <row r="20620">
      <c r="A20620" t="inlineStr">
        <is>
          <t>RESI</t>
        </is>
      </c>
      <c r="B20620">
        <f>HYPERLINK("https://www.dofusbook.net/fr/equipement/3044551-resi/objets", "link")</f>
        <v/>
      </c>
      <c r="C20620" t="n">
        <v>0</v>
      </c>
      <c r="D20620" t="inlineStr">
        <is>
          <t>Dagues du Dragoeuf; Amulette Ementaire; Gelano; Alliance d'Elya Wood; Bouclier du Sadida; Ceinture Meulante; Casque Dragoeuf; Caracape Minotoris; Bottes du Meulou; Dokoko; Dofus Pourpre; Dofus Émeraude; Dolmanax; Nomade; Remueur; Dauge</t>
        </is>
      </c>
    </row>
    <row r="20621">
      <c r="A20621" t="inlineStr">
        <is>
          <t>relouman</t>
        </is>
      </c>
      <c r="B20621">
        <f>HYPERLINK("https://www.dofusbook.net/fr/equipement/3037777-relouman/objets", "link")</f>
        <v/>
      </c>
      <c r="C20621" t="n">
        <v>0</v>
      </c>
      <c r="D20621" t="inlineStr">
        <is>
          <t>La Baguette des Limbes; Collier du Dragon Cochon; Bracelet Tmotiv; Le Karde Cœur; Puissante Ceinture Fulgurante; Masque de Choudini; Capitrouille; Bottes de Choudini; Dolmanax; Dofus Pourpre; Remueur; Nomade; Vigoureux; Temporiseur; Kramkram</t>
        </is>
      </c>
    </row>
    <row r="20622">
      <c r="A20622" t="inlineStr">
        <is>
          <t>mode tankGNEU</t>
        </is>
      </c>
      <c r="B20622">
        <f>HYPERLINK("https://www.dofusbook.net/fr/equipement/3037677-mode-tankgneu/objets", "link")</f>
        <v/>
      </c>
      <c r="C20622" t="n">
        <v>0</v>
      </c>
      <c r="D20622" t="inlineStr">
        <is>
          <t>Marteau R'ture; Amulette du Cœur Saignant; Anneau Crustique; Anneau Crustique; Bouclier d'Ilyzaelle; Ceinture Gence; Casque Dragoeuf; Cape du Cœur Saignant; Bottes de la Cour Sombre; Dokoko; Dofus Émeraude; Dofus Pourpre; Remueur; Miraculé majeur; Enragé majeur; Muldo Orchidée et Pourpre</t>
        </is>
      </c>
    </row>
    <row r="20623">
      <c r="A20623" t="inlineStr">
        <is>
          <t>nunubl</t>
        </is>
      </c>
      <c r="B20623">
        <f>HYPERLINK("https://www.dofusbook.net/fr/equipement/3037306-nunubl/objets", "link")</f>
        <v/>
      </c>
      <c r="C20623" t="n">
        <v>0</v>
      </c>
      <c r="D20623" t="inlineStr">
        <is>
          <t>Dagues du Dragoeuf; Amulette du Renouveau; Gelano; Anneau Tranchant; Bouclier du Sadida; Ceinture du Wabbit Garou; Casque du Guerrier Zoth; Cape du Wabbit Garou; Bottes du Meulou; Dolmanax; Dofus Pourpre; Enragé; Miraculé; Remueur; Nomade; Kompost</t>
        </is>
      </c>
    </row>
    <row r="20624">
      <c r="A20624" t="inlineStr">
        <is>
          <t>panda feu</t>
        </is>
      </c>
      <c r="B20624">
        <f>HYPERLINK("https://www.dofusbook.net/fr/equipement/3037185-panda-feu/objets", "link")</f>
        <v/>
      </c>
      <c r="C20624" t="n">
        <v>0</v>
      </c>
      <c r="D20624" t="inlineStr">
        <is>
          <t>La Baguette des Limbes; Talisman d'Elya Wood; Alliance d'Elya Wood; Gelano; Bouclier du Sadida; Ceinture de Fraktale; Casque Dragoeuf; Cape Cérémoniale du Seigneur des Rats; Tongues du dimanche du Chêne Mou; Dofus Pourpre; Miraculé; Remueur; Érudit; Observateur; Nomade; Kramkram</t>
        </is>
      </c>
    </row>
    <row r="20625">
      <c r="A20625" t="inlineStr">
        <is>
          <t>ret pa cheapdamage</t>
        </is>
      </c>
      <c r="B20625">
        <f>HYPERLINK("https://www.dofusbook.net/fr/equipement/3035636-ret-pa-cheapdamage/objets", "link")</f>
        <v/>
      </c>
      <c r="C20625" t="n">
        <v>0</v>
      </c>
      <c r="D20625" t="inlineStr">
        <is>
          <t>Masse Ossiale; Amulette d'Otomaï; Anneau de Padgref; Bague de Boréale; Cadran de Terre; Ceinture du Glourséleste; Coiffe de Boréale; Cape Matelassée; Pantoufles Émar; Dofus Pourpre; Étourdisseur majeur; Miraculé majeur; Remueur; Nomade; Vigoureux majeur; Muldo Orchidée et Pourpre</t>
        </is>
      </c>
    </row>
    <row r="20626">
      <c r="A20626" t="inlineStr">
        <is>
          <t>mode ret pa</t>
        </is>
      </c>
      <c r="B20626">
        <f>HYPERLINK("https://www.dofusbook.net/fr/equipement/3035277-mode-ret-pa/objets", "link")</f>
        <v/>
      </c>
      <c r="C20626" t="n">
        <v>0</v>
      </c>
      <c r="D20626" t="inlineStr">
        <is>
          <t>Hache Harnée; Amulette du Père Phorreur; Anneau du Kaniblou; Cadran de Terre; Ceinture du Père Phorreur; Bonnet Ko; Cape Souveraine du Roissingue; Bottes de Grozilla; Dofus Pourpre; Dolmanax; Miraculé majeur; Nomade; Étourdisseur majeur; Remueur; Muldo Indigo et Pourpre</t>
        </is>
      </c>
    </row>
    <row r="20627">
      <c r="A20627" t="inlineStr">
        <is>
          <t>ougi</t>
        </is>
      </c>
      <c r="B20627">
        <f>HYPERLINK("https://www.dofusbook.net/fr/equipement/3034158-ougi/objets", "link")</f>
        <v/>
      </c>
      <c r="C20627" t="n">
        <v>0</v>
      </c>
      <c r="D20627" t="inlineStr">
        <is>
          <t>Bâton de Zatoïshwan; La Feuille de Printemps; Gelano; Sceau Souverain du Roissingue; Bouclier Taverne; Ceinture des Matougarous; Bonnet Ko; Cape des Matougarous; Bottes Phossiles; Dofus Pourpre; Remueur; Vigoureux majeur; Enragé majeur; Nomade; Chanceux majeur; Muldo Indigo et Pourpre</t>
        </is>
      </c>
    </row>
    <row r="20628">
      <c r="A20628" t="inlineStr">
        <is>
          <t>mode terre eau</t>
        </is>
      </c>
      <c r="B20628">
        <f>HYPERLINK("https://www.dofusbook.net/fr/equipement/3033736-mode-terre-eau/objets", "link")</f>
        <v/>
      </c>
      <c r="C20628" t="n">
        <v>0</v>
      </c>
      <c r="D20628" t="inlineStr">
        <is>
          <t>Dagues de Srambad; Amulette du Strigide; Anneau Toriété; Bracelet du Piloztère; Bouclier d'Ilyzaelle; Ceinture de la Reine des Voleurs; Coiffe de la Reine des Voleurs; Cape Solution; Chaussons de Macrab; Dolmanax; Dofus Pourpre; Dofus Turquoise; Miraculé majeur; Vigoureux majeur; Remueur; Muldo Ebène et Indigo</t>
        </is>
      </c>
    </row>
    <row r="20629">
      <c r="A20629" t="inlineStr">
        <is>
          <t>Mode poison</t>
        </is>
      </c>
      <c r="B20629">
        <f>HYPERLINK("https://www.dofusbook.net/fr/equipement/3033453-mode-poison/objets", "link")</f>
        <v/>
      </c>
      <c r="C20629" t="n">
        <v>0</v>
      </c>
      <c r="D20629" t="inlineStr">
        <is>
          <t>Dagues Lassay; Amulette de l'Orfélin; Sceau Souverain du Roissingue; Gelano; Cadran de Terre; Ceinture de l'Orfélin; Masque Vaudou Sarbak; Cape du Bretteur Céleste; Bottes de Ush; Dofus Pourpre; Dolmanax; Dévastateur Air majeur; Remueur; Cascadeur majeur; Observateur; Muldo Indigo et Orchidée</t>
        </is>
      </c>
    </row>
    <row r="20630">
      <c r="A20630" t="inlineStr">
        <is>
          <t>Kaktux</t>
        </is>
      </c>
      <c r="B20630">
        <f>HYPERLINK("https://www.dofusbook.net/fr/equipement/3033262-kaktux/objets", "link")</f>
        <v/>
      </c>
      <c r="C20630" t="n">
        <v>1</v>
      </c>
      <c r="D20630" t="inlineStr">
        <is>
          <t>La Baguette des Limbes; La Feuille de Printemps; Gelano; Alliance d'Elya Wood; Bouclier Taverne; Ceinture du Père Phorreur; Bonnet Ko; Cape du Père Phorreur; Bottes Phossiles; Remueur; Chanceux majeur; Nomade; Vigoureux majeur; Observateur; Érudit majeur; Muldo Ebène et Indigo</t>
        </is>
      </c>
    </row>
    <row r="20631">
      <c r="A20631" t="inlineStr">
        <is>
          <t>mode agi dist</t>
        </is>
      </c>
      <c r="B20631">
        <f>HYPERLINK("https://www.dofusbook.net/fr/equipement/3031699-mode-agi-dist/objets", "link")</f>
        <v/>
      </c>
      <c r="C20631" t="n">
        <v>0</v>
      </c>
      <c r="D20631" t="inlineStr">
        <is>
          <t>Arc Honte; Collier du Valet Veinard; Gant du Valet Veinard; Alliance Gloursonne; Bouclier du Stalak; Ceinture de Vortex; Cagoule de Vortex; Cape du Valet Veinard; Sabots de Vortex; Dolmanax; Dofus des Glaces; Dokoko; Dofus Pourpre; Dofus Émeraude; Dofus Ocre; Muldo Ebène</t>
        </is>
      </c>
    </row>
    <row r="20632">
      <c r="A20632" t="inlineStr">
        <is>
          <t>mode agi dist</t>
        </is>
      </c>
      <c r="B20632">
        <f>HYPERLINK("https://www.dofusbook.net/fr/equipement/3031698-mode-agi-dist/objets", "link")</f>
        <v/>
      </c>
      <c r="C20632" t="n">
        <v>0</v>
      </c>
      <c r="D20632" t="inlineStr"/>
    </row>
    <row r="20633">
      <c r="A20633" t="inlineStr">
        <is>
          <t>mode terre fuite</t>
        </is>
      </c>
      <c r="B20633">
        <f>HYPERLINK("https://www.dofusbook.net/fr/equipement/3029530-mode-terre-fuite/objets", "link")</f>
        <v/>
      </c>
      <c r="C20633" t="n">
        <v>0</v>
      </c>
      <c r="D20633" t="inlineStr">
        <is>
          <t>Arc du Chalœil; Amulette du Strigide; Anneau Crustique; Anneau Crustique; Bouclier du Stalak; Ceinture de Gein; Chapeau de Gein; Cape de la Cour Sombre; Baleinabottes; Dofus Turquoise; Dofus Pourpre; Enragé majeur; Remueur; Vigoureux majeur; Nomade; Muldo Ebène et Pourpre</t>
        </is>
      </c>
    </row>
    <row r="20634">
      <c r="A20634" t="inlineStr">
        <is>
          <t>xliinecro</t>
        </is>
      </c>
      <c r="B20634">
        <f>HYPERLINK("https://www.dofusbook.net/fr/equipement/3029121-xliinecro/objets", "link")</f>
        <v/>
      </c>
      <c r="C20634" t="n">
        <v>0</v>
      </c>
      <c r="D20634" t="inlineStr">
        <is>
          <t>Dagues du Dragoeuf; Amulette Nécrotique; Veranneau; Gelano; Bouclier Taverne; Ceinture de XLII; Chapeau Lichinelle; Cape Erforée; Bottes de XLII; Dofus Pourpre; Miraculé majeur; Remueur; Enragé majeur; Nomade; Vigoureux majeur; Muldo Ebène et Pourpre</t>
        </is>
      </c>
    </row>
    <row r="20635">
      <c r="A20635" t="inlineStr">
        <is>
          <t>coiffedeclassemieu</t>
        </is>
      </c>
      <c r="B20635">
        <f>HYPERLINK("https://www.dofusbook.net/fr/equipement/3029023-coiffedeclassemieu/objets", "link")</f>
        <v/>
      </c>
      <c r="C20635" t="n">
        <v>0</v>
      </c>
      <c r="D20635" t="inlineStr">
        <is>
          <t>Ares; Fourbamulette; Anneau du Dragon Cochon; Gelano; Coupe de Dragokart; Ceinture Précieuse; Bonnet Spairance; Cape Précieuse; Protège-Tibias Ancestraux; Dofus Émeraude; Dofus Pourpre; Dokoko; Remueur; Nomade; Miraculé; Dragodinde Emeraude et Rousse</t>
        </is>
      </c>
    </row>
    <row r="20636">
      <c r="A20636" t="inlineStr">
        <is>
          <t>modecoiffedeclasse</t>
        </is>
      </c>
      <c r="B20636">
        <f>HYPERLINK("https://www.dofusbook.net/fr/equipement/3028994-modecoiffedeclasse/objets", "link")</f>
        <v/>
      </c>
      <c r="C20636" t="n">
        <v>0</v>
      </c>
      <c r="D20636" t="inlineStr">
        <is>
          <t>Ares; Boufbamu; Anneau Ouroboulos; Gelano; Bouclier de Sidimote; Puissante Ceinture Fulgurante; Bonnet Spairance; Cape Fulgurante; Bottes Ouroboulos; Dokoko; Dofus Cawotte; Vigoureux mineur; Miraculé mineur; Observateur; Sanguinaire mineur; Dragodinde Emeraude et Rousse</t>
        </is>
      </c>
    </row>
    <row r="20637">
      <c r="A20637" t="inlineStr">
        <is>
          <t>deboiteurdanus</t>
        </is>
      </c>
      <c r="B20637">
        <f>HYPERLINK("https://www.dofusbook.net/fr/equipement/3028829-deboiteurdanus/objets", "link")</f>
        <v/>
      </c>
      <c r="C20637" t="n">
        <v>0</v>
      </c>
      <c r="D20637" t="inlineStr">
        <is>
          <t>La Baguette des Limbes; Collier des Ecaflipuces; Gelano; Bracelet Tmotiv; Coupe de Dragokart; Ceinture du Berserkoffre; La Bekille; Cape des Ecaflipuces; Fourbabottes; Dofus Pourpre; Robuste; Nomade; Remueur; Miraculé; Vigoureux; Kramkram</t>
        </is>
      </c>
    </row>
    <row r="20638">
      <c r="A20638" t="inlineStr">
        <is>
          <t>Iraedation</t>
        </is>
      </c>
      <c r="B20638">
        <f>HYPERLINK("https://www.dofusbook.net/fr/equipement/3028330-iraedation/objets", "link")</f>
        <v/>
      </c>
      <c r="C20638" t="n">
        <v>0</v>
      </c>
      <c r="D20638" t="inlineStr">
        <is>
          <t>Bêche Asse; Amulette Héroclite; Anneau de Brouce; Gelano; Cadran d'Eau; Ceinture de Brouce; Casque de Missiz Frizz; Cape au Logis; Sabots Minables; Forcené majeur; Vigoureux majeur; Remueur; Enragé majeur; Nomade; Miraculé majeur; Kompost</t>
        </is>
      </c>
    </row>
    <row r="20639">
      <c r="A20639" t="inlineStr">
        <is>
          <t>yala confitureofrigo</t>
        </is>
      </c>
      <c r="B20639">
        <f>HYPERLINK("https://www.dofusbook.net/fr/equipement/3028122-yala-confitureofrigo/objets", "link")</f>
        <v/>
      </c>
      <c r="C20639" t="n">
        <v>0</v>
      </c>
      <c r="D20639" t="inlineStr">
        <is>
          <t>Baguette Hernelle; Amulette d'Otomaï; Anneau de Padgref; Bague Gloursonne; Cadran de Terre; Ceinture Séculaire; Coiffe Séculaire; Cape de Nileza; Pataugastrique; Remueur; Guérisseur majeur; Nomade; Érudit majeur; Astucieux majeur; Miraculé majeur; Muldo Orchidée</t>
        </is>
      </c>
    </row>
    <row r="20640">
      <c r="A20640" t="inlineStr">
        <is>
          <t>terre</t>
        </is>
      </c>
      <c r="B20640">
        <f>HYPERLINK("https://www.dofusbook.net/fr/equipement/3023672-terre/objets", "link")</f>
        <v/>
      </c>
      <c r="C20640" t="n">
        <v>0</v>
      </c>
      <c r="D20640" t="inlineStr">
        <is>
          <t>Dagues du Dragoeuf; La Meulette; Anneau du Chêne Mou; Gelano; Bouclier Taverne; Ceinture des Matougarous; Masque Vaudou Eth; Cape des Matougarous; Sandales Gorithme; Dofus Turquoise; Dofus Pourpre; Enragé majeur; Remueur; Nomade; Miraculé majeur; Muldo Indigo et Orchidée</t>
        </is>
      </c>
    </row>
    <row r="20641">
      <c r="A20641" t="inlineStr">
        <is>
          <t>mode tibia/osamoal</t>
        </is>
      </c>
      <c r="B20641">
        <f>HYPERLINK("https://www.dofusbook.net/fr/equipement/3018722-mode-tibia-osamoal/objets", "link")</f>
        <v/>
      </c>
      <c r="C20641" t="n">
        <v>0</v>
      </c>
      <c r="D20641" t="inlineStr">
        <is>
          <t>Marteau du Juge Lou; Amulette de Grozilla; Gelano; Nageanneau; Bouclier Taverne; Ceinture Leumant; Bonnet Ko; Corbacape Mastralis; Bottes Harcie; Dofus Pourpre; Nomade; Chanceux majeur; Miraculé majeur; Remueur; Vigoureux majeur; Muldo Ebène et Orchidée</t>
        </is>
      </c>
    </row>
    <row r="20642">
      <c r="A20642" t="inlineStr">
        <is>
          <t>feu do pou</t>
        </is>
      </c>
      <c r="B20642">
        <f>HYPERLINK("https://www.dofusbook.net/fr/equipement/3018718-feu-do-pou/objets", "link")</f>
        <v/>
      </c>
      <c r="C20642" t="n">
        <v>0</v>
      </c>
      <c r="D20642" t="inlineStr">
        <is>
          <t>Masse Ossiale; Talisman Igans; Bague Trithon; Anneau Toriété; Bivalve; Ceinture Gence; Masque Ardent; Cape des Malveilleurs; Bottes Owesli; Dofus Pourpre; Nomade; Culbuteur majeur; Érudit majeur; Remueur; Bousculeur majeur; Croum</t>
        </is>
      </c>
    </row>
    <row r="20643">
      <c r="A20643" t="inlineStr">
        <is>
          <t>full 0 dist</t>
        </is>
      </c>
      <c r="B20643">
        <f>HYPERLINK("https://www.dofusbook.net/fr/equipement/3018693-full-0-dist/objets", "link")</f>
        <v/>
      </c>
      <c r="C20643" t="n">
        <v>0</v>
      </c>
      <c r="D20643" t="inlineStr">
        <is>
          <t>La Baguette des Limbes; Col de Ush; Gant du Capitaine Ekarlatte; Bouclier Taverne; Ceinture de l'Orfélin; Bonnet Ko; Cape du Bretteur Céleste; Bottes de Ush; Dofus Pourpre; Remueur; Bousculeur majeur; Nomade; Érudit majeur; Culbuteur majeur; Muldo Ebène et Pourpre</t>
        </is>
      </c>
    </row>
    <row r="20644">
      <c r="A20644" t="inlineStr">
        <is>
          <t>Old bl</t>
        </is>
      </c>
      <c r="B20644">
        <f>HYPERLINK("https://www.dofusbook.net/fr/equipement/3018673-old-bl/objets", "link")</f>
        <v/>
      </c>
      <c r="C20644" t="n">
        <v>0</v>
      </c>
      <c r="D20644" t="inlineStr">
        <is>
          <t>Dagues du Dragoeuf; Amulette d'Ali Grothor; Gelano; Gant du Capitaine Ekarlatte; Bouclier en Slip; Ceinture du Capitaine Ekarlatte; Casque d'Ali Grothor; Cape d'Ali Grothor; Bottes du Capitaine Ekarlatte; Dofus Émeraude; Dolmanax; Dokoko; Dofus Pourpre; Robuste; Survivant; Dragodinde Emeraude et Rousse</t>
        </is>
      </c>
    </row>
    <row r="20645">
      <c r="A20645" t="inlineStr">
        <is>
          <t>BOUBOU ZOB</t>
        </is>
      </c>
      <c r="B20645">
        <f>HYPERLINK("https://www.dofusbook.net/fr/equipement/3018648-boubou-zob/objets", "link")</f>
        <v/>
      </c>
      <c r="C20645" t="n">
        <v>0</v>
      </c>
      <c r="D20645" t="inlineStr">
        <is>
          <t>Dagues du Dragoeuf; Amulette d'Ali Grothor; Alliance d'Elya Wood; Anneau Tranchant; Bouclier en Slip; Ceinture Meulante; Casque d'Ali Grothor; Ortiz; Bottes du Meulou; Dokoko; Dofus Émeraude; Sanguinaire; Nomade; Miraculé; Remueur; Dragodinde Emeraude et Rousse</t>
        </is>
      </c>
    </row>
    <row r="20646">
      <c r="A20646" t="inlineStr">
        <is>
          <t>terre air</t>
        </is>
      </c>
      <c r="B20646">
        <f>HYPERLINK("https://www.dofusbook.net/fr/equipement/3015511-terre-air/objets", "link")</f>
        <v/>
      </c>
      <c r="C20646" t="n">
        <v>0</v>
      </c>
      <c r="D20646" t="inlineStr">
        <is>
          <t>Griffe de Grizmine; Collier du Dragon Cochon; Gelano; Bracelet du Chef Bwork; Coupe de Dragokart; Pagne du Muloubar; Coiffe du Muloubar; Puissante Cape Fulgurante; Raquettes Dugraal; Dofus Pourpre; Miraculé; Vigoureux; Remueur; Nomade; Enragé; Dragodinde Emeraude et Rousse</t>
        </is>
      </c>
    </row>
    <row r="20647">
      <c r="A20647" t="inlineStr">
        <is>
          <t>kaktux</t>
        </is>
      </c>
      <c r="B20647">
        <f>HYPERLINK("https://www.dofusbook.net/fr/equipement/3014108-kaktux/objets", "link")</f>
        <v/>
      </c>
      <c r="C20647" t="n">
        <v>0</v>
      </c>
      <c r="D20647" t="inlineStr">
        <is>
          <t>La Baguette des Limbes; La Feuille de Printemps; Anneau du Chêne Mou; Gelano; Bouclier Taverne; Ceinture Phossile; Bonnet Ko; Cape du Meulou; Bottes Phossiles; Dofus Pourpre; Temporiseur majeur; Remueur; Vigoureux majeur; Nomade; Sanguinaire majeur; Muldo Ebène et Indigo</t>
        </is>
      </c>
    </row>
    <row r="20648">
      <c r="A20648" t="inlineStr">
        <is>
          <t>Panteroz</t>
        </is>
      </c>
      <c r="B20648">
        <f>HYPERLINK("https://www.dofusbook.net/fr/equipement/3013812-panteroz/objets", "link")</f>
        <v/>
      </c>
      <c r="C20648" t="n">
        <v>0</v>
      </c>
      <c r="D20648" t="inlineStr">
        <is>
          <t>Dagues Lassay; Collier du Rat Noir; Anneau Tranchant; Anneau du Rat Noir; Le Karde Cœur; String Fouetteur; Solomonk; Cape du Rat Noir; Bottes du Rat Noir</t>
        </is>
      </c>
    </row>
    <row r="20649">
      <c r="A20649" t="inlineStr">
        <is>
          <t>Boubou dopou</t>
        </is>
      </c>
      <c r="B20649">
        <f>HYPERLINK("https://www.dofusbook.net/fr/equipement/3013822-boubou-dopou/objets", "link")</f>
        <v/>
      </c>
      <c r="C20649" t="n">
        <v>0</v>
      </c>
      <c r="D20649" t="inlineStr">
        <is>
          <t>Dagues du Dragoeuf; Amulette du Krokilleur; Gelano; Anneau Skargo; Coupe de Dragokart; String Fouetteur; Casque d'Ali Grothor; Cape d'Ali Grothor; Bottes du Royalmouth; Dokoko; Dofus Émeraude; Nomade; Sanguinaire; Miraculé; Remueur; Dauge</t>
        </is>
      </c>
    </row>
    <row r="20650">
      <c r="A20650" t="inlineStr">
        <is>
          <t>full agi</t>
        </is>
      </c>
      <c r="B20650">
        <f>HYPERLINK("https://www.dofusbook.net/fr/equipement/3013681-full-agi/objets", "link")</f>
        <v/>
      </c>
      <c r="C20650" t="n">
        <v>0</v>
      </c>
      <c r="D20650" t="inlineStr">
        <is>
          <t>Mourtheau; La Feuille de Printemps; Gelano; Anneau Moutheur; Bouclier du Sadida; Ceinture Claire en Abrakleur; Solomonk; Caracape Minotoris; Bottes Harry; Dofus Pourpre; Vigoureux; Remueur; Observateur; Nomade; Cascadeur; Siroko</t>
        </is>
      </c>
    </row>
    <row r="20651">
      <c r="A20651" t="inlineStr">
        <is>
          <t>test</t>
        </is>
      </c>
      <c r="B20651">
        <f>HYPERLINK("https://www.dofusbook.net/fr/equipement/3013322-test/objets", "link")</f>
        <v/>
      </c>
      <c r="C20651" t="n">
        <v>0</v>
      </c>
      <c r="D20651" t="inlineStr">
        <is>
          <t>Mourtheau; La Feuille de Printemps; Gelano; Anneau Moutheur; Bouclier du Sadida; Ceinture Sula; Casque de l'Écumouth; Corbacape Mastralis; Bottes Harry; Dofus Émeraude; Dofus Pourpre; Robuste; Nomade; Remueur; Vigoureux; Kramkram</t>
        </is>
      </c>
    </row>
    <row r="20652">
      <c r="A20652" t="inlineStr">
        <is>
          <t>hel munster glourson</t>
        </is>
      </c>
      <c r="B20652">
        <f>HYPERLINK("https://www.dofusbook.net/fr/equipement/3008038-hel-munster-glourson/objets", "link")</f>
        <v/>
      </c>
      <c r="C20652" t="n">
        <v>0</v>
      </c>
      <c r="D20652" t="inlineStr">
        <is>
          <t>Epée Gloursonne; Amulette d'Hel Munster; Bague Gloursonne; Alliance Gloursonne; Cadran de Terre; Ceinture du Glourséleste; Coiffe d'Hel Munster; Cape d'Hel Munster; Pantoufles Émar; Dofus Pourpre; Robuste majeur; Puissant majeur; Vagabond majeur; Féroce majeur; Voyageur; Muldo Orchidée et Pourpre</t>
        </is>
      </c>
    </row>
    <row r="20653">
      <c r="A20653" t="inlineStr">
        <is>
          <t>FEU EAU</t>
        </is>
      </c>
      <c r="B20653">
        <f>HYPERLINK("https://www.dofusbook.net/fr/equipement/3007912-feu-eau/objets", "link")</f>
        <v/>
      </c>
      <c r="C20653" t="n">
        <v>0</v>
      </c>
      <c r="D20653" t="inlineStr">
        <is>
          <t>Dagues du Dragoeuf; Amulette Ementaire; Anneau d'El Piko; Anneau Tranchant; Le Karde Cœur; String Fouetteur; Holoune; Cape Xélomorphe; Bottes du Dragoeuf; Dolmanax; Dofus Pourpre; Vigoureux; Observateur; Nomade; Remueur; Muldo Ebène et Orchidée</t>
        </is>
      </c>
    </row>
    <row r="20654">
      <c r="A20654" t="inlineStr">
        <is>
          <t>ret pa</t>
        </is>
      </c>
      <c r="B20654">
        <f>HYPERLINK("https://www.dofusbook.net/fr/equipement/3007893-ret-pa/objets", "link")</f>
        <v/>
      </c>
      <c r="C20654" t="n">
        <v>0</v>
      </c>
      <c r="D20654" t="inlineStr">
        <is>
          <t>Arc corrompu; Pendentif affamé; Anneau Rifique; Anneauræus; Bouclier du Stalak; Ceinture Séculaire; Casque Cyclopéen; Cape de Diondin; Bottes du Lévitrof; Dofus Pourpre; Dolmanax; Érudit majeur; Miraculé majeur; Nomade; Remueur; Muldo Indigo et Orchidée</t>
        </is>
      </c>
    </row>
    <row r="20655">
      <c r="A20655" t="inlineStr">
        <is>
          <t>strigglourcheap</t>
        </is>
      </c>
      <c r="B20655">
        <f>HYPERLINK("https://www.dofusbook.net/fr/equipement/3007879-strigglourcheap/objets", "link")</f>
        <v/>
      </c>
      <c r="C20655" t="n">
        <v>0</v>
      </c>
      <c r="D20655" t="inlineStr">
        <is>
          <t>Epée Gloursonne; Amulette du Strigide; Bague Gloursonne; Alliance Gloursonne; Quatre-feuilles; Ceinture du Strigide; Casque du Chalœil; Cape du Chalœil; Bottes du Strigide; Dofus Émeraude; Dofus Turquoise; Dolmanax; Dofus des Glaces; Dofus Pourpre; Examinateur; Muldo Prune et Emeraude</t>
        </is>
      </c>
    </row>
    <row r="20656">
      <c r="A20656" t="inlineStr">
        <is>
          <t>GNEUUUUTAPER</t>
        </is>
      </c>
      <c r="B20656">
        <f>HYPERLINK("https://www.dofusbook.net/fr/equipement/3007547-gneuuuutaper/objets", "link")</f>
        <v/>
      </c>
      <c r="C20656" t="n">
        <v>0</v>
      </c>
      <c r="D20656" t="inlineStr">
        <is>
          <t>Dagues Maydhyn China; Amulette du Krokilleur; Anneau du Dragon Cochon; Gelano; Coupe de Dragokart; Pagne du Muloubar; Coiffe du Muloubar; Puissante Cape Fulgurante; Bottes du Gorgouille; Dokoko; Dofus Pourpre; Dofus Émeraude; Dolmanax; Remueur; Nomade; Molosk</t>
        </is>
      </c>
    </row>
    <row r="20657">
      <c r="A20657" t="inlineStr">
        <is>
          <t>mode feu</t>
        </is>
      </c>
      <c r="B20657">
        <f>HYPERLINK("https://www.dofusbook.net/fr/equipement/3007513-mode-feu/objets", "link")</f>
        <v/>
      </c>
      <c r="C20657" t="n">
        <v>0</v>
      </c>
      <c r="D20657" t="inlineStr">
        <is>
          <t>La Baguette des Limbes; Licol de Redolphe; Gelano; Bracelet Tmotiv; Le Karde Cœur; Ceinture des Vents; Masque de Choudini; Capitrouille; Bottes de Choudini; Dokoko; Dolmanax; Dofus Émeraude; Nomade; Remueur; Vigoureux; Kramkram</t>
        </is>
      </c>
    </row>
    <row r="20658">
      <c r="A20658" t="inlineStr">
        <is>
          <t>feu</t>
        </is>
      </c>
      <c r="B20658">
        <f>HYPERLINK("https://www.dofusbook.net/fr/equipement/3007431-feu/objets", "link")</f>
        <v/>
      </c>
      <c r="C20658" t="n">
        <v>0</v>
      </c>
      <c r="D20658" t="inlineStr">
        <is>
          <t>Dagues du Bandit; Clémentamulette; Anneau du Bandit; Anneau du Mental; Bouclier en Mousse; Ceinture du Bandit; Clémentobottes; Pioute rouge; Clémentocape; Clémentocoiffe</t>
        </is>
      </c>
    </row>
    <row r="20659">
      <c r="A20659" t="inlineStr">
        <is>
          <t>mode rezo</t>
        </is>
      </c>
      <c r="B20659">
        <f>HYPERLINK("https://www.dofusbook.net/fr/equipement/3007375-mode-rezo/objets", "link")</f>
        <v/>
      </c>
      <c r="C20659" t="n">
        <v>0</v>
      </c>
      <c r="D20659" t="inlineStr">
        <is>
          <t>Dagues du Dragoeuf; Amulette Ementaire; Anneau Cérémonial du Seigneur des Rats; Alliance d'Elya Wood; Bouclier d'Asse; Ceinture du Capitaine Ekarlatte; Solomonk; Corbacape Mastralis; Bottes du Capitaine Ekarlatte; Dolmanax; Dofus Pourpre; Dokoko; Remueur; Nomade; Observateur; Muldo Indigo et Orchidée</t>
        </is>
      </c>
    </row>
    <row r="20660">
      <c r="A20660" t="inlineStr">
        <is>
          <t>eni cheat</t>
        </is>
      </c>
      <c r="B20660">
        <f>HYPERLINK("https://www.dofusbook.net/fr/equipement/3001534-eni-cheat/objets", "link")</f>
        <v/>
      </c>
      <c r="C20660" t="n">
        <v>0</v>
      </c>
      <c r="D20660" t="inlineStr">
        <is>
          <t>Le Kikoularc; Amulette du Scorbute; Craquanneau Légendaire; Gelano; Bouclier de Choudini; Ceinture des Vents; Casque du Scorbute; Cape du Scorbute; Bottes de Choudini; Dokoko; Dofus Cawotte; Robuste mineur; Ravageur Feu mineur; Examinateur; Féroce mineur; Dragodinde Prune et Emeraude</t>
        </is>
      </c>
    </row>
    <row r="20661">
      <c r="A20661" t="inlineStr">
        <is>
          <t>Mode distance</t>
        </is>
      </c>
      <c r="B20661">
        <f>HYPERLINK("https://www.dofusbook.net/fr/equipement/2999869-mode-distance/objets", "link")</f>
        <v/>
      </c>
      <c r="C20661" t="n">
        <v>0</v>
      </c>
      <c r="D20661" t="inlineStr">
        <is>
          <t>Bêche Asse; Amulette Héroclite; Bague Gloursonne; Anneau de Brouce; Cadran de Terre; Ceinture de Brouce; Casque de Missiz Frizz; Cape au Logis; Sabots Minables; Dofus Pourpre; Dofus Turquoise; Observateur; Enragé majeur; Remueur; Vigoureux majeur; Muldo Pourpre</t>
        </is>
      </c>
    </row>
    <row r="20662">
      <c r="A20662" t="inlineStr">
        <is>
          <t>Mode terre feu air</t>
        </is>
      </c>
      <c r="B20662">
        <f>HYPERLINK("https://www.dofusbook.net/fr/equipement/2999833-mode-terre-feu-air/objets", "link")</f>
        <v/>
      </c>
      <c r="C20662" t="n">
        <v>0</v>
      </c>
      <c r="D20662" t="inlineStr">
        <is>
          <t>Baguette Range; Amulette du Kamasterisk; Alliance Brûlâme; Chevalière du Roi Joueur; Bouclier cubiste; Menoture; Masque Brûlâme; Cape du Kamasterisk; Pompes Funèbres; Dofus Turquoise; Dolmanax; Dofus Nébuleux; Dofus Pourpre; Dofus des Glaces; Entraveur majeur; Muldo Ebène</t>
        </is>
      </c>
    </row>
    <row r="20663">
      <c r="A20663" t="inlineStr">
        <is>
          <t>mode agi rall pm</t>
        </is>
      </c>
      <c r="B20663">
        <f>HYPERLINK("https://www.dofusbook.net/fr/equipement/2998153-mode-agi-rall-pm/objets", "link")</f>
        <v/>
      </c>
      <c r="C20663" t="n">
        <v>0</v>
      </c>
      <c r="D20663" t="inlineStr">
        <is>
          <t>Baguette Range; Collier du Valet Veinard; Anneau de Nidas; Gant du Valet Veinard; Bouclier cubiste; Ceinture du Glourséleste; Couronne de Nidas; Cape du Valet Veinard; Tongues de Nidas; Dofus Émeraude; Dofus Nébuleux; Savant majeur; Entraveur majeur; Voyageur; Acrobate majeur; Muldo Ebène</t>
        </is>
      </c>
    </row>
    <row r="20664">
      <c r="A20664" t="inlineStr">
        <is>
          <t>Do pou</t>
        </is>
      </c>
      <c r="B20664">
        <f>HYPERLINK("https://www.dofusbook.net/fr/equipement/2997957-do-pou/objets", "link")</f>
        <v/>
      </c>
      <c r="C20664" t="n">
        <v>0</v>
      </c>
      <c r="D20664" t="inlineStr">
        <is>
          <t>Karnak; Col de Ush; Gant du Capitaine Ekarlatte; Gelano; Bouclier Taverne; Ceinture de l'Orfélin; Coiffe de Grozilla; Cape Souveraine du Roissingue; Bottes de Ush; Cascadeur majeur; Culbuteur majeur; Remueur; Bousculeur majeur; Nomade; Dévastateur Terre majeur; Kramkram</t>
        </is>
      </c>
    </row>
    <row r="20665">
      <c r="A20665" t="inlineStr">
        <is>
          <t>lv150</t>
        </is>
      </c>
      <c r="B20665">
        <f>HYPERLINK("https://www.dofusbook.net/fr/equipement/2997904-lv150/objets", "link")</f>
        <v/>
      </c>
      <c r="C20665" t="n">
        <v>0</v>
      </c>
      <c r="D20665" t="inlineStr">
        <is>
          <t>Bâton K'Tueuh; La Feuille de Printemps; Gelano; Sceau Souverain du Roissingue; Cadran de Terre; Ceinture du Kaniblou; Bonnet Ko; Cape du Kaniblou; Bottes de Grozilla; Dofus Pourpre; Remueur; Chanceux majeur; Nomade; Vigoureux majeur; Miraculé majeur; Muldo Indigo et Pourpre</t>
        </is>
      </c>
    </row>
    <row r="20666">
      <c r="A20666" t="inlineStr">
        <is>
          <t>Eau pti zonion</t>
        </is>
      </c>
      <c r="B20666">
        <f>HYPERLINK("https://www.dofusbook.net/fr/equipement/2995860-eau-pti-zonion/objets", "link")</f>
        <v/>
      </c>
      <c r="C20666" t="n">
        <v>0</v>
      </c>
      <c r="D20666" t="inlineStr">
        <is>
          <t>Sceptre du Roi Joueur; Talisman Glouti; Bracelet des Fonds marins; Alliance Gloursonne; Bouclier d'Ilyzaelle; Sangle Ouare; Masque des Fonds marins; Cape Solution; Pataugastrique; Dofus Ivoire; Dofus Pourpre; Dokoko; Dofus Émeraude; Miraculé majeur; Chanceux majeur; El Scarador</t>
        </is>
      </c>
    </row>
    <row r="20667">
      <c r="A20667" t="inlineStr">
        <is>
          <t>Mode FULL FEU</t>
        </is>
      </c>
      <c r="B20667">
        <f>HYPERLINK("https://www.dofusbook.net/fr/equipement/2991752-mode-full-feu/objets", "link")</f>
        <v/>
      </c>
      <c r="C20667" t="n">
        <v>0</v>
      </c>
      <c r="D20667" t="inlineStr">
        <is>
          <t>Massier; Pendentif affamé; Anneauræus; Anneauræus; Bouclier du Stalak; Ceintrigue; Calotte Spot; Cape de Diondin; Bottes Innommables; Dofus Pourpre; Dofus des Glaces; Nomade; Érudit majeur; Remueur; Dévastateur Feu majeur; Bisouglours</t>
        </is>
      </c>
    </row>
    <row r="20668">
      <c r="A20668" t="inlineStr">
        <is>
          <t>mode Air</t>
        </is>
      </c>
      <c r="B20668">
        <f>HYPERLINK("https://www.dofusbook.net/fr/equipement/2991739-mode-air/objets", "link")</f>
        <v/>
      </c>
      <c r="C20668" t="n">
        <v>0</v>
      </c>
      <c r="D20668" t="inlineStr">
        <is>
          <t>Manthache; Amibou; Gant du Valet Veinard; Alliance Gloursonne; Bouclier du Stalak; Menoture; Coiffe de la Reine des Voleurs; Cape Indescriptible; Bottes de la Reine des Voleurs; Dofus Pourpre; Dofus des Glaces; Nomade; Cascadeur majeur; Remueur; Dévastateur Air majeur; Muldo Ebène</t>
        </is>
      </c>
    </row>
    <row r="20669">
      <c r="A20669" t="inlineStr">
        <is>
          <t>Mode rezo propre che</t>
        </is>
      </c>
      <c r="B20669">
        <f>HYPERLINK("https://www.dofusbook.net/fr/equipement/2991711-mode-rezo-propre-che/objets", "link")</f>
        <v/>
      </c>
      <c r="C20669" t="n">
        <v>0</v>
      </c>
      <c r="D20669" t="inlineStr">
        <is>
          <t>Dagues Érhy; Amulette de l'Indicible; Alliance Gloursonne; Alliance Brûlâme; Bouclier du Stalak; Ceinture de l'Esprit Salvateur; Masque de l'Esprit Salvateur; Cape du Chalœil; Pataugastrique; Dofus Pourpre; Nomade; Vigoureux majeur; Robuste majeur; Remueur; Sanguinaire majeur; Muldo Orchidée et Pourpre</t>
        </is>
      </c>
    </row>
    <row r="20670">
      <c r="A20670" t="inlineStr">
        <is>
          <t>mode terre crit</t>
        </is>
      </c>
      <c r="B20670">
        <f>HYPERLINK("https://www.dofusbook.net/fr/equipement/2985877-mode-terre-crit/objets", "link")</f>
        <v/>
      </c>
      <c r="C20670" t="n">
        <v>1</v>
      </c>
      <c r="D20670" t="inlineStr">
        <is>
          <t>Arc du Chalœil; Amulette du Strigide; Bague Gloursonne; Anneau Crustique; Bouclier du Stalak; Ceinture de Brouce; Masque de Koutoulou; Cape au Logis; Bottes de Brouce; Dofus Pourpre; Dofus Turquoise; Enragé majeur; Observateur; Vigoureux majeur; Remueur; Muldo Prune et Emeraude</t>
        </is>
      </c>
    </row>
    <row r="20671">
      <c r="A20671" t="inlineStr">
        <is>
          <t>mode full terre</t>
        </is>
      </c>
      <c r="B20671">
        <f>HYPERLINK("https://www.dofusbook.net/fr/equipement/2985828-mode-full-terre/objets", "link")</f>
        <v/>
      </c>
      <c r="C20671" t="n">
        <v>1</v>
      </c>
      <c r="D20671" t="inlineStr">
        <is>
          <t>Lance Horselé; Amulette Voldelor; Anneau de Padgref; Gant du Valet Veinard; Bouclier du Stalak; Menoture; Casque d'Ilyzaelle; Cape du Valet Veinard; Palmes Trithons; Dofus des Glaces; Remueur; Dévastateur Air majeur; Nomade; Observateur; Cascadeur majeur; Muldo Ebène</t>
        </is>
      </c>
    </row>
    <row r="20672">
      <c r="A20672" t="inlineStr">
        <is>
          <t>Sartruite</t>
        </is>
      </c>
      <c r="B20672">
        <f>HYPERLINK("https://www.dofusbook.net/fr/equipement/2982816-sartruite/objets", "link")</f>
        <v/>
      </c>
      <c r="C20672" t="n">
        <v>0</v>
      </c>
      <c r="D20672" t="inlineStr">
        <is>
          <t>Arc Honte; Talisman Igans; Lavanneau; Alliance Gloursonne; Bouclier du Stalak; Ceintrigue; Capuche de l'Œil Putride; Cape de la Dame du Hasard; Pataugastrique; Dofus Pourpre; Vigoureux majeur; Remueur; Robuste majeur; Nomade; Carapace Feu majeur; Muldo Indigo et Pourpre</t>
        </is>
      </c>
    </row>
    <row r="20673">
      <c r="A20673" t="inlineStr">
        <is>
          <t>cheap mieu</t>
        </is>
      </c>
      <c r="B20673">
        <f>HYPERLINK("https://www.dofusbook.net/fr/equipement/2978296-cheap-mieu/objets", "link")</f>
        <v/>
      </c>
      <c r="C20673" t="n">
        <v>0</v>
      </c>
      <c r="D20673" t="inlineStr">
        <is>
          <t>Pelle de Nidas; Amulette du Strigide; Anneau de Padgref; Alliance Gloursonne; Quatre-feuilles; Ceinture du Strigide; Masque Brûlâme; Dofusteuse; Pataugastrique; Dofus Pourpre; Dofus Turquoise; Nomade; Érudit majeur; Remueur; Vigoureux majeur; Muldo Prune et Emeraude</t>
        </is>
      </c>
    </row>
    <row r="20674">
      <c r="A20674" t="inlineStr">
        <is>
          <t>Mode plus opti</t>
        </is>
      </c>
      <c r="B20674">
        <f>HYPERLINK("https://www.dofusbook.net/fr/equipement/2978248-mode-plus-opti/objets", "link")</f>
        <v/>
      </c>
      <c r="C20674" t="n">
        <v>0</v>
      </c>
      <c r="D20674" t="inlineStr">
        <is>
          <t>Epée Gloursonne; Amulette du Strigide; Bague Gloursonne; Alliance Gloursonne; Quatre-feuilles; Ceinture du Strigide; Casque du Chalœil; Cape du Chalœil; Bottes du Strigide; Dofus Turquoise; Dolmanax; Dofus des Glaces; Dofus Pourpre; Savant majeur; Puissant majeur; Muldo Prune et Emeraude</t>
        </is>
      </c>
    </row>
    <row r="20675">
      <c r="A20675" t="inlineStr">
        <is>
          <t>feu arc corrompu</t>
        </is>
      </c>
      <c r="B20675">
        <f>HYPERLINK("https://www.dofusbook.net/fr/equipement/2978173-feu-arc-corrompu/objets", "link")</f>
        <v/>
      </c>
      <c r="C20675" t="n">
        <v>0</v>
      </c>
      <c r="D20675" t="inlineStr">
        <is>
          <t>Arc corrompu; Pendentif affamé; Anneauræus; Anneau Rifique; Bouclier du Stalak; Ceinture de Vortex; Casque Cyclopéen; Cape de Diondin; Bottes Innommables; Dofus Pourpre; Érudit majeur; Nomade; Miraculé majeur; Astucieux majeur; Remueur; Muldo Orchidée et Pourpre</t>
        </is>
      </c>
    </row>
    <row r="20676">
      <c r="A20676" t="inlineStr">
        <is>
          <t>Mode cheap multi</t>
        </is>
      </c>
      <c r="B20676">
        <f>HYPERLINK("https://www.dofusbook.net/fr/equipement/2978126-mode-cheap-multi/objets", "link")</f>
        <v/>
      </c>
      <c r="C20676" t="n">
        <v>0</v>
      </c>
      <c r="D20676" t="inlineStr">
        <is>
          <t>Epée Gloursonne; Amulette du Strigide; Bague Gloursonne; Alliance Gloursonne; Quatre-feuilles; Ceinture du Strigide; Casque du Chalœil; Cape du Chalœil; Bottes du Chalœil; Dofus Pourpre; Dofus Turquoise; Survivant majeur; Vagabond majeur; Puissant majeur; Examinateur; Muldo Indigo et Orchidée</t>
        </is>
      </c>
    </row>
    <row r="20677">
      <c r="A20677" t="inlineStr">
        <is>
          <t>mode eau</t>
        </is>
      </c>
      <c r="B20677">
        <f>HYPERLINK("https://www.dofusbook.net/fr/equipement/2974780-mode-eau/objets", "link")</f>
        <v/>
      </c>
      <c r="C20677" t="n">
        <v>0</v>
      </c>
      <c r="D20677" t="inlineStr">
        <is>
          <t>Bâtonnet Ronien; Amulette d'Ilyzaelle; Alliance Brûlâme; Alliance Gloursonne; Bouclier du Stalak; Ceinture Voldelor; Casque d'Ilyzaelle; Cape Solution; Bottes de la Reine des Voleurs; Dofus Pourpre; Dofus des Glaces; Robuste majeur; Remueur; Vigoureux majeur; Nomade; Muldo Ebène</t>
        </is>
      </c>
    </row>
    <row r="20678">
      <c r="A20678" t="inlineStr">
        <is>
          <t>mode terre air ret</t>
        </is>
      </c>
      <c r="B20678">
        <f>HYPERLINK("https://www.dofusbook.net/fr/equipement/2974609-mode-terre-air-ret/objets", "link")</f>
        <v/>
      </c>
      <c r="C20678" t="n">
        <v>1</v>
      </c>
      <c r="D20678" t="inlineStr">
        <is>
          <t>Marteau R'ture; Amulette du Kamasterisk; Pikano; Alliance Brûlâme; Bouclier cubiste; Ceintouse; Coiffe de la Reine des Voleurs; Cape du Kamasterisk; Baleinabottes; Dofus Pourpre; Observateur; Nomade; Temporiseur majeur; Remueur; Vigoureux majeur; Muldo Pourpre</t>
        </is>
      </c>
    </row>
    <row r="20679">
      <c r="A20679" t="inlineStr">
        <is>
          <t>Mode terre</t>
        </is>
      </c>
      <c r="B20679">
        <f>HYPERLINK("https://www.dofusbook.net/fr/equipement/2974577-mode-terre-/objets", "link")</f>
        <v/>
      </c>
      <c r="C20679" t="n">
        <v>0</v>
      </c>
      <c r="D20679" t="inlineStr">
        <is>
          <t>Lav'Hache; Amulette Héroclite; Anneau Crustique; Anneau Crustique; Sept ans de malheur; Ceinture de la Cour Sombre; Masque de Koutoulou; Ankhape; Bottes de la Cour Sombre; Dofus des Glaces; Dolmanax; Dofus Abyssal; Dofus Ocre; Nomade; Enragé majeur; El Scarador</t>
        </is>
      </c>
    </row>
    <row r="20680">
      <c r="A20680" t="inlineStr">
        <is>
          <t>mode soin</t>
        </is>
      </c>
      <c r="B20680">
        <f>HYPERLINK("https://www.dofusbook.net/fr/equipement/2966173-mode-soin/objets", "link")</f>
        <v/>
      </c>
      <c r="C20680" t="n">
        <v>1</v>
      </c>
      <c r="D20680" t="inlineStr">
        <is>
          <t>Massier; Collier de la Dame du Hasard; Anneau de Nidas; Anneau Tique; Ceinture de Vortex; Heaume Oplate; Cape Ardente; Chaussures Ardentes</t>
        </is>
      </c>
    </row>
    <row r="20681">
      <c r="A20681" t="inlineStr">
        <is>
          <t>mode eau</t>
        </is>
      </c>
      <c r="B20681">
        <f>HYPERLINK("https://www.dofusbook.net/fr/equipement/2964476-mode-eau/objets", "link")</f>
        <v/>
      </c>
      <c r="C20681" t="n">
        <v>0</v>
      </c>
      <c r="D20681" t="inlineStr">
        <is>
          <t>Rapière aux Glyphes; Amulette de Shokkoth; Alliance Gloursonne; Lavanneau; Bouclier du Stalak; Ceinture de la Reine des Voleurs; Masque des Fonds marins; Cape Solution; Bottes de la Reine des Voleurs; Dofus Abyssal; Dofus Ivoire; Dolmanax; Dofus Pourpre; Remueur; Chanceux majeur; Muldo Indigo et Orchidée</t>
        </is>
      </c>
    </row>
    <row r="20682">
      <c r="A20682" t="inlineStr">
        <is>
          <t>nevark beche</t>
        </is>
      </c>
      <c r="B20682">
        <f>HYPERLINK("https://www.dofusbook.net/fr/equipement/2964455-nevark-beche/objets", "link")</f>
        <v/>
      </c>
      <c r="C20682" t="n">
        <v>0</v>
      </c>
      <c r="D20682" t="inlineStr">
        <is>
          <t>Bêche Asse; Amulette de Nevark; Anneau de Brouce; Alliance Gloursonne; Bouclier Taverne; Ceinture de Nevark; Coiffe de la Fuji Givrefoux; Cape au Logis; Sabots Minables; Dofus Pourpre; Robuste majeur; Remueur; Féroce majeur; Enragé majeur; Vigoureux majeur; Muldo Ebène et Pourpre</t>
        </is>
      </c>
    </row>
    <row r="20683">
      <c r="A20683" t="inlineStr">
        <is>
          <t>mode terre cheap</t>
        </is>
      </c>
      <c r="B20683">
        <f>HYPERLINK("https://www.dofusbook.net/fr/equipement/2964435-mode-terre-cheap/objets", "link")</f>
        <v/>
      </c>
      <c r="C20683" t="n">
        <v>0</v>
      </c>
      <c r="D20683" t="inlineStr">
        <is>
          <t>Bêche Asse; Amulette Héroclite; Alliance Gloursonne; Anneau de Brouce; Bouclier Taverne; Ceinture de Brouce; Casque de Missiz Frizz; Cape au Logis; Sabots Minables; Dofus Pourpre; Dofus Turquoise; Forcené majeur; Enragé majeur; Remueur; Vigoureux majeur; Muldo Pourpre</t>
        </is>
      </c>
    </row>
    <row r="20684">
      <c r="A20684" t="inlineStr">
        <is>
          <t>Mode terre air 12 pa</t>
        </is>
      </c>
      <c r="B20684">
        <f>HYPERLINK("https://www.dofusbook.net/fr/equipement/2960793-mode-terre-air-12-pa/objets", "link")</f>
        <v/>
      </c>
      <c r="C20684" t="n">
        <v>0</v>
      </c>
      <c r="D20684" t="inlineStr">
        <is>
          <t>Epée Gloursonne; Amulette du Kamasterisk; Alliance Gloursonne; Bague Gloursonne; Bouclier cubiste; Ceinture de la Reine des Voleurs; Coiffe de la Reine des Voleurs; Cape du Kamasterisk; Bottes de la Reine des Voleurs; Dofus Ocre; Dofus Turquoise; Dolmanax; Dofus des Glaces; Dofus Pourpre; Entraveur majeur; Muldo Ebène et Orchidée</t>
        </is>
      </c>
    </row>
    <row r="20685">
      <c r="A20685" t="inlineStr">
        <is>
          <t>Terre res neutre</t>
        </is>
      </c>
      <c r="B20685">
        <f>HYPERLINK("https://www.dofusbook.net/fr/equipement/2959943-terre-res-neutre/objets", "link")</f>
        <v/>
      </c>
      <c r="C20685" t="n">
        <v>0</v>
      </c>
      <c r="D20685" t="inlineStr">
        <is>
          <t>Marteau R'ture; Collier de Tourthon; Bague Gloursonne; Anneau Crustique; Bouclier d'Ilyzaelle; Ceinture de la Cour Sombre; Chapeau de Gein; Cape au Logis; Bottes de la Cour Sombre; Dofus Ocre; Dofus Ivoire; Dofus Émeraude; Miraculé majeur; Carapace Terre majeur; Remueur; El Scarador</t>
        </is>
      </c>
    </row>
    <row r="20686">
      <c r="A20686" t="inlineStr">
        <is>
          <t>Mode cac bourrin</t>
        </is>
      </c>
      <c r="B20686">
        <f>HYPERLINK("https://www.dofusbook.net/fr/equipement/2959911-mode-cac-bourrin/objets", "link")</f>
        <v/>
      </c>
      <c r="C20686" t="n">
        <v>0</v>
      </c>
      <c r="D20686" t="inlineStr">
        <is>
          <t>Marteau Phossile; Pendentif mignon de Koutoulou; Anneau Rifique; Alliance Brûlâme; Bouclier d'Ilyzaelle; Ceinture de Vortex; Casque Cyclopéen; Cape du Chalœil; Bottes du Chalœil; Dofus Pourpre; Dofus Abyssal; Dolmanax; Dofus Émeraude; Dofus Ivoire; Dofus Ocre; Muldo Ebène et Orchidée</t>
        </is>
      </c>
    </row>
    <row r="20687">
      <c r="A20687" t="inlineStr">
        <is>
          <t>Mode terre rush</t>
        </is>
      </c>
      <c r="B20687">
        <f>HYPERLINK("https://www.dofusbook.net/fr/equipement/2959731-mode-terre-rush/objets", "link")</f>
        <v/>
      </c>
      <c r="C20687" t="n">
        <v>0</v>
      </c>
      <c r="D20687" t="inlineStr">
        <is>
          <t>Lav'Hache; Collier de Tourthon; Anneau Crustique; Anneau Crustique; Bouclier du Stalak; Ceinture de la Cour Sombre; Masque de Koutoulou; Cape du Kamasterisk; Bottes de la Cour Sombre; Dofus Abyssal; Dofus Ocre; Dofus Ivoire; Dofus des Glaces; Enragé majeur; Fonceur majeur; Muldo Indigo et Pourpre</t>
        </is>
      </c>
    </row>
    <row r="20688">
      <c r="A20688" t="inlineStr">
        <is>
          <t>Mode NOCC</t>
        </is>
      </c>
      <c r="B20688">
        <f>HYPERLINK("https://www.dofusbook.net/fr/equipement/2957929-mode-nocc/objets", "link")</f>
        <v/>
      </c>
      <c r="C20688" t="n">
        <v>0</v>
      </c>
      <c r="D20688" t="inlineStr">
        <is>
          <t>Hache du Chalœil; Amulette de Pol Ouatnos; Bague Gloursonne; Alliance Gloursonne; Bouclier du Stalak; Ceinture de l'Esprit Salvateur; Masque de l'Esprit Salvateur; Dofusteuse; Bottes de l'Esprit Salvateur; Dofus Ocre; Dofus Ivoire; Dolmanax; Dofus des Glaces; Dofus Vulbis; Dofus Abyssal; Kramkram</t>
        </is>
      </c>
    </row>
    <row r="20689">
      <c r="A20689" t="inlineStr">
        <is>
          <t>Mode foène</t>
        </is>
      </c>
      <c r="B20689">
        <f>HYPERLINK("https://www.dofusbook.net/fr/equipement/2957869-mode-foene/objets", "link")</f>
        <v/>
      </c>
      <c r="C20689" t="n">
        <v>0</v>
      </c>
      <c r="D20689" t="inlineStr">
        <is>
          <t>Dagues d'Ilyzaelle; Amulette du Cœur Saignant; Anneau Crustique; Anneau Crustique; Quatre-feuilles; Ceinture de la Reine des Voleurs; Coiffe de la Reine des Voleurs; Cape du Cœur Saignant; Bottes du Cœur Saignant; Dofus Vulbis; Dofus Ocre; Dolmanax; Dofus Ivoire; Dofus des Glaces; Dofus Turquoise; Kramkram</t>
        </is>
      </c>
    </row>
    <row r="20690">
      <c r="A20690" t="inlineStr">
        <is>
          <t>Mode terre débilo</t>
        </is>
      </c>
      <c r="B20690">
        <f>HYPERLINK("https://www.dofusbook.net/fr/equipement/2956643-mode-terre-debilo/objets", "link")</f>
        <v/>
      </c>
      <c r="C20690" t="n">
        <v>0</v>
      </c>
      <c r="D20690" t="inlineStr">
        <is>
          <t>Marteau R'ture; Collier de Tourthon; Anneau Crustique; Bague Gloursonne; Bouclier d'Ilyzaelle; Ceinture de la Cour Sombre; Masque de Koutoulou; Cape au Logis; Bottes de la Cour Sombre; Dofus Pourpre; Dofus Turquoise; Enragé majeur; Remueur; Vigoureux majeur; Forcené majeur; Muldo Pourpre</t>
        </is>
      </c>
    </row>
    <row r="20691">
      <c r="A20691" t="inlineStr">
        <is>
          <t>test ill</t>
        </is>
      </c>
      <c r="B20691">
        <f>HYPERLINK("https://www.dofusbook.net/fr/equipement/2948136-test-ill/objets", "link")</f>
        <v/>
      </c>
      <c r="C20691" t="n">
        <v>0</v>
      </c>
      <c r="D20691" t="inlineStr">
        <is>
          <t>Amulette d'Ilyzaelle; Gant du Valet Veinard; Bouclier d'Ilyzaelle; Casque d'Ilyzaelle; Cape du Valet Veinard</t>
        </is>
      </c>
    </row>
    <row r="20692">
      <c r="A20692" t="inlineStr">
        <is>
          <t>Mode rox</t>
        </is>
      </c>
      <c r="B20692">
        <f>HYPERLINK("https://www.dofusbook.net/fr/equipement/2944286-mode-rox/objets", "link")</f>
        <v/>
      </c>
      <c r="C20692" t="n">
        <v>1</v>
      </c>
      <c r="D20692" t="inlineStr">
        <is>
          <t>Marteau R'ture; Collier de Tourthon; Anneau Crustique; Anneau Crustique; Bouclier d'Ilyzaelle; Ceinture de la Cour Sombre; Masque de Koutoulou; Voile d'encre; Bottes de la Cour Sombre; Dofus Émeraude; Dofus Pourpre; Dofus Ivoire; Miraculé majeur; Remueur; Enragé majeur; Muldo Pourpre</t>
        </is>
      </c>
    </row>
    <row r="20693">
      <c r="A20693" t="inlineStr">
        <is>
          <t>Mode crit</t>
        </is>
      </c>
      <c r="B20693">
        <f>HYPERLINK("https://www.dofusbook.net/fr/equipement/2939517-mode-crit/objets", "link")</f>
        <v/>
      </c>
      <c r="C20693" t="n">
        <v>0</v>
      </c>
      <c r="D20693" t="inlineStr">
        <is>
          <t>Amulette du Strigide; Bague Gloursonne; Alliance Gloursonne; Ceinture du Strigide; Masque d'Anerice; Cape d'Anerice; Bottes du Strigide</t>
        </is>
      </c>
    </row>
    <row r="20694">
      <c r="A20694" t="inlineStr">
        <is>
          <t>nnnnn</t>
        </is>
      </c>
      <c r="B20694">
        <f>HYPERLINK("https://www.dofusbook.net/fr/equipement/2928396-nnnnn/objets", "link")</f>
        <v/>
      </c>
      <c r="C20694" t="n">
        <v>0</v>
      </c>
      <c r="D20694" t="inlineStr">
        <is>
          <t>Dagoulinantes; Amulette Luminescente; Anneau Toriété; Bague Trithon; Bouclier d'Ilyzaelle; Ceinture Luminescente; Masque de l'Esprit Malsain; Cape Solution; Bottes Owesli; Dofus Abyssal; Dofus Ivoire; Dofus Ocre; Bousculeur majeur; Culbuteur majeur; Miraculé majeur; Muldo Ebène et Orchidée</t>
        </is>
      </c>
    </row>
    <row r="20695">
      <c r="A20695" t="inlineStr">
        <is>
          <t>mode distance</t>
        </is>
      </c>
      <c r="B20695">
        <f>HYPERLINK("https://www.dofusbook.net/fr/equipement/2919417-mode-distance/objets", "link")</f>
        <v/>
      </c>
      <c r="C20695" t="n">
        <v>0</v>
      </c>
      <c r="D20695" t="inlineStr">
        <is>
          <t>Arc du Chalœil; Amulette Volcanique; Anneau Crustique; Anneau Crustique; Bouclier cubiste; Ceinture de la Reine des Voleurs; Masque de Koutoulou; Voile d'encre; Sabots Volcaniques; Dofus Ivoire; Dofus Turquoise; Dofus Émeraude; Dofus Abyssal; Remueur; Miraculé majeur; Muldo Pourpre</t>
        </is>
      </c>
    </row>
    <row r="20696">
      <c r="A20696" t="inlineStr">
        <is>
          <t>cheap rezo 200</t>
        </is>
      </c>
      <c r="B20696">
        <f>HYPERLINK("https://www.dofusbook.net/fr/equipement/2911918-cheap-rezo-200/objets", "link")</f>
        <v/>
      </c>
      <c r="C20696" t="n">
        <v>0</v>
      </c>
      <c r="D20696" t="inlineStr">
        <is>
          <t>Epée Gloursonne; Amulette de l'Indicible; Bague Gloursonne; Alliance Gloursonne; Bouclier du Stalak; Ceinture de l'Indicible; Casque du Chalœil; Cape du Chalœil; Bottes de l'Indicible; Dofus Émeraude; Dofus Pourpre; Puissant majeur; Robuste majeur; Voyageur; Féroce majeur; Muldo Indigo et Orchidée</t>
        </is>
      </c>
    </row>
    <row r="20697">
      <c r="A20697" t="inlineStr">
        <is>
          <t>rézo 200</t>
        </is>
      </c>
      <c r="B20697">
        <f>HYPERLINK("https://www.dofusbook.net/fr/equipement/2911863-rezo-200/objets", "link")</f>
        <v/>
      </c>
      <c r="C20697" t="n">
        <v>0</v>
      </c>
      <c r="D20697" t="inlineStr">
        <is>
          <t>Epée Gloursonne; Amulette de l'Indicible; Bague Gloursonne; Alliance Gloursonne; Bouclier du Stalak; Ceinture de l'Esprit Salvateur; Masque de l'Esprit Salvateur; Voilamibe; Bottes de l'Indicible; Dolmanax; Dofus des Glaces; Dofus Pourpre; Dofus Abyssal; Dofus Ocre; Robuste majeur; Kramkram</t>
        </is>
      </c>
    </row>
    <row r="20698">
      <c r="A20698" t="inlineStr">
        <is>
          <t>terre</t>
        </is>
      </c>
      <c r="B20698">
        <f>HYPERLINK("https://www.dofusbook.net/fr/equipement/2910952-terre/objets", "link")</f>
        <v/>
      </c>
      <c r="C20698" t="n">
        <v>1</v>
      </c>
      <c r="D20698" t="inlineStr">
        <is>
          <t>Lav'Hache; Collier de Tourthon; Anneau Crustique; Anneau Crustique; Bouclier d'Ilyzaelle; Ceinture de la Cour Sombre; Masque de Koutoulou; Cape du Cœur Saignant; Bottes de la Cour Sombre; Dolmanax; Dofus Abyssal; Dofus Ocre; Dofus Ivoire; Dofus des Glaces; Enragé majeur; Muldo Pourpre</t>
        </is>
      </c>
    </row>
    <row r="20699">
      <c r="A20699" t="inlineStr">
        <is>
          <t>mode eau</t>
        </is>
      </c>
      <c r="B20699">
        <f>HYPERLINK("https://www.dofusbook.net/fr/equipement/2910935-mode-eau/objets", "link")</f>
        <v/>
      </c>
      <c r="C20699" t="n">
        <v>0</v>
      </c>
      <c r="D20699" t="inlineStr">
        <is>
          <t>Sceptre du Roi Joueur; Amulette Luminescente; Lavanneau; Bracelet des Fonds marins; Bouclier du Stalak; Ceinture Luminescente; Masque des Fonds marins; Cape Luminescente; Sandales des Fonds marins; Dofus Ocre; Dofus Ivoire; Dofus des Glaces; Dolmanax; Dofus Abyssal; Joueur majeur; Muldo Indigo</t>
        </is>
      </c>
    </row>
    <row r="20700">
      <c r="A20700" t="inlineStr">
        <is>
          <t>mode agi</t>
        </is>
      </c>
      <c r="B20700">
        <f>HYPERLINK("https://www.dofusbook.net/fr/equipement/2910911-mode-agi/objets", "link")</f>
        <v/>
      </c>
      <c r="C20700" t="n">
        <v>0</v>
      </c>
      <c r="D20700" t="inlineStr">
        <is>
          <t>Lance Horselé; Amulette d'Ilyzaelle; Alliance Gloursonne; Gant du Valet Veinard; Bouclier du Stalak; Menoture; Couronne d'Allister; Cape du Valet Veinard; Palmes Trithons; Dofus Ocre; Dofus Ivoire; Dofus Abyssal; Dolmanax; Cascadeur majeur; Dévastateur Air majeur; Muldo Ebène et Indigo</t>
        </is>
      </c>
    </row>
    <row r="20701">
      <c r="A20701" t="inlineStr">
        <is>
          <t>gneugneu</t>
        </is>
      </c>
      <c r="B20701">
        <f>HYPERLINK("https://www.dofusbook.net/fr/equipement/2910855-gneugneu/objets", "link")</f>
        <v/>
      </c>
      <c r="C20701" t="n">
        <v>0</v>
      </c>
      <c r="D20701" t="inlineStr">
        <is>
          <t>Epée Gloursonne; Amulette de l'Œil Putride; Alliance Gloursonne; Bague Gloursonne; Bouclier du Stalak; Ceinture de l'Esprit Salvateur; Capuche de l'Œil Putride; Cape de l'Œil Putride; Bottes de l'Esprit Salvateur; Dolmanax; Dofus des Glaces; Dofus Pourpre; Dofus Ocre; Féroce majeur; Robuste majeur; Muldo Ebène et Pourpre</t>
        </is>
      </c>
    </row>
    <row r="20702">
      <c r="A20702" t="inlineStr">
        <is>
          <t>mode terre eau</t>
        </is>
      </c>
      <c r="B20702">
        <f>HYPERLINK("https://www.dofusbook.net/fr/equipement/2910649-mode-terre-eau/objets", "link")</f>
        <v/>
      </c>
      <c r="C20702" t="n">
        <v>1</v>
      </c>
      <c r="D20702" t="inlineStr">
        <is>
          <t>Dagues de Srambad; Amulette Ementaire Deluxe; Alliance Gloursonne; Bague Gloursonne; Bouclier d'Ilyzaelle; Ceinture de la Reine des Voleurs; Coiffe de la Reine des Voleurs; Cape Luminescente; Bottes de la Reine des Voleurs; Dolmanax; Dofus Abyssal; Dofus Ocre; Dofus Ivoire; Dofus Émeraude; Dofus des Glaces; Muldo Ebène</t>
        </is>
      </c>
    </row>
    <row r="20703">
      <c r="A20703" t="inlineStr">
        <is>
          <t>mode extravagant</t>
        </is>
      </c>
      <c r="B20703">
        <f>HYPERLINK("https://www.dofusbook.net/fr/equipement/2903210-mode-extravagant/objets", "link")</f>
        <v/>
      </c>
      <c r="C20703" t="n">
        <v>1</v>
      </c>
      <c r="D20703" t="inlineStr">
        <is>
          <t>Dagues Cacterre; Amulette du Strigide; Anneau de Padgref; Bague Trithon; Bouclier du Captain Amakna; Ceinture du Strigide; Coiffe de Padgref; Cape d'Atcham; Bottes du Strigide; Dofus Pourpre; Dofus des Glaces; Dofus Nébuleux; Dofus Turquoise; Dolmanax; Dofus Ocre; Muldo Ebène et Orchidée</t>
        </is>
      </c>
    </row>
    <row r="20704">
      <c r="A20704" t="inlineStr">
        <is>
          <t>rézo 196</t>
        </is>
      </c>
      <c r="B20704">
        <f>HYPERLINK("https://www.dofusbook.net/fr/equipement/2902788-rezo-196/objets", "link")</f>
        <v/>
      </c>
      <c r="C20704" t="n">
        <v>0</v>
      </c>
      <c r="D20704" t="inlineStr">
        <is>
          <t>Dagues du Dragoeuf; Amulette du Glourséleste; Bague Gloursonne; Alliance Gloursonne; Cadran de Terre; Ceinture d'Henual; Bonnet Ko; Voile d'encre; Chaussures Face; Dofus Pourpre; Nomade; Vigoureux majeur; Féroce majeur; Remueur; Robuste majeur; Kramkram</t>
        </is>
      </c>
    </row>
    <row r="20705">
      <c r="A20705" t="inlineStr">
        <is>
          <t>Mode agi de bourrin</t>
        </is>
      </c>
      <c r="B20705">
        <f>HYPERLINK("https://www.dofusbook.net/fr/equipement/2897016-mode-agi-de-bourrin/objets", "link")</f>
        <v/>
      </c>
      <c r="C20705" t="n">
        <v>0</v>
      </c>
      <c r="D20705" t="inlineStr">
        <is>
          <t>Pelle de la Cour Sombre; Collier du Valet Veinard; Gant du Valet Veinard; Anneau Rifique; Bouclier d'Ilyzaelle; Ceintouse; Chapoulpe; Cape du Valet Veinard; Tentassons; Dofus Émeraude; Dofus Nébuleux; Dofus Ocre; Dofus Ivoire; Dolmanax; Dofus Pourpre; Muldo Ebène</t>
        </is>
      </c>
    </row>
    <row r="20706">
      <c r="A20706" t="inlineStr">
        <is>
          <t>Mode koala</t>
        </is>
      </c>
      <c r="B20706">
        <f>HYPERLINK("https://www.dofusbook.net/fr/equipement/2896983-mode-koala/objets", "link")</f>
        <v/>
      </c>
      <c r="C20706" t="n">
        <v>0</v>
      </c>
      <c r="D20706" t="inlineStr">
        <is>
          <t>Marteau R'ture; Amulette du Cœur Saignant; Anneau Crustique; Anneau Crustique; Bouclier du Captain Amakna; Ceinture de la Reine des Voleurs; Masque de Koutoulou; Voile d'encre; Bottes du Cœur Saignant; Dofus Pourpre; Dofus Ivoire; Dofus Turquoise; Dofus Nébuleux; Enragé majeur; Remueur; Muldo Pourpre</t>
        </is>
      </c>
    </row>
    <row r="20707">
      <c r="A20707" t="inlineStr">
        <is>
          <t>masca</t>
        </is>
      </c>
      <c r="B20707">
        <f>HYPERLINK("https://www.dofusbook.net/fr/equipement/2896941-masca/objets", "link")</f>
        <v/>
      </c>
      <c r="C20707" t="n">
        <v>0</v>
      </c>
      <c r="D20707" t="inlineStr">
        <is>
          <t>Baguette de Malléfisk; Pendentif affamé; Anneauræus; Anneau Rifique; Bouclier Bontarien; Ceinture de l'Esprit Malsain; Masque d'Anerice; Cape d'Anerice; Bottes Innommables; Dofus Ivoire; Dofus Ocre; Dofus Émeraude; Remueur; Guérisseur majeur; Miraculé majeur; Muldo Ebène et Orchidée</t>
        </is>
      </c>
    </row>
    <row r="20708">
      <c r="A20708" t="inlineStr">
        <is>
          <t>mode multi no crit</t>
        </is>
      </c>
      <c r="B20708">
        <f>HYPERLINK("https://www.dofusbook.net/fr/equipement/2896913-mode-multi-no-crit/objets", "link")</f>
        <v/>
      </c>
      <c r="C20708" t="n">
        <v>0</v>
      </c>
      <c r="D20708" t="inlineStr">
        <is>
          <t>Dagues de Srambad; Amulette de l'Indicible; Bracelet du Piloztère; Alliance Brûlâme; Bouclier d'Ilyzaelle; Ceinture de l'Esprit Salvateur; Masque de l'Esprit Salvateur; Cape du Chalœil; Baleinabottes; Dofus Émeraude; Dofus Ocre; Dolmanax; Dofus des Glaces; Dofus Ivoire; Dofus Pourpre; Muldo Ebène et Orchidée</t>
        </is>
      </c>
    </row>
    <row r="20709">
      <c r="A20709" t="inlineStr">
        <is>
          <t>Mode AIR FEU ROX</t>
        </is>
      </c>
      <c r="B20709">
        <f>HYPERLINK("https://www.dofusbook.net/fr/equipement/2884354-mode-air-feu-rox/objets", "link")</f>
        <v/>
      </c>
      <c r="C20709" t="n">
        <v>0</v>
      </c>
      <c r="D20709" t="inlineStr">
        <is>
          <t>Baguette Range; Pendentif affamé; Anneau Rifique; Alliance Brûlâme; Bouclier d'Ilyzaelle; Ceinture de Vortex; Casque Cyclopéen; Cape des Malveilleurs; Pantoufles Émar; Dofus Pourpre; Dofus Émeraude; Remueur; Nomade; Vigoureux majeur; Miraculé majeur; Muldo Orchidée et Pourpre</t>
        </is>
      </c>
    </row>
    <row r="20710">
      <c r="A20710" t="inlineStr">
        <is>
          <t>talkasha</t>
        </is>
      </c>
      <c r="B20710">
        <f>HYPERLINK("https://www.dofusbook.net/fr/equipement/2881993-talkasha/objets", "link")</f>
        <v/>
      </c>
      <c r="C20710" t="n">
        <v>0</v>
      </c>
      <c r="D20710" t="inlineStr">
        <is>
          <t>Arc de Koutoulou; Amulette du Strigide; Alliance Gloursonne; Bracelet du Piloztère; Quatre-feuilles; Ceintacé; Dorabysses; Chevelure de Tal Kasha; Sandales de Tal Kasha; Dofus Pourpre; Dofus Turquoise; Dofus Émeraude; Nomade; Vigoureux majeur; Remueur; Muldo Ebène et Pourpre</t>
        </is>
      </c>
    </row>
    <row r="20711">
      <c r="A20711" t="inlineStr">
        <is>
          <t>brulame strig</t>
        </is>
      </c>
      <c r="B20711">
        <f>HYPERLINK("https://www.dofusbook.net/fr/equipement/2881936-brulame-strig/objets", "link")</f>
        <v/>
      </c>
      <c r="C20711" t="n">
        <v>0</v>
      </c>
      <c r="D20711" t="inlineStr">
        <is>
          <t>Héqache; Amulette du Strigide; Alliance Brûlâme; Bracelet du Piloztère; Bouclier d'Ilyzaelle; Ceinture du Strigide; Masque Brûlâme; Voile d'encre; Pompes Funèbres; Dolmanax; Dofus Ocre; Dofus Émeraude; Dofus Pourpre; Dofus Turquoise; Dofus des Glaces; Muldo Ebène et Orchidée</t>
        </is>
      </c>
    </row>
    <row r="20712">
      <c r="A20712" t="inlineStr">
        <is>
          <t>mode masca</t>
        </is>
      </c>
      <c r="B20712">
        <f>HYPERLINK("https://www.dofusbook.net/fr/equipement/2880564-mode-masca/objets", "link")</f>
        <v/>
      </c>
      <c r="C20712" t="n">
        <v>0</v>
      </c>
      <c r="D20712" t="inlineStr">
        <is>
          <t>Arc du Chalœil; Collier Rophante; Anneau Rifique; Bague Trithon; Bouclier Bontarien; Ceinture Gence; Masque d'Anerice; Cape d'Anerice; Bottes Owesli; Dofus Ivoire; Dofus Émeraude; Bousculeur majeur; Remueur; Culbuteur majeur; Miraculé majeur; Cube</t>
        </is>
      </c>
    </row>
    <row r="20713">
      <c r="A20713" t="inlineStr">
        <is>
          <t>test chelou</t>
        </is>
      </c>
      <c r="B20713">
        <f>HYPERLINK("https://www.dofusbook.net/fr/equipement/2874681-test-chelou/objets", "link")</f>
        <v/>
      </c>
      <c r="C20713" t="n">
        <v>0</v>
      </c>
      <c r="D20713" t="inlineStr">
        <is>
          <t>Hache du Guerrier Zoth; Amulette du Strigide; Bague Trithon; Alliance Brûlâme; Bouclier du Captain Amakna; Ceinture du Strigide; Masque d'Anerice; Cape d'Anerice; Bottes Trithon; Dofus Pourpre; Dofus Turquoise; Dofus Ivoire; Dofus des Glaces; Dolmanax; Dofus Ocre; Muldo Prune et Orchidée</t>
        </is>
      </c>
    </row>
    <row r="20714">
      <c r="A20714" t="inlineStr">
        <is>
          <t>Mode rox</t>
        </is>
      </c>
      <c r="B20714">
        <f>HYPERLINK("https://www.dofusbook.net/fr/equipement/2874566-mode-rox/objets", "link")</f>
        <v/>
      </c>
      <c r="C20714" t="n">
        <v>0</v>
      </c>
      <c r="D20714" t="inlineStr">
        <is>
          <t>Hache du Chalœil; Amulette du Strigide; Bague Gloursonne; Bague Trithon; Bouclier du Captain Amakna; Ceinture du Strigide; Masque Trithon; Voile d'encre; Bottes Trithon; Dofus Pourpre; Dofus Ocre; Dolmanax; Dofus des Glaces; Dofus Émeraude; Dofus Turquoise; Muldo Orchidée et Pourpre</t>
        </is>
      </c>
    </row>
    <row r="20715">
      <c r="A20715" t="inlineStr">
        <is>
          <t>mode terrertur</t>
        </is>
      </c>
      <c r="B20715">
        <f>HYPERLINK("https://www.dofusbook.net/fr/equipement/2872711-mode-terrertur/objets", "link")</f>
        <v/>
      </c>
      <c r="C20715" t="n">
        <v>0</v>
      </c>
      <c r="D20715" t="inlineStr">
        <is>
          <t>Marteau R'ture; Collier de Tourthon; Anneau Crustique; Anneau Crustique; Bouclier d'Ilyzaelle; Ceinture de Gein; Masque de Koutoulou; Cape de la Cour Sombre; Bottes de la Cour Sombre; Dofus Émeraude; Dofus Pourpre; Dofus Ivoire; Remueur; Miraculé majeur; Enragé majeur; Muldo Pourpre</t>
        </is>
      </c>
    </row>
    <row r="20716">
      <c r="A20716" t="inlineStr">
        <is>
          <t>mode distance</t>
        </is>
      </c>
      <c r="B20716">
        <f>HYPERLINK("https://www.dofusbook.net/fr/equipement/2872605-mode-distance/objets", "link")</f>
        <v/>
      </c>
      <c r="C20716" t="n">
        <v>0</v>
      </c>
      <c r="D20716" t="inlineStr">
        <is>
          <t>Dagues de Srambad; Amulette Luminescente; Bague Gloursonne; Alliance Gloursonne; Bouclier du Stalak; Culotte de Bethel; Masque de Funespadon; Cape Luminescente; Chaussons de Macrab; Dolmanax; Dofus des Glaces; Dofus Pourpre; Dofus Abyssal; Dofus Ocre; Robuste majeur; Muldo Ebène et Pourpre</t>
        </is>
      </c>
    </row>
    <row r="20717">
      <c r="A20717" t="inlineStr">
        <is>
          <t>testcoursombre</t>
        </is>
      </c>
      <c r="B20717">
        <f>HYPERLINK("https://www.dofusbook.net/fr/equipement/2872565-testcoursombre/objets", "link")</f>
        <v/>
      </c>
      <c r="C20717" t="n">
        <v>0</v>
      </c>
      <c r="D20717" t="inlineStr">
        <is>
          <t>Bêche Asse; Torquistik; Baguistik; Alliance Brûlâme; Bouclier d'Ilyzaelle; Ceinture de la Cour Sombre; Masque Brûlâme; Cape de la Cour Sombre; Bottes de la Cour Sombre; Dofus Émeraude; Dofus des Glaces; Dofus Pourpre; Dofus Ivoire; Dofus Ocre; Dofus Abyssal; Muldo Orchidée et Pourpre</t>
        </is>
      </c>
    </row>
    <row r="20718">
      <c r="A20718" t="inlineStr">
        <is>
          <t>mode pvm 200</t>
        </is>
      </c>
      <c r="B20718">
        <f>HYPERLINK("https://www.dofusbook.net/fr/equipement/2870872-mode-pvm-200/objets", "link")</f>
        <v/>
      </c>
      <c r="C20718" t="n">
        <v>1</v>
      </c>
      <c r="D20718" t="inlineStr">
        <is>
          <t>Baguette Hique; Collier de la Dame du Hasard; Anneau Tamie; Anneau Tamie; Bouclier cubiste; Ceinture du Glourséleste; Capuche de l'Œil Putride; Cape de la Dame du Hasard; Pantoufles Émar; Dofus Pourpre; Remueur; Entraveur majeur; Nomade; Temporiseur majeur; Vigoureux majeur; Muldo Indigo et Pourpre</t>
        </is>
      </c>
    </row>
    <row r="20719">
      <c r="A20719" t="inlineStr">
        <is>
          <t>Mode agi</t>
        </is>
      </c>
      <c r="B20719">
        <f>HYPERLINK("https://www.dofusbook.net/fr/equipement/2870690-mode-agi/objets", "link")</f>
        <v/>
      </c>
      <c r="C20719" t="n">
        <v>0</v>
      </c>
      <c r="D20719" t="inlineStr">
        <is>
          <t>Manthache; Amibou; Gant du Valet Veinard; Alliance Gloursonne; Bouclier cubiste; Menoture; Couronne d'Allister; Cape du Valet Veinard; Palmes Trithons; Dokoko; Dolmanax; Dofus Ocre; Dofus Abyssal; Cascadeur majeur; Temporiseur majeur; Muldo Ebène et Orchidée</t>
        </is>
      </c>
    </row>
    <row r="20720">
      <c r="A20720" t="inlineStr">
        <is>
          <t>sartrite charité</t>
        </is>
      </c>
      <c r="B20720">
        <f>HYPERLINK("https://www.dofusbook.net/fr/equipement/2864192-sartrite-charite/objets", "link")</f>
        <v/>
      </c>
      <c r="C20720" t="n">
        <v>0</v>
      </c>
      <c r="D20720" t="inlineStr">
        <is>
          <t>Arc du Chalœil; Amulette du Strigide; Anneau Crustique; Anneau Crustique; Cadran de Terre; Ceinture du Strigide; Masque de Koutoulou; Cape au Logis; Baleinabottes; Dofus Pourpre; Dofus Turquoise; Observateur; Enragé majeur; Remueur; Vigoureux majeur; Muldo Prune et Pourpre</t>
        </is>
      </c>
    </row>
    <row r="20721">
      <c r="A20721" t="inlineStr">
        <is>
          <t>Gros mode tersamer</t>
        </is>
      </c>
      <c r="B20721">
        <f>HYPERLINK("https://www.dofusbook.net/fr/equipement/2863954-gros-mode-tersamer/objets", "link")</f>
        <v/>
      </c>
      <c r="C20721" t="n">
        <v>0</v>
      </c>
      <c r="D20721" t="inlineStr">
        <is>
          <t>Dagues d'Ilyzaelle; Amulette Luminescente; Alliance Brûlâme; Anneau Crustique; Bouclier du Captain Amakna; Ceinture Luminescente; Masque Brûlâme; Cape Luminescente; Pompes Funèbres; Dofus Ocre; Dolmanax; Dofus Abyssal; Dofus Pourpre; Dofus Émeraude; Dofus Turquoise; Muldo Ebène et Orchidée</t>
        </is>
      </c>
    </row>
    <row r="20722">
      <c r="A20722" t="inlineStr">
        <is>
          <t>MODE FEU ROX</t>
        </is>
      </c>
      <c r="B20722">
        <f>HYPERLINK("https://www.dofusbook.net/fr/equipement/2859644-mode-feu-rox/objets", "link")</f>
        <v/>
      </c>
      <c r="C20722" t="n">
        <v>0</v>
      </c>
      <c r="D20722" t="inlineStr">
        <is>
          <t>Plumeau Bil; Pendentif affamé; Anneauræus; Alliance Brûlâme; Bouclier du Stalak; Ceinture Séculaire; Heaume Oplate; Voile d'encre; Pompes Funèbres; Dofus Émeraude; Dofus Abyssal; Dofus Pourpre; Dofus Ivoire; Dofus Ocre; Érudit majeur; Muldo Orchidée</t>
        </is>
      </c>
    </row>
    <row r="20723">
      <c r="A20723" t="inlineStr">
        <is>
          <t>Mode FEU</t>
        </is>
      </c>
      <c r="B20723">
        <f>HYPERLINK("https://www.dofusbook.net/fr/equipement/2859127-mode-feu/objets", "link")</f>
        <v/>
      </c>
      <c r="C20723" t="n">
        <v>0</v>
      </c>
      <c r="D20723" t="inlineStr">
        <is>
          <t>Sabres d'Atcham; Pendentif mignon de Koutoulou; Anneau Rifique; Alliance Gloursonne; Bouclier d'Ilyzaelle; Ceinture de Vortex; Casque Cyclopéen; Cape d'Atcham; Sabots de Vortex; Dofus Émeraude; Dofus des Glaces; Dolmanax; Dofus Abyssal; Dofus Ocre; Dofus Ivoire; Muldo Ebène</t>
        </is>
      </c>
    </row>
    <row r="20724">
      <c r="A20724" t="inlineStr">
        <is>
          <t>mode eau dopou</t>
        </is>
      </c>
      <c r="B20724">
        <f>HYPERLINK("https://www.dofusbook.net/fr/equipement/2858671-mode-eau-dopou/objets", "link")</f>
        <v/>
      </c>
      <c r="C20724" t="n">
        <v>0</v>
      </c>
      <c r="D20724" t="inlineStr">
        <is>
          <t>Dagoulinantes; Amulette Luminescente; Bague Trithon; Bracelet des Fonds marins; Bouclier précieux; Ceinture Luminescente; Masque de l'Esprit Malsain; Cape Solution; Bottes Owesli; Dofus Ocre; Dofus Émeraude; Dofus Ivoire; Bousculeur majeur; Culbuteur majeur; Carapace Eau majeur; Muldo Ebène et Indigo</t>
        </is>
      </c>
    </row>
    <row r="20725">
      <c r="A20725" t="inlineStr">
        <is>
          <t>mode agi</t>
        </is>
      </c>
      <c r="B20725">
        <f>HYPERLINK("https://www.dofusbook.net/fr/equipement/2858780-mode-agi/objets", "link")</f>
        <v/>
      </c>
      <c r="C20725" t="n">
        <v>0</v>
      </c>
      <c r="D20725" t="inlineStr">
        <is>
          <t>Pelle de la Cour Sombre; Collier du Valet Veinard; Anneau Rifique; Gant du Valet Veinard; Bouclier d'Ilyzaelle; Ceintouse; Chapoulpe; Cape du Valet Veinard; Tentassons; Dofus Pourpre; Dofus Ocre; Dofus Abyssal; Dofus Ivoire; Dofus des Glaces; Dofus Émeraude; Muldo Ebène</t>
        </is>
      </c>
    </row>
    <row r="20726">
      <c r="A20726" t="inlineStr">
        <is>
          <t>Mode bourrin sa mère</t>
        </is>
      </c>
      <c r="B20726">
        <f>HYPERLINK("https://www.dofusbook.net/fr/equipement/2858609-mode-bourrin-sa-mere/objets", "link")</f>
        <v/>
      </c>
      <c r="C20726" t="n">
        <v>1</v>
      </c>
      <c r="D20726" t="inlineStr">
        <is>
          <t>Massier; Amulette Volcanique; Bague Gloursonne; Baguistik; Bouclier d'Ilyzaelle; Ceinture de Gein; Masque de Koutoulou; Voile d'encre; Sabots Volcaniques; Dofus Pourpre; Dofus Abyssal; Dofus Turquoise; Dofus Ivoire; Dofus Émeraude; Dofus Ocre; Muldo Pourpre</t>
        </is>
      </c>
    </row>
    <row r="20727">
      <c r="A20727" t="inlineStr">
        <is>
          <t>mode tromperie</t>
        </is>
      </c>
      <c r="B20727">
        <f>HYPERLINK("https://www.dofusbook.net/fr/equipement/2846927-mode-tromperie/objets", "link")</f>
        <v/>
      </c>
      <c r="C20727" t="n">
        <v>0</v>
      </c>
      <c r="D20727" t="inlineStr">
        <is>
          <t>Épée Brûlâme; Amulette du Strigide; Bague Trithon; Anneau de Padgref; Bouclier du Stalak; Ceinture du Strigide; Le Dorado; Chevelure de Tal Kasha; Pataugastrique; Dofus Turquoise; Dofus Pourpre; Remueur; Vigoureux majeur; Nomade; Robuste majeur; Muldo Orchidée</t>
        </is>
      </c>
    </row>
    <row r="20728">
      <c r="A20728" t="inlineStr">
        <is>
          <t>terre do pou</t>
        </is>
      </c>
      <c r="B20728">
        <f>HYPERLINK("https://www.dofusbook.net/fr/equipement/2846377-terre-do-pou/objets", "link")</f>
        <v/>
      </c>
      <c r="C20728" t="n">
        <v>0</v>
      </c>
      <c r="D20728" t="inlineStr">
        <is>
          <t>Héqache; Amulette Luminescente; Anneau Crustique; Bague Trithon; Bouclier Taverne; Ceinture Gence; Masque de Koutoulou; Cape Luminescente; Bottistik; Dofus Turquoise; Culbuteur majeur; Enragé majeur; Bousculeur majeur; Nomade; Remueur; Muldo Orchidée et Pourpre</t>
        </is>
      </c>
    </row>
    <row r="20729">
      <c r="A20729" t="inlineStr">
        <is>
          <t>mode ré crit</t>
        </is>
      </c>
      <c r="B20729">
        <f>HYPERLINK("https://www.dofusbook.net/fr/equipement/2833466-mode-re-crit/objets", "link")</f>
        <v/>
      </c>
      <c r="C20729" t="n">
        <v>0</v>
      </c>
      <c r="D20729" t="inlineStr">
        <is>
          <t>L'Épée Nice; Amulette de l'Orfélin; Anneau de XLII; Veranneau; Le Karde Cœur; Ceinture Phossile; Bonnet Ko; Cape d'Ogivol; Bottes de XLII; Dofus Ocre; Dofus Pourpre; Dofus des Glaces; Dofus Turquoise; Dofus Ivoire; Fortification majeure; Muldo Ebène et Pourpre</t>
        </is>
      </c>
    </row>
    <row r="20730">
      <c r="A20730" t="inlineStr">
        <is>
          <t>feu air</t>
        </is>
      </c>
      <c r="B20730">
        <f>HYPERLINK("https://www.dofusbook.net/fr/equipement/2828820-feu-air/objets", "link")</f>
        <v/>
      </c>
      <c r="C20730" t="n">
        <v>0</v>
      </c>
      <c r="D20730" t="inlineStr">
        <is>
          <t>Baguette Range; Pendentif mignon de Koutoulou; Alliance Gloursonne; Anneau Rifique; Bouclier du Stalak; Menoture; Masque Brûlâme; Cape des Malveilleurs; Sabots de Vortex; Dofus Pourpre; Carapace Feu majeur; Vigoureux majeur; Remueur; Nomade; Carapace Air majeur; Muldo Ebène et Orchidée</t>
        </is>
      </c>
    </row>
    <row r="20731">
      <c r="A20731" t="inlineStr">
        <is>
          <t>goule</t>
        </is>
      </c>
      <c r="B20731">
        <f>HYPERLINK("https://www.dofusbook.net/fr/equipement/2828718-goule/objets", "link")</f>
        <v/>
      </c>
      <c r="C20731" t="n">
        <v>0</v>
      </c>
      <c r="D20731" t="inlineStr">
        <is>
          <t>Dagues de Srambad; Amulette de Pol Ouatnos; Goulano; Pikano; Goulclier; Ceinture de la Reine des Voleurs; Coiffe de la Reine des Voleurs; Cape Luminescente; Goulbottes; Dofus Ocre; Dolmanax; Dokoko; Dofus Pourpre; Dofus Abyssal; Dofus des Glaces; Muldo Ebène et Orchidée</t>
        </is>
      </c>
    </row>
    <row r="20732">
      <c r="A20732" t="inlineStr">
        <is>
          <t>eau air</t>
        </is>
      </c>
      <c r="B20732">
        <f>HYPERLINK("https://www.dofusbook.net/fr/equipement/2828646-eau-air/objets", "link")</f>
        <v/>
      </c>
      <c r="C20732" t="n">
        <v>5</v>
      </c>
      <c r="D20732" t="inlineStr">
        <is>
          <t>Arc de Koutoulou; Amulette d'Ilyzaelle; Alliance Gloursonne; Gant du Valet Veinard; Bouclier d'Ilyzaelle; Ceinture de la Reine des Voleurs; Casque d'Ilyzaelle; Cape du Barbétoal; Bottes de la Reine des Voleurs; Dofus Abyssal; Dofus Ocre; Dolmanax; Dofus des Glaces; Dofus Pourpre; Robuste majeur; Muldo Ebène et Indigo</t>
        </is>
      </c>
    </row>
    <row r="20733">
      <c r="A20733" t="inlineStr">
        <is>
          <t>eau feu</t>
        </is>
      </c>
      <c r="B20733">
        <f>HYPERLINK("https://www.dofusbook.net/fr/equipement/2828566-eau-feu/objets", "link")</f>
        <v/>
      </c>
      <c r="C20733" t="n">
        <v>0</v>
      </c>
      <c r="D20733" t="inlineStr">
        <is>
          <t>Pyraguette; Talisman Igans; Lavanneau; Goulano; Bouclier du Stalak; Ceinture de l'Esprit Salvateur; Masque de l'Esprit Salvateur; Cape de l'Œil Putride; Pataugastrique; Dofus Pourpre; Remueur; Robuste majeur; Nomade; Vigoureux majeur; Miraculé majeur; Muldo Indigo et Orchidée</t>
        </is>
      </c>
    </row>
    <row r="20734">
      <c r="A20734" t="inlineStr">
        <is>
          <t>jjkojo</t>
        </is>
      </c>
      <c r="B20734">
        <f>HYPERLINK("https://www.dofusbook.net/fr/equipement/2828486-jjkojo/objets", "link")</f>
        <v/>
      </c>
      <c r="C20734" t="n">
        <v>0</v>
      </c>
      <c r="D20734" t="inlineStr">
        <is>
          <t>Héqache; Pendentif mignon de Koutoulou; Alliance Gloursonne; Gant du Valet Veinard; Cadran d'Air; Menoture; Couronne d'Allister; Cape du Valet Veinard; Palmes Trithons; Equilibriste majeur; Nomade; Cascadeur majeur; Remueur; Robuste majeur; Dévastateur Air majeur; Muldo Ebène et Orchidée</t>
        </is>
      </c>
    </row>
    <row r="20735">
      <c r="A20735" t="inlineStr">
        <is>
          <t>tyra</t>
        </is>
      </c>
      <c r="B20735">
        <f>HYPERLINK("https://www.dofusbook.net/fr/equipement/2815004-tyra/objets", "link")</f>
        <v/>
      </c>
      <c r="C20735" t="n">
        <v>0</v>
      </c>
      <c r="D20735" t="inlineStr">
        <is>
          <t>Baguette Range; Pendentif mignon de Koutoulou; Anneau Rifique; Anneau du Katcheur; Bouclier du Stalak; Ceinture de Vortex; Chapeau des Malveilleurs; Cape des Malveilleurs; Bottes des Malveilleurs; Dofus Pourpre; Dofus des Glaces; Dolmanax; Dofus Ocre; Bousculeur majeur; Robuste majeur; Muldo Ebène et Pourpre</t>
        </is>
      </c>
    </row>
    <row r="20736">
      <c r="A20736" t="inlineStr">
        <is>
          <t>TESTou</t>
        </is>
      </c>
      <c r="B20736">
        <f>HYPERLINK("https://www.dofusbook.net/fr/equipement/2761967-testou/objets", "link")</f>
        <v/>
      </c>
      <c r="C20736" t="n">
        <v>0</v>
      </c>
      <c r="D20736" t="inlineStr">
        <is>
          <t>Dagues du Dragoeuf; Frimamulette; Bague Gloursonne; Alliance Gloursonne; Cadran de Terre; Ceinture du Glourséleste; Bonnet Ko; Cape d'Hel Munster; Chaussures Hau; Dofus Pourpre; Remueur; Miraculé majeur; Nomade; Vigoureux majeur; Robuste majeur; Muldo Ebène et Pourpre</t>
        </is>
      </c>
    </row>
    <row r="20737">
      <c r="A20737" t="inlineStr">
        <is>
          <t>trouduc</t>
        </is>
      </c>
      <c r="B20737">
        <f>HYPERLINK("https://www.dofusbook.net/fr/equipement/2745064-trouduc/objets", "link")</f>
        <v/>
      </c>
      <c r="C20737" t="n">
        <v>0</v>
      </c>
      <c r="D20737" t="inlineStr">
        <is>
          <t>Marteau d'Henual; Kralamansion; Anneau d'Henual; Bague Gloursonne; Cadran de Terre; Ceinture d'Ogivol; Casque de Missiz Frizz; Cape Matelassée; Pantoufles Émar; Robuste majeur; Vigoureux majeur; Remueur; Miraculé majeur; Nomade; Sanguinaire majeur; Muldo Indigo et Pourpre</t>
        </is>
      </c>
    </row>
    <row r="20738">
      <c r="A20738" t="inlineStr">
        <is>
          <t>ode esquive ap</t>
        </is>
      </c>
      <c r="B20738">
        <f>HYPERLINK("https://www.dofusbook.net/fr/equipement/2733636-ode-esquive-ap/objets", "link")</f>
        <v/>
      </c>
      <c r="C20738" t="n">
        <v>0</v>
      </c>
      <c r="D20738" t="inlineStr">
        <is>
          <t>Dagoulinantes; Amulette de l'Œil Attentif; Bracelet des Fonds marins; Goulano; Goulclier; Pagne du Rykaon; Capuche de l'Œil Attentif; Cape de l'Œil Attentif; Goulbottes; Dofus des Glaces; Dofus Ocre; Dofus Pourpre; Dolmanax; Insaisissable majeur; Imprenable majeur; Muldo Indigo</t>
        </is>
      </c>
    </row>
    <row r="20739">
      <c r="A20739" t="inlineStr">
        <is>
          <t>mon osa</t>
        </is>
      </c>
      <c r="B20739">
        <f>HYPERLINK("https://www.dofusbook.net/fr/equipement/2728065-mon-osa/objets", "link")</f>
        <v/>
      </c>
      <c r="C20739" t="n">
        <v>0</v>
      </c>
      <c r="D20739" t="inlineStr">
        <is>
          <t>Sabres d'Atcham; Amulette d'Ilyzaelle; Alliance Gloursonne; Anneau Tique; Bouclier d'Ilyzaelle; Ceinture du Barbétoal; Casque d'Ilyzaelle; Cape d'Atcham; Sandales  d'Atcham; Dofus Émeraude; Dofus des Glaces; Dofus Abyssal; Dolmanax; Dokoko; Dofus Ocre; Muldo Ebène</t>
        </is>
      </c>
    </row>
    <row r="20740">
      <c r="A20740" t="inlineStr">
        <is>
          <t>osartiste</t>
        </is>
      </c>
      <c r="B20740">
        <f>HYPERLINK("https://www.dofusbook.net/fr/equipement/2728049-osartiste/objets", "link")</f>
        <v/>
      </c>
      <c r="C20740" t="n">
        <v>0</v>
      </c>
      <c r="D20740" t="inlineStr">
        <is>
          <t>Le Thanos; Amulette Séculaire; Goulano; Anneau de Nidas; Goulclier; Ceinture Séculaire; Coiffe Séculaire; Voile d'encre; Goulbottes; Dokoko; Dofus Ocre; Dofus Émeraude; Dofus Abyssal; Dolmanax; Muldo Indigo et Orchidée</t>
        </is>
      </c>
    </row>
    <row r="20741">
      <c r="A20741" t="inlineStr">
        <is>
          <t>feu eau air 11pa</t>
        </is>
      </c>
      <c r="B20741">
        <f>HYPERLINK("https://www.dofusbook.net/fr/equipement/2726584-feu-eau-air-11pa/objets", "link")</f>
        <v/>
      </c>
      <c r="C20741" t="n">
        <v>0</v>
      </c>
      <c r="D20741" t="inlineStr">
        <is>
          <t>Bâtonnet Ronien; Amulette Hale; Anneau de Padgref; Alliance Gloursonne; Bouclier Taverne; Ceinture Rasboulaire du Rasboul; Binocle Airvoyant; Cape Matelassée; Pantoufles Émar; Dofus Pourpre; Dofus Turquoise; Vigoureux majeur; Nomade; Miraculé majeur; Remueur; Muldo Ebène et Indigo</t>
        </is>
      </c>
    </row>
    <row r="20742">
      <c r="A20742" t="inlineStr">
        <is>
          <t>BASTIEN</t>
        </is>
      </c>
      <c r="B20742">
        <f>HYPERLINK("https://www.dofusbook.net/fr/equipement/2726515-bastien/objets", "link")</f>
        <v/>
      </c>
      <c r="C20742" t="n">
        <v>0</v>
      </c>
      <c r="D20742" t="inlineStr">
        <is>
          <t>Epée Toche; Amulette Héroclite; Alliance de Missiz Frizz; Bague Gloursonne; Bouclier Taverne; Ceinture de Brouce; Casque de Missiz Frizz; Cape au Logis; Sabots Minables; Dofus Turquoise; Dofus Pourpre; Vigoureux majeur; Observateur; Enragé majeur; Remueur; Muldo Orchidée et Pourpre</t>
        </is>
      </c>
    </row>
    <row r="20743">
      <c r="A20743" t="inlineStr">
        <is>
          <t>SOUIN</t>
        </is>
      </c>
      <c r="B20743">
        <f>HYPERLINK("https://www.dofusbook.net/fr/equipement/2723490-souin/objets", "link")</f>
        <v/>
      </c>
      <c r="C20743" t="n">
        <v>1</v>
      </c>
      <c r="D20743" t="inlineStr">
        <is>
          <t>Le Thanos; Pendentif affamé; Anneauræus; Anneauræus; Carapar; Ceinture Séculaire; Coiffe Séculaire; Voile d'encre; Pataugastrique; Guérisseur majeur; Nomade; Miraculé majeur; Astucieux majeur; Érudit majeur; Remueur; Brûlih</t>
        </is>
      </c>
    </row>
    <row r="20744">
      <c r="A20744" t="inlineStr">
        <is>
          <t>enu</t>
        </is>
      </c>
      <c r="B20744">
        <f>HYPERLINK("https://www.dofusbook.net/fr/equipement/2694547-enu/objets", "link")</f>
        <v/>
      </c>
      <c r="C20744" t="n">
        <v>1</v>
      </c>
      <c r="D20744" t="inlineStr">
        <is>
          <t>Bâtonnet Ronien; Amulette Hale; Pikano; Anneau Tamie; Bouclier cubiste; Ceinture Glaciale; Masque du Glourséleste; Cape Tif; Pantoufles Émar; Nomade; Temporiseur majeur; Ralentisseur majeur; Entraveur majeur; Remueur; Vigoureux majeur; Muldo Indigo et Pourpre</t>
        </is>
      </c>
    </row>
    <row r="20745">
      <c r="A20745" t="inlineStr">
        <is>
          <t>BITEEEE</t>
        </is>
      </c>
      <c r="B20745">
        <f>HYPERLINK("https://www.dofusbook.net/fr/equipement/2670529-biteeee/objets", "link")</f>
        <v/>
      </c>
      <c r="C20745" t="n">
        <v>0</v>
      </c>
      <c r="D20745" t="inlineStr">
        <is>
          <t>Bâton Beau; Amulette Héroclite; Bague Gloursonne; Anneau de Padgref; Bouclier Taverne; Ceinture d'Henual; Coiffe de la Fuji Givrefoux; Cape Hiculteur; Pantoufles Émar; Dofus Pourpre; Dofus Turquoise; Remueur; Nomade; Vigoureux majeur; Miraculé majeur; Muldo Ebène et Orchidée</t>
        </is>
      </c>
    </row>
    <row r="20746">
      <c r="A20746" t="inlineStr">
        <is>
          <t>ojojopjojo</t>
        </is>
      </c>
      <c r="B20746">
        <f>HYPERLINK("https://www.dofusbook.net/fr/equipement/2659958-ojojopjojo/objets", "link")</f>
        <v/>
      </c>
      <c r="C20746" t="n">
        <v>0</v>
      </c>
      <c r="D20746" t="inlineStr">
        <is>
          <t>Amulette d'Otomaï</t>
        </is>
      </c>
    </row>
    <row r="20747">
      <c r="A20747" t="inlineStr">
        <is>
          <t>eni FEU SOUINNNN</t>
        </is>
      </c>
      <c r="B20747">
        <f>HYPERLINK("https://www.dofusbook.net/fr/equipement/1661787-eni-feu-souinnnn/objets", "link")</f>
        <v/>
      </c>
      <c r="C20747" t="n">
        <v>0</v>
      </c>
      <c r="D20747" t="inlineStr">
        <is>
          <t>Arc Hétype; Amulette d'Otomaï; Bague Gloursonne; Anneau de Padgref; Carapar; Ceinture du Comte Razof; Chapeau du Comte Razof; Cape de Nileza; Pantoufles Émar; Remueur; Nomade; Guérisseur majeur; Érudit majeur; Muldo Indigo et Orchidée</t>
        </is>
      </c>
    </row>
    <row r="20748">
      <c r="A20748" t="inlineStr">
        <is>
          <t>csg</t>
        </is>
      </c>
      <c r="B20748">
        <f>HYPERLINK("https://www.dofusbook.net/fr/equipement/2559961-csg/objets", "link")</f>
        <v/>
      </c>
      <c r="C20748" t="n">
        <v>0</v>
      </c>
      <c r="D20748" t="inlineStr">
        <is>
          <t>Arc corrompu; Pendentif affamé; Anneauræus; Anneau Tique; Bouclier du Stalak; Ceinture Séculaire; Coiffe Séculaire; Cape de Diondin; Bottes Innommables; Dofus Turquoise; Dofus Pourpre; Remueur; Carapace Feu majeur; Miraculé majeur; Érudit majeur; Muldo Orchidée</t>
        </is>
      </c>
    </row>
    <row r="20749">
      <c r="A20749" t="inlineStr">
        <is>
          <t>dgbgdg</t>
        </is>
      </c>
      <c r="B20749">
        <f>HYPERLINK("https://www.dofusbook.net/fr/equipement/2559954-dgbgdg/objets", "link")</f>
        <v/>
      </c>
      <c r="C20749" t="n">
        <v>0</v>
      </c>
      <c r="D20749" t="inlineStr">
        <is>
          <t>Dagues de Srambad; Amulette d'Ilyzaelle; Alliance Gloursonne; Alliance Brûlâme; Bouclier du Stalak; Ceinture de la Reine des Voleurs; Coiffe de la Reine des Voleurs; Cape du Kamasterisk; Baleinabottes; Dofus des Glaces; Dofus Pourpre; Robuste majeur; Remueur; Vigoureux majeur; Nomade; Muldo Ebène et Indigo</t>
        </is>
      </c>
    </row>
    <row r="20750">
      <c r="A20750" t="inlineStr">
        <is>
          <t>OetR</t>
        </is>
      </c>
      <c r="B20750">
        <f>HYPERLINK("https://www.dofusbook.net/fr/equipement/2559940-oetr/objets", "link")</f>
        <v/>
      </c>
      <c r="C20750" t="n">
        <v>0</v>
      </c>
      <c r="D20750" t="inlineStr">
        <is>
          <t>Arc de Koutoulou; Amulette d'Ilyzaelle; Alliance Gloursonne; Alliance Brûlâme; Bouclier du Stalak; Menoture; Casque d'Ilyzaelle; Voilamibe; Bottes de la Reine des Voleurs; Dofus des Glaces; Dofus Pourpre; Nomade; Robuste majeur; Remueur; Vigoureux majeur; Muldo Ebène</t>
        </is>
      </c>
    </row>
    <row r="20751">
      <c r="A20751" t="inlineStr">
        <is>
          <t>faz</t>
        </is>
      </c>
      <c r="B20751">
        <f>HYPERLINK("https://www.dofusbook.net/fr/equipement/2559932-faz/objets", "link")</f>
        <v/>
      </c>
      <c r="C20751" t="n">
        <v>0</v>
      </c>
      <c r="D20751" t="inlineStr">
        <is>
          <t>Héqache; Amulette de l'Indicible; Alliance Brûlâme; Alliance Gloursonne; Bouclier du Stalak; Ceintacé; Masque de l'Esprit Salvateur; Dofusteuse; Bottes de l'Esprit Salvateur; Dofus Pourpre; Remueur; Vigoureux majeur; Observateur; Nomade; Robuste majeur; Muldo Orchidée et Pourpre</t>
        </is>
      </c>
    </row>
    <row r="20752">
      <c r="A20752" t="inlineStr">
        <is>
          <t>sdfghjkl</t>
        </is>
      </c>
      <c r="B20752">
        <f>HYPERLINK("https://www.dofusbook.net/fr/equipement/2228205-sdfghjkl/objets", "link")</f>
        <v/>
      </c>
      <c r="C20752" t="n">
        <v>0</v>
      </c>
      <c r="D20752" t="inlineStr">
        <is>
          <t>Baguette Range; Amulette du Strigide; Alliance Gloursonne; Anneau de Padgref; Quatre-feuilles; Ceintacé; Capuche de l'Œil Putride; Cape de la Dame du Hasard; Bottes du Strigide; Dofus Pourpre; Dofus Turquoise; Remueur; Nomade; Temporiseur majeur; Vigoureux majeur; Muldo Ebène et Orchidée</t>
        </is>
      </c>
    </row>
    <row r="20753">
      <c r="A20753" t="inlineStr">
        <is>
          <t>soin</t>
        </is>
      </c>
      <c r="B20753">
        <f>HYPERLINK("https://www.dofusbook.net/fr/equipement/2040193-soin/objets", "link")</f>
        <v/>
      </c>
      <c r="C20753" t="n">
        <v>0</v>
      </c>
      <c r="D20753" t="inlineStr">
        <is>
          <t>Épée Brûlâme; Amulette du Strigide; Anneau de Padgref; Alliance Gloursonne; Bouclier du Captain Amakna; Ceinture du Strigide; Masque de l'Esprit Malsain; Cape de la Dame du Hasard; Pataugastrique; Dofus Turquoise; Dofus des Glaces; Dofus Pourpre; Nomade; Vigoureux majeur; Remueur; Muldo Indigo et Orchidée</t>
        </is>
      </c>
    </row>
    <row r="20754">
      <c r="A20754" t="inlineStr">
        <is>
          <t>feu</t>
        </is>
      </c>
      <c r="B20754">
        <f>HYPERLINK("https://www.dofusbook.net/fr/equipement/2040195-feu/objets", "link")</f>
        <v/>
      </c>
      <c r="C20754" t="n">
        <v>0</v>
      </c>
      <c r="D20754" t="inlineStr">
        <is>
          <t>Arc Hétype; Amulette d'Otomaï; Bague Gloursonne; Kralano; Carapar; Ceinture du Comte Razof; Chapeau du Comte Razof; Cape de Nileza; Pantoufles Émar; Miraculé majeur; Astucieux majeur; Remueur; Guérisseur majeur; Nomade; Érudit majeur; Muldo Indigo et Orchidée</t>
        </is>
      </c>
    </row>
    <row r="20755">
      <c r="A20755" t="inlineStr">
        <is>
          <t>test</t>
        </is>
      </c>
      <c r="B20755">
        <f>HYPERLINK("https://www.dofusbook.net/fr/equipement/2040167-test/objets", "link")</f>
        <v/>
      </c>
      <c r="C20755" t="n">
        <v>0</v>
      </c>
      <c r="D20755" t="inlineStr">
        <is>
          <t>Sabres d'Atcham; Amulette d'Ilyzaelle; Bague Gloursonne; Alliance Gloursonne; Bouclier d'Ilyzaelle; Ceinture de Vortex; Casque d'Ilyzaelle; Cape d'Atcham; Sandales  d'Atcham; Dolmanax; Dofus Ocre; Dofus des Glaces; Dofus Pourpre; Robuste majeur; Féroce majeur; Muldo Ebène</t>
        </is>
      </c>
    </row>
    <row r="20756">
      <c r="A20756" t="inlineStr">
        <is>
          <t>soi rox</t>
        </is>
      </c>
      <c r="B20756">
        <f>HYPERLINK("https://www.dofusbook.net/fr/equipement/2020097-soi-rox/objets", "link")</f>
        <v/>
      </c>
      <c r="C20756" t="n">
        <v>0</v>
      </c>
      <c r="D20756" t="inlineStr">
        <is>
          <t>Le Thanos; Amulette d'Ilyzaelle; Anneau Tique; Alliance Gloursonne; Carapar; Ceinture de l'Esprit Malsain; Casque d'Ilyzaelle; Cape de Diondin; Bottes de l'Esprit Malsain; Dolmanax; Dofus Abyssal; Dofus Émeraude; Dofus Ocre; Soigneur majeur; Docteur majeur; Muldo Ebène et Indigo</t>
        </is>
      </c>
    </row>
    <row r="20757">
      <c r="A20757" t="inlineStr">
        <is>
          <t>terraire</t>
        </is>
      </c>
      <c r="B20757">
        <f>HYPERLINK("https://www.dofusbook.net/fr/equipement/1978814-terraire/objets", "link")</f>
        <v/>
      </c>
      <c r="C20757" t="n">
        <v>0</v>
      </c>
      <c r="D20757" t="inlineStr">
        <is>
          <t>Héqache; Amulette du Cœur Vaillant; Alliance Brûlâme; Gant du Valet Veinard; Cadran de Terre; Ceintouse; Chapoulpe; Cape du Cœur Vaillant; Bottes du Cœur Vaillant; Dolmanax; Dofus Turquoise; Dofus Abyssal; Dofus Ocre; Dofus des Glaces; Dofus Pourpre; Muldo Ebène et Pourpre</t>
        </is>
      </c>
    </row>
    <row r="20758">
      <c r="A20758" t="inlineStr">
        <is>
          <t>mode feu</t>
        </is>
      </c>
      <c r="B20758">
        <f>HYPERLINK("https://www.dofusbook.net/fr/equipement/1943942-mode-feu/objets", "link")</f>
        <v/>
      </c>
      <c r="C20758" t="n">
        <v>0</v>
      </c>
      <c r="D20758" t="inlineStr">
        <is>
          <t>Arc corrompu; Pendentif affamé; Anneauræus; Anneauræus; Quatre-feuilles; Ceinture Séculaire; Coiffe Séculaire; Cape de Diondin; Bottes Innommables; Dofus Abyssal; Dofus Pourpre; Dofus Ocre; Dofus Turquoise; Vigoureux majeur; Érudit majeur; Muldo Orchidée</t>
        </is>
      </c>
    </row>
    <row r="20759">
      <c r="A20759" t="inlineStr">
        <is>
          <t>feau</t>
        </is>
      </c>
      <c r="B20759">
        <f>HYPERLINK("https://www.dofusbook.net/fr/equipement/1936728-feau/objets", "link")</f>
        <v/>
      </c>
      <c r="C20759" t="n">
        <v>1</v>
      </c>
      <c r="D20759" t="inlineStr">
        <is>
          <t>Bâthon; Amulette de l'Œil Putride; Alliance Brûlâme; Goulano; Goulclier; Ceinture de Kongoku; Capuche de l'Œil Putride; Cape de l'Œil Putride; Goulbottes; Dofus des Glaces; Dofus Turquoise; Dolmanax; Dofus Ocre; Dofus Abyssal; Dofus Pourpre; Muldo Orchidée et Pourpre</t>
        </is>
      </c>
    </row>
    <row r="20760">
      <c r="A20760" t="inlineStr">
        <is>
          <t>cheat</t>
        </is>
      </c>
      <c r="B20760">
        <f>HYPERLINK("https://www.dofusbook.net/fr/equipement/1936710-cheat/objets", "link")</f>
        <v/>
      </c>
      <c r="C20760" t="n">
        <v>1</v>
      </c>
      <c r="D20760" t="inlineStr">
        <is>
          <t>Dagues d'Ilyzaelle; Amulette du Cœur Saignant; Pikano; Alliance Brûlâme; Bouclier cubiste; Ceinture Luminescente; Masque Brûlâme; Cape du Cœur Saignant; Bottes du Cœur Saignant; Dofus Ocre; Dofus Abyssal; Dofus Nébuleux; Dofus Pourpre; Dofus Vulbis; Dofus Turquoise; Muldo Indigo et Pourpre</t>
        </is>
      </c>
    </row>
    <row r="20761">
      <c r="A20761" t="inlineStr">
        <is>
          <t>terre do cri</t>
        </is>
      </c>
      <c r="B20761">
        <f>HYPERLINK("https://www.dofusbook.net/fr/equipement/1936665-terre-do-cri/objets", "link")</f>
        <v/>
      </c>
      <c r="C20761" t="n">
        <v>0</v>
      </c>
      <c r="D20761" t="inlineStr">
        <is>
          <t>Dagues d'Ilyzaelle; Amulette du Cœur Saignant; Alliance de Missiz Frizz; Anneau de Brouce; Bouclier du Captain Amakna; Ceinture de Brouce; Casque de Missiz Frizz; Cape du Cœur Saignant; Bottes du Cœur Saignant; Dofus des Glaces; Dofus Turquoise; Dofus Abyssal; Dofus Pourpre; Dofus Nébuleux; Dofus Ocre; Muldo Indigo et Pourpre</t>
        </is>
      </c>
    </row>
    <row r="20762">
      <c r="A20762" t="inlineStr">
        <is>
          <t>airrrrrr</t>
        </is>
      </c>
      <c r="B20762">
        <f>HYPERLINK("https://www.dofusbook.net/fr/equipement/1915903-airrrrrr/objets", "link")</f>
        <v/>
      </c>
      <c r="C20762" t="n">
        <v>1</v>
      </c>
      <c r="D20762" t="inlineStr">
        <is>
          <t>Manthache; Collier du Valet Veinard; Anneau de Padgref; Anneau d'Allister; Bouclier du Stalak; Menoture; Couronne d'Allister; Cape du Valet Veinard; Bottes d'Allister; Dofus Émeraude; Dokoko; Ravageur Air majeur; Acrobate majeur; Voyageur; Equilibriste majeur; Muldo Ebène et Orchidée</t>
        </is>
      </c>
    </row>
    <row r="20763">
      <c r="A20763" t="inlineStr">
        <is>
          <t>stufftournoi</t>
        </is>
      </c>
      <c r="B20763">
        <f>HYPERLINK("https://www.dofusbook.net/fr/equipement/1909512-stufftournoi/objets", "link")</f>
        <v/>
      </c>
      <c r="C20763" t="n">
        <v>0</v>
      </c>
      <c r="D20763" t="inlineStr">
        <is>
          <t>Dagues de Srambad; Amulette Luminescente; Alliance du Lévitrof; Goulano; Goulclier; Ceinture Luminescente; Coiffe du Lévitrof; Cape Luminescente; Goulbottes; Dofus Ocre; Dofus Pourpre; Dofus Abyssal; Dokoko; Examinateur; Robuste majeur; Muldo Indigo</t>
        </is>
      </c>
    </row>
    <row r="20764">
      <c r="A20764" t="inlineStr">
        <is>
          <t>pandakatrepat</t>
        </is>
      </c>
      <c r="B20764">
        <f>HYPERLINK("https://www.dofusbook.net/fr/equipement/1907208-pandakatrepat/objets", "link")</f>
        <v/>
      </c>
      <c r="C20764" t="n">
        <v>0</v>
      </c>
      <c r="D20764" t="inlineStr">
        <is>
          <t>Rouleau à Pâtisserie d'Aermyne; Amulette Cryochrone; Alliance du Lévitrof; Gelano; Bouclier Feudala; Ceinture du Glourséleste; Casque Dragoeuf; Cape d'Aermyne; Bottes du Lévitrof; Dofus Émeraude; Fonceur majeur; Miraculé majeur; Remueur; Carapace Eau majeur; Nomade; Muldo Ebène et Orchidée</t>
        </is>
      </c>
    </row>
    <row r="20765">
      <c r="A20765" t="inlineStr">
        <is>
          <t>Mode pvm/pvp</t>
        </is>
      </c>
      <c r="B20765">
        <f>HYPERLINK("https://www.dofusbook.net/fr/equipement/1899016-mode-pvm-pvp/objets", "link")</f>
        <v/>
      </c>
      <c r="C20765" t="n">
        <v>0</v>
      </c>
      <c r="D20765" t="inlineStr">
        <is>
          <t>Baguette Hique; Amulette Cryochrone; Anneau Cryochrone; Goulano; Goulclier; Ceinture du Glourséleste; Coiffe Cryochrone; Cape du Professeur Xa; Goulbottes; Dofus Pourpre; Dofus Turquoise; Dofus Émeraude; Examinateur; Savant majeur; Turbulent; Muldo Indigo et Orchidée</t>
        </is>
      </c>
    </row>
    <row r="20766">
      <c r="A20766" t="inlineStr">
        <is>
          <t>mode feu</t>
        </is>
      </c>
      <c r="B20766">
        <f>HYPERLINK("https://www.dofusbook.net/fr/equipement/1894736-mode-feu/objets", "link")</f>
        <v/>
      </c>
      <c r="C20766" t="n">
        <v>0</v>
      </c>
      <c r="D20766" t="inlineStr">
        <is>
          <t>Plumeau Bil; Pendentif affamé; Anneau de Nidas; Anneau Tique; Bouclier du Stalak; Ceinture Séculaire; Coiffe Séculaire; Cape de Diondin; Bottes Innommables; Dofus Abyssal; Dofus Pourpre; Dofus Ocre; Dofus des Glaces; Astucieux majeur; Érudit majeur; Muldo Orchidée</t>
        </is>
      </c>
    </row>
    <row r="20767">
      <c r="A20767" t="inlineStr">
        <is>
          <t>roxx</t>
        </is>
      </c>
      <c r="B20767">
        <f>HYPERLINK("https://www.dofusbook.net/fr/equipement/1894541-roxx/objets", "link")</f>
        <v/>
      </c>
      <c r="C20767" t="n">
        <v>0</v>
      </c>
      <c r="D20767" t="inlineStr">
        <is>
          <t>Hache du Chalœil; Amulette du Strigide; Bague Gloursonne; Bague Trithon; Quatre-feuilles; Ceinture du Strigide; Masque Trithon; Voile d'encre; Bottes Trithon; Dofus des Glaces; Dofus Turquoise; Dolmanax; Dofus Ocre; Dofus Abyssal; Dofus Pourpre; Muldo Pourpre</t>
        </is>
      </c>
    </row>
    <row r="20768">
      <c r="A20768" t="inlineStr">
        <is>
          <t>Mode roxe de fifou</t>
        </is>
      </c>
      <c r="B20768">
        <f>HYPERLINK("https://www.dofusbook.net/fr/equipement/1894289-mode-roxe-de-fifou/objets", "link")</f>
        <v/>
      </c>
      <c r="C20768" t="n">
        <v>1</v>
      </c>
      <c r="D20768" t="inlineStr">
        <is>
          <t>Dagoulinantes; Amulette de Shokkoth; Bracelet des Fonds marins; Anneau Glacial; Quatre-feuilles; Poulpagne; Masque des Fonds marins; Cape du Sinistrofu; Bottes du Sinistrofu; Dofus Pourpre; Dofus Ocre; Dofus Turquoise; Dofus Nébuleux; Dofus Vulbis; Dofus Abyssal; Dehluge</t>
        </is>
      </c>
    </row>
    <row r="20769">
      <c r="A20769" t="inlineStr">
        <is>
          <t>feuretpm</t>
        </is>
      </c>
      <c r="B20769">
        <f>HYPERLINK("https://www.dofusbook.net/fr/equipement/1894195-feuretpm/objets", "link")</f>
        <v/>
      </c>
      <c r="C20769" t="n">
        <v>1</v>
      </c>
      <c r="D20769" t="inlineStr">
        <is>
          <t>Baguette de Malléfisk; Amulette d'Otomaï; Anneau Tique; Anneau de Nidas; Bouclier cubiste; Ceinture Séculaire; Couronne de Nidas; Voile d'encre; Bottes de Meno; Dofus Ocre; Dofus Abyssal; Remueur; Temporiseur majeur; Guérisseur majeur; Érudit majeur; Muldo Orchidée et Pourpre</t>
        </is>
      </c>
    </row>
    <row r="20770">
      <c r="A20770" t="inlineStr">
        <is>
          <t>modefullfeudebile</t>
        </is>
      </c>
      <c r="B20770">
        <f>HYPERLINK("https://www.dofusbook.net/fr/equipement/1888652-modefullfeudebile/objets", "link")</f>
        <v/>
      </c>
      <c r="C20770" t="n">
        <v>0</v>
      </c>
      <c r="D20770" t="inlineStr">
        <is>
          <t>Harpelle; Pendentif affamé; Anneauræus; Anneauræus; Bouclier du Captain Amakna; Ceinture Séculaire; Coiffe Séculaire; Cape de Diondin; Bottes Innommables; Dofus Ocre; Dofus Turquoise; Dofus des Glaces; Dofus Pourpre; Astucieux majeur; Érudit majeur; Muldo Orchidée</t>
        </is>
      </c>
    </row>
    <row r="20771">
      <c r="A20771" t="inlineStr">
        <is>
          <t>cra</t>
        </is>
      </c>
      <c r="B20771">
        <f>HYPERLINK("https://www.dofusbook.net/fr/equipement/1880325-cra-/objets", "link")</f>
        <v/>
      </c>
      <c r="C20771" t="n">
        <v>1</v>
      </c>
      <c r="D20771" t="inlineStr">
        <is>
          <t>Héqache; Amulette du Kamasterisk; Anneau des égarés; Anneau de XLII; Quatre-feuilles; Ceinture de XLII; Casque des égarés; Cape du Kamasterisk; Bottes du Kamasterisk; Dofus Abyssal; Dofus Turquoise; Dofus Nébuleux; Dofus Ocre; Dofus des Glaces; Dofus Pourpre; Muldo Prune et Pourpre</t>
        </is>
      </c>
    </row>
    <row r="20772">
      <c r="A20772" t="inlineStr">
        <is>
          <t>rsgrg</t>
        </is>
      </c>
      <c r="B20772">
        <f>HYPERLINK("https://www.dofusbook.net/fr/equipement/1880114-rsgrg/objets", "link")</f>
        <v/>
      </c>
      <c r="C20772" t="n">
        <v>1</v>
      </c>
      <c r="D20772" t="inlineStr">
        <is>
          <t>Arc du Chalœil; Collier de Tourthon; Anneau Crustique; Anneau Crustique; Cadran de Terre; Ceinture de la Cour Sombre; Masque de Koutoulou; Voile d'encre; Bottes de la Cour Sombre; Dofus Nébuleux; Dofus Turquoise; Dofus Ocre; Dofus Pourpre; Dofus Abyssal; Enragé majeur; Muldo Pourpre</t>
        </is>
      </c>
    </row>
    <row r="20773">
      <c r="A20773" t="inlineStr">
        <is>
          <t>tank rox</t>
        </is>
      </c>
      <c r="B20773">
        <f>HYPERLINK("https://www.dofusbook.net/fr/equipement/1879924-tank-rox/objets", "link")</f>
        <v/>
      </c>
      <c r="C20773" t="n">
        <v>0</v>
      </c>
      <c r="D20773" t="inlineStr">
        <is>
          <t>Manthache; Collier du Valet Veinard; Alliance Gloursonne; Gant du Valet Veinard; Cadran d'Air; Menoture; Dorabysses; Cape du Kamasterisk; Palmes Trithons; Dofus des Glaces; Dofus Ocre; Dofus Abyssal; Dofus Pourpre; Cascadeur majeur; Cavaleur majeur; Muldo Ebène et Orchidée</t>
        </is>
      </c>
    </row>
    <row r="20774">
      <c r="A20774" t="inlineStr">
        <is>
          <t>pano</t>
        </is>
      </c>
      <c r="B20774">
        <f>HYPERLINK("https://www.dofusbook.net/fr/equipement/1879861-pano/objets", "link")</f>
        <v/>
      </c>
      <c r="C20774" t="n">
        <v>0</v>
      </c>
      <c r="D20774" t="inlineStr">
        <is>
          <t>Marteau de Katrepat; Amulette du Strigide; Bague Gloursonne; Alliance Gloursonne; Bouclier du Captain Amakna; Ceinture du Strigide; Casque du Chalœil; Cape du Chalœil; Bottes du Chalœil; Dofus Pourpre; Dolmanax; Dofus Turquoise; Dofus des Glaces; Dofus Abyssal; Dofus Ocre; Muldo Prune et Emeraude</t>
        </is>
      </c>
    </row>
    <row r="20775">
      <c r="A20775" t="inlineStr">
        <is>
          <t>rffer</t>
        </is>
      </c>
      <c r="B20775">
        <f>HYPERLINK("https://www.dofusbook.net/fr/equipement/1879690-rffer/objets", "link")</f>
        <v/>
      </c>
      <c r="C20775" t="n">
        <v>0</v>
      </c>
      <c r="D20775" t="inlineStr">
        <is>
          <t>Amulette du Strigide; Alliance de Missiz Frizz; Cape d'Atcham; Getas de Padgref</t>
        </is>
      </c>
    </row>
    <row r="20776">
      <c r="A20776" t="inlineStr">
        <is>
          <t>eauair</t>
        </is>
      </c>
      <c r="B20776">
        <f>HYPERLINK("https://www.dofusbook.net/fr/equipement/1876721-eauair/objets", "link")</f>
        <v/>
      </c>
      <c r="C20776" t="n">
        <v>0</v>
      </c>
      <c r="D20776" t="inlineStr">
        <is>
          <t>Harpelle; Amulette Séculaire; Anneauræus; Anneauræus; Bouclier du Captain Amakna; Ceinture Séculaire; Coiffe Séculaire; Cape d'Atcham; Sandales  d'Atcham; Dofus Pourpre; Dofus Abyssal; Dofus Turquoise; Dofus Nébuleux; Dofus des Glaces; Dofus Ocre; Muldo Ebène et Orchidée</t>
        </is>
      </c>
    </row>
    <row r="20777">
      <c r="A20777" t="inlineStr">
        <is>
          <t>modeplutanki</t>
        </is>
      </c>
      <c r="B20777">
        <f>HYPERLINK("https://www.dofusbook.net/fr/equipement/1876666-modeplutanki/objets", "link")</f>
        <v/>
      </c>
      <c r="C20777" t="n">
        <v>0</v>
      </c>
      <c r="D20777" t="inlineStr">
        <is>
          <t>Epée Toche; Amulette du Strigide; Chevalière du Roi Joueur; Bague Gloursonne; Bouclier du Captain Amakna; Ceintacé; Chapeau de Gein; Voile d'encre; Bottes du Strigide; Dofus Pourpre; Dofus Abyssal; Dofus Ocre; Dofus Nébuleux; Dofus Turquoise; Dofus des Glaces; Muldo Prune et Emeraude</t>
        </is>
      </c>
    </row>
    <row r="20778">
      <c r="A20778" t="inlineStr">
        <is>
          <t>ioppachere</t>
        </is>
      </c>
      <c r="B20778">
        <f>HYPERLINK("https://www.dofusbook.net/fr/equipement/1870342-ioppachere/objets", "link")</f>
        <v/>
      </c>
      <c r="C20778" t="n">
        <v>0</v>
      </c>
      <c r="D20778" t="inlineStr">
        <is>
          <t>Epée Toche; Amulette du Strigide; Bague Gloursonne; Bracelet du Piloztère; Bouclier du Captain Amakna; Ceintacé; Casque de Missiz Frizz; Voile d'encre; Bottes du Strigide; Dofus Turquoise; Dofus Pourpre; Nomade; Carapace Terre majeur; Remueur; Vigoureux majeur; Muldo Prune et Orchidée</t>
        </is>
      </c>
    </row>
    <row r="20779">
      <c r="A20779" t="inlineStr">
        <is>
          <t>test</t>
        </is>
      </c>
      <c r="B20779">
        <f>HYPERLINK("https://www.dofusbook.net/fr/equipement/1862548-test/objets", "link")</f>
        <v/>
      </c>
      <c r="C20779" t="n">
        <v>0</v>
      </c>
      <c r="D20779" t="inlineStr">
        <is>
          <t>Baguette Range; Amulette du Strigide; Anneau de Padgref; Bague Trithon; Quatre-feuilles; Ceinture du Strigide; Coiffe de Padgref; Cape d'Atcham; Getas de Padgref; Dofus Ocre; Dofus Émeraude; Dofus Pourpre; Dofus des Glaces; Dofus Turquoise; Voyageur; Muldo Prune et Emeraude</t>
        </is>
      </c>
    </row>
    <row r="20780">
      <c r="A20780" t="inlineStr">
        <is>
          <t>airfeu</t>
        </is>
      </c>
      <c r="B20780">
        <f>HYPERLINK("https://www.dofusbook.net/fr/equipement/1862404-airfeu/objets", "link")</f>
        <v/>
      </c>
      <c r="C20780" t="n">
        <v>0</v>
      </c>
      <c r="D20780" t="inlineStr">
        <is>
          <t>Baguette Range; Amulette du Strigide; Anneau d'Allister; Anneau de Padgref; Quatre-feuilles; Ceintacé; Masque Trithon; Cape d'Atcham; Bottes du Strigide; Dofus Pourpre; Dofus Turquoise; Remueur; Nomade; Sanguinaire majeur; Vigoureux majeur; Muldo Prune et Emeraude</t>
        </is>
      </c>
    </row>
    <row r="20781">
      <c r="A20781" t="inlineStr">
        <is>
          <t>ecafeucatapetcasoin</t>
        </is>
      </c>
      <c r="B20781">
        <f>HYPERLINK("https://www.dofusbook.net/fr/equipement/1808051-ecafeucatapetcasoin/objets", "link")</f>
        <v/>
      </c>
      <c r="C20781" t="n">
        <v>0</v>
      </c>
      <c r="D20781" t="inlineStr">
        <is>
          <t>Amulette Séculaire; Anneauræus; Anneau de Padgref; Bouclier du Captain Amakna; Ceinture Séculaire; Coiffe Séculaire; Voile d'encre; Getas de Padgref; Dofus des Glaces; Dolmanax; Dofus Turquoise; Dofus Abyssal; Dofus Ocre; Dofus Pourpre; Muldo Ebène et Pourpre</t>
        </is>
      </c>
    </row>
    <row r="20782">
      <c r="A20782" t="inlineStr">
        <is>
          <t>ihbuvukh</t>
        </is>
      </c>
      <c r="B20782">
        <f>HYPERLINK("https://www.dofusbook.net/fr/equipement/1806636-ihbuvukh/objets", "link")</f>
        <v/>
      </c>
      <c r="C20782" t="n">
        <v>0</v>
      </c>
      <c r="D20782" t="inlineStr">
        <is>
          <t>Epée Toche; Amulette Luminescente; Chevalière du Roi Joueur; Pikano; Bouclier cubiste; Ceinture Luminescente; Couronne du Roi Joueur; Cape Luminescente; Bottes du Roi Joueur; Dofus Abyssal; Dolmanax; Dofus Pourpre; Dofus Ocre; Dofus Turquoise; Entraveur majeur; Muldo Indigo et Pourpre</t>
        </is>
      </c>
    </row>
    <row r="20783">
      <c r="A20783" t="inlineStr">
        <is>
          <t>mode support3</t>
        </is>
      </c>
      <c r="B20783">
        <f>HYPERLINK("https://www.dofusbook.net/fr/equipement/1803985-mode-support3/objets", "link")</f>
        <v/>
      </c>
      <c r="C20783" t="n">
        <v>0</v>
      </c>
      <c r="D20783" t="inlineStr">
        <is>
          <t>Arc Hétype; Collier de la Dame du Hasard; Baguistik; Anneau de Nidas; Bouclier cubiste; Ceinture de Vortex; Couronne de Nidas; Capille; Bottes Innommables; Dofus Abyssal; Dofus Ocre; Remueur; Érudit majeur; Observateur; Temporiseur majeur; Muldo Ebène et Pourpre</t>
        </is>
      </c>
    </row>
    <row r="20784">
      <c r="A20784" t="inlineStr">
        <is>
          <t>support en bien</t>
        </is>
      </c>
      <c r="B20784">
        <f>HYPERLINK("https://www.dofusbook.net/fr/equipement/1800983-support-en-bien/objets", "link")</f>
        <v/>
      </c>
      <c r="C20784" t="n">
        <v>0</v>
      </c>
      <c r="D20784" t="inlineStr">
        <is>
          <t>Dagues Érhy; Amulette de Gein; Anneau de Nidas; Goulano; Goulclier; Ceinture de Gein; Chapeau de Gein; Voile d'encre; Goulbottes; Dolmanax; Dofus Abyssal; Dofus Pourpre; Dofus Ocre; Dokoko; Entraveur majeur; Muldo Ebène et Orchidée</t>
        </is>
      </c>
    </row>
    <row r="20785">
      <c r="A20785" t="inlineStr">
        <is>
          <t>stuff support</t>
        </is>
      </c>
      <c r="B20785">
        <f>HYPERLINK("https://www.dofusbook.net/fr/equipement/1800865-stuff-support/objets", "link")</f>
        <v/>
      </c>
      <c r="C20785" t="n">
        <v>0</v>
      </c>
      <c r="D20785" t="inlineStr">
        <is>
          <t>Plumeau Bil; Collier de la Dame du Hasard; Alliance Boletée; Anneau de Nidas; Bouclier cubiste; Ceinture Séculaire; Couronne de Nidas; Cape de la Dame du Hasard; Tongues de Nidas; Dolmanax; Dofus Abyssal; Dofus des Glaces; Dofus Ocre; Dokoko; Dofus des Veilleurs; Muldo Indigo et Orchidée</t>
        </is>
      </c>
    </row>
    <row r="20786">
      <c r="A20786" t="inlineStr">
        <is>
          <t>dopou</t>
        </is>
      </c>
      <c r="B20786">
        <f>HYPERLINK("https://www.dofusbook.net/fr/equipement/1760190-dopou/objets", "link")</f>
        <v/>
      </c>
      <c r="C20786" t="n">
        <v>0</v>
      </c>
      <c r="D20786" t="inlineStr">
        <is>
          <t>Héqache; Torquistik; Baguistik; Bague Trithon; Bouclier précieux; Ceinture Luminescente; Masque Trithon; Cape Luminescente; Bottistik; Dofus Ocre; Dokoko; Dofus Pourpre; Dofus Émeraude; Dofus Turquoise; Bousculeur majeur; Muldo Ebène et Pourpre</t>
        </is>
      </c>
    </row>
    <row r="20787">
      <c r="A20787" t="inlineStr">
        <is>
          <t>un mode qui rox</t>
        </is>
      </c>
      <c r="B20787">
        <f>HYPERLINK("https://www.dofusbook.net/fr/equipement/1759830-un-mode-qui-rox/objets", "link")</f>
        <v/>
      </c>
      <c r="C20787" t="n">
        <v>0</v>
      </c>
      <c r="D20787" t="inlineStr">
        <is>
          <t>Arc de Koutoulou; Amulette du Strigide; Alliance Gloursonne; Bague Trithon; Bouclier d'Anerice; Ceinture du Strigide; Masque d'Anerice; Cape d'Anerice; Bottes Trithon; Dofus Turquoise; Dofus des Glaces; Dofus Ocre; Dofus Abyssal; Dofus Pourpre; Dolmanax; Muldo Ebène et Orchidée</t>
        </is>
      </c>
    </row>
    <row r="20788">
      <c r="A20788" t="inlineStr">
        <is>
          <t>feu eau</t>
        </is>
      </c>
      <c r="B20788">
        <f>HYPERLINK("https://www.dofusbook.net/fr/equipement/1759172-feu-eau/objets", "link")</f>
        <v/>
      </c>
      <c r="C20788" t="n">
        <v>0</v>
      </c>
      <c r="D20788" t="inlineStr"/>
    </row>
    <row r="20789">
      <c r="A20789" t="inlineStr">
        <is>
          <t>anti cra</t>
        </is>
      </c>
      <c r="B20789">
        <f>HYPERLINK("https://www.dofusbook.net/fr/equipement/1749907-anti-cra-/objets", "link")</f>
        <v/>
      </c>
      <c r="C20789" t="n">
        <v>1</v>
      </c>
      <c r="D20789" t="inlineStr">
        <is>
          <t>Arc du Chalœil; Torquistik; Goulano; Baguistik; Goulclier; Ceinture de la Cour Sombre; Casque Dragoeuf; Cape de la Cour Sombre; Goulbottes; Dofus Ocre; Dofus Abyssal; Dofus Pourpre; Dolmanax; Dofus Turquoise; Dokoko; Muldo Indigo et Pourpre</t>
        </is>
      </c>
    </row>
    <row r="20790">
      <c r="A20790" t="inlineStr">
        <is>
          <t>ret pm/rox</t>
        </is>
      </c>
      <c r="B20790">
        <f>HYPERLINK("https://www.dofusbook.net/fr/equipement/1749803-ret-pm-rox/objets", "link")</f>
        <v/>
      </c>
      <c r="C20790" t="n">
        <v>0</v>
      </c>
      <c r="D20790" t="inlineStr">
        <is>
          <t>Dagues de Srambad; Amulette Luminescente; Bague Trithon; Pikano; Bouclier cubiste; Ceinture Luminescente; Casquipik; Cape Luminescente; Pikottes; Dofus Pourpre; Dofus Ocre; Dofus Turquoise; Dofus Nébuleux; Dofus Abyssal; Dofus des Glaces; Muldo Indigo et Pourpre</t>
        </is>
      </c>
    </row>
    <row r="20791">
      <c r="A20791" t="inlineStr">
        <is>
          <t>mode ero tank</t>
        </is>
      </c>
      <c r="B20791">
        <f>HYPERLINK("https://www.dofusbook.net/fr/equipement/1749706-mode-ero-tank/objets", "link")</f>
        <v/>
      </c>
      <c r="C20791" t="n">
        <v>0</v>
      </c>
      <c r="D20791" t="inlineStr">
        <is>
          <t>Pelle de la Cour Sombre; Collier du Valet Veinard; Alliance Gloursonne; Gant du Valet Veinard; Bouclier du Stalak; Menoture; Dorabysses; Cape Indescriptible; Palmes Trithons; Dolmanax; Dofus Abyssal; Dofus Pourpre; Dofus Ocre; Cascadeur majeur; Vigoureux majeur; Muldo Ebène</t>
        </is>
      </c>
    </row>
    <row r="20792">
      <c r="A20792" t="inlineStr">
        <is>
          <t>mode srambad</t>
        </is>
      </c>
      <c r="B20792">
        <f>HYPERLINK("https://www.dofusbook.net/fr/equipement/1748750-mode-srambad/objets", "link")</f>
        <v/>
      </c>
      <c r="C20792" t="n">
        <v>0</v>
      </c>
      <c r="D20792" t="inlineStr">
        <is>
          <t>Dagues de Srambad; Amulette Luminescente; Bague Gloursonne; Alliance Gloursonne; Bouclier Taverne; Ceinture de la Reine des Voleurs; Coiffe de la Reine des Voleurs; Cape Luminescente; Bottes de la Reine des Voleurs; Dofus Turquoise; Dofus des Glaces; Dofus Ocre; Dofus Abyssal; Dofus Pourpre; Dolmanax; Muldo Ebène et Orchidée</t>
        </is>
      </c>
    </row>
    <row r="20793">
      <c r="A20793" t="inlineStr">
        <is>
          <t>pandatjrspauvre</t>
        </is>
      </c>
      <c r="B20793">
        <f>HYPERLINK("https://www.dofusbook.net/fr/equipement/1735654-pandatjrspauvre/objets", "link")</f>
        <v/>
      </c>
      <c r="C20793" t="n">
        <v>0</v>
      </c>
      <c r="D20793" t="inlineStr">
        <is>
          <t>Baguette Hique; Amulette du Strigide; Bracelet du Piloztère; Anneau de Padgref; Cadran d'Air; Ceinture du Glourséleste; Bonnet Ko; Cape du Professeur Xa; Bottes du Strigide; Dofus Turquoise; Nomade; Examinateur; Puissant majeur; Vigoureux majeur; Remueur; Muldo Indigo et Pourpre</t>
        </is>
      </c>
    </row>
    <row r="20794">
      <c r="A20794" t="inlineStr">
        <is>
          <t>paschre20</t>
        </is>
      </c>
      <c r="B20794">
        <f>HYPERLINK("https://www.dofusbook.net/fr/equipement/1735010-paschre20/objets", "link")</f>
        <v/>
      </c>
      <c r="C20794" t="n">
        <v>0</v>
      </c>
      <c r="D20794" t="inlineStr">
        <is>
          <t>Epée Gloursonne; Amulette du Strigide; Bague Gloursonne; Alliance Gloursonne; Bouclier cubiste; Ceinture du Strigide; Némès de Tal Kasha; Chevelure de Tal Kasha; Sandales de Tal Kasha; Dofus Turquoise; Dofus Pourpre; Examinateur; Puissant majeur; Entraveur majeur; Engourdisseur majeur; Muldo Ebène et Pourpre</t>
        </is>
      </c>
    </row>
    <row r="20795">
      <c r="A20795" t="inlineStr">
        <is>
          <t>DWS mode rox</t>
        </is>
      </c>
      <c r="B20795">
        <f>HYPERLINK("https://www.dofusbook.net/fr/equipement/1722856-dws-mode-rox/objets", "link")</f>
        <v/>
      </c>
      <c r="C20795" t="n">
        <v>0</v>
      </c>
      <c r="D20795" t="inlineStr">
        <is>
          <t>Arc Hétype; Pendentif affamé; Anneau Tique; Anneauræus; Bivalve; Ceinture Séculaire; Coiffe Séculaire; Cape de Diondin; Bottes Innommables; Dofus Turquoise; Dofus Ocre; Dofus Pourpre; Dofus Nébuleux; Dolmanax; Dofus Abyssal; Muldo Orchidée</t>
        </is>
      </c>
    </row>
    <row r="20796">
      <c r="A20796" t="inlineStr">
        <is>
          <t>mono</t>
        </is>
      </c>
      <c r="B20796">
        <f>HYPERLINK("https://www.dofusbook.net/fr/equipement/1720906-mono/objets", "link")</f>
        <v/>
      </c>
      <c r="C20796" t="n">
        <v>0</v>
      </c>
      <c r="D20796" t="inlineStr">
        <is>
          <t>Sabres d'Atcham; Amulette Séculaire; Alliance Gloursonne; Anneau de Padgref; Quatre-feuilles; Ceinture Séculaire; Coiffe Séculaire; Cape d'Atcham; Sandales  d'Atcham; Dofus des Glaces; Dofus Pourpre; Dofus Turquoise; Dofus Émeraude; Voyageur; Puissant majeur; Muldo Prune et Ebène</t>
        </is>
      </c>
    </row>
    <row r="20797">
      <c r="A20797" t="inlineStr">
        <is>
          <t>dubled</t>
        </is>
      </c>
      <c r="B20797">
        <f>HYPERLINK("https://www.dofusbook.net/fr/equipement/1720842-dubled/objets", "link")</f>
        <v/>
      </c>
      <c r="C20797" t="n">
        <v>0</v>
      </c>
      <c r="D20797" t="inlineStr">
        <is>
          <t>Épouvante; Amulette Luminescente; Pikano; Alliance Gloursonne; Bouclier cubiste; Ceinture Luminescente; Le Dorado; Cape de Kongoku; Baleinabottes; Dofus Turquoise; Dofus Pourpre; Remueur; Vigoureux majeur; Nomade; Temporiseur majeur; Muldo Ebène et Indigo</t>
        </is>
      </c>
    </row>
    <row r="20798">
      <c r="A20798" t="inlineStr">
        <is>
          <t>On essaie de pas fai</t>
        </is>
      </c>
      <c r="B20798">
        <f>HYPERLINK("https://www.dofusbook.net/fr/equipement/1720723-on-essaie-de-pas-fai/objets", "link")</f>
        <v/>
      </c>
      <c r="C20798" t="n">
        <v>0</v>
      </c>
      <c r="D20798" t="inlineStr">
        <is>
          <t>Sabres d'Atcham; Amulette du Strigide; Anneau de Padgref; Alliance Gloursonne; Quatre-feuilles; Ceinture du Strigide; Masque Trithon; Cape d'Atcham; Pataugastrique; Dofus Turquoise; Dofus Pourpre; Dofus des Glaces; Remueur; Nomade; Vigoureux majeur; Muldo Ebène et Indigo</t>
        </is>
      </c>
    </row>
    <row r="20799">
      <c r="A20799" t="inlineStr">
        <is>
          <t>Mode soutient</t>
        </is>
      </c>
      <c r="B20799">
        <f>HYPERLINK("https://www.dofusbook.net/fr/equipement/1720142-mode-soutient/objets", "link")</f>
        <v/>
      </c>
      <c r="C20799" t="n">
        <v>0</v>
      </c>
      <c r="D20799" t="inlineStr">
        <is>
          <t>Le Thanos; Amulette d'Otomaï; Anneau de Nidas; Bague Gloursonne; Carapar; Ceinture Séculaire; Coiffe Séculaire; Cape de Diondin; Bottes Innommables; Dofus Abyssal; Dokoko; Dofus Turquoise; Guérisseur majeur; Érudit majeur; Remueur; Muldo Orchidée</t>
        </is>
      </c>
    </row>
    <row r="20800">
      <c r="A20800" t="inlineStr">
        <is>
          <t>testmdr</t>
        </is>
      </c>
      <c r="B20800">
        <f>HYPERLINK("https://www.dofusbook.net/fr/equipement/1706957-testmdr/objets", "link")</f>
        <v/>
      </c>
      <c r="C20800" t="n">
        <v>0</v>
      </c>
      <c r="D20800" t="inlineStr">
        <is>
          <t>Epée Gloursonne; Amulette Nécrotique; Bague Gloursonne; Alliance Gloursonne; Cadran de Terre; Ceinture du Frelon Noir; Masque du Frelon Noir; Cape Nécrotique; Bottes Nécrotiques; Dofus Pourpre; Dokoko; Dofus Turquoise; Dofus Émeraude; Puissant majeur; Survivant majeur; Muldo Ebène et Pourpre</t>
        </is>
      </c>
    </row>
    <row r="20801">
      <c r="A20801" t="inlineStr">
        <is>
          <t>Mode chaloeil bourri</t>
        </is>
      </c>
      <c r="B20801">
        <f>HYPERLINK("https://www.dofusbook.net/fr/equipement/1705528-mode-chaloeil-bourri/objets", "link")</f>
        <v/>
      </c>
      <c r="C20801" t="n">
        <v>0</v>
      </c>
      <c r="D20801" t="inlineStr">
        <is>
          <t>Hache du Chalœil; Amulette du Strigide; Bague Trithon; Bague Gloursonne; Quatre-feuilles; Ceinture du Strigide; Masque Trithon; Voile d'encre; Bottes Trithon; Dofus Ocre; Dofus Turquoise; Dokoko; Dolmanax; Dofus Pourpre; Dofus Abyssal; Muldo Orchidée et Pourpre</t>
        </is>
      </c>
    </row>
    <row r="20802">
      <c r="A20802" t="inlineStr">
        <is>
          <t>Ful air</t>
        </is>
      </c>
      <c r="B20802">
        <f>HYPERLINK("https://www.dofusbook.net/fr/equipement/1705263-ful-air/objets", "link")</f>
        <v/>
      </c>
      <c r="C20802" t="n">
        <v>0</v>
      </c>
      <c r="D20802" t="inlineStr">
        <is>
          <t>Héqache; Collier du Valet Veinard; Alliance Gloursonne; Gant du Valet Veinard; Bouclier du Stalak; Ceintouse; Chapoulpe; Cape du Valet Veinard; Tentassons; Dofus Abyssal; Dofus Pourpre; Dokoko; Dofus Ocre; Dofus Émeraude; Robuste majeur; Muldo Ebène et Pourpre</t>
        </is>
      </c>
    </row>
    <row r="20803">
      <c r="A20803" t="inlineStr">
        <is>
          <t>lv200</t>
        </is>
      </c>
      <c r="B20803">
        <f>HYPERLINK("https://www.dofusbook.net/fr/equipement/1675413-lv200/objets", "link")</f>
        <v/>
      </c>
      <c r="C20803" t="n">
        <v>0</v>
      </c>
      <c r="D20803" t="inlineStr">
        <is>
          <t>Sabres d'Atcham; Amulette du Strigide; Bague Trithon; Anneau de Padgref; Quatre-feuilles; Ceinture du Strigide; Masque Trithon; Cape d'Atcham; Sandales  d'Atcham; Dofus Nébuleux; Dofus Ocre; Dofus Pourpre; Dolmanax; Dofus Turquoise; Dofus des Glaces; Muldo Prune et Emeraude</t>
        </is>
      </c>
    </row>
    <row r="20804">
      <c r="A20804" t="inlineStr">
        <is>
          <t>modedistance</t>
        </is>
      </c>
      <c r="B20804">
        <f>HYPERLINK("https://www.dofusbook.net/fr/equipement/1670353-modedistance/objets", "link")</f>
        <v/>
      </c>
      <c r="C20804" t="n">
        <v>0</v>
      </c>
      <c r="D20804" t="inlineStr">
        <is>
          <t>Sabres d'Atcham; Pendentif mignon de Koutoulou; Anneauræus; Anneau Rifique; Cadran d'Air; Ceintrigue; Casque Cyclopéen; Cape d'Atcham; Sandales  d'Atcham; Dokoko; Dofus Pourpre; Dofus Vulbis; Dofus Turquoise; Dofus Abyssal; Dofus Ocre; Kramkram</t>
        </is>
      </c>
    </row>
    <row r="20805">
      <c r="A20805" t="inlineStr">
        <is>
          <t>unvun</t>
        </is>
      </c>
      <c r="B20805">
        <f>HYPERLINK("https://www.dofusbook.net/fr/equipement/1668898-unvun/objets", "link")</f>
        <v/>
      </c>
      <c r="C20805" t="n">
        <v>0</v>
      </c>
      <c r="D20805" t="inlineStr">
        <is>
          <t>Héqache; Amulette Luminescente; Alliance Gloursonne; Bague Gloursonne; Bouclier du Stalak; Ceinture Luminescente; Coiffe de la Reine des Voleurs; Cape Luminescente; Bottes de la Reine des Voleurs; Dofus Ocre; Dofus Pourpre; Dofus Vulbis; Dolmanax; Dofus des Glaces; Robuste majeur; Muldo Ebène et Orchidée</t>
        </is>
      </c>
    </row>
    <row r="20806">
      <c r="A20806" t="inlineStr">
        <is>
          <t>test1</t>
        </is>
      </c>
      <c r="B20806">
        <f>HYPERLINK("https://www.dofusbook.net/fr/equipement/1657650-test1/objets", "link")</f>
        <v/>
      </c>
      <c r="C20806" t="n">
        <v>0</v>
      </c>
      <c r="D20806" t="inlineStr">
        <is>
          <t>Le Thanos; Pendentif Oton; Kralano; Anneau de Padgref; Carapar; String Tue-Mouche; Binocle Airvoyant; Cape Matelassée; Pantoufles Émar; Nomade; Miraculé majeur; Vigoureux majeur; Guérisseur majeur; Remueur; Érudit majeur; Muldo Ebène et Indigo</t>
        </is>
      </c>
    </row>
    <row r="20807">
      <c r="A20807" t="inlineStr">
        <is>
          <t>Terre feu</t>
        </is>
      </c>
      <c r="B20807">
        <f>HYPERLINK("https://www.dofusbook.net/fr/equipement/1649528-terre-feu/objets", "link")</f>
        <v/>
      </c>
      <c r="C20807" t="n">
        <v>0</v>
      </c>
      <c r="D20807" t="inlineStr">
        <is>
          <t>Pelle Aigante; Amulette Héroclite; Anneau Chevelu; Alliance Boletée; Cadran de Terre; Ceinture du Comte Razof; Chapeau du Comte Razof; Voile d'encre; Pantoufles Émar; Remueur; Miraculé majeur; Érudit majeur; Carapace Eau majeur; Enragé majeur; Sanguinaire majeur; Muldo Orchidée et Pourpre</t>
        </is>
      </c>
    </row>
    <row r="20808">
      <c r="A20808" t="inlineStr">
        <is>
          <t>modefeu</t>
        </is>
      </c>
      <c r="B20808">
        <f>HYPERLINK("https://www.dofusbook.net/fr/equipement/1649456-modefeu/objets", "link")</f>
        <v/>
      </c>
      <c r="C20808" t="n">
        <v>0</v>
      </c>
      <c r="D20808" t="inlineStr">
        <is>
          <t>Hache Téroïde; Amulette de Nileza; Anneau de Padgref; Alliance Boletée; Cadran de Terre; Ceinture du Comte Razof; Chapeau du Comte Razof; Voile d'encre; Pantoufles Émar; Nomade; Dévastateur Feu majeur; Miraculé majeur; Carapace Terre majeur; Remueur; Érudit majeur; Muldo Indigo et Pourpre</t>
        </is>
      </c>
    </row>
    <row r="20809">
      <c r="A20809" t="inlineStr">
        <is>
          <t>bbbbbite</t>
        </is>
      </c>
      <c r="B20809">
        <f>HYPERLINK("https://www.dofusbook.net/fr/equipement/1649367-bbbbbite/objets", "link")</f>
        <v/>
      </c>
      <c r="C20809" t="n">
        <v>0</v>
      </c>
      <c r="D20809" t="inlineStr">
        <is>
          <t>Bêche Asse; Amulette Héroclite; Anneau Chevelu; Pikano; Bouclier Taverne; Ceinture du Comte Razof; Le Kim; Cape au Logis; Sabots Minables; Remueur; Dévastateur Terre majeur; Miraculé majeur; Carapace Eau majeur; Enragé majeur; Carapace Terre majeur; Muldo Orchidée et Pourpre</t>
        </is>
      </c>
    </row>
    <row r="20810">
      <c r="A20810" t="inlineStr">
        <is>
          <t>ytdfyf</t>
        </is>
      </c>
      <c r="B20810">
        <f>HYPERLINK("https://www.dofusbook.net/fr/equipement/1639228-ytdfyf/objets", "link")</f>
        <v/>
      </c>
      <c r="C20810" t="n">
        <v>0</v>
      </c>
      <c r="D20810" t="inlineStr">
        <is>
          <t>Dagues du Dragoeuf; La Feuille de Printemps; Anneau Cérémonial du Seigneur des Rats; Anneau Moutheur; Bouclier du Sadida; Cacture; Solomonk; Capterre; Bottes Harry; Dofus Pourpre; Dolmanax; Dofus Turquoise; Dofus des Glaces; Nomade; Remueur; Muldo Ebène et Pourpre</t>
        </is>
      </c>
    </row>
    <row r="20811">
      <c r="A20811" t="inlineStr">
        <is>
          <t>retrait pa</t>
        </is>
      </c>
      <c r="B20811">
        <f>HYPERLINK("https://www.dofusbook.net/fr/equipement/1636904-retrait-pa/objets", "link")</f>
        <v/>
      </c>
      <c r="C20811" t="n">
        <v>0</v>
      </c>
      <c r="D20811" t="inlineStr">
        <is>
          <t>Dagues du Dragoeuf; La Feuille de Printemps; Anneau d'El Piko; Anneau du Meulou; Bouclier du Sadida; Ceinture Meulante; Sombrero d'El Piko; Cape Cérémoniale du Seigneur des Rats; Bottes du Dragoeuf; Dofus Pourpre; Étourdisseur; Vigoureux; Miraculé; Nomade; Remueur; Muldo Ebène et Pourpre</t>
        </is>
      </c>
    </row>
    <row r="20812">
      <c r="A20812" t="inlineStr">
        <is>
          <t>pandapauvre</t>
        </is>
      </c>
      <c r="B20812">
        <f>HYPERLINK("https://www.dofusbook.net/fr/equipement/1634700-pandapauvre/objets", "link")</f>
        <v/>
      </c>
      <c r="C20812" t="n">
        <v>0</v>
      </c>
      <c r="D20812" t="inlineStr">
        <is>
          <t>Pelle du Professeur Xa; Amulette Luminescente; Bracelet des Fonds marins; Alliance Gloursonne; Bouclier du Stalak; Ceinture Luminescente; Masque des Fonds marins; Cape Luminescente; Sandales des Fonds marins; Dofus Turquoise; Dofus Pourpre; Joueur majeur; Turbulent; Taquin majeur; Muldo Indigo</t>
        </is>
      </c>
    </row>
    <row r="20813">
      <c r="A20813" t="inlineStr">
        <is>
          <t>dada12/6/6 ini</t>
        </is>
      </c>
      <c r="B20813">
        <f>HYPERLINK("https://www.dofusbook.net/fr/equipement/1634636-dada12-6-6-ini/objets", "link")</f>
        <v/>
      </c>
      <c r="C20813" t="n">
        <v>0</v>
      </c>
      <c r="D20813" t="inlineStr">
        <is>
          <t>Baguette Hique; Amulette de l'Indicible; Gelano; Anneau Tique; Quatre-feuilles; Ceinture de Kongoku; Bonnet Ko; Cape de la Dame du Hasard; Bottes de l'Indicible; Dofus Pourpre; Dofus Turquoise; Remueur; Nomade; Observateur; Vigoureux majeur; Muldo Orchidée et Pourpre</t>
        </is>
      </c>
    </row>
    <row r="20814">
      <c r="A20814" t="inlineStr">
        <is>
          <t>eau feu</t>
        </is>
      </c>
      <c r="B20814">
        <f>HYPERLINK("https://www.dofusbook.net/fr/equipement/1634616-eau-feu/objets", "link")</f>
        <v/>
      </c>
      <c r="C20814" t="n">
        <v>0</v>
      </c>
      <c r="D20814" t="inlineStr">
        <is>
          <t>Arc Nécrotique; Amulette du Strigide; Alliance Gloursonne; Anneau Tique; Quatre-feuilles; Ceintacé; Le Dorado; Cape de la Dame du Hasard; Bottes du Strigide; Dofus Turquoise; Dofus Pourpre; Nomade; Observateur; Vigoureux majeur; Remueur; Muldo Prune et Orchidée</t>
        </is>
      </c>
    </row>
    <row r="20815">
      <c r="A20815" t="inlineStr">
        <is>
          <t>full air</t>
        </is>
      </c>
      <c r="B20815">
        <f>HYPERLINK("https://www.dofusbook.net/fr/equipement/1628515-full-air/objets", "link")</f>
        <v/>
      </c>
      <c r="C20815" t="n">
        <v>0</v>
      </c>
      <c r="D20815" t="inlineStr">
        <is>
          <t>Canne Harr; Amulette Hale; Anneau de Padgref; Anneau d'Allister; Cadran d'Air; Frimature; Couronne d'Allister; Cape Hiculteur; Pantoufles Émar; Remueur; Dévastateur Air majeur; Nomade; Carapace Eau majeur; Miraculé majeur; Cascadeur majeur; Muldo Indigo et Orchidée</t>
        </is>
      </c>
    </row>
    <row r="20816">
      <c r="A20816" t="inlineStr">
        <is>
          <t>terre 199</t>
        </is>
      </c>
      <c r="B20816">
        <f>HYPERLINK("https://www.dofusbook.net/fr/equipement/1628476-terre-199/objets", "link")</f>
        <v/>
      </c>
      <c r="C20816" t="n">
        <v>0</v>
      </c>
      <c r="D20816" t="inlineStr">
        <is>
          <t>Hache Téroïde; Amulette Héroclite; Alliance Boletée; Anneau Chevelu; Ceinture de Nevark; Chapeau Lochon; Cape de Nevark; Sabots Minables</t>
        </is>
      </c>
    </row>
    <row r="20817">
      <c r="A20817" t="inlineStr">
        <is>
          <t>lv199</t>
        </is>
      </c>
      <c r="B20817">
        <f>HYPERLINK("https://www.dofusbook.net/fr/equipement/1628352-lv199/objets", "link")</f>
        <v/>
      </c>
      <c r="C20817" t="n">
        <v>0</v>
      </c>
      <c r="D20817" t="inlineStr">
        <is>
          <t>Canne Harr; Amulette de Nevark; Anneau de Padgref; Alliance Gloursonne; Cadran d'Air; Frimature; Couronne d'Allister; Cape de Nevark; Pantoufles Émar; Dofus Pourpre; Dévastateur Air majeur; Robuste majeur; Remueur; Carapace Eau majeur; Nomade; Muldo Indigo et Pourpre</t>
        </is>
      </c>
    </row>
    <row r="20818">
      <c r="A20818" t="inlineStr">
        <is>
          <t>mode distance</t>
        </is>
      </c>
      <c r="B20818">
        <f>HYPERLINK("https://www.dofusbook.net/fr/equipement/1628269-mode-distance-/objets", "link")</f>
        <v/>
      </c>
      <c r="C20818" t="n">
        <v>0</v>
      </c>
      <c r="D20818" t="inlineStr">
        <is>
          <t>Arc Nécrotique; Amulette du Strigide; Alliance Gloursonne; Anneau Tique; Bouclier du Stalak; Ceinture de l'Indicible; Casquette de Meno; Cape de la Dame du Hasard; Bottes du Strigide; Dofus Turquoise; Dofus Ocre; Dofus Pourpre; Observateur; Remueur; Vigoureux majeur; Muldo Prune et Orchidée</t>
        </is>
      </c>
    </row>
    <row r="20819">
      <c r="A20819" t="inlineStr">
        <is>
          <t>mode eau air</t>
        </is>
      </c>
      <c r="B20819">
        <f>HYPERLINK("https://www.dofusbook.net/fr/equipement/1628201-mode-eau-air/objets", "link")</f>
        <v/>
      </c>
      <c r="C20819" t="n">
        <v>0</v>
      </c>
      <c r="D20819" t="inlineStr">
        <is>
          <t>Hache du Korriandre; Amulette du Strigide; Anneau de Padgref; Bague Trithon; Quatre-feuilles; Ceinture du Strigide; Némès de Tal Kasha; Chevelure de Tal Kasha; Sandales de Tal Kasha; Dofus Abyssal; Dofus Ocre; Dofus des Glaces; Dofus Turquoise; Dolmanax; Dofus Pourpre; Muldo Ebène et Orchidée</t>
        </is>
      </c>
    </row>
    <row r="20820">
      <c r="A20820" t="inlineStr">
        <is>
          <t>Full terre rox</t>
        </is>
      </c>
      <c r="B20820">
        <f>HYPERLINK("https://www.dofusbook.net/fr/equipement/1628033-full-terre-rox/objets", "link")</f>
        <v/>
      </c>
      <c r="C20820" t="n">
        <v>0</v>
      </c>
      <c r="D20820" t="inlineStr">
        <is>
          <t>Marteau R'ture; Collier de Tourthon; Anneau Crustique; Anneau Crustique; Bouclier Taverne; Ceinture de la Reine des Voleurs; Coiffe de la Reine des Voleurs; Cape au Logis; Bottes de la Cour Sombre; Dofus Turquoise; Dofus Ocre; Dofus Nébuleux; Dofus Pourpre; Remueur; Enragé majeur; Kramkram</t>
        </is>
      </c>
    </row>
    <row r="20821">
      <c r="A20821" t="inlineStr">
        <is>
          <t>full rox multi</t>
        </is>
      </c>
      <c r="B20821">
        <f>HYPERLINK("https://www.dofusbook.net/fr/equipement/1627748-full-rox-multi/objets", "link")</f>
        <v/>
      </c>
      <c r="C20821" t="n">
        <v>0</v>
      </c>
      <c r="D20821" t="inlineStr">
        <is>
          <t>Marteau de Katrepat; Amulette du Strigide; Alliance Gloursonne; Anneau Tique; Quatre-feuilles; Ceinture de l'Indicible; Le Dorado; Dofusteuse; Bottes du Strigide; Dolmanax; Dofus Pourpre; Dofus Turquoise; Vigoureux majeur; Remueur; Nomade; Kramkram</t>
        </is>
      </c>
    </row>
    <row r="20822">
      <c r="A20822" t="inlineStr">
        <is>
          <t>air res</t>
        </is>
      </c>
      <c r="B20822">
        <f>HYPERLINK("https://www.dofusbook.net/fr/equipement/1623695-air-res/objets", "link")</f>
        <v/>
      </c>
      <c r="C20822" t="n">
        <v>0</v>
      </c>
      <c r="D20822" t="inlineStr">
        <is>
          <t>Épée du Granduk; Collier du Valet Veinard; Anneau de XLII; Gant du Valet Veinard; Cadran d'Air; Ceinture de XLII; Masque du Granduk; Cape du Valet Veinard; Bottes de XLII; Dokoko; Dofus Émeraude; Dofus Abyssal; Dolmanax; Dofus Ocre; Dofus Pourpre; Muldo Ebène et Orchidée</t>
        </is>
      </c>
    </row>
    <row r="20823">
      <c r="A20823" t="inlineStr">
        <is>
          <t>OSA</t>
        </is>
      </c>
      <c r="B20823">
        <f>HYPERLINK("https://www.dofusbook.net/fr/equipement/1538518-osa/objets", "link")</f>
        <v/>
      </c>
      <c r="C20823" t="n">
        <v>0</v>
      </c>
      <c r="D20823" t="inlineStr">
        <is>
          <t>La Racine Hagogue; Gruchette; Gelano; Anneau Cérémonial du Seigneur des Rats; Bouclier en Slip; Cacture; Cascterre; Caracape Minotoris; Bottes Harry; Dofus Turquoise; Dofus Pourpre; Dévastateur Air; Remueur; Cascadeur; Nomade; Muldo Ebène et Indigo</t>
        </is>
      </c>
    </row>
    <row r="20824">
      <c r="A20824" t="inlineStr">
        <is>
          <t>Stuff 2</t>
        </is>
      </c>
      <c r="B20824">
        <f>HYPERLINK("https://www.dofusbook.net/fr/equipement/603611-stuff-2/objets", "link")</f>
        <v/>
      </c>
      <c r="C20824" t="n">
        <v>0</v>
      </c>
      <c r="D20824" t="inlineStr">
        <is>
          <t>Ares; Amulette du Chef Crocodaille; Bracelet du Chef Crocodaille; Gelano; Ceinture du Chef Crocodaille; Caracoiffe; Caracape; Pantoufles Crochues du Chef Crocodaille; Dofus Émeraude; Dofus Pourpre; Dofus Turquoise; Dokoko; Survivant mineur; Examinateur; Dragodinde Emeraude et Rousse</t>
        </is>
      </c>
    </row>
    <row r="20825">
      <c r="A20825" t="inlineStr">
        <is>
          <t>Stuff 2</t>
        </is>
      </c>
      <c r="B20825">
        <f>HYPERLINK("https://www.dofusbook.net/fr/equipement/603605-stuff-2/objets", "link")</f>
        <v/>
      </c>
      <c r="C20825" t="n">
        <v>0</v>
      </c>
      <c r="D20825" t="inlineStr">
        <is>
          <t>Le Thanos; Talisman d'Elya Wood; Alliance d'Elya Wood; Anneau Bliteré; Ceinture Meulante; Ruskauffe; Caracape Minotoris; Bottes de Dremoan; Dolmanax; Dofus Ocre; Carapace Feu majeur; Miraculé majeur; Guérisseur majeur; Remueur; Muldo Ebène et Indigo</t>
        </is>
      </c>
    </row>
    <row r="20826">
      <c r="A20826" t="inlineStr">
        <is>
          <t>Stuff 1</t>
        </is>
      </c>
      <c r="B20826">
        <f>HYPERLINK("https://www.dofusbook.net/fr/equipement/603610-stuff-1/objets", "link")</f>
        <v/>
      </c>
      <c r="C20826" t="n">
        <v>0</v>
      </c>
      <c r="D20826" t="inlineStr">
        <is>
          <t>Dagues du Dragoeuf; Collier Cérémonial du Seigneur des Rats; Alliance d'Elya Wood; Anneau Cérémonial du Seigneur des Rats; Bouclier du Captain Amakna cassé; Ceinture Cérémoniale du Seigneur des Rats; Coiffe Cérémoniale du Seigneur des Rats; Cape Cérémoniale du Seigneur des Rats; Bottes Cérémoniales du Seigneur des Rats; Dofus Pourpre; Dolmanax; Dofus Émeraude; Dofus Ocre; Dokoko; Dofus des Glaces; Kramkram</t>
        </is>
      </c>
    </row>
    <row r="20827">
      <c r="A20827" t="inlineStr">
        <is>
          <t>Stuff 1</t>
        </is>
      </c>
      <c r="B20827">
        <f>HYPERLINK("https://www.dofusbook.net/fr/equipement/603604-stuff-1/objets", "link")</f>
        <v/>
      </c>
      <c r="C20827" t="n">
        <v>1</v>
      </c>
      <c r="D20827" t="inlineStr">
        <is>
          <t>Canne Harr; Frimamulette; Anneau de Padgref; Alliance Gloursonne; Bouclier à hélice; Frimature; Couronne d'Allister; Caracape Minotoris; Pantoufles Émar; Dolmanax; Miraculé majeur; Nomade; Cascadeur majeur; Remueur; Dévastateur Air majeur; Muldo Indigo et Pourpre</t>
        </is>
      </c>
    </row>
    <row r="20828">
      <c r="A20828" t="inlineStr">
        <is>
          <t>Stuff 3</t>
        </is>
      </c>
      <c r="B20828">
        <f>HYPERLINK("https://www.dofusbook.net/fr/equipement/603606-stuff-3/objets", "link")</f>
        <v/>
      </c>
      <c r="C20828" t="n">
        <v>1</v>
      </c>
      <c r="D20828" t="inlineStr">
        <is>
          <t>Pelle de la Cour Sombre; Amulette du Granduk; Alliance Gloursonne; Gant du Valet Veinard; Bouclier du Stalak; Ceinture du Barbétoal; Couronne d'Allister; Cape du Valet Veinard; Baleinabottes; Dofus des Glaces; Cascadeur majeur; Nomade; Carapace Air majeur; Remueur; Dévastateur Air majeur; Muldo Ebène et Orchidée</t>
        </is>
      </c>
    </row>
    <row r="20829">
      <c r="A20829" t="inlineStr">
        <is>
          <t>Test</t>
        </is>
      </c>
      <c r="B20829">
        <f>HYPERLINK("https://www.dofusbook.net/fr/equipement/5897623-test/objets", "link")</f>
        <v/>
      </c>
      <c r="C20829" t="n">
        <v>2</v>
      </c>
      <c r="D20829" t="inlineStr">
        <is>
          <t>Arc Hétype; Amulette des Chocomanciens; Lavanneau; Lavanneau; Bouclier cubiste; Ceinture des Chocomanciens; Maskrobe; Cape de la Dame du Hasard; Pataugastrique; Ralentisseur majeur; Entraveur; Temporiseur; Entraveur majeur; Remueur; Temporiseur majeur; Léopardo</t>
        </is>
      </c>
    </row>
    <row r="20830">
      <c r="A20830" t="inlineStr">
        <is>
          <t>Enutrof M 200</t>
        </is>
      </c>
      <c r="B20830">
        <f>HYPERLINK("https://www.dofusbook.net/fr/equipement/4879539-enutrof-m-200/objets", "link")</f>
        <v/>
      </c>
      <c r="C20830" t="n">
        <v>11</v>
      </c>
      <c r="D20830" t="inlineStr">
        <is>
          <t>Arc Hétype; Amulette des Chocomanciens; Anneau Tamie; Anneau Tamie; Bouclier cubiste; Ceinture des Chocomanciens; Capuche de l'Œil Putride; Cape de Léthaline; Pantoufles Émar; Ralentisseur majeur; Entraveur; Temporiseur; Entraveur majeur; Remueur; Temporiseur majeur; Léopardo</t>
        </is>
      </c>
    </row>
    <row r="20831">
      <c r="A20831" t="inlineStr">
        <is>
          <t>coeur legendaire</t>
        </is>
      </c>
      <c r="B20831">
        <f>HYPERLINK("https://www.dofusbook.net/fr/equipement/4160533-coeur-legendaire/objets", "link")</f>
        <v/>
      </c>
      <c r="C20831" t="n">
        <v>11</v>
      </c>
      <c r="D20831" t="inlineStr">
        <is>
          <t>Amulette Luminescente; Pikano; Chevalière du Roi Joueur; Bouclier cubiste; Ceinture Luminescente; Casquipik; Cape Luminescente; Pikottes; Dofus des Veilleurs; Dofus Ivoire; Dofus Vulbis; Dofus Ocre; Entraveur majeur; Ralentisseur majeur; Léopardo</t>
        </is>
      </c>
    </row>
    <row r="20832">
      <c r="A20832" t="inlineStr">
        <is>
          <t>Sacrieur F 200</t>
        </is>
      </c>
      <c r="B20832">
        <f>HYPERLINK("https://www.dofusbook.net/fr/equipement/5738775-sacrieur-f-200/objets", "link")</f>
        <v/>
      </c>
      <c r="C20832" t="n">
        <v>3</v>
      </c>
      <c r="D20832" t="inlineStr">
        <is>
          <t>L'Épée Nice; Amulette de l'Œil Attentif; Anneau Volkorne; Bracelet des Fonds marins; Trompe-la-Mort; Ceinture Volkorne; Capuche de l'Œil Attentif; Cape de l'Œil Attentif; Sandales des Fonds marins; Dofus Ocre; Dofus Abyssal; Dofus Ivoire; Dofus Pourpre; Dofus Émeraude; Dofus Ébène; El Scarador</t>
        </is>
      </c>
    </row>
    <row r="20833">
      <c r="A20833" t="inlineStr">
        <is>
          <t>Sacrieur F 200</t>
        </is>
      </c>
      <c r="B20833">
        <f>HYPERLINK("https://www.dofusbook.net/fr/equipement/5892439-sacrieur-f-200/objets", "link")</f>
        <v/>
      </c>
      <c r="C20833" t="n">
        <v>4</v>
      </c>
      <c r="D20833" t="inlineStr">
        <is>
          <t>Dagoulinantes; Amulette du Sinistrofu; Anneau Volkorne; Anneau Glacial; Bouclier d'Ilyzaelle; Ceinture Glaciale; Casque Volkorne; Cape du Sinistrofu; Bottes du Sinistrofu; Dofus Ébène; Dofus Pourpre; Dofus Ocre; Dofus Turquoise; Dofus Ivoire; Dofus Vulbis; Volkorne Jade</t>
        </is>
      </c>
    </row>
    <row r="20834">
      <c r="A20834" t="inlineStr">
        <is>
          <t>Sacrieur F 200</t>
        </is>
      </c>
      <c r="B20834">
        <f>HYPERLINK("https://www.dofusbook.net/fr/equipement/5892391-sacrieur-f-200/objets", "link")</f>
        <v/>
      </c>
      <c r="C20834" t="n">
        <v>1</v>
      </c>
      <c r="D20834" t="inlineStr">
        <is>
          <t>Rapière aux Glyphes; Amulette de Shokkoth; Alliance Gloursonne; Anneau Volkorne; Bouclier d'Ilyzaelle; Poulpagne; Kidibonnet; Cape du Sinistrofu; Bottes du Sinistrofu; Dofus Pourpre; Dofus Ivoire; Dofus Turquoise; Dofus Ébène; Dofus Émeraude; Dofus Vulbis; Dragodinde Indigo et Ivoire</t>
        </is>
      </c>
    </row>
    <row r="20835">
      <c r="A20835" t="inlineStr">
        <is>
          <t>Ouginak M 200</t>
        </is>
      </c>
      <c r="B20835">
        <f>HYPERLINK("https://www.dofusbook.net/fr/equipement/5889262-ouginak-m-200/objets", "link")</f>
        <v/>
      </c>
      <c r="C20835" t="n">
        <v>0</v>
      </c>
      <c r="D20835" t="inlineStr">
        <is>
          <t>Dagues de Srambad; Torquistik; Goulano; Baguistik; Goulclier; Ceinture de la Reine des Voleurs; Coiffe de la Reine des Voleurs; Cape au Logis; Goulbottes; Dofus Ivoire; Dokoko; Dofus Émeraude; Dofus Ocre; Bastion; Bastion majeur; Wabbit</t>
        </is>
      </c>
    </row>
    <row r="20836">
      <c r="A20836" t="inlineStr">
        <is>
          <t>Pandawa M 200</t>
        </is>
      </c>
      <c r="B20836">
        <f>HYPERLINK("https://www.dofusbook.net/fr/equipement/5883847-pandawa-m-200/objets", "link")</f>
        <v/>
      </c>
      <c r="C20836" t="n">
        <v>0</v>
      </c>
      <c r="D20836" t="inlineStr">
        <is>
          <t>Rouleau à Pâtisserie d'Aermyne; Collier Rophante; Bracelet du Piloztère; Anneau Raille; Droiture de Fallanster; Sangle Huée; Chapeau Lithique; Cape Wéra; Getas Bernacle; Dokoko; Dofus Ivoire; Dofus Émeraude; Dofus Abyssal; Dofus Forgelave; Dofus Ocre; Platypus</t>
        </is>
      </c>
    </row>
    <row r="20837">
      <c r="A20837" t="inlineStr">
        <is>
          <t>Full soinss</t>
        </is>
      </c>
      <c r="B20837">
        <f>HYPERLINK("https://www.dofusbook.net/fr/equipement/3041537-full-soinss/objets", "link")</f>
        <v/>
      </c>
      <c r="C20837" t="n">
        <v>10</v>
      </c>
      <c r="D20837" t="inlineStr">
        <is>
          <t>Arc Hétype; Amulette de Nileza; Anneauræus; Anneauræus; Carapar; Croture; Heaume Oplate; Cape de Nileza; Bottes Innommables; Dofus Ivoire; Dofus des Veilleurs; Nomade; Astucieux majeur; Remueur; Érudit majeur; Dragodinde Amande et Orchidée</t>
        </is>
      </c>
    </row>
    <row r="20838">
      <c r="A20838" t="inlineStr">
        <is>
          <t>Pandawa M 200</t>
        </is>
      </c>
      <c r="B20838">
        <f>HYPERLINK("https://www.dofusbook.net/fr/equipement/5691356-pandawa-m-200/objets", "link")</f>
        <v/>
      </c>
      <c r="C20838" t="n">
        <v>3</v>
      </c>
      <c r="D20838" t="inlineStr">
        <is>
          <t>Épée du Granduk; Amulette du Granduk; Anneau de XLII; Alliance Gloursonne; Bouclier d'Anerice; Ceinture de XLII; Masque du Granduk; Cape d'Anerice; Bottes de XLII; Dofus Ivoire; Dofus Cacao; Dofus Émeraude; Dofus Ébène; Dofus Ocre; Dokoko; Kramkram</t>
        </is>
      </c>
    </row>
    <row r="20839">
      <c r="A20839" t="inlineStr">
        <is>
          <t>Anerice</t>
        </is>
      </c>
      <c r="B20839">
        <f>HYPERLINK("https://www.dofusbook.net/fr/equipement/5847717-anerice/objets", "link")</f>
        <v/>
      </c>
      <c r="C20839" t="n">
        <v>0</v>
      </c>
      <c r="D20839" t="inlineStr">
        <is>
          <t>Rouleau à Pâtisserie d'Aermyne; Talisman Glouti; Anneau de XLII; Anneau Tique; Bouclier d'Anerice; Ceinture de XLII; Masque d'Anerice; Cape d'Anerice; Bottes de XLII; Dokoko; Dofus Cacao; Dofus Ivoire; Dofus Vulbis; Dofus Émeraude; Dofus Ocre; Givrefoux</t>
        </is>
      </c>
    </row>
    <row r="20840">
      <c r="A20840" t="inlineStr">
        <is>
          <t>Tacle</t>
        </is>
      </c>
      <c r="B20840">
        <f>HYPERLINK("https://www.dofusbook.net/fr/equipement/3548498-tacle/objets", "link")</f>
        <v/>
      </c>
      <c r="C20840" t="n">
        <v>4</v>
      </c>
      <c r="D20840" t="inlineStr">
        <is>
          <t>Plumeau Bil; Collier Rophante; Anneau Tamie; Anneau Tamie; Bouclier d'Anerice; Ceinture des Chocomanciens; Masque de l'Esprit Malsain; Cape de Diondin; Pataugastrique; Dolmanax; Obstructeur; Obstructeur majeur; Tacleur majeur; Bloqueur; Bloqueur majeur; Blokus</t>
        </is>
      </c>
    </row>
    <row r="20841">
      <c r="A20841" t="inlineStr">
        <is>
          <t>coeur</t>
        </is>
      </c>
      <c r="B20841">
        <f>HYPERLINK("https://www.dofusbook.net/fr/equipement/4940763-coeur-/objets", "link")</f>
        <v/>
      </c>
      <c r="C20841" t="n">
        <v>13</v>
      </c>
      <c r="D20841" t="inlineStr">
        <is>
          <t>Arc corrompu; Pendentif mignon de Koutoulou; Anneau Rifique; Anneau Tique; Carapar; Croture; Heaume Oplate; Cape de Diondin; Bottes Innommables; Dofus des Veilleurs; Dofus Vulbis; Dofus Ivoire; Guérisseur majeur; Érudit majeur; Docteur majeur; Dragodinde Orchidée et Rousse</t>
        </is>
      </c>
    </row>
    <row r="20842">
      <c r="A20842" t="inlineStr">
        <is>
          <t>1444444</t>
        </is>
      </c>
      <c r="B20842">
        <f>HYPERLINK("https://www.dofusbook.net/fr/equipement/5256052-1444444/objets", "link")</f>
        <v/>
      </c>
      <c r="C20842" t="n">
        <v>8</v>
      </c>
      <c r="D20842" t="inlineStr">
        <is>
          <t>Baguette de Torkélonia; Amulette du Cœur Saignant; Anneau de Brouce; Anneau du Comte Harebourg; Quatre-feuilles; Ceinture de Brouce; Corne de Torkélonia; Cape du Cœur Saignant; Bottes de Brouce; Dofus Ébène; Dofus Turquoise; Dofus Ocre; Dofus Pourpre; Dofus Ivoire; Dofus Vulbis; Volkorne Emeraude et Pourpre</t>
        </is>
      </c>
    </row>
    <row r="20843">
      <c r="A20843" t="inlineStr">
        <is>
          <t>torké</t>
        </is>
      </c>
      <c r="B20843">
        <f>HYPERLINK("https://www.dofusbook.net/fr/equipement/5255693-torke/objets", "link")</f>
        <v/>
      </c>
      <c r="C20843" t="n">
        <v>8</v>
      </c>
      <c r="D20843" t="inlineStr">
        <is>
          <t>Plume de Buhorado; Collier du Valet Veinard; Gant du Valet Veinard; Anneau de Padgref; Quatre-feuilles; Menoture; Corne de Torkélonia; Carapace de Torkélonia; Getas de Padgref; Dofus Turquoise; Dofus Ébène; Dofus Ocre; Dofus des Glaces; Dofus Pourpre; Dofus Ivoire; Dragodinde Ebène et Emeraude</t>
        </is>
      </c>
    </row>
    <row r="20844">
      <c r="A20844" t="inlineStr">
        <is>
          <t>Sacrieur F 200</t>
        </is>
      </c>
      <c r="B20844">
        <f>HYPERLINK("https://www.dofusbook.net/fr/equipement/5135302-sacrieur-f-200/objets", "link")</f>
        <v/>
      </c>
      <c r="C20844" t="n">
        <v>9</v>
      </c>
      <c r="D20844" t="inlineStr">
        <is>
          <t>Epée Loponèze; Amulette d'Ilyzaelle; Alliance Gloursonne; Bracelet des Fonds marins; Bouclier d'Ilyzaelle; Sangle Ouare; Casque Dragoeuf; Cape Solution; Bottes du Sinistrofu; Dofus Abyssal; Dofus Émeraude; Dofus Ivoire; Dofus Pourpre; Dofus Ébène; Dofus Ocre; Dragodinde Indigo et Ivoire</t>
        </is>
      </c>
    </row>
    <row r="20845">
      <c r="A20845" t="inlineStr">
        <is>
          <t>Crâ F 200</t>
        </is>
      </c>
      <c r="B20845">
        <f>HYPERLINK("https://www.dofusbook.net/fr/equipement/4981773-cra-f-200/objets", "link")</f>
        <v/>
      </c>
      <c r="C20845" t="n">
        <v>5</v>
      </c>
      <c r="D20845" t="inlineStr">
        <is>
          <t>Arc du Chalœil; Amulette du Cœur Saignant; Anneau Volkorne; Pikano; Quatre-feuilles; Ceinture Volkorne; Casquipik; Cape au Logis; Pikottes; Dofus Turquoise; Dofus Ébène; Dofus Ocre; Dofus Nébuleux; Dofus Pourpre; Dofus Ivoire; Dragodinde Emeraude et Pourpre</t>
        </is>
      </c>
    </row>
    <row r="20846">
      <c r="A20846" t="inlineStr">
        <is>
          <t>Iliz/Glaciale/FM</t>
        </is>
      </c>
      <c r="B20846">
        <f>HYPERLINK("https://www.dofusbook.net/fr/equipement/2034261-iliz-glaciale-fm/objets", "link")</f>
        <v/>
      </c>
      <c r="C20846" t="n">
        <v>17</v>
      </c>
      <c r="D20846" t="inlineStr">
        <is>
          <t>Rapière aux Glyphes; Amulette d'Ilyzaelle; Bracelet des Fonds marins; Anneau Glacial; Bouclier d'Ilyzaelle; Ceinture Glaciale; Masque des Fonds marins; Cape Glaciale; Sandales des Fonds marins; Dofus Pourpre; Dofus Abyssal; Dofus Ocre; Dofus Ivoire; Dofus Ébène; Dofus des Glaces; Volkorne Jade</t>
        </is>
      </c>
    </row>
    <row r="20847">
      <c r="A20847" t="inlineStr">
        <is>
          <t>Iop M 200</t>
        </is>
      </c>
      <c r="B20847">
        <f>HYPERLINK("https://www.dofusbook.net/fr/equipement/5310872-iop-m-200/objets", "link")</f>
        <v/>
      </c>
      <c r="C20847" t="n">
        <v>3</v>
      </c>
      <c r="D20847" t="inlineStr">
        <is>
          <t>Hache Rot; Amulette du Sinistrofu; Anneau Volkorne; Anneau en Grithril; Bouclier du Captain Amakna; Ceinture en Grithril; Casque en Grithril; Cape du Sinistrofu; Bottes du Sinistrofu; Dofus Pourpre; Dofus Ivoire; Dofus Turquoise; Dofus Ébène; Dofus Vulbis; Dofus Ocre; Dragodinde Emeraude et Indigo</t>
        </is>
      </c>
    </row>
    <row r="20848">
      <c r="A20848" t="inlineStr">
        <is>
          <t>Ouginak M 200</t>
        </is>
      </c>
      <c r="B20848">
        <f>HYPERLINK("https://www.dofusbook.net/fr/equipement/4218108-ouginak-m-200/objets", "link")</f>
        <v/>
      </c>
      <c r="C20848" t="n">
        <v>15</v>
      </c>
      <c r="D20848" t="inlineStr">
        <is>
          <t>Couteaux Sacrificiels; Amulette Volkorne; Anneau Volkorne; Anneau Toriété; Cadran d'Eau; Ceintrigue; Masque Paztek; Cape Paztek; Bottes Owesli; Dofus Ivoire; Dofus des Glaces; Dofus Abyssal; Dofus Pourpre; Dofus Ébène; Dofus Ocre; Volkorne Jade et Rubis</t>
        </is>
      </c>
    </row>
    <row r="20849">
      <c r="A20849" t="inlineStr">
        <is>
          <t>Sacrieur F 200</t>
        </is>
      </c>
      <c r="B20849">
        <f>HYPERLINK("https://www.dofusbook.net/fr/equipement/5137534-sacrieur-f-200/objets", "link")</f>
        <v/>
      </c>
      <c r="C20849" t="n">
        <v>7</v>
      </c>
      <c r="D20849" t="inlineStr">
        <is>
          <t>Baguette Ourderie; Amulette Volkorne; Anneauræus; Anneauræus; Bouclier d'Ilyzaelle; Ceinture Volkorne; Casque Dragoeuf; Voile d'encre; Pataugastrique; Dofus Pourpre; Dofus Abyssal; Dofus Ébène; Dofus Ocre; Dofus Émeraude; Dofus Ivoire; Dragodinde Ivoire et Orchidée</t>
        </is>
      </c>
    </row>
    <row r="20850">
      <c r="A20850" t="inlineStr">
        <is>
          <t>Sacrieur M 200</t>
        </is>
      </c>
      <c r="B20850">
        <f>HYPERLINK("https://www.dofusbook.net/fr/equipement/3825207-sacrieur-m-200/objets", "link")</f>
        <v/>
      </c>
      <c r="C20850" t="n">
        <v>19</v>
      </c>
      <c r="D20850" t="inlineStr">
        <is>
          <t>Lav'Hache; Amulette du Cœur Saignant; Anneau Chevelu; Bague Gloursonne; Cadran d'Eau; Ceinture Gence; Casque Dragoeuf; Cape au Logis; Bottes du Cœur Saignant; Dofus Ocre; Dofus Ivoire; Dofus Abyssal; Dofus Ébène; Dofus Pourpre; Dofus Émeraude; Bwak de Terre</t>
        </is>
      </c>
    </row>
    <row r="20851">
      <c r="A20851" t="inlineStr">
        <is>
          <t>Sacrieur F 200</t>
        </is>
      </c>
      <c r="B20851">
        <f>HYPERLINK("https://www.dofusbook.net/fr/equipement/5137279-sacrieur-f-200/objets", "link")</f>
        <v/>
      </c>
      <c r="C20851" t="n">
        <v>7</v>
      </c>
      <c r="D20851" t="inlineStr">
        <is>
          <t>Karnak; Collier du Valet Veinard; Gant du Valet Veinard; Alliance Gloursonne; Bouclier d'Ilyzaelle; Menoture; Capuche de Moum-Ra; Cape Indescriptible; Palmes Trithons; Dofus Abyssal; Dofus Ocre; Dofus Émeraude; Dofus Ivoire; Dofus Ébène; Dofus Pourpre; La Chose</t>
        </is>
      </c>
    </row>
    <row r="20852">
      <c r="A20852" t="inlineStr">
        <is>
          <t>Ouginak M 200</t>
        </is>
      </c>
      <c r="B20852">
        <f>HYPERLINK("https://www.dofusbook.net/fr/equipement/4705280-ouginak-m-200/objets", "link")</f>
        <v/>
      </c>
      <c r="C20852" t="n">
        <v>6</v>
      </c>
      <c r="D20852" t="inlineStr">
        <is>
          <t>Marteau des égarés; Amulette Volkorne; Anneau Volkorne; Goulano; Goulclier; Ceinture Volkorne; Casque du Chalœil; Cape du Chalœil; Bottes du Chalœil; Dofus Ivoire; Dokoko; Dofus Ocre; Dofus Émeraude; Bastion majeur; Bastion; Wabbit</t>
        </is>
      </c>
    </row>
    <row r="20853">
      <c r="A20853" t="inlineStr">
        <is>
          <t>Pandawa M 200</t>
        </is>
      </c>
      <c r="B20853">
        <f>HYPERLINK("https://www.dofusbook.net/fr/equipement/4969188-pandawa-m-200/objets", "link")</f>
        <v/>
      </c>
      <c r="C20853" t="n">
        <v>4</v>
      </c>
      <c r="D20853" t="inlineStr">
        <is>
          <t>Rouleau à Pâtisserie d'Aermyne; Collier Rophante; Anneau Tique; Alliance Gloursonne; Droiture de Fallanster; Ceinture de Kongoku; Casque Dragoeuf; Cape d'Aermyne; Pataugastrique; Dokoko; Dofus Cacao; Dofus Ivoire; Dofus Émeraude; Carapace Neutre majeur; Remueur; Platypus</t>
        </is>
      </c>
    </row>
    <row r="20854">
      <c r="A20854" t="inlineStr">
        <is>
          <t>Eniripsa F 200</t>
        </is>
      </c>
      <c r="B20854">
        <f>HYPERLINK("https://www.dofusbook.net/fr/equipement/4947849-eniripsa-f-200/objets", "link")</f>
        <v/>
      </c>
      <c r="C20854" t="n">
        <v>2</v>
      </c>
      <c r="D20854" t="inlineStr">
        <is>
          <t>Le Thanos; Amulette d'Ilyzaelle; Alliance Gloursonne; Carapar; Ceinture du Barbétoal; Casque d'Ilyzaelle; Cape Matelassée; Bottes de la Reine des Voleurs; Dofus Ocre; Dofus Ivoire; Guérisseur majeur; Docteur majeur; Soigneur majeur; Nomade; Dragodinde Rousse</t>
        </is>
      </c>
    </row>
    <row r="20855">
      <c r="A20855" t="inlineStr">
        <is>
          <t>Ecaflip M 200</t>
        </is>
      </c>
      <c r="B20855">
        <f>HYPERLINK("https://www.dofusbook.net/fr/equipement/4242246-ecaflip-m-200/objets", "link")</f>
        <v/>
      </c>
      <c r="C20855" t="n">
        <v>7</v>
      </c>
      <c r="D20855" t="inlineStr">
        <is>
          <t>Bâton Beau; Amulette du Strigide; Bracelet du Piloztère; Anneau Toriété; Bouclier du Stalak; Ceinture du Strigide; Diadème de Ganymède; Cape de Jahash Jurgen; Bottes du Strigide; Dofus Pourpre; Dofus Ivoire; Dofus Ébène; Dofus Turquoise; Dolmanax; Dofus des Glaces; Kougnard Albâtre</t>
        </is>
      </c>
    </row>
    <row r="20856">
      <c r="A20856" t="inlineStr">
        <is>
          <t>Gein/Volca</t>
        </is>
      </c>
      <c r="B20856">
        <f>HYPERLINK("https://www.dofusbook.net/fr/equipement/3041355-gein-volca/objets", "link")</f>
        <v/>
      </c>
      <c r="C20856" t="n">
        <v>6</v>
      </c>
      <c r="D20856" t="inlineStr">
        <is>
          <t>Arc Hétype; Amulette de Gein; Baguistik; Bague Gloursonne; Bouclier du Cycloïde; Ceinture de Gein; Chapeau de Gein; Sac Volcanique; Sabots Volcaniques; Dofus des Veilleurs; Dofus des Glaces; Dofus Pourpre; Dofus Abyssal; Dofus Ivoire; Dofus Ocre; Muldo Ebène et Orchidée</t>
        </is>
      </c>
    </row>
    <row r="20857">
      <c r="A20857" t="inlineStr">
        <is>
          <t>Iop M 200</t>
        </is>
      </c>
      <c r="B20857">
        <f>HYPERLINK("https://www.dofusbook.net/fr/equipement/4806785-iop-m-200/objets", "link")</f>
        <v/>
      </c>
      <c r="C20857" t="n">
        <v>3</v>
      </c>
      <c r="D20857" t="inlineStr">
        <is>
          <t>Arc du Chalœil; Collier de Tourthon; Anneau du Comte Harebourg; Anneau de Brouce; Quatre-feuilles; Ceinture de Brouce; Coiffe du Comte Harebourg; Cape au Logis; Bottes de Brouce; Dofus Pourpre; Dofus des Glaces; Dofus Turquoise; Dofus Ivoire; Dofus Ocre; Dofus Ébène; Dragodinde Emeraude et Pourpre</t>
        </is>
      </c>
    </row>
    <row r="20858">
      <c r="A20858" t="inlineStr">
        <is>
          <t>test</t>
        </is>
      </c>
      <c r="B20858">
        <f>HYPERLINK("https://www.dofusbook.net/fr/equipement/4217958-test/objets", "link")</f>
        <v/>
      </c>
      <c r="C20858" t="n">
        <v>11</v>
      </c>
      <c r="D20858" t="inlineStr">
        <is>
          <t>Sabres d'Atcham; Amulette d'Ilyzaelle; Alliance Gloursonne; Anneau Volkorne; Bouclier du Stalak; Ceinture Volkorne; Casque Volkorne; Cape d'Atcham; Sandales  d'Atcham; Dofus Ocre; Dofus Ébène; Dofus Abyssal; Dofus des Glaces; Dofus Pourpre; Dofus Ivoire; Volkorne Saphir</t>
        </is>
      </c>
    </row>
    <row r="20859">
      <c r="A20859" t="inlineStr">
        <is>
          <t>Ecaflip M 200</t>
        </is>
      </c>
      <c r="B20859">
        <f>HYPERLINK("https://www.dofusbook.net/fr/equipement/4218116-ecaflip-m-200/objets", "link")</f>
        <v/>
      </c>
      <c r="C20859" t="n">
        <v>2</v>
      </c>
      <c r="D20859" t="inlineStr">
        <is>
          <t>Arc Volkorne; Amulette de Pol Ouatnos; Bague Gloursonne; Alliance Gloursonne; Quatre-feuilles; Ceinture de l'Esprit Salvateur; Masque de l'Esprit Salvateur; Cape Reski; Bottes de l'Esprit Salvateur; Dofus Pourpre; Dofus des Glaces; Dofus Turquoise; Dofus Ivoire; Dofus Ocre; Dofus Ébène; Sakochère</t>
        </is>
      </c>
    </row>
    <row r="20860">
      <c r="A20860" t="inlineStr">
        <is>
          <t>Stuff 3</t>
        </is>
      </c>
      <c r="B20860">
        <f>HYPERLINK("https://www.dofusbook.net/fr/equipement/145588-stuff-3/objets", "link")</f>
        <v/>
      </c>
      <c r="C20860" t="n">
        <v>2</v>
      </c>
      <c r="D20860" t="inlineStr">
        <is>
          <t>La Racine Hagogue; Collier du Valet Veinard; Anneau d'Allister; Gant du Valet Veinard; Bouclier du Stalak; Ceinture du Barbétoal; Couronne d'Allister; Cape du Valet Veinard; Bottes d'Allister; Dofus Pourpre; Dofus Ivoire; Dofus des Glaces; Dofus Ébène; Dokoko; Dofus Ocre; Chachyène</t>
        </is>
      </c>
    </row>
    <row r="20861">
      <c r="A20861" t="inlineStr">
        <is>
          <t>Féca F 200</t>
        </is>
      </c>
      <c r="B20861">
        <f>HYPERLINK("https://www.dofusbook.net/fr/equipement/4346829-feca-f-200/objets", "link")</f>
        <v/>
      </c>
      <c r="C20861" t="n">
        <v>3</v>
      </c>
      <c r="D20861" t="inlineStr">
        <is>
          <t>Hache à Lamelles; Amulette du Sinistrofu; Anneau Bliteré; Sceau Souverain du Roissingue; Bouclier du Bawbawe; Tranche des Sous-bois; Capuche Souveraine du Roissingue; Cape du Sinistrofu; Bottines des sous-bois; Dofus Kaliptus; Dokille; Dolmanax; Taquin; Taquin majeur; Joueur majeur; Hurledent</t>
        </is>
      </c>
    </row>
    <row r="20862">
      <c r="A20862" t="inlineStr">
        <is>
          <t>Sadida M 200</t>
        </is>
      </c>
      <c r="B20862">
        <f>HYPERLINK("https://www.dofusbook.net/fr/equipement/3568059-sadida-m-200/objets", "link")</f>
        <v/>
      </c>
      <c r="C20862" t="n">
        <v>4</v>
      </c>
      <c r="D20862" t="inlineStr">
        <is>
          <t>Arc Honte; Amulette de l'Œil Putride; Alliance Gloursonne; Bague Gloursonne; Bouclier cubiste; Ceintrigue; Capuche de l'Œil Putride; Cape de l'Œil Putride; Bottes Owesli; Dofus Pourpre; Dofus des Glaces; Dofus Ocre; Dofus Vulbis; Dofus Ivoire; Entraveur majeur; Volkorne Turquoise et Indigo</t>
        </is>
      </c>
    </row>
    <row r="20863">
      <c r="A20863" t="inlineStr">
        <is>
          <t>Roublard M 200</t>
        </is>
      </c>
      <c r="B20863">
        <f>HYPERLINK("https://www.dofusbook.net/fr/equipement/3553968-roublard-m-200/objets", "link")</f>
        <v/>
      </c>
      <c r="C20863" t="n">
        <v>5</v>
      </c>
      <c r="D20863" t="inlineStr">
        <is>
          <t>Karnak; Collier du Valet Veinard; Gant du Valet Veinard; Anneau d'Allister; Cadran d'Air; Ceinture du Barbétoal; Couronne d'Allister; Cape du Valet Veinard; Bottes d'Allister; Dofus Ocre; Dofus Pourpre; Dofus Ivoire; Dofus des Glaces; Equilibriste majeur; Saccageur Air majeur; Blérodoudou</t>
        </is>
      </c>
    </row>
    <row r="20864">
      <c r="A20864" t="inlineStr">
        <is>
          <t>Zobal M 200</t>
        </is>
      </c>
      <c r="B20864">
        <f>HYPERLINK("https://www.dofusbook.net/fr/equipement/4185919-zobal-m-200/objets", "link")</f>
        <v/>
      </c>
      <c r="C20864" t="n">
        <v>1</v>
      </c>
      <c r="D20864" t="inlineStr">
        <is>
          <t>Plume de Buhorado; Amibou; Bracelet Jande; Anneau de Padgref; Quatre-feuilles; Ceinture du Nocturlabe; Chapibou; Capibou; Getas de Padgref; Dofus Pourpre; Dofus Ivoire; Dofus Ocre; Dofus Turquoise; Dofus des Glaces</t>
        </is>
      </c>
    </row>
    <row r="20865">
      <c r="A20865" t="inlineStr">
        <is>
          <t>Zobal M 200</t>
        </is>
      </c>
      <c r="B20865">
        <f>HYPERLINK("https://www.dofusbook.net/fr/equipement/4185906-zobal-m-200/objets", "link")</f>
        <v/>
      </c>
      <c r="C20865" t="n">
        <v>1</v>
      </c>
      <c r="D20865" t="inlineStr">
        <is>
          <t>Plume de Buhorado; Amulette du Strigide; Anneau de Padgref; Bracelet Jande; Quatre-feuilles; Ceinture du Strigide; Coiffe de Padgref; Cape de Klime; Getas de Padgref; Dofus Ocre; Dofus Turquoise; Dofus des Glaces; Dofus Pourpre; Dofus Ivoire</t>
        </is>
      </c>
    </row>
    <row r="20866">
      <c r="A20866" t="inlineStr">
        <is>
          <t>Stuff 1</t>
        </is>
      </c>
      <c r="B20866">
        <f>HYPERLINK("https://www.dofusbook.net/fr/equipement/145575-stuff-1/objets", "link")</f>
        <v/>
      </c>
      <c r="C20866" t="n">
        <v>1</v>
      </c>
      <c r="D20866" t="inlineStr">
        <is>
          <t>Arc Hétype; Amulette Volkorne; Anneauræus; Anneauræus; Bouclier du Stalak; Ceinture Volkorne; Heaume Oplate; Cape de Diondin; Bottes Dogues; Dofus Pourpre; Dofus des Glaces; Dofus Ivoire; Dévastateur Feu majeur; Robuste majeur; Érudit majeur; Bisouglours</t>
        </is>
      </c>
    </row>
    <row r="20867">
      <c r="A20867" t="inlineStr">
        <is>
          <t>Féca F 200</t>
        </is>
      </c>
      <c r="B20867">
        <f>HYPERLINK("https://www.dofusbook.net/fr/equipement/3905274-feca-f-200/objets", "link")</f>
        <v/>
      </c>
      <c r="C20867" t="n">
        <v>1</v>
      </c>
      <c r="D20867" t="inlineStr">
        <is>
          <t>Hache à Lamelles; Collier du Minotot; Bracelet du Minotot; Anneau Bliteré; Tranche des Sous-bois; Casque Harnage; Cape du Minotot; Bottines des sous-bois; Dokille; Dofus Kaliptus; Dolmanax; Taquin majeur; Joueur majeur; Taquin; Hurledent</t>
        </is>
      </c>
    </row>
    <row r="20868">
      <c r="A20868" t="inlineStr">
        <is>
          <t>Ecaflip M 200</t>
        </is>
      </c>
      <c r="B20868">
        <f>HYPERLINK("https://www.dofusbook.net/fr/equipement/3327408-ecaflip-m-200/objets", "link")</f>
        <v/>
      </c>
      <c r="C20868" t="n">
        <v>2</v>
      </c>
      <c r="D20868" t="inlineStr">
        <is>
          <t>Baguette Hique; Collier de la Dame du Hasard; Bague Trithon; Alliance Gloursonne; Quatre-feuilles; Poulpagne; Masque Trithon; Cape de la Dame du Hasard; Bottes de la Dame du Hasard; Dofus Turquoise; Dofus Ivoire; Dolmanax; Dofus Nébuleux; Dofus Pourpre; Dofus des Glaces; Muldo Doré et Emeraude</t>
        </is>
      </c>
    </row>
    <row r="20869">
      <c r="A20869" t="inlineStr">
        <is>
          <t>Féca F 200</t>
        </is>
      </c>
      <c r="B20869">
        <f>HYPERLINK("https://www.dofusbook.net/fr/equipement/3655219-feca-f-200/objets", "link")</f>
        <v/>
      </c>
      <c r="C20869" t="n">
        <v>1</v>
      </c>
      <c r="D20869" t="inlineStr">
        <is>
          <t>Sabres d'Atcham; Amulette Volkorne; Anneau Volkorne; Anneau Cryochrone; Quatre-feuilles; Ceintrigue; Coiffe Cryochrone; Cape d'Atcham; Bottes Owesli; Dofus Turquoise; Dofus Ivoire; Dofus Pourpre; Dofus des Glaces; Dofus Vulbis; Dofus Ocre; Volkorne Orchidée et Indigo</t>
        </is>
      </c>
    </row>
    <row r="20870">
      <c r="A20870" t="inlineStr">
        <is>
          <t>Zobal M 200</t>
        </is>
      </c>
      <c r="B20870">
        <f>HYPERLINK("https://www.dofusbook.net/fr/equipement/3650230-zobal-m-200/objets", "link")</f>
        <v/>
      </c>
      <c r="C20870" t="n">
        <v>0</v>
      </c>
      <c r="D20870" t="inlineStr">
        <is>
          <t>Sabres d'Atcham; Amulette Voldelor; Anneau Volkorne; Alliance Gloursonne; Quatre-feuilles; Ceinture Voldelor; Casque Volkorne; Cape d'Atcham; Sandales  d'Atcham; Dofus Vulbis; Dofus Ocre; Dofus Pourpre; Dofus des Glaces; Dofus Turquoise; Dofus Ivoire; Volkorne Indigo et Ebène</t>
        </is>
      </c>
    </row>
    <row r="20871">
      <c r="A20871" t="inlineStr">
        <is>
          <t>kiki</t>
        </is>
      </c>
      <c r="B20871">
        <f>HYPERLINK("https://www.dofusbook.net/fr/equipement/3433973-kiki/objets", "link")</f>
        <v/>
      </c>
      <c r="C20871" t="n">
        <v>2</v>
      </c>
      <c r="D20871" t="inlineStr">
        <is>
          <t>Epée Maudite du Saigneur Guerrier; Amulette du Strigide; Bague Gloursonne; Alliance Gloursonne; Quatre-feuilles; Ceinture du Strigide; Le Dorado; Voilamibe; Bottes du Strigide; Dofus Pourpre; Dofus Ocre; Dofus Turquoise; Dofus Ivoire; Dofus des Glaces; Dolmanax; Muldo Prune et Emeraude</t>
        </is>
      </c>
    </row>
    <row r="20872">
      <c r="A20872" t="inlineStr">
        <is>
          <t>coeur vaillant</t>
        </is>
      </c>
      <c r="B20872">
        <f>HYPERLINK("https://www.dofusbook.net/fr/equipement/3590693-coeur-vaillant/objets", "link")</f>
        <v/>
      </c>
      <c r="C20872" t="n">
        <v>2</v>
      </c>
      <c r="D20872" t="inlineStr">
        <is>
          <t>Épée du Granduk; Amulette du Granduk; Alliance Gloursonne; Anneau d'Allister; Bouclier cubiste; Ceinture de Klime; Masque du Granduk; Cape de Klime; Bottes d'Allister; Dofus Pourpre; Dofus Abyssal; Dofus Ocre; Dofus Ivoire; Dokoko; Dofus des Glaces; Dragodinde Prune et Ebène</t>
        </is>
      </c>
    </row>
    <row r="20873">
      <c r="A20873" t="inlineStr">
        <is>
          <t>Sadida M 200</t>
        </is>
      </c>
      <c r="B20873">
        <f>HYPERLINK("https://www.dofusbook.net/fr/equipement/3568176-sadida-m-200/objets", "link")</f>
        <v/>
      </c>
      <c r="C20873" t="n">
        <v>4</v>
      </c>
      <c r="D20873" t="inlineStr">
        <is>
          <t>Arc Hétype; Amulette Martegel; Anneau de Nidas; Anneau Tique; Bouclier cubiste; Ceinture de Vortex; Couronne de Nidas; Cape Martegel; Tongues de Nidas; Dofus Ocre; Dofus Vulbis; Dofus Ivoire; Dofus Pourpre; Dofus des Glaces; Entraveur majeur; Volkorne Rubis</t>
        </is>
      </c>
    </row>
    <row r="20874">
      <c r="A20874" t="inlineStr">
        <is>
          <t>Nevark/Egares/Hequa</t>
        </is>
      </c>
      <c r="B20874">
        <f>HYPERLINK("https://www.dofusbook.net/fr/equipement/1443497-nevark-egares-hequa/objets", "link")</f>
        <v/>
      </c>
      <c r="C20874" t="n">
        <v>3</v>
      </c>
      <c r="D20874" t="inlineStr">
        <is>
          <t>Héqache; Amulette de Nevark; Anneau des égarés; Bracelet du Piloztère; Bouclier cubiste; Ceinture de Nevark; Casque des égarés; Cape de Nevark; Bottes des égarés; Dofus des Glaces; Dofus Pourpre; Dofus Vulbis; Dolmanax; Dofus Ivoire; Dofus Ocre; Volkorne Jade</t>
        </is>
      </c>
    </row>
    <row r="20875">
      <c r="A20875" t="inlineStr">
        <is>
          <t>Faurce</t>
        </is>
      </c>
      <c r="B20875">
        <f>HYPERLINK("https://www.dofusbook.net/fr/equipement/914760-faurce/objets", "link")</f>
        <v/>
      </c>
      <c r="C20875" t="n">
        <v>1</v>
      </c>
      <c r="D20875" t="inlineStr">
        <is>
          <t>Arc du Chalœil; Amulette Luminescente; Bracelet du Piloztère; Anneau du Comte Harebourg; Quatre-feuilles; Ceinture Luminescente; Coiffe du Comte Harebourg; Cape Luminescente; Bottes du Comte Harebourg; Dofus Turquoise; Dofus Ocre; Dofus des Glaces; Dofus Pourpre; Dofus Vulbis; Dolmanax; Dragodinde Ivoire et Pourpre</t>
        </is>
      </c>
    </row>
    <row r="20876">
      <c r="A20876" t="inlineStr">
        <is>
          <t>Steamer M 200</t>
        </is>
      </c>
      <c r="B20876">
        <f>HYPERLINK("https://www.dofusbook.net/fr/equipement/3262904-steamer-m-200/objets", "link")</f>
        <v/>
      </c>
      <c r="C20876" t="n">
        <v>1</v>
      </c>
      <c r="D20876" t="inlineStr">
        <is>
          <t>Arc Nécrotique; Collier de la Dame du Hasard; Lavanneau; Anneau Cryochrone; Quatre-feuilles; Ceintrigue; Coiffe Cryochrone; Cape de la Dame du Hasard; Bottes de la Dame du Hasard; Dofus Turquoise; Dofus Ocre; Dolmanax; Dofus des Glaces; Dofus Pourpre; Dofus Ivoire; Muldo Prune et Emeraude</t>
        </is>
      </c>
    </row>
    <row r="20877">
      <c r="A20877" t="inlineStr">
        <is>
          <t>meno</t>
        </is>
      </c>
      <c r="B20877">
        <f>HYPERLINK("https://www.dofusbook.net/fr/equipement/1544677-meno/objets", "link")</f>
        <v/>
      </c>
      <c r="C20877" t="n">
        <v>0</v>
      </c>
      <c r="D20877" t="inlineStr">
        <is>
          <t>Sabres d'Atcham; Amulette Cryochrone; Bracelet du Piloztère; Anneau Cryochrone; Bouclier cubiste; Ceintrigue; Coiffe Cryochrone; Cape d'Atcham; Sandales  d'Atcham; Dofus Pourpre; Dolmanax; Dofus Turquoise; Dofus des Glaces; Dofus des Veilleurs; Dofus Ocre; Muldo Ebène et Indigo</t>
        </is>
      </c>
    </row>
    <row r="20878">
      <c r="A20878" t="inlineStr">
        <is>
          <t>VV/Allister</t>
        </is>
      </c>
      <c r="B20878">
        <f>HYPERLINK("https://www.dofusbook.net/fr/equipement/3041240-vv-allister/objets", "link")</f>
        <v/>
      </c>
      <c r="C20878" t="n">
        <v>1</v>
      </c>
      <c r="D20878" t="inlineStr">
        <is>
          <t>Pelle de la Cour Sombre; Collier du Valet Veinard; Gant du Valet Veinard; Anneau d'Allister; Bouclier du Stalak; Couronne d'Allister; Cape du Valet Veinard; Bottes d'Allister; Dofus des Veilleurs; Dofus des Glaces; Dofus Pourpre; Dofus Abyssal; Dolmanax; Dofus Ocre; Muldo Ebène et Orchidée</t>
        </is>
      </c>
    </row>
    <row r="20879">
      <c r="A20879" t="inlineStr">
        <is>
          <t>Stuff 2</t>
        </is>
      </c>
      <c r="B20879">
        <f>HYPERLINK("https://www.dofusbook.net/fr/equipement/145599-stuff-2/objets", "link")</f>
        <v/>
      </c>
      <c r="C20879" t="n">
        <v>3</v>
      </c>
      <c r="D20879" t="inlineStr">
        <is>
          <t>Sabres d'Atcham; Talisman Glouti; Anneau Tique; Bague Instable; Ceinture Instable; Dorabysses; Cape d'Atcham; Sandales  d'Atcham; Dofus des Glaces; Dofus Turquoise; Dolmanax; Dofus Pourpre; Dofus Ocre</t>
        </is>
      </c>
    </row>
    <row r="20880">
      <c r="A20880" t="inlineStr">
        <is>
          <t>Roublard F 200</t>
        </is>
      </c>
      <c r="B20880">
        <f>HYPERLINK("https://www.dofusbook.net/fr/equipement/6006939-roublard-f-200/objets", "link")</f>
        <v/>
      </c>
      <c r="C20880" t="n">
        <v>0</v>
      </c>
      <c r="D20880" t="inlineStr">
        <is>
          <t>Arc corrompu; Amulette Volkorne; Anneauræus; Anneauræus; Bouclier du Stalak; Ceinture Volkorne; Heaume Oplate; Voile d'encre; Pataugastrique; Dofus Argenté; Dofus Ivoire; Dofus Ébène; Dofus Vulbis; Dofus Émeraude; Érudit majeur; Dragodinde Amande et Orchidée</t>
        </is>
      </c>
    </row>
    <row r="20881">
      <c r="A20881" t="inlineStr">
        <is>
          <t>Ouginak Air</t>
        </is>
      </c>
      <c r="B20881">
        <f>HYPERLINK("https://www.dofusbook.net/fr/equipement/5480216-ouginak-air/objets", "link")</f>
        <v/>
      </c>
      <c r="C20881" t="n">
        <v>1</v>
      </c>
      <c r="D20881" t="inlineStr">
        <is>
          <t>Karnak; Collier du Valet Veinard; Gant du Valet Veinard; Alliance Gloursonne; Bouclier d'Ilyzaelle; Menoture; Dorabysses; Cape Martegel; Baleinabottes; Dofus Argenté; Dofus Abyssal; Dofus Ébène; Dofus Émeraude; Dofus Ivoire; Cascadeur majeur; Dragodinde Ebène et Ivoire</t>
        </is>
      </c>
    </row>
    <row r="20882">
      <c r="A20882" t="inlineStr">
        <is>
          <t>Ouginak Terre</t>
        </is>
      </c>
      <c r="B20882">
        <f>HYPERLINK("https://www.dofusbook.net/fr/equipement/5637371-ouginak-terre/objets", "link")</f>
        <v/>
      </c>
      <c r="C20882" t="n">
        <v>0</v>
      </c>
      <c r="D20882" t="inlineStr">
        <is>
          <t>Marteau R'ture; Amulette du Cœur Saignant; Anneau Volkorne; Anneau de Brouce; Bouclier d'Ilyzaelle; Ceinture Volkorne; Casque Dragoeuf; Cape du Cœur Saignant; Bottes du Cœur Saignant; Dofus Vulbis; Dofus Ébène; Dofus Émeraude; Dofus Ivoire; Dofus Turquoise; Dofus Ocre; Dragodinde Emeraude et Pourpre</t>
        </is>
      </c>
    </row>
    <row r="20883">
      <c r="A20883" t="inlineStr">
        <is>
          <t>Sram Air</t>
        </is>
      </c>
      <c r="B20883">
        <f>HYPERLINK("https://www.dofusbook.net/fr/equipement/5360926-sram-air-/objets", "link")</f>
        <v/>
      </c>
      <c r="C20883" t="n">
        <v>2</v>
      </c>
      <c r="D20883" t="inlineStr">
        <is>
          <t>Manthache; Collier du Valet Veinard; Gant du Valet Veinard; Alliance Gloursonne; Bouclier du Stalak; Menoture; Dorabysses; Cape Martegel; Palmes Trithons; Dofus Argenté; Dofus Ocre; Dofus Ébène; Dofus Vulbis; Dofus Ivoire; Cascadeur majeur; Blérodoudou</t>
        </is>
      </c>
    </row>
    <row r="20884">
      <c r="A20884" t="inlineStr">
        <is>
          <t>Sram Feu</t>
        </is>
      </c>
      <c r="B20884">
        <f>HYPERLINK("https://www.dofusbook.net/fr/equipement/5653295-sram-feu/objets", "link")</f>
        <v/>
      </c>
      <c r="C20884" t="n">
        <v>0</v>
      </c>
      <c r="D20884" t="inlineStr">
        <is>
          <t>Arc corrompu; Amulette Volkorne; Anneauræus; Anneauræus; Bouclier du Stalak; Ceinture Volkorne; Heaume Oplate; Voile d'encre; Bottes Innommables; Dofus Vulbis; Dofus Ocre; Dofus Argenté; Dofus Ivoire; Dofus Ébène; Érudit majeur; Bisouglours</t>
        </is>
      </c>
    </row>
    <row r="20885">
      <c r="A20885" t="inlineStr">
        <is>
          <t>Sram Eau</t>
        </is>
      </c>
      <c r="B20885">
        <f>HYPERLINK("https://www.dofusbook.net/fr/equipement/5453631-sram-eau/objets", "link")</f>
        <v/>
      </c>
      <c r="C20885" t="n">
        <v>1</v>
      </c>
      <c r="D20885" t="inlineStr">
        <is>
          <t>Rapière aux Glyphes; Amulette de l'Œil Attentif; Bracelet des Fonds marins; Anneau Volkorne; Bouclier d'Ilyzaelle; Ceinture Volkorne; Masque des Fonds marins; Cape de l'Œil Attentif; Sandales des Fonds marins; Dofus Turquoise; Dofus Ébène; Dofus Vulbis; Dofus Ivoire; Dofus Émeraude; Dofus Ocre; Pioute bleu</t>
        </is>
      </c>
    </row>
    <row r="20886">
      <c r="A20886" t="inlineStr">
        <is>
          <t>Sram Terre</t>
        </is>
      </c>
      <c r="B20886">
        <f>HYPERLINK("https://www.dofusbook.net/fr/equipement/5344646-sram-terre/objets", "link")</f>
        <v/>
      </c>
      <c r="C20886" t="n">
        <v>4</v>
      </c>
      <c r="D20886" t="inlineStr">
        <is>
          <t>Dagues d'Ilyzaelle; Amulette du Cœur Saignant; Anneau Volkorne; Alliance de Missiz Frizz; Bouclier d'Ilyzaelle; Ceinture Volkorne; Casque de Missiz Frizz; Cape du Cœur Saignant; Bottes du Cœur Saignant; Dofus Vulbis; Dofus Ébène; Dofus Nébuleux; Dofus Ivoire; Dofus Turquoise; Dofus Ocre; Volkorne Emeraude et Pourpre</t>
        </is>
      </c>
    </row>
    <row r="20887">
      <c r="A20887" t="inlineStr">
        <is>
          <t>1v1</t>
        </is>
      </c>
      <c r="B20887">
        <f>HYPERLINK("https://www.dofusbook.net/fr/equipement/5053492-1v1/objets", "link")</f>
        <v/>
      </c>
      <c r="C20887" t="n">
        <v>4</v>
      </c>
      <c r="D20887" t="inlineStr">
        <is>
          <t>Dagues Ricol; Amulette Volkorne; Chevalière du Roi Joueur; Anneau Toriété; Trompe-la-Mort; Ceintacé; Casque Dragoeuf; Bravoure de Rykke Errel; Chaussures Ardentes; Dofus Ocre; Dofus Émeraude; Dofus Abyssal; Dokoko; Dofus Ivoire; Érudit majeur; Dragodinde Ivoire et Orchidée</t>
        </is>
      </c>
    </row>
    <row r="20888">
      <c r="A20888" t="inlineStr">
        <is>
          <t>1v1 legit</t>
        </is>
      </c>
      <c r="B20888">
        <f>HYPERLINK("https://www.dofusbook.net/fr/equipement/5053594-1v1-legit/objets", "link")</f>
        <v/>
      </c>
      <c r="C20888" t="n">
        <v>10</v>
      </c>
      <c r="D20888" t="inlineStr">
        <is>
          <t>Dagoulinantes; Amulette de Shokkoth; Anneau Volkorne; Alliance Gloursonne; Trompe-la-Mort; Sangle Ouare; Casque Dragoeuf; Cape Solution; Pataugastrique; Dokoko; Dofus Abyssal; Dofus Émeraude; Dofus Ivoire; Dofus Ébène; Chanceux majeur; Dragodinde Indigo</t>
        </is>
      </c>
    </row>
    <row r="20889">
      <c r="A20889" t="inlineStr">
        <is>
          <t>Bond Pression Fureur</t>
        </is>
      </c>
      <c r="B20889">
        <f>HYPERLINK("https://www.dofusbook.net/fr/equipement/4427795-bond-pression-fureur/objets", "link")</f>
        <v/>
      </c>
      <c r="C20889" t="n">
        <v>5</v>
      </c>
      <c r="D20889" t="inlineStr">
        <is>
          <t>Crocobur; Collier de Tourthon; Anneau de Brouce; Anneau Volkorne; Droiture de Fallanster; Ceinture Volkorne; Casque Dragoeuf; Bravoure de Rykke Errel; Sabots Minables; Dofus Ébène; Dofus Émeraude; Dofus Abyssal; Dofus Ivoire; Dokoko; Remueur; Muldo Orchidée et Pourpre</t>
        </is>
      </c>
    </row>
    <row r="20890">
      <c r="A20890" t="inlineStr">
        <is>
          <t>Ougi Flair vs Elio</t>
        </is>
      </c>
      <c r="B20890">
        <f>HYPERLINK("https://www.dofusbook.net/fr/equipement/4329590-ougi-flair-vs-elio/objets", "link")</f>
        <v/>
      </c>
      <c r="C20890" t="n">
        <v>4</v>
      </c>
      <c r="D20890" t="inlineStr">
        <is>
          <t>Lav'Hache; Collier de Tourthon; Anneau de Brouce; Anneau Nos; Droiture de Fallanster; Ceinture de Brouce; Casque Dragoeuf; Bravoure de Rykke Errel; Bottes de Brouce; Dokoko; Dofus Ocre; Dofus Émeraude; Dofus Ivoire; Dofus Pourpre; Dofus Vulbis; Volkorne Jade</t>
        </is>
      </c>
    </row>
    <row r="20891">
      <c r="A20891" t="inlineStr">
        <is>
          <t>Ougi Flair Vs Elio</t>
        </is>
      </c>
      <c r="B20891">
        <f>HYPERLINK("https://www.dofusbook.net/fr/equipement/4340334-ougi-flair-vs-elio/objets", "link")</f>
        <v/>
      </c>
      <c r="C20891" t="n">
        <v>0</v>
      </c>
      <c r="D20891" t="inlineStr">
        <is>
          <t>Pelle de la Cour Sombre; Amulette Martegel; Alliance Gloursonne; Anneau Nos; Droiture de Fallanster; Menoture; Casque Dragoeuf; Cape de Jahash Jurgen; Palmes Trithons; Dokoko; Dofus Ocre; Dofus Émeraude; Dofus Ivoire; Dofus Pourpre; Dofus Vulbis; Dragodinde Ebène et Ivoire</t>
        </is>
      </c>
    </row>
    <row r="20892">
      <c r="A20892" t="inlineStr">
        <is>
          <t>Iop Bond CAC</t>
        </is>
      </c>
      <c r="B20892">
        <f>HYPERLINK("https://www.dofusbook.net/fr/equipement/4338938-iop-bond-cac/objets", "link")</f>
        <v/>
      </c>
      <c r="C20892" t="n">
        <v>8</v>
      </c>
      <c r="D20892" t="inlineStr">
        <is>
          <t>Couteaux Sacrificiels; Amulette Volkorne; Alliance Gloursonne; Anneau Volkorne; Bouclier alvéolé; Ceinture de l'Esprit Salvateur; Masque de l'Esprit Salvateur; Cape Paztek; Bottes de l'Esprit Salvateur; Dofus Abyssal; Dofus Vulbis; Dokoko; Dofus Ocre; Dofus des Glaces; Dofus Ivoire; Volkorne Améthyste et Indigo</t>
        </is>
      </c>
    </row>
    <row r="20893">
      <c r="A20893" t="inlineStr">
        <is>
          <t>Iop Jugement vs Elio</t>
        </is>
      </c>
      <c r="B20893">
        <f>HYPERLINK("https://www.dofusbook.net/fr/equipement/4309382-iop-jugement-vs-elio/objets", "link")</f>
        <v/>
      </c>
      <c r="C20893" t="n">
        <v>5</v>
      </c>
      <c r="D20893" t="inlineStr">
        <is>
          <t>Arc Honte; Pendentif mignon de Koutoulou; Anneau Rifique; Alliance Gloursonne; Droiture de Fallanster; Ceinture de Vortex; Casque Cyclopéen; Cape de Jahash Jurgen; Bottes Antrin; Dofus Pourpre; Dofus Vulbis; Dokoko; Dofus Ocre; Dofus des Glaces; Dofus Ivoire; Kramkram</t>
        </is>
      </c>
    </row>
    <row r="20894">
      <c r="A20894" t="inlineStr">
        <is>
          <t>Cac Full rox</t>
        </is>
      </c>
      <c r="B20894">
        <f>HYPERLINK("https://www.dofusbook.net/fr/equipement/5370918-cac-full-rox/objets", "link")</f>
        <v/>
      </c>
      <c r="C20894" t="n">
        <v>8</v>
      </c>
      <c r="D20894" t="inlineStr">
        <is>
          <t>Crocobur; Amulette Voldelor; Bague Gloursonne; Alliance Gloursonne; Ceinture Voldelor; Corne de Torkélonia; Carapace de Torkélonia; Bottes Voldelor; Dofus des Glaces; Dofus Ocre; Dofus Turquoise; Dofus Ivoire; Dofus Vulbis; Sakochère</t>
        </is>
      </c>
    </row>
    <row r="20895">
      <c r="A20895" t="inlineStr">
        <is>
          <t>Sram M 200</t>
        </is>
      </c>
      <c r="B20895">
        <f>HYPERLINK("https://www.dofusbook.net/fr/equipement/5435841-sram-m-200/objets", "link")</f>
        <v/>
      </c>
      <c r="C20895" t="n">
        <v>0</v>
      </c>
      <c r="D20895" t="inlineStr">
        <is>
          <t>Baguette de Torkélonia; Amulette du Strigide; Bague Gloursonne; Alliance Gloursonne; Quatre-feuilles; Ceinture du Strigide; Corne de Torkélonia; Carapace de Torkélonia; Bottes du Strigide; Dofus Pourpre; Dofus Turquoise; Dofus Ébène; Dofus Ivoire; Dofus Ocre; Dofus des Glaces; Chacha Angora</t>
        </is>
      </c>
    </row>
    <row r="20896">
      <c r="A20896" t="inlineStr">
        <is>
          <t>Terre</t>
        </is>
      </c>
      <c r="B20896">
        <f>HYPERLINK("https://www.dofusbook.net/fr/equipement/5229293-terre/objets", "link")</f>
        <v/>
      </c>
      <c r="C20896" t="n">
        <v>1</v>
      </c>
      <c r="D20896" t="inlineStr">
        <is>
          <t>Marteau R'ture; Collier de Tourthon; Anneau Volkorne; Anneau Chevelu; Cadran d'Eau; Ceinture Volkorne; Masque de Koutoulou; Cape au Logis; Bottes du Cœur Saignant; Dofus Ébène; Dofus des Glaces; Dofus Abyssal; Dofus Pourpre; Dofus Ivoire; Dofus Ocre; Bulbisou</t>
        </is>
      </c>
    </row>
    <row r="20897">
      <c r="A20897" t="inlineStr">
        <is>
          <t>Sacrieur M 200</t>
        </is>
      </c>
      <c r="B20897">
        <f>HYPERLINK("https://www.dofusbook.net/fr/equipement/5309479-sacrieur-m-200/objets", "link")</f>
        <v/>
      </c>
      <c r="C20897" t="n">
        <v>1</v>
      </c>
      <c r="D20897" t="inlineStr">
        <is>
          <t>Sceptre du Roi Joueur; Amulette du Sinistrofu; Bracelet des Fonds marins; Alliance Gloursonne; Trompe-la-Mort; Pagne du Rykaon; Masque des Fonds marins; Cape du Sinistrofu; Bottes du Sinistrofu; Dofus Vulbis; Dofus Ivoire; Dofus Ocre; Dofus Ébène; Dofus Émeraude</t>
        </is>
      </c>
    </row>
    <row r="20898">
      <c r="A20898" t="inlineStr">
        <is>
          <t>Agi Res</t>
        </is>
      </c>
      <c r="B20898">
        <f>HYPERLINK("https://www.dofusbook.net/fr/equipement/5037819-agi-res/objets", "link")</f>
        <v/>
      </c>
      <c r="C20898" t="n">
        <v>3</v>
      </c>
      <c r="D20898" t="inlineStr">
        <is>
          <t>Manthache; Collier du Valet Veinard; Alliance Gloursonne; Gant du Valet Veinard; Bouclier du Stalak; Menoture; Dorabysses; Cape de Jahash Jurgen; Palmes Trithons; Dofus des Glaces; Dofus Ocre; Dofus Ivoire; Dofus Vulbis; Dofus Ébène; Cascadeur majeur; Blérodoudou</t>
        </is>
      </c>
    </row>
    <row r="20899">
      <c r="A20899" t="inlineStr">
        <is>
          <t>Réseau</t>
        </is>
      </c>
      <c r="B20899">
        <f>HYPERLINK("https://www.dofusbook.net/fr/equipement/5049758-reseau/objets", "link")</f>
        <v/>
      </c>
      <c r="C20899" t="n">
        <v>1</v>
      </c>
      <c r="D20899" t="inlineStr">
        <is>
          <t>Dagues Eudin; Amulette Volkorne; Anneau Volkorne; Chevalière du Roi Joueur; Bouclier du Stalak; Ceinture Volkorne; Couronne du Roi Joueur; Cape de Jahash Jurgen; Bottes du Roi Joueur; Dofus Pourpre; Dofus Nébuleux; Dofus Ivoire; Dofus des Glaces; Dofus Ébène; Dofus Ocre; Fëanor</t>
        </is>
      </c>
    </row>
    <row r="20900">
      <c r="A20900" t="inlineStr">
        <is>
          <t>Terre air</t>
        </is>
      </c>
      <c r="B20900">
        <f>HYPERLINK("https://www.dofusbook.net/fr/equipement/6010437-terre-air/objets", "link")</f>
        <v/>
      </c>
      <c r="C20900" t="n">
        <v>0</v>
      </c>
      <c r="D20900" t="inlineStr">
        <is>
          <t>Baguette de Torkélonia; Amulette du Strigide; Alliance Gloursonne; Anneau des égarés; Quatre-feuilles; Ceintacé; Corne de Torkélonia; Cape au Logis; Baleinabottes; Dofus Pourpre; Dofus Turquoise; Dofus des Glaces; Nomade; Remueur; Vigoureux majeur; Chacha Angora</t>
        </is>
      </c>
    </row>
    <row r="20901">
      <c r="A20901" t="inlineStr">
        <is>
          <t>Test</t>
        </is>
      </c>
      <c r="B20901">
        <f>HYPERLINK("https://www.dofusbook.net/fr/equipement/6010404-test/objets", "link")</f>
        <v/>
      </c>
      <c r="C20901" t="n">
        <v>0</v>
      </c>
      <c r="D20901" t="inlineStr">
        <is>
          <t>Bâton Beau; Amulette du Strigide; Anneau de Padgref; Bracelet du Piloztère; Quatre-feuilles; Ceinture du Strigide; Bonnet Ko; Cape du Professeur Xa; Bottes du Cycloïde; Dofus Turquoise; Dofus des Glaces; Dofus Pourpre; Vigoureux majeur; Remueur; Nomade; Kokulte</t>
        </is>
      </c>
    </row>
    <row r="20902">
      <c r="A20902" t="inlineStr">
        <is>
          <t>test do cri</t>
        </is>
      </c>
      <c r="B20902">
        <f>HYPERLINK("https://www.dofusbook.net/fr/equipement/5967774-test-do-cri/objets", "link")</f>
        <v/>
      </c>
      <c r="C20902" t="n">
        <v>1</v>
      </c>
      <c r="D20902" t="inlineStr">
        <is>
          <t>Hache du Chalœil; Amulette du Strigide; Crocanneau; Chevalière du Roi Joueur; Quatre-feuilles; Sangle Ouare; Le Dorado; Chevelure de Tal Kasha; Bottes du Strigide; Dofus Pourpre; Dofus Turquoise; Dofus des Glaces; Remueur; Vigoureux majeur; Nomade; Kokulte</t>
        </is>
      </c>
    </row>
    <row r="20903">
      <c r="A20903" t="inlineStr">
        <is>
          <t>Test</t>
        </is>
      </c>
      <c r="B20903">
        <f>HYPERLINK("https://www.dofusbook.net/fr/equipement/5949377-test/objets", "link")</f>
        <v/>
      </c>
      <c r="C20903" t="n">
        <v>1</v>
      </c>
      <c r="D20903" t="inlineStr">
        <is>
          <t>Hache du Chalœil; Amulette de Pol Ouatnos; Chevalière du Roi Joueur; Bague Trithon; Quatre-feuilles; Ceintacé; Masque Trithon; Chevelure de Tal Kasha; Pataugastrique; Dofus Turquoise; Dofus des Glaces; Dofus Pourpre; Culbuteur majeur; Nomade; Remueur; Bouflux</t>
        </is>
      </c>
    </row>
    <row r="20904">
      <c r="A20904" t="inlineStr">
        <is>
          <t>Test</t>
        </is>
      </c>
      <c r="B20904">
        <f>HYPERLINK("https://www.dofusbook.net/fr/equipement/5946278-test/objets", "link")</f>
        <v/>
      </c>
      <c r="C20904" t="n">
        <v>0</v>
      </c>
      <c r="D20904" t="inlineStr">
        <is>
          <t>Hache Téroïde; Amulette du Strigide; Bague Gloursonne; Bracelet du Piloztère; Bouclier du Captain Amakna; Ceinture du Strigide; Le Dorado; Cape au Logis; Bottes Honyme; Dofus Pourpre; Dofus Turquoise; Dofus des Glaces; Remueur; Vigoureux majeur; Nomade; Chacha Angora</t>
        </is>
      </c>
    </row>
    <row r="20905">
      <c r="A20905" t="inlineStr">
        <is>
          <t>Terre feu</t>
        </is>
      </c>
      <c r="B20905">
        <f>HYPERLINK("https://www.dofusbook.net/fr/equipement/5946246-terre-feu/objets", "link")</f>
        <v/>
      </c>
      <c r="C20905" t="n">
        <v>0</v>
      </c>
      <c r="D20905" t="inlineStr">
        <is>
          <t>Hache Téroïde; Amulette du Strigide; Bague Trithon; Bague Gloursonne; Bivalve; Ceintacé; Le Dorado; Cape au Logis; Bottes du Strigide; Dofus des Glaces; Dofus Turquoise; Dofus Pourpre; Nomade; Vigoureux majeur; Remueur; Kokulte</t>
        </is>
      </c>
    </row>
    <row r="20906">
      <c r="A20906" t="inlineStr">
        <is>
          <t>Terre</t>
        </is>
      </c>
      <c r="B20906">
        <f>HYPERLINK("https://www.dofusbook.net/fr/equipement/5653547-terre/objets", "link")</f>
        <v/>
      </c>
      <c r="C20906" t="n">
        <v>1</v>
      </c>
      <c r="D20906" t="inlineStr">
        <is>
          <t>Pelle du Professeur Xa; Collier de Tourthon; Anneau du Comte Harebourg; Anneau de Brouce; Bouclier du Stalak; Ceinture de Brouce; Coiffe du Comte Harebourg; Cape du Professeur Xa; Bottes de Brouce; Dofus des Glaces; Dofus Turquoise; Dofus Pourpre; Dofus Nébuleux; Forcené majeur; Furibond majeur; Bulbisou</t>
        </is>
      </c>
    </row>
    <row r="20907">
      <c r="A20907" t="inlineStr">
        <is>
          <t>Terre cc</t>
        </is>
      </c>
      <c r="B20907">
        <f>HYPERLINK("https://www.dofusbook.net/fr/equipement/5834039-terre-cc/objets", "link")</f>
        <v/>
      </c>
      <c r="C20907" t="n">
        <v>0</v>
      </c>
      <c r="D20907" t="inlineStr">
        <is>
          <t>Marteau R'ture; Collier de Tourthon; Anneau Volkorne; Anneau Chevelu; Cadran d'Eau; Ceinture Volkorne; Masque de Koutoulou; Cape au Logis; Bottes de la Cour Sombre; Dofus des Glaces; Dofus Émeraude; Dofus Pourpre; Enragé majeur; Remueur; Bulbisou</t>
        </is>
      </c>
    </row>
    <row r="20908">
      <c r="A20908" t="inlineStr">
        <is>
          <t>Multi test</t>
        </is>
      </c>
      <c r="B20908">
        <f>HYPERLINK("https://www.dofusbook.net/fr/equipement/5905551-multi-test/objets", "link")</f>
        <v/>
      </c>
      <c r="C20908" t="n">
        <v>1</v>
      </c>
      <c r="D20908" t="inlineStr">
        <is>
          <t>Hache du Chalœil; Amulette Volkorne; Bague Trithon; Anneau Volkorne; Bouclier du Captain Amakna; Ceinture Volkorne; Masque Trithon; Voile d'encre; Bottes Trithon; Dofus Turquoise; Dofus des Glaces; Dofus Émeraude; Dofus Ocre; Dofus Pourpre; Dofus Ivoire; Kokulte</t>
        </is>
      </c>
    </row>
    <row r="20909">
      <c r="A20909" t="inlineStr">
        <is>
          <t>Test</t>
        </is>
      </c>
      <c r="B20909">
        <f>HYPERLINK("https://www.dofusbook.net/fr/equipement/5878734-test-/objets", "link")</f>
        <v/>
      </c>
      <c r="C20909" t="n">
        <v>0</v>
      </c>
      <c r="D20909" t="inlineStr">
        <is>
          <t>Hache du Chalœil; Amulette Volkorne; Alliance Gloursonne; Anneau Volkorne; Quatre-feuilles; Ceintacé; Corne de Torkélonia; Voile d'encre; Bottes Honyme; Dofus Pourpre; Dofus Turquoise; Dolmanax; Dofus des Glaces; Nomade; Vigoureux majeur; Chacha Angora</t>
        </is>
      </c>
    </row>
    <row r="20910">
      <c r="A20910" t="inlineStr">
        <is>
          <t>Johnny</t>
        </is>
      </c>
      <c r="B20910">
        <f>HYPERLINK("https://www.dofusbook.net/fr/equipement/5698170-johnny/objets", "link")</f>
        <v/>
      </c>
      <c r="C20910" t="n">
        <v>1</v>
      </c>
      <c r="D20910" t="inlineStr">
        <is>
          <t>Bêche Asse; Collier de Tourthon; Anneau de Brouce; Anneau Volkorne; Droiture de Fallanster; Ceinture Volkorne; Casque Dragoeuf; Voile d'encre; Baleinabottes; Dofus Émeraude; Dofus Abyssal; Dofus Ivoire; Remueur; Bloqueur majeur; Obstructeur majeur; Muldo Roux et Orchidée</t>
        </is>
      </c>
    </row>
    <row r="20911">
      <c r="A20911" t="inlineStr">
        <is>
          <t>Sadi test</t>
        </is>
      </c>
      <c r="B20911">
        <f>HYPERLINK("https://www.dofusbook.net/fr/equipement/5655140-sadi-test/objets", "link")</f>
        <v/>
      </c>
      <c r="C20911" t="n">
        <v>1</v>
      </c>
      <c r="D20911" t="inlineStr">
        <is>
          <t>Hache du Guerrier Zoth; Amulette du Glourséleste; Gelano; Alliance Gloursonne; Bouclier du Stalak; Ceinture Luthe; Bonnet Ko; Cape de Léthaline; Bottes du Lévitrof; Cascadeur majeur; Vagabond majeur; Nomade; Déserteur majeur; Remueur; Tofu Givré</t>
        </is>
      </c>
    </row>
    <row r="20912">
      <c r="A20912" t="inlineStr">
        <is>
          <t>Test Vs</t>
        </is>
      </c>
      <c r="B20912">
        <f>HYPERLINK("https://www.dofusbook.net/fr/equipement/5516314-test-vs/objets", "link")</f>
        <v/>
      </c>
      <c r="C20912" t="n">
        <v>2</v>
      </c>
      <c r="D20912" t="inlineStr">
        <is>
          <t>Hache du Chalœil; Amulette du Strigide; Alliance de Missiz Frizz; Bague Trithon; Bouclier du Captain Amakna; Ceinture du Strigide; Masque Trithon; Cape au Logis; Bottes Trithon; Dofus Turquoise; Dofus des Glaces; Dofus Nébuleux; Dofus Pourpre; Dofus Ocre; Puissant majeur; Kokulte</t>
        </is>
      </c>
    </row>
    <row r="20913">
      <c r="A20913" t="inlineStr">
        <is>
          <t>Test</t>
        </is>
      </c>
      <c r="B20913">
        <f>HYPERLINK("https://www.dofusbook.net/fr/equipement/5458420-test/objets", "link")</f>
        <v/>
      </c>
      <c r="C20913" t="n">
        <v>3</v>
      </c>
      <c r="D20913" t="inlineStr">
        <is>
          <t>Epée Gloursonne; Amulette du Strigide; Bague Gloursonne; Alliance Gloursonne; Bouclier du Captain Amakna; Ceinture du Strigide; Corne de Torkélonia; Carapace de Torkélonia; Bottes du Strigide; Dofus des Glaces; Dofus Turquoise; Dofus Ocre; Dofus Pourpre; Dofus Nébuleux; Voyageur; Kokulte</t>
        </is>
      </c>
    </row>
    <row r="20914">
      <c r="A20914" t="inlineStr">
        <is>
          <t>Feu</t>
        </is>
      </c>
      <c r="B20914">
        <f>HYPERLINK("https://www.dofusbook.net/fr/equipement/5486481-feu/objets", "link")</f>
        <v/>
      </c>
      <c r="C20914" t="n">
        <v>0</v>
      </c>
      <c r="D20914" t="inlineStr">
        <is>
          <t>Arc corrompu; Amulette Volkorne; Anneau Volkorne; Anneauræus; Bouclier du Stalak; Croture; Heaume Oplate; Cape de Diondin; Bottes Innommables; Dofus Pourpre; Dofus des Glaces; Astucieux majeur; Dévastateur Feu majeur; Érudit majeur; Nomade; Bisouglours</t>
        </is>
      </c>
    </row>
    <row r="20915">
      <c r="A20915" t="inlineStr">
        <is>
          <t>Sram F 200</t>
        </is>
      </c>
      <c r="B20915">
        <f>HYPERLINK("https://www.dofusbook.net/fr/equipement/5468827-sram-f-200/objets", "link")</f>
        <v/>
      </c>
      <c r="C20915" t="n">
        <v>2</v>
      </c>
      <c r="D20915" t="inlineStr">
        <is>
          <t>Dagues Érhy; Collier du Valet Veinard; Gant du Valet Veinard; Alliance Gloursonne; Bouclier du Stalak; Menoture; Couronne d'Allister; Cape Routh; Baleinabottes; Dofus des Glaces; Dofus Pourpre; Dofus Ocre; Equilibriste majeur; Cascadeur majeur; Dévastateur Air majeur; Muldo Ebène et Orchidée</t>
        </is>
      </c>
    </row>
    <row r="20916">
      <c r="A20916" t="inlineStr">
        <is>
          <t>Ret PM</t>
        </is>
      </c>
      <c r="B20916">
        <f>HYPERLINK("https://www.dofusbook.net/fr/equipement/5478193-ret-pm/objets", "link")</f>
        <v/>
      </c>
      <c r="C20916" t="n">
        <v>0</v>
      </c>
      <c r="D20916" t="inlineStr">
        <is>
          <t>Pelle de Nidas; Amulette des Chocomanciens; Anneau de la Fuji Givrefoux; Chevalière du Roi Joueur; Bouclier cubiste; Ceinture des Chocomanciens; Capuche de l'Œil Putride; Cape de la Dame du Hasard; Pantoufles Émar; Dofus Ocre; Dofus Pourpre; Dofus Vulbis; Temporiseur majeur; Entraveur majeur; Ralentisseur majeur; Léopardo</t>
        </is>
      </c>
    </row>
    <row r="20917">
      <c r="A20917" t="inlineStr">
        <is>
          <t>Multi</t>
        </is>
      </c>
      <c r="B20917">
        <f>HYPERLINK("https://www.dofusbook.net/fr/equipement/5458350-multi/objets", "link")</f>
        <v/>
      </c>
      <c r="C20917" t="n">
        <v>1</v>
      </c>
      <c r="D20917" t="inlineStr">
        <is>
          <t>Sabres d'Atcham; Amulette du Strigide; Bague Trithon; Anneau Toriété; Bouclier du Captain Amakna; Ceinture du Strigide; Masque Trithon; Cape d'Atcham; Sandales  d'Atcham; Dofus Pourpre; Dofus Ocre; Dolmanax; Dofus Émeraude; Dofus Turquoise; Dofus des Glaces; Kokulte</t>
        </is>
      </c>
    </row>
    <row r="20918">
      <c r="A20918" t="inlineStr">
        <is>
          <t>Test</t>
        </is>
      </c>
      <c r="B20918">
        <f>HYPERLINK("https://www.dofusbook.net/fr/equipement/5423359-test/objets", "link")</f>
        <v/>
      </c>
      <c r="C20918" t="n">
        <v>0</v>
      </c>
      <c r="D20918" t="inlineStr">
        <is>
          <t>Dagues du Dragoeuf; Amulette du Strigide; Bague Gloursonne; Bague Trithon; Bouclier du Captain Amakna; Ceinture du Strigide; Corne de Torkélonia; Carapace de Torkélonia; Bottes Trithon; Dofus Pourpre; Dofus Ivoire; Dofus Turquoise; Dofus des Glaces; Dofus Vulbis; Dofus Ocre; Kokulte</t>
        </is>
      </c>
    </row>
    <row r="20919">
      <c r="A20919" t="inlineStr">
        <is>
          <t>Eau Feu</t>
        </is>
      </c>
      <c r="B20919">
        <f>HYPERLINK("https://www.dofusbook.net/fr/equipement/5389211-eau-feu/objets", "link")</f>
        <v/>
      </c>
      <c r="C20919" t="n">
        <v>0</v>
      </c>
      <c r="D20919" t="inlineStr">
        <is>
          <t>Couteaux Sacrificiels; Amulette Volkorne; Anneau Volkorne; Alliance Gloursonne; Bouclier alvéolé; Ceinture Volkorne; Masque Paztek; Cape Paztek; Pataugastrique; Dofus Émeraude; Dofus des Glaces; Dofus Ivoire; Dolmanax; Dofus Pourpre; Dofus Ocre; Dragodinde Indigo et Orchidée</t>
        </is>
      </c>
    </row>
    <row r="20920">
      <c r="A20920" t="inlineStr">
        <is>
          <t>Terre air</t>
        </is>
      </c>
      <c r="B20920">
        <f>HYPERLINK("https://www.dofusbook.net/fr/equipement/5370973-terre-air/objets", "link")</f>
        <v/>
      </c>
      <c r="C20920" t="n">
        <v>0</v>
      </c>
      <c r="D20920" t="inlineStr">
        <is>
          <t>Baguette de Torkélonia; Amulette du Strigide; Bague Gloursonne; Alliance Gloursonne; Bouclier du Captain Amakna; Ceintacé; Corne de Torkélonia; Carapace de Torkélonia; Bottes du Strigide; Dofus Turquoise; Dofus Ocre; Dofus Abyssal; Dofus Pourpre; Dofus Ivoire; Dofus des Glaces; Chacha Angora</t>
        </is>
      </c>
    </row>
    <row r="20921">
      <c r="A20921" t="inlineStr">
        <is>
          <t>Feu</t>
        </is>
      </c>
      <c r="B20921">
        <f>HYPERLINK("https://www.dofusbook.net/fr/equipement/5368241-feu/objets", "link")</f>
        <v/>
      </c>
      <c r="C20921" t="n">
        <v>2</v>
      </c>
      <c r="D20921" t="inlineStr">
        <is>
          <t>Arc corrompu; Amulette Volkorne; Chevalière du Roi Joueur; Anneau Volkorne; Bouclier du Stalak; Ceinture Séculaire; Heaume Oplate; Cape de Diondin; Bottes Innommables; Dofus des Glaces; Dofus Pourpre; Dofus Nébuleux; Dofus Ocre; Érudit majeur; Astucieux majeur; Bisouglours</t>
        </is>
      </c>
    </row>
    <row r="20922">
      <c r="A20922" t="inlineStr">
        <is>
          <t>Test</t>
        </is>
      </c>
      <c r="B20922">
        <f>HYPERLINK("https://www.dofusbook.net/fr/equipement/5307464-test/objets", "link")</f>
        <v/>
      </c>
      <c r="C20922" t="n">
        <v>1</v>
      </c>
      <c r="D20922" t="inlineStr">
        <is>
          <t>Lance Horselé; Collier du Valet Veinard; Alliance Gloursonne; Gant du Valet Veinard; Bouclier d'Ilyzaelle; Menoture; Couronne d'Allister; Cape Martegel; Palmes Trithons; Dofus Émeraude; Dofus des Glaces; Dofus Nébuleux; Remueur; Cascadeur majeur; Nomade; Blérodoudou</t>
        </is>
      </c>
    </row>
    <row r="20923">
      <c r="A20923" t="inlineStr">
        <is>
          <t>Eca test</t>
        </is>
      </c>
      <c r="B20923">
        <f>HYPERLINK("https://www.dofusbook.net/fr/equipement/5306224-eca-test/objets", "link")</f>
        <v/>
      </c>
      <c r="C20923" t="n">
        <v>14</v>
      </c>
      <c r="D20923" t="inlineStr">
        <is>
          <t>Hache du Chalœil; Amulette du Strigide; Bracelet du Piloztère; Bague Trithon; Bouclier du Captain Amakna; Ceinture du Strigide; Masque Trithon; Voile d'encre; Bottes Trithon; Dofus Pourpre; Dofus des Glaces; Dolmanax; Dofus Turquoise; Dofus Ocre; Voyageur; Chacha Angora</t>
        </is>
      </c>
    </row>
    <row r="20924">
      <c r="A20924" t="inlineStr">
        <is>
          <t>Multi vs</t>
        </is>
      </c>
      <c r="B20924">
        <f>HYPERLINK("https://www.dofusbook.net/fr/equipement/5307381-multi-vs/objets", "link")</f>
        <v/>
      </c>
      <c r="C20924" t="n">
        <v>12</v>
      </c>
      <c r="D20924" t="inlineStr">
        <is>
          <t>Hache du Chalœil; Amulette Volkorne; Anneau Volkorne; Bague Trithon; Bouclier du Captain Amakna; Ceinture Volkorne; Masque Trithon; Voile d'encre; Bottes Trithon; Dofus Turquoise; Dofus Ocre; Dofus Pourpre; Dofus des Glaces; Robuste majeur; Puissant majeur; Kokulte</t>
        </is>
      </c>
    </row>
    <row r="20925">
      <c r="A20925" t="inlineStr">
        <is>
          <t>Terre Axel</t>
        </is>
      </c>
      <c r="B20925">
        <f>HYPERLINK("https://www.dofusbook.net/fr/equipement/5356295-terre-axel/objets", "link")</f>
        <v/>
      </c>
      <c r="C20925" t="n">
        <v>4</v>
      </c>
      <c r="D20925" t="inlineStr">
        <is>
          <t>Arc du Chalœil; Amulette de Pol Ouatnos; Bracelet du Piloztère; Anneau de Brouce; Bouclier du Stalak; Ceinture de la Reine des Voleurs; Coiffe de la Reine des Voleurs; Voile d'encre; Baleinabottes; Dofus Ocre; Dofus Ébène; Dofus Nébuleux; Dofus Vulbis; Dofus Ivoire; Enragé majeur; El Scarador</t>
        </is>
      </c>
    </row>
    <row r="20926">
      <c r="A20926" t="inlineStr">
        <is>
          <t>Eau air</t>
        </is>
      </c>
      <c r="B20926">
        <f>HYPERLINK("https://www.dofusbook.net/fr/equipement/5332855-eau-air/objets", "link")</f>
        <v/>
      </c>
      <c r="C20926" t="n">
        <v>1</v>
      </c>
      <c r="D20926" t="inlineStr">
        <is>
          <t>Arc de Koutoulou; Amulette du Strigide; Bracelet du Piloztère; Alliance Gloursonne; Quatre-feuilles; Ceinture du Strigide; Némès de Tal Kasha; Chevelure de Tal Kasha; Sandales de Tal Kasha; Dolmanax; Dofus Turquoise; Dofus Vulbis; Dofus Ocre; Dofus Pourpre; Dofus des Glaces; Kokulte</t>
        </is>
      </c>
    </row>
    <row r="20927">
      <c r="A20927" t="inlineStr">
        <is>
          <t>Test II</t>
        </is>
      </c>
      <c r="B20927">
        <f>HYPERLINK("https://www.dofusbook.net/fr/equipement/5313298-test-ii/objets", "link")</f>
        <v/>
      </c>
      <c r="C20927" t="n">
        <v>11</v>
      </c>
      <c r="D20927" t="inlineStr">
        <is>
          <t>Hache du Chalœil; Amulette du Strigide; Alliance Gloursonne; Bague Trithon; Bouclier du Captain Amakna; Ceinture du Strigide; Masque Trithon; Voile d'encre; Bottes Trithon; Dofus Vulbis; Dofus Turquoise; Dofus Nébuleux; Dofus Ocre; Dofus Pourpre; Dofus des Glaces; Kokulte</t>
        </is>
      </c>
    </row>
    <row r="20928">
      <c r="A20928" t="inlineStr">
        <is>
          <t>Multi</t>
        </is>
      </c>
      <c r="B20928">
        <f>HYPERLINK("https://www.dofusbook.net/fr/equipement/4811157-multi/objets", "link")</f>
        <v/>
      </c>
      <c r="C20928" t="n">
        <v>3</v>
      </c>
      <c r="D20928" t="inlineStr">
        <is>
          <t>Arc Volkorne; Amulette du Strigide; Chevalière du Roi Joueur; Anneau de Padgref; Quatre-feuilles; Ceinture du Strigide; Coiffe de Padgref; Chevelure de Tal Kasha; Getas de Padgref; Dofus Nébuleux; Dofus des Glaces; Dofus Pourpre; Dofus Vulbis; Dofus Turquoise; Dofus Ocre; Kokulte</t>
        </is>
      </c>
    </row>
    <row r="20929">
      <c r="A20929" t="inlineStr">
        <is>
          <t>Ret PM</t>
        </is>
      </c>
      <c r="B20929">
        <f>HYPERLINK("https://www.dofusbook.net/fr/equipement/5318924-ret-pm/objets", "link")</f>
        <v/>
      </c>
      <c r="C20929" t="n">
        <v>1</v>
      </c>
      <c r="D20929" t="inlineStr">
        <is>
          <t>Pelle de Nidas; Amulette des Chocomanciens; Alliance Gloursonne; Pikano; Bouclier cubiste; Poulpagne; Capuche de l'Œil Putride; Cape de la Dame du Hasard; Pikottes; Dofus Vulbis; Temporiseur majeur; Remueur; Entraveur; Ralentisseur majeur; Entraveur majeur; Gwo Tofu Ventripotent</t>
        </is>
      </c>
    </row>
    <row r="20930">
      <c r="A20930" t="inlineStr">
        <is>
          <t>Test</t>
        </is>
      </c>
      <c r="B20930">
        <f>HYPERLINK("https://www.dofusbook.net/fr/equipement/5069502-test/objets", "link")</f>
        <v/>
      </c>
      <c r="C20930" t="n">
        <v>2</v>
      </c>
      <c r="D20930" t="inlineStr">
        <is>
          <t>Sabres d'Atcham; Amulette du Strigide; Bracelet du Piloztère; Anneau de Padgref; Quatre-feuilles; Ceinture du Strigide; Coiffe de Padgref; Cape d'Atcham; Getas de Padgref; Dofus Vulbis; Dofus Ocre; Dofus Pourpre; Dofus des Glaces; Dofus Turquoise; Dofus Abyssal; Kokulte</t>
        </is>
      </c>
    </row>
    <row r="20931">
      <c r="A20931" t="inlineStr">
        <is>
          <t>Sram Duo</t>
        </is>
      </c>
      <c r="B20931">
        <f>HYPERLINK("https://www.dofusbook.net/fr/equipement/4907931-sram-duo/objets", "link")</f>
        <v/>
      </c>
      <c r="C20931" t="n">
        <v>1</v>
      </c>
      <c r="D20931" t="inlineStr">
        <is>
          <t>Dagues Érhy; Collier du Valet Veinard; Gant du Valet Veinard; Alliance Gloursonne; Bouclier du Stalak; Menoture; Couronne d'Allister; Cape Routh; Palmes Trithons; Dofus des Glaces; Dofus Pourpre; Dévastateur Air majeur; Cascadeur majeur; Remueur; Muldo Ebène et Orchidée</t>
        </is>
      </c>
    </row>
    <row r="20932">
      <c r="A20932" t="inlineStr">
        <is>
          <t>Test</t>
        </is>
      </c>
      <c r="B20932">
        <f>HYPERLINK("https://www.dofusbook.net/fr/equipement/4639069-test/objets", "link")</f>
        <v/>
      </c>
      <c r="C20932" t="n">
        <v>3</v>
      </c>
      <c r="D20932" t="inlineStr">
        <is>
          <t>Hache du Chalœil; Amulette du Strigide; Chevalière du Roi Joueur; Bracelet du Piloztère; Bouclier du Captain Amakna; Ceintacé; Le Dorado; Chevelure de Tal Kasha; Bottes du Strigide; Dolmanax; Dofus Turquoise; Dofus Pourpre; Dofus des Glaces; Vigoureux majeur; Nomade; Kokulte</t>
        </is>
      </c>
    </row>
    <row r="20933">
      <c r="A20933" t="inlineStr">
        <is>
          <t>Multi II</t>
        </is>
      </c>
      <c r="B20933">
        <f>HYPERLINK("https://www.dofusbook.net/fr/equipement/4898921-multi-ii/objets", "link")</f>
        <v/>
      </c>
      <c r="C20933" t="n">
        <v>2</v>
      </c>
      <c r="D20933" t="inlineStr">
        <is>
          <t>Arc Volkorne; Amulette du Strigide; Chevalière du Roi Joueur; Anneau de Padgref; Quatre-feuilles; Ceinture du Strigide; Coiffe de Padgref; Chevelure de Tal Kasha; Getas de Padgref; Dofus Pourpre; Dofus Nébuleux; Dofus Turquoise; Dofus des Glaces; Dofus Vulbis; Dofus Ocre; Kokulte</t>
        </is>
      </c>
    </row>
    <row r="20934">
      <c r="A20934" t="inlineStr">
        <is>
          <t>Terre feu</t>
        </is>
      </c>
      <c r="B20934">
        <f>HYPERLINK("https://www.dofusbook.net/fr/equipement/4880598-terre-feu/objets", "link")</f>
        <v/>
      </c>
      <c r="C20934" t="n">
        <v>2</v>
      </c>
      <c r="D20934" t="inlineStr">
        <is>
          <t>Dagues Érhy; Amulette Volkorne; Chevalière du Roi Joueur; Bague Gloursonne; Bouclier du Stalak; Ceinture Volkorne; Chapeau de Gein; Voilamibe; Bottes Honyme; Dofus Pourpre; Dofus des Glaces; Vigoureux majeur; Féroce majeur; Nomade; Remueur; Cromeugnon</t>
        </is>
      </c>
    </row>
    <row r="20935">
      <c r="A20935" t="inlineStr">
        <is>
          <t>Air</t>
        </is>
      </c>
      <c r="B20935">
        <f>HYPERLINK("https://www.dofusbook.net/fr/equipement/4831173-air/objets", "link")</f>
        <v/>
      </c>
      <c r="C20935" t="n">
        <v>2</v>
      </c>
      <c r="D20935" t="inlineStr">
        <is>
          <t>Dagues Érhy; Collier du Valet Veinard; Alliance Gloursonne; Gant du Valet Veinard; Bouclier cubiste; Menoture; Couronne d'Allister; Capibou; Baleinabottes; Dévastateur Air majeur; Nomade; Equilibriste majeur; Remueur; Vigoureux majeur; Cascadeur majeur; Gwo Tofu Ventripotent</t>
        </is>
      </c>
    </row>
    <row r="20936">
      <c r="A20936" t="inlineStr">
        <is>
          <t>Eau</t>
        </is>
      </c>
      <c r="B20936">
        <f>HYPERLINK("https://www.dofusbook.net/fr/equipement/4830626-eau/objets", "link")</f>
        <v/>
      </c>
      <c r="C20936" t="n">
        <v>7</v>
      </c>
      <c r="D20936" t="inlineStr">
        <is>
          <t>Dagoulinantes; Amulette de Shokkoth; Alliance Gloursonne; Anneau Volkorne; Bouclier d'Ilyzaelle; Sangle Ouare; Casque d'Ilyzaelle; Cape Solution; Pataugastrique; Dofus Émeraude; Miraculé majeur; Chanceux majeur; Dévastateur Eau majeur; Nomade; Remueur; Kanigloups</t>
        </is>
      </c>
    </row>
    <row r="20937">
      <c r="A20937" t="inlineStr">
        <is>
          <t>Multi Vs</t>
        </is>
      </c>
      <c r="B20937">
        <f>HYPERLINK("https://www.dofusbook.net/fr/equipement/4811310-multi-vs/objets", "link")</f>
        <v/>
      </c>
      <c r="C20937" t="n">
        <v>1</v>
      </c>
      <c r="D20937" t="inlineStr">
        <is>
          <t>Sabres d'Atcham; Amulette du Strigide; Anneau Toriété; Anneau de Padgref; Bouclier du Captain Amakna; Ceinture du Strigide; Coiffe de Padgref; Cape d'Atcham; Getas de Padgref; Dofus des Glaces; Dofus Émeraude; Dofus Ocre; Dofus Pourpre; Dolmanax; Dofus Turquoise; Kokulte</t>
        </is>
      </c>
    </row>
    <row r="20938">
      <c r="A20938" t="inlineStr">
        <is>
          <t>Air-Feu-Koli</t>
        </is>
      </c>
      <c r="B20938">
        <f>HYPERLINK("https://www.dofusbook.net/fr/equipement/5639077-air-feu-koli/objets", "link")</f>
        <v/>
      </c>
      <c r="C20938" t="n">
        <v>13</v>
      </c>
      <c r="D20938" t="inlineStr">
        <is>
          <t>Arc Honte; Pendentif mignon de Koutoulou; Anneau Rifique; Alliance Gloursonne; Bouclier du Stalak; Ceinture de l'Esprit Salvateur; Casque Cyclopéen; Cape de Jahash Jurgen; Pantoufles Émar; Dofus Ocre; Dofus Ébène; Dofus Vulbis; Dofus des Glaces; Dofus Ivoire; Dofus Pourpre; Willy le Relou</t>
        </is>
      </c>
    </row>
    <row r="20939">
      <c r="A20939" t="inlineStr">
        <is>
          <t>Multi-Koli</t>
        </is>
      </c>
      <c r="B20939">
        <f>HYPERLINK("https://www.dofusbook.net/fr/equipement/5538742-multi-koli/objets", "link")</f>
        <v/>
      </c>
      <c r="C20939" t="n">
        <v>1</v>
      </c>
      <c r="D20939" t="inlineStr">
        <is>
          <t>Arc Volkorne; Amulette du Strigide; Bague Trithon; Alliance Gloursonne; Quatre-feuilles; Ceinture du Strigide; Le Dorado; Voile d'encre; Bottes Trithon; Dofus Turquoise; Dofus Ivoire; Dofus Ocre; Dofus Ébène; Dofus Vulbis; Dofus des Glaces; Kokulte</t>
        </is>
      </c>
    </row>
    <row r="20940">
      <c r="A20940" t="inlineStr">
        <is>
          <t>Eau-Drop</t>
        </is>
      </c>
      <c r="B20940">
        <f>HYPERLINK("https://www.dofusbook.net/fr/equipement/5638512-eau-drop/objets", "link")</f>
        <v/>
      </c>
      <c r="C20940" t="n">
        <v>0</v>
      </c>
      <c r="D20940" t="inlineStr">
        <is>
          <t>Dagues Açantes; Collier du Minotot; Alliance Gloursonne; Anneau Volkorne; Bouclier du Stalak; Ceinture de Danathor; Doro le Blak; Cape du Minotot; Bottines des sous-bois; Dofus Kaliptus; Dofus Ocre; Dolmanax; Joueur majeur; Chanceux majeur; Taquin majeur; Nomoon</t>
        </is>
      </c>
    </row>
    <row r="20941">
      <c r="A20941" t="inlineStr">
        <is>
          <t>Terre-Koli</t>
        </is>
      </c>
      <c r="B20941">
        <f>HYPERLINK("https://www.dofusbook.net/fr/equipement/5822728-terre-koli/objets", "link")</f>
        <v/>
      </c>
      <c r="C20941" t="n">
        <v>2</v>
      </c>
      <c r="D20941" t="inlineStr">
        <is>
          <t>Arc du Chalœil; Amulette du Strigide; Anneau de Brouce; Anneau Volkorne; Quatre-feuilles; Ceinture Volkorne; Masque de Koutoulou; Cape de Jahash Jurgen; Bottes du Strigide; Dofus Ocre; Dofus Ivoire; Dofus Vulbis; Dofus Ébène; Dofus Turquoise; Dofus Nébuleux; Pioute vert</t>
        </is>
      </c>
    </row>
    <row r="20942">
      <c r="A20942" t="inlineStr">
        <is>
          <t>Pvm-Farm</t>
        </is>
      </c>
      <c r="B20942">
        <f>HYPERLINK("https://www.dofusbook.net/fr/equipement/5306767-pvm-farm/objets", "link")</f>
        <v/>
      </c>
      <c r="C20942" t="n">
        <v>13</v>
      </c>
      <c r="D20942" t="inlineStr">
        <is>
          <t>Will Killson; Amulette du Strigide; Anneau de Padgref; Gant du Valet Veinard; Bouclier du Captain Amakna; Ceinture du Strigide; Coiffe de Padgref; Chevelure de Tal Kasha; Sandales de Tal Kasha; Dofus Pourpre; Dofus Ébène; Dofus Turquoise; Dofus des Glaces; Dofus Vulbis; Dofus Ocre; Kokulte</t>
        </is>
      </c>
    </row>
    <row r="20943">
      <c r="A20943" t="inlineStr">
        <is>
          <t>Air-Koli</t>
        </is>
      </c>
      <c r="B20943">
        <f>HYPERLINK("https://www.dofusbook.net/fr/equipement/5620714-air-koli/objets", "link")</f>
        <v/>
      </c>
      <c r="C20943" t="n">
        <v>0</v>
      </c>
      <c r="D20943" t="inlineStr">
        <is>
          <t>Pelle de la Cour Sombre; Collier du Valet Veinard; Gant du Valet Veinard; Alliance Gloursonne; Cadran d'Air; Menoture; Couronne d'Allister; Cape de Jahash Jurgen; Baleinabottes; Dofus Ocre; Dofus Ébène; Dofus Vulbis; Dofus Pourpre; Dofus Ivoire; Cascadeur majeur; Blérodoudou</t>
        </is>
      </c>
    </row>
    <row r="20944">
      <c r="A20944" t="inlineStr">
        <is>
          <t>Feu-Eau-Koli</t>
        </is>
      </c>
      <c r="B20944">
        <f>HYPERLINK("https://www.dofusbook.net/fr/equipement/5630334-feu-eau-koli/objets", "link")</f>
        <v/>
      </c>
      <c r="C20944" t="n">
        <v>2</v>
      </c>
      <c r="D20944" t="inlineStr">
        <is>
          <t>Pyraguette; Amulette Volkorne; Alliance du Lévitrof; Anneau Volkorne; Bouclier du Stalak; Ceinture de l'Esprit Salvateur; Coiffe du Lévitrof; Cape de Jahash Jurgen; Bottes du Lévitrof; Dofus Vulbis; Dofus Ébène; Dofus Nébuleux; Dofus Pourpre; Dofus Ivoire; Dofus Ocre; Fëanor</t>
        </is>
      </c>
    </row>
    <row r="20945">
      <c r="A20945" t="inlineStr">
        <is>
          <t>Eau-Feu-Koli</t>
        </is>
      </c>
      <c r="B20945">
        <f>HYPERLINK("https://www.dofusbook.net/fr/equipement/5153663-eau-feu-koli/objets", "link")</f>
        <v/>
      </c>
      <c r="C20945" t="n">
        <v>2</v>
      </c>
      <c r="D20945" t="inlineStr">
        <is>
          <t>Couteaux Sacrificiels; Amulette Volkorne; Anneau Volkorne; Alliance du Lévitrof; Cadran d'Eau; Ceintrigue; Masque Paztek; Cape Paztek; Bottes Owesli; Dofus Vulbis; Dofus Ébène; Dofus Ocre; Dofus des Glaces; Dofus Ivoire; Dofus Abyssal; Fëanor</t>
        </is>
      </c>
    </row>
    <row r="20946">
      <c r="A20946" t="inlineStr">
        <is>
          <t>Terre-Eau-Koli</t>
        </is>
      </c>
      <c r="B20946">
        <f>HYPERLINK("https://www.dofusbook.net/fr/equipement/5136709-terre-eau-koli/objets", "link")</f>
        <v/>
      </c>
      <c r="C20946" t="n">
        <v>14</v>
      </c>
      <c r="D20946" t="inlineStr">
        <is>
          <t>Baguette des égarés; Amulette du Nocturlabe; Alliance du Lévitrof; Anneau Volkorne; Bouclier du Stalak; Ceinture Volkorne; Coiffe du Lévitrof; Cape de Jahash Jurgen; Bottes du Nocturlabe; Dofus Pourpre; Dofus Ivoire; Dofus Ocre; Dofus Ébène; Dofus Nébuleux; Dofus Vulbis; Fëanor</t>
        </is>
      </c>
    </row>
    <row r="20947">
      <c r="A20947" t="inlineStr">
        <is>
          <t>Eau-Koli</t>
        </is>
      </c>
      <c r="B20947">
        <f>HYPERLINK("https://www.dofusbook.net/fr/equipement/5620394-eau-koli/objets", "link")</f>
        <v/>
      </c>
      <c r="C20947" t="n">
        <v>1</v>
      </c>
      <c r="D20947" t="inlineStr">
        <is>
          <t>Rapière aux Glyphes; Amulette de Shokkoth; Anneau Volkorne; Alliance Gloursonne; Bouclier du Stalak; Ceinture de la Reine des Voleurs; Kidibonnet; Cape de Jahash Jurgen; Bottes de la Reine des Voleurs; Dofus Pourpre; Dofus Ivoire; Dofus Ocre; Dofus Ébène; Dofus Vulbis; Dofus des Glaces; Kanigloups</t>
        </is>
      </c>
    </row>
    <row r="20948">
      <c r="A20948" t="inlineStr">
        <is>
          <t>Air-Koli</t>
        </is>
      </c>
      <c r="B20948">
        <f>HYPERLINK("https://www.dofusbook.net/fr/equipement/5544037-air-koli/objets", "link")</f>
        <v/>
      </c>
      <c r="C20948" t="n">
        <v>0</v>
      </c>
      <c r="D20948" t="inlineStr">
        <is>
          <t>Pelle de la Cour Sombre; Collier du Valet Veinard; Anneau d'Allister; Gant du Valet Veinard; Bouclier du Stalak; Ceintouse; Couronne d'Allister; Cape du Valet Veinard; Bottes d'Allister; Dofus Ocre; Dofus Ébène; Dofus Vulbis; Dofus Abyssal; Dofus Ivoire; Entraveur majeur; Léopardo</t>
        </is>
      </c>
    </row>
    <row r="20949">
      <c r="A20949" t="inlineStr">
        <is>
          <t>Eau-Koli</t>
        </is>
      </c>
      <c r="B20949">
        <f>HYPERLINK("https://www.dofusbook.net/fr/equipement/5538595-eau-koli/objets", "link")</f>
        <v/>
      </c>
      <c r="C20949" t="n">
        <v>0</v>
      </c>
      <c r="D20949" t="inlineStr">
        <is>
          <t>Baguette Hique; Amulette Volkorne; Bracelet du Piloztère; Anneau Volkorne; Quatre-feuilles; Pagne du Rykaon; Némès de Tal Kasha; Chevelure de Tal Kasha; Sandales de Tal Kasha; Dofus Nébuleux; Dofus Ocre; Dofus Ivoire; Dofus Turquoise; Dofus Vulbis; Dofus Ébène; Kokulte</t>
        </is>
      </c>
    </row>
    <row r="20950">
      <c r="A20950" t="inlineStr">
        <is>
          <t>Terre-Air-Koli</t>
        </is>
      </c>
      <c r="B20950">
        <f>HYPERLINK("https://www.dofusbook.net/fr/equipement/5154101-terre-air-koli/objets", "link")</f>
        <v/>
      </c>
      <c r="C20950" t="n">
        <v>0</v>
      </c>
      <c r="D20950" t="inlineStr">
        <is>
          <t>Dagues du Dragoeuf; Amulette du Strigide; Alliance Brûlâme; Anneau des égarés; Cadran d'Eau; Ceinture du Strigide; Corne de Torkélonia; Carapace de Torkélonia; Pompes Funèbres; Dofus Ocre; Dofus des Glaces; Dofus Ivoire; Dofus Vulbis; Dofus Turquoise; Dofus Ébène; Kokulte</t>
        </is>
      </c>
    </row>
    <row r="20951">
      <c r="A20951" t="inlineStr">
        <is>
          <t>AIr-Koli</t>
        </is>
      </c>
      <c r="B20951">
        <f>HYPERLINK("https://www.dofusbook.net/fr/equipement/5167092-air-koli/objets", "link")</f>
        <v/>
      </c>
      <c r="C20951" t="n">
        <v>2</v>
      </c>
      <c r="D20951" t="inlineStr">
        <is>
          <t>Pelle de la Cour Sombre; Collier du Valet Veinard; Anneau d'Allister; Gant du Valet Veinard; Bouclier du Stalak; Ceintouse; Couronne d'Allister; Cape du Valet Veinard; Bottes d'Allister; Dofus Vulbis; Dofus des Glaces; Dofus Ivoire; Dofus Abyssal; Dofus Ocre; Dofus Ébène; Blérodoudou</t>
        </is>
      </c>
    </row>
    <row r="20952">
      <c r="A20952" t="inlineStr">
        <is>
          <t>Multi-Pvm-Distance</t>
        </is>
      </c>
      <c r="B20952">
        <f>HYPERLINK("https://www.dofusbook.net/fr/equipement/5210722-multi-pvm-distance/objets", "link")</f>
        <v/>
      </c>
      <c r="C20952" t="n">
        <v>1</v>
      </c>
      <c r="D20952" t="inlineStr">
        <is>
          <t>Bâton Beau; Amulette du Strigide; Anneau Volkorne; Anneau de Padgref; Quatre-feuilles; Ceinture Volkorne; Le Dorado; Cape de Jahash Jurgen; Bottes du Strigide; Dofus Vulbis; Dofus Ocre; Dofus Pourpre; Dofus Nébuleux; Dofus Turquoise; Dofus Ébène; Kokulte</t>
        </is>
      </c>
    </row>
    <row r="20953">
      <c r="A20953" t="inlineStr">
        <is>
          <t>Eau-Air-Koli</t>
        </is>
      </c>
      <c r="B20953">
        <f>HYPERLINK("https://www.dofusbook.net/fr/equipement/5499413-eau-air-koli/objets", "link")</f>
        <v/>
      </c>
      <c r="C20953" t="n">
        <v>1</v>
      </c>
      <c r="D20953" t="inlineStr">
        <is>
          <t>Epée Loponèze; Amulette d'Ilyzaelle; Gant du Valet Veinard; Alliance Gloursonne; Cadran d'Air; Ceinture de la Reine des Voleurs; Casque d'Ilyzaelle; Cape d'Hel Munster; Bottes de la Reine des Voleurs; Dofus Ocre; Dofus Ébène; Dofus Vulbis; Dofus des Glaces; Dofus Ivoire; Dofus Abyssal; Fëanor</t>
        </is>
      </c>
    </row>
    <row r="20954">
      <c r="A20954" t="inlineStr">
        <is>
          <t>Feu-Retrait pa-Koli</t>
        </is>
      </c>
      <c r="B20954">
        <f>HYPERLINK("https://www.dofusbook.net/fr/equipement/5161987-feu-retrait-pa-koli/objets", "link")</f>
        <v/>
      </c>
      <c r="C20954" t="n">
        <v>0</v>
      </c>
      <c r="D20954" t="inlineStr">
        <is>
          <t>Arc corrompu; Amulette Volkorne; Chevalière du Roi Joueur; Anneau Volkorne; Cadran de Terre; Ceinture de Vortex; Masque Ardent; Cape de Diondin; Bottes Dogues; Dofus Ocre; Dofus Ivoire; Dofus Pourpre; Dofus Ébène; Érudit majeur; Robuste majeur; Minimino</t>
        </is>
      </c>
    </row>
    <row r="20955">
      <c r="A20955" t="inlineStr">
        <is>
          <t>Feu-Air-Koli</t>
        </is>
      </c>
      <c r="B20955">
        <f>HYPERLINK("https://www.dofusbook.net/fr/equipement/5153558-feu-air-koli/objets", "link")</f>
        <v/>
      </c>
      <c r="C20955" t="n">
        <v>1</v>
      </c>
      <c r="D20955" t="inlineStr">
        <is>
          <t>Baguette Range; Amulette du Strigide; Anneau Tique; Anneau de Padgref; Quatre-feuilles; Ceinture du Strigide; Coiffe de Padgref; Cape de Jahash Jurgen; Getas de Padgref; Dofus Ocre; Dofus Vulbis; Dofus Ivoire; Dofus Nébuleux; Dofus Turquoise; Dofus Ébène; Kokulte</t>
        </is>
      </c>
    </row>
    <row r="20956">
      <c r="A20956" t="inlineStr">
        <is>
          <t>Multi</t>
        </is>
      </c>
      <c r="B20956">
        <f>HYPERLINK("https://www.dofusbook.net/fr/equipement/5988972-multi/objets", "link")</f>
        <v/>
      </c>
      <c r="C20956" t="n">
        <v>0</v>
      </c>
      <c r="D20956" t="inlineStr">
        <is>
          <t>Dagues Érhy; Amulette de l'Œil Putride; Alliance Gloursonne; Bague Gloursonne; Bouclier du Stalak; Ceinture de l'Esprit Salvateur; Masque de l'Esprit Salvateur; Cape de l'Œil Putride; Bottes de l'Esprit Salvateur; Dofus des Glaces; Dolmanax; Dofus Pourpre; Dofus Abyssal; Dofus Ivoire; Dofus Ocre</t>
        </is>
      </c>
    </row>
    <row r="20957">
      <c r="A20957" t="inlineStr">
        <is>
          <t>Wind</t>
        </is>
      </c>
      <c r="B20957">
        <f>HYPERLINK("https://www.dofusbook.net/fr/equipement/5969655-wind/objets", "link")</f>
        <v/>
      </c>
      <c r="C20957" t="n">
        <v>1</v>
      </c>
      <c r="D20957" t="inlineStr">
        <is>
          <t>Hachoirs de Viandargh; Collier du Valet Veinard; Gant du Valet Veinard; Anneau d'Allister; Bouclier du Stalak; Sangle Oriole; Couronne d'Allister; Cape du Valet Veinard; Bottes d'Allister; Dofus Vulbis; Dofus Pourpre; Dofus Ocre; Dofus Abyssal; Equilibriste majeur; Entraveur majeur; Siroko</t>
        </is>
      </c>
    </row>
    <row r="20958">
      <c r="A20958" t="inlineStr">
        <is>
          <t>Terreau</t>
        </is>
      </c>
      <c r="B20958">
        <f>HYPERLINK("https://www.dofusbook.net/fr/equipement/5969560-terreau/objets", "link")</f>
        <v/>
      </c>
      <c r="C20958" t="n">
        <v>0</v>
      </c>
      <c r="D20958" t="inlineStr">
        <is>
          <t>Baguette des égarés; Amulette Luminescente; Alliance du Lévitrof; Bague Gloursonne; Quatre-feuilles; Ceinture Luminescente; Coiffe du Lévitrof; Cape Luminescente; Bottes du Lévitrof; Dofus Ocre; Dofus Abyssal; Dofus Ivoire; Dofus Ébène; Dofus Turquoise; Dofus des Glaces; Bébé Pandawa</t>
        </is>
      </c>
    </row>
    <row r="20959">
      <c r="A20959" t="inlineStr">
        <is>
          <t>Terre</t>
        </is>
      </c>
      <c r="B20959">
        <f>HYPERLINK("https://www.dofusbook.net/fr/equipement/4842849-terre/objets", "link")</f>
        <v/>
      </c>
      <c r="C20959" t="n">
        <v>1</v>
      </c>
      <c r="D20959" t="inlineStr">
        <is>
          <t>Arc du Chalœil; Amulette du Cœur Saignant; Alliance du Lévitrof; Bague Gloursonne; Quatre-feuilles; Ceinture Volkorne; Masque de Koutoulou; Cape au Logis; Bottes du Cœur Saignant; Dofus Ivoire; Dofus Abyssal; Dofus Turquoise; Dofus Ébène; Dofus Ocre; Dofus des Glaces; Pioute vert</t>
        </is>
      </c>
    </row>
    <row r="20960">
      <c r="A20960" t="inlineStr">
        <is>
          <t>Enutrof M 200</t>
        </is>
      </c>
      <c r="B20960">
        <f>HYPERLINK("https://www.dofusbook.net/fr/equipement/5196055-enutrof-m-200/objets", "link")</f>
        <v/>
      </c>
      <c r="C20960" t="n">
        <v>1</v>
      </c>
      <c r="D20960" t="inlineStr"/>
    </row>
    <row r="20961">
      <c r="A20961" t="inlineStr">
        <is>
          <t>aaa</t>
        </is>
      </c>
      <c r="B20961">
        <f>HYPERLINK("https://www.dofusbook.net/fr/equipement/2581130-aaa/objets", "link")</f>
        <v/>
      </c>
      <c r="C20961" t="n">
        <v>0</v>
      </c>
      <c r="D20961" t="inlineStr">
        <is>
          <t>Hache du Chalœil; Amulette de l'Indicible; Alliance Gloursonne; Alliance Brûlâme; Bouclier cubiste; Ceinture de l'Indicible; Capuche de l'Œil Putride; Cape de l'Œil Putride; Bottes de l'Indicible; Dolmanax; Dofus Ocre; Dofus Pourpre; Dofus Ivoire; Dofus Abyssal; Dofus Turquoise; Muldo Prune</t>
        </is>
      </c>
    </row>
    <row r="20962">
      <c r="A20962" t="inlineStr">
        <is>
          <t>int/cha</t>
        </is>
      </c>
      <c r="B20962">
        <f>HYPERLINK("https://www.dofusbook.net/fr/equipement/1917173-int-cha/objets", "link")</f>
        <v/>
      </c>
      <c r="C20962" t="n">
        <v>0</v>
      </c>
      <c r="D20962" t="inlineStr">
        <is>
          <t>Arc Nécrotique; Collier de la Dame du Hasard; Bracelet du Piloztère; Anneau Tique; Bouclier cubiste; Ceintrigue; Casquette de Meno; Cape de la Dame du Hasard; Bottes de la Dame du Hasard; Dofus Pourpre; Dofus Ocre; Dofus Abyssal; Dolmanax; Dofus Turquoise; Dofus Ivoire; Muldo Orchidée et Pourpre</t>
        </is>
      </c>
    </row>
    <row r="20963">
      <c r="A20963" t="inlineStr">
        <is>
          <t>pvm</t>
        </is>
      </c>
      <c r="B20963">
        <f>HYPERLINK("https://www.dofusbook.net/fr/equipement/1552941-pvm/objets", "link")</f>
        <v/>
      </c>
      <c r="C20963" t="n">
        <v>0</v>
      </c>
      <c r="D20963" t="inlineStr">
        <is>
          <t>Dagues Érhy; Amulette du Strigide; Bague Gloursonne; Bracelet du Piloztère; Quatre-feuilles; Ceintacé; Couronne du Roi Joueur; Dofusteuse; Bottes du Strigide; Dofus Turquoise; Dofus Pourpre; Chanceux majeur; Vigoureux majeur; Observateur; Remueur; Muldo Prune et Doré</t>
        </is>
      </c>
    </row>
    <row r="20964">
      <c r="A20964" t="inlineStr">
        <is>
          <t>pvmmm</t>
        </is>
      </c>
      <c r="B20964">
        <f>HYPERLINK("https://www.dofusbook.net/fr/equipement/1552833-pvmmm/objets", "link")</f>
        <v/>
      </c>
      <c r="C20964" t="n">
        <v>0</v>
      </c>
      <c r="D20964" t="inlineStr"/>
    </row>
    <row r="20965">
      <c r="A20965" t="inlineStr">
        <is>
          <t>aaaaaa</t>
        </is>
      </c>
      <c r="B20965">
        <f>HYPERLINK("https://www.dofusbook.net/fr/equipement/1544791-aaaaaa/objets", "link")</f>
        <v/>
      </c>
      <c r="C20965" t="n">
        <v>0</v>
      </c>
      <c r="D20965" t="inlineStr">
        <is>
          <t>Bâton Beau; Amulette du Strigide; Bague Gloursonne; Bracelet du Piloztère; Quatre-feuilles; Ceinture du Strigide; Bonnet Ko; Cape des Malveilleurs; Getas Bernacle; Dofus Émeraude; Dofus Ocre; Dofus Turquoise; Fonceur majeur; Remueur; Nomade; Muldo Prune et Doré</t>
        </is>
      </c>
    </row>
    <row r="20966">
      <c r="A20966" t="inlineStr">
        <is>
          <t>Stuff 3</t>
        </is>
      </c>
      <c r="B20966">
        <f>HYPERLINK("https://www.dofusbook.net/fr/equipement/1484514-stuff-3/objets", "link")</f>
        <v/>
      </c>
      <c r="C20966" t="n">
        <v>0</v>
      </c>
      <c r="D20966" t="inlineStr">
        <is>
          <t>Héqache; Amulette du Strigide; Alliance Gloursonne; Bracelet du Piloztère; Quatre-feuilles; Ceinture du Strigide; Chapoulpe; Cape de la Cour Sombre; Baleinabottes; Dofus Turquoise; Dofus Pourpre; Remueur; Enragé majeur; Nomade; Vigoureux majeur; Muldo Prune et Doré</t>
        </is>
      </c>
    </row>
    <row r="20967">
      <c r="A20967" t="inlineStr">
        <is>
          <t>Stuff 3</t>
        </is>
      </c>
      <c r="B20967">
        <f>HYPERLINK("https://www.dofusbook.net/fr/equipement/1318021-stuff-3/objets", "link")</f>
        <v/>
      </c>
      <c r="C20967" t="n">
        <v>0</v>
      </c>
      <c r="D20967" t="inlineStr">
        <is>
          <t>Héqache; Amulette du Strigide; Bracelet du Piloztère; Alliance Gloursonne; Quatre-feuilles; Ceinture du Strigide; Chapoulpe; Cape de la Cour Sombre; Baleinabottes; Dofus Pourpre; Dofus Turquoise; Enragé majeur; Nomade; Vigoureux majeur; Remueur; Muldo Prune et Doré</t>
        </is>
      </c>
    </row>
    <row r="20968">
      <c r="A20968" t="inlineStr">
        <is>
          <t>pvp</t>
        </is>
      </c>
      <c r="B20968">
        <f>HYPERLINK("https://www.dofusbook.net/fr/equipement/1447752-pvp/objets", "link")</f>
        <v/>
      </c>
      <c r="C20968" t="n">
        <v>0</v>
      </c>
      <c r="D20968" t="inlineStr">
        <is>
          <t>Baguette de Malléfisk; Amulette de Nileza; Anneau Tique; Anneau de Nidas; Ceintacé; Ruskauffe; Voile d'encre; Nomade; Remueur</t>
        </is>
      </c>
    </row>
    <row r="20969">
      <c r="A20969" t="inlineStr">
        <is>
          <t>pvm</t>
        </is>
      </c>
      <c r="B20969">
        <f>HYPERLINK("https://www.dofusbook.net/fr/equipement/1371472-pvm/objets", "link")</f>
        <v/>
      </c>
      <c r="C20969" t="n">
        <v>0</v>
      </c>
      <c r="D20969" t="inlineStr">
        <is>
          <t>Baguette Houffe-Craitien; Amulette du Strigide; Anneau Rifique; Anneau de Padgref; Ceinture du Strigide; Coiffe de Padgref; Cape d'Atcham; Getas de Padgref; Dofus Pourpre; Dofus des Glaces; Dofus Ocre; Dofus Nébuleux; Dolmanax; Dofus Turquoise; Muldo Prune et Emeraude</t>
        </is>
      </c>
    </row>
    <row r="20970">
      <c r="A20970" t="inlineStr">
        <is>
          <t>Stuff 1</t>
        </is>
      </c>
      <c r="B20970">
        <f>HYPERLINK("https://www.dofusbook.net/fr/equipement/123612-stuff-1/objets", "link")</f>
        <v/>
      </c>
      <c r="C20970" t="n">
        <v>0</v>
      </c>
      <c r="D20970" t="inlineStr">
        <is>
          <t>Dagoulinantes; Amulette de Shokkoth; Bracelet des Fonds marins; Alliance Gloursonne; Poulpagne; Casquette de Meno; Cape de la Dame du Hasard; Bottes de la Dame du Hasard; Ralentisseur majeur; Temporiseur majeur; Entraveur majeur; Fonceur majeur; Nomade; Remueur</t>
        </is>
      </c>
    </row>
    <row r="20971">
      <c r="A20971" t="inlineStr">
        <is>
          <t>Stuff 1</t>
        </is>
      </c>
      <c r="B20971">
        <f>HYPERLINK("https://www.dofusbook.net/fr/equipement/123629-stuff-1/objets", "link")</f>
        <v/>
      </c>
      <c r="C20971" t="n">
        <v>0</v>
      </c>
      <c r="D20971" t="inlineStr">
        <is>
          <t>Marteau de Katrepat; Amulette du Strigide; Bague Gloursonne; Bracelet du Piloztère; Quatre-feuilles; Ceinture du Strigide; Casque Cyclopéen; Cape des Malveilleurs; Baleinabottes; Dofus Pourpre; Dofus Turquoise; Enragé majeur; Nomade; Vigoureux majeur; Remueur; Muldo Prune et Doré</t>
        </is>
      </c>
    </row>
    <row r="20972">
      <c r="A20972" t="inlineStr">
        <is>
          <t>Stuff 2</t>
        </is>
      </c>
      <c r="B20972">
        <f>HYPERLINK("https://www.dofusbook.net/fr/equipement/123630-stuff-2/objets", "link")</f>
        <v/>
      </c>
      <c r="C20972" t="n">
        <v>0</v>
      </c>
      <c r="D20972" t="inlineStr">
        <is>
          <t>Marteau de Katrepat; Amulette du Strigide; Bague Gloursonne; Bracelet du Piloztère; Quatre-feuilles; Ceinture du Strigide; Casque Cyclopéen; Cape des Malveilleurs; Baleinabottes; Dofus Pourpre; Dofus Turquoise; Vigoureux majeur; Remueur; Enragé majeur; Nomade; Muldo Prune et Doré</t>
        </is>
      </c>
    </row>
    <row r="20973">
      <c r="A20973" t="inlineStr">
        <is>
          <t>aaa</t>
        </is>
      </c>
      <c r="B20973">
        <f>HYPERLINK("https://www.dofusbook.net/fr/equipement/1270238-aaa/objets", "link")</f>
        <v/>
      </c>
      <c r="C20973" t="n">
        <v>0</v>
      </c>
      <c r="D20973" t="inlineStr">
        <is>
          <t>Arc de Koutoulou; Amulette du Strigide; Bracelet du Piloztère; Alliance Gloursonne; Ceinture Voldelor; Némès de Tal Kasha; Chevelure de Tal Kasha; Sandales  d'Atcham</t>
        </is>
      </c>
    </row>
    <row r="20974">
      <c r="A20974" t="inlineStr">
        <is>
          <t>pvm</t>
        </is>
      </c>
      <c r="B20974">
        <f>HYPERLINK("https://www.dofusbook.net/fr/equipement/1270108-pvm/objets", "link")</f>
        <v/>
      </c>
      <c r="C20974" t="n">
        <v>0</v>
      </c>
      <c r="D20974" t="inlineStr">
        <is>
          <t>Baguette Range; Amulette du Strigide; Ceinture du Strigide; Casque Cyclopéen; Cape d'Atcham; Sandales  d'Atcham; Dofus Pourpre; Dofus Ocre; Dofus Émeraude; Dofus Turquoise; Vigoureux majeur; Remueur; Muldo Prune et Doré</t>
        </is>
      </c>
    </row>
    <row r="20975">
      <c r="A20975" t="inlineStr">
        <is>
          <t>Stuff 3</t>
        </is>
      </c>
      <c r="B20975">
        <f>HYPERLINK("https://www.dofusbook.net/fr/equipement/123631-stuff-3/objets", "link")</f>
        <v/>
      </c>
      <c r="C20975" t="n">
        <v>0</v>
      </c>
      <c r="D20975" t="inlineStr">
        <is>
          <t>Héqache; Amulette du Strigide; Alliance Gloursonne; Bracelet du Piloztère; Quatre-feuilles; Ceinture du Strigide; Chapoulpe; Cape de la Cour Sombre; Baleinabottes; Dofus Pourpre; Dofus Turquoise; Enragé majeur; Nomade; Vigoureux majeur; Remueur; Muldo Prune et Doré</t>
        </is>
      </c>
    </row>
    <row r="20976">
      <c r="A20976" t="inlineStr">
        <is>
          <t>pvp</t>
        </is>
      </c>
      <c r="B20976">
        <f>HYPERLINK("https://www.dofusbook.net/fr/equipement/730733-pvp/objets", "link")</f>
        <v/>
      </c>
      <c r="C20976" t="n">
        <v>0</v>
      </c>
      <c r="D20976" t="inlineStr">
        <is>
          <t>Hache du Chalœil; Amulette Luminescente; Alliance du Lévitrof; Alliance Gloursonne; Protopagne; Coiffe du Lévitrof; Voile d'encre; Pataugastrique; Dofus Pourpre; Carapace Eau majeur; Remueur; Temporiseur majeur; Évasif majeur; Vigoureux majeur; Muldo Indigo et Pourpre</t>
        </is>
      </c>
    </row>
    <row r="20977">
      <c r="A20977" t="inlineStr">
        <is>
          <t>tahdddddddddddddd</t>
        </is>
      </c>
      <c r="B20977">
        <f>HYPERLINK("https://www.dofusbook.net/fr/equipement/282186-tahdddddddddddddd/objets", "link")</f>
        <v/>
      </c>
      <c r="C20977" t="n">
        <v>0</v>
      </c>
      <c r="D20977" t="inlineStr">
        <is>
          <t>Hache du Chalœil; Amulette du Strigide; Bague Gloursonne; Bracelet du Piloztère; Ceinture du Strigide; Masque du Katcheur; Dofusteuse; Getas Bernacle; Dofus Ocre; Dofus Émeraude; Vigoureux majeur; Fonceur majeur; Remueur; Nomade; Kwaltess</t>
        </is>
      </c>
    </row>
    <row r="20978">
      <c r="A20978" t="inlineStr">
        <is>
          <t>Stuff 2</t>
        </is>
      </c>
      <c r="B20978">
        <f>HYPERLINK("https://www.dofusbook.net/fr/equipement/123639-stuff-2/objets", "link")</f>
        <v/>
      </c>
      <c r="C20978" t="n">
        <v>0</v>
      </c>
      <c r="D20978" t="inlineStr">
        <is>
          <t>Arc du Chalœil; Amulette du Strigide; Bague Gloursonne; Anneau Chevelu; Ceintacé; Chapeau de Gein; Voile d'encre; Bottes du Strigide; Dofus Turquoise; Carapace Terre majeur; Carapace Feu majeur; Évasif majeur; Fonceur majeur; Remueur</t>
        </is>
      </c>
    </row>
    <row r="20979">
      <c r="A20979" t="inlineStr">
        <is>
          <t>Stuff 2</t>
        </is>
      </c>
      <c r="B20979">
        <f>HYPERLINK("https://www.dofusbook.net/fr/equipement/123634-stuff-2/objets", "link")</f>
        <v/>
      </c>
      <c r="C20979" t="n">
        <v>0</v>
      </c>
      <c r="D20979" t="inlineStr">
        <is>
          <t>Épouvante; Amulette Luminescente; Anneau Crustique; Alliance Gloursonne; Ceinture Luminescente; Masque de Koutoulou; Cape du Chalœil; Pantoufles du Piloztère; Remueur; Cavaleur majeur; Carapace Air majeur; Étourdisseur majeur; Nomade; Évasif majeur; Croum</t>
        </is>
      </c>
    </row>
    <row r="20980">
      <c r="A20980" t="inlineStr">
        <is>
          <t>Stuff 1</t>
        </is>
      </c>
      <c r="B20980">
        <f>HYPERLINK("https://www.dofusbook.net/fr/equipement/123641-stuff-1/objets", "link")</f>
        <v/>
      </c>
      <c r="C20980" t="n">
        <v>0</v>
      </c>
      <c r="D20980" t="inlineStr">
        <is>
          <t>La Racine Hagogue; Collier du Valet Veinard; Gant du Valet Veinard; Anneau d'Allister; Ceinture de Nevark; Couronne d'Allister; Cape du Valet Veinard; Bottes d'Allister; Dofus des Glaces; Dofus Ocre; Féroce majeur; Voyageur; Ravageur Air majeur; Saccageur Air majeur; Blérodoudou</t>
        </is>
      </c>
    </row>
    <row r="20981">
      <c r="A20981" t="inlineStr">
        <is>
          <t>Stuff 1</t>
        </is>
      </c>
      <c r="B20981">
        <f>HYPERLINK("https://www.dofusbook.net/fr/equipement/123633-stuff-1/objets", "link")</f>
        <v/>
      </c>
      <c r="C20981" t="n">
        <v>0</v>
      </c>
      <c r="D20981" t="inlineStr">
        <is>
          <t>Marteau R'ture; Amulette de Pol Ouatnos; Bracelet du Piloztère; Anneau Crustique; Ceintouse; Masque de Koutoulou; Cape Indescriptible; Tentassons; Remueur; Carapace Terre majeur; Cavaleur majeur; Étourdisseur majeur; Nomade; Évasif majeur; Croum</t>
        </is>
      </c>
    </row>
    <row r="20982">
      <c r="A20982" t="inlineStr">
        <is>
          <t>Stuff 3</t>
        </is>
      </c>
      <c r="B20982">
        <f>HYPERLINK("https://www.dofusbook.net/fr/equipement/123628-stuff-3/objets", "link")</f>
        <v/>
      </c>
      <c r="C20982" t="n">
        <v>0</v>
      </c>
      <c r="D20982" t="inlineStr">
        <is>
          <t>Sabres d'Atcham; Amulette du Strigide; Anneau Tique; Alliance Gloursonne; Ceintacé; Maskrobe; Cape du Kanimate; Sandales  d'Atcham; Dofus Turquoise; Dofus Pourpre; Remueur; Vigoureux majeur; Nomade; Fonceur majeur</t>
        </is>
      </c>
    </row>
    <row r="20983">
      <c r="A20983" t="inlineStr">
        <is>
          <t>Stuff 3</t>
        </is>
      </c>
      <c r="B20983">
        <f>HYPERLINK("https://www.dofusbook.net/fr/equipement/123640-stuff-3/objets", "link")</f>
        <v/>
      </c>
      <c r="C20983" t="n">
        <v>0</v>
      </c>
      <c r="D20983" t="inlineStr">
        <is>
          <t>Harpelle; Amulette du Strigide; Alliance du Lévitrof; Bague Gloursonne; Ceintacé; Casque Cyclopéen; Cape de Diondin; Bottes du Strigide; Dofus Abyssal; Carapace Terre majeur; Carapace Eau majeur; Évasif majeur; Fonceur majeur; Remueur</t>
        </is>
      </c>
    </row>
    <row r="20984">
      <c r="A20984" t="inlineStr">
        <is>
          <t>Stuff 3</t>
        </is>
      </c>
      <c r="B20984">
        <f>HYPERLINK("https://www.dofusbook.net/fr/equipement/123635-stuff-3/objets", "link")</f>
        <v/>
      </c>
      <c r="C20984" t="n">
        <v>0</v>
      </c>
      <c r="D20984" t="inlineStr">
        <is>
          <t>Épouvante; Amulette Luminescente; Bracelet des Fonds marins; Alliance Gloursonne; Ceinture Luminescente; Masque de Koutoulou; Cape de Mantaze; Bottes du Chalœil; Cavaleur majeur; Étourdisseur majeur; Nomade; Évasif majeur; Remueur; Carapace Eau majeur; Croum</t>
        </is>
      </c>
    </row>
    <row r="20985">
      <c r="A20985" t="inlineStr">
        <is>
          <t>Stuff 1</t>
        </is>
      </c>
      <c r="B20985">
        <f>HYPERLINK("https://www.dofusbook.net/fr/equipement/123642-stuff-1/objets", "link")</f>
        <v/>
      </c>
      <c r="C20985" t="n">
        <v>0</v>
      </c>
      <c r="D20985" t="inlineStr">
        <is>
          <t>Hache du Chalœil; Amulette du Strigide; Bague Gloursonne; Anneau de Padgref; Ceinture du Strigide; Némès de Tal Kasha; Chevelure de Tal Kasha; Sandales de Tal Kasha; Dofus Émeraude; Dofus Turquoise; Dofus des Glaces; Dofus Pourpre; Dolmanax; Dofus Ocre</t>
        </is>
      </c>
    </row>
    <row r="20986">
      <c r="A20986" t="inlineStr">
        <is>
          <t>Stuff 2</t>
        </is>
      </c>
      <c r="B20986">
        <f>HYPERLINK("https://www.dofusbook.net/fr/equipement/123637-stuff-2/objets", "link")</f>
        <v/>
      </c>
      <c r="C20986" t="n">
        <v>0</v>
      </c>
      <c r="D20986" t="inlineStr">
        <is>
          <t>Dagues Érhy; Amulette du Strigide; Bague Gloursonne; Bracelet du Piloztère; Ceintacé; Chapeau de Gein; Voile d'encre; Bottes du Strigide; Dofus Pourpre; Dofus Turquoise; Nomade; Vigoureux majeur; Remueur; Fonceur majeur</t>
        </is>
      </c>
    </row>
    <row r="20987">
      <c r="A20987" t="inlineStr">
        <is>
          <t>Stuff 1</t>
        </is>
      </c>
      <c r="B20987">
        <f>HYPERLINK("https://www.dofusbook.net/fr/equipement/123632-stuff-1/objets", "link")</f>
        <v/>
      </c>
      <c r="C20987" t="n">
        <v>0</v>
      </c>
      <c r="D20987" t="inlineStr">
        <is>
          <t>Sabres d'Atcham; Amulette de Pol Ouatnos; Anneau Tique; Alliance Gloursonne; Ceinture de Vortex; Masque du Barbétoal; Cape d'Atcham; Pataugastrique; Cavaleur majeur; Étourdisseur majeur; Remueur; Évasif majeur; Nomade; Croum</t>
        </is>
      </c>
    </row>
    <row r="20988">
      <c r="A20988" t="inlineStr">
        <is>
          <t>Stuff 2</t>
        </is>
      </c>
      <c r="B20988">
        <f>HYPERLINK("https://www.dofusbook.net/fr/equipement/123639-stuff-2/objets", "link")</f>
        <v/>
      </c>
      <c r="C20988" t="n">
        <v>0</v>
      </c>
      <c r="D20988" t="inlineStr">
        <is>
          <t>Arc du Chalœil; Amulette du Strigide; Bague Gloursonne; Anneau Chevelu; Ceintacé; Chapeau de Gein; Voile d'encre; Bottes du Strigide; Dofus Turquoise; Carapace Terre majeur; Carapace Feu majeur; Évasif majeur; Fonceur majeur; Remueur</t>
        </is>
      </c>
    </row>
    <row r="20989">
      <c r="A20989" t="inlineStr">
        <is>
          <t>Stuff 2</t>
        </is>
      </c>
      <c r="B20989">
        <f>HYPERLINK("https://www.dofusbook.net/fr/equipement/123634-stuff-2/objets", "link")</f>
        <v/>
      </c>
      <c r="C20989" t="n">
        <v>0</v>
      </c>
      <c r="D20989" t="inlineStr">
        <is>
          <t>Épouvante; Amulette Luminescente; Anneau Crustique; Alliance Gloursonne; Ceinture Luminescente; Masque de Koutoulou; Cape du Chalœil; Pantoufles du Piloztère; Carapace Air majeur; Étourdisseur majeur; Nomade; Évasif majeur; Remueur; Cavaleur majeur; Croum</t>
        </is>
      </c>
    </row>
    <row r="20990">
      <c r="A20990" t="inlineStr">
        <is>
          <t>Stuff 2</t>
        </is>
      </c>
      <c r="B20990">
        <f>HYPERLINK("https://www.dofusbook.net/fr/equipement/123624-stuff-2/objets", "link")</f>
        <v/>
      </c>
      <c r="C20990" t="n">
        <v>0</v>
      </c>
      <c r="D20990" t="inlineStr">
        <is>
          <t>Sabres d'Atcham; Amulette de Pol Ouatnos; Anneau Tique; Alliance Gloursonne; Ceintacé; Cagoule de Vortex; Cape d'Atcham; Pataugastrique; Dofus Turquoise; Dofus Pourpre; Obstructeur majeur; Vigoureux majeur; Nomade; Étourdisseur majeur; Croum</t>
        </is>
      </c>
    </row>
    <row r="20991">
      <c r="A20991" t="inlineStr">
        <is>
          <t>Stuff 2</t>
        </is>
      </c>
      <c r="B20991">
        <f>HYPERLINK("https://www.dofusbook.net/fr/equipement/123592-stuff-2/objets", "link")</f>
        <v/>
      </c>
      <c r="C20991" t="n">
        <v>0</v>
      </c>
      <c r="D20991" t="inlineStr">
        <is>
          <t>Marteau des Anciens Steamers; Amulette de Pol Ouatnos; Alliance Gloursonne; Bracelet du Piloztère; Ceinture Voldelor; Coiffe d'Ogivol; Cape des Malveilleurs; Bottes Voldelor; Dofus Nébuleux; Dofus Pourpre; Dofus Ocre; Dofus Turquoise; Vigoureux majeur; Remueur</t>
        </is>
      </c>
    </row>
    <row r="20992">
      <c r="A20992" t="inlineStr">
        <is>
          <t>Stuff 3</t>
        </is>
      </c>
      <c r="B20992">
        <f>HYPERLINK("https://www.dofusbook.net/fr/equipement/123587-stuff-3/objets", "link")</f>
        <v/>
      </c>
      <c r="C20992" t="n">
        <v>0</v>
      </c>
      <c r="D20992" t="inlineStr">
        <is>
          <t>Arc Hétype; Amulette de Nileza; Anneau de Nidas; Anneau Tique; Ceinture de Vortex; Cagoule de Vortex; Voile d'encre; Pataugastrique; Cavaleur majeur; Carapace Neutre majeur; Étourdisseur majeur; Remueur; Fonceur majeur; Nomade; Croum</t>
        </is>
      </c>
    </row>
    <row r="20993">
      <c r="A20993" t="inlineStr">
        <is>
          <t>Stuff 3</t>
        </is>
      </c>
      <c r="B20993">
        <f>HYPERLINK("https://www.dofusbook.net/fr/equipement/123619-stuff-3/objets", "link")</f>
        <v/>
      </c>
      <c r="C20993" t="n">
        <v>0</v>
      </c>
      <c r="D20993" t="inlineStr">
        <is>
          <t>Sabres d'Atcham; Collier de la Dame du Hasard; Anneau de Padgref; Alliance Gloursonne; Ceintrigue; Kidibonnet; Cape d'Atcham; Bottes des Malveilleurs; Dofus Pourpre; Dofus Turquoise; Vigoureux majeur; Remueur; Cascadeur majeur; Nomade</t>
        </is>
      </c>
    </row>
    <row r="20994">
      <c r="A20994" t="inlineStr">
        <is>
          <t>Stuff 1</t>
        </is>
      </c>
      <c r="B20994">
        <f>HYPERLINK("https://www.dofusbook.net/fr/equipement/123582-stuff-1/objets", "link")</f>
        <v/>
      </c>
      <c r="C20994" t="n">
        <v>0</v>
      </c>
      <c r="D20994" t="inlineStr">
        <is>
          <t>Dagues Érhy; Amulette du Strigide; Bague Gloursonne; Bracelet du Piloztère; Bouclier du Captain Amakna; Ceinture du Strigide; Masque du Katcheur; Cape de la Cour Sombre; Baleinabottes; Dofus Pourpre; Dofus Turquoise; Dofus Émeraude; Remueur; Nomade; Vigoureux majeur; Muldo Doré</t>
        </is>
      </c>
    </row>
    <row r="20995">
      <c r="A20995" t="inlineStr">
        <is>
          <t>Stuff 3</t>
        </is>
      </c>
      <c r="B20995">
        <f>HYPERLINK("https://www.dofusbook.net/fr/equipement/123614-stuff-3/objets", "link")</f>
        <v/>
      </c>
      <c r="C20995" t="n">
        <v>0</v>
      </c>
      <c r="D20995" t="inlineStr">
        <is>
          <t>Baguette Hique; Collier de la Dame du Hasard; Anneau Tamie; Anneau Tamie; Ceinture Glaciale; Maskrobe; Cape de la Dame du Hasard; Pantoufles Émar; Entraveur; Temporiseur majeur; Temporiseur; Ralentisseur majeur; Entraveur majeur; Remueur; Gwo Tofu Ventripotent</t>
        </is>
      </c>
    </row>
    <row r="20996">
      <c r="A20996" t="inlineStr">
        <is>
          <t>Stuff 1</t>
        </is>
      </c>
      <c r="B20996">
        <f>HYPERLINK("https://www.dofusbook.net/fr/equipement/123609-stuff-1/objets", "link")</f>
        <v/>
      </c>
      <c r="C20996" t="n">
        <v>0</v>
      </c>
      <c r="D20996" t="inlineStr">
        <is>
          <t>Dagues de Srambad; Amulette de Pol Ouatnos; Bracelet des Fonds marins; Pikano; Ceintacé; Boucle d'oreille de Kongoku; Voile d'encre; Sandales des Fonds marins; Dofus Pourpre; Enragé majeur; Nomade; Étourdisseur majeur; Évasif majeur; Remueur; Croum</t>
        </is>
      </c>
    </row>
    <row r="20997">
      <c r="A20997" t="inlineStr">
        <is>
          <t>Stuff 2</t>
        </is>
      </c>
      <c r="B20997">
        <f>HYPERLINK("https://www.dofusbook.net/fr/equipement/123604-stuff-2/objets", "link")</f>
        <v/>
      </c>
      <c r="C20997" t="n">
        <v>0</v>
      </c>
      <c r="D20997" t="inlineStr">
        <is>
          <t>Amulette du Sinistrofu; Steamanneau Maître; Bouclier précieux; Ceinture Blot; Scaphandre Ojine; Sac Rebleux; Bottes Omates; Dofus Pourpre; Dofus Ocre; Vigoureux majeur; Nomade; Culbuteur majeur; Remueur</t>
        </is>
      </c>
    </row>
    <row r="20998">
      <c r="A20998" t="inlineStr">
        <is>
          <t>Stuff 3</t>
        </is>
      </c>
      <c r="B20998">
        <f>HYPERLINK("https://www.dofusbook.net/fr/equipement/123599-stuff-3/objets", "link")</f>
        <v/>
      </c>
      <c r="C20998" t="n">
        <v>0</v>
      </c>
      <c r="D20998" t="inlineStr">
        <is>
          <t>Bâton Beau; Amulule; Gelano; Alliance de Missiz Frizz; Obscture; Casque de Missiz Frizz; Cape du Professeur Xa; Bottes de Missiz Frizz; Dofus Ocre; Dofus Turquoise; Dofus Pourpre; Furibond majeur; Savant majeur; Puissant majeur; Kramkram</t>
        </is>
      </c>
    </row>
    <row r="20999">
      <c r="A20999" t="inlineStr">
        <is>
          <t>Stuff 1</t>
        </is>
      </c>
      <c r="B20999">
        <f>HYPERLINK("https://www.dofusbook.net/fr/equipement/123626-stuff-1/objets", "link")</f>
        <v/>
      </c>
      <c r="C20999" t="n">
        <v>0</v>
      </c>
      <c r="D20999" t="inlineStr">
        <is>
          <t>Sabres d'Atcham; Amulette du Strigide; Anneau Tique; Alliance Gloursonne; Protopagne; Kidibonnet; Cape du Kanimate; Sandales  d'Atcham; Obstructeur majeur; Cavaleur majeur; Étourdisseur majeur; Remueur; Évasif majeur; Nomade; Croum</t>
        </is>
      </c>
    </row>
    <row r="21000">
      <c r="A21000" t="inlineStr">
        <is>
          <t>Stuff 1</t>
        </is>
      </c>
      <c r="B21000">
        <f>HYPERLINK("https://www.dofusbook.net/fr/equipement/123594-stuff-1/objets", "link")</f>
        <v/>
      </c>
      <c r="C21000" t="n">
        <v>0</v>
      </c>
      <c r="D21000" t="inlineStr">
        <is>
          <t>Pelle de la Cour Sombre; Amulette du Granduk; Alliance Gloursonne; Anneau de Pol Ouatnos; Ceinture Billonnante; Masque du Granduk; Cape de Klime; Baleinabottes; Dofus Turquoise; Cascadeur majeur; Vigoureux majeur; Remueur; Equilibriste majeur; Nomade; Kwaltess</t>
        </is>
      </c>
    </row>
    <row r="21001">
      <c r="A21001" t="inlineStr">
        <is>
          <t>Stuff 3</t>
        </is>
      </c>
      <c r="B21001">
        <f>HYPERLINK("https://www.dofusbook.net/fr/equipement/123596-stuff-3/objets", "link")</f>
        <v/>
      </c>
      <c r="C21001" t="n">
        <v>0</v>
      </c>
      <c r="D21001" t="inlineStr">
        <is>
          <t>Dagues Açantes; Amulette de Danathor; Alliance du Lévitrof; Alliance Gloursonne; Ceinture Instable; Kidibonnet; Cape des Justiciers; Bottes du Lévitrof; Dolmanax; Temporiseur majeur; Temporiseur; Nomade; Ralentisseur majeur; Remueur</t>
        </is>
      </c>
    </row>
    <row r="21002">
      <c r="A21002" t="inlineStr">
        <is>
          <t>Stuff 1</t>
        </is>
      </c>
      <c r="B21002">
        <f>HYPERLINK("https://www.dofusbook.net/fr/equipement/123591-stuff-1/objets", "link")</f>
        <v/>
      </c>
      <c r="C21002" t="n">
        <v>0</v>
      </c>
      <c r="D21002" t="inlineStr">
        <is>
          <t>Marteau des Anciens Steamers; Amulette de Pol Ouatnos; Alliance Gloursonne; Bracelet du Piloztère; Ceinture Voldelor; Chapeau des Malveilleurs; Cape d'Hel Munster; Bottes Voldelor; Dofus Turquoise; Dofus Nébuleux; Dofus Pourpre; Dofus Ocre; Remueur; Vigoureux majeur</t>
        </is>
      </c>
    </row>
    <row r="21003">
      <c r="A21003" t="inlineStr">
        <is>
          <t>Stuff 1</t>
        </is>
      </c>
      <c r="B21003">
        <f>HYPERLINK("https://www.dofusbook.net/fr/equipement/123623-stuff-1/objets", "link")</f>
        <v/>
      </c>
      <c r="C21003" t="n">
        <v>0</v>
      </c>
      <c r="D21003" t="inlineStr">
        <is>
          <t>Pelle de Nidas; Amulette Voldelor; Alliance Gloursonne; Gant du Valet Veinard; Ceintacé; Masque du Barbétoal; Cape d'Atcham; Sandales  d'Atcham; Dofus Ocre; Évasif majeur; Nomade; Cavaleur majeur; Étourdisseur majeur; Remueur; Croum</t>
        </is>
      </c>
    </row>
    <row r="21004">
      <c r="A21004" t="inlineStr">
        <is>
          <t>Stuff 2</t>
        </is>
      </c>
      <c r="B21004">
        <f>HYPERLINK("https://www.dofusbook.net/fr/equipement/123586-stuff-2/objets", "link")</f>
        <v/>
      </c>
      <c r="C21004" t="n">
        <v>0</v>
      </c>
      <c r="D21004" t="inlineStr">
        <is>
          <t>Dagues Érhy; Amulette du Cycloïde; Anneau de Pol Ouatnos; Bague Gloursonne; Ceinture de la Cour Sombre; Chapeau de Gein; Cape de la Cour Sombre; Pataugastrique; Remueur; Carapace Terre majeur; Évasif majeur; Cavaleur majeur; Étourdisseur majeur; Nomade; Croum</t>
        </is>
      </c>
    </row>
    <row r="21005">
      <c r="A21005" t="inlineStr">
        <is>
          <t>Stuff 1</t>
        </is>
      </c>
      <c r="B21005">
        <f>HYPERLINK("https://www.dofusbook.net/fr/equipement/123618-stuff-1/objets", "link")</f>
        <v/>
      </c>
      <c r="C21005" t="n">
        <v>0</v>
      </c>
      <c r="D21005" t="inlineStr">
        <is>
          <t>Dagues Érhy; Pendentif affamé; Anneau de Padgref; Bague Gloursonne; Ceinture Séculaire; Cagoule de Vortex; Voile d'encre; Bottes Innommables; Dofus Ocre; Dofus Turquoise; Nomade; Remueur; Savant majeur; Érudit majeur; Brûlih</t>
        </is>
      </c>
    </row>
    <row r="21006">
      <c r="A21006" t="inlineStr">
        <is>
          <t>Stuff 2</t>
        </is>
      </c>
      <c r="B21006">
        <f>HYPERLINK("https://www.dofusbook.net/fr/equipement/123613-stuff-2/objets", "link")</f>
        <v/>
      </c>
      <c r="C21006" t="n">
        <v>0</v>
      </c>
      <c r="D21006" t="inlineStr">
        <is>
          <t>Marteau R'ture; Kralamansion; Anneau Tamie; Anneau Tamie; Ceinture de Kongoku; Boucle d'oreille de Kongoku; Cape de Meno; Pantoufles Émar; Temporiseur; Entraveur majeur; Remueur; Temporiseur majeur; Entraveur; Ralentisseur majeur</t>
        </is>
      </c>
    </row>
    <row r="21007">
      <c r="A21007" t="inlineStr">
        <is>
          <t>Stuff 3</t>
        </is>
      </c>
      <c r="B21007">
        <f>HYPERLINK("https://www.dofusbook.net/fr/equipement/123608-stuff-3/objets", "link")</f>
        <v/>
      </c>
      <c r="C21007" t="n">
        <v>0</v>
      </c>
      <c r="D21007" t="inlineStr">
        <is>
          <t>Dagues de Srambad; Amulette du Strigide; Alliance Gloursonne; Anneau Chevelu; Ceinture de la Reine des Voleurs; Masque des Fonds marins; Voile d'encre; Bottes de la Reine des Voleurs; Dofus Ocre; Évasif majeur; Cavaleur majeur; Nomade; Étourdisseur majeur; Remueur; Croum</t>
        </is>
      </c>
    </row>
    <row r="21008">
      <c r="A21008" t="inlineStr">
        <is>
          <t>Stuff 1</t>
        </is>
      </c>
      <c r="B21008">
        <f>HYPERLINK("https://www.dofusbook.net/fr/equipement/123603-stuff-1/objets", "link")</f>
        <v/>
      </c>
      <c r="C21008" t="n">
        <v>0</v>
      </c>
      <c r="D21008" t="inlineStr">
        <is>
          <t>Dagues Érhy; Amulette du Strigide; Anneau Chevelu; Bracelet du Piloztère; Ceintacé; Kidibonnet; Voile d'encre; Bottes du Strigide; Dofus Pourpre; Dofus Turquoise; Remueur; Fonceur majeur; Vigoureux majeur; Nomade; Kramkram</t>
        </is>
      </c>
    </row>
    <row r="21009">
      <c r="A21009" t="inlineStr">
        <is>
          <t>Stuff 2</t>
        </is>
      </c>
      <c r="B21009">
        <f>HYPERLINK("https://www.dofusbook.net/fr/equipement/123598-stuff-2/objets", "link")</f>
        <v/>
      </c>
      <c r="C21009" t="n">
        <v>0</v>
      </c>
      <c r="D21009" t="inlineStr">
        <is>
          <t>Dagues Érhy; Amulette du Strigide; Bracelet du Piloztère; Bague Gloursonne; Ceinture du Strigide; Chapeau de Gein; Voile d'encre; Bottes du Katcheur; Dofus Turquoise; Dofus Émeraude; Dofus Ocre; Dofus Pourpre; Nomade; Remueur; Kwaltess</t>
        </is>
      </c>
    </row>
    <row r="21010">
      <c r="A21010" t="inlineStr">
        <is>
          <t>Stuff 3</t>
        </is>
      </c>
      <c r="B21010">
        <f>HYPERLINK("https://www.dofusbook.net/fr/equipement/123593-stuff-3/objets", "link")</f>
        <v/>
      </c>
      <c r="C21010" t="n">
        <v>0</v>
      </c>
      <c r="D21010" t="inlineStr">
        <is>
          <t>Marteau des Anciens Steamers; Amulette de Pol Ouatnos; Alliance Gloursonne; Anneau Tique; Ceinture Voldelor; Kidibonnet; Cape des Malveilleurs; Bottes Voldelor; Dofus Turquoise; Remueur; Cavaleur majeur; Étourdisseur majeur; Évasif majeur; Nomade</t>
        </is>
      </c>
    </row>
    <row r="21011">
      <c r="A21011" t="inlineStr">
        <is>
          <t>Stuff 3</t>
        </is>
      </c>
      <c r="B21011">
        <f>HYPERLINK("https://www.dofusbook.net/fr/equipement/123625-stuff-3/objets", "link")</f>
        <v/>
      </c>
      <c r="C21011" t="n">
        <v>0</v>
      </c>
      <c r="D21011" t="inlineStr">
        <is>
          <t>Hache Ériphe; Amulette du Kamasterisk; Gant du Valet Veinard; Anneau des égarés; Ceinture de la Cour Sombre; Boucle d'oreille de Kongoku; Cape du Kamasterisk; Baleinabottes; Évasif majeur; Nomade; Carapace Air majeur; Cavaleur majeur; Étourdisseur majeur; Remueur; Croum</t>
        </is>
      </c>
    </row>
    <row r="21012">
      <c r="A21012" t="inlineStr">
        <is>
          <t>Stuff 1</t>
        </is>
      </c>
      <c r="B21012">
        <f>HYPERLINK("https://www.dofusbook.net/fr/equipement/123588-stuff-1/objets", "link")</f>
        <v/>
      </c>
      <c r="C21012" t="n">
        <v>0</v>
      </c>
      <c r="D21012" t="inlineStr">
        <is>
          <t>Dagues Érhy; Amulette de Pol Ouatnos; Bague Gloursonne; Anneau de Pol Ouatnos; Ceinture de Kongoku; Boucle d'oreille de Kongoku; Voile d'encre; Bottes de la Cour Sombre; Dofus Pourpre; Dofus Ocre; Remueur; Évasif majeur; Cavaleur majeur; Carapace Feu majeur; Croum</t>
        </is>
      </c>
    </row>
    <row r="21013">
      <c r="A21013" t="inlineStr">
        <is>
          <t>Stuff 1</t>
        </is>
      </c>
      <c r="B21013">
        <f>HYPERLINK("https://www.dofusbook.net/fr/equipement/123620-stuff-1/objets", "link")</f>
        <v/>
      </c>
      <c r="C21013" t="n">
        <v>0</v>
      </c>
      <c r="D21013" t="inlineStr">
        <is>
          <t>Arc Hétype; Amulette du Cycloïde; Bague Gloursonne; Anneau Tamie; Ceinture Séculaire; Coiffe Séculaire; Cape de Nileza; Pataugastrique; Dofus Émeraude; Miraculé majeur; Nomade; Érudit majeur; Remueur; Fonceur majeur; Brûlih</t>
        </is>
      </c>
    </row>
    <row r="21014">
      <c r="A21014" t="inlineStr">
        <is>
          <t>Stuff 2</t>
        </is>
      </c>
      <c r="B21014">
        <f>HYPERLINK("https://www.dofusbook.net/fr/equipement/123583-stuff-2/objets", "link")</f>
        <v/>
      </c>
      <c r="C21014" t="n">
        <v>1</v>
      </c>
      <c r="D21014" t="inlineStr">
        <is>
          <t>Dagues Érhy; Amulette de Pol Ouatnos; Bague Gloursonne; Bracelet du Piloztère; Ceinture de la Cour Sombre; Masque du Katcheur; Cape de la Cour Sombre; Baleinabottes; Dofus Émeraude; Dofus Turquoise; Dofus Pourpre; Remueur; Miraculé majeur; Nomade; Kwaltess</t>
        </is>
      </c>
    </row>
    <row r="21015">
      <c r="A21015" t="inlineStr">
        <is>
          <t>Stuff 1</t>
        </is>
      </c>
      <c r="B21015">
        <f>HYPERLINK("https://www.dofusbook.net/fr/equipement/123615-stuff-1/objets", "link")</f>
        <v/>
      </c>
      <c r="C21015" t="n">
        <v>0</v>
      </c>
      <c r="D21015" t="inlineStr">
        <is>
          <t>Sceptre du Roi Joueur; Talisman Glouti; Alliance Gloursonne; Bracelet des Fonds marins; Protopagne; Kidibonnet; Cape d'Atcham; Sandales  d'Atcham; Carapace Eau majeur; Étourdisseur majeur; Chanceux majeur; Carapace Air majeur; Évasif majeur; Remueur; Croum</t>
        </is>
      </c>
    </row>
    <row r="21016">
      <c r="A21016" t="inlineStr">
        <is>
          <t>Stuff 2</t>
        </is>
      </c>
      <c r="B21016">
        <f>HYPERLINK("https://www.dofusbook.net/fr/equipement/123610-stuff-2/objets", "link")</f>
        <v/>
      </c>
      <c r="C21016" t="n">
        <v>0</v>
      </c>
      <c r="D21016" t="inlineStr">
        <is>
          <t>Arc Hétype; Amulette de Nileza; Anneau Tique; Anneau de Nidas; Ceinture de Vortex; Couronne de Nidas; Voile d'encre; Pataugastrique; Évasif majeur; Érudit majeur; Nomade; Temporiseur majeur; Remueur; Fonceur majeur; Croum</t>
        </is>
      </c>
    </row>
    <row r="21017">
      <c r="A21017" t="inlineStr">
        <is>
          <t>Stuff 3</t>
        </is>
      </c>
      <c r="B21017">
        <f>HYPERLINK("https://www.dofusbook.net/fr/equipement/123605-stuff-3/objets", "link")</f>
        <v/>
      </c>
      <c r="C21017" t="n">
        <v>0</v>
      </c>
      <c r="D21017" t="inlineStr">
        <is>
          <t>Dagues de Srambad; Amulette Ementaire Deluxe; Alliance du Lévitrof; Alliance Gloursonne; Ceintacé; Coiffe de la Reine des Voleurs; Voile d'encre; Bottes de la Reine des Voleurs; Dofus Pourpre; Dofus Ocre; Vigoureux majeur; Miraculé majeur; Nomade; Remueur; Croum</t>
        </is>
      </c>
    </row>
    <row r="21018">
      <c r="A21018" t="inlineStr">
        <is>
          <t>Stuff 1</t>
        </is>
      </c>
      <c r="B21018">
        <f>HYPERLINK("https://www.dofusbook.net/fr/equipement/123600-stuff-1/objets", "link")</f>
        <v/>
      </c>
      <c r="C21018" t="n">
        <v>0</v>
      </c>
      <c r="D21018" t="inlineStr">
        <is>
          <t>Épouvante; Amulette Luminescente; Bague Trithon; Alliance Gloursonne; Ceinture de la Reine des Voleurs; Masque de Koutoulou; Voile d'encre; Bottes de la Reine des Voleurs; Dolmanax; Évasif majeur; Remueur; Fonceur majeur; Cavaleur majeur; Nomade; Croum</t>
        </is>
      </c>
    </row>
    <row r="21019">
      <c r="A21019" t="inlineStr">
        <is>
          <t>Stuff 2</t>
        </is>
      </c>
      <c r="B21019">
        <f>HYPERLINK("https://www.dofusbook.net/fr/equipement/123595-stuff-2/objets", "link")</f>
        <v/>
      </c>
      <c r="C21019" t="n">
        <v>0</v>
      </c>
      <c r="D21019" t="inlineStr">
        <is>
          <t>Racine de Floribonde; Amulette de Nevark; Alliance Gloursonne; Anneau d'Allister; Ceinture de Nevark; Couronne d'Allister; Cape de Nevark; Bottes d'Allister; Dofus Ocre; Dofus Émeraude; Précurseur majeur; Acrobate majeur; Equilibriste majeur; Survivant majeur</t>
        </is>
      </c>
    </row>
    <row r="21020">
      <c r="A21020" t="inlineStr">
        <is>
          <t>Stuff 2</t>
        </is>
      </c>
      <c r="B21020">
        <f>HYPERLINK("https://www.dofusbook.net/fr/equipement/123627-stuff-2/objets", "link")</f>
        <v/>
      </c>
      <c r="C21020" t="n">
        <v>0</v>
      </c>
      <c r="D21020" t="inlineStr">
        <is>
          <t>Arc Hétype; Amulette Séculaire; Anneau Tique; Bague Gloursonne; Protopagne; Casque Dragoeuf; Voile d'encre; Pataugastrique; Carapace Terre majeur; Remueur; Bontique</t>
        </is>
      </c>
    </row>
    <row r="21021">
      <c r="A21021" t="inlineStr">
        <is>
          <t>Stuff 1</t>
        </is>
      </c>
      <c r="B21021">
        <f>HYPERLINK("https://www.dofusbook.net/fr/equipement/123582-stuff-1/objets", "link")</f>
        <v/>
      </c>
      <c r="C21021" t="n">
        <v>0</v>
      </c>
      <c r="D21021" t="inlineStr">
        <is>
          <t>Dagues Érhy; Amulette du Strigide; Bracelet du Piloztère; Bague Gloursonne; Bouclier du Captain Amakna; Ceinture du Strigide; Masque du Katcheur; Cape de la Cour Sombre; Baleinabottes; Dofus Turquoise; Dofus Émeraude; Dofus Pourpre; Nomade; Vigoureux majeur; Remueur; Muldo Doré</t>
        </is>
      </c>
    </row>
    <row r="21022">
      <c r="A21022" t="inlineStr">
        <is>
          <t>Stuff 3</t>
        </is>
      </c>
      <c r="B21022">
        <f>HYPERLINK("https://www.dofusbook.net/fr/equipement/123614-stuff-3/objets", "link")</f>
        <v/>
      </c>
      <c r="C21022" t="n">
        <v>0</v>
      </c>
      <c r="D21022" t="inlineStr">
        <is>
          <t>Baguette Hique; Collier de la Dame du Hasard; Anneau Tamie; Anneau Tamie; Ceinture Glaciale; Maskrobe; Cape de la Dame du Hasard; Pantoufles Émar; Entraveur majeur; Remueur; Entraveur; Temporiseur majeur; Temporiseur; Ralentisseur majeur; Gwo Tofu Ventripotent</t>
        </is>
      </c>
    </row>
    <row r="21023">
      <c r="A21023" t="inlineStr">
        <is>
          <t>Stuff 1</t>
        </is>
      </c>
      <c r="B21023">
        <f>HYPERLINK("https://www.dofusbook.net/fr/equipement/123609-stuff-1/objets", "link")</f>
        <v/>
      </c>
      <c r="C21023" t="n">
        <v>0</v>
      </c>
      <c r="D21023" t="inlineStr">
        <is>
          <t>Dagues de Srambad; Amulette de Pol Ouatnos; Pikano; Bracelet des Fonds marins; Ceintacé; Boucle d'oreille de Kongoku; Voile d'encre; Sandales des Fonds marins; Dofus Pourpre; Évasif majeur; Remueur; Enragé majeur; Nomade; Étourdisseur majeur; Croum</t>
        </is>
      </c>
    </row>
    <row r="21024">
      <c r="A21024" t="inlineStr">
        <is>
          <t>Stuff 2</t>
        </is>
      </c>
      <c r="B21024">
        <f>HYPERLINK("https://www.dofusbook.net/fr/equipement/123604-stuff-2/objets", "link")</f>
        <v/>
      </c>
      <c r="C21024" t="n">
        <v>0</v>
      </c>
      <c r="D21024" t="inlineStr">
        <is>
          <t>Amulette du Sinistrofu; Steamanneau Maître; Bouclier précieux; Ceinture Blot; Scaphandre Ojine; Sac Rebleux; Bottes Omates; Dofus Pourpre; Dofus Ocre; Nomade; Culbuteur majeur; Remueur; Vigoureux majeur</t>
        </is>
      </c>
    </row>
    <row r="21025">
      <c r="A21025" t="inlineStr">
        <is>
          <t>Stuff 3</t>
        </is>
      </c>
      <c r="B21025">
        <f>HYPERLINK("https://www.dofusbook.net/fr/equipement/123599-stuff-3/objets", "link")</f>
        <v/>
      </c>
      <c r="C21025" t="n">
        <v>0</v>
      </c>
      <c r="D21025" t="inlineStr">
        <is>
          <t>Bâton Beau; Amulule; Alliance de Missiz Frizz; Gelano; Obscture; Casque de Missiz Frizz; Cape du Professeur Xa; Bottes de Missiz Frizz; Dofus Turquoise; Dofus Pourpre; Dofus Ocre; Puissant majeur; Furibond majeur; Savant majeur; Kramkram</t>
        </is>
      </c>
    </row>
    <row r="21026">
      <c r="A21026" t="inlineStr">
        <is>
          <t>Stuff 1</t>
        </is>
      </c>
      <c r="B21026">
        <f>HYPERLINK("https://www.dofusbook.net/fr/equipement/123594-stuff-1/objets", "link")</f>
        <v/>
      </c>
      <c r="C21026" t="n">
        <v>0</v>
      </c>
      <c r="D21026" t="inlineStr">
        <is>
          <t>Pelle de la Cour Sombre; Amulette du Granduk; Anneau de Pol Ouatnos; Alliance Gloursonne; Ceinture Billonnante; Masque du Granduk; Cape de Klime; Baleinabottes; Dofus Turquoise; Vigoureux majeur; Remueur; Equilibriste majeur; Nomade; Cascadeur majeur; Kwaltess</t>
        </is>
      </c>
    </row>
    <row r="21027">
      <c r="A21027" t="inlineStr">
        <is>
          <t>Stuff 1</t>
        </is>
      </c>
      <c r="B21027">
        <f>HYPERLINK("https://www.dofusbook.net/fr/equipement/123626-stuff-1/objets", "link")</f>
        <v/>
      </c>
      <c r="C21027" t="n">
        <v>0</v>
      </c>
      <c r="D21027" t="inlineStr">
        <is>
          <t>Sabres d'Atcham; Amulette du Strigide; Anneau Tique; Alliance Gloursonne; Protopagne; Kidibonnet; Cape du Kanimate; Sandales  d'Atcham; Étourdisseur majeur; Remueur; Évasif majeur; Nomade; Obstructeur majeur; Cavaleur majeur; Croum</t>
        </is>
      </c>
    </row>
    <row r="21028">
      <c r="A21028" t="inlineStr">
        <is>
          <t>Stuff 2</t>
        </is>
      </c>
      <c r="B21028">
        <f>HYPERLINK("https://www.dofusbook.net/fr/equipement/123589-stuff-2/objets", "link")</f>
        <v/>
      </c>
      <c r="C21028" t="n">
        <v>0</v>
      </c>
      <c r="D21028" t="inlineStr">
        <is>
          <t>Dagues de Srambad; Amulette Ementaire Deluxe; Alliance Gloursonne; Pikano; Ceinture de la Reine des Voleurs; Coiffe de la Reine des Voleurs; Voile d'encre; Pataugastrique; Étourdisseur majeur; Nomade; Enragé majeur; Remueur; Temporiseur majeur; Chanceux majeur; Croum</t>
        </is>
      </c>
    </row>
    <row r="21029">
      <c r="A21029" t="inlineStr">
        <is>
          <t>Stuff 2</t>
        </is>
      </c>
      <c r="B21029">
        <f>HYPERLINK("https://www.dofusbook.net/fr/equipement/123621-stuff-2/objets", "link")</f>
        <v/>
      </c>
      <c r="C21029" t="n">
        <v>0</v>
      </c>
      <c r="D21029" t="inlineStr">
        <is>
          <t>Arc Hétype; Pendentif affamé; Anneau Tique; Anneau Rifique; Ceinture Séculaire; Casque Cyclopéen; Cape de Diondin; Bottes Innommables; Croum</t>
        </is>
      </c>
    </row>
    <row r="21030">
      <c r="A21030" t="inlineStr">
        <is>
          <t>Stuff 3</t>
        </is>
      </c>
      <c r="B21030">
        <f>HYPERLINK("https://www.dofusbook.net/fr/equipement/123584-stuff-3/objets", "link")</f>
        <v/>
      </c>
      <c r="C21030" t="n">
        <v>1</v>
      </c>
      <c r="D21030" t="inlineStr">
        <is>
          <t>Hache Euvale; Amulette du Strigide; Gelano; Alliance Gloursonne; Ceinture du Strigide; Coiffe d'Ogivol; Cape Ovri; Bottes du Strigide; Dofus Turquoise; Dofus Ocre; Dofus Pourpre; Dofus Émeraude; Joueur majeur; Forcené majeur</t>
        </is>
      </c>
    </row>
    <row r="21031">
      <c r="A21031" t="inlineStr">
        <is>
          <t>Stuff 2</t>
        </is>
      </c>
      <c r="B21031">
        <f>HYPERLINK("https://www.dofusbook.net/fr/equipement/123616-stuff-2/objets", "link")</f>
        <v/>
      </c>
      <c r="C21031" t="n">
        <v>0</v>
      </c>
      <c r="D21031" t="inlineStr">
        <is>
          <t>Sabres d'Atcham; Amulette de Pol Ouatnos; Anneau Tique; Alliance Gloursonne; Ceinture de Vortex; Masque du Barbétoal; Cape d'Atcham; Pataugastrique; Cavaleur majeur; Obstructeur majeur; Évasif majeur; Remueur; Étourdisseur majeur; Nomade; Croum</t>
        </is>
      </c>
    </row>
    <row r="21032">
      <c r="A21032" t="inlineStr">
        <is>
          <t>Stuff 3</t>
        </is>
      </c>
      <c r="B21032">
        <f>HYPERLINK("https://www.dofusbook.net/fr/equipement/123611-stuff-3/objets", "link")</f>
        <v/>
      </c>
      <c r="C21032" t="n">
        <v>0</v>
      </c>
      <c r="D21032" t="inlineStr">
        <is>
          <t>Pelle de Nidas; Amulette Voldelor; Bracelet du Piloztère; Alliance Gloursonne; Ceinture Voldelor; Masque des Fonds marins; Cape du Kanimate; Baleinabottes; Cavaleur majeur; Nomade; Étourdisseur majeur; Carapace Terre majeur; Évasif majeur; Remueur; Croum</t>
        </is>
      </c>
    </row>
    <row r="21033">
      <c r="A21033" t="inlineStr">
        <is>
          <t>Stuff 1</t>
        </is>
      </c>
      <c r="B21033">
        <f>HYPERLINK("https://www.dofusbook.net/fr/equipement/123606-stuff-1/objets", "link")</f>
        <v/>
      </c>
      <c r="C21033" t="n">
        <v>0</v>
      </c>
      <c r="D21033" t="inlineStr">
        <is>
          <t>Sabres d'Atcham; Amulette de Pol Ouatnos; Bracelet des Fonds marins; Alliance Gloursonne; Ceinture de Vortex; Cagoule de Vortex; Voile d'encre; Pataugastrique; Dolmanax; Cavaleur majeur; Étourdisseur majeur; Remueur; Évasif majeur; Carapace Air majeur; Croum</t>
        </is>
      </c>
    </row>
    <row r="21034">
      <c r="A21034" t="inlineStr">
        <is>
          <t>Stuff 2</t>
        </is>
      </c>
      <c r="B21034">
        <f>HYPERLINK("https://www.dofusbook.net/fr/equipement/123601-stuff-2/objets", "link")</f>
        <v/>
      </c>
      <c r="C21034" t="n">
        <v>0</v>
      </c>
      <c r="D21034" t="inlineStr">
        <is>
          <t>Bâthon; Amulette du Strigide; Bracelet du Piloztère; Bague Gloursonne; Ceinture du Strigide; Boucle d'oreille de Kongoku; Dofusteuse; Bottes du Cycloïde; Dofus Ocre; Dofus Turquoise; Remueur; Vigoureux majeur; Nomade; Fonceur majeur; Kwaltess</t>
        </is>
      </c>
    </row>
    <row r="21035">
      <c r="A21035" t="inlineStr">
        <is>
          <t>Test</t>
        </is>
      </c>
      <c r="B21035">
        <f>HYPERLINK("https://www.dofusbook.net/fr/equipement/5944221-test/objets", "link")</f>
        <v/>
      </c>
      <c r="C21035" t="n">
        <v>2</v>
      </c>
      <c r="D21035" t="inlineStr">
        <is>
          <t>Arc de Koutoulou; Amulette du Strigide; Alliance Gloursonne; Anneau Volkorne; Quatre-feuilles; Ceinture du Strigide; Casque Volkorne; Chevelure de Tal Kasha; Bottes du Strigide; Dofus Ocre; Dofus Vulbis; Dofus Pourpre; Dofus Ébène; Dofus Turquoise; Dofus des Glaces; Kokulte</t>
        </is>
      </c>
    </row>
    <row r="21036">
      <c r="A21036" t="inlineStr">
        <is>
          <t>Test2</t>
        </is>
      </c>
      <c r="B21036">
        <f>HYPERLINK("https://www.dofusbook.net/fr/equipement/5944314-test2/objets", "link")</f>
        <v/>
      </c>
      <c r="C21036" t="n">
        <v>1</v>
      </c>
      <c r="D21036" t="inlineStr">
        <is>
          <t>Arc de Koutoulou; Amulette du Strigide; Anneau Volkorne; Alliance Gloursonne; Quatre-feuilles; Ceinture du Strigide; Némès de Tal Kasha; Chevelure de Tal Kasha; Sandales de Tal Kasha; Dofus Turquoise; Dofus Ivoire; Dofus Ocre; Dofus Vulbis; Dofus Pourpre; Dofus Ébène; Kokulte</t>
        </is>
      </c>
    </row>
    <row r="21037">
      <c r="A21037" t="inlineStr">
        <is>
          <t>MULTI/Strigide/Glour</t>
        </is>
      </c>
      <c r="B21037">
        <f>HYPERLINK("https://www.dofusbook.net/fr/equipement/1641094-multi-strigide-glour/objets", "link")</f>
        <v/>
      </c>
      <c r="C21037" t="n">
        <v>0</v>
      </c>
      <c r="D21037" t="inlineStr">
        <is>
          <t>Epée Gloursonne; Amulette du Strigide; Bague Gloursonne; Alliance Gloursonne; Quatre-feuilles; Ceinture du Strigide; Chapeau de Gein; Voile d'encre; Bottes du Strigide; Dofus Turquoise; Dofus Ivoire; Dofus Ocre; Dofus Vulbis; Dofus Pourpre; Dofus Ébène; Dragodinde en armure</t>
        </is>
      </c>
    </row>
    <row r="21038">
      <c r="A21038" t="inlineStr">
        <is>
          <t>Terre rush</t>
        </is>
      </c>
      <c r="B21038">
        <f>HYPERLINK("https://www.dofusbook.net/fr/equipement/3204736-terre-rush/objets", "link")</f>
        <v/>
      </c>
      <c r="C21038" t="n">
        <v>10</v>
      </c>
      <c r="D21038" t="inlineStr">
        <is>
          <t>Baguette de Torkélonia; Amulette du Strigide; Anneau Crustique; Anneau Volkorne; Quatre-feuilles; Ceinture Volkorne; Corne de Torkélonia; Carapace de Torkélonia; Bottes du Strigide; Dofus Turquoise; Dofus Ébène; Dofus Abyssal; Dofus Ocre; Dofus Nébuleux; Dofus Pourpre; Volkorne Emeraude et Pourpre</t>
        </is>
      </c>
    </row>
    <row r="21039">
      <c r="A21039" t="inlineStr">
        <is>
          <t>Mono chance</t>
        </is>
      </c>
      <c r="B21039">
        <f>HYPERLINK("https://www.dofusbook.net/fr/equipement/6003493-mono-chance/objets", "link")</f>
        <v/>
      </c>
      <c r="C21039" t="n">
        <v>2</v>
      </c>
      <c r="D21039" t="inlineStr">
        <is>
          <t>Sceptre du Roi Joueur; Amulette de Shokkoth; Bracelet des Fonds marins; Alliance Gloursonne; Quatre-feuilles; Poulpagne; Capuche de l'Œil Attentif; Cape de Mantaze; Sandales des Fonds marins; Dofus Turquoise; Dofus Pourpre; Dofus Nébuleux; Dofus Ocre; Chanceux majeur; Nomade</t>
        </is>
      </c>
    </row>
    <row r="21040">
      <c r="A21040" t="inlineStr">
        <is>
          <t>Tacle rés</t>
        </is>
      </c>
      <c r="B21040">
        <f>HYPERLINK("https://www.dofusbook.net/fr/equipement/6003439-tacle-res/objets", "link")</f>
        <v/>
      </c>
      <c r="C21040" t="n">
        <v>1</v>
      </c>
      <c r="D21040" t="inlineStr">
        <is>
          <t>Rouleau à Pâtisserie d'Aermyne; Collier Rophante; Anneau Tique; Alliance Gloursonne; Sept ans de malheur; Ceinture de Kongoku; Casque Dragoeuf; Cape d'Aermyne; Bottes de Léthaline; Dofus Ocre; Dokoko; Dofus Émeraude; Fonceur majeur; Obstructeur majeur; Bloqueur majeur; Volkorne Améthyste et Doré</t>
        </is>
      </c>
    </row>
    <row r="21041">
      <c r="A21041" t="inlineStr">
        <is>
          <t>Chance intel CC</t>
        </is>
      </c>
      <c r="B21041">
        <f>HYPERLINK("https://www.dofusbook.net/fr/equipement/6003308-chance-intel-cc/objets", "link")</f>
        <v/>
      </c>
      <c r="C21041" t="n">
        <v>2</v>
      </c>
      <c r="D21041" t="inlineStr">
        <is>
          <t>Arc Nécrotique; Amulette Volkorne; Bague Trithon; Anneau Volkorne; Quatre-feuilles; Ceinture Volkorne; Masque Trithon; Voile d'encre; Bottes Trithon; Dokoko; Dofus Pourpre; Dolmanax; Dofus Turquoise; Dofus Émeraude; Dofus Ocre; Kokulte</t>
        </is>
      </c>
    </row>
    <row r="21042">
      <c r="A21042" t="inlineStr">
        <is>
          <t>distance CC</t>
        </is>
      </c>
      <c r="B21042">
        <f>HYPERLINK("https://www.dofusbook.net/fr/equipement/5947563-distance-cc/objets", "link")</f>
        <v/>
      </c>
      <c r="C21042" t="n">
        <v>1</v>
      </c>
      <c r="D21042" t="inlineStr">
        <is>
          <t>Baguette Hique; Collier de la Dame du Hasard; Bracelet du Piloztère; Bracelet des Fonds marins; Quatre-feuilles; Pagne du Rykaon; Masque de Funespadon; Cape de la Dame du Hasard; Bottes de la Dame du Hasard; Dofus Ocre; Dofus Ébène; Dofus Vulbis; Dofus Pourpre; Dofus des Glaces; Dofus Turquoise; Kokulte</t>
        </is>
      </c>
    </row>
    <row r="21043">
      <c r="A21043" t="inlineStr">
        <is>
          <t>Tank ret PA</t>
        </is>
      </c>
      <c r="B21043">
        <f>HYPERLINK("https://www.dofusbook.net/fr/equipement/5947434-tank-ret-pa/objets", "link")</f>
        <v/>
      </c>
      <c r="C21043" t="n">
        <v>2</v>
      </c>
      <c r="D21043" t="inlineStr">
        <is>
          <t>Lav'Hache; Amulette de Pol Ouatnos; Anneau Crustique; Alliance Gloursonne; Sept ans de malheur; Ceinture de la Cour Sombre; Casque Dragoeuf; Cape de la Cour Sombre; Pataugastrique; Dofus Ivoire; Dofus Ébène; Dofus Émeraude; Dofus Abyssal; Dofus Ocre; Carapace Neutre majeur; Dragoune Rose</t>
        </is>
      </c>
    </row>
    <row r="21044">
      <c r="A21044" t="inlineStr">
        <is>
          <t>Terre CC</t>
        </is>
      </c>
      <c r="B21044">
        <f>HYPERLINK("https://www.dofusbook.net/fr/equipement/5270396-terre-cc/objets", "link")</f>
        <v/>
      </c>
      <c r="C21044" t="n">
        <v>9</v>
      </c>
      <c r="D21044" t="inlineStr">
        <is>
          <t>Arc du Chalœil; Amulette du Cœur Saignant; Anneau Crustique; Anneau de Brouce; Quatre-feuilles; Ceinture Volkorne; Masque de Koutoulou; Cape de Jahash Jurgen; Bottes du Cœur Saignant; Dofus Ocre; Dofus Turquoise; Dofus Vulbis; Dofus Pourpre; Dofus Ébène; Enragé majeur; Pioute vert</t>
        </is>
      </c>
    </row>
    <row r="21045">
      <c r="A21045" t="inlineStr">
        <is>
          <t>Mode actuel 2.0</t>
        </is>
      </c>
      <c r="B21045">
        <f>HYPERLINK("https://www.dofusbook.net/fr/equipement/5935518-mode-actuel-2-0/objets", "link")</f>
        <v/>
      </c>
      <c r="C21045" t="n">
        <v>4</v>
      </c>
      <c r="D21045" t="inlineStr">
        <is>
          <t>Arc Volkorne; Amulette du Strigide; Bague Gloursonne; Bracelet du Piloztère; Quatre-feuilles; Ceinture du Strigide; Casque du Chalœil; Voile d'encre; Bottes Honyme; Dofus Ocre; Dofus Ébène; Dofus Turquoise; Dofus Pourpre; Dofus Ivoire; Nomade; Kokulte</t>
        </is>
      </c>
    </row>
    <row r="21046">
      <c r="A21046" t="inlineStr">
        <is>
          <t>Full pano CC</t>
        </is>
      </c>
      <c r="B21046">
        <f>HYPERLINK("https://www.dofusbook.net/fr/equipement/5935394-full-pano-cc/objets", "link")</f>
        <v/>
      </c>
      <c r="C21046" t="n">
        <v>2</v>
      </c>
      <c r="D21046" t="inlineStr">
        <is>
          <t>Baguette de Torkélonia; Amulette du Strigide; Bague Gloursonne; Alliance Gloursonne; Quatre-feuilles; Ceinture du Strigide; Corne de Torkélonia; Carapace de Torkélonia; Bottes du Strigide; Dofus Pourpre; Dofus Ivoire; Dofus Turquoise; Dofus Ébène; Dofus Ocre; Dofus Abyssal; Kokulte</t>
        </is>
      </c>
    </row>
    <row r="21047">
      <c r="A21047" t="inlineStr">
        <is>
          <t>CC do</t>
        </is>
      </c>
      <c r="B21047">
        <f>HYPERLINK("https://www.dofusbook.net/fr/equipement/5935364-cc-do/objets", "link")</f>
        <v/>
      </c>
      <c r="C21047" t="n">
        <v>1</v>
      </c>
      <c r="D21047" t="inlineStr">
        <is>
          <t>Epée Maudite du Saigneur Guerrier; Amulette Volkorne; Bracelet du Piloztère; Anneau Volkorne; Bouclier du Captain Amakna; Ceinture Volkorne; Casque du Chalœil; Cape du Chalœil; Bottes du Chalœil; Dofus Turquoise; Dofus Ébène; Dofus Pourpre; Dofus Ocre; Dofus Émeraude; Dofus Ivoire; Kokulte</t>
        </is>
      </c>
    </row>
    <row r="21048">
      <c r="A21048" t="inlineStr">
        <is>
          <t>Multi Do no CC Glas</t>
        </is>
      </c>
      <c r="B21048">
        <f>HYPERLINK("https://www.dofusbook.net/fr/equipement/5935304-multi-do-no-cc-glas/objets", "link")</f>
        <v/>
      </c>
      <c r="C21048" t="n">
        <v>0</v>
      </c>
      <c r="D21048" t="inlineStr">
        <is>
          <t>Arc Honte; Amulette Volkorne; Bracelet du Piloztère; Anneau Volkorne; Bouclier du Stalak; Ceinture de l'Esprit Salvateur; Masque de l'Esprit Salvateur; Voilamibe; Bottes de l'Esprit Salvateur; Dofus Pourpre; Dofus Abyssal; Dofus Ébène; Dofus Ivoire; Dofus des Glaces; Dofus Ocre; Kramkram</t>
        </is>
      </c>
    </row>
    <row r="21049">
      <c r="A21049" t="inlineStr">
        <is>
          <t>Feu pvpm</t>
        </is>
      </c>
      <c r="B21049">
        <f>HYPERLINK("https://www.dofusbook.net/fr/equipement/5767625-feu-pvpm/objets", "link")</f>
        <v/>
      </c>
      <c r="C21049" t="n">
        <v>2</v>
      </c>
      <c r="D21049" t="inlineStr">
        <is>
          <t>Arc corrompu; Amulette Volkorne; Anneauræus; Anneauræus; Droiture de Fallanster; Ceinture Volkorne; Heaume Oplate; Voile d'encre; Bottes Innommables; Dofus Ivoire; Dofus Argenté; Dofus Émeraude; Dofus Ébène; Dofus Ocre</t>
        </is>
      </c>
    </row>
    <row r="21050">
      <c r="A21050" t="inlineStr">
        <is>
          <t>Rox Air PO</t>
        </is>
      </c>
      <c r="B21050">
        <f>HYPERLINK("https://www.dofusbook.net/fr/equipement/5920691-rox-air-po/objets", "link")</f>
        <v/>
      </c>
      <c r="C21050" t="n">
        <v>3</v>
      </c>
      <c r="D21050" t="inlineStr">
        <is>
          <t>Manthache; Collier du Valet Veinard; Alliance Gloursonne; Anneau d'Allister; Bouclier du Stalak; Menoture; Couronne d'Allister; Cape Indescriptible; Palmes Trithons; Dofus Pourpre; Dofus Ocre; Equilibriste majeur; Vigoureux majeur; Cascadeur majeur; Nomade; Siroko</t>
        </is>
      </c>
    </row>
    <row r="21051">
      <c r="A21051" t="inlineStr">
        <is>
          <t>Rox eau distance</t>
        </is>
      </c>
      <c r="B21051">
        <f>HYPERLINK("https://www.dofusbook.net/fr/equipement/5920806-rox-eau-distance/objets", "link")</f>
        <v/>
      </c>
      <c r="C21051" t="n">
        <v>0</v>
      </c>
      <c r="D21051" t="inlineStr">
        <is>
          <t>Amulette de Danathor; Anneau Volkorne; Alliance Gloursonne; Quatre-feuilles; Ceinture de Danathor; Coiffe de Danathor; Cape de Mantaze; Bottes de la Dame du Hasard; Dofus Pourpre; Dofus Nébuleux; Dofus Ocre; Dofus Turquoise; Dofus Abyssal; Volkorne Indigo</t>
        </is>
      </c>
    </row>
    <row r="21052">
      <c r="A21052" t="inlineStr">
        <is>
          <t>Crocobur</t>
        </is>
      </c>
      <c r="B21052">
        <f>HYPERLINK("https://www.dofusbook.net/fr/equipement/5917216-crocobur/objets", "link")</f>
        <v/>
      </c>
      <c r="C21052" t="n">
        <v>3</v>
      </c>
      <c r="D21052" t="inlineStr">
        <is>
          <t>Marteau des égarés; Amulette Volkorne; Bracelet du Piloztère; Anneau Volkorne; Bouclier du Captain Amakna; Ceinture Volkorne; Casque du Chalœil; Cape du Chalœil; Bottes du Chalœil; Dofus Émeraude; Dofus Ivoire; Dofus Ocre; Dofus des Glaces; Dofus Pourpre; Dofus Abyssal; Kokulte</t>
        </is>
      </c>
    </row>
    <row r="21053">
      <c r="A21053" t="inlineStr">
        <is>
          <t>Do pou</t>
        </is>
      </c>
      <c r="B21053">
        <f>HYPERLINK("https://www.dofusbook.net/fr/equipement/5902527-do-pou-/objets", "link")</f>
        <v/>
      </c>
      <c r="C21053" t="n">
        <v>7</v>
      </c>
      <c r="D21053" t="inlineStr">
        <is>
          <t>Héqache; Torquistik; Bague Instable; Bague Trithon; Bouclier précieux; Ceinture Gence; Casque Dragoeuf; Cape du Cœur Vaillant; Bottistik; Dofus Émeraude; Culbuteur; Remueur; Carapace Terre majeur; Bousculeur majeur; Culbuteur majeur; Balafreux</t>
        </is>
      </c>
    </row>
    <row r="21054">
      <c r="A21054" t="inlineStr">
        <is>
          <t>Chance pvp</t>
        </is>
      </c>
      <c r="B21054">
        <f>HYPERLINK("https://www.dofusbook.net/fr/equipement/5901562-chance-pvp/objets", "link")</f>
        <v/>
      </c>
      <c r="C21054" t="n">
        <v>0</v>
      </c>
      <c r="D21054" t="inlineStr">
        <is>
          <t>Sceptre du Roi Joueur; Amulette de Shokkoth; Anneau Volkorne; Alliance Gloursonne; Bouclier d'Ilyzaelle; Sangle Ouare; Capuche de l'Œil Attentif; Cape de l'Œil Attentif; Bottes de l'Indicible; Dofus Pourpre; Dofus Ébène; Dofus Ocre; Dofus des Glaces; Dofus Ivoire; Remueur; Kanigloups</t>
        </is>
      </c>
    </row>
    <row r="21055">
      <c r="A21055" t="inlineStr">
        <is>
          <t>Féca eau no Exo</t>
        </is>
      </c>
      <c r="B21055">
        <f>HYPERLINK("https://www.dofusbook.net/fr/equipement/5896490-feca-eau-no-exo/objets", "link")</f>
        <v/>
      </c>
      <c r="C21055" t="n">
        <v>15</v>
      </c>
      <c r="D21055" t="inlineStr">
        <is>
          <t>Baguette Hique; Collier de la Dame du Hasard; Bracelet du Piloztère; Alliance Gloursonne; Cadran de Terre; Ceinture Voldelor; Kidibonnet; Cape Matelassée; Bottes de la Dame du Hasard; Dofus Turquoise; Dofus Pourpre; Remueur; Vigoureux majeur; Nomade; Chanceux majeur; Muldo Indigo</t>
        </is>
      </c>
    </row>
    <row r="21056">
      <c r="A21056" t="inlineStr">
        <is>
          <t>Mono feu pvp</t>
        </is>
      </c>
      <c r="B21056">
        <f>HYPERLINK("https://www.dofusbook.net/fr/equipement/5898170-mono-feu-pvp/objets", "link")</f>
        <v/>
      </c>
      <c r="C21056" t="n">
        <v>0</v>
      </c>
      <c r="D21056" t="inlineStr">
        <is>
          <t>Arc corrompu; Amulette Volkorne; Anneauræus; Anneauræus; Bouclier du Stalak; Ceinture Volkorne; Heaume Oplate; Voile d'encre; Bottes Innommables; Dofus Vulbis; Dofus Ébène; Dofus Nébuleux; Dofus Ocre; Dofus Pourpre; Dofus Ivoire; Bisouglours</t>
        </is>
      </c>
    </row>
    <row r="21057">
      <c r="A21057" t="inlineStr">
        <is>
          <t>Air feu</t>
        </is>
      </c>
      <c r="B21057">
        <f>HYPERLINK("https://www.dofusbook.net/fr/equipement/5606827-air-feu/objets", "link")</f>
        <v/>
      </c>
      <c r="C21057" t="n">
        <v>2</v>
      </c>
      <c r="D21057" t="inlineStr">
        <is>
          <t>Arc Honte; Amulette Martegel; Alliance Gloursonne; Alliance Brûlâme; Bouclier cubiste; Ceinture de Vortex; Masquegel; Cape Martegel; Pompes Funèbres; Dofus Vulbis; Dofus Ivoire; Dofus Pourpre; Dofus Ébène; Dofus des Glaces; Dofus Ocre; Kramkram</t>
        </is>
      </c>
    </row>
    <row r="21058">
      <c r="A21058" t="inlineStr">
        <is>
          <t>Kolizeum THL</t>
        </is>
      </c>
      <c r="B21058">
        <f>HYPERLINK("https://www.dofusbook.net/fr/equipement/317885-kolizeum-thl/objets", "link")</f>
        <v/>
      </c>
      <c r="C21058" t="n">
        <v>4</v>
      </c>
      <c r="D21058" t="inlineStr">
        <is>
          <t>Arc Honte; Amulette Martegel; Anneau Toriété; Alliance Brûlâme; Cadran de Terre; Ceinture de Vortex; Masquegel; Cape Martegel; Pompes Funèbres; Dofus Pourpre; Dofus Abyssal; Dofus Ocre; Dofus Ivoire; Dofus Ébène; Dofus des Glaces; El Scarador</t>
        </is>
      </c>
    </row>
    <row r="21059">
      <c r="A21059" t="inlineStr">
        <is>
          <t>Eau retrait</t>
        </is>
      </c>
      <c r="B21059">
        <f>HYPERLINK("https://www.dofusbook.net/fr/equipement/5437828-eau-retrait/objets", "link")</f>
        <v/>
      </c>
      <c r="C21059" t="n">
        <v>25</v>
      </c>
      <c r="D21059" t="inlineStr">
        <is>
          <t>Dagoulinantes; Amulette de Shokkoth; Alliance Gloursonne; Anneau Volkorne; Sept ans de malheur; Ceinture du Barbétoal; Casque Dragoeuf; Cape du Barbétoal; Pataugastrique; Dofus Ocre; Dofus Ivoire; Étourdisseur majeur; Chanceux majeur; Carapace Eau majeur; Nomade; Drakopin</t>
        </is>
      </c>
    </row>
    <row r="21060">
      <c r="A21060" t="inlineStr">
        <is>
          <t>Pantoufle</t>
        </is>
      </c>
      <c r="B21060">
        <f>HYPERLINK("https://www.dofusbook.net/fr/equipement/5895941-pantoufle/objets", "link")</f>
        <v/>
      </c>
      <c r="C21060" t="n">
        <v>8</v>
      </c>
      <c r="D21060" t="inlineStr">
        <is>
          <t>Arc corrompu; Pendentif affamé; Kralano; Anneau de Nidas; Bouclier du Cycloïde; Ceinture de Vortex; Heaume Oplate; Cape de Diondin; Tongues de Nidas; Guérisseur majeur; Remueur; Vigoureux majeur; Érudit majeur; Astucieux majeur; Nomade; Muldo Orchidée</t>
        </is>
      </c>
    </row>
    <row r="21061">
      <c r="A21061" t="inlineStr">
        <is>
          <t>air</t>
        </is>
      </c>
      <c r="B21061">
        <f>HYPERLINK("https://www.dofusbook.net/fr/equipement/5878933-air/objets", "link")</f>
        <v/>
      </c>
      <c r="C21061" t="n">
        <v>0</v>
      </c>
      <c r="D21061" t="inlineStr">
        <is>
          <t>Manthache; Collier du Valet Veinard; Alliance Gloursonne; Gant du Valet Veinard; Bouclier du Stalak; Menoture; Couronne d'Allister; Cape de Jahash Jurgen; Palmes Trithons; Dofus Ivoire; Dofus Pourpre; Dofus Nébuleux; Dofus Vulbis; Dofus Ocre; Carapace Neutre majeur; Blérodoudou</t>
        </is>
      </c>
    </row>
    <row r="21062">
      <c r="A21062" t="inlineStr">
        <is>
          <t>Pugi Tumulte</t>
        </is>
      </c>
      <c r="B21062">
        <f>HYPERLINK("https://www.dofusbook.net/fr/equipement/5850631-pugi-tumulte/objets", "link")</f>
        <v/>
      </c>
      <c r="C21062" t="n">
        <v>2</v>
      </c>
      <c r="D21062" t="inlineStr">
        <is>
          <t>Bâthon; Amulette Volkorne; Chevalière du Roi Joueur; Bague Gloursonne; Quatre-feuilles; Ceinture Volkorne; Couronne du Roi Joueur; Cape de Jahash Jurgen; Bottes du Roi Joueur; Dofus Vulbis; Dofus Nébuleux; Dofus Pourpre; Dofus Ocre; Dofus Argenté; Dofus Turquoise; Cromeugnon</t>
        </is>
      </c>
    </row>
    <row r="21063">
      <c r="A21063" t="inlineStr">
        <is>
          <t>Feu farm THL</t>
        </is>
      </c>
      <c r="B21063">
        <f>HYPERLINK("https://www.dofusbook.net/fr/equipement/5850432-feu-farm-thl/objets", "link")</f>
        <v/>
      </c>
      <c r="C21063" t="n">
        <v>3</v>
      </c>
      <c r="D21063" t="inlineStr">
        <is>
          <t>La Baguette des Limbes; Amulette de Nileza; Anneau Tamie; Anneau Tamie; Bouclier du Stalak; Sangle Aise; Masque Vaudou Ark; Cape de Nileza; Pantoufles Émar; Dofus Pourpre; Dofus Nébuleux; Vigoureux majeur; Érudit majeur; Robuste majeur; Astucieux majeur; Brûlih</t>
        </is>
      </c>
    </row>
    <row r="21064">
      <c r="A21064" t="inlineStr">
        <is>
          <t>feu ROX</t>
        </is>
      </c>
      <c r="B21064">
        <f>HYPERLINK("https://www.dofusbook.net/fr/equipement/5845475-feu-rox/objets", "link")</f>
        <v/>
      </c>
      <c r="C21064" t="n">
        <v>0</v>
      </c>
      <c r="D21064" t="inlineStr">
        <is>
          <t>Arc corrompu; Amulette Volkorne; Anneauræus; Anneauræus; Bouclier d'Ilyzaelle; Ceinture Volkorne; Heaume Oplate; Cape de Jahash Jurgen; Bottes Innommables; Dofus Ocre; Dofus Ébène; Dofus Pourpre; Dofus Turquoise; Dofus Vulbis; Dofus Nébuleux; Bisouglours</t>
        </is>
      </c>
    </row>
    <row r="21065">
      <c r="A21065" t="inlineStr">
        <is>
          <t>chance ROX</t>
        </is>
      </c>
      <c r="B21065">
        <f>HYPERLINK("https://www.dofusbook.net/fr/equipement/5845445-chance-rox/objets", "link")</f>
        <v/>
      </c>
      <c r="C21065" t="n">
        <v>0</v>
      </c>
      <c r="D21065" t="inlineStr">
        <is>
          <t>Dagoulinantes; Amulette de Shokkoth; Anneau Volkorne; Alliance Gloursonne; Bouclier d'Ilyzaelle; Poulpagne; Capuche de l'Œil Attentif; Cape de Jahash Jurgen; Bottes du Nocturlabe; Dofus Pourpre; Dofus Nébuleux; Dofus Vulbis; Dofus Ébène; Dofus Turquoise; Dofus Ocre; Kanigloups</t>
        </is>
      </c>
    </row>
    <row r="21066">
      <c r="A21066" t="inlineStr">
        <is>
          <t>Terre ROX</t>
        </is>
      </c>
      <c r="B21066">
        <f>HYPERLINK("https://www.dofusbook.net/fr/equipement/5845399-terre-rox/objets", "link")</f>
        <v/>
      </c>
      <c r="C21066" t="n">
        <v>1</v>
      </c>
      <c r="D21066" t="inlineStr">
        <is>
          <t>Dagues d'Ilyzaelle; Collier de Tourthon; Anneau Volkorne; Anneau Crustique; Bouclier d'Ilyzaelle; Ceinture Volkorne; Masque de Koutoulou; Cape de Jahash Jurgen; Bottes du Cœur Saignant; Dofus Vulbis; Dofus Ébène; Dofus Pourpre; Dofus Turquoise; Dofus Ocre; Dofus Nébuleux; Bulbisou</t>
        </is>
      </c>
    </row>
    <row r="21067">
      <c r="A21067" t="inlineStr">
        <is>
          <t>Air ROX</t>
        </is>
      </c>
      <c r="B21067">
        <f>HYPERLINK("https://www.dofusbook.net/fr/equipement/5747276-air-rox/objets", "link")</f>
        <v/>
      </c>
      <c r="C21067" t="n">
        <v>0</v>
      </c>
      <c r="D21067" t="inlineStr">
        <is>
          <t>Hachoirs de Viandargh; Collier du Valet Veinard; Alliance Gloursonne; Anneau Volkorne; Bouclier d'Ilyzaelle; Menoture; Casque Volkorne; Cape de Jahash Jurgen; Palmes Trithons; Dofus Turquoise; Dofus Vulbis; Dofus Pourpre; Dofus Nébuleux; Dofus Ocre; Dofus Ébène; Siroko</t>
        </is>
      </c>
    </row>
    <row r="21068">
      <c r="A21068" t="inlineStr">
        <is>
          <t>Air tank</t>
        </is>
      </c>
      <c r="B21068">
        <f>HYPERLINK("https://www.dofusbook.net/fr/equipement/5844723-air-tank/objets", "link")</f>
        <v/>
      </c>
      <c r="C21068" t="n">
        <v>3</v>
      </c>
      <c r="D21068" t="inlineStr">
        <is>
          <t>Manthache; Collier du Valet Veinard; Alliance Gloursonne; Gant du Valet Veinard; Bouclier d'Ilyzaelle; Menoture; Dorabysses; Cape Martegel; Palmes Trithons; Dofus Pourpre; Vigoureux majeur; Remueur; Robuste majeur; Carapace Air majeur; Cascadeur majeur; Muldo Ebène et Orchidée</t>
        </is>
      </c>
    </row>
    <row r="21069">
      <c r="A21069" t="inlineStr">
        <is>
          <t>Sacri Air 12 PA</t>
        </is>
      </c>
      <c r="B21069">
        <f>HYPERLINK("https://www.dofusbook.net/fr/equipement/5798520-sacri-air-12-pa/objets", "link")</f>
        <v/>
      </c>
      <c r="C21069" t="n">
        <v>0</v>
      </c>
      <c r="D21069" t="inlineStr">
        <is>
          <t>Hachoirs de Viandargh; Collier du Valet Veinard; Anneau d'Allister; Gant du Valet Veinard; Cadran d'Eau; Ceintouse; Couronne d'Allister; Cape du Valet Veinard; Bottes d'Allister; Dofus Ocre; Dofus des Glaces; Dofus Nébuleux; Dofus Abyssal; Dofus Vulbis; Dofus Ébène; Blérodoudou</t>
        </is>
      </c>
    </row>
    <row r="21070">
      <c r="A21070" t="inlineStr">
        <is>
          <t>sacrificiels</t>
        </is>
      </c>
      <c r="B21070">
        <f>HYPERLINK("https://www.dofusbook.net/fr/equipement/5829825-sacrificiels/objets", "link")</f>
        <v/>
      </c>
      <c r="C21070" t="n">
        <v>0</v>
      </c>
      <c r="D21070" t="inlineStr">
        <is>
          <t>Couteaux Sacrificiels; Amulette Volkorne; Anneau Volkorne; Alliance Gloursonne; Droiture de Fallanster; Ceinture de l'Esprit Salvateur; Masque de l'Esprit Salvateur; Voilamibe; Bottes de l'Esprit Salvateur; Dofus Pourpre; Dofus Ébène; Dofus Ocre; Dofus Abyssal; Dofus Ivoire; Dofus des Glaces; Kramkram</t>
        </is>
      </c>
    </row>
    <row r="21071">
      <c r="A21071" t="inlineStr">
        <is>
          <t>Sadida F 200</t>
        </is>
      </c>
      <c r="B21071">
        <f>HYPERLINK("https://www.dofusbook.net/fr/equipement/5830261-sadida-f-200/objets", "link")</f>
        <v/>
      </c>
      <c r="C21071" t="n">
        <v>0</v>
      </c>
      <c r="D21071" t="inlineStr">
        <is>
          <t>Hachoirs de Viandargh; Amibou; Alliance Gloursonne; Bague Gloursonne; Bouclier du Stalak; Ceinture de l'Indicible; Chapibou; Capibou; Bottes de l'Indicible; Dofus Pourpre; Dofus Ébène; Dofus des Glaces; Dofus Ocre; Dofus Abyssal; Dofus Vulbis; Kramkram</t>
        </is>
      </c>
    </row>
    <row r="21072">
      <c r="A21072" t="inlineStr">
        <is>
          <t>No CC Chance intel</t>
        </is>
      </c>
      <c r="B21072">
        <f>HYPERLINK("https://www.dofusbook.net/fr/equipement/5829159-no-cc-chance-intel/objets", "link")</f>
        <v/>
      </c>
      <c r="C21072" t="n">
        <v>2</v>
      </c>
      <c r="D21072" t="inlineStr">
        <is>
          <t>Arc Nécrotique; Amulette Volkorne; Anneau Volkorne; Alliance Gloursonne; Bouclier du Stalak; Ceinture de l'Esprit Salvateur; Masque de l'Esprit Salvateur; Voilamibe; Bottes de l'Esprit Salvateur; Dofus Nébuleux; Dofus Abyssal; Dofus Pourpre; Dofus Ébène; Dofus Ocre; Dofus des Glaces; Kramkram</t>
        </is>
      </c>
    </row>
    <row r="21073">
      <c r="A21073" t="inlineStr">
        <is>
          <t>Stuff 1</t>
        </is>
      </c>
      <c r="B21073">
        <f>HYPERLINK("https://www.dofusbook.net/fr/equipement/317859-stuff-1/objets", "link")</f>
        <v/>
      </c>
      <c r="C21073" t="n">
        <v>5</v>
      </c>
      <c r="D21073" t="inlineStr">
        <is>
          <t>Sceptre du Roi Joueur; Amulette de Shokkoth; Bracelet des Fonds marins; Alliance Gloursonne; Quatre-feuilles; Poulpagne; Capuche de l'Œil Attentif; Cape de Mantaze; Sandales des Fonds marins; Dofus Pourpre; Dofus Émeraude; Dofus Turquoise; Dofus Ocre; Fonceur majeur; Chanceux majeur; Muldo Roux et Indigo</t>
        </is>
      </c>
    </row>
    <row r="21074">
      <c r="A21074" t="inlineStr">
        <is>
          <t>do cri nécro</t>
        </is>
      </c>
      <c r="B21074">
        <f>HYPERLINK("https://www.dofusbook.net/fr/equipement/5772438-do-cri-necro/objets", "link")</f>
        <v/>
      </c>
      <c r="C21074" t="n">
        <v>0</v>
      </c>
      <c r="D21074" t="inlineStr">
        <is>
          <t>Arc Nécrotique; Collier de la Dame du Hasard; Anneau Volkorne; Bague Trithon; Quatre-feuilles; Ceinture Volkorne; Masque Trithon; Cape de la Dame du Hasard; Bottes de la Dame du Hasard; Dofus Ocre; Dofus Nébuleux; Dofus Vulbis; Dofus Ébène; Dofus Turquoise; Dofus des Glaces; Kokulte</t>
        </is>
      </c>
    </row>
    <row r="21075">
      <c r="A21075" t="inlineStr">
        <is>
          <t>Terre pvpm</t>
        </is>
      </c>
      <c r="B21075">
        <f>HYPERLINK("https://www.dofusbook.net/fr/equipement/5767773-terre-pvpm/objets", "link")</f>
        <v/>
      </c>
      <c r="C21075" t="n">
        <v>17</v>
      </c>
      <c r="D21075" t="inlineStr">
        <is>
          <t>Dagues d'Ilyzaelle; Amulette du Cœur Saignant; Anneau Volkorne; Alliance de Missiz Frizz; Droiture de Fallanster; Ceinture Volkorne; Casque de Missiz Frizz; Cape du Cœur Saignant; Bottes du Cœur Saignant; Dofus Turquoise; Dofus Ocre; Dofus Pourpre; Dofus Ivoire; Dofus Vulbis; Dofus des Glaces; Kramkram</t>
        </is>
      </c>
    </row>
    <row r="21076">
      <c r="A21076" t="inlineStr">
        <is>
          <t>mode do pou</t>
        </is>
      </c>
      <c r="B21076">
        <f>HYPERLINK("https://www.dofusbook.net/fr/equipement/5729315-mode-do-pou/objets", "link")</f>
        <v/>
      </c>
      <c r="C21076" t="n">
        <v>2</v>
      </c>
      <c r="D21076" t="inlineStr">
        <is>
          <t>Héqache; Torquistik; Bague Trithon; Bague Instable; Bouclier précieux; Ceinture Gence; Casque Dragoeuf; Cape du Cœur Vaillant; Bottistik; Dofus Abyssal; Culbuteur; Remueur; Culbuteur majeur; Carapace Terre majeur; Bousculeur majeur; Balafreux</t>
        </is>
      </c>
    </row>
    <row r="21077">
      <c r="A21077" t="inlineStr">
        <is>
          <t>Meissou</t>
        </is>
      </c>
      <c r="B21077">
        <f>HYPERLINK("https://www.dofusbook.net/fr/equipement/5641468-meissou/objets", "link")</f>
        <v/>
      </c>
      <c r="C21077" t="n">
        <v>35</v>
      </c>
      <c r="D21077" t="inlineStr">
        <is>
          <t>La Baguette des Limbes; Amulette de Nileza; Anneau Tamie; Kralano; Cadran de Terre; Ceinture du Comte Razof; Chapeau Lochon; Cape de Nileza; Bottes d'Otomaï; Étourdisseur majeur; Érudit majeur; Robuste majeur; Nomade; Vigoureux majeur; Remueur; Volkorne Ivoire et Orchidée</t>
        </is>
      </c>
    </row>
    <row r="21078">
      <c r="A21078" t="inlineStr">
        <is>
          <t>Terre Mixte</t>
        </is>
      </c>
      <c r="B21078">
        <f>HYPERLINK("https://www.dofusbook.net/fr/equipement/5437510-terre-mixte/objets", "link")</f>
        <v/>
      </c>
      <c r="C21078" t="n">
        <v>16</v>
      </c>
      <c r="D21078" t="inlineStr">
        <is>
          <t>Lav'Hache; Collier de Tourthon; Anneau Chevelu; Anneau Volkorne; Bouclier Taverne; Ceinture Volkorne; Masque de Koutoulou; Cape au Logis; Bottes de Brouce; Dofus Pourpre; Forcené majeur; Robuste majeur; Enragé majeur; Vigoureux majeur; Remueur; Kompost</t>
        </is>
      </c>
    </row>
    <row r="21079">
      <c r="A21079" t="inlineStr">
        <is>
          <t>Rox terre</t>
        </is>
      </c>
      <c r="B21079">
        <f>HYPERLINK("https://www.dofusbook.net/fr/equipement/5616676-rox-terre/objets", "link")</f>
        <v/>
      </c>
      <c r="C21079" t="n">
        <v>2</v>
      </c>
      <c r="D21079" t="inlineStr">
        <is>
          <t>Dagues d'Ilyzaelle; Amulette du Cœur Saignant; Anneau Volkorne; Alliance de Missiz Frizz; Bouclier du Captain Amakna; Ceinture Volkorne; Casque de Missiz Frizz; Cape du Cœur Saignant; Bottes du Cœur Saignant; Dofus Turquoise; Dofus Abyssal; Dofus Pourpre; Dofus Ivoire; Dofus Ocre; Dofus Ébène; Muldo Prune et Roux</t>
        </is>
      </c>
    </row>
    <row r="21080">
      <c r="A21080" t="inlineStr">
        <is>
          <t>Air rox</t>
        </is>
      </c>
      <c r="B21080">
        <f>HYPERLINK("https://www.dofusbook.net/fr/equipement/5401212-air-rox/objets", "link")</f>
        <v/>
      </c>
      <c r="C21080" t="n">
        <v>7</v>
      </c>
      <c r="D21080" t="inlineStr">
        <is>
          <t>Manthache; Collier du Valet Veinard; Alliance Gloursonne; Gant du Valet Veinard; Bouclier du Stalak; Menoture; Couronne d'Allister; Cape Martegel; Palmes Trithons; Dofus Pourpre; Nomade; Robuste majeur; Remueur; Vigoureux majeur; Cascadeur majeur; Blérodoudou</t>
        </is>
      </c>
    </row>
    <row r="21081">
      <c r="A21081" t="inlineStr">
        <is>
          <t>Terre rox CC</t>
        </is>
      </c>
      <c r="B21081">
        <f>HYPERLINK("https://www.dofusbook.net/fr/equipement/5401274-terre-rox-cc/objets", "link")</f>
        <v/>
      </c>
      <c r="C21081" t="n">
        <v>1</v>
      </c>
      <c r="D21081" t="inlineStr">
        <is>
          <t>Dagues d'Ilyzaelle; Amulette du Cœur Saignant; Alliance de Missiz Frizz; Anneau Volkorne; Bouclier du Captain Amakna; Ceinture Volkorne; Casque de Missiz Frizz; Cape du Cœur Saignant; Bottes du Cœur Saignant; Dofus Nébuleux; Dofus Turquoise; Dofus Vulbis; Dofus Ébène; Dofus Ocre; Dofus Pourpre; Pioute vert</t>
        </is>
      </c>
    </row>
    <row r="21082">
      <c r="A21082" t="inlineStr">
        <is>
          <t>Sadida F 200</t>
        </is>
      </c>
      <c r="B21082">
        <f>HYPERLINK("https://www.dofusbook.net/fr/equipement/5607205-sadida-f-200/objets", "link")</f>
        <v/>
      </c>
      <c r="C21082" t="n">
        <v>1</v>
      </c>
      <c r="D21082" t="inlineStr">
        <is>
          <t>Arc Honte; Amulette de l'Œil Putride; Bague Gloursonne; Alliance Gloursonne; Bouclier cubiste; Ceinture de l'Esprit Salvateur; Capuche de l'Œil Putride; Cape de l'Œil Putride; Bottes de l'Esprit Salvateur; Dofus Pourpre; Dofus Ivoire; Dofus Ocre; Dofus des Glaces; Dofus Vulbis; Dofus Ébène; Kramkram</t>
        </is>
      </c>
    </row>
    <row r="21083">
      <c r="A21083" t="inlineStr">
        <is>
          <t>Multi 3</t>
        </is>
      </c>
      <c r="B21083">
        <f>HYPERLINK("https://www.dofusbook.net/fr/equipement/4385555-multi-3/objets", "link")</f>
        <v/>
      </c>
      <c r="C21083" t="n">
        <v>3</v>
      </c>
      <c r="D21083" t="inlineStr">
        <is>
          <t>Arc Honte; Amulette Volkorne; Alliance Gloursonne; Anneau Volkorne; Bouclier du Stalak; Ceinture de l'Esprit Salvateur; Masque de l'Esprit Salvateur; Cape Martegel; Bottes de l'Esprit Salvateur; Dofus Vulbis; Dofus Ocre; Dofus des Glaces; Dofus Ébène; Dofus Ivoire; Entraveur majeur; Volkorne Turquoise</t>
        </is>
      </c>
    </row>
    <row r="21084">
      <c r="A21084" t="inlineStr">
        <is>
          <t>bi élément feu eau</t>
        </is>
      </c>
      <c r="B21084">
        <f>HYPERLINK("https://www.dofusbook.net/fr/equipement/5521192-bi-element-feu-eau/objets", "link")</f>
        <v/>
      </c>
      <c r="C21084" t="n">
        <v>3</v>
      </c>
      <c r="D21084" t="inlineStr">
        <is>
          <t>Bouclier du Stalak; Dolmanax; Dofus Vulbis; Dofus Pourpre; Dofus Ébène; Dofus Ocre; Dofus des Glaces; Fëanor</t>
        </is>
      </c>
    </row>
    <row r="21085">
      <c r="A21085" t="inlineStr">
        <is>
          <t>Multi</t>
        </is>
      </c>
      <c r="B21085">
        <f>HYPERLINK("https://www.dofusbook.net/fr/equipement/5437906-multi/objets", "link")</f>
        <v/>
      </c>
      <c r="C21085" t="n">
        <v>6</v>
      </c>
      <c r="D21085" t="inlineStr">
        <is>
          <t>Arc Volkorne; Amulette du Strigide; Bracelet du Piloztère; Bague Trithon; Quatre-feuilles; Ceinture du Strigide; Casque du Chalœil; Voile d'encre; Bottes Honyme; Dolmanax; Dofus Pourpre; Dofus des Glaces; Dofus Turquoise; Carapace Feu majeur; Remueur; Muldo Prune et Emeraude</t>
        </is>
      </c>
    </row>
    <row r="21086">
      <c r="A21086" t="inlineStr">
        <is>
          <t>Will killson</t>
        </is>
      </c>
      <c r="B21086">
        <f>HYPERLINK("https://www.dofusbook.net/fr/equipement/5500529-will-killson/objets", "link")</f>
        <v/>
      </c>
      <c r="C21086" t="n">
        <v>2</v>
      </c>
      <c r="D21086" t="inlineStr">
        <is>
          <t>Will Killson; Amulette du Strigide; Anneau d'Allister; Anneau de Padgref; Bouclier du Captain Amakna; Ceinture du Strigide; Coiffe de Padgref; Cape Indescriptible; Getas de Padgref; Dofus Turquoise; Dofus Nébuleux; Dofus Ocre; Dofus Pourpre; Dofus des Glaces; Dofus Abyssal; Kokulte</t>
        </is>
      </c>
    </row>
    <row r="21087">
      <c r="A21087" t="inlineStr">
        <is>
          <t>Ret PM pvm</t>
        </is>
      </c>
      <c r="B21087">
        <f>HYPERLINK("https://www.dofusbook.net/fr/equipement/5422723-ret-pm-pvm/objets", "link")</f>
        <v/>
      </c>
      <c r="C21087" t="n">
        <v>2</v>
      </c>
      <c r="D21087" t="inlineStr">
        <is>
          <t>Marteau R'ture; Amulette du Glourséleste; Anneau Tamie; Bague Instable; Bouclier cubiste; Ceinture Instable; Casquipik; Cape de Léthaline; Pantoufles Émar; Dofus Ocre; Entraveur; Entraveur majeur; Ralentisseur majeur; Temporiseur; Temporiseur majeur; Gwo Tofu Ventripotent</t>
        </is>
      </c>
    </row>
    <row r="21088">
      <c r="A21088" t="inlineStr">
        <is>
          <t>Terre Crocobur</t>
        </is>
      </c>
      <c r="B21088">
        <f>HYPERLINK("https://www.dofusbook.net/fr/equipement/5401225-terre-crocobur/objets", "link")</f>
        <v/>
      </c>
      <c r="C21088" t="n">
        <v>10</v>
      </c>
      <c r="D21088" t="inlineStr">
        <is>
          <t>Crocobur; Amulette du Cœur Saignant; Alliance de Missiz Frizz; Anneau Volkorne; Bouclier du Captain Amakna; Ceinture Volkorne; Casque de Missiz Frizz; Cape du Cœur Saignant; Bottes du Cœur Saignant; Dofus Pourpre; Dofus Ébène; Dofus Turquoise; Dofus Vulbis; Dofus Nébuleux; Dofus Ocre; Pioute vert</t>
        </is>
      </c>
    </row>
    <row r="21089">
      <c r="A21089" t="inlineStr">
        <is>
          <t>Embu CC</t>
        </is>
      </c>
      <c r="B21089">
        <f>HYPERLINK("https://www.dofusbook.net/fr/equipement/5384977-embu-cc/objets", "link")</f>
        <v/>
      </c>
      <c r="C21089" t="n">
        <v>2</v>
      </c>
      <c r="D21089" t="inlineStr">
        <is>
          <t>Hache du Chalœil; Amulette Volkorne; Anneau Volkorne; Bague Trithon; Quatre-feuilles; Ceinture Volkorne; Masque Trithon; Cape du Chalœil; Bottes Trithon; Dofus Turquoise; Dofus des Glaces; Dolmanax; Dofus Ocre; Dofus Pourpre; Dofus Ébène; Kokulte</t>
        </is>
      </c>
    </row>
    <row r="21090">
      <c r="A21090" t="inlineStr">
        <is>
          <t>Sadida Eau 200</t>
        </is>
      </c>
      <c r="B21090">
        <f>HYPERLINK("https://www.dofusbook.net/fr/equipement/5040818-sadida-eau-200/objets", "link")</f>
        <v/>
      </c>
      <c r="C21090" t="n">
        <v>1</v>
      </c>
      <c r="D21090" t="inlineStr">
        <is>
          <t>Dagoulinantes; Amulette de Shokkoth; Alliance Gloursonne; Anneau Volkorne; Bouclier du Stalak; Sangle Ouare; Capuche de l'Œil Attentif; Cape Solution; Bottes du Nocturlabe; Dofus des Glaces; Dofus Ocre; Dofus Ébène; Dofus Ivoire; Dofus Pourpre; Chanceux majeur; Kanigloups</t>
        </is>
      </c>
    </row>
    <row r="21091">
      <c r="A21091" t="inlineStr">
        <is>
          <t>Sadida M 200</t>
        </is>
      </c>
      <c r="B21091">
        <f>HYPERLINK("https://www.dofusbook.net/fr/equipement/5408054-sadida-m-200/objets", "link")</f>
        <v/>
      </c>
      <c r="C21091" t="n">
        <v>0</v>
      </c>
      <c r="D21091" t="inlineStr">
        <is>
          <t>Hache du Guerrier Zoth; Amulette du Glourséleste; Gelano; Alliance Gloursonne; Bouclier du serrurier; Ceinture Luthe; Coiffe du Lévitrof; Puissante Cape Fulgurante; Bottes du Lévitrof; Dofus Cawotte; Vagabond majeur; Remueur; Déserteur majeur; Fuyard majeur; Tofu Givré</t>
        </is>
      </c>
    </row>
    <row r="21092">
      <c r="A21092" t="inlineStr">
        <is>
          <t>Intel Pvm</t>
        </is>
      </c>
      <c r="B21092">
        <f>HYPERLINK("https://www.dofusbook.net/fr/equipement/5406502-intel-pvm/objets", "link")</f>
        <v/>
      </c>
      <c r="C21092" t="n">
        <v>0</v>
      </c>
      <c r="D21092" t="inlineStr">
        <is>
          <t>Arc corrompu; Amulette Volkorne; Anneauræus; Anneauræus; Bouclier du Cycloïde; Ceinture Volkorne; Heaume Oplate; Cape de Diondin; Bottes Innommables; Dofus Turquoise; Dofus Vulbis; Dofus Pourpre; Érudit majeur; Vigoureux majeur; Astucieux majeur; Brûlih</t>
        </is>
      </c>
    </row>
    <row r="21093">
      <c r="A21093" t="inlineStr">
        <is>
          <t>Terre feu Réseau</t>
        </is>
      </c>
      <c r="B21093">
        <f>HYPERLINK("https://www.dofusbook.net/fr/equipement/5381746-terre-feu-reseau/objets", "link")</f>
        <v/>
      </c>
      <c r="C21093" t="n">
        <v>1</v>
      </c>
      <c r="D21093" t="inlineStr">
        <is>
          <t>Dagues Eudin; Amulette Volkorne; Bague Gloursonne; Chevalière du Roi Joueur; Bouclier du Stalak; Ceinture Volkorne; Couronne du Roi Joueur; Voile d'encre; Bottes du Roi Joueur; Dofus Ocre; Dofus Pourpre; Dofus Ébène; Dofus Abyssal; Dofus Vulbis; Dofus des Glaces; Cromeugnon</t>
        </is>
      </c>
    </row>
    <row r="21094">
      <c r="A21094" t="inlineStr">
        <is>
          <t>Féca pvm feu</t>
        </is>
      </c>
      <c r="B21094">
        <f>HYPERLINK("https://www.dofusbook.net/fr/equipement/5394875-feca-pvm-feu/objets", "link")</f>
        <v/>
      </c>
      <c r="C21094" t="n">
        <v>4</v>
      </c>
      <c r="D21094" t="inlineStr">
        <is>
          <t>Dagues Ricol; Amulette de Nileza; Bague Gloursonne; Anneau de Nidas; Bouclier Taverne; Ceinture Séculaire; Coiffe Séculaire; Cape de Diondin; Pantoufles Émar; Astucieux majeur; Nomade; Carapace Eau majeur; Remueur; Vigoureux majeur; Érudit majeur; Muldo Orchidée</t>
        </is>
      </c>
    </row>
    <row r="21095">
      <c r="A21095" t="inlineStr">
        <is>
          <t>Crâ F 200</t>
        </is>
      </c>
      <c r="B21095">
        <f>HYPERLINK("https://www.dofusbook.net/fr/equipement/5270397-cra-f-200/objets", "link")</f>
        <v/>
      </c>
      <c r="C21095" t="n">
        <v>2</v>
      </c>
      <c r="D21095" t="inlineStr">
        <is>
          <t>Arc Volkorne; Amulette du Strigide; Anneau Volkorne; Bague Trithon; Quatre-feuilles; Ceinture Volkorne; Diadème de Ganymède; Cape de Jahash Jurgen; Bottes du Strigide; Dofus Pourpre; Dofus Ocre; Dolmanax; Dofus Ébène; Dofus Vulbis; Dofus Turquoise; Kokulte</t>
        </is>
      </c>
    </row>
    <row r="21096">
      <c r="A21096" t="inlineStr">
        <is>
          <t>Terre feu rox</t>
        </is>
      </c>
      <c r="B21096">
        <f>HYPERLINK("https://www.dofusbook.net/fr/equipement/5041122-terre-feu-rox/objets", "link")</f>
        <v/>
      </c>
      <c r="C21096" t="n">
        <v>1</v>
      </c>
      <c r="D21096" t="inlineStr">
        <is>
          <t>Bâthon; Amulette Volkorne; Chevalière du Roi Joueur; Bague Gloursonne; Bouclier du Stalak; Ceinture Volkorne; Couronne du Roi Joueur; Cape de Jahash Jurgen; Bottes du Roi Joueur; Dofus des Glaces; Dofus Ébène; Dofus Ocre; Dofus Vulbis; Dofus Pourpre; Robuste majeur; Fëanor</t>
        </is>
      </c>
    </row>
    <row r="21097">
      <c r="A21097" t="inlineStr">
        <is>
          <t>Terre ret pm CC</t>
        </is>
      </c>
      <c r="B21097">
        <f>HYPERLINK("https://www.dofusbook.net/fr/equipement/5127655-terre-ret-pm-cc/objets", "link")</f>
        <v/>
      </c>
      <c r="C21097" t="n">
        <v>0</v>
      </c>
      <c r="D21097" t="inlineStr">
        <is>
          <t>Arc du Chalœil; Amulette du Cœur Saignant; Anneau du Comte Harebourg; Anneau de Brouce; Bouclier du Stalak; Ceinture de Brouce; Coiffe du Comte Harebourg; Cape du Cœur Saignant; Bottes du Cœur Saignant; Dofus Vulbis; Dofus Turquoise; Dofus Ébène; Dofus Ocre; Dofus Pourpre; Forcené majeur; Kompost</t>
        </is>
      </c>
    </row>
    <row r="21098">
      <c r="A21098" t="inlineStr">
        <is>
          <t>40 rés et Chance</t>
        </is>
      </c>
      <c r="B21098">
        <f>HYPERLINK("https://www.dofusbook.net/fr/equipement/3746619-40-res-et-chance/objets", "link")</f>
        <v/>
      </c>
      <c r="C21098" t="n">
        <v>2</v>
      </c>
      <c r="D21098" t="inlineStr">
        <is>
          <t>Sceptre du Roi Joueur; Amulette de Shokkoth; Alliance Gloursonne; Anneau Volkorne; Bouclier d'Ilyzaelle; Sangle Ouare; Casque Dragoeuf; Cape Solution; Sandales des Fonds marins; Dofus Ocre; Dofus des Glaces; Dofus Émeraude; Dofus Ébène; Dofus Ivoire; Dofus Pourpre; Bwak de Feu</t>
        </is>
      </c>
    </row>
    <row r="21099">
      <c r="A21099" t="inlineStr">
        <is>
          <t>Mode feu pvm</t>
        </is>
      </c>
      <c r="B21099">
        <f>HYPERLINK("https://www.dofusbook.net/fr/equipement/5127515-mode-feu-pvm/objets", "link")</f>
        <v/>
      </c>
      <c r="C21099" t="n">
        <v>0</v>
      </c>
      <c r="D21099" t="inlineStr">
        <is>
          <t>Arc corrompu; Amulette Volkorne; Anneauræus; Anneauræus; Bouclier du Stalak; Ceinture Volkorne; Heaume Oplate; Cape de Diondin; Bottes Innommables; Dofus Pourpre; Dofus des Glaces; Saccageur Feu majeur; Érudit majeur; Dévastateur Feu majeur; Nomade; Bisouglours</t>
        </is>
      </c>
    </row>
    <row r="21100">
      <c r="A21100" t="inlineStr">
        <is>
          <t>Do pou</t>
        </is>
      </c>
      <c r="B21100">
        <f>HYPERLINK("https://www.dofusbook.net/fr/equipement/5124866-do-pou/objets", "link")</f>
        <v/>
      </c>
      <c r="C21100" t="n">
        <v>2</v>
      </c>
      <c r="D21100" t="inlineStr">
        <is>
          <t>Lav'Hache; Torquistik; Bague Trithon; Baguistik; Bouclier précieux; Ceinture Gence; Masque Trithon; Bravoure de Rykke Errel; Bottistik; Dofus Émeraude; Dofus Abyssal; Dofus Ivoire; Dokoko; Bousculeur majeur; Pousseur majeur; Muldo Pourpre</t>
        </is>
      </c>
    </row>
    <row r="21101">
      <c r="A21101" t="inlineStr">
        <is>
          <t>Terre pvm</t>
        </is>
      </c>
      <c r="B21101">
        <f>HYPERLINK("https://www.dofusbook.net/fr/equipement/4928800-terre-pvm/objets", "link")</f>
        <v/>
      </c>
      <c r="C21101" t="n">
        <v>2</v>
      </c>
      <c r="D21101" t="inlineStr">
        <is>
          <t>Arc du Chalœil; Amulette du Cœur Saignant; Anneau du Comte Harebourg; Anneau Volkorne; Bouclier d'Ilyzaelle; Ceinture Volkorne; Coiffe du Comte Harebourg; Cape du Cœur Saignant; Bottes du Cœur Saignant; Dofus Vulbis; Dofus Abyssal; Dofus Pourpre; Dofus Ocre; Dofus Ébène; Forcené majeur; Volkorne Pourpre</t>
        </is>
      </c>
    </row>
    <row r="21102">
      <c r="A21102" t="inlineStr">
        <is>
          <t>Sadida F 200</t>
        </is>
      </c>
      <c r="B21102">
        <f>HYPERLINK("https://www.dofusbook.net/fr/equipement/5041846-sadida-f-200/objets", "link")</f>
        <v/>
      </c>
      <c r="C21102" t="n">
        <v>1</v>
      </c>
      <c r="D21102" t="inlineStr">
        <is>
          <t>Arc de Koutoulou; Amulette d'Ilyzaelle; Bracelet du Piloztère; Alliance Gloursonne; Cadran d'Air; Sangle Ouare; Casque d'Ilyzaelle; Cape Matelassée; Bottes de la Reine des Voleurs; Dofus Ocre; Dofus Ébène; Dofus Pourpre; Dofus des Glaces; Dolmanax; Dofus Ivoire; Mini Wa</t>
        </is>
      </c>
    </row>
    <row r="21103">
      <c r="A21103" t="inlineStr">
        <is>
          <t>CC cacterre</t>
        </is>
      </c>
      <c r="B21103">
        <f>HYPERLINK("https://www.dofusbook.net/fr/equipement/5041007-cc-cacterre/objets", "link")</f>
        <v/>
      </c>
      <c r="C21103" t="n">
        <v>2</v>
      </c>
      <c r="D21103" t="inlineStr">
        <is>
          <t>Dagues Cacterre; Collier de la Dame du Hasard; Bague Trithon; Anneau Cryochrone; Bouclier du Captain Amakna; Ceintacé; Masque Trithon; Cape de la Dame du Hasard; Bottes de la Dame du Hasard; Dofus Pourpre; Dofus Nébuleux; Dofus Ébène; Dofus Turquoise; Dofus Vulbis; Dofus des Glaces; Kokulte</t>
        </is>
      </c>
    </row>
    <row r="21104">
      <c r="A21104" t="inlineStr">
        <is>
          <t>Trithon</t>
        </is>
      </c>
      <c r="B21104">
        <f>HYPERLINK("https://www.dofusbook.net/fr/equipement/3064205-trithon/objets", "link")</f>
        <v/>
      </c>
      <c r="C21104" t="n">
        <v>0</v>
      </c>
      <c r="D21104" t="inlineStr">
        <is>
          <t>Hache du Chalœil; Amulette Volkorne; Anneau Volkorne; Bague Trithon; Quatre-feuilles; Ceinture Volkorne; Masque Trithon; Voile d'encre; Bottes Trithon; Dofus Ébène; Dofus Ocre; Dofus Pourpre; Dofus des Glaces; Dofus Turquoise; Dofus Abyssal; Kokulte</t>
        </is>
      </c>
    </row>
    <row r="21105">
      <c r="A21105" t="inlineStr">
        <is>
          <t>Pvm Air</t>
        </is>
      </c>
      <c r="B21105">
        <f>HYPERLINK("https://www.dofusbook.net/fr/equipement/5040386-pvm-air/objets", "link")</f>
        <v/>
      </c>
      <c r="C21105" t="n">
        <v>0</v>
      </c>
      <c r="D21105" t="inlineStr">
        <is>
          <t>Manthache; Collier du Valet Veinard; Anneau d'Allister; Gant du Valet Veinard; Bouclier du Stalak; Sangle Oriole; Couronne d'Allister; Cape du Valet Veinard; Bottes d'Allister; Dofus Vulbis; Dofus Ocre; Dofus Pourpre; Dofus Abyssal; Dofus Nébuleux; Dofus Ébène; Blérodoudou</t>
        </is>
      </c>
    </row>
    <row r="21106">
      <c r="A21106" t="inlineStr">
        <is>
          <t>Terre tanky</t>
        </is>
      </c>
      <c r="B21106">
        <f>HYPERLINK("https://www.dofusbook.net/fr/equipement/4939355-terre-tanky/objets", "link")</f>
        <v/>
      </c>
      <c r="C21106" t="n">
        <v>59</v>
      </c>
      <c r="D21106" t="inlineStr">
        <is>
          <t>Hache Téroïde; Amulette du Cœur Saignant; Alliance de Missiz Frizz; Anneau Volkorne; Bouclier précieux; Ceinture Volkorne; Casque de Missiz Frizz; Cape du Cœur Saignant; Bottes du Cœur Saignant; Dofus Émeraude; Dofus Ivoire; Dofus Ocre; Dofus Ébène; Dofus Turquoise; Dofus Vulbis; Kokulte</t>
        </is>
      </c>
    </row>
    <row r="21107">
      <c r="A21107" t="inlineStr">
        <is>
          <t>Paseur</t>
        </is>
      </c>
      <c r="B21107">
        <f>HYPERLINK("https://www.dofusbook.net/fr/equipement/4432709-paseur/objets", "link")</f>
        <v/>
      </c>
      <c r="C21107" t="n">
        <v>99</v>
      </c>
      <c r="D21107" t="inlineStr">
        <is>
          <t>Plumeau Bil; Amulette Séculaire; Anneauræus; Anneau de Nidas; Bouclier cubiste; Ceinture Séculaire; Coiffe Séculaire; Voile d'encre; Tongues de Nidas; Dofus Vulbis; Dofus Ivoire; Dofus Ocre; Dofus Ébène; Dofus Pourpre; Dofus des Glaces; Volkorne Orchidée</t>
        </is>
      </c>
    </row>
    <row r="21108">
      <c r="A21108" t="inlineStr">
        <is>
          <t>Terre songe</t>
        </is>
      </c>
      <c r="B21108">
        <f>HYPERLINK("https://www.dofusbook.net/fr/equipement/4864929-terre-songe/objets", "link")</f>
        <v/>
      </c>
      <c r="C21108" t="n">
        <v>0</v>
      </c>
      <c r="D21108" t="inlineStr">
        <is>
          <t>Arc du Chalœil; Amulette du Cœur Saignant; Anneau Crustique; Anneau Crustique; Bouclier du Stalak; Ceinture Gence; Coiffe du Comte Harebourg; Bottes du Cœur Saignant; Dofus Ébène; Dofus Nébuleux; Dofus Ocre; Dofus Pourpre; Forcené majeur; Enragé majeur; Kompost</t>
        </is>
      </c>
    </row>
    <row r="21109">
      <c r="A21109" t="inlineStr">
        <is>
          <t>PVM Feu</t>
        </is>
      </c>
      <c r="B21109">
        <f>HYPERLINK("https://www.dofusbook.net/fr/equipement/4910542-pvm-feu/objets", "link")</f>
        <v/>
      </c>
      <c r="C21109" t="n">
        <v>0</v>
      </c>
      <c r="D21109" t="inlineStr">
        <is>
          <t>Bâthon; Amulette du Strigide; Bague Gloursonne; Chevalière du Roi Joueur; Quatre-feuilles; Ceinture du Strigide; Couronne du Roi Joueur; Voile d'encre; Bottes du Roi Joueur; Dofus Ocre; Dofus Nébuleux; Dofus Turquoise; Dofus Ébène; Dofus Vulbis; Dofus Pourpre; Fëanor</t>
        </is>
      </c>
    </row>
    <row r="21110">
      <c r="A21110" t="inlineStr">
        <is>
          <t>Terre pvp</t>
        </is>
      </c>
      <c r="B21110">
        <f>HYPERLINK("https://www.dofusbook.net/fr/equipement/4826709-terre-pvp/objets", "link")</f>
        <v/>
      </c>
      <c r="C21110" t="n">
        <v>1</v>
      </c>
      <c r="D21110" t="inlineStr">
        <is>
          <t>Dagues Érhy; Amulette du Cœur Saignant; Chevalière du Roi Joueur; Anneau Volkorne; Bouclier du Stalak; Ceinture Volkorne; Couronne du Roi Joueur; Cape du Cœur Saignant; Bottes du Cœur Saignant; Dofus Ocre; Dofus Ébène; Dofus Nébuleux; Dofus Turquoise; Dofus Vulbis; Dofus Ivoire; Kramkram</t>
        </is>
      </c>
    </row>
    <row r="21111">
      <c r="A21111" t="inlineStr">
        <is>
          <t>Ecalomel Multi</t>
        </is>
      </c>
      <c r="B21111">
        <f>HYPERLINK("https://www.dofusbook.net/fr/equipement/4261964-ecalomel-multi-/objets", "link")</f>
        <v/>
      </c>
      <c r="C21111" t="n">
        <v>25</v>
      </c>
      <c r="D21111" t="inlineStr">
        <is>
          <t>Baguette Hique; Collier de la Dame du Hasard; Alliance Gloursonne; Anneau Volkorne; Bouclier du Stalak; Sangle Ouare; Némès de Tal Kasha; Cape Solution; Bottes de la Dame du Hasard; Dolmanax; Dofus Ébène; Dofus des Glaces; Dofus Turquoise; Dofus Pourpre; Dofus Ocre; Pioute bleu</t>
        </is>
      </c>
    </row>
    <row r="21112">
      <c r="A21112" t="inlineStr">
        <is>
          <t>Chance</t>
        </is>
      </c>
      <c r="B21112">
        <f>HYPERLINK("https://www.dofusbook.net/fr/equipement/4421597-chance-/objets", "link")</f>
        <v/>
      </c>
      <c r="C21112" t="n">
        <v>1</v>
      </c>
      <c r="D21112" t="inlineStr">
        <is>
          <t>Sceptre du Roi Joueur; Collier de la Dame du Hasard; Anneau Volkorne; Alliance Gloursonne; Bouclier du Stalak; Sangle Ouare; Kidibonnet; Cape du Sinistrofu; Bottes de la Dame du Hasard; Dofus Turquoise; Dofus Ébène; Dofus Pourpre; Chanceux majeur; Remueur; Vigoureux majeur; Pioute bleu</t>
        </is>
      </c>
    </row>
    <row r="21113">
      <c r="A21113" t="inlineStr">
        <is>
          <t>Petit</t>
        </is>
      </c>
      <c r="B21113">
        <f>HYPERLINK("https://www.dofusbook.net/fr/equipement/4420833-petit/objets", "link")</f>
        <v/>
      </c>
      <c r="C21113" t="n">
        <v>2</v>
      </c>
      <c r="D21113" t="inlineStr">
        <is>
          <t>Arc du Chalœil; Collier de Tourthon; Anneau de Brouce; Bracelet du Piloztère; Quatre-feuilles; Ceinture de Brouce; Coiffe de la Reine des Voleurs; Cape au Logis; Bottes de Brouce; Dofus Pourpre; Dofus Turquoise; Dofus Ocre; Forcené majeur; Puissant majeur; Furibond majeur; Kompost</t>
        </is>
      </c>
    </row>
    <row r="21114">
      <c r="A21114" t="inlineStr">
        <is>
          <t>PVM Terre</t>
        </is>
      </c>
      <c r="B21114">
        <f>HYPERLINK("https://www.dofusbook.net/fr/equipement/4346123-pvm-terre/objets", "link")</f>
        <v/>
      </c>
      <c r="C21114" t="n">
        <v>1</v>
      </c>
      <c r="D21114" t="inlineStr">
        <is>
          <t>Arc du Chalœil; Collier de Tourthon; Anneau du Comte Harebourg; Anneau de Brouce; Quatre-feuilles; Ceinture de Brouce; Coiffe du Comte Harebourg; Cape du Cœur Saignant; Bottes de Brouce; Dofus Nébuleux; Dofus Pourpre; Dofus Ébène; Dofus Ocre; Dofus Vulbis; Dofus Turquoise; Volkorne Pourpre</t>
        </is>
      </c>
    </row>
    <row r="21115">
      <c r="A21115" t="inlineStr">
        <is>
          <t>Pandawa M 200</t>
        </is>
      </c>
      <c r="B21115">
        <f>HYPERLINK("https://www.dofusbook.net/fr/equipement/4388553-pandawa-m-200/objets", "link")</f>
        <v/>
      </c>
      <c r="C21115" t="n">
        <v>0</v>
      </c>
      <c r="D21115" t="inlineStr">
        <is>
          <t>Lav'Hache; Amulette du Strigide; Anneau de Brouce; Bague Gloursonne; Bouclier précieux; Ceinture de Brouce; Masque de Koutoulou; Cape au Logis; Baleinabottes; Dofus Émeraude; Vigoureux majeur; Bloqueur majeur; Obstructeur majeur; Furibond majeur; Enragé majeur; Muldo Roux</t>
        </is>
      </c>
    </row>
    <row r="21116">
      <c r="A21116" t="inlineStr">
        <is>
          <t>mode 1v1 CC hache kor</t>
        </is>
      </c>
      <c r="B21116">
        <f>HYPERLINK("https://www.dofusbook.net/fr/equipement/4388000-mode-1v1-cc-hache-kor/objets", "link")</f>
        <v/>
      </c>
      <c r="C21116" t="n">
        <v>2</v>
      </c>
      <c r="D21116" t="inlineStr">
        <is>
          <t>Hache du Korriandre; Amulette du Strigide; Alliance Gloursonne; Anneau de Padgref; Bouclier d'Ilyzaelle; Sangle Ouare; Némès de Tal Kasha; Chevelure de Tal Kasha; Sandales de Tal Kasha; Dofus Turquoise; Dofus Ivoire; Dofus Abyssal; Dofus Ocre; Dofus Pourpre; Dofus des Glaces; Kokulte</t>
        </is>
      </c>
    </row>
    <row r="21117">
      <c r="A21117" t="inlineStr">
        <is>
          <t>Terre pvp</t>
        </is>
      </c>
      <c r="B21117">
        <f>HYPERLINK("https://www.dofusbook.net/fr/equipement/4380725-terre-pvp/objets", "link")</f>
        <v/>
      </c>
      <c r="C21117" t="n">
        <v>0</v>
      </c>
      <c r="D21117" t="inlineStr">
        <is>
          <t>Lav'Hache; Collier de Tourthon; Anneau Chevelu; Anneau de Brouce; Cadran de Terre; Ceinture Volkorne; Masque de Koutoulou; Cape au Logis; Bottes de Brouce; Dofus Pourpre; Dofus Ivoire; Dofus Ocre; Dofus Ébène; Dofus Nébuleux; Observateur; El Scarador</t>
        </is>
      </c>
    </row>
    <row r="21118">
      <c r="A21118" t="inlineStr">
        <is>
          <t>Multi 2</t>
        </is>
      </c>
      <c r="B21118">
        <f>HYPERLINK("https://www.dofusbook.net/fr/equipement/4385550-multi-2/objets", "link")</f>
        <v/>
      </c>
      <c r="C21118" t="n">
        <v>0</v>
      </c>
      <c r="D21118" t="inlineStr">
        <is>
          <t>Arc Honte; Amulette Volkorne; Anneau Tique; Anneau Volkorne; Bouclier du Stalak; Ceinture de l'Esprit Salvateur; Masque de l'Esprit Salvateur; Voilamibe; Bottes de l'Esprit Salvateur; Dofus Ocre; Dofus Ivoire; Dofus Ébène; Dofus des Glaces; Dofus Pourpre; Dofus Abyssal; El Scarador</t>
        </is>
      </c>
    </row>
    <row r="21119">
      <c r="A21119" t="inlineStr">
        <is>
          <t>Sr-Dolor</t>
        </is>
      </c>
      <c r="B21119">
        <f>HYPERLINK("https://www.dofusbook.net/fr/equipement/4378899-sr-dolor/objets", "link")</f>
        <v/>
      </c>
      <c r="C21119" t="n">
        <v>1</v>
      </c>
      <c r="D21119" t="inlineStr">
        <is>
          <t>Dagues Érhy; Amulette du Kamasterisk; Bracelet du Piloztère; Anneau des égarés; Bouclier du Stalak; Ceinture Volkorne; Casque Volkorne; Cape du Kamasterisk; Bottes du Kamasterisk; Dolmanax; Dofus Ébène; Dofus Vulbis; Dofus Pourpre; Dofus Ivoire; Dofus Ocre; Fëanor</t>
        </is>
      </c>
    </row>
    <row r="21120">
      <c r="A21120" t="inlineStr">
        <is>
          <t>Full Full Drop</t>
        </is>
      </c>
      <c r="B21120">
        <f>HYPERLINK("https://www.dofusbook.net/fr/equipement/4376203-full-full-drop/objets", "link")</f>
        <v/>
      </c>
      <c r="C21120" t="n">
        <v>0</v>
      </c>
      <c r="D21120" t="inlineStr">
        <is>
          <t>Hache à Lamelles; Amulette du Sinistrofu; Sceau Souverain du Roissingue; Anneau Bliteré; Bouclier cubiste; Tranche des Sous-bois; Capuche Souveraine du Roissingue; Cape du Sinistrofu; Bottines des sous-bois; Dolmanax; Dofus Kaliptus; Dokille; Taquin; Joueur majeur; Taquin majeur; Pykur</t>
        </is>
      </c>
    </row>
    <row r="21121">
      <c r="A21121" t="inlineStr">
        <is>
          <t>Hecteau</t>
        </is>
      </c>
      <c r="B21121">
        <f>HYPERLINK("https://www.dofusbook.net/fr/equipement/4369313-hecteau/objets", "link")</f>
        <v/>
      </c>
      <c r="C21121" t="n">
        <v>19</v>
      </c>
      <c r="D21121" t="inlineStr">
        <is>
          <t>Dagoulinantes; Amulette de Shokkoth; Anneau Volkorne; Alliance Gloursonne; Bouclier du Stalak; Sangle Ouare; Masque des Fonds marins; Cape Solution; Sandales des Fonds marins; Dofus Pourpre; Dévastateur Eau majeur; Remueur; Joueur majeur; Vigoureux majeur; Chanceux majeur; Kanigloups</t>
        </is>
      </c>
    </row>
    <row r="21122">
      <c r="A21122" t="inlineStr">
        <is>
          <t>Hectair</t>
        </is>
      </c>
      <c r="B21122">
        <f>HYPERLINK("https://www.dofusbook.net/fr/equipement/1455073-hectair/objets", "link")</f>
        <v/>
      </c>
      <c r="C21122" t="n">
        <v>13</v>
      </c>
      <c r="D21122" t="inlineStr">
        <is>
          <t>Manthache; Collier du Valet Veinard; Alliance Gloursonne; Anneau d'Allister; Bouclier du Stalak; Menoture; Couronne d'Allister; Cape Martegel; Palmes Trithons; Dofus Pourpre; Vigoureux majeur; Nomade; Dévastateur Air majeur; Remueur; Cascadeur majeur; Blérodoudou</t>
        </is>
      </c>
    </row>
    <row r="21123">
      <c r="A21123" t="inlineStr">
        <is>
          <t>Sr-Do Agi</t>
        </is>
      </c>
      <c r="B21123">
        <f>HYPERLINK("https://www.dofusbook.net/fr/equipement/4350427-sr-do-agi/objets", "link")</f>
        <v/>
      </c>
      <c r="C21123" t="n">
        <v>8</v>
      </c>
      <c r="D21123" t="inlineStr">
        <is>
          <t>Hachoirs de Viandargh; Ougamulette; Alliance Gloursonne; Anneau d'Allister; Cadran d'Air; Ceinture Rasboulaire du Rasboul; Couronne d'Allister; Cape Matelassée; Bottes du Glourséleste; Carapace Feu majeur; Remueur; Observateur; Nomade; Dévastateur Air majeur; Cascadeur majeur; Siroko</t>
        </is>
      </c>
    </row>
    <row r="21124">
      <c r="A21124" t="inlineStr">
        <is>
          <t>Tsoin tsoin res fui</t>
        </is>
      </c>
      <c r="B21124">
        <f>HYPERLINK("https://www.dofusbook.net/fr/equipement/4347174-tsoin-tsoin-res-fui/objets", "link")</f>
        <v/>
      </c>
      <c r="C21124" t="n">
        <v>0</v>
      </c>
      <c r="D21124" t="inlineStr">
        <is>
          <t>Le Thanos; Pendentif mignon de Koutoulou; Anneau Rifique; Anneau de Nidas; Carapar; Ceinture de Vortex; Casque Dragoeuf; Cape de Diondin; Bottes Innommables; Dofus Ocre; Dofus Ivoire; Guérisseur majeur; Nomade; Docteur majeur; Érudit majeur; Meuch</t>
        </is>
      </c>
    </row>
    <row r="21125">
      <c r="A21125" t="inlineStr">
        <is>
          <t>Terre Feu</t>
        </is>
      </c>
      <c r="B21125">
        <f>HYPERLINK("https://www.dofusbook.net/fr/equipement/3679956-terre-feu/objets", "link")</f>
        <v/>
      </c>
      <c r="C21125" t="n">
        <v>3</v>
      </c>
      <c r="D21125" t="inlineStr">
        <is>
          <t>Bâthon; Amulette Volkorne; Anneau Volkorne; Chevalière du Roi Joueur; Quatre-feuilles; Ceinture Volkorne; Couronne du Roi Joueur; Cape de Jahash Jurgen; Bottes du Roi Joueur; Dolmanax; Dofus Ocre; Dofus Pourpre; Dofus Nébuleux; Dofus Ébène; Dofus Turquoise; Volkorne Pourpre et Orchidée</t>
        </is>
      </c>
    </row>
    <row r="21126">
      <c r="A21126" t="inlineStr">
        <is>
          <t>Ilyzaelle koutoulou</t>
        </is>
      </c>
      <c r="B21126">
        <f>HYPERLINK("https://www.dofusbook.net/fr/equipement/3698754-ilyzaelle-koutoulou/objets", "link")</f>
        <v/>
      </c>
      <c r="C21126" t="n">
        <v>3</v>
      </c>
      <c r="D21126" t="inlineStr">
        <is>
          <t>Arc de Koutoulou; Amulette d'Ilyzaelle; Alliance Gloursonne; Bracelet du Piloztère; Bouclier du Stalak; Sangle Ouare; Casque d'Ilyzaelle; Cape Matelassée; Bottes de la Reine des Voleurs; Dofus Ocre; Dolmanax; Dofus des Glaces; Dofus Pourpre; Dofus Ivoire; Carapace Air majeur; Kramkram</t>
        </is>
      </c>
    </row>
    <row r="21127">
      <c r="A21127" t="inlineStr">
        <is>
          <t>Iopette Terre 2019</t>
        </is>
      </c>
      <c r="B21127">
        <f>HYPERLINK("https://www.dofusbook.net/fr/equipement/4320178-iopette-terre-2019/objets", "link")</f>
        <v/>
      </c>
      <c r="C21127" t="n">
        <v>4</v>
      </c>
      <c r="D21127" t="inlineStr">
        <is>
          <t>Dagues d'Ilyzaelle; Amulette du Cœur Saignant; Anneau du Comte Harebourg; Anneau Volkorne; Bouclier du Captain Amakna; Ceinture Volkorne; Coiffe du Comte Harebourg; Cape du Cœur Saignant; Bottes du Cœur Saignant; Dofus Turquoise; Dofus Ocre; Dofus Pourpre; Dofus Ébène; Dofus Vulbis; Forcené majeur; Kompost</t>
        </is>
      </c>
    </row>
    <row r="21128">
      <c r="A21128" t="inlineStr">
        <is>
          <t>Feu pvm</t>
        </is>
      </c>
      <c r="B21128">
        <f>HYPERLINK("https://www.dofusbook.net/fr/equipement/4207996-feu-pvm/objets", "link")</f>
        <v/>
      </c>
      <c r="C21128" t="n">
        <v>1</v>
      </c>
      <c r="D21128" t="inlineStr">
        <is>
          <t>Arc corrompu; Amulette Volkorne; Anneauræus; Anneauræus; Quatre-feuilles; Ceinture Volkorne; Heaume Oplate; Cape de Diondin; Bottes Innommables; Dofus Pourpre; Dofus Turquoise; Dofus Ébène; Astucieux majeur; Érudit majeur; Nomade; Brûlih</t>
        </is>
      </c>
    </row>
    <row r="21129">
      <c r="A21129" t="inlineStr">
        <is>
          <t>CC air</t>
        </is>
      </c>
      <c r="B21129">
        <f>HYPERLINK("https://www.dofusbook.net/fr/equipement/4285859-cc-air/objets", "link")</f>
        <v/>
      </c>
      <c r="C21129" t="n">
        <v>0</v>
      </c>
      <c r="D21129" t="inlineStr">
        <is>
          <t>Baguette Hernelle; Amulette du Strigide; Anneau de Padgref; Anneau d'Allister; Quatre-feuilles; Ceinture du Strigide; Coiffe de Padgref; Cape Indescriptible; Getas de Padgref; Dofus Turquoise; Dofus des Glaces; Dofus Pourpre; Dofus Ocre; Dofus Nébuleux; Dofus Vulbis; Kokulte</t>
        </is>
      </c>
    </row>
    <row r="21130">
      <c r="A21130" t="inlineStr">
        <is>
          <t>Nécro Padgref Dame H</t>
        </is>
      </c>
      <c r="B21130">
        <f>HYPERLINK("https://www.dofusbook.net/fr/equipement/3667124-necro-padgref-dame-h/objets", "link")</f>
        <v/>
      </c>
      <c r="C21130" t="n">
        <v>2</v>
      </c>
      <c r="D21130" t="inlineStr">
        <is>
          <t>Arc Nécrotique; Collier de la Dame du Hasard; Anneau de Padgref; Anneau Cryochrone; Quatre-feuilles; Ceinture du Strigide; Coiffe de Padgref; Cape de la Dame du Hasard; Bottes de la Dame du Hasard; Dofus Vulbis; Dofus des Glaces; Dofus Nébuleux; Dofus Turquoise; Dofus Ébène; Dofus Ocre; Kokulte</t>
        </is>
      </c>
    </row>
    <row r="21131">
      <c r="A21131" t="inlineStr">
        <is>
          <t>feu ret PM</t>
        </is>
      </c>
      <c r="B21131">
        <f>HYPERLINK("https://www.dofusbook.net/fr/equipement/2386116-feu-ret-pm/objets", "link")</f>
        <v/>
      </c>
      <c r="C21131" t="n">
        <v>3</v>
      </c>
      <c r="D21131" t="inlineStr">
        <is>
          <t>Arc corrompu; Pendentif affamé; Anneau Tique; Anneau de Nidas; Bouclier cubiste; Ceinture de Vortex; Couronne de Nidas; Cape de Diondin; Bottes Innommables; Dofus Ébène; Dofus Vulbis; Dofus Ocre; Carapace Feu majeur; Temporiseur majeur; Érudit majeur; Bisouglours</t>
        </is>
      </c>
    </row>
    <row r="21132">
      <c r="A21132" t="inlineStr">
        <is>
          <t>Volkorne Egarés CC</t>
        </is>
      </c>
      <c r="B21132">
        <f>HYPERLINK("https://www.dofusbook.net/fr/equipement/4287040-volkorne-egares-cc/objets", "link")</f>
        <v/>
      </c>
      <c r="C21132" t="n">
        <v>0</v>
      </c>
      <c r="D21132" t="inlineStr">
        <is>
          <t>Marteau des égarés; Amulette Volkorne; Anneau Volkorne; Bracelet du Piloztère; Bouclier du Captain Amakna; Ceinture du Strigide; Casque Volkorne; Cape Solution; Bottes du Strigide; Dofus Pourpre; Dofus des Glaces; Dofus Nébuleux; Dolmanax; Dofus Ébène; Dofus Ocre; Kokulte</t>
        </is>
      </c>
    </row>
    <row r="21133">
      <c r="A21133" t="inlineStr">
        <is>
          <t>Sadi Chance 2.49</t>
        </is>
      </c>
      <c r="B21133">
        <f>HYPERLINK("https://www.dofusbook.net/fr/equipement/1949327-sadi-chance-2-49/objets", "link")</f>
        <v/>
      </c>
      <c r="C21133" t="n">
        <v>0</v>
      </c>
      <c r="D21133" t="inlineStr">
        <is>
          <t>Dagoulinantes; Amulette de Shokkoth; Alliance Gloursonne; Anneau Volkorne; Bouclier d'Ilyzaelle; Sangle Ouare; Masque des Fonds marins; Cape Solution; Sandales des Fonds marins; Dofus Ocre; Dofus Abyssal; Dofus Pourpre; Dofus Nébuleux; Dofus Ébène; Chanceux majeur; Dehluge</t>
        </is>
      </c>
    </row>
    <row r="21134">
      <c r="A21134" t="inlineStr">
        <is>
          <t>Resistance PvM</t>
        </is>
      </c>
      <c r="B21134">
        <f>HYPERLINK("https://www.dofusbook.net/fr/equipement/894540-resistance-pvm/objets", "link")</f>
        <v/>
      </c>
      <c r="C21134" t="n">
        <v>7</v>
      </c>
      <c r="D21134" t="inlineStr">
        <is>
          <t>Rouleau à Pâtisserie d'Aermyne; Collier Rophante; Anneau Tique; Alliance Gloursonne; Sept ans de malheur; Ceinture de Kongoku; Masque d'Anerice; Cape d'Anerice; Bottes de Léthaline; Dofus Ivoire; Dofus Ocre; Dofus Émeraude; Obstructeur majeur; Bloqueur majeur; Remueur; Givrefoux</t>
        </is>
      </c>
    </row>
    <row r="21135">
      <c r="A21135" t="inlineStr">
        <is>
          <t>Rés mono élément</t>
        </is>
      </c>
      <c r="B21135">
        <f>HYPERLINK("https://www.dofusbook.net/fr/equipement/4263461-res-mono-element/objets", "link")</f>
        <v/>
      </c>
      <c r="C21135" t="n">
        <v>0</v>
      </c>
      <c r="D21135" t="inlineStr">
        <is>
          <t>Arc corrompu; Amulette de Nileza; Anneauræus; Anneauræus; Cadran de Terre; Ceinture de Vortex; Heaume Oplate; Voile d'encre; Bottes Innommables; Dofus Émeraude; Nomade; Obstructeur majeur; Remueur; Observateur; Érudit majeur; Kramkram</t>
        </is>
      </c>
    </row>
    <row r="21136">
      <c r="A21136" t="inlineStr">
        <is>
          <t>Zozo do cri</t>
        </is>
      </c>
      <c r="B21136">
        <f>HYPERLINK("https://www.dofusbook.net/fr/equipement/4208711-zozo-do-cri/objets", "link")</f>
        <v/>
      </c>
      <c r="C21136" t="n">
        <v>2</v>
      </c>
      <c r="D21136" t="inlineStr">
        <is>
          <t>Hache Téroïde; Amulette du Strigide; Anneau Toriété; Bague Trithon; Bouclier du Captain Amakna; Ceinture du Strigide; Masque Trithon; Cape des Justiciers; Bottes Trithon; Dofus Émeraude; Dofus Pourpre; Dofus Turquoise; Savant majeur; Puissant majeur; Furibond majeur; Kokulte</t>
        </is>
      </c>
    </row>
    <row r="21137">
      <c r="A21137" t="inlineStr">
        <is>
          <t>Djodjo 200</t>
        </is>
      </c>
      <c r="B21137">
        <f>HYPERLINK("https://www.dofusbook.net/fr/equipement/4235236-djodjo-200/objets", "link")</f>
        <v/>
      </c>
      <c r="C21137" t="n">
        <v>2</v>
      </c>
      <c r="D21137" t="inlineStr">
        <is>
          <t>Arc Volkorne; Amulette du Strigide; Alliance Gloursonne; Bracelet du Piloztère; Quatre-feuilles; Ceintacé; Le Dorado; Voile d'encre; Bottes du Strigide; Dofus Turquoise; Dofus Pourpre; Nomade; Vigoureux majeur; Puissant majeur; Sanguinaire majeur; Kokulte</t>
        </is>
      </c>
    </row>
    <row r="21138">
      <c r="A21138" t="inlineStr">
        <is>
          <t>Feu eau</t>
        </is>
      </c>
      <c r="B21138">
        <f>HYPERLINK("https://www.dofusbook.net/fr/equipement/2230680-feu-eau/objets", "link")</f>
        <v/>
      </c>
      <c r="C21138" t="n">
        <v>30</v>
      </c>
      <c r="D21138" t="inlineStr">
        <is>
          <t>Pyraguette; Amulette Volkorne; Lavanneau; Anneau Volkorne; Bouclier du Stalak; Ceinture de l'Esprit Salvateur; Masque de l'Esprit Salvateur; Voilamibe; Bottes de l'Esprit Salvateur; Dofus Ocre; Dofus Ébène; Dofus des Glaces; Dofus Pourpre; Dofus Nébuleux; Robuste majeur; Walk</t>
        </is>
      </c>
    </row>
    <row r="21139">
      <c r="A21139" t="inlineStr">
        <is>
          <t>Sadida chance 200</t>
        </is>
      </c>
      <c r="B21139">
        <f>HYPERLINK("https://www.dofusbook.net/fr/equipement/4230263-sadida-chance-200/objets", "link")</f>
        <v/>
      </c>
      <c r="C21139" t="n">
        <v>0</v>
      </c>
      <c r="D21139" t="inlineStr">
        <is>
          <t>Dagues Açantes; Amulette de Shokkoth; Alliance Gloursonne; Anneau Volkorne; Bouclier du Captain Amakna; Poulpagne; Capuche de l'Œil Attentif; Cape de l'Œil Attentif; Sandales des Fonds marins; Dofus Ocre; Dofus Turquoise; Dofus Pourpre; Dofus des Glaces; Nomade; Dévastateur Eau majeur; Pioute bleu</t>
        </is>
      </c>
    </row>
    <row r="21140">
      <c r="A21140" t="inlineStr">
        <is>
          <t>Air feu</t>
        </is>
      </c>
      <c r="B21140">
        <f>HYPERLINK("https://www.dofusbook.net/fr/equipement/4085983-air-feu/objets", "link")</f>
        <v/>
      </c>
      <c r="C21140" t="n">
        <v>0</v>
      </c>
      <c r="D21140" t="inlineStr">
        <is>
          <t>Dagues Érhy; Amulette Martegel; Anneau Rifique; Anneau Toriété; Bouclier cubiste; Ceinture de l'Esprit Salvateur; Masquegel; Cape Martegel; Bottes de l'Esprit Salvateur; Dofus Pourpre; Dofus Ivoire; Dofus Abyssal; Dofus Ocre; Dolmanax; Dofus des Glaces; Bwak de Terre</t>
        </is>
      </c>
    </row>
    <row r="21141">
      <c r="A21141" t="inlineStr">
        <is>
          <t>Terre rox/résistance</t>
        </is>
      </c>
      <c r="B21141">
        <f>HYPERLINK("https://www.dofusbook.net/fr/equipement/4078239-terre-rox-resistance/objets", "link")</f>
        <v/>
      </c>
      <c r="C21141" t="n">
        <v>0</v>
      </c>
      <c r="D21141" t="inlineStr">
        <is>
          <t>Arc du Chalœil; Amulette du Strigide; Anneau Chevelu; Anneau Volkorne; Quatre-feuilles; Ceinture Volkorne; Masque de Koutoulou; Cape au Logis; Bottes du Cœur Saignant; Dofus Turquoise; Dofus des Glaces; Dofus Pourpre; Dofus Ivoire; Dofus Ocre; Enragé majeur; Pioute violet</t>
        </is>
      </c>
    </row>
    <row r="21142">
      <c r="A21142" t="inlineStr">
        <is>
          <t>Terre PvP</t>
        </is>
      </c>
      <c r="B21142">
        <f>HYPERLINK("https://www.dofusbook.net/fr/equipement/4035241-terre-pvp/objets", "link")</f>
        <v/>
      </c>
      <c r="C21142" t="n">
        <v>2</v>
      </c>
      <c r="D21142" t="inlineStr">
        <is>
          <t>Lav'Hache; Collier de Tourthon; Anneau Chevelu; Anneau Crustique; Bouclier du Stalak; Ceinture Volkorne; Masque de Koutoulou; Cape du Cœur Saignant; Bottes du Cœur Saignant; Dofus Pourpre; Dofus Ocre; Dofus Ivoire; Dofus Nébuleux; Nomade; Enragé majeur; Bwak de Feu</t>
        </is>
      </c>
    </row>
    <row r="21143">
      <c r="A21143" t="inlineStr">
        <is>
          <t>Multi Volkorne</t>
        </is>
      </c>
      <c r="B21143">
        <f>HYPERLINK("https://www.dofusbook.net/fr/equipement/3714659-multi-volkorne/objets", "link")</f>
        <v/>
      </c>
      <c r="C21143" t="n">
        <v>1</v>
      </c>
      <c r="D21143" t="inlineStr">
        <is>
          <t>Arc Volkorne; Amulette Volkorne; Bracelet du Piloztère; Anneau Volkorne; Bouclier du Stalak; Ceinture Volkorne; Masque de l'Esprit Salvateur; Voile d'encre; Bottes de l'Esprit Salvateur; Dofus Ivoire; Dofus Ocre; Dolmanax; Dofus des Glaces; Dofus Nébuleux; Dofus Pourpre; Fëanor</t>
        </is>
      </c>
    </row>
    <row r="21144">
      <c r="A21144" t="inlineStr">
        <is>
          <t>Feu chance Pvm</t>
        </is>
      </c>
      <c r="B21144">
        <f>HYPERLINK("https://www.dofusbook.net/fr/equipement/3652893-feu-chance-pvm/objets", "link")</f>
        <v/>
      </c>
      <c r="C21144" t="n">
        <v>0</v>
      </c>
      <c r="D21144" t="inlineStr">
        <is>
          <t>Pyraguette; Talisman Igans; Lavanneau; Lavanneau; Bouclier du Stalak; Ceintrigue; Masque de l'Esprit Salvateur; Voilamibe; Pataugastrique; Dofus Ocre; Dofus des Glaces; Vigoureux majeur; Dévastateur Eau majeur; Robuste majeur; Dévastateur Feu majeur; Walk</t>
        </is>
      </c>
    </row>
    <row r="21145">
      <c r="A21145" t="inlineStr">
        <is>
          <t>DWS</t>
        </is>
      </c>
      <c r="B21145">
        <f>HYPERLINK("https://www.dofusbook.net/fr/equipement/3692464-dws/objets", "link")</f>
        <v/>
      </c>
      <c r="C21145" t="n">
        <v>3</v>
      </c>
      <c r="D21145" t="inlineStr">
        <is>
          <t>Arc Honte; Amulette de l'Œil Putride; Alliance Gloursonne; Bague Gloursonne; Bouclier du Stalak; Ceinture de l'Esprit Salvateur; Masque de l'Esprit Salvateur; Cape de l'Œil Putride; Bottes de l'Esprit Salvateur; Dofus Pourpre; Dofus Ivoire; Dofus Vulbis; Dofus Ocre; Dolmanax; Dofus des Glaces; Kramkram</t>
        </is>
      </c>
    </row>
    <row r="21146">
      <c r="A21146" t="inlineStr">
        <is>
          <t>PVM Feu</t>
        </is>
      </c>
      <c r="B21146">
        <f>HYPERLINK("https://www.dofusbook.net/fr/equipement/2026477-pvm-feu/objets", "link")</f>
        <v/>
      </c>
      <c r="C21146" t="n">
        <v>0</v>
      </c>
      <c r="D21146" t="inlineStr">
        <is>
          <t>Arc corrompu; Pendentif affamé; Anneau Tamie; Anneau Tamie; Bouclier du Stalak; Ceinture Séculaire; Coiffe Séculaire; Cape de Diondin; Bottes Innommables; Dofus des Glaces; Dévastateur Feu majeur; Saccageur Feu majeur; Érudit majeur; Remueur; Nomade; Bisouglours</t>
        </is>
      </c>
    </row>
    <row r="21147">
      <c r="A21147" t="inlineStr">
        <is>
          <t>Terre rés rox</t>
        </is>
      </c>
      <c r="B21147">
        <f>HYPERLINK("https://www.dofusbook.net/fr/equipement/3223836-terre-res-rox/objets", "link")</f>
        <v/>
      </c>
      <c r="C21147" t="n">
        <v>4</v>
      </c>
      <c r="D21147" t="inlineStr">
        <is>
          <t>Dagues d'Ilyzaelle; Collier de Tourthon; Anneau Chevelu; Anneau Crustique; Bouclier du Captain Amakna; Ceinture Volkorne; Masque de Koutoulou; Cape au Logis; Bottes de Brouce; Dofus Pourpre; Dofus Turquoise; Dofus Ocre; Enragé majeur; Furibond majeur; Vigoureux majeur; Dragodinde Ivoire et Pourpre</t>
        </is>
      </c>
    </row>
    <row r="21148">
      <c r="A21148" t="inlineStr">
        <is>
          <t>Crâ M 200</t>
        </is>
      </c>
      <c r="B21148">
        <f>HYPERLINK("https://www.dofusbook.net/fr/equipement/3369348-cra-m-200/objets", "link")</f>
        <v/>
      </c>
      <c r="C21148" t="n">
        <v>2</v>
      </c>
      <c r="D21148" t="inlineStr">
        <is>
          <t>Sabres d'Atcham; Amulette du Strigide; Bracelet du Piloztère; Bague Trithon; Quatre-feuilles; Ceinture du Strigide; Masque Trithon; Cape d'Atcham; Bottes Trithon; Dofus Pourpre; Dofus des Glaces; Dofus Turquoise; Dolmanax; Dofus Ocre; Puissant majeur; Muldo Prune et Emeraude</t>
        </is>
      </c>
    </row>
    <row r="21149">
      <c r="A21149" t="inlineStr">
        <is>
          <t>Stuff 2</t>
        </is>
      </c>
      <c r="B21149">
        <f>HYPERLINK("https://www.dofusbook.net/fr/equipement/317884-stuff-2/objets", "link")</f>
        <v/>
      </c>
      <c r="C21149" t="n">
        <v>7</v>
      </c>
      <c r="D21149" t="inlineStr">
        <is>
          <t>Sabres d'Atcham; Amulette du Strigide; Anneau de Padgref; Bracelet du Piloztère; Bouclier du Captain Amakna; Ceinture du Strigide; Némès de Tal Kasha; Cape Matelassée; Pataugastrique; Dofus Turquoise; Dofus Émeraude; Dofus Pourpre; Vigoureux majeur; Remueur; Nomade; Muldo Prune et Roux</t>
        </is>
      </c>
    </row>
    <row r="21150">
      <c r="A21150" t="inlineStr">
        <is>
          <t>Eliotrope F 200</t>
        </is>
      </c>
      <c r="B21150">
        <f>HYPERLINK("https://www.dofusbook.net/fr/equipement/3323405-eliotrope-f-200/objets", "link")</f>
        <v/>
      </c>
      <c r="C21150" t="n">
        <v>0</v>
      </c>
      <c r="D21150" t="inlineStr">
        <is>
          <t>Amublop Indigo; Blopanneau Indigo; Gelano; Bouclier Abraknyde; Blopture Indigo; Houde; Cape du Coq Hû; Bloptes Indigo</t>
        </is>
      </c>
    </row>
    <row r="21151">
      <c r="A21151" t="inlineStr">
        <is>
          <t>Succes duo Terre</t>
        </is>
      </c>
      <c r="B21151">
        <f>HYPERLINK("https://www.dofusbook.net/fr/equipement/3207083-succes-duo-terre/objets", "link")</f>
        <v/>
      </c>
      <c r="C21151" t="n">
        <v>2</v>
      </c>
      <c r="D21151" t="inlineStr">
        <is>
          <t>Dagues d'Ilyzaelle; Collier de Tourthon; Anneau du Comte Harebourg; Anneau de Brouce; Bouclier Taverne; Ceinture de Brouce; Coiffe du Comte Harebourg; Cape au Logis; Bottes de Brouce; Dofus Pourpre; Dolmanax; Dofus Turquoise; Dofus Ocre; Forcené majeur; Furibond majeur; Kompost</t>
        </is>
      </c>
    </row>
    <row r="21152">
      <c r="A21152" t="inlineStr">
        <is>
          <t>Multi rooox</t>
        </is>
      </c>
      <c r="B21152">
        <f>HYPERLINK("https://www.dofusbook.net/fr/equipement/2936636-multi-rooox/objets", "link")</f>
        <v/>
      </c>
      <c r="C21152" t="n">
        <v>1</v>
      </c>
      <c r="D21152" t="inlineStr">
        <is>
          <t>Bâton Beau; Amulette du Strigide; Bracelet du Piloztère; Alliance Gloursonne; Quatre-feuilles; Ceintacé; Maskrobe; Cape Reski; Bottes du Strigide; Dolmanax; Dofus Pourpre; Dofus Turquoise; Nomade; Remueur; Vigoureux majeur; Kramkram</t>
        </is>
      </c>
    </row>
    <row r="21153">
      <c r="A21153" t="inlineStr">
        <is>
          <t>égarés do cri</t>
        </is>
      </c>
      <c r="B21153">
        <f>HYPERLINK("https://www.dofusbook.net/fr/equipement/2230741-egares-do-cri/objets", "link")</f>
        <v/>
      </c>
      <c r="C21153" t="n">
        <v>1</v>
      </c>
      <c r="D21153" t="inlineStr">
        <is>
          <t>Marteau des égarés; Amulette du Strigide; Anneau de Padgref; Alliance Gloursonne; Bouclier du Captain Amakna; Ceinture du Strigide; Coiffe d'Ogivol; Voile d'encre; Pataugastrique; Dofus Turquoise; Dofus Nébuleux; Dolmanax; Dofus Ocre; Dofus Pourpre; Dofus des Glaces; Muldo Prune et Emeraude</t>
        </is>
      </c>
    </row>
    <row r="21154">
      <c r="A21154" t="inlineStr">
        <is>
          <t>blabla</t>
        </is>
      </c>
      <c r="B21154">
        <f>HYPERLINK("https://www.dofusbook.net/fr/equipement/2065453-blabla/objets", "link")</f>
        <v/>
      </c>
      <c r="C21154" t="n">
        <v>1</v>
      </c>
      <c r="D21154" t="inlineStr">
        <is>
          <t>Sabres d'Atcham; Amulette du Strigide; Alliance Gloursonne; Anneau Tique; Ceinture du Strigide; Chapeau des Malveilleurs; Cape d'Atcham; Sandales  d'Atcham; Dolmanax; Dofus Ocre; Dofus Pourpre; Dofus Émeraude; Dofus des Glaces; Dofus Turquoise</t>
        </is>
      </c>
    </row>
    <row r="21155">
      <c r="A21155" t="inlineStr">
        <is>
          <t>Flottair</t>
        </is>
      </c>
      <c r="B21155">
        <f>HYPERLINK("https://www.dofusbook.net/fr/equipement/2061580-flottair/objets", "link")</f>
        <v/>
      </c>
      <c r="C21155" t="n">
        <v>0</v>
      </c>
      <c r="D21155" t="inlineStr">
        <is>
          <t>Dague Adou; Amulette du Strigide; Bague Trithon; Alliance Gloursonne; Bouclier du Captain Amakna; Ceinture du Strigide; Némès de Tal Kasha; Chevelure de Tal Kasha; Sandales de Tal Kasha; Dofus Émeraude; Dofus Ocre; Dofus Turquoise; Dofus des Glaces; Dofus Abyssal; Dofus Pourpre; Muldo Ebène et Indigo</t>
        </is>
      </c>
    </row>
    <row r="21156">
      <c r="A21156" t="inlineStr">
        <is>
          <t>Flottair</t>
        </is>
      </c>
      <c r="B21156">
        <f>HYPERLINK("https://www.dofusbook.net/fr/equipement/2061581-flottair/objets", "link")</f>
        <v/>
      </c>
      <c r="C21156" t="n">
        <v>0</v>
      </c>
      <c r="D21156" t="inlineStr"/>
    </row>
    <row r="21157">
      <c r="A21157" t="inlineStr">
        <is>
          <t>Atcham 2.43</t>
        </is>
      </c>
      <c r="B21157">
        <f>HYPERLINK("https://www.dofusbook.net/fr/equipement/2025482-atcham-2-43/objets", "link")</f>
        <v/>
      </c>
      <c r="C21157" t="n">
        <v>2</v>
      </c>
      <c r="D21157" t="inlineStr">
        <is>
          <t>Sabres d'Atcham; Amulette du Strigide; Alliance Gloursonne; Bague Trithon; Cadran d'Eau; Ceinture du Strigide; Masque Trithon; Cape d'Atcham; Bottes Trithon; Dofus Turquoise; Dolmanax; Dofus Émeraude; Dofus Ocre; Dofus Pourpre; Dofus des Glaces; Muldo Prune et Emeraude</t>
        </is>
      </c>
    </row>
    <row r="21158">
      <c r="A21158" t="inlineStr">
        <is>
          <t>Stuff 3</t>
        </is>
      </c>
      <c r="B21158">
        <f>HYPERLINK("https://www.dofusbook.net/fr/equipement/317837-stuff-3/objets", "link")</f>
        <v/>
      </c>
      <c r="C21158" t="n">
        <v>1</v>
      </c>
      <c r="D21158" t="inlineStr">
        <is>
          <t>Arc du Chalœil; Collier de Tourthon; Bague Gloursonne; Anneau Crustique; Quatre-feuilles; Ceintacé; Masque de Koutoulou; Cape au Logis; Bottes de la Cour Sombre; Dofus Pourpre; Dofus Turquoise; Enragé majeur; Remueur; Vigoureux majeur; Nomade; Kompost</t>
        </is>
      </c>
    </row>
    <row r="21159">
      <c r="A21159" t="inlineStr">
        <is>
          <t>Koutouloute</t>
        </is>
      </c>
      <c r="B21159">
        <f>HYPERLINK("https://www.dofusbook.net/fr/equipement/1659134-koutouloute/objets", "link")</f>
        <v/>
      </c>
      <c r="C21159" t="n">
        <v>0</v>
      </c>
      <c r="D21159" t="inlineStr">
        <is>
          <t>Arc de Koutoulou; Amulette du Strigide; Alliance Gloursonne; Bracelet du Piloztère; Quatre-feuilles; Ceinture du Strigide; Némès de Tal Kasha; Chevelure de Tal Kasha; Sandales de Tal Kasha; Dofus Pourpre; Dofus Nébuleux; Dofus Turquoise; Dofus Abyssal; Dokoko; Dofus Ocre; Muldo Prune et Indigo</t>
        </is>
      </c>
    </row>
    <row r="21160">
      <c r="A21160" t="inlineStr">
        <is>
          <t>Force</t>
        </is>
      </c>
      <c r="B21160">
        <f>HYPERLINK("https://www.dofusbook.net/fr/equipement/1454864-force/objets", "link")</f>
        <v/>
      </c>
      <c r="C21160" t="n">
        <v>0</v>
      </c>
      <c r="D21160" t="inlineStr">
        <is>
          <t>Bêche Asse; Amulette Luminescente; Anneau Crustique; Pikano; Bouclier cubiste; Ceinture Luminescente; Masque de Koutoulou; Cape du Kamasterisk; Baleinabottes; Dofus Abyssal; Dofus des Glaces; Entraveur majeur; Dévastateur Terre majeur; Enragé majeur; Temporiseur majeur; Muldo Indigo et Pourpre</t>
        </is>
      </c>
    </row>
    <row r="21161">
      <c r="A21161" t="inlineStr">
        <is>
          <t>Duo koutoulou</t>
        </is>
      </c>
      <c r="B21161">
        <f>HYPERLINK("https://www.dofusbook.net/fr/equipement/1152790-duo-koutoulou/objets", "link")</f>
        <v/>
      </c>
      <c r="C21161" t="n">
        <v>0</v>
      </c>
      <c r="D21161" t="inlineStr">
        <is>
          <t>Arc Hétype; Pendentif affamé; Bague Gloursonne; Anneau Tique; Carapar; Ceinture Séculaire; Coiffe Séculaire; Cape de Nileza; Pataugastrique; Dofus Pourpre; Dofus Émeraude; Remueur; Savant majeur; Nomade; Érudit majeur; Muldo Doré et Pourpre</t>
        </is>
      </c>
    </row>
    <row r="21162">
      <c r="A21162" t="inlineStr">
        <is>
          <t>Tacle-resistances</t>
        </is>
      </c>
      <c r="B21162">
        <f>HYPERLINK("https://www.dofusbook.net/fr/equipement/816450-tacle-resistances/objets", "link")</f>
        <v/>
      </c>
      <c r="C21162" t="n">
        <v>0</v>
      </c>
      <c r="D21162" t="inlineStr">
        <is>
          <t>Rouleau à Pâtisserie d'Aermyne; Amulette de Nileza; Anneau Tique; Alliance Gloursonne; Bouclier précieux; Ceinture de Kongoku; Casque Dragoeuf; Cape d'Aermyne; Pataugastrique; Dofus Émeraude; Remueur; Obstructeur majeur; Fonceur majeur; Nomade; Bloqueur majeur; Muldo Roux</t>
        </is>
      </c>
    </row>
    <row r="21163">
      <c r="A21163" t="inlineStr">
        <is>
          <t>Stuff 1</t>
        </is>
      </c>
      <c r="B21163">
        <f>HYPERLINK("https://www.dofusbook.net/fr/equipement/317835-stuff-1/objets", "link")</f>
        <v/>
      </c>
      <c r="C21163" t="n">
        <v>2</v>
      </c>
      <c r="D21163" t="inlineStr">
        <is>
          <t>Epée Toche; Amulette du Strigide; Bague Gloursonne; Chevalière du Roi Joueur; Bouclier Taverne; Ceinture du Strigide; Couronne du Roi Joueur; Cape du Professeur Xa; Bottes du Roi Joueur; Dofus Nébuleux; Dolmanax; Dofus Turquoise; Dofus Abyssal; Dofus Ocre; Dofus Pourpre; Kramkram</t>
        </is>
      </c>
    </row>
    <row r="21164">
      <c r="A21164" t="inlineStr">
        <is>
          <t>Mode air</t>
        </is>
      </c>
      <c r="B21164">
        <f>HYPERLINK("https://www.dofusbook.net/fr/equipement/318071-mode-air/objets", "link")</f>
        <v/>
      </c>
      <c r="C21164" t="n">
        <v>0</v>
      </c>
      <c r="D21164" t="inlineStr">
        <is>
          <t>Manthache; Collier du Valet Veinard; Alliance Gloursonne; Gant du Valet Veinard; Ceinture de la Reine des Voleurs; Coiffe de la Reine des Voleurs; Cape du Valet Veinard; Bottes de la Reine des Voleurs; Dokoko; Dofus Pourpre; Dofus des Glaces; Dofus Émeraude; Dolmanax; Dofus Ocre; Muldo Orchidée</t>
        </is>
      </c>
    </row>
    <row r="21165">
      <c r="A21165" t="inlineStr">
        <is>
          <t>Stuff 1</t>
        </is>
      </c>
      <c r="B21165">
        <f>HYPERLINK("https://www.dofusbook.net/fr/equipement/317853-stuff-1/objets", "link")</f>
        <v/>
      </c>
      <c r="C21165" t="n">
        <v>0</v>
      </c>
      <c r="D21165" t="inlineStr">
        <is>
          <t>Pelle de la Cour Sombre; Amulette Voldelor; Gant du Valet Veinard; Alliance Gloursonne; Ceinture du Barbétoal; Couronne d'Allister; Cape du Valet Veinard; Baleinabottes; Dofus des Glaces; Cascadeur majeur; Nomade; Carapace Neutre majeur; Carapace Feu majeur; Remueur; Croum</t>
        </is>
      </c>
    </row>
    <row r="21166">
      <c r="A21166" t="inlineStr">
        <is>
          <t>Stuff 3</t>
        </is>
      </c>
      <c r="B21166">
        <f>HYPERLINK("https://www.dofusbook.net/fr/equipement/317846-stuff-3/objets", "link")</f>
        <v/>
      </c>
      <c r="C21166" t="n">
        <v>0</v>
      </c>
      <c r="D21166" t="inlineStr">
        <is>
          <t>Hache du Chalœil; Amulette du Strigide; Alliance Gloursonne; Bracelet du Piloztère; Ceintacé; Kidibonnet; Voile d'encre; Bottes du Strigide; Dofus Pourpre; Dofus Turquoise; Dolmanax; Vigoureux majeur; Puissant majeur; Nomade; Muldo Indigo et Pourpre</t>
        </is>
      </c>
    </row>
    <row r="21167">
      <c r="A21167" t="inlineStr">
        <is>
          <t>Stuff 1</t>
        </is>
      </c>
      <c r="B21167">
        <f>HYPERLINK("https://www.dofusbook.net/fr/equipement/317838-stuff-1/objets", "link")</f>
        <v/>
      </c>
      <c r="C21167" t="n">
        <v>0</v>
      </c>
      <c r="D21167" t="inlineStr">
        <is>
          <t>Manthache; Collier du Valet Veinard; Alliance Gloursonne; Gant du Valet Veinard; Menoture; Couronne d'Allister; Cape Indescriptible; Palmes Trithons; Dofus Pourpre; Carapace Air majeur; Nomade; Remueur; Vigoureux majeur; Cascadeur majeur; Kramkram</t>
        </is>
      </c>
    </row>
    <row r="21168">
      <c r="A21168" t="inlineStr">
        <is>
          <t>Stuff 2</t>
        </is>
      </c>
      <c r="B21168">
        <f>HYPERLINK("https://www.dofusbook.net/fr/equipement/317878-stuff-2/objets", "link")</f>
        <v/>
      </c>
      <c r="C21168" t="n">
        <v>0</v>
      </c>
      <c r="D21168" t="inlineStr">
        <is>
          <t>Dagues de Srambad; Amulette de Pol Ouatnos; Anneau Chevelu; Bracelet du Piloztère; Ceinture de la Reine des Voleurs; Coiffe de la Reine des Voleurs; Voile d'encre; Pataugastrique; Dofus des Glaces; Dofus Pourpre; Vigoureux majeur; Nomade; Chanceux majeur; Remueur; Kramkram</t>
        </is>
      </c>
    </row>
    <row r="21169">
      <c r="A21169" t="inlineStr">
        <is>
          <t>Stuff 2</t>
        </is>
      </c>
      <c r="B21169">
        <f>HYPERLINK("https://www.dofusbook.net/fr/equipement/317833-stuff-2/objets", "link")</f>
        <v/>
      </c>
      <c r="C21169" t="n">
        <v>0</v>
      </c>
      <c r="D21169" t="inlineStr">
        <is>
          <t>Marteau des égarés; Amulette du Strigide; Anneau de Padgref; Alliance Gloursonne; Sangle Ouare; Le Dorado; Dofusteuse; Bottes du Strigide; Dolmanax; Dofus des Glaces; Dofus Turquoise; Dofus Pourpre; Vigoureux majeur; Remueur; Kramkram</t>
        </is>
      </c>
    </row>
    <row r="21170">
      <c r="A21170" t="inlineStr">
        <is>
          <t>Stuff 1</t>
        </is>
      </c>
      <c r="B21170">
        <f>HYPERLINK("https://www.dofusbook.net/fr/equipement/317873-stuff-1/objets", "link")</f>
        <v/>
      </c>
      <c r="C21170" t="n">
        <v>0</v>
      </c>
      <c r="D21170" t="inlineStr">
        <is>
          <t>Rapière aux Glyphes; Amulette du Sinistrofu; Alliance Gloursonne; Anneau Glacial; Ceinture Glaciale; Coiffe de Danathor; Cape Matelassée; Pantoufles du Piloztère; Dofus Pourpre; Chanceux majeur; Fonceur majeur; Nomade; Vigoureux majeur; Remueur; Muldo Ebène et Indigo</t>
        </is>
      </c>
    </row>
    <row r="21171">
      <c r="A21171" t="inlineStr">
        <is>
          <t>Stuff 3</t>
        </is>
      </c>
      <c r="B21171">
        <f>HYPERLINK("https://www.dofusbook.net/fr/equipement/317825-stuff-3/objets", "link")</f>
        <v/>
      </c>
      <c r="C21171" t="n">
        <v>0</v>
      </c>
      <c r="D21171" t="inlineStr">
        <is>
          <t>Arc Hétype; Pendentif affamé; Bague Gloursonne; Anneau de Nidas; Ceinture de Vortex; Couronne de Nidas; Voile d'encre; Bottes Innommables; Dofus Ocre; Carapace Neutre majeur; Remueur; Déserteur majeur; Érudit majeur; Temporiseur majeur; Muldo Ebène et Orchidée</t>
        </is>
      </c>
    </row>
    <row r="21172">
      <c r="A21172" t="inlineStr">
        <is>
          <t>Stuff 1</t>
        </is>
      </c>
      <c r="B21172">
        <f>HYPERLINK("https://www.dofusbook.net/fr/equipement/317868-stuff-1/objets", "link")</f>
        <v/>
      </c>
      <c r="C21172" t="n">
        <v>0</v>
      </c>
      <c r="D21172" t="inlineStr">
        <is>
          <t>Arc du Chalœil; Amulette Ementaire Deluxe; Anneau Crustique; Anneau Chevelu; Ceinture de l'Indicible; Masque de Koutoulou; Voile d'encre; Tentassons; Dofus Pourpre; Dolmanax; Vigoureux majeur; Enragé majeur; Remueur; Nomade; Kramkram</t>
        </is>
      </c>
    </row>
    <row r="21173">
      <c r="A21173" t="inlineStr">
        <is>
          <t>Stuff 2</t>
        </is>
      </c>
      <c r="B21173">
        <f>HYPERLINK("https://www.dofusbook.net/fr/equipement/317860-stuff-2/objets", "link")</f>
        <v/>
      </c>
      <c r="C21173" t="n">
        <v>0</v>
      </c>
      <c r="D21173" t="inlineStr">
        <is>
          <t>Bâton Beau; Amulette du Strigide; Bracelet du Piloztère; Alliance Gloursonne; Ceintacé; Masque du Katcheur; Voile d'encre; Bottes du Strigide; Dofus Pourpre; Dofus Turquoise; Nomade; Vigoureux majeur; Remueur; Fonceur majeur; Kramkram; Bouclier Pararayon</t>
        </is>
      </c>
    </row>
    <row r="21174">
      <c r="A21174" t="inlineStr">
        <is>
          <t>Stuff 3</t>
        </is>
      </c>
      <c r="B21174">
        <f>HYPERLINK("https://www.dofusbook.net/fr/equipement/317855-stuff-3/objets", "link")</f>
        <v/>
      </c>
      <c r="C21174" t="n">
        <v>2</v>
      </c>
      <c r="D21174" t="inlineStr">
        <is>
          <t>La Racine Hagogue; Ougamulette; Alliance Gloursonne; Anneau d'Allister; Bouclier à hélice; Ceinture de Nevark; Couronne d'Allister; Cape Matelassée; Pantoufles Émar; Dolmanax; Remueur; Carapace Eau majeur; Nomade; Dévastateur Air majeur; Cascadeur majeur; Muldo Orchidée et Pourpre</t>
        </is>
      </c>
    </row>
    <row r="21175">
      <c r="A21175" t="inlineStr">
        <is>
          <t>Stuff 1</t>
        </is>
      </c>
      <c r="B21175">
        <f>HYPERLINK("https://www.dofusbook.net/fr/equipement/317886-stuff-1/objets", "link")</f>
        <v/>
      </c>
      <c r="C21175" t="n">
        <v>1</v>
      </c>
      <c r="D21175" t="inlineStr">
        <is>
          <t>Hache du Chalœil; Amulette du Strigide; Alliance Gloursonne; Bracelet du Piloztère; Ceintacé; Le Dorado; Dofusteuse; Bottes du Strigide; Dofus Émeraude; Dolmanax; Dofus Turquoise; Dofus Pourpre; Nomade; Vigoureux majeur; Kramkram</t>
        </is>
      </c>
    </row>
    <row r="21176">
      <c r="A21176" t="inlineStr">
        <is>
          <t>Stuff 1</t>
        </is>
      </c>
      <c r="B21176">
        <f>HYPERLINK("https://www.dofusbook.net/fr/equipement/317845-stuff-1/objets", "link")</f>
        <v/>
      </c>
      <c r="C21176" t="n">
        <v>1</v>
      </c>
      <c r="D21176" t="inlineStr">
        <is>
          <t>Dagues Érhy; Amulette du Strigide; Anneau Chevelu; Bague Gloursonne; Ceinture du Strigide; Masque de Koutoulou; Cape au Logis; Baleinabottes; Dofus Pourpre; Dofus Turquoise; Enragé majeur; Vigoureux majeur; Nomade; Forcené majeur; Kompost</t>
        </is>
      </c>
    </row>
    <row r="21177">
      <c r="A21177" t="inlineStr">
        <is>
          <t>Stuff 1</t>
        </is>
      </c>
      <c r="B21177">
        <f>HYPERLINK("https://www.dofusbook.net/fr/equipement/317883-stuff-1/objets", "link")</f>
        <v/>
      </c>
      <c r="C21177" t="n">
        <v>0</v>
      </c>
      <c r="D21177" t="inlineStr">
        <is>
          <t>Dagues Ricol; Amulette Ementaire Deluxe; Alliance Gloursonne; Bague Gloursonne; Ceinture d'Ogivol; Chapeau Lisson; Voile d'encre; Pantoufles Émar; Dofus Turquoise; Dofus Pourpre; Nomade; Vigoureux majeur; Remueur; Puissant majeur; Kramkram</t>
        </is>
      </c>
    </row>
    <row r="21178">
      <c r="A21178" t="inlineStr">
        <is>
          <t>Stuff 1</t>
        </is>
      </c>
      <c r="B21178">
        <f>HYPERLINK("https://www.dofusbook.net/fr/equipement/317877-stuff-1/objets", "link")</f>
        <v/>
      </c>
      <c r="C21178" t="n">
        <v>0</v>
      </c>
      <c r="D21178" t="inlineStr">
        <is>
          <t>Manthache; Collier du Valet Veinard; Gant du Valet Veinard; Alliance Gloursonne; Menoture; Casque Dragoeuf; Cape Indescriptible; Palmes Trithons; Dofus Pourpre; Cascadeur majeur; Nomade; Vigoureux majeur; Carapace Neutre majeur; Remueur; Croum</t>
        </is>
      </c>
    </row>
    <row r="21179">
      <c r="A21179" t="inlineStr">
        <is>
          <t>Stuff 1</t>
        </is>
      </c>
      <c r="B21179">
        <f>HYPERLINK("https://www.dofusbook.net/fr/equipement/317832-stuff-1/objets", "link")</f>
        <v/>
      </c>
      <c r="C21179" t="n">
        <v>0</v>
      </c>
      <c r="D21179" t="inlineStr">
        <is>
          <t>Hache du Chalœil; Amulette Ementaire Deluxe; Anneau Chevelu; Alliance Gloursonne; Ceintacé; Casque du Chalœil; Voile d'encre; Bottes du Chalœil; Dofus des Glaces; Dofus Pourpre; Dofus Turquoise; Nomade; Vigoureux majeur; Remueur; Kramkram</t>
        </is>
      </c>
    </row>
    <row r="21180">
      <c r="A21180" t="inlineStr">
        <is>
          <t>Stuff 3</t>
        </is>
      </c>
      <c r="B21180">
        <f>HYPERLINK("https://www.dofusbook.net/fr/equipement/317872-stuff-3/objets", "link")</f>
        <v/>
      </c>
      <c r="C21180" t="n">
        <v>0</v>
      </c>
      <c r="D21180" t="inlineStr">
        <is>
          <t>Harpelle; Pendentif affamé; Anneau Tamie; Chevalière du Roi Joueur; Bouclier cubiste; Ceinture Séculaire; Coiffe Séculaire; Cape de Diondin; Bottes Innommables; Dofus Pourpre; Carapace Eau majeur; Carapace Neutre majeur; Astucieux majeur; Remueur; Érudit majeur; Muldo Indigo et Pourpre</t>
        </is>
      </c>
    </row>
    <row r="21181">
      <c r="A21181" t="inlineStr">
        <is>
          <t>Stuff 2</t>
        </is>
      </c>
      <c r="B21181">
        <f>HYPERLINK("https://www.dofusbook.net/fr/equipement/317824-stuff-2/objets", "link")</f>
        <v/>
      </c>
      <c r="C21181" t="n">
        <v>0</v>
      </c>
      <c r="D21181" t="inlineStr">
        <is>
          <t>Marteau R'ture; Amulette du Strigide; Anneau de Brouce; Bague Gloursonne; Ceinture du Strigide; Masque de Koutoulou; Cape au Logis; Bottes du Cycloïde; Dofus Pourpre; Dofus Turquoise; Enragé majeur; Remueur; Forcené majeur; Vigoureux majeur; Blokus</t>
        </is>
      </c>
    </row>
    <row r="21182">
      <c r="A21182" t="inlineStr">
        <is>
          <t>Stuff 3</t>
        </is>
      </c>
      <c r="B21182">
        <f>HYPERLINK("https://www.dofusbook.net/fr/equipement/317867-stuff-3/objets", "link")</f>
        <v/>
      </c>
      <c r="C21182" t="n">
        <v>2</v>
      </c>
      <c r="D21182" t="inlineStr">
        <is>
          <t>Sceptre du Roi Joueur; Amulette de Shokkoth; Alliance Gloursonne; Bracelet des Fonds marins; Ceinture du Barbétoal; Masque du Barbétoal; Cape Matelassée; Pataugastrique; Dofus Pourpre; Carapace Air majeur; Vigoureux majeur; Nomade; Chanceux majeur; Étourdisseur majeur; Croum</t>
        </is>
      </c>
    </row>
    <row r="21183">
      <c r="A21183" t="inlineStr">
        <is>
          <t>Stuff 2</t>
        </is>
      </c>
      <c r="B21183">
        <f>HYPERLINK("https://www.dofusbook.net/fr/equipement/317854-stuff-2/objets", "link")</f>
        <v/>
      </c>
      <c r="C21183" t="n">
        <v>1</v>
      </c>
      <c r="D21183" t="inlineStr">
        <is>
          <t>Rouleau à Pâtisserie d'Aermyne; Amulette de Nileza; Alliance Boletée; Kralano; Ceinture Rasboulaire du Rasboul; Casque Dragoeuf; Cape d'Aermyne; Bottes de Dremoan; Dofus Ocre; Carapace Feu majeur; Nomade; Miraculé majeur; Remueur; Déserteur majeur; Bontique</t>
        </is>
      </c>
    </row>
    <row r="21184">
      <c r="A21184" t="inlineStr">
        <is>
          <t>Stuff 1</t>
        </is>
      </c>
      <c r="B21184">
        <f>HYPERLINK("https://www.dofusbook.net/fr/equipement/317847-stuff-1/objets", "link")</f>
        <v/>
      </c>
      <c r="C21184" t="n">
        <v>1</v>
      </c>
      <c r="D21184" t="inlineStr">
        <is>
          <t>Marteau des égarés; Amulette du Strigide; Bracelet du Piloztère; Alliance Gloursonne; Quatre-feuilles; Ceinture du Strigide; Le Dorado; Voilamibe; Bottes du Strigide; Dofus Nébuleux; Dofus Ocre; Dofus des Glaces; Dofus Turquoise; Dolmanax; Dofus Pourpre; Kramkram</t>
        </is>
      </c>
    </row>
    <row r="21185">
      <c r="A21185" t="inlineStr">
        <is>
          <t>Stuff 2</t>
        </is>
      </c>
      <c r="B21185">
        <f>HYPERLINK("https://www.dofusbook.net/fr/equipement/317840-stuff-2/objets", "link")</f>
        <v/>
      </c>
      <c r="C21185" t="n">
        <v>0</v>
      </c>
      <c r="D21185" t="inlineStr">
        <is>
          <t>Manthache; Collier du Valet Veinard; Gant du Valet Veinard; Alliance Gloursonne; Menoture; Casque Dragoeuf; Cape Indescriptible; Palmes Trithons; Dofus Pourpre; Cascadeur majeur; Nomade; Vigoureux majeur; Carapace Neutre majeur; Remueur; Croum</t>
        </is>
      </c>
    </row>
    <row r="21186">
      <c r="A21186" t="inlineStr">
        <is>
          <t>Stuff 3</t>
        </is>
      </c>
      <c r="B21186">
        <f>HYPERLINK("https://www.dofusbook.net/fr/equipement/317879-stuff-3/objets", "link")</f>
        <v/>
      </c>
      <c r="C21186" t="n">
        <v>0</v>
      </c>
      <c r="D21186" t="inlineStr">
        <is>
          <t>Manthache; Collier du Valet Veinard; Alliance Gloursonne; Gant du Valet Veinard; Bouclier du Stalak; Menoture; Couronne d'Allister; Cape Matelassée; Palmes Trithons; Dofus Pourpre; Cascadeur majeur; Equilibriste majeur; Remueur; Vigoureux majeur; Nomade; Muldo Doré et Ebène</t>
        </is>
      </c>
    </row>
    <row r="21187">
      <c r="A21187" t="inlineStr">
        <is>
          <t>Stuff 3</t>
        </is>
      </c>
      <c r="B21187">
        <f>HYPERLINK("https://www.dofusbook.net/fr/equipement/317834-stuff-3/objets", "link")</f>
        <v/>
      </c>
      <c r="C21187" t="n">
        <v>0</v>
      </c>
      <c r="D21187" t="inlineStr">
        <is>
          <t>Dagues de Srambad; Amulette Ementaire Deluxe; Alliance Gloursonne; Anneau Crustique; Ceinture Luminescente; Le Dorado; Cape Luminescente; Pantoufles du Piloztère; Dolmanax; Dofus des Glaces; Dofus Pourpre; Vigoureux majeur; Remueur; Carapace Neutre majeur; Muldo Ebène et Pourpre</t>
        </is>
      </c>
    </row>
    <row r="21188">
      <c r="A21188" t="inlineStr">
        <is>
          <t>Stuff 2</t>
        </is>
      </c>
      <c r="B21188">
        <f>HYPERLINK("https://www.dofusbook.net/fr/equipement/317874-stuff-2/objets", "link")</f>
        <v/>
      </c>
      <c r="C21188" t="n">
        <v>0</v>
      </c>
      <c r="D21188" t="inlineStr">
        <is>
          <t>Hache du Guerrier Zoth; La Feuille de Printemps; Anneau de XLII; Gelano; Ceinture de XLII; Casque Dragoeuf; Caracape Minotoris; Getas Bernacle; Remueur; Miraculé majeur; Nomade; Observateur; Obstructeur majeur; Fonceur majeur; Homlett</t>
        </is>
      </c>
    </row>
    <row r="21189">
      <c r="A21189" t="inlineStr">
        <is>
          <t>Stuff 2</t>
        </is>
      </c>
      <c r="B21189">
        <f>HYPERLINK("https://www.dofusbook.net/fr/equipement/317869-stuff-2/objets", "link")</f>
        <v/>
      </c>
      <c r="C21189" t="n">
        <v>0</v>
      </c>
      <c r="D21189" t="inlineStr">
        <is>
          <t>Epée Kari; Amulette du Strigide; Bracelet du Piloztère; Alliance Gloursonne; Ceintacé; Coiffe Ranshi; Cape Reski; Bottes du Strigide; Dofus Pourpre; Dofus Turquoise; Remueur; Vigoureux majeur; Nomade; Puissant majeur; Muldo Doré</t>
        </is>
      </c>
    </row>
    <row r="21190">
      <c r="A21190" t="inlineStr">
        <is>
          <t>Stuff 3</t>
        </is>
      </c>
      <c r="B21190">
        <f>HYPERLINK("https://www.dofusbook.net/fr/equipement/317861-stuff-3/objets", "link")</f>
        <v/>
      </c>
      <c r="C21190" t="n">
        <v>0</v>
      </c>
      <c r="D21190" t="inlineStr">
        <is>
          <t>Dagues Érhy; Amulette du Strigide; Bracelet du Piloztère; Alliance Gloursonne; Ceinture du Strigide; Le Dorado; Voile d'encre; Bottes du Katcheur; Dofus Turquoise; Dofus Pourpre; Dofus des Glaces; Remueur; Vigoureux majeur; Nomade; Kramkram</t>
        </is>
      </c>
    </row>
    <row r="21191">
      <c r="A21191" t="inlineStr">
        <is>
          <t>Stuff 1</t>
        </is>
      </c>
      <c r="B21191">
        <f>HYPERLINK("https://www.dofusbook.net/fr/equipement/317856-stuff-1/objets", "link")</f>
        <v/>
      </c>
      <c r="C21191" t="n">
        <v>0</v>
      </c>
      <c r="D21191" t="inlineStr">
        <is>
          <t>Sceptre du Roi Joueur; Amulette de Shokkoth; Pikano; Alliance Gloursonne; Poulpagne; Casquipik; Cape Matelassée; Bottes de la Dame du Hasard; Déserteur majeur; Vigoureux majeur; Entraveur majeur; Chanceux majeur; Ralentisseur majeur; Temporiseur majeur; Muldo Indigo</t>
        </is>
      </c>
    </row>
    <row r="21192">
      <c r="A21192" t="inlineStr">
        <is>
          <t>Stuff 3</t>
        </is>
      </c>
      <c r="B21192">
        <f>HYPERLINK("https://www.dofusbook.net/fr/equipement/317849-stuff-3/objets", "link")</f>
        <v/>
      </c>
      <c r="C21192" t="n">
        <v>0</v>
      </c>
      <c r="D21192" t="inlineStr">
        <is>
          <t>Hache du Guerrier Zoth; Amulette du Strigide; Bague Gloursonne; Alliance Gloursonne; Ceinture du Strigide; Coiffe d'Ogivol; Voile d'encre; Bottes du Strigide; Dofus Turquoise; Dofus Ocre; Dofus des Glaces; Dofus Pourpre; Voyageur; Puissant majeur; Kramkram</t>
        </is>
      </c>
    </row>
    <row r="21193">
      <c r="A21193" t="inlineStr">
        <is>
          <t>Stuff 2</t>
        </is>
      </c>
      <c r="B21193">
        <f>HYPERLINK("https://www.dofusbook.net/fr/equipement/317887-stuff-2/objets", "link")</f>
        <v/>
      </c>
      <c r="C21193" t="n">
        <v>2</v>
      </c>
      <c r="D21193" t="inlineStr">
        <is>
          <t>Dague Adou; Amulette du Strigide; Alliance Gloursonne; Bracelet du Piloztère; Ceinture du Strigide; Némès de Tal Kasha; Chevelure de Tal Kasha; Bottes du Strigide; Dofus Ocre; Dofus Turquoise; Dofus Émeraude; Dofus Pourpre; Dofus Abyssal; Dofus Nébuleux; Muldo Prune et Indigo</t>
        </is>
      </c>
    </row>
    <row r="21194">
      <c r="A21194" t="inlineStr">
        <is>
          <t>Stuff 1</t>
        </is>
      </c>
      <c r="B21194">
        <f>HYPERLINK("https://www.dofusbook.net/fr/equipement/317842-stuff-1/objets", "link")</f>
        <v/>
      </c>
      <c r="C21194" t="n">
        <v>0</v>
      </c>
      <c r="D21194" t="inlineStr">
        <is>
          <t>Harpelle; Pendentif affamé; Anneau Rifique; Anneau Tique; Bivalve; Ceinture de Vortex; Casque Cyclopéen; Cape de Diondin; Bottes Innommables; Dofus Turquoise; Dofus Pourpre; Remueur; Érudit majeur; Astucieux majeur; Nomade; Muldo Doré et Pourpre</t>
        </is>
      </c>
    </row>
    <row r="21195">
      <c r="A21195" t="inlineStr">
        <is>
          <t>Stuff 2</t>
        </is>
      </c>
      <c r="B21195">
        <f>HYPERLINK("https://www.dofusbook.net/fr/equipement/317871-stuff-2/objets", "link")</f>
        <v/>
      </c>
      <c r="C21195" t="n">
        <v>0</v>
      </c>
      <c r="D21195" t="inlineStr">
        <is>
          <t>Dagues Érhy; Amulette du Strigide; Bracelet du Piloztère; Chevalière du Roi Joueur; Ceintacé; Chapeau de Gein; Voile d'encre; Bottes du Roi Joueur; Dofus Turquoise; Carapace Air majeur; Remueur; Déserteur majeur; Temporiseur majeur; Nomade; Croum</t>
        </is>
      </c>
    </row>
    <row r="21196">
      <c r="A21196" t="inlineStr">
        <is>
          <t>Stuff 2</t>
        </is>
      </c>
      <c r="B21196">
        <f>HYPERLINK("https://www.dofusbook.net/fr/equipement/317866-stuff-2/objets", "link")</f>
        <v/>
      </c>
      <c r="C21196" t="n">
        <v>0</v>
      </c>
      <c r="D21196" t="inlineStr">
        <is>
          <t>Manthache; Collier du Valet Veinard; Gant du Valet Veinard; Alliance Gloursonne; Menoture; Couronne d'Allister; Cape Matelassée; Sandales de Tal Kasha; Dofus Pourpre; Carapace Neutre majeur; Cascadeur majeur; Carapace Air majeur; Nomade; Étourdisseur majeur; Croum</t>
        </is>
      </c>
    </row>
    <row r="21197">
      <c r="A21197" t="inlineStr">
        <is>
          <t>Stuff 1</t>
        </is>
      </c>
      <c r="B21197">
        <f>HYPERLINK("https://www.dofusbook.net/fr/equipement/317823-stuff-1/objets", "link")</f>
        <v/>
      </c>
      <c r="C21197" t="n">
        <v>0</v>
      </c>
      <c r="D21197" t="inlineStr">
        <is>
          <t>Arc du Chalœil; Amulette du Strigide; Anneau Crustique; Bracelet du Piloztère; Cadran de Terre; Ceintacé; Le Dorado; Cape au Logis; Bottes du Strigide; Dofus Turquoise; Dofus Pourpre; Dofus Nébuleux; Vigoureux majeur; Forcené majeur; Enragé majeur; Kompost</t>
        </is>
      </c>
    </row>
    <row r="21198">
      <c r="A21198" t="inlineStr">
        <is>
          <t>Stuff 3</t>
        </is>
      </c>
      <c r="B21198">
        <f>HYPERLINK("https://www.dofusbook.net/fr/equipement/317858-stuff-3/objets", "link")</f>
        <v/>
      </c>
      <c r="C21198" t="n">
        <v>0</v>
      </c>
      <c r="D21198" t="inlineStr">
        <is>
          <t>Arc Hétype; Pendentif affamé; Anneau de Nidas; Anneau Tique; Ceinture de Vortex; Couronne de Nidas; Voile d'encre; Pantoufles Émar; Érudit majeur; Observateur; Temporiseur majeur; Remueur; Savant majeur; Carapace Neutre majeur; Muldo Orchidée et Amande</t>
        </is>
      </c>
    </row>
    <row r="21199">
      <c r="A21199" t="inlineStr">
        <is>
          <t>Stuff 1</t>
        </is>
      </c>
      <c r="B21199">
        <f>HYPERLINK("https://www.dofusbook.net/fr/equipement/317853-stuff-1/objets", "link")</f>
        <v/>
      </c>
      <c r="C21199" t="n">
        <v>0</v>
      </c>
      <c r="D21199" t="inlineStr">
        <is>
          <t>Pelle de la Cour Sombre; Amulette Voldelor; Gant du Valet Veinard; Alliance Gloursonne; Ceinture du Barbétoal; Couronne d'Allister; Cape du Valet Veinard; Baleinabottes; Dofus des Glaces; Carapace Neutre majeur; Carapace Feu majeur; Remueur; Cascadeur majeur; Nomade; Croum</t>
        </is>
      </c>
    </row>
    <row r="21200">
      <c r="A21200" t="inlineStr">
        <is>
          <t>Stuff 3</t>
        </is>
      </c>
      <c r="B21200">
        <f>HYPERLINK("https://www.dofusbook.net/fr/equipement/317846-stuff-3/objets", "link")</f>
        <v/>
      </c>
      <c r="C21200" t="n">
        <v>0</v>
      </c>
      <c r="D21200" t="inlineStr">
        <is>
          <t>Hache du Chalœil; Amulette du Strigide; Alliance Gloursonne; Bracelet du Piloztère; Ceintacé; Kidibonnet; Voile d'encre; Bottes du Strigide; Dolmanax; Dofus Pourpre; Dofus Turquoise; Vigoureux majeur; Puissant majeur; Nomade; Muldo Indigo et Pourpre</t>
        </is>
      </c>
    </row>
    <row r="21201">
      <c r="A21201" t="inlineStr">
        <is>
          <t>Stuff 1</t>
        </is>
      </c>
      <c r="B21201">
        <f>HYPERLINK("https://www.dofusbook.net/fr/equipement/317838-stuff-1/objets", "link")</f>
        <v/>
      </c>
      <c r="C21201" t="n">
        <v>0</v>
      </c>
      <c r="D21201" t="inlineStr">
        <is>
          <t>Manthache; Collier du Valet Veinard; Gant du Valet Veinard; Alliance Gloursonne; Menoture; Couronne d'Allister; Cape Indescriptible; Palmes Trithons; Dofus Pourpre; Remueur; Vigoureux majeur; Cascadeur majeur; Carapace Air majeur; Nomade; Kramkram</t>
        </is>
      </c>
    </row>
    <row r="21202">
      <c r="A21202" t="inlineStr">
        <is>
          <t>Stuff 2</t>
        </is>
      </c>
      <c r="B21202">
        <f>HYPERLINK("https://www.dofusbook.net/fr/equipement/317878-stuff-2/objets", "link")</f>
        <v/>
      </c>
      <c r="C21202" t="n">
        <v>0</v>
      </c>
      <c r="D21202" t="inlineStr">
        <is>
          <t>Dagues de Srambad; Amulette de Pol Ouatnos; Bracelet du Piloztère; Anneau Chevelu; Ceinture de la Reine des Voleurs; Coiffe de la Reine des Voleurs; Voile d'encre; Pataugastrique; Dofus des Glaces; Dofus Pourpre; Chanceux majeur; Remueur; Vigoureux majeur; Nomade; Kramkram</t>
        </is>
      </c>
    </row>
    <row r="21203">
      <c r="A21203" t="inlineStr">
        <is>
          <t>Stuff 1</t>
        </is>
      </c>
      <c r="B21203">
        <f>HYPERLINK("https://www.dofusbook.net/fr/equipement/317873-stuff-1/objets", "link")</f>
        <v/>
      </c>
      <c r="C21203" t="n">
        <v>0</v>
      </c>
      <c r="D21203" t="inlineStr">
        <is>
          <t>Rapière aux Glyphes; Amulette du Sinistrofu; Anneau Glacial; Alliance Gloursonne; Ceinture Glaciale; Coiffe de Danathor; Cape Matelassée; Pantoufles du Piloztère; Dofus Pourpre; Fonceur majeur; Nomade; Vigoureux majeur; Remueur; Chanceux majeur; Muldo Ebène et Indigo</t>
        </is>
      </c>
    </row>
    <row r="21204">
      <c r="A21204" t="inlineStr">
        <is>
          <t>Stuff 2</t>
        </is>
      </c>
      <c r="B21204">
        <f>HYPERLINK("https://www.dofusbook.net/fr/equipement/317833-stuff-2/objets", "link")</f>
        <v/>
      </c>
      <c r="C21204" t="n">
        <v>0</v>
      </c>
      <c r="D21204" t="inlineStr">
        <is>
          <t>Marteau des égarés; Amulette du Strigide; Anneau de Padgref; Alliance Gloursonne; Sangle Ouare; Le Dorado; Dofusteuse; Bottes du Strigide; Dolmanax; Dofus des Glaces; Dofus Turquoise; Dofus Pourpre; Vigoureux majeur; Remueur; Kramkram</t>
        </is>
      </c>
    </row>
    <row r="21205">
      <c r="A21205" t="inlineStr">
        <is>
          <t>Stuff 1</t>
        </is>
      </c>
      <c r="B21205">
        <f>HYPERLINK("https://www.dofusbook.net/fr/equipement/317868-stuff-1/objets", "link")</f>
        <v/>
      </c>
      <c r="C21205" t="n">
        <v>0</v>
      </c>
      <c r="D21205" t="inlineStr">
        <is>
          <t>Arc du Chalœil; Amulette Ementaire Deluxe; Anneau Crustique; Anneau Chevelu; Ceinture de l'Indicible; Masque de Koutoulou; Voile d'encre; Tentassons; Dofus Pourpre; Dolmanax; Vigoureux majeur; Enragé majeur; Remueur; Nomade; Kramkram</t>
        </is>
      </c>
    </row>
    <row r="21206">
      <c r="A21206" t="inlineStr">
        <is>
          <t>Stuff 3</t>
        </is>
      </c>
      <c r="B21206">
        <f>HYPERLINK("https://www.dofusbook.net/fr/equipement/317825-stuff-3/objets", "link")</f>
        <v/>
      </c>
      <c r="C21206" t="n">
        <v>0</v>
      </c>
      <c r="D21206" t="inlineStr">
        <is>
          <t>Arc Hétype; Pendentif affamé; Anneau de Nidas; Bague Gloursonne; Ceinture de Vortex; Couronne de Nidas; Voile d'encre; Bottes Innommables; Dofus Ocre; Temporiseur majeur; Carapace Neutre majeur; Remueur; Déserteur majeur; Érudit majeur; Muldo Ebène et Orchidée</t>
        </is>
      </c>
    </row>
    <row r="21207">
      <c r="A21207" t="inlineStr">
        <is>
          <t>Stuff 2</t>
        </is>
      </c>
      <c r="B21207">
        <f>HYPERLINK("https://www.dofusbook.net/fr/equipement/317860-stuff-2/objets", "link")</f>
        <v/>
      </c>
      <c r="C21207" t="n">
        <v>0</v>
      </c>
      <c r="D21207" t="inlineStr">
        <is>
          <t>Bâton Beau; Amulette du Strigide; Bracelet du Piloztère; Alliance Gloursonne; Ceintacé; Masque du Katcheur; Voile d'encre; Bottes du Strigide; Dofus Pourpre; Dofus Turquoise; Nomade; Vigoureux majeur; Remueur; Fonceur majeur; Kramkram; Bouclier Pararayon</t>
        </is>
      </c>
    </row>
    <row r="21208">
      <c r="A21208" t="inlineStr">
        <is>
          <t>Crâ M 200</t>
        </is>
      </c>
      <c r="B21208">
        <f>HYPERLINK("https://www.dofusbook.net/fr/equipement/5584190-cra-m-200/objets", "link")</f>
        <v/>
      </c>
      <c r="C21208" t="n">
        <v>0</v>
      </c>
      <c r="D21208" t="inlineStr">
        <is>
          <t>Baguette du Dragoeuf; Amulette de Frigostine; Gelano; Gant du Capitaine Ekarlatte; Bouclier d'Asse; Cacture; Solomonk; Capterre; Bottes Harry; Remueur; Érudit; Nomade; Observateur; Vigoureux; Examinateur; Chacha Angora</t>
        </is>
      </c>
    </row>
    <row r="21209">
      <c r="A21209" t="inlineStr">
        <is>
          <t>destin-coco-res</t>
        </is>
      </c>
      <c r="B21209">
        <f>HYPERLINK("https://www.dofusbook.net/fr/equipement/1288186-destin-coco-res/objets", "link")</f>
        <v/>
      </c>
      <c r="C21209" t="n">
        <v>0</v>
      </c>
      <c r="D21209" t="inlineStr">
        <is>
          <t>Dagues Ricol; Amulette du Strigide; Chevalière du Roi Joueur; Bracelet du Piloztère; Roncier; Ceinture du Strigide; Couronne du Roi Joueur; Voile d'encre; Bottes du Roi Joueur; Dofus Pourpre; Dofus Abyssal; Dofus des Glaces; Dofus Turquoise; Dolmanax; Dofus Ocre; Muldo Orchidée et Pourpre</t>
        </is>
      </c>
    </row>
    <row r="21210">
      <c r="A21210" t="inlineStr">
        <is>
          <t>do-crit</t>
        </is>
      </c>
      <c r="B21210">
        <f>HYPERLINK("https://www.dofusbook.net/fr/equipement/1528066-do-crit/objets", "link")</f>
        <v/>
      </c>
      <c r="C21210" t="n">
        <v>0</v>
      </c>
      <c r="D21210" t="inlineStr">
        <is>
          <t>Epée Maudite du Saigneur Guerrier; Amulette du Strigide; Bague Trithon; Anneau de Padgref; Bouclier du Captain Amakna; Ceinture du Strigide; Coiffe de Padgref; Voile d'encre; Getas de Padgref; Dofus Turquoise; Dofus des Glaces; Dofus Ocre; Dofus Pourpre; Dofus Abyssal; Muldo Prune et Emeraude</t>
        </is>
      </c>
    </row>
    <row r="21211">
      <c r="A21211" t="inlineStr">
        <is>
          <t>dopou</t>
        </is>
      </c>
      <c r="B21211">
        <f>HYPERLINK("https://www.dofusbook.net/fr/equipement/987236-dopou/objets", "link")</f>
        <v/>
      </c>
      <c r="C21211" t="n">
        <v>0</v>
      </c>
      <c r="D21211" t="inlineStr">
        <is>
          <t>Héqache; Amulette du Strigide; Anneau Chevelu; Bague Gloursonne; Bouclier Taverne; Ceinture du Strigide; Bonnet Ko; Voile d'encre; Bottes de la Cour Sombre; Dofus Turquoise; Dofus Ocre; Dofus Pourpre; Dofus Abyssal; Remueur; Nomade; Muldo Ebène et Pourpre</t>
        </is>
      </c>
    </row>
    <row r="21212">
      <c r="A21212" t="inlineStr">
        <is>
          <t>Bottes de Classe</t>
        </is>
      </c>
      <c r="B21212">
        <f>HYPERLINK("https://www.dofusbook.net/fr/equipement/5124468-bottes-de-classe/objets", "link")</f>
        <v/>
      </c>
      <c r="C21212" t="n">
        <v>4</v>
      </c>
      <c r="D21212" t="inlineStr">
        <is>
          <t>Arc Honte; Amulette Volkorne; Alliance Gloursonne; Alliance Brûlâme; Bouclier du Stalak; Ceinture Volkorne; Le Dorado; Voilamibe; Bottes Deuradi; Dofus des Glaces; Dofus Ocre; Dofus Pourpre; Robuste majeur; Vigoureux majeur; Sanguinaire majeur; Dragodinde Ebène et Ivoire</t>
        </is>
      </c>
    </row>
    <row r="21213">
      <c r="A21213" t="inlineStr">
        <is>
          <t>Cape de Classe</t>
        </is>
      </c>
      <c r="B21213">
        <f>HYPERLINK("https://www.dofusbook.net/fr/equipement/5124466-cape-de-classe/objets", "link")</f>
        <v/>
      </c>
      <c r="C21213" t="n">
        <v>1</v>
      </c>
      <c r="D21213" t="inlineStr">
        <is>
          <t>L'Épée Nice; Frimamulette; Bracelet du Piloztère; Anneau d'Allister; Quatre-feuilles; Sangle Oriole; Couronne d'Allister; Cape Hulco; Bottes du Strigide; Dofus Nébuleux; Dofus Pourpre; Dofus Turquoise; Dofus Ocre; Miraculé majeur; Remueur; Volkorne Prune et Emeraude</t>
        </is>
      </c>
    </row>
    <row r="21214">
      <c r="A21214" t="inlineStr">
        <is>
          <t>100Crit</t>
        </is>
      </c>
      <c r="B21214">
        <f>HYPERLINK("https://www.dofusbook.net/fr/equipement/5924382-100crit/objets", "link")</f>
        <v/>
      </c>
      <c r="C21214" t="n">
        <v>1</v>
      </c>
      <c r="D21214" t="inlineStr">
        <is>
          <t>Epée Maudite du Saigneur Guerrier; Amulette du Strigide; Anneau de Pol Ouatnos; Anneau de Padgref; Quatre-feuilles; Ceinture Instable; Coiffe de Padgref; Cape d'Anerice; Getas de Padgref; Dofus Pourpre; Dofus Turquoise; Dofus Ocre; Kokulte</t>
        </is>
      </c>
    </row>
    <row r="21215">
      <c r="A21215" t="inlineStr">
        <is>
          <t>Feu</t>
        </is>
      </c>
      <c r="B21215">
        <f>HYPERLINK("https://www.dofusbook.net/fr/equipement/5124252-feu/objets", "link")</f>
        <v/>
      </c>
      <c r="C21215" t="n">
        <v>2</v>
      </c>
      <c r="D21215" t="inlineStr">
        <is>
          <t>Massier; Amulette Volkorne; Anneauræus; Anneauræus; Bouclier du Stalak; Ceintrigue; Heaume Oplate; Cape de Diondin; Bottes Owesli; Dofus des Glaces; Astucieux majeur; Nomade; Saccageur Feu majeur; Érudit majeur; Dévastateur Feu majeur; Bisouglours</t>
        </is>
      </c>
    </row>
    <row r="21216">
      <c r="A21216" t="inlineStr">
        <is>
          <t>Feu/eau</t>
        </is>
      </c>
      <c r="B21216">
        <f>HYPERLINK("https://www.dofusbook.net/fr/equipement/5124284-feu-eau/objets", "link")</f>
        <v/>
      </c>
      <c r="C21216" t="n">
        <v>1</v>
      </c>
      <c r="D21216" t="inlineStr">
        <is>
          <t>Arc Nécrotique; Collier de la Dame du Hasard; Bracelet du Piloztère; Anneau Cryochrone; Quatre-feuilles; Ceintrigue; Kidibonnet; Cape de la Dame du Hasard; Bottes de la Dame du Hasard; Dolmanax; Dofus Pourpre; Dofus Turquoise; Dokoko; Dofus Émeraude; Insaisissable majeur; Muldo Prune et Emeraude</t>
        </is>
      </c>
    </row>
    <row r="21217">
      <c r="A21217" t="inlineStr">
        <is>
          <t>Feu/Air</t>
        </is>
      </c>
      <c r="B21217">
        <f>HYPERLINK("https://www.dofusbook.net/fr/equipement/5124298-feu-air/objets", "link")</f>
        <v/>
      </c>
      <c r="C21217" t="n">
        <v>1</v>
      </c>
      <c r="D21217" t="inlineStr">
        <is>
          <t>Sabres d'Atcham; Amulette du Strigide; Bracelet du Piloztère; Anneau de Padgref; Quatre-feuilles; Ceinture du Strigide; Coiffe de Padgref; Cape d'Atcham; Sandales  d'Atcham; Dofus Cawotte; Dofus Turquoise; Dofus Émeraude; Dofus Pourpre; Dolmanax; Dofus Ocre; Muldo Prune et Emeraude</t>
        </is>
      </c>
    </row>
    <row r="21218">
      <c r="A21218" t="inlineStr">
        <is>
          <t>Air/Eau</t>
        </is>
      </c>
      <c r="B21218">
        <f>HYPERLINK("https://www.dofusbook.net/fr/equipement/5416670-air-eau/objets", "link")</f>
        <v/>
      </c>
      <c r="C21218" t="n">
        <v>2</v>
      </c>
      <c r="D21218" t="inlineStr">
        <is>
          <t>Arc de Koutoulou; Amulette Voldelor; Bracelet du Piloztère; Anneau Volkorne; Quatre-feuilles; Ceinture Voldelor; Casque Volkorne; Cape de Kongoku; Bottes Voldelor; Dofus des Glaces; Dofus Émeraude; Dofus Turquoise; Dofus Pourpre; Dolmanax; Dofus Ocre; Phorror</t>
        </is>
      </c>
    </row>
    <row r="21219">
      <c r="A21219" t="inlineStr">
        <is>
          <t>Eau/Terre</t>
        </is>
      </c>
      <c r="B21219">
        <f>HYPERLINK("https://www.dofusbook.net/fr/equipement/5124293-eau-terre/objets", "link")</f>
        <v/>
      </c>
      <c r="C21219" t="n">
        <v>3</v>
      </c>
      <c r="D21219" t="inlineStr">
        <is>
          <t>Dagues de Srambad; Amulette du Strigide; Bracelet du Piloztère; Anneau Volkorne; Quatre-feuilles; Ceinture Volkorne; Le Dorado; Dofusteuse; Bottes Honyme; Dofus Turquoise; Dofus Nébuleux; Dofus Pourpre; Nomade; Chanceux majeur; Vigoureux majeur; Dragodinde Amande et Emeraude</t>
        </is>
      </c>
    </row>
    <row r="21220">
      <c r="A21220" t="inlineStr">
        <is>
          <t>Feu/Eau/Terre</t>
        </is>
      </c>
      <c r="B21220">
        <f>HYPERLINK("https://www.dofusbook.net/fr/equipement/5124441-feu-eau-terre/objets", "link")</f>
        <v/>
      </c>
      <c r="C21220" t="n">
        <v>2</v>
      </c>
      <c r="D21220" t="inlineStr">
        <is>
          <t>Arc du Chalœil; Amulette du Strigide; Anneau Volkorne; Bracelet du Piloztère; Quatre-feuilles; Ceinture Volkorne; Capuche de l'Œil Putride; Dofusteuse; Bottes du Roi Joueur; Dofus Turquoise; Dofus Ocre; Dofus Pourpre; Vigoureux majeur; Nomade; Remueur; Fëanor</t>
        </is>
      </c>
    </row>
    <row r="21221">
      <c r="A21221" t="inlineStr">
        <is>
          <t>Eau</t>
        </is>
      </c>
      <c r="B21221">
        <f>HYPERLINK("https://www.dofusbook.net/fr/equipement/5124245-eau/objets", "link")</f>
        <v/>
      </c>
      <c r="C21221" t="n">
        <v>1</v>
      </c>
      <c r="D21221" t="inlineStr">
        <is>
          <t>Arc Ontanporin; Amulette du Strigide; Bracelet du Piloztère; Anneau Toriété; Quatre-feuilles; Ceinture du Strigide; Némès de Tal Kasha; Chevelure de Tal Kasha; Sandales de Tal Kasha; Dofus Pourpre; Dofus des Glaces; Dofus Émeraude; Dofus Turquoise; Dolmanax; Dofus Ocre; Chaperlipopette</t>
        </is>
      </c>
    </row>
    <row r="21222">
      <c r="A21222" t="inlineStr">
        <is>
          <t>Terre</t>
        </is>
      </c>
      <c r="B21222">
        <f>HYPERLINK("https://www.dofusbook.net/fr/equipement/5124263-terre/objets", "link")</f>
        <v/>
      </c>
      <c r="C21222" t="n">
        <v>1</v>
      </c>
      <c r="D21222" t="inlineStr">
        <is>
          <t>Arc du Chalœil; Amulette du Cœur Saignant; Anneau de Brouce; Bracelet du Piloztère; Quatre-feuilles; Ceinture Volkorne; Masque du Katcheur; Dofusteuse; Bottes du Katcheur; Dofus Pourpre; Dofus Ocre; Enragé majeur; Remueur; Vigoureux majeur; Nomade; Chaperlipopette</t>
        </is>
      </c>
    </row>
    <row r="21223">
      <c r="A21223" t="inlineStr">
        <is>
          <t>Quadri</t>
        </is>
      </c>
      <c r="B21223">
        <f>HYPERLINK("https://www.dofusbook.net/fr/equipement/5124451-quadri/objets", "link")</f>
        <v/>
      </c>
      <c r="C21223" t="n">
        <v>2</v>
      </c>
      <c r="D21223" t="inlineStr">
        <is>
          <t>Pelle de Nidas; Amulette du Strigide; Bracelet du Piloztère; Bague Trithon; Quatre-feuilles; Pagne du Rykaon; Capuche de l'Œil Putride; Dofusteuse; Bottes Trithon; Dofus Turquoise; Dolmanax; Dofus Ocre; Dofus Pourpre; Remueur; Nomade; Volkorne Prune et Emeraude</t>
        </is>
      </c>
    </row>
    <row r="21224">
      <c r="A21224" t="inlineStr">
        <is>
          <t>Tyrannique</t>
        </is>
      </c>
      <c r="B21224">
        <f>HYPERLINK("https://www.dofusbook.net/fr/equipement/5124460-tyrannique/objets", "link")</f>
        <v/>
      </c>
      <c r="C21224" t="n">
        <v>1</v>
      </c>
      <c r="D21224" t="inlineStr">
        <is>
          <t>Arc Honte; Pendentif mignon de Koutoulou; Anneau Rifique; Grésilanneau; Bouclier du Stalak; Ceinture de Vortex; Casque Cyclopéen; Voilamibe; Sabots de Vortex; Dofus Pourpre; Dofus Ocre; Dolmanax; Dofus des Glaces; Saccageur Feu majeur; Robuste majeur; Blérodoudou</t>
        </is>
      </c>
    </row>
    <row r="21225">
      <c r="A21225" t="inlineStr">
        <is>
          <t>test</t>
        </is>
      </c>
      <c r="B21225">
        <f>HYPERLINK("https://www.dofusbook.net/fr/equipement/5494839-test/objets", "link")</f>
        <v/>
      </c>
      <c r="C21225" t="n">
        <v>0</v>
      </c>
      <c r="D21225" t="inlineStr">
        <is>
          <t>Baguette de Torkélonia; Amulette Volkorne; Bague Trithon; Anneau Volkorne; Quatre-feuilles; Ceinture Volkorne; Masque Trithon; Carapace de Torkélonia; Bottes Trithon; Dofus Émeraude; Dofus Ocre; Dofus des Glaces; Dofus Pourpre; Dolmanax; Dofus Turquoise; Dragodinde Emeraude et Ivoire</t>
        </is>
      </c>
    </row>
    <row r="21226">
      <c r="A21226" t="inlineStr">
        <is>
          <t>Terre/Air</t>
        </is>
      </c>
      <c r="B21226">
        <f>HYPERLINK("https://www.dofusbook.net/fr/equipement/5124308-terre-air/objets", "link")</f>
        <v/>
      </c>
      <c r="C21226" t="n">
        <v>3</v>
      </c>
      <c r="D21226" t="inlineStr">
        <is>
          <t>Baguette de Torkélonia; Amulette du Strigide; Bracelet du Piloztère; Anneau Vicieux; Quatre-feuilles; Ceinture du Strigide; Corne de Torkélonia; Carapace de Torkélonia; Bottes du Strigide; Dofus Pourpre; Dofus des Glaces; Dofus Émeraude; Dofus Turquoise; Dolmanax; Dofus Ocre; Bwak d'Eau</t>
        </is>
      </c>
    </row>
    <row r="21227">
      <c r="A21227" t="inlineStr">
        <is>
          <t>Air</t>
        </is>
      </c>
      <c r="B21227">
        <f>HYPERLINK("https://www.dofusbook.net/fr/equipement/5124247-air/objets", "link")</f>
        <v/>
      </c>
      <c r="C21227" t="n">
        <v>2</v>
      </c>
      <c r="D21227" t="inlineStr">
        <is>
          <t>Baguette Hernelle; Collier du Valet Veinard; Gant du Valet Veinard; Anneau de Padgref; Quatre-feuilles; Ceinture Séculaire; Coiffe de Padgref; Cape du Valet Veinard; Getas de Padgref; Dofus Émeraude; Dofus Ocre; Dofus Pourpre; Dofus des Glaces; Dofus Turquoise; Voyageur; Kramkram</t>
        </is>
      </c>
    </row>
    <row r="21228">
      <c r="A21228" t="inlineStr">
        <is>
          <t>embu</t>
        </is>
      </c>
      <c r="B21228">
        <f>HYPERLINK("https://www.dofusbook.net/fr/equipement/5398210-embu/objets", "link")</f>
        <v/>
      </c>
      <c r="C21228" t="n">
        <v>1</v>
      </c>
      <c r="D21228" t="inlineStr">
        <is>
          <t>Arc Volkorne; Amulette du Strigide; Anneau de Padgref; Bague Trithon; Quatre-feuilles; Ceinture du Strigide; Coiffe de Padgref; Cape au Logis; Getas de Padgref; Dofus Turquoise; Dofus des Glaces; Dolmanax; Dofus Ocre; Dofus Pourpre; Dofus Nébuleux; Kokulte</t>
        </is>
      </c>
    </row>
    <row r="21229">
      <c r="A21229" t="inlineStr">
        <is>
          <t>Ceinture de Classe</t>
        </is>
      </c>
      <c r="B21229">
        <f>HYPERLINK("https://www.dofusbook.net/fr/equipement/5124462-ceinture-de-classe/objets", "link")</f>
        <v/>
      </c>
      <c r="C21229" t="n">
        <v>3</v>
      </c>
      <c r="D21229" t="inlineStr">
        <is>
          <t>Sabres d'Atcham; Amulette d'Ilyzaelle; Anneau Tique; Bracelet du Piloztère; Bouclier d'Ilyzaelle; Sangle Cible; Casque d'Ilyzaelle; Cape d'Atcham; Sandales  d'Atcham; Dofus Émeraude; Dofus Ivoire; Dofus Ocre; Dofus Pourpre; Dofus Ébène; Paralyseur majeur; Muldo Turquoise et Ivoire</t>
        </is>
      </c>
    </row>
    <row r="21230">
      <c r="A21230" t="inlineStr">
        <is>
          <t>Feu/Terre</t>
        </is>
      </c>
      <c r="B21230">
        <f>HYPERLINK("https://www.dofusbook.net/fr/equipement/5124287-feu-terre/objets", "link")</f>
        <v/>
      </c>
      <c r="C21230" t="n">
        <v>3</v>
      </c>
      <c r="D21230" t="inlineStr">
        <is>
          <t>Marteau de Katrepat; Amulette Volkorne; Anneau Volkorne; Chevalière du Roi Joueur; Quatre-feuilles; Ceinture Volkorne; Heaume Oplate; Voile d'encre; Bottes du Cycloïde; Dofus Turquoise; Dofus Ébène; Dofus Pourpre; Dofus Ivoire; Dofus Ocre; Dofus des Glaces; Bwak de Terre</t>
        </is>
      </c>
    </row>
    <row r="21231">
      <c r="A21231" t="inlineStr">
        <is>
          <t>Test conc-assai-fulm</t>
        </is>
      </c>
      <c r="B21231">
        <f>HYPERLINK("https://www.dofusbook.net/fr/equipement/5131321-test-conc-assai-fulm/objets", "link")</f>
        <v/>
      </c>
      <c r="C21231" t="n">
        <v>2</v>
      </c>
      <c r="D21231" t="inlineStr">
        <is>
          <t>Arc Volkorne; Amulette Volkorne; Alliance Gloursonne; Bracelet du Piloztère; Quatre-feuilles; Ceinture Volkorne; Dorabysses; Dofusteuse; Bottes du Chalœil; Dofus des Glaces; Dofus Ocre; Dofus Pourpre; Vigoureux majeur; Nomade; Remueur; Volkorne Prune et Emeraude</t>
        </is>
      </c>
    </row>
    <row r="21232">
      <c r="A21232" t="inlineStr">
        <is>
          <t>Anneau de Classe</t>
        </is>
      </c>
      <c r="B21232">
        <f>HYPERLINK("https://www.dofusbook.net/fr/equipement/5124464-anneau-de-classe/objets", "link")</f>
        <v/>
      </c>
      <c r="C21232" t="n">
        <v>1</v>
      </c>
      <c r="D21232" t="inlineStr"/>
    </row>
    <row r="21233">
      <c r="A21233" t="inlineStr">
        <is>
          <t>Ret PM</t>
        </is>
      </c>
      <c r="B21233">
        <f>HYPERLINK("https://www.dofusbook.net/fr/equipement/5124457-ret-pm/objets", "link")</f>
        <v/>
      </c>
      <c r="C21233" t="n">
        <v>1</v>
      </c>
      <c r="D21233" t="inlineStr"/>
    </row>
    <row r="21234">
      <c r="A21234" t="inlineStr">
        <is>
          <t>Ret PA</t>
        </is>
      </c>
      <c r="B21234">
        <f>HYPERLINK("https://www.dofusbook.net/fr/equipement/5124454-ret-pa-/objets", "link")</f>
        <v/>
      </c>
      <c r="C21234" t="n">
        <v>2</v>
      </c>
      <c r="D21234" t="inlineStr"/>
    </row>
    <row r="21235">
      <c r="A21235" t="inlineStr">
        <is>
          <t>Eau/Air/Terre</t>
        </is>
      </c>
      <c r="B21235">
        <f>HYPERLINK("https://www.dofusbook.net/fr/equipement/5124449-eau-air-terre/objets", "link")</f>
        <v/>
      </c>
      <c r="C21235" t="n">
        <v>1</v>
      </c>
      <c r="D21235" t="inlineStr"/>
    </row>
    <row r="21236">
      <c r="A21236" t="inlineStr">
        <is>
          <t>Feu/Terre/Air</t>
        </is>
      </c>
      <c r="B21236">
        <f>HYPERLINK("https://www.dofusbook.net/fr/equipement/5124446-feu-terre-air/objets", "link")</f>
        <v/>
      </c>
      <c r="C21236" t="n">
        <v>1</v>
      </c>
      <c r="D21236" t="inlineStr"/>
    </row>
    <row r="21237">
      <c r="A21237" t="inlineStr">
        <is>
          <t>Feu/Eau/Air</t>
        </is>
      </c>
      <c r="B21237">
        <f>HYPERLINK("https://www.dofusbook.net/fr/equipement/5124444-feu-eau-air/objets", "link")</f>
        <v/>
      </c>
      <c r="C21237" t="n">
        <v>1</v>
      </c>
      <c r="D21237" t="inlineStr"/>
    </row>
    <row r="21238">
      <c r="A21238" t="inlineStr">
        <is>
          <t>feu/terre/soin</t>
        </is>
      </c>
      <c r="B21238">
        <f>HYPERLINK("https://www.dofusbook.net/fr/equipement/5100974-feu-terre-soin/objets", "link")</f>
        <v/>
      </c>
      <c r="C21238" t="n">
        <v>1</v>
      </c>
      <c r="D21238" t="inlineStr">
        <is>
          <t>Arc Hétype; Amulette Volkorne; Anneau Volkorne; Chevalière du Roi Joueur; Quatre-feuilles; Ceinture Volkorne; Couronne du Roi Joueur; Voile d'encre; Bottes du Roi Joueur; Dofus Pourpre; Dofus des Glaces; Dofus Turquoise; Dolmanax; Dofus Ocre; Furibond majeur; Dragodinde Ivoire et Pourpre</t>
        </is>
      </c>
    </row>
    <row r="21239">
      <c r="A21239" t="inlineStr">
        <is>
          <t>test multi 12/6</t>
        </is>
      </c>
      <c r="B21239">
        <f>HYPERLINK("https://www.dofusbook.net/fr/equipement/5003521-test-multi-12-6/objets", "link")</f>
        <v/>
      </c>
      <c r="C21239" t="n">
        <v>1</v>
      </c>
      <c r="D21239" t="inlineStr">
        <is>
          <t>Sabres d'Atcham; Amulette Volkorne; Anneau Volkorne; Anneau en Grithril; Ceinture en Grithril; Casque en Grithril; Cape d'Atcham; Sandales  d'Atcham</t>
        </is>
      </c>
    </row>
    <row r="21240">
      <c r="A21240" t="inlineStr">
        <is>
          <t>volkorne</t>
        </is>
      </c>
      <c r="B21240">
        <f>HYPERLINK("https://www.dofusbook.net/fr/equipement/4982680-volkorne/objets", "link")</f>
        <v/>
      </c>
      <c r="C21240" t="n">
        <v>1</v>
      </c>
      <c r="D21240" t="inlineStr">
        <is>
          <t>Arc Volkorne; Amulette Volkorne; Anneau de Padgref; Anneau Volkorne; Quatre-feuilles; Ceinture Volkorne; Coiffe de Padgref; Cape des Justiciers; Getas de Padgref; Dofus Ocre; Dofus Pourpre; Dofus des Glaces; Dolmanax; Dofus Turquoise; Dofus Émeraude; Kramkram</t>
        </is>
      </c>
    </row>
    <row r="21241">
      <c r="A21241" t="inlineStr">
        <is>
          <t>le stuff multi</t>
        </is>
      </c>
      <c r="B21241">
        <f>HYPERLINK("https://www.dofusbook.net/fr/equipement/4780969-le-stuff-multi-/objets", "link")</f>
        <v/>
      </c>
      <c r="C21241" t="n">
        <v>3</v>
      </c>
      <c r="D21241" t="inlineStr">
        <is>
          <t>Arc Volkorne; Amulette Ementaire Deluxe; Bracelet du Piloztère; Anneau Volkorne; Quatre-feuilles; Ceinture du Strigide; Casque Volkorne; Dofusteuse; Bottes du Strigide; Dofus Turquoise; Dofus des Glaces; Dofus Nébuleux; Dofus Pourpre; Dofus Ébène; Robuste majeur; Kougnard Albâtre</t>
        </is>
      </c>
    </row>
    <row r="21242">
      <c r="A21242" t="inlineStr">
        <is>
          <t>test iop terre</t>
        </is>
      </c>
      <c r="B21242">
        <f>HYPERLINK("https://www.dofusbook.net/fr/equipement/4775121-test-iop-terre/objets", "link")</f>
        <v/>
      </c>
      <c r="C21242" t="n">
        <v>0</v>
      </c>
      <c r="D21242" t="inlineStr">
        <is>
          <t>Marteau R'ture; Collier de Tourthon; Anneau Crustique; Anneau de Brouce; Bouclier du Captain Amakna; Ceinture Gence; Masque de Koutoulou; Cape au Logis; Bottes de Brouce; Dofus Pourpre; Dofus des Glaces; Dofus Turquoise; Dofus Nébuleux; Dofus Ébène; Dofus Vulbis; Kompost</t>
        </is>
      </c>
    </row>
    <row r="21243">
      <c r="A21243" t="inlineStr">
        <is>
          <t>test cra terre</t>
        </is>
      </c>
      <c r="B21243">
        <f>HYPERLINK("https://www.dofusbook.net/fr/equipement/4775132-test-cra-terre/objets", "link")</f>
        <v/>
      </c>
      <c r="C21243" t="n">
        <v>0</v>
      </c>
      <c r="D21243" t="inlineStr">
        <is>
          <t>Marteau R'ture; Collier de Tourthon; Anneau de Brouce; Anneau Crustique; Bouclier du Stalak; Ceinture Gence; Masque de Koutoulou; Cape au Logis; Bottes de Brouce; Dofus Nébuleux; Dofus Ocre; Dofus Pourpre; Dofus des Glaces; Dofus Turquoise; Kompost</t>
        </is>
      </c>
    </row>
    <row r="21244">
      <c r="A21244" t="inlineStr">
        <is>
          <t>test</t>
        </is>
      </c>
      <c r="B21244">
        <f>HYPERLINK("https://www.dofusbook.net/fr/equipement/4775039-test/objets", "link")</f>
        <v/>
      </c>
      <c r="C21244" t="n">
        <v>0</v>
      </c>
      <c r="D21244" t="inlineStr">
        <is>
          <t>Marteau R'ture; Collier de Tourthon; Anneau Crustique; Anneau de Brouce; Bouclier du Captain Amakna; Ceinture Gence; Masque de Koutoulou; Cape au Logis; Bottes de Brouce; Dofus Pourpre; Dofus des Glaces; Dofus Turquoise; Dofus Nébuleux; Dofus Ocre; Kompost</t>
        </is>
      </c>
    </row>
    <row r="21245">
      <c r="A21245" t="inlineStr">
        <is>
          <t>Stuff 1</t>
        </is>
      </c>
      <c r="B21245">
        <f>HYPERLINK("https://www.dofusbook.net/fr/equipement/2768489-stuff-1/objets", "link")</f>
        <v/>
      </c>
      <c r="C21245" t="n">
        <v>0</v>
      </c>
      <c r="D21245" t="inlineStr">
        <is>
          <t>Bâton Beau; Amulette du Strigide; Bracelet du Piloztère; Anneau de Padgref; Bouclier du Captain Amakna; Ceintacé; Coiffe de Padgref; Chevelure de Tal Kasha; Bottes du Strigide; Dofus Turquoise; Dolmanax; Dofus des Glaces; Dofus Ocre; Dofus Pourpre; Muldo Prune et Emeraude</t>
        </is>
      </c>
    </row>
    <row r="21246">
      <c r="A21246" t="inlineStr">
        <is>
          <t>Stuff 2</t>
        </is>
      </c>
      <c r="B21246">
        <f>HYPERLINK("https://www.dofusbook.net/fr/equipement/2588561-stuff-2/objets", "link")</f>
        <v/>
      </c>
      <c r="C21246" t="n">
        <v>0</v>
      </c>
      <c r="D21246" t="inlineStr">
        <is>
          <t>Hache du Chalœil; Amulette du Strigide; Bracelet du Piloztère; Alliance Gloursonne; Bouclier d'Anerice; Ceintacé; Masque d'Anerice; Voile d'encre; Bottes du Chalœil; Dofus Émeraude; Dofus Turquoise; Dofus des Glaces; Dolmanax; Nomade; Remueur; Kramkram</t>
        </is>
      </c>
    </row>
    <row r="21247">
      <c r="A21247" t="inlineStr">
        <is>
          <t>Stuff 1</t>
        </is>
      </c>
      <c r="B21247">
        <f>HYPERLINK("https://www.dofusbook.net/fr/equipement/2529712-stuff-1/objets", "link")</f>
        <v/>
      </c>
      <c r="C21247" t="n">
        <v>0</v>
      </c>
      <c r="D21247" t="inlineStr">
        <is>
          <t>Sabres d'Atcham; Amulette du Strigide; Anneau de Padgref; Alliance Gloursonne; Bouclier du Captain Amakna; Ceinture du Strigide; Coiffe de Padgref; Cape d'Atcham; Bottes du Strigide; Dofus des Glaces; Dofus Ocre; Dofus Pourpre; Dofus Turquoise; Dolmanax; Phorror</t>
        </is>
      </c>
    </row>
    <row r="21248">
      <c r="A21248" t="inlineStr">
        <is>
          <t>Stuff 3</t>
        </is>
      </c>
      <c r="B21248">
        <f>HYPERLINK("https://www.dofusbook.net/fr/equipement/232794-stuff-3/objets", "link")</f>
        <v/>
      </c>
      <c r="C21248" t="n">
        <v>0</v>
      </c>
      <c r="D21248" t="inlineStr">
        <is>
          <t>Lance corrompue; Bague Trithon; Alliance Gloursonne; Bivalve; Ceintacé; Masque de Koutoulou; Cape du Cœur Vaillant; Bottes du Cœur Vaillant; Dofus Pourpre; Dofus des Glaces; Dolmanax; Culbuteur majeur; Nomade; Kramkram</t>
        </is>
      </c>
    </row>
    <row r="21249">
      <c r="A21249" t="inlineStr">
        <is>
          <t>Stuff 2</t>
        </is>
      </c>
      <c r="B21249">
        <f>HYPERLINK("https://www.dofusbook.net/fr/equipement/232793-stuff-2/objets", "link")</f>
        <v/>
      </c>
      <c r="C21249" t="n">
        <v>0</v>
      </c>
      <c r="D21249" t="inlineStr">
        <is>
          <t>Sabres d'Atcham; Amulette du Strigide; Alliance Gloursonne; Bracelet du Piloztère; Quatre-feuilles; Ceintacé; Casque du Chalœil; Voile d'encre; Bottes du Strigide; Dofus des Glaces; Dolmanax; Dofus Turquoise; Dofus Pourpre; Remueur; Nomade; Kramkram</t>
        </is>
      </c>
    </row>
    <row r="21250">
      <c r="A21250" t="inlineStr">
        <is>
          <t>Stuff 1</t>
        </is>
      </c>
      <c r="B21250">
        <f>HYPERLINK("https://www.dofusbook.net/fr/equipement/232792-stuff-1/objets", "link")</f>
        <v/>
      </c>
      <c r="C21250" t="n">
        <v>0</v>
      </c>
      <c r="D21250" t="inlineStr">
        <is>
          <t>Lance corrompue; Amulette du Strigide; Bague Trithon; Alliance Gloursonne; Bouclier précieux; Menoture; Masque de Koutoulou; Cape du Cœur Vaillant; Bottes du Cœur Vaillant; Dofus Pourpre; Dofus des Glaces; Dolmanax; Nomade; Pousseur majeur; Culbuteur majeur; Kramkram</t>
        </is>
      </c>
    </row>
    <row r="21251">
      <c r="A21251" t="inlineStr">
        <is>
          <t>air 12/6</t>
        </is>
      </c>
      <c r="B21251">
        <f>HYPERLINK("https://www.dofusbook.net/fr/equipement/3237897-air-12-6/objets", "link")</f>
        <v/>
      </c>
      <c r="C21251" t="n">
        <v>1</v>
      </c>
      <c r="D21251" t="inlineStr">
        <is>
          <t>Collier du Valet Veinard; Anneau d'Allister; Gant du Valet Veinard; Bouclier du Stalak; Sangle Oriole; Couronne d'Allister; Cape du Valet Veinard; Bottes d'Allister; Dofus Vulbis; Dofus Ocre; Dofus Pourpre; Dofus des Glaces; Dofus Ébène; Equilibriste majeur; Blérodoudou</t>
        </is>
      </c>
    </row>
    <row r="21252">
      <c r="A21252" t="inlineStr">
        <is>
          <t>pvp 3v3</t>
        </is>
      </c>
      <c r="B21252">
        <f>HYPERLINK("https://www.dofusbook.net/fr/equipement/6018997-pvp-3v3/objets", "link")</f>
        <v/>
      </c>
      <c r="C21252" t="n">
        <v>0</v>
      </c>
      <c r="D21252" t="inlineStr">
        <is>
          <t>Plume de Buhorado; Collier du Valet Veinard; Alliance Gloursonne; Gant du Valet Veinard; Bouclier du Stalak; Menoture; Dorabysses; Cape Martegel; Palmes Trithons; Dofus Pourpre; Dofus Ivoire; Dofus Ocre; Dofus Ébène; Dofus Vulbis; Dofus Abyssal; Blérodoudou</t>
        </is>
      </c>
    </row>
    <row r="21253">
      <c r="A21253" t="inlineStr">
        <is>
          <t>air pvp 1v1</t>
        </is>
      </c>
      <c r="B21253">
        <f>HYPERLINK("https://www.dofusbook.net/fr/equipement/2900123-air-pvp-1v1/objets", "link")</f>
        <v/>
      </c>
      <c r="C21253" t="n">
        <v>2</v>
      </c>
      <c r="D21253" t="inlineStr">
        <is>
          <t>Pelle de la Cour Sombre; Collier du Valet Veinard; Alliance Gloursonne; Gant du Valet Veinard; Cadran d'Air; Ceinture du Barbétoal; Dorabysses; Baleinabottes; Dofus Ivoire; Dofus Ocre; Dofus Abyssal; Dokoko; Cascadeur majeur; Nomade; Kramkram</t>
        </is>
      </c>
    </row>
    <row r="21254">
      <c r="A21254" t="inlineStr">
        <is>
          <t>terre</t>
        </is>
      </c>
      <c r="B21254">
        <f>HYPERLINK("https://www.dofusbook.net/fr/equipement/5466174-terre-/objets", "link")</f>
        <v/>
      </c>
      <c r="C21254" t="n">
        <v>0</v>
      </c>
      <c r="D21254" t="inlineStr">
        <is>
          <t>Baguette de Torkélonia; Amulette du Cœur Saignant; Alliance Brûlâme; Anneau Volkorne; Quatre-feuilles; Ceinture Volkorne; Corne de Torkélonia; Cape du Cœur Saignant; Bottes du Cœur Saignant; Dofus Ébène; Dofus Ocre; Dofus des Glaces; Dofus Pourpre; Dofus Vulbis; Dofus Turquoise; Pioute vert</t>
        </is>
      </c>
    </row>
    <row r="21255">
      <c r="A21255" t="inlineStr">
        <is>
          <t>teste feu</t>
        </is>
      </c>
      <c r="B21255">
        <f>HYPERLINK("https://www.dofusbook.net/fr/equipement/5891381-teste-feu/objets", "link")</f>
        <v/>
      </c>
      <c r="C21255" t="n">
        <v>0</v>
      </c>
      <c r="D21255" t="inlineStr">
        <is>
          <t>Arc corrompu; Amulette Volkorne; Anneauræus; Anneau Volkorne; Bouclier du Stalak; Croture; Heaume Oplate; Cape de Jahash Jurgen; Pataugastrique; Dofus Ébène; Dofus Pourpre; Dofus des Glaces; Dofus Vulbis; Érudit majeur; Astucieux majeur; Bisouglours</t>
        </is>
      </c>
    </row>
    <row r="21256">
      <c r="A21256" t="inlineStr">
        <is>
          <t>Sram terre</t>
        </is>
      </c>
      <c r="B21256">
        <f>HYPERLINK("https://www.dofusbook.net/fr/equipement/5861985-sram-terre/objets", "link")</f>
        <v/>
      </c>
      <c r="C21256" t="n">
        <v>0</v>
      </c>
      <c r="D21256" t="inlineStr">
        <is>
          <t>Arc du Chalœil; Amulette du Cœur Saignant; Anneau du Comte Harebourg; Anneau de Brouce; Quatre-feuilles; Ceinture de Brouce; Coiffe du Comte Harebourg; Cape du Cœur Saignant; Bottes de Brouce; Dofus des Glaces; Dofus Turquoise; Dofus Pourpre; Dofus Vulbis; Dofus Ocre; Forcené majeur; Volkorne Pourpre</t>
        </is>
      </c>
    </row>
    <row r="21257">
      <c r="A21257" t="inlineStr">
        <is>
          <t>chance/agi fami cc</t>
        </is>
      </c>
      <c r="B21257">
        <f>HYPERLINK("https://www.dofusbook.net/fr/equipement/3817798-chance-agi-fami-cc/objets", "link")</f>
        <v/>
      </c>
      <c r="C21257" t="n">
        <v>3</v>
      </c>
      <c r="D21257" t="inlineStr">
        <is>
          <t>Arc de Koutoulou; Amulette du Strigide; Bracelet du Piloztère; Alliance Gloursonne; Quatre-feuilles; Ceinture du Strigide; Némès de Tal Kasha; Chevelure de Tal Kasha; Sandales de Tal Kasha; Dofus Turquoise; Dofus Pourpre; Dofus Ocre; Dofus des Glaces; Dofus Vulbis; Dofus Ébène; Kokulte</t>
        </is>
      </c>
    </row>
    <row r="21258">
      <c r="A21258" t="inlineStr">
        <is>
          <t>eau/air cc songe</t>
        </is>
      </c>
      <c r="B21258">
        <f>HYPERLINK("https://www.dofusbook.net/fr/equipement/5213850-eau-air-cc-songe/objets", "link")</f>
        <v/>
      </c>
      <c r="C21258" t="n">
        <v>0</v>
      </c>
      <c r="D21258" t="inlineStr">
        <is>
          <t>Hache du Korriandre; Amulette du Strigide; Anneau Volkorne; Bracelet du Piloztère; Bouclier du Captain Amakna; Ceinture du Strigide; Némès de Tal Kasha; Chevelure de Tal Kasha; Sandales de Tal Kasha; Dofus Ébène; Dofus Abyssal; Dofus Vulbis; Dofus Turquoise; Dofus Pourpre; Dofus Ocre; Kokulte</t>
        </is>
      </c>
    </row>
    <row r="21259">
      <c r="A21259" t="inlineStr">
        <is>
          <t>Multi teste</t>
        </is>
      </c>
      <c r="B21259">
        <f>HYPERLINK("https://www.dofusbook.net/fr/equipement/4879267-multi-teste/objets", "link")</f>
        <v/>
      </c>
      <c r="C21259" t="n">
        <v>6</v>
      </c>
      <c r="D21259" t="inlineStr">
        <is>
          <t>Arc Nécrotique; Collier de la Dame du Hasard; Bague Trithon; Anneau Volkorne; Quatre-feuilles; Ceinture Volkorne; Masque Trithon; Cape de la Dame du Hasard; Bottes de la Dame du Hasard; Dolmanax; Dofus Ocre; Dofus Pourpre; Dofus Vulbis; Dofus Turquoise; Dofus Ébène; Kokulte</t>
        </is>
      </c>
    </row>
    <row r="21260">
      <c r="A21260" t="inlineStr">
        <is>
          <t>eau feu du pauvre</t>
        </is>
      </c>
      <c r="B21260">
        <f>HYPERLINK("https://www.dofusbook.net/fr/equipement/5802862-eau-feu-du-pauvre/objets", "link")</f>
        <v/>
      </c>
      <c r="C21260" t="n">
        <v>1</v>
      </c>
      <c r="D21260" t="inlineStr">
        <is>
          <t>Arc Nécrotique; Collier de la Dame du Hasard; Bracelet du Piloztère; Anneau Cryochrone; Quatre-feuilles; Ceintrigue; Le Dorado; Cape de Meno; Bottes de la Dame du Hasard; Dofus Pourpre; Dofus Turquoise; Érudit majeur; Remueur; Nomade; Chanceux majeur; Kokulte</t>
        </is>
      </c>
    </row>
    <row r="21261">
      <c r="A21261" t="inlineStr">
        <is>
          <t>eni</t>
        </is>
      </c>
      <c r="B21261">
        <f>HYPERLINK("https://www.dofusbook.net/fr/equipement/5663605-eni-/objets", "link")</f>
        <v/>
      </c>
      <c r="C21261" t="n">
        <v>1</v>
      </c>
      <c r="D21261" t="inlineStr">
        <is>
          <t>Arc corrompu; Pendentif affamé; Anneauræus; Anneauræus; Bouclier du Cycloïde; Ceinture Séculaire; Coiffe Séculaire; Cape de Diondin; Bottes Innommables; Dofus Ocre; Dofus Vulbis; Dofus Pourpre; Dofus Ébène; Érudit majeur; Astucieux majeur; Bisouglours</t>
        </is>
      </c>
    </row>
    <row r="21262">
      <c r="A21262" t="inlineStr">
        <is>
          <t>air ultra opti</t>
        </is>
      </c>
      <c r="B21262">
        <f>HYPERLINK("https://www.dofusbook.net/fr/equipement/4746700-air-ultra-opti/objets", "link")</f>
        <v/>
      </c>
      <c r="C21262" t="n">
        <v>2</v>
      </c>
      <c r="D21262" t="inlineStr">
        <is>
          <t>Plume de Buhorado; Collier du Valet Veinard; Alliance Gloursonne; Gant du Valet Veinard; Bouclier du Stalak; Menoture; Couronne d'Allister; Cape de Jahash Jurgen; Palmes Trithons; Dofus Ocre; Dofus Ébène; Dofus des Glaces; Dofus Pourpre; Cascadeur majeur; Equilibriste majeur; Blérodoudou</t>
        </is>
      </c>
    </row>
    <row r="21263">
      <c r="A21263" t="inlineStr">
        <is>
          <t>vulbis</t>
        </is>
      </c>
      <c r="B21263">
        <f>HYPERLINK("https://www.dofusbook.net/fr/equipement/5590855-vulbis/objets", "link")</f>
        <v/>
      </c>
      <c r="C21263" t="n">
        <v>4</v>
      </c>
      <c r="D21263" t="inlineStr">
        <is>
          <t>Hache du Chalœil; Amulette du Strigide; Bracelet du Piloztère; Alliance du Lévitrof; Quatre-feuilles; Ceinture du Strigide; Coiffe du Lévitrof; Voile d'encre; Bottes du Lévitrof; Dofus Ocre; Dofus Pourpre; Dofus des Glaces; Dofus Ébène; Dofus Turquoise; Dofus Vulbis; Kokulte</t>
        </is>
      </c>
    </row>
    <row r="21264">
      <c r="A21264" t="inlineStr">
        <is>
          <t>eau/feu do pou</t>
        </is>
      </c>
      <c r="B21264">
        <f>HYPERLINK("https://www.dofusbook.net/fr/equipement/5582309-eau-feu-do-pou/objets", "link")</f>
        <v/>
      </c>
      <c r="C21264" t="n">
        <v>1</v>
      </c>
      <c r="D21264" t="inlineStr">
        <is>
          <t>Couteaux Sacrificiels; Amulette Volkorne; Alliance Gloursonne; Anneau Volkorne; Bouclier précieux; Ceintrigue; Masque Paztek; Cape de Diondin; Bottes Owesli; Dofus Vulbis; Dofus Ivoire; Dofus Ocre; Dofus Ébène; Dofus Pourpre; Dofus des Glaces; Walk</t>
        </is>
      </c>
    </row>
    <row r="21265">
      <c r="A21265" t="inlineStr">
        <is>
          <t>Eau</t>
        </is>
      </c>
      <c r="B21265">
        <f>HYPERLINK("https://www.dofusbook.net/fr/equipement/5497565-eau-/objets", "link")</f>
        <v/>
      </c>
      <c r="C21265" t="n">
        <v>2</v>
      </c>
      <c r="D21265" t="inlineStr">
        <is>
          <t>Dagoulinantes; Amulette de Shokkoth; Alliance Gloursonne; Anneau Volkorne; Bouclier du Captain Amakna; Poulpagne; Capuche de l'Œil Attentif; Cape du Sinistrofu; Bottes du Sinistrofu; Dofus Vulbis; Dofus Pourpre; Dofus Ocre; Dofus des Glaces; Vigoureux majeur; Chanceux majeur; Kanigloups</t>
        </is>
      </c>
    </row>
    <row r="21266">
      <c r="A21266" t="inlineStr">
        <is>
          <t>terre</t>
        </is>
      </c>
      <c r="B21266">
        <f>HYPERLINK("https://www.dofusbook.net/fr/equipement/5522371-terre/objets", "link")</f>
        <v/>
      </c>
      <c r="C21266" t="n">
        <v>0</v>
      </c>
      <c r="D21266" t="inlineStr">
        <is>
          <t>Dagues Érhy; Amulette Volkorne; Bague Gloursonne; Alliance Brûlâme; Droiture de Fallanster; Ceinture Volkorne; Casque Dragoeuf; Cape au Logis; Sabots Minables; Dofus Ivoire; Dofus Pourpre; Dofus Abyssal; Dofus Ébène; Dofus Ocre; Enragé majeur; Dragodinde Ivoire et Pourpre</t>
        </is>
      </c>
    </row>
    <row r="21267">
      <c r="A21267" t="inlineStr">
        <is>
          <t>Eau feu opti</t>
        </is>
      </c>
      <c r="B21267">
        <f>HYPERLINK("https://www.dofusbook.net/fr/equipement/5497586-eau-feu-opti-/objets", "link")</f>
        <v/>
      </c>
      <c r="C21267" t="n">
        <v>1</v>
      </c>
      <c r="D21267" t="inlineStr">
        <is>
          <t>Couteaux Sacrificiels; Amulette Volkorne; Lavanneau; Anneau Volkorne; Bouclier du Captain Amakna; Ceinture de l'Esprit Salvateur; Masque de l'Esprit Salvateur; Cape de Jahash Jurgen; Bottes de l'Esprit Salvateur; Dofus Pourpre; Dofus Ivoire; Dofus Ocre; Dofus Ébène; Dofus Vulbis; Dofus Abyssal; Walk</t>
        </is>
      </c>
    </row>
    <row r="21268">
      <c r="A21268" t="inlineStr">
        <is>
          <t>Eau 12 6 4</t>
        </is>
      </c>
      <c r="B21268">
        <f>HYPERLINK("https://www.dofusbook.net/fr/equipement/5497576-eau-12-6-4/objets", "link")</f>
        <v/>
      </c>
      <c r="C21268" t="n">
        <v>0</v>
      </c>
      <c r="D21268" t="inlineStr">
        <is>
          <t>Dagoulinantes; Amulette du Sinistrofu; Alliance Gloursonne; Anneau en Grithril; Bouclier du Stalak; Ceinture en Grithril; Casque en Grithril; Cape du Sinistrofu; Bottes du Sinistrofu; Dofus des Glaces; Dofus Abyssal; Dofus Ocre; Dofus Pourpre; Dofus Vulbis; Taquin majeur; Kanigloups</t>
        </is>
      </c>
    </row>
    <row r="21269">
      <c r="A21269" t="inlineStr">
        <is>
          <t>Panda tac res no rox</t>
        </is>
      </c>
      <c r="B21269">
        <f>HYPERLINK("https://www.dofusbook.net/fr/equipement/3649039-panda-tac-res-no-rox/objets", "link")</f>
        <v/>
      </c>
      <c r="C21269" t="n">
        <v>24</v>
      </c>
      <c r="D21269" t="inlineStr">
        <is>
          <t>Rouleau à Pâtisserie d'Aermyne; Collier Rophante; Bague Trithon; Alliance Gloursonne; Droiture de Fallanster; Ceinture de Kongoku; Masque d'Anerice; Cape d'Anerice; Pataugastrique; Dofus Abyssal; Dofus Émeraude; Dofus Ivoire; Miraculé majeur; Remueur; Obstructeur majeur; Platypus</t>
        </is>
      </c>
    </row>
    <row r="21270">
      <c r="A21270" t="inlineStr">
        <is>
          <t>Feca air songes</t>
        </is>
      </c>
      <c r="B21270">
        <f>HYPERLINK("https://www.dofusbook.net/fr/equipement/5429727-feca-air-songes/objets", "link")</f>
        <v/>
      </c>
      <c r="C21270" t="n">
        <v>0</v>
      </c>
      <c r="D21270" t="inlineStr">
        <is>
          <t>Crocobur; Collier du Valet Veinard; Alliance Gloursonne; Gant du Valet Veinard; Bouclier d'Ilyzaelle; Ceintouse; Casque Dragoeuf; Cape du Valet Veinard; Tentassons; Dofus Abyssal; Dofus Émeraude; Dofus Ivoire; Dofus Ocre; Dofus Pourpre; Dofus Vulbis; Volkorne Améthyste</t>
        </is>
      </c>
    </row>
    <row r="21271">
      <c r="A21271" t="inlineStr">
        <is>
          <t>terre-air</t>
        </is>
      </c>
      <c r="B21271">
        <f>HYPERLINK("https://www.dofusbook.net/fr/equipement/5376679-terre-air/objets", "link")</f>
        <v/>
      </c>
      <c r="C21271" t="n">
        <v>1</v>
      </c>
      <c r="D21271" t="inlineStr">
        <is>
          <t>Dagues du Dragoeuf; Amulette du Strigide; Anneau de Padgref; Bracelet du Piloztère; Bouclier du Captain Amakna; Ceinture du Strigide; Corne de Torkélonia; Carapace de Torkélonia; Bottes du Strigide; Dofus Turquoise; Dofus Ébène; Dofus Ocre; Dofus des Glaces; Dofus Pourpre; Dofus Vulbis; Kokulte</t>
        </is>
      </c>
    </row>
    <row r="21272">
      <c r="A21272" t="inlineStr">
        <is>
          <t>eau/feu distance opti</t>
        </is>
      </c>
      <c r="B21272">
        <f>HYPERLINK("https://www.dofusbook.net/fr/equipement/5319862-eau-feu-distance-opti/objets", "link")</f>
        <v/>
      </c>
      <c r="C21272" t="n">
        <v>1</v>
      </c>
      <c r="D21272" t="inlineStr">
        <is>
          <t>Pyraguette; Amulette Volkorne; Anneau Volkorne; Lavanneau; Bouclier du Stalak; Ceintrigue; Heaume Oplate; Cape de Jahash Jurgen; Bottes Owesli; Dofus Ocre; Dofus des Glaces; Dolmanax; Dofus Pourpre; Dofus Vulbis; Dofus Ébène; Walk</t>
        </is>
      </c>
    </row>
    <row r="21273">
      <c r="A21273" t="inlineStr">
        <is>
          <t>terre feu très opti</t>
        </is>
      </c>
      <c r="B21273">
        <f>HYPERLINK("https://www.dofusbook.net/fr/equipement/4746676-terre-feu-tres-opti/objets", "link")</f>
        <v/>
      </c>
      <c r="C21273" t="n">
        <v>4</v>
      </c>
      <c r="D21273" t="inlineStr">
        <is>
          <t>Dagues du Dragoeuf; Amulette Volkorne; Chevalière du Roi Joueur; Bague Gloursonne; Quatre-feuilles; Ceinture Volkorne; Couronne du Roi Joueur; Cape de Jahash Jurgen; Bottes du Roi Joueur; Dofus Pourpre; Dofus Ébène; Dolmanax; Dofus des Glaces; Dofus Vulbis; Dofus Ocre; Cromeugnon</t>
        </is>
      </c>
    </row>
    <row r="21274">
      <c r="A21274" t="inlineStr">
        <is>
          <t>terre-pm duo Anerice</t>
        </is>
      </c>
      <c r="B21274">
        <f>HYPERLINK("https://www.dofusbook.net/fr/equipement/1967422-terre-pm-duo-anerice/objets", "link")</f>
        <v/>
      </c>
      <c r="C21274" t="n">
        <v>1</v>
      </c>
      <c r="D21274" t="inlineStr">
        <is>
          <t>Bêche Asse; Collier de Tourthon; Anneau de Brouce; Chevalière du Roi Joueur; Ambrouclier; Ceinture Hanium; Couronne du Roi Joueur; Cape du Professeur Xa; Baleinabottes; Dolmanax; Dofus Ocre; Entraveur majeur; Ralentisseur majeur; Temporiseur; Temporiseur majeur; Koalak Sanguin</t>
        </is>
      </c>
    </row>
    <row r="21275">
      <c r="A21275" t="inlineStr">
        <is>
          <t>sram terre feu pvp</t>
        </is>
      </c>
      <c r="B21275">
        <f>HYPERLINK("https://www.dofusbook.net/fr/equipement/4404693-sram-terre-feu-pvp/objets", "link")</f>
        <v/>
      </c>
      <c r="C21275" t="n">
        <v>4</v>
      </c>
      <c r="D21275" t="inlineStr">
        <is>
          <t>Dagues Lassay; Amulette Volkorne; Bague Gloursonne; Chevalière du Roi Joueur; Bouclier du Stalak; Ceinture Volkorne; Couronne du Roi Joueur; Voile d'encre; Bottes du Roi Joueur; Dofus Pourpre; Dofus Ébène; Dofus Ivoire; Dofus des Glaces; Dofus Ocre; Robuste majeur; Cromeugnon</t>
        </is>
      </c>
    </row>
    <row r="21276">
      <c r="A21276" t="inlineStr">
        <is>
          <t>Eau feu regen</t>
        </is>
      </c>
      <c r="B21276">
        <f>HYPERLINK("https://www.dofusbook.net/fr/equipement/4918908-eau-feu-regen/objets", "link")</f>
        <v/>
      </c>
      <c r="C21276" t="n">
        <v>4</v>
      </c>
      <c r="D21276" t="inlineStr">
        <is>
          <t>Couteaux Sacrificiels; Amulette Volkorne; Alliance Gloursonne; Anneau Volkorne; Bouclier du Captain Amakna; Ceinture Volkorne; Masque Paztek; Cape Paztek; Pataugastrique; Dofus Pourpre; Dofus Ivoire; Dofus Émeraude; Dofus Abyssal; Dofus des Glaces; Dofus Ocre; Walk</t>
        </is>
      </c>
    </row>
    <row r="21277">
      <c r="A21277" t="inlineStr">
        <is>
          <t>Eca multi</t>
        </is>
      </c>
      <c r="B21277">
        <f>HYPERLINK("https://www.dofusbook.net/fr/equipement/4759157-eca-multi/objets", "link")</f>
        <v/>
      </c>
      <c r="C21277" t="n">
        <v>0</v>
      </c>
      <c r="D21277" t="inlineStr">
        <is>
          <t>Bâton Beau; Amulette Volkorne; Bague Trithon; Anneau Volkorne; Bouclier du Captain Amakna; Ceinture Volkorne; Masque Trithon; Chevelure de Tal Kasha; Bottes Trithon; Dofus Ocre; Dofus Pourpre; Dofus Ébène; Dolmanax; Dofus Turquoise; Robuste majeur; Sakochère</t>
        </is>
      </c>
    </row>
    <row r="21278">
      <c r="A21278" t="inlineStr">
        <is>
          <t>mono force</t>
        </is>
      </c>
      <c r="B21278">
        <f>HYPERLINK("https://www.dofusbook.net/fr/equipement/3082461-mono-force/objets", "link")</f>
        <v/>
      </c>
      <c r="C21278" t="n">
        <v>9</v>
      </c>
      <c r="D21278" t="inlineStr">
        <is>
          <t>Arc du Chalœil; Collier de Tourthon; Bracelet du Piloztère; Anneau de Brouce; Quatre-feuilles; Ceinture de la Reine des Voleurs; Coiffe de la Reine des Voleurs; Cape au Logis; Baleinabottes; Dofus Ébène; Dofus Ocre; Dofus Pourpre; Dofus des Glaces; Enragé majeur; Forcené majeur; Bulbisou</t>
        </is>
      </c>
    </row>
    <row r="21279">
      <c r="A21279" t="inlineStr">
        <is>
          <t>eca eau cac</t>
        </is>
      </c>
      <c r="B21279">
        <f>HYPERLINK("https://www.dofusbook.net/fr/equipement/5068198-eca-eau-cac/objets", "link")</f>
        <v/>
      </c>
      <c r="C21279" t="n">
        <v>0</v>
      </c>
      <c r="D21279" t="inlineStr">
        <is>
          <t>Sceptre du Roi Joueur; Collier de la Dame du Hasard; Anneau Volkorne; Alliance Gloursonne; Bouclier du Captain Amakna; Sangle Ouare; Kidibonnet; Chevelure de Tal Kasha; Bottes de la Dame du Hasard; Dofus Pourpre; Dofus Ivoire; Dofus Turquoise; Dofus Ocre; Vigoureux majeur; Chanceux majeur; Pioute bleu</t>
        </is>
      </c>
    </row>
    <row r="21280">
      <c r="A21280" t="inlineStr">
        <is>
          <t>eca eau do crit</t>
        </is>
      </c>
      <c r="B21280">
        <f>HYPERLINK("https://www.dofusbook.net/fr/equipement/4463562-eca-eau-do-crit/objets", "link")</f>
        <v/>
      </c>
      <c r="C21280" t="n">
        <v>2</v>
      </c>
      <c r="D21280" t="inlineStr">
        <is>
          <t>Rapière aux Glyphes; Amulette de Shokkoth; Alliance Gloursonne; Anneau Volkorne; Bouclier du Captain Amakna; Pagne du Rykaon; Kidibonnet; Cape de la Dame du Hasard; Bottes de la Dame du Hasard; Dofus Turquoise; Dofus Ébène; Dofus Ocre; Dofus Pourpre; Chanceux majeur; Nomade; Pioute bleu</t>
        </is>
      </c>
    </row>
    <row r="21281">
      <c r="A21281" t="inlineStr">
        <is>
          <t>Stuff actuel</t>
        </is>
      </c>
      <c r="B21281">
        <f>HYPERLINK("https://www.dofusbook.net/fr/equipement/1929768-stuff-actuel/objets", "link")</f>
        <v/>
      </c>
      <c r="C21281" t="n">
        <v>3</v>
      </c>
      <c r="D21281" t="inlineStr">
        <is>
          <t>Arc corrompu; Amulette Séculaire; Anneau Rifique; Kralano; Bouclier du Cycloïde; Ceintrigue; Casque Cyclopéen; Cape de Diondin; Bottes Innommables; Dofus Ébène; Dofus Pourpre; Nomade; Remueur; Astucieux majeur; Érudit majeur; Bisouglours</t>
        </is>
      </c>
    </row>
    <row r="21282">
      <c r="A21282" t="inlineStr">
        <is>
          <t>Duo pwak</t>
        </is>
      </c>
      <c r="B21282">
        <f>HYPERLINK("https://www.dofusbook.net/fr/equipement/5000986-duo-pwak/objets", "link")</f>
        <v/>
      </c>
      <c r="C21282" t="n">
        <v>1</v>
      </c>
      <c r="D21282" t="inlineStr">
        <is>
          <t>Epée Maudite du Saigneur Guerrier; Amulette du Strigide; Anneau de Padgref; Bracelet du Piloztère; Bouclier du Captain Amakna; Ceinture du Strigide; Coiffe de Padgref; Cape d'Atcham; Getas de Padgref; Dofus Ocre; Dofus Abyssal; Dofus Pourpre; Dofus Ébène; Dofus Turquoise; Dofus des Glaces; Kokulte</t>
        </is>
      </c>
    </row>
    <row r="21283">
      <c r="A21283" t="inlineStr">
        <is>
          <t>tank-duo pwak</t>
        </is>
      </c>
      <c r="B21283">
        <f>HYPERLINK("https://www.dofusbook.net/fr/equipement/4685908-tank-duo-pwak/objets", "link")</f>
        <v/>
      </c>
      <c r="C21283" t="n">
        <v>3</v>
      </c>
      <c r="D21283" t="inlineStr">
        <is>
          <t>Rouleau à Pâtisserie d'Aermyne; Collier Rophante; Alliance Gloursonne; Bague Trithon; Bouclier précieux; Ceinture de Kongoku; Masque d'Anerice; Cape d'Anerice; Pataugastrique; Dofus Émeraude; Dofus Abyssal; Dofus Ivoire; Dokoko; Miraculé majeur; Carapace Neutre majeur; Gupin</t>
        </is>
      </c>
    </row>
    <row r="21284">
      <c r="A21284" t="inlineStr">
        <is>
          <t>multi</t>
        </is>
      </c>
      <c r="B21284">
        <f>HYPERLINK("https://www.dofusbook.net/fr/equipement/4991308-multi/objets", "link")</f>
        <v/>
      </c>
      <c r="C21284" t="n">
        <v>0</v>
      </c>
      <c r="D21284" t="inlineStr">
        <is>
          <t>Pyraguette; Amulette Volkorne; Bracelet du Piloztère; Anneau Volkorne; Bouclier du Captain Amakna; Ceinture de l'Esprit Salvateur; Masque de l'Esprit Salvateur; Cape de Jahash Jurgen; Bottes de l'Esprit Salvateur; Dofus Vulbis; Dofus Ocre; Dofus des Glaces; Dofus Ébène; Dofus Pourpre; Robuste majeur; Fëanor</t>
        </is>
      </c>
    </row>
    <row r="21285">
      <c r="A21285" t="inlineStr">
        <is>
          <t>eau feu</t>
        </is>
      </c>
      <c r="B21285">
        <f>HYPERLINK("https://www.dofusbook.net/fr/equipement/4981511-eau-feu/objets", "link")</f>
        <v/>
      </c>
      <c r="C21285" t="n">
        <v>1</v>
      </c>
      <c r="D21285" t="inlineStr">
        <is>
          <t>Pyraguette; Amulette Volkorne; Anneau Volkorne; Lavanneau; Bouclier du Stalak; Ceinture de l'Esprit Salvateur; Heaume Oplate; Voilamibe; Bottes Owesli; Dofus Ocre; Dofus des Glaces; Dofus Pourpre; Dofus Ébène; Vigoureux majeur; Robuste majeur; Walk</t>
        </is>
      </c>
    </row>
    <row r="21286">
      <c r="A21286" t="inlineStr">
        <is>
          <t>enu ret pm-roxx</t>
        </is>
      </c>
      <c r="B21286">
        <f>HYPERLINK("https://www.dofusbook.net/fr/equipement/4907596-enu-ret-pm-roxx/objets", "link")</f>
        <v/>
      </c>
      <c r="C21286" t="n">
        <v>0</v>
      </c>
      <c r="D21286" t="inlineStr">
        <is>
          <t>Baguette Hique; Amulette des Chocomanciens; Pikano; Anneau Tamie; Bouclier cubiste; Ceinture des Chocomanciens; Capuche de l'Œil Putride; Cape de la Dame du Hasard; Bottes de Meno; Remueur; Temporiseur majeur; Chanceux majeur; Ralentisseur majeur; Nomade; Entraveur majeur; Volkorne Turquoise et Indigo</t>
        </is>
      </c>
    </row>
    <row r="21287">
      <c r="A21287" t="inlineStr">
        <is>
          <t>feu pvp</t>
        </is>
      </c>
      <c r="B21287">
        <f>HYPERLINK("https://www.dofusbook.net/fr/equipement/4901565-feu-pvp/objets", "link")</f>
        <v/>
      </c>
      <c r="C21287" t="n">
        <v>1</v>
      </c>
      <c r="D21287" t="inlineStr">
        <is>
          <t>Arc corrompu; Amulette Volkorne; Anneauræus; Anneauræus; Bouclier du Stalak; Ceinture Volkorne; Heaume Oplate; Voile d'encre; Bottes Innommables; Dofus Ivoire; Dofus Ocre; Dofus Vulbis; Dofus Ébène; Dofus Pourpre; Érudit majeur; Dragodinde Ivoire et Orchidée</t>
        </is>
      </c>
    </row>
    <row r="21288">
      <c r="A21288" t="inlineStr">
        <is>
          <t>do crit no brain</t>
        </is>
      </c>
      <c r="B21288">
        <f>HYPERLINK("https://www.dofusbook.net/fr/equipement/4885132-do-crit-no-brain/objets", "link")</f>
        <v/>
      </c>
      <c r="C21288" t="n">
        <v>1</v>
      </c>
      <c r="D21288" t="inlineStr">
        <is>
          <t>Epée Maudite du Saigneur Guerrier; Amulette du Strigide; Anneau de Padgref; Bracelet du Piloztère; Bouclier du Captain Amakna; Ceinture du Strigide; Coiffe de Padgref; Cape de Jahash Jurgen; Getas de Padgref; Dofus Ocre; Dofus Abyssal; Dofus Pourpre; Dofus Ébène; Dofus Turquoise; Dofus des Glaces; Kokulte</t>
        </is>
      </c>
    </row>
    <row r="21289">
      <c r="A21289" t="inlineStr">
        <is>
          <t>mono eau enu</t>
        </is>
      </c>
      <c r="B21289">
        <f>HYPERLINK("https://www.dofusbook.net/fr/equipement/4820520-mono-eau-enu/objets", "link")</f>
        <v/>
      </c>
      <c r="C21289" t="n">
        <v>0</v>
      </c>
      <c r="D21289" t="inlineStr">
        <is>
          <t>Dagoulinantes; Amulette de Shokkoth; Anneau Volkorne; Alliance Gloursonne; Bouclier du Stalak; Ceinture Glaciale; Kidibonnet; Cape Glaciale; Bottes du Sinistrofu; Dofus Pourpre; Dofus des Glaces; Remueur; Taquin majeur; Nomade; Chanceux majeur; Kanigloups</t>
        </is>
      </c>
    </row>
    <row r="21290">
      <c r="A21290" t="inlineStr">
        <is>
          <t>air feu do crit</t>
        </is>
      </c>
      <c r="B21290">
        <f>HYPERLINK("https://www.dofusbook.net/fr/equipement/4820500-air-feu-do-crit/objets", "link")</f>
        <v/>
      </c>
      <c r="C21290" t="n">
        <v>1</v>
      </c>
      <c r="D21290" t="inlineStr">
        <is>
          <t>Baguette Hernelle; Amulette du Strigide; Anneau de Padgref; Anneau d'Allister; Quatre-feuilles; Ceinture du Strigide; Coiffe de Padgref; Cape Indescriptible; Getas de Padgref; Dofus Turquoise; Dofus des Glaces; Dofus Ébène; Dofus Pourpre; Dofus Ocre; Voyageur; Kokulte</t>
        </is>
      </c>
    </row>
    <row r="21291">
      <c r="A21291" t="inlineStr">
        <is>
          <t>terre ultra opti</t>
        </is>
      </c>
      <c r="B21291">
        <f>HYPERLINK("https://www.dofusbook.net/fr/equipement/4747513-terre-ultra-opti/objets", "link")</f>
        <v/>
      </c>
      <c r="C21291" t="n">
        <v>3</v>
      </c>
      <c r="D21291" t="inlineStr">
        <is>
          <t>Arc du Chalœil; Collier de Tourthon; Bracelet du Piloztère; Anneau de Brouce; Bouclier du Stalak; Ceinture de la Reine des Voleurs; Coiffe de la Reine des Voleurs; Cape de Jahash Jurgen; Baleinabottes; Dofus Pourpre; Dofus Ocre; Dofus Vulbis; Dofus Ébène; Forcené majeur; Enragé majeur; Bulbisou</t>
        </is>
      </c>
    </row>
    <row r="21292">
      <c r="A21292" t="inlineStr">
        <is>
          <t>air</t>
        </is>
      </c>
      <c r="B21292">
        <f>HYPERLINK("https://www.dofusbook.net/fr/equipement/1909842-air/objets", "link")</f>
        <v/>
      </c>
      <c r="C21292" t="n">
        <v>3</v>
      </c>
      <c r="D21292" t="inlineStr">
        <is>
          <t>Manthache; Collier du Valet Veinard; Gant du Valet Veinard; Alliance Gloursonne; Bouclier du Stalak; Menoture; Couronne d'Allister; Cape Indescriptible; Palmes Trithons; Dofus Ébène; Dofus Ocre; Dofus Pourpre; Equilibriste majeur; Nomade; Cascadeur majeur; Blérodoudou</t>
        </is>
      </c>
    </row>
    <row r="21293">
      <c r="A21293" t="inlineStr">
        <is>
          <t>eca multi do crit</t>
        </is>
      </c>
      <c r="B21293">
        <f>HYPERLINK("https://www.dofusbook.net/fr/equipement/4746583-eca-multi-do-crit/objets", "link")</f>
        <v/>
      </c>
      <c r="C21293" t="n">
        <v>1</v>
      </c>
      <c r="D21293" t="inlineStr">
        <is>
          <t>Hache du Chalœil; Amulette du Strigide; Grésilanneau; Anneau Volkorne; Bouclier du Stalak; Ceinture Volkorne; Le Dorado; Voile d'encre; Bottes du Strigide; Dofus Ocre; Dofus Pourpre; Dofus Ivoire; Dolmanax; Voyageur; Robuste majeur; Chacha Angora</t>
        </is>
      </c>
    </row>
    <row r="21294">
      <c r="A21294" t="inlineStr">
        <is>
          <t>eau feu do crit</t>
        </is>
      </c>
      <c r="B21294">
        <f>HYPERLINK("https://www.dofusbook.net/fr/equipement/4746254-eau-feu-do-crit/objets", "link")</f>
        <v/>
      </c>
      <c r="C21294" t="n">
        <v>4</v>
      </c>
      <c r="D21294" t="inlineStr">
        <is>
          <t>Arc Nécrotique; Amulette Volkorne; Anneau Volkorne; Bague Trithon; Quatre-feuilles; Ceintacé; Masque Trithon; Cape de la Dame du Hasard; Bottes de la Dame du Hasard; Dofus des Glaces; Dofus Turquoise; Dofus Vulbis; Dofus Ocre; Dofus Pourpre; Dofus Ébène; Kokulte</t>
        </is>
      </c>
    </row>
    <row r="21295">
      <c r="A21295" t="inlineStr">
        <is>
          <t>enu ret chance</t>
        </is>
      </c>
      <c r="B21295">
        <f>HYPERLINK("https://www.dofusbook.net/fr/equipement/4735358-enu-ret-chance/objets", "link")</f>
        <v/>
      </c>
      <c r="C21295" t="n">
        <v>0</v>
      </c>
      <c r="D21295" t="inlineStr">
        <is>
          <t>Baguette Hique; Amulette de Shokkoth; Anneau Volkorne; Alliance Gloursonne; Bouclier cubiste; Ceinture Glaciale; Kidibonnet; Cape de Meno; Bottes de Meno; Chanceux majeur; Taquin majeur; Nomade; Entraveur majeur; Remueur; Temporiseur majeur; Dragodinde Prune et Indigo</t>
        </is>
      </c>
    </row>
    <row r="21296">
      <c r="A21296" t="inlineStr">
        <is>
          <t>Terre air</t>
        </is>
      </c>
      <c r="B21296">
        <f>HYPERLINK("https://www.dofusbook.net/fr/equipement/4703959-terre-air/objets", "link")</f>
        <v/>
      </c>
      <c r="C21296" t="n">
        <v>1</v>
      </c>
      <c r="D21296" t="inlineStr">
        <is>
          <t>Héqache; Amulette du Kamasterisk; Alliance Gloursonne; Bracelet du Piloztère; Bouclier du Stalak; Ceinture Volkorne; Casque Volkorne; Cape du Kamasterisk; Bottes du Kamasterisk; Dofus Ocre; Dolmanax; Dofus des Glaces; Dofus Pourpre; Dofus Ébène; Voyageur; Mékrabe</t>
        </is>
      </c>
    </row>
    <row r="21297">
      <c r="A21297" t="inlineStr">
        <is>
          <t>mono feu</t>
        </is>
      </c>
      <c r="B21297">
        <f>HYPERLINK("https://www.dofusbook.net/fr/equipement/4690405-mono-feu/objets", "link")</f>
        <v/>
      </c>
      <c r="C21297" t="n">
        <v>1</v>
      </c>
      <c r="D21297" t="inlineStr">
        <is>
          <t>Arc corrompu; Amulette Volkorne; Anneauræus; Anneauræus; Bouclier du Stalak; Ceinture Volkorne; Heaume Oplate; Voile d'encre; Bottes Innommables; Dofus Pourpre; Dofus Ocre; Dofus Ébène; Astucieux majeur; Érudit majeur; Nomade; Bisouglours</t>
        </is>
      </c>
    </row>
    <row r="21298">
      <c r="A21298" t="inlineStr">
        <is>
          <t>Eniripsa feu</t>
        </is>
      </c>
      <c r="B21298">
        <f>HYPERLINK("https://www.dofusbook.net/fr/equipement/4315271-eniripsa-feu/objets", "link")</f>
        <v/>
      </c>
      <c r="C21298" t="n">
        <v>2</v>
      </c>
      <c r="D21298" t="inlineStr">
        <is>
          <t>Arc corrompu; Pendentif affamé; Anneauræus; Anneau Rifique; Bouclier du Stalak; Ceintrigue; Casque Cyclopéen; Cape de Diondin; Bottes Innommables; Dofus Pourpre; Dofus Ébène; Dofus Ocre; Astucieux majeur; Nomade; Érudit majeur; Bisouglours</t>
        </is>
      </c>
    </row>
    <row r="21299">
      <c r="A21299" t="inlineStr">
        <is>
          <t>Roublard M 200</t>
        </is>
      </c>
      <c r="B21299">
        <f>HYPERLINK("https://www.dofusbook.net/fr/equipement/4710832-roublard-m-200/objets", "link")</f>
        <v/>
      </c>
      <c r="C21299" t="n">
        <v>2</v>
      </c>
      <c r="D21299" t="inlineStr">
        <is>
          <t>Pyraguette; Talisman Igans; Anneauræus; Anneauræus; Bouclier du Stalak; Ceintrigue; Heaume Oplate; Cape de Diondin; Bottes Innommables; Féroce majeur; Nomade; Astucieux majeur; Dévastateur Feu majeur; Saccageur Feu majeur; Érudit majeur; Bisouglours</t>
        </is>
      </c>
    </row>
    <row r="21300">
      <c r="A21300" t="inlineStr">
        <is>
          <t>Sram terre feu</t>
        </is>
      </c>
      <c r="B21300">
        <f>HYPERLINK("https://www.dofusbook.net/fr/equipement/4314868-sram-terre-feu/objets", "link")</f>
        <v/>
      </c>
      <c r="C21300" t="n">
        <v>15</v>
      </c>
      <c r="D21300" t="inlineStr">
        <is>
          <t>Dagues Lassay; Amulette Volkorne; Bague Gloursonne; Chevalière du Roi Joueur; Bouclier du Stalak; Ceinture Volkorne; Couronne du Roi Joueur; Voile d'encre; Bottes du Roi Joueur; Dofus Pourpre; Dofus Ébène; Dolmanax; Dofus des Glaces; Dofus Nébuleux; Dofus Ocre; Cromeugnon</t>
        </is>
      </c>
    </row>
    <row r="21301">
      <c r="A21301" t="inlineStr">
        <is>
          <t>padgref/stri -vulbis-</t>
        </is>
      </c>
      <c r="B21301">
        <f>HYPERLINK("https://www.dofusbook.net/fr/equipement/4244565-padgref-stri--vulbis-/objets", "link")</f>
        <v/>
      </c>
      <c r="C21301" t="n">
        <v>3</v>
      </c>
      <c r="D21301" t="inlineStr">
        <is>
          <t>Baguette Hernelle; Amulette du Strigide; Anneau de Padgref; Bracelet du Piloztère; Quatre-feuilles; Ceinture du Strigide; Coiffe de Padgref; Chevelure de Tal Kasha; Getas de Padgref; Dofus Vulbis; Dofus Ocre; Dofus Turquoise; Dofus Ébène; Dofus Pourpre; Dolmanax; Kokulte</t>
        </is>
      </c>
    </row>
    <row r="21302">
      <c r="A21302" t="inlineStr">
        <is>
          <t>panda stuff dofus arc</t>
        </is>
      </c>
      <c r="B21302">
        <f>HYPERLINK("https://www.dofusbook.net/fr/equipement/3890454-panda-stuff-dofus-arc/objets", "link")</f>
        <v/>
      </c>
      <c r="C21302" t="n">
        <v>23</v>
      </c>
      <c r="D21302" t="inlineStr">
        <is>
          <t>Arc Volkorne; Amulette Volkorne; Anneau Volkorne; Alliance du Lévitrof; Quatre-feuilles; Ceinture Volkorne; Coiffe du Lévitrof; Voile d'encre; Bottes du Lévitrof; Dolmanax; Dofus Ocre; Dofus Pourpre; Dofus des Glaces; Dofus Ébène; Dofus Turquoise; Pioute rose</t>
        </is>
      </c>
    </row>
    <row r="21303">
      <c r="A21303" t="inlineStr">
        <is>
          <t>panda dofus multi</t>
        </is>
      </c>
      <c r="B21303">
        <f>HYPERLINK("https://www.dofusbook.net/fr/equipement/4686725-panda-dofus-multi/objets", "link")</f>
        <v/>
      </c>
      <c r="C21303" t="n">
        <v>4</v>
      </c>
      <c r="D21303" t="inlineStr">
        <is>
          <t>Hache du Chalœil; Amulette Volkorne; Alliance du Lévitrof; Anneau Volkorne; Quatre-feuilles; Ceinture Volkorne; Coiffe du Lévitrof; Voile d'encre; Bottes du Lévitrof; Dofus Ébène; Dofus Turquoise; Dolmanax; Dofus Ocre; Dofus Pourpre; Dofus des Glaces; Pioute rose</t>
        </is>
      </c>
    </row>
    <row r="21304">
      <c r="A21304" t="inlineStr">
        <is>
          <t>Sadida F 200</t>
        </is>
      </c>
      <c r="B21304">
        <f>HYPERLINK("https://www.dofusbook.net/fr/equipement/4649112-sadida-f-200/objets", "link")</f>
        <v/>
      </c>
      <c r="C21304" t="n">
        <v>1</v>
      </c>
      <c r="D21304" t="inlineStr">
        <is>
          <t>Arc du Chalœil; Collier de Tourthon; Anneau de Brouce; Pikano; Quatre-feuilles; Ceinture de la Reine des Voleurs; Coiffe de la Reine des Voleurs; Cape au Logis; Baleinabottes; Dofus des Glaces; Dofus Pourpre; Dofus Ébène; Dofus Ocre; Enragé majeur; Forcené majeur; Bulbisou</t>
        </is>
      </c>
    </row>
    <row r="21305">
      <c r="A21305" t="inlineStr">
        <is>
          <t>stuff 12/6/6</t>
        </is>
      </c>
      <c r="B21305">
        <f>HYPERLINK("https://www.dofusbook.net/fr/equipement/1109684-stuff-12-6-6/objets", "link")</f>
        <v/>
      </c>
      <c r="C21305" t="n">
        <v>0</v>
      </c>
      <c r="D21305" t="inlineStr">
        <is>
          <t>Dagues Érhy; Amulette du Strigide; Alliance Gloursonne; Bracelet du Piloztère; Quatre-feuilles; Ceinture du Strigide; Bonnet Ko; Voile d'encre; Bottes du Cycloïde; Dofus Pourpre; Dofus Turquoise; Dofus Ocre; Vigoureux majeur; Nomade; Remueur; Muldo Prune et Doré</t>
        </is>
      </c>
    </row>
    <row r="21306">
      <c r="A21306" t="inlineStr">
        <is>
          <t>duo koutoulou</t>
        </is>
      </c>
      <c r="B21306">
        <f>HYPERLINK("https://www.dofusbook.net/fr/equipement/1175202-duo-koutoulou/objets", "link")</f>
        <v/>
      </c>
      <c r="C21306" t="n">
        <v>1</v>
      </c>
      <c r="D21306" t="inlineStr">
        <is>
          <t>Epée Kari; Collier de Tourthon; Bague Gloursonne; Anneau de Brouce; Bouclier Aerdala; Ceinture de Brouce; Masque de Koutoulou; Cape au Logis; Bottes du Comte Harebourg; Dofus Ocre; Dolmanax; Dofus Pourpre; Dofus Émeraude; Forcené majeur; Enragé majeur; Muldo Prune et Doré</t>
        </is>
      </c>
    </row>
    <row r="21307">
      <c r="A21307" t="inlineStr">
        <is>
          <t>multi 12/6 -exo po-</t>
        </is>
      </c>
      <c r="B21307">
        <f>HYPERLINK("https://www.dofusbook.net/fr/equipement/3700115-multi-12-6--exo-po-/objets", "link")</f>
        <v/>
      </c>
      <c r="C21307" t="n">
        <v>1</v>
      </c>
      <c r="D21307" t="inlineStr">
        <is>
          <t>Arc du Chalœil; Amulette Volkorne; Alliance Brûlâme; Anneau Volkorne; Quatre-feuilles; Ceinture Volkorne; Masque Brûlâme; Voile d'encre; Pompes Funèbres; Dolmanax; Dofus Ocre; Dofus Pourpre; Dofus des Glaces; Dofus Turquoise; Volkorne Emeraude</t>
        </is>
      </c>
    </row>
    <row r="21308">
      <c r="A21308" t="inlineStr">
        <is>
          <t>Terre feu air 11/6</t>
        </is>
      </c>
      <c r="B21308">
        <f>HYPERLINK("https://www.dofusbook.net/fr/equipement/3891798-terre-feu-air-11-6/objets", "link")</f>
        <v/>
      </c>
      <c r="C21308" t="n">
        <v>1</v>
      </c>
      <c r="D21308" t="inlineStr">
        <is>
          <t>Arc du Chalœil; Amulette Volkorne; Anneau Volkorne; Alliance Brûlâme; Quatre-feuilles; Ceinture Volkorne; Masque Brûlâme; Voile d'encre; Pompes Funèbres; Dolmanax; Dofus Ocre; Dofus Pourpre; Dofus des Glaces; Dofus Turquoise; Dofus Nébuleux; Chacha Angora</t>
        </is>
      </c>
    </row>
    <row r="21309">
      <c r="A21309" t="inlineStr">
        <is>
          <t>eau air no cc</t>
        </is>
      </c>
      <c r="B21309">
        <f>HYPERLINK("https://www.dofusbook.net/fr/equipement/3908180-eau-air-no-cc/objets", "link")</f>
        <v/>
      </c>
      <c r="C21309" t="n">
        <v>0</v>
      </c>
      <c r="D21309" t="inlineStr">
        <is>
          <t>Arc de Koutoulou; Amulette d'Ilyzaelle; Anneau de Pol Ouatnos; Gant du Valet Veinard; Quatre-feuilles; Ceinture de la Reine des Voleurs; Casque d'Ilyzaelle; Cape Matelassée; Bottes de la Reine des Voleurs; Dolmanax; Dofus Ocre; Dofus Pourpre; Dofus des Glaces; Dofus Nébuleux; Robuste majeur; Mini Wa</t>
        </is>
      </c>
    </row>
    <row r="21310">
      <c r="A21310" t="inlineStr">
        <is>
          <t>Stri/padgref</t>
        </is>
      </c>
      <c r="B21310">
        <f>HYPERLINK("https://www.dofusbook.net/fr/equipement/1160318-stri-padgref/objets", "link")</f>
        <v/>
      </c>
      <c r="C21310" t="n">
        <v>13</v>
      </c>
      <c r="D21310" t="inlineStr">
        <is>
          <t>Sabres d'Atcham; Amulette du Strigide; Bracelet du Piloztère; Anneau de Padgref; Quatre-feuilles; Ceinture du Strigide; Coiffe de Padgref; Cape d'Atcham; Getas de Padgref; Dofus Turquoise; Dofus des Glaces; Dofus Ocre; Dofus Nébuleux; Dofus Pourpre; Dolmanax; Muldo Prune et Emeraude</t>
        </is>
      </c>
    </row>
    <row r="21311">
      <c r="A21311" t="inlineStr">
        <is>
          <t>Pandawa M 200</t>
        </is>
      </c>
      <c r="B21311">
        <f>HYPERLINK("https://www.dofusbook.net/fr/equipement/3781910-pandawa-m-200/objets", "link")</f>
        <v/>
      </c>
      <c r="C21311" t="n">
        <v>0</v>
      </c>
      <c r="D21311" t="inlineStr">
        <is>
          <t>Arc corrompu; Amulette de Nileza; Anneauræus; Anneau Tique; Quatre-feuilles; Ceinture de Vortex; Coiffe Séculaire; Cape de Nileza; Pataugastrique; Dofus Pourpre; Dofus des Glaces; Dofus Turquoise; Dofus Abyssal; Dofus Ocre; Dofus Ivoire; Muldo Orchidée et Pourpre</t>
        </is>
      </c>
    </row>
    <row r="21312">
      <c r="A21312" t="inlineStr">
        <is>
          <t>Pandawa M 200</t>
        </is>
      </c>
      <c r="B21312">
        <f>HYPERLINK("https://www.dofusbook.net/fr/equipement/3652702-pandawa-m-200/objets", "link")</f>
        <v/>
      </c>
      <c r="C21312" t="n">
        <v>2</v>
      </c>
      <c r="D21312" t="inlineStr">
        <is>
          <t>Lav'Hache; Amulette Volcanique; Anneau Crustique; Anneau Crustique; Bouclier précieux; Ceinture de Gein; Chapeau de Gein; Sac Volcanique; Sabots Volcaniques; Dofus Émeraude; Dofus Ivoire; Dofus Ocre; Dofus Abyssal; Tacleur majeur; Bloqueur majeur; Muldo Roux et Amande</t>
        </is>
      </c>
    </row>
    <row r="21313">
      <c r="A21313" t="inlineStr">
        <is>
          <t>zobal feu/eau cc</t>
        </is>
      </c>
      <c r="B21313">
        <f>HYPERLINK("https://www.dofusbook.net/fr/equipement/4433814-zobal-feu-eau-cc/objets", "link")</f>
        <v/>
      </c>
      <c r="C21313" t="n">
        <v>0</v>
      </c>
      <c r="D21313" t="inlineStr">
        <is>
          <t>Arc Nécrotique; Amulette Volkorne; Bague Trithon; Anneau Volkorne; Quatre-feuilles; Ceintacé; Masque Trithon; Cape de la Dame du Hasard; Bottes de la Dame du Hasard; Dolmanax; Dofus Turquoise; Dofus Vulbis; Dofus Ocre; Dofus Pourpre; Dofus des Glaces; Kokulte</t>
        </is>
      </c>
    </row>
    <row r="21314">
      <c r="A21314" t="inlineStr">
        <is>
          <t>mono force</t>
        </is>
      </c>
      <c r="B21314">
        <f>HYPERLINK("https://www.dofusbook.net/fr/equipement/4428293-mono-force/objets", "link")</f>
        <v/>
      </c>
      <c r="C21314" t="n">
        <v>1</v>
      </c>
      <c r="D21314" t="inlineStr">
        <is>
          <t>Arc du Chalœil; Collier de Tourthon; Anneau Crustique; Anneau Crustique; Bouclier du Stalak; Ceinture Gence; Coiffe du Comte Harebourg; Cape au Logis; Bottes du Comte Harebourg; Dofus Pourpre; Dofus Ocre; Dofus des Glaces; Enragé majeur; Vigoureux majeur; Forcené majeur; Bulbisou</t>
        </is>
      </c>
    </row>
    <row r="21315">
      <c r="A21315" t="inlineStr">
        <is>
          <t>Crâ F 200</t>
        </is>
      </c>
      <c r="B21315">
        <f>HYPERLINK("https://www.dofusbook.net/fr/equipement/3842161-cra-f-200/objets", "link")</f>
        <v/>
      </c>
      <c r="C21315" t="n">
        <v>3</v>
      </c>
      <c r="D21315" t="inlineStr">
        <is>
          <t>Sabres d'Atcham; Amulette Volkorne; Bague Trithon; Anneau Volkorne; Quatre-feuilles; Ceinture Volkorne; Masque Trithon; Cape d'Atcham; Bottes Trithon; Dofus Turquoise; Dofus Nébuleux; Dolmanax; Dofus Ocre; Dofus Pourpre; Dofus des Glaces; Kokulte</t>
        </is>
      </c>
    </row>
    <row r="21316">
      <c r="A21316" t="inlineStr">
        <is>
          <t>Pandawa M 200</t>
        </is>
      </c>
      <c r="B21316">
        <f>HYPERLINK("https://www.dofusbook.net/fr/equipement/3817885-pandawa-m-200/objets", "link")</f>
        <v/>
      </c>
      <c r="C21316" t="n">
        <v>0</v>
      </c>
      <c r="D21316" t="inlineStr">
        <is>
          <t>Arc corrompu; Amulette Séculaire; Anneauræus; Anneauræus; Bouclier du Stalak; Ceinture de Vortex; Heaume Oplate; Cape de Diondin; Bottes Innommables; Dofus Abyssal; Dofus Pourpre; Dofus Ivoire; Dofus Ocre; Nomade; Érudit majeur; El Scarador</t>
        </is>
      </c>
    </row>
    <row r="21317">
      <c r="A21317" t="inlineStr">
        <is>
          <t>air reine/valet</t>
        </is>
      </c>
      <c r="B21317">
        <f>HYPERLINK("https://www.dofusbook.net/fr/equipement/2847548-air-reine-valet/objets", "link")</f>
        <v/>
      </c>
      <c r="C21317" t="n">
        <v>0</v>
      </c>
      <c r="D21317" t="inlineStr">
        <is>
          <t>Collier du Valet Veinard; Gant du Valet Veinard; Bracelet du Piloztère; Bouclier du Stalak; Ceinture de la Reine des Voleurs; Coiffe de la Reine des Voleurs; Cape du Valet Veinard; Bottes de la Reine des Voleurs; Dofus Pourpre; Dofus Ébène; Dofus Ocre; Dolmanax; Dofus des Glaces; Robuste majeur; Muldo Doré</t>
        </is>
      </c>
    </row>
    <row r="21318">
      <c r="A21318" t="inlineStr">
        <is>
          <t>force cc -vulbis-</t>
        </is>
      </c>
      <c r="B21318">
        <f>HYPERLINK("https://www.dofusbook.net/fr/equipement/4541835-force-cc--vulbis-/objets", "link")</f>
        <v/>
      </c>
      <c r="C21318" t="n">
        <v>1</v>
      </c>
      <c r="D21318" t="inlineStr">
        <is>
          <t>Dagues d'Ilyzaelle; Amulette du Cœur Saignant; Anneau Volkorne; Alliance de Missiz Frizz; Bouclier du Captain Amakna; Ceinture Volkorne; Casque de Missiz Frizz; Cape du Cœur Saignant; Bottes du Cœur Saignant; Dofus Vulbis; Dofus Ocre; Dofus Pourpre; Dofus des Glaces; Dofus Turquoise; Dofus Ébène; Pioute vert</t>
        </is>
      </c>
    </row>
    <row r="21319">
      <c r="A21319" t="inlineStr">
        <is>
          <t>Enutrof F 200</t>
        </is>
      </c>
      <c r="B21319">
        <f>HYPERLINK("https://www.dofusbook.net/fr/equipement/3865982-enutrof-f-200/objets", "link")</f>
        <v/>
      </c>
      <c r="C21319" t="n">
        <v>4</v>
      </c>
      <c r="D21319" t="inlineStr">
        <is>
          <t>Pelle Dorado; Collier de la Dame du Hasard; Anneau Tamie; Alliance Gloursonne; Bouclier cubiste; Ceinture Instable; Kidibonnet; Cape de la Dame du Hasard; Bottes de Meno; Dofus Ocre; Ralentisseur majeur; Entraveur majeur; Temporiseur; Temporiseur majeur; Nomade; Gwo Tofu Ventripotent</t>
        </is>
      </c>
    </row>
    <row r="21320">
      <c r="A21320" t="inlineStr">
        <is>
          <t>teste</t>
        </is>
      </c>
      <c r="B21320">
        <f>HYPERLINK("https://www.dofusbook.net/fr/equipement/4517487-teste/objets", "link")</f>
        <v/>
      </c>
      <c r="C21320" t="n">
        <v>1</v>
      </c>
      <c r="D21320" t="inlineStr">
        <is>
          <t>Baguette Hique; Collier de la Dame du Hasard; Alliance Gloursonne; Anneau Volkorne; Bouclier du Stalak; Pagne du Rykaon; Kidibonnet; Chevelure de Tal Kasha; Bottes de la Dame du Hasard; Dofus Pourpre; Dofus Ocre; Dofus des Glaces; Dofus Turquoise; Chanceux majeur; Nomade; Pioute bleu</t>
        </is>
      </c>
    </row>
    <row r="21321">
      <c r="A21321" t="inlineStr">
        <is>
          <t>test</t>
        </is>
      </c>
      <c r="B21321">
        <f>HYPERLINK("https://www.dofusbook.net/fr/equipement/4315239-test/objets", "link")</f>
        <v/>
      </c>
      <c r="C21321" t="n">
        <v>0</v>
      </c>
      <c r="D21321" t="inlineStr">
        <is>
          <t>Arc corrompu; Amulette Volkorne; Anneauræus; Anneauræus; Bouclier du Stalak; Ceinture Volkorne; Coiffe Séculaire; Cape de Diondin; Bottes Innommables; Dofus Pourpre; Dofus Ocre; Astucieux majeur; Érudit majeur; Nomade; Guérisseur majeur; Bisouglours</t>
        </is>
      </c>
    </row>
    <row r="21322">
      <c r="A21322" t="inlineStr">
        <is>
          <t>panda terre tac</t>
        </is>
      </c>
      <c r="B21322">
        <f>HYPERLINK("https://www.dofusbook.net/fr/equipement/4414068-panda-terre-tac/objets", "link")</f>
        <v/>
      </c>
      <c r="C21322" t="n">
        <v>3</v>
      </c>
      <c r="D21322" t="inlineStr">
        <is>
          <t>Lav'Hache; Collier de Tourthon; Bague Gloursonne; Anneau de Brouce; Bouclier précieux; Ceinture de la Reine des Voleurs; Coiffe de la Reine des Voleurs; Cape au Logis; Baleinabottes; Dofus Émeraude; Dofus Abyssal; Dofus Pourpre; Dofus Ocre; Obstructeur majeur; Enragé majeur; Givrefoux</t>
        </is>
      </c>
    </row>
    <row r="21323">
      <c r="A21323" t="inlineStr">
        <is>
          <t>Crâ F 200</t>
        </is>
      </c>
      <c r="B21323">
        <f>HYPERLINK("https://www.dofusbook.net/fr/equipement/4433907-cra-f-200/objets", "link")</f>
        <v/>
      </c>
      <c r="C21323" t="n">
        <v>3</v>
      </c>
      <c r="D21323" t="inlineStr">
        <is>
          <t>Epée Gloursonne; Amulette du Strigide; Bague Gloursonne; Alliance Gloursonne; Quatre-feuilles; Ceinture du Strigide; Masque Vaudou Tam; Cape de Jahash Jurgen; Bottes du Strigide; Dofus Pourpre; Dofus des Glaces; Dofus Ébène; Dofus Turquoise; Dolmanax; Dofus Ocre; Kokulte</t>
        </is>
      </c>
    </row>
    <row r="21324">
      <c r="A21324" t="inlineStr">
        <is>
          <t>duo proto</t>
        </is>
      </c>
      <c r="B21324">
        <f>HYPERLINK("https://www.dofusbook.net/fr/equipement/4442358-duo-proto/objets", "link")</f>
        <v/>
      </c>
      <c r="C21324" t="n">
        <v>0</v>
      </c>
      <c r="D21324" t="inlineStr">
        <is>
          <t>Arc Nécrotique; Amulette du Strigide; Anneau Tique; Alliance Gloursonne; Bouclier précieux; Ceintacé; Casque Dragoeuf; Cape de la Dame du Hasard; Bottes de la Dame du Hasard; Dokoko; Dofus Ocre; Dofus Ivoire; Nomade; Bloqueur majeur; Obstructeur majeur; Muldo Roux et Amande</t>
        </is>
      </c>
    </row>
    <row r="21325">
      <c r="A21325" t="inlineStr">
        <is>
          <t>item légendaire</t>
        </is>
      </c>
      <c r="B21325">
        <f>HYPERLINK("https://www.dofusbook.net/fr/equipement/4403093-item-legendaire/objets", "link")</f>
        <v/>
      </c>
      <c r="C21325" t="n">
        <v>0</v>
      </c>
      <c r="D21325" t="inlineStr">
        <is>
          <t>Arc Volkorne; Amulette du Strigide; Bracelet du Piloztère; Anneau de Padgref; Quatre-feuilles; Ceinture du Strigide; Coiffe de Padgref; Cape de Jahash Jurgen; Getas de Padgref; Dofus Ocre; Dofus Nébuleux; Dofus Pourpre; Dolmanax; Dofus Turquoise; Dofus des Glaces; Muldo Prune et Emeraude</t>
        </is>
      </c>
    </row>
    <row r="21326">
      <c r="A21326" t="inlineStr">
        <is>
          <t>stri-fuji</t>
        </is>
      </c>
      <c r="B21326">
        <f>HYPERLINK("https://www.dofusbook.net/fr/equipement/3082359-stri-fuji/objets", "link")</f>
        <v/>
      </c>
      <c r="C21326" t="n">
        <v>0</v>
      </c>
      <c r="D21326" t="inlineStr">
        <is>
          <t>Arc du Chalœil; Amulette du Strigide; Bague Gloursonne; Bracelet du Piloztère; Quatre-feuilles; Ceinture du Strigide; Coiffe de la Fuji Givrefoux; Cape de la Fuji Givrefoux; Bottes du Strigide; Dolmanax; Dofus Ocre; Dofus Pourpre; Dofus des Glaces; Dofus Turquoise; Dofus Abyssal; Kokulte</t>
        </is>
      </c>
    </row>
    <row r="21327">
      <c r="A21327" t="inlineStr">
        <is>
          <t>full pp</t>
        </is>
      </c>
      <c r="B21327">
        <f>HYPERLINK("https://www.dofusbook.net/fr/equipement/3968641-full-pp/objets", "link")</f>
        <v/>
      </c>
      <c r="C21327" t="n">
        <v>1</v>
      </c>
      <c r="D21327" t="inlineStr">
        <is>
          <t>Hache à Lamelles; Collier du Minotot; Anneau Bliteré; Bracelet du Minotot; Quatre-feuilles; Tranche des Sous-bois; Casque Harnage; Cape du Minotot; Bottines des sous-bois; Dofus Kaliptus; Dolmanax; Dokille; Taquin; Taquin majeur; Joueur majeur; Hurledent</t>
        </is>
      </c>
    </row>
    <row r="21328">
      <c r="A21328" t="inlineStr">
        <is>
          <t>Panda koli feu</t>
        </is>
      </c>
      <c r="B21328">
        <f>HYPERLINK("https://www.dofusbook.net/fr/equipement/3817533-panda-koli-feu/objets", "link")</f>
        <v/>
      </c>
      <c r="C21328" t="n">
        <v>0</v>
      </c>
      <c r="D21328" t="inlineStr">
        <is>
          <t>Arc corrompu; Amulette de Nileza; Anneauræus; Anneauræus; Bouclier du Stalak; Ceinture de Vortex; Heaume Oplate; Cape de Nileza; Bottes Innommables; Dofus Ocre; Dofus Abyssal; Dofus Pourpre; Dofus Ivoire; Érudit majeur; Nomade; El Scarador</t>
        </is>
      </c>
    </row>
    <row r="21329">
      <c r="A21329" t="inlineStr">
        <is>
          <t>cha/int 200ret pm</t>
        </is>
      </c>
      <c r="B21329">
        <f>HYPERLINK("https://www.dofusbook.net/fr/equipement/644858-cha-int-200ret-pm/objets", "link")</f>
        <v/>
      </c>
      <c r="C21329" t="n">
        <v>1</v>
      </c>
      <c r="D21329" t="inlineStr">
        <is>
          <t>Pelle Dorado; Collier de la Dame du Hasard; Anneau Tamie; Anneau Tamie; Bouclier cubiste; Ceinture Instable; Kidibonnet; Cape de la Dame du Hasard; Bottes de Meno; Entraveur majeur; Temporiseur; Temporiseur majeur; Remueur; Nomade; Ralentisseur majeur</t>
        </is>
      </c>
    </row>
    <row r="21330">
      <c r="A21330" t="inlineStr">
        <is>
          <t>lonnie</t>
        </is>
      </c>
      <c r="B21330">
        <f>HYPERLINK("https://www.dofusbook.net/fr/equipement/3800622-lonnie/objets", "link")</f>
        <v/>
      </c>
      <c r="C21330" t="n">
        <v>0</v>
      </c>
      <c r="D21330" t="inlineStr">
        <is>
          <t>Bâton Beau; Amulette du Strigide; Anneau de Padgref; Bracelet du Piloztère; Quatre-feuilles; Ceintacé; Le Dorado; Chevelure de Tal Kasha; Bottes du Strigide; Dofus Turquoise; Dofus Pourpre; Dofus des Glaces; Nomade; Remueur; Vigoureux majeur; Muldo Prune et Emeraude</t>
        </is>
      </c>
    </row>
    <row r="21331">
      <c r="A21331" t="inlineStr">
        <is>
          <t>Pandawa Tank/resi</t>
        </is>
      </c>
      <c r="B21331">
        <f>HYPERLINK("https://www.dofusbook.net/fr/equipement/3651932-pandawa-tank-resi/objets", "link")</f>
        <v/>
      </c>
      <c r="C21331" t="n">
        <v>21</v>
      </c>
      <c r="D21331" t="inlineStr">
        <is>
          <t>Pelle de la Cour Sombre; Collier du Valet Veinard; Alliance Gloursonne; Gant du Valet Veinard; Bouclier précieux; Ceintouse; Casque Dragoeuf; Cape d'Hel Munster; Chaussures Face; Dofus Émeraude; Dofus Ocre; Dofus Ivoire; Nomade; Remueur; Miraculé majeur; Givrefoux</t>
        </is>
      </c>
    </row>
    <row r="21332">
      <c r="A21332" t="inlineStr">
        <is>
          <t>test 1</t>
        </is>
      </c>
      <c r="B21332">
        <f>HYPERLINK("https://www.dofusbook.net/fr/equipement/2420642-test-1/objets", "link")</f>
        <v/>
      </c>
      <c r="C21332" t="n">
        <v>0</v>
      </c>
      <c r="D21332" t="inlineStr">
        <is>
          <t>Dagues Érhy; Amulette du Strigide; Pikano; Chevalière du Roi Joueur; Ceinture du Strigide; Le Dorado; Voile d'encre; Bottes du Lévitrof; Dofus des Glaces; Dofus Pourpre; Dofus Turquoise; Temporiseur majeur; Remueur; Vigoureux majeur; Muldo Prune et Doré</t>
        </is>
      </c>
    </row>
    <row r="21333">
      <c r="A21333" t="inlineStr">
        <is>
          <t>Stuff 200</t>
        </is>
      </c>
      <c r="B21333">
        <f>HYPERLINK("https://www.dofusbook.net/fr/equipement/2124034-stuff-200/objets", "link")</f>
        <v/>
      </c>
      <c r="C21333" t="n">
        <v>0</v>
      </c>
      <c r="D21333" t="inlineStr">
        <is>
          <t>Manthache; Collier du Valet Veinard; Alliance Gloursonne; Gant du Valet Veinard; Bouclier du Stalak; Menoture; Dorabysses; Cape Indescriptible; Palmes Trithons; Dofus Pourpre; Remueur; Equilibriste majeur; Vigoureux majeur; Cascadeur majeur; Nomade; Kramkram</t>
        </is>
      </c>
    </row>
    <row r="21334">
      <c r="A21334" t="inlineStr">
        <is>
          <t>terre/feu</t>
        </is>
      </c>
      <c r="B21334">
        <f>HYPERLINK("https://www.dofusbook.net/fr/equipement/2057275-terre-feu/objets", "link")</f>
        <v/>
      </c>
      <c r="C21334" t="n">
        <v>0</v>
      </c>
      <c r="D21334" t="inlineStr">
        <is>
          <t>Arc Hétype; Amulette de Gein; Bague Gloursonne; Chevalière du Roi Joueur; Quatre-feuilles; Ceinture de Gein; Chapeau de Gein; Voile d'encre; Bottes du Roi Joueur; Dofus Pourpre; Dofus des Glaces; Dofus Turquoise; Dofus Abyssal; Dolmanax; Dofus Ocre; Muldo Prune et Doré</t>
        </is>
      </c>
    </row>
    <row r="21335">
      <c r="A21335" t="inlineStr">
        <is>
          <t>multitest</t>
        </is>
      </c>
      <c r="B21335">
        <f>HYPERLINK("https://www.dofusbook.net/fr/equipement/1963938-multitest/objets", "link")</f>
        <v/>
      </c>
      <c r="C21335" t="n">
        <v>0</v>
      </c>
      <c r="D21335" t="inlineStr">
        <is>
          <t>Arc du Chalœil; Amulette du Strigide; Alliance Brûlâme; Bracelet du Piloztère; Quatre-feuilles; Ceinture du Strigide; Masque Brûlâme; Voile d'encre; Bottes du Strigide; Dofus des Glaces; Dofus Pourpre; Dofus Abyssal; Dofus Turquoise; Dolmanax; Dofus Ocre; Muldo Prune et Doré</t>
        </is>
      </c>
    </row>
    <row r="21336">
      <c r="A21336" t="inlineStr">
        <is>
          <t>full agi</t>
        </is>
      </c>
      <c r="B21336">
        <f>HYPERLINK("https://www.dofusbook.net/fr/equipement/1955535-full-agi/objets", "link")</f>
        <v/>
      </c>
      <c r="C21336" t="n">
        <v>4</v>
      </c>
      <c r="D21336" t="inlineStr">
        <is>
          <t>La Racine Hagogue; Collier du Valet Veinard; Anneau d'Allister; Gant du Valet Veinard; Bouclier du Stalak; Ceinture de Nevark; Couronne d'Allister; Cape du Valet Veinard; Bottes d'Allister; Dolmanax; Dofus des Glaces; Dofus Ocre; Saccageur Air majeur; Féroce majeur; Ravageur Air majeur; Dragodinde Emeraude et Rousse</t>
        </is>
      </c>
    </row>
    <row r="21337">
      <c r="A21337" t="inlineStr">
        <is>
          <t>duo meno</t>
        </is>
      </c>
      <c r="B21337">
        <f>HYPERLINK("https://www.dofusbook.net/fr/equipement/1770376-duo-meno/objets", "link")</f>
        <v/>
      </c>
      <c r="C21337" t="n">
        <v>0</v>
      </c>
      <c r="D21337" t="inlineStr">
        <is>
          <t>Dagues Érhy; Amulette du Strigide; Anneau de Brouce; Chevalière du Roi Joueur; Quatre-feuilles; Ceinture de Gein; Chapeau de Gein; Cape Routh; Pataugastrique; Dofus Nébuleux; Dofus Ocre; Dofus Pourpre; Dokoko; Dolmanax; Fonceur majeur; Muldo Prune et Doré</t>
        </is>
      </c>
    </row>
    <row r="21338">
      <c r="A21338" t="inlineStr">
        <is>
          <t>duo meno</t>
        </is>
      </c>
      <c r="B21338">
        <f>HYPERLINK("https://www.dofusbook.net/fr/equipement/1773854-duo-meno/objets", "link")</f>
        <v/>
      </c>
      <c r="C21338" t="n">
        <v>0</v>
      </c>
      <c r="D21338" t="inlineStr">
        <is>
          <t>L'Épée Nice; Collier de Tourthon; Bracelet du Piloztère; Alliance Gloursonne; Bouclier du Stalak; Ceinture de XLII; Masque de Koutoulou; Voile d'encre; Bottes de XLII; Dokoko; Dofus Émeraude; Dofus des Veilleurs; Remueur; Survivant majeur; Miraculé majeur; Brâkarien</t>
        </is>
      </c>
    </row>
    <row r="21339">
      <c r="A21339" t="inlineStr">
        <is>
          <t>ret pm no exo</t>
        </is>
      </c>
      <c r="B21339">
        <f>HYPERLINK("https://www.dofusbook.net/fr/equipement/1111965-ret-pm-no-exo/objets", "link")</f>
        <v/>
      </c>
      <c r="C21339" t="n">
        <v>2</v>
      </c>
      <c r="D21339" t="inlineStr">
        <is>
          <t>Dagues Açantes; Amulette Hale; Alliance Gloursonne; Pikano; Bouclier cubiste; Ceinture Instable; Kidibonnet; Cape Matelassée; Chaussures Face; Ralentisseur majeur; Remueur; Entraveur majeur; Entraveur; Temporiseur majeur; Muldo Doré et Amande</t>
        </is>
      </c>
    </row>
    <row r="21340">
      <c r="A21340" t="inlineStr">
        <is>
          <t>duo koutoulou 2</t>
        </is>
      </c>
      <c r="B21340">
        <f>HYPERLINK("https://www.dofusbook.net/fr/equipement/1175472-duo-koutoulou-2/objets", "link")</f>
        <v/>
      </c>
      <c r="C21340" t="n">
        <v>0</v>
      </c>
      <c r="D21340" t="inlineStr">
        <is>
          <t>Le Thanos; Amulette du Strigide; Bague Gloursonne; Kralano; Cadran d'Air; Ceinture Séculaire; Coiffe Séculaire; Cape de Nileza; Bottes d'Otomaï; Dofus Ocre; Dokoko; Dofus des Glaces; Dofus Émeraude; Dofus Pourpre; Remueur; Muldo Doré</t>
        </is>
      </c>
    </row>
    <row r="21341">
      <c r="A21341" t="inlineStr">
        <is>
          <t>Stuff 2</t>
        </is>
      </c>
      <c r="B21341">
        <f>HYPERLINK("https://www.dofusbook.net/fr/equipement/644866-stuff-2/objets", "link")</f>
        <v/>
      </c>
      <c r="C21341" t="n">
        <v>0</v>
      </c>
      <c r="D21341" t="inlineStr">
        <is>
          <t>Dagues Érhy; Amulette du Strigide; Bague Gloursonne; Alliance de Missiz Frizz; Bouclier Taverne; Ceinture du Strigide; Casque de Missiz Frizz; Cape du Professeur Xa; Bottes du Strigide; Dofus des Glaces; Dofus Turquoise; Dofus Pourpre; Dofus Ocre; Dofus Émeraude; Forcené majeur; Kramkram</t>
        </is>
      </c>
    </row>
    <row r="21342">
      <c r="A21342" t="inlineStr">
        <is>
          <t>Sadida M 200</t>
        </is>
      </c>
      <c r="B21342">
        <f>HYPERLINK("https://www.dofusbook.net/fr/equipement/4658420-sadida-m-200/objets", "link")</f>
        <v/>
      </c>
      <c r="C21342" t="n">
        <v>38</v>
      </c>
      <c r="D21342" t="inlineStr">
        <is>
          <t>Lav'Hache; Amulette du Cœur Saignant; Anneau Chevelu; Anneau en Grithril; Bouclier du Stalak; Ceinture en Grithril; Casque en Grithril; Cape du Cœur Saignant; Bottes du Cœur Saignant; Dofus Pourpre; Dofus Abyssal; Dofus Vulbis; Dofus Ivoire; Dofus Ébène; Dofus Ocre; Dragodinde Amande et Pourpre</t>
        </is>
      </c>
    </row>
    <row r="21343">
      <c r="A21343" t="inlineStr">
        <is>
          <t>Iop F 200</t>
        </is>
      </c>
      <c r="B21343">
        <f>HYPERLINK("https://www.dofusbook.net/fr/equipement/4115311-iop-f-200/objets", "link")</f>
        <v/>
      </c>
      <c r="C21343" t="n">
        <v>26</v>
      </c>
      <c r="D21343" t="inlineStr">
        <is>
          <t>Marteau R'ture; Amulette du Cœur Saignant; Anneau Chevelu; Anneau Volkorne; Cadran d'Eau; Ceinture Volkorne; Masque de Koutoulou; Cape au Logis; Bottes du Cœur Saignant; Dofus Ivoire; Dofus Pourpre; Dofus Ébène; Dofus Ocre; Dofus Turquoise; Dragodinde Emeraude et Pourpre</t>
        </is>
      </c>
    </row>
    <row r="21344">
      <c r="A21344" t="inlineStr">
        <is>
          <t>Steamer F 200</t>
        </is>
      </c>
      <c r="B21344">
        <f>HYPERLINK("https://www.dofusbook.net/fr/equipement/4212253-steamer-f-200/objets", "link")</f>
        <v/>
      </c>
      <c r="C21344" t="n">
        <v>16</v>
      </c>
      <c r="D21344" t="inlineStr">
        <is>
          <t>Arc Nécrotique; Amulette Volkorne; Bague Trithon; Anneau Volkorne; Quatre-feuilles; Ceintacé; Masque Trithon; Cape de la Dame du Hasard; Bottes de la Dame du Hasard; Dofus Ocre; Dofus Vulbis; Dofus Ébène; Dofus des Glaces; Dofus Turquoise; Dofus Ivoire; Kokulte</t>
        </is>
      </c>
    </row>
    <row r="21345">
      <c r="A21345" t="inlineStr">
        <is>
          <t>Eliotrope M 200</t>
        </is>
      </c>
      <c r="B21345">
        <f>HYPERLINK("https://www.dofusbook.net/fr/equipement/4787494-eliotrope-m-200/objets", "link")</f>
        <v/>
      </c>
      <c r="C21345" t="n">
        <v>16</v>
      </c>
      <c r="D21345" t="inlineStr">
        <is>
          <t>Arc du Chalœil; Amulette du Strigide; Bague Gloursonne; Anneau Volkorne; Quatre-feuilles; Ceinture Volkorne; Masque de Koutoulou; Cape au Logis; Bottes du Strigide; Dofus Turquoise; Dofus Ébène; Dofus Ocre; Dofus Abyssal; Dofus Pourpre; Dofus Ivoire; Dragodinde Amande et Pourpre</t>
        </is>
      </c>
    </row>
    <row r="21346">
      <c r="A21346" t="inlineStr">
        <is>
          <t>Xélor M 200</t>
        </is>
      </c>
      <c r="B21346">
        <f>HYPERLINK("https://www.dofusbook.net/fr/equipement/4848413-xelor-m-200/objets", "link")</f>
        <v/>
      </c>
      <c r="C21346" t="n">
        <v>0</v>
      </c>
      <c r="D21346" t="inlineStr">
        <is>
          <t>Arc du Chalœil; Amulette du Cœur Saignant; Anneau de Brouce; Cadran d'Eau; Ceinture de la Cour Sombre; Masque de Koutoulou; Bravoure de Rykke Errel; Bottes de la Cour Sombre; Dofus Vulbis; Dofus Ocre; Dofus Turquoise; Dofus Ivoire; Évasif majeur; Enragé majeur; Rauleur</t>
        </is>
      </c>
    </row>
    <row r="21347">
      <c r="A21347" t="inlineStr">
        <is>
          <t>Zobal M 200</t>
        </is>
      </c>
      <c r="B21347">
        <f>HYPERLINK("https://www.dofusbook.net/fr/equipement/4494458-zobal-m-200/objets", "link")</f>
        <v/>
      </c>
      <c r="C21347" t="n">
        <v>11</v>
      </c>
      <c r="D21347" t="inlineStr">
        <is>
          <t>Dagues Ricol; Amulette Volkorne; Anneau Tique; Anneauræus; Cadran d'Eau; Ceinture Volkorne; Heaume Oplate; Cape de la Dame du Hasard; Bottes de la Dame du Hasard; Dofus Ivoire; Dofus Ocre; Dofus Ébène; Dofus Abyssal; Dofus Pourpre; Dofus Turquoise; Kokulte</t>
        </is>
      </c>
    </row>
    <row r="21348">
      <c r="A21348" t="inlineStr">
        <is>
          <t>Osamodas F 200</t>
        </is>
      </c>
      <c r="B21348">
        <f>HYPERLINK("https://www.dofusbook.net/fr/equipement/4720576-osamodas-f-200/objets", "link")</f>
        <v/>
      </c>
      <c r="C21348" t="n">
        <v>5</v>
      </c>
      <c r="D21348" t="inlineStr">
        <is>
          <t>Arc corrompu; Amulette Volkorne; Anneauræus; Anneauræus; Droiture de Fallanster; Ceinture Volkorne; Casque Dragoeuf; Bravoure de Rykke Errel; Bottes Dogues; Dofus Ébène; Dofus Ocre; Dofus Abyssal; Dofus Ivoire; Érudit majeur; Remueur; Dragodinde Dorée et Orchidée</t>
        </is>
      </c>
    </row>
    <row r="21349">
      <c r="A21349" t="inlineStr">
        <is>
          <t>Crâ M 200</t>
        </is>
      </c>
      <c r="B21349">
        <f>HYPERLINK("https://www.dofusbook.net/fr/equipement/4468133-cra-m-200/objets", "link")</f>
        <v/>
      </c>
      <c r="C21349" t="n">
        <v>9</v>
      </c>
      <c r="D21349" t="inlineStr">
        <is>
          <t>Arc du Chalœil; Amulette du Cœur Saignant; Anneau Chevelu; Bague Gloursonne; Quatre-feuilles; Ceinture Volkorne; Masque de Koutoulou; Cape au Logis; Bottes du Cœur Saignant; Dofus Turquoise; Dofus Pourpre; Dofus Ivoire; Dofus Ébène; Enragé majeur; Remueur; Dragodinde Emeraude et Pourpre</t>
        </is>
      </c>
    </row>
    <row r="21350">
      <c r="A21350" t="inlineStr">
        <is>
          <t>Crâ M 200</t>
        </is>
      </c>
      <c r="B21350">
        <f>HYPERLINK("https://www.dofusbook.net/fr/equipement/4931049-cra-m-200/objets", "link")</f>
        <v/>
      </c>
      <c r="C21350" t="n">
        <v>10</v>
      </c>
      <c r="D21350" t="inlineStr">
        <is>
          <t>Arc du Chalœil; Amulette du Strigide; Pikano; Anneau Volkorne; Quatre-feuilles; Ceinture Volkorne; Kidibonnet; Cape au Logis; Bottes du Strigide; Dofus Ocre; Dofus Ébène; Dofus Ivoire; Dofus Pourpre; Dofus Nébuleux; Dofus Turquoise; Bébé Pandawa</t>
        </is>
      </c>
    </row>
    <row r="21351">
      <c r="A21351" t="inlineStr">
        <is>
          <t>Ecaflip M 200</t>
        </is>
      </c>
      <c r="B21351">
        <f>HYPERLINK("https://www.dofusbook.net/fr/equipement/4526181-ecaflip-m-200/objets", "link")</f>
        <v/>
      </c>
      <c r="C21351" t="n">
        <v>11</v>
      </c>
      <c r="D21351" t="inlineStr">
        <is>
          <t>Arc Volkorne; Amulette du Strigide; Alliance Gloursonne; Anneau Volkorne; Bouclier du Stalak; Ceinture Volkorne; Le Dorado; Cape de Jahash Jurgen; Bottes du Strigide; Dofus Turquoise; Dofus Abyssal; Dofus Ébène; Dofus Pourpre; Dofus Ivoire</t>
        </is>
      </c>
    </row>
    <row r="21352">
      <c r="A21352" t="inlineStr">
        <is>
          <t>Zobal M 200</t>
        </is>
      </c>
      <c r="B21352">
        <f>HYPERLINK("https://www.dofusbook.net/fr/equipement/4845237-zobal-m-200/objets", "link")</f>
        <v/>
      </c>
      <c r="C21352" t="n">
        <v>19</v>
      </c>
      <c r="D21352" t="inlineStr">
        <is>
          <t>Spatule Tranche-Gourmands; Amulette du Strigide; Anneau des égarés; Alliance Brûlâme; Cadran d'Eau; Ceinture Volkorne; Casque Volkorne; Cape au Logis; Baleinabottes; Dofus Turquoise; Dofus des Glaces; Dofus Ivoire; Dofus Pourpre; Dofus Ocre; Kokulte</t>
        </is>
      </c>
    </row>
    <row r="21353">
      <c r="A21353" t="inlineStr">
        <is>
          <t>Eliotrope M 200</t>
        </is>
      </c>
      <c r="B21353">
        <f>HYPERLINK("https://www.dofusbook.net/fr/equipement/4712200-eliotrope-m-200/objets", "link")</f>
        <v/>
      </c>
      <c r="C21353" t="n">
        <v>14</v>
      </c>
      <c r="D21353" t="inlineStr">
        <is>
          <t>Arc corrompu; Amulette Volkorne; Anneauræus; Anneauræus; Bouclier du Stalak; Ceinture Volkorne; Heaume Oplate; Voile d'encre; Bottes Innommables; Dofus Abyssal; Dofus Ocre; Dofus Ébène; Dofus Vulbis; Dofus Ivoire; Érudit majeur; Dragodinde Ivoire et Orchidée</t>
        </is>
      </c>
    </row>
    <row r="21354">
      <c r="A21354" t="inlineStr">
        <is>
          <t>Féca M 200</t>
        </is>
      </c>
      <c r="B21354">
        <f>HYPERLINK("https://www.dofusbook.net/fr/equipement/4780816-feca-m-200/objets", "link")</f>
        <v/>
      </c>
      <c r="C21354" t="n">
        <v>33</v>
      </c>
      <c r="D21354" t="inlineStr">
        <is>
          <t>Lav'Hache; Amulette du Strigide; Anneau Crustique; Anneau Chevelu; Bouclier d'Ilyzaelle; Ceintouse; Masque de Koutoulou; Cape de la Cour Sombre; Bottes de la Cour Sombre; Dofus Abyssal; Dofus Ocre; Dofus Ivoire; Nomade; Étourdisseur majeur; Enragé majeur; Drakopin</t>
        </is>
      </c>
    </row>
    <row r="21355">
      <c r="A21355" t="inlineStr">
        <is>
          <t>Ecaflip M 200</t>
        </is>
      </c>
      <c r="B21355">
        <f>HYPERLINK("https://www.dofusbook.net/fr/equipement/4668863-ecaflip-m-200/objets", "link")</f>
        <v/>
      </c>
      <c r="C21355" t="n">
        <v>13</v>
      </c>
      <c r="D21355" t="inlineStr">
        <is>
          <t>Lav'Hache; Torquistik; Anneau Chevelu; Bague Trithon; Bouclier d'Ilyzaelle; Ceinture Gence; Masque de Koutoulou; Bravoure de Rykke Errel; Bottistik; Dofus Abyssal; Dofus Ivoire; Dofus Vulbis; Dofus Pourpre; Culbuteur majeur; Black Tiwabbit</t>
        </is>
      </c>
    </row>
    <row r="21356">
      <c r="A21356" t="inlineStr">
        <is>
          <t>Ecaflip M 200</t>
        </is>
      </c>
      <c r="B21356">
        <f>HYPERLINK("https://www.dofusbook.net/fr/equipement/5076670-ecaflip-m-200/objets", "link")</f>
        <v/>
      </c>
      <c r="C21356" t="n">
        <v>7</v>
      </c>
      <c r="D21356" t="inlineStr">
        <is>
          <t>Arc du Chalœil; Amulette du Strigide; Anneau Chevelu; Bague Trithon; Bouclier d'Ilyzaelle; Ceinture Gence; Masque Trithon; Bravoure de Rykke Errel; Bottes du Strigide; Dofus Vulbis; Dofus Turquoise; Dofus Ivoire; Dofus Pourpre; Dofus Ébène; Black Tiwabbit</t>
        </is>
      </c>
    </row>
    <row r="21357">
      <c r="A21357" t="inlineStr">
        <is>
          <t>Sadida F 200</t>
        </is>
      </c>
      <c r="B21357">
        <f>HYPERLINK("https://www.dofusbook.net/fr/equipement/3830787-sadida-f-200/objets", "link")</f>
        <v/>
      </c>
      <c r="C21357" t="n">
        <v>50</v>
      </c>
      <c r="D21357" t="inlineStr">
        <is>
          <t>Arc Honte; Amulette de l'Œil Putride; Bague Gloursonne; Alliance Gloursonne; Bouclier du Stalak; Ceinture de l'Esprit Salvateur; Masque de l'Esprit Salvateur; Cape de l'Œil Putride; Bottes de l'Esprit Salvateur; Dolmanax; Dofus des Glaces; Dofus Ébène; Dofus Ivoire; Dofus Abyssal; Dofus Ocre; Léopardo</t>
        </is>
      </c>
    </row>
    <row r="21358">
      <c r="A21358" t="inlineStr">
        <is>
          <t>Iop M 200</t>
        </is>
      </c>
      <c r="B21358">
        <f>HYPERLINK("https://www.dofusbook.net/fr/equipement/4781785-iop-m-200/objets", "link")</f>
        <v/>
      </c>
      <c r="C21358" t="n">
        <v>12</v>
      </c>
      <c r="D21358" t="inlineStr">
        <is>
          <t>Manthache; Collier du Valet Veinard; Alliance Gloursonne; Gant du Valet Veinard; Bouclier d'Ilyzaelle; Menoture; Dorabysses; Cape Martegel; Palmes Trithons; Dofus Ocre; Dofus Pourpre; Dofus Abyssal; Dofus Vulbis; Dofus Ivoire; Cascadeur majeur; Dragodinde Ebène et Ivoire</t>
        </is>
      </c>
    </row>
    <row r="21359">
      <c r="A21359" t="inlineStr">
        <is>
          <t>Sacrieur M 200</t>
        </is>
      </c>
      <c r="B21359">
        <f>HYPERLINK("https://www.dofusbook.net/fr/equipement/4669496-sacrieur-m-200/objets", "link")</f>
        <v/>
      </c>
      <c r="C21359" t="n">
        <v>19</v>
      </c>
      <c r="D21359" t="inlineStr">
        <is>
          <t>Pelle de la Cour Sombre; Amulette Martegel; Alliance Gloursonne; Alliance Brûlâme; Bouclier d'Ilyzaelle; Sangle Oriole; Chapeau de Tournoyé; Capibou; Pantoufles Émar; Dofus Ivoire; Dofus Abyssal; Dofus Vulbis; Dofus Ocre; Dofus Pourpre; Évasif majeur; Dragodinde Ebène et Ivoire</t>
        </is>
      </c>
    </row>
    <row r="21360">
      <c r="A21360" t="inlineStr">
        <is>
          <t>Sacrieur M 200</t>
        </is>
      </c>
      <c r="B21360">
        <f>HYPERLINK("https://www.dofusbook.net/fr/equipement/4558722-sacrieur-m-200/objets", "link")</f>
        <v/>
      </c>
      <c r="C21360" t="n">
        <v>7</v>
      </c>
      <c r="D21360" t="inlineStr">
        <is>
          <t>Manthache; Collier du Valet Veinard; Alliance Gloursonne; Gant du Valet Veinard; Bouclier d'Ilyzaelle; Menoture; Dorabysses; Cape Martegel; Palmes Trithons; Dofus Ivoire; Dofus Abyssal; Dofus Vulbis; Dofus Ocre; Dofus Ébène; Cascadeur majeur; Dragodinde Ebène et Ivoire</t>
        </is>
      </c>
    </row>
    <row r="21361">
      <c r="A21361" t="inlineStr">
        <is>
          <t>Sacrieur M 200</t>
        </is>
      </c>
      <c r="B21361">
        <f>HYPERLINK("https://www.dofusbook.net/fr/equipement/4008664-sacrieur-m-200/objets", "link")</f>
        <v/>
      </c>
      <c r="C21361" t="n">
        <v>6</v>
      </c>
      <c r="D21361" t="inlineStr">
        <is>
          <t>Manthache; Collier Rophante; Gant du Valet Veinard; Alliance Gloursonne; Bouclier d'Ilyzaelle; Sangle Oriole; Cape du Kamasterisk; Palmes Trithons; Dofus Ocre; Dofus Ivoire; Dofus Émeraude; Dofus Abyssal; Miraculé majeur; Cascadeur majeur</t>
        </is>
      </c>
    </row>
    <row r="21362">
      <c r="A21362" t="inlineStr">
        <is>
          <t>Féca M 200</t>
        </is>
      </c>
      <c r="B21362">
        <f>HYPERLINK("https://www.dofusbook.net/fr/equipement/4188406-feca-m-200/objets", "link")</f>
        <v/>
      </c>
      <c r="C21362" t="n">
        <v>5</v>
      </c>
      <c r="D21362" t="inlineStr">
        <is>
          <t>Epée Maudite du Saigneur Guerrier; Amulette du Strigide; Bague Trithon; Anneau de Padgref; Bouclier du Captain Amakna; Ceintacé; Coiffe de Padgref; Cape des Justiciers; Bottes du Strigide; Dofus des Glaces; Dofus Pourpre; Dofus Ivoire; Dofus Turquoise; Kokulte</t>
        </is>
      </c>
    </row>
    <row r="21363">
      <c r="A21363" t="inlineStr">
        <is>
          <t>Ecaflip M 200</t>
        </is>
      </c>
      <c r="B21363">
        <f>HYPERLINK("https://www.dofusbook.net/fr/equipement/4845503-ecaflip-m-200/objets", "link")</f>
        <v/>
      </c>
      <c r="C21363" t="n">
        <v>21</v>
      </c>
      <c r="D21363" t="inlineStr">
        <is>
          <t>Arc Volkorne; Amulette du Strigide; Anneau Volkorne; Alliance Gloursonne; Bouclier du Stalak; Ceinture Volkorne; Casque Volkorne; Cape de Jahash Jurgen; Bottes du Strigide; Dofus des Glaces; Dofus Ivoire; Dofus Ocre; Dolmanax; Dofus Pourpre; Dofus Turquoise</t>
        </is>
      </c>
    </row>
    <row r="21364">
      <c r="A21364" t="inlineStr">
        <is>
          <t>Ouginak M 200</t>
        </is>
      </c>
      <c r="B21364">
        <f>HYPERLINK("https://www.dofusbook.net/fr/equipement/4720910-ouginak-m-200/objets", "link")</f>
        <v/>
      </c>
      <c r="C21364" t="n">
        <v>13</v>
      </c>
      <c r="D21364" t="inlineStr">
        <is>
          <t>Rapière aux Glyphes; Amulette de Shokkoth; Alliance Gloursonne; Anneau Volkorne; Bouclier du Stalak; Ceinture Glaciale; Kidibonnet; Cape du Sinistrofu; Bottes du Sinistrofu; Dofus des Glaces; Dofus Pourpre; Dofus Ébène; Dofus Ocre; Dofus Vulbis; Dofus Ivoire; Dragodinde Indigo et Ivoire</t>
        </is>
      </c>
    </row>
    <row r="21365">
      <c r="A21365" t="inlineStr">
        <is>
          <t>Xélor F 200</t>
        </is>
      </c>
      <c r="B21365">
        <f>HYPERLINK("https://www.dofusbook.net/fr/equipement/5079674-xelor-f-200/objets", "link")</f>
        <v/>
      </c>
      <c r="C21365" t="n">
        <v>0</v>
      </c>
      <c r="D21365" t="inlineStr">
        <is>
          <t>Arc corrompu; Amulette Volkorne; Bague Gloursonne; Anneauræus; Quatre-feuilles; Ceinture Volkorne; Heaume Oplate; Cape de Jahash Jurgen; Bottes de la Dame du Hasard; Dofus Turquoise; Dofus Ébène; Dofus Pourpre; Dofus Ocre; Dofus Vulbis; Dofus Ivoire; Dragodinde Emeraude et Orchidée</t>
        </is>
      </c>
    </row>
    <row r="21366">
      <c r="A21366" t="inlineStr">
        <is>
          <t>Sram F 200</t>
        </is>
      </c>
      <c r="B21366">
        <f>HYPERLINK("https://www.dofusbook.net/fr/equipement/5077671-sram-f-200/objets", "link")</f>
        <v/>
      </c>
      <c r="C21366" t="n">
        <v>1</v>
      </c>
      <c r="D21366" t="inlineStr">
        <is>
          <t>Baguette de Malléfisk; Amulette Volkorne; Bague Gloursonne; Anneauræus; Bouclier du Stalak; Ceinture Volkorne; Heaume Oplate; Cape de Diondin; Bottes Innommables; Dofus Abyssal; Dofus Ébène; Dofus Ivoire; Dofus Pourpre; Dofus Vulbis; Érudit majeur; Dragodinde Ivoire et Orchidée</t>
        </is>
      </c>
    </row>
    <row r="21367">
      <c r="A21367" t="inlineStr">
        <is>
          <t>Zobal M 200</t>
        </is>
      </c>
      <c r="B21367">
        <f>HYPERLINK("https://www.dofusbook.net/fr/equipement/5077644-zobal-m-200/objets", "link")</f>
        <v/>
      </c>
      <c r="C21367" t="n">
        <v>2</v>
      </c>
      <c r="D21367" t="inlineStr">
        <is>
          <t>Sabres d'Atcham; Amulette Volkorne; Anneau Tique; Anneau Volkorne; Cadran d'Eau; Ceintacé; Casque Volkorne; Cape d'Atcham; Sandales  d'Atcham; Dofus Pourpre; Dofus Ébène; Dofus Turquoise; Dofus des Glaces; Dofus Abyssal; Dofus Ivoire; Kokulte</t>
        </is>
      </c>
    </row>
    <row r="21368">
      <c r="A21368" t="inlineStr">
        <is>
          <t>Sram F 200</t>
        </is>
      </c>
      <c r="B21368">
        <f>HYPERLINK("https://www.dofusbook.net/fr/equipement/5047518-sram-f-200/objets", "link")</f>
        <v/>
      </c>
      <c r="C21368" t="n">
        <v>10</v>
      </c>
      <c r="D21368" t="inlineStr">
        <is>
          <t>Epée Gloursonne; Amulette du Strigide; Alliance Gloursonne; Bague Gloursonne; Bouclier d'Ilyzaelle; Ceinture du Strigide; Casque Dragoeuf; Cape de Jahash Jurgen; Bottes du Strigide; Dofus Ocre; Dofus Ivoire; Dofus Pourpre; Dofus Vulbis; Dofus Turquoise; Dofus Ébène; Kokulte</t>
        </is>
      </c>
    </row>
    <row r="21369">
      <c r="A21369" t="inlineStr">
        <is>
          <t>Zobal M 200</t>
        </is>
      </c>
      <c r="B21369">
        <f>HYPERLINK("https://www.dofusbook.net/fr/equipement/5074274-zobal-m-200/objets", "link")</f>
        <v/>
      </c>
      <c r="C21369" t="n">
        <v>2</v>
      </c>
      <c r="D21369" t="inlineStr">
        <is>
          <t>Rhizome du Tynril; Amulette Volkorne; Bague Gloursonne; Chevalière du Roi Joueur; Bouclier du Captain Amakna; Ceinture Volkorne; Couronne du Roi Joueur; Voile d'encre; Bottes du Roi Joueur; Dofus Vulbis; Dofus Pourpre; Dofus Ocre; Dofus Turquoise; Dofus Ébène; Kokulte</t>
        </is>
      </c>
    </row>
    <row r="21370">
      <c r="A21370" t="inlineStr">
        <is>
          <t>Zobal M 200</t>
        </is>
      </c>
      <c r="B21370">
        <f>HYPERLINK("https://www.dofusbook.net/fr/equipement/5074255-zobal-m-200/objets", "link")</f>
        <v/>
      </c>
      <c r="C21370" t="n">
        <v>3</v>
      </c>
      <c r="D21370" t="inlineStr">
        <is>
          <t>Bâton Champmanique; Amulette du Strigide; Anneau Volkorne; Bague Trithon; Bouclier du Captain Amakna; Ceinture Volkorne; Masque de Koutoulou; Cape au Logis; Bottes Trithon; Dofus Ocre; Dofus des Glaces; Dofus Pourpre; Dofus Ébène; Dofus Turquoise; Dofus Ivoire; Kokulte</t>
        </is>
      </c>
    </row>
    <row r="21371">
      <c r="A21371" t="inlineStr">
        <is>
          <t>Iop M 200</t>
        </is>
      </c>
      <c r="B21371">
        <f>HYPERLINK("https://www.dofusbook.net/fr/equipement/5068303-iop-m-200/objets", "link")</f>
        <v/>
      </c>
      <c r="C21371" t="n">
        <v>5</v>
      </c>
      <c r="D21371" t="inlineStr">
        <is>
          <t>Dagues Ricol; Amulette Volkorne; Bague Gloursonne; Chevalière du Roi Joueur; Cadran d'Eau; Ceinture Volkorne; Couronne du Roi Joueur; Voile d'encre; Bottes du Roi Joueur; Dofus Turquoise; Dofus Ocre; Dofus Pourpre; Dofus Ivoire; Dofus Vulbis; Dofus Ébène; Kokulte</t>
        </is>
      </c>
    </row>
    <row r="21372">
      <c r="A21372" t="inlineStr">
        <is>
          <t>Eliotrope M 200</t>
        </is>
      </c>
      <c r="B21372">
        <f>HYPERLINK("https://www.dofusbook.net/fr/equipement/5061042-eliotrope-m-200/objets", "link")</f>
        <v/>
      </c>
      <c r="C21372" t="n">
        <v>4</v>
      </c>
      <c r="D21372" t="inlineStr">
        <is>
          <t>Arc du Chalœil; Amulette du Strigide; Anneau Chevelu; Bague Gloursonne; Quatre-feuilles; Ceintacé; Bravoure de Rykke Errel; Bottes du Strigide; Dofus Turquoise; Dofus Ivoire; Dofus Abyssal; Dofus Vulbis; Dofus Ébène; Cavaleur majeur; Dragodinde Emeraude et Pourpre</t>
        </is>
      </c>
    </row>
    <row r="21373">
      <c r="A21373" t="inlineStr">
        <is>
          <t>Osamodas M 200</t>
        </is>
      </c>
      <c r="B21373">
        <f>HYPERLINK("https://www.dofusbook.net/fr/equipement/5047561-osamodas-m-200/objets", "link")</f>
        <v/>
      </c>
      <c r="C21373" t="n">
        <v>3</v>
      </c>
      <c r="D21373" t="inlineStr">
        <is>
          <t>Lav'Hache; Amulette Volkorne; Anneau Chevelu; Pikano; Droiture de Fallanster; Ceinture Volkorne; Masque de Koutoulou; Bravoure de Rykke Errel; Sabots Minables; Dofus Vulbis; Dofus Ivoire; Dofus Pourpre; Dofus Ébène; Dragodinde Dorée et Pourpre</t>
        </is>
      </c>
    </row>
    <row r="21374">
      <c r="A21374" t="inlineStr">
        <is>
          <t>Ecaflip F 200</t>
        </is>
      </c>
      <c r="B21374">
        <f>HYPERLINK("https://www.dofusbook.net/fr/equipement/5042358-ecaflip-f-200/objets", "link")</f>
        <v/>
      </c>
      <c r="C21374" t="n">
        <v>2</v>
      </c>
      <c r="D21374" t="inlineStr">
        <is>
          <t>Arc de Koutoulou; Amulette du Strigide; Alliance Gloursonne; Anneau Volkorne; Bouclier du Stalak; Ceinture Voldelor; Casque Volkorne; Cape de Jahash Jurgen; Bottes du Strigide; Dofus Vulbis; Dofus Abyssal; Dofus Turquoise; Dofus Ébène; Dofus Ivoire; Dofus Ocre; Chacha Angora</t>
        </is>
      </c>
    </row>
    <row r="21375">
      <c r="A21375" t="inlineStr">
        <is>
          <t>Féca M 200</t>
        </is>
      </c>
      <c r="B21375">
        <f>HYPERLINK("https://www.dofusbook.net/fr/equipement/5042357-feca-m-200/objets", "link")</f>
        <v/>
      </c>
      <c r="C21375" t="n">
        <v>0</v>
      </c>
      <c r="D21375" t="inlineStr"/>
    </row>
    <row r="21376">
      <c r="A21376" t="inlineStr">
        <is>
          <t>Féca M 200</t>
        </is>
      </c>
      <c r="B21376">
        <f>HYPERLINK("https://www.dofusbook.net/fr/equipement/5041104-feca-m-200/objets", "link")</f>
        <v/>
      </c>
      <c r="C21376" t="n">
        <v>0</v>
      </c>
      <c r="D21376" t="inlineStr">
        <is>
          <t>Lav'Hache; Amulette du Strigide; Anneau Crustique; Anneau Chevelu; Bouclier d'Ilyzaelle; Ceintouse; Masque de Koutoulou; Bravoure de Rykke Errel; Tentassons</t>
        </is>
      </c>
    </row>
    <row r="21377">
      <c r="A21377" t="inlineStr">
        <is>
          <t>Zobal F 200</t>
        </is>
      </c>
      <c r="B21377">
        <f>HYPERLINK("https://www.dofusbook.net/fr/equipement/5034012-zobal-f-200/objets", "link")</f>
        <v/>
      </c>
      <c r="C21377" t="n">
        <v>2</v>
      </c>
      <c r="D21377" t="inlineStr">
        <is>
          <t>Marteau du Glouragan; Amulette Volkorne; Alliance Gloursonne; Anneau Volkorne; Cadran d'Eau; Ceintacé; Casque Volkorne; Cape d'Atcham; Sandales  d'Atcham; Dofus Ébène; Dofus Ivoire; Dofus Pourpre; Dofus Turquoise; Dofus des Glaces; Dofus Ocre; Kokulte</t>
        </is>
      </c>
    </row>
    <row r="21378">
      <c r="A21378" t="inlineStr">
        <is>
          <t>Steamer M 200</t>
        </is>
      </c>
      <c r="B21378">
        <f>HYPERLINK("https://www.dofusbook.net/fr/equipement/4771300-steamer-m-200/objets", "link")</f>
        <v/>
      </c>
      <c r="C21378" t="n">
        <v>17</v>
      </c>
      <c r="D21378" t="inlineStr">
        <is>
          <t>Bâtonnet Ronien; Pendentif Oton; Alliance Gloursonne; Anneau Volkorne; Bouclier cubiste; Ceinture du Barbétoal; Casque Volkorne; Cape du Barbétoal; Bottes de la Reine des Voleurs; Dofus Ivoire; Dofus Ocre; Dofus Abyssal; Dofus Ébène; Dofus Vulbis; Entraveur majeur; Volkorne Doré et Turquoise</t>
        </is>
      </c>
    </row>
    <row r="21379">
      <c r="A21379" t="inlineStr">
        <is>
          <t>Huppermage F 200</t>
        </is>
      </c>
      <c r="B21379">
        <f>HYPERLINK("https://www.dofusbook.net/fr/equipement/5007100-huppermage-f-200/objets", "link")</f>
        <v/>
      </c>
      <c r="C21379" t="n">
        <v>2</v>
      </c>
      <c r="D21379" t="inlineStr">
        <is>
          <t>Arc Volkorne; Amulette du Strigide; Anneau Volkorne; Quatre-feuilles; Ceintacé; Casque Volkorne; Cape de Jahash Jurgen; Bottes du Strigide; Dofus Abyssal; Dofus Pourpre; Dofus Ébène; Dofus Turquoise; Dofus Ivoire; Dofus Ocre; Kokulte</t>
        </is>
      </c>
    </row>
    <row r="21380">
      <c r="A21380" t="inlineStr">
        <is>
          <t>Iop M 200</t>
        </is>
      </c>
      <c r="B21380">
        <f>HYPERLINK("https://www.dofusbook.net/fr/equipement/5030670-iop-m-200/objets", "link")</f>
        <v/>
      </c>
      <c r="C21380" t="n">
        <v>1</v>
      </c>
      <c r="D21380" t="inlineStr">
        <is>
          <t>Baguette Range; Amulette Volkorne; Anneau de Padgref; Anneau Tique; Quatre-feuilles; Ceintacé; Casque Volkorne; Cape Hiculteur; Bottes Antrin; Dofus Vulbis; Dofus Turquoise; Dofus Ocre; Dofus Ivoire; Dofus Pourpre; Dofus Ébène; Kokulte</t>
        </is>
      </c>
    </row>
    <row r="21381">
      <c r="A21381" t="inlineStr">
        <is>
          <t>Ouginak M 200</t>
        </is>
      </c>
      <c r="B21381">
        <f>HYPERLINK("https://www.dofusbook.net/fr/equipement/5025301-ouginak-m-200/objets", "link")</f>
        <v/>
      </c>
      <c r="C21381" t="n">
        <v>5</v>
      </c>
      <c r="D21381" t="inlineStr">
        <is>
          <t>Baguette de Malléfisk; Amulette Volkorne; Anneauræus; Anneau Tique; Bouclier d'Ilyzaelle; Ceinture Volkorne; Heaume Oplate; Bravoure de Rykke Errel; Pompes Funèbres; Dofus Ocre; Dofus Abyssal; Dofus Ivoire; Dofus Vulbis; Dofus Ébène; Solide majeur; Dragodinde Ivoire et Orchidée</t>
        </is>
      </c>
    </row>
    <row r="21382">
      <c r="A21382" t="inlineStr">
        <is>
          <t>Ecaflip M 200</t>
        </is>
      </c>
      <c r="B21382">
        <f>HYPERLINK("https://www.dofusbook.net/fr/equipement/5024738-ecaflip-m-200/objets", "link")</f>
        <v/>
      </c>
      <c r="C21382" t="n">
        <v>0</v>
      </c>
      <c r="D21382" t="inlineStr">
        <is>
          <t>Sceptre du Roi Joueur; Amulette Voldelor; Anneau Volkorne; Alliance Gloursonne; Bouclier du Stalak; Ceinture Voldelor; Kidibonnet; Cape de la Dame du Hasard; Bottes de la Dame du Hasard; Dofus Pourpre; Dofus Ocre; Dofus Vulbis; Dofus Ivoire; Dofus Turquoise; Dofus Ébène; Pioute bleu</t>
        </is>
      </c>
    </row>
    <row r="21383">
      <c r="A21383" t="inlineStr">
        <is>
          <t>Sadida M 200</t>
        </is>
      </c>
      <c r="B21383">
        <f>HYPERLINK("https://www.dofusbook.net/fr/equipement/5021594-sadida-m-200/objets", "link")</f>
        <v/>
      </c>
      <c r="C21383" t="n">
        <v>9</v>
      </c>
      <c r="D21383" t="inlineStr">
        <is>
          <t>Bâthon; Amulette Volkorne; Chevalière du Roi Joueur; Bague Gloursonne; Bouclier du Stalak; Ceinture Volkorne; Couronne du Roi Joueur; Cape de Jahash Jurgen; Bottes du Roi Joueur; Dofus Pourpre; Dofus Ébène; Dofus Ocre; Dofus Vulbis; Dofus Ivoire; Entraveur majeur; Volkorne Jade et Turquoise</t>
        </is>
      </c>
    </row>
    <row r="21384">
      <c r="A21384" t="inlineStr">
        <is>
          <t>Huppermage F 200</t>
        </is>
      </c>
      <c r="B21384">
        <f>HYPERLINK("https://www.dofusbook.net/fr/equipement/5009748-huppermage-f-200/objets", "link")</f>
        <v/>
      </c>
      <c r="C21384" t="n">
        <v>5</v>
      </c>
      <c r="D21384" t="inlineStr">
        <is>
          <t>Arc Volkorne; Amulette du Strigide; Bague Gloursonne; Anneau Volkorne; Quatre-feuilles; Ceinture du Strigide; Casque Volkorne; Cape de Jahash Jurgen; Bottes du Strigide; Dofus Vulbis; Dofus Ocre; Dofus Pourpre; Dofus Ivoire; Dofus Turquoise; Dofus Ébène; Kokulte</t>
        </is>
      </c>
    </row>
    <row r="21385">
      <c r="A21385" t="inlineStr">
        <is>
          <t>Ecaflip M 200</t>
        </is>
      </c>
      <c r="B21385">
        <f>HYPERLINK("https://www.dofusbook.net/fr/equipement/5009745-ecaflip-m-200/objets", "link")</f>
        <v/>
      </c>
      <c r="C21385" t="n">
        <v>0</v>
      </c>
      <c r="D21385" t="inlineStr">
        <is>
          <t>Amulette du Strigide; Ceinture du Strigide; Bottes du Strigide</t>
        </is>
      </c>
    </row>
    <row r="21386">
      <c r="A21386" t="inlineStr">
        <is>
          <t>Huppermage M 200</t>
        </is>
      </c>
      <c r="B21386">
        <f>HYPERLINK("https://www.dofusbook.net/fr/equipement/5007159-huppermage-m-200/objets", "link")</f>
        <v/>
      </c>
      <c r="C21386" t="n">
        <v>0</v>
      </c>
      <c r="D21386" t="inlineStr">
        <is>
          <t>Arc Volkorne; Amulette Volkorne; Bague Gloursonne; Anneau Volkorne; Quatre-feuilles; Ceinture Volkorne; Casque du Chalœil; Cape de Jahash Jurgen; Bottes du Chalœil; Dofus Ocre; Dofus Ivoire; Dofus des Glaces; Dofus Turquoise; Dofus Pourpre; Dofus Ébène; Fëanor</t>
        </is>
      </c>
    </row>
    <row r="21387">
      <c r="A21387" t="inlineStr">
        <is>
          <t>Huppermage F 200</t>
        </is>
      </c>
      <c r="B21387">
        <f>HYPERLINK("https://www.dofusbook.net/fr/equipement/5007134-huppermage-f-200/objets", "link")</f>
        <v/>
      </c>
      <c r="C21387" t="n">
        <v>1</v>
      </c>
      <c r="D21387" t="inlineStr">
        <is>
          <t>Epée Gloursonne; Amulette du Strigide; Bague Gloursonne; Alliance Gloursonne; Quatre-feuilles; Ceinture Volkorne; Casque Volkorne; Cape de Jahash Jurgen; Bottes du Strigide; Dofus Vulbis; Dofus Ocre; Dofus Pourpre; Dofus Ivoire; Dofus Turquoise; Dofus Ébène; Kokulte</t>
        </is>
      </c>
    </row>
    <row r="21388">
      <c r="A21388" t="inlineStr">
        <is>
          <t>Huppermage M 200</t>
        </is>
      </c>
      <c r="B21388">
        <f>HYPERLINK("https://www.dofusbook.net/fr/equipement/5007071-huppermage-m-200/objets", "link")</f>
        <v/>
      </c>
      <c r="C21388" t="n">
        <v>2</v>
      </c>
      <c r="D21388" t="inlineStr">
        <is>
          <t>Arc Volkorne; Amulette du Strigide; Pikano; Anneau Volkorne; Quatre-feuilles; Ceinture Volkorne; Casque Volkorne; Cape de Jahash Jurgen; Bottes du Strigide; Dofus Ébène; Dofus Ivoire; Dofus Abyssal; Dofus Turquoise; Dofus Pourpre; Dofus Ocre; Fëanor</t>
        </is>
      </c>
    </row>
    <row r="21389">
      <c r="A21389" t="inlineStr">
        <is>
          <t>Sadida M 200</t>
        </is>
      </c>
      <c r="B21389">
        <f>HYPERLINK("https://www.dofusbook.net/fr/equipement/5001688-sadida-m-200/objets", "link")</f>
        <v/>
      </c>
      <c r="C21389" t="n">
        <v>4</v>
      </c>
      <c r="D21389" t="inlineStr">
        <is>
          <t>Sceptre du Roi Joueur; Amulette de Shokkoth; Anneau Volkorne; Alliance Gloursonne; Bouclier d'Ilyzaelle; Poulpagne; Capuche de l'Œil Attentif; Cape du Sinistrofu; Bottes du Sinistrofu; Dofus Abyssal; Dofus Ivoire; Dofus Vulbis; Dofus Ocre; Dofus Pourpre; Dofus Ébène; Dragodinde Indigo et Ivoire</t>
        </is>
      </c>
    </row>
    <row r="21390">
      <c r="A21390" t="inlineStr">
        <is>
          <t>Féca M 200</t>
        </is>
      </c>
      <c r="B21390">
        <f>HYPERLINK("https://www.dofusbook.net/fr/equipement/4677493-feca-m-200/objets", "link")</f>
        <v/>
      </c>
      <c r="C21390" t="n">
        <v>10</v>
      </c>
      <c r="D21390" t="inlineStr">
        <is>
          <t>Marteau des Anciens Steamers; Amulette du Strigide; Anneau Volkorne; Alliance Gloursonne; Cadran d'Eau; Ceinture du Strigide; Némès de Tal Kasha; Chevelure de Tal Kasha; Sandales de Tal Kasha; Dofus Vulbis; Dofus Ivoire; Dofus Pourpre; Dofus Ocre; Dofus Turquoise; Dofus Abyssal; Kokulte</t>
        </is>
      </c>
    </row>
    <row r="21391">
      <c r="A21391" t="inlineStr">
        <is>
          <t>Féca F 200</t>
        </is>
      </c>
      <c r="B21391">
        <f>HYPERLINK("https://www.dofusbook.net/fr/equipement/5000724-feca-f-200/objets", "link")</f>
        <v/>
      </c>
      <c r="C21391" t="n">
        <v>3</v>
      </c>
      <c r="D21391" t="inlineStr">
        <is>
          <t>Dagoulinantes; Amulette de Shokkoth; Anneau Volkorne; Alliance Gloursonne; Bouclier du Stalak; Ceinture Glaciale; Kidibonnet; Cape du Sinistrofu; Bottes du Sinistrofu; Dofus Ocre; Dofus Ivoire; Dofus Pourpre; Dofus Abyssal; Dofus Vulbis; Dofus Ébène; Kanigloups</t>
        </is>
      </c>
    </row>
    <row r="21392">
      <c r="A21392" t="inlineStr">
        <is>
          <t>Féca M 200</t>
        </is>
      </c>
      <c r="B21392">
        <f>HYPERLINK("https://www.dofusbook.net/fr/equipement/4375411-feca-m-200/objets", "link")</f>
        <v/>
      </c>
      <c r="C21392" t="n">
        <v>11</v>
      </c>
      <c r="D21392" t="inlineStr">
        <is>
          <t>Marteau R'ture; Amulette du Strigide; Anneau Chevelu; Anneau Crustique; Cadran d'Eau; Ceintouse; Masque de Koutoulou; Cape au Logis; Tentassons; Dofus Ocre; Dofus Ivoire; Dofus Pourpre; Dofus Abyssal; Étourdisseur majeur; Enragé majeur; Drakopin</t>
        </is>
      </c>
    </row>
    <row r="21393">
      <c r="A21393" t="inlineStr">
        <is>
          <t>Xélor F 200</t>
        </is>
      </c>
      <c r="B21393">
        <f>HYPERLINK("https://www.dofusbook.net/fr/equipement/4997135-xelor-f-200/objets", "link")</f>
        <v/>
      </c>
      <c r="C21393" t="n">
        <v>0</v>
      </c>
      <c r="D21393" t="inlineStr">
        <is>
          <t>Pyraguette; Amulette Volkorne; Lavanneau; Anneau Volkorne; Ceinture de l'Esprit Malsain; Casque Dragoeuf; Cape de la Dame du Hasard; Pataugastrique; Boskito</t>
        </is>
      </c>
    </row>
    <row r="21394">
      <c r="A21394" t="inlineStr">
        <is>
          <t>Xélor F 200</t>
        </is>
      </c>
      <c r="B21394">
        <f>HYPERLINK("https://www.dofusbook.net/fr/equipement/4725733-xelor-f-200/objets", "link")</f>
        <v/>
      </c>
      <c r="C21394" t="n">
        <v>9</v>
      </c>
      <c r="D21394" t="inlineStr">
        <is>
          <t>Sceptre du Roi Joueur; Amulette de Shokkoth; Anneau Volkorne; Alliance Gloursonne; Bouclier d'Ilyzaelle; Culotte de Bethel; Masque de Funespadon; Cape Solution; Pataugastrique; Dofus Vulbis; Dofus Abyssal; Dofus Ivoire; Étourdisseur majeur; Chanceux majeur; Boskito</t>
        </is>
      </c>
    </row>
    <row r="21395">
      <c r="A21395" t="inlineStr">
        <is>
          <t>Sadida M 200</t>
        </is>
      </c>
      <c r="B21395">
        <f>HYPERLINK("https://www.dofusbook.net/fr/equipement/4976320-sadida-m-200/objets", "link")</f>
        <v/>
      </c>
      <c r="C21395" t="n">
        <v>2</v>
      </c>
      <c r="D21395" t="inlineStr">
        <is>
          <t>Arc Nécrotique; Amulette Volkorne; Bague Trithon; Anneau Volkorne; Quatre-feuilles; Ceintacé; Masque Trithon; Cape de la Dame du Hasard; Bottes de la Dame du Hasard; Dofus Vulbis; Dofus Ivoire; Dofus Ocre; Dofus Ébène; Dofus Turquoise; Dofus des Glaces; Kokulte</t>
        </is>
      </c>
    </row>
    <row r="21396">
      <c r="A21396" t="inlineStr">
        <is>
          <t>Eniripsa M 200</t>
        </is>
      </c>
      <c r="B21396">
        <f>HYPERLINK("https://www.dofusbook.net/fr/equipement/4973533-eniripsa-m-200/objets", "link")</f>
        <v/>
      </c>
      <c r="C21396" t="n">
        <v>8</v>
      </c>
      <c r="D21396" t="inlineStr">
        <is>
          <t>Sceptre du Roi Joueur; Amulette de Shokkoth; Alliance Gloursonne; Anneau Volkorne; Cadran de Terre; Culotte de Bethel; Masque de Funespadon; Cape de l'Œil Attentif; Pataugastrique; Dofus Abyssal; Dofus Ébène; Dofus Vulbis; Dofus Ivoire; Dofus Pourpre; Étourdisseur majeur; Volkorne Ivoire et Indigo</t>
        </is>
      </c>
    </row>
    <row r="21397">
      <c r="A21397" t="inlineStr">
        <is>
          <t>Féca M 200</t>
        </is>
      </c>
      <c r="B21397">
        <f>HYPERLINK("https://www.dofusbook.net/fr/equipement/4973531-feca-m-200/objets", "link")</f>
        <v/>
      </c>
      <c r="C21397" t="n">
        <v>1</v>
      </c>
      <c r="D21397" t="inlineStr"/>
    </row>
    <row r="21398">
      <c r="A21398" t="inlineStr">
        <is>
          <t>Zobal M 200</t>
        </is>
      </c>
      <c r="B21398">
        <f>HYPERLINK("https://www.dofusbook.net/fr/equipement/4973465-zobal-m-200/objets", "link")</f>
        <v/>
      </c>
      <c r="C21398" t="n">
        <v>2</v>
      </c>
      <c r="D21398" t="inlineStr">
        <is>
          <t>Dagues Açantes; Amulette du Strigide; Alliance Gloursonne; Anneau Volkorne; Bouclier du Captain Amakna; Sangle Ouare; Capuche de l'Œil Attentif; Cape de l'Œil Attentif; Pataugastrique; Dofus Turquoise; Dofus Pourpre; Dofus Ocre; Dofus Ébène; Dofus Ivoire; Évasif majeur; Kokulte</t>
        </is>
      </c>
    </row>
    <row r="21399">
      <c r="A21399" t="inlineStr">
        <is>
          <t>Iop M 200</t>
        </is>
      </c>
      <c r="B21399">
        <f>HYPERLINK("https://www.dofusbook.net/fr/equipement/4973377-iop-m-200/objets", "link")</f>
        <v/>
      </c>
      <c r="C21399" t="n">
        <v>0</v>
      </c>
      <c r="D21399" t="inlineStr">
        <is>
          <t>Sceptre du Roi Joueur; Amulette de Shokkoth; Alliance Gloursonne; Anneau Volkorne; Bouclier d'Ilyzaelle; Ceinture Glaciale; Capuche de l'Œil Attentif; Cape de l'Œil Attentif; Pataugastrique; Dofus Ivoire; Dofus Vulbis; Dofus Ébène; Dofus Ocre; Dofus Pourpre; Évasif majeur; Dragodinde Indigo et Ivoire</t>
        </is>
      </c>
    </row>
    <row r="21400">
      <c r="A21400" t="inlineStr">
        <is>
          <t>Xélor F 200</t>
        </is>
      </c>
      <c r="B21400">
        <f>HYPERLINK("https://www.dofusbook.net/fr/equipement/3992850-xelor-f-200/objets", "link")</f>
        <v/>
      </c>
      <c r="C21400" t="n">
        <v>22</v>
      </c>
      <c r="D21400" t="inlineStr">
        <is>
          <t>Manthache; Collier du Valet Veinard; Alliance Gloursonne; Gant du Valet Veinard; Bouclier du Stalak; Menoture; Dorabysses; Cape Martegel; Bottes de l'Esprit Salvateur; Dofus Abyssal; Dofus Ébène; Dofus Ivoire; Dofus Ocre; Nomade</t>
        </is>
      </c>
    </row>
    <row r="21401">
      <c r="A21401" t="inlineStr">
        <is>
          <t>Sacrieur M 200</t>
        </is>
      </c>
      <c r="B21401">
        <f>HYPERLINK("https://www.dofusbook.net/fr/equipement/4956827-sacrieur-m-200/objets", "link")</f>
        <v/>
      </c>
      <c r="C21401" t="n">
        <v>3</v>
      </c>
      <c r="D21401" t="inlineStr">
        <is>
          <t>Épée Brûlâme; Amulette Volkorne; Lavanneau; Anneau Volkorne; Bouclier d'Ilyzaelle; Ceinture de l'Esprit Malsain; Casquette de Meno; Cape de Meno; Pataugastrique; Dofus Pourpre; Dofus Vulbis; Dofus Ocre; Dofus Ébène; Dofus Ivoire; Dragodinde Indigo et Orchidée</t>
        </is>
      </c>
    </row>
    <row r="21402">
      <c r="A21402" t="inlineStr">
        <is>
          <t>Iop M 200</t>
        </is>
      </c>
      <c r="B21402">
        <f>HYPERLINK("https://www.dofusbook.net/fr/equipement/4845444-iop-m-200/objets", "link")</f>
        <v/>
      </c>
      <c r="C21402" t="n">
        <v>4</v>
      </c>
      <c r="D21402" t="inlineStr">
        <is>
          <t>Amulette du Sinistrofu; Anneau Volkorne; Alliance Gloursonne; Bouclier d'Ilyzaelle; Sangle Ouare; Kidibonnet; Cape Solution; Bottes du Sinistrofu; Dofus Pourpre; Dofus des Glaces; Dofus Ivoire; Dofus Ébène; Dofus Abyssal; Kanigloups</t>
        </is>
      </c>
    </row>
    <row r="21403">
      <c r="A21403" t="inlineStr">
        <is>
          <t>Enutrof M 200</t>
        </is>
      </c>
      <c r="B21403">
        <f>HYPERLINK("https://www.dofusbook.net/fr/equipement/4957025-enutrof-m-200/objets", "link")</f>
        <v/>
      </c>
      <c r="C21403" t="n">
        <v>7</v>
      </c>
      <c r="D21403" t="inlineStr">
        <is>
          <t>Le Thanos; Amulette d'Ilyzaelle; Alliance Gloursonne; Anneau Volkorne; Bouclier du Stalak; Ceintrigue; Casque d'Ilyzaelle; Voilamibe; Pataugastrique; Dofus Ocre; Dofus Ébène; Dofus Abyssal; Dofus Ivoire; Dofus des Glaces; Guérisseur majeur; Kanigloups</t>
        </is>
      </c>
    </row>
    <row r="21404">
      <c r="A21404" t="inlineStr">
        <is>
          <t>Zobal M 200</t>
        </is>
      </c>
      <c r="B21404">
        <f>HYPERLINK("https://www.dofusbook.net/fr/equipement/4957222-zobal-m-200/objets", "link")</f>
        <v/>
      </c>
      <c r="C21404" t="n">
        <v>1</v>
      </c>
      <c r="D21404" t="inlineStr">
        <is>
          <t>Arc du Chalœil; Amulette du Strigide; Anneau Chevelu; Bague Gloursonne; Quatre-feuilles; Ceinture Volkorne; Masque de Koutoulou; Cape au Logis; Bottes du Strigide</t>
        </is>
      </c>
    </row>
    <row r="21405">
      <c r="A21405" t="inlineStr">
        <is>
          <t>Sacrieur M 200</t>
        </is>
      </c>
      <c r="B21405">
        <f>HYPERLINK("https://www.dofusbook.net/fr/equipement/4956291-sacrieur-m-200/objets", "link")</f>
        <v/>
      </c>
      <c r="C21405" t="n">
        <v>2</v>
      </c>
      <c r="D21405" t="inlineStr"/>
    </row>
    <row r="21406">
      <c r="A21406" t="inlineStr">
        <is>
          <t>Sacrieur M 200</t>
        </is>
      </c>
      <c r="B21406">
        <f>HYPERLINK("https://www.dofusbook.net/fr/equipement/4954918-sacrieur-m-200/objets", "link")</f>
        <v/>
      </c>
      <c r="C21406" t="n">
        <v>3</v>
      </c>
      <c r="D21406" t="inlineStr">
        <is>
          <t>Dagoulinantes; Amulette de Shokkoth; Alliance Gloursonne; Anneau Volkorne; Bouclier d'Ilyzaelle; Ceinture Glaciale; Masque de l'Esprit Salvateur; Cape Solution; Bottes de l'Esprit Salvateur; Dofus Abyssal; Dofus Ocre; Dofus Ivoire; Dofus Vulbis; Dofus Ébène; Chanceux majeur; Dragodinde Indigo et Ivoire</t>
        </is>
      </c>
    </row>
    <row r="21407">
      <c r="A21407" t="inlineStr">
        <is>
          <t>Sram F 200</t>
        </is>
      </c>
      <c r="B21407">
        <f>HYPERLINK("https://www.dofusbook.net/fr/equipement/4954343-sram-f-200/objets", "link")</f>
        <v/>
      </c>
      <c r="C21407" t="n">
        <v>2</v>
      </c>
      <c r="D21407" t="inlineStr">
        <is>
          <t>Dagoulinantes; Amulette du Strigide; Alliance Gloursonne; Anneau Volkorne; Cadran d'Eau; Pagne du Rykaon; Kidibonnet; Chevelure de Tal Kasha; Sandales de Tal Kasha; Dofus Ébène; Dofus Ocre; Dofus Ivoire; Dofus Vulbis; Dofus Nébuleux; Dofus Turquoise; Kokulte</t>
        </is>
      </c>
    </row>
    <row r="21408">
      <c r="A21408" t="inlineStr">
        <is>
          <t>Zobal M 200</t>
        </is>
      </c>
      <c r="B21408">
        <f>HYPERLINK("https://www.dofusbook.net/fr/equipement/4720167-zobal-m-200/objets", "link")</f>
        <v/>
      </c>
      <c r="C21408" t="n">
        <v>9</v>
      </c>
      <c r="D21408" t="inlineStr">
        <is>
          <t>Marteau des Anciens Steamers; Amulette du Strigide; Alliance Gloursonne; Anneau Volkorne; Cadran d'Eau; Ceintacé; Casque Volkorne; Chevelure de Tal Kasha; Sandales de Tal Kasha; Dofus Ivoire; Dofus Ocre; Dofus Vulbis; Dofus Abyssal; Dofus Pourpre; Dofus Turquoise; Kokulte</t>
        </is>
      </c>
    </row>
    <row r="21409">
      <c r="A21409" t="inlineStr">
        <is>
          <t>Zobal M 200</t>
        </is>
      </c>
      <c r="B21409">
        <f>HYPERLINK("https://www.dofusbook.net/fr/equipement/4356034-zobal-m-200/objets", "link")</f>
        <v/>
      </c>
      <c r="C21409" t="n">
        <v>43</v>
      </c>
      <c r="D21409" t="inlineStr">
        <is>
          <t>Sceptre du Roi Joueur; Amulette du Sinistrofu; Alliance Gloursonne; Anneau Volkorne; Bouclier Taverne; Sangle Ouare; Masque Paztek; Cape Solution; Sandales Paztek; Dofus Ivoire; Dofus Ocre; Dofus Ébène; Bousculeur majeur; Culbuteur majeur; Chanceux majeur; Écumouth</t>
        </is>
      </c>
    </row>
    <row r="21410">
      <c r="A21410" t="inlineStr">
        <is>
          <t>Sadida M 200</t>
        </is>
      </c>
      <c r="B21410">
        <f>HYPERLINK("https://www.dofusbook.net/fr/equipement/4538300-sadida-m-200/objets", "link")</f>
        <v/>
      </c>
      <c r="C21410" t="n">
        <v>32</v>
      </c>
      <c r="D21410" t="inlineStr">
        <is>
          <t>Lav'Hache; Amulette Volkorne; Bague Gloursonne; Anneau Chevelu; Bouclier du Stalak; Ceinture Volkorne; Masque de Koutoulou; Cape du Cœur Saignant; Baleinabottes; Dofus Abyssal; Dofus Pourpre; Dofus Ébène; Dofus Ivoire; Nomade; Enragé majeur; Dragodinde Amande et Pourpre</t>
        </is>
      </c>
    </row>
    <row r="21411">
      <c r="A21411" t="inlineStr">
        <is>
          <t>Zobal M 200</t>
        </is>
      </c>
      <c r="B21411">
        <f>HYPERLINK("https://www.dofusbook.net/fr/equipement/4720186-zobal-m-200/objets", "link")</f>
        <v/>
      </c>
      <c r="C21411" t="n">
        <v>23</v>
      </c>
      <c r="D21411" t="inlineStr">
        <is>
          <t>Dagues Açantes; Amulette du Strigide; Anneau Volkorne; Alliance Gloursonne; Cadran d'Eau; Ceinture du Strigide; Némès de Tal Kasha; Chevelure de Tal Kasha; Pataugastrique; Dofus Vulbis; Dofus Abyssal; Dofus Ébène; Dofus Turquoise; Dofus Ivoire; Dofus Ocre; Kokulte</t>
        </is>
      </c>
    </row>
    <row r="21412">
      <c r="A21412" t="inlineStr">
        <is>
          <t>Féca M 200</t>
        </is>
      </c>
      <c r="B21412">
        <f>HYPERLINK("https://www.dofusbook.net/fr/equipement/4939061-feca-m-200/objets", "link")</f>
        <v/>
      </c>
      <c r="C21412" t="n">
        <v>0</v>
      </c>
      <c r="D21412" t="inlineStr"/>
    </row>
    <row r="21413">
      <c r="A21413" t="inlineStr">
        <is>
          <t>Steamer M 200</t>
        </is>
      </c>
      <c r="B21413">
        <f>HYPERLINK("https://www.dofusbook.net/fr/equipement/4931983-steamer-m-200/objets", "link")</f>
        <v/>
      </c>
      <c r="C21413" t="n">
        <v>0</v>
      </c>
      <c r="D21413" t="inlineStr">
        <is>
          <t>Arc Hétype; Amulette Volkorne; Alliance Brûlâme; Bague Gloursonne; Quatre-feuilles; Ceinture Volkorne; Masque de Koutoulou; Voile d'encre; Sabots Volcaniques; Dofus Vulbis; Dofus Ocre; Dofus Pourpre; Dofus Turquoise; Dofus Ivoire; Dofus Ébène; Dragodinde Orchidée et Pourpre</t>
        </is>
      </c>
    </row>
    <row r="21414">
      <c r="A21414" t="inlineStr">
        <is>
          <t>Crâ M 200</t>
        </is>
      </c>
      <c r="B21414">
        <f>HYPERLINK("https://www.dofusbook.net/fr/equipement/4931092-cra-m-200/objets", "link")</f>
        <v/>
      </c>
      <c r="C21414" t="n">
        <v>2</v>
      </c>
      <c r="D21414" t="inlineStr">
        <is>
          <t>Arc du Chalœil; Amulette du Cœur Saignant; Anneau Chevelu; Bague Gloursonne; Quatre-feuilles; Ceinture Volkorne; Masque de Koutoulou; Cape de Jahash Jurgen; Bottes du Cœur Saignant; Dofus Ocre; Dofus Ivoire; Dofus Nébuleux; Dofus Turquoise; Dofus Vulbis; Dofus Ébène; Dragodinde Emeraude et Pourpre</t>
        </is>
      </c>
    </row>
    <row r="21415">
      <c r="A21415" t="inlineStr">
        <is>
          <t>Steamer M 200</t>
        </is>
      </c>
      <c r="B21415">
        <f>HYPERLINK("https://www.dofusbook.net/fr/equipement/4929249-steamer-m-200/objets", "link")</f>
        <v/>
      </c>
      <c r="C21415" t="n">
        <v>0</v>
      </c>
      <c r="D21415" t="inlineStr"/>
    </row>
    <row r="21416">
      <c r="A21416" t="inlineStr">
        <is>
          <t>Crâ M 200</t>
        </is>
      </c>
      <c r="B21416">
        <f>HYPERLINK("https://www.dofusbook.net/fr/equipement/4921433-cra-m-200/objets", "link")</f>
        <v/>
      </c>
      <c r="C21416" t="n">
        <v>8</v>
      </c>
      <c r="D21416" t="inlineStr">
        <is>
          <t>Baguette Range; Amulette Volkorne; Anneau Rifique; Alliance Brûlâme; Bouclier du Stalak; Ceinture de Vortex; Casque Volkorne; Cape Martegel; Sabots de Vortex; Dofus Vulbis; Dofus Ivoire; Dofus Pourpre; Dofus des Glaces; Dofus Ocre; Dofus Ébène; Fëanor</t>
        </is>
      </c>
    </row>
    <row r="21417">
      <c r="A21417" t="inlineStr">
        <is>
          <t>Ecaflip M 200</t>
        </is>
      </c>
      <c r="B21417">
        <f>HYPERLINK("https://www.dofusbook.net/fr/equipement/4185436-ecaflip-m-200/objets", "link")</f>
        <v/>
      </c>
      <c r="C21417" t="n">
        <v>42</v>
      </c>
      <c r="D21417" t="inlineStr">
        <is>
          <t>Dagoulinantes; Amulette du Strigide; Alliance Gloursonne; Anneau Volkorne; Bouclier du Stalak; Sangle Ouare; Némès de Tal Kasha; Chevelure de Tal Kasha; Pataugastrique; Dofus Ocre; Dofus Pourpre; Dofus Abyssal; Dofus Turquoise; Dofus Ivoire; Chanceux majeur; Pioute bleu</t>
        </is>
      </c>
    </row>
    <row r="21418">
      <c r="A21418" t="inlineStr">
        <is>
          <t>Steamer M 200</t>
        </is>
      </c>
      <c r="B21418">
        <f>HYPERLINK("https://www.dofusbook.net/fr/equipement/4921731-steamer-m-200/objets", "link")</f>
        <v/>
      </c>
      <c r="C21418" t="n">
        <v>1</v>
      </c>
      <c r="D21418" t="inlineStr">
        <is>
          <t>Arc du Chalœil; Amulette du Cœur Saignant; Anneau Chevelu; Bague Gloursonne; Cape du Cœur Saignant; Bottes du Cœur Saignant</t>
        </is>
      </c>
    </row>
    <row r="21419">
      <c r="A21419" t="inlineStr">
        <is>
          <t>Crâ M 200</t>
        </is>
      </c>
      <c r="B21419">
        <f>HYPERLINK("https://www.dofusbook.net/fr/equipement/4921013-cra-m-200/objets", "link")</f>
        <v/>
      </c>
      <c r="C21419" t="n">
        <v>4</v>
      </c>
      <c r="D21419" t="inlineStr">
        <is>
          <t>Spatule Tranche-Gourmands; Amulette du Kamasterisk; Anneau des égarés; Alliance Brûlâme; Quatre-feuilles; Ceinture Volkorne; Casque Volkorne; Cape du Kamasterisk; Bottes du Kamasterisk; Dofus Turquoise; Dofus Vulbis; Dofus Pourpre; Dofus Ivoire; Dofus Ocre; Dofus Ébène; Fëanor</t>
        </is>
      </c>
    </row>
    <row r="21420">
      <c r="A21420" t="inlineStr">
        <is>
          <t>Xélor M 200</t>
        </is>
      </c>
      <c r="B21420">
        <f>HYPERLINK("https://www.dofusbook.net/fr/equipement/4911926-xelor-m-200/objets", "link")</f>
        <v/>
      </c>
      <c r="C21420" t="n">
        <v>4</v>
      </c>
      <c r="D21420" t="inlineStr">
        <is>
          <t>Marteau des égarés; Amulette Volkorne; Bague Gloursonne; Alliance Gloursonne; Bouclier du Stalak; Ceinture de l'Indicible; Casque Volkorne; Dofusteuse; Bottes de l'Indicible; Dofus Vulbis; Dofus Ocre; Dofus Nébuleux; Dofus Pourpre; Dofus Ivoire; Dofus des Glaces; Fëanor</t>
        </is>
      </c>
    </row>
    <row r="21421">
      <c r="A21421" t="inlineStr">
        <is>
          <t>Huppermage F 200</t>
        </is>
      </c>
      <c r="B21421">
        <f>HYPERLINK("https://www.dofusbook.net/fr/equipement/4911120-huppermage-f-200/objets", "link")</f>
        <v/>
      </c>
      <c r="C21421" t="n">
        <v>2</v>
      </c>
      <c r="D21421" t="inlineStr">
        <is>
          <t>Pelle de Katrepat; Amulette Volkorne; Alliance Gloursonne; Anneau Volkorne; Cadran d'Eau; Ceintrigue; Masque Paztek; Cape Paztek; Pataugastrique; Dofus des Glaces; Dofus Ocre; Dofus Pourpre; Dofus Ivoire; Dofus Vulbis</t>
        </is>
      </c>
    </row>
    <row r="21422">
      <c r="A21422" t="inlineStr">
        <is>
          <t>Féca M 200</t>
        </is>
      </c>
      <c r="B21422">
        <f>HYPERLINK("https://www.dofusbook.net/fr/equipement/4911115-feca-m-200/objets", "link")</f>
        <v/>
      </c>
      <c r="C21422" t="n">
        <v>0</v>
      </c>
      <c r="D21422" t="inlineStr"/>
    </row>
    <row r="21423">
      <c r="A21423" t="inlineStr">
        <is>
          <t>Ecaflip M 200</t>
        </is>
      </c>
      <c r="B21423">
        <f>HYPERLINK("https://www.dofusbook.net/fr/equipement/4876932-ecaflip-m-200/objets", "link")</f>
        <v/>
      </c>
      <c r="C21423" t="n">
        <v>4</v>
      </c>
      <c r="D21423" t="inlineStr">
        <is>
          <t>Amulette du Strigide; Alliance Gloursonne; Pikano; Bouclier du Stalak; Ceinture Glaciale; Némès de Tal Kasha; Chevelure de Tal Kasha; Pataugastrique; Dofus Ivoire; Dofus Pourpre; Dofus Vulbis; Dofus Abyssal; Dofus Turquoise; Dofus Ocre; Dragodinde Amande et Indigo</t>
        </is>
      </c>
    </row>
    <row r="21424">
      <c r="A21424" t="inlineStr">
        <is>
          <t>Féca M 200</t>
        </is>
      </c>
      <c r="B21424">
        <f>HYPERLINK("https://www.dofusbook.net/fr/equipement/4905663-feca-m-200/objets", "link")</f>
        <v/>
      </c>
      <c r="C21424" t="n">
        <v>2</v>
      </c>
      <c r="D21424" t="inlineStr">
        <is>
          <t>Az'tech; Amulette du Strigide; Bracelet du Piloztère; Anneau Volkorne; Bouclier du Captain Amakna; Ceinture Volkorne; Casque Volkorne; Cape du Chalœil; Bottes Honyme; Dofus Turquoise; Dofus Pourpre; Dofus Ocre; Dofus Ivoire; Dofus des Glaces; Kokulte</t>
        </is>
      </c>
    </row>
    <row r="21425">
      <c r="A21425" t="inlineStr">
        <is>
          <t>Ouginak M 200</t>
        </is>
      </c>
      <c r="B21425">
        <f>HYPERLINK("https://www.dofusbook.net/fr/equipement/4905144-ouginak-m-200/objets", "link")</f>
        <v/>
      </c>
      <c r="C21425" t="n">
        <v>2</v>
      </c>
      <c r="D21425" t="inlineStr">
        <is>
          <t>Arc corrompu; Amulette Volkorne; Anneauræus; Bague Gloursonne; Bouclier d'Ilyzaelle; Ceinture Volkorne; Heaume Oplate; Bravoure de Rykke Errel; Pompes Funèbres; Dofus Turquoise; Dofus Vulbis; Dofus Ocre; Dofus Ébène; Dofus Ivoire; Érudit majeur; Dragodinde Emeraude et Orchidée</t>
        </is>
      </c>
    </row>
    <row r="21426">
      <c r="A21426" t="inlineStr">
        <is>
          <t>Féca F 200</t>
        </is>
      </c>
      <c r="B21426">
        <f>HYPERLINK("https://www.dofusbook.net/fr/equipement/4903721-feca-f-200/objets", "link")</f>
        <v/>
      </c>
      <c r="C21426" t="n">
        <v>6</v>
      </c>
      <c r="D21426" t="inlineStr">
        <is>
          <t>Baguette de Malléfisk; Amulette Volkorne; Anneauræus; Bague Gloursonne; Quatre-feuilles; Ceinture Volkorne; Casque Dragoeuf; Cape de Diondin; Bottes Innommables; Dofus Ivoire; Dofus Abyssal; Dofus Ocre; Dofus Vulbis; Dofus Ébène; Érudit majeur; Dragodinde Emeraude et Orchidée</t>
        </is>
      </c>
    </row>
    <row r="21427">
      <c r="A21427" t="inlineStr">
        <is>
          <t>Huppermage F 200</t>
        </is>
      </c>
      <c r="B21427">
        <f>HYPERLINK("https://www.dofusbook.net/fr/equipement/4889898-huppermage-f-200/objets", "link")</f>
        <v/>
      </c>
      <c r="C21427" t="n">
        <v>0</v>
      </c>
      <c r="D21427" t="inlineStr">
        <is>
          <t>Épée de la Reine des Voleurs; Amulette du Strigide; Anneau des égarés; Alliance Brûlâme; Quatre-feuilles; Ceintacé; Casque des égarés; Cape de Jahash Jurgen; Bottes du Strigide; Dofus Turquoise; Dofus Ivoire; Dofus Abyssal; Dofus des Glaces; Dofus Pourpre; Dofus Ocre</t>
        </is>
      </c>
    </row>
    <row r="21428">
      <c r="A21428" t="inlineStr">
        <is>
          <t>Eliotrope M 200</t>
        </is>
      </c>
      <c r="B21428">
        <f>HYPERLINK("https://www.dofusbook.net/fr/equipement/4792858-eliotrope-m-200/objets", "link")</f>
        <v/>
      </c>
      <c r="C21428" t="n">
        <v>10</v>
      </c>
      <c r="D21428" t="inlineStr">
        <is>
          <t>Baguette de Malléfisk; Amulette Volkorne; Anneauræus; Bague Gloursonne; Bouclier du Stalak; Ceinture Volkorne; Heaume Oplate; Bravoure de Rykke Errel; Bottes de l'Esprit Malsain; Dofus Ocre; Dofus Abyssal; Dofus Vulbis; Dofus Ivoire; Érudit majeur; Cavaleur majeur; Dragodinde Amande et Orchidée</t>
        </is>
      </c>
    </row>
    <row r="21429">
      <c r="A21429" t="inlineStr">
        <is>
          <t>Sadida M 200</t>
        </is>
      </c>
      <c r="B21429">
        <f>HYPERLINK("https://www.dofusbook.net/fr/equipement/4122554-sadida-m-200/objets", "link")</f>
        <v/>
      </c>
      <c r="C21429" t="n">
        <v>35</v>
      </c>
      <c r="D21429" t="inlineStr">
        <is>
          <t>Lav'Hache; Amulette Volkorne; Chevalière du Roi Joueur; Bague Gloursonne; Bouclier cubiste; Ceinture Volkorne; Couronne du Roi Joueur; Cape de Jahash Jurgen; Bottes du Roi Joueur; Dofus Vulbis; Dofus Ocre; Dofus Abyssal; Dofus Ivoire; Dofus Pourpre; Volkorne Améthyste et Turquoise</t>
        </is>
      </c>
    </row>
    <row r="21430">
      <c r="A21430" t="inlineStr">
        <is>
          <t>Xélor F 200</t>
        </is>
      </c>
      <c r="B21430">
        <f>HYPERLINK("https://www.dofusbook.net/fr/equipement/4873120-xelor-f-200/objets", "link")</f>
        <v/>
      </c>
      <c r="C21430" t="n">
        <v>3</v>
      </c>
      <c r="D21430" t="inlineStr">
        <is>
          <t>Manthache; Collier Rophante; Alliance Gloursonne; Anneau Crustique; Sept ans de malheur; Menoture; Casque Dragoeuf; Cape de l'Œil Attentif; Pataugastrique; Dofus Abyssal; Dofus Ivoire; Étourdisseur majeur; Évasif majeur; Étourdisseur; Paralyseur majeur; Drakopin</t>
        </is>
      </c>
    </row>
    <row r="21431">
      <c r="A21431" t="inlineStr">
        <is>
          <t>Xélor F 200</t>
        </is>
      </c>
      <c r="B21431">
        <f>HYPERLINK("https://www.dofusbook.net/fr/equipement/4495304-xelor-f-200/objets", "link")</f>
        <v/>
      </c>
      <c r="C21431" t="n">
        <v>3</v>
      </c>
      <c r="D21431" t="inlineStr">
        <is>
          <t>Arc corrompu; Collier Rophante; Anneau Crustique; Alliance Gloursonne; Bouclier précieux; Menoture; Masque d'Anerice; Cape d'Anerice; Pataugastrique; Dofus Abyssal; Dofus Ivoire; Étourdisseur majeur; Engourdisseur majeur; Paralyseur majeur; Étourdisseur; Boskito</t>
        </is>
      </c>
    </row>
    <row r="21432">
      <c r="A21432" t="inlineStr">
        <is>
          <t>Enutrof M 200</t>
        </is>
      </c>
      <c r="B21432">
        <f>HYPERLINK("https://www.dofusbook.net/fr/equipement/4441725-enutrof-m-200/objets", "link")</f>
        <v/>
      </c>
      <c r="C21432" t="n">
        <v>19</v>
      </c>
      <c r="D21432" t="inlineStr">
        <is>
          <t>Lance Horselé; Collier du Valet Veinard; Gant du Valet Veinard; Alliance Gloursonne; Bouclier du Stalak; Menoture; Maskrobe; Cape Martegel; Palmes Trithons; Dofus Abyssal; Dofus Ivoire; Dofus Ocre; Cascadeur majeur; Paralyseur majeur; Étourdisseur majeur; Boskito</t>
        </is>
      </c>
    </row>
    <row r="21433">
      <c r="A21433" t="inlineStr">
        <is>
          <t>Ecaflip M 200</t>
        </is>
      </c>
      <c r="B21433">
        <f>HYPERLINK("https://www.dofusbook.net/fr/equipement/4859013-ecaflip-m-200/objets", "link")</f>
        <v/>
      </c>
      <c r="C21433" t="n">
        <v>0</v>
      </c>
      <c r="D21433" t="inlineStr">
        <is>
          <t>Arc Volkorne; Amulette du Strigide; Bracelet du Piloztère; Anneau Volkorne; Bouclier du Stalak; Ceinture Volkorne; Diadème de Ganymède; Cape de Jahash Jurgen; Bottes du Strigide; Dofus Ocre; Dofus Pourpre; Dofus Abyssal; Dofus Ivoire; Dofus Vulbis; Dofus Turquoise; Chacha Angora</t>
        </is>
      </c>
    </row>
    <row r="21434">
      <c r="A21434" t="inlineStr">
        <is>
          <t>Zobal M 200</t>
        </is>
      </c>
      <c r="B21434">
        <f>HYPERLINK("https://www.dofusbook.net/fr/equipement/4781166-zobal-m-200/objets", "link")</f>
        <v/>
      </c>
      <c r="C21434" t="n">
        <v>2</v>
      </c>
      <c r="D21434" t="inlineStr">
        <is>
          <t>Crocobur; Amulette du Strigide; Bague Gloursonne; Anneau Chevelu; Cadran d'Eau; Ceintacé; Masque de Koutoulou; Bravoure de Rykke Errel; Bottes du Strigide; Dofus Ivoire; Dofus Pourpre; Dofus des Glaces; Dofus Turquoise; Dofus Abyssal; Dofus Vulbis; Kokulte</t>
        </is>
      </c>
    </row>
    <row r="21435">
      <c r="A21435" t="inlineStr">
        <is>
          <t>Huppermage M 200</t>
        </is>
      </c>
      <c r="B21435">
        <f>HYPERLINK("https://www.dofusbook.net/fr/equipement/4850509-huppermage-m-200/objets", "link")</f>
        <v/>
      </c>
      <c r="C21435" t="n">
        <v>0</v>
      </c>
      <c r="D21435" t="inlineStr">
        <is>
          <t>Arc Volkorne; Amulette du Strigide; Alliance Gloursonne; Bague Gloursonne; Quatre-feuilles; Ceinture Volkorne; Casque Volkorne; Cape de Jahash Jurgen; Pataugastrique; Dofus Vulbis; Dofus Ivoire; Dofus des Glaces; Dofus Turquoise; Dofus Pourpre; Dofus Ocre; Kokulte</t>
        </is>
      </c>
    </row>
    <row r="21436">
      <c r="A21436" t="inlineStr">
        <is>
          <t>Zobal M 200</t>
        </is>
      </c>
      <c r="B21436">
        <f>HYPERLINK("https://www.dofusbook.net/fr/equipement/4850084-zobal-m-200/objets", "link")</f>
        <v/>
      </c>
      <c r="C21436" t="n">
        <v>0</v>
      </c>
      <c r="D21436" t="inlineStr"/>
    </row>
    <row r="21437">
      <c r="A21437" t="inlineStr">
        <is>
          <t>Huppermage M 200</t>
        </is>
      </c>
      <c r="B21437">
        <f>HYPERLINK("https://www.dofusbook.net/fr/equipement/4833576-huppermage-m-200/objets", "link")</f>
        <v/>
      </c>
      <c r="C21437" t="n">
        <v>0</v>
      </c>
      <c r="D21437" t="inlineStr">
        <is>
          <t>Marteau du Glouragan</t>
        </is>
      </c>
    </row>
    <row r="21438">
      <c r="A21438" t="inlineStr">
        <is>
          <t>Xélor M 200</t>
        </is>
      </c>
      <c r="B21438">
        <f>HYPERLINK("https://www.dofusbook.net/fr/equipement/4843460-xelor-m-200/objets", "link")</f>
        <v/>
      </c>
      <c r="C21438" t="n">
        <v>0</v>
      </c>
      <c r="D21438" t="inlineStr">
        <is>
          <t>Arc corrompu; Amulette Volkorne; Anneauræus; Anneauræus; Quatre-feuilles; Ceinture Volkorne; Heaume Oplate; Cape de la Dame du Hasard; Bottes de la Dame du Hasard; Dofus Vulbis; Dofus Ivoire; Dofus Pourpre; Dofus Ocre; Dofus Turquoise; Dofus Abyssal; Dragodinde Emeraude et Orchidée</t>
        </is>
      </c>
    </row>
    <row r="21439">
      <c r="A21439" t="inlineStr">
        <is>
          <t>Féca M 200</t>
        </is>
      </c>
      <c r="B21439">
        <f>HYPERLINK("https://www.dofusbook.net/fr/equipement/4845074-feca-m-200/objets", "link")</f>
        <v/>
      </c>
      <c r="C21439" t="n">
        <v>3</v>
      </c>
      <c r="D21439" t="inlineStr">
        <is>
          <t>Arc corrompu; Amulette Volkorne; Anneauræus; Anneauræus; Quatre-feuilles; Ceinture Volkorne; Heaume Oplate; Cape de la Dame du Hasard; Bottes de la Dame du Hasard; Dofus Turquoise; Dofus Abyssal; Dofus Vulbis; Dofus Ivoire; Dofus Pourpre; Dofus Ocre; Dragodinde Emeraude et Orchidée</t>
        </is>
      </c>
    </row>
    <row r="21440">
      <c r="A21440" t="inlineStr">
        <is>
          <t>Zobal M 200</t>
        </is>
      </c>
      <c r="B21440">
        <f>HYPERLINK("https://www.dofusbook.net/fr/equipement/4833279-zobal-m-200/objets", "link")</f>
        <v/>
      </c>
      <c r="C21440" t="n">
        <v>6</v>
      </c>
      <c r="D21440" t="inlineStr">
        <is>
          <t>Crocobur; Amulette du Strigide; Bague Gloursonne; Anneau Chevelu; Cadran d'Eau; Ceintacé; Masque de Koutoulou; Cape du Cœur Saignant; Bottes du Cœur Saignant; Dofus Ivoire; Dofus des Glaces; Dofus Turquoise; Dofus Vulbis; Dofus Abyssal; Dofus Pourpre; Kokulte</t>
        </is>
      </c>
    </row>
    <row r="21441">
      <c r="A21441" t="inlineStr">
        <is>
          <t>Eniripsa F 200</t>
        </is>
      </c>
      <c r="B21441">
        <f>HYPERLINK("https://www.dofusbook.net/fr/equipement/4704716-eniripsa-f-200/objets", "link")</f>
        <v/>
      </c>
      <c r="C21441" t="n">
        <v>8</v>
      </c>
      <c r="D21441" t="inlineStr">
        <is>
          <t>Arc corrompu; Amulette Volkorne; Anneau de Nidas; Anneauræus; Bouclier du Stalak; Ceinture Volkorne; Masque Ardent; Cape de Diondin; Bottes Innommables; Dofus Ocre; Dofus Abyssal; Dofus Ivoire; Dofus Vulbis; Déserteur majeur; Érudit majeur; Dragoune Rose</t>
        </is>
      </c>
    </row>
    <row r="21442">
      <c r="A21442" t="inlineStr">
        <is>
          <t>Eliotrope M 200</t>
        </is>
      </c>
      <c r="B21442">
        <f>HYPERLINK("https://www.dofusbook.net/fr/equipement/4826303-eliotrope-m-200/objets", "link")</f>
        <v/>
      </c>
      <c r="C21442" t="n">
        <v>3</v>
      </c>
      <c r="D21442" t="inlineStr">
        <is>
          <t>Arc du Chalœil; Amulette du Strigide; Bague Gloursonne; Anneau Chevelu; Quatre-feuilles; Ceinture du Strigide; Masque de Koutoulou; Cape de Jahash Jurgen; Bottes du Cœur Saignant; Dofus Turquoise; Dofus Ivoire; Dofus Ocre; Dofus Vulbis; Dofus Abyssal; Enragé majeur; Dragodinde Amande et Pourpre</t>
        </is>
      </c>
    </row>
    <row r="21443">
      <c r="A21443" t="inlineStr">
        <is>
          <t>Eniripsa F 200</t>
        </is>
      </c>
      <c r="B21443">
        <f>HYPERLINK("https://www.dofusbook.net/fr/equipement/4826301-eniripsa-f-200/objets", "link")</f>
        <v/>
      </c>
      <c r="C21443" t="n">
        <v>0</v>
      </c>
      <c r="D21443" t="inlineStr"/>
    </row>
    <row r="21444">
      <c r="A21444" t="inlineStr">
        <is>
          <t>Ecaflip M 200</t>
        </is>
      </c>
      <c r="B21444">
        <f>HYPERLINK("https://www.dofusbook.net/fr/equipement/4825531-ecaflip-m-200/objets", "link")</f>
        <v/>
      </c>
      <c r="C21444" t="n">
        <v>2</v>
      </c>
      <c r="D21444" t="inlineStr">
        <is>
          <t>Sceptre du Roi Joueur; Collier de la Dame du Hasard; Alliance Gloursonne; Anneau Volkorne; Bouclier d'Ilyzaelle; Ceinture de Dame Jhessica; Masque Paztek; Cape de la Dame du Hasard; Bottes de la Dame du Hasard; Dofus Pourpre; Dofus Ocre; Dofus Vulbis; Dofus Abyssal; Dofus Turquoise; Dofus Ivoire; Dragodinde Amande et Indigo</t>
        </is>
      </c>
    </row>
    <row r="21445">
      <c r="A21445" t="inlineStr">
        <is>
          <t>Pandawa M 200</t>
        </is>
      </c>
      <c r="B21445">
        <f>HYPERLINK("https://www.dofusbook.net/fr/equipement/4818884-pandawa-m-200/objets", "link")</f>
        <v/>
      </c>
      <c r="C21445" t="n">
        <v>3</v>
      </c>
      <c r="D21445" t="inlineStr">
        <is>
          <t>Plumeau Bil; Collier Rophante; Bague Trithon; Alliance Gloursonne; Droiture de Fallanster; Ceinture de Kongoku; Masque d'Anerice; Cape d'Anerice; Pataugastrique; Dofus Émeraude; Dofus Ivoire; Dofus Ocre; Dofus Abyssal; Bloqueur majeur; Obstructeur majeur; Platypus</t>
        </is>
      </c>
    </row>
    <row r="21446">
      <c r="A21446" t="inlineStr">
        <is>
          <t>Xélor M 200</t>
        </is>
      </c>
      <c r="B21446">
        <f>HYPERLINK("https://www.dofusbook.net/fr/equipement/4806528-xelor-m-200/objets", "link")</f>
        <v/>
      </c>
      <c r="C21446" t="n">
        <v>5</v>
      </c>
      <c r="D21446" t="inlineStr">
        <is>
          <t>Hachoirs de Viandargh; Amulette du Strigide; Anneau de Padgref; Alliance Gloursonne; Cadran d'Eau; Menoture; Dorabysses; Chevelure de Tal Kasha; Getas de Padgref; Dofus Nébuleux; Dofus Turquoise; Dofus Ivoire; Dofus Vulbis; Dofus Ocre; Cascadeur majeur; Dragodinde Ebène et Emeraude</t>
        </is>
      </c>
    </row>
    <row r="21447">
      <c r="A21447" t="inlineStr">
        <is>
          <t>Iop M 200</t>
        </is>
      </c>
      <c r="B21447">
        <f>HYPERLINK("https://www.dofusbook.net/fr/equipement/4053491-iop-m-200/objets", "link")</f>
        <v/>
      </c>
      <c r="C21447" t="n">
        <v>8</v>
      </c>
      <c r="D21447" t="inlineStr">
        <is>
          <t>Sabres d'Atcham; Amulette Volkorne; Anneau Tique; Anneau Volkorne; Bouclier du Captain Amakna; Ceintacé; Casque Volkorne; Cape d'Atcham; Sandales  d'Atcham; Dolmanax; Dofus des Glaces; Dofus Turquoise; Dofus Ivoire; Dofus Pourpre; Dofus Ocre; Kokulte</t>
        </is>
      </c>
    </row>
    <row r="21448">
      <c r="A21448" t="inlineStr">
        <is>
          <t>Féca M 200</t>
        </is>
      </c>
      <c r="B21448">
        <f>HYPERLINK("https://www.dofusbook.net/fr/equipement/4793569-feca-m-200/objets", "link")</f>
        <v/>
      </c>
      <c r="C21448" t="n">
        <v>11</v>
      </c>
      <c r="D21448" t="inlineStr">
        <is>
          <t>Crocobur; Amulette du Strigide; Alliance Gloursonne; Anneau Volkorne; Cadran d'Eau; Ceintacé; Casque Volkorne; Chevelure de Tal Kasha; Sandales de Tal Kasha; Dofus Ocre; Dofus Abyssal; Dofus Pourpre; Dofus Turquoise; Dofus Vulbis; Dofus Ivoire; Kokulte</t>
        </is>
      </c>
    </row>
    <row r="21449">
      <c r="A21449" t="inlineStr">
        <is>
          <t>Zobal M 200</t>
        </is>
      </c>
      <c r="B21449">
        <f>HYPERLINK("https://www.dofusbook.net/fr/equipement/4792897-zobal-m-200/objets", "link")</f>
        <v/>
      </c>
      <c r="C21449" t="n">
        <v>1</v>
      </c>
      <c r="D21449" t="inlineStr">
        <is>
          <t>Dagues Ricol; Amulette Volkorne; Anneauræus; Anneau Volkorne; Cadran d'Eau; Ceintacé; Heaume Oplate; Bravoure de Rykke Errel; Bottes de l'Esprit Malsain; Dofus Ivoire; Dofus Vulbis; Dofus Abyssal; Dofus Turquoise; Érudit majeur; Cavaleur majeur; Kokulte</t>
        </is>
      </c>
    </row>
    <row r="21450">
      <c r="A21450" t="inlineStr">
        <is>
          <t>Steamer M 200</t>
        </is>
      </c>
      <c r="B21450">
        <f>HYPERLINK("https://www.dofusbook.net/fr/equipement/4787300-steamer-m-200/objets", "link")</f>
        <v/>
      </c>
      <c r="C21450" t="n">
        <v>0</v>
      </c>
      <c r="D21450" t="inlineStr">
        <is>
          <t>Arc du Chalœil; Amulette du Cœur Saignant; Bague Gloursonne; Anneau Chevelu; Quatre-feuilles; Ceinture Volkorne; Masque de Koutoulou; Cape de Jahash Jurgen; Bottes du Cœur Saignant; Dofus Turquoise; Dofus Ivoire; Dofus Pourpre; Dofus Ocre; Dofus Vulbis; Dofus Abyssal; Dragodinde Emeraude et Pourpre</t>
        </is>
      </c>
    </row>
    <row r="21451">
      <c r="A21451" t="inlineStr">
        <is>
          <t>Zobal M 200</t>
        </is>
      </c>
      <c r="B21451">
        <f>HYPERLINK("https://www.dofusbook.net/fr/equipement/4780786-zobal-m-200/objets", "link")</f>
        <v/>
      </c>
      <c r="C21451" t="n">
        <v>0</v>
      </c>
      <c r="D21451" t="inlineStr"/>
    </row>
    <row r="21452">
      <c r="A21452" t="inlineStr">
        <is>
          <t>Sram F 200</t>
        </is>
      </c>
      <c r="B21452">
        <f>HYPERLINK("https://www.dofusbook.net/fr/equipement/4769677-sram-f-200/objets", "link")</f>
        <v/>
      </c>
      <c r="C21452" t="n">
        <v>1</v>
      </c>
      <c r="D21452" t="inlineStr">
        <is>
          <t>Baguette Hique; Amulette du Strigide; Alliance Gloursonne; Anneau Volkorne; Quatre-feuilles; Sangle Ouare; Kidibonnet; Cape de la Dame du Hasard; Bottes de la Dame du Hasard; Dofus des Glaces; Dofus Turquoise; Dofus Pourpre; Dofus Ébène; Dofus Ocre; Dofus Ivoire; Kokulte</t>
        </is>
      </c>
    </row>
    <row r="21453">
      <c r="A21453" t="inlineStr">
        <is>
          <t>Xélor F 200</t>
        </is>
      </c>
      <c r="B21453">
        <f>HYPERLINK("https://www.dofusbook.net/fr/equipement/4763323-xelor-f-200/objets", "link")</f>
        <v/>
      </c>
      <c r="C21453" t="n">
        <v>1</v>
      </c>
      <c r="D21453" t="inlineStr">
        <is>
          <t>Arc du Chalœil; Amulette du Cœur Saignant; Bague Gloursonne; Anneau en Grithril; Quatre-feuilles; Ceinture en Grithril; Casque en Grithril; Cape du Cœur Saignant; Bottes du Cœur Saignant; Dofus Turquoise; Dofus Ébène; Dofus Pourpre; Dofus Ocre; Dofus Vulbis; Dofus Ivoire; Dragodinde Emeraude et Pourpre</t>
        </is>
      </c>
    </row>
    <row r="21454">
      <c r="A21454" t="inlineStr">
        <is>
          <t>Xélor F 200</t>
        </is>
      </c>
      <c r="B21454">
        <f>HYPERLINK("https://www.dofusbook.net/fr/equipement/4762948-xelor-f-200/objets", "link")</f>
        <v/>
      </c>
      <c r="C21454" t="n">
        <v>1</v>
      </c>
      <c r="D21454" t="inlineStr">
        <is>
          <t>Marteau R'ture; Amulette du Cœur Saignant; Alliance de Missiz Frizz; Anneau Volkorne; Cadran d'Eau; Ceinture Volkorne; Casque de Missiz Frizz; Cape du Cœur Saignant; Bottes du Cœur Saignant; Dofus Ivoire; Dofus Abyssal; Dofus Vulbis; Dofus Turquoise; Dofus Ébène; Dofus Ocre; Dragodinde Emeraude et Pourpre</t>
        </is>
      </c>
    </row>
    <row r="21455">
      <c r="A21455" t="inlineStr">
        <is>
          <t>Xélor F 200</t>
        </is>
      </c>
      <c r="B21455">
        <f>HYPERLINK("https://www.dofusbook.net/fr/equipement/4746145-xelor-f-200/objets", "link")</f>
        <v/>
      </c>
      <c r="C21455" t="n">
        <v>8</v>
      </c>
      <c r="D21455" t="inlineStr">
        <is>
          <t>Bâton Brageut; Amulette Volkorne; Bague Gloursonne; Anneauræus; Cadran d'Eau; Ceinture Volkorne; Heaume Oplate; Cape de la Dame du Hasard; Bottes de la Dame du Hasard; Dofus Vulbis; Dofus Ivoire; Dofus des Glaces; Dofus Turquoise; Dofus Pourpre; Dofus Ocre; Kokulte</t>
        </is>
      </c>
    </row>
    <row r="21456">
      <c r="A21456" t="inlineStr">
        <is>
          <t>Xélor F 200</t>
        </is>
      </c>
      <c r="B21456">
        <f>HYPERLINK("https://www.dofusbook.net/fr/equipement/4658479-xelor-f-200/objets", "link")</f>
        <v/>
      </c>
      <c r="C21456" t="n">
        <v>18</v>
      </c>
      <c r="D21456" t="inlineStr">
        <is>
          <t>Arc corrompu; Collier Rophante; Anneau Crustique; Alliance Gloursonne; Sept ans de malheur; Menoture; Masque Ardent; Pataugastrique; Dofus Ivoire; Dofus Abyssal; Étourdisseur majeur; Étourdisseur; Engourdisseur majeur; Paralyseur majeur; Drakopin</t>
        </is>
      </c>
    </row>
    <row r="21457">
      <c r="A21457" t="inlineStr">
        <is>
          <t>Ecaflip M 200</t>
        </is>
      </c>
      <c r="B21457">
        <f>HYPERLINK("https://www.dofusbook.net/fr/equipement/4741916-ecaflip-m-200/objets", "link")</f>
        <v/>
      </c>
      <c r="C21457" t="n">
        <v>8</v>
      </c>
      <c r="D21457" t="inlineStr">
        <is>
          <t>Plume de Buhorado; Amulette du Cœur Vaillant; Bague Trithon; Alliance Gloursonne; Bouclier Taverne; Menoture; Dorabysses; Chevelure de Tal Kasha; Bottes Trithon; Dofus Turquoise; Dofus Ivoire; Dofus Ocre; Culbuteur majeur; Cascadeur majeur; Bousculeur majeur; Tofoudre</t>
        </is>
      </c>
    </row>
    <row r="21458">
      <c r="A21458" t="inlineStr">
        <is>
          <t>Ecaflip M 200</t>
        </is>
      </c>
      <c r="B21458">
        <f>HYPERLINK("https://www.dofusbook.net/fr/equipement/4448419-ecaflip-m-200/objets", "link")</f>
        <v/>
      </c>
      <c r="C21458" t="n">
        <v>7</v>
      </c>
      <c r="D21458" t="inlineStr">
        <is>
          <t>Plume de Buhorado; Amulette du Cœur Vaillant; Bague Trithon; Alliance Brûlâme; Bouclier Taverne; Ceinture Gence; Casque Dragoeuf; Cape du Cœur Vaillant; Bottes Trithon; Dofus Pourpre; Dofus Abyssal; Dofus Ocre; Dofus Ivoire; Pousseur majeur; Bousculeur majeur; Bouflux</t>
        </is>
      </c>
    </row>
    <row r="21459">
      <c r="A21459" t="inlineStr">
        <is>
          <t>Ecaflip M 200</t>
        </is>
      </c>
      <c r="B21459">
        <f>HYPERLINK("https://www.dofusbook.net/fr/equipement/4614615-ecaflip-m-200/objets", "link")</f>
        <v/>
      </c>
      <c r="C21459" t="n">
        <v>4</v>
      </c>
      <c r="D21459" t="inlineStr">
        <is>
          <t>Plume de Buhorado; Amulette du Cœur Vaillant; Bague Trithon; Alliance Brûlâme; Bouclier d'Ilyzaelle; Ceinture Gence; Masque de Koutoulou; Cape du Cœur Vaillant; Bottes Trithon; Dofus Abyssal; Dofus Ocre; Dofus Pourpre; Dofus Ivoire; Bousculeur majeur; Culbuteur majeur; Bouflux</t>
        </is>
      </c>
    </row>
    <row r="21460">
      <c r="A21460" t="inlineStr">
        <is>
          <t>Ecaflip M 200</t>
        </is>
      </c>
      <c r="B21460">
        <f>HYPERLINK("https://www.dofusbook.net/fr/equipement/4403602-ecaflip-m-200/objets", "link")</f>
        <v/>
      </c>
      <c r="C21460" t="n">
        <v>9</v>
      </c>
      <c r="D21460" t="inlineStr">
        <is>
          <t>Lav'Hache; Torquistik; Bague Trithon; Anneau Chevelu; Bouclier d'Ilyzaelle; Ceinture Gence; Casque Dragoeuf; Cape au Logis; Bottistik; Dofus Turquoise; Dofus Ivoire; Dofus Ocre; Dofus Abyssal; Enragé majeur; Culbuteur majeur; Black Tiwabbit</t>
        </is>
      </c>
    </row>
    <row r="21461">
      <c r="A21461" t="inlineStr">
        <is>
          <t>Ecaflip M 200</t>
        </is>
      </c>
      <c r="B21461">
        <f>HYPERLINK("https://www.dofusbook.net/fr/equipement/4179571-ecaflip-m-200/objets", "link")</f>
        <v/>
      </c>
      <c r="C21461" t="n">
        <v>37</v>
      </c>
      <c r="D21461" t="inlineStr">
        <is>
          <t>Sceptre du Roi Joueur; Amulette du Strigide; Anneau Volkorne; Alliance Gloursonne; Bouclier du Stalak; Sangle Ouare; Némès de Tal Kasha; Chevelure de Tal Kasha; Pataugastrique; Dofus Turquoise; Dofus Ébène; Dofus Ocre; Dofus Pourpre; Dofus Ivoire; Chanceux majeur; Pioute bleu</t>
        </is>
      </c>
    </row>
    <row r="21462">
      <c r="A21462" t="inlineStr">
        <is>
          <t>Ecaflip M 200</t>
        </is>
      </c>
      <c r="B21462">
        <f>HYPERLINK("https://www.dofusbook.net/fr/equipement/4684309-ecaflip-m-200/objets", "link")</f>
        <v/>
      </c>
      <c r="C21462" t="n">
        <v>2</v>
      </c>
      <c r="D21462" t="inlineStr">
        <is>
          <t>Sceptre du Roi Joueur; Amulette du Strigide; Alliance Gloursonne; Anneau Volkorne; Bouclier du Stalak; Sangle Ouare; Némès de Tal Kasha; Chevelure de Tal Kasha; Sandales de Tal Kasha; Dofus Turquoise; Dofus Ébène; Dofus Ivoire; Dofus Pourpre; Remueur; Dragodinde Amande et Indigo</t>
        </is>
      </c>
    </row>
    <row r="21463">
      <c r="A21463" t="inlineStr">
        <is>
          <t>Huppermage M 200</t>
        </is>
      </c>
      <c r="B21463">
        <f>HYPERLINK("https://www.dofusbook.net/fr/equipement/4730019-huppermage-m-200/objets", "link")</f>
        <v/>
      </c>
      <c r="C21463" t="n">
        <v>13</v>
      </c>
      <c r="D21463" t="inlineStr">
        <is>
          <t>Massier; Amulette du Strigide; Anneauræus; Anneauræus; Bouclier d'Ilyzaelle; Ceinture de Vortex; Heaume Oplate; Cape de la Dame du Hasard; Bottes de la Dame du Hasard; Dofus Vulbis; Dofus Ivoire; Dofus Abyssal; Dofus Pourpre; Évasif majeur; Érudit majeur; Chienchien Tigré</t>
        </is>
      </c>
    </row>
    <row r="21464">
      <c r="A21464" t="inlineStr">
        <is>
          <t>Zobal M 200</t>
        </is>
      </c>
      <c r="B21464">
        <f>HYPERLINK("https://www.dofusbook.net/fr/equipement/4729993-zobal-m-200/objets", "link")</f>
        <v/>
      </c>
      <c r="C21464" t="n">
        <v>7</v>
      </c>
      <c r="D21464" t="inlineStr">
        <is>
          <t>Dagues Ricol; Amulette du Strigide; Anneauræus; Anneauræus; Cadran d'Eau; Ceinture de Gein; Heaume Oplate; Cape de la Dame du Hasard; Bottes de la Dame du Hasard; Dofus Pourpre; Dofus Vulbis; Dofus Ivoire; Dofus Turquoise; Dofus Abyssal; Évasif majeur; Chienchien Tigré</t>
        </is>
      </c>
    </row>
    <row r="21465">
      <c r="A21465" t="inlineStr">
        <is>
          <t>Zobal M 200</t>
        </is>
      </c>
      <c r="B21465">
        <f>HYPERLINK("https://www.dofusbook.net/fr/equipement/4729967-zobal-m-200/objets", "link")</f>
        <v/>
      </c>
      <c r="C21465" t="n">
        <v>5</v>
      </c>
      <c r="D21465" t="inlineStr">
        <is>
          <t>Dagues Açantes; Amulette du Strigide; Alliance Gloursonne; Anneau Volkorne; Cadran d'Eau; Poulpagne; Capuche de l'Œil Attentif; Cape de l'Œil Attentif; Pantoufles du Piloztère; Dofus Ivoire; Dofus Turquoise; Dofus Vulbis; Dofus Pourpre; Dofus Abyssal; Évasif majeur; Chienchien Tigré</t>
        </is>
      </c>
    </row>
    <row r="21466">
      <c r="A21466" t="inlineStr">
        <is>
          <t>Xélor F 200</t>
        </is>
      </c>
      <c r="B21466">
        <f>HYPERLINK("https://www.dofusbook.net/fr/equipement/4721691-xelor-f-200/objets", "link")</f>
        <v/>
      </c>
      <c r="C21466" t="n">
        <v>0</v>
      </c>
      <c r="D21466" t="inlineStr">
        <is>
          <t>Sceptre du Roi Joueur; Amulette du Strigide; Anneau Volkorne; Alliance Gloursonne; Quatre-feuilles; Culotte de Bethel; Masque de Funespadon; Chevelure de Tal Kasha; Pataugastrique; Dofus Ivoire; Dofus Turquoise; Dofus Ébène; Dofus Vulbis; Dofus Ocre; Chanceux majeur</t>
        </is>
      </c>
    </row>
    <row r="21467">
      <c r="A21467" t="inlineStr">
        <is>
          <t>Xélor F 200</t>
        </is>
      </c>
      <c r="B21467">
        <f>HYPERLINK("https://www.dofusbook.net/fr/equipement/4721754-xelor-f-200/objets", "link")</f>
        <v/>
      </c>
      <c r="C21467" t="n">
        <v>0</v>
      </c>
      <c r="D21467" t="inlineStr">
        <is>
          <t>Sabres d'Atcham; Amulette Volkorne; Anneau Volkorne; Culotte de Bethel; Masque de Funespadon; Cape d'Atcham; Chaussons de Macrab</t>
        </is>
      </c>
    </row>
    <row r="21468">
      <c r="A21468" t="inlineStr">
        <is>
          <t>Ecaflip M 200</t>
        </is>
      </c>
      <c r="B21468">
        <f>HYPERLINK("https://www.dofusbook.net/fr/equipement/4720607-ecaflip-m-200/objets", "link")</f>
        <v/>
      </c>
      <c r="C21468" t="n">
        <v>20</v>
      </c>
      <c r="D21468" t="inlineStr">
        <is>
          <t>Epée Loponèze; Amulette du Strigide; Anneau Volkorne; Alliance Gloursonne; Bouclier du Stalak; Ceintacé; Casque Volkorne; Cape de Jahash Jurgen; Bottes du Strigide; Dofus Pourpre; Dofus Turquoise; Dofus Ivoire; Dofus Ocre; Dofus Abyssal; Dofus Vulbis; Dragoune Noire</t>
        </is>
      </c>
    </row>
    <row r="21469">
      <c r="A21469" t="inlineStr">
        <is>
          <t>Osamodas F 200</t>
        </is>
      </c>
      <c r="B21469">
        <f>HYPERLINK("https://www.dofusbook.net/fr/equipement/4720259-osamodas-f-200/objets", "link")</f>
        <v/>
      </c>
      <c r="C21469" t="n">
        <v>1</v>
      </c>
      <c r="D21469" t="inlineStr">
        <is>
          <t>Lance Horselé; Collier du Valet Veinard; Alliance Brûlâme; Alliance Gloursonne; Ceinture du Barbétoal; Chapeau de Tournoyé; Cape du Kamasterisk; Pantoufles Émar</t>
        </is>
      </c>
    </row>
    <row r="21470">
      <c r="A21470" t="inlineStr">
        <is>
          <t>Enutrof M 200</t>
        </is>
      </c>
      <c r="B21470">
        <f>HYPERLINK("https://www.dofusbook.net/fr/equipement/4720218-enutrof-m-200/objets", "link")</f>
        <v/>
      </c>
      <c r="C21470" t="n">
        <v>3</v>
      </c>
      <c r="D21470" t="inlineStr">
        <is>
          <t>Arc corrompu; Amulette Volkorne; Anneauræus; Anneauræus; Bouclier du Stalak; Ceinture Volkorne; Heaume Oplate; Bravoure de Rykke Errel; Pataugastrique; Dofus Vulbis; Dofus Ivoire; Dofus Abyssal; Dofus Pourpre; Érudit majeur; Dragodinde Amande et Orchidée</t>
        </is>
      </c>
    </row>
    <row r="21471">
      <c r="A21471" t="inlineStr">
        <is>
          <t>Osamodas M 200</t>
        </is>
      </c>
      <c r="B21471">
        <f>HYPERLINK("https://www.dofusbook.net/fr/equipement/4720157-osamodas-m-200/objets", "link")</f>
        <v/>
      </c>
      <c r="C21471" t="n">
        <v>0</v>
      </c>
      <c r="D21471" t="inlineStr">
        <is>
          <t>Lance Horselé; Amulette Volkorne; Alliance Gloursonne; Alliance Brûlâme; Bouclier du Stalak; Menoture; Casque Volkorne; Cape Martegel; Palmes Trithons</t>
        </is>
      </c>
    </row>
    <row r="21472">
      <c r="A21472" t="inlineStr">
        <is>
          <t>Xélor F 200</t>
        </is>
      </c>
      <c r="B21472">
        <f>HYPERLINK("https://www.dofusbook.net/fr/equipement/4712226-xelor-f-200/objets", "link")</f>
        <v/>
      </c>
      <c r="C21472" t="n">
        <v>7</v>
      </c>
      <c r="D21472" t="inlineStr">
        <is>
          <t>Sceptre du Roi Joueur; Amulette de Shokkoth; Alliance Gloursonne; Anneau Volkorne; Bouclier d'Ilyzaelle; Culotte de Bethel; Casque Dragoeuf; Cape Solution; Pataugastrique; Dofus Abyssal; Dofus Ivoire; Dofus Vulbis; Paralyseur majeur; Étourdisseur majeur; Chanceux majeur; Boskito</t>
        </is>
      </c>
    </row>
    <row r="21473">
      <c r="A21473" t="inlineStr">
        <is>
          <t>Enutrof F 200</t>
        </is>
      </c>
      <c r="B21473">
        <f>HYPERLINK("https://www.dofusbook.net/fr/equipement/4712157-enutrof-f-200/objets", "link")</f>
        <v/>
      </c>
      <c r="C21473" t="n">
        <v>2</v>
      </c>
      <c r="D21473" t="inlineStr">
        <is>
          <t>Dagoulinantes; Amulette du Strigide; Alliance Gloursonne; Anneau Volkorne; Cadran d'Eau; Ceintacé; Casque Dragoeuf; Cape de la Dame du Hasard; Bottes de la Dame du Hasard; Dofus Abyssal; Dofus Ivoire; Dofus Vulbis; Dofus Turquoise; Dofus Ocre; Chanceux majeur; Dragodinde Emeraude et Indigo</t>
        </is>
      </c>
    </row>
    <row r="21474">
      <c r="A21474" t="inlineStr">
        <is>
          <t>Zobal M 200</t>
        </is>
      </c>
      <c r="B21474">
        <f>HYPERLINK("https://www.dofusbook.net/fr/equipement/4707836-zobal-m-200/objets", "link")</f>
        <v/>
      </c>
      <c r="C21474" t="n">
        <v>11</v>
      </c>
      <c r="D21474" t="inlineStr">
        <is>
          <t>Arc Nécrotique; Amulette Volkorne; Anneau Volkorne; Alliance Gloursonne; Quatre-feuilles; Sangle Ouare; Casquette de Meno; Cape de la Dame du Hasard; Pataugastrique; Dofus Abyssal; Dofus Ivoire; Dofus Turquoise; Dofus des Glaces; Dofus Pourpre; Remueur; Kokulte</t>
        </is>
      </c>
    </row>
    <row r="21475">
      <c r="A21475" t="inlineStr">
        <is>
          <t>Zobal M 200</t>
        </is>
      </c>
      <c r="B21475">
        <f>HYPERLINK("https://www.dofusbook.net/fr/equipement/4706936-zobal-m-200/objets", "link")</f>
        <v/>
      </c>
      <c r="C21475" t="n">
        <v>2</v>
      </c>
      <c r="D21475" t="inlineStr">
        <is>
          <t>Hachoirs de Viandargh; Amulette du Strigide; Anneau de Padgref; Alliance Gloursonne; Bouclier du Captain Amakna; Menoture; Dorabysses; Chevelure de Tal Kasha; Sandales de Tal Kasha; Dofus Ivoire; Dofus Ocre; Dofus Abyssal; Dofus Turquoise; Nomade; Cascadeur majeur; Kokulte</t>
        </is>
      </c>
    </row>
    <row r="21476">
      <c r="A21476" t="inlineStr">
        <is>
          <t>Ecaflip M 200</t>
        </is>
      </c>
      <c r="B21476">
        <f>HYPERLINK("https://www.dofusbook.net/fr/equipement/4705230-ecaflip-m-200/objets", "link")</f>
        <v/>
      </c>
      <c r="C21476" t="n">
        <v>3</v>
      </c>
      <c r="D21476" t="inlineStr">
        <is>
          <t>Manthache; Collier du Valet Veinard; Alliance Gloursonne; Gant du Valet Veinard; Bouclier du Stalak; Menoture; Dorabysses; Cape Indescriptible; Bottes de l'Esprit Salvateur; Dofus Pourpre; Dofus Ocre; Dofus Abyssal; Dofus Vulbis; Dofus Ivoire; Cascadeur majeur; Dragodinde Amande et Ebène</t>
        </is>
      </c>
    </row>
    <row r="21477">
      <c r="A21477" t="inlineStr">
        <is>
          <t>Sadida M 200</t>
        </is>
      </c>
      <c r="B21477">
        <f>HYPERLINK("https://www.dofusbook.net/fr/equipement/4705202-sadida-m-200/objets", "link")</f>
        <v/>
      </c>
      <c r="C21477" t="n">
        <v>10</v>
      </c>
      <c r="D21477" t="inlineStr">
        <is>
          <t>Arc Honte; Amulette Volkorne; Bague Gloursonne; Anneau Volkorne; Bouclier cubiste; Ceinture de l'Esprit Salvateur; Masque de l'Esprit Salvateur; Cape de l'Œil Putride; Bottes de l'Esprit Salvateur; Dofus Ivoire; Dofus des Glaces; Dofus Ocre; Dofus Abyssal; Dofus Vulbis; Entraveur majeur; Volkorne Turquoise et Orchidée</t>
        </is>
      </c>
    </row>
    <row r="21478">
      <c r="A21478" t="inlineStr">
        <is>
          <t>Iop M 200</t>
        </is>
      </c>
      <c r="B21478">
        <f>HYPERLINK("https://www.dofusbook.net/fr/equipement/4704695-iop-m-200/objets", "link")</f>
        <v/>
      </c>
      <c r="C21478" t="n">
        <v>15</v>
      </c>
      <c r="D21478" t="inlineStr">
        <is>
          <t>Pelle de la Cour Sombre; Amulette Martegel; Gant du Valet Veinard; Alliance Gloursonne; Bouclier d'Ilyzaelle; Menoture; Dorabysses; Cape Martegel; Palmes Trithons; Dofus Ivoire; Dofus Ocre; Dofus Vulbis; Cascadeur majeur; Solide majeur; Évasif majeur; Dragodinde Ebène et Ivoire</t>
        </is>
      </c>
    </row>
    <row r="21479">
      <c r="A21479" t="inlineStr">
        <is>
          <t>Sacrieur M 200</t>
        </is>
      </c>
      <c r="B21479">
        <f>HYPERLINK("https://www.dofusbook.net/fr/equipement/4704791-sacrieur-m-200/objets", "link")</f>
        <v/>
      </c>
      <c r="C21479" t="n">
        <v>0</v>
      </c>
      <c r="D21479" t="inlineStr"/>
    </row>
    <row r="21480">
      <c r="A21480" t="inlineStr">
        <is>
          <t>Ouginak F 200</t>
        </is>
      </c>
      <c r="B21480">
        <f>HYPERLINK("https://www.dofusbook.net/fr/equipement/4704352-ouginak-f-200/objets", "link")</f>
        <v/>
      </c>
      <c r="C21480" t="n">
        <v>2</v>
      </c>
      <c r="D21480" t="inlineStr">
        <is>
          <t>Marteau R'ture; Amulette du Strigide; Anneau Chevelu; Bague Gloursonne; Cadran d'Eau; Ceinture Volkorne; Masque de Koutoulou; Bravoure de Rykke Errel; Bottes du Strigide; Dofus Turquoise; Dofus Abyssal; Dofus Ocre; Dofus Ivoire; Dofus Vulbis; Enragé majeur; Dragodinde Emeraude et Pourpre</t>
        </is>
      </c>
    </row>
    <row r="21481">
      <c r="A21481" t="inlineStr">
        <is>
          <t>Féca M 200</t>
        </is>
      </c>
      <c r="B21481">
        <f>HYPERLINK("https://www.dofusbook.net/fr/equipement/4704349-feca-m-200/objets", "link")</f>
        <v/>
      </c>
      <c r="C21481" t="n">
        <v>0</v>
      </c>
      <c r="D21481" t="inlineStr"/>
    </row>
    <row r="21482">
      <c r="A21482" t="inlineStr">
        <is>
          <t>Xélor M 200</t>
        </is>
      </c>
      <c r="B21482">
        <f>HYPERLINK("https://www.dofusbook.net/fr/equipement/4698201-xelor-m-200/objets", "link")</f>
        <v/>
      </c>
      <c r="C21482" t="n">
        <v>0</v>
      </c>
      <c r="D21482" t="inlineStr">
        <is>
          <t>Arc corrompu; Amulette Volkorne; Bague Gloursonne; Anneauræus; Quatre-feuilles; Ceinture Volkorne; Heaume Oplate; Cape de la Dame du Hasard; Bottes de la Dame du Hasard; Dofus Ébène; Dofus Ocre; Dofus Turquoise; Dofus Ivoire; Dofus Pourpre; Dofus Vulbis; Kokulte</t>
        </is>
      </c>
    </row>
    <row r="21483">
      <c r="A21483" t="inlineStr">
        <is>
          <t>Sadida M 200</t>
        </is>
      </c>
      <c r="B21483">
        <f>HYPERLINK("https://www.dofusbook.net/fr/equipement/4695296-sadida-m-200/objets", "link")</f>
        <v/>
      </c>
      <c r="C21483" t="n">
        <v>4</v>
      </c>
      <c r="D21483" t="inlineStr">
        <is>
          <t>Manthache; Collier du Valet Veinard; Alliance Gloursonne; Gant du Valet Veinard; Bouclier d'Ilyzaelle; Menoture; Chapeau de Tournoyé; Cape du Kamasterisk; Bottes de l'Esprit Salvateur; Dofus Vulbis; Dofus Abyssal; Dofus Ivoire; Dofus Ocre; Évasif majeur; Cascadeur majeur; Dragodinde Ebène</t>
        </is>
      </c>
    </row>
    <row r="21484">
      <c r="A21484" t="inlineStr">
        <is>
          <t>Iop M 200</t>
        </is>
      </c>
      <c r="B21484">
        <f>HYPERLINK("https://www.dofusbook.net/fr/equipement/4695284-iop-m-200/objets", "link")</f>
        <v/>
      </c>
      <c r="C21484" t="n">
        <v>2</v>
      </c>
      <c r="D21484" t="inlineStr"/>
    </row>
    <row r="21485">
      <c r="A21485" t="inlineStr">
        <is>
          <t>Xélor M 200</t>
        </is>
      </c>
      <c r="B21485">
        <f>HYPERLINK("https://www.dofusbook.net/fr/equipement/4685241-xelor-m-200/objets", "link")</f>
        <v/>
      </c>
      <c r="C21485" t="n">
        <v>3</v>
      </c>
      <c r="D21485" t="inlineStr"/>
    </row>
    <row r="21486">
      <c r="A21486" t="inlineStr">
        <is>
          <t>Ecaflip F 200</t>
        </is>
      </c>
      <c r="B21486">
        <f>HYPERLINK("https://www.dofusbook.net/fr/equipement/4441682-ecaflip-f-200/objets", "link")</f>
        <v/>
      </c>
      <c r="C21486" t="n">
        <v>19</v>
      </c>
      <c r="D21486" t="inlineStr">
        <is>
          <t>Sceptre du Roi Joueur; Amulette du Strigide; Anneau Volkorne; Alliance Gloursonne; Bouclier du Stalak; Ceinture Glaciale; Némès de Tal Kasha; Chevelure de Tal Kasha; Sandales de Tal Kasha; Dofus Turquoise; Dofus Ivoire; Dofus Ocre; Dofus Pourpre; Dofus Ébène; Dragodinde Amande et Indigo</t>
        </is>
      </c>
    </row>
    <row r="21487">
      <c r="A21487" t="inlineStr">
        <is>
          <t>Ecaflip M 200</t>
        </is>
      </c>
      <c r="B21487">
        <f>HYPERLINK("https://www.dofusbook.net/fr/equipement/4684375-ecaflip-m-200/objets", "link")</f>
        <v/>
      </c>
      <c r="C21487" t="n">
        <v>1</v>
      </c>
      <c r="D21487" t="inlineStr">
        <is>
          <t>Epée Loponèze; Amulette du Strigide; Alliance Gloursonne; Anneau Volkorne; Bouclier du Stalak; Ceinture Volkorne; Casque Volkorne; Cape de Jahash Jurgen; Bottes du Strigide; Dofus Ébène; Dofus Ocre; Dofus Pourpre; Dofus Turquoise; Dofus Ivoire; Dofus Forgelave; Fëanor</t>
        </is>
      </c>
    </row>
    <row r="21488">
      <c r="A21488" t="inlineStr">
        <is>
          <t>Ecaflip M 200</t>
        </is>
      </c>
      <c r="B21488">
        <f>HYPERLINK("https://www.dofusbook.net/fr/equipement/4684342-ecaflip-m-200/objets", "link")</f>
        <v/>
      </c>
      <c r="C21488" t="n">
        <v>1</v>
      </c>
      <c r="D21488" t="inlineStr">
        <is>
          <t>Epée Loponèze; Amulette du Strigide; Alliance Gloursonne; Anneau Volkorne; Bouclier du Stalak; Ceintacé; Casque Volkorne; Cape de Jahash Jurgen; Bottes du Strigide; Dofus Turquoise; Dofus Ocre; Dofus Ébène; Dofus Vulbis; Dofus Forgelave; Dofus Ivoire; Chacha Angora</t>
        </is>
      </c>
    </row>
    <row r="21489">
      <c r="A21489" t="inlineStr">
        <is>
          <t>Eliotrope M 200</t>
        </is>
      </c>
      <c r="B21489">
        <f>HYPERLINK("https://www.dofusbook.net/fr/equipement/4681917-eliotrope-m-200/objets", "link")</f>
        <v/>
      </c>
      <c r="C21489" t="n">
        <v>0</v>
      </c>
      <c r="D21489" t="inlineStr">
        <is>
          <t>Arc corrompu; Amulette Volkorne; Anneauræus; Anneauræus; Quatre-feuilles; Ceinture Volkorne; Heaume Oplate; Cape de la Dame du Hasard; Pataugastrique; Dofus Ébène; Dofus Vulbis; Dofus Abyssal; Dofus Turquoise; Dofus Ivoire; Dragodinde Amande et Orchidée</t>
        </is>
      </c>
    </row>
    <row r="21490">
      <c r="A21490" t="inlineStr">
        <is>
          <t>Féca M 200</t>
        </is>
      </c>
      <c r="B21490">
        <f>HYPERLINK("https://www.dofusbook.net/fr/equipement/4677451-feca-m-200/objets", "link")</f>
        <v/>
      </c>
      <c r="C21490" t="n">
        <v>8</v>
      </c>
      <c r="D21490" t="inlineStr">
        <is>
          <t>Dagues Ricol; Amulette du Strigide; Bague Gloursonne; Anneauræus; Cadran d'Eau; Ceinture de Vortex; Heaume Oplate; Bravoure de Rykke Errel; Bottes du Strigide; Dofus Ivoire; Dofus Ocre; Dofus Turquoise; Dofus Pourpre; Dofus Vulbis; Érudit majeur; Kokulte</t>
        </is>
      </c>
    </row>
    <row r="21491">
      <c r="A21491" t="inlineStr">
        <is>
          <t>Féca M 200</t>
        </is>
      </c>
      <c r="B21491">
        <f>HYPERLINK("https://www.dofusbook.net/fr/equipement/4677425-feca-m-200/objets", "link")</f>
        <v/>
      </c>
      <c r="C21491" t="n">
        <v>1</v>
      </c>
      <c r="D21491" t="inlineStr">
        <is>
          <t>Sceptre du Roi Joueur; Amulette de Shokkoth; Alliance Gloursonne; Anneau Volkorne; Bouclier du Stalak; Poulpagne; Casquette de Meno; Cape de Jahash Jurgen; Sandales des Fonds marins; Dofus Pourpre; Dofus Abyssal; Dofus Vulbis; Dofus Ivoire; Dofus Ocre; Chanceux majeur</t>
        </is>
      </c>
    </row>
    <row r="21492">
      <c r="A21492" t="inlineStr">
        <is>
          <t>Sadida M 200</t>
        </is>
      </c>
      <c r="B21492">
        <f>HYPERLINK("https://www.dofusbook.net/fr/equipement/4669422-sadida-m-200/objets", "link")</f>
        <v/>
      </c>
      <c r="C21492" t="n">
        <v>4</v>
      </c>
      <c r="D21492" t="inlineStr">
        <is>
          <t>Sceptre du Roi Joueur; Amulette de Shokkoth; Alliance Gloursonne; Anneau Volkorne; Bouclier d'Ilyzaelle; Poulpagne; Capuche de l'Œil Attentif; Cape de l'Œil Attentif; Pataugastrique; Dofus Turquoise; Dofus Pourpre; Dofus Abyssal; Dofus Vulbis; Chanceux majeur; Évasif majeur; Rauleur</t>
        </is>
      </c>
    </row>
    <row r="21493">
      <c r="A21493" t="inlineStr">
        <is>
          <t>Zobal M 200</t>
        </is>
      </c>
      <c r="B21493">
        <f>HYPERLINK("https://www.dofusbook.net/fr/equipement/4669444-zobal-m-200/objets", "link")</f>
        <v/>
      </c>
      <c r="C21493" t="n">
        <v>16</v>
      </c>
      <c r="D21493" t="inlineStr">
        <is>
          <t>Dagues Ricol; Amulette du Strigide; Anneauræus; Anneauræus; Cadran d'Eau; Ceinture Séculaire; Heaume Oplate; Bravoure de Rykke Errel; Bottes du Strigide; Dofus Ivoire; Dofus Turquoise; Dofus Ocre; Dofus Abyssal; Dofus Vulbis; Évasif majeur; Rauleur</t>
        </is>
      </c>
    </row>
    <row r="21494">
      <c r="A21494" t="inlineStr">
        <is>
          <t>Eniripsa M 200</t>
        </is>
      </c>
      <c r="B21494">
        <f>HYPERLINK("https://www.dofusbook.net/fr/equipement/4668877-eniripsa-m-200/objets", "link")</f>
        <v/>
      </c>
      <c r="C21494" t="n">
        <v>1</v>
      </c>
      <c r="D21494" t="inlineStr">
        <is>
          <t>Arc corrompu; Amulette Volkorne; Anneauræus; Anneauræus; Bouclier du Stalak; Ceinture Volkorne; Voile d'encre; Dofus Pourpre; Dofus Abyssal; Dofus Ivoire; Dofus Vulbis; Érudit majeur; Déserteur majeur; Dragoune Rose</t>
        </is>
      </c>
    </row>
    <row r="21495">
      <c r="A21495" t="inlineStr">
        <is>
          <t>Ecaflip M 200</t>
        </is>
      </c>
      <c r="B21495">
        <f>HYPERLINK("https://www.dofusbook.net/fr/equipement/4668650-ecaflip-m-200/objets", "link")</f>
        <v/>
      </c>
      <c r="C21495" t="n">
        <v>1</v>
      </c>
      <c r="D21495" t="inlineStr">
        <is>
          <t>Arc du Chalœil; Amulette Luminescente; Alliance Brûlâme; Bague Trithon; Bouclier Taverne; Ceinture Luminescente; Masque Trithon; Cape Luminescente; Bottes Trithon; Dofus Vulbis; Dofus Ocre; Dofus Abyssal; Dofus Pourpre; Dofus Ivoire; Black Tiwabbit</t>
        </is>
      </c>
    </row>
    <row r="21496">
      <c r="A21496" t="inlineStr">
        <is>
          <t>Xélor F 200</t>
        </is>
      </c>
      <c r="B21496">
        <f>HYPERLINK("https://www.dofusbook.net/fr/equipement/4598902-xelor-f-200/objets", "link")</f>
        <v/>
      </c>
      <c r="C21496" t="n">
        <v>1</v>
      </c>
      <c r="D21496" t="inlineStr">
        <is>
          <t>Arc corrompu; Collier de la Dame du Hasard; Bague Gloursonne; Anneau de Padgref; Quatre-feuilles; Ceinture de l'Esprit Malsain; Heaume Oplate; Cape de la Dame du Hasard; Getas de Padgref; Dofus Pourpre; Dofus Turquoise; Dofus Vulbis; Dofus Ivoire; Dofus Ocre; Dofus Ébène; Pioute rouge</t>
        </is>
      </c>
    </row>
    <row r="21497">
      <c r="A21497" t="inlineStr">
        <is>
          <t>Sadida M 200</t>
        </is>
      </c>
      <c r="B21497">
        <f>HYPERLINK("https://www.dofusbook.net/fr/equipement/4658416-sadida-m-200/objets", "link")</f>
        <v/>
      </c>
      <c r="C21497" t="n">
        <v>0</v>
      </c>
      <c r="D21497" t="inlineStr"/>
    </row>
    <row r="21498">
      <c r="A21498" t="inlineStr">
        <is>
          <t>Sadida M 200</t>
        </is>
      </c>
      <c r="B21498">
        <f>HYPERLINK("https://www.dofusbook.net/fr/equipement/4650758-sadida-m-200/objets", "link")</f>
        <v/>
      </c>
      <c r="C21498" t="n">
        <v>4</v>
      </c>
      <c r="D21498" t="inlineStr">
        <is>
          <t>Sceptre du Roi Joueur; Amulette de Shokkoth; Anneau Volkorne; Alliance Gloursonne; Bouclier du Stalak; Poulpagne; Capuche de l'Œil Attentif; Cape de l'Œil Attentif; Chaussons de Macrab; Dofus Ocre; Dofus Ivoire; Dofus Pourpre; Dofus Vulbis; Évasif majeur; Chanceux majeur</t>
        </is>
      </c>
    </row>
    <row r="21499">
      <c r="A21499" t="inlineStr">
        <is>
          <t>Ouginak F 200</t>
        </is>
      </c>
      <c r="B21499">
        <f>HYPERLINK("https://www.dofusbook.net/fr/equipement/4641957-ouginak-f-200/objets", "link")</f>
        <v/>
      </c>
      <c r="C21499" t="n">
        <v>6</v>
      </c>
      <c r="D21499" t="inlineStr">
        <is>
          <t>Sceptre du Roi Joueur; Amulette de Shokkoth; Alliance Gloursonne; Anneau Volkorne; Bouclier du Stalak; Ceinture Voldelor; Masque Paztek; Cape Solution; Pataugastrique; Dofus Pourpre; Dofus Abyssal; Dofus Vulbis; Dofus des Glaces; Dofus Ivoire; Chanceux majeur; Dragodinde Indigo et Ivoire</t>
        </is>
      </c>
    </row>
    <row r="21500">
      <c r="A21500" t="inlineStr">
        <is>
          <t>Huppermage F 200</t>
        </is>
      </c>
      <c r="B21500">
        <f>HYPERLINK("https://www.dofusbook.net/fr/equipement/4641405-huppermage-f-200/objets", "link")</f>
        <v/>
      </c>
      <c r="C21500" t="n">
        <v>0</v>
      </c>
      <c r="D21500" t="inlineStr"/>
    </row>
    <row r="21501">
      <c r="A21501" t="inlineStr">
        <is>
          <t>Sadida F 200</t>
        </is>
      </c>
      <c r="B21501">
        <f>HYPERLINK("https://www.dofusbook.net/fr/equipement/3929525-sadida-f-200/objets", "link")</f>
        <v/>
      </c>
      <c r="C21501" t="n">
        <v>16</v>
      </c>
      <c r="D21501" t="inlineStr">
        <is>
          <t>Lav'Hache; Amulette du Kamasterisk; Anneau Chevelu; Bague Gloursonne; Bouclier du Stalak; Ceinture Volkorne; Masque de Koutoulou; Cape du Kamasterisk; Bottes de la Cour Sombre; Dofus Pourpre; Dofus Vulbis; Dofus Ivoire; Dofus Abyssal; Évasif majeur; Enragé majeur; Chienchien Tigré</t>
        </is>
      </c>
    </row>
    <row r="21502">
      <c r="A21502" t="inlineStr">
        <is>
          <t>Sadida M 200</t>
        </is>
      </c>
      <c r="B21502">
        <f>HYPERLINK("https://www.dofusbook.net/fr/equipement/3919556-sadida-m-200/objets", "link")</f>
        <v/>
      </c>
      <c r="C21502" t="n">
        <v>21</v>
      </c>
      <c r="D21502" t="inlineStr">
        <is>
          <t>Dagues Érhy; Pendentif mignon de Koutoulou; Alliance Brûlâme; Alliance Gloursonne; Bouclier du Stalak; Ceinture de Vortex; Casque Cyclopéen; Cape Martegel; Pantoufles Émar; Dofus des Glaces; Dofus Ocre; Dofus Ivoire; Dolmanax; Nomade; Léopardo</t>
        </is>
      </c>
    </row>
    <row r="21503">
      <c r="A21503" t="inlineStr">
        <is>
          <t>Xélor M 200</t>
        </is>
      </c>
      <c r="B21503">
        <f>HYPERLINK("https://www.dofusbook.net/fr/equipement/4615389-xelor-m-200/objets", "link")</f>
        <v/>
      </c>
      <c r="C21503" t="n">
        <v>3</v>
      </c>
      <c r="D21503" t="inlineStr">
        <is>
          <t>Marteau des égarés; Amulette Ementaire Deluxe; Bague Gloursonne; Alliance Gloursonne; Bouclier du Stalak; Ceinture de l'Esprit Salvateur; Masque de l'Esprit Salvateur; Cape du Chalœil; Bottes de l'Esprit Salvateur; Dofus Pourpre; Dofus Abyssal; Dofus des Glaces; Dofus Ocre; Dofus Vulbis; Dofus Ivoire; Fëanor</t>
        </is>
      </c>
    </row>
    <row r="21504">
      <c r="A21504" t="inlineStr">
        <is>
          <t>Iop F 200</t>
        </is>
      </c>
      <c r="B21504">
        <f>HYPERLINK("https://www.dofusbook.net/fr/equipement/4614047-iop-f-200/objets", "link")</f>
        <v/>
      </c>
      <c r="C21504" t="n">
        <v>7</v>
      </c>
      <c r="D21504" t="inlineStr">
        <is>
          <t>Arc corrompu; Amulette Volkorne; Bague Gloursonne; Anneauræus; Bouclier du Stalak; Ceinture Volkorne; Heaume Oplate; Cape de Jahash Jurgen; Chaussures Ardentes; Dofus Ivoire; Dofus Vulbis; Dofus Abyssal; Dofus Pourpre; Dofus Ocre; Érudit majeur; Dragodinde Amande et Orchidée</t>
        </is>
      </c>
    </row>
    <row r="21505">
      <c r="A21505" t="inlineStr">
        <is>
          <t>Zobal M 200</t>
        </is>
      </c>
      <c r="B21505">
        <f>HYPERLINK("https://www.dofusbook.net/fr/equipement/4614022-zobal-m-200/objets", "link")</f>
        <v/>
      </c>
      <c r="C21505" t="n">
        <v>1</v>
      </c>
      <c r="D21505" t="inlineStr">
        <is>
          <t>Amulette du Strigide; Anneau Volkorne; Bague Trithon; Cadran d'Eau; Ceintacé; Masque Trithon; Chevelure de Tal Kasha; Sandales de Tal Kasha; Dofus des Glaces; Dofus Turquoise; Dofus Vulbis; Dofus Ocre; Dofus Pourpre; Dofus Ivoire; Kokulte</t>
        </is>
      </c>
    </row>
    <row r="21506">
      <c r="A21506" t="inlineStr">
        <is>
          <t>Zobal M 200</t>
        </is>
      </c>
      <c r="B21506">
        <f>HYPERLINK("https://www.dofusbook.net/fr/equipement/4614009-zobal-m-200/objets", "link")</f>
        <v/>
      </c>
      <c r="C21506" t="n">
        <v>3</v>
      </c>
      <c r="D21506" t="inlineStr">
        <is>
          <t>Hache du Korriandre; Amulette du Strigide; Anneau Volkorne; Alliance Gloursonne; Cadran d'Eau; Ceintacé; Casque Volkorne; Chevelure de Tal Kasha; Sandales de Tal Kasha; Dofus des Glaces; Dofus Ocre; Dofus Abyssal; Dofus Turquoise; Dofus Vulbis; Dofus Ivoire; Kokulte</t>
        </is>
      </c>
    </row>
    <row r="21507">
      <c r="A21507" t="inlineStr">
        <is>
          <t>Ecaflip M 200</t>
        </is>
      </c>
      <c r="B21507">
        <f>HYPERLINK("https://www.dofusbook.net/fr/equipement/4613444-ecaflip-m-200/objets", "link")</f>
        <v/>
      </c>
      <c r="C21507" t="n">
        <v>0</v>
      </c>
      <c r="D21507" t="inlineStr">
        <is>
          <t>Plume de Buhorado; Amulette du Cœur Vaillant; Bague Trithon; Masque Trithon</t>
        </is>
      </c>
    </row>
    <row r="21508">
      <c r="A21508" t="inlineStr">
        <is>
          <t>Ecaflip M 200</t>
        </is>
      </c>
      <c r="B21508">
        <f>HYPERLINK("https://www.dofusbook.net/fr/equipement/4609854-ecaflip-m-200/objets", "link")</f>
        <v/>
      </c>
      <c r="C21508" t="n">
        <v>0</v>
      </c>
      <c r="D21508" t="inlineStr">
        <is>
          <t>Epée Loponèze; Amulette Voldelor; Alliance Brûlâme; Alliance Gloursonne; Bouclier du Stalak; Ceinture Voldelor; Némès de Tal Kasha; Chevelure de Tal Kasha; Sandales de Tal Kasha; Dofus Ivoire; Dofus Turquoise; Dofus Pourpre; Dofus Ocre; Dofus Vulbis; Chacha Angora</t>
        </is>
      </c>
    </row>
    <row r="21509">
      <c r="A21509" t="inlineStr">
        <is>
          <t>Iop M 200</t>
        </is>
      </c>
      <c r="B21509">
        <f>HYPERLINK("https://www.dofusbook.net/fr/equipement/4609694-iop-m-200/objets", "link")</f>
        <v/>
      </c>
      <c r="C21509" t="n">
        <v>4</v>
      </c>
      <c r="D21509" t="inlineStr">
        <is>
          <t>Sceptre du Roi Joueur; Amulette du Strigide; Anneau Volkorne; Alliance Gloursonne; Bouclier du Captain Amakna; Poulpagne; Masque de Funespadon; Chevelure de Tal Kasha; Sandales de Tal Kasha; Dofus Turquoise; Dofus Pourpre; Dofus Vulbis; Dofus Ocre; Dofus Ivoire; Chanceux majeur; Kokulte</t>
        </is>
      </c>
    </row>
    <row r="21510">
      <c r="A21510" t="inlineStr">
        <is>
          <t>Xélor F 200</t>
        </is>
      </c>
      <c r="B21510">
        <f>HYPERLINK("https://www.dofusbook.net/fr/equipement/4609081-xelor-f-200/objets", "link")</f>
        <v/>
      </c>
      <c r="C21510" t="n">
        <v>0</v>
      </c>
      <c r="D21510" t="inlineStr"/>
    </row>
    <row r="21511">
      <c r="A21511" t="inlineStr">
        <is>
          <t>Pandawa M 200</t>
        </is>
      </c>
      <c r="B21511">
        <f>HYPERLINK("https://www.dofusbook.net/fr/equipement/4607468-pandawa-m-200/objets", "link")</f>
        <v/>
      </c>
      <c r="C21511" t="n">
        <v>0</v>
      </c>
      <c r="D21511" t="inlineStr"/>
    </row>
    <row r="21512">
      <c r="A21512" t="inlineStr">
        <is>
          <t>Xélor F 200</t>
        </is>
      </c>
      <c r="B21512">
        <f>HYPERLINK("https://www.dofusbook.net/fr/equipement/4607356-xelor-f-200/objets", "link")</f>
        <v/>
      </c>
      <c r="C21512" t="n">
        <v>3</v>
      </c>
      <c r="D21512" t="inlineStr">
        <is>
          <t>Sceptre du Roi Joueur; Amulette du Sinistrofu; Pikano; Alliance Gloursonne; Cadran de Terre; Culotte de Bethel; Masque de Funespadon; Cape du Sinistrofu; Bottes du Sinistrofu; Dofus Pourpre; Dofus Ocre; Dofus Vulbis; Dofus Ivoire; Dofus Abyssal; Paralyseur majeur; Volkorne Ivoire et Indigo</t>
        </is>
      </c>
    </row>
    <row r="21513">
      <c r="A21513" t="inlineStr">
        <is>
          <t>Ouginak F 200</t>
        </is>
      </c>
      <c r="B21513">
        <f>HYPERLINK("https://www.dofusbook.net/fr/equipement/4604256-ouginak-f-200/objets", "link")</f>
        <v/>
      </c>
      <c r="C21513" t="n">
        <v>5</v>
      </c>
      <c r="D21513" t="inlineStr">
        <is>
          <t>Marteau R'ture; Amulette du Cœur Saignant; Alliance de Missiz Frizz; Anneau Volkorne; Cadran d'Eau; Ceinture Volkorne; Casque de Missiz Frizz; Cape du Cœur Saignant; Bottes du Cœur Saignant; Dofus Ocre; Dofus Abyssal; Dofus Turquoise; Dofus Pourpre; Dofus Vulbis; Dofus Ivoire; Dragodinde Emeraude et Pourpre</t>
        </is>
      </c>
    </row>
    <row r="21514">
      <c r="A21514" t="inlineStr">
        <is>
          <t>Xélor F 200</t>
        </is>
      </c>
      <c r="B21514">
        <f>HYPERLINK("https://www.dofusbook.net/fr/equipement/4588045-xelor-f-200/objets", "link")</f>
        <v/>
      </c>
      <c r="C21514" t="n">
        <v>1</v>
      </c>
      <c r="D21514" t="inlineStr">
        <is>
          <t>Marteau R'ture; Amulette du Cœur Saignant; Anneau Chevelu; Bague Gloursonne; Cadran d'Eau; Ceinture Volkorne; Masque de Koutoulou; Bravoure de Rykke Errel; Bottes du Cœur Saignant; Dofus Ivoire; Dofus Ocre; Dofus Abyssal; Dofus Turquoise; Dofus Vulbis; Enragé majeur; Dragodinde Emeraude et Pourpre</t>
        </is>
      </c>
    </row>
    <row r="21515">
      <c r="A21515" t="inlineStr">
        <is>
          <t>Pandawa M 200</t>
        </is>
      </c>
      <c r="B21515">
        <f>HYPERLINK("https://www.dofusbook.net/fr/equipement/4587472-pandawa-m-200/objets", "link")</f>
        <v/>
      </c>
      <c r="C21515" t="n">
        <v>8</v>
      </c>
      <c r="D21515" t="inlineStr">
        <is>
          <t>Baguette Hique; Amulette du Strigide; Anneau Volkorne; Alliance Gloursonne; Quatre-feuilles; Sangle Ouare; Kidibonnet; Cape de la Dame du Hasard; Bottes de la Dame du Hasard; Dofus Ivoire; Dofus Ocre; Dofus Pourpre; Dofus Abyssal; Dofus Turquoise; Chanceux majeur; Dragodinde Emeraude et Indigo</t>
        </is>
      </c>
    </row>
    <row r="21516">
      <c r="A21516" t="inlineStr">
        <is>
          <t>Iop F 200</t>
        </is>
      </c>
      <c r="B21516">
        <f>HYPERLINK("https://www.dofusbook.net/fr/equipement/4587470-iop-f-200/objets", "link")</f>
        <v/>
      </c>
      <c r="C21516" t="n">
        <v>0</v>
      </c>
      <c r="D21516" t="inlineStr"/>
    </row>
    <row r="21517">
      <c r="A21517" t="inlineStr">
        <is>
          <t>Iop F 200</t>
        </is>
      </c>
      <c r="B21517">
        <f>HYPERLINK("https://www.dofusbook.net/fr/equipement/4587436-iop-f-200/objets", "link")</f>
        <v/>
      </c>
      <c r="C21517" t="n">
        <v>1</v>
      </c>
      <c r="D21517" t="inlineStr">
        <is>
          <t>Marteau R'ture; Amulette du Cœur Saignant; Anneau Chevelu; Bague Gloursonne; Cadran d'Eau; Ceinture Volkorne; Masque de Koutoulou; Bravoure de Rykke Errel; Bottes du Cœur Saignant; Dofus Ivoire; Dofus Vulbis; Dofus Turquoise; Dofus Ocre; Dofus Pourpre; Enragé majeur; Dragodinde Emeraude et Pourpre</t>
        </is>
      </c>
    </row>
    <row r="21518">
      <c r="A21518" t="inlineStr">
        <is>
          <t>Féca M 200</t>
        </is>
      </c>
      <c r="B21518">
        <f>HYPERLINK("https://www.dofusbook.net/fr/equipement/4586932-feca-m-200/objets", "link")</f>
        <v/>
      </c>
      <c r="C21518" t="n">
        <v>0</v>
      </c>
      <c r="D21518" t="inlineStr"/>
    </row>
    <row r="21519">
      <c r="A21519" t="inlineStr">
        <is>
          <t>Féca F 200</t>
        </is>
      </c>
      <c r="B21519">
        <f>HYPERLINK("https://www.dofusbook.net/fr/equipement/4586894-feca-f-200/objets", "link")</f>
        <v/>
      </c>
      <c r="C21519" t="n">
        <v>3</v>
      </c>
      <c r="D21519" t="inlineStr">
        <is>
          <t>Baguette Hique; Amulette du Strigide; Anneau Volkorne; Alliance Gloursonne; Quatre-feuilles; Ceinture Voldelor; Kidibonnet; Cape de la Dame du Hasard; Bottes de la Dame du Hasard; Dofus Ocre; Dofus Abyssal; Dofus Ivoire; Dofus Vulbis; Dofus Turquoise; Chanceux majeur; Kokulte</t>
        </is>
      </c>
    </row>
    <row r="21520">
      <c r="A21520" t="inlineStr">
        <is>
          <t>Eniripsa M 200</t>
        </is>
      </c>
      <c r="B21520">
        <f>HYPERLINK("https://www.dofusbook.net/fr/equipement/4586891-eniripsa-m-200/objets", "link")</f>
        <v/>
      </c>
      <c r="C21520" t="n">
        <v>0</v>
      </c>
      <c r="D21520" t="inlineStr"/>
    </row>
    <row r="21521">
      <c r="A21521" t="inlineStr">
        <is>
          <t>Xélor M 200</t>
        </is>
      </c>
      <c r="B21521">
        <f>HYPERLINK("https://www.dofusbook.net/fr/equipement/4585213-xelor-m-200/objets", "link")</f>
        <v/>
      </c>
      <c r="C21521" t="n">
        <v>4</v>
      </c>
      <c r="D21521" t="inlineStr">
        <is>
          <t>Sabres d'Atcham; Amulette du Strigide; Anneau Tique; Anneau Volkorne; Cadran d'Eau; Ceinture du Strigide; Casque Volkorne; Cape d'Atcham; Sandales  d'Atcham; Dofus Pourpre; Dofus Ocre; Dofus Turquoise; Dofus Ivoire; Dofus Ébène; Dofus Vulbis; Kokulte</t>
        </is>
      </c>
    </row>
    <row r="21522">
      <c r="A21522" t="inlineStr">
        <is>
          <t>Xélor M 200</t>
        </is>
      </c>
      <c r="B21522">
        <f>HYPERLINK("https://www.dofusbook.net/fr/equipement/4583073-xelor-m-200/objets", "link")</f>
        <v/>
      </c>
      <c r="C21522" t="n">
        <v>0</v>
      </c>
      <c r="D21522" t="inlineStr">
        <is>
          <t>Arc corrompu; Amulette Volkorne; Anneauræus; Anneauræus; Quatre-feuilles; Ceinture de Vortex; Heaume Oplate; Cape de la Dame du Hasard; Bottes de la Dame du Hasard; Dofus Ivoire; Dofus Turquoise; Dofus Ébène; Dofus Vulbis; Dofus Ocre; Érudit majeur; Kokulte</t>
        </is>
      </c>
    </row>
    <row r="21523">
      <c r="A21523" t="inlineStr">
        <is>
          <t>Enutrof F 200</t>
        </is>
      </c>
      <c r="B21523">
        <f>HYPERLINK("https://www.dofusbook.net/fr/equipement/4582505-enutrof-f-200/objets", "link")</f>
        <v/>
      </c>
      <c r="C21523" t="n">
        <v>3</v>
      </c>
      <c r="D21523" t="inlineStr">
        <is>
          <t>Baguette Héroclite; Collier de la Dame du Hasard; Alliance Gloursonne; Anneau Volkorne; Bouclier du Stalak; Ceinture Glaciale; Capuche de l'Œil Attentif; Cape de la Dame du Hasard; Pataugastrique; Temporiseur majeur; Chanceux majeur; Léopardo</t>
        </is>
      </c>
    </row>
    <row r="21524">
      <c r="A21524" t="inlineStr">
        <is>
          <t>Enutrof F 200</t>
        </is>
      </c>
      <c r="B21524">
        <f>HYPERLINK("https://www.dofusbook.net/fr/equipement/4530099-enutrof-f-200/objets", "link")</f>
        <v/>
      </c>
      <c r="C21524" t="n">
        <v>0</v>
      </c>
      <c r="D21524" t="inlineStr"/>
    </row>
    <row r="21525">
      <c r="A21525" t="inlineStr">
        <is>
          <t>Xélor M 200</t>
        </is>
      </c>
      <c r="B21525">
        <f>HYPERLINK("https://www.dofusbook.net/fr/equipement/4582047-xelor-m-200/objets", "link")</f>
        <v/>
      </c>
      <c r="C21525" t="n">
        <v>1</v>
      </c>
      <c r="D21525" t="inlineStr">
        <is>
          <t>Arc Volkorne; Amulette Ementaire Deluxe; Bague Gloursonne; Alliance Gloursonne; Bouclier du Stalak; Ceinture de l'Esprit Salvateur; Masque de l'Esprit Salvateur; Cape de Jahash Jurgen; Bottes de l'Esprit Salvateur; Dofus Pourpre; Dofus des Glaces; Dolmanax; Dofus Vulbis; Dofus Ivoire; Dofus Ocre; Fëanor</t>
        </is>
      </c>
    </row>
    <row r="21526">
      <c r="A21526" t="inlineStr">
        <is>
          <t>Steamer M 200</t>
        </is>
      </c>
      <c r="B21526">
        <f>HYPERLINK("https://www.dofusbook.net/fr/equipement/4575551-steamer-m-200/objets", "link")</f>
        <v/>
      </c>
      <c r="C21526" t="n">
        <v>2</v>
      </c>
      <c r="D21526" t="inlineStr">
        <is>
          <t>Arc corrompu; Amulette Volkorne; Anneauræus; Anneauræus; Bouclier du Stalak; Ceinture Volkorne; Heaume Oplate; Cape du Kamasterisk; Pataugastrique; Dofus Ivoire; Dofus Vulbis; Dofus Abyssal; Érudit majeur; Évasif majeur; Dragodinde Ivoire et Orchidée</t>
        </is>
      </c>
    </row>
    <row r="21527">
      <c r="A21527" t="inlineStr">
        <is>
          <t>Iop M 200</t>
        </is>
      </c>
      <c r="B21527">
        <f>HYPERLINK("https://www.dofusbook.net/fr/equipement/4575489-iop-m-200/objets", "link")</f>
        <v/>
      </c>
      <c r="C21527" t="n">
        <v>5</v>
      </c>
      <c r="D21527" t="inlineStr">
        <is>
          <t>Manthache; Collier du Valet Veinard; Alliance Gloursonne; Gant du Valet Veinard; Bouclier du Stalak; Menoture; Dorabysses; Bottes de l'Esprit Salvateur; Dofus Pourpre; Dofus Vulbis; Dofus Ivoire; Dofus Ocre; Dofus Abyssal; Cascadeur majeur; Dragodinde Ebène et Ivoire</t>
        </is>
      </c>
    </row>
    <row r="21528">
      <c r="A21528" t="inlineStr">
        <is>
          <t>Sadida M 200</t>
        </is>
      </c>
      <c r="B21528">
        <f>HYPERLINK("https://www.dofusbook.net/fr/equipement/4575268-sadida-m-200/objets", "link")</f>
        <v/>
      </c>
      <c r="C21528" t="n">
        <v>0</v>
      </c>
      <c r="D21528" t="inlineStr">
        <is>
          <t>Lav'Hache; Amulette Luminescente; Bague Gloursonne; Chevalière du Roi Joueur; Bouclier du Stalak; Ceinture Luminescente; Couronne du Roi Joueur; Cape Luminescente; Bottes du Roi Joueur</t>
        </is>
      </c>
    </row>
    <row r="21529">
      <c r="A21529" t="inlineStr">
        <is>
          <t>Sadida M 200</t>
        </is>
      </c>
      <c r="B21529">
        <f>HYPERLINK("https://www.dofusbook.net/fr/equipement/4575250-sadida-m-200/objets", "link")</f>
        <v/>
      </c>
      <c r="C21529" t="n">
        <v>138</v>
      </c>
      <c r="D21529" t="inlineStr">
        <is>
          <t>Lav'Hache; Amulette du Cœur Saignant; Anneau en Grithril; Pikano; Bouclier du Stalak; Ceinture en Grithril; Casque en Grithril; Cape du Cœur Saignant; Bottes du Cœur Saignant; Dofus Ivoire; Dofus Ocre; Dofus Abyssal; Dofus Pourpre; Dofus Ébène; Dofus Vulbis; Dragodinde Ivoire et Pourpre</t>
        </is>
      </c>
    </row>
    <row r="21530">
      <c r="A21530" t="inlineStr">
        <is>
          <t>Ouginak M 200</t>
        </is>
      </c>
      <c r="B21530">
        <f>HYPERLINK("https://www.dofusbook.net/fr/equipement/4574834-ouginak-m-200/objets", "link")</f>
        <v/>
      </c>
      <c r="C21530" t="n">
        <v>4</v>
      </c>
      <c r="D21530" t="inlineStr">
        <is>
          <t>Sceptre du Roi Joueur; Amulette du Sinistrofu; Alliance Gloursonne; Anneau Volkorne; Bouclier du Stalak; Poulpagne; Capuche de l'Œil Attentif; Cape de l'Œil Attentif; Bottes du Sinistrofu; Dofus Pourpre; Dofus Abyssal; Dofus Vulbis; Dofus Ivoire; Dofus des Glaces; Dofus Ocre; Dragodinde Indigo et Ivoire</t>
        </is>
      </c>
    </row>
    <row r="21531">
      <c r="A21531" t="inlineStr">
        <is>
          <t>Xélor F 200</t>
        </is>
      </c>
      <c r="B21531">
        <f>HYPERLINK("https://www.dofusbook.net/fr/equipement/4565639-xelor-f-200/objets", "link")</f>
        <v/>
      </c>
      <c r="C21531" t="n">
        <v>5</v>
      </c>
      <c r="D21531" t="inlineStr">
        <is>
          <t>Marteau R'ture; Amulette du Cœur Saignant; Chevalière du Roi Joueur; Anneau Volkorne; Cadran d'Eau; Ceinture Volkorne; Couronne du Roi Joueur; Cape du Cœur Saignant; Bottes du Cœur Saignant; Dofus Vulbis; Dofus Ivoire; Dofus Ébène; Dofus Turquoise; Dofus Pourpre; Dofus Ocre; Dragodinde Emeraude et Pourpre</t>
        </is>
      </c>
    </row>
    <row r="21532">
      <c r="A21532" t="inlineStr">
        <is>
          <t>Huppermage F 200</t>
        </is>
      </c>
      <c r="B21532">
        <f>HYPERLINK("https://www.dofusbook.net/fr/equipement/4374734-huppermage-f-200/objets", "link")</f>
        <v/>
      </c>
      <c r="C21532" t="n">
        <v>2</v>
      </c>
      <c r="D21532" t="inlineStr">
        <is>
          <t>Dagoulinantes; Amulette du Strigide; Alliance Gloursonne; Anneau Volkorne; Cadran d'Eau; Pagne du Rykaon; Némès de Tal Kasha; Chevelure de Tal Kasha; Pataugastrique; Dofus Vulbis; Dofus Ocre; Dofus Ivoire; Dofus Pourpre; Dofus Turquoise; Chanceux majeur; Kokulte</t>
        </is>
      </c>
    </row>
    <row r="21533">
      <c r="A21533" t="inlineStr">
        <is>
          <t>Enutrof M 200</t>
        </is>
      </c>
      <c r="B21533">
        <f>HYPERLINK("https://www.dofusbook.net/fr/equipement/4480932-enutrof-m-200/objets", "link")</f>
        <v/>
      </c>
      <c r="C21533" t="n">
        <v>7</v>
      </c>
      <c r="D21533" t="inlineStr">
        <is>
          <t>Manthache; Collier du Valet Veinard; Gant du Valet Veinard; Alliance Gloursonne; Bouclier du Stalak; Menoture; Dorabysses; Cape Martegel; Bottes de l'Esprit Salvateur; Dofus Vulbis; Dofus Ébène; Dofus Ocre; Dofus Ivoire; Cascadeur majeur; Étourdisseur majeur; Boskito</t>
        </is>
      </c>
    </row>
    <row r="21534">
      <c r="A21534" t="inlineStr">
        <is>
          <t>Zobal M 200</t>
        </is>
      </c>
      <c r="B21534">
        <f>HYPERLINK("https://www.dofusbook.net/fr/equipement/4480951-zobal-m-200/objets", "link")</f>
        <v/>
      </c>
      <c r="C21534" t="n">
        <v>0</v>
      </c>
      <c r="D21534" t="inlineStr">
        <is>
          <t>Lav'Hache; Amulette Luminescente; Bague Trithon; Bague Instable; Bouclier précieux; Ceinture Gence; Masque d'Anerice; Cape d'Anerice; Bottistik; Dofus Abyssal; Dofus Ocre; Dofus Ivoire; Bousculeur majeur; Culbuteur majeur; Culbuteur; Balafreux</t>
        </is>
      </c>
    </row>
    <row r="21535">
      <c r="A21535" t="inlineStr">
        <is>
          <t>Crâ M 200</t>
        </is>
      </c>
      <c r="B21535">
        <f>HYPERLINK("https://www.dofusbook.net/fr/equipement/4535070-cra-m-200/objets", "link")</f>
        <v/>
      </c>
      <c r="C21535" t="n">
        <v>0</v>
      </c>
      <c r="D21535" t="inlineStr"/>
    </row>
    <row r="21536">
      <c r="A21536" t="inlineStr">
        <is>
          <t>Iop M 200</t>
        </is>
      </c>
      <c r="B21536">
        <f>HYPERLINK("https://www.dofusbook.net/fr/equipement/4534854-iop-m-200/objets", "link")</f>
        <v/>
      </c>
      <c r="C21536" t="n">
        <v>7</v>
      </c>
      <c r="D21536" t="inlineStr">
        <is>
          <t>Arc du Chalœil; Amulette du Strigide; Anneau Chevelu; Bague Gloursonne; Quatre-feuilles; Ceintacé; Masque de Koutoulou; Cape au Logis; Bottes du Strigide; Dofus Turquoise; Dofus Pourpre; Nomade; Enragé majeur; Remueur; Dragodinde Ivoire et Pourpre</t>
        </is>
      </c>
    </row>
    <row r="21537">
      <c r="A21537" t="inlineStr">
        <is>
          <t>Zobal M 200</t>
        </is>
      </c>
      <c r="B21537">
        <f>HYPERLINK("https://www.dofusbook.net/fr/equipement/4525971-zobal-m-200/objets", "link")</f>
        <v/>
      </c>
      <c r="C21537" t="n">
        <v>2</v>
      </c>
      <c r="D21537" t="inlineStr">
        <is>
          <t>Faux Maudite du Saigneur Guerrier; Amulette Volkorne; Anneau de Padgref; Anneau Volkorne; Bouclier du Captain Amakna; Ceintacé; Coiffe de Padgref; Cape de la Dame du Hasard; Bottes de la Dame du Hasard; Dofus Vulbis; Dofus Turquoise; Dofus Pourpre; Dofus Ocre; Dofus des Glaces; Dofus Ivoire; Kokulte</t>
        </is>
      </c>
    </row>
    <row r="21538">
      <c r="A21538" t="inlineStr">
        <is>
          <t>Ecaflip M 200</t>
        </is>
      </c>
      <c r="B21538">
        <f>HYPERLINK("https://www.dofusbook.net/fr/equipement/4525416-ecaflip-m-200/objets", "link")</f>
        <v/>
      </c>
      <c r="C21538" t="n">
        <v>0</v>
      </c>
      <c r="D21538" t="inlineStr">
        <is>
          <t>Sceptre du Roi Joueur; Amulette du Strigide; Anneau Volkorne; Alliance Gloursonne; Sangle Ouare</t>
        </is>
      </c>
    </row>
    <row r="21539">
      <c r="A21539" t="inlineStr">
        <is>
          <t>Eliotrope M 200</t>
        </is>
      </c>
      <c r="B21539">
        <f>HYPERLINK("https://www.dofusbook.net/fr/equipement/4520293-eliotrope-m-200/objets", "link")</f>
        <v/>
      </c>
      <c r="C21539" t="n">
        <v>1</v>
      </c>
      <c r="D21539" t="inlineStr">
        <is>
          <t>Arc du Chalœil; Amulette du Cœur Saignant; Anneau Chevelu; Bague Gloursonne; Quatre-feuilles; Ceinture Volkorne; Masque de Koutoulou; Cape au Logis; Bottes du Cœur Saignant; Dofus Ocre; Dofus Turquoise; Dofus Abyssal; Dofus Ivoire; Dofus Ébène; Enragé majeur; Dragodinde Prune et Pourpre</t>
        </is>
      </c>
    </row>
    <row r="21540">
      <c r="A21540" t="inlineStr">
        <is>
          <t>Crâ M 200</t>
        </is>
      </c>
      <c r="B21540">
        <f>HYPERLINK("https://www.dofusbook.net/fr/equipement/4508043-cra-m-200/objets", "link")</f>
        <v/>
      </c>
      <c r="C21540" t="n">
        <v>6</v>
      </c>
      <c r="D21540" t="inlineStr">
        <is>
          <t>Arc corrompu; Pendentif mignon de Koutoulou; Bague Gloursonne; Alliance Gloursonne; Bouclier du Stalak; Ceinture de Vortex; Casque Cyclopéen; Cape Martegel; Pantoufles Émar; Dofus Pourpre; Dofus Vulbis; Dofus Ocre; Dofus Ébène; Dofus des Glaces; Paralyseur majeur; Boskito</t>
        </is>
      </c>
    </row>
    <row r="21541">
      <c r="A21541" t="inlineStr">
        <is>
          <t>Crâ M 200</t>
        </is>
      </c>
      <c r="B21541">
        <f>HYPERLINK("https://www.dofusbook.net/fr/equipement/4504605-cra-m-200/objets", "link")</f>
        <v/>
      </c>
      <c r="C21541" t="n">
        <v>7</v>
      </c>
      <c r="D21541" t="inlineStr">
        <is>
          <t>Arc corrompu; Amulette Volkorne; Anneau Tique; Bague Gloursonne; Cadran de Terre; Ceinture de Vortex; Casque Volkorne; Cape Martegel; Pantoufles Émar; Dofus Vulbis; Dofus Ivoire; Dofus Abyssal; Dofus des Glaces; Dofus Ocre; Étourdisseur majeur; Boskito</t>
        </is>
      </c>
    </row>
    <row r="21542">
      <c r="A21542" t="inlineStr">
        <is>
          <t>Crâ M 200</t>
        </is>
      </c>
      <c r="B21542">
        <f>HYPERLINK("https://www.dofusbook.net/fr/equipement/4494933-cra-m-200/objets", "link")</f>
        <v/>
      </c>
      <c r="C21542" t="n">
        <v>1</v>
      </c>
      <c r="D21542" t="inlineStr">
        <is>
          <t>Dagues d'Ilyzaelle; Bague Gloursonne; Anneau de Brouce; Quatre-feuilles; Ceinture Volkorne; Masque de Koutoulou; Bottes du Cœur Saignant; Dofus Nébuleux; Dofus Ocre; Dofus Turquoise; Dofus Ébène; Temporiseur majeur; Dragodinde Ivoire et Pourpre</t>
        </is>
      </c>
    </row>
    <row r="21543">
      <c r="A21543" t="inlineStr">
        <is>
          <t>Zobal M 200</t>
        </is>
      </c>
      <c r="B21543">
        <f>HYPERLINK("https://www.dofusbook.net/fr/equipement/4494392-zobal-m-200/objets", "link")</f>
        <v/>
      </c>
      <c r="C21543" t="n">
        <v>1</v>
      </c>
      <c r="D21543" t="inlineStr">
        <is>
          <t>Epée Maudite du Saigneur Guerrier; Amulette du Strigide; Anneau Volkorne; Pikano; Bouclier du Captain Amakna; Ceintacé; Casque Volkorne; Cape du Chalœil; Bottes du Strigide; Dofus Pourpre; Dofus Ocre; Dofus Vulbis; Dofus Ivoire; Dofus Ébène; Dofus Turquoise; Kokulte</t>
        </is>
      </c>
    </row>
    <row r="21544">
      <c r="A21544" t="inlineStr">
        <is>
          <t>Zobal M 200</t>
        </is>
      </c>
      <c r="B21544">
        <f>HYPERLINK("https://www.dofusbook.net/fr/equipement/4494351-zobal-m-200/objets", "link")</f>
        <v/>
      </c>
      <c r="C21544" t="n">
        <v>0</v>
      </c>
      <c r="D21544" t="inlineStr">
        <is>
          <t>Épouvante; Amulette du Strigide; Anneau Volkorne; Bague Gloursonne; Bouclier du Captain Amakna; Ceinture Volkorne; Masque de Koutoulou; Cape Luminescente; Bottes du Strigide; Dofus Vulbis; Dofus Turquoise; Dofus Pourpre; Dofus Ocre; Dofus Ivoire; Dofus Ébène; Chacha Angora</t>
        </is>
      </c>
    </row>
    <row r="21545">
      <c r="A21545" t="inlineStr">
        <is>
          <t>Zobal M 200</t>
        </is>
      </c>
      <c r="B21545">
        <f>HYPERLINK("https://www.dofusbook.net/fr/equipement/4494181-zobal-m-200/objets", "link")</f>
        <v/>
      </c>
      <c r="C21545" t="n">
        <v>1</v>
      </c>
      <c r="D21545" t="inlineStr">
        <is>
          <t>Crocobur; Amulette du Strigide; Anneau Chevelu; Bague Gloursonne; Bouclier du Captain Amakna; Ceinture du Strigide; Masque de Koutoulou; Bravoure de Rykke Errel; Bottes du Cœur Saignant; Dofus Turquoise; Dofus Ocre; Dofus Vulbis; Dofus Ivoire; Dofus Ébène; Enragé majeur; Kokulte</t>
        </is>
      </c>
    </row>
    <row r="21546">
      <c r="A21546" t="inlineStr">
        <is>
          <t>Zobal M 200</t>
        </is>
      </c>
      <c r="B21546">
        <f>HYPERLINK("https://www.dofusbook.net/fr/equipement/4494145-zobal-m-200/objets", "link")</f>
        <v/>
      </c>
      <c r="C21546" t="n">
        <v>0</v>
      </c>
      <c r="D21546" t="inlineStr">
        <is>
          <t>Sabres d'Atcham; Amulette du Strigide; Bague Trithon; Anneau de Padgref; Bouclier du Captain Amakna; Ceintacé; Masque Trithon; Cape d'Atcham; Sandales  d'Atcham; Dofus Ocre; Dofus Ivoire; Dofus Turquoise; Dofus des Glaces; Dofus Vulbis; Dofus Ébène; Kokulte</t>
        </is>
      </c>
    </row>
    <row r="21547">
      <c r="A21547" t="inlineStr">
        <is>
          <t>Xélor M 200</t>
        </is>
      </c>
      <c r="B21547">
        <f>HYPERLINK("https://www.dofusbook.net/fr/equipement/4481462-xelor-m-200/objets", "link")</f>
        <v/>
      </c>
      <c r="C21547" t="n">
        <v>2</v>
      </c>
      <c r="D21547" t="inlineStr">
        <is>
          <t>Arc corrompu; Collier Rophante; Anneau Crustique; Alliance Gloursonne; Droiture de Fallanster; Menoture; Masque Ardent; Cape Ardente; Pataugastrique; Dofus Abyssal; Dofus Ivoire; Paralyseur majeur; Étourdisseur majeur; Étourdisseur; Engourdisseur majeur; Koalak Sanguin</t>
        </is>
      </c>
    </row>
    <row r="21548">
      <c r="A21548" t="inlineStr">
        <is>
          <t>Eniripsa M 200</t>
        </is>
      </c>
      <c r="B21548">
        <f>HYPERLINK("https://www.dofusbook.net/fr/equipement/4481394-eniripsa-m-200/objets", "link")</f>
        <v/>
      </c>
      <c r="C21548" t="n">
        <v>2</v>
      </c>
      <c r="D21548" t="inlineStr">
        <is>
          <t>Arc corrompu; Amulette Volkorne; Anneauræus; Anneau Tique; Bouclier du Stalak; Ceinture Volkorne; Heaume Oplate; Bravoure de Rykke Errel; Sabots Volcaniques; Dofus Vulbis; Dofus Forgelave; Dofus Abyssal; Dofus Ocre; Dofus Ivoire; Dofus Ébène; Dragodinde Ivoire et Orchidée</t>
        </is>
      </c>
    </row>
    <row r="21549">
      <c r="A21549" t="inlineStr">
        <is>
          <t>Crâ M 200</t>
        </is>
      </c>
      <c r="B21549">
        <f>HYPERLINK("https://www.dofusbook.net/fr/equipement/4480857-cra-m-200/objets", "link")</f>
        <v/>
      </c>
      <c r="C21549" t="n">
        <v>5</v>
      </c>
      <c r="D21549" t="inlineStr">
        <is>
          <t>Sceptre du Roi Joueur; Amulette de Shokkoth; Alliance Gloursonne; Anneau Volkorne; Bouclier du Stalak; Culotte de Bethel; Masque de Funespadon; Cape Solution; Pataugastrique; Dofus Vulbis; Dofus Ébène; Dofus Abyssal; Dofus Ivoire; Étourdisseur majeur; Chanceux majeur; Boskito</t>
        </is>
      </c>
    </row>
    <row r="21550">
      <c r="A21550" t="inlineStr">
        <is>
          <t>Eniripsa F 200</t>
        </is>
      </c>
      <c r="B21550">
        <f>HYPERLINK("https://www.dofusbook.net/fr/equipement/4476589-eniripsa-f-200/objets", "link")</f>
        <v/>
      </c>
      <c r="C21550" t="n">
        <v>2</v>
      </c>
      <c r="D21550" t="inlineStr">
        <is>
          <t>Arc corrompu; Amulette Volkorne; Anneauræus; Bague Gloursonne; Cadran de Terre; Ceinture Volkorne; Casque Dragoeuf; Voile d'encre; Pataugastrique; Dofus Ébène; Dofus Abyssal; Dofus Ocre; Étourdisseur majeur; Nomade; Érudit majeur; Minimino</t>
        </is>
      </c>
    </row>
    <row r="21551">
      <c r="A21551" t="inlineStr">
        <is>
          <t>Zobal M 200</t>
        </is>
      </c>
      <c r="B21551">
        <f>HYPERLINK("https://www.dofusbook.net/fr/equipement/4472769-zobal-m-200/objets", "link")</f>
        <v/>
      </c>
      <c r="C21551" t="n">
        <v>2</v>
      </c>
      <c r="D21551" t="inlineStr">
        <is>
          <t>Massier; Amulette Volkorne; Anneauræus; Anneauræus; Cadran d'Eau; Ceinture Volkorne; Heaume Oplate; Voile d'encre; Pataugastrique; Dofus Turquoise; Dofus Ivoire; Dofus Vulbis; Dofus Pourpre; Dofus Ébène; Érudit majeur; Bisouglours</t>
        </is>
      </c>
    </row>
    <row r="21552">
      <c r="A21552" t="inlineStr">
        <is>
          <t>Zobal M 200</t>
        </is>
      </c>
      <c r="B21552">
        <f>HYPERLINK("https://www.dofusbook.net/fr/equipement/4472766-zobal-m-200/objets", "link")</f>
        <v/>
      </c>
      <c r="C21552" t="n">
        <v>0</v>
      </c>
      <c r="D21552" t="inlineStr"/>
    </row>
    <row r="21553">
      <c r="A21553" t="inlineStr">
        <is>
          <t>Zobal M 200</t>
        </is>
      </c>
      <c r="B21553">
        <f>HYPERLINK("https://www.dofusbook.net/fr/equipement/4472752-zobal-m-200/objets", "link")</f>
        <v/>
      </c>
      <c r="C21553" t="n">
        <v>0</v>
      </c>
      <c r="D21553" t="inlineStr">
        <is>
          <t>Épée d'Otomaï</t>
        </is>
      </c>
    </row>
    <row r="21554">
      <c r="A21554" t="inlineStr">
        <is>
          <t>Ecaflip M 200</t>
        </is>
      </c>
      <c r="B21554">
        <f>HYPERLINK("https://www.dofusbook.net/fr/equipement/4468850-ecaflip-m-200/objets", "link")</f>
        <v/>
      </c>
      <c r="C21554" t="n">
        <v>6</v>
      </c>
      <c r="D21554" t="inlineStr">
        <is>
          <t>Lav'Hache; Torquistik; Anneau Chevelu; Bague Trithon; Bouclier d'Ilyzaelle; Ceinture Gence; Masque Trithon; Bravoure de Rykke Errel; Bottistik; Dofus Pourpre; Dofus Ivoire; Dofus Ébène; Dofus Turquoise; Dofus Vulbis; Évasif majeur; Chienchien Tigré</t>
        </is>
      </c>
    </row>
    <row r="21555">
      <c r="A21555" t="inlineStr">
        <is>
          <t>Xélor M 200</t>
        </is>
      </c>
      <c r="B21555">
        <f>HYPERLINK("https://www.dofusbook.net/fr/equipement/4469120-xelor-m-200/objets", "link")</f>
        <v/>
      </c>
      <c r="C21555" t="n">
        <v>4</v>
      </c>
      <c r="D21555" t="inlineStr">
        <is>
          <t>Lav'Hache; Collier Rophante; Anneau Crustique; Anneau Crustique; Droiture de Fallanster; Menoture; Casque Dragoeuf; Cape Ardente; Chaussures Ardentes; Dofus Abyssal; Dofus Ivoire; Dofus Ocre; Paralyseur majeur; Étourdisseur majeur; Engourdisseur majeur; Dragoune Rose</t>
        </is>
      </c>
    </row>
    <row r="21556">
      <c r="A21556" t="inlineStr">
        <is>
          <t>Ecaflip M 200</t>
        </is>
      </c>
      <c r="B21556">
        <f>HYPERLINK("https://www.dofusbook.net/fr/equipement/4468973-ecaflip-m-200/objets", "link")</f>
        <v/>
      </c>
      <c r="C21556" t="n">
        <v>0</v>
      </c>
      <c r="D21556" t="inlineStr">
        <is>
          <t>Sceptre du Roi Joueur; Amulette du Strigide; Anneau Volkorne; Alliance Gloursonne; Bouclier d'Ilyzaelle; Sangle Ouare; Capuche de l'Œil Attentif; Cape de l'Œil Attentif; Pataugastrique; Dofus Ébène; Dofus Ocre; Dofus Ivoire; Dofus Turquoise; Évasif majeur; Chanceux majeur; Pioute bleu</t>
        </is>
      </c>
    </row>
    <row r="21557">
      <c r="A21557" t="inlineStr">
        <is>
          <t>Enutrof M 200</t>
        </is>
      </c>
      <c r="B21557">
        <f>HYPERLINK("https://www.dofusbook.net/fr/equipement/4468823-enutrof-m-200/objets", "link")</f>
        <v/>
      </c>
      <c r="C21557" t="n">
        <v>0</v>
      </c>
      <c r="D21557" t="inlineStr">
        <is>
          <t>Arc du Chalœil; Amulette du Strigide; Bague Gloursonne; Anneau de Brouce; Quatre-feuilles; Ceinture Volkorne; Masque de Koutoulou; Bravoure de Rykke Errel; Bottes de Brouce; Dofus Pourpre; Dofus Turquoise; Dofus Vulbis; Dofus Ivoire; Dofus Ocre; Enragé majeur; Dragodinde Prune et Pourpre</t>
        </is>
      </c>
    </row>
    <row r="21558">
      <c r="A21558" t="inlineStr">
        <is>
          <t>Crâ M 200</t>
        </is>
      </c>
      <c r="B21558">
        <f>HYPERLINK("https://www.dofusbook.net/fr/equipement/4467671-cra-m-200/objets", "link")</f>
        <v/>
      </c>
      <c r="C21558" t="n">
        <v>1</v>
      </c>
      <c r="D21558" t="inlineStr">
        <is>
          <t>Arc corrompu; Amulette Volkorne; Pikano; Anneau Volkorne; Quatre-feuilles; Ceintacé; Casquette de Meno; Cape de la Dame du Hasard; Pataugastrique; Dofus Turquoise; Dofus Vulbis; Dofus Ébène; Dofus Pourpre; Dofus Ivoire; Étourdisseur majeur; Boskito</t>
        </is>
      </c>
    </row>
    <row r="21559">
      <c r="A21559" t="inlineStr">
        <is>
          <t>Crâ M 200</t>
        </is>
      </c>
      <c r="B21559">
        <f>HYPERLINK("https://www.dofusbook.net/fr/equipement/4467657-cra-m-200/objets", "link")</f>
        <v/>
      </c>
      <c r="C21559" t="n">
        <v>1</v>
      </c>
      <c r="D21559" t="inlineStr">
        <is>
          <t>Arc corrompu; Amulette Volkorne; Anneauræus; Anneauræus; Bouclier du Stalak; Ceinture Volkorne; Heaume Oplate; Cape de Jahash Jurgen; Pataugastrique; Dofus Ébène; Dofus Pourpre; Dofus Vulbis; Étourdisseur majeur; Érudit majeur</t>
        </is>
      </c>
    </row>
    <row r="21560">
      <c r="A21560" t="inlineStr">
        <is>
          <t>Enutrof M 200</t>
        </is>
      </c>
      <c r="B21560">
        <f>HYPERLINK("https://www.dofusbook.net/fr/equipement/4452730-enutrof-m-200/objets", "link")</f>
        <v/>
      </c>
      <c r="C21560" t="n">
        <v>0</v>
      </c>
      <c r="D21560" t="inlineStr">
        <is>
          <t>Rapière aux Glyphes; Amulette du Strigide; Alliance Gloursonne; Anneau Volkorne; Quatre-feuilles; Ceinture Glaciale; Kidibonnet; Cape de la Dame du Hasard; Bottes de la Dame du Hasard; Dofus Ivoire; Dofus Vulbis; Dofus Ocre; Dofus Turquoise; Dofus Ébène; Chanceux majeur; Gwo Tofu Ventripotent</t>
        </is>
      </c>
    </row>
    <row r="21561">
      <c r="A21561" t="inlineStr">
        <is>
          <t>Ecaflip F 200</t>
        </is>
      </c>
      <c r="B21561">
        <f>HYPERLINK("https://www.dofusbook.net/fr/equipement/4443666-ecaflip-f-200/objets", "link")</f>
        <v/>
      </c>
      <c r="C21561" t="n">
        <v>4</v>
      </c>
      <c r="D21561" t="inlineStr">
        <is>
          <t>Epée Maudite du Saigneur Guerrier; Amulette du Strigide; Anneau Volkorne; Bague Trithon; Bouclier du Stalak; Ceinture Volkorne; Masque Trithon; Cape de Jahash Jurgen; Bottes du Strigide; Dofus Pourpre; Dofus Ivoire; Dofus Vulbis; Dofus Turquoise; Dofus Ébène; Dofus Ocre; Sakochère</t>
        </is>
      </c>
    </row>
    <row r="21562">
      <c r="A21562" t="inlineStr">
        <is>
          <t>Xélor F 200</t>
        </is>
      </c>
      <c r="B21562">
        <f>HYPERLINK("https://www.dofusbook.net/fr/equipement/4441391-xelor-f-200/objets", "link")</f>
        <v/>
      </c>
      <c r="C21562" t="n">
        <v>2</v>
      </c>
      <c r="D21562" t="inlineStr">
        <is>
          <t>Sceptre du Roi Joueur; Amulette de Pol Ouatnos; Pikano; Alliance Gloursonne; Bouclier d'Ilyzaelle; Ceinture de Dame Jhessica; Masque de Funespadon; Cape Solution; Chaussons de Macrab; Dofus Ivoire; Dofus Ocre; Dofus Abyssal; Étourdisseur majeur; Paralyseur majeur; Chanceux majeur; Boskito</t>
        </is>
      </c>
    </row>
    <row r="21563">
      <c r="A21563" t="inlineStr">
        <is>
          <t>Ouginak F 200</t>
        </is>
      </c>
      <c r="B21563">
        <f>HYPERLINK("https://www.dofusbook.net/fr/equipement/4441317-ouginak-f-200/objets", "link")</f>
        <v/>
      </c>
      <c r="C21563" t="n">
        <v>10</v>
      </c>
      <c r="D21563" t="inlineStr">
        <is>
          <t>Arc Hétype; Amulette de Pol Ouatnos; Alliance Brûlâme; Bague Gloursonne; Bouclier Taverne; Ceinture de Vortex; Heaume Oplate; Cape Paztek; Sandales Paztek; Dofus Ivoire; Dofus Abyssal; Dofus Émeraude; Dofus Ocre; Culbuteur majeur; Érudit majeur; Scarakiri</t>
        </is>
      </c>
    </row>
    <row r="21564">
      <c r="A21564" t="inlineStr">
        <is>
          <t>Ecaflip M 200</t>
        </is>
      </c>
      <c r="B21564">
        <f>HYPERLINK("https://www.dofusbook.net/fr/equipement/4426653-ecaflip-m-200/objets", "link")</f>
        <v/>
      </c>
      <c r="C21564" t="n">
        <v>1</v>
      </c>
      <c r="D21564" t="inlineStr">
        <is>
          <t>Pelle de Nidas; Amulette du Strigide; Anneau Volkorne; Alliance Brûlâme; Bouclier du Stalak; Ceintacé; Casque Volkorne; Cape de Jahash Jurgen; Bottes du Strigide; Dofus Pourpre; Dofus Ébène; Dofus Ivoire; Dofus Vulbis; Dofus Turquoise; Dofus Ocre; Chacha Angora</t>
        </is>
      </c>
    </row>
    <row r="21565">
      <c r="A21565" t="inlineStr">
        <is>
          <t>Osamodas F 200</t>
        </is>
      </c>
      <c r="B21565">
        <f>HYPERLINK("https://www.dofusbook.net/fr/equipement/4418662-osamodas-f-200/objets", "link")</f>
        <v/>
      </c>
      <c r="C21565" t="n">
        <v>5</v>
      </c>
      <c r="D21565" t="inlineStr">
        <is>
          <t>Lance Horselé; Collier du Valet Veinard; Alliance Gloursonne; Gant du Valet Veinard; Bouclier du Stalak; Sangle Oriole; Coiffe de la Reine des Voleurs; Cape de l'Œil Putride; Baleinabottes; Dofus Nébuleux; Dofus Ivoire; Dofus Vulbis; Dofus Ocre; Cascadeur majeur; Dragodinde Ebène et Ivoire</t>
        </is>
      </c>
    </row>
    <row r="21566">
      <c r="A21566" t="inlineStr">
        <is>
          <t>Xélor F 200</t>
        </is>
      </c>
      <c r="B21566">
        <f>HYPERLINK("https://www.dofusbook.net/fr/equipement/4418590-xelor-f-200/objets", "link")</f>
        <v/>
      </c>
      <c r="C21566" t="n">
        <v>1</v>
      </c>
      <c r="D21566" t="inlineStr">
        <is>
          <t>Marteau R'ture; Amulette du Cœur Saignant; Anneau Chevelu; Bague Gloursonne; Cadran d'Eau; Ceintacé; Masque de Koutoulou; Bravoure de Rykke Errel; Bottes du Cœur Saignant; Dofus Abyssal; Dofus Turquoise; Dofus Vulbis; Dofus Pourpre; Dofus Ivoire; Enragé majeur; Dragodinde Emeraude et Pourpre</t>
        </is>
      </c>
    </row>
    <row r="21567">
      <c r="A21567" t="inlineStr">
        <is>
          <t>Ecaflip M 200</t>
        </is>
      </c>
      <c r="B21567">
        <f>HYPERLINK("https://www.dofusbook.net/fr/equipement/4418170-ecaflip-m-200/objets", "link")</f>
        <v/>
      </c>
      <c r="C21567" t="n">
        <v>7</v>
      </c>
      <c r="D21567" t="inlineStr">
        <is>
          <t>Baguette Héroclite; Amulette Voldelor; Anneau Volkorne; Alliance Gloursonne; Bouclier du Stalak; Sangle Ouare; Némès de Tal Kasha; Chevelure de Tal Kasha; Pataugastrique; Dofus Pourpre; Dofus Ivoire; Dofus des Glaces; Dofus Turquoise; Dofus Ocre; Chanceux majeur; Pioute bleu</t>
        </is>
      </c>
    </row>
    <row r="21568">
      <c r="A21568" t="inlineStr">
        <is>
          <t>Ecaflip M 200</t>
        </is>
      </c>
      <c r="B21568">
        <f>HYPERLINK("https://www.dofusbook.net/fr/equipement/4404347-ecaflip-m-200/objets", "link")</f>
        <v/>
      </c>
      <c r="C21568" t="n">
        <v>7</v>
      </c>
      <c r="D21568" t="inlineStr">
        <is>
          <t>Epée Loponèze; Amulette du Strigide; Alliance Gloursonne; Anneau Volkorne; Bouclier du Stalak; Ceintacé; Casque Volkorne; Chevelure de Tal Kasha; Sandales de Tal Kasha; Dofus des Glaces; Dofus Ocre; Dofus Pourpre; Dofus Turquoise; Dofus Vulbis; Dofus Ivoire; Chacha Angora</t>
        </is>
      </c>
    </row>
    <row r="21569">
      <c r="A21569" t="inlineStr">
        <is>
          <t>Enutrof M 200</t>
        </is>
      </c>
      <c r="B21569">
        <f>HYPERLINK("https://www.dofusbook.net/fr/equipement/4404176-enutrof-m-200/objets", "link")</f>
        <v/>
      </c>
      <c r="C21569" t="n">
        <v>6</v>
      </c>
      <c r="D21569" t="inlineStr">
        <is>
          <t>Arc corrompu; Amulette du Strigide; Anneauræus; Anneau Tique; Quatre-feuilles; Ceinture de Vortex; Heaume Oplate; Bravoure de Rykke Errel; Sabots de Vortex; Dofus Turquoise; Dofus Vulbis; Dofus Ocre; Dofus Abyssal; Dofus Ivoire; Érudit majeur; Dragodinde Ivoire et Orchidée</t>
        </is>
      </c>
    </row>
    <row r="21570">
      <c r="A21570" t="inlineStr">
        <is>
          <t>Ecaflip M 200</t>
        </is>
      </c>
      <c r="B21570">
        <f>HYPERLINK("https://www.dofusbook.net/fr/equipement/4404138-ecaflip-m-200/objets", "link")</f>
        <v/>
      </c>
      <c r="C21570" t="n">
        <v>0</v>
      </c>
      <c r="D21570" t="inlineStr"/>
    </row>
    <row r="21571">
      <c r="A21571" t="inlineStr">
        <is>
          <t>Osamodas F 200</t>
        </is>
      </c>
      <c r="B21571">
        <f>HYPERLINK("https://www.dofusbook.net/fr/equipement/4387827-osamodas-f-200/objets", "link")</f>
        <v/>
      </c>
      <c r="C21571" t="n">
        <v>27</v>
      </c>
      <c r="D21571" t="inlineStr">
        <is>
          <t>Arc Hétype; Amulette Volkorne; Pikano; Bague Gloursonne; Droiture de Fallanster; Ceinture Volkorne; Casque Dragoeuf; Bravoure de Rykke Errel; Bottes Dogues; Dofus Abyssal; Dofus Ivoire; Dofus Ocre; Enragé majeur; Remueur; Miraculé majeur; Dragodinde Dorée et Pourpre</t>
        </is>
      </c>
    </row>
    <row r="21572">
      <c r="A21572" t="inlineStr">
        <is>
          <t>Steamer M 200</t>
        </is>
      </c>
      <c r="B21572">
        <f>HYPERLINK("https://www.dofusbook.net/fr/equipement/4403550-steamer-m-200/objets", "link")</f>
        <v/>
      </c>
      <c r="C21572" t="n">
        <v>2</v>
      </c>
      <c r="D21572" t="inlineStr">
        <is>
          <t>Arc corrompu; Amulette Volkorne; Anneauræus; Anneauræus; Ceinture Volkorne; Casque Dragoeuf; Pataugastrique; Dofus Pourpre; Dofus Ocre; Dofus Vulbis; Dofus Abyssal; Dofus Ivoire; Érudit majeur; Dragodinde Ivoire et Orchidée</t>
        </is>
      </c>
    </row>
    <row r="21573">
      <c r="A21573" t="inlineStr">
        <is>
          <t>Ecaflip M 200</t>
        </is>
      </c>
      <c r="B21573">
        <f>HYPERLINK("https://www.dofusbook.net/fr/equipement/4398628-ecaflip-m-200/objets", "link")</f>
        <v/>
      </c>
      <c r="C21573" t="n">
        <v>0</v>
      </c>
      <c r="D21573" t="inlineStr">
        <is>
          <t>Bouclier du Stalak</t>
        </is>
      </c>
    </row>
    <row r="21574">
      <c r="A21574" t="inlineStr">
        <is>
          <t>Huppermage F 200</t>
        </is>
      </c>
      <c r="B21574">
        <f>HYPERLINK("https://www.dofusbook.net/fr/equipement/4398650-huppermage-f-200/objets", "link")</f>
        <v/>
      </c>
      <c r="C21574" t="n">
        <v>1</v>
      </c>
      <c r="D21574" t="inlineStr">
        <is>
          <t>Manthache; Collier du Valet Veinard; Alliance Gloursonne; Gant du Valet Veinard; Bouclier du Stalak; Ceinture Voldelor; Casque Dragoeuf; Cape Martegel; Pantoufles Émar; Dofus Abyssal; Dofus Ivoire; Dofus Ocre; Dofus Pourpre; Dofus Vulbis; Cascadeur majeur; Dragodinde Ebène et Ivoire</t>
        </is>
      </c>
    </row>
    <row r="21575">
      <c r="A21575" t="inlineStr">
        <is>
          <t>Roublard F 200</t>
        </is>
      </c>
      <c r="B21575">
        <f>HYPERLINK("https://www.dofusbook.net/fr/equipement/4398190-roublard-f-200/objets", "link")</f>
        <v/>
      </c>
      <c r="C21575" t="n">
        <v>3</v>
      </c>
      <c r="D21575" t="inlineStr">
        <is>
          <t>Manthache; Collier du Valet Veinard; Alliance Gloursonne; Gant du Valet Veinard; Bouclier du Stalak; Menoture; Casque Dragoeuf; Cape de Jahash Jurgen; Baleinabottes; Dofus Abyssal; Dofus Ivoire; Dofus Vulbis; Dofus des Glaces; Carapace Air majeur; Cascadeur majeur; Blérodoudou</t>
        </is>
      </c>
    </row>
    <row r="21576">
      <c r="A21576" t="inlineStr">
        <is>
          <t>Eniripsa F 200</t>
        </is>
      </c>
      <c r="B21576">
        <f>HYPERLINK("https://www.dofusbook.net/fr/equipement/4391384-eniripsa-f-200/objets", "link")</f>
        <v/>
      </c>
      <c r="C21576" t="n">
        <v>10</v>
      </c>
      <c r="D21576" t="inlineStr">
        <is>
          <t>La Baguette des Limbes; Amulette d'Otomaï; Bague Gloursonne; Alliance Boletée; Bouclier Taverne; Ceinture Hanium; Chapeau de Dremoan; Cape de Dremoan; Pantoufles Émar; Nomade; Érudit majeur; Remueur; Miraculé majeur; Brûlih</t>
        </is>
      </c>
    </row>
    <row r="21577">
      <c r="A21577" t="inlineStr">
        <is>
          <t>Enutrof M 200</t>
        </is>
      </c>
      <c r="B21577">
        <f>HYPERLINK("https://www.dofusbook.net/fr/equipement/4384597-enutrof-m-200/objets", "link")</f>
        <v/>
      </c>
      <c r="C21577" t="n">
        <v>3</v>
      </c>
      <c r="D21577" t="inlineStr">
        <is>
          <t>Hache du Guerrier Zoth; Amulette du Glourséleste; Gelano; Anneau Tamie; Bouclier cubiste; Ceinture Instable; Casquipik; Cape de Léthaline; Pikottes; Fonceur majeur; Entraveur majeur; Temporiseur; Ralentisseur majeur; Remueur; Temporiseur majeur; Gwo Tofu Ventripotent</t>
        </is>
      </c>
    </row>
    <row r="21578">
      <c r="A21578" t="inlineStr">
        <is>
          <t>Crâ F 200</t>
        </is>
      </c>
      <c r="B21578">
        <f>HYPERLINK("https://www.dofusbook.net/fr/equipement/4384549-cra-f-200/objets", "link")</f>
        <v/>
      </c>
      <c r="C21578" t="n">
        <v>5</v>
      </c>
      <c r="D21578" t="inlineStr">
        <is>
          <t>Bâton Beau; Amulette du Strigide; Bracelet du Piloztère; Alliance de Missiz Frizz; Quatre-feuilles; Ceinture du Strigide; Casque du Chalœil; Cape Reski; Pataugastrique; Dofus Pourpre; Dofus Turquoise; Puissant majeur; Remueur; Vigoureux majeur; Nomade; Kramkram</t>
        </is>
      </c>
    </row>
    <row r="21579">
      <c r="A21579" t="inlineStr">
        <is>
          <t>Huppermage M 200</t>
        </is>
      </c>
      <c r="B21579">
        <f>HYPERLINK("https://www.dofusbook.net/fr/equipement/4375383-huppermage-m-200/objets", "link")</f>
        <v/>
      </c>
      <c r="C21579" t="n">
        <v>5</v>
      </c>
      <c r="D21579" t="inlineStr">
        <is>
          <t>Lav'Hache; Torquistik; Bague Trithon; Bague Instable; Bouclier précieux; Sangle Ouare; Masque du Barbétoal; Cape Solution; Bottistik; Dofus Ivoire; Dofus Abyssal; Dofus Ocre; Culbuteur majeur; Culbuteur; Bousculeur majeur; Tatouf</t>
        </is>
      </c>
    </row>
    <row r="21580">
      <c r="A21580" t="inlineStr">
        <is>
          <t>Xélor M 200</t>
        </is>
      </c>
      <c r="B21580">
        <f>HYPERLINK("https://www.dofusbook.net/fr/equipement/4374994-xelor-m-200/objets", "link")</f>
        <v/>
      </c>
      <c r="C21580" t="n">
        <v>5</v>
      </c>
      <c r="D21580" t="inlineStr">
        <is>
          <t>Manthache; Collier du Valet Veinard; Alliance Gloursonne; Gant du Valet Veinard; Bouclier du Stalak; Menoture; Casque d'Ilyzaelle; Cape Matelassée; Palmes Trithons; Dofus Ébène; Dofus Pourpre; Dofus Ivoire; Dofus Abyssal; Dofus Vulbis; Cascadeur majeur; Dragodinde Ebène et Ivoire</t>
        </is>
      </c>
    </row>
    <row r="21581">
      <c r="A21581" t="inlineStr">
        <is>
          <t>Pandawa M 200</t>
        </is>
      </c>
      <c r="B21581">
        <f>HYPERLINK("https://www.dofusbook.net/fr/equipement/4374717-pandawa-m-200/objets", "link")</f>
        <v/>
      </c>
      <c r="C21581" t="n">
        <v>0</v>
      </c>
      <c r="D21581" t="inlineStr"/>
    </row>
    <row r="21582">
      <c r="A21582" t="inlineStr">
        <is>
          <t>Ecaflip M 200</t>
        </is>
      </c>
      <c r="B21582">
        <f>HYPERLINK("https://www.dofusbook.net/fr/equipement/4374710-ecaflip-m-200/objets", "link")</f>
        <v/>
      </c>
      <c r="C21582" t="n">
        <v>0</v>
      </c>
      <c r="D21582" t="inlineStr"/>
    </row>
    <row r="21583">
      <c r="A21583" t="inlineStr">
        <is>
          <t>Pandawa M 200</t>
        </is>
      </c>
      <c r="B21583">
        <f>HYPERLINK("https://www.dofusbook.net/fr/equipement/4374659-pandawa-m-200/objets", "link")</f>
        <v/>
      </c>
      <c r="C21583" t="n">
        <v>6</v>
      </c>
      <c r="D21583" t="inlineStr">
        <is>
          <t>Arc du Chalœil; Amulette du Strigide; Bague Gloursonne; Anneau en Grithril; Quatre-feuilles; Ceinture Volkorne; Masque de Koutoulou; Cape du Cœur Saignant; Bottes du Cœur Saignant; Dofus Ocre; Dofus Abyssal; Dofus Vulbis; Dofus Ébène; Dofus Turquoise; Dofus Ivoire; Dragodinde Ivoire et Pourpre</t>
        </is>
      </c>
    </row>
    <row r="21584">
      <c r="A21584" t="inlineStr">
        <is>
          <t>Pandawa M 200</t>
        </is>
      </c>
      <c r="B21584">
        <f>HYPERLINK("https://www.dofusbook.net/fr/equipement/4374165-pandawa-m-200/objets", "link")</f>
        <v/>
      </c>
      <c r="C21584" t="n">
        <v>6</v>
      </c>
      <c r="D21584" t="inlineStr">
        <is>
          <t>Rapière aux Glyphes; Amulette du Sinistrofu; Alliance Gloursonne; Bracelet du Piloztère; Quatre-feuilles; Sangle Ouare; Kidibonnet; Cape du Sinistrofu; Pataugastrique; Dofus Turquoise; Remueur; Chanceux majeur; Miraculé majeur; Fonceur majeur; Nomade; Dragodinde Amande et Indigo</t>
        </is>
      </c>
    </row>
    <row r="21585">
      <c r="A21585" t="inlineStr">
        <is>
          <t>Eniripsa F 200</t>
        </is>
      </c>
      <c r="B21585">
        <f>HYPERLINK("https://www.dofusbook.net/fr/equipement/4364753-eniripsa-f-200/objets", "link")</f>
        <v/>
      </c>
      <c r="C21585" t="n">
        <v>5</v>
      </c>
      <c r="D21585" t="inlineStr">
        <is>
          <t>Arc corrompu; Amulette Volkorne; Anneauræus; Anneauræus; Bouclier du Stalak; Ceinture de Vortex; Masque Ardent; Cape Ardente; Pataugastrique; Dofus Abyssal; Dofus Ivoire; Dofus Vulbis; Étourdisseur majeur; Érudit majeur</t>
        </is>
      </c>
    </row>
    <row r="21586">
      <c r="A21586" t="inlineStr">
        <is>
          <t>Iop M 200</t>
        </is>
      </c>
      <c r="B21586">
        <f>HYPERLINK("https://www.dofusbook.net/fr/equipement/4008828-iop-m-200/objets", "link")</f>
        <v/>
      </c>
      <c r="C21586" t="n">
        <v>20</v>
      </c>
      <c r="D21586" t="inlineStr">
        <is>
          <t>Arc corrompu; Amulette de Nileza; Anneauræus; Anneauræus; Bouclier du Stalak; Ceinture de Vortex; Heaume Oplate; Cape de Nileza; Chaussures Ardentes; Dofus Vulbis; Dofus Ocre; Dofus Abyssal; Dofus Ébène; Dofus Ivoire; Érudit majeur; Dragodinde Amande et Orchidée</t>
        </is>
      </c>
    </row>
    <row r="21587">
      <c r="A21587" t="inlineStr">
        <is>
          <t>Osamodas M 200</t>
        </is>
      </c>
      <c r="B21587">
        <f>HYPERLINK("https://www.dofusbook.net/fr/equipement/4365133-osamodas-m-200/objets", "link")</f>
        <v/>
      </c>
      <c r="C21587" t="n">
        <v>3</v>
      </c>
      <c r="D21587" t="inlineStr">
        <is>
          <t>Lance Horselé; Collier du Valet Veinard; Alliance Gloursonne; Gant du Valet Veinard; Bouclier du Stalak; Menoture; Dorabysses; Cape du Kamasterisk; Baleinabottes</t>
        </is>
      </c>
    </row>
    <row r="21588">
      <c r="A21588" t="inlineStr">
        <is>
          <t>Iop M 200</t>
        </is>
      </c>
      <c r="B21588">
        <f>HYPERLINK("https://www.dofusbook.net/fr/equipement/4364812-iop-m-200/objets", "link")</f>
        <v/>
      </c>
      <c r="C21588" t="n">
        <v>1</v>
      </c>
      <c r="D21588" t="inlineStr">
        <is>
          <t>Manthache; Collier du Valet Veinard; Gant du Valet Veinard; Alliance Gloursonne; Bouclier du Stalak; Menoture; Dorabysses; Cape Indescriptible; Palmes Trithons; Dofus Abyssal; Dofus Ivoire; Dofus Vulbis; Dofus Ébène; Dofus Ocre; Cascadeur majeur; Blérodoudou</t>
        </is>
      </c>
    </row>
    <row r="21589">
      <c r="A21589" t="inlineStr">
        <is>
          <t>Iop M 200</t>
        </is>
      </c>
      <c r="B21589">
        <f>HYPERLINK("https://www.dofusbook.net/fr/equipement/4364775-iop-m-200/objets", "link")</f>
        <v/>
      </c>
      <c r="C21589" t="n">
        <v>9</v>
      </c>
      <c r="D21589" t="inlineStr">
        <is>
          <t>Manthache; Amulette du Strigide; Alliance Gloursonne; Anneau Volkorne; Quatre-feuilles; Menoture; Casque Volkorne; Chevelure de Tal Kasha; Sandales de Tal Kasha; Dofus Pourpre; Dofus Ivoire; Dofus Turquoise; Dofus Ébène; Dofus Vulbis; Dofus Ocre; Pioute jaune</t>
        </is>
      </c>
    </row>
    <row r="21590">
      <c r="A21590" t="inlineStr">
        <is>
          <t>Xélor M 200</t>
        </is>
      </c>
      <c r="B21590">
        <f>HYPERLINK("https://www.dofusbook.net/fr/equipement/4364535-xelor-m-200/objets", "link")</f>
        <v/>
      </c>
      <c r="C21590" t="n">
        <v>1</v>
      </c>
      <c r="D21590" t="inlineStr">
        <is>
          <t>Sceptre du Roi Joueur; Amulette de Shokkoth; Alliance Gloursonne; Anneau Volkorne; Quatre-feuilles; Poulpagne; Némès de Tal Kasha; Chevelure de Tal Kasha; Pataugastrique; Dofus Vulbis; Dofus Ivoire; Dofus Turquoise; Dofus Ébène; Chanceux majeur; Étourdisseur majeur; Boskito</t>
        </is>
      </c>
    </row>
    <row r="21591">
      <c r="A21591" t="inlineStr">
        <is>
          <t>Ecaflip M 200</t>
        </is>
      </c>
      <c r="B21591">
        <f>HYPERLINK("https://www.dofusbook.net/fr/equipement/4361196-ecaflip-m-200/objets", "link")</f>
        <v/>
      </c>
      <c r="C21591" t="n">
        <v>0</v>
      </c>
      <c r="D21591" t="inlineStr"/>
    </row>
    <row r="21592">
      <c r="A21592" t="inlineStr">
        <is>
          <t>Ecaflip M 200</t>
        </is>
      </c>
      <c r="B21592">
        <f>HYPERLINK("https://www.dofusbook.net/fr/equipement/4361177-ecaflip-m-200/objets", "link")</f>
        <v/>
      </c>
      <c r="C21592" t="n">
        <v>2</v>
      </c>
      <c r="D21592" t="inlineStr">
        <is>
          <t>Epée Loponèze; Collier du Valet Veinard; Alliance Gloursonne; Gant du Valet Veinard; Bouclier du Stalak; Menoture; Némès de Tal Kasha; Cape de Jahash Jurgen; Sandales de Tal Kasha; Dofus Ivoire; Dofus Ébène; Dofus Turquoise; Dofus Vulbis; Dofus Ocre; Cascadeur majeur; Pioute jaune</t>
        </is>
      </c>
    </row>
    <row r="21593">
      <c r="A21593" t="inlineStr">
        <is>
          <t>Ecaflip M 200</t>
        </is>
      </c>
      <c r="B21593">
        <f>HYPERLINK("https://www.dofusbook.net/fr/equipement/4361102-ecaflip-m-200/objets", "link")</f>
        <v/>
      </c>
      <c r="C21593" t="n">
        <v>1</v>
      </c>
      <c r="D21593" t="inlineStr">
        <is>
          <t>Sceptre du Roi Joueur; Amulette du Strigide; Bague Trithon; Anneau Volkorne; Bouclier du Stalak; Sangle Ouare; Masque Trithon; Cape de Jahash Jurgen; Pataugastrique; Dofus Pourpre; Dofus Ébène; Dofus Ocre; Dofus Ivoire; Dofus Turquoise; Chanceux majeur; Pioute bleu</t>
        </is>
      </c>
    </row>
    <row r="21594">
      <c r="A21594" t="inlineStr">
        <is>
          <t>Sadida F 200</t>
        </is>
      </c>
      <c r="B21594">
        <f>HYPERLINK("https://www.dofusbook.net/fr/equipement/4361101-sadida-f-200/objets", "link")</f>
        <v/>
      </c>
      <c r="C21594" t="n">
        <v>0</v>
      </c>
      <c r="D21594" t="inlineStr">
        <is>
          <t>Cape de Jahash Jurgen</t>
        </is>
      </c>
    </row>
    <row r="21595">
      <c r="A21595" t="inlineStr">
        <is>
          <t>Iop M 200</t>
        </is>
      </c>
      <c r="B21595">
        <f>HYPERLINK("https://www.dofusbook.net/fr/equipement/4361077-iop-m-200/objets", "link")</f>
        <v/>
      </c>
      <c r="C21595" t="n">
        <v>4</v>
      </c>
      <c r="D21595" t="inlineStr">
        <is>
          <t>Crocobur; Amulette du Strigide; Anneau de Padgref; Alliance Gloursonne; Cadran d'Eau; Menoture; Dorabysses; Chevelure de Tal Kasha; Sandales de Tal Kasha; Dofus Vulbis; Dofus Ébène; Dofus Turquoise; Dofus Ivoire; Dofus Ocre; Cascadeur majeur; Pioute jaune</t>
        </is>
      </c>
    </row>
    <row r="21596">
      <c r="A21596" t="inlineStr">
        <is>
          <t>Enutrof M 200</t>
        </is>
      </c>
      <c r="B21596">
        <f>HYPERLINK("https://www.dofusbook.net/fr/equipement/4359283-enutrof-m-200/objets", "link")</f>
        <v/>
      </c>
      <c r="C21596" t="n">
        <v>3</v>
      </c>
      <c r="D21596" t="inlineStr">
        <is>
          <t>Pelle de la Cour Sombre; Collier du Valet Veinard; Alliance Gloursonne; Gant du Valet Veinard; Bouclier du Stalak; Menoture; Casque Volkorne; Cape du Kamasterisk; Palmes Trithons; Dofus Forgelave; Dofus Ocre; Dofus Ébène; Dofus Ivoire; Dofus Vulbis; Étourdisseur majeur; Boskito</t>
        </is>
      </c>
    </row>
    <row r="21597">
      <c r="A21597" t="inlineStr">
        <is>
          <t>Steamer M 200</t>
        </is>
      </c>
      <c r="B21597">
        <f>HYPERLINK("https://www.dofusbook.net/fr/equipement/4101252-steamer-m-200/objets", "link")</f>
        <v/>
      </c>
      <c r="C21597" t="n">
        <v>5</v>
      </c>
      <c r="D21597" t="inlineStr">
        <is>
          <t>Baguette de Malléfisk; Amulette Volkorne; Anneauræus; Anneauræus; Bouclier du Stalak; Ceinture Volkorne; Heaume Oplate; Voile d'encre; Chaussures Ardentes; Dofus Abyssal; Dofus Forgelave; Dofus Ivoire; Dofus Ocre; Dofus Vulbis; Érudit majeur; Chacha Tigré</t>
        </is>
      </c>
    </row>
    <row r="21598">
      <c r="A21598" t="inlineStr">
        <is>
          <t>Zobal F 200</t>
        </is>
      </c>
      <c r="B21598">
        <f>HYPERLINK("https://www.dofusbook.net/fr/equipement/4332488-zobal-f-200/objets", "link")</f>
        <v/>
      </c>
      <c r="C21598" t="n">
        <v>9</v>
      </c>
      <c r="D21598" t="inlineStr">
        <is>
          <t>Crocobur; Amulette du Strigide; Bague Gloursonne; Anneau Chevelu; Bouclier du Captain Amakna; Ceinture Volkorne; Cape au Logis; Bottes du Strigide; Dofus Pourpre; Dofus Ébène; Dofus Ivoire; Dofus Turquoise; Dofus Ocre; Enragé majeur; Dragodinde Ivoire et Pourpre</t>
        </is>
      </c>
    </row>
    <row r="21599">
      <c r="A21599" t="inlineStr">
        <is>
          <t>Xélor F 200</t>
        </is>
      </c>
      <c r="B21599">
        <f>HYPERLINK("https://www.dofusbook.net/fr/equipement/4354824-xelor-f-200/objets", "link")</f>
        <v/>
      </c>
      <c r="C21599" t="n">
        <v>3</v>
      </c>
      <c r="D21599" t="inlineStr">
        <is>
          <t>Le Thanos; Collier Rophante; Alliance Gloursonne; Anneau Crustique; Bouclier du Mont Kipou; Menoture; Masque Ardent; Cape Ardente; Pataugastrique; Dofus Abyssal; Dofus Ivoire; Paralyseur majeur; Guérisseur majeur; Engourdisseur majeur; Étourdisseur majeur; Ross</t>
        </is>
      </c>
    </row>
    <row r="21600">
      <c r="A21600" t="inlineStr">
        <is>
          <t>Xélor F 200</t>
        </is>
      </c>
      <c r="B21600">
        <f>HYPERLINK("https://www.dofusbook.net/fr/equipement/4353328-xelor-f-200/objets", "link")</f>
        <v/>
      </c>
      <c r="C21600" t="n">
        <v>9</v>
      </c>
      <c r="D21600" t="inlineStr">
        <is>
          <t>Crocobur; Amulette du Strigide; Anneau Volkorne; Alliance Gloursonne; Cadran d'Eau; Menoture; Casque Volkorne; Chevelure de Tal Kasha; Sandales de Tal Kasha; Dofus Ébène; Dofus Ivoire; Dofus Pourpre; Dofus Turquoise; Dofus Vulbis; Dofus Ocre; Pioute jaune</t>
        </is>
      </c>
    </row>
    <row r="21601">
      <c r="A21601" t="inlineStr">
        <is>
          <t>Xélor F 200</t>
        </is>
      </c>
      <c r="B21601">
        <f>HYPERLINK("https://www.dofusbook.net/fr/equipement/4353319-xelor-f-200/objets", "link")</f>
        <v/>
      </c>
      <c r="C21601" t="n">
        <v>0</v>
      </c>
      <c r="D21601" t="inlineStr">
        <is>
          <t>Crocobur; Diadème de Ganymède</t>
        </is>
      </c>
    </row>
    <row r="21602">
      <c r="A21602" t="inlineStr">
        <is>
          <t>Xélor F 200</t>
        </is>
      </c>
      <c r="B21602">
        <f>HYPERLINK("https://www.dofusbook.net/fr/equipement/4353098-xelor-f-200/objets", "link")</f>
        <v/>
      </c>
      <c r="C21602" t="n">
        <v>0</v>
      </c>
      <c r="D21602" t="inlineStr">
        <is>
          <t>Lav'Hache; Collier Rophante; Anneau Crustique; Alliance Gloursonne; Droiture de Fallanster; Menoture; Casque Dragoeuf; Cape Ardente; Chaussures Ardentes; Dofus Ocre; Dofus Forgelave; Dofus Ivoire; Paralyseur majeur; Étourdisseur majeur; Engourdisseur majeur; Drakopin</t>
        </is>
      </c>
    </row>
    <row r="21603">
      <c r="A21603" t="inlineStr">
        <is>
          <t>Xélor F 200</t>
        </is>
      </c>
      <c r="B21603">
        <f>HYPERLINK("https://www.dofusbook.net/fr/equipement/4352951-xelor-f-200/objets", "link")</f>
        <v/>
      </c>
      <c r="C21603" t="n">
        <v>0</v>
      </c>
      <c r="D21603" t="inlineStr">
        <is>
          <t>Crocobur; Amulette du Strigide; Bague Gloursonne; Anneau Chevelu; Cadran d'Eau; Ceinture Volkorne; Masque de Koutoulou; Cape au Logis; Bottes du Strigide; Dofus Ébène; Dofus Ocre; Dofus Pourpre; Dofus Ivoire; Dofus Turquoise; Enragé majeur; Dragodinde Ivoire et Pourpre</t>
        </is>
      </c>
    </row>
    <row r="21604">
      <c r="A21604" t="inlineStr">
        <is>
          <t>Crâ F 200</t>
        </is>
      </c>
      <c r="B21604">
        <f>HYPERLINK("https://www.dofusbook.net/fr/equipement/4335502-cra-f-200/objets", "link")</f>
        <v/>
      </c>
      <c r="C21604" t="n">
        <v>11</v>
      </c>
      <c r="D21604" t="inlineStr">
        <is>
          <t>Dagues de Srambad; Amulette du Strigide; Bracelet du Piloztère; Alliance de Missiz Frizz; Quatre-feuilles; Ceintacé; Masque de Koutoulou; Cape au Logis; Bottes du Strigide; Dofus Pourpre; Dofus Turquoise; Enragé majeur; Chanceux majeur; Remueur; Nomade; Bébé Pandawa</t>
        </is>
      </c>
    </row>
    <row r="21605">
      <c r="A21605" t="inlineStr">
        <is>
          <t>Sacrieur F 200</t>
        </is>
      </c>
      <c r="B21605">
        <f>HYPERLINK("https://www.dofusbook.net/fr/equipement/4342886-sacrieur-f-200/objets", "link")</f>
        <v/>
      </c>
      <c r="C21605" t="n">
        <v>5</v>
      </c>
      <c r="D21605" t="inlineStr">
        <is>
          <t>Crocobur; Amulette du Strigide; Anneau Chevelu; Bague Gloursonne; Cadran d'Eau; Ceinture Volkorne; Masque de Koutoulou; Cape au Logis; Bottes du Strigide; Dofus Turquoise; Dofus Ocre; Dofus Pourpre; Dofus Ébène; Dofus Ivoire; Enragé majeur; Dragodinde Ivoire et Pourpre</t>
        </is>
      </c>
    </row>
    <row r="21606">
      <c r="A21606" t="inlineStr">
        <is>
          <t>Xélor F 200</t>
        </is>
      </c>
      <c r="B21606">
        <f>HYPERLINK("https://www.dofusbook.net/fr/equipement/4342873-xelor-f-200/objets", "link")</f>
        <v/>
      </c>
      <c r="C21606" t="n">
        <v>0</v>
      </c>
      <c r="D21606" t="inlineStr">
        <is>
          <t>Crocobur; Amulette du Strigide; Anneau Volkorne; Bague Trithon; Ceintacé; Masque Trithon; Cape au Logis; Bottes du Strigide</t>
        </is>
      </c>
    </row>
    <row r="21607">
      <c r="A21607" t="inlineStr">
        <is>
          <t>Ecaflip M 200</t>
        </is>
      </c>
      <c r="B21607">
        <f>HYPERLINK("https://www.dofusbook.net/fr/equipement/4342839-ecaflip-m-200/objets", "link")</f>
        <v/>
      </c>
      <c r="C21607" t="n">
        <v>1</v>
      </c>
      <c r="D21607" t="inlineStr">
        <is>
          <t>Crocobur; Amulette du Strigide; Anneau Chevelu; Bague Gloursonne; Bouclier du Captain Amakna; Ceinture Volkorne; Masque de Koutoulou; Cape au Logis; Bottes du Strigide; Dofus Ivoire; Dofus Turquoise; Dofus Ocre; Dofus Pourpre; Dofus Ébène; Enragé majeur; Dragodinde Ivoire et Pourpre</t>
        </is>
      </c>
    </row>
    <row r="21608">
      <c r="A21608" t="inlineStr">
        <is>
          <t>Eniripsa M 200</t>
        </is>
      </c>
      <c r="B21608">
        <f>HYPERLINK("https://www.dofusbook.net/fr/equipement/4009315-eniripsa-m-200/objets", "link")</f>
        <v/>
      </c>
      <c r="C21608" t="n">
        <v>6</v>
      </c>
      <c r="D21608" t="inlineStr">
        <is>
          <t>Arc corrompu; Amulette Volkorne; Anneauræus; Bague Gloursonne; Cadran de Terre; Ceinture de Vortex; Heaume Oplate; Cape Ardente; Chaussures Ardentes; Dofus Abyssal; Dofus Ocre; Dofus Ivoire; Érudit majeur; Étourdisseur majeur; Nomade; Koalak Sanguin</t>
        </is>
      </c>
    </row>
    <row r="21609">
      <c r="A21609" t="inlineStr">
        <is>
          <t>Eniripsa F 200</t>
        </is>
      </c>
      <c r="B21609">
        <f>HYPERLINK("https://www.dofusbook.net/fr/equipement/4342762-eniripsa-f-200/objets", "link")</f>
        <v/>
      </c>
      <c r="C21609" t="n">
        <v>0</v>
      </c>
      <c r="D21609" t="inlineStr"/>
    </row>
    <row r="21610">
      <c r="A21610" t="inlineStr">
        <is>
          <t>Xélor M 200</t>
        </is>
      </c>
      <c r="B21610">
        <f>HYPERLINK("https://www.dofusbook.net/fr/equipement/4342667-xelor-m-200/objets", "link")</f>
        <v/>
      </c>
      <c r="C21610" t="n">
        <v>0</v>
      </c>
      <c r="D21610" t="inlineStr">
        <is>
          <t>Crocobur; Amulette du Strigide; Bague Trithon; Anneau Volkorne; Ceinture Volkorne; Masque Trithon; Cape au Logis; Bottes du Strigide</t>
        </is>
      </c>
    </row>
    <row r="21611">
      <c r="A21611" t="inlineStr">
        <is>
          <t>Pandawa M 200</t>
        </is>
      </c>
      <c r="B21611">
        <f>HYPERLINK("https://www.dofusbook.net/fr/equipement/4332633-pandawa-m-200/objets", "link")</f>
        <v/>
      </c>
      <c r="C21611" t="n">
        <v>6</v>
      </c>
      <c r="D21611" t="inlineStr">
        <is>
          <t>Rapière aux Glyphes; Amulette du Sinistrofu; Alliance Gloursonne; Anneau Volkorne; Quatre-feuilles; Sangle Ouare; Kidibonnet; Cape du Sinistrofu; Pataugastrique; Dofus Turquoise; Dofus Pourpre; Nomade; Fonceur majeur; Chanceux majeur; Remueur; Dragodinde Amande et Indigo</t>
        </is>
      </c>
    </row>
    <row r="21612">
      <c r="A21612" t="inlineStr">
        <is>
          <t>Iop M 200</t>
        </is>
      </c>
      <c r="B21612">
        <f>HYPERLINK("https://www.dofusbook.net/fr/equipement/4332470-iop-m-200/objets", "link")</f>
        <v/>
      </c>
      <c r="C21612" t="n">
        <v>8</v>
      </c>
      <c r="D21612" t="inlineStr">
        <is>
          <t>Epée Toche; Amulette du Strigide; Bague Gloursonne; Anneau Chevelu; Bouclier du Captain Amakna; Ceintacé; Masque de Koutoulou; Cape au Logis; Bottes du Strigide; Dofus Turquoise; Dofus Pourpre; Vigoureux majeur; Enragé majeur; Nomade; Remueur; Dragodinde Ivoire et Pourpre</t>
        </is>
      </c>
    </row>
    <row r="21613">
      <c r="A21613" t="inlineStr">
        <is>
          <t>Ecaflip M 200</t>
        </is>
      </c>
      <c r="B21613">
        <f>HYPERLINK("https://www.dofusbook.net/fr/equipement/4324942-ecaflip-m-200/objets", "link")</f>
        <v/>
      </c>
      <c r="C21613" t="n">
        <v>0</v>
      </c>
      <c r="D21613" t="inlineStr">
        <is>
          <t>Sabres d'Atcham; Amulette Volkorne; Bague Trithon; Anneau Volkorne; Bouclier du Captain Amakna; Ceintacé; Casque Volkorne; Cape d'Atcham; Sandales  d'Atcham; Dolmanax; Dofus Turquoise; Dofus Ébène; Dofus Ivoire; Dofus Pourpre; Dofus des Glaces; Chacha Angora</t>
        </is>
      </c>
    </row>
    <row r="21614">
      <c r="A21614" t="inlineStr">
        <is>
          <t>Ecaflip M 200</t>
        </is>
      </c>
      <c r="B21614">
        <f>HYPERLINK("https://www.dofusbook.net/fr/equipement/4324909-ecaflip-m-200/objets", "link")</f>
        <v/>
      </c>
      <c r="C21614" t="n">
        <v>6</v>
      </c>
      <c r="D21614" t="inlineStr">
        <is>
          <t>Harpelle; Amulette Volkorne; Anneauræus; Anneauræus; Bouclier du Stalak; Ceinture Séculaire; Coiffe Séculaire; Cape de la Dame du Hasard; Pataugastrique; Dofus Turquoise; Dofus Vulbis; Dofus Ocre; Dofus Ébène; Dofus Ivoire; Érudit majeur; Pioute rouge</t>
        </is>
      </c>
    </row>
    <row r="21615">
      <c r="A21615" t="inlineStr">
        <is>
          <t>Xélor F 200</t>
        </is>
      </c>
      <c r="B21615">
        <f>HYPERLINK("https://www.dofusbook.net/fr/equipement/4322480-xelor-f-200/objets", "link")</f>
        <v/>
      </c>
      <c r="C21615" t="n">
        <v>1</v>
      </c>
      <c r="D21615" t="inlineStr">
        <is>
          <t>Sceptre du Roi Joueur; Amulette de Shokkoth; Alliance Gloursonne; Anneau Volkorne; Bouclier du Stalak; Culotte de Bethel; Casque Volkorne; Chevelure de Tal Kasha; Pataugastrique; Dofus Vulbis; Dofus Ocre; Dofus Ébène; Dofus Ivoire; Chanceux majeur; Étourdisseur majeur; Boskito</t>
        </is>
      </c>
    </row>
    <row r="21616">
      <c r="A21616" t="inlineStr">
        <is>
          <t>Ecaflip M 200</t>
        </is>
      </c>
      <c r="B21616">
        <f>HYPERLINK("https://www.dofusbook.net/fr/equipement/4320383-ecaflip-m-200/objets", "link")</f>
        <v/>
      </c>
      <c r="C21616" t="n">
        <v>2</v>
      </c>
      <c r="D21616" t="inlineStr">
        <is>
          <t>Baguette Hique; Amulette de Shokkoth; Anneau Volkorne; Alliance Gloursonne; Bouclier du Stalak; Pagne du Rykaon; Kidibonnet; Cape de la Dame du Hasard; Bottes de la Dame du Hasard; Dofus Ocre; Dofus Turquoise; Dofus Ivoire; Dofus Pourpre; Dofus Vulbis; Chanceux majeur; Pioute bleu</t>
        </is>
      </c>
    </row>
    <row r="21617">
      <c r="A21617" t="inlineStr">
        <is>
          <t>Féca M 200</t>
        </is>
      </c>
      <c r="B21617">
        <f>HYPERLINK("https://www.dofusbook.net/fr/equipement/4116530-feca-m-200/objets", "link")</f>
        <v/>
      </c>
      <c r="C21617" t="n">
        <v>6</v>
      </c>
      <c r="D21617" t="inlineStr">
        <is>
          <t>Baguette Hique; Amulette du Strigide; Anneau Volkorne; Alliance Gloursonne; Quatre-feuilles; Sangle Ouare; Kidibonnet; Cape de la Dame du Hasard; Bottes de la Dame du Hasard; Dofus Ocre; Dofus Turquoise; Dofus Ivoire; Dofus Pourpre; Dofus des Glaces; Chanceux majeur; Pioute bleu</t>
        </is>
      </c>
    </row>
    <row r="21618">
      <c r="A21618" t="inlineStr">
        <is>
          <t>Ecaflip M 200</t>
        </is>
      </c>
      <c r="B21618">
        <f>HYPERLINK("https://www.dofusbook.net/fr/equipement/3977514-ecaflip-m-200/objets", "link")</f>
        <v/>
      </c>
      <c r="C21618" t="n">
        <v>5</v>
      </c>
      <c r="D21618" t="inlineStr">
        <is>
          <t>Az'tech; Amulette du Strigide; Anneau Volkorne; Alliance Gloursonne; Bouclier du Stalak; Ceinture Volkorne; Casque Volkorne; Dofusteuse; Bottes du Strigide; Dofus des Glaces; Dofus Turquoise; Dofus Abyssal; Dofus Ocre; Dofus Pourpre; Dofus Ivoire; Sakochère</t>
        </is>
      </c>
    </row>
    <row r="21619">
      <c r="A21619" t="inlineStr">
        <is>
          <t>Ecaflip M 200</t>
        </is>
      </c>
      <c r="B21619">
        <f>HYPERLINK("https://www.dofusbook.net/fr/equipement/4296291-ecaflip-m-200/objets", "link")</f>
        <v/>
      </c>
      <c r="C21619" t="n">
        <v>2</v>
      </c>
      <c r="D21619" t="inlineStr">
        <is>
          <t>Sceptre du Roi Joueur; Amulette du Strigide; Alliance Gloursonne; Anneau Volkorne; Bouclier du Stalak; Sangle Ouare; Némès de Tal Kasha; Chevelure de Tal Kasha; Pataugastrique; Dofus Turquoise; Dofus Ocre; Dofus Ivoire; Dofus Pourpre; Dofus Ébène; Chanceux majeur; Pioute bleu</t>
        </is>
      </c>
    </row>
    <row r="21620">
      <c r="A21620" t="inlineStr">
        <is>
          <t>Ecaflip M 200</t>
        </is>
      </c>
      <c r="B21620">
        <f>HYPERLINK("https://www.dofusbook.net/fr/equipement/4294160-ecaflip-m-200/objets", "link")</f>
        <v/>
      </c>
      <c r="C21620" t="n">
        <v>3</v>
      </c>
      <c r="D21620" t="inlineStr">
        <is>
          <t>Sceptre du Roi Joueur; Amulette du Strigide; Anneau Volkorne; Bague Trithon; Bouclier du Stalak; Poulpagne; Capuche de l'Œil Attentif; Cape de l'Œil Attentif; Pataugastrique; Dofus Turquoise; Dofus Vulbis; Dofus Ébène; Dofus Ivoire; Évasif majeur; Chanceux majeur; Rauleur</t>
        </is>
      </c>
    </row>
    <row r="21621">
      <c r="A21621" t="inlineStr">
        <is>
          <t>Eniripsa F 200</t>
        </is>
      </c>
      <c r="B21621">
        <f>HYPERLINK("https://www.dofusbook.net/fr/equipement/4294152-eniripsa-f-200/objets", "link")</f>
        <v/>
      </c>
      <c r="C21621" t="n">
        <v>4</v>
      </c>
      <c r="D21621" t="inlineStr">
        <is>
          <t>Arc corrompu; Amulette Volkorne; Anneauræus; Anneauræus; Bouclier du Stalak; Ceinture Volkorne; Heaume Oplate; Cape Sulhit; Chaussures Ardentes; Dofus Abyssal; Dofus Vulbis; Dofus Ivoire; Dofus Pourpre; Dofus Ocre; Érudit majeur; Dragodinde Ivoire et Orchidée</t>
        </is>
      </c>
    </row>
    <row r="21622">
      <c r="A21622" t="inlineStr">
        <is>
          <t>Sadida M 200</t>
        </is>
      </c>
      <c r="B21622">
        <f>HYPERLINK("https://www.dofusbook.net/fr/equipement/4294147-sadida-m-200/objets", "link")</f>
        <v/>
      </c>
      <c r="C21622" t="n">
        <v>0</v>
      </c>
      <c r="D21622" t="inlineStr"/>
    </row>
    <row r="21623">
      <c r="A21623" t="inlineStr">
        <is>
          <t>Sadida M 200</t>
        </is>
      </c>
      <c r="B21623">
        <f>HYPERLINK("https://www.dofusbook.net/fr/equipement/4294146-sadida-m-200/objets", "link")</f>
        <v/>
      </c>
      <c r="C21623" t="n">
        <v>0</v>
      </c>
      <c r="D21623" t="inlineStr"/>
    </row>
    <row r="21624">
      <c r="A21624" t="inlineStr">
        <is>
          <t>Ecaflip M 200</t>
        </is>
      </c>
      <c r="B21624">
        <f>HYPERLINK("https://www.dofusbook.net/fr/equipement/4293776-ecaflip-m-200/objets", "link")</f>
        <v/>
      </c>
      <c r="C21624" t="n">
        <v>12</v>
      </c>
      <c r="D21624" t="inlineStr">
        <is>
          <t>Lav'Hache; Torquistik; Bague Trithon; Anneau Chevelu; Bouclier d'Ilyzaelle; Ceinture Gence; Masque de Koutoulou; Cape au Logis; Bottistik; Dofus Ivoire; Dofus Turquoise; Dofus Ébène; Dofus Abyssal; Enragé majeur; Culbuteur majeur; Black Tiwabbit</t>
        </is>
      </c>
    </row>
    <row r="21625">
      <c r="A21625" t="inlineStr">
        <is>
          <t>Steamer M 200</t>
        </is>
      </c>
      <c r="B21625">
        <f>HYPERLINK("https://www.dofusbook.net/fr/equipement/4283738-steamer-m-200/objets", "link")</f>
        <v/>
      </c>
      <c r="C21625" t="n">
        <v>4</v>
      </c>
      <c r="D21625" t="inlineStr">
        <is>
          <t>Plume de Buhorado; Amulette du Strigide; Alliance Gloursonne; Bague Trithon; Quatre-feuilles; Menoture; Chapibou; Capibou; Bottes Trithon; Dofus Pourpre; Dofus Ocre; Dofus Ivoire; Dofus Abyssal; Dofus Turquoise; Bousculeur majeur; Tofoudre</t>
        </is>
      </c>
    </row>
    <row r="21626">
      <c r="A21626" t="inlineStr">
        <is>
          <t>Féca M 200</t>
        </is>
      </c>
      <c r="B21626">
        <f>HYPERLINK("https://www.dofusbook.net/fr/equipement/4282436-feca-m-200/objets", "link")</f>
        <v/>
      </c>
      <c r="C21626" t="n">
        <v>0</v>
      </c>
      <c r="D21626" t="inlineStr"/>
    </row>
    <row r="21627">
      <c r="A21627" t="inlineStr">
        <is>
          <t>Féca M 200</t>
        </is>
      </c>
      <c r="B21627">
        <f>HYPERLINK("https://www.dofusbook.net/fr/equipement/4253374-feca-m-200/objets", "link")</f>
        <v/>
      </c>
      <c r="C21627" t="n">
        <v>12</v>
      </c>
      <c r="D21627" t="inlineStr">
        <is>
          <t>Lav'Hache; Amulette du Strigide; Anneau Crustique; Anneau Chevelu; Bouclier d'Ilyzaelle; Ceintouse; Masque de Koutoulou; Cape au Logis; Tentassons; Dofus Ivoire; Dofus Abyssal; Dofus Ocre; Dofus Pourpre; Étourdisseur majeur; Enragé majeur; Drakopin</t>
        </is>
      </c>
    </row>
    <row r="21628">
      <c r="A21628" t="inlineStr">
        <is>
          <t>Huppermage F 200</t>
        </is>
      </c>
      <c r="B21628">
        <f>HYPERLINK("https://www.dofusbook.net/fr/equipement/4236751-huppermage-f-200/objets", "link")</f>
        <v/>
      </c>
      <c r="C21628" t="n">
        <v>0</v>
      </c>
      <c r="D21628" t="inlineStr">
        <is>
          <t>Arc de Koutoulou; Amulette Voldelor; Alliance Gloursonne; Anneau Volkorne; Quatre-feuilles; Ceinture Voldelor; Casque Volkorne; Chevelure de Tal Kasha; Pataugastrique; Dofus Vulbis; Dofus Turquoise; Dofus Pourpre; Dofus Ivoire; Dofus Ébène; Dofus Ocre; Kokulte</t>
        </is>
      </c>
    </row>
    <row r="21629">
      <c r="A21629" t="inlineStr">
        <is>
          <t>Sadida M 200</t>
        </is>
      </c>
      <c r="B21629">
        <f>HYPERLINK("https://www.dofusbook.net/fr/equipement/4231427-sadida-m-200/objets", "link")</f>
        <v/>
      </c>
      <c r="C21629" t="n">
        <v>7</v>
      </c>
      <c r="D21629" t="inlineStr">
        <is>
          <t>Arc Honte; Amulette Martegel; Anneauræus; Alliance Gloursonne; Bouclier du Stalak; Ceinture de l'Esprit Salvateur; Masquegel; Cape de l'Œil Putride; Pantoufles Émar; Dofus Ivoire; Dofus des Glaces; Dofus Ocre; Évasif majeur; Temporiseur majeur; Nomade; Rauleur</t>
        </is>
      </c>
    </row>
    <row r="21630">
      <c r="A21630" t="inlineStr">
        <is>
          <t>Eniripsa F 200</t>
        </is>
      </c>
      <c r="B21630">
        <f>HYPERLINK("https://www.dofusbook.net/fr/equipement/4212283-eniripsa-f-200/objets", "link")</f>
        <v/>
      </c>
      <c r="C21630" t="n">
        <v>9</v>
      </c>
      <c r="D21630" t="inlineStr">
        <is>
          <t>Arc corrompu; Amulette Volkorne; Anneauræus; Anneauræus; Bouclier du Stalak; Ceinture Volkorne; Heaume Oplate; Voile d'encre; Chaussures Ardentes; Dofus Ocre; Dofus Abyssal; Dofus Vulbis; Dofus Ivoire; Érudit majeur; Évasif majeur; Atouin</t>
        </is>
      </c>
    </row>
    <row r="21631">
      <c r="A21631" t="inlineStr">
        <is>
          <t>Crâ F 200</t>
        </is>
      </c>
      <c r="B21631">
        <f>HYPERLINK("https://www.dofusbook.net/fr/equipement/4202549-cra-f-200/objets", "link")</f>
        <v/>
      </c>
      <c r="C21631" t="n">
        <v>2</v>
      </c>
      <c r="D21631" t="inlineStr">
        <is>
          <t>Arc du Chalœil; Amulette du Strigide; Anneau de Brouce; Bague Gloursonne; Quatre-feuilles; Ceinture de Brouce; Masque de Koutoulou; Cape au Logis; Bottes de la Cour Sombre; Dofus Pourpre; Dofus Turquoise; Enragé majeur; Vigoureux majeur; Furibond majeur; Forcené majeur; Kompost</t>
        </is>
      </c>
    </row>
    <row r="21632">
      <c r="A21632" t="inlineStr">
        <is>
          <t>Xélor M 200</t>
        </is>
      </c>
      <c r="B21632">
        <f>HYPERLINK("https://www.dofusbook.net/fr/equipement/4198641-xelor-m-200/objets", "link")</f>
        <v/>
      </c>
      <c r="C21632" t="n">
        <v>1</v>
      </c>
      <c r="D21632" t="inlineStr">
        <is>
          <t>Arc Volkorne; Amulette Ementaire Deluxe; Alliance Gloursonne; Anneau Volkorne; Bouclier du Stalak; Ceinture de l'Esprit Salvateur; Casque Volkorne; Voilamibe; Bottes de l'Esprit Salvateur; Dofus Pourpre; Dofus Abyssal; Dofus des Glaces; Dofus Ivoire; Dolmanax; Dofus Ocre; Fëanor</t>
        </is>
      </c>
    </row>
    <row r="21633">
      <c r="A21633" t="inlineStr">
        <is>
          <t>Osamodas M 200</t>
        </is>
      </c>
      <c r="B21633">
        <f>HYPERLINK("https://www.dofusbook.net/fr/equipement/3949949-osamodas-m-200/objets", "link")</f>
        <v/>
      </c>
      <c r="C21633" t="n">
        <v>10</v>
      </c>
      <c r="D21633" t="inlineStr">
        <is>
          <t>Lance Horselé; Collier du Valet Veinard; Alliance Gloursonne; Gant du Valet Veinard; Bouclier du Stalak; Menoture; Chapeau de Tournoyé; Dofusteuse; Palmes Trithons; Dofus Nébuleux; Dofus Ivoire; Dofus Ocre; Dofus Abyssal; Cascadeur majeur; Nomade; Blérodoudou</t>
        </is>
      </c>
    </row>
    <row r="21634">
      <c r="A21634" t="inlineStr">
        <is>
          <t>Osamodas M 200</t>
        </is>
      </c>
      <c r="B21634">
        <f>HYPERLINK("https://www.dofusbook.net/fr/equipement/4193773-osamodas-m-200/objets", "link")</f>
        <v/>
      </c>
      <c r="C21634" t="n">
        <v>2</v>
      </c>
      <c r="D21634" t="inlineStr">
        <is>
          <t>Baguette de Malléfisk; Amulette d'Ilyzaelle; Alliance Gloursonne; Anneau Rifique; Bouclier du Stalak; Menoture; Casque d'Ilyzaelle; Cape Martegel; Palmes Trithons; Dofus Ivoire; Dofus Ocre; Dofus Abyssal; Guérisseur majeur; Nomade; Cascadeur majeur; Dragodinde Ebène et Rousse</t>
        </is>
      </c>
    </row>
    <row r="21635">
      <c r="A21635" t="inlineStr">
        <is>
          <t>Steamer M 200</t>
        </is>
      </c>
      <c r="B21635">
        <f>HYPERLINK("https://www.dofusbook.net/fr/equipement/4187629-steamer-m-200/objets", "link")</f>
        <v/>
      </c>
      <c r="C21635" t="n">
        <v>5</v>
      </c>
      <c r="D21635" t="inlineStr">
        <is>
          <t>Arc Volkorne; Amulette du Strigide; Anneau Volkorne; Bague Trithon; Quatre-feuilles; Ceinture Volkorne; Masque Trithon; Cape des Justiciers; Bottes du Strigide; Dofus Abyssal; Dofus Ocre; Dofus Turquoise; Dofus Ivoire; Dofus Pourpre; Dofus des Glaces; Kokulte</t>
        </is>
      </c>
    </row>
    <row r="21636">
      <c r="A21636" t="inlineStr">
        <is>
          <t>Sadida F 200</t>
        </is>
      </c>
      <c r="B21636">
        <f>HYPERLINK("https://www.dofusbook.net/fr/equipement/4187608-sadida-f-200/objets", "link")</f>
        <v/>
      </c>
      <c r="C21636" t="n">
        <v>8</v>
      </c>
      <c r="D21636" t="inlineStr">
        <is>
          <t>Arc Nécrotique; Amulette Volkorne; Anneau Volkorne; Bague Trithon; Quatre-feuilles; Ceintacé; Masque Trithon; Cape de la Dame du Hasard; Bottes de la Dame du Hasard; Dofus Ivoire; Dofus des Glaces; Dofus Pourpre; Dofus Vulbis; Dofus Ocre; Dofus Turquoise; Kokulte</t>
        </is>
      </c>
    </row>
    <row r="21637">
      <c r="A21637" t="inlineStr">
        <is>
          <t>Sadida F 200</t>
        </is>
      </c>
      <c r="B21637">
        <f>HYPERLINK("https://www.dofusbook.net/fr/equipement/4187520-sadida-f-200/objets", "link")</f>
        <v/>
      </c>
      <c r="C21637" t="n">
        <v>1</v>
      </c>
      <c r="D21637" t="inlineStr">
        <is>
          <t>Lance Horselé; Amulette du Strigide; Alliance Gloursonne; Anneau Volkorne; Quatre-feuilles; Menoture; Casque Volkorne; Chevelure de Tal Kasha; Palmes Trithons; Dofus Ivoire; Dofus Turquoise; Dofus des Glaces; Dofus Ocre; Nomade; Cascadeur majeur; Blérodoudou</t>
        </is>
      </c>
    </row>
    <row r="21638">
      <c r="A21638" t="inlineStr">
        <is>
          <t>Steamer M 200</t>
        </is>
      </c>
      <c r="B21638">
        <f>HYPERLINK("https://www.dofusbook.net/fr/equipement/4182064-steamer-m-200/objets", "link")</f>
        <v/>
      </c>
      <c r="C21638" t="n">
        <v>3</v>
      </c>
      <c r="D21638" t="inlineStr">
        <is>
          <t>Arc corrompu; Amulette de Nileza; Anneauræus; Anneauræus; Bouclier du Stalak; Ceinture de Vortex; Heaume Oplate; Cape de Nileza; Bottes Innommables; Dofus Abyssal; Dofus Pourpre; Dofus Ivoire; Dofus Ocre; Dofus Vulbis; Érudit majeur; Dragodinde Amande et Orchidée</t>
        </is>
      </c>
    </row>
    <row r="21639">
      <c r="A21639" t="inlineStr">
        <is>
          <t>Steamer M 200</t>
        </is>
      </c>
      <c r="B21639">
        <f>HYPERLINK("https://www.dofusbook.net/fr/equipement/4174587-steamer-m-200/objets", "link")</f>
        <v/>
      </c>
      <c r="C21639" t="n">
        <v>6</v>
      </c>
      <c r="D21639" t="inlineStr">
        <is>
          <t>Arc Nécrotique; Amulette Volkorne; Anneau Volkorne; Bague Trithon; Quatre-feuilles; Ceintacé; Masque Trithon; Cape de la Dame du Hasard; Bottes de la Dame du Hasard; Dofus Pourpre; Dofus Ivoire; Dofus Vulbis; Dofus Ocre; Dofus Turquoise; Dofus des Glaces; Kokulte</t>
        </is>
      </c>
    </row>
    <row r="21640">
      <c r="A21640" t="inlineStr">
        <is>
          <t>Sadida M 200</t>
        </is>
      </c>
      <c r="B21640">
        <f>HYPERLINK("https://www.dofusbook.net/fr/equipement/4174795-sadida-m-200/objets", "link")</f>
        <v/>
      </c>
      <c r="C21640" t="n">
        <v>0</v>
      </c>
      <c r="D21640" t="inlineStr">
        <is>
          <t>Amulette du Strigide; Bottes du Strigide; Dragodinde Amande et Pourpre</t>
        </is>
      </c>
    </row>
    <row r="21641">
      <c r="A21641" t="inlineStr">
        <is>
          <t>Féca F 200</t>
        </is>
      </c>
      <c r="B21641">
        <f>HYPERLINK("https://www.dofusbook.net/fr/equipement/4174704-feca-f-200/objets", "link")</f>
        <v/>
      </c>
      <c r="C21641" t="n">
        <v>3</v>
      </c>
      <c r="D21641" t="inlineStr">
        <is>
          <t>Sceptre du Roi Joueur; Amulette de Shokkoth; Anneau Volkorne; Alliance Gloursonne; Bouclier du Stalak; Poulpagne; Capuche de l'Œil Attentif; Cape de l'Œil Attentif; Pataugastrique; Dofus Abyssal; Dofus Ivoire; Dofus Pourpre; Nomade; Évasif majeur; Chanceux majeur; Dragodinde Indigo et Ivoire</t>
        </is>
      </c>
    </row>
    <row r="21642">
      <c r="A21642" t="inlineStr">
        <is>
          <t>Féca M 200</t>
        </is>
      </c>
      <c r="B21642">
        <f>HYPERLINK("https://www.dofusbook.net/fr/equipement/4174662-feca-m-200/objets", "link")</f>
        <v/>
      </c>
      <c r="C21642" t="n">
        <v>5</v>
      </c>
      <c r="D21642" t="inlineStr">
        <is>
          <t>Baguette Hique; Amulette de l'Œil Attentif; Alliance Gloursonne; Pikano; Quatre-feuilles; Ceintacé; Capuche de l'Œil Attentif; Cape de la Dame du Hasard; Bottes de la Dame du Hasard; Dofus Turquoise; Dofus Vulbis; Dofus des Glaces; Dofus Pourpre; Dofus Ivoire; Rauleur</t>
        </is>
      </c>
    </row>
    <row r="21643">
      <c r="A21643" t="inlineStr">
        <is>
          <t>Sadida M 200</t>
        </is>
      </c>
      <c r="B21643">
        <f>HYPERLINK("https://www.dofusbook.net/fr/equipement/4172293-sadida-m-200/objets", "link")</f>
        <v/>
      </c>
      <c r="C21643" t="n">
        <v>2</v>
      </c>
      <c r="D21643" t="inlineStr">
        <is>
          <t>Manthache; Collier du Valet Veinard; Alliance Gloursonne; Gant du Valet Veinard; Bouclier du Stalak; Menoture; Casque Volkorne; Cape Indescriptible; Palmes Trithons; Dofus Pourpre; Dofus Ivoire; Dofus Ocre; Dofus Vulbis; Dofus Abyssal; Cascadeur majeur; Blérodoudou</t>
        </is>
      </c>
    </row>
    <row r="21644">
      <c r="A21644" t="inlineStr">
        <is>
          <t>Pandawa F 200</t>
        </is>
      </c>
      <c r="B21644">
        <f>HYPERLINK("https://www.dofusbook.net/fr/equipement/4171757-pandawa-f-200/objets", "link")</f>
        <v/>
      </c>
      <c r="C21644" t="n">
        <v>3</v>
      </c>
      <c r="D21644" t="inlineStr">
        <is>
          <t>Dagoulinantes; Amulette de Shokkoth; Alliance Gloursonne; Pikano; Quatre-feuilles; Ceinture du Strigide; Kidibonnet; Cape du Sinistrofu; Bottes du Sinistrofu; Dofus Abyssal; Dofus Turquoise; Remueur; Chanceux majeur; Nomade; Fonceur majeur; Dehluge</t>
        </is>
      </c>
    </row>
    <row r="21645">
      <c r="A21645" t="inlineStr">
        <is>
          <t>Féca M 200</t>
        </is>
      </c>
      <c r="B21645">
        <f>HYPERLINK("https://www.dofusbook.net/fr/equipement/4168079-feca-m-200/objets", "link")</f>
        <v/>
      </c>
      <c r="C21645" t="n">
        <v>1</v>
      </c>
      <c r="D21645" t="inlineStr">
        <is>
          <t>Baguette de Malléfisk; Amulette Volkorne; Bague Gloursonne; Anneauræus; Bouclier du Stalak; Ceinture Volkorne; Heaume Oplate; Voile d'encre; Chaussures Ardentes; Dofus Abyssal; Dofus Ivoire; Dofus Pourpre; Dofus Ocre; Érudit majeur; Nomade; Dragodinde Ivoire et Orchidée</t>
        </is>
      </c>
    </row>
    <row r="21646">
      <c r="A21646" t="inlineStr">
        <is>
          <t>Steamer F 200</t>
        </is>
      </c>
      <c r="B21646">
        <f>HYPERLINK("https://www.dofusbook.net/fr/equipement/4168057-steamer-f-200/objets", "link")</f>
        <v/>
      </c>
      <c r="C21646" t="n">
        <v>2</v>
      </c>
      <c r="D21646" t="inlineStr">
        <is>
          <t>Lav'Hache; Torquistik; Bague Instable; Bague Trithon; Bouclier précieux; Sangle Ouare; Casque Dragoeuf; Cape Solution; Bottistik; Dofus Ocre; Dofus Abyssal; Dofus Ivoire; Pousseur majeur; Culbuteur majeur; Bousculeur majeur; Tatouf</t>
        </is>
      </c>
    </row>
    <row r="21647">
      <c r="A21647" t="inlineStr">
        <is>
          <t>Steamer F 200</t>
        </is>
      </c>
      <c r="B21647">
        <f>HYPERLINK("https://www.dofusbook.net/fr/equipement/4163511-steamer-f-200/objets", "link")</f>
        <v/>
      </c>
      <c r="C21647" t="n">
        <v>4</v>
      </c>
      <c r="D21647" t="inlineStr">
        <is>
          <t>Baguette de Malléfisk; Amulette Volkorne; Anneauræus; Anneauræus; Cadran de Feu; Ceinture Volkorne; Heaume Oplate; Voile d'encre; Chaussures Ardentes; Dofus Abyssal; Dofus Ivoire; Dofus Ocre; Érudit majeur; Nomade; Guérisseur majeur; Bisouglours</t>
        </is>
      </c>
    </row>
    <row r="21648">
      <c r="A21648" t="inlineStr">
        <is>
          <t>Sadida M 200</t>
        </is>
      </c>
      <c r="B21648">
        <f>HYPERLINK("https://www.dofusbook.net/fr/equipement/4158109-sadida-m-200/objets", "link")</f>
        <v/>
      </c>
      <c r="C21648" t="n">
        <v>10</v>
      </c>
      <c r="D21648" t="inlineStr">
        <is>
          <t>Arc Honte; Amulette Martegel; Anneauræus; Anneauræus; Bouclier du Stalak; Ceinture de Vortex; Heaume Oplate; Cape Martegel; Bottes du Strigide; Dofus des Glaces; Dofus Abyssal; Dofus Ocre; Dofus Ivoire; Nomade; Évasif majeur; Gwo Tofu Ventripotent</t>
        </is>
      </c>
    </row>
    <row r="21649">
      <c r="A21649" t="inlineStr">
        <is>
          <t>Sadida M 200</t>
        </is>
      </c>
      <c r="B21649">
        <f>HYPERLINK("https://www.dofusbook.net/fr/equipement/4158028-sadida-m-200/objets", "link")</f>
        <v/>
      </c>
      <c r="C21649" t="n">
        <v>5</v>
      </c>
      <c r="D21649" t="inlineStr">
        <is>
          <t>Arc Honte; Amulette de l'Œil Putride; Bague Gloursonne; Alliance Gloursonne; Bouclier du Stalak; Ceinture de l'Esprit Salvateur; Masque de l'Esprit Salvateur; Cape de l'Œil Putride; Bottes de l'Esprit Salvateur; Dofus Vulbis; Dofus Abyssal; Dofus des Glaces; Dofus Ivoire; Dolmanax; Dofus Ocre; Volkorne Amande et Turquoise</t>
        </is>
      </c>
    </row>
    <row r="21650">
      <c r="A21650" t="inlineStr">
        <is>
          <t>Zobal M 200</t>
        </is>
      </c>
      <c r="B21650">
        <f>HYPERLINK("https://www.dofusbook.net/fr/equipement/4136985-zobal-m-200/objets", "link")</f>
        <v/>
      </c>
      <c r="C21650" t="n">
        <v>2</v>
      </c>
      <c r="D21650" t="inlineStr">
        <is>
          <t>Arc Nécrotique; Amulette Volkorne; Bague Trithon; Anneau Volkorne; Quatre-feuilles; Ceintacé; Masque Trithon; Cape de la Dame du Hasard; Bottes de la Dame du Hasard; Dofus Vulbis; Dofus Ocre; Dofus Turquoise; Dofus Abyssal; Dofus des Glaces; Dofus Ivoire; Kokulte</t>
        </is>
      </c>
    </row>
    <row r="21651">
      <c r="A21651" t="inlineStr">
        <is>
          <t>Féca M 200</t>
        </is>
      </c>
      <c r="B21651">
        <f>HYPERLINK("https://www.dofusbook.net/fr/equipement/4130695-feca-m-200/objets", "link")</f>
        <v/>
      </c>
      <c r="C21651" t="n">
        <v>4</v>
      </c>
      <c r="D21651" t="inlineStr">
        <is>
          <t>Sceptre du Roi Joueur; Amulette de Shokkoth; Anneau Volkorne; Alliance Gloursonne; Bouclier du Stalak; Ceinture de l'Esprit Salvateur; Capuche de l'Œil Attentif; Cape de l'Œil Attentif; Pataugastrique; Dofus Abyssal; Dofus Pourpre; Dofus Ivoire; Dofus Ocre; Nomade; Chanceux majeur; Rauleur</t>
        </is>
      </c>
    </row>
    <row r="21652">
      <c r="A21652" t="inlineStr">
        <is>
          <t>Féca M 200</t>
        </is>
      </c>
      <c r="B21652">
        <f>HYPERLINK("https://www.dofusbook.net/fr/equipement/3950641-feca-m-200/objets", "link")</f>
        <v/>
      </c>
      <c r="C21652" t="n">
        <v>4</v>
      </c>
      <c r="D21652" t="inlineStr">
        <is>
          <t>Dagues Ruik; Amulette du Strigide; Alliance Gloursonne; Anneau de Padgref; Bouclier du Captain Amakna; Menoture; Casque Volkorne; Chevelure de Tal Kasha; Sandales de Tal Kasha; Dofus Ivoire; Dofus Vulbis; Dofus Pourpre; Dofus Ocre; Dofus Turquoise; Cascadeur majeur; Kokulte</t>
        </is>
      </c>
    </row>
    <row r="21653">
      <c r="A21653" t="inlineStr">
        <is>
          <t>Féca M 200</t>
        </is>
      </c>
      <c r="B21653">
        <f>HYPERLINK("https://www.dofusbook.net/fr/equipement/4124436-feca-m-200/objets", "link")</f>
        <v/>
      </c>
      <c r="C21653" t="n">
        <v>0</v>
      </c>
      <c r="D21653" t="inlineStr">
        <is>
          <t>Epée Maudite du Saigneur Guerrier; Amulette du Strigide; Anneau de Padgref; Bague Gloursonne; Bouclier du Captain Amakna; Ceinture du Strigide; Coiffe de Padgref; Chevelure de Tal Kasha; Getas de Padgref; Dofus Vulbis; Dofus des Glaces; Dofus Pourpre; Dofus Ocre; Dofus Turquoise; Dofus Ivoire; Kokulte</t>
        </is>
      </c>
    </row>
    <row r="21654">
      <c r="A21654" t="inlineStr">
        <is>
          <t>Féca M 200</t>
        </is>
      </c>
      <c r="B21654">
        <f>HYPERLINK("https://www.dofusbook.net/fr/equipement/4124336-feca-m-200/objets", "link")</f>
        <v/>
      </c>
      <c r="C21654" t="n">
        <v>9</v>
      </c>
      <c r="D21654" t="inlineStr">
        <is>
          <t>Epée Maudite du Saigneur Guerrier; Amulette du Strigide; Bague Trithon; Anneau Volkorne; Bouclier du Captain Amakna; Ceinture Volkorne; Masque Trithon; Cape des Justiciers; Bottes du Strigide; Dofus Turquoise; Dofus des Glaces; Dofus Pourpre; Dofus Ivoire; Dofus Vulbis; Dofus Ocre; Kokulte</t>
        </is>
      </c>
    </row>
    <row r="21655">
      <c r="A21655" t="inlineStr">
        <is>
          <t>Féca M 200</t>
        </is>
      </c>
      <c r="B21655">
        <f>HYPERLINK("https://www.dofusbook.net/fr/equipement/4122443-feca-m-200/objets", "link")</f>
        <v/>
      </c>
      <c r="C21655" t="n">
        <v>5</v>
      </c>
      <c r="D21655" t="inlineStr">
        <is>
          <t>Arc Nécrotique; Amulette Volkorne; Anneau Volkorne; Bague Trithon; Quatre-feuilles; Ceintacé; Masque Trithon; Cape de la Dame du Hasard; Bottes de la Dame du Hasard; Dofus Vulbis; Dofus des Glaces; Dofus Turquoise; Dofus Ocre; Dofus Pourpre; Dofus Ivoire; Kokulte</t>
        </is>
      </c>
    </row>
    <row r="21656">
      <c r="A21656" t="inlineStr">
        <is>
          <t>Féca M 200</t>
        </is>
      </c>
      <c r="B21656">
        <f>HYPERLINK("https://www.dofusbook.net/fr/equipement/4122410-feca-m-200/objets", "link")</f>
        <v/>
      </c>
      <c r="C21656" t="n">
        <v>0</v>
      </c>
      <c r="D21656" t="inlineStr">
        <is>
          <t>Arc Nécrotique; Amulette Volkorne; Anneau Tique; Anneau Volkorne; Quatre-feuilles; Ceinture de l'Esprit Malsain; Heaume Oplate; Cape de la Dame du Hasard; Bottes de la Dame du Hasard; Dofus Pourpre; Dofus des Glaces; Dofus Turquoise; Dofus Ivoire; Dofus Vulbis; Dofus Ocre; Kokulte</t>
        </is>
      </c>
    </row>
    <row r="21657">
      <c r="A21657" t="inlineStr">
        <is>
          <t>Ecaflip M 200</t>
        </is>
      </c>
      <c r="B21657">
        <f>HYPERLINK("https://www.dofusbook.net/fr/equipement/4115357-ecaflip-m-200/objets", "link")</f>
        <v/>
      </c>
      <c r="C21657" t="n">
        <v>4</v>
      </c>
      <c r="D21657" t="inlineStr">
        <is>
          <t>Lav'Hache; Amulette du Strigide; Bague Gloursonne; Anneau Chevelu; Bouclier du Stalak; Ceinture Volkorne; Masque de Koutoulou; Cape au Logis; Bottes du Strigide; Dofus Turquoise; Dofus Abyssal; Dofus Ivoire; Dofus Ocre; Évasif majeur; Enragé majeur; Rauleur</t>
        </is>
      </c>
    </row>
    <row r="21658">
      <c r="A21658" t="inlineStr">
        <is>
          <t>Eliotrope M 200</t>
        </is>
      </c>
      <c r="B21658">
        <f>HYPERLINK("https://www.dofusbook.net/fr/equipement/4115341-eliotrope-m-200/objets", "link")</f>
        <v/>
      </c>
      <c r="C21658" t="n">
        <v>1</v>
      </c>
      <c r="D21658" t="inlineStr">
        <is>
          <t>Amulette du Strigide; Coiffe de la Reine des Voleurs; Cape au Logis</t>
        </is>
      </c>
    </row>
    <row r="21659">
      <c r="A21659" t="inlineStr">
        <is>
          <t>Eniripsa M 200</t>
        </is>
      </c>
      <c r="B21659">
        <f>HYPERLINK("https://www.dofusbook.net/fr/equipement/4115327-eniripsa-m-200/objets", "link")</f>
        <v/>
      </c>
      <c r="C21659" t="n">
        <v>1</v>
      </c>
      <c r="D21659" t="inlineStr">
        <is>
          <t>Arc corrompu; Amulette Volkorne; Bague Gloursonne; Anneauræus; Bouclier du Stalak; Ceinture Volkorne; Heaume Oplate; Voile d'encre; Chaussures Ardentes; Dofus Abyssal; Dofus Ivoire; Dofus Pourpre; Nomade; Remueur; Érudit majeur; Bisouglours</t>
        </is>
      </c>
    </row>
    <row r="21660">
      <c r="A21660" t="inlineStr">
        <is>
          <t>Ecaflip M 200</t>
        </is>
      </c>
      <c r="B21660">
        <f>HYPERLINK("https://www.dofusbook.net/fr/equipement/4115319-ecaflip-m-200/objets", "link")</f>
        <v/>
      </c>
      <c r="C21660" t="n">
        <v>0</v>
      </c>
      <c r="D21660" t="inlineStr">
        <is>
          <t>Dagoulinantes; Amulette du Strigide; Alliance Gloursonne; Anneau Volkorne; Bouclier du Stalak; Sangle Ouare; Némès de Tal Kasha; Chevelure de Tal Kasha; Pataugastrique; Dofus Turquoise; Dofus Pourpre; Dofus Abyssal; Dofus Ivoire; Chanceux majeur; Remueur; Pioute bleu</t>
        </is>
      </c>
    </row>
    <row r="21661">
      <c r="A21661" t="inlineStr">
        <is>
          <t>Eliotrope M 200</t>
        </is>
      </c>
      <c r="B21661">
        <f>HYPERLINK("https://www.dofusbook.net/fr/equipement/4115295-eliotrope-m-200/objets", "link")</f>
        <v/>
      </c>
      <c r="C21661" t="n">
        <v>6</v>
      </c>
      <c r="D21661" t="inlineStr">
        <is>
          <t>Manthache; Collier du Valet Veinard; Alliance Gloursonne; Gant du Valet Veinard; Bouclier du Stalak; Menoture; Casque Volkorne; Cape du Kamasterisk; Palmes Trithons; Dofus Ivoire; Dofus Abyssal; Dofus Pourpre; Remueur; Nomade; Cascadeur majeur; Blérodoudou</t>
        </is>
      </c>
    </row>
    <row r="21662">
      <c r="A21662" t="inlineStr">
        <is>
          <t>Enutrof M 200</t>
        </is>
      </c>
      <c r="B21662">
        <f>HYPERLINK("https://www.dofusbook.net/fr/equipement/4115284-enutrof-m-200/objets", "link")</f>
        <v/>
      </c>
      <c r="C21662" t="n">
        <v>4</v>
      </c>
      <c r="D21662" t="inlineStr">
        <is>
          <t>Sceptre du Roi Joueur; Amulette de Shokkoth; Pikano; Alliance Gloursonne; Bouclier cubiste; Sangle Ouare; Casquipik; Cape Solution; Pantoufles du Piloztère; Dofus Ivoire; Dofus Abyssal; Chanceux majeur; Temporiseur majeur; Remueur; Carapace Eau majeur; Léopardo</t>
        </is>
      </c>
    </row>
    <row r="21663">
      <c r="A21663" t="inlineStr">
        <is>
          <t>Pandawa M 200</t>
        </is>
      </c>
      <c r="B21663">
        <f>HYPERLINK("https://www.dofusbook.net/fr/equipement/4115267-pandawa-m-200/objets", "link")</f>
        <v/>
      </c>
      <c r="C21663" t="n">
        <v>0</v>
      </c>
      <c r="D21663" t="inlineStr">
        <is>
          <t>Rapière aux Glyphes; Amulette de Shokkoth; Bracelet des Fonds marins; Alliance Gloursonne; Bouclier du Stalak; Poulpagne; Capuche de l'Œil Attentif; Cape du Sinistrofu; Bottes du Sinistrofu; Dofus Ivoire; Dofus Abyssal; Dofus Pourpre; Nomade; Chanceux majeur; Remueur; Bwak d'Eau</t>
        </is>
      </c>
    </row>
    <row r="21664">
      <c r="A21664" t="inlineStr">
        <is>
          <t>Féca M 200</t>
        </is>
      </c>
      <c r="B21664">
        <f>HYPERLINK("https://www.dofusbook.net/fr/equipement/4101189-feca-m-200/objets", "link")</f>
        <v/>
      </c>
      <c r="C21664" t="n">
        <v>5</v>
      </c>
      <c r="D21664" t="inlineStr">
        <is>
          <t>Lav'Hache; Amulette de Pol Ouatnos; Anneau Crustique; Anneau Chevelu; Bouclier d'Ilyzaelle; Ceintouse; Masque de Koutoulou; Cape du Kamasterisk; Tentassons; Dofus Abyssal; Dofus Émeraude; Dofus Ivoire; Dofus Ocre; Étourdisseur majeur; Paralyseur majeur; Drakopin</t>
        </is>
      </c>
    </row>
    <row r="21665">
      <c r="A21665" t="inlineStr">
        <is>
          <t>Sadida M 200</t>
        </is>
      </c>
      <c r="B21665">
        <f>HYPERLINK("https://www.dofusbook.net/fr/equipement/4101247-sadida-m-200/objets", "link")</f>
        <v/>
      </c>
      <c r="C21665" t="n">
        <v>0</v>
      </c>
      <c r="D21665" t="inlineStr"/>
    </row>
    <row r="21666">
      <c r="A21666" t="inlineStr">
        <is>
          <t>Steamer M 200</t>
        </is>
      </c>
      <c r="B21666">
        <f>HYPERLINK("https://www.dofusbook.net/fr/equipement/4100890-steamer-m-200/objets", "link")</f>
        <v/>
      </c>
      <c r="C21666" t="n">
        <v>1</v>
      </c>
      <c r="D21666" t="inlineStr">
        <is>
          <t>Arc Nécrotique; Amulette du Strigide; Bague Gloursonne; Alliance Gloursonne; Quatre-feuilles; Sangle Ouare; Masque Trithon; Cape de la Dame du Hasard; Pataugastrique</t>
        </is>
      </c>
    </row>
    <row r="21667">
      <c r="A21667" t="inlineStr">
        <is>
          <t>Ecaflip M 200</t>
        </is>
      </c>
      <c r="B21667">
        <f>HYPERLINK("https://www.dofusbook.net/fr/equipement/3997706-ecaflip-m-200/objets", "link")</f>
        <v/>
      </c>
      <c r="C21667" t="n">
        <v>50</v>
      </c>
      <c r="D21667" t="inlineStr">
        <is>
          <t>Az'tech; Amulette du Strigide; Anneau Volkorne; Alliance Gloursonne; Bouclier du Stalak; Ceinture Volkorne; Casque Volkorne; Dofusteuse; Bottes du Strigide; Dofus Turquoise; Dofus Ivoire; Dofus Pourpre; Dofus des Glaces; Dofus Abyssal; Dofus Ocre; Fëanor</t>
        </is>
      </c>
    </row>
    <row r="21668">
      <c r="A21668" t="inlineStr">
        <is>
          <t>Ouginak M 200</t>
        </is>
      </c>
      <c r="B21668">
        <f>HYPERLINK("https://www.dofusbook.net/fr/equipement/4068653-ouginak-m-200/objets", "link")</f>
        <v/>
      </c>
      <c r="C21668" t="n">
        <v>12</v>
      </c>
      <c r="D21668" t="inlineStr">
        <is>
          <t>Baguette Héroclite; Amulette de Shokkoth; Alliance Gloursonne; Anneau Volkorne; Bouclier du Stalak; Poulpagne; Masque des Fonds marins; Cape Solution; Sandales des Fonds marins; Dofus Vulbis; Dofus Ivoire; Dofus Pourpre; Dofus Forgelave; Dofus Abyssal; Solide majeur; Dragodinde Indigo et Ivoire</t>
        </is>
      </c>
    </row>
    <row r="21669">
      <c r="A21669" t="inlineStr">
        <is>
          <t>Zobal F 200</t>
        </is>
      </c>
      <c r="B21669">
        <f>HYPERLINK("https://www.dofusbook.net/fr/equipement/4069767-zobal-f-200/objets", "link")</f>
        <v/>
      </c>
      <c r="C21669" t="n">
        <v>0</v>
      </c>
      <c r="D21669" t="inlineStr">
        <is>
          <t>Bague Instable</t>
        </is>
      </c>
    </row>
    <row r="21670">
      <c r="A21670" t="inlineStr">
        <is>
          <t>Eniripsa F 200</t>
        </is>
      </c>
      <c r="B21670">
        <f>HYPERLINK("https://www.dofusbook.net/fr/equipement/4062664-eniripsa-f-200/objets", "link")</f>
        <v/>
      </c>
      <c r="C21670" t="n">
        <v>6</v>
      </c>
      <c r="D21670" t="inlineStr">
        <is>
          <t>Arc corrompu; Amulette Séculaire; Anneauræus; Anneauræus; Cadran de Terre; Ceinture Séculaire; Heaume Oplate; Voile d'encre; Chaussures Ardentes; Dofus Abyssal; Dofus Ocre; Dofus Ivoire; Dofus Vulbis; Étourdisseur majeur; Érudit majeur; Ross</t>
        </is>
      </c>
    </row>
    <row r="21671">
      <c r="A21671" t="inlineStr">
        <is>
          <t>Féca M 200</t>
        </is>
      </c>
      <c r="B21671">
        <f>HYPERLINK("https://www.dofusbook.net/fr/equipement/4057426-feca-m-200/objets", "link")</f>
        <v/>
      </c>
      <c r="C21671" t="n">
        <v>2</v>
      </c>
      <c r="D21671" t="inlineStr">
        <is>
          <t>Le Thanos; Amulette de Nileza; Bague Gloursonne; Anneauræus; Bouclier du Stalak; Ceinture de Vortex; Heaume Oplate; Cape de Nileza; Chaussures Ardentes; Dofus Abyssal; Dofus Ocre; Dofus Ivoire; Dofus Vulbis; Érudit majeur; Guérisseur majeur; Dragodinde Ivoire et Orchidée</t>
        </is>
      </c>
    </row>
    <row r="21672">
      <c r="A21672" t="inlineStr">
        <is>
          <t>Sacrieur M 200</t>
        </is>
      </c>
      <c r="B21672">
        <f>HYPERLINK("https://www.dofusbook.net/fr/equipement/4052795-sacrieur-m-200/objets", "link")</f>
        <v/>
      </c>
      <c r="C21672" t="n">
        <v>5</v>
      </c>
      <c r="D21672" t="inlineStr">
        <is>
          <t>Manthache; Collier du Valet Veinard; Alliance Gloursonne; Gant du Valet Veinard; Bouclier d'Ilyzaelle; Menoture; Casque Volkorne; Cape de Crânonier; Palmes Trithons; Dofus Vulbis; Dofus Ivoire; Dofus Ocre; Dofus Abyssal; Cascadeur majeur; Solide majeur; Dragodinde Ebène et Ivoire</t>
        </is>
      </c>
    </row>
    <row r="21673">
      <c r="A21673" t="inlineStr">
        <is>
          <t>Iop M 200</t>
        </is>
      </c>
      <c r="B21673">
        <f>HYPERLINK("https://www.dofusbook.net/fr/equipement/4056263-iop-m-200/objets", "link")</f>
        <v/>
      </c>
      <c r="C21673" t="n">
        <v>4</v>
      </c>
      <c r="D21673" t="inlineStr">
        <is>
          <t>Sabres d'Atcham; Amulette Volkorne; Anneau Volkorne; Bague Trithon; Cadran d'Eau; Ceintacé; Casque Volkorne; Cape d'Atcham; Bottes Trithon; Dofus Pourpre; Dofus des Glaces; Dofus Turquoise; Dofus Forgelave; Dofus Ocre; Dofus Ivoire; Kokulte</t>
        </is>
      </c>
    </row>
    <row r="21674">
      <c r="A21674" t="inlineStr">
        <is>
          <t>Iop F 200</t>
        </is>
      </c>
      <c r="B21674">
        <f>HYPERLINK("https://www.dofusbook.net/fr/equipement/4053281-iop-f-200/objets", "link")</f>
        <v/>
      </c>
      <c r="C21674" t="n">
        <v>0</v>
      </c>
      <c r="D21674" t="inlineStr">
        <is>
          <t>Hache du Chalœil; Amulette du Strigide; Bracelet du Piloztère; Anneau Volkorne; Bouclier du Captain Amakna; Ceinture Volkorne; Le Dorado; Dofusteuse; Bottes du Strigide; Dofus Turquoise; Dofus Ocre; Dolmanax; Dofus des Glaces; Dofus Pourpre; Dofus Vulbis; Kokulte</t>
        </is>
      </c>
    </row>
    <row r="21675">
      <c r="A21675" t="inlineStr">
        <is>
          <t>Xélor F 200</t>
        </is>
      </c>
      <c r="B21675">
        <f>HYPERLINK("https://www.dofusbook.net/fr/equipement/4051639-xelor-f-200/objets", "link")</f>
        <v/>
      </c>
      <c r="C21675" t="n">
        <v>4</v>
      </c>
      <c r="D21675" t="inlineStr">
        <is>
          <t>Manthache; Collier du Valet Veinard; Alliance Gloursonne; Gant du Valet Veinard; Bouclier du Stalak; Menoture; Chapeau de Tournoyé; Cape du Kamasterisk; Palmes Trithons; Dofus Abyssal; Dofus Vulbis; Dofus Ivoire; Dofus Ocre; Cascadeur majeur; Évasif majeur; Blérodoudou</t>
        </is>
      </c>
    </row>
    <row r="21676">
      <c r="A21676" t="inlineStr">
        <is>
          <t>Féca M 200</t>
        </is>
      </c>
      <c r="B21676">
        <f>HYPERLINK("https://www.dofusbook.net/fr/equipement/4051344-feca-m-200/objets", "link")</f>
        <v/>
      </c>
      <c r="C21676" t="n">
        <v>1</v>
      </c>
      <c r="D21676" t="inlineStr">
        <is>
          <t>Dagoulinantes; Amulette de Shokkoth; Anneau Volkorne; Alliance Gloursonne; Bouclier du Stalak; Sangle Ouare; Capuche de l'Œil Attentif; Cape de l'Œil Attentif; Pataugastrique; Dofus Ocre; Dofus Abyssal; Dofus Pourpre; Dofus Ivoire; Évasif majeur; Chanceux majeur; Kanigloups</t>
        </is>
      </c>
    </row>
    <row r="21677">
      <c r="A21677" t="inlineStr">
        <is>
          <t>Enutrof F 200</t>
        </is>
      </c>
      <c r="B21677">
        <f>HYPERLINK("https://www.dofusbook.net/fr/equipement/4046350-enutrof-f-200/objets", "link")</f>
        <v/>
      </c>
      <c r="C21677" t="n">
        <v>10</v>
      </c>
      <c r="D21677" t="inlineStr">
        <is>
          <t>Arc Nécrotique; Amulette Volkorne; Bague Trithon; Anneau Volkorne; Quatre-feuilles; Sangle Ouare; Masque Trithon; Cape de la Dame du Hasard; Pataugastrique; Dofus Ocre; Dofus des Glaces; Dofus Ivoire; Dofus Ivoire; Dofus Turquoise; Dofus Ocre; Kokulte</t>
        </is>
      </c>
    </row>
    <row r="21678">
      <c r="A21678" t="inlineStr">
        <is>
          <t>Féca M 200</t>
        </is>
      </c>
      <c r="B21678">
        <f>HYPERLINK("https://www.dofusbook.net/fr/equipement/4035318-feca-m-200/objets", "link")</f>
        <v/>
      </c>
      <c r="C21678" t="n">
        <v>3</v>
      </c>
      <c r="D21678" t="inlineStr">
        <is>
          <t>Pelle de la Cour Sombre; Collier du Valet Veinard; Alliance Gloursonne; Gant du Valet Veinard; Cadran d'Eau; Menoture; Casque Volkorne; Cape de Crânonier; Pantoufles Émar; Dofus Forgelave; Dofus Abyssal; Dofus Ivoire; Dofus Émeraude; Dofus Vulbis; Cascadeur majeur; Dragodinde Ebène</t>
        </is>
      </c>
    </row>
    <row r="21679">
      <c r="A21679" t="inlineStr">
        <is>
          <t>Xélor F 200</t>
        </is>
      </c>
      <c r="B21679">
        <f>HYPERLINK("https://www.dofusbook.net/fr/equipement/4035471-xelor-f-200/objets", "link")</f>
        <v/>
      </c>
      <c r="C21679" t="n">
        <v>6</v>
      </c>
      <c r="D21679" t="inlineStr">
        <is>
          <t>Arc du Chalœil; Amulette du Strigide; Bague Gloursonne; Anneau Crustique; Quatre-feuilles; Ceinture Volkorne; Masque de Koutoulou; Dofusteuse; Bottes du Strigide; Dofus Pourpre; Dofus Vulbis; Dofus Ivoire; Dofus Turquoise; Dofus Ocre; Enragé majeur; Dragodinde Ivoire et Pourpre</t>
        </is>
      </c>
    </row>
    <row r="21680">
      <c r="A21680" t="inlineStr">
        <is>
          <t>Xélor M 200</t>
        </is>
      </c>
      <c r="B21680">
        <f>HYPERLINK("https://www.dofusbook.net/fr/equipement/4029807-xelor-m-200/objets", "link")</f>
        <v/>
      </c>
      <c r="C21680" t="n">
        <v>1</v>
      </c>
      <c r="D21680" t="inlineStr">
        <is>
          <t>Arc Volkorne; Amulette Volkorne; Anneau Volkorne; Bracelet du Piloztère; Bouclier du Stalak; Ceinture de l'Esprit Salvateur; Masque de l'Esprit Salvateur; Dofusteuse; Bottes de l'Esprit Salvateur; Dofus Vulbis; Dofus Ocre; Dofus Pourpre; Dofus Abyssal; Dofus des Glaces; Dolmanax; Fëanor</t>
        </is>
      </c>
    </row>
    <row r="21681">
      <c r="A21681" t="inlineStr">
        <is>
          <t>Enutrof F 200</t>
        </is>
      </c>
      <c r="B21681">
        <f>HYPERLINK("https://www.dofusbook.net/fr/equipement/4029794-enutrof-f-200/objets", "link")</f>
        <v/>
      </c>
      <c r="C21681" t="n">
        <v>1</v>
      </c>
      <c r="D21681" t="inlineStr">
        <is>
          <t>Arc du Chalœil; Amulette du Strigide; Anneau Chevelu; Bague Gloursonne; Quatre-feuilles; Ceinture Volkorne; Masque de Koutoulou; Cape au Logis; Bottes du Strigide; Dofus Turquoise; Dofus Ivoire; Dofus Ocre; Dofus Abyssal; Dofus Pourpre; Enragé majeur; Bulbisou</t>
        </is>
      </c>
    </row>
    <row r="21682">
      <c r="A21682" t="inlineStr">
        <is>
          <t>Zobal F 200</t>
        </is>
      </c>
      <c r="B21682">
        <f>HYPERLINK("https://www.dofusbook.net/fr/equipement/4029785-zobal-f-200/objets", "link")</f>
        <v/>
      </c>
      <c r="C21682" t="n">
        <v>6</v>
      </c>
      <c r="D21682" t="inlineStr">
        <is>
          <t>Arc Nécrotique; Amulette Volkorne; Bague Trithon; Anneau Volkorne; Quatre-feuilles; Sangle Ouare; Masque Trithon; Cape de la Dame du Hasard; Pataugastrique; Dofus Pourpre; Dofus des Glaces; Dofus Turquoise; Dofus Ivoire; Dofus Abyssal; Dofus Ocre; Kokulte</t>
        </is>
      </c>
    </row>
    <row r="21683">
      <c r="A21683" t="inlineStr">
        <is>
          <t>Huppermage F 200</t>
        </is>
      </c>
      <c r="B21683">
        <f>HYPERLINK("https://www.dofusbook.net/fr/equipement/4029345-huppermage-f-200/objets", "link")</f>
        <v/>
      </c>
      <c r="C21683" t="n">
        <v>0</v>
      </c>
      <c r="D21683" t="inlineStr">
        <is>
          <t>Hache Ériphe; Amulette du Strigide; Bague Trithon; Bracelet du Piloztère; Quatre-feuilles; Ceinture Volkorne; Casque Volkorne; Cape au Logis; Baleinabottes; Dofus des Glaces; Dofus Ocre; Dofus Pourpre; Dofus Abyssal; Dofus Turquoise; Dofus Ivoire; Mékrabe</t>
        </is>
      </c>
    </row>
    <row r="21684">
      <c r="A21684" t="inlineStr">
        <is>
          <t>Eliotrope M 200</t>
        </is>
      </c>
      <c r="B21684">
        <f>HYPERLINK("https://www.dofusbook.net/fr/equipement/4029335-eliotrope-m-200/objets", "link")</f>
        <v/>
      </c>
      <c r="C21684" t="n">
        <v>0</v>
      </c>
      <c r="D21684" t="inlineStr">
        <is>
          <t>Hache Ériphe; Amulette du Strigide; Anneau des égarés; Bague Trithon; Quatre-feuilles; Ceinture Volkorne; Casque Volkorne; Cape au Logis; Baleinabottes; Dofus Ocre; Dofus Pourpre; Dofus Abyssal; Dofus Turquoise; Dofus Ivoire</t>
        </is>
      </c>
    </row>
    <row r="21685">
      <c r="A21685" t="inlineStr">
        <is>
          <t>Xélor M 200</t>
        </is>
      </c>
      <c r="B21685">
        <f>HYPERLINK("https://www.dofusbook.net/fr/equipement/4025399-xelor-m-200/objets", "link")</f>
        <v/>
      </c>
      <c r="C21685" t="n">
        <v>1</v>
      </c>
      <c r="D21685" t="inlineStr">
        <is>
          <t>Arc Volkorne; Amulette Ementaire Deluxe; Anneau Volkorne; Alliance Gloursonne; Bouclier du Stalak; Ceinture Volkorne; Casque Volkorne; Dofusteuse; Bottes de l'Esprit Salvateur; Dolmanax; Dofus Ivoire; Dofus Abyssal; Dofus Pourpre; Dofus Ocre; Dofus des Glaces; Fëanor</t>
        </is>
      </c>
    </row>
    <row r="21686">
      <c r="A21686" t="inlineStr">
        <is>
          <t>Xélor M 200</t>
        </is>
      </c>
      <c r="B21686">
        <f>HYPERLINK("https://www.dofusbook.net/fr/equipement/4023709-xelor-m-200/objets", "link")</f>
        <v/>
      </c>
      <c r="C21686" t="n">
        <v>1</v>
      </c>
      <c r="D21686" t="inlineStr">
        <is>
          <t>Manthache; Amulette du Strigide; Alliance Gloursonne; Anneau de Padgref; Quatre-feuilles; Menoture; Coiffe de Padgref; Chevelure de Tal Kasha; Sandales de Tal Kasha; Dofus Vulbis; Dofus Turquoise; Dofus Ocre; Dofus Abyssal; Dofus Pourpre; Dofus Ivoire; Blérodoudou</t>
        </is>
      </c>
    </row>
    <row r="21687">
      <c r="A21687" t="inlineStr">
        <is>
          <t>Ecaflip F 200</t>
        </is>
      </c>
      <c r="B21687">
        <f>HYPERLINK("https://www.dofusbook.net/fr/equipement/4023702-ecaflip-f-200/objets", "link")</f>
        <v/>
      </c>
      <c r="C21687" t="n">
        <v>1</v>
      </c>
      <c r="D21687" t="inlineStr">
        <is>
          <t>Baguette Range; Amulette Volkorne; Anneau de Padgref; Alliance Gloursonne; Bouclier du Stalak; Ceintacé; Casque Volkorne; Cape Martegel; Getas de Padgref; Dofus Pourpre; Dofus Ivoire; Dofus Vulbis; Dofus Turquoise; Dofus Ocre; Dofus des Glaces; Willy le Relou</t>
        </is>
      </c>
    </row>
    <row r="21688">
      <c r="A21688" t="inlineStr">
        <is>
          <t>Xélor M 200</t>
        </is>
      </c>
      <c r="B21688">
        <f>HYPERLINK("https://www.dofusbook.net/fr/equipement/4017563-xelor-m-200/objets", "link")</f>
        <v/>
      </c>
      <c r="C21688" t="n">
        <v>7</v>
      </c>
      <c r="D21688" t="inlineStr">
        <is>
          <t>Le Thanos; Collier Rophante; Anneau Crustique; Anneau Crustique; Bouclier du Mont Kipou; Menoture; Masque Ardent; Cape Ardente; Pataugastrique; Dofus Abyssal; Dofus Ivoire; Carapace Eau majeur; Guérisseur majeur; Paralyseur majeur; Étourdisseur majeur; Ross</t>
        </is>
      </c>
    </row>
    <row r="21689">
      <c r="A21689" t="inlineStr">
        <is>
          <t>Steamer M 200</t>
        </is>
      </c>
      <c r="B21689">
        <f>HYPERLINK("https://www.dofusbook.net/fr/equipement/4015625-steamer-m-200/objets", "link")</f>
        <v/>
      </c>
      <c r="C21689" t="n">
        <v>5</v>
      </c>
      <c r="D21689" t="inlineStr">
        <is>
          <t>Arc corrompu; Amulette Volkorne; Anneauræus; Anneauræus; Bouclier du Stalak; Ceinture Volkorne; Heaume Oplate; Voile d'encre; Pataugastrique; Dofus Vulbis; Dolmanax; Dofus Abyssal; Dofus Ivoire; Évasif majeur; Érudit majeur; Rauleur</t>
        </is>
      </c>
    </row>
    <row r="21690">
      <c r="A21690" t="inlineStr">
        <is>
          <t>Ecaflip M 200</t>
        </is>
      </c>
      <c r="B21690">
        <f>HYPERLINK("https://www.dofusbook.net/fr/equipement/4015598-ecaflip-m-200/objets", "link")</f>
        <v/>
      </c>
      <c r="C21690" t="n">
        <v>5</v>
      </c>
      <c r="D21690" t="inlineStr">
        <is>
          <t>Arc de Koutoulou; Amulette du Strigide; Alliance Gloursonne; Anneau Volkorne; Bouclier du Stalak; Sangle Ouare; Casque Volkorne; Chevelure de Tal Kasha; Bottes du Strigide; Dofus Ocre; Dofus Turquoise; Dofus Abyssal; Dofus Pourpre; Dofus Ivoire; Imprenable majeur; Chienchien Tigré</t>
        </is>
      </c>
    </row>
    <row r="21691">
      <c r="A21691" t="inlineStr">
        <is>
          <t>Ecaflip M 200</t>
        </is>
      </c>
      <c r="B21691">
        <f>HYPERLINK("https://www.dofusbook.net/fr/equipement/4012918-ecaflip-m-200/objets", "link")</f>
        <v/>
      </c>
      <c r="C21691" t="n">
        <v>0</v>
      </c>
      <c r="D21691" t="inlineStr">
        <is>
          <t>Marteau des égarés; Amulette de l'Œil Putride; Alliance Gloursonne; Bague Gloursonne; Bouclier du Stalak; Ceinture de l'Esprit Salvateur; Masque de l'Esprit Salvateur; Cape de l'Œil Putride; Bottes de l'Esprit Salvateur; Dofus Ocre; Dofus Ivoire; Dolmanax; Dofus des Glaces; Dofus Turquoise; Dofus Abyssal; Chacha Angora</t>
        </is>
      </c>
    </row>
    <row r="21692">
      <c r="A21692" t="inlineStr">
        <is>
          <t>Zobal M 200</t>
        </is>
      </c>
      <c r="B21692">
        <f>HYPERLINK("https://www.dofusbook.net/fr/equipement/4009009-zobal-m-200/objets", "link")</f>
        <v/>
      </c>
      <c r="C21692" t="n">
        <v>4</v>
      </c>
      <c r="D21692" t="inlineStr">
        <is>
          <t>Hache Téroïde; Amulette du Strigide; Bague Gloursonne; Bague Trithon; Bouclier du Captain Amakna; Ceinture du Strigide; Masque Trithon; Cape au Logis; Bottes du Strigide; Dofus Abyssal; Dofus Turquoise; Dofus Pourpre; Dofus des Glaces; Dofus Ocre; Dofus Ivoire; Kokulte</t>
        </is>
      </c>
    </row>
    <row r="21693">
      <c r="A21693" t="inlineStr">
        <is>
          <t>Zobal F 200</t>
        </is>
      </c>
      <c r="B21693">
        <f>HYPERLINK("https://www.dofusbook.net/fr/equipement/4008781-zobal-f-200/objets", "link")</f>
        <v/>
      </c>
      <c r="C21693" t="n">
        <v>4</v>
      </c>
      <c r="D21693" t="inlineStr">
        <is>
          <t>Hachoirs de Viandargh; Amulette du Strigide; Alliance Gloursonne; Anneau Volkorne; Cadran d'Eau; Menoture; Casque Volkorne; Cape de Crânonier; Palmes Trithons; Dofus Turquoise; Dofus Ivoire; Dofus Vulbis; Dofus Ocre; Cascadeur majeur; Solide majeur; Kokulte</t>
        </is>
      </c>
    </row>
    <row r="21694">
      <c r="A21694" t="inlineStr">
        <is>
          <t>Zobal F 200</t>
        </is>
      </c>
      <c r="B21694">
        <f>HYPERLINK("https://www.dofusbook.net/fr/equipement/4008728-zobal-f-200/objets", "link")</f>
        <v/>
      </c>
      <c r="C21694" t="n">
        <v>1</v>
      </c>
      <c r="D21694" t="inlineStr">
        <is>
          <t>Lav'Hache; Torquistik; Bague Instable; Bague Trithon; Bouclier précieux; Sangle Ouare; Casque Dragoeuf; Cape Solution; Bottistik; Dofus Ivoire; Dofus Abyssal; Dofus Ocre; Solide majeur; Tatouf</t>
        </is>
      </c>
    </row>
    <row r="21695">
      <c r="A21695" t="inlineStr">
        <is>
          <t>Iop M 200</t>
        </is>
      </c>
      <c r="B21695">
        <f>HYPERLINK("https://www.dofusbook.net/fr/equipement/4001931-iop-m-200/objets", "link")</f>
        <v/>
      </c>
      <c r="C21695" t="n">
        <v>1</v>
      </c>
      <c r="D21695" t="inlineStr">
        <is>
          <t>Marteau R'ture; Amulette du Strigide; Anneau Chevelu; Bague Gloursonne; Cadran d'Eau; Ceinture du Strigide; Masque de Koutoulou; Cape au Logis; Bottes du Cœur Saignant; Dofus Ocre; Dofus Turquoise; Dofus Ivoire; Dofus Pourpre; Enragé majeur; Solide majeur; Chacha Tigré</t>
        </is>
      </c>
    </row>
    <row r="21696">
      <c r="A21696" t="inlineStr">
        <is>
          <t>Iop M 200</t>
        </is>
      </c>
      <c r="B21696">
        <f>HYPERLINK("https://www.dofusbook.net/fr/equipement/4008631-iop-m-200/objets", "link")</f>
        <v/>
      </c>
      <c r="C21696" t="n">
        <v>13</v>
      </c>
      <c r="D21696" t="inlineStr">
        <is>
          <t>Arc corrompu; Amulette de Nileza; Anneauræus; Anneauræus; Bouclier du Stalak; Ceinture Séculaire; Heaume Oplate; Cape de Nileza; Bottes du Strigide; Dofus Ivoire; Dofus Vulbis; Dofus Ocre; Dolmanax; Évasif majeur; Érudit majeur; Rauleur</t>
        </is>
      </c>
    </row>
    <row r="21697">
      <c r="A21697" t="inlineStr">
        <is>
          <t>Osamodas M 200</t>
        </is>
      </c>
      <c r="B21697">
        <f>HYPERLINK("https://www.dofusbook.net/fr/equipement/4008581-osamodas-m-200/objets", "link")</f>
        <v/>
      </c>
      <c r="C21697" t="n">
        <v>7</v>
      </c>
      <c r="D21697" t="inlineStr">
        <is>
          <t>Manthache; Collier du Valet Veinard; Gant du Valet Veinard; Alliance Gloursonne; Bouclier du Stalak; Menoture; Chapeau de Tournoyé; Cape du Kamasterisk; Palmes Trithons; Dofus Vulbis; Dofus Nébuleux; Dofus Ocre; Dofus Ivoire; Évasif majeur; Cascadeur majeur; Rauleur</t>
        </is>
      </c>
    </row>
    <row r="21698">
      <c r="A21698" t="inlineStr">
        <is>
          <t>Roublard F 200</t>
        </is>
      </c>
      <c r="B21698">
        <f>HYPERLINK("https://www.dofusbook.net/fr/equipement/4005734-roublard-f-200/objets", "link")</f>
        <v/>
      </c>
      <c r="C21698" t="n">
        <v>2</v>
      </c>
      <c r="D21698" t="inlineStr">
        <is>
          <t>Manthache; Collier du Valet Veinard; Alliance Gloursonne; Gant du Valet Veinard; Bouclier du Stalak; Menoture; Casque Volkorne; Cape de Crânonier; Palmes Trithons; Dofus Vulbis; Dofus Abyssal; Dofus Ocre; Dofus Ivoire; Dofus des Glaces; Solide majeur; La Chose</t>
        </is>
      </c>
    </row>
    <row r="21699">
      <c r="A21699" t="inlineStr">
        <is>
          <t>Roublard F 200</t>
        </is>
      </c>
      <c r="B21699">
        <f>HYPERLINK("https://www.dofusbook.net/fr/equipement/4005683-roublard-f-200/objets", "link")</f>
        <v/>
      </c>
      <c r="C21699" t="n">
        <v>2</v>
      </c>
      <c r="D21699" t="inlineStr">
        <is>
          <t>Baguette Héroclite; Amulette de Shokkoth; Anneau Volkorne; Alliance Gloursonne; Cadran de Terre; Ceinture de l'Esprit Salvateur; Casque Volkorne; Cape d'Hel Munster; Bottes Honyme; Dofus Ocre; Dofus Ivoire; Dofus des Glaces; Dofus Vulbis; Dofus Abyssal; Chanceux majeur; Chacha Tigré</t>
        </is>
      </c>
    </row>
    <row r="21700">
      <c r="A21700" t="inlineStr">
        <is>
          <t>Ecaflip M 200</t>
        </is>
      </c>
      <c r="B21700">
        <f>HYPERLINK("https://www.dofusbook.net/fr/equipement/3997231-ecaflip-m-200/objets", "link")</f>
        <v/>
      </c>
      <c r="C21700" t="n">
        <v>5</v>
      </c>
      <c r="D21700" t="inlineStr">
        <is>
          <t>Dagoulinantes; Amulette du Strigide; Alliance Gloursonne; Anneau Volkorne; Bouclier du Stalak; Sangle Ouare; Némès de Tal Kasha; Chevelure de Tal Kasha; Pataugastrique; Dofus Turquoise; Dofus Ivoire; Dofus Abyssal; Dofus Pourpre; Dofus Ocre; Chanceux majeur; Pioute bleu</t>
        </is>
      </c>
    </row>
    <row r="21701">
      <c r="A21701" t="inlineStr">
        <is>
          <t>Zobal F 200</t>
        </is>
      </c>
      <c r="B21701">
        <f>HYPERLINK("https://www.dofusbook.net/fr/equipement/3992914-zobal-f-200/objets", "link")</f>
        <v/>
      </c>
      <c r="C21701" t="n">
        <v>5</v>
      </c>
      <c r="D21701" t="inlineStr">
        <is>
          <t>Marteau des égarés; Amulette Volkorne; Bague Gloursonne; Anneau Volkorne; Bouclier du Captain Amakna; Ceinture Volkorne; Casque du Chalœil; Cape du Chalœil; Bottes du Chalœil; Dofus Pourpre; Dofus des Glaces; Dofus Turquoise; Dofus Ivoire; Dofus Abyssal; Dofus Ocre; Kokulte</t>
        </is>
      </c>
    </row>
    <row r="21702">
      <c r="A21702" t="inlineStr">
        <is>
          <t>Zobal F 200</t>
        </is>
      </c>
      <c r="B21702">
        <f>HYPERLINK("https://www.dofusbook.net/fr/equipement/3992871-zobal-f-200/objets", "link")</f>
        <v/>
      </c>
      <c r="C21702" t="n">
        <v>2</v>
      </c>
      <c r="D21702" t="inlineStr">
        <is>
          <t>Arc Nécrotique; Amulette Volkorne; Anneau Volkorne; Anneau Tique; Quatre-feuilles; Sangle Ouare; Masque Trithon; Cape de la Dame du Hasard; Pataugastrique; Dofus Ocre; Dofus Abyssal; Dofus Turquoise; Dofus Pourpre; Dofus des Glaces; Dofus Ivoire; Kokulte</t>
        </is>
      </c>
    </row>
    <row r="21703">
      <c r="A21703" t="inlineStr">
        <is>
          <t>Steamer F 200</t>
        </is>
      </c>
      <c r="B21703">
        <f>HYPERLINK("https://www.dofusbook.net/fr/equipement/3992798-steamer-f-200/objets", "link")</f>
        <v/>
      </c>
      <c r="C21703" t="n">
        <v>4</v>
      </c>
      <c r="D21703" t="inlineStr">
        <is>
          <t>Arc Nécrotique; Amulette Volkorne; Anneau Volkorne; Alliance Gloursonne; Quatre-feuilles; Sangle Ouare; Casquette de Meno; Cape de la Dame du Hasard; Pataugastrique; Dofus Forgelave; Dofus des Glaces; Dofus Turquoise; Dofus Ivoire; Dofus Abyssal; Dofus Ocre; Kokulte</t>
        </is>
      </c>
    </row>
    <row r="21704">
      <c r="A21704" t="inlineStr">
        <is>
          <t>Eniripsa F 200</t>
        </is>
      </c>
      <c r="B21704">
        <f>HYPERLINK("https://www.dofusbook.net/fr/equipement/3992641-eniripsa-f-200/objets", "link")</f>
        <v/>
      </c>
      <c r="C21704" t="n">
        <v>4</v>
      </c>
      <c r="D21704" t="inlineStr">
        <is>
          <t>Arc corrompu; Amulette Volkorne; Anneauræus; Anneauræus; Bouclier du Mont Kipou; Ceinture de Vortex; Heaume Oplate; Voile d'encre; Chaussures Ardentes; Dofus Ivoire; Dofus Forgelave; Dofus Ocre; Nomade; Étourdisseur majeur; Érudit majeur; Minimino</t>
        </is>
      </c>
    </row>
    <row r="21705">
      <c r="A21705" t="inlineStr">
        <is>
          <t>Iop M 200</t>
        </is>
      </c>
      <c r="B21705">
        <f>HYPERLINK("https://www.dofusbook.net/fr/equipement/3992617-iop-m-200/objets", "link")</f>
        <v/>
      </c>
      <c r="C21705" t="n">
        <v>1</v>
      </c>
      <c r="D21705" t="inlineStr">
        <is>
          <t>Marteau R'ture; Amulette du Strigide; Anneau Chevelu; Alliance Gloursonne; Cadran d'Eau; Ceinture du Strigide; Masque de Koutoulou; Cape au Logis; Bottes du Cœur Saignant; Dofus Turquoise; Dofus Ocre; Dofus Pourpre; Dofus Ivoire; Dofus Forgelave; Enragé majeur; Dragodinde Ivoire et Pourpre</t>
        </is>
      </c>
    </row>
    <row r="21706">
      <c r="A21706" t="inlineStr">
        <is>
          <t>Crâ F 200</t>
        </is>
      </c>
      <c r="B21706">
        <f>HYPERLINK("https://www.dofusbook.net/fr/equipement/3992525-cra-f-200/objets", "link")</f>
        <v/>
      </c>
      <c r="C21706" t="n">
        <v>0</v>
      </c>
      <c r="D21706" t="inlineStr">
        <is>
          <t>Amulette du Strigide; Bague Gloursonne; Anneau de Padgref; Ceinture du Strigide; Cape des Justiciers</t>
        </is>
      </c>
    </row>
    <row r="21707">
      <c r="A21707" t="inlineStr">
        <is>
          <t>Eliotrope F 200</t>
        </is>
      </c>
      <c r="B21707">
        <f>HYPERLINK("https://www.dofusbook.net/fr/equipement/3992083-eliotrope-f-200/objets", "link")</f>
        <v/>
      </c>
      <c r="C21707" t="n">
        <v>2</v>
      </c>
      <c r="D21707" t="inlineStr">
        <is>
          <t>Lav'Hache; Amulette du Strigide; Bague Gloursonne; Anneau Chevelu; Ceinture Volkorne; Masque de Koutoulou; Cape de la Cour Sombre; Bottes de la Cour Sombre</t>
        </is>
      </c>
    </row>
    <row r="21708">
      <c r="A21708" t="inlineStr">
        <is>
          <t>Xélor F 200</t>
        </is>
      </c>
      <c r="B21708">
        <f>HYPERLINK("https://www.dofusbook.net/fr/equipement/3988146-xelor-f-200/objets", "link")</f>
        <v/>
      </c>
      <c r="C21708" t="n">
        <v>0</v>
      </c>
      <c r="D21708" t="inlineStr">
        <is>
          <t>Manthache; Collier du Valet Veinard; Gant du Valet Veinard; Alliance Gloursonne; Cadran de Terre; Menoture; Casque Volkorne; Chevelure de Tal Kasha; Palmes Trithons; Dofus Ocre; Dofus Abyssal; Étourdisseur majeur; Nomade; Cascadeur majeur; Minimino</t>
        </is>
      </c>
    </row>
    <row r="21709">
      <c r="A21709" t="inlineStr">
        <is>
          <t>Xélor F 200</t>
        </is>
      </c>
      <c r="B21709">
        <f>HYPERLINK("https://www.dofusbook.net/fr/equipement/3986510-xelor-f-200/objets", "link")</f>
        <v/>
      </c>
      <c r="C21709" t="n">
        <v>0</v>
      </c>
      <c r="D21709" t="inlineStr">
        <is>
          <t>Dagoulinantes; Amulette du Strigide; Alliance Gloursonne; Anneau Volkorne; Quatre-feuilles; Sangle Ouare; Némès de Tal Kasha; Chevelure de Tal Kasha; Pataugastrique; Dofus Turquoise; Dofus Abyssal; Dofus Pourpre; Dofus Ocre; Dofus Ivoire; Étourdisseur majeur; Koalak Sanguin</t>
        </is>
      </c>
    </row>
    <row r="21710">
      <c r="A21710" t="inlineStr">
        <is>
          <t>Sadida M 200</t>
        </is>
      </c>
      <c r="B21710">
        <f>HYPERLINK("https://www.dofusbook.net/fr/equipement/3982850-sadida-m-200/objets", "link")</f>
        <v/>
      </c>
      <c r="C21710" t="n">
        <v>0</v>
      </c>
      <c r="D21710" t="inlineStr"/>
    </row>
    <row r="21711">
      <c r="A21711" t="inlineStr">
        <is>
          <t>Sadida M 200</t>
        </is>
      </c>
      <c r="B21711">
        <f>HYPERLINK("https://www.dofusbook.net/fr/equipement/3982813-sadida-m-200/objets", "link")</f>
        <v/>
      </c>
      <c r="C21711" t="n">
        <v>9</v>
      </c>
      <c r="D21711" t="inlineStr">
        <is>
          <t>Arc Honte; Amulette Volkorne; Pikano; Anneau Volkorne; Bouclier du Stalak; Ceinture Volkorne; Casquipik; Voile d'encre; Pikottes; Dofus des Glaces; Dofus Ivoire; Dolmanax; Dofus Ocre; Dofus Pourpre; Dofus Abyssal; Gwo Tofu Ventripotent</t>
        </is>
      </c>
    </row>
    <row r="21712">
      <c r="A21712" t="inlineStr">
        <is>
          <t>Huppermage M 200</t>
        </is>
      </c>
      <c r="B21712">
        <f>HYPERLINK("https://www.dofusbook.net/fr/equipement/3982618-huppermage-m-200/objets", "link")</f>
        <v/>
      </c>
      <c r="C21712" t="n">
        <v>2</v>
      </c>
      <c r="D21712" t="inlineStr">
        <is>
          <t>Arc corrompu; Pendentif mignon de Koutoulou; Alliance Gloursonne; Anneau Tique; Cadran de Terre; Ceinture de Vortex; Cagoule de Vortex; Cape Martegel; Pataugastrique</t>
        </is>
      </c>
    </row>
    <row r="21713">
      <c r="A21713" t="inlineStr">
        <is>
          <t>Iop M 200</t>
        </is>
      </c>
      <c r="B21713">
        <f>HYPERLINK("https://www.dofusbook.net/fr/equipement/3979225-iop-m-200/objets", "link")</f>
        <v/>
      </c>
      <c r="C21713" t="n">
        <v>0</v>
      </c>
      <c r="D21713" t="inlineStr">
        <is>
          <t>Couteaux à Champignons; Amulette du Strigide; Anneau de Padgref; Alliance Gloursonne; Bouclier du Captain Amakna; Menoture; Casque Volkorne; Chevelure de Tal Kasha; Sandales de Tal Kasha; Dofus Pourpre; Dofus des Glaces; Dofus Turquoise; Dofus Ocre; Dofus Ivoire; Nomade; Kokulte</t>
        </is>
      </c>
    </row>
    <row r="21714">
      <c r="A21714" t="inlineStr">
        <is>
          <t>Iop M 200</t>
        </is>
      </c>
      <c r="B21714">
        <f>HYPERLINK("https://www.dofusbook.net/fr/equipement/3978052-iop-m-200/objets", "link")</f>
        <v/>
      </c>
      <c r="C21714" t="n">
        <v>7</v>
      </c>
      <c r="D21714" t="inlineStr">
        <is>
          <t>Dagues Açantes; Amulette du Strigide; Alliance Gloursonne; Anneau Volkorne; Bouclier du Captain Amakna; Sangle Ouare; Némès de Tal Kasha; Chevelure de Tal Kasha; Pataugastrique; Dofus Turquoise; Dofus Ivoire; Dofus Pourpre; Dofus des Glaces; Dolmanax; Dofus Ocre; Kokulte</t>
        </is>
      </c>
    </row>
    <row r="21715">
      <c r="A21715" t="inlineStr">
        <is>
          <t>Zobal M 200</t>
        </is>
      </c>
      <c r="B21715">
        <f>HYPERLINK("https://www.dofusbook.net/fr/equipement/3971505-zobal-m-200/objets", "link")</f>
        <v/>
      </c>
      <c r="C21715" t="n">
        <v>0</v>
      </c>
      <c r="D21715" t="inlineStr">
        <is>
          <t>Marteau R'ture; Amulette du Strigide; Anneau Chevelu; Bague Gloursonne; Cadran d'Eau; Ceinture Volkorne; Masque de Koutoulou; Cape au Logis; Bottes du Strigide</t>
        </is>
      </c>
    </row>
    <row r="21716">
      <c r="A21716" t="inlineStr">
        <is>
          <t>Eniripsa M 200</t>
        </is>
      </c>
      <c r="B21716">
        <f>HYPERLINK("https://www.dofusbook.net/fr/equipement/3971127-eniripsa-m-200/objets", "link")</f>
        <v/>
      </c>
      <c r="C21716" t="n">
        <v>0</v>
      </c>
      <c r="D21716" t="inlineStr"/>
    </row>
    <row r="21717">
      <c r="A21717" t="inlineStr">
        <is>
          <t>Pandawa M 200</t>
        </is>
      </c>
      <c r="B21717">
        <f>HYPERLINK("https://www.dofusbook.net/fr/equipement/3970544-pandawa-m-200/objets", "link")</f>
        <v/>
      </c>
      <c r="C21717" t="n">
        <v>11</v>
      </c>
      <c r="D21717" t="inlineStr">
        <is>
          <t>Rouleau à Pâtisserie d'Aermyne; Collier Rophante; Alliance Gloursonne; Anneau Tique; Bouclier précieux; Ceinture de Kongoku; Masque d'Anerice; Cape d'Anerice; Pataugastrique; Dofus Émeraude; Dofus Abyssal; Dofus Ivoire; Bloqueur majeur; Obstructeur majeur; Remueur; Platypus</t>
        </is>
      </c>
    </row>
    <row r="21718">
      <c r="A21718" t="inlineStr">
        <is>
          <t>Ecaflip F 200</t>
        </is>
      </c>
      <c r="B21718">
        <f>HYPERLINK("https://www.dofusbook.net/fr/equipement/3970114-ecaflip-f-200/objets", "link")</f>
        <v/>
      </c>
      <c r="C21718" t="n">
        <v>2</v>
      </c>
      <c r="D21718" t="inlineStr">
        <is>
          <t>Sceptre du Roi Joueur; Amulette du Strigide; Alliance Gloursonne; Anneau Volkorne; Bouclier du Stalak; Sangle Ouare; Némès de Tal Kasha; Chevelure de Tal Kasha; Pataugastrique; Dofus Turquoise; Dofus Ivoire; Dofus Ocre; Dofus Pourpre; Dofus Abyssal; Chanceux majeur; Pioute bleu</t>
        </is>
      </c>
    </row>
    <row r="21719">
      <c r="A21719" t="inlineStr">
        <is>
          <t>Steamer M 200</t>
        </is>
      </c>
      <c r="B21719">
        <f>HYPERLINK("https://www.dofusbook.net/fr/equipement/3967310-steamer-m-200/objets", "link")</f>
        <v/>
      </c>
      <c r="C21719" t="n">
        <v>3</v>
      </c>
      <c r="D21719" t="inlineStr">
        <is>
          <t>Arc Nécrotique; Amulette Volkorne; Anneau Volkorne; Anneau de Padgref; Quatre-feuilles; Sangle Ouare; Coiffe de Padgref; Cape de la Dame du Hasard; Pataugastrique; Dofus Ivoire; Dofus des Glaces; Dofus Pourpre; Dofus Turquoise; Dolmanax; Dofus Ocre; Kokulte</t>
        </is>
      </c>
    </row>
    <row r="21720">
      <c r="A21720" t="inlineStr">
        <is>
          <t>Zobal M 200</t>
        </is>
      </c>
      <c r="B21720">
        <f>HYPERLINK("https://www.dofusbook.net/fr/equipement/3967563-zobal-m-200/objets", "link")</f>
        <v/>
      </c>
      <c r="C21720" t="n">
        <v>1</v>
      </c>
      <c r="D21720" t="inlineStr">
        <is>
          <t>Lav'Hache; Torquistik; Bague Instable; Bague Trithon; Bouclier précieux; Ceinture Gence; Masque d'Anerice; Cape d'Anerice; Bottistik; Dofus Ocre; Dofus Ivoire; Balafreux</t>
        </is>
      </c>
    </row>
    <row r="21721">
      <c r="A21721" t="inlineStr">
        <is>
          <t>Zobal M 200</t>
        </is>
      </c>
      <c r="B21721">
        <f>HYPERLINK("https://www.dofusbook.net/fr/equipement/3965920-zobal-m-200/objets", "link")</f>
        <v/>
      </c>
      <c r="C21721" t="n">
        <v>2</v>
      </c>
      <c r="D21721" t="inlineStr">
        <is>
          <t>Hache du Korriandre; Amulette du Strigide; Alliance Gloursonne; Anneau Volkorne; Quatre-feuilles; Menoture; Casque Volkorne; Chevelure de Tal Kasha; Pataugastrique; Dofus Turquoise; Dofus Abyssal; Dofus des Glaces; Dofus Pourpre; Dofus Ivoire; Nomade; Kokulte</t>
        </is>
      </c>
    </row>
    <row r="21722">
      <c r="A21722" t="inlineStr">
        <is>
          <t>Iop M 200</t>
        </is>
      </c>
      <c r="B21722">
        <f>HYPERLINK("https://www.dofusbook.net/fr/equipement/3961789-iop-m-200/objets", "link")</f>
        <v/>
      </c>
      <c r="C21722" t="n">
        <v>2</v>
      </c>
      <c r="D21722" t="inlineStr">
        <is>
          <t>Arc corrompu; Amulette Séculaire; Anneauræus; Anneauræus; Quatre-feuilles; Ceinture Séculaire; Coiffe Séculaire; Cape de Nileza; Bottes de Nileza; Dofus Ocre; Dofus Ivoire; Dolmanax; Dofus Vulbis; Dofus Nébuleux; Dofus Turquoise; Dragodinde Amande et Orchidée</t>
        </is>
      </c>
    </row>
    <row r="21723">
      <c r="A21723" t="inlineStr">
        <is>
          <t>Xélor F 200</t>
        </is>
      </c>
      <c r="B21723">
        <f>HYPERLINK("https://www.dofusbook.net/fr/equipement/3961771-xelor-f-200/objets", "link")</f>
        <v/>
      </c>
      <c r="C21723" t="n">
        <v>3</v>
      </c>
      <c r="D21723" t="inlineStr">
        <is>
          <t>Hachoirs de Viandargh; Amulette du Strigide; Anneau de Padgref; Alliance Gloursonne; Cadran d'Eau; Menoture; Casque Volkorne; Chevelure de Tal Kasha; Getas de Padgref; Dofus Nébuleux; Dofus Ocre; Dofus Turquoise; Dofus Ivoire; Cascadeur majeur; Nomade; Kokulte</t>
        </is>
      </c>
    </row>
    <row r="21724">
      <c r="A21724" t="inlineStr">
        <is>
          <t>Xélor F 200</t>
        </is>
      </c>
      <c r="B21724">
        <f>HYPERLINK("https://www.dofusbook.net/fr/equipement/3961608-xelor-f-200/objets", "link")</f>
        <v/>
      </c>
      <c r="C21724" t="n">
        <v>0</v>
      </c>
      <c r="D21724" t="inlineStr">
        <is>
          <t>Dagues Ricol; Amulette Volkorne; Anneau de Padgref; Bague Gloursonne; Cadran d'Eau; Ceinture du Strigide; Coiffe de Padgref; Voile d'encre; Pataugastrique; Dofus Ocre; Dofus Ivoire; Dofus Nébuleux; Dofus Turquoise; Érudit majeur; Nomade; Dragodinde Ivoire et Orchidée</t>
        </is>
      </c>
    </row>
    <row r="21725">
      <c r="A21725" t="inlineStr">
        <is>
          <t>Zobal M 200</t>
        </is>
      </c>
      <c r="B21725">
        <f>HYPERLINK("https://www.dofusbook.net/fr/equipement/3959933-zobal-m-200/objets", "link")</f>
        <v/>
      </c>
      <c r="C21725" t="n">
        <v>7</v>
      </c>
      <c r="D21725" t="inlineStr">
        <is>
          <t>Arc Nécrotique; Amulette Volkorne; Anneau Tique; Anneau Volkorne; Quatre-feuilles; Ceinture du Strigide; Heaume Oplate; Cape de la Dame du Hasard; Bottes du Strigide; Dofus Vulbis; Dofus Turquoise; Dofus des Glaces; Dofus Ocre; Dofus Ivoire; Dofus Pourpre; Kokulte</t>
        </is>
      </c>
    </row>
    <row r="21726">
      <c r="A21726" t="inlineStr">
        <is>
          <t>Sacrieur F 200</t>
        </is>
      </c>
      <c r="B21726">
        <f>HYPERLINK("https://www.dofusbook.net/fr/equipement/3959884-sacrieur-f-200/objets", "link")</f>
        <v/>
      </c>
      <c r="C21726" t="n">
        <v>9</v>
      </c>
      <c r="D21726" t="inlineStr">
        <is>
          <t>Baguette Hique; Amulette Volkorne; Anneau Volkorne; Alliance Gloursonne; Quatre-feuilles; Sangle Ouare; Capuche de l'Œil Attentif; Cape de l'Œil Attentif; Pataugastrique; Dofus Turquoise; Dofus Ocre; Dofus Pourpre; Dolmanax; Dofus des Glaces; Dofus Ivoire; Pioute bleu</t>
        </is>
      </c>
    </row>
    <row r="21727">
      <c r="A21727" t="inlineStr">
        <is>
          <t>Sacrieur F 200</t>
        </is>
      </c>
      <c r="B21727">
        <f>HYPERLINK("https://www.dofusbook.net/fr/equipement/3959292-sacrieur-f-200/objets", "link")</f>
        <v/>
      </c>
      <c r="C21727" t="n">
        <v>2</v>
      </c>
      <c r="D21727" t="inlineStr">
        <is>
          <t>Arc corrompu; Amulette du Strigide; Anneauræus; Anneauræus; Quatre-feuilles; Ceinture de Vortex; Heaume Oplate; Voile d'encre; Pataugastrique; Dofus Pourpre; Dofus Vulbis; Dofus Ivoire; Dofus Turquoise; Érudit majeur; Évasif majeur; Rauleur</t>
        </is>
      </c>
    </row>
    <row r="21728">
      <c r="A21728" t="inlineStr">
        <is>
          <t>Crâ M 200</t>
        </is>
      </c>
      <c r="B21728">
        <f>HYPERLINK("https://www.dofusbook.net/fr/equipement/3839394-cra-m-200/objets", "link")</f>
        <v/>
      </c>
      <c r="C21728" t="n">
        <v>1</v>
      </c>
      <c r="D21728" t="inlineStr">
        <is>
          <t>Arc de Koutoulou; Amulette du Strigide; Anneau Volkorne; Alliance Gloursonne; Quatre-feuilles; Ceinture du Strigide; Casque Volkorne; Chevelure de Tal Kasha; Sandales de Tal Kasha; Dofus Turquoise; Dofus Ivoire; Dofus Vulbis; Dofus Ocre; Dofus Pourpre; Dofus des Glaces; Mini Wa</t>
        </is>
      </c>
    </row>
    <row r="21729">
      <c r="A21729" t="inlineStr">
        <is>
          <t>Féca M 200</t>
        </is>
      </c>
      <c r="B21729">
        <f>HYPERLINK("https://www.dofusbook.net/fr/equipement/3950081-feca-m-200/objets", "link")</f>
        <v/>
      </c>
      <c r="C21729" t="n">
        <v>4</v>
      </c>
      <c r="D21729" t="inlineStr">
        <is>
          <t>Dagues Ruik; Amulette du Strigide; Alliance Gloursonne; Anneau de Padgref; Bouclier du Captain Amakna; Ceinture du Strigide; Coiffe de Padgref; Chevelure de Tal Kasha; Getas de Padgref; Dofus Vulbis; Dofus des Glaces; Dofus Abyssal; Dofus Pourpre; Dofus Turquoise; Dofus Ocre; Kokulte</t>
        </is>
      </c>
    </row>
    <row r="21730">
      <c r="A21730" t="inlineStr">
        <is>
          <t>Féca F 200</t>
        </is>
      </c>
      <c r="B21730">
        <f>HYPERLINK("https://www.dofusbook.net/fr/equipement/3949970-feca-f-200/objets", "link")</f>
        <v/>
      </c>
      <c r="C21730" t="n">
        <v>0</v>
      </c>
      <c r="D21730" t="inlineStr">
        <is>
          <t>Baguette Hique; Amulette Volkorne; Alliance Gloursonne; Anneau Volkorne; Quatre-feuilles; Sangle Ouare; Némès de Tal Kasha; Chevelure de Tal Kasha; Bottes Honyme; Dofus Turquoise; Dolmanax; Dofus Ivoire; Dofus Pourpre; Dofus Ocre; Dofus des Glaces; Kanigloups</t>
        </is>
      </c>
    </row>
    <row r="21731">
      <c r="A21731" t="inlineStr">
        <is>
          <t>Xélor F 200</t>
        </is>
      </c>
      <c r="B21731">
        <f>HYPERLINK("https://www.dofusbook.net/fr/equipement/3943223-xelor-f-200/objets", "link")</f>
        <v/>
      </c>
      <c r="C21731" t="n">
        <v>5</v>
      </c>
      <c r="D21731" t="inlineStr">
        <is>
          <t>Arc corrompu; Collier Rophante; Alliance Gloursonne; Anneau Crustique; Sept ans de malheur; Menoture; Masque d'Anerice; Cape d'Anerice; Pataugastrique; Dofus Ivoire; Dofus Abyssal; Étourdisseur; Étourdisseur majeur; Engourdisseur majeur; Paralyseur majeur; Drakopin</t>
        </is>
      </c>
    </row>
    <row r="21732">
      <c r="A21732" t="inlineStr">
        <is>
          <t>Ecaflip M 200</t>
        </is>
      </c>
      <c r="B21732">
        <f>HYPERLINK("https://www.dofusbook.net/fr/equipement/3937929-ecaflip-m-200/objets", "link")</f>
        <v/>
      </c>
      <c r="C21732" t="n">
        <v>26</v>
      </c>
      <c r="D21732" t="inlineStr">
        <is>
          <t>Arc de Koutoulou; Amulette Voldelor; Anneau Volkorne; Alliance Gloursonne; Bouclier du Stalak; Ceinture de la Reine des Voleurs; Casque Volkorne; Cape Matelassée; Bottes de la Reine des Voleurs; Dofus Abyssal; Dofus Vulbis; Dofus Turquoise; Dofus Pourpre; Dofus Ivoire; Dofus Ocre; Raknaille</t>
        </is>
      </c>
    </row>
    <row r="21733">
      <c r="A21733" t="inlineStr">
        <is>
          <t>Eniripsa F 200</t>
        </is>
      </c>
      <c r="B21733">
        <f>HYPERLINK("https://www.dofusbook.net/fr/equipement/3928880-eniripsa-f-200/objets", "link")</f>
        <v/>
      </c>
      <c r="C21733" t="n">
        <v>9</v>
      </c>
      <c r="D21733" t="inlineStr">
        <is>
          <t>Arc corrompu; Amulette Séculaire; Anneauræus; Anneauræus; Cadran de Terre; Ceinture de Vortex; Coiffe Séculaire; Voile d'encre; Pataugastrique; Dofus Ivoire; Dofus Ocre; Dofus Abyssal; Érudit majeur; Nomade; Étourdisseur majeur; Koalak Sanguin</t>
        </is>
      </c>
    </row>
    <row r="21734">
      <c r="A21734" t="inlineStr">
        <is>
          <t>Sadida F 200</t>
        </is>
      </c>
      <c r="B21734">
        <f>HYPERLINK("https://www.dofusbook.net/fr/equipement/3938096-sadida-f-200/objets", "link")</f>
        <v/>
      </c>
      <c r="C21734" t="n">
        <v>0</v>
      </c>
      <c r="D21734" t="inlineStr"/>
    </row>
    <row r="21735">
      <c r="A21735" t="inlineStr">
        <is>
          <t>Sadida M 200</t>
        </is>
      </c>
      <c r="B21735">
        <f>HYPERLINK("https://www.dofusbook.net/fr/equipement/3928808-sadida-m-200/objets", "link")</f>
        <v/>
      </c>
      <c r="C21735" t="n">
        <v>7</v>
      </c>
      <c r="D21735" t="inlineStr">
        <is>
          <t>Amulette Martegel; Anneau Rifique; Alliance Gloursonne; Casque Cyclopéen</t>
        </is>
      </c>
    </row>
    <row r="21736">
      <c r="A21736" t="inlineStr">
        <is>
          <t>Ecaflip M 200</t>
        </is>
      </c>
      <c r="B21736">
        <f>HYPERLINK("https://www.dofusbook.net/fr/equipement/3935551-ecaflip-m-200/objets", "link")</f>
        <v/>
      </c>
      <c r="C21736" t="n">
        <v>1</v>
      </c>
      <c r="D21736" t="inlineStr">
        <is>
          <t>Arc de Koutoulou; Amulette du Strigide; Anneau Volkorne; Alliance Gloursonne; Bouclier du Stalak; Sangle Ouare; Casque Volkorne; Chevelure de Tal Kasha; Pataugastrique; Dofus Pourpre; Dofus Ivoire; Dofus Turquoise; Dofus des Glaces; Dofus Ocre; Dofus Abyssal; Mini Wa</t>
        </is>
      </c>
    </row>
    <row r="21737">
      <c r="A21737" t="inlineStr">
        <is>
          <t>Zobal M 200</t>
        </is>
      </c>
      <c r="B21737">
        <f>HYPERLINK("https://www.dofusbook.net/fr/equipement/3928377-zobal-m-200/objets", "link")</f>
        <v/>
      </c>
      <c r="C21737" t="n">
        <v>1</v>
      </c>
      <c r="D21737" t="inlineStr">
        <is>
          <t>Hache du Korriandre; Amulette du Strigide; Anneau Volkorne; Alliance Gloursonne; Quatre-feuilles; Ceinture du Strigide; Némès de Tal Kasha; Chevelure de Tal Kasha; Sandales de Tal Kasha; Dofus Ocre; Dofus Turquoise; Dofus Ivoire; Dofus des Glaces; Dofus Abyssal; Dofus Pourpre; Kokulte</t>
        </is>
      </c>
    </row>
    <row r="21738">
      <c r="A21738" t="inlineStr">
        <is>
          <t>Huppermage M 200</t>
        </is>
      </c>
      <c r="B21738">
        <f>HYPERLINK("https://www.dofusbook.net/fr/equipement/3921808-huppermage-m-200/objets", "link")</f>
        <v/>
      </c>
      <c r="C21738" t="n">
        <v>11</v>
      </c>
      <c r="D21738" t="inlineStr">
        <is>
          <t>Arc corrompu; Pendentif mignon de Koutoulou; Alliance Gloursonne; Anneau Tique; Bouclier du Stalak; Ceinture de Vortex; Cagoule de Vortex; Cape Martegel; Pataugastrique; Dofus Ivoire; Dofus Pourpre; Dofus Abyssal; Dofus Ocre; Nomade; Étourdisseur majeur; Koalak Sanguin</t>
        </is>
      </c>
    </row>
    <row r="21739">
      <c r="A21739" t="inlineStr">
        <is>
          <t>Huppermage M 200</t>
        </is>
      </c>
      <c r="B21739">
        <f>HYPERLINK("https://www.dofusbook.net/fr/equipement/3921750-huppermage-m-200/objets", "link")</f>
        <v/>
      </c>
      <c r="C21739" t="n">
        <v>14</v>
      </c>
      <c r="D21739" t="inlineStr">
        <is>
          <t>Arc du Chalœil; Torquistik; Bague Instable; Bague Trithon; Bouclier précieux; Ceinture Gence; Casque Dragoeuf; Cape Solution; Bottistik; Dofus Ivoire; Bousculeur; Culbuteur majeur; Bousculeur majeur; Pousseur majeur; Culbuteur; Balafreux</t>
        </is>
      </c>
    </row>
    <row r="21740">
      <c r="A21740" t="inlineStr">
        <is>
          <t>Roublard F 200</t>
        </is>
      </c>
      <c r="B21740">
        <f>HYPERLINK("https://www.dofusbook.net/fr/equipement/3920373-roublard-f-200/objets", "link")</f>
        <v/>
      </c>
      <c r="C21740" t="n">
        <v>0</v>
      </c>
      <c r="D21740" t="inlineStr">
        <is>
          <t>Arc du Chalœil; Amulette Volkorne; Bague Gloursonne; Bouclier du Stalak; Ceinture Volkorne; Couronne du Roi Joueur; Cape au Logis; Baleinabottes; Dofus des Glaces; Enragé majeur; Dévastateur Terre majeur; Remueur; Bulbisou</t>
        </is>
      </c>
    </row>
    <row r="21741">
      <c r="A21741" t="inlineStr">
        <is>
          <t>Féca M 200</t>
        </is>
      </c>
      <c r="B21741">
        <f>HYPERLINK("https://www.dofusbook.net/fr/equipement/3920158-feca-m-200/objets", "link")</f>
        <v/>
      </c>
      <c r="C21741" t="n">
        <v>2</v>
      </c>
      <c r="D21741" t="inlineStr">
        <is>
          <t>Canne Harr; Amulette du Strigide; Bague Gloursonne; Anneau de Padgref; Bouclier du Captain Amakna; Ceinture de Vortex; Coiffe de Padgref; Cape Hiculteur; Pataugastrique; Dofus des Glaces; Dofus Turquoise; Dofus Ivoire; Dofus Pourpre; Dofus Ocre; Nomade; Kokulte</t>
        </is>
      </c>
    </row>
    <row r="21742">
      <c r="A21742" t="inlineStr">
        <is>
          <t>Eniripsa F 200</t>
        </is>
      </c>
      <c r="B21742">
        <f>HYPERLINK("https://www.dofusbook.net/fr/equipement/3920066-eniripsa-f-200/objets", "link")</f>
        <v/>
      </c>
      <c r="C21742" t="n">
        <v>5</v>
      </c>
      <c r="D21742" t="inlineStr">
        <is>
          <t>Arc corrompu; Amulette Séculaire; Anneau de Nidas; Bague Gloursonne; Cadran de Terre; Ceinture de Vortex; Heaume Oplate; Voile d'encre; Sabots de Vortex; Dofus Ocre; Dofus Ivoire; Carapace Terre majeur; Étourdisseur majeur; Nomade; Érudit majeur; Dragodinde Ivoire et Orchidée</t>
        </is>
      </c>
    </row>
    <row r="21743">
      <c r="A21743" t="inlineStr">
        <is>
          <t>Ecaflip M 200</t>
        </is>
      </c>
      <c r="B21743">
        <f>HYPERLINK("https://www.dofusbook.net/fr/equipement/3919504-ecaflip-m-200/objets", "link")</f>
        <v/>
      </c>
      <c r="C21743" t="n">
        <v>0</v>
      </c>
      <c r="D21743" t="inlineStr"/>
    </row>
    <row r="21744">
      <c r="A21744" t="inlineStr">
        <is>
          <t>Zobal F 200</t>
        </is>
      </c>
      <c r="B21744">
        <f>HYPERLINK("https://www.dofusbook.net/fr/equipement/3913813-zobal-f-200/objets", "link")</f>
        <v/>
      </c>
      <c r="C21744" t="n">
        <v>6</v>
      </c>
      <c r="D21744" t="inlineStr">
        <is>
          <t>Dagues Cacterre; Amulette du Strigide; Anneau Volkorne; Bague Trithon; Bouclier du Captain Amakna; Ceintacé; Masque Trithon; Cape de la Dame du Hasard; Bottes de la Dame du Hasard; Dofus Turquoise; Dofus Abyssal; Dofus Pourpre; Dofus des Glaces; Dofus Vulbis; Dofus Ocre; Kokulte</t>
        </is>
      </c>
    </row>
    <row r="21745">
      <c r="A21745" t="inlineStr">
        <is>
          <t>Xélor F 200</t>
        </is>
      </c>
      <c r="B21745">
        <f>HYPERLINK("https://www.dofusbook.net/fr/equipement/3911724-xelor-f-200/objets", "link")</f>
        <v/>
      </c>
      <c r="C21745" t="n">
        <v>0</v>
      </c>
      <c r="D21745" t="inlineStr">
        <is>
          <t>Hache Ériphe; Amulette du Strigide; Bague Gloursonne; Alliance Gloursonne; Quatre-feuilles; Ceinture Volkorne; Casque Volkorne; Cape au Logis; Bottes du Strigide; Dofus Abyssal; Dofus Ocre; Dofus Pourpre; Dofus Ivoire; Dofus des Glaces; Dofus Turquoise; Fëanor</t>
        </is>
      </c>
    </row>
    <row r="21746">
      <c r="A21746" t="inlineStr">
        <is>
          <t>Sadida M 200</t>
        </is>
      </c>
      <c r="B21746">
        <f>HYPERLINK("https://www.dofusbook.net/fr/equipement/3911430-sadida-m-200/objets", "link")</f>
        <v/>
      </c>
      <c r="C21746" t="n">
        <v>1</v>
      </c>
      <c r="D21746" t="inlineStr">
        <is>
          <t>Arc Honte; Amulette de l'Œil Putride; Alliance Gloursonne; Bague Gloursonne; Bouclier du Stalak; Ceinture de l'Esprit Salvateur; Masque de l'Esprit Salvateur; Cape de l'Œil Putride; Bottes de l'Esprit Salvateur; Dofus des Glaces; Dofus Ocre; Dofus Ivoire; Dofus Vulbis; Dolmanax</t>
        </is>
      </c>
    </row>
    <row r="21747">
      <c r="A21747" t="inlineStr">
        <is>
          <t>Sadida M 200</t>
        </is>
      </c>
      <c r="B21747">
        <f>HYPERLINK("https://www.dofusbook.net/fr/equipement/3895621-sadida-m-200/objets", "link")</f>
        <v/>
      </c>
      <c r="C21747" t="n">
        <v>14</v>
      </c>
      <c r="D21747" t="inlineStr">
        <is>
          <t>Lav'Hache; Amulette du Kamasterisk; Bague Gloursonne; Anneau Chevelu; Bouclier du Stalak; Ceinture Volkorne; Masque de Koutoulou; Cape du Kamasterisk; Bottes du Strigide; Dofus Ivoire; Dofus Pourpre; Dofus Abyssal; Enragé majeur; Nomade; Évasif majeur; Chienchien Tigré</t>
        </is>
      </c>
    </row>
    <row r="21748">
      <c r="A21748" t="inlineStr">
        <is>
          <t>Eniripsa F 200</t>
        </is>
      </c>
      <c r="B21748">
        <f>HYPERLINK("https://www.dofusbook.net/fr/equipement/3895709-eniripsa-f-200/objets", "link")</f>
        <v/>
      </c>
      <c r="C21748" t="n">
        <v>10</v>
      </c>
      <c r="D21748" t="inlineStr">
        <is>
          <t>Manthache; Amulette Martegel; Alliance Gloursonne; Gant du Valet Veinard; Bouclier du Stalak; Menoture; Chapeau de Tournoyé; Cape de Crânonier; Palmes Trithons; Dofus Ivoire; Dofus Pourpre; Dofus Abyssal; Étourdisseur majeur; Cascadeur majeur; Dragodinde Ebène</t>
        </is>
      </c>
    </row>
    <row r="21749">
      <c r="A21749" t="inlineStr">
        <is>
          <t>Sadida M 200</t>
        </is>
      </c>
      <c r="B21749">
        <f>HYPERLINK("https://www.dofusbook.net/fr/equipement/3897309-sadida-m-200/objets", "link")</f>
        <v/>
      </c>
      <c r="C21749" t="n">
        <v>19</v>
      </c>
      <c r="D21749" t="inlineStr">
        <is>
          <t>Baguette Range; Amulette Martegel; Anneau Tique; Anneauræus; Bouclier du Stalak; Ceinture de Vortex; Heaume Oplate; Cape de l'Œil Putride; Bottes du Strigide; Dofus Ocre; Dofus Ivoire; Dofus des Glaces; Solide majeur; Évasif majeur; Nomade; Gwo Tofu Ventripotent</t>
        </is>
      </c>
    </row>
    <row r="21750">
      <c r="A21750" t="inlineStr">
        <is>
          <t>Ecaflip M 200</t>
        </is>
      </c>
      <c r="B21750">
        <f>HYPERLINK("https://www.dofusbook.net/fr/equipement/3894045-ecaflip-m-200/objets", "link")</f>
        <v/>
      </c>
      <c r="C21750" t="n">
        <v>10</v>
      </c>
      <c r="D21750" t="inlineStr">
        <is>
          <t>Arc de Koutoulou; Amulette du Strigide; Anneau Volkorne; Alliance Gloursonne; Bouclier du Stalak; Sangle Ouare; Casque Volkorne; Chevelure de Tal Kasha; Sandales de Tal Kasha; Dolmanax; Dofus Turquoise; Dofus Abyssal; Dofus Ivoire; Dofus Ocre; Dofus Pourpre; Chienchien Tigré</t>
        </is>
      </c>
    </row>
    <row r="21751">
      <c r="A21751" t="inlineStr">
        <is>
          <t>Sadida M 200</t>
        </is>
      </c>
      <c r="B21751">
        <f>HYPERLINK("https://www.dofusbook.net/fr/equipement/3899940-sadida-m-200/objets", "link")</f>
        <v/>
      </c>
      <c r="C21751" t="n">
        <v>3</v>
      </c>
      <c r="D21751" t="inlineStr">
        <is>
          <t>Dagoulinantes; Amulette de Shokkoth; Anneau Volkorne; Alliance Gloursonne; Bouclier du Stalak; Sangle Ouare; Capuche de l'Œil Attentif; Cape de l'Œil Attentif; Pantoufles du Piloztère; Dofus Abyssal; Dolmanax; Dofus Ocre; Dofus Ivoire; Carapace Eau majeur; Chanceux majeur; Chienchien Tigré</t>
        </is>
      </c>
    </row>
    <row r="21752">
      <c r="A21752" t="inlineStr">
        <is>
          <t>Ecaflip M 200</t>
        </is>
      </c>
      <c r="B21752">
        <f>HYPERLINK("https://www.dofusbook.net/fr/equipement/3894008-ecaflip-m-200/objets", "link")</f>
        <v/>
      </c>
      <c r="C21752" t="n">
        <v>2</v>
      </c>
      <c r="D21752" t="inlineStr">
        <is>
          <t>Dagoulinantes; Amulette du Strigide; Alliance Gloursonne; Anneau Volkorne; Bouclier du Stalak; Sangle Ouare; Capuche de l'Œil Attentif; Cape de l'Œil Attentif; Bottes de la Reine des Voleurs</t>
        </is>
      </c>
    </row>
    <row r="21753">
      <c r="A21753" t="inlineStr">
        <is>
          <t>Sadida M 200</t>
        </is>
      </c>
      <c r="B21753">
        <f>HYPERLINK("https://www.dofusbook.net/fr/equipement/3893906-sadida-m-200/objets", "link")</f>
        <v/>
      </c>
      <c r="C21753" t="n">
        <v>5</v>
      </c>
      <c r="D21753" t="inlineStr">
        <is>
          <t>Baguette Range; Amulette Martegel; Anneauræus; Alliance Gloursonne; Bouclier cubiste; Ceinture de Vortex; Heaume Oplate; Cape de l'Œil Putride; Bottes du Strigide; Dofus Ivoire; Dofus Cawotte; Dofus Ocre; Dofus des Glaces; Évasif majeur; Nomade; Léopardo</t>
        </is>
      </c>
    </row>
    <row r="21754">
      <c r="A21754" t="inlineStr">
        <is>
          <t>Eniripsa F 200</t>
        </is>
      </c>
      <c r="B21754">
        <f>HYPERLINK("https://www.dofusbook.net/fr/equipement/3892251-eniripsa-f-200/objets", "link")</f>
        <v/>
      </c>
      <c r="C21754" t="n">
        <v>0</v>
      </c>
      <c r="D21754" t="inlineStr">
        <is>
          <t>Arc corrompu; Amulette Séculaire; Bague Gloursonne; Anneau de Nidas; Bouclier du Stalak; String Tue-Mouche; Couronne de Nidas; Cape Ardente; Pataugastrique</t>
        </is>
      </c>
    </row>
    <row r="21755">
      <c r="A21755" t="inlineStr">
        <is>
          <t>Sadida M 200</t>
        </is>
      </c>
      <c r="B21755">
        <f>HYPERLINK("https://www.dofusbook.net/fr/equipement/3890121-sadida-m-200/objets", "link")</f>
        <v/>
      </c>
      <c r="C21755" t="n">
        <v>2</v>
      </c>
      <c r="D21755" t="inlineStr">
        <is>
          <t>Sceptre du Roi Joueur; Amulette de Shokkoth; Alliance Gloursonne; Anneau Volkorne; Bouclier du Stalak; Sangle Ouare; Kidibonnet; Cape du Sinistrofu; Bottes du Sinistrofu; Dofus Abyssal; Dofus Ivoire; Dofus Pourpre; Chanceux majeur; Nomade; Remueur; Dragodinde Indigo et Ivoire</t>
        </is>
      </c>
    </row>
    <row r="21756">
      <c r="A21756" t="inlineStr">
        <is>
          <t>Ecaflip M 200</t>
        </is>
      </c>
      <c r="B21756">
        <f>HYPERLINK("https://www.dofusbook.net/fr/equipement/3889975-ecaflip-m-200/objets", "link")</f>
        <v/>
      </c>
      <c r="C21756" t="n">
        <v>3</v>
      </c>
      <c r="D21756" t="inlineStr">
        <is>
          <t>Arc de Koutoulou; Amulette du Strigide; Alliance Gloursonne; Anneau Volkorne; Bouclier du Stalak; Sangle Ouare; Casque Volkorne; Cape Matelassée; Bottes de la Reine des Voleurs; Dofus Turquoise; Dofus Abyssal; Dofus Pourpre; Dofus Ivoire; Remueur; Solide majeur; Chacha Tigré</t>
        </is>
      </c>
    </row>
    <row r="21757">
      <c r="A21757" t="inlineStr">
        <is>
          <t>Ecaflip M 200</t>
        </is>
      </c>
      <c r="B21757">
        <f>HYPERLINK("https://www.dofusbook.net/fr/equipement/3889895-ecaflip-m-200/objets", "link")</f>
        <v/>
      </c>
      <c r="C21757" t="n">
        <v>1</v>
      </c>
      <c r="D21757" t="inlineStr">
        <is>
          <t>Arc de Koutoulou; Amulette d'Ilyzaelle; Gant du Valet Veinard; Alliance Gloursonne; Bouclier du Stalak; Ceinture de la Reine des Voleurs; Némès de Tal Kasha; Cape Matelassée; Bottes de la Reine des Voleurs; Dofus Pourpre; Dofus Ocre; Dofus Abyssal; Dofus Turquoise; Dofus Ivoire; Nomade; Wabbit</t>
        </is>
      </c>
    </row>
    <row r="21758">
      <c r="A21758" t="inlineStr">
        <is>
          <t>Sadida F 200</t>
        </is>
      </c>
      <c r="B21758">
        <f>HYPERLINK("https://www.dofusbook.net/fr/equipement/3845509-sadida-f-200/objets", "link")</f>
        <v/>
      </c>
      <c r="C21758" t="n">
        <v>4</v>
      </c>
      <c r="D21758" t="inlineStr">
        <is>
          <t>Baguette Range; Amulette Séculaire; Alliance Gloursonne; Anneau Rifique; Bouclier du Stalak; Ceinture de l'Esprit Salvateur; Masque de l'Esprit Salvateur; Cape de l'Œil Putride; Pataugastrique; Dofus des Glaces; Dofus Abyssal; Dofus Ocre; Dofus Ivoire; Nomade; Carapace Terre majeur; Wabbit</t>
        </is>
      </c>
    </row>
    <row r="21759">
      <c r="A21759" t="inlineStr">
        <is>
          <t>Eniripsa F 200</t>
        </is>
      </c>
      <c r="B21759">
        <f>HYPERLINK("https://www.dofusbook.net/fr/equipement/3883071-eniripsa-f-200/objets", "link")</f>
        <v/>
      </c>
      <c r="C21759" t="n">
        <v>3</v>
      </c>
      <c r="D21759" t="inlineStr">
        <is>
          <t>Arc corrompu; Amulette Volkorne; Anneauræus; Anneauræus; Cadran de Terre; Ceinture de Vortex; Cagoule de Vortex; Voile d'encre; Pataugastrique</t>
        </is>
      </c>
    </row>
    <row r="21760">
      <c r="A21760" t="inlineStr">
        <is>
          <t>Ecaflip F 200</t>
        </is>
      </c>
      <c r="B21760">
        <f>HYPERLINK("https://www.dofusbook.net/fr/equipement/3874392-ecaflip-f-200/objets", "link")</f>
        <v/>
      </c>
      <c r="C21760" t="n">
        <v>4</v>
      </c>
      <c r="D21760" t="inlineStr">
        <is>
          <t>Az'tech; Amulette du Strigide; Alliance Gloursonne; Anneau Volkorne; Bouclier du Stalak; Ceinture Volkorne; Némès de Tal Kasha; Chevelure de Tal Kasha; Bottes du Strigide; Dofus Vulbis; Dofus Ivoire; Dolmanax; Dofus Turquoise; Dofus Ocre; Dofus Pourpre; Fëanor</t>
        </is>
      </c>
    </row>
    <row r="21761">
      <c r="A21761" t="inlineStr">
        <is>
          <t>Crâ M 200</t>
        </is>
      </c>
      <c r="B21761">
        <f>HYPERLINK("https://www.dofusbook.net/fr/equipement/3870081-cra-m-200/objets", "link")</f>
        <v/>
      </c>
      <c r="C21761" t="n">
        <v>6</v>
      </c>
      <c r="D21761" t="inlineStr">
        <is>
          <t>Hache du Guerrier Zoth; Amulette du Glourséleste; Anneau Tamie; Anneau Tamie; Bouclier cubiste; Ceinture Instable; Casquipik; Cape de Léthaline; Pikottes; Entraveur; Ralentisseur majeur; Temporiseur; Temporiseur majeur; Entraveur majeur; Remueur; Gwo Tofu Ventripotent</t>
        </is>
      </c>
    </row>
    <row r="21762">
      <c r="A21762" t="inlineStr">
        <is>
          <t>Crâ F 200</t>
        </is>
      </c>
      <c r="B21762">
        <f>HYPERLINK("https://www.dofusbook.net/fr/equipement/3870020-cra-f-200/objets", "link")</f>
        <v/>
      </c>
      <c r="C21762" t="n">
        <v>1</v>
      </c>
      <c r="D21762" t="inlineStr">
        <is>
          <t>Bâton Beau; Amulette du Strigide; Pikano; Alliance Gloursonne; Quatre-feuilles; Ceinture du Strigide; Masque de Koutoulou; Cape Luminescente; Pantoufles du Piloztère; Dofus Turquoise; Dofus Nébuleux; Nomade; Enragé majeur; Chanceux majeur; Remueur; Bébé Pandawa</t>
        </is>
      </c>
    </row>
    <row r="21763">
      <c r="A21763" t="inlineStr">
        <is>
          <t>Zobal M 200</t>
        </is>
      </c>
      <c r="B21763">
        <f>HYPERLINK("https://www.dofusbook.net/fr/equipement/3868000-zobal-m-200/objets", "link")</f>
        <v/>
      </c>
      <c r="C21763" t="n">
        <v>1</v>
      </c>
      <c r="D21763" t="inlineStr">
        <is>
          <t>Hache du Korriandre; Amulette du Strigide; Anneau Volkorne; Alliance Gloursonne; Quatre-feuilles; Ceinture du Strigide; Némès de Tal Kasha; Chevelure de Tal Kasha; Bottes du Strigide; Dofus Vulbis; Dofus Ocre; Dofus Turquoise; Dofus des Glaces; Dofus Pourpre; Dofus Ivoire; Kokulte</t>
        </is>
      </c>
    </row>
    <row r="21764">
      <c r="A21764" t="inlineStr">
        <is>
          <t>Eniripsa M 200</t>
        </is>
      </c>
      <c r="B21764">
        <f>HYPERLINK("https://www.dofusbook.net/fr/equipement/3856804-eniripsa-m-200/objets", "link")</f>
        <v/>
      </c>
      <c r="C21764" t="n">
        <v>6</v>
      </c>
      <c r="D21764" t="inlineStr">
        <is>
          <t>Sceptre du Roi Joueur; Amulette de l'Œil Attentif; Anneau Volkorne; Alliance Gloursonne; Cadran de Terre; Sangle Ouare; Capuche de l'Œil Attentif; Chevelure de Tal Kasha; Pataugastrique; Dofus Ivoire; Dofus Ocre; Chanceux majeur; Évasif majeur; Déserteur majeur; Étourdisseur majeur; Dragoune Rose</t>
        </is>
      </c>
    </row>
    <row r="21765">
      <c r="A21765" t="inlineStr">
        <is>
          <t>Sadida M 200</t>
        </is>
      </c>
      <c r="B21765">
        <f>HYPERLINK("https://www.dofusbook.net/fr/equipement/3856699-sadida-m-200/objets", "link")</f>
        <v/>
      </c>
      <c r="C21765" t="n">
        <v>9</v>
      </c>
      <c r="D21765" t="inlineStr">
        <is>
          <t>Arc du Chalœil; Amulette Héroclite; Anneau Chevelu; Bague Gloursonne; Bouclier du Stalak; Ceinture Volkorne; Masque de Koutoulou; Cape au Logis; Sabots Volcaniques; Dofus Ocre; Dofus Abyssal; Dofus Pourpre; Dofus Ivoire; Évasif majeur; Enragé majeur; Dragodinde Amande et Pourpre</t>
        </is>
      </c>
    </row>
    <row r="21766">
      <c r="A21766" t="inlineStr">
        <is>
          <t>Ecaflip M 200</t>
        </is>
      </c>
      <c r="B21766">
        <f>HYPERLINK("https://www.dofusbook.net/fr/equipement/3856362-ecaflip-m-200/objets", "link")</f>
        <v/>
      </c>
      <c r="C21766" t="n">
        <v>0</v>
      </c>
      <c r="D21766" t="inlineStr"/>
    </row>
    <row r="21767">
      <c r="A21767" t="inlineStr">
        <is>
          <t>Ecaflip M 200</t>
        </is>
      </c>
      <c r="B21767">
        <f>HYPERLINK("https://www.dofusbook.net/fr/equipement/3805788-ecaflip-m-200/objets", "link")</f>
        <v/>
      </c>
      <c r="C21767" t="n">
        <v>11</v>
      </c>
      <c r="D21767" t="inlineStr">
        <is>
          <t>Lav'Hache; Torquistik; Anneau Chevelu; Bague Trithon; Ceinture Gence; Cape au Logis; Bottistik; Dofus Ivoire; Dofus Abyssal; Dofus Turquoise; Culbuteur majeur; Enragé majeur; Carapace Terre majeur; Caskwitteur</t>
        </is>
      </c>
    </row>
    <row r="21768">
      <c r="A21768" t="inlineStr">
        <is>
          <t>Eniripsa M 200</t>
        </is>
      </c>
      <c r="B21768">
        <f>HYPERLINK("https://www.dofusbook.net/fr/equipement/3845103-eniripsa-m-200/objets", "link")</f>
        <v/>
      </c>
      <c r="C21768" t="n">
        <v>6</v>
      </c>
      <c r="D21768" t="inlineStr">
        <is>
          <t>Arc Ontanporin; Talisman Glouti; Anneau Volkorne; Alliance Gloursonne; Quatre-feuilles; Sangle Ouare; Némès de Tal Kasha; Chevelure de Tal Kasha; Pataugastrique; Dofus Ivoire; Dofus Turquoise; Dofus Pourpre; Dofus Ocre; Chanceux majeur; Étourdisseur majeur; Koalak Sanguin</t>
        </is>
      </c>
    </row>
    <row r="21769">
      <c r="A21769" t="inlineStr">
        <is>
          <t>Ecaflip M 200</t>
        </is>
      </c>
      <c r="B21769">
        <f>HYPERLINK("https://www.dofusbook.net/fr/equipement/3842562-ecaflip-m-200/objets", "link")</f>
        <v/>
      </c>
      <c r="C21769" t="n">
        <v>11</v>
      </c>
      <c r="D21769" t="inlineStr">
        <is>
          <t>Rapière aux Glyphes; Amulette du Strigide; Anneau Volkorne; Alliance Gloursonne; Bouclier du Stalak; Sangle Ouare; Capuche de l'Œil Attentif; Cape de l'Œil Attentif; Pataugastrique; Dofus Turquoise; Dofus Pourpre; Dofus Ivoire; Dofus Ocre; Chanceux majeur; Évasif majeur; Bwak d'Eau</t>
        </is>
      </c>
    </row>
    <row r="21770">
      <c r="A21770" t="inlineStr">
        <is>
          <t>Eniripsa F 200</t>
        </is>
      </c>
      <c r="B21770">
        <f>HYPERLINK("https://www.dofusbook.net/fr/equipement/3844019-eniripsa-f-200/objets", "link")</f>
        <v/>
      </c>
      <c r="C21770" t="n">
        <v>3</v>
      </c>
      <c r="D21770" t="inlineStr">
        <is>
          <t>Arc corrompu; Pendentif affamé; Anneauræus; Anneauræus; Bouclier du Stalak; Ceinture Séculaire; Coiffe Séculaire; Voile d'encre; Pataugastrique; Dofus Pourpre; Dofus Ivoire; Dofus Turquoise; Érudit majeur; Nomade; Remueur; Dragodinde Ivoire et Orchidée</t>
        </is>
      </c>
    </row>
    <row r="21771">
      <c r="A21771" t="inlineStr">
        <is>
          <t>Sadida M 200</t>
        </is>
      </c>
      <c r="B21771">
        <f>HYPERLINK("https://www.dofusbook.net/fr/equipement/3842575-sadida-m-200/objets", "link")</f>
        <v/>
      </c>
      <c r="C21771" t="n">
        <v>3</v>
      </c>
      <c r="D21771" t="inlineStr">
        <is>
          <t>Baguette Range; Pendentif mignon de Koutoulou; Anneau Tique; Alliance Gloursonne; Bouclier du Stalak; Menoture; Casque Cyclopéen; Cape de l'Œil Putride; Pantoufles Émar; Dofus Pourpre; Dofus des Glaces; Dofus Ivoire; Nomade; Déserteur majeur; Temporiseur majeur; Léopardo</t>
        </is>
      </c>
    </row>
    <row r="21772">
      <c r="A21772" t="inlineStr">
        <is>
          <t>Ecaflip M 200</t>
        </is>
      </c>
      <c r="B21772">
        <f>HYPERLINK("https://www.dofusbook.net/fr/equipement/3838897-ecaflip-m-200/objets", "link")</f>
        <v/>
      </c>
      <c r="C21772" t="n">
        <v>1</v>
      </c>
      <c r="D21772" t="inlineStr">
        <is>
          <t>Arc Honte; Amulette Volkorne; Alliance Gloursonne; Anneau Volkorne; Bouclier du Stalak; Ceinture de l'Esprit Salvateur; Masque de l'Esprit Salvateur; Chevelure de Tal Kasha; Bottes de l'Esprit Salvateur; Dolmanax; Dofus des Glaces; Dofus Pourpre; Dofus Ivoire; Dofus Turquoise; Dofus Ocre; Fëanor</t>
        </is>
      </c>
    </row>
    <row r="21773">
      <c r="A21773" t="inlineStr">
        <is>
          <t>Ecaflip M 200</t>
        </is>
      </c>
      <c r="B21773">
        <f>HYPERLINK("https://www.dofusbook.net/fr/equipement/3836745-ecaflip-m-200/objets", "link")</f>
        <v/>
      </c>
      <c r="C21773" t="n">
        <v>0</v>
      </c>
      <c r="D21773" t="inlineStr">
        <is>
          <t>Arc Honte; Amulette Volkorne; Anneau Volkorne; Ceinture Volkorne; Casque Volkorne; Chevelure de Tal Kasha; Sandales de Tal Kasha</t>
        </is>
      </c>
    </row>
    <row r="21774">
      <c r="A21774" t="inlineStr">
        <is>
          <t>Ecaflip M 200</t>
        </is>
      </c>
      <c r="B21774">
        <f>HYPERLINK("https://www.dofusbook.net/fr/equipement/3817591-ecaflip-m-200/objets", "link")</f>
        <v/>
      </c>
      <c r="C21774" t="n">
        <v>10</v>
      </c>
      <c r="D21774" t="inlineStr">
        <is>
          <t>Amulette du Strigide; Anneau Volkorne; Alliance Gloursonne; Bouclier du Stalak; Ceinture Volkorne; Casque Volkorne; Dofusteuse; Bottes du Strigide; Dofus Pourpre; Dofus Ivoire; Dolmanax; Dofus Ocre; Dofus Turquoise; Dofus des Glaces; Fëanor</t>
        </is>
      </c>
    </row>
    <row r="21775">
      <c r="A21775" t="inlineStr">
        <is>
          <t>Xélor F 200</t>
        </is>
      </c>
      <c r="B21775">
        <f>HYPERLINK("https://www.dofusbook.net/fr/equipement/3835992-xelor-f-200/objets", "link")</f>
        <v/>
      </c>
      <c r="C21775" t="n">
        <v>3</v>
      </c>
      <c r="D21775" t="inlineStr">
        <is>
          <t>Rouleau à Pâtisserie d'Aermyne; Amulette d'Oshimo; Anneau Crustique; Anneau Instable; Sept ans de malheur; Ceinture Instable; Casque Dragoeuf; Cape d'Aermyne; Pataugastrique; Dofus Ocre; Dofus Ivoire; Dofus Vulbis; Engourdisseur majeur; Paralyseur majeur</t>
        </is>
      </c>
    </row>
    <row r="21776">
      <c r="A21776" t="inlineStr">
        <is>
          <t>Xélor F 200</t>
        </is>
      </c>
      <c r="B21776">
        <f>HYPERLINK("https://www.dofusbook.net/fr/equipement/3831288-xelor-f-200/objets", "link")</f>
        <v/>
      </c>
      <c r="C21776" t="n">
        <v>12</v>
      </c>
      <c r="D21776" t="inlineStr">
        <is>
          <t>Dagoulinantes; Collier Rophante; Anneau Crustique; Alliance Gloursonne; Sept ans de malheur; Menoture; Masque Ardent; Cape Ardente; Pataugastrique; Dofus Ivoire; Dofus Abyssal; Engourdisseur majeur; Paralyseur majeur; Étourdisseur; Étourdisseur majeur</t>
        </is>
      </c>
    </row>
    <row r="21777">
      <c r="A21777" t="inlineStr">
        <is>
          <t>Sadida M 200</t>
        </is>
      </c>
      <c r="B21777">
        <f>HYPERLINK("https://www.dofusbook.net/fr/equipement/3830810-sadida-m-200/objets", "link")</f>
        <v/>
      </c>
      <c r="C21777" t="n">
        <v>32</v>
      </c>
      <c r="D21777" t="inlineStr">
        <is>
          <t>Arc Honte; Pendentif mignon de Koutoulou; Alliance Gloursonne; Anneau Tique; Bouclier du Stalak; Ceinture de Vortex; Casque Cyclopéen; Cape Hiculteur; Pantoufles Émar; Dofus Pourpre; Dofus Ivoire; Dolmanax; Dofus des Glaces; Dofus Abyssal; Remueur; Chachyène</t>
        </is>
      </c>
    </row>
    <row r="21778">
      <c r="A21778" t="inlineStr">
        <is>
          <t>Eniripsa M 200</t>
        </is>
      </c>
      <c r="B21778">
        <f>HYPERLINK("https://www.dofusbook.net/fr/equipement/3829554-eniripsa-m-200/objets", "link")</f>
        <v/>
      </c>
      <c r="C21778" t="n">
        <v>10</v>
      </c>
      <c r="D21778" t="inlineStr">
        <is>
          <t>Dagoulinantes; Amulette de Shokkoth; Alliance Gloursonne; Anneau Volkorne; Cadran de Terre; Sangle Ouare; Némès de Tal Kasha; Chevelure de Tal Kasha; Pataugastrique; Dofus Pourpre; Dofus Ivoire; Dofus Ocre; Dofus Abyssal; Chanceux majeur; Étourdisseur majeur; Koalak Sanguin</t>
        </is>
      </c>
    </row>
    <row r="21779">
      <c r="A21779" t="inlineStr">
        <is>
          <t>Crâ M 200</t>
        </is>
      </c>
      <c r="B21779">
        <f>HYPERLINK("https://www.dofusbook.net/fr/equipement/3823655-cra-m-200/objets", "link")</f>
        <v/>
      </c>
      <c r="C21779" t="n">
        <v>2</v>
      </c>
      <c r="D21779" t="inlineStr">
        <is>
          <t>Az'tech; Amulette du Strigide; Alliance Gloursonne; Anneau Volkorne; Quatre-feuilles; Ceinture Volkorne; Masque de Funespadon; Cape au Logis; Bottes Honyme; Dofus Ocre; Dofus Ivoire; Dofus Turquoise; Dofus Nébuleux; Dofus Pourpre; Dofus des Glaces; Bébé Pandawa</t>
        </is>
      </c>
    </row>
    <row r="21780">
      <c r="A21780" t="inlineStr">
        <is>
          <t>Steamer M 200</t>
        </is>
      </c>
      <c r="B21780">
        <f>HYPERLINK("https://www.dofusbook.net/fr/equipement/3823112-steamer-m-200/objets", "link")</f>
        <v/>
      </c>
      <c r="C21780" t="n">
        <v>6</v>
      </c>
      <c r="D21780" t="inlineStr">
        <is>
          <t>Arc Volkorne; Amulette du Strigide; Anneau Volkorne; Alliance Gloursonne; Quatre-feuilles; Ceinture Volkorne; Casque Volkorne; Voile d'encre; Bottes du Strigide; Dofus des Glaces; Dofus Pourpre; Dolmanax; Dofus Ocre; Dofus Turquoise; Dofus Ivoire; Fëanor</t>
        </is>
      </c>
    </row>
    <row r="21781">
      <c r="A21781" t="inlineStr">
        <is>
          <t>Crâ M 200</t>
        </is>
      </c>
      <c r="B21781">
        <f>HYPERLINK("https://www.dofusbook.net/fr/equipement/3727316-cra-m-200/objets", "link")</f>
        <v/>
      </c>
      <c r="C21781" t="n">
        <v>6</v>
      </c>
      <c r="D21781" t="inlineStr">
        <is>
          <t>Dagoulinantes; Amulette de Shokkoth; Alliance Gloursonne; Anneau Volkorne; Cadran de Terre; Culotte de Bethel; Némès de Tal Kasha; Chevelure de Tal Kasha; Pataugastrique; Dofus Ocre; Dofus des Glaces; Étourdisseur majeur; Chanceux majeur; Nomade; Paralyseur majeur; Kramkram</t>
        </is>
      </c>
    </row>
    <row r="21782">
      <c r="A21782" t="inlineStr">
        <is>
          <t>Xélor F 200</t>
        </is>
      </c>
      <c r="B21782">
        <f>HYPERLINK("https://www.dofusbook.net/fr/equipement/3813343-xelor-f-200/objets", "link")</f>
        <v/>
      </c>
      <c r="C21782" t="n">
        <v>6</v>
      </c>
      <c r="D21782" t="inlineStr">
        <is>
          <t>Sabres d'Atcham; Amulette Ementaire Deluxe; Anneau Volkorne; Alliance Gloursonne; Cadran d'Eau; Ceinture Volkorne; Casque Volkorne; Cape d'Atcham; Sandales  d'Atcham; Dofus Pourpre; Dofus Ivoire; Dolmanax; Dofus Turquoise; Dofus Ocre; Dofus des Glaces; Mini Champion</t>
        </is>
      </c>
    </row>
    <row r="21783">
      <c r="A21783" t="inlineStr">
        <is>
          <t>Eniripsa M 200</t>
        </is>
      </c>
      <c r="B21783">
        <f>HYPERLINK("https://www.dofusbook.net/fr/equipement/3798528-eniripsa-m-200/objets", "link")</f>
        <v/>
      </c>
      <c r="C21783" t="n">
        <v>8</v>
      </c>
      <c r="D21783" t="inlineStr">
        <is>
          <t>Dagoulinantes; Amulette de Shokkoth; Anneau Zamour; Alliance Gloursonne; Cadran de Terre; Sangle Ouare; Némès de Tal Kasha; Cape Matelassée; Sandales de Tal Kasha; Dofus Ivoire; Dofus Abyssal; Dofus Ocre; Dofus des Glaces; Chanceux majeur; Étourdisseur majeur; Koalak Sanguin</t>
        </is>
      </c>
    </row>
    <row r="21784">
      <c r="A21784" t="inlineStr">
        <is>
          <t>Féca M 200</t>
        </is>
      </c>
      <c r="B21784">
        <f>HYPERLINK("https://www.dofusbook.net/fr/equipement/3808709-feca-m-200/objets", "link")</f>
        <v/>
      </c>
      <c r="C21784" t="n">
        <v>3</v>
      </c>
      <c r="D21784" t="inlineStr">
        <is>
          <t>Lav'Hache; Collier Rophante; Anneau Crustique; Anneau Crustique; Sept ans de malheur; Ceinture Volkorne; Masque de Koutoulou; Cape de la Cour Sombre; Bottes de la Cour Sombre; Dofus Ocre; Dofus Ivoire; Dofus Pourpre; Dofus Abyssal; Étourdisseur majeur; Enragé majeur; Drakopin</t>
        </is>
      </c>
    </row>
    <row r="21785">
      <c r="A21785" t="inlineStr">
        <is>
          <t>Sadida M 200</t>
        </is>
      </c>
      <c r="B21785">
        <f>HYPERLINK("https://www.dofusbook.net/fr/equipement/3806550-sadida-m-200/objets", "link")</f>
        <v/>
      </c>
      <c r="C21785" t="n">
        <v>9</v>
      </c>
      <c r="D21785" t="inlineStr">
        <is>
          <t>Arc Honte; Amulette Volkorne; Anneau Volkorne; Alliance Gloursonne; Bouclier du Stalak; Ceinture de l'Esprit Salvateur; Masque de l'Esprit Salvateur; Cape de l'Œil Putride; Bottes de l'Esprit Salvateur; Dofus Ocre; Dofus Ivoire; Dolmanax; Dofus Abyssal; Dofus Pourpre; Dofus des Glaces; Muldo Ebène et Pourpre</t>
        </is>
      </c>
    </row>
    <row r="21786">
      <c r="A21786" t="inlineStr">
        <is>
          <t>Crâ F 200</t>
        </is>
      </c>
      <c r="B21786">
        <f>HYPERLINK("https://www.dofusbook.net/fr/equipement/3798591-cra-f-200/objets", "link")</f>
        <v/>
      </c>
      <c r="C21786" t="n">
        <v>8</v>
      </c>
      <c r="D21786" t="inlineStr">
        <is>
          <t>Arc de Koutoulou; Amulette du Strigide; Alliance Gloursonne; Anneau Volkorne; Quatre-feuilles; Menoture; Casque Volkorne; Chevelure de Tal Kasha; Sandales de Tal Kasha; Dofus Turquoise; Dofus des Glaces; Dofus Pourpre; Dofus Ivoire; Dofus Vulbis; Dofus Ocre; Mini Wa</t>
        </is>
      </c>
    </row>
    <row r="21787">
      <c r="A21787" t="inlineStr">
        <is>
          <t>Roublard M 200</t>
        </is>
      </c>
      <c r="B21787">
        <f>HYPERLINK("https://www.dofusbook.net/fr/equipement/3797326-roublard-m-200/objets", "link")</f>
        <v/>
      </c>
      <c r="C21787" t="n">
        <v>2</v>
      </c>
      <c r="D21787" t="inlineStr">
        <is>
          <t>Dagoulinantes; Amulette de Shokkoth; Anneau Volkorne; Alliance Gloursonne; Cadran de Terre; Sangle Ouare; Némès de Tal Kasha; Chevelure de Tal Kasha; Pataugastrique; Dofus Abyssal; Dofus Ocre; Dofus Ivoire; Dofus des Glaces; Étourdisseur majeur; Chanceux majeur; Dragodinde Indigo et Ivoire</t>
        </is>
      </c>
    </row>
    <row r="21788">
      <c r="A21788" t="inlineStr">
        <is>
          <t>Crâ M 200</t>
        </is>
      </c>
      <c r="B21788">
        <f>HYPERLINK("https://www.dofusbook.net/fr/equipement/3796508-cra-m-200/objets", "link")</f>
        <v/>
      </c>
      <c r="C21788" t="n">
        <v>0</v>
      </c>
      <c r="D21788" t="inlineStr">
        <is>
          <t>Dagoulinantes; Amulette de Shokkoth; Anneau Volkorne; Alliance Gloursonne; Cadran de Terre; Culotte de Bethel; Némès de Tal Kasha; Chevelure de Tal Kasha; Pataugastrique; Dofus Ivoire; Dofus Vulbis; Dofus des Glaces; Chanceux majeur; Paralyseur majeur; Étourdisseur majeur; Volkorne Ivoire</t>
        </is>
      </c>
    </row>
    <row r="21789">
      <c r="A21789" t="inlineStr">
        <is>
          <t>Crâ M 200</t>
        </is>
      </c>
      <c r="B21789">
        <f>HYPERLINK("https://www.dofusbook.net/fr/equipement/3796474-cra-m-200/objets", "link")</f>
        <v/>
      </c>
      <c r="C21789" t="n">
        <v>0</v>
      </c>
      <c r="D21789" t="inlineStr">
        <is>
          <t>Dagoulinantes; Amulette de Shokkoth; Anneau Volkorne; Alliance Gloursonne; Cadran de Terre; Culotte de Bethel; Masque de Funespadon; Cape Solution; Pataugastrique; Dofus des Glaces; Dofus Ivoire; Dofus Vulbis; Paralyseur majeur; Étourdisseur majeur; Chanceux majeur; Minimino</t>
        </is>
      </c>
    </row>
    <row r="21790">
      <c r="A21790" t="inlineStr">
        <is>
          <t>Zobal M 200</t>
        </is>
      </c>
      <c r="B21790">
        <f>HYPERLINK("https://www.dofusbook.net/fr/equipement/3795738-zobal-m-200/objets", "link")</f>
        <v/>
      </c>
      <c r="C21790" t="n">
        <v>0</v>
      </c>
      <c r="D21790" t="inlineStr">
        <is>
          <t>Hachoirs de Viandargh; Amulette du Strigide; Alliance Gloursonne; Anneau de Padgref; Cadran d'Eau; Menoture; Dorabysses; Chevelure de Tal Kasha; Sandales de Tal Kasha; Dofus Vulbis; Dofus Ivoire; Dofus Turquoise; Dofus Ocre; Dofus Pourpre; Cascadeur majeur; Dragodinde Ebène et Ivoire</t>
        </is>
      </c>
    </row>
    <row r="21791">
      <c r="A21791" t="inlineStr">
        <is>
          <t>Sacrieur F 200</t>
        </is>
      </c>
      <c r="B21791">
        <f>HYPERLINK("https://www.dofusbook.net/fr/equipement/3795560-sacrieur-f-200/objets", "link")</f>
        <v/>
      </c>
      <c r="C21791" t="n">
        <v>0</v>
      </c>
      <c r="D21791" t="inlineStr">
        <is>
          <t>Lav'Hache; Amulette du Strigide; Bague Gloursonne; Anneau Chevelu; Bouclier d'Ilyzaelle; Ceinture Volkorne; Masque de Koutoulou; Cape au Logis; Bottes du Strigide; Dofus Ocre; Dofus Pourpre; Dofus des Glaces; Dofus Ivoire; Dofus Turquoise; Enragé majeur; Dragodinde Ivoire et Pourpre</t>
        </is>
      </c>
    </row>
    <row r="21792">
      <c r="A21792" t="inlineStr">
        <is>
          <t>Sacrieur M 200</t>
        </is>
      </c>
      <c r="B21792">
        <f>HYPERLINK("https://www.dofusbook.net/fr/equipement/3795238-sacrieur-m-200/objets", "link")</f>
        <v/>
      </c>
      <c r="C21792" t="n">
        <v>5</v>
      </c>
      <c r="D21792" t="inlineStr">
        <is>
          <t>Dagoulinantes; Amulette du Strigide; Alliance Gloursonne; Anneau Volkorne; Quatre-feuilles; Sangle Ouare; Némès de Tal Kasha; Chevelure de Tal Kasha; Pataugastrique; Dofus Turquoise; Dofus Ivoire; Dofus des Glaces; Dofus Pourpre; Dofus Ocre; Chanceux majeur; Dragodinde Indigo et Ivoire</t>
        </is>
      </c>
    </row>
    <row r="21793">
      <c r="A21793" t="inlineStr">
        <is>
          <t>Zobal M 200</t>
        </is>
      </c>
      <c r="B21793">
        <f>HYPERLINK("https://www.dofusbook.net/fr/equipement/3790975-zobal-m-200/objets", "link")</f>
        <v/>
      </c>
      <c r="C21793" t="n">
        <v>0</v>
      </c>
      <c r="D21793" t="inlineStr">
        <is>
          <t>Lav'Hache; Amulette du Strigide; Anneau Crustique; Anneau Crustique; Cadran de Terre; Ceinture Volkorne; Masque de Koutoulou; Cape au Logis; Chaussons de Macrab; Dofus Ocre; Dofus Abyssal; Dofus Turquoise; Dofus Ivoire; Dofus Pourpre; Enragé majeur; Boskito</t>
        </is>
      </c>
    </row>
    <row r="21794">
      <c r="A21794" t="inlineStr">
        <is>
          <t>Crâ M 200</t>
        </is>
      </c>
      <c r="B21794">
        <f>HYPERLINK("https://www.dofusbook.net/fr/equipement/3787162-cra-m-200/objets", "link")</f>
        <v/>
      </c>
      <c r="C21794" t="n">
        <v>0</v>
      </c>
      <c r="D21794" t="inlineStr">
        <is>
          <t>Arc corrompu; Amulette Séculaire; Anneauræus; Anneauræus; Bouclier du Stalak; Ceinture Séculaire; Heaume Oplate; Voile d'encre; Pataugastrique; Dofus des Glaces; Dofus Turquoise; Dofus Pourpre; Nomade; Dévastateur Feu majeur; Érudit majeur; Dragodinde Ivoire et Orchidée</t>
        </is>
      </c>
    </row>
    <row r="21795">
      <c r="A21795" t="inlineStr">
        <is>
          <t>Eniripsa F 200</t>
        </is>
      </c>
      <c r="B21795">
        <f>HYPERLINK("https://www.dofusbook.net/fr/equipement/3784908-eniripsa-f-200/objets", "link")</f>
        <v/>
      </c>
      <c r="C21795" t="n">
        <v>0</v>
      </c>
      <c r="D21795" t="inlineStr">
        <is>
          <t>Dagoulinantes; Amulette du Strigide; Anneau Volkorne; Alliance Gloursonne; Cadran de Terre; Sangle Ouare; Némès de Tal Kasha; Chevelure de Tal Kasha; Pataugastrique</t>
        </is>
      </c>
    </row>
    <row r="21796">
      <c r="A21796" t="inlineStr">
        <is>
          <t>Sadida M 200</t>
        </is>
      </c>
      <c r="B21796">
        <f>HYPERLINK("https://www.dofusbook.net/fr/equipement/3782343-sadida-m-200/objets", "link")</f>
        <v/>
      </c>
      <c r="C21796" t="n">
        <v>5</v>
      </c>
      <c r="D21796" t="inlineStr">
        <is>
          <t>Lav'Hache; Collier de Tourthon; Anneau Chevelu; Bague Gloursonne; Bouclier du Stalak; Ceinture Volkorne; Masque de Koutoulou; Cape au Logis; Bottes de la Cour Sombre; Dofus Abyssal; Dofus Pourpre; Dofus Ivoire; Dofus Ocre; Enragé majeur; Dragodinde Ivoire et Pourpre</t>
        </is>
      </c>
    </row>
    <row r="21797">
      <c r="A21797" t="inlineStr">
        <is>
          <t>Crâ M 200</t>
        </is>
      </c>
      <c r="B21797">
        <f>HYPERLINK("https://www.dofusbook.net/fr/equipement/3778866-cra-m-200/objets", "link")</f>
        <v/>
      </c>
      <c r="C21797" t="n">
        <v>3</v>
      </c>
      <c r="D21797" t="inlineStr">
        <is>
          <t>Dagoulinantes; Amulette de Shokkoth; Anneau Volkorne; Alliance Gloursonne; Cadran de Terre; Ceinture Glaciale; Némès de Tal Kasha; Chevelure de Tal Kasha; Pataugastrique; Dofus Ocre; Dokoko; Dofus des Glaces; Dofus Pourpre; Dofus Ivoire; Nomade; Kanigloups</t>
        </is>
      </c>
    </row>
    <row r="21798">
      <c r="A21798" t="inlineStr">
        <is>
          <t>Zobal M 200</t>
        </is>
      </c>
      <c r="B21798">
        <f>HYPERLINK("https://www.dofusbook.net/fr/equipement/3775138-zobal-m-200/objets", "link")</f>
        <v/>
      </c>
      <c r="C21798" t="n">
        <v>2</v>
      </c>
      <c r="D21798" t="inlineStr">
        <is>
          <t>Sabres d'Atcham; Amulette Volkorne; Alliance Gloursonne; Anneau Volkorne; Cadran d'Eau; Sangle Ouare; Némès de Tal Kasha; Cape d'Atcham; Sandales  d'Atcham; Dofus des Glaces; Dofus Turquoise; Dofus Ivoire; Dolmanax; Dofus Pourpre; Dofus Ocre; Bwak d'Air</t>
        </is>
      </c>
    </row>
    <row r="21799">
      <c r="A21799" t="inlineStr">
        <is>
          <t>Zobal F 200</t>
        </is>
      </c>
      <c r="B21799">
        <f>HYPERLINK("https://www.dofusbook.net/fr/equipement/3774260-zobal-f-200/objets", "link")</f>
        <v/>
      </c>
      <c r="C21799" t="n">
        <v>5</v>
      </c>
      <c r="D21799" t="inlineStr">
        <is>
          <t>Épée Brûlâme; Amulette Volkorne; Alliance Gloursonne; Anneau Volkorne; Cadran d'Eau; Ceinture de l'Esprit Malsain; Casquette de Meno; Voile d'encre; Pataugastrique; Dofus Ocre; Dofus des Glaces; Dofus Turquoise; Dofus Ivoire; Dofus Pourpre; Walk</t>
        </is>
      </c>
    </row>
    <row r="21800">
      <c r="A21800" t="inlineStr">
        <is>
          <t>Ecaflip M 200</t>
        </is>
      </c>
      <c r="B21800">
        <f>HYPERLINK("https://www.dofusbook.net/fr/equipement/3772692-ecaflip-m-200/objets", "link")</f>
        <v/>
      </c>
      <c r="C21800" t="n">
        <v>8</v>
      </c>
      <c r="D21800" t="inlineStr">
        <is>
          <t>Lav'Hache; Torquistik; Bague Trithon; Bague Gloursonne; Bouclier Taverne; Ceinture Gence; Masque de Koutoulou; Cape au Logis; Bottistik; Dofus Abyssal; Dofus Ivoire; Dofus Turquoise; Culbuteur majeur; Enragé majeur; Bousculeur majeur</t>
        </is>
      </c>
    </row>
    <row r="21801">
      <c r="A21801" t="inlineStr">
        <is>
          <t>Xélor F 200</t>
        </is>
      </c>
      <c r="B21801">
        <f>HYPERLINK("https://www.dofusbook.net/fr/equipement/3772691-xelor-f-200/objets", "link")</f>
        <v/>
      </c>
      <c r="C21801" t="n">
        <v>0</v>
      </c>
      <c r="D21801" t="inlineStr"/>
    </row>
    <row r="21802">
      <c r="A21802" t="inlineStr">
        <is>
          <t>Xélor F 200</t>
        </is>
      </c>
      <c r="B21802">
        <f>HYPERLINK("https://www.dofusbook.net/fr/equipement/3769092-xelor-f-200/objets", "link")</f>
        <v/>
      </c>
      <c r="C21802" t="n">
        <v>10</v>
      </c>
      <c r="D21802" t="inlineStr">
        <is>
          <t>Hache Ériphe; Amulette du Cœur Vaillant; Alliance Gloursonne; Bague Trithon; Quatre-feuilles; Ceinture Volkorne; Casque Volkorne; Voile d'encre; Baleinabottes; Dofus Turquoise; Dofus Ocre; Dofus des Glaces; Dofus Pourpre; Dofus Ivoire; Dofus Vulbis; Mékrabe</t>
        </is>
      </c>
    </row>
    <row r="21803">
      <c r="A21803" t="inlineStr">
        <is>
          <t>Ecaflip M 200</t>
        </is>
      </c>
      <c r="B21803">
        <f>HYPERLINK("https://www.dofusbook.net/fr/equipement/3771104-ecaflip-m-200/objets", "link")</f>
        <v/>
      </c>
      <c r="C21803" t="n">
        <v>0</v>
      </c>
      <c r="D21803" t="inlineStr">
        <is>
          <t>Lav'Hache; Amulette du Cœur Vaillant; Anneau Chevelu; Bague Gloursonne; Ceinture Gence; Masque de Koutoulou; Cape au Logis</t>
        </is>
      </c>
    </row>
    <row r="21804">
      <c r="A21804" t="inlineStr">
        <is>
          <t>Xélor F 200</t>
        </is>
      </c>
      <c r="B21804">
        <f>HYPERLINK("https://www.dofusbook.net/fr/equipement/3771012-xelor-f-200/objets", "link")</f>
        <v/>
      </c>
      <c r="C21804" t="n">
        <v>10</v>
      </c>
      <c r="D21804" t="inlineStr">
        <is>
          <t>Hache Ériphe; Amulette du Strigide; Alliance Gloursonne; Alliance Brûlâme; Quatre-feuilles; Ceinture Volkorne; Casque Volkorne; Cape au Logis; Baleinabottes; Dofus Turquoise; Dofus Ocre; Dofus des Glaces; Dofus Pourpre; Dofus Ivoire; Mékrabe</t>
        </is>
      </c>
    </row>
    <row r="21805">
      <c r="A21805" t="inlineStr">
        <is>
          <t>Xélor F 200</t>
        </is>
      </c>
      <c r="B21805">
        <f>HYPERLINK("https://www.dofusbook.net/fr/equipement/3769176-xelor-f-200/objets", "link")</f>
        <v/>
      </c>
      <c r="C21805" t="n">
        <v>8</v>
      </c>
      <c r="D21805" t="inlineStr">
        <is>
          <t>Arc corrompu; Collier Rophante; Anneau Crustique; Anneau Crustique; Sept ans de malheur; Menoture; Casque Dragoeuf; Cape Ardente; Chaussures Ardentes; Dofus Ivoire; Dofus Ocre; Dofus Abyssal; Étourdisseur majeur; Paralyseur majeur; Engourdisseur majeur; Drakopin</t>
        </is>
      </c>
    </row>
    <row r="21806">
      <c r="A21806" t="inlineStr">
        <is>
          <t>Sacrieur M 200</t>
        </is>
      </c>
      <c r="B21806">
        <f>HYPERLINK("https://www.dofusbook.net/fr/equipement/3767526-sacrieur-m-200/objets", "link")</f>
        <v/>
      </c>
      <c r="C21806" t="n">
        <v>110</v>
      </c>
      <c r="D21806" t="inlineStr">
        <is>
          <t>Manthache; Collier Rophante; Alliance Gloursonne; Gant du Valet Veinard; Bouclier d'Ilyzaelle; Menoture; Masque d'Anerice; Cape d'Anerice; Palmes Trithons; Dofus Émeraude; Dofus Abyssal; Dofus Ivoire; Remueur; Cascadeur majeur; Miraculé majeur</t>
        </is>
      </c>
    </row>
    <row r="21807">
      <c r="A21807" t="inlineStr">
        <is>
          <t>Féca M 200</t>
        </is>
      </c>
      <c r="B21807">
        <f>HYPERLINK("https://www.dofusbook.net/fr/equipement/3762523-feca-m-200/objets", "link")</f>
        <v/>
      </c>
      <c r="C21807" t="n">
        <v>0</v>
      </c>
      <c r="D21807" t="inlineStr">
        <is>
          <t>Canne Harr; Amulette Volkorne; Alliance Gloursonne; Anneau Tique; Cadran d'Eau; Menoture; Casque Volkorne; Voile d'encre; Sabots de Vortex; Dofus Pourpre; Dofus Ocre; Dofus des Glaces; Dofus Turquoise; Dofus Ivoire; Dofus Vulbis; Gerbouille</t>
        </is>
      </c>
    </row>
    <row r="21808">
      <c r="A21808" t="inlineStr">
        <is>
          <t>Crâ M 200</t>
        </is>
      </c>
      <c r="B21808">
        <f>HYPERLINK("https://www.dofusbook.net/fr/equipement/3758590-cra-m-200/objets", "link")</f>
        <v/>
      </c>
      <c r="C21808" t="n">
        <v>0</v>
      </c>
      <c r="D21808" t="inlineStr"/>
    </row>
    <row r="21809">
      <c r="A21809" t="inlineStr">
        <is>
          <t>Enutrof M 200</t>
        </is>
      </c>
      <c r="B21809">
        <f>HYPERLINK("https://www.dofusbook.net/fr/equipement/3752979-enutrof-m-200/objets", "link")</f>
        <v/>
      </c>
      <c r="C21809" t="n">
        <v>3</v>
      </c>
      <c r="D21809" t="inlineStr">
        <is>
          <t>Baguette de Malléfisk; Amulette de Nileza; Anneau Tique; Anneauræus; Carapar; Ceinture de Vortex; Heaume Oplate; Cape Ardente; Chaussures Ardentes; Dofus Abyssal; Dofus Ivoire; Miraculé majeur; Guérisseur majeur; Remueur; Érudit majeur; Muldo Orchidée et Pourpre</t>
        </is>
      </c>
    </row>
    <row r="21810">
      <c r="A21810" t="inlineStr">
        <is>
          <t>Ecaflip M 200</t>
        </is>
      </c>
      <c r="B21810">
        <f>HYPERLINK("https://www.dofusbook.net/fr/equipement/3752963-ecaflip-m-200/objets", "link")</f>
        <v/>
      </c>
      <c r="C21810" t="n">
        <v>5</v>
      </c>
      <c r="D21810" t="inlineStr">
        <is>
          <t>Manthache; Collier du Valet Veinard; Alliance Gloursonne; Gant du Valet Veinard; Bouclier du Stalak; Menoture; Dorabysses; Chevelure de Tal Kasha; Palmes Trithons; Dofus Abyssal; Dofus Ivoire; Dofus Pourpre; Nomade; Remueur; Cascadeur majeur; Croum</t>
        </is>
      </c>
    </row>
    <row r="21811">
      <c r="A21811" t="inlineStr">
        <is>
          <t>Sadida F 200</t>
        </is>
      </c>
      <c r="B21811">
        <f>HYPERLINK("https://www.dofusbook.net/fr/equipement/3752926-sadida-f-200/objets", "link")</f>
        <v/>
      </c>
      <c r="C21811" t="n">
        <v>3</v>
      </c>
      <c r="D21811" t="inlineStr">
        <is>
          <t>Lav'Hache; Collier de Tourthon; Pikano; Bague Gloursonne; Bouclier du Stalak; Ceinture Luthe; Masque de Koutoulou; Cape au Logis; Pikottes; Dofus Pourpre; Dofus Abyssal; Dofus Ivoire; Remueur; Enragé majeur; Miraculé majeur; Croum</t>
        </is>
      </c>
    </row>
    <row r="21812">
      <c r="A21812" t="inlineStr">
        <is>
          <t>Xélor M 200</t>
        </is>
      </c>
      <c r="B21812">
        <f>HYPERLINK("https://www.dofusbook.net/fr/equipement/3749915-xelor-m-200/objets", "link")</f>
        <v/>
      </c>
      <c r="C21812" t="n">
        <v>8</v>
      </c>
      <c r="D21812" t="inlineStr">
        <is>
          <t>Dagues Ricol; Amulette du Strigide; Bague Gloursonne; Anneau de Padgref; Bouclier du Captain Amakna; Ceinture du Strigide; Coiffe de Padgref; Cape d'Atcham; Getas de Padgref; Dofus des Glaces; Dofus Vulbis; Dolmanax; Dofus Turquoise; Dofus Nébuleux; Dofus Ocre; Dragodinde Ivoire et Orchidée</t>
        </is>
      </c>
    </row>
    <row r="21813">
      <c r="A21813" t="inlineStr">
        <is>
          <t>Huppermage F 200</t>
        </is>
      </c>
      <c r="B21813">
        <f>HYPERLINK("https://www.dofusbook.net/fr/equipement/3745317-huppermage-f-200/objets", "link")</f>
        <v/>
      </c>
      <c r="C21813" t="n">
        <v>0</v>
      </c>
      <c r="D21813" t="inlineStr">
        <is>
          <t>Arc corrompu; Pendentif mignon de Koutoulou; Alliance Gloursonne; Anneau Tique; Cadran de Terre; Ceinture de Vortex; Cagoule de Vortex; Cape de Diondin; Chaussures Ardentes; Dofus Ocre; Dofus Ivoire; Dofus Pourpre; Dofus des Glaces; Paralyseur majeur; Étourdisseur majeur; Kramkram</t>
        </is>
      </c>
    </row>
    <row r="21814">
      <c r="A21814" t="inlineStr">
        <is>
          <t>Enutrof M 200</t>
        </is>
      </c>
      <c r="B21814">
        <f>HYPERLINK("https://www.dofusbook.net/fr/equipement/3731753-enutrof-m-200/objets", "link")</f>
        <v/>
      </c>
      <c r="C21814" t="n">
        <v>9</v>
      </c>
      <c r="D21814" t="inlineStr">
        <is>
          <t>Lance Horselé; Collier du Valet Veinard; Gant du Valet Veinard; Alliance Gloursonne; Cadran de Terre; Menoture; Dorabysses; Chevelure de Tal Kasha; Palmes Trithons; Dofus Ivoire; Dofus Abyssal; Étourdisseur majeur; Cascadeur majeur; Remueur; Engourdisseur majeur; Muldo Ebène et Indigo</t>
        </is>
      </c>
    </row>
    <row r="21815">
      <c r="A21815" t="inlineStr">
        <is>
          <t>Enutrof M 200</t>
        </is>
      </c>
      <c r="B21815">
        <f>HYPERLINK("https://www.dofusbook.net/fr/equipement/3720394-enutrof-m-200/objets", "link")</f>
        <v/>
      </c>
      <c r="C21815" t="n">
        <v>12</v>
      </c>
      <c r="D21815" t="inlineStr">
        <is>
          <t>Dagoulinantes; Amulette de Shokkoth; Alliance Gloursonne; Anneau Volkorne; Bouclier du Stalak; Ceinture de la Reine des Voleurs; Capuche de l'Œil Attentif; Cape Solution; Bottes de la Reine des Voleurs; Dofus Ivoire; Dofus Vulbis; Dofus Pourpre; Dofus Ocre; Dofus des Glaces; Dévastateur Eau majeur; Dragodinde Indigo et Ivoire</t>
        </is>
      </c>
    </row>
    <row r="21816">
      <c r="A21816" t="inlineStr">
        <is>
          <t>Eliotrope M 200</t>
        </is>
      </c>
      <c r="B21816">
        <f>HYPERLINK("https://www.dofusbook.net/fr/equipement/3738893-eliotrope-m-200/objets", "link")</f>
        <v/>
      </c>
      <c r="C21816" t="n">
        <v>8</v>
      </c>
      <c r="D21816" t="inlineStr">
        <is>
          <t>Arc corrompu; Amulette de Nileza; Anneauræus; Anneauræus; Bouclier du Stalak; Ceinture de Vortex; Heaume Oplate; Cape de Nileza; Chaussures Ardentes; Dofus Abyssal; Dofus Ivoire; Dofus Vulbis; Dofus Pourpre; Dofus Ocre; Érudit majeur; Dragodinde Ivoire et Orchidée</t>
        </is>
      </c>
    </row>
    <row r="21817">
      <c r="A21817" t="inlineStr">
        <is>
          <t>Eliotrope M 200</t>
        </is>
      </c>
      <c r="B21817">
        <f>HYPERLINK("https://www.dofusbook.net/fr/equipement/3738230-eliotrope-m-200/objets", "link")</f>
        <v/>
      </c>
      <c r="C21817" t="n">
        <v>4</v>
      </c>
      <c r="D21817" t="inlineStr">
        <is>
          <t>Sceptre du Roi Joueur; Amulette de Shokkoth; Alliance Gloursonne; Anneau Volkorne; Bouclier du Stalak; Sangle Ouare; Masque des Fonds marins; Cape Solution; Sandales des Fonds marins; Dofus des Glaces; Dofus Abyssal; Dofus Ivoire; Dofus Pourpre; Remueur; Chanceux majeur; Dragodinde Indigo et Ivoire</t>
        </is>
      </c>
    </row>
    <row r="21818">
      <c r="A21818" t="inlineStr">
        <is>
          <t>Crâ F 200</t>
        </is>
      </c>
      <c r="B21818">
        <f>HYPERLINK("https://www.dofusbook.net/fr/equipement/3737722-cra-f-200/objets", "link")</f>
        <v/>
      </c>
      <c r="C21818" t="n">
        <v>0</v>
      </c>
      <c r="D21818" t="inlineStr">
        <is>
          <t>Arc corrompu; Amulette Séculaire; Anneauræus; Anneauræus; Ceinture de Vortex; Heaume Oplate; Voile d'encre; Pataugastrique</t>
        </is>
      </c>
    </row>
    <row r="21819">
      <c r="A21819" t="inlineStr">
        <is>
          <t>Iop M 200</t>
        </is>
      </c>
      <c r="B21819">
        <f>HYPERLINK("https://www.dofusbook.net/fr/equipement/3736198-iop-m-200/objets", "link")</f>
        <v/>
      </c>
      <c r="C21819" t="n">
        <v>3</v>
      </c>
      <c r="D21819" t="inlineStr">
        <is>
          <t>Marteau R'ture; Amulette du Strigide; Bague Gloursonne; Anneau Crustique; Bouclier du Captain Amakna; Ceinture Volkorne; Masque de Koutoulou; Cape au Logis; Bottes du Strigide; Dofus des Glaces; Dofus Ocre; Dofus Pourpre; Dofus Turquoise; Enragé majeur; Forcené majeur; Dragodinde Ivoire et Pourpre</t>
        </is>
      </c>
    </row>
    <row r="21820">
      <c r="A21820" t="inlineStr">
        <is>
          <t>Xélor F 200</t>
        </is>
      </c>
      <c r="B21820">
        <f>HYPERLINK("https://www.dofusbook.net/fr/equipement/3731905-xelor-f-200/objets", "link")</f>
        <v/>
      </c>
      <c r="C21820" t="n">
        <v>0</v>
      </c>
      <c r="D21820" t="inlineStr">
        <is>
          <t>Sceptre du Roi Joueur; Amulette du Sinistrofu; Anneau Volkorne; Alliance Gloursonne; Quatre-feuilles; Sangle Ouare; Capuche de l'Œil Attentif; Cape Solution; Bottes du Sinistrofu; Dofus Ocre; Dofus Turquoise; Dofus Ivoire; Dofus des Glaces; Dofus Pourpre; Chanceux majeur; Dragodinde Indigo et Ivoire</t>
        </is>
      </c>
    </row>
    <row r="21821">
      <c r="A21821" t="inlineStr">
        <is>
          <t>Sadida M 200</t>
        </is>
      </c>
      <c r="B21821">
        <f>HYPERLINK("https://www.dofusbook.net/fr/equipement/3731725-sadida-m-200/objets", "link")</f>
        <v/>
      </c>
      <c r="C21821" t="n">
        <v>2</v>
      </c>
      <c r="D21821" t="inlineStr">
        <is>
          <t>Arc Ontanporin; Amulette du Sinistrofu; Alliance Gloursonne; Bracelet des Fonds marins; Bouclier du Stalak; Sangle Ouare; Capuche de l'Œil Attentif; Cape Solution; Bottes du Sinistrofu; Dofus Pourpre; Dofus Ivoire; Dofus Abyssal; Miraculé majeur; Remueur; Chanceux majeur; Croum</t>
        </is>
      </c>
    </row>
    <row r="21822">
      <c r="A21822" t="inlineStr">
        <is>
          <t>Féca M 200</t>
        </is>
      </c>
      <c r="B21822">
        <f>HYPERLINK("https://www.dofusbook.net/fr/equipement/3731722-feca-m-200/objets", "link")</f>
        <v/>
      </c>
      <c r="C21822" t="n">
        <v>0</v>
      </c>
      <c r="D21822" t="inlineStr"/>
    </row>
    <row r="21823">
      <c r="A21823" t="inlineStr">
        <is>
          <t>Ecaflip M 200</t>
        </is>
      </c>
      <c r="B21823">
        <f>HYPERLINK("https://www.dofusbook.net/fr/equipement/3730660-ecaflip-m-200/objets", "link")</f>
        <v/>
      </c>
      <c r="C21823" t="n">
        <v>10</v>
      </c>
      <c r="D21823" t="inlineStr">
        <is>
          <t>Arc corrompu; Collier de la Dame du Hasard; Anneauræus; Anneauræus; Bouclier du Stalak; Ceinture de l'Esprit Malsain; Heaume Oplate; Cape Ardente; Bottes de la Dame du Hasard; Dofus Turquoise; Dofus Vulbis; Dofus Pourpre; Dofus Ocre; Dofus Ivoire; Érudit majeur; Dragodinde Ivoire et Orchidée</t>
        </is>
      </c>
    </row>
    <row r="21824">
      <c r="A21824" t="inlineStr">
        <is>
          <t>Crâ M 200</t>
        </is>
      </c>
      <c r="B21824">
        <f>HYPERLINK("https://www.dofusbook.net/fr/equipement/3729010-cra-m-200/objets", "link")</f>
        <v/>
      </c>
      <c r="C21824" t="n">
        <v>0</v>
      </c>
      <c r="D21824" t="inlineStr"/>
    </row>
    <row r="21825">
      <c r="A21825" t="inlineStr">
        <is>
          <t>Ecaflip M 200</t>
        </is>
      </c>
      <c r="B21825">
        <f>HYPERLINK("https://www.dofusbook.net/fr/equipement/3687587-ecaflip-m-200/objets", "link")</f>
        <v/>
      </c>
      <c r="C21825" t="n">
        <v>30</v>
      </c>
      <c r="D21825" t="inlineStr">
        <is>
          <t>Sceptre du Roi Joueur; Amulette de Shokkoth; Alliance Gloursonne; Anneau Volkorne; Bouclier du Stalak; Sangle Ouare; Némès de Tal Kasha; Cape Solution; Sandales de Tal Kasha; Dofus des Glaces; Dofus Ivoire; Dofus Turquoise; Dofus Ocre; Dofus Pourpre; Chanceux majeur; Croum</t>
        </is>
      </c>
    </row>
    <row r="21826">
      <c r="A21826" t="inlineStr">
        <is>
          <t>Ecaflip M 200</t>
        </is>
      </c>
      <c r="B21826">
        <f>HYPERLINK("https://www.dofusbook.net/fr/equipement/3708266-ecaflip-m-200/objets", "link")</f>
        <v/>
      </c>
      <c r="C21826" t="n">
        <v>5</v>
      </c>
      <c r="D21826" t="inlineStr">
        <is>
          <t>Amulette de l'Œil Attentif; Alliance Gloursonne; Bague Trithon; Bouclier du Stalak; Sangle Ouare; Casquette de Meno; Cape de l'Œil Attentif; Pataugastrique; Dofus Pourpre; Dofus Turquoise; Dofus Ocre; Dofus Ivoire; Chanceux majeur; Évasif majeur; Croum</t>
        </is>
      </c>
    </row>
    <row r="21827">
      <c r="A21827" t="inlineStr">
        <is>
          <t>Xélor agi esq</t>
        </is>
      </c>
      <c r="B21827">
        <f>HYPERLINK("https://www.dofusbook.net/fr/equipement/3708209-xelor-agi-esq/objets", "link")</f>
        <v/>
      </c>
      <c r="C21827" t="n">
        <v>5</v>
      </c>
      <c r="D21827" t="inlineStr">
        <is>
          <t>Manthache; Collier du Valet Veinard; Gant du Valet Veinard; Alliance Gloursonne; Bouclier du Stalak; Menoture; Chapeau de Tournoyé; Cape du Kamasterisk; Palmes Trithons; Dofus Pourpre; Dofus Ivoire; Nomade; Évasif majeur; Remueur; Cascadeur majeur; Croum</t>
        </is>
      </c>
    </row>
    <row r="21828">
      <c r="A21828" t="inlineStr">
        <is>
          <t>Enutrof M 200</t>
        </is>
      </c>
      <c r="B21828">
        <f>HYPERLINK("https://www.dofusbook.net/fr/equipement/3703491-enutrof-m-200/objets", "link")</f>
        <v/>
      </c>
      <c r="C21828" t="n">
        <v>0</v>
      </c>
      <c r="D21828" t="inlineStr">
        <is>
          <t>Dagoulinantes; Amulette de Shokkoth; Alliance Gloursonne; Bracelet des Fonds marins; Bouclier du Stalak; Ceinture de la Reine des Voleurs; Capuche de l'Œil Attentif; Cape Solution; Bottes de la Reine des Voleurs; Dofus Abyssal; Dofus des Glaces; Dofus Ocre; Dévastateur Eau majeur; Nomade; Chanceux majeur</t>
        </is>
      </c>
    </row>
    <row r="21829">
      <c r="A21829" t="inlineStr">
        <is>
          <t>Sadida F 200</t>
        </is>
      </c>
      <c r="B21829">
        <f>HYPERLINK("https://www.dofusbook.net/fr/equipement/3690122-sadida-f-200/objets", "link")</f>
        <v/>
      </c>
      <c r="C21829" t="n">
        <v>11</v>
      </c>
      <c r="D21829" t="inlineStr">
        <is>
          <t>Lav'Hache; Collier de Tourthon; Pikano; Bague Gloursonne; Bouclier du Stalak; Ceinture Volkorne; Masque de Koutoulou; Cape au Logis; Pikottes; Dofus Turquoise; Dofus Abyssal; Dofus Pourpre; Dofus Ocre; Dofus Ivoire; Enragé majeur; El Scarador</t>
        </is>
      </c>
    </row>
    <row r="21830">
      <c r="A21830" t="inlineStr">
        <is>
          <t>Xélor ret</t>
        </is>
      </c>
      <c r="B21830">
        <f>HYPERLINK("https://www.dofusbook.net/fr/equipement/3686874-xelor-ret/objets", "link")</f>
        <v/>
      </c>
      <c r="C21830" t="n">
        <v>5</v>
      </c>
      <c r="D21830" t="inlineStr">
        <is>
          <t>Arc corrompu; Collier Rophante; Alliance Gloursonne; Anneau Crustique; Sept ans de malheur; Menoture; Masque Ardent; Cape Ardente; Pataugastrique; Dofus Abyssal; Dofus Ivoire; Paralyseur majeur; Étourdisseur majeur; Étourdisseur; Engourdisseur majeur; Croum</t>
        </is>
      </c>
    </row>
    <row r="21831">
      <c r="A21831" t="inlineStr">
        <is>
          <t>Ecaflip M 200</t>
        </is>
      </c>
      <c r="B21831">
        <f>HYPERLINK("https://www.dofusbook.net/fr/equipement/3684614-ecaflip-m-200/objets", "link")</f>
        <v/>
      </c>
      <c r="C21831" t="n">
        <v>0</v>
      </c>
      <c r="D21831" t="inlineStr"/>
    </row>
    <row r="21832">
      <c r="A21832" t="inlineStr">
        <is>
          <t>Iop F 200</t>
        </is>
      </c>
      <c r="B21832">
        <f>HYPERLINK("https://www.dofusbook.net/fr/equipement/3684549-iop-f-200/objets", "link")</f>
        <v/>
      </c>
      <c r="C21832" t="n">
        <v>8</v>
      </c>
      <c r="D21832" t="inlineStr">
        <is>
          <t>Arc corrompu; Amulette du Strigide; Anneauræus; Anneauræus; Quatre-feuilles; Ceinture Séculaire; Coiffe Séculaire; Voile d'encre; Bottes Honyme; Dofus Pourpre; Dofus Ivoire; Dofus Turquoise; Érudit majeur; Remueur; Nomade; Dragodinde Ivoire et Orchidée</t>
        </is>
      </c>
    </row>
    <row r="21833">
      <c r="A21833" t="inlineStr">
        <is>
          <t>Ecaflip M 200</t>
        </is>
      </c>
      <c r="B21833">
        <f>HYPERLINK("https://www.dofusbook.net/fr/equipement/3682863-ecaflip-m-200/objets", "link")</f>
        <v/>
      </c>
      <c r="C21833" t="n">
        <v>0</v>
      </c>
      <c r="D21833" t="inlineStr"/>
    </row>
    <row r="21834">
      <c r="A21834" t="inlineStr">
        <is>
          <t>eca test xd</t>
        </is>
      </c>
      <c r="B21834">
        <f>HYPERLINK("https://www.dofusbook.net/fr/equipement/3671929-eca-test-xd/objets", "link")</f>
        <v/>
      </c>
      <c r="C21834" t="n">
        <v>0</v>
      </c>
      <c r="D21834" t="inlineStr">
        <is>
          <t>Epée Maudite du Saigneur Guerrier; Amulette du Strigide; Anneau de Padgref; Anneau Volkorne; Bouclier du Captain Amakna; Ceinture Volkorne; Masque Brûlâme; Chevelure de Tal Kasha; Bottes Honyme; Dolmanax; Dofus Pourpre; Dofus Ivoire; Dofus des Glaces; Dofus Ocre; Dofus Turquoise; Muldo Prune et Emeraude</t>
        </is>
      </c>
    </row>
    <row r="21835">
      <c r="A21835" t="inlineStr">
        <is>
          <t>Ecaflip feu</t>
        </is>
      </c>
      <c r="B21835">
        <f>HYPERLINK("https://www.dofusbook.net/fr/equipement/3671697-ecaflip-feu/objets", "link")</f>
        <v/>
      </c>
      <c r="C21835" t="n">
        <v>1</v>
      </c>
      <c r="D21835" t="inlineStr">
        <is>
          <t>Arc corrompu; Pendentif mignon de Koutoulou; Anneau Rifique; Bague Gloursonne; Bouclier du Stalak; Ceinture de l'Esprit Malsain; Heaume Oplate; Voile d'encre; Chaussures Ardentes; Dofus Turquoise; Dofus Ocre; Dofus Ivoire; Dofus Pourpre; Dofus Vulbis; Érudit majeur; Dragodinde Prune et Orchidée</t>
        </is>
      </c>
    </row>
    <row r="21836">
      <c r="A21836" t="inlineStr">
        <is>
          <t>Xélor F 200</t>
        </is>
      </c>
      <c r="B21836">
        <f>HYPERLINK("https://www.dofusbook.net/fr/equipement/3671211-xelor-f-200/objets", "link")</f>
        <v/>
      </c>
      <c r="C21836" t="n">
        <v>1</v>
      </c>
      <c r="D21836" t="inlineStr">
        <is>
          <t>Marteau R'ture; Amulette du Strigide; Anneau Crustique; Anneau Crustique; Bouclier du Captain Amakna; Ceinture Volkorne; Masque de Koutoulou; Cape au Logis; Bottes du Strigide; Dofus Pourpre; Dofus Ivoire; Dofus Turquoise; Enragé majeur</t>
        </is>
      </c>
    </row>
    <row r="21837">
      <c r="A21837" t="inlineStr">
        <is>
          <t>Xélor eau</t>
        </is>
      </c>
      <c r="B21837">
        <f>HYPERLINK("https://www.dofusbook.net/fr/equipement/3647485-xelor-eau/objets", "link")</f>
        <v/>
      </c>
      <c r="C21837" t="n">
        <v>0</v>
      </c>
      <c r="D21837" t="inlineStr">
        <is>
          <t>Dagoulinantes; Amulette du Strigide; Alliance Gloursonne; Anneau Volkorne; Quatre-feuilles; Sangle Ouare; Cape Solution; Pataugastrique; Dofus Ivoire; Dofus des Glaces; Dofus Turquoise; Dofus Abyssal; Dofus Pourpre; Chanceux majeur; Dragodinde Emeraude et Indigo</t>
        </is>
      </c>
    </row>
    <row r="21838">
      <c r="A21838" t="inlineStr">
        <is>
          <t>Crâ F 200</t>
        </is>
      </c>
      <c r="B21838">
        <f>HYPERLINK("https://www.dofusbook.net/fr/equipement/3630960-cra-f-200/objets", "link")</f>
        <v/>
      </c>
      <c r="C21838" t="n">
        <v>1</v>
      </c>
      <c r="D21838" t="inlineStr">
        <is>
          <t>Lance Horselé; Amulette du Strigide; Gant du Valet Veinard; Alliance Gloursonne; Quatre-feuilles; Menoture; Casque Volkorne; Cape de Crânonier; Palmes Trithons; Dofus Ocre; Dofus Pourpre; Dofus Abyssal; Dofus Turquoise; Cascadeur majeur</t>
        </is>
      </c>
    </row>
    <row r="21839">
      <c r="A21839" t="inlineStr">
        <is>
          <t>Xélor F 200</t>
        </is>
      </c>
      <c r="B21839">
        <f>HYPERLINK("https://www.dofusbook.net/fr/equipement/3630863-xelor-f-200/objets", "link")</f>
        <v/>
      </c>
      <c r="C21839" t="n">
        <v>0</v>
      </c>
      <c r="D21839" t="inlineStr">
        <is>
          <t>Arc Volkorne; Amulette Volkorne; Alliance Gloursonne; Anneau Volkorne; Quatre-feuilles; Ceinture Volkorne; Casque Volkorne; Voile d'encre; Bottes Honyme; Dofus Ocre; Dofus Pourpre; Dofus Turquoise; Dofus des Glaces; Dofus Ivoire; Dolmanax</t>
        </is>
      </c>
    </row>
    <row r="21840">
      <c r="A21840" t="inlineStr">
        <is>
          <t>Iop M 200</t>
        </is>
      </c>
      <c r="B21840">
        <f>HYPERLINK("https://www.dofusbook.net/fr/equipement/3622121-iop-m-200/objets", "link")</f>
        <v/>
      </c>
      <c r="C21840" t="n">
        <v>3</v>
      </c>
      <c r="D21840" t="inlineStr">
        <is>
          <t>Lav'Hache; Collier Rophante; Bague Trithon; Alliance Gloursonne; Bouclier précieux; Ceinture Gence; Masque d'Anerice; Cape d'Anerice; Bottes Owesli; Dofus Ivoire; Dofus Émeraude; Culbuteur majeur; Culbuteur; Pousseur majeur; Bousculeur majeur; Volkorne Roux</t>
        </is>
      </c>
    </row>
    <row r="21841">
      <c r="A21841" t="inlineStr">
        <is>
          <t>Pandawa F 200</t>
        </is>
      </c>
      <c r="B21841">
        <f>HYPERLINK("https://www.dofusbook.net/fr/equipement/3561977-pandawa-f-200/objets", "link")</f>
        <v/>
      </c>
      <c r="C21841" t="n">
        <v>7</v>
      </c>
      <c r="D21841" t="inlineStr">
        <is>
          <t>Arc corrompu; Amulette Séculaire; Anneauræus; Anneauræus; Bouclier du Stalak; Ceinture Séculaire; Casque Dragoeuf; Cape de Diondin; Chaussures Ardentes; Érudit majeur</t>
        </is>
      </c>
    </row>
    <row r="21842">
      <c r="A21842" t="inlineStr">
        <is>
          <t>Crâ M 200</t>
        </is>
      </c>
      <c r="B21842">
        <f>HYPERLINK("https://www.dofusbook.net/fr/equipement/3551929-cra-m-200/objets", "link")</f>
        <v/>
      </c>
      <c r="C21842" t="n">
        <v>3</v>
      </c>
      <c r="D21842" t="inlineStr">
        <is>
          <t>Baguette Range; Pendentif mignon de Koutoulou; Alliance Gloursonne; Anneau Tique; Bouclier du Stalak; Menoture; Casque Cyclopéen; Voile d'encre; Pantoufles Émar; Dofus Abyssal; Dofus Pourpre; Dolmanax; Dofus des Glaces; Nomade; Sanguinaire majeur; Kramkram</t>
        </is>
      </c>
    </row>
    <row r="21843">
      <c r="A21843" t="inlineStr">
        <is>
          <t>Osamodas M 200</t>
        </is>
      </c>
      <c r="B21843">
        <f>HYPERLINK("https://www.dofusbook.net/fr/equipement/3551827-osamodas-m-200/objets", "link")</f>
        <v/>
      </c>
      <c r="C21843" t="n">
        <v>4</v>
      </c>
      <c r="D21843" t="inlineStr">
        <is>
          <t>Le Thanos; Amulette d'Ilyzaelle; Alliance Gloursonne; Anneau Tique; Carapar; Menoture; Casque d'Ilyzaelle; Cape du Valet Veinard; Chaussures Ardentes; Dofus Abyssal; Guérisseur majeur; Miraculé majeur; Cascadeur majeur; Remueur; Nomade; El Scarador</t>
        </is>
      </c>
    </row>
    <row r="21844">
      <c r="A21844" t="inlineStr">
        <is>
          <t>Iop M 200</t>
        </is>
      </c>
      <c r="B21844">
        <f>HYPERLINK("https://www.dofusbook.net/fr/equipement/3540443-iop-m-200/objets", "link")</f>
        <v/>
      </c>
      <c r="C21844" t="n">
        <v>7</v>
      </c>
      <c r="D21844" t="inlineStr">
        <is>
          <t>Arc corrompu; Amulette du Strigide; Bague Gloursonne; Anneau de Padgref; Quatre-feuilles; Ceinture de l'Esprit Malsain; Coiffe de Padgref; Voile d'encre; Bottes Honyme; Dofus Vulbis; Dofus Pourpre; Dofus Ivoire; Dofus Ocre; Dofus Turquoise; Érudit majeur; Dragodinde Orchidée</t>
        </is>
      </c>
    </row>
    <row r="21845">
      <c r="A21845" t="inlineStr">
        <is>
          <t>Sadida M 200</t>
        </is>
      </c>
      <c r="B21845">
        <f>HYPERLINK("https://www.dofusbook.net/fr/equipement/3539735-sadida-m-200/objets", "link")</f>
        <v/>
      </c>
      <c r="C21845" t="n">
        <v>1</v>
      </c>
      <c r="D21845" t="inlineStr">
        <is>
          <t>Dagues Érhy; Amulette du Strigide; Bague Gloursonne; Anneau Chevelu; Bouclier du Stalak; Ceinture de la Cour Sombre; Masque de Koutoulou; Cape au Logis; Bottes de la Cour Sombre; Enragé majeur</t>
        </is>
      </c>
    </row>
    <row r="21846">
      <c r="A21846" t="inlineStr">
        <is>
          <t>Iop F 200</t>
        </is>
      </c>
      <c r="B21846">
        <f>HYPERLINK("https://www.dofusbook.net/fr/equipement/3535430-iop-f-200/objets", "link")</f>
        <v/>
      </c>
      <c r="C21846" t="n">
        <v>4</v>
      </c>
      <c r="D21846" t="inlineStr">
        <is>
          <t>Dagues Ricol; Amulette du Strigide; Anneauræus; Anneau de Padgref; Cadran d'Eau; Ceinture de l'Esprit Malsain; Heaume Oplate; Voile d'encre; Getas de Padgref; Dofus Ivoire; Dofus Turquoise; Dofus Vulbis; Dofus des Glaces; Dofus Ocre; Dofus Pourpre; Dragodinde Emeraude et Orchidée</t>
        </is>
      </c>
    </row>
    <row r="21847">
      <c r="A21847" t="inlineStr">
        <is>
          <t>Iop F 200</t>
        </is>
      </c>
      <c r="B21847">
        <f>HYPERLINK("https://www.dofusbook.net/fr/equipement/3515323-iop-f-200/objets", "link")</f>
        <v/>
      </c>
      <c r="C21847" t="n">
        <v>6</v>
      </c>
      <c r="D21847" t="inlineStr">
        <is>
          <t>Lance Horselé; Amulette du Strigide; Anneau de Padgref; Alliance Gloursonne; Quatre-feuilles; Menoture; Casque Volkorne; Chevelure de Tal Kasha; Sandales de Tal Kasha; Dofus Ocre; Dofus Turquoise; Dofus Ivoire; Dofus Pourpre; Nomade; Cascadeur majeur; Kramkram</t>
        </is>
      </c>
    </row>
    <row r="21848">
      <c r="A21848" t="inlineStr">
        <is>
          <t>Ecaflip M 200</t>
        </is>
      </c>
      <c r="B21848">
        <f>HYPERLINK("https://www.dofusbook.net/fr/equipement/3478442-ecaflip-m-200/objets", "link")</f>
        <v/>
      </c>
      <c r="C21848" t="n">
        <v>5</v>
      </c>
      <c r="D21848" t="inlineStr">
        <is>
          <t>Lav'Hache; Torquistik; Bague Trithon; Anneau Chevelu; Bouclier d'Ilyzaelle; Ceinture Gence; Masque de Koutoulou; Cape au Logis; Bottistik; Enragé majeur</t>
        </is>
      </c>
    </row>
    <row r="21849">
      <c r="A21849" t="inlineStr">
        <is>
          <t>Sadida F 200</t>
        </is>
      </c>
      <c r="B21849">
        <f>HYPERLINK("https://www.dofusbook.net/fr/equipement/3465025-sadida-f-200/objets", "link")</f>
        <v/>
      </c>
      <c r="C21849" t="n">
        <v>5</v>
      </c>
      <c r="D21849" t="inlineStr">
        <is>
          <t>Sceptre du Roi Joueur; Amulette de Shokkoth; Alliance Gloursonne; Pikano; Bouclier du Stalak; Poulpagne; Capuche de l'Œil Attentif; Cape du Sinistrofu; Bottes du Sinistrofu; Dofus des Glaces; Dofus Pourpre; Dofus Abyssal; Remueur; Chanceux majeur</t>
        </is>
      </c>
    </row>
    <row r="21850">
      <c r="A21850" t="inlineStr">
        <is>
          <t>salvateur</t>
        </is>
      </c>
      <c r="B21850">
        <f>HYPERLINK("https://www.dofusbook.net/fr/equipement/3169298-salvateur/objets", "link")</f>
        <v/>
      </c>
      <c r="C21850" t="n">
        <v>10</v>
      </c>
      <c r="D21850" t="inlineStr">
        <is>
          <t>Arc Honte; Amulette de l'Œil Putride; Bague Gloursonne; Alliance Gloursonne; Bouclier du Stalak; Ceinture de l'Esprit Salvateur; Masque de l'Esprit Salvateur; Cape de l'Œil Putride; Bottes de l'Esprit Salvateur; Dofus Pourpre; Dofus Abyssal; Dofus Ocre; Dolmanax; Dofus des Glaces</t>
        </is>
      </c>
    </row>
    <row r="21851">
      <c r="A21851" t="inlineStr">
        <is>
          <t>Xélor F 200</t>
        </is>
      </c>
      <c r="B21851">
        <f>HYPERLINK("https://www.dofusbook.net/fr/equipement/3439245-xelor-f-200/objets", "link")</f>
        <v/>
      </c>
      <c r="C21851" t="n">
        <v>1</v>
      </c>
      <c r="D21851" t="inlineStr">
        <is>
          <t>Dagoulinantes; Amulette de Shokkoth; Alliance Gloursonne; Anneau Volkorne; Quatre-feuilles; Sangle Ouare; Capuche de l'Œil Attentif; Chevelure de Tal Kasha; Sandales de Tal Kasha; Dofus Ivoire; Dofus Turquoise; Dofus Pourpre; Dofus Ocre; Chanceux majeur; Étourdisseur majeur; Hurledent</t>
        </is>
      </c>
    </row>
    <row r="21852">
      <c r="A21852" t="inlineStr">
        <is>
          <t>stuff retrait tank</t>
        </is>
      </c>
      <c r="B21852">
        <f>HYPERLINK("https://www.dofusbook.net/fr/equipement/3179004-stuff-retrait-tank/objets", "link")</f>
        <v/>
      </c>
      <c r="C21852" t="n">
        <v>1</v>
      </c>
      <c r="D21852" t="inlineStr">
        <is>
          <t>Sceptre du Roi Joueur; Amulette de Shokkoth; Bracelet des Fonds marins; Alliance Gloursonne; Quatre-feuilles; Sangle Ouare; Kidibonnet; Chevelure de Tal Kasha; Sandales de Tal Kasha; Dofus Ivoire; Dofus Turquoise; Dofus Pourpre; Étourdisseur majeur; Chanceux majeur; Remueur; Kramkram</t>
        </is>
      </c>
    </row>
    <row r="21853">
      <c r="A21853" t="inlineStr">
        <is>
          <t>Xélor F 200</t>
        </is>
      </c>
      <c r="B21853">
        <f>HYPERLINK("https://www.dofusbook.net/fr/equipement/3413480-xelor-f-200/objets", "link")</f>
        <v/>
      </c>
      <c r="C21853" t="n">
        <v>2</v>
      </c>
      <c r="D21853" t="inlineStr">
        <is>
          <t>Epée du Dark Vlad; Pendentif affamé; Bague Gloursonne; Anneau Tique; Bouclier du Captain Amakna; Ceinture de Vortex; Heaume Oplate; Voile d'encre; Bottes Innommables; Dofus Turquoise; Dofus des Glaces; Dofus Pourpre; Érudit majeur; Remueur; Pioute rouge</t>
        </is>
      </c>
    </row>
    <row r="21854">
      <c r="A21854" t="inlineStr">
        <is>
          <t>Huppermage M 200</t>
        </is>
      </c>
      <c r="B21854">
        <f>HYPERLINK("https://www.dofusbook.net/fr/equipement/3398812-huppermage-m-200/objets", "link")</f>
        <v/>
      </c>
      <c r="C21854" t="n">
        <v>2</v>
      </c>
      <c r="D21854" t="inlineStr">
        <is>
          <t>Arc du Chalœil; Torquistik; Bague Instable; Bague Trithon; Bouclier précieux; L'Élémenture; Casque Dragoeuf; Bottistik</t>
        </is>
      </c>
    </row>
    <row r="21855">
      <c r="A21855" t="inlineStr">
        <is>
          <t>Huppermage M 200</t>
        </is>
      </c>
      <c r="B21855">
        <f>HYPERLINK("https://www.dofusbook.net/fr/equipement/3387701-huppermage-m-200/objets", "link")</f>
        <v/>
      </c>
      <c r="C21855" t="n">
        <v>3</v>
      </c>
      <c r="D21855" t="inlineStr">
        <is>
          <t>Arc du Chalœil; Amulette du Strigide; Bague Gloursonne; Anneau Chevelu; Quatre-feuilles; Ceinture de la Reine des Voleurs; Coiffe de la Reine des Voleurs; Voile d'encre; Bottes Honyme; Dofus Pourpre; Dofus des Glaces; Dofus Turquoise; Enragé majeur</t>
        </is>
      </c>
    </row>
    <row r="21856">
      <c r="A21856" t="inlineStr">
        <is>
          <t>Sadida M 200</t>
        </is>
      </c>
      <c r="B21856">
        <f>HYPERLINK("https://www.dofusbook.net/fr/equipement/3324872-sadida-m-200/objets", "link")</f>
        <v/>
      </c>
      <c r="C21856" t="n">
        <v>2</v>
      </c>
      <c r="D21856" t="inlineStr">
        <is>
          <t>Massier; Amulette de Nileza; Anneau Tique; Anneau de Nidas; Bouclier du Stalak; Ceinture de Vortex; Heaume Oplate; Cape de l'Œil Putride; Chaussures Ardentes; Dofus Ivoire; Dofus des Glaces; Remueur; Évasif majeur; Érudit majeur; Muldo Ebène et Pourpre</t>
        </is>
      </c>
    </row>
    <row r="21857">
      <c r="A21857" t="inlineStr">
        <is>
          <t>air feu</t>
        </is>
      </c>
      <c r="B21857">
        <f>HYPERLINK("https://www.dofusbook.net/fr/equipement/3150399-air-feu/objets", "link")</f>
        <v/>
      </c>
      <c r="C21857" t="n">
        <v>0</v>
      </c>
      <c r="D21857" t="inlineStr">
        <is>
          <t>Arc Honte; Pendentif mignon de Koutoulou; Alliance Gloursonne; Anneau Tique; Bouclier du Stalak; Ceinture de Vortex; Casque Cyclopéen; Cape de l'Œil Putride; Pantoufles Émar; Dofus Ivoire; Dofus des Glaces; Dofus Abyssal; Temporiseur majeur; Remueur</t>
        </is>
      </c>
    </row>
    <row r="21858">
      <c r="A21858" t="inlineStr">
        <is>
          <t>enu feu</t>
        </is>
      </c>
      <c r="B21858">
        <f>HYPERLINK("https://www.dofusbook.net/fr/equipement/2963314-enu-feu/objets", "link")</f>
        <v/>
      </c>
      <c r="C21858" t="n">
        <v>3</v>
      </c>
      <c r="D21858" t="inlineStr">
        <is>
          <t>Arc Hétype; Amulette de Nileza; Anneau de Nidas; Anneau Tique; Cadran de Feu; Ceinture Séculaire; Coiffe Séculaire; Voile d'encre; Pataugastrique; Remueur</t>
        </is>
      </c>
    </row>
    <row r="21859">
      <c r="A21859" t="inlineStr">
        <is>
          <t>jaiplusdame</t>
        </is>
      </c>
      <c r="B21859">
        <f>HYPERLINK("https://www.dofusbook.net/fr/equipement/2799514-jaiplusdame/objets", "link")</f>
        <v/>
      </c>
      <c r="C21859" t="n">
        <v>4</v>
      </c>
      <c r="D21859" t="inlineStr">
        <is>
          <t>Lav'Hache; Torquistik; Bague Instable; Bague Trithon; Bouclier précieux; Ceinture Gence; Casque Dragoeuf; Cape Solution; Bottistik; Dofus Ivoire; Nomade; Pousseur majeur; Culbuteur; Bousculeur majeur; Culbuteur majeur; Kramkram</t>
        </is>
      </c>
    </row>
    <row r="21860">
      <c r="A21860" t="inlineStr">
        <is>
          <t>eau ronde 3</t>
        </is>
      </c>
      <c r="B21860">
        <f>HYPERLINK("https://www.dofusbook.net/fr/equipement/2816978-eau-ronde-3/objets", "link")</f>
        <v/>
      </c>
      <c r="C21860" t="n">
        <v>3</v>
      </c>
      <c r="D21860" t="inlineStr">
        <is>
          <t>Dagoulinantes; Amulette de Shokkoth; Bracelet des Fonds marins; Alliance Gloursonne; Cadran de Terre; Sangle Ouare; Capuche de l'Œil Attentif; Chevelure de Tal Kasha; Sandales de Tal Kasha; Dofus Abyssal; Étourdisseur majeur; Chanceux majeur; Carapace Eau majeur; Remueur; Kramkram</t>
        </is>
      </c>
    </row>
    <row r="21861">
      <c r="A21861" t="inlineStr">
        <is>
          <t>Feca 16eme</t>
        </is>
      </c>
      <c r="B21861">
        <f>HYPERLINK("https://www.dofusbook.net/fr/equipement/3246643-feca-16eme/objets", "link")</f>
        <v/>
      </c>
      <c r="C21861" t="n">
        <v>0</v>
      </c>
      <c r="D21861" t="inlineStr">
        <is>
          <t>Baguette Héroclite; Amulette de Shokkoth; Alliance Gloursonne; Pikano; Quatre-feuilles; Ceinture de l'Esprit Malsain; Kidibonnet; Chevelure de Tal Kasha; Sandales de Tal Kasha; Dofus Turquoise; Dofus Ivoire; Dofus Pourpre; Dofus Abyssal; Chanceux majeur; Muldo Turquoise et Pourpre</t>
        </is>
      </c>
    </row>
    <row r="21862">
      <c r="A21862" t="inlineStr">
        <is>
          <t>air</t>
        </is>
      </c>
      <c r="B21862">
        <f>HYPERLINK("https://www.dofusbook.net/fr/equipement/2513898-air-/objets", "link")</f>
        <v/>
      </c>
      <c r="C21862" t="n">
        <v>0</v>
      </c>
      <c r="D21862" t="inlineStr">
        <is>
          <t>Dagues Ricol; Amulette du Strigide; Anneau Tique; Bague Gloursonne; Bouclier du Captain Amakna; Ceintacé; Coiffe de Padgref; Voile d'encre; Getas de Padgref; Dofus Nébuleux; Dofus des Glaces; Dofus Turquoise; Dofus Pourpre; Érudit majeur; Remueur</t>
        </is>
      </c>
    </row>
    <row r="21863">
      <c r="A21863" t="inlineStr">
        <is>
          <t>sdsfdsfdsfs</t>
        </is>
      </c>
      <c r="B21863">
        <f>HYPERLINK("https://www.dofusbook.net/fr/equipement/3220778-sdsfdsfdsfs/objets", "link")</f>
        <v/>
      </c>
      <c r="C21863" t="n">
        <v>2</v>
      </c>
      <c r="D21863" t="inlineStr">
        <is>
          <t>Sceptre du Roi Joueur; Amulette de Shokkoth; Alliance Gloursonne; Pikano; Bouclier à hélice; Poulpagne; Capuche de l'Œil Attentif; Cape de l'Œil Attentif; Chaussons de Macrab; Dofus Ivoire; Dofus Abyssal; Remueur; Carapace Eau majeur; Chanceux majeur; Muldo Indigo</t>
        </is>
      </c>
    </row>
    <row r="21864">
      <c r="A21864" t="inlineStr">
        <is>
          <t>terre round 3</t>
        </is>
      </c>
      <c r="B21864">
        <f>HYPERLINK("https://www.dofusbook.net/fr/equipement/3212096-terre-round-3/objets", "link")</f>
        <v/>
      </c>
      <c r="C21864" t="n">
        <v>2</v>
      </c>
      <c r="D21864" t="inlineStr">
        <is>
          <t>Arc du Chalœil; Amulette du Strigide; Bague Trithon; Bague Gloursonne; Bouclier Taverne; Ceinture Gence; Masque de Koutoulou; Cape du Cœur Vaillant; Bottes du Strigide; Dofus Ivoire; Dofus Pourpre; Dofus Turquoise; Évasif majeur; Enragé majeur; Cavaleur majeur; Muldo Indigo et Ivoire</t>
        </is>
      </c>
    </row>
    <row r="21865">
      <c r="A21865" t="inlineStr">
        <is>
          <t>trtrete</t>
        </is>
      </c>
      <c r="B21865">
        <f>HYPERLINK("https://www.dofusbook.net/fr/equipement/3198974-trtrete/objets", "link")</f>
        <v/>
      </c>
      <c r="C21865" t="n">
        <v>0</v>
      </c>
      <c r="D21865" t="inlineStr">
        <is>
          <t>Arc du Chalœil; Torquistik; Bague Instable; Bague Trithon; Bouclier précieux; Ceinture Gence; Masque d'Anerice; Cape d'Anerice; Bottes Owesli; Dofus Abyssal; Dofus Ivoire; Culbuteur majeur; Bousculeur majeur; Culbuteur; Remueur</t>
        </is>
      </c>
    </row>
    <row r="21866">
      <c r="A21866" t="inlineStr">
        <is>
          <t>iop round 1</t>
        </is>
      </c>
      <c r="B21866">
        <f>HYPERLINK("https://www.dofusbook.net/fr/equipement/3179306-iop-round-1/objets", "link")</f>
        <v/>
      </c>
      <c r="C21866" t="n">
        <v>2</v>
      </c>
      <c r="D21866" t="inlineStr">
        <is>
          <t>Arc du Chalœil; Amulette Luminescente; Bague Trithon; Bague Instable; Bouclier précieux; Ceinture Gence; Masque d'Anerice; Cape d'Anerice; Bottes du Cœur Vaillant; Dofus Abyssal; Dofus Ivoire; Remueur; Évasif majeur; Bousculeur majeur; Culbuteur majeur; Muldo Indigo et Ivoire</t>
        </is>
      </c>
    </row>
    <row r="21867">
      <c r="A21867" t="inlineStr">
        <is>
          <t>osa ronde 1</t>
        </is>
      </c>
      <c r="B21867">
        <f>HYPERLINK("https://www.dofusbook.net/fr/equipement/3179228-osa-ronde-1/objets", "link")</f>
        <v/>
      </c>
      <c r="C21867" t="n">
        <v>1</v>
      </c>
      <c r="D21867" t="inlineStr">
        <is>
          <t>Baguette de Malléfisk; Amulette d'Ilyzaelle; Anneau Tique; Alliance Gloursonne; Carapar; Menoture; Casque d'Ilyzaelle; Cape du Valet Veinard; Chaussures Ardentes; Dofus Ivoire; Dofus Cawotte; Dofus Abyssal; Remueur; Évasif majeur; Guérisseur majeur</t>
        </is>
      </c>
    </row>
    <row r="21868">
      <c r="A21868" t="inlineStr">
        <is>
          <t>eau</t>
        </is>
      </c>
      <c r="B21868">
        <f>HYPERLINK("https://www.dofusbook.net/fr/equipement/3138169-eau/objets", "link")</f>
        <v/>
      </c>
      <c r="C21868" t="n">
        <v>0</v>
      </c>
      <c r="D21868" t="inlineStr">
        <is>
          <t>Sceptre du Roi Joueur; Amulette de Shokkoth; Bague Trithon; Alliance Gloursonne; Cadran de Terre; Poulpagne; Capuche de l'Œil Attentif; Chevelure de Tal Kasha; Sandales de Tal Kasha</t>
        </is>
      </c>
    </row>
    <row r="21869">
      <c r="A21869" t="inlineStr">
        <is>
          <t>terre xdxd</t>
        </is>
      </c>
      <c r="B21869">
        <f>HYPERLINK("https://www.dofusbook.net/fr/equipement/3135962-terre-xdxd/objets", "link")</f>
        <v/>
      </c>
      <c r="C21869" t="n">
        <v>1</v>
      </c>
      <c r="D21869" t="inlineStr">
        <is>
          <t>Dagues d'Ilyzaelle; Amulette Volcanique; Anneau Chevelu; Bague Gloursonne; Bouclier d'Ilyzaelle; Ceinture Luminescente; Masque de Koutoulou; Cape au Logis; Sabots Volcaniques; Dofus Ivoire; Dofus Pourpre; Temporiseur majeur; Enragé majeur; Remueur; Miraculé majeur</t>
        </is>
      </c>
    </row>
    <row r="21870">
      <c r="A21870" t="inlineStr">
        <is>
          <t>essaie sadi</t>
        </is>
      </c>
      <c r="B21870">
        <f>HYPERLINK("https://www.dofusbook.net/fr/equipement/3120110-essaie-sadi/objets", "link")</f>
        <v/>
      </c>
      <c r="C21870" t="n">
        <v>0</v>
      </c>
      <c r="D21870" t="inlineStr">
        <is>
          <t>Arc Honte; Amulette Ementaire Deluxe; Anneau Tique; Alliance Gloursonne; Bouclier du Stalak; Ceinture de l'Indicible; Capuche de l'Œil Putride; Cape de l'Œil Putride; Pantoufles Émar; Dolmanax; Dofus des Glaces; Dofus Ivoire; Dofus Abyssal; Remueur; Temporiseur majeur; Muldo Pourpre et Amande</t>
        </is>
      </c>
    </row>
    <row r="21871">
      <c r="A21871" t="inlineStr">
        <is>
          <t>trol intense</t>
        </is>
      </c>
      <c r="B21871">
        <f>HYPERLINK("https://www.dofusbook.net/fr/equipement/3104016-trol-intense/objets", "link")</f>
        <v/>
      </c>
      <c r="C21871" t="n">
        <v>0</v>
      </c>
      <c r="D21871" t="inlineStr">
        <is>
          <t>Baguette Range; Pendentif mignon de Koutoulou; Anneau Tique; Alliance Gloursonne; Bouclier cubiste; Ceinture de Vortex; Voile d'encre; Pantoufles Émar; Dofus des Glaces; Dofus Abyssal; Remueur; Temporiseur majeur; Miraculé majeur</t>
        </is>
      </c>
    </row>
    <row r="21872">
      <c r="A21872" t="inlineStr">
        <is>
          <t>Scare test beta</t>
        </is>
      </c>
      <c r="B21872">
        <f>HYPERLINK("https://www.dofusbook.net/fr/equipement/3103438-scare-test-beta/objets", "link")</f>
        <v/>
      </c>
      <c r="C21872" t="n">
        <v>0</v>
      </c>
      <c r="D21872" t="inlineStr"/>
    </row>
    <row r="21873">
      <c r="A21873" t="inlineStr">
        <is>
          <t>air feu ret</t>
        </is>
      </c>
      <c r="B21873">
        <f>HYPERLINK("https://www.dofusbook.net/fr/equipement/3100291-air-feu-ret/objets", "link")</f>
        <v/>
      </c>
      <c r="C21873" t="n">
        <v>0</v>
      </c>
      <c r="D21873" t="inlineStr">
        <is>
          <t>Arc Honte; Pendentif mignon de Koutoulou; Alliance Gloursonne; Anneau Tique; Bouclier du Stalak; Ceinture du Barbétoal; Casque Cyclopéen; Cape de l'Œil Putride; Pantoufles Émar; Dofus Ivoire; Dofus des Glaces; Dofus Abyssal; Dofus Pourpre; Temporiseur majeur; Remueur; Muldo Pourpre</t>
        </is>
      </c>
    </row>
    <row r="21874">
      <c r="A21874" t="inlineStr">
        <is>
          <t>deueme tri elem</t>
        </is>
      </c>
      <c r="B21874">
        <f>HYPERLINK("https://www.dofusbook.net/fr/equipement/3099632-deueme-tri-elem/objets", "link")</f>
        <v/>
      </c>
      <c r="C21874" t="n">
        <v>0</v>
      </c>
      <c r="D21874" t="inlineStr">
        <is>
          <t>Sabres d'Atcham; Pendentif mignon de Koutoulou; Alliance Gloursonne; Anneau Rifique; Sangle Ouare; Casque Cyclopéen; Cape d'Atcham; Sandales  d'Atcham</t>
        </is>
      </c>
    </row>
    <row r="21875">
      <c r="A21875" t="inlineStr">
        <is>
          <t>tri elem</t>
        </is>
      </c>
      <c r="B21875">
        <f>HYPERLINK("https://www.dofusbook.net/fr/equipement/3099624-tri-elem/objets", "link")</f>
        <v/>
      </c>
      <c r="C21875" t="n">
        <v>1</v>
      </c>
      <c r="D21875" t="inlineStr">
        <is>
          <t>Sabres d'Atcham; Talisman Glouti; Anneau Tique; Alliance Gloursonne; Quatre-feuilles; Sangle Ouare; Dorabysses; Cape d'Atcham; Sandales  d'Atcham; Dofus Turquoise; Dolmanax; Dofus des Glaces; Dofus Pourpre; Dofus Abyssal; Kramkram</t>
        </is>
      </c>
    </row>
    <row r="21876">
      <c r="A21876" t="inlineStr">
        <is>
          <t>test tri elem</t>
        </is>
      </c>
      <c r="B21876">
        <f>HYPERLINK("https://www.dofusbook.net/fr/equipement/3098778-test-tri-elem/objets", "link")</f>
        <v/>
      </c>
      <c r="C21876" t="n">
        <v>0</v>
      </c>
      <c r="D21876" t="inlineStr">
        <is>
          <t>Epée Gloursonne; Amulette de l'Indicible; Alliance Gloursonne; Bague Gloursonne; Bouclier du Stalak; Ceinture de l'Indicible; Casque du Chalœil; Cape du Chalœil; Bottes de l'Indicible; Dofus Abyssal; Dofus Pourpre; Dofus des Glaces</t>
        </is>
      </c>
    </row>
    <row r="21877">
      <c r="A21877" t="inlineStr">
        <is>
          <t>feu</t>
        </is>
      </c>
      <c r="B21877">
        <f>HYPERLINK("https://www.dofusbook.net/fr/equipement/3097145-feu/objets", "link")</f>
        <v/>
      </c>
      <c r="C21877" t="n">
        <v>0</v>
      </c>
      <c r="D21877" t="inlineStr">
        <is>
          <t>Arc corrompu; Amulette du Strigide; Bague Gloursonne; Anneau Tique; Quatre-feuilles; Ceinture du Strigide; Heaume Oplate; Voile d'encre; Pompes Funèbres; Remueur; Érudit majeur</t>
        </is>
      </c>
    </row>
    <row r="21878">
      <c r="A21878" t="inlineStr">
        <is>
          <t>crit eca maj</t>
        </is>
      </c>
      <c r="B21878">
        <f>HYPERLINK("https://www.dofusbook.net/fr/equipement/2573326-crit-eca-maj/objets", "link")</f>
        <v/>
      </c>
      <c r="C21878" t="n">
        <v>4</v>
      </c>
      <c r="D21878" t="inlineStr">
        <is>
          <t>Arc de Koutoulou; Amulette Voldelor; Bague Trithon; Alliance Gloursonne; Bouclier du Stalak; Sangle Ouare; Casque d'Ilyzaelle; Cape Matelassée; Bottes Trithon; Dofus des Glaces; Dofus Pourpre; Dofus Ivoire; Dofus Turquoise; Dofus Abyssal; Remueur</t>
        </is>
      </c>
    </row>
    <row r="21879">
      <c r="A21879" t="inlineStr">
        <is>
          <t>multi tournoi</t>
        </is>
      </c>
      <c r="B21879">
        <f>HYPERLINK("https://www.dofusbook.net/fr/equipement/3093526-multi-tournoi/objets", "link")</f>
        <v/>
      </c>
      <c r="C21879" t="n">
        <v>0</v>
      </c>
      <c r="D21879" t="inlineStr">
        <is>
          <t>Hache du Chalœil; Amulette du Strigide; Bague Trithon; Alliance Gloursonne; Quatre-feuilles; Ceinture du Strigide; Casque du Chalœil; Voile d'encre; Bottes Honyme; Dofus des Glaces; Dolmanax; Dofus Abyssal; Dofus Pourpre; Dofus Turquoise; Remueur; Muldo Indigo et Orchidée</t>
        </is>
      </c>
    </row>
    <row r="21880">
      <c r="A21880" t="inlineStr">
        <is>
          <t>eca beta</t>
        </is>
      </c>
      <c r="B21880">
        <f>HYPERLINK("https://www.dofusbook.net/fr/equipement/3090103-eca-beta/objets", "link")</f>
        <v/>
      </c>
      <c r="C21880" t="n">
        <v>0</v>
      </c>
      <c r="D21880" t="inlineStr">
        <is>
          <t>Arc de Koutoulou; Amulette Voldelor; Bague Trithon; Alliance Gloursonne; Bouclier du Stalak; Sangle Ouare; Némès de Tal Kasha; Cape Matelassée; Bottes Trithon; Dofus Pourpre; Dofus Abyssal; Dofus Turquoise; Dofus Ivoire; Dofus des Glaces; Remueur; Croum</t>
        </is>
      </c>
    </row>
    <row r="21881">
      <c r="A21881" t="inlineStr">
        <is>
          <t>cra beta héhé</t>
        </is>
      </c>
      <c r="B21881">
        <f>HYPERLINK("https://www.dofusbook.net/fr/equipement/3090069-cra-beta-hehe/objets", "link")</f>
        <v/>
      </c>
      <c r="C21881" t="n">
        <v>0</v>
      </c>
      <c r="D21881" t="inlineStr">
        <is>
          <t>Arc Honte; Collier du Valet Veinard; Alliance Brûlâme; Gant du Valet Veinard; Ceinture de Vortex; Masque Brûlâme; Cape du Valet Veinard; Pompes Funèbres</t>
        </is>
      </c>
    </row>
    <row r="21882">
      <c r="A21882" t="inlineStr">
        <is>
          <t>cra beta</t>
        </is>
      </c>
      <c r="B21882">
        <f>HYPERLINK("https://www.dofusbook.net/fr/equipement/3088105-cra-beta/objets", "link")</f>
        <v/>
      </c>
      <c r="C21882" t="n">
        <v>0</v>
      </c>
      <c r="D21882" t="inlineStr">
        <is>
          <t>Marteau Phossile; Pendentif mignon de Koutoulou; Anneau Tique; Alliance Gloursonne; Bouclier du Stalak; Ceinture de Vortex; Casque Cyclopéen; Cape de l'Œil Putride; Pantoufles Émar; Dofus des Glaces; Dofus Ivoire; Dofus Pourpre; Muldo Ebène et Pourpre</t>
        </is>
      </c>
    </row>
    <row r="21883">
      <c r="A21883" t="inlineStr">
        <is>
          <t>xel feu ronde scare</t>
        </is>
      </c>
      <c r="B21883">
        <f>HYPERLINK("https://www.dofusbook.net/fr/equipement/3049720-xel-feu-ronde-scare/objets", "link")</f>
        <v/>
      </c>
      <c r="C21883" t="n">
        <v>1</v>
      </c>
      <c r="D21883" t="inlineStr">
        <is>
          <t>Arc corrompu; Amulette Séculaire; Anneau de Nidas; Anneau Tique; Quatre-feuilles; Ceinture Séculaire; Heaume Oplate; Cape de la Dame du Hasard; Bottes de Meno</t>
        </is>
      </c>
    </row>
    <row r="21884">
      <c r="A21884" t="inlineStr">
        <is>
          <t>ronde scare</t>
        </is>
      </c>
      <c r="B21884">
        <f>HYPERLINK("https://www.dofusbook.net/fr/equipement/3049688-ronde-scare/objets", "link")</f>
        <v/>
      </c>
      <c r="C21884" t="n">
        <v>0</v>
      </c>
      <c r="D21884" t="inlineStr">
        <is>
          <t>Baguette Héroclite; Amulette de l'Œil Attentif; Alliance Gloursonne; Bague Trithon; Quatre-feuilles; Poulpagne; Capuche de l'Œil Attentif; Cape Solution; Sandales de Tal Kasha; Dofus Pourpre; Dofus Ivoire; Dofus Turquoise; Dofus Abyssal; Miraculé majeur; Chanceux majeur; Muldo Ebène</t>
        </is>
      </c>
    </row>
    <row r="21885">
      <c r="A21885" t="inlineStr">
        <is>
          <t>docritgep</t>
        </is>
      </c>
      <c r="B21885">
        <f>HYPERLINK("https://www.dofusbook.net/fr/equipement/3049081-docritgep/objets", "link")</f>
        <v/>
      </c>
      <c r="C21885" t="n">
        <v>0</v>
      </c>
      <c r="D21885" t="inlineStr">
        <is>
          <t>Hache du Chalœil; Amulette du Strigide; Bracelet du Piloztère; Bague Trithon; Quatre-feuilles; Ceinture du Strigide; Masque Trithon; Dofusteuse; Bottes Trithon; Dofus Pourpre; Dofus des Glaces; Dofus Turquoise; Dofus Abyssal; Dolmanax; Dofus Ocre; Muldo Prune et Emeraude</t>
        </is>
      </c>
    </row>
    <row r="21886">
      <c r="A21886" t="inlineStr">
        <is>
          <t>ezqfqsdfsdqsd</t>
        </is>
      </c>
      <c r="B21886">
        <f>HYPERLINK("https://www.dofusbook.net/fr/equipement/3034274-ezqfqsdfsdqsd/objets", "link")</f>
        <v/>
      </c>
      <c r="C21886" t="n">
        <v>0</v>
      </c>
      <c r="D21886" t="inlineStr"/>
    </row>
    <row r="21887">
      <c r="A21887" t="inlineStr">
        <is>
          <t>crit eca multi</t>
        </is>
      </c>
      <c r="B21887">
        <f>HYPERLINK("https://www.dofusbook.net/fr/equipement/3014261-crit-eca-multi/objets", "link")</f>
        <v/>
      </c>
      <c r="C21887" t="n">
        <v>1</v>
      </c>
      <c r="D21887" t="inlineStr">
        <is>
          <t>Hache du Chalœil; Amulette du Strigide; Alliance Gloursonne; Bague Gloursonne; Bouclier du Stalak; Ceinture du Strigide; Chapeau Lisson; Dofusteuse; Bottes du Strigide; Dofus Pourpre; Dofus Ocre; Dofus des Glaces; Dolmanax; Dofus Abyssal; Dofus Turquoise; Muldo Indigo et Pourpre</t>
        </is>
      </c>
    </row>
    <row r="21888">
      <c r="A21888" t="inlineStr">
        <is>
          <t>multi</t>
        </is>
      </c>
      <c r="B21888">
        <f>HYPERLINK("https://www.dofusbook.net/fr/equipement/3010869-multi/objets", "link")</f>
        <v/>
      </c>
      <c r="C21888" t="n">
        <v>1</v>
      </c>
      <c r="D21888" t="inlineStr">
        <is>
          <t>Le Thanos; Pendentif mignon de Koutoulou; Anneau Tique; Anneau de Nidas; Bouclier du Stalak; Ceinture de Vortex; Casque Cyclopéen; Cape de Diondin; Pantoufles Émar; Dofus Abyssal; Dofus Ivoire; Dofus des Glaces; Érudit majeur; Guérisseur majeur; Remueur</t>
        </is>
      </c>
    </row>
    <row r="21889">
      <c r="A21889" t="inlineStr">
        <is>
          <t>eni eau air</t>
        </is>
      </c>
      <c r="B21889">
        <f>HYPERLINK("https://www.dofusbook.net/fr/equipement/3009801-eni-eau-air/objets", "link")</f>
        <v/>
      </c>
      <c r="C21889" t="n">
        <v>0</v>
      </c>
      <c r="D21889" t="inlineStr">
        <is>
          <t>Arc de Koutoulou; Amulette du Strigide; Bague Trithon; Alliance Gloursonne; Quatre-feuilles; Ceintacé; Capuche de l'Œil Attentif; Chevelure de Tal Kasha; Sandales de Tal Kasha; Dofus Pourpre; Dofus Ivoire; Dofus Turquoise; Dofus Abyssal; Remueur; Étourdisseur majeur; Muldo Ebène</t>
        </is>
      </c>
    </row>
    <row r="21890">
      <c r="A21890" t="inlineStr">
        <is>
          <t>mule xd</t>
        </is>
      </c>
      <c r="B21890">
        <f>HYPERLINK("https://www.dofusbook.net/fr/equipement/3006841-mule-xd/objets", "link")</f>
        <v/>
      </c>
      <c r="C21890" t="n">
        <v>0</v>
      </c>
      <c r="D21890" t="inlineStr">
        <is>
          <t>La Baguette des Limbes; Médaille Kido; Alliance d'Elya Wood; Anneau Truche; Le Karde Cœur; Ceinture du Royalmouth; Chapeau Truche; Ortiz; Bottes du Dragoeuf; Dolmanax; Dofus Pourpre; Miraculé; Remueur; Érudit; Nomade; Kramkram</t>
        </is>
      </c>
    </row>
    <row r="21891">
      <c r="A21891" t="inlineStr">
        <is>
          <t>cra farm</t>
        </is>
      </c>
      <c r="B21891">
        <f>HYPERLINK("https://www.dofusbook.net/fr/equipement/3002909-cra-farm/objets", "link")</f>
        <v/>
      </c>
      <c r="C21891" t="n">
        <v>1</v>
      </c>
      <c r="D21891" t="inlineStr">
        <is>
          <t>Epée Gloursonne; Amulette du Strigide; Bague Gloursonne; Alliance Gloursonne; Quatre-feuilles; Ceinture du Strigide; Masque Vaudou Tam; Cape Reski; Bottes du Strigide; Dofus des Glaces; Dofus Turquoise; Dofus Pourpre</t>
        </is>
      </c>
    </row>
    <row r="21892">
      <c r="A21892" t="inlineStr">
        <is>
          <t>lol</t>
        </is>
      </c>
      <c r="B21892">
        <f>HYPERLINK("https://www.dofusbook.net/fr/equipement/3002184-lol/objets", "link")</f>
        <v/>
      </c>
      <c r="C21892" t="n">
        <v>0</v>
      </c>
      <c r="D21892" t="inlineStr">
        <is>
          <t>Hache du Guerrier Zoth; Amulette Nécrotique; Gelano; Anneau Colerette; Cadran d'Air; Ceinture Rasboulaire du Rasboul; Chapignon; Cape Erforée; Bottes de XLII; Acrobate majeur; Dévastateur Air majeur; Cascadeur majeur; Nomade; Miraculé majeur; Remueur; Kramkram</t>
        </is>
      </c>
    </row>
    <row r="21893">
      <c r="A21893" t="inlineStr">
        <is>
          <t>feu pirmin</t>
        </is>
      </c>
      <c r="B21893">
        <f>HYPERLINK("https://www.dofusbook.net/fr/equipement/2998317-feu-pirmin/objets", "link")</f>
        <v/>
      </c>
      <c r="C21893" t="n">
        <v>0</v>
      </c>
      <c r="D21893" t="inlineStr">
        <is>
          <t>La Baguette des Limbes; Col de Ush; Gelano; Alliance Boletée; Bouclier Taverne; Ceinture Toré; Chapeau de Dremoan; Cape de Tengu Givrefoux; Bottes de Dremoan; Miraculé majeur; Nomade; Érudit majeur; Remueur; Kramkram</t>
        </is>
      </c>
    </row>
    <row r="21894">
      <c r="A21894" t="inlineStr">
        <is>
          <t>Air contre osa</t>
        </is>
      </c>
      <c r="B21894">
        <f>HYPERLINK("https://www.dofusbook.net/fr/equipement/2992649-air-contre-osa/objets", "link")</f>
        <v/>
      </c>
      <c r="C21894" t="n">
        <v>0</v>
      </c>
      <c r="D21894" t="inlineStr">
        <is>
          <t>Hachoirs de Viandargh; Amulette du Strigide; Alliance Gloursonne; Anneau de Padgref; Cadran d'Eau; Menoture; Dorabysses; Chevelure de Tal Kasha; Getas de Padgref</t>
        </is>
      </c>
    </row>
    <row r="21895">
      <c r="A21895" t="inlineStr">
        <is>
          <t>feu troll rox</t>
        </is>
      </c>
      <c r="B21895">
        <f>HYPERLINK("https://www.dofusbook.net/fr/equipement/2972171-feu-troll-rox/objets", "link")</f>
        <v/>
      </c>
      <c r="C21895" t="n">
        <v>1</v>
      </c>
      <c r="D21895" t="inlineStr">
        <is>
          <t>Dagues Ricol; Amulette du Strigide; Bague Gloursonne; Anneau Tique; Ceintacé; Coiffe de Padgref; Voile d'encre; Getas de Padgref; Dofus Turquoise; Dofus Pourpre; Dofus des Glaces; Dofus Nébuleux; Érudit majeur; Remueur; Muldo Pourpre</t>
        </is>
      </c>
    </row>
    <row r="21896">
      <c r="A21896" t="inlineStr">
        <is>
          <t>sadi feu 8eme ronde</t>
        </is>
      </c>
      <c r="B21896">
        <f>HYPERLINK("https://www.dofusbook.net/fr/equipement/2971945-sadi-feu-8eme-ronde/objets", "link")</f>
        <v/>
      </c>
      <c r="C21896" t="n">
        <v>0</v>
      </c>
      <c r="D21896" t="inlineStr"/>
    </row>
    <row r="21897">
      <c r="A21897" t="inlineStr">
        <is>
          <t>esquivpa</t>
        </is>
      </c>
      <c r="B21897">
        <f>HYPERLINK("https://www.dofusbook.net/fr/equipement/2971805-esquivpa/objets", "link")</f>
        <v/>
      </c>
      <c r="C21897" t="n">
        <v>0</v>
      </c>
      <c r="D21897" t="inlineStr">
        <is>
          <t>Epée Gloursonne; Bague Gloursonne; Alliance Gloursonne; Coiffe du Glourséleste; Dofus Ivoire; Insaisissable majeur; Imprenable majeur</t>
        </is>
      </c>
    </row>
    <row r="21898">
      <c r="A21898" t="inlineStr">
        <is>
          <t>sadi air</t>
        </is>
      </c>
      <c r="B21898">
        <f>HYPERLINK("https://www.dofusbook.net/fr/equipement/2962281-sadi-air/objets", "link")</f>
        <v/>
      </c>
      <c r="C21898" t="n">
        <v>0</v>
      </c>
      <c r="D21898" t="inlineStr"/>
    </row>
    <row r="21899">
      <c r="A21899" t="inlineStr">
        <is>
          <t>eau premiere ronde</t>
        </is>
      </c>
      <c r="B21899">
        <f>HYPERLINK("https://www.dofusbook.net/fr/equipement/2953397-eau-premiere-ronde/objets", "link")</f>
        <v/>
      </c>
      <c r="C21899" t="n">
        <v>0</v>
      </c>
      <c r="D21899" t="inlineStr">
        <is>
          <t>Arc Ontanporin; Amulette de l'Œil Attentif; Lavanneau; Alliance Gloursonne; Bouclier du Stalak; Sangle Ouare; Capuche de l'Œil Attentif; Cape Solution; Pataugastrique; Dofus Pourpre; Dofus Abyssal; Dofus Ivoire; Miraculé majeur; Chanceux majeur; Évasif majeur; Muldo Ebène et Indigo</t>
        </is>
      </c>
    </row>
    <row r="21900">
      <c r="A21900" t="inlineStr">
        <is>
          <t>air 1ere ronde</t>
        </is>
      </c>
      <c r="B21900">
        <f>HYPERLINK("https://www.dofusbook.net/fr/equipement/2951730-air-1ere-ronde/objets", "link")</f>
        <v/>
      </c>
      <c r="C21900" t="n">
        <v>2</v>
      </c>
      <c r="D21900" t="inlineStr">
        <is>
          <t>Manthache; Pendentif mignon de Koutoulou; Gant du Valet Veinard; Alliance Gloursonne; Bouclier du Stalak; Menoture; Chapeau de Tournoyé; Cape du Valet Veinard; Pantoufles Émar; Dofus Ivoire; Dofus Abyssal; Étourdisseur majeur; Évasif majeur; Carapace Air majeur; Cascadeur majeur; Muldo Ebène</t>
        </is>
      </c>
    </row>
    <row r="21901">
      <c r="A21901" t="inlineStr">
        <is>
          <t>dcdd</t>
        </is>
      </c>
      <c r="B21901">
        <f>HYPERLINK("https://www.dofusbook.net/fr/equipement/2937850-dcdd/objets", "link")</f>
        <v/>
      </c>
      <c r="C21901" t="n">
        <v>0</v>
      </c>
      <c r="D21901" t="inlineStr">
        <is>
          <t>Rapière aux Glyphes; Amulette de Shokkoth; Alliance Gloursonne; Anneau Glacial; Bouclier Taverne; Poulpagne; Kidibonnet; Cape du Sinistrofu; Bottes du Sinistrofu; Chanceux majeur; Nomade; Miraculé majeur; Remueur</t>
        </is>
      </c>
    </row>
    <row r="21902">
      <c r="A21902" t="inlineStr">
        <is>
          <t>terre</t>
        </is>
      </c>
      <c r="B21902">
        <f>HYPERLINK("https://www.dofusbook.net/fr/equipement/2932683-terre/objets", "link")</f>
        <v/>
      </c>
      <c r="C21902" t="n">
        <v>1</v>
      </c>
      <c r="D21902" t="inlineStr">
        <is>
          <t>Marteau R'ture; Amulette du Strigide; Anneau Chevelu; Bague Gloursonne; Quatre-feuilles; Ceintacé; Masque de Koutoulou; Cape au Logis; Bottes du Strigide; Dofus Abyssal; Dofus des Glaces; Dofus Turquoise; Dofus Nébuleux; Dofus Pourpre; Enragé majeur; Croum</t>
        </is>
      </c>
    </row>
    <row r="21903">
      <c r="A21903" t="inlineStr">
        <is>
          <t>air</t>
        </is>
      </c>
      <c r="B21903">
        <f>HYPERLINK("https://www.dofusbook.net/fr/equipement/2927052-air/objets", "link")</f>
        <v/>
      </c>
      <c r="C21903" t="n">
        <v>0</v>
      </c>
      <c r="D21903" t="inlineStr">
        <is>
          <t>Lance Horselé; Pendentif mignon de Koutoulou; Alliance Gloursonne; Gant du Valet Veinard; Sept ans de malheur; Menoture; Chapeau de Tournoyé; Chevelure de Tal Kasha; Palmes Trithons; Dofus Ivoire; Dofus Abyssal; Paralyseur majeur; Étourdisseur majeur; Cascadeur majeur; Remueur; Muldo Ebène</t>
        </is>
      </c>
    </row>
    <row r="21904">
      <c r="A21904" t="inlineStr">
        <is>
          <t>test compo</t>
        </is>
      </c>
      <c r="B21904">
        <f>HYPERLINK("https://www.dofusbook.net/fr/equipement/2883113-test-compo/objets", "link")</f>
        <v/>
      </c>
      <c r="C21904" t="n">
        <v>0</v>
      </c>
      <c r="D21904" t="inlineStr">
        <is>
          <t>Le Thanos; Amulette d'Ilyzaelle; Alliance Gloursonne; Anneau Rifique; Sept ans de malheur; Menoture; Casque d'Ilyzaelle; Chevelure de Tal Kasha; Sabots de Vortex; Dofus Ivoire; Dofus Abyssal; Guérisseur majeur; Remueur; Étourdisseur majeur</t>
        </is>
      </c>
    </row>
    <row r="21905">
      <c r="A21905" t="inlineStr">
        <is>
          <t>feu</t>
        </is>
      </c>
      <c r="B21905">
        <f>HYPERLINK("https://www.dofusbook.net/fr/equipement/2842057-feu/objets", "link")</f>
        <v/>
      </c>
      <c r="C21905" t="n">
        <v>0</v>
      </c>
      <c r="D21905" t="inlineStr">
        <is>
          <t>Arc Hétype; Collier de la Dame du Hasard; Anneau de Nidas; Anneau Tique; Bouclier cubiste; Ceinture de Vortex; Couronne de Nidas; Cape de Meno; Bottes Innommables; Dofus Abyssal; Dofus Turquoise; Dofus Ivoire; Dofus Pourpre; Érudit majeur; Remueur; Muldo Orchidée et Pourpre</t>
        </is>
      </c>
    </row>
    <row r="21906">
      <c r="A21906" t="inlineStr">
        <is>
          <t>terre</t>
        </is>
      </c>
      <c r="B21906">
        <f>HYPERLINK("https://www.dofusbook.net/fr/equipement/2840121-terre/objets", "link")</f>
        <v/>
      </c>
      <c r="C21906" t="n">
        <v>0</v>
      </c>
      <c r="D21906" t="inlineStr">
        <is>
          <t>Arc du Chalœil; Amulette du Strigide; Bague Gloursonne; Bague Trithon; Quatre-feuilles; Ceinture du Père Fwetar; Le Dorado; Cape au Logis; Bottes Trithon; Dofus Pourpre; Dofus Turquoise; Dofus Abyssal; Évasif majeur; Enragé majeur; Remueur; Muldo Indigo et Ivoire</t>
        </is>
      </c>
    </row>
    <row r="21907">
      <c r="A21907" t="inlineStr">
        <is>
          <t>eau ret</t>
        </is>
      </c>
      <c r="B21907">
        <f>HYPERLINK("https://www.dofusbook.net/fr/equipement/2823407-eau-ret-/objets", "link")</f>
        <v/>
      </c>
      <c r="C21907" t="n">
        <v>0</v>
      </c>
      <c r="D21907" t="inlineStr">
        <is>
          <t>Sceptre du Roi Joueur; Amulette de Shokkoth; Alliance Gloursonne; Pikano; Sept ans de malheur; Culotte de Bethel; Masque de Funespadon; Cape d'Atcham; Pataugastrique; Dofus Abyssal; Dofus Ivoire; Étourdisseur majeur; Remueur; Engourdisseur majeur; Chanceux majeur; Muldo Ebène et Indigo</t>
        </is>
      </c>
    </row>
    <row r="21908">
      <c r="A21908" t="inlineStr">
        <is>
          <t>air</t>
        </is>
      </c>
      <c r="B21908">
        <f>HYPERLINK("https://www.dofusbook.net/fr/equipement/2823316-air/objets", "link")</f>
        <v/>
      </c>
      <c r="C21908" t="n">
        <v>0</v>
      </c>
      <c r="D21908" t="inlineStr">
        <is>
          <t>Manthache; Collier du Valet Veinard; Gant du Valet Veinard; Alliance Gloursonne; Cadran de Terre; Menoture; Dorabysses; Cape du Kamasterisk; Palmes Trithons; Dofus Abyssal; Dofus Ivoire; Dofus Pourpre; Cascadeur majeur; Étourdisseur majeur; Remueur</t>
        </is>
      </c>
    </row>
    <row r="21909">
      <c r="A21909" t="inlineStr">
        <is>
          <t>eau lol</t>
        </is>
      </c>
      <c r="B21909">
        <f>HYPERLINK("https://www.dofusbook.net/fr/equipement/2811666-eau-lol-/objets", "link")</f>
        <v/>
      </c>
      <c r="C21909" t="n">
        <v>0</v>
      </c>
      <c r="D21909" t="inlineStr">
        <is>
          <t>Arc Ontanporin; Amulette de Shokkoth; Alliance Gloursonne; Bracelet des Fonds marins; Quatre-feuilles; Sangle Ouare; Capuche de l'Œil Attentif; Cape Solution; Chaussons de Macrab; Dofus Pourpre; Dofus des Glaces; Dofus Turquoise; Remueur; Chanceux majeur</t>
        </is>
      </c>
    </row>
    <row r="21910">
      <c r="A21910" t="inlineStr">
        <is>
          <t>full air</t>
        </is>
      </c>
      <c r="B21910">
        <f>HYPERLINK("https://www.dofusbook.net/fr/equipement/2804621-full-air/objets", "link")</f>
        <v/>
      </c>
      <c r="C21910" t="n">
        <v>0</v>
      </c>
      <c r="D21910" t="inlineStr">
        <is>
          <t>Manthache; Collier du Valet Veinard; Alliance Gloursonne; Gant du Valet Veinard; Bouclier du Stalak; Menoture; Couronne d'Allister; Cape du Kamasterisk; Palmes Trithons; Dofus Abyssal; Dofus Cawotte; Dofus Pourpre; Évasif majeur; Remueur; Cascadeur majeur; Muldo Indigo et Orchidée</t>
        </is>
      </c>
    </row>
    <row r="21911">
      <c r="A21911" t="inlineStr">
        <is>
          <t>stuff eskiv</t>
        </is>
      </c>
      <c r="B21911">
        <f>HYPERLINK("https://www.dofusbook.net/fr/equipement/2804533-stuff-eskiv/objets", "link")</f>
        <v/>
      </c>
      <c r="C21911" t="n">
        <v>0</v>
      </c>
      <c r="D21911" t="inlineStr">
        <is>
          <t>Sceptre du Roi Joueur; Amulette de Shokkoth; Bague Trithon; Alliance Gloursonne; Cadran de Terre; Poulpagne; Capuche de l'Œil Attentif; Cape de l'Œil Attentif; Pantoufles du Piloztère; Dofus Cawotte; Dofus Abyssal; Remueur; Cavaleur majeur; Étourdisseur majeur; Chanceux majeur; Muldo Indigo</t>
        </is>
      </c>
    </row>
    <row r="21912">
      <c r="A21912" t="inlineStr">
        <is>
          <t>eau ret pa</t>
        </is>
      </c>
      <c r="B21912">
        <f>HYPERLINK("https://www.dofusbook.net/fr/equipement/2779365-eau-ret-pa/objets", "link")</f>
        <v/>
      </c>
      <c r="C21912" t="n">
        <v>0</v>
      </c>
      <c r="D21912" t="inlineStr">
        <is>
          <t>Sceptre du Roi Joueur; Amulette de Shokkoth; Alliance Gloursonne; Bracelet des Fonds marins; Sept ans de malheur; Sangle Ouare; Kidibonnet; Chevelure de Tal Kasha; Sandales de Tal Kasha; Remueur; Étourdisseur majeur; Chanceux majeur</t>
        </is>
      </c>
    </row>
    <row r="21913">
      <c r="A21913" t="inlineStr">
        <is>
          <t>steamer soutien</t>
        </is>
      </c>
      <c r="B21913">
        <f>HYPERLINK("https://www.dofusbook.net/fr/equipement/2778439-steamer-soutien-/objets", "link")</f>
        <v/>
      </c>
      <c r="C21913" t="n">
        <v>0</v>
      </c>
      <c r="D21913" t="inlineStr"/>
    </row>
    <row r="21914">
      <c r="A21914" t="inlineStr">
        <is>
          <t>eca lance corrompue</t>
        </is>
      </c>
      <c r="B21914">
        <f>HYPERLINK("https://www.dofusbook.net/fr/equipement/2777764-eca-lance-corrompue/objets", "link")</f>
        <v/>
      </c>
      <c r="C21914" t="n">
        <v>0</v>
      </c>
      <c r="D21914" t="inlineStr">
        <is>
          <t>Lance corrompue; Collier du Valet Veinard; Alliance Gloursonne; Gant du Valet Veinard; Bouclier alvéolé; Ceintouse; Chapoulpe; Cape du Valet Veinard; Tentassons; Dofus Pourpre; Dofus Ocre; Dofus des Glaces; Dofus Émeraude; Dofus Abyssal</t>
        </is>
      </c>
    </row>
    <row r="21915">
      <c r="A21915" t="inlineStr">
        <is>
          <t>rdv</t>
        </is>
      </c>
      <c r="B21915">
        <f>HYPERLINK("https://www.dofusbook.net/fr/equipement/2774864-rdv/objets", "link")</f>
        <v/>
      </c>
      <c r="C21915" t="n">
        <v>0</v>
      </c>
      <c r="D21915" t="inlineStr">
        <is>
          <t>Dagues de Srambad; Amulette Ementaire Deluxe; Pikano; Alliance Gloursonne; Bouclier alvéolé; Ceinture de la Reine des Voleurs; Coiffe de la Reine des Voleurs; Voile d'encre; Bottes Honyme; Dofus Abyssal; Dofus Pourpre; Dofus Ivoire; Dofus des Glaces; Remueur</t>
        </is>
      </c>
    </row>
    <row r="21916">
      <c r="A21916" t="inlineStr">
        <is>
          <t>hupper compo gui</t>
        </is>
      </c>
      <c r="B21916">
        <f>HYPERLINK("https://www.dofusbook.net/fr/equipement/2765818-hupper-compo-gui/objets", "link")</f>
        <v/>
      </c>
      <c r="C21916" t="n">
        <v>3</v>
      </c>
      <c r="D21916" t="inlineStr">
        <is>
          <t>Baguette Hique; Amulette de Shokkoth; Alliance Gloursonne; Pikano; Bouclier cubiste; Ceinture Glaciale; Kidibonnet; Cape de la Dame du Hasard; Bottes de la Dame du Hasard; Dofus Abyssal; Chanceux majeur; Remueur; Temporiseur majeur; Croum</t>
        </is>
      </c>
    </row>
    <row r="21917">
      <c r="A21917" t="inlineStr">
        <is>
          <t>eau ret</t>
        </is>
      </c>
      <c r="B21917">
        <f>HYPERLINK("https://www.dofusbook.net/fr/equipement/2757402-eau-ret/objets", "link")</f>
        <v/>
      </c>
      <c r="C21917" t="n">
        <v>0</v>
      </c>
      <c r="D21917" t="inlineStr">
        <is>
          <t>Dagoulinantes; Amulette de Shokkoth; Alliance Gloursonne; Pikano; Cadran de Terre; Culotte de Bethel; Némès de Tal Kasha; Chevelure de Tal Kasha; Pataugastrique; Dofus des Glaces; Dofus Abyssal; Chanceux majeur; Étourdisseur majeur; Remueur; Paralyseur majeur; Muldo Indigo et Pourpre</t>
        </is>
      </c>
    </row>
    <row r="21918">
      <c r="A21918" t="inlineStr">
        <is>
          <t>cra fuuuuuuuuul ret</t>
        </is>
      </c>
      <c r="B21918">
        <f>HYPERLINK("https://www.dofusbook.net/fr/equipement/2753719-cra-fuuuuuuuuul-ret/objets", "link")</f>
        <v/>
      </c>
      <c r="C21918" t="n">
        <v>0</v>
      </c>
      <c r="D21918" t="inlineStr">
        <is>
          <t>Rouleau à Pâtisserie d'Aermyne; Amulette de Shokkoth; Anneau de Nidas; Anneau Crustique; Cadran de Terre; Ceinture Instable; Masque d'Anerice; Cape d'Anerice; Pataugastrique; Paralyseur majeur; Miraculé majeur; Remueur; Temporiseur majeur; Entraveur majeur; Étourdisseur majeur</t>
        </is>
      </c>
    </row>
    <row r="21919">
      <c r="A21919" t="inlineStr">
        <is>
          <t>iojhl</t>
        </is>
      </c>
      <c r="B21919">
        <f>HYPERLINK("https://www.dofusbook.net/fr/equipement/2748467-iojhl/objets", "link")</f>
        <v/>
      </c>
      <c r="C21919" t="n">
        <v>0</v>
      </c>
      <c r="D21919" t="inlineStr">
        <is>
          <t>Lance Horselé; Amulette du Strigide; Anneau de Pol Ouatnos; Alliance Gloursonne; Quatre-feuilles; Menoture; Masque du Barbétoal; Chevelure de Tal Kasha; Sandales de Tal Kasha; Dofus Pourpre; Dofus des Glaces; Dofus Turquoise; Étourdisseur majeur; Remueur; Paralyseur majeur</t>
        </is>
      </c>
    </row>
    <row r="21920">
      <c r="A21920" t="inlineStr">
        <is>
          <t>sortdeuxpa</t>
        </is>
      </c>
      <c r="B21920">
        <f>HYPERLINK("https://www.dofusbook.net/fr/equipement/2748425-sortdeuxpa/objets", "link")</f>
        <v/>
      </c>
      <c r="C21920" t="n">
        <v>0</v>
      </c>
      <c r="D21920" t="inlineStr">
        <is>
          <t>Faux Maudite du Saigneur Guerrier; Amulette du Strigide; Alliance Gloursonne; Bague Trithon; Bouclier du Captain Amakna; Ceinture du Strigide; Masque Trithon; Voile d'encre; Bottes du Strigide; Dolmanax; Dofus Pourpre; Dofus Ocre; Dofus des Glaces; Dofus Turquoise; Dofus Abyssal; Muldo Prune et Emeraude</t>
        </is>
      </c>
    </row>
    <row r="21921">
      <c r="A21921" t="inlineStr">
        <is>
          <t>loulilol</t>
        </is>
      </c>
      <c r="B21921">
        <f>HYPERLINK("https://www.dofusbook.net/fr/equipement/2747899-loulilol/objets", "link")</f>
        <v/>
      </c>
      <c r="C21921" t="n">
        <v>1</v>
      </c>
      <c r="D21921" t="inlineStr">
        <is>
          <t>Arc du Chalœil; Amulette Luminescente; Bague Trithon; Alliance Gloursonne; Bouclier précieux; Sangle Ouare; Masque d'Anerice; Cape d'Anerice; Pataugastrique; Dofus Émeraude; Miraculé majeur; Remueur; Culbuteur majeur; Culbuteur; Bousculeur majeur; Péki</t>
        </is>
      </c>
    </row>
    <row r="21922">
      <c r="A21922" t="inlineStr">
        <is>
          <t>eau ret pa</t>
        </is>
      </c>
      <c r="B21922">
        <f>HYPERLINK("https://www.dofusbook.net/fr/equipement/2745167-eau-ret-pa/objets", "link")</f>
        <v/>
      </c>
      <c r="C21922" t="n">
        <v>1</v>
      </c>
      <c r="D21922" t="inlineStr">
        <is>
          <t>Dagoulinantes; Amulette de Shokkoth; Alliance Gloursonne; Pikano; Cadran de Terre; Culotte de Bethel; Masque de Funespadon; Cape Solution; Pataugastrique; Dofus Ivoire; Dofus Abyssal; Étourdisseur majeur; Paralyseur majeur; Remueur; Chanceux majeur</t>
        </is>
      </c>
    </row>
    <row r="21923">
      <c r="A21923" t="inlineStr">
        <is>
          <t>terre air</t>
        </is>
      </c>
      <c r="B21923">
        <f>HYPERLINK("https://www.dofusbook.net/fr/equipement/2737203-terre-air/objets", "link")</f>
        <v/>
      </c>
      <c r="C21923" t="n">
        <v>3</v>
      </c>
      <c r="D21923" t="inlineStr">
        <is>
          <t>Lance corrompue; Amulette de l'Indicible; Alliance Gloursonne; Gant du Valet Veinard; Bouclier alvéolé; Ceintouse; Dorabysses; Cape du Valet Veinard; Baleinabottes; Dofus Pourpre; Dofus des Glaces; Dolmanax; Remueur; Miraculé majeur; Muldo Pourpre</t>
        </is>
      </c>
    </row>
    <row r="21924">
      <c r="A21924" t="inlineStr">
        <is>
          <t>hupper soin xd</t>
        </is>
      </c>
      <c r="B21924">
        <f>HYPERLINK("https://www.dofusbook.net/fr/equipement/2737134-hupper-soin-xd/objets", "link")</f>
        <v/>
      </c>
      <c r="C21924" t="n">
        <v>0</v>
      </c>
      <c r="D21924" t="inlineStr">
        <is>
          <t>Le Thanos; Amulette d'Ilyzaelle; Anneau Rifique; Alliance Gloursonne; Bouclier d'Ilyzaelle; Menoture; Casque Dragoeuf; Capille; Bottes de la Reine des Voleurs; Dofus Ivoire; Dofus des Glaces; Dofus Pourpre; Miraculé majeur; Remueur; Guérisseur majeur; Muldo Ebène</t>
        </is>
      </c>
    </row>
    <row r="21925">
      <c r="A21925" t="inlineStr">
        <is>
          <t>antoine</t>
        </is>
      </c>
      <c r="B21925">
        <f>HYPERLINK("https://www.dofusbook.net/fr/equipement/2732409-antoine/objets", "link")</f>
        <v/>
      </c>
      <c r="C21925" t="n">
        <v>1</v>
      </c>
      <c r="D21925" t="inlineStr">
        <is>
          <t>Ares; La Meulette; Gelano; Anneau Tabéné; Cadran de Terre; Ceinture des Matougarous; Katar Strophe; Cape Phossile; Bottes Phossiles; Enragé; Chanceux; Remueur</t>
        </is>
      </c>
    </row>
    <row r="21926">
      <c r="A21926" t="inlineStr">
        <is>
          <t>terre rox</t>
        </is>
      </c>
      <c r="B21926">
        <f>HYPERLINK("https://www.dofusbook.net/fr/equipement/2731936-terre-rox/objets", "link")</f>
        <v/>
      </c>
      <c r="C21926" t="n">
        <v>1</v>
      </c>
      <c r="D21926" t="inlineStr">
        <is>
          <t>Arc du Chalœil; Amulette du Strigide; Anneau Chevelu; Anneau de Brouce; Quatre-feuilles; Ceinture de Brouce; Chapeau de Gein; Voile d'encre; Bottes Honyme; Dofus des Glaces; Dofus Turquoise; Dofus Abyssal; Dofus Pourpre; Remueur; Enragé majeur; Muldo Indigo et Pourpre</t>
        </is>
      </c>
    </row>
    <row r="21927">
      <c r="A21927" t="inlineStr">
        <is>
          <t>full feu de loin</t>
        </is>
      </c>
      <c r="B21927">
        <f>HYPERLINK("https://www.dofusbook.net/fr/equipement/2727337-full-feu-de-loin/objets", "link")</f>
        <v/>
      </c>
      <c r="C21927" t="n">
        <v>0</v>
      </c>
      <c r="D21927" t="inlineStr">
        <is>
          <t>Arc corrompu; Amulette du Strigide; Anneau de Nidas; Anneau Tique; Quatre-feuilles; Ceintacé; Coiffe de Padgref; Voile d'encre; Getas de Padgref; Dofus Pourpre; Dofus Turquoise; Dofus Abyssal; Dofus des Glaces; Érudit majeur; Remueur</t>
        </is>
      </c>
    </row>
    <row r="21928">
      <c r="A21928" t="inlineStr">
        <is>
          <t>corrompue</t>
        </is>
      </c>
      <c r="B21928">
        <f>HYPERLINK("https://www.dofusbook.net/fr/equipement/2724345-corrompue/objets", "link")</f>
        <v/>
      </c>
      <c r="C21928" t="n">
        <v>0</v>
      </c>
      <c r="D21928" t="inlineStr">
        <is>
          <t>Lance corrompue; Collier du Valet Veinard; Alliance Gloursonne; Gant du Valet Veinard; Bouclier alvéolé; Ceintouse; Dorabysses; Cape du Chalœil; Baleinabottes; Dofus des Glaces; Dofus Émeraude; Dofus Abyssal; Dofus Pourpre; Dofus Ivoire; Remueur; Muldo Ebène et Pourpre</t>
        </is>
      </c>
    </row>
    <row r="21929">
      <c r="A21929" t="inlineStr">
        <is>
          <t>Air</t>
        </is>
      </c>
      <c r="B21929">
        <f>HYPERLINK("https://www.dofusbook.net/fr/equipement/2722113-air/objets", "link")</f>
        <v/>
      </c>
      <c r="C21929" t="n">
        <v>0</v>
      </c>
      <c r="D21929" t="inlineStr">
        <is>
          <t>Manthache; Amulette du Strigide; Alliance Gloursonne; Anneau de Padgref; Quatre-feuilles; Menoture; Chapeau de Tournoyé; Chevelure de Tal Kasha; Sandales de Tal Kasha; Dofus des Glaces; Dofus Pourpre; Dofus Abyssal; Dofus Turquoise; Remueur; Cascadeur majeur; Muldo Ebène</t>
        </is>
      </c>
    </row>
    <row r="21930">
      <c r="A21930" t="inlineStr">
        <is>
          <t>feu</t>
        </is>
      </c>
      <c r="B21930">
        <f>HYPERLINK("https://www.dofusbook.net/fr/equipement/2701955-feu/objets", "link")</f>
        <v/>
      </c>
      <c r="C21930" t="n">
        <v>0</v>
      </c>
      <c r="D21930" t="inlineStr">
        <is>
          <t>Massier; Amulette du Strigide; Bague Gloursonne; Anneau Tique; Bouclier Taverne; Ceintacé; Coiffe de Padgref; Voile d'encre; Getas de Padgref; Dofus des Glaces; Dofus Turquoise; Dofus Pourpre; Dofus Abyssal; Érudit majeur; Remueur</t>
        </is>
      </c>
    </row>
    <row r="21931">
      <c r="A21931" t="inlineStr">
        <is>
          <t>cra terre eau</t>
        </is>
      </c>
      <c r="B21931">
        <f>HYPERLINK("https://www.dofusbook.net/fr/equipement/2701325-cra-terre--eau/objets", "link")</f>
        <v/>
      </c>
      <c r="C21931" t="n">
        <v>2</v>
      </c>
      <c r="D21931" t="inlineStr">
        <is>
          <t>Pelle de Nidas; Amulette du Strigide; Anneau de Pol Ouatnos; Alliance Gloursonne; Quatre-feuilles; Culotte de Bethel; Masque de Funespadon; Cape Luminescente; Bottes Honyme; Dolmanax; Dofus Nébuleux; Dofus Pourpre; Dofus Turquoise; Étourdisseur majeur; Remueur; Kramkram</t>
        </is>
      </c>
    </row>
    <row r="21932">
      <c r="A21932" t="inlineStr">
        <is>
          <t>huppermage</t>
        </is>
      </c>
      <c r="B21932">
        <f>HYPERLINK("https://www.dofusbook.net/fr/equipement/2697503-huppermage/objets", "link")</f>
        <v/>
      </c>
      <c r="C21932" t="n">
        <v>0</v>
      </c>
      <c r="D21932" t="inlineStr">
        <is>
          <t>Marteau des Anciens Steamers; Amulette Voldelor; Alliance Gloursonne; Gant du Valet Veinard; Bouclier d'Ilyzaelle; Sangle Ouare; Casque d'Ilyzaelle; Chevelure de Tal Kasha; Pataugastrique; Dofus des Glaces; Dofus Abyssal; Dofus Pourpre; Dofus Ivoire; Cascadeur majeur; Remueur; Kramkram</t>
        </is>
      </c>
    </row>
    <row r="21933">
      <c r="A21933" t="inlineStr">
        <is>
          <t>eau xd</t>
        </is>
      </c>
      <c r="B21933">
        <f>HYPERLINK("https://www.dofusbook.net/fr/equipement/2692755-eau-xd/objets", "link")</f>
        <v/>
      </c>
      <c r="C21933" t="n">
        <v>0</v>
      </c>
      <c r="D21933" t="inlineStr">
        <is>
          <t>Dagoulinantes; Amulette du Strigide; Alliance Gloursonne; Bague Trithon; Quatre-feuilles; Ceinture du Barbétoal; Kidibonnet; Cape du Sinistrofu; Bottes du Sinistrofu; Dofus Pourpre; Dofus Nébuleux; Dofus Turquoise; Chanceux majeur; Nomade; Remueur; Pioute bleu</t>
        </is>
      </c>
    </row>
    <row r="21934">
      <c r="A21934" t="inlineStr">
        <is>
          <t>crit multi troll</t>
        </is>
      </c>
      <c r="B21934">
        <f>HYPERLINK("https://www.dofusbook.net/fr/equipement/2692023-crit-multi-troll/objets", "link")</f>
        <v/>
      </c>
      <c r="C21934" t="n">
        <v>0</v>
      </c>
      <c r="D21934" t="inlineStr">
        <is>
          <t>Marteau des égarés; Amulette du Strigide; Bague Trithon; Alliance Gloursonne; Bouclier Taverne; Ceintacé; Casque du Chalœil; Dofusteuse; Bottes Trithon; Dofus Pourpre; Dofus Abyssal; Dofus Turquoise; Dolmanax; Dofus des Glaces</t>
        </is>
      </c>
    </row>
    <row r="21935">
      <c r="A21935" t="inlineStr">
        <is>
          <t>zerazaeza</t>
        </is>
      </c>
      <c r="B21935">
        <f>HYPERLINK("https://www.dofusbook.net/fr/equipement/2681262-zerazaeza/objets", "link")</f>
        <v/>
      </c>
      <c r="C21935" t="n">
        <v>3</v>
      </c>
      <c r="D21935" t="inlineStr">
        <is>
          <t>Lance corrompue; Amulette du Kamasterisk; Bague Gloursonne; Alliance Gloursonne; Bouclier Taverne; Ceintouse; Chapoulpe; Cape du Kamasterisk; Tentassons; Dolmanax; Dofus Abyssal; Dokoko; Dofus Pourpre; Dofus Ocre; Dofus des Glaces</t>
        </is>
      </c>
    </row>
    <row r="21936">
      <c r="A21936" t="inlineStr">
        <is>
          <t>Mes couilles</t>
        </is>
      </c>
      <c r="B21936">
        <f>HYPERLINK("https://www.dofusbook.net/fr/equipement/2680035-mes-couilles-/objets", "link")</f>
        <v/>
      </c>
      <c r="C21936" t="n">
        <v>5</v>
      </c>
      <c r="D21936" t="inlineStr">
        <is>
          <t>Lance corrompue; Collier du Valet Veinard; Alliance Gloursonne; Gant du Valet Veinard; Bouclier d'Ilyzaelle; Ceintouse; Chapoulpe; Cape du Valet Veinard; Tentassons; Dolmanax; Dofus des Glaces; Dofus Pourpre; Dofus Abyssal; Dokoko; Dofus Ocre</t>
        </is>
      </c>
    </row>
    <row r="21937">
      <c r="A21937" t="inlineStr">
        <is>
          <t>feu</t>
        </is>
      </c>
      <c r="B21937">
        <f>HYPERLINK("https://www.dofusbook.net/fr/equipement/2676855-feu/objets", "link")</f>
        <v/>
      </c>
      <c r="C21937" t="n">
        <v>0</v>
      </c>
      <c r="D21937" t="inlineStr">
        <is>
          <t>Massier; Amulette du Strigide; Bague Gloursonne; Anneau Tique; Bouclier Taverne; Ceintacé; Coiffe de Padgref; Voile d'encre; Getas de Padgref; Remueur</t>
        </is>
      </c>
    </row>
    <row r="21938">
      <c r="A21938" t="inlineStr">
        <is>
          <t>do pou</t>
        </is>
      </c>
      <c r="B21938">
        <f>HYPERLINK("https://www.dofusbook.net/fr/equipement/2676805-do-pou/objets", "link")</f>
        <v/>
      </c>
      <c r="C21938" t="n">
        <v>0</v>
      </c>
      <c r="D21938" t="inlineStr">
        <is>
          <t>Lav'Hache; Torquistik; Anneau Chevelu; Bague Trithon; Bouclier précieux; Ceinture Gence; Casque Dragoeuf; Cape du Cœur Vaillant; Bottistik; Dofus Ivoire; Dofus Abyssal</t>
        </is>
      </c>
    </row>
    <row r="21939">
      <c r="A21939" t="inlineStr">
        <is>
          <t>sqdqsdqsdqz</t>
        </is>
      </c>
      <c r="B21939">
        <f>HYPERLINK("https://www.dofusbook.net/fr/equipement/2674998-sqdqsdqsdqz/objets", "link")</f>
        <v/>
      </c>
      <c r="C21939" t="n">
        <v>1</v>
      </c>
      <c r="D21939" t="inlineStr">
        <is>
          <t>Dagoulinantes; Amulette du Strigide; Bague Trithon; Alliance Gloursonne; Cadran d'Eau; Ceinture du Barbétoal; Kidibonnet; Cape du Sinistrofu; Bottes du Sinistrofu; Dofus Turquoise; Dofus Ivoire; Dofus Abyssal; Dofus Pourpre; Remueur; Chanceux majeur; Muldo Ebène et Indigo</t>
        </is>
      </c>
    </row>
    <row r="21940">
      <c r="A21940" t="inlineStr">
        <is>
          <t>terre pp</t>
        </is>
      </c>
      <c r="B21940">
        <f>HYPERLINK("https://www.dofusbook.net/fr/equipement/2669062-terre-pp/objets", "link")</f>
        <v/>
      </c>
      <c r="C21940" t="n">
        <v>1</v>
      </c>
      <c r="D21940" t="inlineStr">
        <is>
          <t>Marteau R'ture; Amulette du Strigide; Bague Gloursonne; Anneau Chevelu; Quatre-feuilles; Ceinture du Strigide; Masque de Koutoulou; Cape au Logis; Bottes du Cœur Saignant; Dofus Pourpre; Dofus Nébuleux; Dofus des Glaces; Dofus Turquoise; Remueur; Enragé majeur</t>
        </is>
      </c>
    </row>
    <row r="21941">
      <c r="A21941" t="inlineStr">
        <is>
          <t>terre</t>
        </is>
      </c>
      <c r="B21941">
        <f>HYPERLINK("https://www.dofusbook.net/fr/equipement/2660753-terre/objets", "link")</f>
        <v/>
      </c>
      <c r="C21941" t="n">
        <v>0</v>
      </c>
      <c r="D21941" t="inlineStr">
        <is>
          <t>Arc du Chalœil; Amulette du Strigide; Anneau Chevelu; Bague Gloursonne; Quatre-feuilles; Ceintacé; Masque de Koutoulou; Cape au Logis; Bottes du Strigide; Dofus Abyssal; Dofus Turquoise; Dofus Pourpre; Enragé majeur; Miraculé majeur; Remueur; Muldo Pourpre</t>
        </is>
      </c>
    </row>
    <row r="21942">
      <c r="A21942" t="inlineStr">
        <is>
          <t>terre</t>
        </is>
      </c>
      <c r="B21942">
        <f>HYPERLINK("https://www.dofusbook.net/fr/equipement/2638204-terre/objets", "link")</f>
        <v/>
      </c>
      <c r="C21942" t="n">
        <v>0</v>
      </c>
      <c r="D21942" t="inlineStr">
        <is>
          <t>Marteau R'ture; Amulette du Strigide; Anneau Chevelu; Bague Gloursonne; Quatre-feuilles; Ceinture du Strigide; Masque de Koutoulou; Cape au Logis; Bottes de la Cour Sombre; Dofus Turquoise; Dofus Pourpre; Dofus des Glaces; Dofus Abyssal; Remueur; Enragé majeur</t>
        </is>
      </c>
    </row>
    <row r="21943">
      <c r="A21943" t="inlineStr">
        <is>
          <t>air ret pa</t>
        </is>
      </c>
      <c r="B21943">
        <f>HYPERLINK("https://www.dofusbook.net/fr/equipement/2638115-air-ret-pa/objets", "link")</f>
        <v/>
      </c>
      <c r="C21943" t="n">
        <v>0</v>
      </c>
      <c r="D21943" t="inlineStr">
        <is>
          <t>Lance Horselé; Amulette du Strigide; Anneau de Padgref; Alliance Gloursonne; Quatre-feuilles; Menoture; Casque Dragoeuf; Chevelure de Tal Kasha; Sandales de Tal Kasha; Dofus Pourpre; Dofus Turquoise; Remueur; Miraculé majeur; Étourdisseur majeur; Cascadeur majeur</t>
        </is>
      </c>
    </row>
    <row r="21944">
      <c r="A21944" t="inlineStr">
        <is>
          <t>air eau ret</t>
        </is>
      </c>
      <c r="B21944">
        <f>HYPERLINK("https://www.dofusbook.net/fr/equipement/2637825-air-eau-ret/objets", "link")</f>
        <v/>
      </c>
      <c r="C21944" t="n">
        <v>0</v>
      </c>
      <c r="D21944" t="inlineStr">
        <is>
          <t>Arc de Koutoulou; Amulette du Strigide; Alliance Gloursonne; Bracelet des Fonds marins; Quatre-feuilles; Menoture; Némès de Tal Kasha; Chevelure de Tal Kasha; Sandales  d'Atcham; Dofus Turquoise; Dofus Pourpre; Dofus Abyssal; Remueur; Étourdisseur majeur</t>
        </is>
      </c>
    </row>
    <row r="21945">
      <c r="A21945" t="inlineStr">
        <is>
          <t>terre</t>
        </is>
      </c>
      <c r="B21945">
        <f>HYPERLINK("https://www.dofusbook.net/fr/equipement/2636032-terre/objets", "link")</f>
        <v/>
      </c>
      <c r="C21945" t="n">
        <v>0</v>
      </c>
      <c r="D21945" t="inlineStr">
        <is>
          <t>Dagues d'Ilyzaelle; Amulette du Strigide; Bague Gloursonne; Bracelet du Piloztère; Quatre-feuilles; Ceinture du Strigide; Masque de Koutoulou; Voile d'encre; Bottes du Chalœil; Dofus Pourpre; Dofus Nébuleux; Dofus Turquoise; Dofus Abyssal; Dofus des Glaces; Remueur</t>
        </is>
      </c>
    </row>
    <row r="21946">
      <c r="A21946" t="inlineStr">
        <is>
          <t>eau ret maj</t>
        </is>
      </c>
      <c r="B21946">
        <f>HYPERLINK("https://www.dofusbook.net/fr/equipement/2634696-eau-ret-maj/objets", "link")</f>
        <v/>
      </c>
      <c r="C21946" t="n">
        <v>0</v>
      </c>
      <c r="D21946" t="inlineStr">
        <is>
          <t>Dagoulinantes; Amulette de Shokkoth; Alliance Gloursonne; Bracelet des Fonds marins; Quatre-feuilles; Sangle Ouare; Némès de Tal Kasha; Cape Solution; Sandales de Tal Kasha; Dofus Pourpre; Dofus Turquoise; Dofus Abyssal; Remueur; Étourdisseur majeur; Chanceux majeur</t>
        </is>
      </c>
    </row>
    <row r="21947">
      <c r="A21947" t="inlineStr">
        <is>
          <t>terre air do pou</t>
        </is>
      </c>
      <c r="B21947">
        <f>HYPERLINK("https://www.dofusbook.net/fr/equipement/2628906-terre-air-do-pou/objets", "link")</f>
        <v/>
      </c>
      <c r="C21947" t="n">
        <v>0</v>
      </c>
      <c r="D21947" t="inlineStr">
        <is>
          <t>Héqache; Amibou; Alliance Gloursonne; Bague Trithon; Bivalve; Menoture; Masque de Koutoulou; Cape du Cœur Vaillant; Bottes Trithon; Dofus Pourpre; Dofus Turquoise; Dofus Abyssal; Dofus des Glaces; Culbuteur majeur; Bousculeur majeur; Muldo Ebène</t>
        </is>
      </c>
    </row>
    <row r="21948">
      <c r="A21948" t="inlineStr">
        <is>
          <t>steam air do pou</t>
        </is>
      </c>
      <c r="B21948">
        <f>HYPERLINK("https://www.dofusbook.net/fr/equipement/2628823-steam-air-do-pou/objets", "link")</f>
        <v/>
      </c>
      <c r="C21948" t="n">
        <v>0</v>
      </c>
      <c r="D21948" t="inlineStr">
        <is>
          <t>Hachoirs de Viandargh; Amibou; Alliance Gloursonne; Bague Trithon; Bivalve; Menoture; Casque Dragoeuf; Capibou; Bottes du Cœur Vaillant; Dofus Abyssal; Remueur; Miraculé majeur; Culbuteur majeur; Cascadeur majeur; Pousseur majeur; Muldo Ebène</t>
        </is>
      </c>
    </row>
    <row r="21949">
      <c r="A21949" t="inlineStr">
        <is>
          <t>feu</t>
        </is>
      </c>
      <c r="B21949">
        <f>HYPERLINK("https://www.dofusbook.net/fr/equipement/2589466-feu/objets", "link")</f>
        <v/>
      </c>
      <c r="C21949" t="n">
        <v>1</v>
      </c>
      <c r="D21949" t="inlineStr">
        <is>
          <t>Arc Nécrotique; Amulette du Strigide; Alliance Gloursonne; Anneau Tique; Quatre-feuilles; Ceintacé; Chapeau Lisson; Cape de la Dame du Hasard; Bottes de la Dame du Hasard; Dofus Turquoise; Dofus Abyssal; Dofus Pourpre; Déserteur majeur; Miraculé majeur; Remueur</t>
        </is>
      </c>
    </row>
    <row r="21950">
      <c r="A21950" t="inlineStr">
        <is>
          <t>terrre</t>
        </is>
      </c>
      <c r="B21950">
        <f>HYPERLINK("https://www.dofusbook.net/fr/equipement/2584134-terrre/objets", "link")</f>
        <v/>
      </c>
      <c r="C21950" t="n">
        <v>0</v>
      </c>
      <c r="D21950" t="inlineStr">
        <is>
          <t>Dagues du Dragoeuf; La Meulette; Anneau de XLII; Gelano; Bouclier Taverne; Ceinture de XLII; Bonnet Ko; Cape Surde; Chaussons Pignons; Enragé majeur; Nomade; Vigoureux majeur; Remueur</t>
        </is>
      </c>
    </row>
    <row r="21951">
      <c r="A21951" t="inlineStr">
        <is>
          <t>lol</t>
        </is>
      </c>
      <c r="B21951">
        <f>HYPERLINK("https://www.dofusbook.net/fr/equipement/2582728-lol/objets", "link")</f>
        <v/>
      </c>
      <c r="C21951" t="n">
        <v>0</v>
      </c>
      <c r="D21951" t="inlineStr">
        <is>
          <t>Lav'Hache; Amulette du Strigide; Anneau Crustique; Alliance Gloursonne; Sept ans de malheur; Ceintouse; Masque de Koutoulou; Cape du Cœur Vaillant; Tentassons; Dofus Abyssal; Dofus Émeraude; Dofus Pourpre; Étourdisseur majeur; Obstructeur majeur; Remueur; Muldo Ebène et Indigo</t>
        </is>
      </c>
    </row>
    <row r="21952">
      <c r="A21952" t="inlineStr">
        <is>
          <t>ret pa terre</t>
        </is>
      </c>
      <c r="B21952">
        <f>HYPERLINK("https://www.dofusbook.net/fr/equipement/2578650-ret-pa-terre/objets", "link")</f>
        <v/>
      </c>
      <c r="C21952" t="n">
        <v>0</v>
      </c>
      <c r="D21952" t="inlineStr">
        <is>
          <t>Lance corrompue; Amulette du Cœur Vaillant; Alliance Gloursonne; Anneau Crustique; Sept ans de malheur; Menoture; Casque Dragoeuf; Cape du Cœur Vaillant; Tentassons; Dofus Abyssal; Dofus Émeraude; Obstructeur majeur; Remueur; Étourdisseur majeur; Muldo Ebène</t>
        </is>
      </c>
    </row>
    <row r="21953">
      <c r="A21953" t="inlineStr">
        <is>
          <t>ret pa terre</t>
        </is>
      </c>
      <c r="B21953">
        <f>HYPERLINK("https://www.dofusbook.net/fr/equipement/2578651-ret-pa-terre/objets", "link")</f>
        <v/>
      </c>
      <c r="C21953" t="n">
        <v>0</v>
      </c>
      <c r="D21953" t="inlineStr">
        <is>
          <t>Lance corrompue; Anneau Crustique; Alliance Gloursonne; Chapoulpe; Tentassons</t>
        </is>
      </c>
    </row>
    <row r="21954">
      <c r="A21954" t="inlineStr">
        <is>
          <t>ppp</t>
        </is>
      </c>
      <c r="B21954">
        <f>HYPERLINK("https://www.dofusbook.net/fr/equipement/2552139-ppp/objets", "link")</f>
        <v/>
      </c>
      <c r="C21954" t="n">
        <v>1</v>
      </c>
      <c r="D21954" t="inlineStr">
        <is>
          <t>Dagoulinantes; Amulette du Strigide; Alliance Gloursonne; Bracelet des Fonds marins; Cadran d'Eau; Pagne du Rykaon; Masque de Funespadon; Cape Solution; Sandales des Fonds marins; Dofus Turquoise; Dofus Abyssal; Dofus Pourpre; Dofus des Glaces; Remueur; Chanceux majeur; Muldo Ebène</t>
        </is>
      </c>
    </row>
    <row r="21955">
      <c r="A21955" t="inlineStr">
        <is>
          <t>eau ret maj</t>
        </is>
      </c>
      <c r="B21955">
        <f>HYPERLINK("https://www.dofusbook.net/fr/equipement/2523888-eau-ret-maj/objets", "link")</f>
        <v/>
      </c>
      <c r="C21955" t="n">
        <v>0</v>
      </c>
      <c r="D21955" t="inlineStr">
        <is>
          <t>Dagoulinantes; Amulette de Shokkoth; Alliance Gloursonne; Bracelet des Fonds marins; Quatre-feuilles; Sangle Ouare; Némès de Tal Kasha; Cape Solution; Sandales de Tal Kasha; Dofus Abyssal; Dofus Turquoise; Dofus Pourpre; Remueur; Chanceux majeur; Étourdisseur majeur; Croum</t>
        </is>
      </c>
    </row>
    <row r="21956">
      <c r="A21956" t="inlineStr">
        <is>
          <t>air crit</t>
        </is>
      </c>
      <c r="B21956">
        <f>HYPERLINK("https://www.dofusbook.net/fr/equipement/2519420-air-crit/objets", "link")</f>
        <v/>
      </c>
      <c r="C21956" t="n">
        <v>0</v>
      </c>
      <c r="D21956" t="inlineStr">
        <is>
          <t>Manthache; Amulette du Strigide; Anneau de Padgref; Alliance Gloursonne; Quatre-feuilles; Menoture; Chevelure de Tal Kasha; Getas de Padgref; Dofus Turquoise; Dofus des Glaces; Dofus Pourpre; Dofus Abyssal; Cascadeur majeur; Remueur; Muldo Ebène et Orchidée</t>
        </is>
      </c>
    </row>
    <row r="21957">
      <c r="A21957" t="inlineStr">
        <is>
          <t>air ret iop</t>
        </is>
      </c>
      <c r="B21957">
        <f>HYPERLINK("https://www.dofusbook.net/fr/equipement/2518258-air-ret-iop/objets", "link")</f>
        <v/>
      </c>
      <c r="C21957" t="n">
        <v>0</v>
      </c>
      <c r="D21957" t="inlineStr">
        <is>
          <t>Hachoirs de Viandargh; Amulette du Strigide; Alliance Gloursonne; Anneau de Padgref; Bouclier Taverne; Menoture; Boucle d'oreille de Kongoku; Capibou; Getas de Padgref; Dofus des Glaces; Dofus Turquoise; Dofus Abyssal; Dofus Pourpre; Remueur; Temporiseur majeur; Muldo Ebène et Indigo</t>
        </is>
      </c>
    </row>
    <row r="21958">
      <c r="A21958" t="inlineStr">
        <is>
          <t>jsp</t>
        </is>
      </c>
      <c r="B21958">
        <f>HYPERLINK("https://www.dofusbook.net/fr/equipement/2516768-jsp/objets", "link")</f>
        <v/>
      </c>
      <c r="C21958" t="n">
        <v>0</v>
      </c>
      <c r="D21958" t="inlineStr">
        <is>
          <t>Bâthon; Amulette du Strigide; Anneau Chevelu; Bague Gloursonne; Quatre-feuilles; Ceinture du Strigide; Masque de Koutoulou; Voile d'encre; Pompes Funèbres; Dofus Pourpre; Dofus Turquoise; Dolmanax; Dofus des Glaces</t>
        </is>
      </c>
    </row>
    <row r="21959">
      <c r="A21959" t="inlineStr">
        <is>
          <t>air eau</t>
        </is>
      </c>
      <c r="B21959">
        <f>HYPERLINK("https://www.dofusbook.net/fr/equipement/2462679-air-eau/objets", "link")</f>
        <v/>
      </c>
      <c r="C21959" t="n">
        <v>0</v>
      </c>
      <c r="D21959" t="inlineStr">
        <is>
          <t>Marteau des Anciens Steamers; Amulette d'Ilyzaelle; Alliance Gloursonne; Gant du Valet Veinard; Bouclier d'Ilyzaelle; Ceinture de la Reine des Voleurs; Casque d'Ilyzaelle; Cape du Valet Veinard; Bottes de la Reine des Voleurs; Dofus des Glaces; Dolmanax; Dofus Abyssal; Dofus Pourpre</t>
        </is>
      </c>
    </row>
    <row r="21960">
      <c r="A21960" t="inlineStr">
        <is>
          <t>eau</t>
        </is>
      </c>
      <c r="B21960">
        <f>HYPERLINK("https://www.dofusbook.net/fr/equipement/2462546-eau/objets", "link")</f>
        <v/>
      </c>
      <c r="C21960" t="n">
        <v>0</v>
      </c>
      <c r="D21960" t="inlineStr">
        <is>
          <t>Dagoulinantes; Amulette de Shokkoth; Alliance Gloursonne; Bracelet des Fonds marins; Cadran d'Eau; Poulpagne; Casque Dragoeuf; Cape du Sinistrofu; Bottes du Sinistrofu; Dofus Turquoise; Dolmanax; Dofus Pourpre; Dofus Abyssal; Chanceux majeur; Remueur</t>
        </is>
      </c>
    </row>
    <row r="21961">
      <c r="A21961" t="inlineStr">
        <is>
          <t>duo air feu crit</t>
        </is>
      </c>
      <c r="B21961">
        <f>HYPERLINK("https://www.dofusbook.net/fr/equipement/2458071-duo-air-feu-crit/objets", "link")</f>
        <v/>
      </c>
      <c r="C21961" t="n">
        <v>1</v>
      </c>
      <c r="D21961" t="inlineStr">
        <is>
          <t>Canne Harr; Amulette du Strigide; Anneau Tique; Alliance Gloursonne; Bouclier du Captain Amakna; Menoture; Coiffe de Padgref; Cape Hiculteur; Getas de Padgref; Dofus Turquoise; Dofus Abyssal; Dofus Pourpre; Dofus des Glaces</t>
        </is>
      </c>
    </row>
    <row r="21962">
      <c r="A21962" t="inlineStr">
        <is>
          <t>feu crit</t>
        </is>
      </c>
      <c r="B21962">
        <f>HYPERLINK("https://www.dofusbook.net/fr/equipement/2432042-feu-crit/objets", "link")</f>
        <v/>
      </c>
      <c r="C21962" t="n">
        <v>0</v>
      </c>
      <c r="D21962" t="inlineStr">
        <is>
          <t>Dagues Ricol; Amulette du Strigide; Anneau Tique; Anneau de Padgref; Bouclier Taverne; Ceinture du Strigide; Coiffe de Padgref; Voile d'encre; Getas de Padgref; Dofus Ocre; Dofus des Glaces; Dolmanax; Dofus Abyssal; Dofus Turquoise; Dofus Pourpre; Muldo Orchidée et Pourpre</t>
        </is>
      </c>
    </row>
    <row r="21963">
      <c r="A21963" t="inlineStr">
        <is>
          <t>osa terre geo la put</t>
        </is>
      </c>
      <c r="B21963">
        <f>HYPERLINK("https://www.dofusbook.net/fr/equipement/2422026-osa-terre-geo-la-put/objets", "link")</f>
        <v/>
      </c>
      <c r="C21963" t="n">
        <v>0</v>
      </c>
      <c r="D21963" t="inlineStr">
        <is>
          <t>Hache Téroïde; Anneau Chevelu; Pikano; Bouclier d'Anerice; Ceinture de la Cour Sombre; Masque d'Anerice; Baleinabottes; Dofus Abyssal; Dokoko; Dolmanax; Enragé majeur; Miraculé majeur; Remueur; Muldo Pourpre</t>
        </is>
      </c>
    </row>
    <row r="21964">
      <c r="A21964" t="inlineStr">
        <is>
          <t>ahique</t>
        </is>
      </c>
      <c r="B21964">
        <f>HYPERLINK("https://www.dofusbook.net/fr/equipement/2380075-ahique/objets", "link")</f>
        <v/>
      </c>
      <c r="C21964" t="n">
        <v>0</v>
      </c>
      <c r="D21964" t="inlineStr">
        <is>
          <t>Arc Ahique; Amulette d'Ilyzaelle; Alliance Gloursonne; Gant du Valet Veinard; Bouclier du Stalak; Menoture; Casque d'Ilyzaelle; Cape du Valet Veinard; Bottes de la Reine des Voleurs; Dolmanax; Dofus Ocre; Dofus Pourpre; Dofus Abyssal; Dokoko; Dofus des Glaces</t>
        </is>
      </c>
    </row>
    <row r="21965">
      <c r="A21965" t="inlineStr">
        <is>
          <t>ddddd</t>
        </is>
      </c>
      <c r="B21965">
        <f>HYPERLINK("https://www.dofusbook.net/fr/equipement/2327481-ddddd/objets", "link")</f>
        <v/>
      </c>
      <c r="C21965" t="n">
        <v>0</v>
      </c>
      <c r="D21965" t="inlineStr">
        <is>
          <t>Arc Ahique; Amulette d'Ilyzaelle; Alliance Gloursonne; Gant du Valet Veinard; Bouclier du Stalak; Menoture; Casque d'Ilyzaelle; Cape du Valet Veinard; Bottes de la Reine des Voleurs; Dolmanax; Dofus des Glaces; Dofus Pourpre; Dofus Abyssal; Dofus Ocre</t>
        </is>
      </c>
    </row>
    <row r="21966">
      <c r="A21966" t="inlineStr">
        <is>
          <t>lance corrompue</t>
        </is>
      </c>
      <c r="B21966">
        <f>HYPERLINK("https://www.dofusbook.net/fr/equipement/2326080-lance-corrompue/objets", "link")</f>
        <v/>
      </c>
      <c r="C21966" t="n">
        <v>0</v>
      </c>
      <c r="D21966" t="inlineStr">
        <is>
          <t>Lance corrompue; Amulette du Kamasterisk; Anneau des égarés; Alliance Gloursonne; Bouclier alvéolé; Ceintouse; Coiffe de la Reine des Voleurs; Cape au Logis; Tentassons; Dofus Ocre; Dofus Pourpre; Dofus Abyssal; Dofus des Glaces</t>
        </is>
      </c>
    </row>
    <row r="21967">
      <c r="A21967" t="inlineStr">
        <is>
          <t>rox terre</t>
        </is>
      </c>
      <c r="B21967">
        <f>HYPERLINK("https://www.dofusbook.net/fr/equipement/2308085-rox-terre/objets", "link")</f>
        <v/>
      </c>
      <c r="C21967" t="n">
        <v>0</v>
      </c>
      <c r="D21967" t="inlineStr">
        <is>
          <t>Marteau R'ture; Amulette du Strigide; Anneau Chevelu; Bague Gloursonne; Quatre-feuilles; Ceinture du Strigide; Masque de Koutoulou; Cape au Logis; Bottes de la Cour Sombre; Dofus Nébuleux; Dofus Turquoise; Dofus Abyssal; Dofus Pourpre; Remueur; Enragé majeur; Kramkram</t>
        </is>
      </c>
    </row>
    <row r="21968">
      <c r="A21968" t="inlineStr">
        <is>
          <t>air 12 pa</t>
        </is>
      </c>
      <c r="B21968">
        <f>HYPERLINK("https://www.dofusbook.net/fr/equipement/2281355-air-12-pa/objets", "link")</f>
        <v/>
      </c>
      <c r="C21968" t="n">
        <v>0</v>
      </c>
      <c r="D21968" t="inlineStr">
        <is>
          <t>Manthache; Collier du Valet Veinard; Gant du Valet Veinard; Alliance Gloursonne; Bouclier du Stalak; Ceinture de la Reine des Voleurs; Coiffe de la Reine des Voleurs; Cape du Valet Veinard; Bottes de la Reine des Voleurs; Dofus Ocre; Dofus Pourpre; Dokoko; Dofus Abyssal; Dofus des Glaces; Dolmanax</t>
        </is>
      </c>
    </row>
    <row r="21969">
      <c r="A21969" t="inlineStr">
        <is>
          <t>xelor</t>
        </is>
      </c>
      <c r="B21969">
        <f>HYPERLINK("https://www.dofusbook.net/fr/equipement/2270497-xelor/objets", "link")</f>
        <v/>
      </c>
      <c r="C21969" t="n">
        <v>0</v>
      </c>
      <c r="D21969" t="inlineStr">
        <is>
          <t>Arc Ahique; Collier du Valet Veinard; Gant du Valet Veinard; Alliance Gloursonne; Bouclier du Stalak; Ceinture de la Reine des Voleurs; Casque d'Ilyzaelle; Cape du Valet Veinard; Bottes de la Reine des Voleurs; Dofus Ocre; Dofus des Glaces; Dokoko; Dofus Abyssal; Dolmanax; Dofus Pourpre</t>
        </is>
      </c>
    </row>
    <row r="21970">
      <c r="A21970" t="inlineStr">
        <is>
          <t>iopkirox</t>
        </is>
      </c>
      <c r="B21970">
        <f>HYPERLINK("https://www.dofusbook.net/fr/equipement/2268421-iopkirox/objets", "link")</f>
        <v/>
      </c>
      <c r="C21970" t="n">
        <v>0</v>
      </c>
      <c r="D21970" t="inlineStr">
        <is>
          <t>Epée Toche; Amulette du Strigide; Anneau Chevelu; Bague Gloursonne; Ceinture du Strigide; Masque de Koutoulou; Voile d'encre; Bottes de la Cour Sombre; Dofus Turquoise; Dofus Pourpre; Dofus des Glaces; Nomade; Remueur; Kramkram</t>
        </is>
      </c>
    </row>
    <row r="21971">
      <c r="A21971" t="inlineStr">
        <is>
          <t>loulz</t>
        </is>
      </c>
      <c r="B21971">
        <f>HYPERLINK("https://www.dofusbook.net/fr/equipement/2216790-loulz/objets", "link")</f>
        <v/>
      </c>
      <c r="C21971" t="n">
        <v>0</v>
      </c>
      <c r="D21971" t="inlineStr">
        <is>
          <t>Héqache; Amulette du Strigide; Anneau Chevelu; Bague Gloursonne; Quatre-feuilles; Ceinture du Strigide; Masque de Koutoulou; Cape au Logis; Bottes de la Cour Sombre</t>
        </is>
      </c>
    </row>
    <row r="21972">
      <c r="A21972" t="inlineStr">
        <is>
          <t>mmmmmm</t>
        </is>
      </c>
      <c r="B21972">
        <f>HYPERLINK("https://www.dofusbook.net/fr/equipement/2212923-mmmmmm/objets", "link")</f>
        <v/>
      </c>
      <c r="C21972" t="n">
        <v>0</v>
      </c>
      <c r="D21972" t="inlineStr">
        <is>
          <t>Lance corrompue; Amulette du Kamasterisk; Alliance Brûlâme; Alliance Gloursonne; Goulclier; Ceintouse; Chapoulpe; Cape du Kamasterisk; Tentassons; Dofus Pourpre; Dofus Abyssal; Dokoko; Dolmanax; Dofus des Glaces; Dofus Ocre; Muldo Indigo et Pourpre</t>
        </is>
      </c>
    </row>
    <row r="21973">
      <c r="A21973" t="inlineStr">
        <is>
          <t>iii</t>
        </is>
      </c>
      <c r="B21973">
        <f>HYPERLINK("https://www.dofusbook.net/fr/equipement/2203462-iii/objets", "link")</f>
        <v/>
      </c>
      <c r="C21973" t="n">
        <v>0</v>
      </c>
      <c r="D21973" t="inlineStr">
        <is>
          <t>Dagoulinantes; Amulette de Shokkoth; Alliance Gloursonne; Bracelet des Fonds marins; Cadran d'Eau; Poulpagne; Casque Dragoeuf; Cape du Sinistrofu; Bottes du Sinistrofu; Dofus Abyssal; Dofus Pourpre; Dofus Turquoise; Chanceux majeur; Remueur; Muldo Indigo et Pourpre</t>
        </is>
      </c>
    </row>
    <row r="21974">
      <c r="A21974" t="inlineStr">
        <is>
          <t>slt</t>
        </is>
      </c>
      <c r="B21974">
        <f>HYPERLINK("https://www.dofusbook.net/fr/equipement/2202035-slt/objets", "link")</f>
        <v/>
      </c>
      <c r="C21974" t="n">
        <v>0</v>
      </c>
      <c r="D21974" t="inlineStr">
        <is>
          <t>Arc Nécrotique; Amulette du Strigide; Alliance Gloursonne; Anneau de Nidas; Bouclier cubiste; Sangle Ouare; Chapeau Lisson; Cape de la Dame du Hasard; Bottes de la Dame du Hasard; Dofus Pourpre; Dofus Abyssal; Dofus Turquoise; Dofus des Glaces; Remueur</t>
        </is>
      </c>
    </row>
    <row r="21975">
      <c r="A21975" t="inlineStr">
        <is>
          <t>lol</t>
        </is>
      </c>
      <c r="B21975">
        <f>HYPERLINK("https://www.dofusbook.net/fr/equipement/2167158-lol/objets", "link")</f>
        <v/>
      </c>
      <c r="C21975" t="n">
        <v>0</v>
      </c>
      <c r="D21975" t="inlineStr">
        <is>
          <t>Hachoirs de Viandargh; Amulette du Strigide; Anneau de Padgref; Alliance Gloursonne; Bouclier du Captain Amakna; Menoture; Coiffe de Padgref; Cape de Klime; Sandales de Tal Kasha; Dofus Turquoise; Dofus Abyssal; Remueur; Cascadeur majeur; Nomade; Déserteur majeur; Pioute jaune</t>
        </is>
      </c>
    </row>
    <row r="21976">
      <c r="A21976" t="inlineStr">
        <is>
          <t>lolz</t>
        </is>
      </c>
      <c r="B21976">
        <f>HYPERLINK("https://www.dofusbook.net/fr/equipement/2126025-lolz/objets", "link")</f>
        <v/>
      </c>
      <c r="C21976" t="n">
        <v>0</v>
      </c>
      <c r="D21976" t="inlineStr">
        <is>
          <t>Dagues de Srambad; Amulette Ementaire Deluxe; Pikano; Alliance Gloursonne; Goulclier; Ceinture de l'Esprit Salvateur; Coiffe de la Reine des Voleurs; Voile d'encre; Bottes de la Cour Sombre; Dofus Pourpre; Dofus Ocre; Dofus Abyssal; Dolmanax; Dofus des Glaces; Remueur</t>
        </is>
      </c>
    </row>
    <row r="21977">
      <c r="A21977" t="inlineStr">
        <is>
          <t>slt</t>
        </is>
      </c>
      <c r="B21977">
        <f>HYPERLINK("https://www.dofusbook.net/fr/equipement/2162115-slt/objets", "link")</f>
        <v/>
      </c>
      <c r="C21977" t="n">
        <v>0</v>
      </c>
      <c r="D21977" t="inlineStr">
        <is>
          <t>Hache du Chalœil; Amulette du Strigide; Alliance Gloursonne; Bague Trithon; Quatre-feuilles; Ceinture du Strigide; Masque Trithon; Voile d'encre; Bottes Trithon; Dofus Turquoise; Dofus Abyssal; Dofus Pourpre; Dofus Ocre; Dofus des Glaces; Muldo Prune et Emeraude</t>
        </is>
      </c>
    </row>
    <row r="21978">
      <c r="A21978" t="inlineStr">
        <is>
          <t>xdgeo</t>
        </is>
      </c>
      <c r="B21978">
        <f>HYPERLINK("https://www.dofusbook.net/fr/equipement/2162044-xdgeo/objets", "link")</f>
        <v/>
      </c>
      <c r="C21978" t="n">
        <v>0</v>
      </c>
      <c r="D21978" t="inlineStr">
        <is>
          <t>Hache du Chalœil; Amulette du Strigide; Pikano; Alliance Gloursonne; Quatre-feuilles; Ceinture du Strigide; Masque d'Anerice; Voile d'encre; Pompes Funèbres; Dofus Ocre; Dofus Pourpre; Dofus des Glaces; Dofus Turquoise; Remueur</t>
        </is>
      </c>
    </row>
    <row r="21979">
      <c r="A21979" t="inlineStr">
        <is>
          <t>ntmmm</t>
        </is>
      </c>
      <c r="B21979">
        <f>HYPERLINK("https://www.dofusbook.net/fr/equipement/2160477-ntmmm/objets", "link")</f>
        <v/>
      </c>
      <c r="C21979" t="n">
        <v>2</v>
      </c>
      <c r="D21979" t="inlineStr">
        <is>
          <t>Epée Gloursonne; Amulette du Strigide; Alliance Gloursonne; Bague Gloursonne; Bouclier d'Ilyzaelle; Ceinture du Strigide; Coiffe de la Fuji Givrefoux; Cape de la Fuji Givrefoux; Bottes du Strigide; Dofus Ocre; Dofus des Glaces; Dolmanax; Dofus Turquoise; Dofus Pourpre; Dokoko; Dragodinde en armure</t>
        </is>
      </c>
    </row>
    <row r="21980">
      <c r="A21980" t="inlineStr">
        <is>
          <t>Osageohh</t>
        </is>
      </c>
      <c r="B21980">
        <f>HYPERLINK("https://www.dofusbook.net/fr/equipement/2159234-osageohh/objets", "link")</f>
        <v/>
      </c>
      <c r="C21980" t="n">
        <v>1</v>
      </c>
      <c r="D21980" t="inlineStr">
        <is>
          <t>Plumeau Bil; Collier de la Dame du Hasard; Anneau de Padgref; Anneau de Nidas; Roncier; Ceinture Séculaire; Masque d'Anerice; Cape d'Anerice; Bottes Innommables; Dofus Ivoire; Dofus Ocre; Dokoko; Remueur; Miraculé majeur; Érudit majeur; Muldo Indigo et Orchidée</t>
        </is>
      </c>
    </row>
    <row r="21981">
      <c r="A21981" t="inlineStr">
        <is>
          <t>terre</t>
        </is>
      </c>
      <c r="B21981">
        <f>HYPERLINK("https://www.dofusbook.net/fr/equipement/2039389-terre/objets", "link")</f>
        <v/>
      </c>
      <c r="C21981" t="n">
        <v>0</v>
      </c>
      <c r="D21981" t="inlineStr">
        <is>
          <t>Pelle de Katrepat; Amulette du Strigide; Pikano; Alliance Gloursonne; Poulpagne; Casquette de Meno; Cape de la Dame du Hasard; Geta Akwadala</t>
        </is>
      </c>
    </row>
    <row r="21982">
      <c r="A21982" t="inlineStr">
        <is>
          <t>test new item</t>
        </is>
      </c>
      <c r="B21982">
        <f>HYPERLINK("https://www.dofusbook.net/fr/equipement/2007837-test-new-item/objets", "link")</f>
        <v/>
      </c>
      <c r="C21982" t="n">
        <v>0</v>
      </c>
      <c r="D21982" t="inlineStr">
        <is>
          <t>Arc corrompu; Amulette du Strigide; Anneauræus; Anneau Tique; Quatre-feuilles; Ceintacé; Cagoule de Vortex; Voile d'encre; Sabots de Vortex; Dofus Turquoise; Dofus Pourpre; Dofus Abyssal; Érudit majeur; Étourdisseur majeur</t>
        </is>
      </c>
    </row>
    <row r="21983">
      <c r="A21983" t="inlineStr">
        <is>
          <t>air eau</t>
        </is>
      </c>
      <c r="B21983">
        <f>HYPERLINK("https://www.dofusbook.net/fr/equipement/1893675-air-eau/objets", "link")</f>
        <v/>
      </c>
      <c r="C21983" t="n">
        <v>0</v>
      </c>
      <c r="D21983" t="inlineStr">
        <is>
          <t>Marteau des Anciens Steamers; Amulette du Strigide; Alliance Gloursonne; Pikano; Bouclier Taverne; Ceintacé; Casque Dragoeuf; Chevelure de Tal Kasha; Sandales de Tal Kasha; Dofus Pourpre; Dofus Turquoise; Dofus Abyssal; Remueur; Évasif majeur; Muldo Prune et Indigo</t>
        </is>
      </c>
    </row>
    <row r="21984">
      <c r="A21984" t="inlineStr">
        <is>
          <t>hupper feu</t>
        </is>
      </c>
      <c r="B21984">
        <f>HYPERLINK("https://www.dofusbook.net/fr/equipement/1893593-hupper-feu/objets", "link")</f>
        <v/>
      </c>
      <c r="C21984" t="n">
        <v>0</v>
      </c>
      <c r="D21984" t="inlineStr">
        <is>
          <t>Dagues Ricol; Amulette du Strigide; Anneau de Padgref; Anneau Tique; Bouclier Taverne; Ceintacé; Coiffe Séculaire; Voile d'encre; Getas de Padgref; Dofus Pourpre; Dofus Turquoise; Remueur; Muldo Orchidée et Pourpre</t>
        </is>
      </c>
    </row>
    <row r="21985">
      <c r="A21985" t="inlineStr">
        <is>
          <t>test</t>
        </is>
      </c>
      <c r="B21985">
        <f>HYPERLINK("https://www.dofusbook.net/fr/equipement/1852527-test/objets", "link")</f>
        <v/>
      </c>
      <c r="C21985" t="n">
        <v>0</v>
      </c>
      <c r="D21985" t="inlineStr">
        <is>
          <t>Epée Maudite du Saigneur Guerrier; Amulette du Strigide; Alliance Gloursonne; Pikano; Bouclier du Captain Amakna; Ceintacé; Coiffe de Padgref; Dofusteuse; Getas de Padgref; Dofus Nébuleux; Dofus des Glaces; Dofus Pourpre; Dolmanax; Dofus Turquoise; Remueur</t>
        </is>
      </c>
    </row>
    <row r="21986">
      <c r="A21986" t="inlineStr">
        <is>
          <t>eca roux</t>
        </is>
      </c>
      <c r="B21986">
        <f>HYPERLINK("https://www.dofusbook.net/fr/equipement/1837205-eca-roux/objets", "link")</f>
        <v/>
      </c>
      <c r="C21986" t="n">
        <v>0</v>
      </c>
      <c r="D21986" t="inlineStr">
        <is>
          <t>Epée Maudite du Saigneur Guerrier; Amulette du Strigide; Alliance Gloursonne; Anneau de Padgref; Bouclier du Captain Amakna; Ceintacé; Coiffe de Padgref; Dofusteuse; Sandales de Tal Kasha; Dofus Pourpre; Dofus des Glaces; Dofus Turquoise; Dolmanax; Dofus Nébuleux; Remueur</t>
        </is>
      </c>
    </row>
    <row r="21987">
      <c r="A21987" t="inlineStr">
        <is>
          <t>feu</t>
        </is>
      </c>
      <c r="B21987">
        <f>HYPERLINK("https://www.dofusbook.net/fr/equipement/1799984-feu/objets", "link")</f>
        <v/>
      </c>
      <c r="C21987" t="n">
        <v>0</v>
      </c>
      <c r="D21987" t="inlineStr">
        <is>
          <t>Dagues Ricol; Amulette du Strigide; Anneauræus; Bague Gloursonne; Bouclier Taverne; Ceinture de Vortex; Coiffe de Padgref; Voile d'encre; Getas de Padgref; Dofus Ocre; Dolmanax; Dofus Pourpre; Dofus Turquoise; Évasif majeur; Remueur</t>
        </is>
      </c>
    </row>
    <row r="21988">
      <c r="A21988" t="inlineStr">
        <is>
          <t>air crit</t>
        </is>
      </c>
      <c r="B21988">
        <f>HYPERLINK("https://www.dofusbook.net/fr/equipement/1760862-air-crit/objets", "link")</f>
        <v/>
      </c>
      <c r="C21988" t="n">
        <v>0</v>
      </c>
      <c r="D21988" t="inlineStr">
        <is>
          <t>Hachoirs de Viandargh; Amulette du Strigide; Anneau de Padgref; Alliance Gloursonne; Bouclier Taverne; Menoture; Casque Dragoeuf; Chevelure de Tal Kasha; Getas de Padgref; Dolmanax; Dofus Turquoise; Dofus Nébuleux; Dofus Pourpre; Remueur; Cascadeur majeur; Muldo Ebène et Indigo</t>
        </is>
      </c>
    </row>
    <row r="21989">
      <c r="A21989" t="inlineStr">
        <is>
          <t>feu</t>
        </is>
      </c>
      <c r="B21989">
        <f>HYPERLINK("https://www.dofusbook.net/fr/equipement/1088620-feu/objets", "link")</f>
        <v/>
      </c>
      <c r="C21989" t="n">
        <v>0</v>
      </c>
      <c r="D21989" t="inlineStr">
        <is>
          <t>Baguette Range; Amulette du Strigide; Anneau de Padgref; Anneau Tique; Quatre-feuilles; Ceinture du Strigide; Coiffe de Padgref; Voile d'encre; Getas de Padgref; Dofus Nébuleux; Dofus Ocre; Dofus Turquoise; Dofus des Glaces; Dofus Pourpre; Dolmanax; Muldo Prune et Emeraude</t>
        </is>
      </c>
    </row>
    <row r="21990">
      <c r="A21990" t="inlineStr">
        <is>
          <t>crit</t>
        </is>
      </c>
      <c r="B21990">
        <f>HYPERLINK("https://www.dofusbook.net/fr/equipement/1775028-crit/objets", "link")</f>
        <v/>
      </c>
      <c r="C21990" t="n">
        <v>0</v>
      </c>
      <c r="D21990" t="inlineStr">
        <is>
          <t>Baguette Range; Amulette du Strigide; Alliance Gloursonne; Anneau de Padgref; Quatre-feuilles; Ceinture du Strigide; Coiffe de Padgref; Voile d'encre; Getas de Padgref; Dofus Pourpre; Dolmanax; Dofus Ocre; Dofus Nébuleux; Dofus Turquoise; Dofus des Glaces; Muldo Prune et Emeraude</t>
        </is>
      </c>
    </row>
    <row r="21991">
      <c r="A21991" t="inlineStr">
        <is>
          <t>critou</t>
        </is>
      </c>
      <c r="B21991">
        <f>HYPERLINK("https://www.dofusbook.net/fr/equipement/1772464-critou/objets", "link")</f>
        <v/>
      </c>
      <c r="C21991" t="n">
        <v>0</v>
      </c>
      <c r="D21991" t="inlineStr">
        <is>
          <t>Baguette Range; Amulette du Strigide; Bague Trithon; Anneau de Padgref; Quatre-feuilles; Ceinture du Strigide; Masque Trithon; Voile d'encre; Bottes Trithon; Dofus Ocre; Dofus des Glaces; Dofus Turquoise; Dolmanax; Dofus Pourpre; Dofus Nébuleux; Muldo Prune et Emeraude</t>
        </is>
      </c>
    </row>
    <row r="21992">
      <c r="A21992" t="inlineStr">
        <is>
          <t>roux</t>
        </is>
      </c>
      <c r="B21992">
        <f>HYPERLINK("https://www.dofusbook.net/fr/equipement/1772224-roux/objets", "link")</f>
        <v/>
      </c>
      <c r="C21992" t="n">
        <v>0</v>
      </c>
      <c r="D21992" t="inlineStr">
        <is>
          <t>Baguette Range; Amulette du Strigide; Alliance Gloursonne; Anneau Tique; Quatre-feuilles; Ceintacé; Coiffe de Padgref; Voile d'encre; Getas de Padgref; Dofus Pourpre; Dolmanax; Dofus Turquoise; Dofus Nébuleux; Dofus des Glaces; Remueur; Muldo Prune et Emeraude</t>
        </is>
      </c>
    </row>
    <row r="21993">
      <c r="A21993" t="inlineStr">
        <is>
          <t>eau feu</t>
        </is>
      </c>
      <c r="B21993">
        <f>HYPERLINK("https://www.dofusbook.net/fr/equipement/1760575-eau-feu/objets", "link")</f>
        <v/>
      </c>
      <c r="C21993" t="n">
        <v>0</v>
      </c>
      <c r="D21993" t="inlineStr">
        <is>
          <t>Amulette du Strigide; Anneau Tique; Alliance Gloursonne; Quatre-feuilles; Ceintacé; Casqnoar; Cape de la Dame du Hasard; Bottes de la Dame du Hasard; Dofus Turquoise; Dofus des Glaces; Dofus Pourpre; Dofus Abyssal; Dolmanax; Remueur; Muldo Orchidée</t>
        </is>
      </c>
    </row>
    <row r="21994">
      <c r="A21994" t="inlineStr">
        <is>
          <t>ssds</t>
        </is>
      </c>
      <c r="B21994">
        <f>HYPERLINK("https://www.dofusbook.net/fr/equipement/1750763-ssds/objets", "link")</f>
        <v/>
      </c>
      <c r="C21994" t="n">
        <v>0</v>
      </c>
      <c r="D21994" t="inlineStr">
        <is>
          <t>Marteau des Anciens Steamers; Amulette du Strigide; Pikano; Alliance Gloursonne; Bouclier alvéolé; Menoture; Chapeau Lisson; Chevelure de Tal Kasha; Sandales de Tal Kasha; Dofus Turquoise; Dolmanax; Dofus Pourpre; Dofus des Glaces; Remueur; Muldo Ebène et Indigo</t>
        </is>
      </c>
    </row>
    <row r="21995">
      <c r="A21995" t="inlineStr">
        <is>
          <t>malle</t>
        </is>
      </c>
      <c r="B21995">
        <f>HYPERLINK("https://www.dofusbook.net/fr/equipement/1750316-malle/objets", "link")</f>
        <v/>
      </c>
      <c r="C21995" t="n">
        <v>0</v>
      </c>
      <c r="D21995" t="inlineStr">
        <is>
          <t>Baguette de Malléfisk; Amulette d'Otomaï; Anneau de Nidas; Anneau Tique; Sept ans de malheur; Ceinture de Vortex; Coiffe d'Aermyne; Cape d'Aermyne; Pataugastrique; Dofus Cawotte; Guérisseur majeur; Remueur; Étourdisseur majeur; Paralyseur majeur; Muldo Orchidée et Pourpre</t>
        </is>
      </c>
    </row>
    <row r="21996">
      <c r="A21996" t="inlineStr">
        <is>
          <t>test</t>
        </is>
      </c>
      <c r="B21996">
        <f>HYPERLINK("https://www.dofusbook.net/fr/equipement/1723446-test/objets", "link")</f>
        <v/>
      </c>
      <c r="C21996" t="n">
        <v>0</v>
      </c>
      <c r="D21996" t="inlineStr">
        <is>
          <t>Hache du Chalœil; Amulette du Strigide; Alliance Gloursonne; Bague Trithon; Bouclier du Stalak; Ceinture du Strigide; Masque Trithon; Voile d'encre; Bottes Trithon; Dofus Turquoise; Dofus des Glaces; Dofus Pourpre; Dolmanax; Dofus Ocre; Muldo Prune et Emeraude</t>
        </is>
      </c>
    </row>
    <row r="21997">
      <c r="A21997" t="inlineStr">
        <is>
          <t>osa feu</t>
        </is>
      </c>
      <c r="B21997">
        <f>HYPERLINK("https://www.dofusbook.net/fr/equipement/1618690-osa-feu/objets", "link")</f>
        <v/>
      </c>
      <c r="C21997" t="n">
        <v>0</v>
      </c>
      <c r="D21997" t="inlineStr">
        <is>
          <t>Amulette Ementaire Deluxe; Anneau de Nidas; Protopagne; Casque Dragoeuf; Cape de Diondin</t>
        </is>
      </c>
    </row>
    <row r="21998">
      <c r="A21998" t="inlineStr">
        <is>
          <t>lolcrit</t>
        </is>
      </c>
      <c r="B21998">
        <f>HYPERLINK("https://www.dofusbook.net/fr/equipement/1618199-lolcrit/objets", "link")</f>
        <v/>
      </c>
      <c r="C21998" t="n">
        <v>0</v>
      </c>
      <c r="D21998" t="inlineStr">
        <is>
          <t>Hache du Chalœil; Amulette du Strigide; Alliance Gloursonne; Bague Gloursonne; Ceinture du Strigide; Chapeau Lisson; Voile d'encre; Bottes du Strigide; Dofus Turquoise; Dolmanax; Dofus Pourpre; Dofus des Glaces; Dofus Ocre; Muldo Indigo et Pourpre</t>
        </is>
      </c>
    </row>
    <row r="21999">
      <c r="A21999" t="inlineStr">
        <is>
          <t>eau</t>
        </is>
      </c>
      <c r="B21999">
        <f>HYPERLINK("https://www.dofusbook.net/fr/equipement/1597387-eau/objets", "link")</f>
        <v/>
      </c>
      <c r="C21999" t="n">
        <v>0</v>
      </c>
      <c r="D21999" t="inlineStr">
        <is>
          <t>Rapière aux Glyphes; Amulette de Shokkoth; Alliance Gloursonne; Bracelet des Fonds marins; Bouclier du Stalak; Poulpagne; Casque Dragoeuf; Cape du Sinistrofu; Bottes du Sinistrofu; Dofus des Glaces; Évasif majeur; Chanceux majeur; Miraculé majeur; Remueur; Déserteur majeur; Muldo Indigo</t>
        </is>
      </c>
    </row>
    <row r="22000">
      <c r="A22000" t="inlineStr">
        <is>
          <t>lolz</t>
        </is>
      </c>
      <c r="B22000">
        <f>HYPERLINK("https://www.dofusbook.net/fr/equipement/1587743-lolz/objets", "link")</f>
        <v/>
      </c>
      <c r="C22000" t="n">
        <v>1</v>
      </c>
      <c r="D22000" t="inlineStr">
        <is>
          <t>Sceptre du Roi Joueur; Amulette du Sinistrofu; Alliance Gloursonne; Bague Trithon; Bouclier précieux; Ceinture Glaciale; Masque d'Anerice; Cape d'Anerice; Dofus Ocre; Dofus Émeraude; Miraculé majeur; Bousculeur majeur; Culbuteur majeur; Remueur; Muldo Ebène et Orchidée</t>
        </is>
      </c>
    </row>
    <row r="22001">
      <c r="A22001" t="inlineStr">
        <is>
          <t>Cra ahique</t>
        </is>
      </c>
      <c r="B22001">
        <f>HYPERLINK("https://www.dofusbook.net/fr/equipement/1587484-cra-ahique/objets", "link")</f>
        <v/>
      </c>
      <c r="C22001" t="n">
        <v>0</v>
      </c>
      <c r="D22001" t="inlineStr">
        <is>
          <t>Arc Ahique; Amulette Ementaire Deluxe; Pikano; Alliance Gloursonne; Bouclier du Stalak; Ceinture de la Reine des Voleurs; Coiffe de la Reine des Voleurs; Dofusteuse; Baleinabottes; Dokoko; Dofus des Glaces; Dofus Pourpre; Dolmanax; Remueur; Temporiseur majeur; Muldo Ebène et Indigo</t>
        </is>
      </c>
    </row>
    <row r="22002">
      <c r="A22002" t="inlineStr">
        <is>
          <t>force test 2</t>
        </is>
      </c>
      <c r="B22002">
        <f>HYPERLINK("https://www.dofusbook.net/fr/equipement/1576689-force-test-2/objets", "link")</f>
        <v/>
      </c>
      <c r="C22002" t="n">
        <v>0</v>
      </c>
      <c r="D22002" t="inlineStr">
        <is>
          <t>Héqache; Amulette du Strigide; Anneau Chevelu; Bague Gloursonne; Quatre-feuilles; Menoture; Chapoulpe; Cape au Logis; Tentassons; Dolmanax; Dofus des Glaces; Dofus Pourpre; Dofus Turquoise; Étourdisseur majeur; Remueur; Kramkram</t>
        </is>
      </c>
    </row>
    <row r="22003">
      <c r="A22003" t="inlineStr">
        <is>
          <t>terre compo</t>
        </is>
      </c>
      <c r="B22003">
        <f>HYPERLINK("https://www.dofusbook.net/fr/equipement/1576110-terre-compo/objets", "link")</f>
        <v/>
      </c>
      <c r="C22003" t="n">
        <v>0</v>
      </c>
      <c r="D22003" t="inlineStr">
        <is>
          <t>Marteau R'ture; Amulette du Strigide; Anneau Chevelu; Anneau Crustique; Ceintouse; Casque Dragoeuf; Cape au Logis; Tentassons; Dolmanax; Dofus Ocre; Dofus Turquoise; Étourdisseur majeur; Remueur; Kramkram</t>
        </is>
      </c>
    </row>
    <row r="22004">
      <c r="A22004" t="inlineStr">
        <is>
          <t>compo</t>
        </is>
      </c>
      <c r="B22004">
        <f>HYPERLINK("https://www.dofusbook.net/fr/equipement/1576038-compo/objets", "link")</f>
        <v/>
      </c>
      <c r="C22004" t="n">
        <v>0</v>
      </c>
      <c r="D22004" t="inlineStr">
        <is>
          <t>Héqache; Amulette du Strigide; Bague Gloursonne; Anneau Chevelu; Ceintouse; Chapoulpe; Cape au Logis; Tentassons; Dofus Pourpre; Dofus des Glaces; Dofus Turquoise; Dolmanax; Dofus Ocre; Kramkram</t>
        </is>
      </c>
    </row>
    <row r="22005">
      <c r="A22005" t="inlineStr">
        <is>
          <t>eau</t>
        </is>
      </c>
      <c r="B22005">
        <f>HYPERLINK("https://www.dofusbook.net/fr/equipement/1567655-eau/objets", "link")</f>
        <v/>
      </c>
      <c r="C22005" t="n">
        <v>0</v>
      </c>
      <c r="D22005" t="inlineStr">
        <is>
          <t>Dagoulinantes; Amulette de Shokkoth; Bague Trithon; Alliance Gloursonne; Bouclier du Stalak; Poulpagne; Casque Dragoeuf; Chevelure de Tal Kasha; Sandales de Tal Kasha; Dofus Turquoise; Dolmanax; Étourdisseur majeur; Engourdisseur majeur; Chanceux majeur; Remueur</t>
        </is>
      </c>
    </row>
    <row r="22006">
      <c r="A22006" t="inlineStr">
        <is>
          <t>duo elem</t>
        </is>
      </c>
      <c r="B22006">
        <f>HYPERLINK("https://www.dofusbook.net/fr/equipement/1568622-duo-elem/objets", "link")</f>
        <v/>
      </c>
      <c r="C22006" t="n">
        <v>0</v>
      </c>
      <c r="D22006" t="inlineStr">
        <is>
          <t>Hache du Korriandre; Amulette du Strigide; Alliance Gloursonne; Gant du Valet Veinard; Ceinture du Barbétoal; Némès de Tal Kasha; Chevelure de Tal Kasha; Bottes de la Reine des Voleurs; Dofus des Glaces; Dofus Turquoise; Dofus Abyssal; Dofus Ocre; Dolmanax; Remueur</t>
        </is>
      </c>
    </row>
    <row r="22007">
      <c r="A22007" t="inlineStr">
        <is>
          <t>air v</t>
        </is>
      </c>
      <c r="B22007">
        <f>HYPERLINK("https://www.dofusbook.net/fr/equipement/1410238-air-v/objets", "link")</f>
        <v/>
      </c>
      <c r="C22007" t="n">
        <v>0</v>
      </c>
      <c r="D22007" t="inlineStr">
        <is>
          <t>Gant du Valet Veinard; Alliance Gloursonne; Bouclier du Stalak; Ceintouse; Chapoulpe; Cape du Valet Veinard; Tentassons; Dofus Ocre; Dolmanax; Dofus Pourpre; Dofus des Glaces; Dofus Émeraude; Dofus Abyssal; Muldo Ebène</t>
        </is>
      </c>
    </row>
    <row r="22008">
      <c r="A22008" t="inlineStr">
        <is>
          <t>test2</t>
        </is>
      </c>
      <c r="B22008">
        <f>HYPERLINK("https://www.dofusbook.net/fr/equipement/1209110-test2/objets", "link")</f>
        <v/>
      </c>
      <c r="C22008" t="n">
        <v>0</v>
      </c>
      <c r="D22008" t="inlineStr">
        <is>
          <t>Arc de Koutoulou; Amulette du Strigide; Bracelet des Fonds marins; Alliance Gloursonne; Quatre-feuilles; Menoture; Casque Dragoeuf; Chevelure de Tal Kasha; Sandales de Tal Kasha; Dofus Turquoise; Dofus des Glaces; Dolmanax; Dofus Émeraude; Étourdisseur majeur; Remueur; Muldo Ebène et Indigo</t>
        </is>
      </c>
    </row>
    <row r="22009">
      <c r="A22009" t="inlineStr">
        <is>
          <t>ddd</t>
        </is>
      </c>
      <c r="B22009">
        <f>HYPERLINK("https://www.dofusbook.net/fr/equipement/1123818-ddd/objets", "link")</f>
        <v/>
      </c>
      <c r="C22009" t="n">
        <v>2</v>
      </c>
      <c r="D22009" t="inlineStr">
        <is>
          <t>Dagues Açantes; Amulette de Shokkoth; Alliance Gloursonne; Bracelet des Fonds marins; Bouclier cubiste; Ceinture Glaciale; Casquette de Meno; Cape de Meno; Pataugastrique; Remueur; Temporiseur majeur; Chanceux majeur; Entraveur majeur; Nomade; Ralentisseur majeur; Muldo Doré</t>
        </is>
      </c>
    </row>
    <row r="22010">
      <c r="A22010" t="inlineStr">
        <is>
          <t>dsqd</t>
        </is>
      </c>
      <c r="B22010">
        <f>HYPERLINK("https://www.dofusbook.net/fr/equipement/1088668-dsqd/objets", "link")</f>
        <v/>
      </c>
      <c r="C22010" t="n">
        <v>0</v>
      </c>
      <c r="D22010" t="inlineStr">
        <is>
          <t>Marteau R'ture; Amulette du Strigide; Anneau Chevelu; Bague Gloursonne; Ceinture de la Cour Sombre; Masque de Koutoulou; Cape au Logis; Bottes de la Cour Sombre; Dolmanax; Dofus Turquoise; Dofus des Glaces; Dofus Pourpre; Remueur; Enragé majeur; Muldo Indigo</t>
        </is>
      </c>
    </row>
    <row r="22011">
      <c r="A22011" t="inlineStr">
        <is>
          <t>eca ini</t>
        </is>
      </c>
      <c r="B22011">
        <f>HYPERLINK("https://www.dofusbook.net/fr/equipement/1088667-eca-ini-/objets", "link")</f>
        <v/>
      </c>
      <c r="C22011" t="n">
        <v>0</v>
      </c>
      <c r="D22011" t="inlineStr"/>
    </row>
    <row r="22012">
      <c r="A22012" t="inlineStr">
        <is>
          <t>dza</t>
        </is>
      </c>
      <c r="B22012">
        <f>HYPERLINK("https://www.dofusbook.net/fr/equipement/1088587-dza/objets", "link")</f>
        <v/>
      </c>
      <c r="C22012" t="n">
        <v>0</v>
      </c>
      <c r="D22012" t="inlineStr">
        <is>
          <t>Dagoulinantes; Amulette de Shokkoth; Bracelet des Fonds marins; Alliance Gloursonne; Ceinture Glaciale; Kidibonnet; Cape du Sinistrofu; Bottes du Sinistrofu; Dofus des Glaces; Dolmanax; Chanceux majeur; Remueur</t>
        </is>
      </c>
    </row>
    <row r="22013">
      <c r="A22013" t="inlineStr">
        <is>
          <t>feu ini malle</t>
        </is>
      </c>
      <c r="B22013">
        <f>HYPERLINK("https://www.dofusbook.net/fr/equipement/1088430-feu-ini-malle/objets", "link")</f>
        <v/>
      </c>
      <c r="C22013" t="n">
        <v>0</v>
      </c>
      <c r="D22013" t="inlineStr">
        <is>
          <t>Baguette de Malléfisk; Amulette d'Otomaï; Alliance Gloursonne; Anneau Tique; Ceinture de Vortex; Coiffe d'Aermyne; Cape d'Aermyne; Bottes Hairo; Dofus Ocre; Dofus Abyssal; Guérisseur majeur; Étourdisseur majeur; Remueur; Fonceur majeur; Muldo Ebène et Pourpre</t>
        </is>
      </c>
    </row>
    <row r="22014">
      <c r="A22014" t="inlineStr">
        <is>
          <t>eca 16eme</t>
        </is>
      </c>
      <c r="B22014">
        <f>HYPERLINK("https://www.dofusbook.net/fr/equipement/1087870-eca-16eme/objets", "link")</f>
        <v/>
      </c>
      <c r="C22014" t="n">
        <v>0</v>
      </c>
      <c r="D22014" t="inlineStr">
        <is>
          <t>Marteau R'ture; Amulette du Strigide; Anneau Chevelu; Alliance Gloursonne; Menoture; Masque de Koutoulou; Voile d'encre; Bottes du Strigide; Dolmanax; Dofus Turquoise; Dofus des Glaces; Dofus Pourpre; Nomade; Remueur; Kramkram</t>
        </is>
      </c>
    </row>
    <row r="22015">
      <c r="A22015" t="inlineStr">
        <is>
          <t>eau feu</t>
        </is>
      </c>
      <c r="B22015">
        <f>HYPERLINK("https://www.dofusbook.net/fr/equipement/1056861-eau-feu/objets", "link")</f>
        <v/>
      </c>
      <c r="C22015" t="n">
        <v>0</v>
      </c>
      <c r="D22015" t="inlineStr">
        <is>
          <t>Arc Nécrotique; Collier de la Dame du Hasard; Bracelet des Fonds marins; Alliance Gloursonne; Bouclier cubiste; Sangle Ouare; Casquette de Meno; Cape de la Dame du Hasard; Bottes de Meno; Dofus des Glaces; Dofus Turquoise; Dolmanax; Carapace Eau majeur; Remueur; Temporiseur majeur; Muldo Orchidée et Pourpre</t>
        </is>
      </c>
    </row>
    <row r="22016">
      <c r="A22016" t="inlineStr">
        <is>
          <t>srambad</t>
        </is>
      </c>
      <c r="B22016">
        <f>HYPERLINK("https://www.dofusbook.net/fr/equipement/1048486-srambad/objets", "link")</f>
        <v/>
      </c>
      <c r="C22016" t="n">
        <v>1</v>
      </c>
      <c r="D22016" t="inlineStr">
        <is>
          <t>Dagues de Srambad; Amulette Ementaire Deluxe; Anneau Chevelu; Alliance Gloursonne; Ceinture de la Reine des Voleurs; Coiffe de la Reine des Voleurs; Voile d'encre; Sabots Minables; Dofus des Glaces; Dolmanax; Étourdisseur majeur; Carapace Neutre majeur; Obstructeur majeur; Remueur; Muldo Indigo et Orchidée</t>
        </is>
      </c>
    </row>
    <row r="22017">
      <c r="A22017" t="inlineStr">
        <is>
          <t>mallefisk</t>
        </is>
      </c>
      <c r="B22017">
        <f>HYPERLINK("https://www.dofusbook.net/fr/equipement/1038579-mallefisk/objets", "link")</f>
        <v/>
      </c>
      <c r="C22017" t="n">
        <v>0</v>
      </c>
      <c r="D22017" t="inlineStr">
        <is>
          <t>Baguette de Malléfisk; Pendentif affamé; Anneau de Nidas; Anneau Tique; Ceinture de Vortex; Casque Dragoeuf; Voile d'encre; Bottes Innommables; Dolmanax; Dofus Ocre; Guérisseur majeur; Remueur; Miraculé majeur; Érudit majeur; Muldo Orchidée et Pourpre</t>
        </is>
      </c>
    </row>
    <row r="22018">
      <c r="A22018" t="inlineStr">
        <is>
          <t>test</t>
        </is>
      </c>
      <c r="B22018">
        <f>HYPERLINK("https://www.dofusbook.net/fr/equipement/1026424-test/objets", "link")</f>
        <v/>
      </c>
      <c r="C22018" t="n">
        <v>0</v>
      </c>
      <c r="D22018" t="inlineStr">
        <is>
          <t>Arc de Koutoulou; Amulette du Strigide; Alliance Gloursonne; Bracelet des Fonds marins; Quatre-feuilles; Menoture; Némès de Tal Kasha; Chevelure de Tal Kasha; Bottes de la Reine des Voleurs; Dofus Turquoise; Dofus des Glaces; Carapace Eau majeur; Étourdisseur majeur; Remueur; Muldo Ebène et Indigo</t>
        </is>
      </c>
    </row>
    <row r="22019">
      <c r="A22019" t="inlineStr">
        <is>
          <t>draft</t>
        </is>
      </c>
      <c r="B22019">
        <f>HYPERLINK("https://www.dofusbook.net/fr/equipement/961673-draft/objets", "link")</f>
        <v/>
      </c>
      <c r="C22019" t="n">
        <v>0</v>
      </c>
      <c r="D22019" t="inlineStr">
        <is>
          <t>Héqache; Amulette Luminescente; Anneau Chevelu; Alliance Gloursonne; Ceinture Luminescente; Masque de Koutoulou; Cape au Logis; Bottes Trithon; Carapace Neutre majeur; Miraculé majeur; Pousseur majeur; Carapace Eau majeur; Culbuteur majeur; Remueur; Muldo Ebène et Pourpre</t>
        </is>
      </c>
    </row>
    <row r="22020">
      <c r="A22020" t="inlineStr">
        <is>
          <t>demi final</t>
        </is>
      </c>
      <c r="B22020">
        <f>HYPERLINK("https://www.dofusbook.net/fr/equipement/953850-demi-final/objets", "link")</f>
        <v/>
      </c>
      <c r="C22020" t="n">
        <v>0</v>
      </c>
      <c r="D22020" t="inlineStr">
        <is>
          <t>Arc Ahique; Amulette Ementaire; Bague Gloursonne; Alliance Gloursonne; Bouclier du Stalak; Ceinture de la Reine des Voleurs; Coiffe de la Reine des Voleurs; Voile d'encre; Bottes de la Reine des Voleurs; Dofus Pourpre; Dofus des Glaces; Dofus Ocre; Dofus Abyssal; Dolmanax; Puissant majeur; Muldo Ebène et Orchidée</t>
        </is>
      </c>
    </row>
    <row r="22021">
      <c r="A22021" t="inlineStr">
        <is>
          <t>nkjl</t>
        </is>
      </c>
      <c r="B22021">
        <f>HYPERLINK("https://www.dofusbook.net/fr/equipement/943818-nkjl/objets", "link")</f>
        <v/>
      </c>
      <c r="C22021" t="n">
        <v>0</v>
      </c>
      <c r="D22021" t="inlineStr">
        <is>
          <t>Arc Nécrotique; Collier de la Dame du Hasard; Bracelet des Fonds marins; Alliance Gloursonne; Sangle Ouare; Chapeau Lisson; Cape de la Dame du Hasard; Pataugastrique; Dofus Turquoise; Dofus des Glaces; Dofus Pourpre; Remueur</t>
        </is>
      </c>
    </row>
    <row r="22022">
      <c r="A22022" t="inlineStr">
        <is>
          <t>silou</t>
        </is>
      </c>
      <c r="B22022">
        <f>HYPERLINK("https://www.dofusbook.net/fr/equipement/937881-silou/objets", "link")</f>
        <v/>
      </c>
      <c r="C22022" t="n">
        <v>0</v>
      </c>
      <c r="D22022" t="inlineStr">
        <is>
          <t>Hache du Chalœil; Amulette du Strigide; Anneau Chevelu; Alliance Gloursonne; Ceinture du Strigide; Casque du Chalœil; Voile d'encre; Pataugastrique; Dofus Turquoise; Dofus Pourpre; Dolmanax; Dofus des Glaces; Remueur; Muldo Indigo et Orchidée</t>
        </is>
      </c>
    </row>
    <row r="22023">
      <c r="A22023" t="inlineStr">
        <is>
          <t>Stuff 2</t>
        </is>
      </c>
      <c r="B22023">
        <f>HYPERLINK("https://www.dofusbook.net/fr/equipement/363398-stuff-2/objets", "link")</f>
        <v/>
      </c>
      <c r="C22023" t="n">
        <v>0</v>
      </c>
      <c r="D22023" t="inlineStr">
        <is>
          <t>Harpelle; Amulette Séculaire; Bague Gloursonne; Anneau de Nidas; Ceinture Séculaire; Casque Dragoeuf; Voile d'encre; Getas de Padgref; Dofus Pourpre; Dolmanax; Dofus Ocre; Dofus Turquoise; Remueur; Érudit majeur; Muldo Indigo et Pourpre</t>
        </is>
      </c>
    </row>
    <row r="22024">
      <c r="A22024" t="inlineStr">
        <is>
          <t>Stuff 1</t>
        </is>
      </c>
      <c r="B22024">
        <f>HYPERLINK("https://www.dofusbook.net/fr/equipement/363395-stuff-1/objets", "link")</f>
        <v/>
      </c>
      <c r="C22024" t="n">
        <v>0</v>
      </c>
      <c r="D22024" t="inlineStr">
        <is>
          <t>Baguette Range; Amulette du Strigide; Anneau de Padgref; Bague Gloursonne; Quatre-feuilles; Ceintacé; Coiffe de Padgref; Voile d'encre; Bottes Antrin; Dofus Abyssal; Dofus des Glaces; Dolmanax; Dofus Turquoise; Dokoko; Remueur; Muldo Prune et Emeraude</t>
        </is>
      </c>
    </row>
    <row r="22025">
      <c r="A22025" t="inlineStr">
        <is>
          <t>terre</t>
        </is>
      </c>
      <c r="B22025">
        <f>HYPERLINK("https://www.dofusbook.net/fr/equipement/766080-terre/objets", "link")</f>
        <v/>
      </c>
      <c r="C22025" t="n">
        <v>0</v>
      </c>
      <c r="D22025" t="inlineStr">
        <is>
          <t>Manthache; Collier du Valet Veinard; Gant du Valet Veinard; Alliance Gloursonne; Menoture; Casque Dragoeuf; Cape Indescriptible; Palmes Trithons; Dofus Émeraude; Dolmanax; Dokoko; Remueur; Nomade; Cascadeur majeur; Muldo Ebène</t>
        </is>
      </c>
    </row>
    <row r="22026">
      <c r="A22026" t="inlineStr">
        <is>
          <t>Stuff 1</t>
        </is>
      </c>
      <c r="B22026">
        <f>HYPERLINK("https://www.dofusbook.net/fr/equipement/363390-stuff-1/objets", "link")</f>
        <v/>
      </c>
      <c r="C22026" t="n">
        <v>0</v>
      </c>
      <c r="D22026" t="inlineStr">
        <is>
          <t>Harpelle; Amulette Séculaire; Anneau de Nidas; Anneau de Padgref; Ceinture Séculaire; Casque Dragoeuf; Voile d'encre; Pataugastrique; Dofus Turquoise; Dofus Émeraude; Dofus Pourpre; Nomade; Érudit majeur; Remueur</t>
        </is>
      </c>
    </row>
    <row r="22027">
      <c r="A22027" t="inlineStr">
        <is>
          <t>swag</t>
        </is>
      </c>
      <c r="B22027">
        <f>HYPERLINK("https://www.dofusbook.net/fr/equipement/468671-swag/objets", "link")</f>
        <v/>
      </c>
      <c r="C22027" t="n">
        <v>0</v>
      </c>
      <c r="D22027" t="inlineStr">
        <is>
          <t>Harpelle; Amulette de Nileza; Anneau de Padgref; Anneau Tique; Ceinture de Vortex; Cagoule de Vortex; Voile d'encre; Pataugastrique; Dofus Émeraude; Dolmanax; Dofus Turquoise; Remueur; Érudit majeur; Nomade</t>
        </is>
      </c>
    </row>
    <row r="22028">
      <c r="A22028" t="inlineStr">
        <is>
          <t>Stuff 2</t>
        </is>
      </c>
      <c r="B22028">
        <f>HYPERLINK("https://www.dofusbook.net/fr/equipement/363394-stuff-2/objets", "link")</f>
        <v/>
      </c>
      <c r="C22028" t="n">
        <v>0</v>
      </c>
      <c r="D22028" t="inlineStr">
        <is>
          <t>Hache du Korriandre; Amulette du Strigide; Anneau de Padgref; Alliance Gloursonne; Ceintacé; Casque Dragoeuf; Chevelure de Tal Kasha; Sandales de Tal Kasha; Dofus Turquoise; Dolmanax; Dofus Émeraude; Dofus des Glaces; Dofus Pourpre; Remueur; Muldo Ebène et Orchidée</t>
        </is>
      </c>
    </row>
    <row r="22029">
      <c r="A22029" t="inlineStr">
        <is>
          <t>hache korriandre</t>
        </is>
      </c>
      <c r="B22029">
        <f>HYPERLINK("https://www.dofusbook.net/fr/equipement/378906-hache-korriandre/objets", "link")</f>
        <v/>
      </c>
      <c r="C22029" t="n">
        <v>0</v>
      </c>
      <c r="D22029" t="inlineStr">
        <is>
          <t>Hache du Korriandre; Chevelure de Tal Kasha; Sandales de Tal Kasha</t>
        </is>
      </c>
    </row>
    <row r="22030">
      <c r="A22030" t="inlineStr">
        <is>
          <t>Stuff 2</t>
        </is>
      </c>
      <c r="B22030">
        <f>HYPERLINK("https://www.dofusbook.net/fr/equipement/363404-stuff-2/objets", "link")</f>
        <v/>
      </c>
      <c r="C22030" t="n">
        <v>0</v>
      </c>
      <c r="D22030" t="inlineStr">
        <is>
          <t>Héqache; Amulette du Strigide; Alliance Gloursonne; Anneau Chevelu; Ceintouse; Casque des égarés; Cape au Logis; Bottes des égarés; Dofus Turquoise; Dofus Ocre; Dofus Pourpre; Dofus des Glaces; Remueur; Vigoureux majeur; Muldo Indigo et Pourpre</t>
        </is>
      </c>
    </row>
    <row r="22031">
      <c r="A22031" t="inlineStr">
        <is>
          <t>Stuff 1</t>
        </is>
      </c>
      <c r="B22031">
        <f>HYPERLINK("https://www.dofusbook.net/fr/equipement/363406-stuff-1/objets", "link")</f>
        <v/>
      </c>
      <c r="C22031" t="n">
        <v>0</v>
      </c>
      <c r="D22031" t="inlineStr">
        <is>
          <t>Rapière aux Glyphes; Amulette de Danathor; Alliance Gloursonne; Gelano; Ceinture de Danathor; Binocle Airvoyant; Cape Matelassée; Sandales Circulaires du Kimbo; Observateur; Chanceux majeur; Fonceur majeur; Nomade; Miraculé majeur; Remueur; Dehluge</t>
        </is>
      </c>
    </row>
    <row r="22032">
      <c r="A22032" t="inlineStr">
        <is>
          <t>Stuff 3</t>
        </is>
      </c>
      <c r="B22032">
        <f>HYPERLINK("https://www.dofusbook.net/fr/equipement/363405-stuff-3/objets", "link")</f>
        <v/>
      </c>
      <c r="C22032" t="n">
        <v>0</v>
      </c>
      <c r="D22032" t="inlineStr">
        <is>
          <t>Marteau Phossile; Amulette du Strigide; Alliance Gloursonne; Anneau de Padgref; Ceintacé; Casque Dragoeuf; Cape de la Dame du Hasard; Getas de Padgref; Dofus des Glaces; Dofus Pourpre; Dolmanax; Dofus Turquoise; Dofus Émeraude; Remueur; Muldo Ebène et Indigo</t>
        </is>
      </c>
    </row>
    <row r="22033">
      <c r="A22033" t="inlineStr">
        <is>
          <t>Stuff 1</t>
        </is>
      </c>
      <c r="B22033">
        <f>HYPERLINK("https://www.dofusbook.net/fr/equipement/363391-stuff-1/objets", "link")</f>
        <v/>
      </c>
      <c r="C22033" t="n">
        <v>0</v>
      </c>
      <c r="D22033" t="inlineStr">
        <is>
          <t>Rapière aux Glyphes; Amulette du Strigide; Bracelet des Fonds marins; Alliance Gloursonne; Ceinture du Barbétoal; Kidibonnet; Chevelure de Tal Kasha; Sandales des Fonds marins; Dofus Cawotte; Dolmanax; Remueur; Carapace Eau majeur; Chanceux majeur; Carapace Air majeur; Muldo Indigo</t>
        </is>
      </c>
    </row>
    <row r="22034">
      <c r="A22034" t="inlineStr">
        <is>
          <t>Stuff 3</t>
        </is>
      </c>
      <c r="B22034">
        <f>HYPERLINK("https://www.dofusbook.net/fr/equipement/363393-stuff-3/objets", "link")</f>
        <v/>
      </c>
      <c r="C22034" t="n">
        <v>0</v>
      </c>
      <c r="D22034" t="inlineStr">
        <is>
          <t>Rapière aux Glyphes; Amulette de Shokkoth; Bracelet des Fonds marins; Alliance Gloursonne; Poulpagne; Kidibonnet; Cape du Sinistrofu; Bottes du Sinistrofu; Dofus Émeraude; Obstructeur majeur; Carapace Eau majeur; Chanceux majeur; Cavaleur majeur; Carapace Feu majeur; Muldo Ebène et Pourpre</t>
        </is>
      </c>
    </row>
    <row r="22035">
      <c r="A22035" t="inlineStr">
        <is>
          <t>Stuff 2</t>
        </is>
      </c>
      <c r="B22035">
        <f>HYPERLINK("https://www.dofusbook.net/fr/equipement/363388-stuff-2/objets", "link")</f>
        <v/>
      </c>
      <c r="C22035" t="n">
        <v>0</v>
      </c>
      <c r="D22035" t="inlineStr">
        <is>
          <t>Baguette Hernelle; Amulette d'Otomaï; Gelano; Bague Gloursonne; Ceinture Séculaire; Coiffe Séculaire; Cape Hiculteur; Pantoufles Émar; Dofus Turquoise; Érudit majeur; Astucieux majeur; Nomade; Savant majeur; Remueur; Dragodinde Emeraude et Rousse</t>
        </is>
      </c>
    </row>
    <row r="22036">
      <c r="A22036" t="inlineStr">
        <is>
          <t>Stuff 1</t>
        </is>
      </c>
      <c r="B22036">
        <f>HYPERLINK("https://www.dofusbook.net/fr/equipement/363400-stuff-1/objets", "link")</f>
        <v/>
      </c>
      <c r="C22036" t="n">
        <v>0</v>
      </c>
      <c r="D22036" t="inlineStr">
        <is>
          <t>Arc du Chalœil; Amulette du Strigide; Anneau Chevelu; Bague Gloursonne; Ceinture du Strigide; Masque de Koutoulou; Voile d'encre; Bottes de la Cour Sombre; Dofus des Glaces; Dofus Turquoise; Dolmanax; Dofus Pourpre; Dofus Nébuleux; Remueur; Muldo Indigo et Pourpre</t>
        </is>
      </c>
    </row>
    <row r="22037">
      <c r="A22037" t="inlineStr">
        <is>
          <t>Stuff 1</t>
        </is>
      </c>
      <c r="B22037">
        <f>HYPERLINK("https://www.dofusbook.net/fr/equipement/363403-stuff-1/objets", "link")</f>
        <v/>
      </c>
      <c r="C22037" t="n">
        <v>0</v>
      </c>
      <c r="D22037" t="inlineStr">
        <is>
          <t>Sabres d'Atcham; Amulette du Strigide; Alliance Gloursonne; Anneau de Padgref; Ceintacé; Casque Dragoeuf; Cape de la Dame du Hasard; Bottes de la Dame du Hasard; Dofus des Glaces; Dofus Émeraude; Dofus Turquoise; Dofus Pourpre; Remueur; Vigoureux majeur; Muldo Ebène et Pourpre</t>
        </is>
      </c>
    </row>
    <row r="22038">
      <c r="A22038" t="inlineStr">
        <is>
          <t>Stuff 3</t>
        </is>
      </c>
      <c r="B22038">
        <f>HYPERLINK("https://www.dofusbook.net/fr/equipement/363397-stuff-3/objets", "link")</f>
        <v/>
      </c>
      <c r="C22038" t="n">
        <v>0</v>
      </c>
      <c r="D22038" t="inlineStr">
        <is>
          <t>Héqache; Amulette du Strigide; Anneau Chevelu; Anneau des égarés; Ceinture du Strigide; Casque des égarés; Voile d'encre; Bottes du Strigide; Dofus Ocre; Dofus Pourpre; Dolmanax; Dofus Turquoise; Dofus des Glaces; Dofus Émeraude; Muldo Prune et Emeraude</t>
        </is>
      </c>
    </row>
    <row r="22039">
      <c r="A22039" t="inlineStr">
        <is>
          <t>Stuff 2</t>
        </is>
      </c>
      <c r="B22039">
        <f>HYPERLINK("https://www.dofusbook.net/fr/equipement/363392-stuff-2/objets", "link")</f>
        <v/>
      </c>
      <c r="C22039" t="n">
        <v>1</v>
      </c>
      <c r="D22039" t="inlineStr">
        <is>
          <t>Rapière aux Glyphes; Talisman Glouti; Alliance Gloursonne; Bracelet des Fonds marins; Sangle Ouare; Kidibonnet; Cape du Sinistrofu; Sandales des Fonds marins</t>
        </is>
      </c>
    </row>
    <row r="22040">
      <c r="A22040" t="inlineStr">
        <is>
          <t>Stuff 1</t>
        </is>
      </c>
      <c r="B22040">
        <f>HYPERLINK("https://www.dofusbook.net/fr/equipement/363387-stuff-1/objets", "link")</f>
        <v/>
      </c>
      <c r="C22040" t="n">
        <v>1</v>
      </c>
      <c r="D22040" t="inlineStr">
        <is>
          <t>Epée Maudite du Saigneur Guerrier; Amulette du Strigide; Anneau de Padgref; Alliance Gloursonne; Ceinture du Strigide; Coiffe de Padgref; Dofusteuse; Getas de Padgref; Dofus Ocre; Dofus des Glaces; Dolmanax; Dofus Turquoise; Dofus Nébuleux; Dofus Pourpre; Muldo Prune et Emeraude</t>
        </is>
      </c>
    </row>
    <row r="22041">
      <c r="A22041" t="inlineStr">
        <is>
          <t>Stuff 3</t>
        </is>
      </c>
      <c r="B22041">
        <f>HYPERLINK("https://www.dofusbook.net/fr/equipement/363399-stuff-3/objets", "link")</f>
        <v/>
      </c>
      <c r="C22041" t="n">
        <v>1</v>
      </c>
      <c r="D22041" t="inlineStr">
        <is>
          <t>Marteau des Anciens Steamers; Amulette Voldelor; Anneau de Pol Ouatnos; Alliance Gloursonne; Ceinture du Barbétoal; Dorabysses; Cape Matelassée; Bottes Voldelor; Dofus des Glaces; Dofus Turquoise; Dofus Pourpre; Dolmanax; Carapace Air majeur; Remueur; Croum</t>
        </is>
      </c>
    </row>
    <row r="22042">
      <c r="A22042" t="inlineStr">
        <is>
          <t>Stuff 3</t>
        </is>
      </c>
      <c r="B22042">
        <f>HYPERLINK("https://www.dofusbook.net/fr/equipement/363389-stuff-3/objets", "link")</f>
        <v/>
      </c>
      <c r="C22042" t="n">
        <v>0</v>
      </c>
      <c r="D22042" t="inlineStr">
        <is>
          <t>Sabres d'Atcham; Amulette du Strigide; Alliance Gloursonne; Anneau de Padgref; Ceinture du Strigide; Coiffe de Padgref; Cape de la Dame du Hasard; Bottes du Strigide; Dofus Turquoise; Dolmanax; Dofus Pourpre; Dofus des Glaces; Dofus Ocre</t>
        </is>
      </c>
    </row>
    <row r="22043">
      <c r="A22043" t="inlineStr">
        <is>
          <t>Stuff 3</t>
        </is>
      </c>
      <c r="B22043">
        <f>HYPERLINK("https://www.dofusbook.net/fr/equipement/363402-stuff-3/objets", "link")</f>
        <v/>
      </c>
      <c r="C22043" t="n">
        <v>0</v>
      </c>
      <c r="D22043" t="inlineStr">
        <is>
          <t>Le Thanos; Pendentif mignon de Koutoulou; Anneau Rifique; Anneau Tique; Ceinture de Vortex; Casque Dragoeuf; Cape d'Aermyne; Pataugastrique; Dofus Émeraude; Paralyseur majeur; Carapace Neutre majeur; Étourdisseur majeur; Remueur; Guérisseur majeur; Muldo Ebène et Orchidée</t>
        </is>
      </c>
    </row>
    <row r="22044">
      <c r="A22044" t="inlineStr">
        <is>
          <t>Stuff 2</t>
        </is>
      </c>
      <c r="B22044">
        <f>HYPERLINK("https://www.dofusbook.net/fr/equipement/363396-stuff-2/objets", "link")</f>
        <v/>
      </c>
      <c r="C22044" t="n">
        <v>2</v>
      </c>
      <c r="D22044" t="inlineStr">
        <is>
          <t>Marteau Phossile; Amulette du Strigide; Anneau de Padgref; Alliance Gloursonne; Ceintacé; Coiffe de Padgref; Chevelure de Tal Kasha; Bottes Antrin; Dofus Ocre; Dofus des Glaces; Dofus Turquoise; Dofus Pourpre; Dolmanax; Vigoureux majeur; Muldo Ebène et Orchidée</t>
        </is>
      </c>
    </row>
    <row r="22045">
      <c r="A22045" t="inlineStr">
        <is>
          <t>heart retour</t>
        </is>
      </c>
      <c r="B22045">
        <f>HYPERLINK("https://www.dofusbook.net/fr/equipement/2987431-heart-retour/objets", "link")</f>
        <v/>
      </c>
      <c r="C22045" t="n">
        <v>0</v>
      </c>
      <c r="D22045" t="inlineStr"/>
    </row>
    <row r="22046">
      <c r="A22046" t="inlineStr">
        <is>
          <t>dofus 129</t>
        </is>
      </c>
      <c r="B22046">
        <f>HYPERLINK("https://www.dofusbook.net/fr/equipement/2876682-dofus-129/objets", "link")</f>
        <v/>
      </c>
      <c r="C22046" t="n">
        <v>0</v>
      </c>
      <c r="D22046" t="inlineStr"/>
    </row>
    <row r="22047">
      <c r="A22047" t="inlineStr">
        <is>
          <t>heart</t>
        </is>
      </c>
      <c r="B22047">
        <f>HYPERLINK("https://www.dofusbook.net/fr/equipement/2021281-heart/objets", "link")</f>
        <v/>
      </c>
      <c r="C22047" t="n">
        <v>0</v>
      </c>
      <c r="D22047" t="inlineStr">
        <is>
          <t>Amulette du Strigide; Bague Gloursonne; Anneau Chevelu; Bouclier du Captain Amakna; Ceinture du Strigide; Bonnet Ko; Voile d'encre; Sandales  d'Atcham; Dofus Nébuleux; Dofus Pourpre; Dofus Ocre; Nomade; Vigoureux majeur; Remueur; Muldo Doré et Emeraude</t>
        </is>
      </c>
    </row>
    <row r="22048">
      <c r="A22048" t="inlineStr">
        <is>
          <t>wil</t>
        </is>
      </c>
      <c r="B22048">
        <f>HYPERLINK("https://www.dofusbook.net/fr/equipement/2190503-wil/objets", "link")</f>
        <v/>
      </c>
      <c r="C22048" t="n">
        <v>0</v>
      </c>
      <c r="D22048" t="inlineStr"/>
    </row>
    <row r="22049">
      <c r="A22049" t="inlineStr">
        <is>
          <t>chance</t>
        </is>
      </c>
      <c r="B22049">
        <f>HYPERLINK("https://www.dofusbook.net/fr/equipement/2427352-chance/objets", "link")</f>
        <v/>
      </c>
      <c r="C22049" t="n">
        <v>0</v>
      </c>
      <c r="D22049" t="inlineStr">
        <is>
          <t>Épée Brûlâme; Collier de la Dame du Hasard; Bracelet du Piloztère; Alliance Gloursonne; Ambrouclier; Ceinture Instable; Casquette de Meno; Cape de Meno; Pataugastrique; Dofus Pourpre; Entraveur majeur; Nomade; Vigoureux majeur; Temporiseur majeur; Remueur; Muldo Doré et Emeraude</t>
        </is>
      </c>
    </row>
    <row r="22050">
      <c r="A22050" t="inlineStr">
        <is>
          <t>ine</t>
        </is>
      </c>
      <c r="B22050">
        <f>HYPERLINK("https://www.dofusbook.net/fr/equipement/2427345-ine/objets", "link")</f>
        <v/>
      </c>
      <c r="C22050" t="n">
        <v>0</v>
      </c>
      <c r="D22050" t="inlineStr">
        <is>
          <t>Sabres d'Atcham; Amulette du Strigide; Alliance Gloursonne; Bracelet du Piloztère; Bouclier du Cycloïde; Ceintacé; Chapeau des Malveilleurs; Cape des Justiciers; Bottes du Strigide; Dofus Pourpre; Dolmanax; Vigoureux majeur; Remueur; Nomade; Muldo Doré et Emeraude</t>
        </is>
      </c>
    </row>
    <row r="22051">
      <c r="A22051" t="inlineStr">
        <is>
          <t>ine</t>
        </is>
      </c>
      <c r="B22051">
        <f>HYPERLINK("https://www.dofusbook.net/fr/equipement/2427179-ine/objets", "link")</f>
        <v/>
      </c>
      <c r="C22051" t="n">
        <v>0</v>
      </c>
      <c r="D22051" t="inlineStr">
        <is>
          <t>Sabres d'Atcham; Amulette du Strigide; Bracelet du Piloztère; Alliance Gloursonne; Bouclier du Cycloïde; Ceintacé; Chapeau des Malveilleurs; Cape des Justiciers; Bottes du Strigide; Dofus Pourpre; Vigoureux majeur; Remueur; Nomade; Muldo Doré et Emeraude</t>
        </is>
      </c>
    </row>
    <row r="22052">
      <c r="A22052" t="inlineStr">
        <is>
          <t>Sram M 200</t>
        </is>
      </c>
      <c r="B22052">
        <f>HYPERLINK("https://www.dofusbook.net/fr/equipement/5545417-sram-m-200/objets", "link")</f>
        <v/>
      </c>
      <c r="C22052" t="n">
        <v>1</v>
      </c>
      <c r="D22052" t="inlineStr">
        <is>
          <t>Hache du Korriandre; Amulette du Strigide; Alliance Gloursonne; Anneau Volkorne; Quatre-feuilles; Menoture; Casque Volkorne; Cape Indescriptible; Bottes de la Reine des Voleurs; Dofus Turquoise; Cascadeur majeur; Remueur; Chanceux majeur; Dévastateur Eau majeur; Nomade; Blérodoudou</t>
        </is>
      </c>
    </row>
    <row r="22053">
      <c r="A22053" t="inlineStr">
        <is>
          <t>Huppermage M 200</t>
        </is>
      </c>
      <c r="B22053">
        <f>HYPERLINK("https://www.dofusbook.net/fr/equipement/5933485-huppermage-m-200/objets", "link")</f>
        <v/>
      </c>
      <c r="C22053" t="n">
        <v>0</v>
      </c>
      <c r="D22053" t="inlineStr">
        <is>
          <t>Manthache; Collier du Valet Veinard; Alliance Gloursonne; Anneau Volkorne; Quatre-feuilles; Menoture; Casque Volkorne; Cape Indescriptible; Palmes Trithons; Dofus Pourpre; Dofus Ivoire; Remueur; Cascadeur majeur; Nomade; Dévastateur Air majeur; Blérodoudou</t>
        </is>
      </c>
    </row>
    <row r="22054">
      <c r="A22054" t="inlineStr">
        <is>
          <t>Crâ M 200</t>
        </is>
      </c>
      <c r="B22054">
        <f>HYPERLINK("https://www.dofusbook.net/fr/equipement/4639434-cra-m-200/objets", "link")</f>
        <v/>
      </c>
      <c r="C22054" t="n">
        <v>1</v>
      </c>
      <c r="D22054" t="inlineStr">
        <is>
          <t>Harpelle; Amulette Volkorne; Anneau Tamie; Anneau Tamie; Quatre-feuilles; Sangle Aise; Coiffe Séculaire; Cape de Diondin; Bottes Innommables; Érudit majeur; Remueur; Robuste majeur; Astucieux majeur; Vigoureux majeur; Nomade; Brûlih</t>
        </is>
      </c>
    </row>
    <row r="22055">
      <c r="A22055" t="inlineStr">
        <is>
          <t>Sadida F 200</t>
        </is>
      </c>
      <c r="B22055">
        <f>HYPERLINK("https://www.dofusbook.net/fr/equipement/4639846-sadida-f-200/objets", "link")</f>
        <v/>
      </c>
      <c r="C22055" t="n">
        <v>0</v>
      </c>
      <c r="D22055" t="inlineStr">
        <is>
          <t>Dagoulinantes; Amulette de Shokkoth; Alliance Gloursonne; Anneau Volkorne; Quatre-feuilles; Ceinture Volkorne; Masque d'Anerice; Cape d'Anerice; Bottes du Sinistrofu; Dofus Pourpre; Dofus Turquoise; Dofus Ocre</t>
        </is>
      </c>
    </row>
    <row r="22056">
      <c r="A22056" t="inlineStr">
        <is>
          <t>Eliotrope M 112</t>
        </is>
      </c>
      <c r="B22056">
        <f>HYPERLINK("https://www.dofusbook.net/fr/equipement/4292982-eliotrope-m-112/objets", "link")</f>
        <v/>
      </c>
      <c r="C22056" t="n">
        <v>1</v>
      </c>
      <c r="D22056" t="inlineStr">
        <is>
          <t>Manthache; Collier du Valet Veinard; Alliance Gloursonne; Gant du Valet Veinard; Quatre-feuilles; Menoture; Casque Volkorne; Cape Indescriptible; Palmes Trithons; Dofus des Glaces; Dofus Turquoise; Dofus Pourpre; Remueur; Nomade; Cascadeur majeur; Willy le Relou</t>
        </is>
      </c>
    </row>
    <row r="22057">
      <c r="A22057" t="inlineStr">
        <is>
          <t>Enutrof M 200</t>
        </is>
      </c>
      <c r="B22057">
        <f>HYPERLINK("https://www.dofusbook.net/fr/equipement/4507527-enutrof-m-200/objets", "link")</f>
        <v/>
      </c>
      <c r="C22057" t="n">
        <v>0</v>
      </c>
      <c r="D22057" t="inlineStr">
        <is>
          <t>Dagues Açantes; Amulette de Shokkoth; Alliance Gloursonne; Bracelet des Fonds marins; Bouclier cubiste; Poulpagne; Kidibonnet; Cape Solution; Sandales des Fonds marins; Dofus Turquoise; Dofus Pourpre; Temporiseur majeur; Entraveur majeur; Ralentisseur majeur; Chanceux majeur; Gwo Tofu Ventripotent</t>
        </is>
      </c>
    </row>
    <row r="22058">
      <c r="A22058" t="inlineStr">
        <is>
          <t>Xélor M 200</t>
        </is>
      </c>
      <c r="B22058">
        <f>HYPERLINK("https://www.dofusbook.net/fr/equipement/4891561-xelor-m-200/objets", "link")</f>
        <v/>
      </c>
      <c r="C22058" t="n">
        <v>0</v>
      </c>
      <c r="D22058" t="inlineStr">
        <is>
          <t>Marteau R'ture; Collier de Tourthon; Anneau Crustique; Anneau Crustique; Quatre-feuilles; Ceinture de Brouce; Masque de Koutoulou; Cape au Logis; Bottes de Brouce; Dofus Turquoise; Dofus des Glaces; Enragé majeur; Remueur; Forcené majeur; Nomade; Pioute vert</t>
        </is>
      </c>
    </row>
    <row r="22059">
      <c r="A22059" t="inlineStr">
        <is>
          <t>Sadida M 200</t>
        </is>
      </c>
      <c r="B22059">
        <f>HYPERLINK("https://www.dofusbook.net/fr/equipement/4630951-sadida-m-200/objets", "link")</f>
        <v/>
      </c>
      <c r="C22059" t="n">
        <v>1</v>
      </c>
      <c r="D22059" t="inlineStr">
        <is>
          <t>Arc Volkorne; Amulette Volkorne; Bague Trithon; Anneau Volkorne; Quatre-feuilles; Ceinture Volkorne; Casque Volkorne; Cape du Chalœil; Bottes Trithon; Dofus des Glaces; Dofus Pourpre; Dofus Nébuleux; Dofus Turquoise; Dofus Ocre; Dofus Ivoire; Muldo Doré et Emeraude</t>
        </is>
      </c>
    </row>
    <row r="22060">
      <c r="A22060" t="inlineStr">
        <is>
          <t>EAU</t>
        </is>
      </c>
      <c r="B22060">
        <f>HYPERLINK("https://www.dofusbook.net/fr/equipement/2634120-eau/objets", "link")</f>
        <v/>
      </c>
      <c r="C22060" t="n">
        <v>1</v>
      </c>
      <c r="D22060" t="inlineStr">
        <is>
          <t>Sabres d'Atcham; Amulette du Strigide; Alliance Brûlâme; Alliance Gloursonne; Bouclier du Captain Amakna; Ceinture du Strigide; Casque d'Ilyzaelle; Cape d'Atcham; Sandales  d'Atcham; Dofus Pourpre; Dofus des Glaces; Dofus Turquoise; Dofus Abyssal; Dofus Ocre; Dofus Ivoire; Muldo Ebène et Indigo</t>
        </is>
      </c>
    </row>
    <row r="22061">
      <c r="A22061" t="inlineStr">
        <is>
          <t>FORCE</t>
        </is>
      </c>
      <c r="B22061">
        <f>HYPERLINK("https://www.dofusbook.net/fr/equipement/2633424-force/objets", "link")</f>
        <v/>
      </c>
      <c r="C22061" t="n">
        <v>2</v>
      </c>
      <c r="D22061" t="inlineStr">
        <is>
          <t>Hache Téroïde; Collier de Tourthon; Alliance Brûlâme; Anneau Chevelu; Bouclier d'Ilyzaelle; Ceinture de Gein; Chapeau de Gein; Voile d'encre; Sabots Minables; Dofus des Glaces; Miraculé majeur; Remueur; Enragé majeur; Muldo Pourpre</t>
        </is>
      </c>
    </row>
    <row r="22062">
      <c r="A22062" t="inlineStr">
        <is>
          <t>PVM</t>
        </is>
      </c>
      <c r="B22062">
        <f>HYPERLINK("https://www.dofusbook.net/fr/equipement/5569410-pvm/objets", "link")</f>
        <v/>
      </c>
      <c r="C22062" t="n">
        <v>1</v>
      </c>
      <c r="D22062" t="inlineStr">
        <is>
          <t>Sabres d'Atcham; Amulette Volkorne; Anneau Volkorne; Anneau de Padgref; Quatre-feuilles; Ceinture Volkorne; Coiffe de Padgref; Cape d'Atcham; Getas de Padgref; Dofus Turquoise; Dofus Ébène; Dofus Ocre; Dofus Abyssal; Dofus Pourpre; Dofus Ivoire; Kokulte</t>
        </is>
      </c>
    </row>
    <row r="22063">
      <c r="A22063" t="inlineStr">
        <is>
          <t>old2</t>
        </is>
      </c>
      <c r="B22063">
        <f>HYPERLINK("https://www.dofusbook.net/fr/equipement/5910115-old2/objets", "link")</f>
        <v/>
      </c>
      <c r="C22063" t="n">
        <v>0</v>
      </c>
      <c r="D22063" t="inlineStr">
        <is>
          <t>L'Épée Nice; Kralamansion; Kralano; Annolamour; Ceinture Rasboulaire du Rasboul; Chapignon; Voile d'encre; Sandales Circulaires du Kimbo</t>
        </is>
      </c>
    </row>
    <row r="22064">
      <c r="A22064" t="inlineStr">
        <is>
          <t>yyyy</t>
        </is>
      </c>
      <c r="B22064">
        <f>HYPERLINK("https://www.dofusbook.net/fr/equipement/1806914-yyyy/objets", "link")</f>
        <v/>
      </c>
      <c r="C22064" t="n">
        <v>4</v>
      </c>
      <c r="D22064" t="inlineStr">
        <is>
          <t>Rhizome du Tynril; Ougamulette; Anneau Bliteré; Kralano; Ceinture Toré; Casque Harnage; Voile d'encre; Bottes Répané; Dofus Pourpre; Bisouglours</t>
        </is>
      </c>
    </row>
    <row r="22065">
      <c r="A22065" t="inlineStr">
        <is>
          <t>Sram M 200</t>
        </is>
      </c>
      <c r="B22065">
        <f>HYPERLINK("https://www.dofusbook.net/fr/equipement/5838915-sram-m-200/objets", "link")</f>
        <v/>
      </c>
      <c r="C22065" t="n">
        <v>1</v>
      </c>
      <c r="D22065" t="inlineStr"/>
    </row>
    <row r="22066">
      <c r="A22066" t="inlineStr">
        <is>
          <t>zer2</t>
        </is>
      </c>
      <c r="B22066">
        <f>HYPERLINK("https://www.dofusbook.net/fr/equipement/1468717-zer2/objets", "link")</f>
        <v/>
      </c>
      <c r="C22066" t="n">
        <v>6</v>
      </c>
      <c r="D22066" t="inlineStr">
        <is>
          <t>La Meulette; Anneau Chevelu; Bracelet Ventré; Ceinture Mycosine; Casque Dragoeuf; Voile d'encre; Chaussons Pignons; Dofus Émeraude; Dofus Vulbis; Dofus Pourpre; Dofus Ocre; Dofus Cawotte; Dofus Turquoise; Bulbisou</t>
        </is>
      </c>
    </row>
    <row r="22067">
      <c r="A22067" t="inlineStr">
        <is>
          <t>WS2</t>
        </is>
      </c>
      <c r="B22067">
        <f>HYPERLINK("https://www.dofusbook.net/fr/equipement/1568042-ws2/objets", "link")</f>
        <v/>
      </c>
      <c r="C22067" t="n">
        <v>3</v>
      </c>
      <c r="D22067" t="inlineStr">
        <is>
          <t>Racine de Floribonde; Kralamansion; Kralano; Annolamour; Ceinture Rasboulaire du Rasboul; Casque Dragoeuf; Voile d'encre; Bottes Harry; Dofus Émeraude; Dofus Ocre; Dofus Pourpre; Dofus Vulbis; Dofus Cawotte; Dofus Turquoise; Blérodoudou</t>
        </is>
      </c>
    </row>
    <row r="22068">
      <c r="A22068" t="inlineStr">
        <is>
          <t>ppppppp</t>
        </is>
      </c>
      <c r="B22068">
        <f>HYPERLINK("https://www.dofusbook.net/fr/equipement/4611462-ppppppp/objets", "link")</f>
        <v/>
      </c>
      <c r="C22068" t="n">
        <v>0</v>
      </c>
      <c r="D22068" t="inlineStr">
        <is>
          <t>Pelle Emélaka; Collier du Minotot; Anneau Bliteré; Bracelet du Minotot; Ceinture du Minotot; Casque Harnage; Cape du Minotot; Bottines des sous-bois; Dofus Kaliptus; Nomoon</t>
        </is>
      </c>
    </row>
    <row r="22069">
      <c r="A22069" t="inlineStr">
        <is>
          <t>ppp</t>
        </is>
      </c>
      <c r="B22069">
        <f>HYPERLINK("https://www.dofusbook.net/fr/equipement/4611458-ppp/objets", "link")</f>
        <v/>
      </c>
      <c r="C22069" t="n">
        <v>0</v>
      </c>
      <c r="D22069" t="inlineStr"/>
    </row>
    <row r="22070">
      <c r="A22070" t="inlineStr">
        <is>
          <t>Iop M 200</t>
        </is>
      </c>
      <c r="B22070">
        <f>HYPERLINK("https://www.dofusbook.net/fr/equipement/4601941-iop-m-200/objets", "link")</f>
        <v/>
      </c>
      <c r="C22070" t="n">
        <v>0</v>
      </c>
      <c r="D22070" t="inlineStr"/>
    </row>
    <row r="22071">
      <c r="A22071" t="inlineStr">
        <is>
          <t>fffff</t>
        </is>
      </c>
      <c r="B22071">
        <f>HYPERLINK("https://www.dofusbook.net/fr/equipement/2366911-fffff/objets", "link")</f>
        <v/>
      </c>
      <c r="C22071" t="n">
        <v>1</v>
      </c>
      <c r="D22071" t="inlineStr">
        <is>
          <t>Rhizome du Tynril; Ougamulette; Anneau Bliteré; Kralano; Ceinture Toré; Casque Harnage; Voile d'encre; Bottes Répané; Dofus Turquoise; Dofus Vulbis; Dofus Ocre; Dofus Pourpre</t>
        </is>
      </c>
    </row>
    <row r="22072">
      <c r="A22072" t="inlineStr">
        <is>
          <t>Ecaflip F 200</t>
        </is>
      </c>
      <c r="B22072">
        <f>HYPERLINK("https://www.dofusbook.net/fr/equipement/4194086-ecaflip-f-200/objets", "link")</f>
        <v/>
      </c>
      <c r="C22072" t="n">
        <v>0</v>
      </c>
      <c r="D22072" t="inlineStr"/>
    </row>
    <row r="22073">
      <c r="A22073" t="inlineStr">
        <is>
          <t>Iop M 200</t>
        </is>
      </c>
      <c r="B22073">
        <f>HYPERLINK("https://www.dofusbook.net/fr/equipement/4114405-iop-m-200/objets", "link")</f>
        <v/>
      </c>
      <c r="C22073" t="n">
        <v>0</v>
      </c>
      <c r="D22073" t="inlineStr">
        <is>
          <t>Amublop Griotte; Blopanneau Griotte; Blopture Griotte; Cape du Prespic; Bloptes Griottes</t>
        </is>
      </c>
    </row>
    <row r="22074">
      <c r="A22074" t="inlineStr">
        <is>
          <t>Xélor M 200</t>
        </is>
      </c>
      <c r="B22074">
        <f>HYPERLINK("https://www.dofusbook.net/fr/equipement/4096838-xelor-m-200/objets", "link")</f>
        <v/>
      </c>
      <c r="C22074" t="n">
        <v>0</v>
      </c>
      <c r="D22074" t="inlineStr">
        <is>
          <t>Sceptre du Roi Joueur; Amulette Voldelor; Anneau Volkorne; Alliance Gloursonne; Quatre-feuilles; Ceinture Voldelor; Némès de Tal Kasha; Chevelure de Tal Kasha; Sandales de Tal Kasha; Dofus Pourpre; Dofus des Glaces; Dofus Turquoise; Dofus Abyssal; Dofus Ocre; Dofus Ivoire; Kanigloups</t>
        </is>
      </c>
    </row>
    <row r="22075">
      <c r="A22075" t="inlineStr">
        <is>
          <t>eauair</t>
        </is>
      </c>
      <c r="B22075">
        <f>HYPERLINK("https://www.dofusbook.net/fr/equipement/1362685-eauair/objets", "link")</f>
        <v/>
      </c>
      <c r="C22075" t="n">
        <v>3</v>
      </c>
      <c r="D22075" t="inlineStr">
        <is>
          <t>Arc Volkorne; Amulette du Strigide; Anneau Volkorne; Bracelet du Piloztère; Bouclier du Stalak; Ceinture Volkorne; Casque Volkorne; Cape des Justiciers; Bottes du Strigide; Dofus Turquoise; Dofus des Glaces; Dolmanax; Dofus Ocre; Dofus Pourpre; Dofus Ivoire; Chacha Angora</t>
        </is>
      </c>
    </row>
    <row r="22076">
      <c r="A22076" t="inlineStr">
        <is>
          <t>multi</t>
        </is>
      </c>
      <c r="B22076">
        <f>HYPERLINK("https://www.dofusbook.net/fr/equipement/1498418-multi/objets", "link")</f>
        <v/>
      </c>
      <c r="C22076" t="n">
        <v>2</v>
      </c>
      <c r="D22076" t="inlineStr">
        <is>
          <t>Sabres d'Atcham; Amulette de l'Œil Putride; Alliance Gloursonne; Bague Gloursonne; Bouclier cubiste; Ceintacé; Capuche de l'Œil Putride; Cape de l'Œil Putride; Sandales  d'Atcham; Dofus Turquoise; Dofus Ivoire; Dofus Vulbis; Dofus des Glaces; Dofus Pourpre; Temporiseur majeur; Chacha Angora</t>
        </is>
      </c>
    </row>
    <row r="22077">
      <c r="A22077" t="inlineStr">
        <is>
          <t>ggggg</t>
        </is>
      </c>
      <c r="B22077">
        <f>HYPERLINK("https://www.dofusbook.net/fr/equipement/1498528-ggggg/objets", "link")</f>
        <v/>
      </c>
      <c r="C22077" t="n">
        <v>3</v>
      </c>
      <c r="D22077" t="inlineStr">
        <is>
          <t>Arc corrompu; Amulette Volcanique; Anneau de Nidas; Chevalière du Roi Joueur; Bouclier cubiste; Ceinture de Vortex; Couronne du Roi Joueur; Sac Volcanique; Sabots Volcaniques; Dofus Ivoire; Dofus Ocre; Dofus Vulbis; Dofus des Glaces; Dofus Pourpre; Temporiseur majeur; Gwo Tofu Ventripotent</t>
        </is>
      </c>
    </row>
    <row r="22078">
      <c r="A22078" t="inlineStr">
        <is>
          <t>sephi</t>
        </is>
      </c>
      <c r="B22078">
        <f>HYPERLINK("https://www.dofusbook.net/fr/equipement/1424280-sephi/objets", "link")</f>
        <v/>
      </c>
      <c r="C22078" t="n">
        <v>3</v>
      </c>
      <c r="D22078" t="inlineStr">
        <is>
          <t>Marteau de Katrepat; Amulette du Strigide; Bague Gloursonne; Alliance Gloursonne; Quatre-feuilles; Ceinture du Strigide; Casque du Chalœil; Cape du Chalœil; Bottes du Chalœil; Dofus des Glaces; Dofus Ocre; Dofus Pourpre; Dofus Ivoire; Dofus Vulbis; Dofus Turquoise; Kramkram</t>
        </is>
      </c>
    </row>
    <row r="22079">
      <c r="A22079" t="inlineStr">
        <is>
          <t>sadi</t>
        </is>
      </c>
      <c r="B22079">
        <f>HYPERLINK("https://www.dofusbook.net/fr/equipement/2158073-sadi/objets", "link")</f>
        <v/>
      </c>
      <c r="C22079" t="n">
        <v>2</v>
      </c>
      <c r="D22079" t="inlineStr">
        <is>
          <t>Youyettes; Collier de Tourthon; Bague Gloursonne; Anneau Crustique; Bouclier du Captain Amakna; Ceinture Volkorne; Masque de Koutoulou; Cape au Logis; Bottes de la Cour Sombre; Dofus Turquoise; Dofus Abyssal; Dofus Ocre; Dofus Ivoire; Dofus Pourpre; Dofus Nébuleux; Pioute vert</t>
        </is>
      </c>
    </row>
    <row r="22080">
      <c r="A22080" t="inlineStr">
        <is>
          <t>Roublard F 200</t>
        </is>
      </c>
      <c r="B22080">
        <f>HYPERLINK("https://www.dofusbook.net/fr/equipement/3900255-roublard-f-200/objets", "link")</f>
        <v/>
      </c>
      <c r="C22080" t="n">
        <v>0</v>
      </c>
      <c r="D22080" t="inlineStr">
        <is>
          <t>Hache du Korriandre; Amulette Volkorne; Alliance Gloursonne; Anneau Volkorne; Bouclier du Stalak; Ceinture de la Reine des Voleurs; Casque Volkorne; Cape Solution; Bottes de la Reine des Voleurs; Dofus Ocre; Dofus Ivoire; Dolmanax; Dofus des Glaces; Dofus Pourpre; Dofus Abyssal; Kanigloups</t>
        </is>
      </c>
    </row>
    <row r="22081">
      <c r="A22081" t="inlineStr">
        <is>
          <t>Roublard F 200</t>
        </is>
      </c>
      <c r="B22081">
        <f>HYPERLINK("https://www.dofusbook.net/fr/equipement/3900250-roublard-f-200/objets", "link")</f>
        <v/>
      </c>
      <c r="C22081" t="n">
        <v>0</v>
      </c>
      <c r="D22081" t="inlineStr">
        <is>
          <t>Amulette Volkorne; Anneau Volkorne; Casque Volkorne</t>
        </is>
      </c>
    </row>
    <row r="22082">
      <c r="A22082" t="inlineStr">
        <is>
          <t>Sram M 200</t>
        </is>
      </c>
      <c r="B22082">
        <f>HYPERLINK("https://www.dofusbook.net/fr/equipement/3620469-sram-m-200/objets", "link")</f>
        <v/>
      </c>
      <c r="C22082" t="n">
        <v>3</v>
      </c>
      <c r="D22082" t="inlineStr">
        <is>
          <t>Arc Volkorne; Amulette du Strigide; Alliance Gloursonne; Bague Gloursonne; Quatre-feuilles; Ceinture du Strigide; Casque du Chalœil; Cape du Chalœil; Bottes du Chalœil; Dofus Pourpre; Dofus Ivoire; Dokoko; Dofus Abyssal; Dofus des Glaces; Dofus Ocre; Kramkram</t>
        </is>
      </c>
    </row>
    <row r="22083">
      <c r="A22083" t="inlineStr">
        <is>
          <t>terre/feu</t>
        </is>
      </c>
      <c r="B22083">
        <f>HYPERLINK("https://www.dofusbook.net/fr/equipement/1209476-terre-feu/objets", "link")</f>
        <v/>
      </c>
      <c r="C22083" t="n">
        <v>0</v>
      </c>
      <c r="D22083" t="inlineStr">
        <is>
          <t>Arc de Koutoulou; Amulette du Strigide; Alliance Gloursonne; Bague Gloursonne; Bouclier du Stalak; Ceinture du Strigide; Némès de Tal Kasha; Chevelure de Tal Kasha; Bottes du Strigide; Dofus Pourpre; Dofus Ocre; Dokoko; Dofus des Glaces; Dolmanax; Dofus Turquoise; Muldo Ebène et Indigo</t>
        </is>
      </c>
    </row>
    <row r="22084">
      <c r="A22084" t="inlineStr">
        <is>
          <t>niiii</t>
        </is>
      </c>
      <c r="B22084">
        <f>HYPERLINK("https://www.dofusbook.net/fr/equipement/2743201-niiii/objets", "link")</f>
        <v/>
      </c>
      <c r="C22084" t="n">
        <v>0</v>
      </c>
      <c r="D22084" t="inlineStr">
        <is>
          <t>Rapière aux Glyphes; Amulette de Shokkoth; Bracelet des Fonds marins; Anneau Glacial; Bouclier d'Ilyzaelle; Ceinture Glaciale; Masque des Fonds marins; Cape Glaciale; Sandales des Fonds marins; Dofus Émeraude; Dofus Ocre; Dofus Abyssal; Dofus Pourpre; Dofus des Glaces; Dofus Turquoise; Kramkram</t>
        </is>
      </c>
    </row>
    <row r="22085">
      <c r="A22085" t="inlineStr">
        <is>
          <t>terre air</t>
        </is>
      </c>
      <c r="B22085">
        <f>HYPERLINK("https://www.dofusbook.net/fr/equipement/1553029-terre-air/objets", "link")</f>
        <v/>
      </c>
      <c r="C22085" t="n">
        <v>0</v>
      </c>
      <c r="D22085" t="inlineStr">
        <is>
          <t>Lance corrompue; Collier du Valet Veinard; Alliance Gloursonne; Gant du Valet Veinard; Bouclier du Stalak; Ceinture de la Reine des Voleurs; Coiffe de la Reine des Voleurs; Cape du Valet Veinard; Bottes de la Reine des Voleurs; Dofus Ivoire; Dofus Pourpre; Dofus Abyssal; Dofus des Glaces; Dofus Vulbis; Dofus Ocre; Pioute jaune</t>
        </is>
      </c>
    </row>
    <row r="22086">
      <c r="A22086" t="inlineStr">
        <is>
          <t>new</t>
        </is>
      </c>
      <c r="B22086">
        <f>HYPERLINK("https://www.dofusbook.net/fr/equipement/1699213-new/objets", "link")</f>
        <v/>
      </c>
      <c r="C22086" t="n">
        <v>0</v>
      </c>
      <c r="D22086" t="inlineStr">
        <is>
          <t>Dagues Érhy; Amulette du Strigide; Bague Gloursonne; Alliance Gloursonne; Bouclier d'Ilyzaelle; Ceinture du Strigide; Casque du Chalœil; Cape du Chalœil; Bottes du Chalœil; Dofus Émeraude; Dofus Ocre; Dofus Ivoire; Dofus Pourpre; Dofus des Glaces; Dofus Turquoise; Kramkram</t>
        </is>
      </c>
    </row>
    <row r="22087">
      <c r="A22087" t="inlineStr">
        <is>
          <t>ZER</t>
        </is>
      </c>
      <c r="B22087">
        <f>HYPERLINK("https://www.dofusbook.net/fr/equipement/1468672-zer/objets", "link")</f>
        <v/>
      </c>
      <c r="C22087" t="n">
        <v>0</v>
      </c>
      <c r="D22087" t="inlineStr">
        <is>
          <t>Dagues Érhy; Amulette du Strigide; Alliance Gloursonne; Alliance Brûlâme; Ceinture du Strigide; Masque Brûlâme; Cape du Chalœil; Pompes Funèbres; Dofus Ivoire; Dofus des Glaces; Dofus Émeraude; Dofus Turquoise; Dofus Pourpre; Dofus Ocre</t>
        </is>
      </c>
    </row>
    <row r="22088">
      <c r="A22088" t="inlineStr">
        <is>
          <t>mmmm</t>
        </is>
      </c>
      <c r="B22088">
        <f>HYPERLINK("https://www.dofusbook.net/fr/equipement/1807394-mmmm/objets", "link")</f>
        <v/>
      </c>
      <c r="C22088" t="n">
        <v>0</v>
      </c>
      <c r="D22088" t="inlineStr">
        <is>
          <t>Arc corrompu; Pendentif mignon de Koutoulou; Anneau Rifique; Bague Gloursonne; Quatre-feuilles; Ceinture de Vortex; Coiffe Séculaire; Cape de Diondin; Bottes Innommables; Dofus Pourpre; Dofus Turquoise; Carapace Feu majeur; Érudit majeur; Déserteur majeur; Remueur; Muldo Pourpre</t>
        </is>
      </c>
    </row>
    <row r="22089">
      <c r="A22089" t="inlineStr">
        <is>
          <t>jjij</t>
        </is>
      </c>
      <c r="B22089">
        <f>HYPERLINK("https://www.dofusbook.net/fr/equipement/1170889-jjij/objets", "link")</f>
        <v/>
      </c>
      <c r="C22089" t="n">
        <v>0</v>
      </c>
      <c r="D22089" t="inlineStr">
        <is>
          <t>Epée Gloursonne; Amulette du Strigide; Bague Gloursonne; Alliance Gloursonne; Bouclier d'Ilyzaelle; Ceinture du Strigide; Masque d'Anerice; Cape d'Anerice; Bottes du Strigide; Dofus Pourpre; Dofus Turquoise; Dofus Abyssal; Dofus Ocre; Dofus Émeraude; Dofus des Glaces; Muldo Ebène et Pourpre</t>
        </is>
      </c>
    </row>
    <row r="22090">
      <c r="A22090" t="inlineStr">
        <is>
          <t>aaaa</t>
        </is>
      </c>
      <c r="B22090">
        <f>HYPERLINK("https://www.dofusbook.net/fr/equipement/986361-aaaa/objets", "link")</f>
        <v/>
      </c>
      <c r="C22090" t="n">
        <v>0</v>
      </c>
      <c r="D22090" t="inlineStr">
        <is>
          <t>Marteau de Katrepat; Amulette du Strigide; Alliance Brûlâme; Alliance Gloursonne; Bouclier d'Ilyzaelle; Ceinture du Strigide; Masque Brûlâme; Voile d'encre; Pompes Funèbres; Dofus Pourpre; Dofus Ocre; Dofus Émeraude; Dofus Turquoise; Dofus des Glaces; Dofus Abyssal; Muldo Ebène et Pourpre</t>
        </is>
      </c>
    </row>
    <row r="22091">
      <c r="A22091" t="inlineStr">
        <is>
          <t>eauuair</t>
        </is>
      </c>
      <c r="B22091">
        <f>HYPERLINK("https://www.dofusbook.net/fr/equipement/2260566-eauuair/objets", "link")</f>
        <v/>
      </c>
      <c r="C22091" t="n">
        <v>1</v>
      </c>
      <c r="D22091" t="inlineStr">
        <is>
          <t>Sabres d'Atcham; Amulette d'Ilyzaelle; Bague Gloursonne; Alliance Gloursonne; Bouclier d'Ilyzaelle; Ceinture de l'Esprit Salvateur; Casque d'Ilyzaelle; Cape d'Atcham; Sandales  d'Atcham; Dofus Émeraude; Dofus Ocre; Dolmanax; Dofus des Glaces; Dofus Pourpre; Dofus Abyssal; Muldo Ebène</t>
        </is>
      </c>
    </row>
    <row r="22092">
      <c r="A22092" t="inlineStr">
        <is>
          <t>terreair</t>
        </is>
      </c>
      <c r="B22092">
        <f>HYPERLINK("https://www.dofusbook.net/fr/equipement/2260462-terreair/objets", "link")</f>
        <v/>
      </c>
      <c r="C22092" t="n">
        <v>1</v>
      </c>
      <c r="D22092" t="inlineStr">
        <is>
          <t>Lance corrompue; Amulette de l'Indicible; Alliance Brûlâme; Alliance Gloursonne; Cadran d'Eau; Ceinture de l'Indicible; Masque Brûlâme; Voile d'encre; Baleinabottes; Dolmanax; Dofus Abyssal; Dofus Pourpre; Dofus Émeraude; Dofus des Glaces</t>
        </is>
      </c>
    </row>
    <row r="22093">
      <c r="A22093" t="inlineStr">
        <is>
          <t>ggggg</t>
        </is>
      </c>
      <c r="B22093">
        <f>HYPERLINK("https://www.dofusbook.net/fr/equipement/2260519-ggggg/objets", "link")</f>
        <v/>
      </c>
      <c r="C22093" t="n">
        <v>0</v>
      </c>
      <c r="D22093" t="inlineStr">
        <is>
          <t>Lance corrompue; Collier du Valet Veinard; Alliance Brûlâme; Gant du Valet Veinard; Cadran d'Eau; Ceinture de l'Esprit Salvateur; Masque de l'Esprit Salvateur; Cape du Valet Veinard; Bottes de l'Esprit Salvateur; Dofus Émeraude; Dofus Ocre; Dofus des Glaces; Dolmanax; Dofus Abyssal; Dofus Pourpre; Muldo Ebène et Pourpre</t>
        </is>
      </c>
    </row>
    <row r="22094">
      <c r="A22094" t="inlineStr">
        <is>
          <t>necro</t>
        </is>
      </c>
      <c r="B22094">
        <f>HYPERLINK("https://www.dofusbook.net/fr/equipement/2224956-necro/objets", "link")</f>
        <v/>
      </c>
      <c r="C22094" t="n">
        <v>0</v>
      </c>
      <c r="D22094" t="inlineStr">
        <is>
          <t>Arc Nécrotique; Collier de la Dame du Hasard; Alliance Gloursonne; Bague Gloursonne; Quatre-feuilles; Ceinture de l'Esprit Malsain; Cape de la Dame du Hasard; Bottes de la Dame du Hasard; Dofus Émeraude; Dofus Pourpre; Dofus des Glaces; Dofus Turquoise; Dolmanax; Dofus Ocre; Muldo Indigo et Orchidée</t>
        </is>
      </c>
    </row>
    <row r="22095">
      <c r="A22095" t="inlineStr">
        <is>
          <t>ret</t>
        </is>
      </c>
      <c r="B22095">
        <f>HYPERLINK("https://www.dofusbook.net/fr/equipement/2221100-ret/objets", "link")</f>
        <v/>
      </c>
      <c r="C22095" t="n">
        <v>0</v>
      </c>
      <c r="D22095" t="inlineStr">
        <is>
          <t>Dagoulinantes; Amulette du Cœur Vaillant; Anneau Crustique; Anneau Crustique; Sept ans de malheur; Menoture; Casque Dragoeuf; Cape du Cœur Vaillant; Sandales de Tal Kasha; Dofus Émeraude; Paralyseur majeur; Étourdisseur; Étourdisseur majeur; Engourdisseur majeur; Remueur; Muldo Ebène</t>
        </is>
      </c>
    </row>
    <row r="22096">
      <c r="A22096" t="inlineStr">
        <is>
          <t>ane</t>
        </is>
      </c>
      <c r="B22096">
        <f>HYPERLINK("https://www.dofusbook.net/fr/equipement/2220580-ane/objets", "link")</f>
        <v/>
      </c>
      <c r="C22096" t="n">
        <v>0</v>
      </c>
      <c r="D22096" t="inlineStr">
        <is>
          <t>Hache du Chalœil; Amulette du Strigide; Bague Gloursonne; Alliance Gloursonne; Quatre-feuilles; Ceintacé; Masque d'Anerice; Cape d'Anerice; Bottes du Strigide; Dofus Pourpre; Dofus Turquoise; Dofus Ivoire; Dofus Ocre; Dofus des Glaces; Dolmanax; Muldo Indigo et Pourpre</t>
        </is>
      </c>
    </row>
    <row r="22097">
      <c r="A22097" t="inlineStr">
        <is>
          <t>do pou</t>
        </is>
      </c>
      <c r="B22097">
        <f>HYPERLINK("https://www.dofusbook.net/fr/equipement/2217416-do-pou/objets", "link")</f>
        <v/>
      </c>
      <c r="C22097" t="n">
        <v>0</v>
      </c>
      <c r="D22097" t="inlineStr">
        <is>
          <t>Héqache; Torquistik; Bague Gloursonne; Bague Trithon; Bouclier précieux; Ceintacé; Masque de Koutoulou; Voile d'encre; Bottistik; Dofus Émeraude; Dofus Pourpre; Dofus Abyssal; Enragé majeur; Culbuteur majeur; Bousculeur majeur; Muldo Pourpre</t>
        </is>
      </c>
    </row>
    <row r="22098">
      <c r="A22098" t="inlineStr">
        <is>
          <t>cra</t>
        </is>
      </c>
      <c r="B22098">
        <f>HYPERLINK("https://www.dofusbook.net/fr/equipement/2206570-cra/objets", "link")</f>
        <v/>
      </c>
      <c r="C22098" t="n">
        <v>0</v>
      </c>
      <c r="D22098" t="inlineStr"/>
    </row>
    <row r="22099">
      <c r="A22099" t="inlineStr">
        <is>
          <t>mlm</t>
        </is>
      </c>
      <c r="B22099">
        <f>HYPERLINK("https://www.dofusbook.net/fr/equipement/2194867-mlm/objets", "link")</f>
        <v/>
      </c>
      <c r="C22099" t="n">
        <v>0</v>
      </c>
      <c r="D22099" t="inlineStr">
        <is>
          <t>Baguette de Malléfisk; Amulette Ementaire Deluxe; Anneau Rifique; Anneau de Nidas; Carapar; Ceinture de Vortex; Casque Cyclopéen; Cape de Diondin; Bottes Innommables; Dolmanax; Remueur; Déserteur majeur; Érudit majeur; Carapace Eau majeur; Miraculé majeur; Muldo Orchidée et Pourpre</t>
        </is>
      </c>
    </row>
    <row r="22100">
      <c r="A22100" t="inlineStr">
        <is>
          <t>jijiji</t>
        </is>
      </c>
      <c r="B22100">
        <f>HYPERLINK("https://www.dofusbook.net/fr/equipement/2182880-jijiji/objets", "link")</f>
        <v/>
      </c>
      <c r="C22100" t="n">
        <v>0</v>
      </c>
      <c r="D22100" t="inlineStr"/>
    </row>
    <row r="22101">
      <c r="A22101" t="inlineStr">
        <is>
          <t>zzzz</t>
        </is>
      </c>
      <c r="B22101">
        <f>HYPERLINK("https://www.dofusbook.net/fr/equipement/2179988-zzzz/objets", "link")</f>
        <v/>
      </c>
      <c r="C22101" t="n">
        <v>0</v>
      </c>
      <c r="D22101" t="inlineStr">
        <is>
          <t>Lance corrompue; Collier de Tourthon; Alliance Gloursonne; Alliance Brûlâme; Sept ans de malheur; Ceintouse; Masque de Koutoulou; Voile d'encre; Tentassons; Dofus Émeraude; Dofus Abyssal; Dofus Pourpre; Dofus des Glaces; Remueur; Étourdisseur majeur; Muldo Pourpre</t>
        </is>
      </c>
    </row>
    <row r="22102">
      <c r="A22102" t="inlineStr">
        <is>
          <t>zah</t>
        </is>
      </c>
      <c r="B22102">
        <f>HYPERLINK("https://www.dofusbook.net/fr/equipement/2164103-zah/objets", "link")</f>
        <v/>
      </c>
      <c r="C22102" t="n">
        <v>0</v>
      </c>
      <c r="D22102" t="inlineStr">
        <is>
          <t>Dagues Érhy; Amulette Ementaire Deluxe; Alliance Brûlâme; Goulano; Goulclier; Ceinture de Gein; Masque Brûlâme; Voile d'encre; Pompes Funèbres; Dofus Abyssal; Dofus Pourpre; Dokoko; Dofus des Glaces; Dolmanax; Dofus Ocre</t>
        </is>
      </c>
    </row>
    <row r="22103">
      <c r="A22103" t="inlineStr">
        <is>
          <t>Air</t>
        </is>
      </c>
      <c r="B22103">
        <f>HYPERLINK("https://www.dofusbook.net/fr/equipement/2162750-air/objets", "link")</f>
        <v/>
      </c>
      <c r="C22103" t="n">
        <v>0</v>
      </c>
      <c r="D22103" t="inlineStr">
        <is>
          <t>Hachoirs de Viandargh; Collier du Valet Veinard; Alliance Gloursonne; Gant du Valet Veinard; Bouclier d'Ilyzaelle; Menoture; Casque Cyclopéen; Cape Indescriptible; Palmes Trithons; Dofus Pourpre; Dofus Abyssal; Dofus Émeraude; Nomade; Cascadeur majeur; Remueur; Pioute jaune</t>
        </is>
      </c>
    </row>
    <row r="22104">
      <c r="A22104" t="inlineStr">
        <is>
          <t>sram</t>
        </is>
      </c>
      <c r="B22104">
        <f>HYPERLINK("https://www.dofusbook.net/fr/equipement/2155930-sram/objets", "link")</f>
        <v/>
      </c>
      <c r="C22104" t="n">
        <v>0</v>
      </c>
      <c r="D22104" t="inlineStr">
        <is>
          <t>Dagues de Srambad; Amulette Ementaire Deluxe; Bague Gloursonne; Alliance Gloursonne; Bouclier cubiste; Coiffe de la Reine des Voleurs; Cape des Justiciers; Bottes de la Reine des Voleurs; Dofus Abyssal; Dolmanax; Dokoko; Dofus Pourpre; Dofus des Glaces; Dofus Ocre; Muldo Orchidée et Pourpre</t>
        </is>
      </c>
    </row>
    <row r="22105">
      <c r="A22105" t="inlineStr">
        <is>
          <t>gggg</t>
        </is>
      </c>
      <c r="B22105">
        <f>HYPERLINK("https://www.dofusbook.net/fr/equipement/2154405-gggg/objets", "link")</f>
        <v/>
      </c>
      <c r="C22105" t="n">
        <v>0</v>
      </c>
      <c r="D22105" t="inlineStr">
        <is>
          <t>Lance corrompue; Collier de Tourthon; Alliance Gloursonne; Anneau des égarés; Bouclier du Captain Amakna; Ceinture de la Reine des Voleurs; Coiffe de la Reine des Voleurs; Voile d'encre; Baleinabottes; Dofus Abyssal; Dofus Pourpre; Dofus des Glaces; Dolmanax; Nomade; Remueur; Pioute vert</t>
        </is>
      </c>
    </row>
    <row r="22106">
      <c r="A22106" t="inlineStr">
        <is>
          <t>eaufeu</t>
        </is>
      </c>
      <c r="B22106">
        <f>HYPERLINK("https://www.dofusbook.net/fr/equipement/2152669-eaufeu/objets", "link")</f>
        <v/>
      </c>
      <c r="C22106" t="n">
        <v>0</v>
      </c>
      <c r="D22106" t="inlineStr">
        <is>
          <t>Arc Nécrotique; Collier de la Dame du Hasard; Alliance Gloursonne; Bague Gloursonne; Quatre-feuilles; Ceinture de l'Esprit Malsain; Masque de l'Esprit Malsain; Cape de la Dame du Hasard; Bottes de la Dame du Hasard; Dolmanax; Dofus Émeraude; Dofus Pourpre; Dofus des Glaces; Dofus Ocre</t>
        </is>
      </c>
    </row>
    <row r="22107">
      <c r="A22107" t="inlineStr">
        <is>
          <t>vita</t>
        </is>
      </c>
      <c r="B22107">
        <f>HYPERLINK("https://www.dofusbook.net/fr/equipement/2149460-vita/objets", "link")</f>
        <v/>
      </c>
      <c r="C22107" t="n">
        <v>0</v>
      </c>
      <c r="D22107" t="inlineStr">
        <is>
          <t>Bâthon; Amulette du Cycloïde; Alliance du Lévitrof; Anneau de Nidas; Bouclier Bontarien; Poulpagne; Masque d'Anerice; Cape d'Anerice; Bottes de l'Indicible; Dofus Émeraude; Miraculé majeur; Remueur</t>
        </is>
      </c>
    </row>
    <row r="22108">
      <c r="A22108" t="inlineStr">
        <is>
          <t>fdsq</t>
        </is>
      </c>
      <c r="B22108">
        <f>HYPERLINK("https://www.dofusbook.net/fr/equipement/2149046-fdsq/objets", "link")</f>
        <v/>
      </c>
      <c r="C22108" t="n">
        <v>0</v>
      </c>
      <c r="D22108" t="inlineStr">
        <is>
          <t>Lance corrompue; Amulette du Cœur Vaillant; Bague Gloursonne; Alliance Gloursonne; Bouclier Taverne; Ceinture de la Reine des Voleurs; Coiffe de la Reine des Voleurs; Cape du Cœur Vaillant; Bottes du Cœur Vaillant; Dofus Pourpre; Dofus Ocre; Dofus Émeraude; Dofus des Glaces; Pousseur majeur; Bousculeur majeur; Muldo Ebène et Pourpre</t>
        </is>
      </c>
    </row>
    <row r="22109">
      <c r="A22109" t="inlineStr">
        <is>
          <t>gei</t>
        </is>
      </c>
      <c r="B22109">
        <f>HYPERLINK("https://www.dofusbook.net/fr/equipement/1542305-gei/objets", "link")</f>
        <v/>
      </c>
      <c r="C22109" t="n">
        <v>0</v>
      </c>
      <c r="D22109" t="inlineStr">
        <is>
          <t>Dagues Érhy; Amulette du Strigide; Bague Gloursonne; Alliance Brûlâme; Ceinture du Strigide; Masque Brûlâme; Voile d'encre; Pompes Funèbres; Dokoko; Dofus Ocre; Dofus Abyssal; Dofus Émeraude; Dofus des Glaces; Dofus Pourpre</t>
        </is>
      </c>
    </row>
    <row r="22110">
      <c r="A22110" t="inlineStr">
        <is>
          <t>aaaaaa</t>
        </is>
      </c>
      <c r="B22110">
        <f>HYPERLINK("https://www.dofusbook.net/fr/equipement/504740-aaaaaa/objets", "link")</f>
        <v/>
      </c>
      <c r="C22110" t="n">
        <v>0</v>
      </c>
      <c r="D22110" t="inlineStr">
        <is>
          <t>Marteau de Katrepat; Amulette du Strigide; Alliance Gloursonne; Alliance Brûlâme; Bouclier d'Ilyzaelle; Ceinture du Strigide; Masque Brûlâme; Voile d'encre; Pompes Funèbres; Dofus Turquoise; Dofus Abyssal; Dofus Ocre; Dofus Émeraude; Dofus des Glaces; Dofus Pourpre; Muldo Ebène et Pourpre</t>
        </is>
      </c>
    </row>
    <row r="22111">
      <c r="A22111" t="inlineStr">
        <is>
          <t>Stuff 1</t>
        </is>
      </c>
      <c r="B22111">
        <f>HYPERLINK("https://www.dofusbook.net/fr/equipement/134046-stuff-1/objets", "link")</f>
        <v/>
      </c>
      <c r="C22111" t="n">
        <v>0</v>
      </c>
      <c r="D22111" t="inlineStr">
        <is>
          <t>Lance corrompue; Amulette du Cœur Vaillant; Bague Gloursonne; Alliance Gloursonne; Ceinture de la Reine des Voleurs; Coiffe de la Reine des Voleurs; Cape du Cœur Vaillant; Bottes du Cœur Vaillant; Dolmanax; Dofus des Glaces; Dofus Pourpre; Dofus Émeraude; Dofus Ocre; Dofus Abyssal; Muldo Ebène</t>
        </is>
      </c>
    </row>
    <row r="22112">
      <c r="A22112" t="inlineStr">
        <is>
          <t>New</t>
        </is>
      </c>
      <c r="B22112">
        <f>HYPERLINK("https://www.dofusbook.net/fr/equipement/2132879-new/objets", "link")</f>
        <v/>
      </c>
      <c r="C22112" t="n">
        <v>0</v>
      </c>
      <c r="D22112" t="inlineStr">
        <is>
          <t>Lance corrompue; Amulette du Strigide; Alliance Brûlâme; Alliance Gloursonne; Bouclier d'Ilyzaelle; Ceinture du Strigide; Masque Brûlâme; Voile d'encre; Pompes Funèbres; Dofus Émeraude; Dofus Ocre; Dofus Abyssal; Dofus Pourpre; Dofus des Glaces; Dofus Turquoise; Muldo Ebène et Pourpre</t>
        </is>
      </c>
    </row>
    <row r="22113">
      <c r="A22113" t="inlineStr">
        <is>
          <t>feueau</t>
        </is>
      </c>
      <c r="B22113">
        <f>HYPERLINK("https://www.dofusbook.net/fr/equipement/1104455-feueau/objets", "link")</f>
        <v/>
      </c>
      <c r="C22113" t="n">
        <v>0</v>
      </c>
      <c r="D22113" t="inlineStr">
        <is>
          <t>Sabres d'Atcham; Amulette d'Ilyzaelle; Bague Gloursonne; Alliance Gloursonne; Bouclier d'Ilyzaelle; Ceinture de l'Indicible; Casque d'Ilyzaelle; Cape d'Atcham; Sandales  d'Atcham; Dofus des Glaces; Dofus Pourpre; Dofus Abyssal; Dofus Émeraude; Dofus Ocre; Dolmanax; Muldo Ebène</t>
        </is>
      </c>
    </row>
    <row r="22114">
      <c r="A22114" t="inlineStr">
        <is>
          <t>Stuff 3</t>
        </is>
      </c>
      <c r="B22114">
        <f>HYPERLINK("https://www.dofusbook.net/fr/equipement/134075-stuff-3/objets", "link")</f>
        <v/>
      </c>
      <c r="C22114" t="n">
        <v>0</v>
      </c>
      <c r="D22114" t="inlineStr">
        <is>
          <t>Épée Brûlâme; Collier de la Dame du Hasard; Bague Gloursonne; Alliance Gloursonne; Bouclier du Captain Amakna; Ceinture de l'Esprit Malsain; Masque de l'Esprit Malsain; Cape de la Dame du Hasard; Bottes de la Dame du Hasard; Dofus Émeraude; Dofus Pourpre; Dofus Abyssal; Dofus Turquoise; Dofus des Glaces; Dofus Ocre; Muldo Orchidée</t>
        </is>
      </c>
    </row>
    <row r="22115">
      <c r="A22115" t="inlineStr">
        <is>
          <t>Stuff 3</t>
        </is>
      </c>
      <c r="B22115">
        <f>HYPERLINK("https://www.dofusbook.net/fr/equipement/134048-stuff-3/objets", "link")</f>
        <v/>
      </c>
      <c r="C22115" t="n">
        <v>0</v>
      </c>
      <c r="D22115" t="inlineStr">
        <is>
          <t>Lance corrompue</t>
        </is>
      </c>
    </row>
    <row r="22116">
      <c r="A22116" t="inlineStr">
        <is>
          <t>ffgfgf</t>
        </is>
      </c>
      <c r="B22116">
        <f>HYPERLINK("https://www.dofusbook.net/fr/equipement/890031-ffgfgf/objets", "link")</f>
        <v/>
      </c>
      <c r="C22116" t="n">
        <v>0</v>
      </c>
      <c r="D22116" t="inlineStr">
        <is>
          <t>Hachoirs de Viandargh; Collier du Valet Veinard; Alliance Gloursonne; Gant du Valet Veinard; Bouclier d'Ilyzaelle; Ceinture de l'Esprit Salvateur; Masque de l'Esprit Salvateur; Cape du Valet Veinard; Bottes de l'Esprit Salvateur; Dofus Abyssal; Dolmanax; Dofus des Glaces; Dofus Pourpre; Dofus Émeraude; Dofus Ocre; Muldo Ebène</t>
        </is>
      </c>
    </row>
    <row r="22117">
      <c r="A22117" t="inlineStr">
        <is>
          <t>multi</t>
        </is>
      </c>
      <c r="B22117">
        <f>HYPERLINK("https://www.dofusbook.net/fr/equipement/1702346-multi/objets", "link")</f>
        <v/>
      </c>
      <c r="C22117" t="n">
        <v>0</v>
      </c>
      <c r="D22117" t="inlineStr">
        <is>
          <t>Lance corrompue; Amulette de Nevark; Alliance Brûlâme; Alliance Gloursonne; Bouclier d'Ilyzaelle; Ceinture de Nevark; Masque Brûlâme; Cape de Nevark; Pompes Funèbres; Dofus Émeraude; Dofus Ocre; Dofus Abyssal; Dolmanax; Dofus des Glaces; Dofus Pourpre; Kramkram</t>
        </is>
      </c>
    </row>
    <row r="22118">
      <c r="A22118" t="inlineStr">
        <is>
          <t>deux</t>
        </is>
      </c>
      <c r="B22118">
        <f>HYPERLINK("https://www.dofusbook.net/fr/equipement/987110-deux/objets", "link")</f>
        <v/>
      </c>
      <c r="C22118" t="n">
        <v>0</v>
      </c>
      <c r="D22118" t="inlineStr">
        <is>
          <t>Epée Gloursonne; Amulette du Strigide; Alliance Gloursonne; Bague Gloursonne; Bouclier d'Ilyzaelle; Ceinture du Strigide; Masque d'Anerice; Cape d'Anerice; Bottes du Strigide; Dofus Pourpre; Dofus Ocre; Dofus Abyssal; Dofus des Glaces; Dofus Émeraude; Dofus Turquoise; Muldo Ebène et Pourpre</t>
        </is>
      </c>
    </row>
    <row r="22119">
      <c r="A22119" t="inlineStr">
        <is>
          <t>xeee</t>
        </is>
      </c>
      <c r="B22119">
        <f>HYPERLINK("https://www.dofusbook.net/fr/equipement/1567516-xeee/objets", "link")</f>
        <v/>
      </c>
      <c r="C22119" t="n">
        <v>0</v>
      </c>
      <c r="D22119" t="inlineStr">
        <is>
          <t>Marteau de Katrepat; Amulette du Strigide; Alliance Brûlâme; Alliance Gloursonne; Bouclier d'Ilyzaelle; Ceinture du Strigide; Masque Brûlâme; Voile d'encre; Pompes Funèbres; Dofus Abyssal; Dofus Ocre; Dofus Émeraude; Dofus Pourpre; Dofus des Glaces; Dofus Turquoise; Muldo Ebène et Pourpre</t>
        </is>
      </c>
    </row>
    <row r="22120">
      <c r="A22120" t="inlineStr">
        <is>
          <t>feuuu</t>
        </is>
      </c>
      <c r="B22120">
        <f>HYPERLINK("https://www.dofusbook.net/fr/equipement/1914581-feuuu/objets", "link")</f>
        <v/>
      </c>
      <c r="C22120" t="n">
        <v>0</v>
      </c>
      <c r="D22120" t="inlineStr">
        <is>
          <t>Arc Nécrotique; Collier de la Dame du Hasard; Alliance Gloursonne; Bague Gloursonne; Quatre-feuilles; Ceintacé; Masque des Fonds marins; Cape de la Dame du Hasard; Bottes de la Dame du Hasard; Dolmanax; Dofus Émeraude; Dofus Nébuleux; Dofus Turquoise; Dofus des Glaces; Dofus Pourpre; Muldo Indigo et Pourpre</t>
        </is>
      </c>
    </row>
    <row r="22121">
      <c r="A22121" t="inlineStr">
        <is>
          <t>koli</t>
        </is>
      </c>
      <c r="B22121">
        <f>HYPERLINK("https://www.dofusbook.net/fr/equipement/761366-koli/objets", "link")</f>
        <v/>
      </c>
      <c r="C22121" t="n">
        <v>0</v>
      </c>
      <c r="D22121" t="inlineStr">
        <is>
          <t>Arc Ahique; Amulette Ementaire Deluxe; Alliance Gloursonne; Pikano; Bouclier du Stalak; Ceinture de la Reine des Voleurs; Kidibonnet; Voile d'encre; Bottes de la Reine des Voleurs</t>
        </is>
      </c>
    </row>
    <row r="22122">
      <c r="A22122" t="inlineStr">
        <is>
          <t>hhhh</t>
        </is>
      </c>
      <c r="B22122">
        <f>HYPERLINK("https://www.dofusbook.net/fr/equipement/889248-hhhh/objets", "link")</f>
        <v/>
      </c>
      <c r="C22122" t="n">
        <v>0</v>
      </c>
      <c r="D22122" t="inlineStr">
        <is>
          <t>Collier du Valet Veinard; Alliance Gloursonne; Gant du Valet Veinard; Bouclier du Stalak; Menoture; Couronne d'Allister; Cape Indescriptible; Palmes Trithons; Dofus Pourpre; Dofus Abyssal; Déserteur majeur; Remueur; Cascadeur majeur; Nomade; Siroko</t>
        </is>
      </c>
    </row>
    <row r="22123">
      <c r="A22123" t="inlineStr">
        <is>
          <t>teee</t>
        </is>
      </c>
      <c r="B22123">
        <f>HYPERLINK("https://www.dofusbook.net/fr/equipement/1849183-teee/objets", "link")</f>
        <v/>
      </c>
      <c r="C22123" t="n">
        <v>0</v>
      </c>
      <c r="D22123" t="inlineStr">
        <is>
          <t>Amulette de l'Indicible; Anneau des égarés; Alliance Brûlâme; Cadran d'Eau; Ceinture de la Reine des Voleurs; Coiffe de la Reine des Voleurs; Cape du Cœur Vaillant; Baleinabottes; Dofus Émeraude; Dofus Pourpre; Dolmanax; Dofus des Glaces</t>
        </is>
      </c>
    </row>
    <row r="22124">
      <c r="A22124" t="inlineStr">
        <is>
          <t>dddddddd</t>
        </is>
      </c>
      <c r="B22124">
        <f>HYPERLINK("https://www.dofusbook.net/fr/equipement/1940619-dddddddd/objets", "link")</f>
        <v/>
      </c>
      <c r="C22124" t="n">
        <v>0</v>
      </c>
      <c r="D22124" t="inlineStr">
        <is>
          <t>Dagues Érhy; Amulette du Strigide; Alliance Gloursonne; Alliance Brûlâme; Bouclier d'Ilyzaelle; Ceinture du Strigide; Masque Brûlâme; Voile d'encre; Pompes Funèbres; Dofus Turquoise; Dofus Pourpre; Dofus Ocre; Dofus des Glaces; Dofus Émeraude; Dofus Abyssal; Muldo Ebène et Pourpre</t>
        </is>
      </c>
    </row>
    <row r="22125">
      <c r="A22125" t="inlineStr">
        <is>
          <t>eaufuite</t>
        </is>
      </c>
      <c r="B22125">
        <f>HYPERLINK("https://www.dofusbook.net/fr/equipement/1940594-eaufuite/objets", "link")</f>
        <v/>
      </c>
      <c r="C22125" t="n">
        <v>0</v>
      </c>
      <c r="D22125" t="inlineStr">
        <is>
          <t>Sceptre du Roi Joueur; Amulette de Shokkoth</t>
        </is>
      </c>
    </row>
    <row r="22126">
      <c r="A22126" t="inlineStr">
        <is>
          <t>saaaa</t>
        </is>
      </c>
      <c r="B22126">
        <f>HYPERLINK("https://www.dofusbook.net/fr/equipement/1129107-saaaa/objets", "link")</f>
        <v/>
      </c>
      <c r="C22126" t="n">
        <v>0</v>
      </c>
      <c r="D22126" t="inlineStr">
        <is>
          <t>Marteau R'ture; Amulette du Strigide; Anneau Chevelu; Bague Gloursonne; Bouclier alvéolé; Ceintacé; Masque de Koutoulou; Cape au Logis; Bottes du Strigide; Dofus Turquoise; Dolmanax; Dofus Émeraude; Dofus des Glaces; Dofus Pourpre; Carapace Feu majeur</t>
        </is>
      </c>
    </row>
    <row r="22127">
      <c r="A22127" t="inlineStr">
        <is>
          <t>WS1</t>
        </is>
      </c>
      <c r="B22127">
        <f>HYPERLINK("https://www.dofusbook.net/fr/equipement/1699357-ws1/objets", "link")</f>
        <v/>
      </c>
      <c r="C22127" t="n">
        <v>1</v>
      </c>
      <c r="D22127" t="inlineStr">
        <is>
          <t>Arc Nécrotique; Collier de la Dame du Hasard; Bague Gloursonne; Alliance Gloursonne; Bouclier cubiste; Ceintacé; Masque d'Anerice; Cape d'Anerice; Bottes de la Dame du Hasard; Dofus des Glaces; Dofus Turquoise; Dofus Pourpre; Dofus Ocre; Dolmanax; Dofus Émeraude; Muldo Indigo et Pourpre</t>
        </is>
      </c>
    </row>
    <row r="22128">
      <c r="A22128" t="inlineStr">
        <is>
          <t>jjjjjj</t>
        </is>
      </c>
      <c r="B22128">
        <f>HYPERLINK("https://www.dofusbook.net/fr/equipement/1896843-jjjjjj/objets", "link")</f>
        <v/>
      </c>
      <c r="C22128" t="n">
        <v>0</v>
      </c>
      <c r="D22128" t="inlineStr">
        <is>
          <t>Hache Téroïde; Amulette du Strigide; Bague Gloursonne; Anneau Chevelu; Bouclier du Stalak; Ceintacé; Couronne du Roi Joueur; Voile d'encre; Bottes du Roi Joueur; Dolmanax; Dofus Émeraude; Dofus des Glaces; Dofus Pourpre; Dofus Abyssal; Remueur; Muldo Pourpre</t>
        </is>
      </c>
    </row>
    <row r="22129">
      <c r="A22129" t="inlineStr">
        <is>
          <t>terrfeu</t>
        </is>
      </c>
      <c r="B22129">
        <f>HYPERLINK("https://www.dofusbook.net/fr/equipement/1896042-terrfeu/objets", "link")</f>
        <v/>
      </c>
      <c r="C22129" t="n">
        <v>0</v>
      </c>
      <c r="D22129" t="inlineStr">
        <is>
          <t>Epée Toche; Amulette du Strigide; Anneau Chevelu; Bague Gloursonne; Bouclier alvéolé; Ceintacé; Masque de Koutoulou; Voile d'encre; Bottes du Strigide; Dolmanax; Dofus Émeraude; Dofus des Glaces; Dofus Pourpre; Dofus Turquoise; Solide majeur; Muldo Ebène et Pourpre</t>
        </is>
      </c>
    </row>
    <row r="22130">
      <c r="A22130" t="inlineStr">
        <is>
          <t>owy</t>
        </is>
      </c>
      <c r="B22130">
        <f>HYPERLINK("https://www.dofusbook.net/fr/equipement/983835-owy/objets", "link")</f>
        <v/>
      </c>
      <c r="C22130" t="n">
        <v>0</v>
      </c>
      <c r="D22130" t="inlineStr">
        <is>
          <t>Dagoulinantes; Amulette de Shokkoth; Alliance Gloursonne; Bracelet des Fonds marins; Bouclier alvéolé; Ceintacé; Masque des Fonds marins; Chevelure de Tal Kasha; Pataugastrique; Dofus Émeraude; Dofus Pourpre; Étourdisseur majeur; Carapace Terre majeur; Carapace Eau majeur; Chanceux majeur; Muldo Ebène et Pourpre</t>
        </is>
      </c>
    </row>
    <row r="22131">
      <c r="A22131" t="inlineStr">
        <is>
          <t>rrrrr</t>
        </is>
      </c>
      <c r="B22131">
        <f>HYPERLINK("https://www.dofusbook.net/fr/equipement/1895623-rrrrr/objets", "link")</f>
        <v/>
      </c>
      <c r="C22131" t="n">
        <v>0</v>
      </c>
      <c r="D22131" t="inlineStr">
        <is>
          <t>Arc Nécrotique; Collier de la Dame du Hasard; Alliance Gloursonne; Bague Gloursonne; Quatre-feuilles; Ceintacé; Masque d'Anerice; Cape d'Anerice; Bottes de la Dame du Hasard; Dofus Ocre; Dofus Pourpre; Dolmanax; Dofus Turquoise; Dofus des Glaces; Dofus Émeraude; Muldo Indigo et Emeraude</t>
        </is>
      </c>
    </row>
    <row r="22132">
      <c r="A22132" t="inlineStr">
        <is>
          <t>terreair</t>
        </is>
      </c>
      <c r="B22132">
        <f>HYPERLINK("https://www.dofusbook.net/fr/equipement/1895585-terreair/objets", "link")</f>
        <v/>
      </c>
      <c r="C22132" t="n">
        <v>0</v>
      </c>
      <c r="D22132" t="inlineStr">
        <is>
          <t>Héqache; Amulette du Strigide; Alliance Gloursonne; Ceintacé; Casque des égarés; Cape du Kamasterisk; Bottes du Strigide</t>
        </is>
      </c>
    </row>
    <row r="22133">
      <c r="A22133" t="inlineStr">
        <is>
          <t>feuuuu</t>
        </is>
      </c>
      <c r="B22133">
        <f>HYPERLINK("https://www.dofusbook.net/fr/equipement/1895122-feuuuu/objets", "link")</f>
        <v/>
      </c>
      <c r="C22133" t="n">
        <v>0</v>
      </c>
      <c r="D22133" t="inlineStr">
        <is>
          <t>Hache Téroïde; Amulette du Strigide; Chevalière du Roi Joueur; Bague Gloursonne; Cadran d'Air; Ceintacé; Couronne du Roi Joueur; Voile d'encre; Bottes du Roi Joueur; Dolmanax; Dofus Abyssal; Dofus Émeraude; Dofus des Glaces; Dofus Pourpre; Inflexible majeur; Muldo Pourpre</t>
        </is>
      </c>
    </row>
    <row r="22134">
      <c r="A22134" t="inlineStr">
        <is>
          <t>hec</t>
        </is>
      </c>
      <c r="B22134">
        <f>HYPERLINK("https://www.dofusbook.net/fr/equipement/1522468-hec/objets", "link")</f>
        <v/>
      </c>
      <c r="C22134" t="n">
        <v>0</v>
      </c>
      <c r="D22134" t="inlineStr">
        <is>
          <t>Hache Téroïde; Amulette du Strigide; Bague Gloursonne; Chevalière du Roi Joueur; Quatre-feuilles; Ceinture du Strigide; Couronne du Roi Joueur; Voile d'encre; Bottes du Strigide; Dofus Pourpre; Dofus Vulbis; Dofus Émeraude; Dofus Ocre; Dofus Abyssal; Dofus des Glaces; Kramkram</t>
        </is>
      </c>
    </row>
    <row r="22135">
      <c r="A22135" t="inlineStr">
        <is>
          <t>sloo</t>
        </is>
      </c>
      <c r="B22135">
        <f>HYPERLINK("https://www.dofusbook.net/fr/equipement/1872242-sloo/objets", "link")</f>
        <v/>
      </c>
      <c r="C22135" t="n">
        <v>0</v>
      </c>
      <c r="D22135" t="inlineStr">
        <is>
          <t>Arc Nécrotique; Collier de la Dame du Hasard; Bague Gloursonne; Alliance Gloursonne; Quatre-feuilles; Ceintacé; Casquette de Meno; Cape de Meno; Bottes de la Dame du Hasard; Dofus Émeraude; Dofus des Glaces; Dofus Turquoise; Dofus Ocre; Dofus Pourpre; Dolmanax; Muldo Ebène et Orchidée</t>
        </is>
      </c>
    </row>
    <row r="22136">
      <c r="A22136" t="inlineStr">
        <is>
          <t>Stuff 2</t>
        </is>
      </c>
      <c r="B22136">
        <f>HYPERLINK("https://www.dofusbook.net/fr/equipement/134047-stuff-2/objets", "link")</f>
        <v/>
      </c>
      <c r="C22136" t="n">
        <v>0</v>
      </c>
      <c r="D22136" t="inlineStr">
        <is>
          <t>Marteau R'ture; Amulette du Strigide; Anneau Chevelu; Bague Gloursonne; Cadran d'Eau; Ceintacé; Masque de Koutoulou; Voile d'encre; Bottes du Strigide; Dofus des Glaces; Dofus Turquoise; Dofus Pourpre; Dofus Abyssal; Dofus Émeraude; Évasif majeur; Muldo Indigo et Ivoire</t>
        </is>
      </c>
    </row>
    <row r="22137">
      <c r="A22137" t="inlineStr">
        <is>
          <t>vatt</t>
        </is>
      </c>
      <c r="B22137">
        <f>HYPERLINK("https://www.dofusbook.net/fr/equipement/1862785-vatt/objets", "link")</f>
        <v/>
      </c>
      <c r="C22137" t="n">
        <v>0</v>
      </c>
      <c r="D22137" t="inlineStr"/>
    </row>
    <row r="22138">
      <c r="A22138" t="inlineStr">
        <is>
          <t>niro</t>
        </is>
      </c>
      <c r="B22138">
        <f>HYPERLINK("https://www.dofusbook.net/fr/equipement/1008284-niro/objets", "link")</f>
        <v/>
      </c>
      <c r="C22138" t="n">
        <v>2</v>
      </c>
      <c r="D22138" t="inlineStr">
        <is>
          <t>Sceptre du Roi Joueur; Amulette du Sinistrofu; Bracelet des Fonds marins; Alliance Gloursonne; Sangle Ouare; Masque d'Anerice; Cape d'Anerice; Pataugastrique; Dolmanax; Dofus Émeraude; Miraculé majeur; Culbuteur majeur; Bousculeur majeur; Remueur; Péki</t>
        </is>
      </c>
    </row>
    <row r="22139">
      <c r="A22139" t="inlineStr">
        <is>
          <t>eau</t>
        </is>
      </c>
      <c r="B22139">
        <f>HYPERLINK("https://www.dofusbook.net/fr/equipement/1821621-eau/objets", "link")</f>
        <v/>
      </c>
      <c r="C22139" t="n">
        <v>0</v>
      </c>
      <c r="D22139" t="inlineStr">
        <is>
          <t>Hache du Chalœil; Amulette du Strigide; Bague Gloursonne; Alliance Gloursonne; Quatre-feuilles; Ceinture du Strigide; Masque de Koutoulou; Cape de la Dame du Hasard; Bottes de la Dame du Hasard; Dofus Turquoise; Dofus Abyssal; Dolmanax; Dofus Pourpre; Dofus des Glaces; Remueur; Muldo Prune et Emeraude</t>
        </is>
      </c>
    </row>
    <row r="22140">
      <c r="A22140" t="inlineStr">
        <is>
          <t>sram</t>
        </is>
      </c>
      <c r="B22140">
        <f>HYPERLINK("https://www.dofusbook.net/fr/equipement/1819030-sram/objets", "link")</f>
        <v/>
      </c>
      <c r="C22140" t="n">
        <v>0</v>
      </c>
      <c r="D22140" t="inlineStr">
        <is>
          <t>Hache Téroïde; Amulette du Strigide; Bague Gloursonne; Baguistik; Quatre-feuilles; Ceintacé; Masque de Koutoulou; Voile d'encre; Bottes du Strigide; Dolmanax; Dofus Pourpre; Dofus des Glaces; Dofus Émeraude; Dofus Abyssal; Carapace Feu majeur; Muldo Ebène et Indigo</t>
        </is>
      </c>
    </row>
    <row r="22141">
      <c r="A22141" t="inlineStr">
        <is>
          <t>rescrit</t>
        </is>
      </c>
      <c r="B22141">
        <f>HYPERLINK("https://www.dofusbook.net/fr/equipement/1802061-rescrit/objets", "link")</f>
        <v/>
      </c>
      <c r="C22141" t="n">
        <v>1</v>
      </c>
      <c r="D22141" t="inlineStr">
        <is>
          <t>Sceptre du Roi Joueur; Amulette de Shokkoth; Alliance Gloursonne; Alliance du Lévitrof; Bouclier du Stalak; Ceinture de la Reine des Voleurs; Casque Dragoeuf; Cape de la Dame du Hasard; Bottes de la Reine des Voleurs; Dofus Pourpre; Dofus Ocre; Chanceux majeur; Carapace Air majeur; Remueur; Déserteur majeur</t>
        </is>
      </c>
    </row>
    <row r="22142">
      <c r="A22142" t="inlineStr">
        <is>
          <t>air</t>
        </is>
      </c>
      <c r="B22142">
        <f>HYPERLINK("https://www.dofusbook.net/fr/equipement/1806051-air/objets", "link")</f>
        <v/>
      </c>
      <c r="C22142" t="n">
        <v>0</v>
      </c>
      <c r="D22142" t="inlineStr">
        <is>
          <t>Hachoirs de Viandargh; Collier du Valet Veinard; Alliance Gloursonne; Gant du Valet Veinard; Bouclier alvéolé; Ceinture de la Reine des Voleurs; Coiffe de la Reine des Voleurs; Cape du Valet Veinard; Bottes de la Reine des Voleurs; Dofus des Glaces; Dofus Émeraude; Dolmanax; Dofus Ocre; Dofus Abyssal; Dofus Pourpre; Muldo Orchidée</t>
        </is>
      </c>
    </row>
    <row r="22143">
      <c r="A22143" t="inlineStr">
        <is>
          <t>eni</t>
        </is>
      </c>
      <c r="B22143">
        <f>HYPERLINK("https://www.dofusbook.net/fr/equipement/1106802-eni/objets", "link")</f>
        <v/>
      </c>
      <c r="C22143" t="n">
        <v>0</v>
      </c>
      <c r="D22143" t="inlineStr">
        <is>
          <t>Arc corrompu; Pendentif mignon de Koutoulou; Bague Gloursonne; Anneau Rifique; Sept ans de malheur; Ceinture de Vortex; Casque Dragoeuf; Cape de Diondin; Bottes Innommables; Dofus Émeraude; Étourdisseur majeur; Érudit majeur; Carapace Feu majeur; Remueur; Muldo Ebène et Amande</t>
        </is>
      </c>
    </row>
    <row r="22144">
      <c r="A22144" t="inlineStr">
        <is>
          <t>WS1</t>
        </is>
      </c>
      <c r="B22144">
        <f>HYPERLINK("https://www.dofusbook.net/fr/equipement/1699339-ws1/objets", "link")</f>
        <v/>
      </c>
      <c r="C22144" t="n">
        <v>0</v>
      </c>
      <c r="D22144" t="inlineStr">
        <is>
          <t>Dagoulinantes; Amulette de Shokkoth; Bracelet des Fonds marins; Alliance Gloursonne; Bouclier alvéolé; Pagne du Rykaon; Masque d'Anerice; Cape d'Anerice; Pataugastrique; Dofus Pourpre; Dofus Émeraude; Évasif majeur; Chanceux majeur; Remueur; Étourdisseur majeur; Muldo Ebène et Pourpre</t>
        </is>
      </c>
    </row>
    <row r="22145">
      <c r="A22145" t="inlineStr">
        <is>
          <t>WS2</t>
        </is>
      </c>
      <c r="B22145">
        <f>HYPERLINK("https://www.dofusbook.net/fr/equipement/1469108-ws2/objets", "link")</f>
        <v/>
      </c>
      <c r="C22145" t="n">
        <v>0</v>
      </c>
      <c r="D22145" t="inlineStr">
        <is>
          <t>Arc Nécrotique; Collier de la Dame du Hasard; Bague Gloursonne; Alliance Gloursonne; Bouclier cubiste; Ceinture du Barbétoal; Casqnoar; Cape de la Dame du Hasard; Bottes de la Dame du Hasard; Dofus Pourpre; Dofus Ocre; Dolmanax; Dofus Émeraude; Dofus des Glaces; Dofus Turquoise; Muldo Indigo</t>
        </is>
      </c>
    </row>
    <row r="22146">
      <c r="A22146" t="inlineStr">
        <is>
          <t>shy</t>
        </is>
      </c>
      <c r="B22146">
        <f>HYPERLINK("https://www.dofusbook.net/fr/equipement/1798734-shy/objets", "link")</f>
        <v/>
      </c>
      <c r="C22146" t="n">
        <v>2</v>
      </c>
      <c r="D22146" t="inlineStr">
        <is>
          <t>Sceptre du Roi Joueur; Amulette de Shokkoth; Alliance Gloursonne; Bracelet des Fonds marins; Bouclier cubiste; Sangle Ouare; Masque d'Anerice; Cape d'Anerice; Bottes de Meno; Dofus Émeraude; Dolmanax; Dofus Pourpre; Dofus des Glaces; Dofus Ocre; Remueur</t>
        </is>
      </c>
    </row>
    <row r="22147">
      <c r="A22147" t="inlineStr">
        <is>
          <t>sbb</t>
        </is>
      </c>
      <c r="B22147">
        <f>HYPERLINK("https://www.dofusbook.net/fr/equipement/1538301-sbb/objets", "link")</f>
        <v/>
      </c>
      <c r="C22147" t="n">
        <v>0</v>
      </c>
      <c r="D22147" t="inlineStr">
        <is>
          <t>Dagues de Srambad; Amulette Ementaire Deluxe; Anneau Chevelu; Alliance Gloursonne; Bouclier du Stalak; Ceinture de la Reine des Voleurs; Coiffe de la Reine des Voleurs; Voile d'encre; Bottes de l'Indicible; Dofus Ocre; Dolmanax; Dofus Pourpre; Dofus des Glaces; Dofus Émeraude; Remueur; Muldo Ebène</t>
        </is>
      </c>
    </row>
    <row r="22148">
      <c r="A22148" t="inlineStr">
        <is>
          <t>fff</t>
        </is>
      </c>
      <c r="B22148">
        <f>HYPERLINK("https://www.dofusbook.net/fr/equipement/1755952-fff/objets", "link")</f>
        <v/>
      </c>
      <c r="C22148" t="n">
        <v>0</v>
      </c>
      <c r="D22148" t="inlineStr">
        <is>
          <t>Hache Téroïde; Amulette du Strigide; Bague Gloursonne; Baguistik; Ceintacé; Masque d'Anerice; Cape d'Anerice; Bottes du Strigide; Dofus Turquoise; Dofus Pourpre; Dofus des Glaces; Remueur; Carapace Terre majeur; Nomade; Kramkram</t>
        </is>
      </c>
    </row>
    <row r="22149">
      <c r="A22149" t="inlineStr">
        <is>
          <t>Stuff 1</t>
        </is>
      </c>
      <c r="B22149">
        <f>HYPERLINK("https://www.dofusbook.net/fr/equipement/134073-stuff-1/objets", "link")</f>
        <v/>
      </c>
      <c r="C22149" t="n">
        <v>0</v>
      </c>
      <c r="D22149" t="inlineStr">
        <is>
          <t>Plumeau Bil; Pendentif mignon de Koutoulou; Bague Gloursonne; Anneau Rifique; Sept ans de malheur; Ceinture de Vortex; Casque Dragoeuf; Cape de Diondin; Bottes Innommables; Dofus Pourpre; Dofus Émeraude; Étourdisseur majeur; Érudit majeur; Remueur; Déserteur majeur</t>
        </is>
      </c>
    </row>
    <row r="22150">
      <c r="A22150" t="inlineStr">
        <is>
          <t>dddd</t>
        </is>
      </c>
      <c r="B22150">
        <f>HYPERLINK("https://www.dofusbook.net/fr/equipement/1753231-dddd/objets", "link")</f>
        <v/>
      </c>
      <c r="C22150" t="n">
        <v>0</v>
      </c>
      <c r="D22150" t="inlineStr">
        <is>
          <t>Dagues Ricol; Collier de la Dame du Hasard; Anneau de Padgref; Bague Gloursonne; Ceintacé; Coiffe de Padgref; Cape de la Dame du Hasard</t>
        </is>
      </c>
    </row>
    <row r="22151">
      <c r="A22151" t="inlineStr">
        <is>
          <t>slo</t>
        </is>
      </c>
      <c r="B22151">
        <f>HYPERLINK("https://www.dofusbook.net/fr/equipement/1751769-slo/objets", "link")</f>
        <v/>
      </c>
      <c r="C22151" t="n">
        <v>1</v>
      </c>
      <c r="D22151" t="inlineStr">
        <is>
          <t>Sceptre du Roi Joueur; Amulette Ementaire Deluxe; Alliance Gloursonne; Bracelet des Fonds marins; Bouclier du Stalak; Poulpagne; Masque des Fonds marins; Cape de la Dame du Hasard; Bottes de Meno; Dofus Pourpre; Dofus Émeraude; Déserteur majeur; Chanceux majeur; Remueur; Muldo Indigo</t>
        </is>
      </c>
    </row>
    <row r="22152">
      <c r="A22152" t="inlineStr">
        <is>
          <t>saucisse</t>
        </is>
      </c>
      <c r="B22152">
        <f>HYPERLINK("https://www.dofusbook.net/fr/equipement/1478709-saucisse/objets", "link")</f>
        <v/>
      </c>
      <c r="C22152" t="n">
        <v>0</v>
      </c>
      <c r="D22152" t="inlineStr">
        <is>
          <t>Sceptre du Roi Joueur; Amulette de Shokkoth; Bracelet des Fonds marins; Alliance Gloursonne; Poulpagne; Casque Dragoeuf; Cape de la Dame du Hasard; Bottes de la Dame du Hasard; Dofus Pourpre; Dofus Turquoise; Dofus Abyssal; Remueur; Fonceur majeur; Chanceux majeur; Muldo Indigo</t>
        </is>
      </c>
    </row>
    <row r="22153">
      <c r="A22153" t="inlineStr">
        <is>
          <t>terre</t>
        </is>
      </c>
      <c r="B22153">
        <f>HYPERLINK("https://www.dofusbook.net/fr/equipement/1104497-terre/objets", "link")</f>
        <v/>
      </c>
      <c r="C22153" t="n">
        <v>0</v>
      </c>
      <c r="D22153" t="inlineStr">
        <is>
          <t>Hache du Chalœil; Amulette du Strigide; Bague Gloursonne; Anneau Chevelu; Ceintacé; Masque de Koutoulou; Voile d'encre; Bottes du Strigide; Dofus Pourpre; Dofus des Glaces; Dofus Cawotte; Dofus Turquoise; Dolmanax; Cavaleur majeur; Muldo Pourpre</t>
        </is>
      </c>
    </row>
    <row r="22154">
      <c r="A22154" t="inlineStr">
        <is>
          <t>slo</t>
        </is>
      </c>
      <c r="B22154">
        <f>HYPERLINK("https://www.dofusbook.net/fr/equipement/1676762-slo/objets", "link")</f>
        <v/>
      </c>
      <c r="C22154" t="n">
        <v>0</v>
      </c>
      <c r="D22154" t="inlineStr">
        <is>
          <t>Dagues de Srambad; Amulette de l'Indicible; Alliance Gloursonne; Anneau Chevelu; Ceinture de la Reine des Voleurs; Coiffe de la Reine des Voleurs; Voile d'encre; Sabots Minables; Dolmanax; Dofus des Glaces; Dofus Cawotte; Dofus Pourpre; Cavaleur majeur; Remueur; Muldo Ebène et Indigo</t>
        </is>
      </c>
    </row>
    <row r="22155">
      <c r="A22155" t="inlineStr">
        <is>
          <t>ddd</t>
        </is>
      </c>
      <c r="B22155">
        <f>HYPERLINK("https://www.dofusbook.net/fr/equipement/1438369-ddd/objets", "link")</f>
        <v/>
      </c>
      <c r="C22155" t="n">
        <v>0</v>
      </c>
      <c r="D22155" t="inlineStr">
        <is>
          <t>Sceptre du Roi Joueur; Amulette de Shokkoth; Bracelet des Fonds marins; Alliance Gloursonne; Bouclier du Stalak; Ceinture de la Reine des Voleurs; Casque Dragoeuf; Cape Matelassée; Bottes de la Reine des Voleurs; Dofus Pourpre; Dofus des Glaces; Dévastateur Eau majeur; Chanceux majeur; Remueur; Muldo Ebène et Indigo</t>
        </is>
      </c>
    </row>
    <row r="22156">
      <c r="A22156" t="inlineStr">
        <is>
          <t>WS2</t>
        </is>
      </c>
      <c r="B22156">
        <f>HYPERLINK("https://www.dofusbook.net/fr/equipement/1067835-ws2/objets", "link")</f>
        <v/>
      </c>
      <c r="C22156" t="n">
        <v>0</v>
      </c>
      <c r="D22156" t="inlineStr">
        <is>
          <t>Manthache; Collier du Valet Veinard; Alliance Gloursonne; Gant du Valet Veinard; Bouclier du Stalak; Menoture; Masque d'Anerice; Cape d'Anerice; Palmes Trithons; Dofus Ocre; Dofus Abyssal; Dofus Pourpre; Dolmanax; Dofus Émeraude; Dofus des Glaces; Muldo Ebène</t>
        </is>
      </c>
    </row>
    <row r="22157">
      <c r="A22157" t="inlineStr">
        <is>
          <t>WS1</t>
        </is>
      </c>
      <c r="B22157">
        <f>HYPERLINK("https://www.dofusbook.net/fr/equipement/550306-ws1/objets", "link")</f>
        <v/>
      </c>
      <c r="C22157" t="n">
        <v>0</v>
      </c>
      <c r="D22157" t="inlineStr">
        <is>
          <t>Manthache; Collier du Valet Veinard; Alliance Gloursonne; Gant du Valet Veinard; Bouclier du Stalak; Ceintouse; Casque Dragoeuf; Cape du Valet Veinard; Tentassons; Dolmanax; Dofus Abyssal; Dofus Pourpre; Dofus Ocre; Dofus des Glaces; Dofus Émeraude; Muldo Ebène</t>
        </is>
      </c>
    </row>
    <row r="22158">
      <c r="A22158" t="inlineStr">
        <is>
          <t>terre</t>
        </is>
      </c>
      <c r="B22158">
        <f>HYPERLINK("https://www.dofusbook.net/fr/equipement/1516130-terre/objets", "link")</f>
        <v/>
      </c>
      <c r="C22158" t="n">
        <v>0</v>
      </c>
      <c r="D22158" t="inlineStr">
        <is>
          <t>Arc Nécrotique; Collier de la Dame du Hasard; Bague Gloursonne; Alliance Gloursonne; Bouclier du Stalak; Ceinture du Barbétoal; Casque Dragoeuf; Cape de la Dame du Hasard; Bottes de la Dame du Hasard; Dofus Turquoise; Dofus Émeraude; Dofus Ocre; Dolmanax; Dofus Pourpre; Dofus des Glaces; Muldo Indigo et Amande</t>
        </is>
      </c>
    </row>
    <row r="22159">
      <c r="A22159" t="inlineStr">
        <is>
          <t>deux</t>
        </is>
      </c>
      <c r="B22159">
        <f>HYPERLINK("https://www.dofusbook.net/fr/equipement/905981-deux/objets", "link")</f>
        <v/>
      </c>
      <c r="C22159" t="n">
        <v>0</v>
      </c>
      <c r="D22159" t="inlineStr">
        <is>
          <t>Arc Hétype; Pendentif affamé; Anneau Tique; Anneau de Nidas; Ceinture de Vortex; Couronne de Nidas; Voile d'encre; Pataugastrique; Dolmanax; Érudit majeur; Fonceur majeur; Déserteur majeur; Temporiseur majeur; Remueur; Muldo Indigo et Amande</t>
        </is>
      </c>
    </row>
    <row r="22160">
      <c r="A22160" t="inlineStr">
        <is>
          <t>arc</t>
        </is>
      </c>
      <c r="B22160">
        <f>HYPERLINK("https://www.dofusbook.net/fr/equipement/1371233-arc/objets", "link")</f>
        <v/>
      </c>
      <c r="C22160" t="n">
        <v>1</v>
      </c>
      <c r="D22160" t="inlineStr">
        <is>
          <t>Arc de Koutoulou; Amulette Voldelor; Bague Gloursonne; Alliance Gloursonne; Quatre-feuilles; Ceinture Voldelor; Némès de Tal Kasha; Chevelure de Tal Kasha; Sandales de Tal Kasha; Dofus Pourpre; Dofus Abyssal; Dofus Ocre; Dofus Émeraude; Dolmanax; Dofus Turquoise; Muldo Ebène</t>
        </is>
      </c>
    </row>
    <row r="22161">
      <c r="A22161" t="inlineStr">
        <is>
          <t>zer</t>
        </is>
      </c>
      <c r="B22161">
        <f>HYPERLINK("https://www.dofusbook.net/fr/equipement/1674970-zer/objets", "link")</f>
        <v/>
      </c>
      <c r="C22161" t="n">
        <v>0</v>
      </c>
      <c r="D22161" t="inlineStr">
        <is>
          <t>Epée Toche; Amulette du Strigide; Chevalière du Roi Joueur; Bague Gloursonne; Ceintacé; Masque de Koutoulou; Voile d'encre; Bottes du Strigide; Dofus Turquoise; Dolmanax; Dofus Pourpre; Dofus des Glaces; Enragé majeur; Vigoureux majeur; Muldo Indigo et Pourpre</t>
        </is>
      </c>
    </row>
    <row r="22162">
      <c r="A22162" t="inlineStr">
        <is>
          <t>terrfeu</t>
        </is>
      </c>
      <c r="B22162">
        <f>HYPERLINK("https://www.dofusbook.net/fr/equipement/1535223-terrfeu/objets", "link")</f>
        <v/>
      </c>
      <c r="C22162" t="n">
        <v>0</v>
      </c>
      <c r="D22162" t="inlineStr">
        <is>
          <t>Arc Nécrotique; Collier de la Dame du Hasard; Alliance Gloursonne; Bague Gloursonne; Bouclier cubiste; Sangle Ouare; Casquette de Meno; Cape de la Dame du Hasard; Bottes de la Dame du Hasard; Dolmanax; Dofus Émeraude; Dofus Pourpre; Dofus des Glaces; Dofus Turquoise; Dofus Ocre</t>
        </is>
      </c>
    </row>
    <row r="22163">
      <c r="A22163" t="inlineStr">
        <is>
          <t>eau</t>
        </is>
      </c>
      <c r="B22163">
        <f>HYPERLINK("https://www.dofusbook.net/fr/equipement/1558653-eau/objets", "link")</f>
        <v/>
      </c>
      <c r="C22163" t="n">
        <v>1</v>
      </c>
      <c r="D22163" t="inlineStr">
        <is>
          <t>Sceptre du Roi Joueur; Amulette Ementaire Deluxe; Anneau Tique; Alliance Gloursonne; Bouclier du Stalak; Poulpagne; Masque des Fonds marins; Cape de la Dame du Hasard; Bottes de la Dame du Hasard; Dofus Pourpre; Déserteur majeur; Évasif majeur; Chanceux majeur; Carapace Terre majeur; Remueur; Muldo Indigo</t>
        </is>
      </c>
    </row>
    <row r="22164">
      <c r="A22164" t="inlineStr">
        <is>
          <t>dopou2</t>
        </is>
      </c>
      <c r="B22164">
        <f>HYPERLINK("https://www.dofusbook.net/fr/equipement/1628432-dopou2/objets", "link")</f>
        <v/>
      </c>
      <c r="C22164" t="n">
        <v>0</v>
      </c>
      <c r="D22164" t="inlineStr">
        <is>
          <t>Arc du Chalœil; Torquistik; Bague Gloursonne; Bague Trithon; Ceintacé; Masque de Koutoulou; Voile d'encre; Bottistik; Dofus Pourpre; Dofus des Glaces; Dofus Abyssal; Culbuteur majeur; Pousseur majeur; Bousculeur majeur; Muldo Pourpre</t>
        </is>
      </c>
    </row>
    <row r="22165">
      <c r="A22165" t="inlineStr">
        <is>
          <t>terre</t>
        </is>
      </c>
      <c r="B22165">
        <f>HYPERLINK("https://www.dofusbook.net/fr/equipement/1468614-terre/objets", "link")</f>
        <v/>
      </c>
      <c r="C22165" t="n">
        <v>0</v>
      </c>
      <c r="D22165" t="inlineStr">
        <is>
          <t>Arc du Chalœil; Amulette du Strigide; Bague Gloursonne; Anneau Chevelu; Quatre-feuilles; Ceintacé; Masque de Koutoulou; Voile d'encre; Bottes du Strigide; Dofus Turquoise; Dofus Pourpre; Dofus Émeraude; Dofus Abyssal; Enragé majeur; Carapace Eau majeur; Muldo Pourpre</t>
        </is>
      </c>
    </row>
    <row r="22166">
      <c r="A22166" t="inlineStr">
        <is>
          <t>ffff</t>
        </is>
      </c>
      <c r="B22166">
        <f>HYPERLINK("https://www.dofusbook.net/fr/equipement/1616910-ffff/objets", "link")</f>
        <v/>
      </c>
      <c r="C22166" t="n">
        <v>0</v>
      </c>
      <c r="D22166" t="inlineStr">
        <is>
          <t>Epée Gloursonne; Amulette Ementaire Deluxe; Bague Gloursonne; Alliance Gloursonne; Quatre-feuilles; Ceinture de la Reine des Voleurs; Coiffe de la Reine des Voleurs; Voile d'encre; Bottes de la Reine des Voleurs; Dolmanax; Dofus Abyssal; Dofus Pourpre; Dofus des Glaces; Dofus Ocre; Dokoko; Kramkram</t>
        </is>
      </c>
    </row>
    <row r="22167">
      <c r="A22167" t="inlineStr">
        <is>
          <t>twi</t>
        </is>
      </c>
      <c r="B22167">
        <f>HYPERLINK("https://www.dofusbook.net/fr/equipement/1478640-twi/objets", "link")</f>
        <v/>
      </c>
      <c r="C22167" t="n">
        <v>0</v>
      </c>
      <c r="D22167" t="inlineStr">
        <is>
          <t>Arc de Koutoulou; Amulette Voldelor; Bague Gloursonne; Alliance Gloursonne; Ceinture Voldelor; Némès de Tal Kasha; Chevelure de Tal Kasha; Sandales de Tal Kasha; Dofus Pourpre; Dofus des Glaces; Dofus Turquoise; Dofus Abyssal; Dofus Ocre; Muldo Ebène</t>
        </is>
      </c>
    </row>
    <row r="22168">
      <c r="A22168" t="inlineStr">
        <is>
          <t>zer3</t>
        </is>
      </c>
      <c r="B22168">
        <f>HYPERLINK("https://www.dofusbook.net/fr/equipement/1468742-zer3/objets", "link")</f>
        <v/>
      </c>
      <c r="C22168" t="n">
        <v>0</v>
      </c>
      <c r="D22168" t="inlineStr">
        <is>
          <t>Héqache; Amulette du Strigide; Alliance Gloursonne; Anneau Chevelu; Ceintacé; Coiffe de la Reine des Voleurs; Cape au Logis; Bottes de la Reine des Voleurs; Kramkram</t>
        </is>
      </c>
    </row>
    <row r="22169">
      <c r="A22169" t="inlineStr">
        <is>
          <t>Stuff 1</t>
        </is>
      </c>
      <c r="B22169">
        <f>HYPERLINK("https://www.dofusbook.net/fr/equipement/134079-stuff-1/objets", "link")</f>
        <v/>
      </c>
      <c r="C22169" t="n">
        <v>0</v>
      </c>
      <c r="D22169" t="inlineStr">
        <is>
          <t>Marteau R'ture; Amulette du Strigide; Anneau Chevelu; Bague Gloursonne; Ceintacé; Masque de Koutoulou; Cape au Logis; Bottes du Strigide; Dofus Pourpre; Dofus Turquoise; Vigoureux majeur; Carapace Terre majeur; Enragé majeur; Évasif majeur</t>
        </is>
      </c>
    </row>
    <row r="22170">
      <c r="A22170" t="inlineStr">
        <is>
          <t>feu</t>
        </is>
      </c>
      <c r="B22170">
        <f>HYPERLINK("https://www.dofusbook.net/fr/equipement/1522248-feu/objets", "link")</f>
        <v/>
      </c>
      <c r="C22170" t="n">
        <v>0</v>
      </c>
      <c r="D22170" t="inlineStr">
        <is>
          <t>Baguette de Malléfisk; Amulette Ementaire Deluxe; Bague Gloursonne; Anneau Rifique; Ceinture de Vortex; Cagoule de Vortex; Cape de Diondin; Pataugastrique; Dolmanax; Dofus Émeraude; Étourdisseur majeur; Obstructeur majeur; Érudit majeur; Carapace Eau majeur; Muldo Orchidée et Pourpre</t>
        </is>
      </c>
    </row>
    <row r="22171">
      <c r="A22171" t="inlineStr">
        <is>
          <t>aaa</t>
        </is>
      </c>
      <c r="B22171">
        <f>HYPERLINK("https://www.dofusbook.net/fr/equipement/1568331-aaa/objets", "link")</f>
        <v/>
      </c>
      <c r="C22171" t="n">
        <v>0</v>
      </c>
      <c r="D22171" t="inlineStr">
        <is>
          <t>Epée Gloursonne; Amulette du Strigide; Bague Gloursonne; Alliance Gloursonne; Bouclier alvéolé; Ceinture du Strigide; Coiffe de la Fuji Givrefoux; Cape de la Fuji Givrefoux; Bottes du Strigide; Dofus Abyssal; Dofus Pourpre; Dofus des Glaces; Dofus Turquoise; Dolmanax; Dofus Ocre; Kramkram</t>
        </is>
      </c>
    </row>
    <row r="22172">
      <c r="A22172" t="inlineStr">
        <is>
          <t>WS1</t>
        </is>
      </c>
      <c r="B22172">
        <f>HYPERLINK("https://www.dofusbook.net/fr/equipement/1567896-ws1/objets", "link")</f>
        <v/>
      </c>
      <c r="C22172" t="n">
        <v>0</v>
      </c>
      <c r="D22172" t="inlineStr">
        <is>
          <t>Héqache; Amulette du Strigide; Anneau Chevelu; Alliance Gloursonne; Bouclier alvéolé; Ceintacé; Coiffe de la Reine des Voleurs; Cape au Logis; Bottes de la Reine des Voleurs; Dofus Émeraude; Dolmanax; Dofus Turquoise; Dofus Pourpre; Dofus des Glaces; Remueur; Kramkram</t>
        </is>
      </c>
    </row>
    <row r="22173">
      <c r="A22173" t="inlineStr">
        <is>
          <t>hhjh</t>
        </is>
      </c>
      <c r="B22173">
        <f>HYPERLINK("https://www.dofusbook.net/fr/equipement/585032-hhjh/objets", "link")</f>
        <v/>
      </c>
      <c r="C22173" t="n">
        <v>0</v>
      </c>
      <c r="D22173" t="inlineStr">
        <is>
          <t>Héqache; Amulette du Strigide; Bague Gloursonne; Bracelet du Piloztère; Bouclier alvéolé; Ceintacé; Coiffe de la Reine des Voleurs; Cape du Kamasterisk; Bottes de la Reine des Voleurs; Dofus Ocre; Dolmanax; Dofus Pourpre; Dofus des Glaces; Dofus Turquoise; Dofus Abyssal; Kramkram</t>
        </is>
      </c>
    </row>
    <row r="22174">
      <c r="A22174" t="inlineStr">
        <is>
          <t>multi</t>
        </is>
      </c>
      <c r="B22174">
        <f>HYPERLINK("https://www.dofusbook.net/fr/equipement/1559738-multi/objets", "link")</f>
        <v/>
      </c>
      <c r="C22174" t="n">
        <v>0</v>
      </c>
      <c r="D22174" t="inlineStr">
        <is>
          <t>Sabres d'Atcham; Amulette du Strigide; Bracelet des Fonds marins; Alliance Gloursonne; Bouclier alvéolé; Ceintacé; Masque des Fonds marins; Cape d'Atcham; Sandales  d'Atcham; Dolmanax; Dofus Pourpre; Dofus Turquoise; Kramkram</t>
        </is>
      </c>
    </row>
    <row r="22175">
      <c r="A22175" t="inlineStr">
        <is>
          <t>terreair</t>
        </is>
      </c>
      <c r="B22175">
        <f>HYPERLINK("https://www.dofusbook.net/fr/equipement/1555304-terreair/objets", "link")</f>
        <v/>
      </c>
      <c r="C22175" t="n">
        <v>0</v>
      </c>
      <c r="D22175" t="inlineStr">
        <is>
          <t>Héqache; Amulette du Strigide; Bague Gloursonne; Alliance Gloursonne; Ceintacé; Coiffe de la Fuji Givrefoux; Cape de la Fuji Givrefoux; Bottes du Strigide; Dofus Abyssal; Dofus Pourpre; Dofus des Glaces; Dofus Turquoise; Dofus Émeraude; Dofus Ocre</t>
        </is>
      </c>
    </row>
    <row r="22176">
      <c r="A22176" t="inlineStr">
        <is>
          <t>ggfg</t>
        </is>
      </c>
      <c r="B22176">
        <f>HYPERLINK("https://www.dofusbook.net/fr/equipement/1545380-ggfg/objets", "link")</f>
        <v/>
      </c>
      <c r="C22176" t="n">
        <v>0</v>
      </c>
      <c r="D22176" t="inlineStr">
        <is>
          <t>Hachoirs de Viandargh; Collier du Valet Veinard; Alliance Gloursonne; Gant du Valet Veinard; Bouclier alvéolé; Menoture; Capuche de Moum-Ra; Chevelure de Tal Kasha; Palmes Trithons; Dofus des Glaces; Dofus Émeraude; Dofus Turquoise; Nomade; Cascadeur majeur; Remueur; Kramkram</t>
        </is>
      </c>
    </row>
    <row r="22177">
      <c r="A22177" t="inlineStr">
        <is>
          <t>feu</t>
        </is>
      </c>
      <c r="B22177">
        <f>HYPERLINK("https://www.dofusbook.net/fr/equipement/919206-feu/objets", "link")</f>
        <v/>
      </c>
      <c r="C22177" t="n">
        <v>1</v>
      </c>
      <c r="D22177" t="inlineStr">
        <is>
          <t>Baguette Houffe-Craitien; Amulette du Strigide; Anneau de Padgref; Anneau Tique; Quatre-feuilles; Ceinture du Strigide; Coiffe de Padgref; Cape d'Atcham; Getas de Padgref; Dofus Turquoise; Dofus des Glaces; Dofus Ocre; Dofus Nébuleux; Dofus Pourpre; Dolmanax; Muldo Doré et Emeraude</t>
        </is>
      </c>
    </row>
    <row r="22178">
      <c r="A22178" t="inlineStr">
        <is>
          <t>Hhvvvvv</t>
        </is>
      </c>
      <c r="B22178">
        <f>HYPERLINK("https://www.dofusbook.net/fr/equipement/1447211-hhvvvvv/objets", "link")</f>
        <v/>
      </c>
      <c r="C22178" t="n">
        <v>0</v>
      </c>
      <c r="D22178" t="inlineStr">
        <is>
          <t>Epée Toche; Collier de Tourthon; Anneau de Brouce; Anneau Crustique; Ceintacé; Masque de Koutoulou; Cape au Logis; Bottes de Brouce; Dofus Turquoise; Dolmanax; Dofus Pourpre; Dofus Nébuleux; Vigoureux majeur; Enragé majeur; Kramkram</t>
        </is>
      </c>
    </row>
    <row r="22179">
      <c r="A22179" t="inlineStr">
        <is>
          <t>terreqa</t>
        </is>
      </c>
      <c r="B22179">
        <f>HYPERLINK("https://www.dofusbook.net/fr/equipement/1448880-terreqa/objets", "link")</f>
        <v/>
      </c>
      <c r="C22179" t="n">
        <v>1</v>
      </c>
      <c r="D22179" t="inlineStr">
        <is>
          <t>Hache du Chalœil; Amulette du Strigide; Pikano; Bracelet du Piloztère; Ceintacé; Chapeau de Gein; Voile d'encre; Bottes du Strigide; Dofus Nébuleux; Dofus Pourpre; Dolmanax; Dofus Turquoise; Nomade; Remueur</t>
        </is>
      </c>
    </row>
    <row r="22180">
      <c r="A22180" t="inlineStr">
        <is>
          <t>Terre3</t>
        </is>
      </c>
      <c r="B22180">
        <f>HYPERLINK("https://www.dofusbook.net/fr/equipement/1447205-terre3/objets", "link")</f>
        <v/>
      </c>
      <c r="C22180" t="n">
        <v>0</v>
      </c>
      <c r="D22180" t="inlineStr"/>
    </row>
    <row r="22181">
      <c r="A22181" t="inlineStr">
        <is>
          <t>dopou</t>
        </is>
      </c>
      <c r="B22181">
        <f>HYPERLINK("https://www.dofusbook.net/fr/equipement/1441446-dopou/objets", "link")</f>
        <v/>
      </c>
      <c r="C22181" t="n">
        <v>0</v>
      </c>
      <c r="D22181" t="inlineStr">
        <is>
          <t>Arc du Chalœil; Torquistik; Bague Gloursonne; Bague Trithon; Ceintacé; Masque de Koutoulou; Cape Luminescente; Bottistik; Dofus Abyssal; Dolmanax; Enragé majeur; Culbuteur majeur; Pousseur majeur; Bousculeur majeur; Muldo Pourpre</t>
        </is>
      </c>
    </row>
    <row r="22182">
      <c r="A22182" t="inlineStr">
        <is>
          <t>feu2</t>
        </is>
      </c>
      <c r="B22182">
        <f>HYPERLINK("https://www.dofusbook.net/fr/equipement/919332-feu2/objets", "link")</f>
        <v/>
      </c>
      <c r="C22182" t="n">
        <v>0</v>
      </c>
      <c r="D22182" t="inlineStr">
        <is>
          <t>Sabres d'Atcham; Amulette du Strigide; Anneau Tique; Anneau de Padgref; Ceinture du Strigide; Coiffe de Padgref; Cape d'Atcham; Sandales  d'Atcham; Dofus Pourpre; Dolmanax; Dofus Ocre; Dofus des Glaces; Dofus Turquoise; Muldo Indigo et Pourpre</t>
        </is>
      </c>
    </row>
    <row r="22183">
      <c r="A22183" t="inlineStr">
        <is>
          <t>astra</t>
        </is>
      </c>
      <c r="B22183">
        <f>HYPERLINK("https://www.dofusbook.net/fr/equipement/1165644-astra/objets", "link")</f>
        <v/>
      </c>
      <c r="C22183" t="n">
        <v>0</v>
      </c>
      <c r="D22183" t="inlineStr">
        <is>
          <t>Manthache; Collier du Valet Veinard; Gant du Valet Veinard; Alliance Gloursonne; Menoture; Casque Dragoeuf; Cape Indescriptible; Palmes Trithons; Dofus Abyssal; Cascadeur majeur; Étourdisseur majeur; Remueur; Paralyseur majeur; Muldo Ebène</t>
        </is>
      </c>
    </row>
    <row r="22184">
      <c r="A22184" t="inlineStr">
        <is>
          <t>terre</t>
        </is>
      </c>
      <c r="B22184">
        <f>HYPERLINK("https://www.dofusbook.net/fr/equipement/1438476-terre/objets", "link")</f>
        <v/>
      </c>
      <c r="C22184" t="n">
        <v>1</v>
      </c>
      <c r="D22184" t="inlineStr">
        <is>
          <t>Baguette de Malléfisk; Amulette Ementaire Deluxe; Baguistik; Bague Gloursonne; Ceintacé; Chapeau de Gein; Voile d'encre; Bottes du Lévitrof; Dolmanax; Dokoko; Carapace Feu majeur; Remueur; Érudit majeur; Muldo Pourpre</t>
        </is>
      </c>
    </row>
    <row r="22185">
      <c r="A22185" t="inlineStr">
        <is>
          <t>craaa</t>
        </is>
      </c>
      <c r="B22185">
        <f>HYPERLINK("https://www.dofusbook.net/fr/equipement/1437158-craaa/objets", "link")</f>
        <v/>
      </c>
      <c r="C22185" t="n">
        <v>0</v>
      </c>
      <c r="D22185" t="inlineStr">
        <is>
          <t>Baguette Range; Amulette du Strigide; Anneau Tique; Anneau de Padgref; Ceinture du Strigide; Coiffe de Padgref; Voile d'encre; Getas de Padgref; Dofus Turquoise; Dofus des Glaces; Dofus Nébuleux; Dofus Ocre; Dofus Pourpre; Dolmanax; Muldo Indigo et Pourpre</t>
        </is>
      </c>
    </row>
    <row r="22186">
      <c r="A22186" t="inlineStr">
        <is>
          <t>feu</t>
        </is>
      </c>
      <c r="B22186">
        <f>HYPERLINK("https://www.dofusbook.net/fr/equipement/1430934-feu/objets", "link")</f>
        <v/>
      </c>
      <c r="C22186" t="n">
        <v>0</v>
      </c>
      <c r="D22186" t="inlineStr">
        <is>
          <t>Dagues Érhy; Amulette de Nileza; Bague Gloursonne; Baguistik; Ceinture Séculaire; Chapeau de Gein; Cape de Nileza; Bottes Innommables; Dofus Pourpre; Dofus Nébuleux; Dofus Ocre; Dokoko; Dofus des Glaces; Remueur; Muldo Ebène et Pourpre</t>
        </is>
      </c>
    </row>
    <row r="22187">
      <c r="A22187" t="inlineStr">
        <is>
          <t>terre air</t>
        </is>
      </c>
      <c r="B22187">
        <f>HYPERLINK("https://www.dofusbook.net/fr/equipement/1430887-terre-air/objets", "link")</f>
        <v/>
      </c>
      <c r="C22187" t="n">
        <v>0</v>
      </c>
      <c r="D22187" t="inlineStr">
        <is>
          <t>Héqache; Amulette du Strigide; Bracelet du Piloztère; Alliance Gloursonne; Bouclier Taverne; Ceintacé; Coiffe de la Reine des Voleurs; Cape du Kamasterisk; Bottes de la Reine des Voleurs; Dofus Pourpre; Dofus Abyssal; Dofus des Glaces; Dokoko; Remueur; Carapace Air majeur; Muldo Ebène et Pourpre</t>
        </is>
      </c>
    </row>
    <row r="22188">
      <c r="A22188" t="inlineStr">
        <is>
          <t>deuu</t>
        </is>
      </c>
      <c r="B22188">
        <f>HYPERLINK("https://www.dofusbook.net/fr/equipement/1429357-deuu/objets", "link")</f>
        <v/>
      </c>
      <c r="C22188" t="n">
        <v>0</v>
      </c>
      <c r="D22188" t="inlineStr">
        <is>
          <t>Arc de Koutoulou; Amulette du Strigide; Bague Gloursonne; Alliance Gloursonne; Ceinture du Strigide; Némès de Tal Kasha; Chevelure de Tal Kasha; Sandales de Tal Kasha; Dofus Ocre; Dofus Abyssal; Dofus Pourpre; Dofus Émeraude; Dofus Turquoise; Dofus des Glaces; Muldo Ebène et Indigo</t>
        </is>
      </c>
    </row>
    <row r="22189">
      <c r="A22189" t="inlineStr">
        <is>
          <t>eau</t>
        </is>
      </c>
      <c r="B22189">
        <f>HYPERLINK("https://www.dofusbook.net/fr/equipement/1429056-eau/objets", "link")</f>
        <v/>
      </c>
      <c r="C22189" t="n">
        <v>0</v>
      </c>
      <c r="D22189" t="inlineStr">
        <is>
          <t>Rapière aux Glyphes; Amulette de Shokkoth; Bracelet des Fonds marins; Alliance Gloursonne; Poulpagne; Casqnoar; Cape du Sinistrofu; Sandales des Fonds marins; Dofus Pourpre; Dofus Turquoise; Dofus Abyssal; Remueur; Carapace Air majeur; Chanceux majeur; Muldo Ebène et Indigo</t>
        </is>
      </c>
    </row>
    <row r="22190">
      <c r="A22190" t="inlineStr">
        <is>
          <t>cheat</t>
        </is>
      </c>
      <c r="B22190">
        <f>HYPERLINK("https://www.dofusbook.net/fr/equipement/1423075-cheat/objets", "link")</f>
        <v/>
      </c>
      <c r="C22190" t="n">
        <v>0</v>
      </c>
      <c r="D22190" t="inlineStr">
        <is>
          <t>Baguette de Malléfisk; Amulette Ementaire Deluxe; Anneau Rifique; Anneau de Nidas; Ceinture de Vortex; Casque Cyclopéen; Cape de Diondin; Bottes Innommables; Dolmanax; Carapace Terre majeur; Carapace Neutre majeur; Remueur; Miraculé majeur; Érudit majeur; Muldo Indigo et Pourpre</t>
        </is>
      </c>
    </row>
    <row r="22191">
      <c r="A22191" t="inlineStr">
        <is>
          <t>arc</t>
        </is>
      </c>
      <c r="B22191">
        <f>HYPERLINK("https://www.dofusbook.net/fr/equipement/1363508-arc/objets", "link")</f>
        <v/>
      </c>
      <c r="C22191" t="n">
        <v>0</v>
      </c>
      <c r="D22191" t="inlineStr">
        <is>
          <t>Amulette Ementaire Deluxe; Alliance Gloursonne; Bracelet des Fonds marins; Bouclier du Stalak; Poulpagne; Coiffe de la Reine des Voleurs; Voile d'encre; Bottes de la Reine des Voleurs; Dofus des Glaces; Dofus Abyssal; Dofus Pourpre; Dolmanax; Nomade; Remueur</t>
        </is>
      </c>
    </row>
    <row r="22192">
      <c r="A22192" t="inlineStr">
        <is>
          <t>new</t>
        </is>
      </c>
      <c r="B22192">
        <f>HYPERLINK("https://www.dofusbook.net/fr/equipement/1362768-new/objets", "link")</f>
        <v/>
      </c>
      <c r="C22192" t="n">
        <v>0</v>
      </c>
      <c r="D22192" t="inlineStr">
        <is>
          <t>Marteau de Katrepat; Amulette du Strigide; Alliance Gloursonne; Bracelet du Piloztère; Ceintacé; Masque de Koutoulou; Voile d'encre; Bottes du Strigide; Dofus des Glaces; Dofus Turquoise; Dofus Abyssal; Dofus Pourpre; Carapace Terre majeur; Nomade; Kramkram</t>
        </is>
      </c>
    </row>
    <row r="22193">
      <c r="A22193" t="inlineStr">
        <is>
          <t>dopou2</t>
        </is>
      </c>
      <c r="B22193">
        <f>HYPERLINK("https://www.dofusbook.net/fr/equipement/1249761-dopou2/objets", "link")</f>
        <v/>
      </c>
      <c r="C22193" t="n">
        <v>0</v>
      </c>
      <c r="D22193" t="inlineStr">
        <is>
          <t>Dagues de Srambad; Amulette Ementaire Deluxe; Alliance Gloursonne; Pikano; Ceinture de la Reine des Voleurs; Kidibonnet; Voile d'encre; Bottes de la Reine des Voleurs; Dolmanax; Dofus des Glaces; Miraculé majeur; Remueur; Carapace Neutre majeur; Carapace Terre majeur; Muldo Ebène et Indigo</t>
        </is>
      </c>
    </row>
    <row r="22194">
      <c r="A22194" t="inlineStr">
        <is>
          <t>dopou</t>
        </is>
      </c>
      <c r="B22194">
        <f>HYPERLINK("https://www.dofusbook.net/fr/equipement/1249633-dopou/objets", "link")</f>
        <v/>
      </c>
      <c r="C22194" t="n">
        <v>0</v>
      </c>
      <c r="D22194" t="inlineStr">
        <is>
          <t>Rapière aux Glyphes; Amulette du Sinistrofu; Bague Trithon; Alliance Gloursonne; Poulpagne; Kidibonnet; Cape du Sinistrofu; Bottes Owesli; Carapace Eau majeur; Miraculé majeur; Carapace Terre majeur; Culbuteur majeur; Bousculeur majeur; Chanceux majeur; Muldo Ebène</t>
        </is>
      </c>
    </row>
    <row r="22195">
      <c r="A22195" t="inlineStr">
        <is>
          <t>terre/air</t>
        </is>
      </c>
      <c r="B22195">
        <f>HYPERLINK("https://www.dofusbook.net/fr/equipement/1245418-terre-air/objets", "link")</f>
        <v/>
      </c>
      <c r="C22195" t="n">
        <v>0</v>
      </c>
      <c r="D22195" t="inlineStr">
        <is>
          <t>Héqache; Amulette du Strigide; Alliance Gloursonne; Bracelet du Piloztère; Bouclier alvéolé; Ceintacé; Coiffe de la Reine des Voleurs; Cape au Logis; Bottes de la Reine des Voleurs; Dolmanax; Dofus Pourpre; Dofus des Glaces; Dofus Turquoise; Vigoureux majeur; Kramkram</t>
        </is>
      </c>
    </row>
    <row r="22196">
      <c r="A22196" t="inlineStr">
        <is>
          <t>air</t>
        </is>
      </c>
      <c r="B22196">
        <f>HYPERLINK("https://www.dofusbook.net/fr/equipement/1209385-air/objets", "link")</f>
        <v/>
      </c>
      <c r="C22196" t="n">
        <v>0</v>
      </c>
      <c r="D22196" t="inlineStr"/>
    </row>
    <row r="22197">
      <c r="A22197" t="inlineStr">
        <is>
          <t>koli</t>
        </is>
      </c>
      <c r="B22197">
        <f>HYPERLINK("https://www.dofusbook.net/fr/equipement/1151083-koli/objets", "link")</f>
        <v/>
      </c>
      <c r="C22197" t="n">
        <v>0</v>
      </c>
      <c r="D22197" t="inlineStr">
        <is>
          <t>Arc de Koutoulou; Amulette du Strigide; Bague Gloursonne; Alliance Gloursonne; Bouclier du Captain Amakna; Ceinture du Strigide; Némès de Tal Kasha; Chevelure de Tal Kasha; Sandales de Tal Kasha; Dofus Émeraude; Dofus des Glaces; Dofus Turquoise; Dokoko; Dofus Ocre; Dofus Abyssal; Muldo Prune et Emeraude</t>
        </is>
      </c>
    </row>
    <row r="22198">
      <c r="A22198" t="inlineStr">
        <is>
          <t>ddd</t>
        </is>
      </c>
      <c r="B22198">
        <f>HYPERLINK("https://www.dofusbook.net/fr/equipement/1146208-ddd/objets", "link")</f>
        <v/>
      </c>
      <c r="C22198" t="n">
        <v>0</v>
      </c>
      <c r="D22198" t="inlineStr">
        <is>
          <t>Manthache; Casque Cyclopéen</t>
        </is>
      </c>
    </row>
    <row r="22199">
      <c r="A22199" t="inlineStr">
        <is>
          <t>Stuff 2</t>
        </is>
      </c>
      <c r="B22199">
        <f>HYPERLINK("https://www.dofusbook.net/fr/equipement/134053-stuff-2/objets", "link")</f>
        <v/>
      </c>
      <c r="C22199" t="n">
        <v>0</v>
      </c>
      <c r="D22199" t="inlineStr">
        <is>
          <t>Dague Adou; Amulette du Strigide; Bague Gloursonne; Alliance Gloursonne; Bouclier du Captain Amakna; Ceinture du Strigide; Némès de Tal Kasha; Chevelure de Tal Kasha; Bottes du Strigide; Dofus Turquoise; Dokoko; Dofus Ocre; Dofus Abyssal; Dofus Émeraude; Dofus des Glaces; Muldo Indigo</t>
        </is>
      </c>
    </row>
    <row r="22200">
      <c r="A22200" t="inlineStr">
        <is>
          <t>kkkk</t>
        </is>
      </c>
      <c r="B22200">
        <f>HYPERLINK("https://www.dofusbook.net/fr/equipement/1139355-kkkk/objets", "link")</f>
        <v/>
      </c>
      <c r="C22200" t="n">
        <v>0</v>
      </c>
      <c r="D22200" t="inlineStr">
        <is>
          <t>Hachoirs de Viandargh; Collier du Valet Veinard; Anneau d'Allister; Gant du Valet Veinard; Bouclier du Stalak; Ceintouse; Couronne d'Allister; Cape du Valet Veinard; Bottes d'Allister; Dokoko; Dofus Pourpre; Dolmanax; Dofus Émeraude; Dofus des Glaces; Dofus Ocre; Muldo Ebène</t>
        </is>
      </c>
    </row>
    <row r="22201">
      <c r="A22201" t="inlineStr">
        <is>
          <t>feu</t>
        </is>
      </c>
      <c r="B22201">
        <f>HYPERLINK("https://www.dofusbook.net/fr/equipement/1126808-feu/objets", "link")</f>
        <v/>
      </c>
      <c r="C22201" t="n">
        <v>0</v>
      </c>
      <c r="D22201" t="inlineStr">
        <is>
          <t>Dagues Érhy; Amulette de Gein; Anneau Chevelu; Bague Gloursonne; Ambrouclier; Ceinture de Gein; Masque de Koutoulou; Voile d'encre; Bottes du Cycloïde; Dofus Émeraude; Dofus Ocre; Dofus des Glaces; Dofus Pourpre; Dokoko; Nomade; Kramkram</t>
        </is>
      </c>
    </row>
    <row r="22202">
      <c r="A22202" t="inlineStr">
        <is>
          <t>air koli</t>
        </is>
      </c>
      <c r="B22202">
        <f>HYPERLINK("https://www.dofusbook.net/fr/equipement/1126406-air-koli/objets", "link")</f>
        <v/>
      </c>
      <c r="C22202" t="n">
        <v>0</v>
      </c>
      <c r="D22202" t="inlineStr">
        <is>
          <t>Manthache; Collier du Valet Veinard; Gant du Valet Veinard; Alliance Gloursonne; Bouclier du Stalak; Menoture; Couronne d'Allister; Cape du Kamasterisk; Palmes Trithons; Dofus Émeraude; Dofus Pourpre; Dokoko; Remueur; Carapace Neutre majeur; Cascadeur majeur; Muldo Ebène et Pourpre</t>
        </is>
      </c>
    </row>
    <row r="22203">
      <c r="A22203" t="inlineStr">
        <is>
          <t>koli</t>
        </is>
      </c>
      <c r="B22203">
        <f>HYPERLINK("https://www.dofusbook.net/fr/equipement/1126358-koli/objets", "link")</f>
        <v/>
      </c>
      <c r="C22203" t="n">
        <v>0</v>
      </c>
      <c r="D22203" t="inlineStr">
        <is>
          <t>Héqache; Amulette du Strigide; Bracelet du Piloztère; Alliance Gloursonne; Ceintacé; Masque de Koutoulou; Voile d'encre; Bottes du Strigide; Dofus Turquoise; Dofus Abyssal; Dofus des Glaces; Dofus Émeraude; Dokoko; Muldo Pourpre</t>
        </is>
      </c>
    </row>
    <row r="22204">
      <c r="A22204" t="inlineStr">
        <is>
          <t>ooop</t>
        </is>
      </c>
      <c r="B22204">
        <f>HYPERLINK("https://www.dofusbook.net/fr/equipement/1070467-ooop/objets", "link")</f>
        <v/>
      </c>
      <c r="C22204" t="n">
        <v>0</v>
      </c>
      <c r="D22204" t="inlineStr">
        <is>
          <t>Dagues Érhy; Amulette du Strigide; Bague Gloursonne; Baguistik; Ceintacé; Masque de Koutoulou; Voile d'encre; Bottes du Strigide; Dofus Turquoise; Dolmanax; Dofus Pourpre; Enragé majeur; Carapace Neutre majeur; Carapace Feu majeur; Muldo Pourpre</t>
        </is>
      </c>
    </row>
    <row r="22205">
      <c r="A22205" t="inlineStr">
        <is>
          <t>neut</t>
        </is>
      </c>
      <c r="B22205">
        <f>HYPERLINK("https://www.dofusbook.net/fr/equipement/1106949-neut/objets", "link")</f>
        <v/>
      </c>
      <c r="C22205" t="n">
        <v>0</v>
      </c>
      <c r="D22205" t="inlineStr">
        <is>
          <t>Baguette de Malléfisk; Pendentif mignon de Koutoulou; Anneau Rifique; Baguistik; Ceinture de Vortex; Casque Dragoeuf; Cape de Diondin; Bottes Innommables; Dofus Abyssal; Carapace Feu majeur; Remueur; Miraculé majeur; Érudit majeur; Carapace Terre majeur; Muldo Orchidée et Pourpre</t>
        </is>
      </c>
    </row>
    <row r="22206">
      <c r="A22206" t="inlineStr">
        <is>
          <t>terre</t>
        </is>
      </c>
      <c r="B22206">
        <f>HYPERLINK("https://www.dofusbook.net/fr/equipement/1106621-terre/objets", "link")</f>
        <v/>
      </c>
      <c r="C22206" t="n">
        <v>1</v>
      </c>
      <c r="D22206" t="inlineStr">
        <is>
          <t>Arc du Chalœil; Amulette du Strigide; Anneau Chevelu; Anneau Crustique; Ceintacé; Masque de Koutoulou; Cape au Logis; Bottes du Strigide; Dofus Turquoise; Dofus Pourpre; Dofus Nébuleux; Dolmanax; Enragé majeur; Vigoureux majeur; Kompost</t>
        </is>
      </c>
    </row>
    <row r="22207">
      <c r="A22207" t="inlineStr">
        <is>
          <t>feu</t>
        </is>
      </c>
      <c r="B22207">
        <f>HYPERLINK("https://www.dofusbook.net/fr/equipement/1105508-feu/objets", "link")</f>
        <v/>
      </c>
      <c r="C22207" t="n">
        <v>0</v>
      </c>
      <c r="D22207" t="inlineStr">
        <is>
          <t>Baguette de Malléfisk; Pendentif mignon de Koutoulou; Baguistik; Bague Gloursonne; Ceinture de Vortex; Casque Cyclopéen; Voile d'encre; Bottes Innommables; Dofus Abyssal; Dofus Ocre; Dolmanax; Carapace Feu majeur; Remueur; Érudit majeur; Muldo Pourpre</t>
        </is>
      </c>
    </row>
    <row r="22208">
      <c r="A22208" t="inlineStr">
        <is>
          <t>terre</t>
        </is>
      </c>
      <c r="B22208">
        <f>HYPERLINK("https://www.dofusbook.net/fr/equipement/1096539-terre/objets", "link")</f>
        <v/>
      </c>
      <c r="C22208" t="n">
        <v>2</v>
      </c>
      <c r="D22208" t="inlineStr">
        <is>
          <t>Héqache; Amulette du Strigide; Alliance Gloursonne; Anneau Chevelu; Ceintacé; Masque de Koutoulou; Cape au Logis; Bottes du Strigide; Dofus Pourpre; Dofus Turquoise; Dolmanax; Fonceur majeur; Vigoureux majeur; Évasif majeur</t>
        </is>
      </c>
    </row>
    <row r="22209">
      <c r="A22209" t="inlineStr">
        <is>
          <t>feu</t>
        </is>
      </c>
      <c r="B22209">
        <f>HYPERLINK("https://www.dofusbook.net/fr/equipement/1093930-feu/objets", "link")</f>
        <v/>
      </c>
      <c r="C22209" t="n">
        <v>0</v>
      </c>
      <c r="D22209" t="inlineStr">
        <is>
          <t>Dagues Érhy; Amulette du Strigide; Bague Gloursonne; Baguistik; Ceintacé; Masque de Koutoulou; Voile d'encre; Bottes du Strigide; Dofus Pourpre; Dolmanax; Dofus Turquoise; Cavaleur majeur; Vigoureux majeur; Carapace Feu majeur; Muldo Pourpre</t>
        </is>
      </c>
    </row>
    <row r="22210">
      <c r="A22210" t="inlineStr">
        <is>
          <t>six</t>
        </is>
      </c>
      <c r="B22210">
        <f>HYPERLINK("https://www.dofusbook.net/fr/equipement/1082796-six/objets", "link")</f>
        <v/>
      </c>
      <c r="C22210" t="n">
        <v>1</v>
      </c>
      <c r="D22210" t="inlineStr">
        <is>
          <t>Héqache; Amulette du Strigide; Anneau des égarés; Alliance Gloursonne; Ceintacé; Coiffe de la Reine des Voleurs; Voile d'encre; Bottes de la Reine des Voleurs; Dofus Turquoise; Dolmanax; Dofus Pourpre; Dofus des Glaces; Remueur; Évasif majeur; Muldo Ebène</t>
        </is>
      </c>
    </row>
    <row r="22211">
      <c r="A22211" t="inlineStr">
        <is>
          <t>feca</t>
        </is>
      </c>
      <c r="B22211">
        <f>HYPERLINK("https://www.dofusbook.net/fr/equipement/1073879-feca/objets", "link")</f>
        <v/>
      </c>
      <c r="C22211" t="n">
        <v>0</v>
      </c>
      <c r="D22211" t="inlineStr">
        <is>
          <t>Épée de la Reine des Voleurs; Amulette Ementaire Deluxe; Alliance Gloursonne; Anneau des égarés; Ceinture de la Reine des Voleurs; Coiffe de la Reine des Voleurs; Cape du Kamasterisk; Baleinabottes; Dofus des Glaces; Dolmanax; Remueur</t>
        </is>
      </c>
    </row>
    <row r="22212">
      <c r="A22212" t="inlineStr">
        <is>
          <t>terreair</t>
        </is>
      </c>
      <c r="B22212">
        <f>HYPERLINK("https://www.dofusbook.net/fr/equipement/1073785-terreair/objets", "link")</f>
        <v/>
      </c>
      <c r="C22212" t="n">
        <v>0</v>
      </c>
      <c r="D22212" t="inlineStr">
        <is>
          <t>Héqache; Amulette du Strigide; Anneau Crustique; Alliance Gloursonne; Ceintouse; Masque de Koutoulou; Voile d'encre; Tentassons; Dofus Abyssal; Dofus Pourpre; Dofus des Glaces; Dofus Turquoise; Remueur; Étourdisseur majeur; Muldo Indigo</t>
        </is>
      </c>
    </row>
    <row r="22213">
      <c r="A22213" t="inlineStr">
        <is>
          <t>iooop</t>
        </is>
      </c>
      <c r="B22213">
        <f>HYPERLINK("https://www.dofusbook.net/fr/equipement/1070300-iooop/objets", "link")</f>
        <v/>
      </c>
      <c r="C22213" t="n">
        <v>0</v>
      </c>
      <c r="D22213" t="inlineStr">
        <is>
          <t>Epée Toche; Amulette du Strigide; Anneau Chevelu; Bague Gloursonne; Ceintacé; Masque de Koutoulou; Voile d'encre; Bottes du Strigide; Dofus Turquoise; Dolmanax; Dofus Pourpre; Vigoureux majeur; Évasif majeur; Nomade; Kramkram</t>
        </is>
      </c>
    </row>
    <row r="22214">
      <c r="A22214" t="inlineStr">
        <is>
          <t>do pou</t>
        </is>
      </c>
      <c r="B22214">
        <f>HYPERLINK("https://www.dofusbook.net/fr/equipement/1069331-do-pou/objets", "link")</f>
        <v/>
      </c>
      <c r="C22214" t="n">
        <v>0</v>
      </c>
      <c r="D22214" t="inlineStr">
        <is>
          <t>Arc du Chalœil; Amulette Luminescente; Anneau Chevelu; Bague Trithon; Ceinture Luminescente; Masque de Koutoulou; Voile d'encre; Bottistik; Enragé majeur; Remueur; Carapace Terre majeur; Évasif majeur; Bousculeur majeur; Culbuteur majeur; Muldo Indigo</t>
        </is>
      </c>
    </row>
    <row r="22215">
      <c r="A22215" t="inlineStr">
        <is>
          <t>sadi</t>
        </is>
      </c>
      <c r="B22215">
        <f>HYPERLINK("https://www.dofusbook.net/fr/equipement/550035-sadi/objets", "link")</f>
        <v/>
      </c>
      <c r="C22215" t="n">
        <v>0</v>
      </c>
      <c r="D22215" t="inlineStr">
        <is>
          <t>Epée Toche; Amulette du Strigide; Bague Gloursonne; Anneau Chevelu; Ceintouse; Masque de Koutoulou; Voile d'encre; Bottes du Strigide; Dofus Pourpre; Dofus des Glaces; Dofus Turquoise; Dolmanax; Remueur; Enragé majeur; Muldo Indigo</t>
        </is>
      </c>
    </row>
    <row r="22216">
      <c r="A22216" t="inlineStr">
        <is>
          <t>iop</t>
        </is>
      </c>
      <c r="B22216">
        <f>HYPERLINK("https://www.dofusbook.net/fr/equipement/1067913-iop/objets", "link")</f>
        <v/>
      </c>
      <c r="C22216" t="n">
        <v>0</v>
      </c>
      <c r="D22216" t="inlineStr">
        <is>
          <t>Dagues Érhy; Amulette du Strigide; Anneau Chevelu; Bague Gloursonne; Ceintacé; Chapeau de Gein; Voile d'encre; Bottes du Strigide; Dofus Turquoise; Dolmanax; Carapace Feu majeur; Nomade; Évasif majeur; Remueur; Muldo Ebène et Pourpre</t>
        </is>
      </c>
    </row>
    <row r="22217">
      <c r="A22217" t="inlineStr">
        <is>
          <t>Stuff 3</t>
        </is>
      </c>
      <c r="B22217">
        <f>HYPERLINK("https://www.dofusbook.net/fr/equipement/134069-stuff-3/objets", "link")</f>
        <v/>
      </c>
      <c r="C22217" t="n">
        <v>1</v>
      </c>
      <c r="D22217" t="inlineStr">
        <is>
          <t>Dague Adou; Amulette du Strigide; Bague Trithon; Alliance Gloursonne; Bouclier du Captain Amakna; Ceinture du Strigide; Némès de Tal Kasha; Chevelure de Tal Kasha; Sandales de Tal Kasha; Dofus des Glaces; Dofus Émeraude; Dofus Ocre; Dofus Pourpre; Dokoko; Dofus Turquoise; Muldo Prune et Emeraude</t>
        </is>
      </c>
    </row>
    <row r="22218">
      <c r="A22218" t="inlineStr">
        <is>
          <t>zobb</t>
        </is>
      </c>
      <c r="B22218">
        <f>HYPERLINK("https://www.dofusbook.net/fr/equipement/1047701-zobb/objets", "link")</f>
        <v/>
      </c>
      <c r="C22218" t="n">
        <v>0</v>
      </c>
      <c r="D22218" t="inlineStr">
        <is>
          <t>Dagues de Srambad; Amulette Luminescente; Pikano; Alliance Gloursonne; Ceinture de la Reine des Voleurs; Masque de Koutoulou; Voile d'encre; Bottes de la Reine des Voleurs; Dofus des Glaces; Enragé majeur; Carapace Eau majeur; Miraculé majeur; Évasif majeur; Remueur; Muldo Ebène et Indigo</t>
        </is>
      </c>
    </row>
    <row r="22219">
      <c r="A22219" t="inlineStr">
        <is>
          <t>feu</t>
        </is>
      </c>
      <c r="B22219">
        <f>HYPERLINK("https://www.dofusbook.net/fr/equipement/1029947-feu/objets", "link")</f>
        <v/>
      </c>
      <c r="C22219" t="n">
        <v>3</v>
      </c>
      <c r="D22219" t="inlineStr">
        <is>
          <t>Baguette de Malléfisk; Pendentif affamé; Anneau Rifique; Anneau Tique; Carapar; Ceinture de Vortex; Casque Cyclopéen; Voile d'encre; Bottes Innommables; Dofus Ocre; Carapace Terre majeur; Remueur; Carapace Feu majeur; Observateur; Érudit majeur; Muldo Pourpre</t>
        </is>
      </c>
    </row>
    <row r="22220">
      <c r="A22220" t="inlineStr">
        <is>
          <t>deuu</t>
        </is>
      </c>
      <c r="B22220">
        <f>HYPERLINK("https://www.dofusbook.net/fr/equipement/1008416-deuu/objets", "link")</f>
        <v/>
      </c>
      <c r="C22220" t="n">
        <v>0</v>
      </c>
      <c r="D22220" t="inlineStr">
        <is>
          <t>Arc du Chalœil; Amulette de Pol Ouatnos; Bague Trithon; Alliance Gloursonne; Bouclier précieux; Pagne du Rykaon; Masque d'Anerice; Cape d'Anerice; Pataugastrique; Dofus Émeraude; Bousculeur majeur; Miraculé majeur; Culbuteur majeur; Remueur; Survivant majeur; Péki</t>
        </is>
      </c>
    </row>
    <row r="22221">
      <c r="A22221" t="inlineStr">
        <is>
          <t>eau</t>
        </is>
      </c>
      <c r="B22221">
        <f>HYPERLINK("https://www.dofusbook.net/fr/equipement/1008031-eau/objets", "link")</f>
        <v/>
      </c>
      <c r="C22221" t="n">
        <v>0</v>
      </c>
      <c r="D22221" t="inlineStr">
        <is>
          <t>Manthache; Collier du Valet Veinard; Gant du Valet Veinard; Alliance Gloursonne; Menoture; Casque Dragoeuf; Cape Indescriptible; Palmes Trithons; Dofus Abyssal; Dofus des Glaces; Dofus Cawotte; Remueur; Évasif majeur; Cascadeur majeur; Muldo Ebène</t>
        </is>
      </c>
    </row>
    <row r="22222">
      <c r="A22222" t="inlineStr">
        <is>
          <t>eca</t>
        </is>
      </c>
      <c r="B22222">
        <f>HYPERLINK("https://www.dofusbook.net/fr/equipement/975759-eca/objets", "link")</f>
        <v/>
      </c>
      <c r="C22222" t="n">
        <v>3</v>
      </c>
      <c r="D22222" t="inlineStr">
        <is>
          <t>Héqache; Amulette du Strigide; Alliance Gloursonne; Anneau Chevelu; Ceinture de la Reine des Voleurs; Masque de Koutoulou; Voile d'encre; Bottes de la Reine des Voleurs; Dofus des Glaces; Dofus Pourpre; Dofus Turquoise; Vigoureux majeur; Carapace Eau majeur; Remueur; Muldo Ebène et Orchidée</t>
        </is>
      </c>
    </row>
    <row r="22223">
      <c r="A22223" t="inlineStr">
        <is>
          <t>DOPOU</t>
        </is>
      </c>
      <c r="B22223">
        <f>HYPERLINK("https://www.dofusbook.net/fr/equipement/954086-dopou/objets", "link")</f>
        <v/>
      </c>
      <c r="C22223" t="n">
        <v>0</v>
      </c>
      <c r="D22223" t="inlineStr">
        <is>
          <t>Arc du Chalœil; Amulette Luminescente; Anneau Chevelu; Bague Trithon; Ceintacé; Masque Trithon; Voile d'encre; Bottistik; Culbuteur majeur; Remueur; Bousculeur majeur; Enragé majeur; Muldo Ebène et Indigo</t>
        </is>
      </c>
    </row>
    <row r="22224">
      <c r="A22224" t="inlineStr">
        <is>
          <t>sss</t>
        </is>
      </c>
      <c r="B22224">
        <f>HYPERLINK("https://www.dofusbook.net/fr/equipement/953865-sss/objets", "link")</f>
        <v/>
      </c>
      <c r="C22224" t="n">
        <v>0</v>
      </c>
      <c r="D22224" t="inlineStr">
        <is>
          <t>Manthache; Collier du Valet Veinard; Gant du Valet Veinard; Alliance Gloursonne; Menoture; Casque Dragoeuf; Cape Indescriptible; Bottes Hairo; Évasif majeur; Étourdisseur majeur; Fonceur majeur; Cascadeur majeur; Engourdisseur majeur; Remueur; Muldo Ebène</t>
        </is>
      </c>
    </row>
    <row r="22225">
      <c r="A22225" t="inlineStr">
        <is>
          <t>pkl</t>
        </is>
      </c>
      <c r="B22225">
        <f>HYPERLINK("https://www.dofusbook.net/fr/equipement/953812-pkl/objets", "link")</f>
        <v/>
      </c>
      <c r="C22225" t="n">
        <v>0</v>
      </c>
      <c r="D22225" t="inlineStr">
        <is>
          <t>Baguette de Malléfisk; Pendentif affamé; Anneau Tique; Anneau Rifique; Ceinture de Vortex; Casque Cyclopéen; Cape de Diondin; Bottes Innommables; Muldo Orchidée et Pourpre</t>
        </is>
      </c>
    </row>
    <row r="22226">
      <c r="A22226" t="inlineStr">
        <is>
          <t>deuxx</t>
        </is>
      </c>
      <c r="B22226">
        <f>HYPERLINK("https://www.dofusbook.net/fr/equipement/918618-deuxx/objets", "link")</f>
        <v/>
      </c>
      <c r="C22226" t="n">
        <v>0</v>
      </c>
      <c r="D22226" t="inlineStr">
        <is>
          <t>Baguette de Malléfisk; Amulette de Nileza; Anneau Tique; Anneau de Nidas; Ceinture de Vortex; Casque Cyclopéen; Voile d'encre; Tongues de Nidas; Dofus Ocre; Déserteur majeur; Nomade; Érudit majeur; Temporiseur majeur; Remueur; Kramkram</t>
        </is>
      </c>
    </row>
    <row r="22227">
      <c r="A22227" t="inlineStr">
        <is>
          <t>air</t>
        </is>
      </c>
      <c r="B22227">
        <f>HYPERLINK("https://www.dofusbook.net/fr/equipement/907136-air/objets", "link")</f>
        <v/>
      </c>
      <c r="C22227" t="n">
        <v>1</v>
      </c>
      <c r="D22227" t="inlineStr">
        <is>
          <t>Manthache; Amulette du Kamasterisk; Gant du Valet Veinard; Alliance Gloursonne; Menoture; Chapoulpe; Voile d'encre; Tentassons; Dolmanax; Carapace Air majeur; Remueur; Cascadeur majeur; Engourdisseur majeur; Étourdisseur majeur; Muldo Indigo et Orchidée</t>
        </is>
      </c>
    </row>
    <row r="22228">
      <c r="A22228" t="inlineStr">
        <is>
          <t>llllllll</t>
        </is>
      </c>
      <c r="B22228">
        <f>HYPERLINK("https://www.dofusbook.net/fr/equipement/906439-llllllll/objets", "link")</f>
        <v/>
      </c>
      <c r="C22228" t="n">
        <v>0</v>
      </c>
      <c r="D22228" t="inlineStr">
        <is>
          <t>Arc Hétype; Pendentif affamé; Anneau Rifique; Anneau Tique; Ceinture de Vortex; Casque Cyclopéen; Voile d'encre; Pataugastrique; Déserteur majeur; Érudit majeur; Temporiseur majeur; Remueur; Cavaleur majeur; Carapace Terre majeur; Muldo Indigo et Orchidée</t>
        </is>
      </c>
    </row>
    <row r="22229">
      <c r="A22229" t="inlineStr">
        <is>
          <t>enuu</t>
        </is>
      </c>
      <c r="B22229">
        <f>HYPERLINK("https://www.dofusbook.net/fr/equipement/905257-enuu/objets", "link")</f>
        <v/>
      </c>
      <c r="C22229" t="n">
        <v>0</v>
      </c>
      <c r="D22229" t="inlineStr">
        <is>
          <t>Arc Hétype; Pendentif affamé; Anneau de Nidas; Anneau Tique; Ceinture de Vortex; Couronne de Nidas; Voile d'encre; Pataugastrique; Dofus Cawotte; Temporiseur majeur; Remueur; Déserteur majeur; Érudit majeur; Muldo Indigo et Orchidée</t>
        </is>
      </c>
    </row>
    <row r="22230">
      <c r="A22230" t="inlineStr">
        <is>
          <t>feu</t>
        </is>
      </c>
      <c r="B22230">
        <f>HYPERLINK("https://www.dofusbook.net/fr/equipement/881593-feu/objets", "link")</f>
        <v/>
      </c>
      <c r="C22230" t="n">
        <v>0</v>
      </c>
      <c r="D22230" t="inlineStr">
        <is>
          <t>Dagues Ricol; Amulette du Strigide; Chevalière du Roi Joueur; Anneau de Padgref; Bouclier Taverne; Ceinture du Strigide; Coiffe de Padgref; Voile d'encre; Bottes du Strigide; Dofus des Glaces; Dofus Abyssal; Dofus Émeraude; Dofus Nébuleux; Dofus Ocre; Dokoko</t>
        </is>
      </c>
    </row>
    <row r="22231">
      <c r="A22231" t="inlineStr">
        <is>
          <t>mop</t>
        </is>
      </c>
      <c r="B22231">
        <f>HYPERLINK("https://www.dofusbook.net/fr/equipement/881500-mop/objets", "link")</f>
        <v/>
      </c>
      <c r="C22231" t="n">
        <v>0</v>
      </c>
      <c r="D22231" t="inlineStr">
        <is>
          <t>Héqache; Amulette du Strigide; Anneau Chevelu; Bracelet du Piloztère; Bouclier du Captain Amakna; Ceintacé; Chapoulpe; Voile d'encre; Bottes du Strigide; Dofus Turquoise; Dofus Abyssal; Dofus des Glaces; Dofus Émeraude; Dokoko; Remueur; Muldo Orchidée et Pourpre</t>
        </is>
      </c>
    </row>
    <row r="22232">
      <c r="A22232" t="inlineStr">
        <is>
          <t>deux</t>
        </is>
      </c>
      <c r="B22232">
        <f>HYPERLINK("https://www.dofusbook.net/fr/equipement/881293-deux/objets", "link")</f>
        <v/>
      </c>
      <c r="C22232" t="n">
        <v>0</v>
      </c>
      <c r="D22232" t="inlineStr">
        <is>
          <t>Hachoirs de Viandargh; Collier du Valet Veinard; Gant du Valet Veinard; Alliance Gloursonne; Bouclier du Captain Amakna; Menoture; Capuche de Moum-Ra; Cape Indescriptible; Palmes Trithons; Dofus Abyssal; Dofus Émeraude; Dofus Turquoise; Carapace Air majeur; Remueur; Cascadeur majeur; Muldo Ebène</t>
        </is>
      </c>
    </row>
    <row r="22233">
      <c r="A22233" t="inlineStr">
        <is>
          <t>roubl</t>
        </is>
      </c>
      <c r="B22233">
        <f>HYPERLINK("https://www.dofusbook.net/fr/equipement/843362-roubl/objets", "link")</f>
        <v/>
      </c>
      <c r="C22233" t="n">
        <v>0</v>
      </c>
      <c r="D22233" t="inlineStr">
        <is>
          <t>Dagoulinantes; Amulette de Shokkoth; Alliance Gloursonne; Bracelet des Fonds marins; Poulpagne; Masque des Fonds marins; Cape de Mantaze; Bottes de la Reine des Voleurs; Dofus des Glaces; Dofus Émeraude; Chanceux majeur; Carapace Eau majeur; Remueur; Dévastateur Eau majeur; Muldo Pourpre</t>
        </is>
      </c>
    </row>
    <row r="22234">
      <c r="A22234" t="inlineStr">
        <is>
          <t>aaa</t>
        </is>
      </c>
      <c r="B22234">
        <f>HYPERLINK("https://www.dofusbook.net/fr/equipement/806155-aaa/objets", "link")</f>
        <v/>
      </c>
      <c r="C22234" t="n">
        <v>0</v>
      </c>
      <c r="D22234" t="inlineStr">
        <is>
          <t>Arc Nécrotique; Amulette de Shokkoth; Anneau Tique; Alliance Gloursonne; Ceintrigue; Kidibonnet; Cape de la Dame du Hasard; Bottes de la Dame du Hasard; Dofus Turquoise; Dofus Pourpre; Dofus Abyssal; Carapace Neutre majeur; Remueur; Carapace Eau majeur; Muldo Pourpre</t>
        </is>
      </c>
    </row>
    <row r="22235">
      <c r="A22235" t="inlineStr">
        <is>
          <t>pvm</t>
        </is>
      </c>
      <c r="B22235">
        <f>HYPERLINK("https://www.dofusbook.net/fr/equipement/793620-pvm/objets", "link")</f>
        <v/>
      </c>
      <c r="C22235" t="n">
        <v>0</v>
      </c>
      <c r="D22235" t="inlineStr">
        <is>
          <t>Héqache; Amulette Ementaire Deluxe; Anneau des égarés; Alliance Gloursonne; Bouclier du Captain Amakna; Ceintacé; Coiffe de la Reine des Voleurs; Voile d'encre; Bottes de la Reine des Voleurs; Dofus Émeraude; Dofus Pourpre; Dofus Turquoise; Dofus des Glaces; Vigoureux majeur; Remueur; Muldo Ebène et Pourpre</t>
        </is>
      </c>
    </row>
    <row r="22236">
      <c r="A22236" t="inlineStr">
        <is>
          <t>terre</t>
        </is>
      </c>
      <c r="B22236">
        <f>HYPERLINK("https://www.dofusbook.net/fr/equipement/753275-terre/objets", "link")</f>
        <v/>
      </c>
      <c r="C22236" t="n">
        <v>0</v>
      </c>
      <c r="D22236" t="inlineStr">
        <is>
          <t>Dagues Ruik; Collier de Tourthon; Anneau Crustique; Bague Gloursonne; Bouclier du Captain Amakna; Ceinture de la Cour Sombre; Masque de Koutoulou; Cape au Logis; Bottes de la Cour Sombre; Dofus Émeraude; Dokoko; Dofus Turquoise; Dofus Abyssal; Dofus Nébuleux; Enragé majeur; Kompost</t>
        </is>
      </c>
    </row>
    <row r="22237">
      <c r="A22237" t="inlineStr">
        <is>
          <t>dark</t>
        </is>
      </c>
      <c r="B22237">
        <f>HYPERLINK("https://www.dofusbook.net/fr/equipement/752209-dark/objets", "link")</f>
        <v/>
      </c>
      <c r="C22237" t="n">
        <v>0</v>
      </c>
      <c r="D22237" t="inlineStr">
        <is>
          <t>Arc de Koutoulou; Amulette du Strigide; Anneau Tique; Alliance Gloursonne; Menoture; Masque du Barbétoal; Chevelure de Tal Kasha; Sandales de Tal Kasha; Dofus Pourpre; Dofus Ocre; Dokoko; Dofus Émeraude; Dofus Turquoise; Muraille Air majeure; Muldo Ebène et Orchidée</t>
        </is>
      </c>
    </row>
    <row r="22238">
      <c r="A22238" t="inlineStr">
        <is>
          <t>kili</t>
        </is>
      </c>
      <c r="B22238">
        <f>HYPERLINK("https://www.dofusbook.net/fr/equipement/694521-kili/objets", "link")</f>
        <v/>
      </c>
      <c r="C22238" t="n">
        <v>0</v>
      </c>
      <c r="D22238" t="inlineStr">
        <is>
          <t>Arc du Chalœil; Amulette Luminescente; Bague Gloursonne; Bague Trithon; Ceinture Luminescente; Masque Trithon; Cape Luminescente; Bottes Trithon; Dokoko; Dofus Abyssal; Dofus Émeraude; Dofus Ocre; Pousseur majeur; Bousculeur majeur; Muldo Ebène et Pourpre</t>
        </is>
      </c>
    </row>
    <row r="22239">
      <c r="A22239" t="inlineStr">
        <is>
          <t>jjjlk</t>
        </is>
      </c>
      <c r="B22239">
        <f>HYPERLINK("https://www.dofusbook.net/fr/equipement/667776-jjjlk/objets", "link")</f>
        <v/>
      </c>
      <c r="C22239" t="n">
        <v>0</v>
      </c>
      <c r="D22239" t="inlineStr">
        <is>
          <t>Epée Gloursonne; Amulette Ementaire Deluxe; Bague Gloursonne; Alliance Gloursonne; Ceinture de la Reine des Voleurs; Coiffe de la Reine des Voleurs; Voile d'encre; Bottes du Kamasterisk; Dofus Pourpre; Dokoko; Dofus Émeraude; Dolmanax; Dofus Ocre; Dofus des Glaces</t>
        </is>
      </c>
    </row>
    <row r="22240">
      <c r="A22240" t="inlineStr">
        <is>
          <t>chat</t>
        </is>
      </c>
      <c r="B22240">
        <f>HYPERLINK("https://www.dofusbook.net/fr/equipement/568573-chat/objets", "link")</f>
        <v/>
      </c>
      <c r="C22240" t="n">
        <v>1</v>
      </c>
      <c r="D22240" t="inlineStr">
        <is>
          <t>Baguette de Malléfisk; Pendentif affamé; Bague Gloursonne; Anneau de Nidas; Ceinture de Vortex; Couronne de Nidas; Voile d'encre; Bottes Innommables; Dofus Ocre; Dokoko; Miraculé majeur; Remueur; Érudit majeur; Carapace Feu majeur; Muldo Indigo et Pourpre</t>
        </is>
      </c>
    </row>
    <row r="22241">
      <c r="A22241" t="inlineStr">
        <is>
          <t>cra 2</t>
        </is>
      </c>
      <c r="B22241">
        <f>HYPERLINK("https://www.dofusbook.net/fr/equipement/552089-cra-2/objets", "link")</f>
        <v/>
      </c>
      <c r="C22241" t="n">
        <v>0</v>
      </c>
      <c r="D22241" t="inlineStr">
        <is>
          <t>Collier du Valet Veinard; Alliance Gloursonne; Gant du Valet Veinard; Menoture; Casque Dragoeuf; Cape Indescriptible; Palmes Trithons; Dofus Émeraude; Dofus Abyssal; Dofus Nébuleux; Dokoko; Cascadeur majeur; Remueur; Muldo Ebène</t>
        </is>
      </c>
    </row>
    <row r="22242">
      <c r="A22242" t="inlineStr">
        <is>
          <t>cra</t>
        </is>
      </c>
      <c r="B22242">
        <f>HYPERLINK("https://www.dofusbook.net/fr/equipement/551917-cra/objets", "link")</f>
        <v/>
      </c>
      <c r="C22242" t="n">
        <v>0</v>
      </c>
      <c r="D22242" t="inlineStr">
        <is>
          <t>Epée Gloursonne; Amulette Ementaire Deluxe; Bague Gloursonne; Alliance Gloursonne; Ceinture de la Reine des Voleurs; Coiffe de la Reine des Voleurs; Voile d'encre; Bottes de la Reine des Voleurs</t>
        </is>
      </c>
    </row>
    <row r="22243">
      <c r="A22243" t="inlineStr">
        <is>
          <t>iop</t>
        </is>
      </c>
      <c r="B22243">
        <f>HYPERLINK("https://www.dofusbook.net/fr/equipement/551160-iop/objets", "link")</f>
        <v/>
      </c>
      <c r="C22243" t="n">
        <v>0</v>
      </c>
      <c r="D22243" t="inlineStr">
        <is>
          <t>Collier du Valet Veinard; Gant du Valet Veinard; Alliance Gloursonne; Bouclier du Captain Amakna cassé; Menoture; Chapibou; Cape Indescriptible; Palmes Trithons; Dofus Nébuleux; Dokoko; Dofus Émeraude; Dofus Abyssal; Remueur; Cascadeur majeur; Muldo Orchidée et Pourpre</t>
        </is>
      </c>
    </row>
    <row r="22244">
      <c r="A22244" t="inlineStr">
        <is>
          <t>ougi</t>
        </is>
      </c>
      <c r="B22244">
        <f>HYPERLINK("https://www.dofusbook.net/fr/equipement/549573-ougi/objets", "link")</f>
        <v/>
      </c>
      <c r="C22244" t="n">
        <v>0</v>
      </c>
      <c r="D22244" t="inlineStr">
        <is>
          <t>Collier du Valet Veinard; Gant du Valet Veinard; Alliance Gloursonne; Bouclier du Captain Amakna cassé; Menoture; Casque Dragoeuf; Chevelure de Tal Kasha; Palmes Trithons; Dofus Turquoise; Dofus Nébuleux; Dofus Abyssal; Dokoko; Cascadeur majeur; Remueur; Muldo Prune et Ebène</t>
        </is>
      </c>
    </row>
    <row r="22245">
      <c r="A22245" t="inlineStr">
        <is>
          <t>Osa</t>
        </is>
      </c>
      <c r="B22245">
        <f>HYPERLINK("https://www.dofusbook.net/fr/equipement/547124-osa/objets", "link")</f>
        <v/>
      </c>
      <c r="C22245" t="n">
        <v>0</v>
      </c>
      <c r="D22245" t="inlineStr">
        <is>
          <t>Lance corrompue; Collier du Valet Veinard; Gant du Valet Veinard; Alliance Gloursonne; Bouclier du Captain Amakna; Ceinture de la Reine des Voleurs; Coiffe de la Reine des Voleurs; Cape du Valet Veinard; Bottes de la Reine des Voleurs; Dofus Vulbis; Dofus Ocre; Dofus des Glaces; Dolmanax; Dokoko; Dofus Pourpre; Pioute jaune</t>
        </is>
      </c>
    </row>
    <row r="22246">
      <c r="A22246" t="inlineStr">
        <is>
          <t>mmm</t>
        </is>
      </c>
      <c r="B22246">
        <f>HYPERLINK("https://www.dofusbook.net/fr/equipement/474801-mmm/objets", "link")</f>
        <v/>
      </c>
      <c r="C22246" t="n">
        <v>0</v>
      </c>
      <c r="D22246" t="inlineStr">
        <is>
          <t>Dague Adou; Amulette du Strigide; Bracelet du Piloztère; Alliance Gloursonne; Ceinture du Barbétoal; Kidibonnet; Chevelure de Tal Kasha; Sandales de Tal Kasha; Dofus Pourpre; Dofus Émeraude; Dofus Turquoise; Remueur; Nomade; Carapace Air majeur; El Scarador</t>
        </is>
      </c>
    </row>
    <row r="22247">
      <c r="A22247" t="inlineStr">
        <is>
          <t>kili</t>
        </is>
      </c>
      <c r="B22247">
        <f>HYPERLINK("https://www.dofusbook.net/fr/equipement/393067-kili/objets", "link")</f>
        <v/>
      </c>
      <c r="C22247" t="n">
        <v>0</v>
      </c>
      <c r="D22247" t="inlineStr">
        <is>
          <t>Dagoulinantes; Amulette Cryochrone; Alliance Gloursonne; Bracelet des Fonds marins; Poulpagne; Masque des Fonds marins; Voile d'encre; Pataugastrique; Dolmanax; Dofus Émeraude; Dofus des Glaces; Chanceux majeur; Carapace Terre majeur; Carapace Eau majeur; Muldo Ebène et Indigo</t>
        </is>
      </c>
    </row>
    <row r="22248">
      <c r="A22248" t="inlineStr">
        <is>
          <t>Stuff 2</t>
        </is>
      </c>
      <c r="B22248">
        <f>HYPERLINK("https://www.dofusbook.net/fr/equipement/134044-stuff-2/objets", "link")</f>
        <v/>
      </c>
      <c r="C22248" t="n">
        <v>0</v>
      </c>
      <c r="D22248" t="inlineStr">
        <is>
          <t>Dagues Érhy; Amulette Ementaire Deluxe; Bracelet du Piloztère; Alliance Gloursonne; Ceinture du Strigide; Casque du Chalœil; Voile d'encre; Bottes du Strigide; Dofus des Glaces; Dofus Ocre; Dofus Pourpre; Dofus Turquoise; Nomade; Remueur</t>
        </is>
      </c>
    </row>
    <row r="22249">
      <c r="A22249" t="inlineStr">
        <is>
          <t>Stuff 1</t>
        </is>
      </c>
      <c r="B22249">
        <f>HYPERLINK("https://www.dofusbook.net/fr/equipement/134088-stuff-1/objets", "link")</f>
        <v/>
      </c>
      <c r="C22249" t="n">
        <v>0</v>
      </c>
      <c r="D22249" t="inlineStr">
        <is>
          <t>Manthache; Collier du Valet Veinard; Alliance Gloursonne; Gant du Valet Veinard; Menoture; Couronne d'Allister; Cape Indescriptible; Palmes Trithons; Dokoko; Dofus des Glaces; Dofus Émeraude; Remueur; Cascadeur majeur; Nomade; Pioute jaune</t>
        </is>
      </c>
    </row>
    <row r="22250">
      <c r="A22250" t="inlineStr">
        <is>
          <t>Stuff 2</t>
        </is>
      </c>
      <c r="B22250">
        <f>HYPERLINK("https://www.dofusbook.net/fr/equipement/134077-stuff-2/objets", "link")</f>
        <v/>
      </c>
      <c r="C22250" t="n">
        <v>0</v>
      </c>
      <c r="D22250" t="inlineStr">
        <is>
          <t>Amibou; Gant du Valet Veinard; Alliance Gloursonne; Menoture; Capuche de Moum-Ra; Capibou; Palmes Trithons; Dofus Turquoise; Carapace Air majeur; Remueur; Cascadeur majeur; Nomade</t>
        </is>
      </c>
    </row>
    <row r="22251">
      <c r="A22251" t="inlineStr">
        <is>
          <t>Stuff 2</t>
        </is>
      </c>
      <c r="B22251">
        <f>HYPERLINK("https://www.dofusbook.net/fr/equipement/134068-stuff-2/objets", "link")</f>
        <v/>
      </c>
      <c r="C22251" t="n">
        <v>0</v>
      </c>
      <c r="D22251" t="inlineStr">
        <is>
          <t>Rapière aux Glyphes; Amulette du Sinistrofu; Bague Trithon; Alliance Gloursonne; Poulpagne; Casque Dragoeuf; Cape du Sinistrofu; Bottes Owesli; Dofus Turquoise; Culbuteur majeur; Nomade; Miraculé majeur; Remueur; Bousculeur majeur; Croum</t>
        </is>
      </c>
    </row>
    <row r="22252">
      <c r="A22252" t="inlineStr">
        <is>
          <t>Stuff 3</t>
        </is>
      </c>
      <c r="B22252">
        <f>HYPERLINK("https://www.dofusbook.net/fr/equipement/134090-stuff-3/objets", "link")</f>
        <v/>
      </c>
      <c r="C22252" t="n">
        <v>0</v>
      </c>
      <c r="D22252" t="inlineStr">
        <is>
          <t>Dague Adou; Amulette du Strigide; Alliance Gloursonne; Bracelet du Piloztère; Ceinture du Strigide; Némès de Tal Kasha; Chevelure de Tal Kasha; Sandales de Tal Kasha; Dofus Pourpre; Dofus Turquoise; Dolmanax; Dofus Ocre; Dofus Émeraude; Dofus des Glaces; Muldo Ebène</t>
        </is>
      </c>
    </row>
    <row r="22253">
      <c r="A22253" t="inlineStr">
        <is>
          <t>Stuff 3</t>
        </is>
      </c>
      <c r="B22253">
        <f>HYPERLINK("https://www.dofusbook.net/fr/equipement/134081-stuff-3/objets", "link")</f>
        <v/>
      </c>
      <c r="C22253" t="n">
        <v>0</v>
      </c>
      <c r="D22253" t="inlineStr">
        <is>
          <t>Baguette Range; Amulette du Strigide; Bague Gloursonne; Anneau de Padgref; Ceinture du Strigide; Coiffe de Padgref; Cape d'Atcham; Bottes du Strigide; Dofus Ocre; Dofus Pourpre; Dofus des Glaces; Dofus Turquoise; Dofus Nébuleux; Dolmanax; Chacha Angora</t>
        </is>
      </c>
    </row>
    <row r="22254">
      <c r="A22254" t="inlineStr">
        <is>
          <t>Stuff 1</t>
        </is>
      </c>
      <c r="B22254">
        <f>HYPERLINK("https://www.dofusbook.net/fr/equipement/134076-stuff-1/objets", "link")</f>
        <v/>
      </c>
      <c r="C22254" t="n">
        <v>0</v>
      </c>
      <c r="D22254" t="inlineStr">
        <is>
          <t>Héqache; Amulette Ementaire Deluxe; Anneau Chevelu; Alliance Gloursonne; Ceinture de la Reine des Voleurs; Masque de Koutoulou; Cape du Kamasterisk; Bottes de la Reine des Voleurs; Dofus des Glaces; Dofus Émeraude; Remueur; Vigoureux majeur; Carapace Air majeur; Nomade</t>
        </is>
      </c>
    </row>
    <row r="22255">
      <c r="A22255" t="inlineStr">
        <is>
          <t>Stuff 1</t>
        </is>
      </c>
      <c r="B22255">
        <f>HYPERLINK("https://www.dofusbook.net/fr/equipement/134067-stuff-1/objets", "link")</f>
        <v/>
      </c>
      <c r="C22255" t="n">
        <v>0</v>
      </c>
      <c r="D22255" t="inlineStr">
        <is>
          <t>Baguette de Malléfisk; Talisman Igans; Alliance Gloursonne; Anneau Tique; Ceintrigue; Casque Dragoeuf; Cape d'Atcham; Pataugastrique; Culbuteur majeur; Remueur; Guérisseur majeur; Miraculé majeur; Bousculeur majeur; Nomade</t>
        </is>
      </c>
    </row>
    <row r="22256">
      <c r="A22256" t="inlineStr">
        <is>
          <t>Stuff 1</t>
        </is>
      </c>
      <c r="B22256">
        <f>HYPERLINK("https://www.dofusbook.net/fr/equipement/134088-stuff-1/objets", "link")</f>
        <v/>
      </c>
      <c r="C22256" t="n">
        <v>0</v>
      </c>
      <c r="D22256" t="inlineStr">
        <is>
          <t>Manthache; Collier du Valet Veinard; Gant du Valet Veinard; Alliance Gloursonne; Menoture; Couronne d'Allister; Cape Indescriptible; Palmes Trithons; Dokoko; Dofus des Glaces; Dofus Émeraude; Cascadeur majeur; Nomade; Remueur; Pioute jaune</t>
        </is>
      </c>
    </row>
    <row r="22257">
      <c r="A22257" t="inlineStr">
        <is>
          <t>Stuff 2</t>
        </is>
      </c>
      <c r="B22257">
        <f>HYPERLINK("https://www.dofusbook.net/fr/equipement/134077-stuff-2/objets", "link")</f>
        <v/>
      </c>
      <c r="C22257" t="n">
        <v>0</v>
      </c>
      <c r="D22257" t="inlineStr">
        <is>
          <t>Amibou; Alliance Gloursonne; Gant du Valet Veinard; Menoture; Capuche de Moum-Ra; Capibou; Palmes Trithons; Dofus Turquoise; Nomade; Carapace Air majeur; Remueur; Cascadeur majeur</t>
        </is>
      </c>
    </row>
    <row r="22258">
      <c r="A22258" t="inlineStr">
        <is>
          <t>Stuff 2</t>
        </is>
      </c>
      <c r="B22258">
        <f>HYPERLINK("https://www.dofusbook.net/fr/equipement/134068-stuff-2/objets", "link")</f>
        <v/>
      </c>
      <c r="C22258" t="n">
        <v>0</v>
      </c>
      <c r="D22258" t="inlineStr">
        <is>
          <t>Rapière aux Glyphes; Amulette du Sinistrofu; Alliance Gloursonne; Bague Trithon; Poulpagne; Casque Dragoeuf; Cape du Sinistrofu; Bottes Owesli; Dofus Turquoise; Miraculé majeur; Remueur; Bousculeur majeur; Culbuteur majeur; Nomade; Croum</t>
        </is>
      </c>
    </row>
    <row r="22259">
      <c r="A22259" t="inlineStr">
        <is>
          <t>Stuff 3</t>
        </is>
      </c>
      <c r="B22259">
        <f>HYPERLINK("https://www.dofusbook.net/fr/equipement/134090-stuff-3/objets", "link")</f>
        <v/>
      </c>
      <c r="C22259" t="n">
        <v>0</v>
      </c>
      <c r="D22259" t="inlineStr">
        <is>
          <t>Dague Adou; Amulette du Strigide; Bracelet du Piloztère; Alliance Gloursonne; Ceinture du Strigide; Némès de Tal Kasha; Chevelure de Tal Kasha; Sandales de Tal Kasha; Dolmanax; Dofus Ocre; Dofus Émeraude; Dofus des Glaces; Dofus Pourpre; Dofus Turquoise; Muldo Ebène</t>
        </is>
      </c>
    </row>
    <row r="22260">
      <c r="A22260" t="inlineStr">
        <is>
          <t>Stuff 1</t>
        </is>
      </c>
      <c r="B22260">
        <f>HYPERLINK("https://www.dofusbook.net/fr/equipement/134040-stuff-1/objets", "link")</f>
        <v/>
      </c>
      <c r="C22260" t="n">
        <v>0</v>
      </c>
      <c r="D22260" t="inlineStr">
        <is>
          <t>Marteau R'ture; Amulette de Gein; Baguistik; Bague Gloursonne; Bouclier des Brigandins cassé; Ceintacé; Couronne du Roi Joueur; Cape Routh; Bottes du Roi Joueur; Dokoko; Dofus des Glaces; Remueur; Entraveur majeur; Temporiseur majeur; Nomade; El Scarador</t>
        </is>
      </c>
    </row>
    <row r="22261">
      <c r="A22261" t="inlineStr">
        <is>
          <t>Stuff 3</t>
        </is>
      </c>
      <c r="B22261">
        <f>HYPERLINK("https://www.dofusbook.net/fr/equipement/134042-stuff-3/objets", "link")</f>
        <v/>
      </c>
      <c r="C22261" t="n">
        <v>0</v>
      </c>
      <c r="D22261" t="inlineStr">
        <is>
          <t>Hache Ériphe; Amulette Ementaire Deluxe; Anneau des égarés; Alliance Gloursonne; Ceinture de la Reine des Voleurs; Coiffe de la Reine des Voleurs; Cape du Kamasterisk; Tentassons; Dofus Émeraude; Dofus des Glaces; Dofus Ocre; Remueur; Nomade; El Scarador</t>
        </is>
      </c>
    </row>
    <row r="22262">
      <c r="A22262" t="inlineStr">
        <is>
          <t>Stuff 2</t>
        </is>
      </c>
      <c r="B22262">
        <f>HYPERLINK("https://www.dofusbook.net/fr/equipement/134041-stuff-2/objets", "link")</f>
        <v/>
      </c>
      <c r="C22262" t="n">
        <v>0</v>
      </c>
      <c r="D22262" t="inlineStr">
        <is>
          <t>Hache Ériphe; Amulette du Strigide; Anneau Chevelu; Alliance Gloursonne; Ceintacé; Coiffe de la Reine des Voleurs; Cape du Kamasterisk; Bottes de la Reine des Voleurs; Dofus Turquoise; Dofus Émeraude; Dofus des Glaces; Remueur; Nomade; El Scarador</t>
        </is>
      </c>
    </row>
    <row r="22263">
      <c r="A22263" t="inlineStr">
        <is>
          <t>Stuff 1</t>
        </is>
      </c>
      <c r="B22263">
        <f>HYPERLINK("https://www.dofusbook.net/fr/equipement/134043-stuff-1/objets", "link")</f>
        <v/>
      </c>
      <c r="C22263" t="n">
        <v>0</v>
      </c>
      <c r="D22263" t="inlineStr">
        <is>
          <t>Epée Gloursonne; Amulette de Gein; Alliance Gloursonne; Bague Gloursonne; Bouclier d'Asse cassé; Ceinture de Gein; Chapeau de Gein; Cape Routh; Bottes du Cycloïde; Dofus Ocre; Dokoko; Dofus des Glaces; Dofus Pourpre; Entraveur majeur; Voyageur; El Scarador</t>
        </is>
      </c>
    </row>
    <row r="22264">
      <c r="A22264" t="inlineStr">
        <is>
          <t>Huppermage F</t>
        </is>
      </c>
      <c r="B22264">
        <f>HYPERLINK("https://www.dofusbook.net/fr/equipement/5635902-huppermage-f/objets", "link")</f>
        <v/>
      </c>
      <c r="C22264" t="n">
        <v>0</v>
      </c>
      <c r="D22264" t="inlineStr"/>
    </row>
    <row r="22265">
      <c r="A22265" t="inlineStr">
        <is>
          <t>Huppermage M 200</t>
        </is>
      </c>
      <c r="B22265">
        <f>HYPERLINK("https://www.dofusbook.net/fr/equipement/5904483-huppermage-m-200/objets", "link")</f>
        <v/>
      </c>
      <c r="C22265" t="n">
        <v>0</v>
      </c>
      <c r="D22265" t="inlineStr">
        <is>
          <t>Marteau des égarés; Amulette du Strigide; Chevalière du Roi Joueur; Alliance Gloursonne; Quatre-feuilles; Ceintacé; Le Dorado; Dofusteuse; Bottes du Strigide; Dofus Pourpre; Dolmanax; Dofus Turquoise; Nomade; Remueur; Vigoureux majeur; Muldo Prune et Emeraude</t>
        </is>
      </c>
    </row>
    <row r="22266">
      <c r="A22266" t="inlineStr">
        <is>
          <t>Crâ F 200</t>
        </is>
      </c>
      <c r="B22266">
        <f>HYPERLINK("https://www.dofusbook.net/fr/equipement/5244973-cra-f-200/objets", "link")</f>
        <v/>
      </c>
      <c r="C22266" t="n">
        <v>0</v>
      </c>
      <c r="D22266" t="inlineStr">
        <is>
          <t>Marteau des Anciens Steamers; Amulette des Chocomanciens; Alliance Gloursonne; Anneau Volkorne; Quatre-feuilles; Ceinture Voldelor; Némès de Tal Kasha; Cape des Malveilleurs; Bottes Voldelor; Dofus Turquoise; Dofus Ocre; Dofus Pourpre; Dofus Ivoire; Nomade; Remueur; Mini Wa</t>
        </is>
      </c>
    </row>
    <row r="22267">
      <c r="A22267" t="inlineStr">
        <is>
          <t>Crâ F 200</t>
        </is>
      </c>
      <c r="B22267">
        <f>HYPERLINK("https://www.dofusbook.net/fr/equipement/5244850-cra-f-200/objets", "link")</f>
        <v/>
      </c>
      <c r="C22267" t="n">
        <v>0</v>
      </c>
      <c r="D22267" t="inlineStr">
        <is>
          <t>Épée du Granduk; Amibou; Anneau d'Allister; Alliance Gloursonne; Quatre-feuilles; Sangle Oriole; Capuche de Moum-Ra; Capibou; Palmes Trithons; Dofus Ocre; Dofus Turquoise; Dofus Ivoire; Nomade; Remueur; Cascadeur majeur; Dragodinde Ebène</t>
        </is>
      </c>
    </row>
    <row r="22268">
      <c r="A22268" t="inlineStr">
        <is>
          <t>Iop M 200</t>
        </is>
      </c>
      <c r="B22268">
        <f>HYPERLINK("https://www.dofusbook.net/fr/equipement/5217097-iop-m-200/objets", "link")</f>
        <v/>
      </c>
      <c r="C22268" t="n">
        <v>0</v>
      </c>
      <c r="D22268" t="inlineStr">
        <is>
          <t>Épée Brûlâme; Amulette Cryochrone; Alliance du Lévitrof; Lavanneau; Bouclier du Captain Amakna; Ceinture de l'Esprit Malsain; Casquette de Meno; Cape de la Dame du Hasard; Bottes de la Dame du Hasard; Dofus Ocre; Dofus Pourpre; Dofus Turquoise; Dofus Émeraude; Nomade; Remueur; Walk</t>
        </is>
      </c>
    </row>
    <row r="22269">
      <c r="A22269" t="inlineStr">
        <is>
          <t>New-Pvm</t>
        </is>
      </c>
      <c r="B22269">
        <f>HYPERLINK("https://www.dofusbook.net/fr/equipement/2295133-new-pvm/objets", "link")</f>
        <v/>
      </c>
      <c r="C22269" t="n">
        <v>1</v>
      </c>
      <c r="D22269" t="inlineStr">
        <is>
          <t>Bâthon; Amulette Volkorne; Alliance Brûlâme; Bague Gloursonne; Bouclier du Stalak; Ceinture Volkorne; Chapeau de Gein; Voile d'encre; Bottes de Mille Lieues; Dolmanax; Dofus Ocre; Dofus Pourpre; Dofus des Glaces; Dofus Abyssal; Dofus Turquoise; Cromeugnon</t>
        </is>
      </c>
    </row>
    <row r="22270">
      <c r="A22270" t="inlineStr">
        <is>
          <t>Stuff 3</t>
        </is>
      </c>
      <c r="B22270">
        <f>HYPERLINK("https://www.dofusbook.net/fr/equipement/517724-stuff-3/objets", "link")</f>
        <v/>
      </c>
      <c r="C22270" t="n">
        <v>22</v>
      </c>
      <c r="D22270" t="inlineStr">
        <is>
          <t>Arc de Koutoulou; Amulette du Strigide; Alliance Gloursonne; Anneau Volkorne; Quatre-feuilles; Ceinture du Strigide; Casque Volkorne; Cape du Barbétoal; Bottes du Strigide; Dofus Ocre; Dofus Turquoise; Dofus Abyssal; Dolmanax; Dofus des Glaces; Dofus Pourpre</t>
        </is>
      </c>
    </row>
    <row r="22271">
      <c r="A22271" t="inlineStr">
        <is>
          <t>PvM</t>
        </is>
      </c>
      <c r="B22271">
        <f>HYPERLINK("https://www.dofusbook.net/fr/equipement/517738-pvm/objets", "link")</f>
        <v/>
      </c>
      <c r="C22271" t="n">
        <v>0</v>
      </c>
      <c r="D22271" t="inlineStr">
        <is>
          <t>Marteau des égarés; Amulette du Strigide; Anneau Volkorne; Alliance Gloursonne; Bouclier du Stalak; Ceinture du Strigide; Casque Volkorne; Cape de Jahash Jurgen; Bottes du Strigide; Dofus des Glaces; Dofus Abyssal; Dofus Ocre; Dofus Pourpre; Dofus Turquoise; Dolmanax; Muldo Doré et Emeraude</t>
        </is>
      </c>
    </row>
    <row r="22272">
      <c r="A22272" t="inlineStr">
        <is>
          <t>Air-Eau</t>
        </is>
      </c>
      <c r="B22272">
        <f>HYPERLINK("https://www.dofusbook.net/fr/equipement/517740-air-eau/objets", "link")</f>
        <v/>
      </c>
      <c r="C22272" t="n">
        <v>0</v>
      </c>
      <c r="D22272" t="inlineStr">
        <is>
          <t>Arc de Koutoulou; Amulette Voldelor; Anneau Tique; Alliance Gloursonne; Quatre-feuilles; Ceinture Voldelor; Némès de Tal Kasha; Chevelure de Tal Kasha; Sandales de Tal Kasha; Dolmanax; Dofus des Glaces; Dofus Pourpre; Dofus Ocre; Dofus Turquoise; Dofus Nébuleux; Muldo Ebène</t>
        </is>
      </c>
    </row>
    <row r="22273">
      <c r="A22273" t="inlineStr">
        <is>
          <t>MultiDopou</t>
        </is>
      </c>
      <c r="B22273">
        <f>HYPERLINK("https://www.dofusbook.net/fr/equipement/517748-multidopou/objets", "link")</f>
        <v/>
      </c>
      <c r="C22273" t="n">
        <v>3</v>
      </c>
      <c r="D22273" t="inlineStr">
        <is>
          <t>Héqache; Amulette du Strigide; Bague Trithon; Alliance Gloursonne; Bouclier d'Ilyzaelle; Ceinture du Strigide; Masque Trithon; Cape du Cœur Vaillant; Bottes Trithon; Dofus Abyssal; Dofus Pourpre; Dolmanax; Dofus Vulbis; Dofus Ivoire; Dofus Ocre; Volkorne Améthyste et Roux</t>
        </is>
      </c>
    </row>
    <row r="22274">
      <c r="A22274" t="inlineStr">
        <is>
          <t>Stuff 3</t>
        </is>
      </c>
      <c r="B22274">
        <f>HYPERLINK("https://www.dofusbook.net/fr/equipement/517721-stuff-3/objets", "link")</f>
        <v/>
      </c>
      <c r="C22274" t="n">
        <v>0</v>
      </c>
      <c r="D22274" t="inlineStr">
        <is>
          <t>Epée Toche; Amulette du Strigide; Chevalière du Roi Joueur; Bague Gloursonne; Bouclier cubiste; Ceinture du Strigide; Couronne du Roi Joueur; Voile d'encre; Bottes du Roi Joueur; Dofus Turquoise; Dofus des Glaces; Dofus Ocre; Dofus Abyssal; Dofus Pourpre; Dolmanax; Muldo Orchidée et Pourpre</t>
        </is>
      </c>
    </row>
    <row r="22275">
      <c r="A22275" t="inlineStr">
        <is>
          <t>Stuff 1</t>
        </is>
      </c>
      <c r="B22275">
        <f>HYPERLINK("https://www.dofusbook.net/fr/equipement/517728-stuff-1/objets", "link")</f>
        <v/>
      </c>
      <c r="C22275" t="n">
        <v>0</v>
      </c>
      <c r="D22275" t="inlineStr">
        <is>
          <t>Arc corrompu; Pendentif affamé; Anneau de Nidas; Anneauræus; Cadran de Feu; Ceinture Séculaire; Heaume Oplate; Voile d'encre; Bottes Innommables; Dofus Abyssal; Dofus Émeraude; Déserteur majeur; Érudit majeur; Remueur; Miraculé majeur; Muldo Indigo et Orchidée</t>
        </is>
      </c>
    </row>
    <row r="22276">
      <c r="A22276" t="inlineStr">
        <is>
          <t>Stuff 3</t>
        </is>
      </c>
      <c r="B22276">
        <f>HYPERLINK("https://www.dofusbook.net/fr/equipement/517730-stuff-3/objets", "link")</f>
        <v/>
      </c>
      <c r="C22276" t="n">
        <v>0</v>
      </c>
      <c r="D22276" t="inlineStr">
        <is>
          <t>Lance corrompue; Amulette du Kamasterisk; Bague Gloursonne; Alliance Gloursonne; Bouclier du Stalak; Ceintouse; Chapoulpe; Cape du Kamasterisk; Tentassons; Dofus Abyssal; Dofus Émeraude; Dofus Ocre; Dolmanax; Dofus des Glaces; Dofus Pourpre; Muldo Ebène et Pourpre</t>
        </is>
      </c>
    </row>
    <row r="22277">
      <c r="A22277" t="inlineStr">
        <is>
          <t>Stuff 1</t>
        </is>
      </c>
      <c r="B22277">
        <f>HYPERLINK("https://www.dofusbook.net/fr/equipement/517722-stuff-1/objets", "link")</f>
        <v/>
      </c>
      <c r="C22277" t="n">
        <v>0</v>
      </c>
      <c r="D22277" t="inlineStr">
        <is>
          <t>Arc du Chalœil; Amulette du Strigide; Bague Gloursonne; Anneau Crustique; Quatre-feuilles; Ceinture Gence; Coiffe de la Reine des Voleurs; Voile d'encre; Bottes du Strigide; Dolmanax; Dofus Turquoise; Dofus Pourpre; Dofus Abyssal; Enragé majeur; Remueur; Muldo Orchidée et Pourpre</t>
        </is>
      </c>
    </row>
    <row r="22278">
      <c r="A22278" t="inlineStr">
        <is>
          <t>Stuff 3</t>
        </is>
      </c>
      <c r="B22278">
        <f>HYPERLINK("https://www.dofusbook.net/fr/equipement/517760-stuff-3/objets", "link")</f>
        <v/>
      </c>
      <c r="C22278" t="n">
        <v>0</v>
      </c>
      <c r="D22278" t="inlineStr">
        <is>
          <t>Marteau des égarés; Amulette du Strigide; Alliance Gloursonne; Anneau Tique; Quatre-feuilles; Ceinture de l'Indicible; Le Dorado; Dofusteuse; Bottes du Strigide; Dofus Pourpre; Dofus Turquoise; Dolmanax; Nomade; Vigoureux majeur; Remueur; Kramkram</t>
        </is>
      </c>
    </row>
    <row r="22279">
      <c r="A22279" t="inlineStr">
        <is>
          <t>Stuff 2</t>
        </is>
      </c>
      <c r="B22279">
        <f>HYPERLINK("https://www.dofusbook.net/fr/equipement/517726-stuff-2/objets", "link")</f>
        <v/>
      </c>
      <c r="C22279" t="n">
        <v>0</v>
      </c>
      <c r="D22279" t="inlineStr">
        <is>
          <t>Le Thanos; Pendentif affamé; Anneau Tique; Alliance Gloursonne; Carapar; Ceinture de Vortex; Coiffe Séculaire; Voile d'encre; Bottes Innommables; Dofus Ocre; Dokoko; Dofus Émeraude; Dofus Abyssal; Remueur; Miraculé majeur; Muldo Orchidée</t>
        </is>
      </c>
    </row>
    <row r="22280">
      <c r="A22280" t="inlineStr">
        <is>
          <t>Stuff 1</t>
        </is>
      </c>
      <c r="B22280">
        <f>HYPERLINK("https://www.dofusbook.net/fr/equipement/517737-stuff-1/objets", "link")</f>
        <v/>
      </c>
      <c r="C22280" t="n">
        <v>0</v>
      </c>
      <c r="D22280" t="inlineStr">
        <is>
          <t>Hache du Chalœil; Amulette du Strigide; Alliance Gloursonne; Anneau Chevelu; Cadran d'Air; Ceintacé; Coiffe de la Reine des Voleurs; Voile d'encre; Bottes du Strigide; Dofus Pourpre; Dofus des Glaces; Dofus Turquoise; Dofus Abyssal; Dolmanax; Remueur; Muldo Indigo et Orchidée</t>
        </is>
      </c>
    </row>
    <row r="22281">
      <c r="A22281" t="inlineStr">
        <is>
          <t>Stuff 1</t>
        </is>
      </c>
      <c r="B22281">
        <f>HYPERLINK("https://www.dofusbook.net/fr/equipement/517725-stuff-1/objets", "link")</f>
        <v/>
      </c>
      <c r="C22281" t="n">
        <v>0</v>
      </c>
      <c r="D22281" t="inlineStr">
        <is>
          <t>Arc Hétype; Pendentif affamé; Alliance Gloursonne; Anneau Tique; Carapar; Ceinture Séculaire; Coiffe Séculaire; Voile d'encre; Bottes Innommables; Dofus Abyssal; Dofus Ocre; Dokoko; Remueur; Miraculé majeur; Érudit majeur; Muldo Orchidée</t>
        </is>
      </c>
    </row>
    <row r="22282">
      <c r="A22282" t="inlineStr">
        <is>
          <t>Stuff 1</t>
        </is>
      </c>
      <c r="B22282">
        <f>HYPERLINK("https://www.dofusbook.net/fr/equipement/517758-stuff-1/objets", "link")</f>
        <v/>
      </c>
      <c r="C22282" t="n">
        <v>0</v>
      </c>
      <c r="D22282" t="inlineStr">
        <is>
          <t>Manthache; Collier du Valet Veinard; Alliance Gloursonne; Gant du Valet Veinard; Cadran d'Air; Menoture; Capuche de Moum-Ra; Cape Indescriptible; Palmes Trithons; Dofus Pourpre; Nomade; Cascadeur majeur; Cavaleur majeur; Remueur; Carapace Air majeur; Kramkram</t>
        </is>
      </c>
    </row>
    <row r="22283">
      <c r="A22283" t="inlineStr">
        <is>
          <t>Stuff 2</t>
        </is>
      </c>
      <c r="B22283">
        <f>HYPERLINK("https://www.dofusbook.net/fr/equipement/517759-stuff-2/objets", "link")</f>
        <v/>
      </c>
      <c r="C22283" t="n">
        <v>0</v>
      </c>
      <c r="D22283" t="inlineStr">
        <is>
          <t>Baguette Range; Amulette du Strigide; Anneau Tique; Anneau de Padgref; Quatre-feuilles; Ceinture du Strigide; Coiffe de Padgref; Cape des Malveilleurs; Getas de Padgref; Dofus Ocre; Dofus Émeraude; Dolmanax; Dofus Turquoise; Dofus Pourpre; Puissant majeur; Muldo Prune et Orchidée</t>
        </is>
      </c>
    </row>
    <row r="22284">
      <c r="A22284" t="inlineStr">
        <is>
          <t>Stuff 3</t>
        </is>
      </c>
      <c r="B22284">
        <f>HYPERLINK("https://www.dofusbook.net/fr/equipement/517739-stuff-3/objets", "link")</f>
        <v/>
      </c>
      <c r="C22284" t="n">
        <v>0</v>
      </c>
      <c r="D22284" t="inlineStr">
        <is>
          <t>Arc de Koutoulou; Amulette du Strigide; Anneau Tique; Alliance Gloursonne; Cadran d'Air; Ceinture du Strigide; Némès de Tal Kasha; Chevelure de Tal Kasha; Sandales de Tal Kasha; Dofus Turquoise; Dofus des Glaces; Dofus Ocre; Dofus Abyssal; Dofus Pourpre; Dolmanax; Muldo Indigo et Orchidée</t>
        </is>
      </c>
    </row>
    <row r="22285">
      <c r="A22285" t="inlineStr">
        <is>
          <t>Stuff 1</t>
        </is>
      </c>
      <c r="B22285">
        <f>HYPERLINK("https://www.dofusbook.net/fr/equipement/517743-stuff-1/objets", "link")</f>
        <v/>
      </c>
      <c r="C22285" t="n">
        <v>0</v>
      </c>
      <c r="D22285" t="inlineStr">
        <is>
          <t>Arc Hétype; Amulette Séculaire; Anneau Tamie; Anneau Tamie; Bouclier du Stalak; Sangle Aise; Coiffe Séculaire; Cape de Nileza; Pataugastrique; Dofus Pourpre; Nomade; Érudit majeur; Remueur; Astucieux majeur; Vigoureux majeur; Brûlih</t>
        </is>
      </c>
    </row>
    <row r="22286">
      <c r="A22286" t="inlineStr">
        <is>
          <t>Stuff 1</t>
        </is>
      </c>
      <c r="B22286">
        <f>HYPERLINK("https://www.dofusbook.net/fr/equipement/517743-stuff-1/objets", "link")</f>
        <v/>
      </c>
      <c r="C22286" t="n">
        <v>0</v>
      </c>
      <c r="D22286" t="inlineStr">
        <is>
          <t>Arc Hétype; Amulette Séculaire; Anneau Tamie; Anneau Tamie; Bouclier du Stalak; Sangle Aise; Coiffe Séculaire; Cape de Nileza; Pataugastrique; Dofus Pourpre; Érudit majeur; Remueur; Astucieux majeur; Vigoureux majeur; Nomade; Brûlih</t>
        </is>
      </c>
    </row>
    <row r="22287">
      <c r="A22287" t="inlineStr">
        <is>
          <t>Stuff 3</t>
        </is>
      </c>
      <c r="B22287">
        <f>HYPERLINK("https://www.dofusbook.net/fr/equipement/517733-stuff-3/objets", "link")</f>
        <v/>
      </c>
      <c r="C22287" t="n">
        <v>0</v>
      </c>
      <c r="D22287" t="inlineStr">
        <is>
          <t>Dagues Érhy; Amulette du Strigide; Anneau Chevelu; Bague Gloursonne; Bouclier Taverne; Ceinture de Brouce; Bonnet Ko; Voile d'encre; Bottes du Strigide; Dofus Turquoise; Dofus Ocre; Dofus Pourpre; Nomade; Remueur; Vigoureux majeur; Muldo Prune et Doré</t>
        </is>
      </c>
    </row>
    <row r="22288">
      <c r="A22288" t="inlineStr">
        <is>
          <t>Stuff 2</t>
        </is>
      </c>
      <c r="B22288">
        <f>HYPERLINK("https://www.dofusbook.net/fr/equipement/517747-stuff-2/objets", "link")</f>
        <v/>
      </c>
      <c r="C22288" t="n">
        <v>1</v>
      </c>
      <c r="D22288" t="inlineStr">
        <is>
          <t>Sabres d'Atcham; Amulette du Strigide; Anneau Tique; Alliance Gloursonne; Bouclier Taverne; Ceintacé; Coiffe de Padgref; Cape d'Hel Munster; Bottes du Strigide; Dofus Turquoise; Dolmanax; Dofus Pourpre; Vigoureux majeur; Nomade; Remueur; Kramkram</t>
        </is>
      </c>
    </row>
    <row r="22289">
      <c r="A22289" t="inlineStr">
        <is>
          <t>Stuff 2</t>
        </is>
      </c>
      <c r="B22289">
        <f>HYPERLINK("https://www.dofusbook.net/fr/equipement/517720-stuff-2/objets", "link")</f>
        <v/>
      </c>
      <c r="C22289" t="n">
        <v>0</v>
      </c>
      <c r="D22289" t="inlineStr">
        <is>
          <t>Arc Hétype; Pendentif affamé; Anneau de Nidas; Anneau Tique; Ambrouclier; Ceinture de Gein; Couronne de Nidas; Voile d'encre; Pataugastrique; Érudit majeur; Miraculé majeur; Vagabond majeur; Déserteur majeur; Temporiseur majeur; Remueur; Muldo Indigo et Orchidée</t>
        </is>
      </c>
    </row>
    <row r="22290">
      <c r="A22290" t="inlineStr">
        <is>
          <t>Full terre</t>
        </is>
      </c>
      <c r="B22290">
        <f>HYPERLINK("https://www.dofusbook.net/fr/equipement/3163243-full-terre/objets", "link")</f>
        <v/>
      </c>
      <c r="C22290" t="n">
        <v>1</v>
      </c>
      <c r="D22290" t="inlineStr">
        <is>
          <t>Arc du Chalœil; Amulette du Cœur Saignant; Anneau Crustique; Anneau Chevelu; Quatre-feuilles; Ceinture Volkorne; Masque de Koutoulou; Cape au Logis; Bottes du Cœur Saignant; Dofus Ivoire; Dofus Pourpre; Dofus Ocre; Dofus Turquoise; Enragé majeur; Vigoureux majeur; Dragodinde Ivoire et Pourpre</t>
        </is>
      </c>
    </row>
    <row r="22291">
      <c r="A22291" t="inlineStr">
        <is>
          <t>DO CRI PVP</t>
        </is>
      </c>
      <c r="B22291">
        <f>HYPERLINK("https://www.dofusbook.net/fr/equipement/5971864-do-cri-pvp/objets", "link")</f>
        <v/>
      </c>
      <c r="C22291" t="n">
        <v>0</v>
      </c>
      <c r="D22291" t="inlineStr">
        <is>
          <t>Baguette de Torkélonia; Amulette du Strigide; Bague Gloursonne; Alliance Gloursonne; Quatre-feuilles; Ceinture du Strigide; Corne de Torkélonia; Carapace de Torkélonia; Bottes du Strigide; Dofus Pourpre; Dofus Ivoire; Dofus Turquoise; Dofus Abyssal; Dofus Ocre; Dofus des Glaces; Sakochère</t>
        </is>
      </c>
    </row>
    <row r="22292">
      <c r="A22292" t="inlineStr">
        <is>
          <t>Full EAU</t>
        </is>
      </c>
      <c r="B22292">
        <f>HYPERLINK("https://www.dofusbook.net/fr/equipement/2870191-full-eau-/objets", "link")</f>
        <v/>
      </c>
      <c r="C22292" t="n">
        <v>4</v>
      </c>
      <c r="D22292" t="inlineStr">
        <is>
          <t>Baguette Hique; Collier de la Dame du Hasard; Bracelet du Piloztère; Alliance Gloursonne; Quatre-feuilles; Pagne du Rykaon; Kidibonnet; Cape de la Dame du Hasard; Bottes Antouche; Dofus des Glaces; Dofus Ocre; Dofus Ivoire; Dofus Turquoise; Chanceux majeur; Nomade; Kokulte</t>
        </is>
      </c>
    </row>
    <row r="22293">
      <c r="A22293" t="inlineStr">
        <is>
          <t>Hetype</t>
        </is>
      </c>
      <c r="B22293">
        <f>HYPERLINK("https://www.dofusbook.net/fr/equipement/5667083-hetype/objets", "link")</f>
        <v/>
      </c>
      <c r="C22293" t="n">
        <v>0</v>
      </c>
      <c r="D22293" t="inlineStr">
        <is>
          <t>Arc Hétype; Amulette Volkorne; Anneauræus; Anneauræus; Carapar; Ceinture Volkorne; Heaume Oplate; Voile d'encre; Pataugastrique; Dofus Abyssal; Dofus Émeraude; Dofus Ivoire; Dofus Turquoise; Nomade; Érudit majeur; Dragodinde Orchidée</t>
        </is>
      </c>
    </row>
    <row r="22294">
      <c r="A22294" t="inlineStr">
        <is>
          <t>Tank/Duo</t>
        </is>
      </c>
      <c r="B22294">
        <f>HYPERLINK("https://www.dofusbook.net/fr/equipement/4580607-tank-duo/objets", "link")</f>
        <v/>
      </c>
      <c r="C22294" t="n">
        <v>5</v>
      </c>
      <c r="D22294" t="inlineStr">
        <is>
          <t>Rouleau à Pâtisserie d'Aermyne; Collier Rophante; Alliance Gloursonne; Anneau Crustique; Sept ans de malheur; Ceinture de Kongoku; Masque d'Anerice; Cape d'Anerice; Pataugastrique; Dokoko; Dofus Émeraude; Bloqueur majeur; Obstructeur majeur; Remueur; Miraculé majeur; Givrefoux</t>
        </is>
      </c>
    </row>
    <row r="22295">
      <c r="A22295" t="inlineStr">
        <is>
          <t>Full eau</t>
        </is>
      </c>
      <c r="B22295">
        <f>HYPERLINK("https://www.dofusbook.net/fr/equipement/3955337-full-eau/objets", "link")</f>
        <v/>
      </c>
      <c r="C22295" t="n">
        <v>0</v>
      </c>
      <c r="D22295" t="inlineStr">
        <is>
          <t>Bâton Carnivore; Amublop Coco; Gelano; Blopanneau Coco; Bouclier Abraknyde; Blopture Coco; Toady; Cape du Tofu Fou; Bloptes Coco; Survivant mineur; Puissant mineur; Saccageur Air mineur; Examinateur; Ravageur Air mineur</t>
        </is>
      </c>
    </row>
    <row r="22296">
      <c r="A22296" t="inlineStr">
        <is>
          <t>Terre pvm</t>
        </is>
      </c>
      <c r="B22296">
        <f>HYPERLINK("https://www.dofusbook.net/fr/equipement/5934818-terre-pvm/objets", "link")</f>
        <v/>
      </c>
      <c r="C22296" t="n">
        <v>0</v>
      </c>
      <c r="D22296" t="inlineStr">
        <is>
          <t>Dagues d'Ilyzaelle; Collier de Tourthon; Bague Gloursonne; Anneau de Brouce; Bouclier du Captain Amakna; Ceinture Gence; Masque de Koutoulou; Cape au Logis; Bottes de Brouce; Dofus Pourpre; Dofus Turquoise; Enragé majeur; Forcené majeur; Furibond majeur; Vigoureux majeur; Kompost</t>
        </is>
      </c>
    </row>
    <row r="22297">
      <c r="A22297" t="inlineStr">
        <is>
          <t>Air pvm</t>
        </is>
      </c>
      <c r="B22297">
        <f>HYPERLINK("https://www.dofusbook.net/fr/equipement/5934796-air-pvm/objets", "link")</f>
        <v/>
      </c>
      <c r="C22297" t="n">
        <v>0</v>
      </c>
      <c r="D22297" t="inlineStr">
        <is>
          <t>Pelle de la Cour Sombre; Collier du Valet Veinard; Gant du Valet Veinard; Alliance Gloursonne; Cadran d'Eau; Menoture; Couronne d'Allister; Cape Indescriptible; Palmes Trithons; Cascadeur majeur; Equilibriste majeur; Nomade; Robuste majeur; Vigoureux majeur; Remueur; Siroko</t>
        </is>
      </c>
    </row>
    <row r="22298">
      <c r="A22298" t="inlineStr">
        <is>
          <t>Air pvm</t>
        </is>
      </c>
      <c r="B22298">
        <f>HYPERLINK("https://www.dofusbook.net/fr/equipement/4580459-air-pvm/objets", "link")</f>
        <v/>
      </c>
      <c r="C22298" t="n">
        <v>1</v>
      </c>
      <c r="D22298" t="inlineStr">
        <is>
          <t>Pelle de la Cour Sombre; Collier du Valet Veinard; Gant du Valet Veinard; Alliance Gloursonne; Bouclier alvéolé; Menoture; Couronne d'Allister; Cape Indescriptible; Palmes Trithons; Dofus Abyssal; Dofus Ocre; Robuste majeur; Vigoureux majeur; Cascadeur majeur; Nomade; Siroko</t>
        </is>
      </c>
    </row>
    <row r="22299">
      <c r="A22299" t="inlineStr">
        <is>
          <t>Eau pvm</t>
        </is>
      </c>
      <c r="B22299">
        <f>HYPERLINK("https://www.dofusbook.net/fr/equipement/3706292-eau-pvm/objets", "link")</f>
        <v/>
      </c>
      <c r="C22299" t="n">
        <v>0</v>
      </c>
      <c r="D22299" t="inlineStr">
        <is>
          <t>Dagues Açantes; Amulette de Shokkoth; Bracelet du Piloztère; Alliance Gloursonne; Bouclier du Captain Amakna; Pagne du Rykaon; Kidibonnet; Cape de la Dame du Hasard; Bottes de la Dame du Hasard; Dofus Turquoise; Vigoureux majeur; Nomade; Remueur; Chanceux majeur; Dévastateur Eau majeur; Kokulte</t>
        </is>
      </c>
    </row>
    <row r="22300">
      <c r="A22300" t="inlineStr">
        <is>
          <t>Do cri pvm</t>
        </is>
      </c>
      <c r="B22300">
        <f>HYPERLINK("https://www.dofusbook.net/fr/equipement/5406033-do-cri-pvm/objets", "link")</f>
        <v/>
      </c>
      <c r="C22300" t="n">
        <v>1</v>
      </c>
      <c r="D22300" t="inlineStr">
        <is>
          <t>Dagues Ricol; Amulette du Strigide; Bague Gloursonne; Anneau de Padgref; Bouclier du Captain Amakna; Ceinture du Strigide; Coiffe de Padgref; Cape du Professeur Xa; Getas de Padgref; Dofus Ocre; Dofus Pourpre; Dofus des Glaces; Dofus Turquoise; Dofus Abyssal; Astucieux majeur; Kokulte</t>
        </is>
      </c>
    </row>
    <row r="22301">
      <c r="A22301" t="inlineStr">
        <is>
          <t>Feu pvm</t>
        </is>
      </c>
      <c r="B22301">
        <f>HYPERLINK("https://www.dofusbook.net/fr/equipement/5378378-feu-pvm/objets", "link")</f>
        <v/>
      </c>
      <c r="C22301" t="n">
        <v>9</v>
      </c>
      <c r="D22301" t="inlineStr">
        <is>
          <t>Dagues Érhy; Amulette Volkorne; Anneauræus; Anneauræus; Bouclier du Captain Amakna; Ceinture Volkorne; Heaume Oplate; Voile d'encre; Pataugastrique; Dofus des Glaces; Dofus Turquoise; Dofus Pourpre; Érudit majeur; Astucieux majeur; Vigoureux majeur; Bisouglours</t>
        </is>
      </c>
    </row>
    <row r="22302">
      <c r="A22302" t="inlineStr">
        <is>
          <t>Do cri pvm</t>
        </is>
      </c>
      <c r="B22302">
        <f>HYPERLINK("https://www.dofusbook.net/fr/equipement/5414183-do-cri-pvm/objets", "link")</f>
        <v/>
      </c>
      <c r="C22302" t="n">
        <v>0</v>
      </c>
      <c r="D22302" t="inlineStr">
        <is>
          <t>Dagues Ricol; Amulette du Strigide; Bague Gloursonne; Anneau de Padgref; Bouclier du Captain Amakna; Ceinture du Strigide; Coiffe de Padgref; Cape du Professeur Xa; Getas de Padgref; Dofus Turquoise; Dofus Abyssal; Dofus Ocre; Dofus Pourpre; Dofus des Glaces; Astucieux majeur; Kokulte</t>
        </is>
      </c>
    </row>
    <row r="22303">
      <c r="A22303" t="inlineStr">
        <is>
          <t>Feu pvm</t>
        </is>
      </c>
      <c r="B22303">
        <f>HYPERLINK("https://www.dofusbook.net/fr/equipement/1454661-feu-pvm/objets", "link")</f>
        <v/>
      </c>
      <c r="C22303" t="n">
        <v>1</v>
      </c>
      <c r="D22303" t="inlineStr">
        <is>
          <t>Harpelle; Pendentif affamé; Anneau de Nidas; Bague Gloursonne; Bivalve; Ceinture Séculaire; Couronne de Nidas; Cape de Diondin; Bottes Innommables; Dofus Turquoise; Guérisseur majeur; Nomade; Savant majeur; Remueur; Érudit majeur; Brûlih</t>
        </is>
      </c>
    </row>
    <row r="22304">
      <c r="A22304" t="inlineStr">
        <is>
          <t>Terre pvm</t>
        </is>
      </c>
      <c r="B22304">
        <f>HYPERLINK("https://www.dofusbook.net/fr/equipement/5306569-terre-pvm/objets", "link")</f>
        <v/>
      </c>
      <c r="C22304" t="n">
        <v>0</v>
      </c>
      <c r="D22304" t="inlineStr">
        <is>
          <t>Lav'Hache; Collier de Tourthon; Anneau Crustique; Anneau Crustique; Bouclier alvéolé; Ceinture de la Cour Sombre; Masque de Koutoulou; Cape au Logis; Bottes de la Cour Sombre; Dofus Émeraude; Obstructeur majeur; Forcené majeur; Remueur; Enragé majeur; Vigoureux majeur; Dragodinde Pourpre</t>
        </is>
      </c>
    </row>
    <row r="22305">
      <c r="A22305" t="inlineStr">
        <is>
          <t>Terre pvm</t>
        </is>
      </c>
      <c r="B22305">
        <f>HYPERLINK("https://www.dofusbook.net/fr/equipement/3661387-terre-pvm/objets", "link")</f>
        <v/>
      </c>
      <c r="C22305" t="n">
        <v>1</v>
      </c>
      <c r="D22305" t="inlineStr">
        <is>
          <t>Dagues d'Ilyzaelle; Collier de Tourthon; Anneau de Brouce; Bague Gloursonne; Bouclier du Captain Amakna; Ceinture Gence; Masque de Koutoulou; Cape au Logis; Bottes de Brouce; Dofus Turquoise; Dofus Pourpre; Enragé majeur; Forcené majeur; Furibond majeur; Vigoureux majeur; Kompost</t>
        </is>
      </c>
    </row>
    <row r="22306">
      <c r="A22306" t="inlineStr">
        <is>
          <t>Eau Ret PM</t>
        </is>
      </c>
      <c r="B22306">
        <f>HYPERLINK("https://www.dofusbook.net/fr/equipement/2013995-eau-ret-pm/objets", "link")</f>
        <v/>
      </c>
      <c r="C22306" t="n">
        <v>1</v>
      </c>
      <c r="D22306" t="inlineStr">
        <is>
          <t>Baguette Hique; Collier de la Dame du Hasard; Alliance Gloursonne; Bracelet du Piloztère; Bouclier cubiste; Ceinture Glaciale; Kidibonnet; Cape de Meno; Bottes de la Dame du Hasard; Temporiseur majeur; Nomade; Chanceux majeur; Dévastateur Eau majeur; Entraveur majeur; Remueur; Léopardo</t>
        </is>
      </c>
    </row>
    <row r="22307">
      <c r="A22307" t="inlineStr">
        <is>
          <t>Eau pvm</t>
        </is>
      </c>
      <c r="B22307">
        <f>HYPERLINK("https://www.dofusbook.net/fr/equipement/2698992-eau-pvm/objets", "link")</f>
        <v/>
      </c>
      <c r="C22307" t="n">
        <v>3</v>
      </c>
      <c r="D22307" t="inlineStr">
        <is>
          <t>Dagues Açantes; Amulette de Shokkoth; Alliance Gloursonne; Bracelet du Piloztère; Bouclier du Captain Amakna; Pagne du Rykaon; Kidibonnet; Cape de la Dame du Hasard; Bottes de la Dame du Hasard; Dofus Turquoise; Chanceux majeur; Taquin majeur; Vigoureux majeur; Nomade; Remueur; Kokulte</t>
        </is>
      </c>
    </row>
    <row r="22308">
      <c r="A22308" t="inlineStr">
        <is>
          <t>Feu pvm</t>
        </is>
      </c>
      <c r="B22308">
        <f>HYPERLINK("https://www.dofusbook.net/fr/equipement/4274865-feu-pvm/objets", "link")</f>
        <v/>
      </c>
      <c r="C22308" t="n">
        <v>0</v>
      </c>
      <c r="D22308" t="inlineStr">
        <is>
          <t>Arc corrompu; Amulette Volkorne; Anneauræus; Anneauræus; Bouclier du Stalak; Ceinture Volkorne; Chapeau Lithique; Cape de Diondin; Bottes Innommables; Dévastateur Feu majeur; Astucieux majeur; Observateur; Remueur; Érudit majeur; Nomade; Brûlih</t>
        </is>
      </c>
    </row>
    <row r="22309">
      <c r="A22309" t="inlineStr">
        <is>
          <t>Air pvm</t>
        </is>
      </c>
      <c r="B22309">
        <f>HYPERLINK("https://www.dofusbook.net/fr/equipement/3661583-air-pvm/objets", "link")</f>
        <v/>
      </c>
      <c r="C22309" t="n">
        <v>0</v>
      </c>
      <c r="D22309" t="inlineStr">
        <is>
          <t>Pelle de la Cour Sombre; Collier du Valet Veinard; Gant du Valet Veinard; Alliance Gloursonne; Bouclier du Stalak; Menoture; Couronne d'Allister; Cape Indescriptible; Palmes Trithons; Nomade; Equilibriste majeur; Vigoureux majeur; Remueur; Cascadeur majeur; Dévastateur Air majeur; Siroko</t>
        </is>
      </c>
    </row>
    <row r="22310">
      <c r="A22310" t="inlineStr">
        <is>
          <t>Pvm do cri</t>
        </is>
      </c>
      <c r="B22310">
        <f>HYPERLINK("https://www.dofusbook.net/fr/equipement/4039103-pvm-do-cri/objets", "link")</f>
        <v/>
      </c>
      <c r="C22310" t="n">
        <v>2</v>
      </c>
      <c r="D22310" t="inlineStr">
        <is>
          <t>Héqache; Amulette du Strigide; Bague Gloursonne; Alliance Gloursonne; Bouclier du Captain Amakna; Ceinture du Strigide; Corne de Torkélonia; Carapace de Torkélonia; Bottes du Strigide; Dofus Turquoise; Dofus Ocre; Dofus des Glaces; Dofus Pourpre; Dofus Nébuleux; Voyageur; Pioute vert</t>
        </is>
      </c>
    </row>
    <row r="22311">
      <c r="A22311" t="inlineStr">
        <is>
          <t>Terre pvm</t>
        </is>
      </c>
      <c r="B22311">
        <f>HYPERLINK("https://www.dofusbook.net/fr/equipement/4054767-terre-pvm/objets", "link")</f>
        <v/>
      </c>
      <c r="C22311" t="n">
        <v>2</v>
      </c>
      <c r="D22311" t="inlineStr">
        <is>
          <t>Dagues d'Ilyzaelle; Collier de Tourthon; Bague Gloursonne; Anneau de Brouce; Bouclier du Captain Amakna; Ceinture Gence; Masque de Koutoulou; Cape au Logis; Bottes de Brouce; Dofus Nébuleux; Dofus Ocre; Dofus Pourpre; Dofus Turquoise; Vigoureux majeur; Furibond majeur; Pioute vert</t>
        </is>
      </c>
    </row>
    <row r="22312">
      <c r="A22312" t="inlineStr">
        <is>
          <t>Féca M 200</t>
        </is>
      </c>
      <c r="B22312">
        <f>HYPERLINK("https://www.dofusbook.net/fr/equipement/5541516-feca-m-200/objets", "link")</f>
        <v/>
      </c>
      <c r="C22312" t="n">
        <v>0</v>
      </c>
      <c r="D22312" t="inlineStr">
        <is>
          <t>Marteau R'ture; Collier de Tourthon; Anneau Crustique; Anneau Crustique; Bouclier alvéolé; Ceintouse; Masque de Koutoulou; Cape au Logis; Tentassons; Dofus Abyssal; Dofus Ocre; Dofus Turquoise; Dofus Ivoire; Dofus Pourpre; Enragé majeur; Drakopin</t>
        </is>
      </c>
    </row>
    <row r="22313">
      <c r="A22313" t="inlineStr">
        <is>
          <t>Full feu</t>
        </is>
      </c>
      <c r="B22313">
        <f>HYPERLINK("https://www.dofusbook.net/fr/equipement/5692829-full-feu/objets", "link")</f>
        <v/>
      </c>
      <c r="C22313" t="n">
        <v>4</v>
      </c>
      <c r="D22313" t="inlineStr">
        <is>
          <t>Arc corrompu; Amulette Volkorne; Anneau Tamie; Anneau Tamie; Bouclier du Stalak; Ceinture Volkorne; Heaume Oplate; Voile d'encre; Bottes Innommables; Dofus Pourpre; Dofus des Glaces; Nomade; Remueur; Érudit majeur; Dévastateur Feu majeur; Bisouglours</t>
        </is>
      </c>
    </row>
    <row r="22314">
      <c r="A22314" t="inlineStr">
        <is>
          <t>Sram M 200</t>
        </is>
      </c>
      <c r="B22314">
        <f>HYPERLINK("https://www.dofusbook.net/fr/equipement/5406360-sram-m-200/objets", "link")</f>
        <v/>
      </c>
      <c r="C22314" t="n">
        <v>0</v>
      </c>
      <c r="D22314" t="inlineStr">
        <is>
          <t>Arc du Chalœil; Amulette Volkorne; Bague Gloursonne; Anneau Crustique; Quatre-feuilles; Ceinture Volkorne; Masque de Koutoulou; Cape au Logis; Bottes de la Cour Sombre; Dofus Ocre; Dofus des Glaces; Dofus Nébuleux; Dofus Pourpre; Enragé majeur; Vigoureux majeur; Pioute vert</t>
        </is>
      </c>
    </row>
    <row r="22315">
      <c r="A22315" t="inlineStr">
        <is>
          <t>Feu soin</t>
        </is>
      </c>
      <c r="B22315">
        <f>HYPERLINK("https://www.dofusbook.net/fr/equipement/2452594-feu-soin/objets", "link")</f>
        <v/>
      </c>
      <c r="C22315" t="n">
        <v>2</v>
      </c>
      <c r="D22315" t="inlineStr">
        <is>
          <t>Le Thanos; Amulette d'Otomaï; Anneau de Nidas; Anneauræus; Carapar; Ceinture de Vortex; Couronne de Nidas; Cape de Diondin; Bottes Innommables; Dofus Ocre; Dofus Turquoise; Dofus Ivoire; Nomade; Guérisseur majeur; Érudit majeur; Dragodinde Orchidée et Rousse</t>
        </is>
      </c>
    </row>
    <row r="22316">
      <c r="A22316" t="inlineStr">
        <is>
          <t>Iop M 200</t>
        </is>
      </c>
      <c r="B22316">
        <f>HYPERLINK("https://www.dofusbook.net/fr/equipement/5435517-iop-m-200/objets", "link")</f>
        <v/>
      </c>
      <c r="C22316" t="n">
        <v>1</v>
      </c>
      <c r="D22316" t="inlineStr">
        <is>
          <t>Dagues du Dragoeuf; Amulette du Strigide; Alliance Gloursonne; Bague Gloursonne; Cadran d'Eau; Ceinture du Strigide; Corne de Torkélonia; Carapace de Torkélonia; Bottes du Strigide; Dofus Émeraude; Dofus Turquoise; Dofus Nébuleux; Dofus Ocre; Dofus Pourpre; Dofus Abyssal; Kokulte</t>
        </is>
      </c>
    </row>
    <row r="22317">
      <c r="A22317" t="inlineStr">
        <is>
          <t>Ré crit</t>
        </is>
      </c>
      <c r="B22317">
        <f>HYPERLINK("https://www.dofusbook.net/fr/equipement/4027796-re-crit/objets", "link")</f>
        <v/>
      </c>
      <c r="C22317" t="n">
        <v>3</v>
      </c>
      <c r="D22317" t="inlineStr">
        <is>
          <t>Arc du Chalœil; Torquistik; Anneau Chevelu; Bague Gloursonne; Bouclier du Stalak; Ceinture de la Reine des Voleurs; Coiffe de la Reine des Voleurs; Cape au Logis; Baleinabottes; Dofus Ocre; Dofus Pourpre; Dofus Abyssal; Dofus Turquoise; Dofus Ivoire; Enragé majeur; Bouftor</t>
        </is>
      </c>
    </row>
    <row r="22318">
      <c r="A22318" t="inlineStr">
        <is>
          <t>Féca M 200</t>
        </is>
      </c>
      <c r="B22318">
        <f>HYPERLINK("https://www.dofusbook.net/fr/equipement/5305353-feca-m-200/objets", "link")</f>
        <v/>
      </c>
      <c r="C22318" t="n">
        <v>1</v>
      </c>
      <c r="D22318" t="inlineStr">
        <is>
          <t>Arc corrompu; Amulette Volkorne; Anneauræus; Anneauræus; Quatre-feuilles; Ceinture Volkorne; Heaume Oplate; Voile d'encre; Bottes Innommables; Dofus Ocre; Dofus Ivoire; Dofus Turquoise; Dofus Abyssal; Nomade; Érudit majeur; Brûlih</t>
        </is>
      </c>
    </row>
    <row r="22319">
      <c r="A22319" t="inlineStr">
        <is>
          <t>Full eau</t>
        </is>
      </c>
      <c r="B22319">
        <f>HYPERLINK("https://www.dofusbook.net/fr/equipement/2726372-full-eau/objets", "link")</f>
        <v/>
      </c>
      <c r="C22319" t="n">
        <v>1</v>
      </c>
      <c r="D22319" t="inlineStr">
        <is>
          <t>Dagoulinantes; Amulette de Shokkoth; Alliance Gloursonne; Bracelet du Piloztère; Bouclier du Captain Amakna; Pagne du Rykaon; Kidibonnet; Cape de la Dame du Hasard; Bottes de la Dame du Hasard; Dofus Turquoise; Dévastateur Eau majeur; Remueur; Nomade; Miraculé majeur; Chanceux majeur; Dragodinde Indigo et Ivoire</t>
        </is>
      </c>
    </row>
    <row r="22320">
      <c r="A22320" t="inlineStr">
        <is>
          <t>Zobal F 200</t>
        </is>
      </c>
      <c r="B22320">
        <f>HYPERLINK("https://www.dofusbook.net/fr/equipement/5298614-zobal-f-200/objets", "link")</f>
        <v/>
      </c>
      <c r="C22320" t="n">
        <v>1</v>
      </c>
      <c r="D22320" t="inlineStr">
        <is>
          <t>Dagues d'Ilyzaelle; Collier de Tourthon; Bague Gloursonne; Anneau de Brouce; Bouclier du Captain Amakna; Ceinture Gence; Masque de Koutoulou; Cape au Logis; Bottes de Brouce; Dofus Émeraude; Dofus Turquoise; Vigoureux majeur; Miraculé majeur; Furibond majeur; Enragé majeur; Dragodinde Ivoire et Pourpre</t>
        </is>
      </c>
    </row>
    <row r="22321">
      <c r="A22321" t="inlineStr">
        <is>
          <t>Terre/Ret PA</t>
        </is>
      </c>
      <c r="B22321">
        <f>HYPERLINK("https://www.dofusbook.net/fr/equipement/184846-terre-ret-pa/objets", "link")</f>
        <v/>
      </c>
      <c r="C22321" t="n">
        <v>30</v>
      </c>
      <c r="D22321" t="inlineStr">
        <is>
          <t>Héqache; Collier de Tourthon; Anneau Crustique; Anneau Crustique; Bouclier d'Ilyzaelle; Ceintouse; Masque de Koutoulou; Cape au Logis; Tentassons; Dofus Émeraude; Dofus Ocre; Dofus Abyssal; Dofus Turquoise; Étourdisseur majeur; Enragé majeur; Koalak Sanguin</t>
        </is>
      </c>
    </row>
    <row r="22322">
      <c r="A22322" t="inlineStr">
        <is>
          <t>Feu</t>
        </is>
      </c>
      <c r="B22322">
        <f>HYPERLINK("https://www.dofusbook.net/fr/equipement/4039256-feu/objets", "link")</f>
        <v/>
      </c>
      <c r="C22322" t="n">
        <v>1</v>
      </c>
      <c r="D22322" t="inlineStr">
        <is>
          <t>Arc corrompu; Amulette Volkorne; Anneauræus; Bague Gloursonne; Quatre-feuilles; Ceinture Volkorne; Heaume Oplate; Voile d'encre; Bottes Innommables; Dofus Pourpre; Dofus Ocre; Dofus Abyssal; Carapace Terre majeur; Érudit majeur; Nomade; Bisouglours</t>
        </is>
      </c>
    </row>
    <row r="22323">
      <c r="A22323" t="inlineStr">
        <is>
          <t>Terre/eau</t>
        </is>
      </c>
      <c r="B22323">
        <f>HYPERLINK("https://www.dofusbook.net/fr/equipement/4698367-terre-eau/objets", "link")</f>
        <v/>
      </c>
      <c r="C22323" t="n">
        <v>0</v>
      </c>
      <c r="D22323" t="inlineStr">
        <is>
          <t>Dagues de Srambad; Amulette Volkorne; Anneau Volkorne; Alliance Gloursonne; Bouclier d'Ilyzaelle; Ceinture Volkorne; Casque en Grithril; Voile d'encre; Bottes Honyme; Dofus des Glaces; Dofus Ocre; Dofus Abyssal; Dofus Ivoire; Dofus Pourpre; Dofus Ébène; Bébé Pandawa</t>
        </is>
      </c>
    </row>
    <row r="22324">
      <c r="A22324" t="inlineStr">
        <is>
          <t>Full terre</t>
        </is>
      </c>
      <c r="B22324">
        <f>HYPERLINK("https://www.dofusbook.net/fr/equipement/1548767-full-terre/objets", "link")</f>
        <v/>
      </c>
      <c r="C22324" t="n">
        <v>2</v>
      </c>
      <c r="D22324" t="inlineStr">
        <is>
          <t>Marteau R'ture; Collier de Tourthon; Bague Gloursonne; Anneau de Brouce; Cadran d'Eau; Ceinture Gence; Masque de Koutoulou; Cape au Logis; Bottes de Brouce; Dofus Pourpre; Enragé majeur; Nomade; Forcené majeur; Vigoureux majeur; Dévastateur Terre majeur; Bulbisou</t>
        </is>
      </c>
    </row>
    <row r="22325">
      <c r="A22325" t="inlineStr">
        <is>
          <t>Full eau</t>
        </is>
      </c>
      <c r="B22325">
        <f>HYPERLINK("https://www.dofusbook.net/fr/equipement/822989-full-eau/objets", "link")</f>
        <v/>
      </c>
      <c r="C22325" t="n">
        <v>3</v>
      </c>
      <c r="D22325" t="inlineStr"/>
    </row>
    <row r="22326">
      <c r="A22326" t="inlineStr">
        <is>
          <t>Arc guten</t>
        </is>
      </c>
      <c r="B22326">
        <f>HYPERLINK("https://www.dofusbook.net/fr/equipement/1546935-arc-guten/objets", "link")</f>
        <v/>
      </c>
      <c r="C22326" t="n">
        <v>0</v>
      </c>
      <c r="D22326" t="inlineStr">
        <is>
          <t>Arc de Guten Tak; Amulette du Strigide; Bague Trithon; Anneau Chevelu; Quatre-feuilles; Ceinture du Strigide; Masque Trithon; Cape au Logis; Bottes Trithon; Dofus Pourpre; Dofus des Glaces; Dofus Turquoise; Dofus Abyssal; Dofus Ocre; Dofus Ivoire; Kokulte</t>
        </is>
      </c>
    </row>
    <row r="22327">
      <c r="A22327" t="inlineStr">
        <is>
          <t>Crâ M 200</t>
        </is>
      </c>
      <c r="B22327">
        <f>HYPERLINK("https://www.dofusbook.net/fr/equipement/4363172-cra-m-200/objets", "link")</f>
        <v/>
      </c>
      <c r="C22327" t="n">
        <v>2</v>
      </c>
      <c r="D22327" t="inlineStr">
        <is>
          <t>Epée Gloursonne; Amulette du Strigide; Bague Gloursonne; Alliance Gloursonne; Quatre-feuilles; Ceinture du Strigide; Casque du Chalœil; Cape au Logis; Bottes du Strigide; Dofus des Glaces; Dofus Turquoise; Dofus Pourpre; Voyageur; Sakochère</t>
        </is>
      </c>
    </row>
    <row r="22328">
      <c r="A22328" t="inlineStr">
        <is>
          <t>Pandawa M 200 songes</t>
        </is>
      </c>
      <c r="B22328">
        <f>HYPERLINK("https://www.dofusbook.net/fr/equipement/4382545-pandawa-m-200-songes/objets", "link")</f>
        <v/>
      </c>
      <c r="C22328" t="n">
        <v>1</v>
      </c>
      <c r="D22328" t="inlineStr">
        <is>
          <t>La Baguette des Limbes; Kralamansion; Alliance Gloursonne; Anneau Raille; Bouclier du serrurier; Sangle Huée; Chapeau Lithique; Cape Wéra; Getas Bernacle; Dokoko; Dofus Émeraude; Dofus Argenté; Examinateur; Survivant majeur; Voyageur; Kougnard</t>
        </is>
      </c>
    </row>
    <row r="22329">
      <c r="A22329" t="inlineStr">
        <is>
          <t>Crâ F 200</t>
        </is>
      </c>
      <c r="B22329">
        <f>HYPERLINK("https://www.dofusbook.net/fr/equipement/4269630-cra-f-200/objets", "link")</f>
        <v/>
      </c>
      <c r="C22329" t="n">
        <v>0</v>
      </c>
      <c r="D22329" t="inlineStr">
        <is>
          <t>Arc du Chalœil; Collier de Tourthon; Bague Gloursonne; Anneau de Brouce; Quatre-feuilles; Ceinture Gence; Masque de Koutoulou; Cape au Logis; Bottes de Brouce; Dofus Pourpre; Dofus Turquoise; Forcené majeur; Vigoureux majeur; Enragé majeur; Nomade; Bulbisou</t>
        </is>
      </c>
    </row>
    <row r="22330">
      <c r="A22330" t="inlineStr">
        <is>
          <t>Tank/duotage</t>
        </is>
      </c>
      <c r="B22330">
        <f>HYPERLINK("https://www.dofusbook.net/fr/equipement/3714088-tank-duotage/objets", "link")</f>
        <v/>
      </c>
      <c r="C22330" t="n">
        <v>1</v>
      </c>
      <c r="D22330" t="inlineStr">
        <is>
          <t>Rouleau à Pâtisserie d'Aermyne; Collier Rophante; Alliance Gloursonne; Anneau Chevelu; Bouclier d'Anerice; Ceinture de Kongoku; Casque Dragoeuf; Cape d'Anerice; Pataugastrique; Dofus Émeraude; Dofus Ivoire; Dofus Ocre; Obstructeur majeur; Miraculé majeur; Bloqueur majeur; Platypus</t>
        </is>
      </c>
    </row>
    <row r="22331">
      <c r="A22331" t="inlineStr">
        <is>
          <t>Do pou</t>
        </is>
      </c>
      <c r="B22331">
        <f>HYPERLINK("https://www.dofusbook.net/fr/equipement/4039154-do-pou/objets", "link")</f>
        <v/>
      </c>
      <c r="C22331" t="n">
        <v>0</v>
      </c>
      <c r="D22331" t="inlineStr">
        <is>
          <t>Arc du Chalœil; Torquistik; Bague Trithon; Alliance Gloursonne; Bouclier précieux; Ceinture Gence; Casque Dragoeuf; Cape Solution; Bottistik; Dokoko; Dofus Abyssal; Pousseur majeur; Culbuteur majeur; Bousculeur majeur; Culbuteur; Balafreux</t>
        </is>
      </c>
    </row>
    <row r="22332">
      <c r="A22332" t="inlineStr">
        <is>
          <t>Stuff 3</t>
        </is>
      </c>
      <c r="B22332">
        <f>HYPERLINK("https://www.dofusbook.net/fr/equipement/184817-stuff-3/objets", "link")</f>
        <v/>
      </c>
      <c r="C22332" t="n">
        <v>10</v>
      </c>
      <c r="D22332" t="inlineStr">
        <is>
          <t>La Baguette des Limbes; Amulette du Glourséleste; Anneau Tamie; Anneau Tamie; Bouclier du serrurier; Ceinture Instable; Casquipik; Cape Matelassée; Pikottes; Ralentisseur majeur; Remueur; Entraveur; Entraveur majeur; Temporiseur; Temporiseur majeur; Léopardo</t>
        </is>
      </c>
    </row>
    <row r="22333">
      <c r="A22333" t="inlineStr">
        <is>
          <t>Feu/Tank</t>
        </is>
      </c>
      <c r="B22333">
        <f>HYPERLINK("https://www.dofusbook.net/fr/equipement/184805-feu-tank/objets", "link")</f>
        <v/>
      </c>
      <c r="C22333" t="n">
        <v>1</v>
      </c>
      <c r="D22333" t="inlineStr">
        <is>
          <t>Arc corrompu; Pendentif affamé; Anneauræus; Bague Gloursonne; Bouclier d'Anerice; Ceinture de Vortex; Heaume Oplate; Cape d'Anerice; Bottes Innommables; Dofus Turquoise; Dofus Ivoire; Érudit majeur; Carapace Terre majeur; Nomade; Remueur; Meuch</t>
        </is>
      </c>
    </row>
    <row r="22334">
      <c r="A22334" t="inlineStr">
        <is>
          <t>Arc Nécrotique</t>
        </is>
      </c>
      <c r="B22334">
        <f>HYPERLINK("https://www.dofusbook.net/fr/equipement/4058923-arc-necrotique/objets", "link")</f>
        <v/>
      </c>
      <c r="C22334" t="n">
        <v>1</v>
      </c>
      <c r="D22334" t="inlineStr">
        <is>
          <t>Arc Nécrotique; Amulette Volkorne; Anneau Volkorne; Bague Trithon; Quatre-feuilles; Sangle Ouare; Masque Trithon; Cape de la Dame du Hasard; Bottes Trithon; Dofus Turquoise; Dofus Abyssal; Dofus Ocre; Dofus Ivoire; Dofus Pourpre; Dofus des Glaces; Kokulte</t>
        </is>
      </c>
    </row>
    <row r="22335">
      <c r="A22335" t="inlineStr">
        <is>
          <t>Tank/Esq PA/Ret PA</t>
        </is>
      </c>
      <c r="B22335">
        <f>HYPERLINK("https://www.dofusbook.net/fr/equipement/4053844-tank-esq-pa-ret-pa/objets", "link")</f>
        <v/>
      </c>
      <c r="C22335" t="n">
        <v>0</v>
      </c>
      <c r="D22335" t="inlineStr">
        <is>
          <t>Lav'Hache; Collier de Tourthon; Anneau Crustique; Anneau Chevelu; Écorce de Brouce; Ceintouse; Masque de Koutoulou; Cape au Logis; Tentassons; Dofus Émeraude; Dofus Abyssal; Évasif majeur; Imprenable majeur; Paralyseur majeur; Étourdisseur majeur; Chienchien Tigré</t>
        </is>
      </c>
    </row>
    <row r="22336">
      <c r="A22336" t="inlineStr">
        <is>
          <t>Iop M 200</t>
        </is>
      </c>
      <c r="B22336">
        <f>HYPERLINK("https://www.dofusbook.net/fr/equipement/4042433-iop-m-200/objets", "link")</f>
        <v/>
      </c>
      <c r="C22336" t="n">
        <v>3</v>
      </c>
      <c r="D22336" t="inlineStr">
        <is>
          <t>Arc du Chalœil; Torquistik; Bague Instable; Bague Trithon; Bouclier précieux; Ceinture Gence; Casque Dragoeuf; Cape Solution; Bottistik; Dofus Ocre; Dofus Ivoire; Pousseur majeur; Bousculeur majeur; Culbuteur; Culbuteur majeur; Balafreux</t>
        </is>
      </c>
    </row>
    <row r="22337">
      <c r="A22337" t="inlineStr">
        <is>
          <t>Tank/Ret PA</t>
        </is>
      </c>
      <c r="B22337">
        <f>HYPERLINK("https://www.dofusbook.net/fr/equipement/3044999-tank-ret-pa/objets", "link")</f>
        <v/>
      </c>
      <c r="C22337" t="n">
        <v>2</v>
      </c>
      <c r="D22337" t="inlineStr">
        <is>
          <t>Lav'Hache; Collier de Tourthon; Anneau Crustique; Anneau Chevelu; Sept ans de malheur; Ceintouse; Casque Dragoeuf; Cape au Logis; Baleinabottes; Dofus Émeraude; Dofus Abyssal; Dofus Ocre; Miraculé majeur; Carapace Terre majeur; Étourdisseur majeur; Drakopin</t>
        </is>
      </c>
    </row>
    <row r="22338">
      <c r="A22338" t="inlineStr">
        <is>
          <t>Do cri</t>
        </is>
      </c>
      <c r="B22338">
        <f>HYPERLINK("https://www.dofusbook.net/fr/equipement/4023170-do-cri/objets", "link")</f>
        <v/>
      </c>
      <c r="C22338" t="n">
        <v>1</v>
      </c>
      <c r="D22338" t="inlineStr">
        <is>
          <t>Hache Téroïde; Amulette du Strigide; Bague Gloursonne; Bague Trithon; Quatre-feuilles; Ceinture du Strigide; Masque Trithon; Cape au Logis; Bottes Trithon; Dofus Turquoise; Dofus Abyssal; Dofus Ocre; Dofus Ivoire; Dofus Pourpre; Dofus des Glaces; Kokulte</t>
        </is>
      </c>
    </row>
    <row r="22339">
      <c r="A22339" t="inlineStr">
        <is>
          <t>Iop M 200</t>
        </is>
      </c>
      <c r="B22339">
        <f>HYPERLINK("https://www.dofusbook.net/fr/equipement/4045352-iop-m-200/objets", "link")</f>
        <v/>
      </c>
      <c r="C22339" t="n">
        <v>0</v>
      </c>
      <c r="D22339" t="inlineStr"/>
    </row>
    <row r="22340">
      <c r="A22340" t="inlineStr">
        <is>
          <t>Anti-Sram</t>
        </is>
      </c>
      <c r="B22340">
        <f>HYPERLINK("https://www.dofusbook.net/fr/equipement/2436836-anti-sram/objets", "link")</f>
        <v/>
      </c>
      <c r="C22340" t="n">
        <v>1</v>
      </c>
      <c r="D22340" t="inlineStr">
        <is>
          <t>Arc du Chalœil; Collier de Tourthon; Anneau Crustique; Anneau Crustique; Cadran d'Air; Ceintouse; Masque de Koutoulou; Cape au Logis; Tentassons; Dokoko; Dofus Turquoise; Dofus Ivoire; Dofus Abyssal; Dofus Ocre; Muraille Air majeure; Tiwabbit Kiafin</t>
        </is>
      </c>
    </row>
    <row r="22341">
      <c r="A22341" t="inlineStr">
        <is>
          <t>Feu/Tank</t>
        </is>
      </c>
      <c r="B22341">
        <f>HYPERLINK("https://www.dofusbook.net/fr/equipement/2822654-feu-tank/objets", "link")</f>
        <v/>
      </c>
      <c r="C22341" t="n">
        <v>0</v>
      </c>
      <c r="D22341" t="inlineStr">
        <is>
          <t>Arc corrompu; Amulette Séculaire; Bague Gloursonne; Anneauræus; Quatre-feuilles; Ceinture Séculaire; Heaume Oplate; Voile d'encre; Bottes Innommables; Dofus Nébuleux; Dofus Turquoise; Carapace Terre majeur; Nomade; Remueur; Érudit majeur; Dragodinde Ivoire et Orchidée</t>
        </is>
      </c>
    </row>
    <row r="22342">
      <c r="A22342" t="inlineStr">
        <is>
          <t>Terre/Tank</t>
        </is>
      </c>
      <c r="B22342">
        <f>HYPERLINK("https://www.dofusbook.net/fr/equipement/2719806-terre-tank/objets", "link")</f>
        <v/>
      </c>
      <c r="C22342" t="n">
        <v>4</v>
      </c>
      <c r="D22342" t="inlineStr">
        <is>
          <t>Marteau R'ture; Collier de Tourthon; Anneau Chevelu; Bague Gloursonne; Bouclier Taverne; Ceinture de la Reine des Voleurs; Coiffe de la Reine des Voleurs; Cape au Logis; Sabots Minables; Dofus Turquoise; Dofus Nébuleux; Dofus Pourpre; Carapace Terre majeur; Enragé majeur; Remueur; Bwak de Feu</t>
        </is>
      </c>
    </row>
    <row r="22343">
      <c r="A22343" t="inlineStr">
        <is>
          <t>Stuff rox multi</t>
        </is>
      </c>
      <c r="B22343">
        <f>HYPERLINK("https://www.dofusbook.net/fr/equipement/2403100-stuff-rox-multi/objets", "link")</f>
        <v/>
      </c>
      <c r="C22343" t="n">
        <v>0</v>
      </c>
      <c r="D22343" t="inlineStr">
        <is>
          <t>Hache Téroïde; Amulette du Strigide; Bague Trithon; Bague Gloursonne; Quatre-feuilles; Ceinture du Strigide; Masque Trithon; Cape au Logis; Bottes Trithon; Dofus Ocre; Dofus Ivoire; Dofus Pourpre; Dofus des Glaces; Dofus Turquoise; Dofus Abyssal; Kokulte</t>
        </is>
      </c>
    </row>
    <row r="22344">
      <c r="A22344" t="inlineStr">
        <is>
          <t>Do pou</t>
        </is>
      </c>
      <c r="B22344">
        <f>HYPERLINK("https://www.dofusbook.net/fr/equipement/2663490-do-pou/objets", "link")</f>
        <v/>
      </c>
      <c r="C22344" t="n">
        <v>0</v>
      </c>
      <c r="D22344" t="inlineStr">
        <is>
          <t>Héqache; Torquistik; Bague Trithon; Alliance Gloursonne; Bouclier précieux; Ceinture Gence; Chapeau des Malveilleurs; Cape Solution; Bottes Trithon; Dofus Abyssal; Dofus Émeraude; Bousculeur majeur; Culbuteur; Culbuteur majeur; Pousseur majeur; Balafreux</t>
        </is>
      </c>
    </row>
    <row r="22345">
      <c r="A22345" t="inlineStr">
        <is>
          <t>Roxx</t>
        </is>
      </c>
      <c r="B22345">
        <f>HYPERLINK("https://www.dofusbook.net/fr/equipement/3843627-roxx/objets", "link")</f>
        <v/>
      </c>
      <c r="C22345" t="n">
        <v>0</v>
      </c>
      <c r="D22345" t="inlineStr">
        <is>
          <t>Lance Horselé; Amulette du Strigide; Bague Trithon; Alliance Gloursonne; Bouclier du Captain Amakna; Ceinture du Strigide; Masque Trithon; Cape de la Fuji Givrefoux; Bottes Trithon; Dofus Turquoise; Dofus Abyssal; Dolmanax; Dofus Ocre; Dofus Pourpre; Dofus Nébuleux; Blérodoudou</t>
        </is>
      </c>
    </row>
    <row r="22346">
      <c r="A22346" t="inlineStr">
        <is>
          <t>Do pou 2.0</t>
        </is>
      </c>
      <c r="B22346">
        <f>HYPERLINK("https://www.dofusbook.net/fr/equipement/1649436-do-pou-2-0/objets", "link")</f>
        <v/>
      </c>
      <c r="C22346" t="n">
        <v>0</v>
      </c>
      <c r="D22346" t="inlineStr">
        <is>
          <t>Héqache; Amulette Luminescente; Bague Trithon; Alliance Gloursonne; Bouclier précieux; Sangle Ouare; Masque Trithon; Cape Luminescente; Bottes Trithon; Dofus Ocre; Dofus Abyssal; Dokoko; Dofus Émeraude; Pousseur majeur; Bousculeur majeur; Péki</t>
        </is>
      </c>
    </row>
    <row r="22347">
      <c r="A22347" t="inlineStr">
        <is>
          <t>Do pou</t>
        </is>
      </c>
      <c r="B22347">
        <f>HYPERLINK("https://www.dofusbook.net/fr/equipement/184835-do-pou/objets", "link")</f>
        <v/>
      </c>
      <c r="C22347" t="n">
        <v>0</v>
      </c>
      <c r="D22347" t="inlineStr">
        <is>
          <t>Héqache; Amulette Luminescente; Bague Trithon; Alliance Gloursonne; Bouclier précieux; Ceinture Luminescente; Masque Trithon; Cape Luminescente; Bottes Trithon; Dofus Émeraude; Dokoko; Dofus Abyssal; Dofus Ocre; Bousculeur majeur; Pousseur majeur; Muldo Ebène</t>
        </is>
      </c>
    </row>
    <row r="22348">
      <c r="A22348" t="inlineStr">
        <is>
          <t>Full Feu</t>
        </is>
      </c>
      <c r="B22348">
        <f>HYPERLINK("https://www.dofusbook.net/fr/equipement/3661425-full-feu/objets", "link")</f>
        <v/>
      </c>
      <c r="C22348" t="n">
        <v>14</v>
      </c>
      <c r="D22348" t="inlineStr">
        <is>
          <t>Dagues Imauve; Amulette de Nileza; Anneau Tamie; Anneau Tamie; Bouclier du Captain Amakna; Ceinture de Vortex; Heaume Oplate; Cape de Nileza; Bottes Innommables; Dofus des Glaces; Dofus Pourpre; Dévastateur Feu majeur; Nomade; Remueur; Érudit majeur; Bisouglours</t>
        </is>
      </c>
    </row>
    <row r="22349">
      <c r="A22349" t="inlineStr">
        <is>
          <t>Koli 3vs3</t>
        </is>
      </c>
      <c r="B22349">
        <f>HYPERLINK("https://www.dofusbook.net/fr/equipement/2289085-koli-3vs3/objets", "link")</f>
        <v/>
      </c>
      <c r="C22349" t="n">
        <v>1</v>
      </c>
      <c r="D22349" t="inlineStr">
        <is>
          <t>Epée Maudite du Saigneur Guerrier; Amulette du Strigide; Anneau Toriété; Bague Trithon; Bouclier du Captain Amakna; Ceinture du Strigide; Masque Trithon; Chevelure de Tal Kasha; Bottes Trithon; Dofus Turquoise; Dofus Nébuleux; Dofus Pourpre; Dofus Ocre; Dolmanax; Dofus Abyssal; Kramkram</t>
        </is>
      </c>
    </row>
    <row r="22350">
      <c r="A22350" t="inlineStr">
        <is>
          <t>Roublard F 200</t>
        </is>
      </c>
      <c r="B22350">
        <f>HYPERLINK("https://www.dofusbook.net/fr/equipement/3706299-roublard-f-200/objets", "link")</f>
        <v/>
      </c>
      <c r="C22350" t="n">
        <v>0</v>
      </c>
      <c r="D22350" t="inlineStr">
        <is>
          <t>Racine de Floribonde; Ougamulette; Anneau Nobstant; Anneau Nobstant; Ougature; Ougalurette; Grésilocape; Les Maidartes; Dofus Cawotte; Givrefoux</t>
        </is>
      </c>
    </row>
    <row r="22351">
      <c r="A22351" t="inlineStr">
        <is>
          <t>Roublard F 200</t>
        </is>
      </c>
      <c r="B22351">
        <f>HYPERLINK("https://www.dofusbook.net/fr/equipement/3698258-roublard-f-200/objets", "link")</f>
        <v/>
      </c>
      <c r="C22351" t="n">
        <v>1</v>
      </c>
      <c r="D22351" t="inlineStr"/>
    </row>
    <row r="22352">
      <c r="A22352" t="inlineStr">
        <is>
          <t>Iop M 200</t>
        </is>
      </c>
      <c r="B22352">
        <f>HYPERLINK("https://www.dofusbook.net/fr/equipement/3694438-iop-m-200/objets", "link")</f>
        <v/>
      </c>
      <c r="C22352" t="n">
        <v>0</v>
      </c>
      <c r="D22352" t="inlineStr"/>
    </row>
    <row r="22353">
      <c r="A22353" t="inlineStr">
        <is>
          <t>Enutrof M 200</t>
        </is>
      </c>
      <c r="B22353">
        <f>HYPERLINK("https://www.dofusbook.net/fr/equipement/3656452-enutrof-m-200/objets", "link")</f>
        <v/>
      </c>
      <c r="C22353" t="n">
        <v>0</v>
      </c>
      <c r="D22353" t="inlineStr">
        <is>
          <t>Lance Horselé; Collier du Valet Veinard; Alliance Gloursonne; Gant du Valet Veinard; Bouclier du Stalak; Menoture; Némès de Tal Kasha; Cape du Cœur Vaillant; Tentassons; Dofus Turquoise; Dofus Pourpre; Cascadeur majeur; Nomade; Remueur; Étourdisseur majeur</t>
        </is>
      </c>
    </row>
    <row r="22354">
      <c r="A22354" t="inlineStr">
        <is>
          <t>Stuff 1</t>
        </is>
      </c>
      <c r="B22354">
        <f>HYPERLINK("https://www.dofusbook.net/fr/equipement/184841-stuff-1/objets", "link")</f>
        <v/>
      </c>
      <c r="C22354" t="n">
        <v>0</v>
      </c>
      <c r="D22354" t="inlineStr">
        <is>
          <t>Arc Hétype; Pendentif affamé; Anneauræus; Anneau Tique; Quatre-feuilles; Ceinture Séculaire; Coiffe Séculaire; Cape de Diondin; Pataugastrique; Dofus Turquoise; Nomade; Érudit majeur; Carapace Feu majeur; Remueur; Dévastateur Feu majeur; Muldo Orchidée</t>
        </is>
      </c>
    </row>
    <row r="22355">
      <c r="A22355" t="inlineStr">
        <is>
          <t>Stuff 1</t>
        </is>
      </c>
      <c r="B22355">
        <f>HYPERLINK("https://www.dofusbook.net/fr/equipement/2697694-stuff-1/objets", "link")</f>
        <v/>
      </c>
      <c r="C22355" t="n">
        <v>2</v>
      </c>
      <c r="D22355" t="inlineStr">
        <is>
          <t>Manthache; Collier du Valet Veinard; Alliance Gloursonne; Gant du Valet Veinard; Bouclier du Stalak; Menoture; Couronne d'Allister; Cape Indescriptible; Palmes Trithons; Dofus Pourpre; Cascadeur majeur; Remueur; Dévastateur Air majeur; Vigoureux majeur; Nomade; Dragodinde Ebène et Ivoire</t>
        </is>
      </c>
    </row>
    <row r="22356">
      <c r="A22356" t="inlineStr">
        <is>
          <t>Anti Sadi</t>
        </is>
      </c>
      <c r="B22356">
        <f>HYPERLINK("https://www.dofusbook.net/fr/equipement/3634259-anti-sadi/objets", "link")</f>
        <v/>
      </c>
      <c r="C22356" t="n">
        <v>0</v>
      </c>
      <c r="D22356" t="inlineStr">
        <is>
          <t>Arc du Chalœil; Collier de Tourthon; Anneau Crustique; Anneau Crustique; Bouclier du Cycloïde; Ceinture Gence; Chapoulpe; Ankhape; Tentassons; Dokoko; Dofus Ivoire; Dofus Abyssal; Dofus Ocre; Nomade; Cavaleur majeur; El Scarador</t>
        </is>
      </c>
    </row>
    <row r="22357">
      <c r="A22357" t="inlineStr">
        <is>
          <t>Anti Sadi 2</t>
        </is>
      </c>
      <c r="B22357">
        <f>HYPERLINK("https://www.dofusbook.net/fr/equipement/3634348-anti-sadi-2-/objets", "link")</f>
        <v/>
      </c>
      <c r="C22357" t="n">
        <v>0</v>
      </c>
      <c r="D22357" t="inlineStr">
        <is>
          <t>Lance Horselé; Collier du Valet Veinard; Gant du Valet Veinard; Alliance Gloursonne; Bouclier alvéolé; Menoture; Couronne d'Allister; Cape de Crânonier; Palmes Trithons; Dofus Abyssal; Dofus Ivoire; Dokoko; Dofus Ocre; Cavaleur majeur; Nomade; Croum</t>
        </is>
      </c>
    </row>
    <row r="22358">
      <c r="A22358" t="inlineStr">
        <is>
          <t>Stuff 3</t>
        </is>
      </c>
      <c r="B22358">
        <f>HYPERLINK("https://www.dofusbook.net/fr/equipement/184852-stuff-3/objets", "link")</f>
        <v/>
      </c>
      <c r="C22358" t="n">
        <v>0</v>
      </c>
      <c r="D22358" t="inlineStr">
        <is>
          <t>Arc du Chalœil; Collier de Tourthon; Anneau Chevelu; Bracelet du Piloztère; Quatre-feuilles; Ceinture du Strigide; Masque de Koutoulou; Cape au Logis; Bottes du Strigide; Dofus Pourpre; Nomade; Vigoureux majeur; Enragé majeur; Forcené majeur; Remueur; El Scarador</t>
        </is>
      </c>
    </row>
    <row r="22359">
      <c r="A22359" t="inlineStr">
        <is>
          <t>Réseau</t>
        </is>
      </c>
      <c r="B22359">
        <f>HYPERLINK("https://www.dofusbook.net/fr/equipement/2371530-reseau/objets", "link")</f>
        <v/>
      </c>
      <c r="C22359" t="n">
        <v>4</v>
      </c>
      <c r="D22359" t="inlineStr">
        <is>
          <t>Sabres d'Atcham; Amulette de l'Œil Putride; Alliance Gloursonne; Bague Gloursonne; Bouclier du Stalak; Ceinture de l'Esprit Salvateur; Capuche de l'Œil Putride; Cape d'Atcham; Sandales  d'Atcham; Dofus Abyssal; Dofus Pourpre; Dofus Ocre; Dokoko; Dofus des Glaces; Dofus Nébuleux; Muldo Ebène</t>
        </is>
      </c>
    </row>
    <row r="22360">
      <c r="A22360" t="inlineStr">
        <is>
          <t>Feu</t>
        </is>
      </c>
      <c r="B22360">
        <f>HYPERLINK("https://www.dofusbook.net/fr/equipement/3014022-feu/objets", "link")</f>
        <v/>
      </c>
      <c r="C22360" t="n">
        <v>0</v>
      </c>
      <c r="D22360" t="inlineStr">
        <is>
          <t>Arc corrompu; Pendentif affamé; Anneau Tique; Bague Gloursonne; Quatre-feuilles; Ceinture Séculaire; Coiffe Séculaire; Cape de Diondin; Bottes Innommables; Dofus Nébuleux; Dofus Pourpre; Dofus Abyssal; Remueur; Nomade; Érudit majeur; Brûlih</t>
        </is>
      </c>
    </row>
    <row r="22361">
      <c r="A22361" t="inlineStr">
        <is>
          <t>Rox</t>
        </is>
      </c>
      <c r="B22361">
        <f>HYPERLINK("https://www.dofusbook.net/fr/equipement/2013966-rox/objets", "link")</f>
        <v/>
      </c>
      <c r="C22361" t="n">
        <v>0</v>
      </c>
      <c r="D22361" t="inlineStr">
        <is>
          <t>Marteau R'ture; Collier de Tourthon; Anneau Crustique; Bague Gloursonne; Bouclier Taverne; Ceinture de Brouce; Masque de Koutoulou; Cape au Logis; Bottes de Brouce; Furibond majeur; Nomade; Forcené majeur; Remueur; Enragé majeur; Vigoureux majeur; Kompost</t>
        </is>
      </c>
    </row>
    <row r="22362">
      <c r="A22362" t="inlineStr">
        <is>
          <t>Zobal F 200</t>
        </is>
      </c>
      <c r="B22362">
        <f>HYPERLINK("https://www.dofusbook.net/fr/equipement/3356240-zobal-f-200/objets", "link")</f>
        <v/>
      </c>
      <c r="C22362" t="n">
        <v>2</v>
      </c>
      <c r="D22362" t="inlineStr">
        <is>
          <t>Bêche Asse; Amulette Héroclite; Bague Gloursonne; Anneau de Brouce; Bouclier du Captain Amakna; Ceinture de Brouce; Le Kim; Cape au Logis; Sabots Minables; Dofus Émeraude; Remueur; Enragé majeur; Miraculé majeur; Nomade; Vigoureux majeur; Péki</t>
        </is>
      </c>
    </row>
    <row r="22363">
      <c r="A22363" t="inlineStr">
        <is>
          <t>ROX</t>
        </is>
      </c>
      <c r="B22363">
        <f>HYPERLINK("https://www.dofusbook.net/fr/equipement/1454384-rox/objets", "link")</f>
        <v/>
      </c>
      <c r="C22363" t="n">
        <v>2</v>
      </c>
      <c r="D22363" t="inlineStr">
        <is>
          <t>Epée Toche; Amulette Héroclite; Bague Gloursonne; Alliance de Missiz Frizz; Bouclier Taverne; Ceinture de Brouce; Casque de Missiz Frizz; Cape au Logis; Sabots Minables; Dofus Turquoise; Vigoureux majeur; Remueur; Forcené majeur; Nomade; Enragé majeur; Kompost</t>
        </is>
      </c>
    </row>
    <row r="22364">
      <c r="A22364" t="inlineStr">
        <is>
          <t>Stuff 1</t>
        </is>
      </c>
      <c r="B22364">
        <f>HYPERLINK("https://www.dofusbook.net/fr/equipement/184850-stuff-1/objets", "link")</f>
        <v/>
      </c>
      <c r="C22364" t="n">
        <v>0</v>
      </c>
      <c r="D22364" t="inlineStr">
        <is>
          <t>Manthache; Collier du Valet Veinard; Alliance Gloursonne; Anneau d'Allister; Bouclier du Stalak; Menoture; Couronne d'Allister; Cape de Klime; Palmes Trithons; Vigoureux majeur; Equilibriste majeur; Cascadeur majeur; Remueur; Acrobate majeur; Nomade; Siroko</t>
        </is>
      </c>
    </row>
    <row r="22365">
      <c r="A22365" t="inlineStr">
        <is>
          <t>Farmer XP</t>
        </is>
      </c>
      <c r="B22365">
        <f>HYPERLINK("https://www.dofusbook.net/fr/equipement/1818812-farmer-xp/objets", "link")</f>
        <v/>
      </c>
      <c r="C22365" t="n">
        <v>1</v>
      </c>
      <c r="D22365" t="inlineStr">
        <is>
          <t>Sabres d'Atcham; Amulette du Strigide; Anneau de Padgref; Bague Gloursonne; Quatre-feuilles; Ceinture du Strigide; Coiffe de Padgref; Cape d'Atcham; Getas de Padgref; Dofus Turquoise; Dofus Abyssal; Dofus des Glaces; Dofus Nébuleux; Dofus Pourpre; Dofus Ocre; Muldo Prune et Emeraude</t>
        </is>
      </c>
    </row>
    <row r="22366">
      <c r="A22366" t="inlineStr">
        <is>
          <t>Stuff 2</t>
        </is>
      </c>
      <c r="B22366">
        <f>HYPERLINK("https://www.dofusbook.net/fr/equipement/184816-stuff-2/objets", "link")</f>
        <v/>
      </c>
      <c r="C22366" t="n">
        <v>0</v>
      </c>
      <c r="D22366" t="inlineStr">
        <is>
          <t>Amulette du Glourséleste; Anneau Tamie; Pikano; Ceinture Glaciale; Coiffe d'Ogivol; Cape de Léthaline; Pikottes</t>
        </is>
      </c>
    </row>
    <row r="22367">
      <c r="A22367" t="inlineStr">
        <is>
          <t>Eau/Air</t>
        </is>
      </c>
      <c r="B22367">
        <f>HYPERLINK("https://www.dofusbook.net/fr/equipement/2705387-eau-air/objets", "link")</f>
        <v/>
      </c>
      <c r="C22367" t="n">
        <v>4</v>
      </c>
      <c r="D22367" t="inlineStr">
        <is>
          <t>Arc de Koutoulou; Amulette d'Ilyzaelle; Alliance Gloursonne; Bague Gloursonne; Bouclier du Stalak; Ceinture de la Reine des Voleurs; Casque d'Ilyzaelle; Cape Matelassée; Bottes de la Reine des Voleurs; Dofus Abyssal; Dokoko; Dofus Nébuleux; Dofus Vulbis; Dofus Pourpre; Dofus Ocre; Siroko</t>
        </is>
      </c>
    </row>
    <row r="22368">
      <c r="A22368" t="inlineStr">
        <is>
          <t>terre</t>
        </is>
      </c>
      <c r="B22368">
        <f>HYPERLINK("https://www.dofusbook.net/fr/equipement/3184478-terre/objets", "link")</f>
        <v/>
      </c>
      <c r="C22368" t="n">
        <v>1</v>
      </c>
      <c r="D22368" t="inlineStr">
        <is>
          <t>Lav'Hache; Amulette du Strigide; Anneau de Brouce; Bague Gloursonne; Bouclier du Captain Amakna; Ceintacé; Masque de Koutoulou; Cape au Logis; Bottes du Strigide; Dofus Abyssal; Dofus Nébuleux; Dofus Turquoise; Enragé majeur; Vigoureux majeur; Remueur; Kompost</t>
        </is>
      </c>
    </row>
    <row r="22369">
      <c r="A22369" t="inlineStr">
        <is>
          <t>Atcham 11 pa</t>
        </is>
      </c>
      <c r="B22369">
        <f>HYPERLINK("https://www.dofusbook.net/fr/equipement/3102108-atcham-11-pa/objets", "link")</f>
        <v/>
      </c>
      <c r="C22369" t="n">
        <v>1</v>
      </c>
      <c r="D22369" t="inlineStr">
        <is>
          <t>Sabres d'Atcham; Amulette du Strigide; Alliance Gloursonne; Bague Gloursonne; Bouclier du Captain Amakna; Ceinture du Strigide; Chapeau Lisson; Cape d'Atcham; Sandales  d'Atcham; Dofus Turquoise; Dofus Nébuleux; Dofus Ocre; Dofus Abyssal; Dofus Pourpre; Dofus des Glaces; Muldo Ebène et Pourpre</t>
        </is>
      </c>
    </row>
    <row r="22370">
      <c r="A22370" t="inlineStr">
        <is>
          <t>Full force</t>
        </is>
      </c>
      <c r="B22370">
        <f>HYPERLINK("https://www.dofusbook.net/fr/equipement/2970992-full-force/objets", "link")</f>
        <v/>
      </c>
      <c r="C22370" t="n">
        <v>3</v>
      </c>
      <c r="D22370" t="inlineStr">
        <is>
          <t>Arc du Chalœil; Amulette du Cycloïde; Bracelet du Piloztère; Alliance du Lévitrof; Bouclier du Stalak; Ceinture de la Cour Sombre; Coiffe du Lévitrof; Cape de la Cour Sombre; Bottes de la Cour Sombre; Dofus Turquoise; Dofus Abyssal; Dofus Ocre; Dofus Nébuleux</t>
        </is>
      </c>
    </row>
    <row r="22371">
      <c r="A22371" t="inlineStr">
        <is>
          <t>Full eau</t>
        </is>
      </c>
      <c r="B22371">
        <f>HYPERLINK("https://www.dofusbook.net/fr/equipement/2947221-full-eau-/objets", "link")</f>
        <v/>
      </c>
      <c r="C22371" t="n">
        <v>1</v>
      </c>
      <c r="D22371" t="inlineStr">
        <is>
          <t>Rapière aux Glyphes; Amulette de l'Œil Attentif; Bracelet du Piloztère; Alliance Gloursonne; Bouclier du Stalak; Ceinture de la Reine des Voleurs; Capuche de l'Œil Attentif; Cape de l'Œil Attentif; Bottes de la Reine des Voleurs; Dokoko; Dofus Pourpre; Dofus Nébuleux; Dofus Abyssal; Dofus Ocre; Dofus Vulbis; Kramkram</t>
        </is>
      </c>
    </row>
    <row r="22372">
      <c r="A22372" t="inlineStr">
        <is>
          <t>Bourrin</t>
        </is>
      </c>
      <c r="B22372">
        <f>HYPERLINK("https://www.dofusbook.net/fr/equipement/2891399-bourrin-/objets", "link")</f>
        <v/>
      </c>
      <c r="C22372" t="n">
        <v>0</v>
      </c>
      <c r="D22372" t="inlineStr">
        <is>
          <t>Héqache; Amulette du Cœur Vaillant; Anneau Crustique; Anneau Crustique; Bouclier alvéolé; Ceintouse; Chapoulpe; Cape du Cœur Vaillant; Tentassons; Dofus Pourpre; Dofus Abyssal; Dokoko; Dofus Ocre; Dofus Émeraude; Dofus des Glaces; Muldo Ebène et Pourpre</t>
        </is>
      </c>
    </row>
    <row r="22373">
      <c r="A22373" t="inlineStr">
        <is>
          <t>Full air</t>
        </is>
      </c>
      <c r="B22373">
        <f>HYPERLINK("https://www.dofusbook.net/fr/equipement/2729870-full-air/objets", "link")</f>
        <v/>
      </c>
      <c r="C22373" t="n">
        <v>0</v>
      </c>
      <c r="D22373" t="inlineStr">
        <is>
          <t>Épée du Granduk; Amulette du Granduk; Alliance Gloursonne; Anneau d'Allister; Bouclier du Stalak; Ceinture de Klime; Couronne d'Allister; Cape de Klime; Bottes d'Allister; Dokoko; Dofus des Glaces; Dofus Vulbis; Dofus Abyssal; Dofus Pourpre; Dofus Ocre</t>
        </is>
      </c>
    </row>
    <row r="22374">
      <c r="A22374" t="inlineStr">
        <is>
          <t>Pvm</t>
        </is>
      </c>
      <c r="B22374">
        <f>HYPERLINK("https://www.dofusbook.net/fr/equipement/2707847-pvm/objets", "link")</f>
        <v/>
      </c>
      <c r="C22374" t="n">
        <v>0</v>
      </c>
      <c r="D22374" t="inlineStr">
        <is>
          <t>Héqache; Amulette du Strigide; Anneau de la Fuji Givrefoux; Gelano; Bouclier du Captain Amakna; Ceinture du Strigide; Coiffe de la Fuji Givrefoux; Cape de la Fuji Givrefoux; Bottes du Strigide; Dolmanax; Dofus Ocre; Dofus Pourpre; Dofus des Glaces; Dofus Turquoise; Dofus Nébuleux; Kompost</t>
        </is>
      </c>
    </row>
    <row r="22375">
      <c r="A22375" t="inlineStr">
        <is>
          <t>Stuff 1</t>
        </is>
      </c>
      <c r="B22375">
        <f>HYPERLINK("https://www.dofusbook.net/fr/equipement/2686545-stuff-1/objets", "link")</f>
        <v/>
      </c>
      <c r="C22375" t="n">
        <v>4</v>
      </c>
      <c r="D22375" t="inlineStr">
        <is>
          <t>Manthache; Collier du Valet Veinard; Alliance Gloursonne; Gant du Valet Veinard; Bouclier d'Ilyzaelle; Menoture; Couronne d'Allister; Cape Indescriptible; Palmes Trithons; Dofus Abyssal; Dofus Nébuleux; Remueur; Carapace Air majeur; Cascadeur majeur; Nomade; Kramkram</t>
        </is>
      </c>
    </row>
    <row r="22376">
      <c r="A22376" t="inlineStr">
        <is>
          <t>Full air</t>
        </is>
      </c>
      <c r="B22376">
        <f>HYPERLINK("https://www.dofusbook.net/fr/equipement/2440514-full-air/objets", "link")</f>
        <v/>
      </c>
      <c r="C22376" t="n">
        <v>0</v>
      </c>
      <c r="D22376" t="inlineStr">
        <is>
          <t>Manthache; Collier du Valet Veinard; Alliance Gloursonne; Gant du Valet Veinard; Bouclier du Stalak; Menoture; Dorabysses; Cape Indescriptible; Palmes Trithons; Dofus Pourpre; Dofus Nébuleux; Cascadeur majeur; Vigoureux majeur; Nomade; Remueur; Muldo Ebène</t>
        </is>
      </c>
    </row>
    <row r="22377">
      <c r="A22377" t="inlineStr">
        <is>
          <t>Terre/Air/Ret PA</t>
        </is>
      </c>
      <c r="B22377">
        <f>HYPERLINK("https://www.dofusbook.net/fr/equipement/2635001-terre-air-ret-pa/objets", "link")</f>
        <v/>
      </c>
      <c r="C22377" t="n">
        <v>4</v>
      </c>
      <c r="D22377" t="inlineStr">
        <is>
          <t>Lance corrompue; Amulette de Nevark; Alliance Gloursonne; Bague Gloursonne; Bouclier alvéolé; Ceinture de la Reine des Voleurs; Coiffe de la Reine des Voleurs; Cape de Nevark; Bottes de la Reine des Voleurs; Dofus Vulbis; Dofus Abyssal; Dofus Émeraude; Dofus des Glaces; Dokoko; Dofus Ocre; El Scarador</t>
        </is>
      </c>
    </row>
    <row r="22378">
      <c r="A22378" t="inlineStr">
        <is>
          <t>Koli</t>
        </is>
      </c>
      <c r="B22378">
        <f>HYPERLINK("https://www.dofusbook.net/fr/equipement/2516322-koli/objets", "link")</f>
        <v/>
      </c>
      <c r="C22378" t="n">
        <v>1</v>
      </c>
      <c r="D22378" t="inlineStr"/>
    </row>
    <row r="22379">
      <c r="A22379" t="inlineStr">
        <is>
          <t>Terre/Air/Ret PA</t>
        </is>
      </c>
      <c r="B22379">
        <f>HYPERLINK("https://www.dofusbook.net/fr/equipement/2511885-terre-air-ret-pa/objets", "link")</f>
        <v/>
      </c>
      <c r="C22379" t="n">
        <v>2</v>
      </c>
      <c r="D22379" t="inlineStr">
        <is>
          <t>Arc du Chalœil; Amulette du Cœur Vaillant; Anneau Crustique; Anneau Crustique; Bouclier du Stalak; Ceintouse; Chapoulpe; Cape du Cœur Vaillant; Tentassons; Dofus Nébuleux; Dofus des Glaces; Dokoko; Dofus Ocre; Dofus Vulbis; Dofus Abyssal; Kramkram</t>
        </is>
      </c>
    </row>
    <row r="22380">
      <c r="A22380" t="inlineStr">
        <is>
          <t>Stuff 1</t>
        </is>
      </c>
      <c r="B22380">
        <f>HYPERLINK("https://www.dofusbook.net/fr/equipement/184847-stuff-1/objets", "link")</f>
        <v/>
      </c>
      <c r="C22380" t="n">
        <v>2</v>
      </c>
      <c r="D22380" t="inlineStr">
        <is>
          <t>Epée Gloursonne; Amulette d'Ilyzaelle; Alliance Gloursonne; Bague Gloursonne; Bouclier d'Ilyzaelle; Ceinture de l'Indicible; Casque d'Ilyzaelle; Bottes de l'Indicible; Dolmanax; Dofus des Glaces; Dofus Pourpre; Dofus Abyssal; Dofus Émeraude; Dofus Turquoise; Muldo Orchidée et Pourpre</t>
        </is>
      </c>
    </row>
    <row r="22381">
      <c r="A22381" t="inlineStr">
        <is>
          <t>Stuff 2</t>
        </is>
      </c>
      <c r="B22381">
        <f>HYPERLINK("https://www.dofusbook.net/fr/equipement/184807-stuff-2/objets", "link")</f>
        <v/>
      </c>
      <c r="C22381" t="n">
        <v>3</v>
      </c>
      <c r="D22381" t="inlineStr">
        <is>
          <t>Arc Nécrotique; Talisman Igans; Alliance Gloursonne; Bague Gloursonne; Bouclier du Stalak; Ceintrigue; Casquette de Meno; Cape de Meno; Bottes de Meno; Dofus Turquoise; Dofus Abyssal; Dofus Nébuleux; Dofus Ocre; Dofus Pourpre; Dofus des Glaces; Muldo Ebène et Orchidée</t>
        </is>
      </c>
    </row>
    <row r="22382">
      <c r="A22382" t="inlineStr">
        <is>
          <t>Stuff 3</t>
        </is>
      </c>
      <c r="B22382">
        <f>HYPERLINK("https://www.dofusbook.net/fr/equipement/184808-stuff-3/objets", "link")</f>
        <v/>
      </c>
      <c r="C22382" t="n">
        <v>3</v>
      </c>
      <c r="D22382" t="inlineStr">
        <is>
          <t>Rapière aux Glyphes; Amulette de Shokkoth; Bracelet des Fonds marins; Alliance Gloursonne; Bouclier d'Ilyzaelle; Poulpagne; Masque des Fonds marins; Cape de Mantaze; Sandales des Fonds marins; Dofus Pourpre; Dofus Turquoise; Dofus Abyssal; Dofus Ocre; Dofus Émeraude; Dofus des Glaces; Muldo Indigo et Pourpre</t>
        </is>
      </c>
    </row>
    <row r="22383">
      <c r="A22383" t="inlineStr">
        <is>
          <t>Stuff 1</t>
        </is>
      </c>
      <c r="B22383">
        <f>HYPERLINK("https://www.dofusbook.net/fr/equipement/184806-stuff-1/objets", "link")</f>
        <v/>
      </c>
      <c r="C22383" t="n">
        <v>2</v>
      </c>
      <c r="D22383" t="inlineStr">
        <is>
          <t>Arc corrompu; Pendentif affamé; Anneau Tique; Bague Gloursonne; Bouclier du Stalak; Ceinture Séculaire; Coiffe Séculaire; Voile d'encre; Bottes Innommables; Dofus Ocre; Dofus Émeraude; Remueur; Érudit majeur; Miraculé majeur; Muldo Orchidée</t>
        </is>
      </c>
    </row>
    <row r="22384">
      <c r="A22384" t="inlineStr">
        <is>
          <t>Do crit</t>
        </is>
      </c>
      <c r="B22384">
        <f>HYPERLINK("https://www.dofusbook.net/fr/equipement/2310911-do-crit/objets", "link")</f>
        <v/>
      </c>
      <c r="C22384" t="n">
        <v>0</v>
      </c>
      <c r="D22384" t="inlineStr">
        <is>
          <t>Héqache; Amulette du Strigide; Alliance Gloursonne; Bague Trithon; Bouclier du Captain Amakna; Ceinture du Strigide; Masque Trithon; Cape de la Fuji Givrefoux; Bottes Trithon; Dofus Pourpre; Dofus Nébuleux; Dofus Turquoise; Dofus Abyssal; Dolmanax; Dofus Ocre; Kramkram</t>
        </is>
      </c>
    </row>
    <row r="22385">
      <c r="A22385" t="inlineStr">
        <is>
          <t>Do pou</t>
        </is>
      </c>
      <c r="B22385">
        <f>HYPERLINK("https://www.dofusbook.net/fr/equipement/2292220-do-pou/objets", "link")</f>
        <v/>
      </c>
      <c r="C22385" t="n">
        <v>0</v>
      </c>
      <c r="D22385" t="inlineStr">
        <is>
          <t>Héqache; Amulette Luminescente; Bague Trithon; Alliance Gloursonne; Bouclier précieux; Ceinture Luminescente; Masque Trithon; Cape Luminescente; Bottes Trithon; Dokoko; Dofus Émeraude; Dofus Ocre; Pousseur majeur; Bousculeur; Bousculeur majeur; Muldo Ebène</t>
        </is>
      </c>
    </row>
    <row r="22386">
      <c r="A22386" t="inlineStr">
        <is>
          <t>Feu/Eau/Ret Pm</t>
        </is>
      </c>
      <c r="B22386">
        <f>HYPERLINK("https://www.dofusbook.net/fr/equipement/2291961-feu-eau-ret-pm/objets", "link")</f>
        <v/>
      </c>
      <c r="C22386" t="n">
        <v>2</v>
      </c>
      <c r="D22386" t="inlineStr">
        <is>
          <t>Arc Nécrotique; Talisman Igans; Alliance Gloursonne; Bague Gloursonne; Cadran d'Air; Ceintrigue; Casquette de Meno; Cape de Meno; Bottes de Meno; Dofus Ivoire; Dofus des Glaces; Dofus Turquoise; Dofus Abyssal; Dofus Nébuleux; Dofus Ocre; Muldo Ebène et Pourpre</t>
        </is>
      </c>
    </row>
    <row r="22387">
      <c r="A22387" t="inlineStr">
        <is>
          <t>veinard</t>
        </is>
      </c>
      <c r="B22387">
        <f>HYPERLINK("https://www.dofusbook.net/fr/equipement/2267442-veinard/objets", "link")</f>
        <v/>
      </c>
      <c r="C22387" t="n">
        <v>2</v>
      </c>
      <c r="D22387" t="inlineStr">
        <is>
          <t>Arc Ahique; Collier du Valet Veinard; Gant du Valet Veinard; Alliance Gloursonne; Quatre-feuilles; Ceinture de la Reine des Voleurs; Coiffe de la Reine des Voleurs; Cape du Valet Veinard; Bottes de la Reine des Voleurs; Dolmanax; Dofus Ocre; Dofus Pourpre; Dofus Nébuleux; Dofus Émeraude; Dofus Abyssal; Muldo Ebène</t>
        </is>
      </c>
    </row>
    <row r="22388">
      <c r="A22388" t="inlineStr">
        <is>
          <t>lumi</t>
        </is>
      </c>
      <c r="B22388">
        <f>HYPERLINK("https://www.dofusbook.net/fr/equipement/2264518-lumi/objets", "link")</f>
        <v/>
      </c>
      <c r="C22388" t="n">
        <v>0</v>
      </c>
      <c r="D22388" t="inlineStr">
        <is>
          <t>Epée Gloursonne; Amulette Luminescente; Bague Gloursonne; Alliance Gloursonne; Bouclier du Captain Amakna; Ceinture Luminescente; Coiffe de la Reine des Voleurs; Cape Luminescente; Bottes de la Reine des Voleurs; Dofus Pourpre; Dofus Nébuleux; Dofus Turquoise; Dofus Abyssal; Dolmanax; Dofus Ocre; Muldo Ebène et Orchidée</t>
        </is>
      </c>
    </row>
    <row r="22389">
      <c r="A22389" t="inlineStr">
        <is>
          <t>cra</t>
        </is>
      </c>
      <c r="B22389">
        <f>HYPERLINK("https://www.dofusbook.net/fr/equipement/2253207-cra/objets", "link")</f>
        <v/>
      </c>
      <c r="C22389" t="n">
        <v>0</v>
      </c>
      <c r="D22389" t="inlineStr">
        <is>
          <t>Epée Gloursonne; Amulette du Kamasterisk; Alliance Gloursonne; Bague Gloursonne; Bouclier Taverne; Ceinture de la Reine des Voleurs; Coiffe de la Reine des Voleurs; Cape du Kamasterisk; Bottes du Kamasterisk; Dolmanax; Dofus Ocre; Dofus Pourpre; Dofus Nébuleux; Dofus Turquoise; Dofus Abyssal; Muldo Ebène et Orchidée</t>
        </is>
      </c>
    </row>
    <row r="22390">
      <c r="A22390" t="inlineStr">
        <is>
          <t>Sailwox</t>
        </is>
      </c>
      <c r="B22390">
        <f>HYPERLINK("https://www.dofusbook.net/fr/equipement/1630905-sailwox/objets", "link")</f>
        <v/>
      </c>
      <c r="C22390" t="n">
        <v>0</v>
      </c>
      <c r="D22390" t="inlineStr">
        <is>
          <t>Héqache; Amulette du Strigide; Bague Gloursonne; Alliance Gloursonne; Quatre-feuilles; Ceintouse; Chapoulpe; Cape de la Fuji Givrefoux; Tentassons; Dolmanax; Dofus Abyssal; Dofus Ocre; Dofus Pourpre; Dofus Turquoise; Dofus Nébuleux; Kramkram</t>
        </is>
      </c>
    </row>
    <row r="22391">
      <c r="A22391" t="inlineStr">
        <is>
          <t>Tank</t>
        </is>
      </c>
      <c r="B22391">
        <f>HYPERLINK("https://www.dofusbook.net/fr/equipement/2237256-tank/objets", "link")</f>
        <v/>
      </c>
      <c r="C22391" t="n">
        <v>0</v>
      </c>
      <c r="D22391" t="inlineStr">
        <is>
          <t>Arc Nécrotique; Amulette du Strigide; Bague Gloursonne; Alliance Gloursonne; Ceinture du Strigide; Casque Dragoeuf; Voile d'encre; Bottes du Strigide; Dofus Turquoise; Dofus Abyssal; Dofus Ocre; Dolmanax; Dofus des Glaces; Muldo Indigo et Pourpre</t>
        </is>
      </c>
    </row>
    <row r="22392">
      <c r="A22392" t="inlineStr">
        <is>
          <t>Feu/Eau/Ret Pm</t>
        </is>
      </c>
      <c r="B22392">
        <f>HYPERLINK("https://www.dofusbook.net/fr/equipement/2237083-feu-eau-ret-pm/objets", "link")</f>
        <v/>
      </c>
      <c r="C22392" t="n">
        <v>0</v>
      </c>
      <c r="D22392" t="inlineStr">
        <is>
          <t>Arc Nécrotique; Talisman Igans; Alliance Gloursonne; Bague Gloursonne; Quatre-feuilles; Ceintrigue; Casquette de Meno; Cape de Meno; Bottes de Meno; Dofus des Glaces; Dofus Turquoise; Dofus Abyssal; Dofus Nébuleux; Dofus Ocre; Dofus Pourpre; Muldo Ebène et Orchidée</t>
        </is>
      </c>
    </row>
    <row r="22393">
      <c r="A22393" t="inlineStr">
        <is>
          <t>Heqache</t>
        </is>
      </c>
      <c r="B22393">
        <f>HYPERLINK("https://www.dofusbook.net/fr/equipement/494981-heqache/objets", "link")</f>
        <v/>
      </c>
      <c r="C22393" t="n">
        <v>0</v>
      </c>
      <c r="D22393" t="inlineStr">
        <is>
          <t>Héqache; Amulette du Strigide; Bracelet du Piloztère; Bague Gloursonne; Bouclier du Captain Amakna; Ceinture du Strigide; Coiffe de la Fuji Givrefoux; Cape de la Fuji Givrefoux; Bottes du Strigide; Dofus Turquoise; Dofus Nébuleux; Dolmanax; Dofus Ocre; Dofus Pourpre; Dofus Abyssal; Kramkram</t>
        </is>
      </c>
    </row>
    <row r="22394">
      <c r="A22394" t="inlineStr">
        <is>
          <t>Stri/glours/fuji</t>
        </is>
      </c>
      <c r="B22394">
        <f>HYPERLINK("https://www.dofusbook.net/fr/equipement/266755-stri-glours-fuji/objets", "link")</f>
        <v/>
      </c>
      <c r="C22394" t="n">
        <v>0</v>
      </c>
      <c r="D22394" t="inlineStr">
        <is>
          <t>Epée Gloursonne; Amulette du Strigide; Alliance Gloursonne; Bague Gloursonne; Bouclier du Captain Amakna; Ceinture du Strigide; Coiffe de la Fuji Givrefoux; Cape de la Fuji Givrefoux; Bottes du Strigide; Dofus Pourpre; Dolmanax; Dofus Abyssal; Dofus Turquoise; Dofus Nébuleux; Dofus Ocre; Kramkram</t>
        </is>
      </c>
    </row>
    <row r="22395">
      <c r="A22395" t="inlineStr">
        <is>
          <t>Stuff 1</t>
        </is>
      </c>
      <c r="B22395">
        <f>HYPERLINK("https://www.dofusbook.net/fr/equipement/184829-stuff-1/objets", "link")</f>
        <v/>
      </c>
      <c r="C22395" t="n">
        <v>1</v>
      </c>
      <c r="D22395" t="inlineStr">
        <is>
          <t>Héqache; Amulette du Cœur Vaillant; Anneau Crustique; Anneau Crustique; Sept ans de malheur; Ceintouse; Chapoulpe; Cape du Cœur Vaillant; Tentassons; Dofus des Glaces; Dofus Ocre; Dofus Pourpre; Dofus Abyssal; Dokoko; Dofus Turquoise; Muldo Ebène et Pourpre</t>
        </is>
      </c>
    </row>
    <row r="22396">
      <c r="A22396" t="inlineStr">
        <is>
          <t>Stuff pour oiseau</t>
        </is>
      </c>
      <c r="B22396">
        <f>HYPERLINK("https://www.dofusbook.net/fr/equipement/1607676-stuff-pour-oiseau-/objets", "link")</f>
        <v/>
      </c>
      <c r="C22396" t="n">
        <v>0</v>
      </c>
      <c r="D22396" t="inlineStr">
        <is>
          <t>Amulette d'Otomaï; Bague Gloursonne; Ceinture Séculaire; Coiffe Séculaire</t>
        </is>
      </c>
    </row>
    <row r="22397">
      <c r="A22397" t="inlineStr">
        <is>
          <t>Stuff pour vortex</t>
        </is>
      </c>
      <c r="B22397">
        <f>HYPERLINK("https://www.dofusbook.net/fr/equipement/1576772-stuff-pour-vortex/objets", "link")</f>
        <v/>
      </c>
      <c r="C22397" t="n">
        <v>0</v>
      </c>
      <c r="D22397" t="inlineStr">
        <is>
          <t>Sabres d'Atcham; Amulette du Strigide; Anneau de Padgref; Bague Gloursonne; Ceinture du Strigide; Chapeau Lisson; Voile d'encre; Pataugastrique; Dolmanax; Dofus Pourpre; Dofus Turquoise; Nomade; Vigoureux majeur; Remueur; Dragodinde Prune et Emeraude</t>
        </is>
      </c>
    </row>
    <row r="22398">
      <c r="A22398" t="inlineStr">
        <is>
          <t>Stuff pour vortex</t>
        </is>
      </c>
      <c r="B22398">
        <f>HYPERLINK("https://www.dofusbook.net/fr/equipement/1576767-stuff-pour-vortex/objets", "link")</f>
        <v/>
      </c>
      <c r="C22398" t="n">
        <v>0</v>
      </c>
      <c r="D22398" t="inlineStr"/>
    </row>
    <row r="22399">
      <c r="A22399" t="inlineStr">
        <is>
          <t>Eau</t>
        </is>
      </c>
      <c r="B22399">
        <f>HYPERLINK("https://www.dofusbook.net/fr/equipement/1454557-eau/objets", "link")</f>
        <v/>
      </c>
      <c r="C22399" t="n">
        <v>0</v>
      </c>
      <c r="D22399" t="inlineStr">
        <is>
          <t>Dagoulinantes; Amulette de Shokkoth; Alliance Gloursonne; Bracelet des Fonds marins; Bouclier du Captain Amakna; Pagne du Rykaon; Kidibonnet; Cape Matelassée; Sandales des Fonds marins; Dofus des Glaces; Dofus Turquoise; Nomade; Carapace Eau majeur; Remueur; Chanceux majeur; Muldo Ebène et Indigo</t>
        </is>
      </c>
    </row>
    <row r="22400">
      <c r="A22400" t="inlineStr">
        <is>
          <t>Vita</t>
        </is>
      </c>
      <c r="B22400">
        <f>HYPERLINK("https://www.dofusbook.net/fr/equipement/1420086-vita/objets", "link")</f>
        <v/>
      </c>
      <c r="C22400" t="n">
        <v>0</v>
      </c>
      <c r="D22400" t="inlineStr">
        <is>
          <t>Amulette Luminescente; Goulano; Goulclier; Ceinture Luminescente; Coiffe de la Reine des Voleurs; Cape Luminescente; Goulbottes</t>
        </is>
      </c>
    </row>
    <row r="22401">
      <c r="A22401" t="inlineStr">
        <is>
          <t>Koli</t>
        </is>
      </c>
      <c r="B22401">
        <f>HYPERLINK("https://www.dofusbook.net/fr/equipement/1398024-koli/objets", "link")</f>
        <v/>
      </c>
      <c r="C22401" t="n">
        <v>1</v>
      </c>
      <c r="D22401" t="inlineStr">
        <is>
          <t>Héqache; Amulette Luminescente; Alliance Gloursonne; Bague Trithon; Ceinture Luminescente; Masque Trithon; Cape Luminescente; Bottes Trithon; Dokoko; Dofus Émeraude; Dofus Ocre</t>
        </is>
      </c>
    </row>
    <row r="22402">
      <c r="A22402" t="inlineStr">
        <is>
          <t>Do pou</t>
        </is>
      </c>
      <c r="B22402">
        <f>HYPERLINK("https://www.dofusbook.net/fr/equipement/1392454-do-pou/objets", "link")</f>
        <v/>
      </c>
      <c r="C22402" t="n">
        <v>0</v>
      </c>
      <c r="D22402" t="inlineStr">
        <is>
          <t>Héqache; Amulette d'Oshimo; Anneau Instable; Bague Instable; Bouclier précieux; Ceinture Instable; Coiffe d'Oshimo; Cape Luminescente; Bottes d'Oshimo; Dofus Ocre; Dofus Émeraude; Dokoko; Bousculeur; Bousculeur majeur; Pousseur majeur; Muldo Ebène et Pourpre</t>
        </is>
      </c>
    </row>
    <row r="22403">
      <c r="A22403" t="inlineStr">
        <is>
          <t>Korri</t>
        </is>
      </c>
      <c r="B22403">
        <f>HYPERLINK("https://www.dofusbook.net/fr/equipement/1266606-korri/objets", "link")</f>
        <v/>
      </c>
      <c r="C22403" t="n">
        <v>0</v>
      </c>
      <c r="D22403" t="inlineStr">
        <is>
          <t>Hache du Korriandre; Amulette du Strigide; Anneau de Padgref; Alliance Gloursonne; Bouclier du Captain Amakna; Ceinture du Strigide; Némès de Tal Kasha; Chevelure de Tal Kasha; Sandales de Tal Kasha; Dofus Turquoise; Dofus des Glaces; Dofus Ocre; Dofus Émeraude; Dofus Pourpre; Paralyseur majeur; Muldo Ebène et Orchidée</t>
        </is>
      </c>
    </row>
    <row r="22404">
      <c r="A22404" t="inlineStr">
        <is>
          <t>eau air</t>
        </is>
      </c>
      <c r="B22404">
        <f>HYPERLINK("https://www.dofusbook.net/fr/equipement/1247626-eau-air/objets", "link")</f>
        <v/>
      </c>
      <c r="C22404" t="n">
        <v>0</v>
      </c>
      <c r="D22404" t="inlineStr">
        <is>
          <t>Hache du Korriandre; Amulette du Strigide; Alliance Gloursonne; Anneau de Padgref; Bouclier du Captain Amakna; Ceinture du Strigide; Némès de Tal Kasha; Chevelure de Tal Kasha; Sandales de Tal Kasha; Dofus Ocre; Dofus Nébuleux; Dofus Pourpre; Dolmanax; Dofus Turquoise; Dofus des Glaces; Muldo Doré et Emeraude</t>
        </is>
      </c>
    </row>
    <row r="22405">
      <c r="A22405" t="inlineStr">
        <is>
          <t>Terre air</t>
        </is>
      </c>
      <c r="B22405">
        <f>HYPERLINK("https://www.dofusbook.net/fr/equipement/727893-terre-air/objets", "link")</f>
        <v/>
      </c>
      <c r="C22405" t="n">
        <v>0</v>
      </c>
      <c r="D22405" t="inlineStr">
        <is>
          <t>Héqache; Amulette du Kamasterisk; Bracelet du Piloztère; Anneau Crustique; Bouclier du Captain Amakna; Ceintouse; Chapoulpe; Cape de la Fuji Givrefoux; Baleinabottes; Dofus Turquoise; Dofus Nébuleux; Dofus Pourpre; Nomade; Remueur; Vigoureux majeur; Kramkram</t>
        </is>
      </c>
    </row>
    <row r="22406">
      <c r="A22406" t="inlineStr">
        <is>
          <t>Stri-Glours</t>
        </is>
      </c>
      <c r="B22406">
        <f>HYPERLINK("https://www.dofusbook.net/fr/equipement/593918-stri-glours/objets", "link")</f>
        <v/>
      </c>
      <c r="C22406" t="n">
        <v>0</v>
      </c>
      <c r="D22406" t="inlineStr">
        <is>
          <t>Epée Gloursonne; Amulette du Strigide; Alliance Gloursonne; Bague Gloursonne; Bouclier du Captain Amakna; Ceinture du Strigide; Coiffe de la Fuji Givrefoux; Cape de la Fuji Givrefoux; Bottes du Strigide; Dofus Abyssal; Dofus des Glaces; Dokoko; Dofus Turquoise; Dofus Nébuleux; Dofus Ocre; Kramkram</t>
        </is>
      </c>
    </row>
    <row r="22407">
      <c r="A22407" t="inlineStr">
        <is>
          <t>Multi</t>
        </is>
      </c>
      <c r="B22407">
        <f>HYPERLINK("https://www.dofusbook.net/fr/equipement/593624-multi/objets", "link")</f>
        <v/>
      </c>
      <c r="C22407" t="n">
        <v>0</v>
      </c>
      <c r="D22407" t="inlineStr">
        <is>
          <t>Marteau des égarés; Amulette du Strigide; Bague Gloursonne; Alliance Gloursonne; Bouclier du Captain Amakna; Ceinture du Strigide; Le Dorado; Dofusteuse; Bottes du Strigide; Dofus Émeraude; Dokoko; Dofus Turquoise; Dofus des Glaces; Dofus Abyssal; Dofus Pourpre; Muldo Ebène et Pourpre</t>
        </is>
      </c>
    </row>
    <row r="22408">
      <c r="A22408" t="inlineStr">
        <is>
          <t>Stuff 3</t>
        </is>
      </c>
      <c r="B22408">
        <f>HYPERLINK("https://www.dofusbook.net/fr/equipement/184843-stuff-3/objets", "link")</f>
        <v/>
      </c>
      <c r="C22408" t="n">
        <v>0</v>
      </c>
      <c r="D22408" t="inlineStr">
        <is>
          <t>Arc Hétype; Amulette d'Otomaï; Anneau de Padgref; Bague Gloursonne; Ceinture Séculaire; Coiffe Séculaire; Cape de Diondin; Pantoufles Émar; Dofus Turquoise; Érudit majeur; Remueur; Dévastateur Feu majeur; Astucieux majeur; Nomade; Dragodinde Prune et Emeraude</t>
        </is>
      </c>
    </row>
    <row r="22409">
      <c r="A22409" t="inlineStr">
        <is>
          <t>Stuff 2</t>
        </is>
      </c>
      <c r="B22409">
        <f>HYPERLINK("https://www.dofusbook.net/fr/equipement/184839-stuff-2/objets", "link")</f>
        <v/>
      </c>
      <c r="C22409" t="n">
        <v>0</v>
      </c>
      <c r="D22409" t="inlineStr">
        <is>
          <t>Sabres d'Atcham; Amulette du Strigide; Anneau de Padgref; Alliance Gloursonne; Ceintacé; Chapeau des Malveilleurs; Voile d'encre; Bottes du Strigide; Dolmanax; Dofus Turquoise; Dofus Pourpre; Vigoureux majeur; Nomade; Remueur; Dragodinde en armure</t>
        </is>
      </c>
    </row>
    <row r="22410">
      <c r="A22410" t="inlineStr">
        <is>
          <t>Stuff 1</t>
        </is>
      </c>
      <c r="B22410">
        <f>HYPERLINK("https://www.dofusbook.net/fr/equipement/184832-stuff-1/objets", "link")</f>
        <v/>
      </c>
      <c r="C22410" t="n">
        <v>1</v>
      </c>
      <c r="D22410" t="inlineStr">
        <is>
          <t>Dagoulinantes; Amulette de l'Œil Attentif; Alliance Gloursonne; Goulano; Goulclier; Poulpagne; Capuche de l'Œil Attentif; Cape de l'Œil Attentif; Goulbottes</t>
        </is>
      </c>
    </row>
    <row r="22411">
      <c r="A22411" t="inlineStr">
        <is>
          <t>Stuff 1</t>
        </is>
      </c>
      <c r="B22411">
        <f>HYPERLINK("https://www.dofusbook.net/fr/equipement/184860-stuff-1/objets", "link")</f>
        <v/>
      </c>
      <c r="C22411" t="n">
        <v>0</v>
      </c>
      <c r="D22411" t="inlineStr">
        <is>
          <t>Masse Ossiale; Torquistik; Anneau de Pol Ouatnos; Alliance Gloursonne; Ceinture Luminescente; Kidibonnet; Cape des Malveilleurs; Bottistik; Dofus Émeraude; Carapace Terre majeur; Nomade; Bousculeur majeur; Remueur; Culbuteur majeur; El Scarador</t>
        </is>
      </c>
    </row>
    <row r="22412">
      <c r="A22412" t="inlineStr">
        <is>
          <t>Stuff 2</t>
        </is>
      </c>
      <c r="B22412">
        <f>HYPERLINK("https://www.dofusbook.net/fr/equipement/184848-stuff-2/objets", "link")</f>
        <v/>
      </c>
      <c r="C22412" t="n">
        <v>2</v>
      </c>
      <c r="D22412" t="inlineStr">
        <is>
          <t>Arc corrompu; Pendentif affamé; Anneau Tique; Bague Gloursonne; Cadran de Terre; Ceinture Séculaire; Coiffe Séculaire; Voile d'encre; Bottes Innommables; Dofus Pourpre; Dofus Turquoise; Dofus Ocre; Dofus des Glaces; Érudit majeur; Remueur; Muldo Orchidée</t>
        </is>
      </c>
    </row>
    <row r="22413">
      <c r="A22413" t="inlineStr">
        <is>
          <t>Stuff 1</t>
        </is>
      </c>
      <c r="B22413">
        <f>HYPERLINK("https://www.dofusbook.net/fr/equipement/184834-stuff-1/objets", "link")</f>
        <v/>
      </c>
      <c r="C22413" t="n">
        <v>0</v>
      </c>
      <c r="D22413" t="inlineStr">
        <is>
          <t>Manthache; Collier du Valet Veinard; Gant du Valet Veinard; Alliance Gloursonne; Bouclier du Stalak; Menoture; Couronne d'Allister; Cape Indescriptible; Palmes Trithons; Dofus Nébuleux; Dofus Abyssal; Carapace Air majeur; Cascadeur majeur; Nomade; Remueur; Kramkram</t>
        </is>
      </c>
    </row>
    <row r="22414">
      <c r="A22414" t="inlineStr">
        <is>
          <t>Stuff 3</t>
        </is>
      </c>
      <c r="B22414">
        <f>HYPERLINK("https://www.dofusbook.net/fr/equipement/184843-stuff-3/objets", "link")</f>
        <v/>
      </c>
      <c r="C22414" t="n">
        <v>0</v>
      </c>
      <c r="D22414" t="inlineStr">
        <is>
          <t>Arc Hétype; Amulette d'Otomaï; Bague Gloursonne; Anneau de Padgref; Ceinture Séculaire; Coiffe Séculaire; Cape de Diondin; Pantoufles Émar; Dofus Turquoise; Érudit majeur; Remueur; Dévastateur Feu majeur; Astucieux majeur; Nomade; Dragodinde Prune et Emeraude</t>
        </is>
      </c>
    </row>
    <row r="22415">
      <c r="A22415" t="inlineStr">
        <is>
          <t>Stuff 1</t>
        </is>
      </c>
      <c r="B22415">
        <f>HYPERLINK("https://www.dofusbook.net/fr/equipement/184838-stuff-1/objets", "link")</f>
        <v/>
      </c>
      <c r="C22415" t="n">
        <v>0</v>
      </c>
      <c r="D22415" t="inlineStr">
        <is>
          <t>Manthache; Collier du Valet Veinard; Alliance Gloursonne; Gant du Valet Veinard; Menoture; Couronne d'Allister; Cape Indescriptible; Palmes Trithons; Dofus Pourpre; Vigoureux majeur; Cascadeur majeur; Nomade; Dévastateur Air majeur; Remueur; Pioute jaune</t>
        </is>
      </c>
    </row>
    <row r="22416">
      <c r="A22416" t="inlineStr">
        <is>
          <t>Stuff 3</t>
        </is>
      </c>
      <c r="B22416">
        <f>HYPERLINK("https://www.dofusbook.net/fr/equipement/184831-stuff-3/objets", "link")</f>
        <v/>
      </c>
      <c r="C22416" t="n">
        <v>0</v>
      </c>
      <c r="D22416" t="inlineStr">
        <is>
          <t>Bêche Asse; Amulette du Strigide; Bague Gloursonne; Anneau de Brouce; Ceinture du Strigide; Masque de Koutoulou; Cape au Logis; Baleinabottes; Dofus Turquoise; Carapace Terre majeur; Enragé majeur; Forcené majeur; Vigoureux majeur; Nomade; Kompost</t>
        </is>
      </c>
    </row>
    <row r="22417">
      <c r="A22417" t="inlineStr">
        <is>
          <t>Stuff 3</t>
        </is>
      </c>
      <c r="B22417">
        <f>HYPERLINK("https://www.dofusbook.net/fr/equipement/184840-stuff-3/objets", "link")</f>
        <v/>
      </c>
      <c r="C22417" t="n">
        <v>0</v>
      </c>
      <c r="D22417" t="inlineStr">
        <is>
          <t>Harpelle; Pendentif affamé; Bracelet du Piloztère; Bague Gloursonne; Ceinture de Gein; Chapeau de Gein; Voile d'encre; Pataugastrique; Dofus des Glaces; Dofus Pourpre; Érudit majeur; Nomade; Remueur; Dévastateur Feu majeur; Dragodinde en armure</t>
        </is>
      </c>
    </row>
    <row r="22418">
      <c r="A22418" t="inlineStr">
        <is>
          <t>Stuff 2</t>
        </is>
      </c>
      <c r="B22418">
        <f>HYPERLINK("https://www.dofusbook.net/fr/equipement/184833-stuff-2/objets", "link")</f>
        <v/>
      </c>
      <c r="C22418" t="n">
        <v>2</v>
      </c>
      <c r="D22418" t="inlineStr">
        <is>
          <t>Pelle Aigante; Amulette Ementaire Deluxe; Alliance Boletée; Alliance du Lévitrof; Ceinture Séculaire; Coiffe Séculaire; Voile d'encre; Pataugastrique; Dofus Émeraude; Miraculé majeur; Nomade; Érudit majeur; Remueur; Carapace Terre majeur; Croum</t>
        </is>
      </c>
    </row>
    <row r="22419">
      <c r="A22419" t="inlineStr">
        <is>
          <t>Stuff 3</t>
        </is>
      </c>
      <c r="B22419">
        <f>HYPERLINK("https://www.dofusbook.net/fr/equipement/184849-stuff-3/objets", "link")</f>
        <v/>
      </c>
      <c r="C22419" t="n">
        <v>1</v>
      </c>
      <c r="D22419" t="inlineStr">
        <is>
          <t>Harpelle; Amulette d'Otomaï; Bague Gloursonne; Chevalière du Roi Joueur; Ceinture Séculaire; Coiffe Séculaire; Voile d'encre; Pataugastrique; Dofus Turquoise; Carapace Feu majeur; Remueur; Carapace Terre majeur; Dévastateur Feu majeur; Érudit majeur; Muldo Pourpre</t>
        </is>
      </c>
    </row>
    <row r="22420">
      <c r="A22420" t="inlineStr">
        <is>
          <t>Stuff 2</t>
        </is>
      </c>
      <c r="B22420">
        <f>HYPERLINK("https://www.dofusbook.net/fr/equipement/184842-stuff-2/objets", "link")</f>
        <v/>
      </c>
      <c r="C22420" t="n">
        <v>0</v>
      </c>
      <c r="D22420" t="inlineStr">
        <is>
          <t>Sabres d'Atcham; Amulette du Strigide; Alliance Gloursonne; Anneau de Padgref; Ceinture du Strigide; Chapeau Lisson; Voile d'encre; Pataugastrique; Dofus Turquoise; Érudit majeur; Remueur; Vigoureux majeur; Nomade; Chanceux majeur; Kramkram</t>
        </is>
      </c>
    </row>
    <row r="22421">
      <c r="A22421" t="inlineStr">
        <is>
          <t>Stuff 2</t>
        </is>
      </c>
      <c r="B22421">
        <f>HYPERLINK("https://www.dofusbook.net/fr/equipement/184830-stuff-2/objets", "link")</f>
        <v/>
      </c>
      <c r="C22421" t="n">
        <v>0</v>
      </c>
      <c r="D22421" t="inlineStr">
        <is>
          <t>Marteau R'ture; Amulette du Strigide; Bague Gloursonne; Anneau de Brouce; Ceinture du Strigide; Masque de Koutoulou; Cape au Logis; Baleinabottes; Dofus Turquoise; Vigoureux majeur; Forcené majeur; Nomade; Enragé majeur; Carapace Terre majeur; Kompost</t>
        </is>
      </c>
    </row>
    <row r="22422">
      <c r="A22422" t="inlineStr">
        <is>
          <t>Stuff 1</t>
        </is>
      </c>
      <c r="B22422">
        <f>HYPERLINK("https://www.dofusbook.net/fr/equipement/184815-stuff-1/objets", "link")</f>
        <v/>
      </c>
      <c r="C22422" t="n">
        <v>2</v>
      </c>
      <c r="D22422" t="inlineStr">
        <is>
          <t>Arc Hétype; Amulette d'Otomaï; Anneau Tamie; Anneau de Nidas; Ceinture du Glourséleste; Couronne de Nidas; Cape de Diondin; Pantoufles Émar; Entraveur majeur; Remueur; Astucieux majeur; Temporiseur majeur; Érudit majeur; Nomade; Dragodinde Prune et Emeraude</t>
        </is>
      </c>
    </row>
    <row r="22423">
      <c r="A22423" t="inlineStr">
        <is>
          <t>Stuff 2</t>
        </is>
      </c>
      <c r="B22423">
        <f>HYPERLINK("https://www.dofusbook.net/fr/equipement/184822-stuff-2/objets", "link")</f>
        <v/>
      </c>
      <c r="C22423" t="n">
        <v>0</v>
      </c>
      <c r="D22423" t="inlineStr">
        <is>
          <t>Marteau R'ture; Collier de Tourthon; Bracelet du Piloztère; Anneau Chevelu; Ceinture de la Cour Sombre; Masque de Koutoulou; Cape au Logis; Bottes de la Cour Sombre; Dofus Pourpre; Nomade; Vigoureux majeur; Enragé majeur; Forcené majeur; Remueur; Dragodinde en armure</t>
        </is>
      </c>
    </row>
    <row r="22424">
      <c r="A22424" t="inlineStr">
        <is>
          <t>Stuff 1</t>
        </is>
      </c>
      <c r="B22424">
        <f>HYPERLINK("https://www.dofusbook.net/fr/equipement/184809-stuff-1/objets", "link")</f>
        <v/>
      </c>
      <c r="C22424" t="n">
        <v>0</v>
      </c>
      <c r="D22424" t="inlineStr">
        <is>
          <t>Voile d'encre; Remueur; Temporiseur majeur; Érudit majeur</t>
        </is>
      </c>
    </row>
    <row r="22425">
      <c r="A22425" t="inlineStr">
        <is>
          <t>Stuff 2</t>
        </is>
      </c>
      <c r="B22425">
        <f>HYPERLINK("https://www.dofusbook.net/fr/equipement/184804-stuff-2/objets", "link")</f>
        <v/>
      </c>
      <c r="C22425" t="n">
        <v>0</v>
      </c>
      <c r="D22425" t="inlineStr">
        <is>
          <t>Arc Hétype; Amulette d'Otomaï; Anneau de Padgref; Bague Gloursonne; Ceinture Séculaire; Coiffe Séculaire; Cape de Diondin; Pantoufles Émar; Dofus Turquoise; Dévastateur Feu majeur; Astucieux majeur; Nomade; Érudit majeur; Remueur; Dragodinde Prune et Emeraude</t>
        </is>
      </c>
    </row>
    <row r="22426">
      <c r="A22426" t="inlineStr">
        <is>
          <t>Stuff 3</t>
        </is>
      </c>
      <c r="B22426">
        <f>HYPERLINK("https://www.dofusbook.net/fr/equipement/184811-stuff-3/objets", "link")</f>
        <v/>
      </c>
      <c r="C22426" t="n">
        <v>0</v>
      </c>
      <c r="D22426" t="inlineStr">
        <is>
          <t>Arc Hétype; Amulette d'Otomaï; Anneau de Nidas; Bague Gloursonne; Ceinture Séculaire; Couronne de Nidas; Voile d'encre; Pataugastrique; Dofus Turquoise; Érudit majeur; Remueur; Carapace Feu majeur; Nomade; Temporiseur majeur; Muldo Orchidée et Pourpre</t>
        </is>
      </c>
    </row>
    <row r="22427">
      <c r="A22427" t="inlineStr">
        <is>
          <t>Stuff 3</t>
        </is>
      </c>
      <c r="B22427">
        <f>HYPERLINK("https://www.dofusbook.net/fr/equipement/184823-stuff-3/objets", "link")</f>
        <v/>
      </c>
      <c r="C22427" t="n">
        <v>0</v>
      </c>
      <c r="D22427" t="inlineStr">
        <is>
          <t>Arc du Chalœil; Collier de Tourthon; Bague Gloursonne; Anneau de Brouce; Ceinture de Brouce; Masque de Koutoulou; Cape au Logis; Baleinabottes; Dofus Turquoise; Remueur; Carapace Terre majeur; Enragé majeur; Vigoureux majeur; Nomade; Kramkram</t>
        </is>
      </c>
    </row>
    <row r="22428">
      <c r="A22428" t="inlineStr">
        <is>
          <t>Stuff 2</t>
        </is>
      </c>
      <c r="B22428">
        <f>HYPERLINK("https://www.dofusbook.net/fr/equipement/184810-stuff-2/objets", "link")</f>
        <v/>
      </c>
      <c r="C22428" t="n">
        <v>0</v>
      </c>
      <c r="D22428" t="inlineStr">
        <is>
          <t>Hache du Chalœil; Amulette du Strigide; Bague Gloursonne; Alliance Gloursonne; Ceinture du Strigide; Chapeau Lisson; Dofusteuse; Bottes du Strigide; Dolmanax; Dofus Turquoise; Dofus des Glaces; Dofus Émeraude; Dofus Pourpre; Dofus Ocre; Muldo Orchidée et Pourpre</t>
        </is>
      </c>
    </row>
    <row r="22429">
      <c r="A22429" t="inlineStr">
        <is>
          <t>Stuff 1</t>
        </is>
      </c>
      <c r="B22429">
        <f>HYPERLINK("https://www.dofusbook.net/fr/equipement/184815-stuff-1/objets", "link")</f>
        <v/>
      </c>
      <c r="C22429" t="n">
        <v>2</v>
      </c>
      <c r="D22429" t="inlineStr">
        <is>
          <t>Arc Hétype; Amulette d'Otomaï; Anneau de Nidas; Anneau Tamie; Ceinture du Glourséleste; Couronne de Nidas; Cape de Diondin; Pantoufles Émar; Érudit majeur; Nomade; Entraveur majeur; Remueur; Astucieux majeur; Temporiseur majeur; Dragodinde Prune et Emeraude</t>
        </is>
      </c>
    </row>
    <row r="22430">
      <c r="A22430" t="inlineStr">
        <is>
          <t>Lance Horcelée</t>
        </is>
      </c>
      <c r="B22430">
        <f>HYPERLINK("https://www.dofusbook.net/fr/equipement/2881472-lance-horcelee/objets", "link")</f>
        <v/>
      </c>
      <c r="C22430" t="n">
        <v>1</v>
      </c>
      <c r="D22430" t="inlineStr">
        <is>
          <t>Lance Horselé; Amulette du Strigide; Alliance Gloursonne; Anneau de Padgref; Quatre-feuilles; Menoture; Capuche de Moum-Ra; Chevelure de Tal Kasha; Sandales de Tal Kasha</t>
        </is>
      </c>
    </row>
    <row r="22431">
      <c r="A22431" t="inlineStr">
        <is>
          <t>Eau Air</t>
        </is>
      </c>
      <c r="B22431">
        <f>HYPERLINK("https://www.dofusbook.net/fr/equipement/2717830-eau-air/objets", "link")</f>
        <v/>
      </c>
      <c r="C22431" t="n">
        <v>3</v>
      </c>
      <c r="D22431" t="inlineStr">
        <is>
          <t>Arc Ahique; Amulette d'Ilyzaelle; Gant du Valet Veinard; Alliance Gloursonne; Menoture; Casque d'Ilyzaelle; Voilamibe; Bottes de la Reine des Voleurs; Dofus Ocre; Dofus Abyssal; Dofus des Glaces</t>
        </is>
      </c>
    </row>
    <row r="22432">
      <c r="A22432" t="inlineStr">
        <is>
          <t>Feu Eau Thanos</t>
        </is>
      </c>
      <c r="B22432">
        <f>HYPERLINK("https://www.dofusbook.net/fr/equipement/2716165-feu-eau-thanos/objets", "link")</f>
        <v/>
      </c>
      <c r="C22432" t="n">
        <v>2</v>
      </c>
      <c r="D22432" t="inlineStr">
        <is>
          <t>Le Thanos; Amulette d'Ilyzaelle; Alliance Gloursonne; Lavanneau; Carapar; Ceintrigue; Casque d'Ilyzaelle; Cape Solution; Bottes de l'Esprit Malsain; Dofus Ocre; Dofus Abyssal; Dofus des Glaces; Dévastateur Eau majeur; Nomade; Guérisseur majeur; Croum</t>
        </is>
      </c>
    </row>
    <row r="22433">
      <c r="A22433" t="inlineStr">
        <is>
          <t>Feu Eau Soins</t>
        </is>
      </c>
      <c r="B22433">
        <f>HYPERLINK("https://www.dofusbook.net/fr/equipement/2713616-feu-eau-soins/objets", "link")</f>
        <v/>
      </c>
      <c r="C22433" t="n">
        <v>3</v>
      </c>
      <c r="D22433" t="inlineStr">
        <is>
          <t>Baguette de Malléfisk; Amulette d'Ilyzaelle; Alliance Gloursonne; Lavanneau; Carapar; Ceintrigue; Casque d'Ilyzaelle; Cape de Diondin; Bottes de Meno; Dofus des Glaces; Dofus Ocre; Nomade; Dévastateur Eau majeur; Érudit majeur; Guérisseur majeur; Croum</t>
        </is>
      </c>
    </row>
    <row r="22434">
      <c r="A22434" t="inlineStr">
        <is>
          <t>alos</t>
        </is>
      </c>
      <c r="B22434">
        <f>HYPERLINK("https://www.dofusbook.net/fr/equipement/2696868-alos/objets", "link")</f>
        <v/>
      </c>
      <c r="C22434" t="n">
        <v>0</v>
      </c>
      <c r="D22434" t="inlineStr">
        <is>
          <t>Dagues Eudin; Amulette de Gein; Bague Gloursonne; Chevalière du Roi Joueur; Bouclier du Stalak; Ceinture de Gein; Couronne du Roi Joueur; Voile d'encre; Bottes du Roi Joueur</t>
        </is>
      </c>
    </row>
    <row r="22435">
      <c r="A22435" t="inlineStr">
        <is>
          <t>Lance esq pm</t>
        </is>
      </c>
      <c r="B22435">
        <f>HYPERLINK("https://www.dofusbook.net/fr/equipement/2638600-lance-esq-pm/objets", "link")</f>
        <v/>
      </c>
      <c r="C22435" t="n">
        <v>0</v>
      </c>
      <c r="D22435" t="inlineStr">
        <is>
          <t>Lance corrompue; Collier du Valet Veinard; Anneau des égarés; Anneau de Brouce; Bouclier à hélice; Ceinture Gence; Casque des égarés; Cape de Nevark; Palmes Trithons</t>
        </is>
      </c>
    </row>
    <row r="22436">
      <c r="A22436" t="inlineStr">
        <is>
          <t>Lance</t>
        </is>
      </c>
      <c r="B22436">
        <f>HYPERLINK("https://www.dofusbook.net/fr/equipement/2066886-lance/objets", "link")</f>
        <v/>
      </c>
      <c r="C22436" t="n">
        <v>3</v>
      </c>
      <c r="D22436" t="inlineStr">
        <is>
          <t>Lance corrompue; Amulette de l'Indicible; Alliance Gloursonne; Anneau des égarés; Bouclier alvéolé; Ceinture de la Reine des Voleurs; Coiffe de la Reine des Voleurs; Cape de Nevark; Baleinabottes; Dofus Nébuleux; Dofus des Glaces; Remueur; Nomade; Sanguinaire majeur; Féroce majeur; Pioute violet</t>
        </is>
      </c>
    </row>
    <row r="22437">
      <c r="A22437" t="inlineStr">
        <is>
          <t>Contre Lance 3</t>
        </is>
      </c>
      <c r="B22437">
        <f>HYPERLINK("https://www.dofusbook.net/fr/equipement/2636541-contre-lance-3/objets", "link")</f>
        <v/>
      </c>
      <c r="C22437" t="n">
        <v>1</v>
      </c>
      <c r="D22437" t="inlineStr">
        <is>
          <t>Lance corrompue; Amulette de l'Indicible; Bague Gloursonne; Alliance Gloursonne; Bouclier alvéolé; Ceinture de Nevark; Masque de Koutoulou; Cape du Kamasterisk; Tentassons; Dofus Abyssal; Dofus Émeraude; Dofus Ivoire; Dofus Ocre; Dofus des Glaces; Nomade; Croum</t>
        </is>
      </c>
    </row>
    <row r="22438">
      <c r="A22438" t="inlineStr">
        <is>
          <t>Contre Lance</t>
        </is>
      </c>
      <c r="B22438">
        <f>HYPERLINK("https://www.dofusbook.net/fr/equipement/2621396-contre-lance/objets", "link")</f>
        <v/>
      </c>
      <c r="C22438" t="n">
        <v>0</v>
      </c>
      <c r="D22438" t="inlineStr">
        <is>
          <t>Lance corrompue; Amulette Ementaire Deluxe; Alliance Gloursonne; Anneau Chevelu; Bouclier alvéolé; Menoture; Chapoulpe; Cape du Cœur Vaillant; Bottes du Cœur Vaillant; Dofus Émeraude; Dofus Ivoire; Dofus des Glaces; Carapace Neutre majeur; Nomade; Remueur; Croum</t>
        </is>
      </c>
    </row>
    <row r="22439">
      <c r="A22439" t="inlineStr">
        <is>
          <t>Contre Lance2</t>
        </is>
      </c>
      <c r="B22439">
        <f>HYPERLINK("https://www.dofusbook.net/fr/equipement/2621442-contre-lance2/objets", "link")</f>
        <v/>
      </c>
      <c r="C22439" t="n">
        <v>0</v>
      </c>
      <c r="D22439" t="inlineStr">
        <is>
          <t>Lance corrompue; Amulette de l'Indicible; Alliance Gloursonne; Anneau Chevelu; Roncier; Ceinture de la Reine des Voleurs; Coiffe de la Reine des Voleurs; Cape du Kamasterisk; Tentassons; Dofus Ivoire; Dofus des Glaces; Dofus Émeraude; Dofus Ocre; Remueur; Nomade; Croum</t>
        </is>
      </c>
    </row>
    <row r="22440">
      <c r="A22440" t="inlineStr">
        <is>
          <t>Lance Indiscible</t>
        </is>
      </c>
      <c r="B22440">
        <f>HYPERLINK("https://www.dofusbook.net/fr/equipement/2619058-lance-indiscible/objets", "link")</f>
        <v/>
      </c>
      <c r="C22440" t="n">
        <v>0</v>
      </c>
      <c r="D22440" t="inlineStr">
        <is>
          <t>Lance corrompue; Amulette de l'Indicible; Bague Gloursonne; Alliance Gloursonne; Bouclier alvéolé; Ceinture de la Reine des Voleurs; Coiffe de la Reine des Voleurs; Cape des Justiciers; Bottes de l'Indicible; Muldo Indigo et Orchidée</t>
        </is>
      </c>
    </row>
    <row r="22441">
      <c r="A22441" t="inlineStr">
        <is>
          <t>Full eau</t>
        </is>
      </c>
      <c r="B22441">
        <f>HYPERLINK("https://www.dofusbook.net/fr/equipement/2039329-full-eau/objets", "link")</f>
        <v/>
      </c>
      <c r="C22441" t="n">
        <v>3</v>
      </c>
      <c r="D22441" t="inlineStr">
        <is>
          <t>Dagoulinantes; Amulette de Shokkoth; Pikano; Alliance Gloursonne; Quatre-feuilles; Poulpagne; Masque d'Anerice; Cape d'Anerice; Bottes du Sinistrofu; Dofus Nébuleux; Dofus Pourpre; Déserteur majeur; Chanceux majeur; Nomade; Remueur; Kramkram</t>
        </is>
      </c>
    </row>
    <row r="22442">
      <c r="A22442" t="inlineStr">
        <is>
          <t>Srambad40</t>
        </is>
      </c>
      <c r="B22442">
        <f>HYPERLINK("https://www.dofusbook.net/fr/equipement/2105026-srambad40/objets", "link")</f>
        <v/>
      </c>
      <c r="C22442" t="n">
        <v>0</v>
      </c>
      <c r="D22442" t="inlineStr">
        <is>
          <t>Dagues de Srambad; Amulette Ementaire Deluxe; Alliance Gloursonne; Pikano; Bouclier alvéolé; Ceinture de la Reine des Voleurs; Coiffe de la Reine des Voleurs; Voile d'encre; Sabots Minables; Dokoko; Dolmanax; Dofus Nébuleux; Dofus des Glaces; Remueur; Nomade; Kramkram</t>
        </is>
      </c>
    </row>
    <row r="22443">
      <c r="A22443" t="inlineStr">
        <is>
          <t>Roub feu</t>
        </is>
      </c>
      <c r="B22443">
        <f>HYPERLINK("https://www.dofusbook.net/fr/equipement/1942079-roub-feu/objets", "link")</f>
        <v/>
      </c>
      <c r="C22443" t="n">
        <v>3</v>
      </c>
      <c r="D22443" t="inlineStr">
        <is>
          <t>Massier; Pendentif mignon de Koutoulou; Anneauræus; Anneauræus; Bouclier alvéolé; Ceinture de Gein; Casque Cyclopéen; Cape de Diondin; Bottes Innommables; Dofus des Glaces; Dofus Vulbis; Dokoko; Dofus Nébuleux; Dofus Ocre; Déserteur majeur; Brûlih</t>
        </is>
      </c>
    </row>
    <row r="22444">
      <c r="A22444" t="inlineStr">
        <is>
          <t>SramBad Acro</t>
        </is>
      </c>
      <c r="B22444">
        <f>HYPERLINK("https://www.dofusbook.net/fr/equipement/1338713-srambad-acro/objets", "link")</f>
        <v/>
      </c>
      <c r="C22444" t="n">
        <v>0</v>
      </c>
      <c r="D22444" t="inlineStr">
        <is>
          <t>Dagues de Srambad; Amulette de l'Indicible; Alliance Gloursonne; Pikano; Bouclier alvéolé; Ceinture de la Reine des Voleurs; Coiffe de la Reine des Voleurs; Cape au Logis; Baleinabottes; Dokoko; Dofus Pourpre; Dofus Ocre; Dofus Nébuleux; Dofus des Glaces; Remueur; Kramkram</t>
        </is>
      </c>
    </row>
    <row r="22445">
      <c r="A22445" t="inlineStr">
        <is>
          <t>Marteau Rtur</t>
        </is>
      </c>
      <c r="B22445">
        <f>HYPERLINK("https://www.dofusbook.net/fr/equipement/1571413-marteau-rtur/objets", "link")</f>
        <v/>
      </c>
      <c r="C22445" t="n">
        <v>2</v>
      </c>
      <c r="D22445" t="inlineStr">
        <is>
          <t>Marteau R'ture; Amulette du Strigide; Bague Gloursonne; Anneau Chevelu; Bouclier du Captain Amakna; Ceinture du Strigide; Masque de Koutoulou; Cape au Logis; Bottes de la Cour Sombre; Dofus Pourpre; Dokoko; Dofus Nébuleux; Dofus Turquoise; Enragé majeur; Remueur; Croum</t>
        </is>
      </c>
    </row>
    <row r="22446">
      <c r="A22446" t="inlineStr">
        <is>
          <t>Srambad Anti Sacri</t>
        </is>
      </c>
      <c r="B22446">
        <f>HYPERLINK("https://www.dofusbook.net/fr/equipement/1529900-srambad-anti-sacri-/objets", "link")</f>
        <v/>
      </c>
      <c r="C22446" t="n">
        <v>0</v>
      </c>
      <c r="D22446" t="inlineStr">
        <is>
          <t>Dagues de Srambad; Amulette de l'Indicible; Bracelet du Piloztère; Alliance Gloursonne; Bouclier du Captain Amakna; Ceinture de la Reine des Voleurs; Kidibonnet; Cape Luminescente; Bottes de la Reine des Voleurs; Dofus des Glaces; Dofus Pourpre; Dofus Nébuleux; Dokoko; Dofus Ocre; Nomade; Croum</t>
        </is>
      </c>
    </row>
    <row r="22447">
      <c r="A22447" t="inlineStr">
        <is>
          <t>TalkAsha Noctu</t>
        </is>
      </c>
      <c r="B22447">
        <f>HYPERLINK("https://www.dofusbook.net/fr/equipement/488400-talkasha-noctu/objets", "link")</f>
        <v/>
      </c>
      <c r="C22447" t="n">
        <v>0</v>
      </c>
      <c r="D22447" t="inlineStr">
        <is>
          <t>Dague Adou; Amulette du Nocturlabe; Alliance Gloursonne; Anneau de Pol Ouatnos; Bouclier du Captain Amakna; Ceinture du Nocturlabe; Némès de Tal Kasha; Chevelure de Tal Kasha; Sandales de Tal Kasha; Dofus Pourpre; Dofus Nébuleux; Dofus des Glaces; Dofus Turquoise; Dokoko; Dofus Ocre; Kramkram</t>
        </is>
      </c>
    </row>
    <row r="22448">
      <c r="A22448" t="inlineStr">
        <is>
          <t>TalkAsha Stri</t>
        </is>
      </c>
      <c r="B22448">
        <f>HYPERLINK("https://www.dofusbook.net/fr/equipement/485506-talkasha-stri/objets", "link")</f>
        <v/>
      </c>
      <c r="C22448" t="n">
        <v>0</v>
      </c>
      <c r="D22448" t="inlineStr">
        <is>
          <t>Dague Adou; Amulette du Strigide; Anneau de Pol Ouatnos; Alliance Gloursonne; Bouclier Pandawa; Ceinture du Strigide; Némès de Tal Kasha; Chevelure de Tal Kasha; Sandales de Tal Kasha; Dofus des Glaces; Dofus Turquoise; Dofus Pourpre; Dofus Ocre; Dokoko; Dofus Nébuleux; Croum</t>
        </is>
      </c>
    </row>
    <row r="22449">
      <c r="A22449" t="inlineStr">
        <is>
          <t>Voile Gein Stri Ehry</t>
        </is>
      </c>
      <c r="B22449">
        <f>HYPERLINK("https://www.dofusbook.net/fr/equipement/485363-voile-gein-stri-ehry/objets", "link")</f>
        <v/>
      </c>
      <c r="C22449" t="n">
        <v>0</v>
      </c>
      <c r="D22449" t="inlineStr">
        <is>
          <t>Dagues Érhy; Amulette du Strigide; Anneau Chevelu; Alliance Gloursonne; Bouclier du Captain Amakna; Ceintacé; Chapeau de Gein; Voile d'encre; Bottes du Strigide; Dofus Émeraude; Dofus des Glaces; Dofus Turquoise; Dofus Pourpre; Dofus Ocre; Nomade; Kramkram</t>
        </is>
      </c>
    </row>
    <row r="22450">
      <c r="A22450" t="inlineStr">
        <is>
          <t>Full Chaloeil Stri/G</t>
        </is>
      </c>
      <c r="B22450">
        <f>HYPERLINK("https://www.dofusbook.net/fr/equipement/483724-full-chaloeil-stri-g/objets", "link")</f>
        <v/>
      </c>
      <c r="C22450" t="n">
        <v>0</v>
      </c>
      <c r="D22450" t="inlineStr">
        <is>
          <t>Marteau de Katrepat; Amulette du Strigide; Alliance Gloursonne; Bague Gloursonne; Bouclier du Captain Amakna; Ceinture du Strigide; Casque du Chalœil; Cape du Chalœil; Bottes du Chalœil; Dofus des Glaces; Dofus Turquoise; Dofus Pourpre; Dofus Ocre; Dolmanax; Dofus Nébuleux; Muldo Indigo et Orchidée</t>
        </is>
      </c>
    </row>
    <row r="22451">
      <c r="A22451" t="inlineStr">
        <is>
          <t>zhqsd</t>
        </is>
      </c>
      <c r="B22451">
        <f>HYPERLINK("https://www.dofusbook.net/fr/equipement/2011763-zhqsd/objets", "link")</f>
        <v/>
      </c>
      <c r="C22451" t="n">
        <v>0</v>
      </c>
      <c r="D22451" t="inlineStr">
        <is>
          <t>Sabres d'Atcham; Amulette d'Ilyzaelle; Bouclier d'Ilyzaelle; Casque d'Ilyzaelle; Cape d'Atcham; Sandales  d'Atcham</t>
        </is>
      </c>
    </row>
    <row r="22452">
      <c r="A22452" t="inlineStr">
        <is>
          <t>Stuff Multi</t>
        </is>
      </c>
      <c r="B22452">
        <f>HYPERLINK("https://www.dofusbook.net/fr/equipement/1596002-stuff-multi/objets", "link")</f>
        <v/>
      </c>
      <c r="C22452" t="n">
        <v>0</v>
      </c>
      <c r="D22452" t="inlineStr">
        <is>
          <t>Hache du Chalœil; Amulette Ementaire Deluxe; Alliance Gloursonne; Goulano; Quatre-feuilles; Ceinture du Strigide; Le Dorado; Voile d'encre; Bottes du Strigide</t>
        </is>
      </c>
    </row>
    <row r="22453">
      <c r="A22453" t="inlineStr">
        <is>
          <t>Stuff feu</t>
        </is>
      </c>
      <c r="B22453">
        <f>HYPERLINK("https://www.dofusbook.net/fr/equipement/1595990-stuff-feu/objets", "link")</f>
        <v/>
      </c>
      <c r="C22453" t="n">
        <v>0</v>
      </c>
      <c r="D22453" t="inlineStr">
        <is>
          <t>Épée d'Otomaï; Pendentif affamé; Anneau de Padgref; Anneau Tique; Quatre-feuilles; Ceinture Séculaire; Coiffe Séculaire; Voile d'encre; Bottes Innommables; Dofus Ocre; Dofus Abyssal; Dofus Turquoise; Érudit majeur; Remueur; Nomade; Brûlih</t>
        </is>
      </c>
    </row>
    <row r="22454">
      <c r="A22454" t="inlineStr">
        <is>
          <t>Stuff HOUFFE</t>
        </is>
      </c>
      <c r="B22454">
        <f>HYPERLINK("https://www.dofusbook.net/fr/equipement/1596017-stuff-houffe-/objets", "link")</f>
        <v/>
      </c>
      <c r="C22454" t="n">
        <v>0</v>
      </c>
      <c r="D22454" t="inlineStr">
        <is>
          <t>Baguette Houffe-Craitien; Amulette du Strigide; Anneau de Padgref; Bracelet du Piloztère; Quatre-feuilles; Ceinture du Strigide; Coiffe de Padgref; Cape de la Dame du Hasard; Getas de Padgref; Dofus Turquoise; Dofus Ocre; Dolmanax; Dofus des Glaces; Dofus Pourpre; Dofus Abyssal; Muldo Prune et Emeraude</t>
        </is>
      </c>
    </row>
    <row r="22455">
      <c r="A22455" t="inlineStr">
        <is>
          <t>Stuff eau</t>
        </is>
      </c>
      <c r="B22455">
        <f>HYPERLINK("https://www.dofusbook.net/fr/equipement/1596009-stuff-eau/objets", "link")</f>
        <v/>
      </c>
      <c r="C22455" t="n">
        <v>0</v>
      </c>
      <c r="D22455" t="inlineStr"/>
    </row>
    <row r="22456">
      <c r="A22456" t="inlineStr">
        <is>
          <t>oacfeuR</t>
        </is>
      </c>
      <c r="B22456">
        <f>HYPERLINK("https://www.dofusbook.net/fr/equipement/1482745-oacfeur/objets", "link")</f>
        <v/>
      </c>
      <c r="C22456" t="n">
        <v>1</v>
      </c>
      <c r="D22456" t="inlineStr">
        <is>
          <t>Marteau Phossile; Frimamulette; Anneau Rifique; Anneau de Padgref; Bivalve; Ceinture Séculaire; Coiffe de Padgref; Cape de Diondin; Pantoufles Émar; Dofus Turquoise; Remueur; Vigoureux majeur; Cascadeur majeur; Nomade; Érudit majeur; Muldo Doré</t>
        </is>
      </c>
    </row>
    <row r="22457">
      <c r="A22457" t="inlineStr">
        <is>
          <t>Pvm</t>
        </is>
      </c>
      <c r="B22457">
        <f>HYPERLINK("https://www.dofusbook.net/fr/equipement/1160965-pvm/objets", "link")</f>
        <v/>
      </c>
      <c r="C22457" t="n">
        <v>0</v>
      </c>
      <c r="D22457" t="inlineStr">
        <is>
          <t>Marteau Phossile; Amulette du Strigide; Anneau de Padgref; Bouclier du Captain Amakna; Ceinture du Strigide; Coiffe de Padgref; Cape Lati; Getas de Padgref; Dofus Pourpre; Dofus des Glaces; Dofus Turquoise; Dolmanax; Vigoureux majeur; Remueur; Muldo Prune et Doré</t>
        </is>
      </c>
    </row>
    <row r="22458">
      <c r="A22458" t="inlineStr">
        <is>
          <t>Pvm</t>
        </is>
      </c>
      <c r="B22458">
        <f>HYPERLINK("https://www.dofusbook.net/fr/equipement/1160963-pvm/objets", "link")</f>
        <v/>
      </c>
      <c r="C22458" t="n">
        <v>0</v>
      </c>
      <c r="D22458" t="inlineStr">
        <is>
          <t>Marteau Phossile; Amulette du Strigide; Anneau de Padgref; Bouclier du Captain Amakna; Ceinture du Strigide; Coiffe de Padgref; Cape Lati; Getas de Padgref; Dolmanax; Dofus Pourpre; Dofus des Glaces; Dofus Turquoise; Remueur; Vigoureux majeur; Muldo Prune et Doré</t>
        </is>
      </c>
    </row>
    <row r="22459">
      <c r="A22459" t="inlineStr">
        <is>
          <t>Pvm</t>
        </is>
      </c>
      <c r="B22459">
        <f>HYPERLINK("https://www.dofusbook.net/fr/equipement/1160961-pvm/objets", "link")</f>
        <v/>
      </c>
      <c r="C22459" t="n">
        <v>1</v>
      </c>
      <c r="D22459" t="inlineStr">
        <is>
          <t>Marteau Phossile; Amulette du Strigide; Anneau de Padgref; Bouclier du Captain Amakna; Ceinture du Strigide; Coiffe de Padgref; Cape Lati; Getas de Padgref; Dolmanax; Dofus Pourpre; Dofus des Glaces; Dofus Turquoise; Remueur; Vigoureux majeur; Muldo Prune et Doré</t>
        </is>
      </c>
    </row>
    <row r="22460">
      <c r="A22460" t="inlineStr">
        <is>
          <t>Pvm</t>
        </is>
      </c>
      <c r="B22460">
        <f>HYPERLINK("https://www.dofusbook.net/fr/equipement/1160960-pvm/objets", "link")</f>
        <v/>
      </c>
      <c r="C22460" t="n">
        <v>0</v>
      </c>
      <c r="D22460" t="inlineStr">
        <is>
          <t>Marteau Phossile; Amulette du Strigide; Anneau de Padgref; Bouclier du Captain Amakna; Ceinture du Strigide; Coiffe de Padgref; Cape Lati; Getas de Padgref; Dofus Turquoise; Dolmanax; Dofus Pourpre; Dofus des Glaces; Vigoureux majeur; Remueur; Muldo Prune et Doré</t>
        </is>
      </c>
    </row>
    <row r="22461">
      <c r="A22461" t="inlineStr">
        <is>
          <t>Pvm</t>
        </is>
      </c>
      <c r="B22461">
        <f>HYPERLINK("https://www.dofusbook.net/fr/equipement/1160958-pvm/objets", "link")</f>
        <v/>
      </c>
      <c r="C22461" t="n">
        <v>0</v>
      </c>
      <c r="D22461" t="inlineStr">
        <is>
          <t>Marteau Phossile; Amulette du Strigide; Anneau de Padgref; Bouclier du Captain Amakna; Ceinture du Strigide; Coiffe de Padgref; Cape Lati; Getas de Padgref; Dofus Turquoise; Dolmanax; Dofus Pourpre; Dofus des Glaces; Vigoureux majeur; Remueur; Muldo Prune et Doré</t>
        </is>
      </c>
    </row>
    <row r="22462">
      <c r="A22462" t="inlineStr">
        <is>
          <t>Pvm</t>
        </is>
      </c>
      <c r="B22462">
        <f>HYPERLINK("https://www.dofusbook.net/fr/equipement/1160957-pvm/objets", "link")</f>
        <v/>
      </c>
      <c r="C22462" t="n">
        <v>0</v>
      </c>
      <c r="D22462" t="inlineStr">
        <is>
          <t>Marteau Phossile; Amulette du Strigide; Anneau de Padgref; Bouclier du Captain Amakna; Ceinture du Strigide; Coiffe de Padgref; Cape Lati; Getas de Padgref; Dofus Pourpre; Dofus des Glaces; Dofus Turquoise; Dolmanax; Vigoureux majeur; Remueur; Muldo Prune et Doré</t>
        </is>
      </c>
    </row>
    <row r="22463">
      <c r="A22463" t="inlineStr">
        <is>
          <t>Pvm</t>
        </is>
      </c>
      <c r="B22463">
        <f>HYPERLINK("https://www.dofusbook.net/fr/equipement/1160956-pvm/objets", "link")</f>
        <v/>
      </c>
      <c r="C22463" t="n">
        <v>0</v>
      </c>
      <c r="D22463" t="inlineStr">
        <is>
          <t>Marteau Phossile; Amulette du Strigide; Anneau de Padgref; Bouclier du Captain Amakna; Ceinture du Strigide; Coiffe de Padgref; Cape Lati; Getas de Padgref; Dofus Pourpre; Dofus des Glaces; Dofus Turquoise; Dolmanax; Vigoureux majeur; Remueur; Muldo Prune et Doré</t>
        </is>
      </c>
    </row>
    <row r="22464">
      <c r="A22464" t="inlineStr">
        <is>
          <t>Pvm</t>
        </is>
      </c>
      <c r="B22464">
        <f>HYPERLINK("https://www.dofusbook.net/fr/equipement/1160955-pvm/objets", "link")</f>
        <v/>
      </c>
      <c r="C22464" t="n">
        <v>2</v>
      </c>
      <c r="D22464" t="inlineStr">
        <is>
          <t>Marteau Phossile; Amulette du Strigide; Anneau de Padgref; Bouclier du Captain Amakna; Ceinture du Strigide; Coiffe de Padgref; Cape Lati; Getas de Padgref; Dolmanax; Dofus Pourpre; Dofus des Glaces; Dofus Turquoise; Remueur; Vigoureux majeur; Muldo Prune et Doré</t>
        </is>
      </c>
    </row>
    <row r="22465">
      <c r="A22465" t="inlineStr">
        <is>
          <t>Pvm</t>
        </is>
      </c>
      <c r="B22465">
        <f>HYPERLINK("https://www.dofusbook.net/fr/equipement/1160954-pvm/objets", "link")</f>
        <v/>
      </c>
      <c r="C22465" t="n">
        <v>0</v>
      </c>
      <c r="D22465" t="inlineStr">
        <is>
          <t>Marteau Phossile; Amulette du Strigide; Anneau Rifique; Anneau de Padgref; Bouclier du Captain Amakna; Ceinture du Strigide; Coiffe de Padgref; Cape Lati; Getas de Padgref; Dolmanax; Dofus Pourpre; Dofus des Glaces; Dofus Turquoise; Remueur; Vigoureux majeur; Muldo Prune et Doré</t>
        </is>
      </c>
    </row>
    <row r="22466">
      <c r="A22466" t="inlineStr">
        <is>
          <t>Pvm</t>
        </is>
      </c>
      <c r="B22466">
        <f>HYPERLINK("https://www.dofusbook.net/fr/equipement/1160953-pvm/objets", "link")</f>
        <v/>
      </c>
      <c r="C22466" t="n">
        <v>0</v>
      </c>
      <c r="D22466" t="inlineStr">
        <is>
          <t>Marteau Phossile; Amulette du Strigide; Anneau de Padgref; Bouclier du Captain Amakna; Ceinture du Strigide; Coiffe de Padgref; Cape Lati; Getas de Padgref; Dolmanax; Dofus Pourpre; Dofus des Glaces; Dofus Turquoise; Remueur; Vigoureux majeur; Muldo Prune et Doré</t>
        </is>
      </c>
    </row>
    <row r="22467">
      <c r="A22467" t="inlineStr">
        <is>
          <t>Pvm</t>
        </is>
      </c>
      <c r="B22467">
        <f>HYPERLINK("https://www.dofusbook.net/fr/equipement/1160952-pvm/objets", "link")</f>
        <v/>
      </c>
      <c r="C22467" t="n">
        <v>0</v>
      </c>
      <c r="D22467" t="inlineStr">
        <is>
          <t>Marteau Phossile; Amulette du Strigide; Anneau de Padgref; Bouclier du Captain Amakna; Ceinture du Strigide; Coiffe de Padgref; Cape Lati; Getas de Padgref; Dofus Turquoise; Dolmanax; Dofus Pourpre; Dofus des Glaces; Remueur; Vigoureux majeur; Muldo Prune et Doré</t>
        </is>
      </c>
    </row>
    <row r="22468">
      <c r="A22468" t="inlineStr">
        <is>
          <t>Pvm</t>
        </is>
      </c>
      <c r="B22468">
        <f>HYPERLINK("https://www.dofusbook.net/fr/equipement/1160951-pvm/objets", "link")</f>
        <v/>
      </c>
      <c r="C22468" t="n">
        <v>0</v>
      </c>
      <c r="D22468" t="inlineStr">
        <is>
          <t>Marteau Phossile; Amulette du Strigide; Anneau de Padgref; Bouclier du Captain Amakna; Ceinture du Strigide; Coiffe de Padgref; Cape Lati; Getas de Padgref; Dofus Turquoise; Dolmanax; Dofus Pourpre; Dofus des Glaces; Vigoureux majeur; Remueur; Muldo Prune et Doré</t>
        </is>
      </c>
    </row>
    <row r="22469">
      <c r="A22469" t="inlineStr">
        <is>
          <t>Stuff 3</t>
        </is>
      </c>
      <c r="B22469">
        <f>HYPERLINK("https://www.dofusbook.net/fr/equipement/104533-stuff-3/objets", "link")</f>
        <v/>
      </c>
      <c r="C22469" t="n">
        <v>0</v>
      </c>
      <c r="D22469" t="inlineStr">
        <is>
          <t>Arc Nécrotique; Amulette du Strigide; Alliance Gloursonne; Anneau de Padgref; Quatre-feuilles; Ceinture du Strigide; Casquette de Meno; Cape de Diondin; Pataugastrique; Dofus Turquoise; Dofus Pourpre; Dofus des Glaces; Observateur; Chanceux majeur; Vigoureux majeur; Muldo Prune et Emeraude</t>
        </is>
      </c>
    </row>
    <row r="22470">
      <c r="A22470" t="inlineStr">
        <is>
          <t>Stuff 2</t>
        </is>
      </c>
      <c r="B22470">
        <f>HYPERLINK("https://www.dofusbook.net/fr/equipement/104548-stuff-2/objets", "link")</f>
        <v/>
      </c>
      <c r="C22470" t="n">
        <v>0</v>
      </c>
      <c r="D22470" t="inlineStr">
        <is>
          <t>Marteau R'ture; Amulette du Strigide; Bague Gloursonne; Anneau Chevelu; Ceinture du Strigide; Masque de Koutoulou; Cape au Logis; Bottes de Brouce; Dofus Ocre; Dofus Abyssal; Dofus Pourpre; Dofus Turquoise; Enragé majeur; Vigoureux majeur; Croum</t>
        </is>
      </c>
    </row>
    <row r="22471">
      <c r="A22471" t="inlineStr">
        <is>
          <t>Stuff 2</t>
        </is>
      </c>
      <c r="B22471">
        <f>HYPERLINK("https://www.dofusbook.net/fr/equipement/104543-stuff-2/objets", "link")</f>
        <v/>
      </c>
      <c r="C22471" t="n">
        <v>0</v>
      </c>
      <c r="D22471" t="inlineStr">
        <is>
          <t>Manthache; Collier du Valet Veinard; Gant du Valet Veinard; Alliance Gloursonne; Menoture; Couronne d'Allister; Cape Indescriptible; Palmes Trithons; Dofus des Glaces; Dévastateur Air majeur; Nomade; Cascadeur majeur; Remueur; Saccageur Air majeur; Siroko</t>
        </is>
      </c>
    </row>
    <row r="22472">
      <c r="A22472" t="inlineStr">
        <is>
          <t>Stuff 3</t>
        </is>
      </c>
      <c r="B22472">
        <f>HYPERLINK("https://www.dofusbook.net/fr/equipement/104538-stuff-3/objets", "link")</f>
        <v/>
      </c>
      <c r="C22472" t="n">
        <v>0</v>
      </c>
      <c r="D22472" t="inlineStr">
        <is>
          <t>Dagues Érhy; Amulette Séculaire; Anneau de Padgref; Anneau Tique; Ceinture Séculaire; Coiffe de Padgref; Voile d'encre; Getas de Padgref; Dofus Turquoise; Dofus Émeraude; Dofus Abyssal; Dolmanax; Dofus des Glaces; Dofus Ocre</t>
        </is>
      </c>
    </row>
    <row r="22473">
      <c r="A22473" t="inlineStr">
        <is>
          <t>Stuff 1</t>
        </is>
      </c>
      <c r="B22473">
        <f>HYPERLINK("https://www.dofusbook.net/fr/equipement/104528-stuff-1/objets", "link")</f>
        <v/>
      </c>
      <c r="C22473" t="n">
        <v>0</v>
      </c>
      <c r="D22473" t="inlineStr">
        <is>
          <t>Sceptre du Roi Joueur; Amulette Cryochrone; Alliance Gloursonne; Bracelet des Fonds marins; Poulpagne; Coiffe d'Ogivol; Voile d'encre; Sandales des Fonds marins; Dolmanax; Dofus Turquoise; Nomade; Chanceux majeur; Remueur; Croum</t>
        </is>
      </c>
    </row>
    <row r="22474">
      <c r="A22474" t="inlineStr">
        <is>
          <t>Stuff 1</t>
        </is>
      </c>
      <c r="B22474">
        <f>HYPERLINK("https://www.dofusbook.net/fr/equipement/104523-stuff-1/objets", "link")</f>
        <v/>
      </c>
      <c r="C22474" t="n">
        <v>2</v>
      </c>
      <c r="D22474" t="inlineStr">
        <is>
          <t>Arc Hétype; Amulette Séculaire; Anneau de Nidas; Anneau Tique; Ceinture de Vortex; Coiffe Séculaire; Voile d'encre; Pataugastrique; Dofus Turquoise; Dolmanax; Érudit majeur; Carapace Neutre majeur; Nomade; Remueur; Bontique</t>
        </is>
      </c>
    </row>
    <row r="22475">
      <c r="A22475" t="inlineStr">
        <is>
          <t>Stuff 2</t>
        </is>
      </c>
      <c r="B22475">
        <f>HYPERLINK("https://www.dofusbook.net/fr/equipement/104540-stuff-2/objets", "link")</f>
        <v/>
      </c>
      <c r="C22475" t="n">
        <v>0</v>
      </c>
      <c r="D22475" t="inlineStr">
        <is>
          <t>Sabres d'Atcham; Amulette du Strigide; Anneau de Padgref; Alliance Gloursonne; Ceinture du Strigide; Chapeau des Malveilleurs; Voile d'encre; Pataugastrique; Dofus Turquoise; Dolmanax; Dofus des Glaces; Dofus Pourpre; Remueur; Nomade; Kramkram</t>
        </is>
      </c>
    </row>
    <row r="22476">
      <c r="A22476" t="inlineStr">
        <is>
          <t>Stuff 2</t>
        </is>
      </c>
      <c r="B22476">
        <f>HYPERLINK("https://www.dofusbook.net/fr/equipement/104535-stuff-2/objets", "link")</f>
        <v/>
      </c>
      <c r="C22476" t="n">
        <v>0</v>
      </c>
      <c r="D22476" t="inlineStr">
        <is>
          <t>Manthache; Collier du Valet Veinard; Gant du Valet Veinard; Alliance Gloursonne; Menoture; Casque Dragoeuf; Cape du Kamasterisk; Palmes Trithons; Dofus des Glaces; Dolmanax; Carapace Feu majeur; Remueur; Fonceur majeur; Cascadeur majeur</t>
        </is>
      </c>
    </row>
    <row r="22477">
      <c r="A22477" t="inlineStr">
        <is>
          <t>Stuff 3</t>
        </is>
      </c>
      <c r="B22477">
        <f>HYPERLINK("https://www.dofusbook.net/fr/equipement/104530-stuff-3/objets", "link")</f>
        <v/>
      </c>
      <c r="C22477" t="n">
        <v>0</v>
      </c>
      <c r="D22477" t="inlineStr">
        <is>
          <t>Arc Hétype; Amulette de Nileza; Alliance Gloursonne; Anneau Tique; Ceinture de Vortex; Coiffe Séculaire; Cape de Nileza; Bottes Innommables; Dolmanax; Dofus Ocre; Remueur; Savant majeur; Érudit majeur; Nomade; Kramkram</t>
        </is>
      </c>
    </row>
    <row r="22478">
      <c r="A22478" t="inlineStr">
        <is>
          <t>Stuff 1</t>
        </is>
      </c>
      <c r="B22478">
        <f>HYPERLINK("https://www.dofusbook.net/fr/equipement/104525-stuff-1/objets", "link")</f>
        <v/>
      </c>
      <c r="C22478" t="n">
        <v>0</v>
      </c>
      <c r="D22478" t="inlineStr">
        <is>
          <t>Baguette Range; Amulette du Strigide; Anneau de Padgref; Alliance Gloursonne; Ceinture du Strigide; Chapeau des Malveilleurs; Voile d'encre; Pataugastrique; Dolmanax; Dofus des Glaces; Dofus Turquoise; Vigoureux majeur; Nomade; Remueur; Kramkram</t>
        </is>
      </c>
    </row>
    <row r="22479">
      <c r="A22479" t="inlineStr">
        <is>
          <t>Stuff 1</t>
        </is>
      </c>
      <c r="B22479">
        <f>HYPERLINK("https://www.dofusbook.net/fr/equipement/104519-stuff-1/objets", "link")</f>
        <v/>
      </c>
      <c r="C22479" t="n">
        <v>0</v>
      </c>
      <c r="D22479" t="inlineStr">
        <is>
          <t>Dagues Ricol; Pendentif affamé; Anneau Tique; Alliance Gloursonne; Ceinture Séculaire; Coiffe Séculaire; Voile d'encre; Bottes Innommables; Dofus Turquoise; Dofus Ocre; Remueur; Carapace Feu majeur; Érudit majeur; Nomade; Kramkram</t>
        </is>
      </c>
    </row>
    <row r="22480">
      <c r="A22480" t="inlineStr">
        <is>
          <t>Stuff 1</t>
        </is>
      </c>
      <c r="B22480">
        <f>HYPERLINK("https://www.dofusbook.net/fr/equipement/104547-stuff-1/objets", "link")</f>
        <v/>
      </c>
      <c r="C22480" t="n">
        <v>0</v>
      </c>
      <c r="D22480" t="inlineStr">
        <is>
          <t>Dagues Érhy; Amulette du Strigide; Bague Gloursonne; Anneau Chevelu; Ceintacé; Chapeau de Gein; Voile d'encre; Bottes du Strigide; Dofus Ocre; Dofus Émeraude; Dofus Pourpre; Dofus Abyssal; Dofus Turquoise; Nomade; Kramkram</t>
        </is>
      </c>
    </row>
    <row r="22481">
      <c r="A22481" t="inlineStr">
        <is>
          <t>Stuff 1</t>
        </is>
      </c>
      <c r="B22481">
        <f>HYPERLINK("https://www.dofusbook.net/fr/equipement/104542-stuff-1/objets", "link")</f>
        <v/>
      </c>
      <c r="C22481" t="n">
        <v>0</v>
      </c>
      <c r="D22481" t="inlineStr">
        <is>
          <t>Pendentif affamé; Anneau Tique; Anneau Rifique; Ceinture Séculaire; Coiffe Séculaire; Voile d'encre; Bottes Innommables; Dofus des Glaces; Dofus Ocre</t>
        </is>
      </c>
    </row>
    <row r="22482">
      <c r="A22482" t="inlineStr">
        <is>
          <t>Stuff 2</t>
        </is>
      </c>
      <c r="B22482">
        <f>HYPERLINK("https://www.dofusbook.net/fr/equipement/104537-stuff-2/objets", "link")</f>
        <v/>
      </c>
      <c r="C22482" t="n">
        <v>0</v>
      </c>
      <c r="D22482" t="inlineStr">
        <is>
          <t>Rapière aux Glyphes; Amulette du Sinistrofu; Bracelet des Fonds marins; Alliance Gloursonne; Ceinture Glaciale; Masque des Fonds marins; Cape du Sinistrofu; Sandales des Fonds marins; Dofus Émeraude; Dofus Abyssal; Dolmanax; Dofus des Glaces; Dofus Ocre; Dofus Turquoise</t>
        </is>
      </c>
    </row>
    <row r="22483">
      <c r="A22483" t="inlineStr">
        <is>
          <t>Stuff 2</t>
        </is>
      </c>
      <c r="B22483">
        <f>HYPERLINK("https://www.dofusbook.net/fr/equipement/104532-stuff-2/objets", "link")</f>
        <v/>
      </c>
      <c r="C22483" t="n">
        <v>0</v>
      </c>
      <c r="D22483" t="inlineStr">
        <is>
          <t>Harpelle; Pendentif affamé; Anneau de Padgref; Alliance Gloursonne; Ceinture de Vortex; Coiffe de Padgref; Voile d'encre; Bottes Innommables; Dofus Ocre; Dolmanax; Dofus Turquoise; Nomade; Érudit majeur; Remueur; Kramkram</t>
        </is>
      </c>
    </row>
    <row r="22484">
      <c r="A22484" t="inlineStr">
        <is>
          <t>Stuff 3</t>
        </is>
      </c>
      <c r="B22484">
        <f>HYPERLINK("https://www.dofusbook.net/fr/equipement/104527-stuff-3/objets", "link")</f>
        <v/>
      </c>
      <c r="C22484" t="n">
        <v>0</v>
      </c>
      <c r="D22484" t="inlineStr">
        <is>
          <t>Pelle de la Cour Sombre; Collier du Valet Veinard; Gant du Valet Veinard; Alliance Gloursonne; Menoture; Casque Dragoeuf; Voile d'encre; Palmes Trithons; Dofus des Glaces; Dolmanax; Nomade; Carapace Air majeur; Remueur; Cascadeur majeur</t>
        </is>
      </c>
    </row>
    <row r="22485">
      <c r="A22485" t="inlineStr">
        <is>
          <t>Stuff 1</t>
        </is>
      </c>
      <c r="B22485">
        <f>HYPERLINK("https://www.dofusbook.net/fr/equipement/104539-stuff-1/objets", "link")</f>
        <v/>
      </c>
      <c r="C22485" t="n">
        <v>0</v>
      </c>
      <c r="D22485" t="inlineStr">
        <is>
          <t>Marteau R'ture; Collier de Tourthon; Bague Gloursonne; Anneau de Brouce; Ceinture de Brouce; Masque de Koutoulou; Cape au Logis; Bottes de Brouce; Dofus Pourpre; Dolmanax; Dofus des Glaces; Saccageur Terre majeur; Furibond majeur; Forcené majeur; Kompost</t>
        </is>
      </c>
    </row>
    <row r="22486">
      <c r="A22486" t="inlineStr">
        <is>
          <t>Stuff 1</t>
        </is>
      </c>
      <c r="B22486">
        <f>HYPERLINK("https://www.dofusbook.net/fr/equipement/104534-stuff-1/objets", "link")</f>
        <v/>
      </c>
      <c r="C22486" t="n">
        <v>0</v>
      </c>
      <c r="D22486" t="inlineStr">
        <is>
          <t>Manthache; Collier du Valet Veinard; Alliance Gloursonne; Gant du Valet Veinard; Menoture; Capuche de Moum-Ra; Cape du Kamasterisk; Palmes Trithons; Dolmanax; Dofus Pourpre; Dofus des Glaces; Cascadeur majeur; Remueur; Fonceur majeur</t>
        </is>
      </c>
    </row>
    <row r="22487">
      <c r="A22487" t="inlineStr">
        <is>
          <t>Stuff 2</t>
        </is>
      </c>
      <c r="B22487">
        <f>HYPERLINK("https://www.dofusbook.net/fr/equipement/104529-stuff-2/objets", "link")</f>
        <v/>
      </c>
      <c r="C22487" t="n">
        <v>0</v>
      </c>
      <c r="D22487" t="inlineStr">
        <is>
          <t>Arc Nécrotique; Amulette du Strigide; Anneau de Padgref; Alliance Gloursonne; Ceinture du Strigide; Chapeau des Malveilleurs; Voile d'encre; Pataugastrique; Dolmanax; Dofus Pourpre; Dofus Turquoise; Vigoureux majeur; Nomade; Remueur; Croum</t>
        </is>
      </c>
    </row>
    <row r="22488">
      <c r="A22488" t="inlineStr">
        <is>
          <t>Stuff 2</t>
        </is>
      </c>
      <c r="B22488">
        <f>HYPERLINK("https://www.dofusbook.net/fr/equipement/104524-stuff-2/objets", "link")</f>
        <v/>
      </c>
      <c r="C22488" t="n">
        <v>2</v>
      </c>
      <c r="D22488" t="inlineStr">
        <is>
          <t>Baguette de Malléfisk; Amulette de Nileza; Anneau de Padgref; Anneau Tique; Ceinture Séculaire; Coiffe Séculaire; Voile d'encre; Pataugastrique; Dofus Turquoise; Carapace Terre majeur; Remueur; Érudit majeur; Miraculé majeur; Nomade; Croum</t>
        </is>
      </c>
    </row>
    <row r="22489">
      <c r="A22489" t="inlineStr">
        <is>
          <t>Stuff 3</t>
        </is>
      </c>
      <c r="B22489">
        <f>HYPERLINK("https://www.dofusbook.net/fr/equipement/104541-stuff-3/objets", "link")</f>
        <v/>
      </c>
      <c r="C22489" t="n">
        <v>0</v>
      </c>
      <c r="D22489" t="inlineStr">
        <is>
          <t>Sabres d'Atcham; Amulette du Strigide; Alliance Gloursonne; Anneau de Padgref; Ceinture du Strigide; Chapeau des Malveilleurs; Voile d'encre; Pataugastrique; Dolmanax; Dofus des Glaces; Dofus Pourpre; Dofus Turquoise; Nomade; Remueur</t>
        </is>
      </c>
    </row>
    <row r="22490">
      <c r="A22490" t="inlineStr">
        <is>
          <t>Stuff 1</t>
        </is>
      </c>
      <c r="B22490">
        <f>HYPERLINK("https://www.dofusbook.net/fr/equipement/104536-stuff-1/objets", "link")</f>
        <v/>
      </c>
      <c r="C22490" t="n">
        <v>0</v>
      </c>
      <c r="D22490" t="inlineStr">
        <is>
          <t>Baguette de Malléfisk; Amulette de Nileza; Anneau Tique; Anneau Rifique; Protopagne; Casque Cyclopéen; Voile d'encre; Bottes Innommables; Dofus Émeraude; Dofus Abyssal; Dokoko; Dofus Ocre; Érudit majeur; Remueur; Croum</t>
        </is>
      </c>
    </row>
    <row r="22491">
      <c r="A22491" t="inlineStr">
        <is>
          <t>Stuff 1</t>
        </is>
      </c>
      <c r="B22491">
        <f>HYPERLINK("https://www.dofusbook.net/fr/equipement/104531-stuff-1/objets", "link")</f>
        <v/>
      </c>
      <c r="C22491" t="n">
        <v>0</v>
      </c>
      <c r="D22491" t="inlineStr">
        <is>
          <t>Harpelle; Amulette Ementaire Deluxe; Anneau de Padgref; Alliance d'Elya Wood; Ceinture Séculaire; Némès de Tal Kasha; Voile d'encre; Bottes Innommables; Dolmanax; Dofus Turquoise; Dofus Ocre; Nomade; Remueur; Érudit majeur; Kramkram</t>
        </is>
      </c>
    </row>
    <row r="22492">
      <c r="A22492" t="inlineStr">
        <is>
          <t>Stuff 2</t>
        </is>
      </c>
      <c r="B22492">
        <f>HYPERLINK("https://www.dofusbook.net/fr/equipement/104526-stuff-2/objets", "link")</f>
        <v/>
      </c>
      <c r="C22492" t="n">
        <v>0</v>
      </c>
      <c r="D22492" t="inlineStr">
        <is>
          <t>Plumeau Bil; Amulette Cryochrone; Chevalière du Roi Joueur; Anneau Tique; Ceintacé; Coiffe Cryochrone; Voile d'encre; Bottes Innommables; Dolmanax; Dofus Turquoise; Vigoureux majeur; Érudit majeur; Nomade; Remueur; Croum</t>
        </is>
      </c>
    </row>
    <row r="22493">
      <c r="A22493" t="inlineStr">
        <is>
          <t>Stuff 2</t>
        </is>
      </c>
      <c r="B22493">
        <f>HYPERLINK("https://www.dofusbook.net/fr/equipement/104520-stuff-2/objets", "link")</f>
        <v/>
      </c>
      <c r="C22493" t="n">
        <v>0</v>
      </c>
      <c r="D22493" t="inlineStr">
        <is>
          <t>Sceptre du Roi Joueur; Amulette de Shokkoth; Alliance Gloursonne; Bracelet des Fonds marins; Poulpagne; Casquette de Meno; Voile d'encre; Sandales des Fonds marins; Dofus Turquoise; Dolmanax; Remueur; Fonceur majeur; Chanceux majeur; Nomade; Kramkram</t>
        </is>
      </c>
    </row>
    <row r="22494">
      <c r="A22494" t="inlineStr">
        <is>
          <t>Stuff 2</t>
        </is>
      </c>
      <c r="B22494">
        <f>HYPERLINK("https://www.dofusbook.net/fr/equipement/104548-stuff-2/objets", "link")</f>
        <v/>
      </c>
      <c r="C22494" t="n">
        <v>0</v>
      </c>
      <c r="D22494" t="inlineStr">
        <is>
          <t>Marteau R'ture; Amulette du Strigide; Bague Gloursonne; Anneau Chevelu; Ceinture du Strigide; Masque de Koutoulou; Cape au Logis; Bottes de Brouce; Dofus Ocre; Dofus Abyssal; Dofus Pourpre; Dofus Turquoise; Vigoureux majeur; Enragé majeur; Croum</t>
        </is>
      </c>
    </row>
    <row r="22495">
      <c r="A22495" t="inlineStr">
        <is>
          <t>Stuff 2</t>
        </is>
      </c>
      <c r="B22495">
        <f>HYPERLINK("https://www.dofusbook.net/fr/equipement/104543-stuff-2/objets", "link")</f>
        <v/>
      </c>
      <c r="C22495" t="n">
        <v>0</v>
      </c>
      <c r="D22495" t="inlineStr">
        <is>
          <t>Manthache; Collier du Valet Veinard; Alliance Gloursonne; Gant du Valet Veinard; Menoture; Couronne d'Allister; Cape Indescriptible; Palmes Trithons; Dofus des Glaces; Dévastateur Air majeur; Nomade; Cascadeur majeur; Remueur; Saccageur Air majeur; Siroko</t>
        </is>
      </c>
    </row>
    <row r="22496">
      <c r="A22496" t="inlineStr">
        <is>
          <t>Stuff 3</t>
        </is>
      </c>
      <c r="B22496">
        <f>HYPERLINK("https://www.dofusbook.net/fr/equipement/104538-stuff-3/objets", "link")</f>
        <v/>
      </c>
      <c r="C22496" t="n">
        <v>0</v>
      </c>
      <c r="D22496" t="inlineStr">
        <is>
          <t>Dagues Érhy; Amulette Séculaire; Anneau de Padgref; Anneau Tique; Ceinture Séculaire; Coiffe de Padgref; Voile d'encre; Getas de Padgref; Dofus Turquoise; Dofus Émeraude; Dofus Abyssal; Dolmanax; Dofus des Glaces; Dofus Ocre</t>
        </is>
      </c>
    </row>
    <row r="22497">
      <c r="A22497" t="inlineStr">
        <is>
          <t>Stuff 3</t>
        </is>
      </c>
      <c r="B22497">
        <f>HYPERLINK("https://www.dofusbook.net/fr/equipement/104495-stuff-3/objets", "link")</f>
        <v/>
      </c>
      <c r="C22497" t="n">
        <v>0</v>
      </c>
      <c r="D22497" t="inlineStr">
        <is>
          <t>Arc du Chalœil; Amulette du Strigide; Bracelet du Piloztère; Anneau Chevelu; Ceinture de la Cour Sombre; Coiffe du Comte Harebourg; Voile d'encre; Bottes de la Cour Sombre; Dofus Pourpre; Dofus Ocre; Enragé majeur; Remueur; Étourdisseur majeur; Nomade</t>
        </is>
      </c>
    </row>
    <row r="22498">
      <c r="A22498" t="inlineStr">
        <is>
          <t>Stuff 2</t>
        </is>
      </c>
      <c r="B22498">
        <f>HYPERLINK("https://www.dofusbook.net/fr/equipement/104485-stuff-2/objets", "link")</f>
        <v/>
      </c>
      <c r="C22498" t="n">
        <v>0</v>
      </c>
      <c r="D22498" t="inlineStr">
        <is>
          <t>Dagues Érhy; Amulette du Strigide; Anneau Chevelu; Bague Gloursonne; Ceinture de Kongoku; Boucle d'oreille de Kongoku; Voile d'encre; Bottes de la Cour Sombre; Dofus Ocre; Dofus Turquoise; Fonceur majeur; Remueur; Vigoureux majeur; Nomade; Kramkram</t>
        </is>
      </c>
    </row>
    <row r="22499">
      <c r="A22499" t="inlineStr">
        <is>
          <t>Stuff 2</t>
        </is>
      </c>
      <c r="B22499">
        <f>HYPERLINK("https://www.dofusbook.net/fr/equipement/104517-stuff-2/objets", "link")</f>
        <v/>
      </c>
      <c r="C22499" t="n">
        <v>0</v>
      </c>
      <c r="D22499" t="inlineStr">
        <is>
          <t>Pelle de la Cour Sombre; Amulette du Cycloïde; Anneau des égarés; Alliance Gloursonne; Menoture; Casque des égarés; Cape Indescriptible; Palmes Trithons; Dolmanax; Dofus Turquoise; Acrobate majeur; Cascadeur majeur; Nomade; Remueur; Kramkram</t>
        </is>
      </c>
    </row>
    <row r="22500">
      <c r="A22500" t="inlineStr">
        <is>
          <t>Stuff 3</t>
        </is>
      </c>
      <c r="B22500">
        <f>HYPERLINK("https://www.dofusbook.net/fr/equipement/104507-stuff-3/objets", "link")</f>
        <v/>
      </c>
      <c r="C22500" t="n">
        <v>0</v>
      </c>
      <c r="D22500" t="inlineStr">
        <is>
          <t>Arc Hétype; Amulette Cryochrone; Alliance Gloursonne; Anneau Cryochrone; Ceinture de Vortex; Coiffe Séculaire; Voile d'encre; Pataugastrique; Dofus Turquoise; Dolmanax; Miraculé majeur; Érudit majeur; Nomade; Remueur; Kramkram</t>
        </is>
      </c>
    </row>
    <row r="22501">
      <c r="A22501" t="inlineStr">
        <is>
          <t>Stuff 1</t>
        </is>
      </c>
      <c r="B22501">
        <f>HYPERLINK("https://www.dofusbook.net/fr/equipement/104502-stuff-1/objets", "link")</f>
        <v/>
      </c>
      <c r="C22501" t="n">
        <v>0</v>
      </c>
      <c r="D22501" t="inlineStr">
        <is>
          <t>Marteau R'ture; Collier de Tourthon; Anneau Chevelu; Anneau Crustique; Ceinture de la Cour Sombre; Chapeau de Gein; Voile d'encre; Bottes de la Cour Sombre; Dofus Ocre; Dofus Turquoise; Enragé majeur; Nomade; Vigoureux majeur; Remueur; Kramkram</t>
        </is>
      </c>
    </row>
    <row r="22502">
      <c r="A22502" t="inlineStr">
        <is>
          <t>Stuff 3</t>
        </is>
      </c>
      <c r="B22502">
        <f>HYPERLINK("https://www.dofusbook.net/fr/equipement/104518-stuff-3/objets", "link")</f>
        <v/>
      </c>
      <c r="C22502" t="n">
        <v>0</v>
      </c>
      <c r="D22502" t="inlineStr">
        <is>
          <t>Dagoulinantes; Amulette de Shokkoth; Alliance Gloursonne; Bracelet des Fonds marins; Poulpagne; Casquette de Meno; Cape de Mantaze; Sandales des Fonds marins; Dofus Turquoise; Dolmanax; Nomade; Remueur; Vigoureux majeur; Chanceux majeur; Kramkram</t>
        </is>
      </c>
    </row>
    <row r="22503">
      <c r="A22503" t="inlineStr">
        <is>
          <t>Stuff 3</t>
        </is>
      </c>
      <c r="B22503">
        <f>HYPERLINK("https://www.dofusbook.net/fr/equipement/104486-stuff-3/objets", "link")</f>
        <v/>
      </c>
      <c r="C22503" t="n">
        <v>0</v>
      </c>
      <c r="D22503" t="inlineStr">
        <is>
          <t>Arc du Chalœil; Amulette du Strigide; Alliance Gloursonne; Anneau Chevelu; Ceinture de la Cour Sombre; Coiffe d'Ogivol; Voile d'encre; Bottes de la Cour Sombre; Dofus Pourpre; Dofus Turquoise; Dofus Turquoise; Dolmanax; Remueur; Nomade; Kramkram</t>
        </is>
      </c>
    </row>
    <row r="22504">
      <c r="A22504" t="inlineStr">
        <is>
          <t>Stuff 1</t>
        </is>
      </c>
      <c r="B22504">
        <f>HYPERLINK("https://www.dofusbook.net/fr/equipement/104481-stuff-1/objets", "link")</f>
        <v/>
      </c>
      <c r="C22504" t="n">
        <v>0</v>
      </c>
      <c r="D22504" t="inlineStr">
        <is>
          <t>Epée Maudite du Saigneur Guerrier; Ceinture Luminescente; Kidibonnet; Cape Luminescente; Bottes Owesli; Dofus Turquoise; Dolmanax; Culbuteur majeur; Nomade; Bousculeur majeur; Remueur; Péki</t>
        </is>
      </c>
    </row>
    <row r="22505">
      <c r="A22505" t="inlineStr">
        <is>
          <t>Stuff 1</t>
        </is>
      </c>
      <c r="B22505">
        <f>HYPERLINK("https://www.dofusbook.net/fr/equipement/104513-stuff-1/objets", "link")</f>
        <v/>
      </c>
      <c r="C22505" t="n">
        <v>0</v>
      </c>
      <c r="D22505" t="inlineStr">
        <is>
          <t>Pelle de la Cour Sombre; Amulette de Pol Ouatnos; Alliance Gloursonne; Anneau d'Allister; Ceinture du Barbétoal; Couronne d'Allister; Cape Matelassée; Baleinabottes; Dofus Turquoise; Equilibriste majeur; Nomade; Cascadeur majeur; Remueur; Acrobate majeur; Siroko</t>
        </is>
      </c>
    </row>
    <row r="22506">
      <c r="A22506" t="inlineStr">
        <is>
          <t>Stuff 1</t>
        </is>
      </c>
      <c r="B22506">
        <f>HYPERLINK("https://www.dofusbook.net/fr/equipement/104508-stuff-1/objets", "link")</f>
        <v/>
      </c>
      <c r="C22506" t="n">
        <v>0</v>
      </c>
      <c r="D22506" t="inlineStr">
        <is>
          <t>Manthache; Collier du Valet Veinard; Alliance Gloursonne; Gant du Valet Veinard; Menoture; Capuche de Moum-Ra; Cape du Kamasterisk; Palmes Trithons; Dolmanax; Dofus Pourpre; Dofus des Glaces; Cascadeur majeur; Remueur; Miraculé majeur</t>
        </is>
      </c>
    </row>
    <row r="22507">
      <c r="A22507" t="inlineStr">
        <is>
          <t>Stuff 2</t>
        </is>
      </c>
      <c r="B22507">
        <f>HYPERLINK("https://www.dofusbook.net/fr/equipement/104503-stuff-2/objets", "link")</f>
        <v/>
      </c>
      <c r="C22507" t="n">
        <v>0</v>
      </c>
      <c r="D22507" t="inlineStr">
        <is>
          <t>Marteau R'ture; Collier de Tourthon; Anneau Crustique; Bague Trithon; Ceinture de la Cour Sombre; Chapeau de Gein; Voile d'encre; Bottes de la Cour Sombre; Dofus Turquoise; Dofus Ocre; Nomade; Vigoureux majeur; Remueur; Enragé majeur; Kramkram</t>
        </is>
      </c>
    </row>
    <row r="22508">
      <c r="A22508" t="inlineStr">
        <is>
          <t>Stuff 3</t>
        </is>
      </c>
      <c r="B22508">
        <f>HYPERLINK("https://www.dofusbook.net/fr/equipement/104498-stuff-3/objets", "link")</f>
        <v/>
      </c>
      <c r="C22508" t="n">
        <v>0</v>
      </c>
      <c r="D22508" t="inlineStr">
        <is>
          <t>Hache du Chalœil; Amulette du Strigide; Alliance Gloursonne; Bracelet du Piloztère; Ceintacé; Casque du Chalœil; Voile d'encre; Bottes du Strigide; Dolmanax; Dofus Pourpre; Dofus Turquoise; Nomade; Remueur; Vigoureux majeur</t>
        </is>
      </c>
    </row>
    <row r="22509">
      <c r="A22509" t="inlineStr">
        <is>
          <t>Stuff 1</t>
        </is>
      </c>
      <c r="B22509">
        <f>HYPERLINK("https://www.dofusbook.net/fr/equipement/104493-stuff-1/objets", "link")</f>
        <v/>
      </c>
      <c r="C22509" t="n">
        <v>0</v>
      </c>
      <c r="D22509" t="inlineStr">
        <is>
          <t>Hache du Chalœil; Amulette de Pol Ouatnos; Alliance Gloursonne; Alliance du Lévitrof; Ceintacé; Coiffe du Lévitrof; Voile d'encre; Bottes du Chalœil; Dofus Pourpre; Dolmanax; Dofus Turquoise; Étourdisseur majeur; Nomade; Remueur</t>
        </is>
      </c>
    </row>
    <row r="22510">
      <c r="A22510" t="inlineStr">
        <is>
          <t>Stuff 2</t>
        </is>
      </c>
      <c r="B22510">
        <f>HYPERLINK("https://www.dofusbook.net/fr/equipement/104488-stuff-2/objets", "link")</f>
        <v/>
      </c>
      <c r="C22510" t="n">
        <v>0</v>
      </c>
      <c r="D22510" t="inlineStr">
        <is>
          <t>Arc Nécrotique; Amulette du Strigide; Alliance Gloursonne; Ceintacé; Casque Dragoeuf; Bottes du Strigide; Dofus Turquoise; Observateur</t>
        </is>
      </c>
    </row>
    <row r="22511">
      <c r="A22511" t="inlineStr">
        <is>
          <t>Stuff 3</t>
        </is>
      </c>
      <c r="B22511">
        <f>HYPERLINK("https://www.dofusbook.net/fr/equipement/104515-stuff-3/objets", "link")</f>
        <v/>
      </c>
      <c r="C22511" t="n">
        <v>0</v>
      </c>
      <c r="D22511" t="inlineStr">
        <is>
          <t>L'Épée Nice; Amulette du Strigide; Anneau des égarés; Alliance Gloursonne; Ceinture du Barbétoal; Casque des égarés; Voile d'encre; Baleinabottes; Dofus Pourpre; Dofus Turquoise; Remueur; Miraculé majeur; Carapace Terre majeur; Vigoureux majeur; Kramkram</t>
        </is>
      </c>
    </row>
    <row r="22512">
      <c r="A22512" t="inlineStr">
        <is>
          <t>Stuff 3</t>
        </is>
      </c>
      <c r="B22512">
        <f>HYPERLINK("https://www.dofusbook.net/fr/equipement/104483-stuff-3/objets", "link")</f>
        <v/>
      </c>
      <c r="C22512" t="n">
        <v>0</v>
      </c>
      <c r="D22512" t="inlineStr">
        <is>
          <t>Dague Hirr; Amulette du Strigide; Anneau des égarés; Bracelet du Piloztère; Ceinture du Strigide; Coiffe de la Fuji Givrefoux; Cape du Kamasterisk; Baleinabottes; Dofus Turquoise; Dofus Ocre; Dolmanax; Vigoureux majeur; Remueur; Nomade; Kramkram</t>
        </is>
      </c>
    </row>
    <row r="22513">
      <c r="A22513" t="inlineStr">
        <is>
          <t>Stuff 3</t>
        </is>
      </c>
      <c r="B22513">
        <f>HYPERLINK("https://www.dofusbook.net/fr/equipement/104510-stuff-3/objets", "link")</f>
        <v/>
      </c>
      <c r="C22513" t="n">
        <v>0</v>
      </c>
      <c r="D22513" t="inlineStr">
        <is>
          <t>Hache Ériphe; Amulette Ementaire Deluxe; Bracelet du Piloztère; Alliance Gloursonne; Ceinture de la Reine des Voleurs; Coiffe de la Reine des Voleurs; Voile d'encre; Baleinabottes; Dofus Turquoise; Dolmanax; Dofus des Glaces; Nomade; Remueur; Miraculé majeur; Péki</t>
        </is>
      </c>
    </row>
    <row r="22514">
      <c r="A22514" t="inlineStr">
        <is>
          <t>Stuff 1</t>
        </is>
      </c>
      <c r="B22514">
        <f>HYPERLINK("https://www.dofusbook.net/fr/equipement/104505-stuff-1/objets", "link")</f>
        <v/>
      </c>
      <c r="C22514" t="n">
        <v>0</v>
      </c>
      <c r="D22514" t="inlineStr">
        <is>
          <t>Marteau R'ture; Collier de Tourthon; Bracelet du Piloztère; Anneau Chevelu; Ceinture de la Cour Sombre; Masque de Koutoulou; Voile d'encre; Bottes de la Cour Sombre; Dolmanax; Dofus Turquoise; Nomade; Enragé majeur; Remueur; Vigoureux majeur</t>
        </is>
      </c>
    </row>
    <row r="22515">
      <c r="A22515" t="inlineStr">
        <is>
          <t>Stuff 2</t>
        </is>
      </c>
      <c r="B22515">
        <f>HYPERLINK("https://www.dofusbook.net/fr/equipement/104500-stuff-2/objets", "link")</f>
        <v/>
      </c>
      <c r="C22515" t="n">
        <v>0</v>
      </c>
      <c r="D22515" t="inlineStr">
        <is>
          <t>Dagues Ricol; Amulette de Nileza; Bague Gloursonne; Anneau Tique; Ceinture Séculaire; Coiffe Séculaire; Cape du Professeur Xa; Bottes d'Otomaï; Vigoureux majeur; Nomade; Turbulent; Miraculé majeur; Érudit majeur; Remueur</t>
        </is>
      </c>
    </row>
    <row r="22516">
      <c r="A22516" t="inlineStr">
        <is>
          <t>Stuff 3</t>
        </is>
      </c>
      <c r="B22516">
        <f>HYPERLINK("https://www.dofusbook.net/fr/equipement/104495-stuff-3/objets", "link")</f>
        <v/>
      </c>
      <c r="C22516" t="n">
        <v>0</v>
      </c>
      <c r="D22516" t="inlineStr">
        <is>
          <t>Arc du Chalœil; Amulette du Strigide; Bracelet du Piloztère; Anneau Chevelu; Ceinture de la Cour Sombre; Coiffe du Comte Harebourg; Voile d'encre; Bottes de la Cour Sombre; Dofus Pourpre; Dofus Ocre; Étourdisseur majeur; Nomade; Enragé majeur; Remueur</t>
        </is>
      </c>
    </row>
    <row r="22517">
      <c r="A22517" t="inlineStr">
        <is>
          <t>Stuff 2</t>
        </is>
      </c>
      <c r="B22517">
        <f>HYPERLINK("https://www.dofusbook.net/fr/equipement/104517-stuff-2/objets", "link")</f>
        <v/>
      </c>
      <c r="C22517" t="n">
        <v>0</v>
      </c>
      <c r="D22517" t="inlineStr">
        <is>
          <t>Pelle de la Cour Sombre; Amulette du Cycloïde; Alliance Gloursonne; Anneau des égarés; Menoture; Casque des égarés; Cape Indescriptible; Palmes Trithons; Dolmanax; Dofus Turquoise; Cascadeur majeur; Nomade; Remueur; Acrobate majeur; Kramkram</t>
        </is>
      </c>
    </row>
    <row r="22518">
      <c r="A22518" t="inlineStr">
        <is>
          <t>Stuff 2</t>
        </is>
      </c>
      <c r="B22518">
        <f>HYPERLINK("https://www.dofusbook.net/fr/equipement/104485-stuff-2/objets", "link")</f>
        <v/>
      </c>
      <c r="C22518" t="n">
        <v>0</v>
      </c>
      <c r="D22518" t="inlineStr">
        <is>
          <t>Dagues Érhy; Amulette du Strigide; Anneau Chevelu; Bague Gloursonne; Ceinture de Kongoku; Boucle d'oreille de Kongoku; Voile d'encre; Bottes de la Cour Sombre; Dofus Turquoise; Dofus Ocre; Nomade; Fonceur majeur; Remueur; Vigoureux majeur; Kramkram</t>
        </is>
      </c>
    </row>
    <row r="22519">
      <c r="A22519" t="inlineStr">
        <is>
          <t>Stuff 3</t>
        </is>
      </c>
      <c r="B22519">
        <f>HYPERLINK("https://www.dofusbook.net/fr/equipement/104518-stuff-3/objets", "link")</f>
        <v/>
      </c>
      <c r="C22519" t="n">
        <v>0</v>
      </c>
      <c r="D22519" t="inlineStr">
        <is>
          <t>Dagoulinantes; Amulette de Shokkoth; Alliance Gloursonne; Bracelet des Fonds marins; Poulpagne; Casquette de Meno; Cape de Mantaze; Sandales des Fonds marins; Dofus Turquoise; Dolmanax; Nomade; Remueur; Vigoureux majeur; Chanceux majeur; Kramkram</t>
        </is>
      </c>
    </row>
    <row r="22520">
      <c r="A22520" t="inlineStr">
        <is>
          <t>Stuff 1</t>
        </is>
      </c>
      <c r="B22520">
        <f>HYPERLINK("https://www.dofusbook.net/fr/equipement/104481-stuff-1/objets", "link")</f>
        <v/>
      </c>
      <c r="C22520" t="n">
        <v>0</v>
      </c>
      <c r="D22520" t="inlineStr">
        <is>
          <t>Epée Maudite du Saigneur Guerrier; Ceinture Luminescente; Kidibonnet; Cape Luminescente; Bottes Owesli; Dolmanax; Dofus Turquoise; Nomade; Bousculeur majeur; Remueur; Culbuteur majeur; Péki</t>
        </is>
      </c>
    </row>
    <row r="22521">
      <c r="A22521" t="inlineStr">
        <is>
          <t>Stuff 1</t>
        </is>
      </c>
      <c r="B22521">
        <f>HYPERLINK("https://www.dofusbook.net/fr/equipement/104513-stuff-1/objets", "link")</f>
        <v/>
      </c>
      <c r="C22521" t="n">
        <v>0</v>
      </c>
      <c r="D22521" t="inlineStr">
        <is>
          <t>Pelle de la Cour Sombre; Amulette de Pol Ouatnos; Anneau d'Allister; Alliance Gloursonne; Ceinture du Barbétoal; Couronne d'Allister; Cape Matelassée; Baleinabottes; Dofus Turquoise; Cascadeur majeur; Remueur; Acrobate majeur; Equilibriste majeur; Nomade; Siroko</t>
        </is>
      </c>
    </row>
    <row r="22522">
      <c r="A22522" t="inlineStr">
        <is>
          <t>Stuff 1</t>
        </is>
      </c>
      <c r="B22522">
        <f>HYPERLINK("https://www.dofusbook.net/fr/equipement/104508-stuff-1/objets", "link")</f>
        <v/>
      </c>
      <c r="C22522" t="n">
        <v>0</v>
      </c>
      <c r="D22522" t="inlineStr">
        <is>
          <t>Manthache; Collier du Valet Veinard; Gant du Valet Veinard; Alliance Gloursonne; Menoture; Capuche de Moum-Ra; Cape du Kamasterisk; Palmes Trithons; Dofus Pourpre; Dofus des Glaces; Dolmanax; Remueur; Miraculé majeur; Cascadeur majeur</t>
        </is>
      </c>
    </row>
    <row r="22523">
      <c r="A22523" t="inlineStr">
        <is>
          <t>Stuff 2</t>
        </is>
      </c>
      <c r="B22523">
        <f>HYPERLINK("https://www.dofusbook.net/fr/equipement/104503-stuff-2/objets", "link")</f>
        <v/>
      </c>
      <c r="C22523" t="n">
        <v>0</v>
      </c>
      <c r="D22523" t="inlineStr">
        <is>
          <t>Marteau R'ture; Collier de Tourthon; Anneau Crustique; Bague Trithon; Ceinture de la Cour Sombre; Chapeau de Gein; Voile d'encre; Bottes de la Cour Sombre; Dofus Ocre; Dofus Turquoise; Nomade; Vigoureux majeur; Remueur; Enragé majeur; Kramkram</t>
        </is>
      </c>
    </row>
    <row r="22524">
      <c r="A22524" t="inlineStr">
        <is>
          <t>Stuff 3</t>
        </is>
      </c>
      <c r="B22524">
        <f>HYPERLINK("https://www.dofusbook.net/fr/equipement/104498-stuff-3/objets", "link")</f>
        <v/>
      </c>
      <c r="C22524" t="n">
        <v>0</v>
      </c>
      <c r="D22524" t="inlineStr">
        <is>
          <t>Hache du Chalœil; Amulette du Strigide; Alliance Gloursonne; Bracelet du Piloztère; Ceintacé; Casque du Chalœil; Voile d'encre; Bottes du Strigide; Dolmanax; Dofus Pourpre; Dofus Turquoise; Nomade; Remueur; Vigoureux majeur</t>
        </is>
      </c>
    </row>
    <row r="22525">
      <c r="A22525" t="inlineStr">
        <is>
          <t>Stuff 1</t>
        </is>
      </c>
      <c r="B22525">
        <f>HYPERLINK("https://www.dofusbook.net/fr/equipement/104493-stuff-1/objets", "link")</f>
        <v/>
      </c>
      <c r="C22525" t="n">
        <v>0</v>
      </c>
      <c r="D22525" t="inlineStr">
        <is>
          <t>Hache du Chalœil; Amulette de Pol Ouatnos; Alliance Gloursonne; Alliance du Lévitrof; Ceintacé; Coiffe du Lévitrof; Voile d'encre; Bottes du Chalœil; Dofus Pourpre; Dolmanax; Dofus Turquoise; Étourdisseur majeur; Nomade; Remueur</t>
        </is>
      </c>
    </row>
    <row r="22526">
      <c r="A22526" t="inlineStr">
        <is>
          <t>Stuff 2</t>
        </is>
      </c>
      <c r="B22526">
        <f>HYPERLINK("https://www.dofusbook.net/fr/equipement/104488-stuff-2/objets", "link")</f>
        <v/>
      </c>
      <c r="C22526" t="n">
        <v>0</v>
      </c>
      <c r="D22526" t="inlineStr">
        <is>
          <t>Arc Nécrotique; Amulette du Strigide; Alliance Gloursonne; Ceintacé; Casque Dragoeuf; Bottes du Strigide; Dofus Turquoise; Observateur</t>
        </is>
      </c>
    </row>
    <row r="22527">
      <c r="A22527" t="inlineStr">
        <is>
          <t>Stuff 3</t>
        </is>
      </c>
      <c r="B22527">
        <f>HYPERLINK("https://www.dofusbook.net/fr/equipement/104483-stuff-3/objets", "link")</f>
        <v/>
      </c>
      <c r="C22527" t="n">
        <v>0</v>
      </c>
      <c r="D22527" t="inlineStr">
        <is>
          <t>Dague Hirr; Amulette du Strigide; Bracelet du Piloztère; Anneau des égarés; Ceinture du Strigide; Coiffe de la Fuji Givrefoux; Cape du Kamasterisk; Baleinabottes; Dofus Turquoise; Dofus Ocre; Dolmanax; Nomade; Vigoureux majeur; Remueur; Kramkram</t>
        </is>
      </c>
    </row>
    <row r="22528">
      <c r="A22528" t="inlineStr">
        <is>
          <t>Stuff 3</t>
        </is>
      </c>
      <c r="B22528">
        <f>HYPERLINK("https://www.dofusbook.net/fr/equipement/104515-stuff-3/objets", "link")</f>
        <v/>
      </c>
      <c r="C22528" t="n">
        <v>0</v>
      </c>
      <c r="D22528" t="inlineStr">
        <is>
          <t>L'Épée Nice; Amulette du Strigide; Anneau des égarés; Alliance Gloursonne; Ceinture du Barbétoal; Casque des égarés; Voile d'encre; Baleinabottes; Dofus Pourpre; Dofus Turquoise; Remueur; Miraculé majeur; Carapace Terre majeur; Vigoureux majeur; Kramkram</t>
        </is>
      </c>
    </row>
    <row r="22529">
      <c r="A22529" t="inlineStr">
        <is>
          <t>Stuff 3</t>
        </is>
      </c>
      <c r="B22529">
        <f>HYPERLINK("https://www.dofusbook.net/fr/equipement/104510-stuff-3/objets", "link")</f>
        <v/>
      </c>
      <c r="C22529" t="n">
        <v>0</v>
      </c>
      <c r="D22529" t="inlineStr">
        <is>
          <t>Hache Ériphe; Amulette Ementaire Deluxe; Alliance Gloursonne; Bracelet du Piloztère; Ceinture de la Reine des Voleurs; Coiffe de la Reine des Voleurs; Voile d'encre; Baleinabottes; Dolmanax; Dofus des Glaces; Dofus Turquoise; Nomade; Remueur; Miraculé majeur; Péki</t>
        </is>
      </c>
    </row>
    <row r="22530">
      <c r="A22530" t="inlineStr">
        <is>
          <t>Osamodas F 200</t>
        </is>
      </c>
      <c r="B22530">
        <f>HYPERLINK("https://www.dofusbook.net/fr/equipement/5700242-osamodas-f-200/objets", "link")</f>
        <v/>
      </c>
      <c r="C22530" t="n">
        <v>0</v>
      </c>
      <c r="D22530" t="inlineStr">
        <is>
          <t>Rhizome du Tynril; Kralamansion; Kralano; Alliance Boletée; String Tue-Mouche; Casque Dragoeuf; Voile d'encre; Bottes du Dragoeuf</t>
        </is>
      </c>
    </row>
    <row r="22531">
      <c r="A22531" t="inlineStr">
        <is>
          <t>Crâ F 200</t>
        </is>
      </c>
      <c r="B22531">
        <f>HYPERLINK("https://www.dofusbook.net/fr/equipement/4702253-cra-f-200/objets", "link")</f>
        <v/>
      </c>
      <c r="C22531" t="n">
        <v>3</v>
      </c>
      <c r="D22531" t="inlineStr">
        <is>
          <t>Sabres d'Atcham; Amulette du Strigide; Anneau de Padgref; Anneau Tique; Quatre-feuilles; Ceintacé; Masque Trithon; Cape de Jahash Jurgen; Sandales  d'Atcham; Dofus Pourpre; Dofus Turquoise; Dofus des Glaces; Remueur; Nomade; Vigoureux majeur; Chacha Angora</t>
        </is>
      </c>
    </row>
    <row r="22532">
      <c r="A22532" t="inlineStr">
        <is>
          <t>Pandawa M 200</t>
        </is>
      </c>
      <c r="B22532">
        <f>HYPERLINK("https://www.dofusbook.net/fr/equipement/4740019-pandawa-m-200/objets", "link")</f>
        <v/>
      </c>
      <c r="C22532" t="n">
        <v>0</v>
      </c>
      <c r="D22532" t="inlineStr">
        <is>
          <t>La Baguette des Limbes; Kralamansion; Kralano; Annolamour; Puissante Ceinture Fulgurante; Coiffe du Tynril; Puissante Cape Fulgurante; Bottes Répané; Dofus Émeraude; Dofus Vulbis; Dofus Cawotte; Dofus Ocre; Dofus Turquoise; Dofus Kaliptus</t>
        </is>
      </c>
    </row>
    <row r="22533">
      <c r="A22533" t="inlineStr">
        <is>
          <t>Eniripsa F 200</t>
        </is>
      </c>
      <c r="B22533">
        <f>HYPERLINK("https://www.dofusbook.net/fr/equipement/4554648-eniripsa-f-200/objets", "link")</f>
        <v/>
      </c>
      <c r="C22533" t="n">
        <v>0</v>
      </c>
      <c r="D22533" t="inlineStr">
        <is>
          <t>Rod Gerse; Amunite; Alliance Boletée; Anneau Bliteré; String Tue-Mouche; Casque Harnage; Capignon; Bottes Répané; Dofus Kaliptus; Dofus Cawotte; Nomoon</t>
        </is>
      </c>
    </row>
    <row r="22534">
      <c r="A22534" t="inlineStr">
        <is>
          <t>Easy-Yvre</t>
        </is>
      </c>
      <c r="B22534">
        <f>HYPERLINK("https://www.dofusbook.net/fr/equipement/4531779-easy-yvre/objets", "link")</f>
        <v/>
      </c>
      <c r="C22534" t="n">
        <v>0</v>
      </c>
      <c r="D22534" t="inlineStr">
        <is>
          <t>Hache du Korriandre; Amulette du Strigide; Alliance Gloursonne; Ceinture du Strigide; Némès de Tal Kasha; Chevelure de Tal Kasha; Sandales de Tal Kasha; Dofus des Glaces; Dofus Pourpre; Dofus Turquoise; Chaperlipopette</t>
        </is>
      </c>
    </row>
    <row r="22535">
      <c r="A22535" t="inlineStr">
        <is>
          <t>Stuff 1</t>
        </is>
      </c>
      <c r="B22535">
        <f>HYPERLINK("https://www.dofusbook.net/fr/equipement/576112-stuff-1/objets", "link")</f>
        <v/>
      </c>
      <c r="C22535" t="n">
        <v>0</v>
      </c>
      <c r="D22535" t="inlineStr">
        <is>
          <t>Epée Kari; Kralamansion; Gelano; Grésilanneau; Ceinture de Kolosso; Coiffe de Kolosso; Cape de Léthaline; Sabots Minables; Dofus Cawotte; Survivant majeur; Temporiseur majeur; Miraculé majeur; Miraculé; Remueur; Dragodinde Turquoise</t>
        </is>
      </c>
    </row>
    <row r="22536">
      <c r="A22536" t="inlineStr">
        <is>
          <t>Stuff 1</t>
        </is>
      </c>
      <c r="B22536">
        <f>HYPERLINK("https://www.dofusbook.net/fr/equipement/576107-stuff-1/objets", "link")</f>
        <v/>
      </c>
      <c r="C22536" t="n">
        <v>0</v>
      </c>
      <c r="D22536" t="inlineStr">
        <is>
          <t>Epée Toche; Amulette du Strigide; Bague Gloursonne; Gelano; Ceinture du Strigide; Casque de Missiz Frizz; Cape au Logis; Sabots Minables; Remueur; Vigoureux majeur; Miraculé majeur; Enragé majeur; Observateur; Furibond majeur; Dragodinde Turquoise</t>
        </is>
      </c>
    </row>
    <row r="22537">
      <c r="A22537" t="inlineStr">
        <is>
          <t>Stuff 1</t>
        </is>
      </c>
      <c r="B22537">
        <f>HYPERLINK("https://www.dofusbook.net/fr/equipement/576109-stuff-1/objets", "link")</f>
        <v/>
      </c>
      <c r="C22537" t="n">
        <v>0</v>
      </c>
      <c r="D22537" t="inlineStr">
        <is>
          <t>Dagues Érhy; Amulette du Strigide; Gelano; Anneau de Padgref; Sangle Aise; Coiffe de Padgref; Cape Hiculteur; Bottes de Nileza; Vigoureux majeur; Érudit majeur; Nomade; Cascadeur majeur; Remueur; Acrobate majeur; Dragodinde Prune</t>
        </is>
      </c>
    </row>
    <row r="22538">
      <c r="A22538" t="inlineStr">
        <is>
          <t>Stuff 3</t>
        </is>
      </c>
      <c r="B22538">
        <f>HYPERLINK("https://www.dofusbook.net/fr/equipement/576111-stuff-3/objets", "link")</f>
        <v/>
      </c>
      <c r="C22538" t="n">
        <v>0</v>
      </c>
      <c r="D22538" t="inlineStr">
        <is>
          <t>Baguette Range; Amulette du Strigide; Anneau de Padgref; Anneau Rifique; Ceintacé; Coiffe de Padgref; Voile d'encre; Tongues de Nidas; Dofus Pourpre; Dofus Turquoise; Nomade; Carapace Feu majeur; Remueur; Vigoureux majeur; Muldo Pourpre</t>
        </is>
      </c>
    </row>
    <row r="22539">
      <c r="A22539" t="inlineStr">
        <is>
          <t>Stuff 3</t>
        </is>
      </c>
      <c r="B22539">
        <f>HYPERLINK("https://www.dofusbook.net/fr/equipement/576106-stuff-3/objets", "link")</f>
        <v/>
      </c>
      <c r="C22539" t="n">
        <v>0</v>
      </c>
      <c r="D22539" t="inlineStr">
        <is>
          <t>Dagues Açantes; Kralamansion; Gelano; Alliance Gloursonne; Ceinture Glaciale; Casquipik; Cape Matelassée; Pikottes; Temporiseur majeur; Remueur; Nomade; Entraveur majeur; Chanceux majeur; Miraculé majeur; Dragodinde Turquoise</t>
        </is>
      </c>
    </row>
    <row r="22540">
      <c r="A22540" t="inlineStr">
        <is>
          <t>Stuff 2</t>
        </is>
      </c>
      <c r="B22540">
        <f>HYPERLINK("https://www.dofusbook.net/fr/equipement/576113-stuff-2/objets", "link")</f>
        <v/>
      </c>
      <c r="C22540" t="n">
        <v>0</v>
      </c>
      <c r="D22540" t="inlineStr">
        <is>
          <t>Hache du Guerrier Zoth; Talisman Choh; Anneau Nobstant; Anneau Nobstant; Ceinture de Frigostine; Chapeau de Ben le Ripate; Cape de Cantile; Bottes de Frigostine; Dofus Cawotte; Miraculé majeur; Miraculé; Nomade; Survivant majeur; Remueur; Dragoune Rose</t>
        </is>
      </c>
    </row>
    <row r="22541">
      <c r="A22541" t="inlineStr">
        <is>
          <t>Stuff 2</t>
        </is>
      </c>
      <c r="B22541">
        <f>HYPERLINK("https://www.dofusbook.net/fr/equipement/576108-stuff-2/objets", "link")</f>
        <v/>
      </c>
      <c r="C22541" t="n">
        <v>0</v>
      </c>
      <c r="D22541" t="inlineStr">
        <is>
          <t>Hache Hélème; Amulette d'Otomaï; Bague Gloursonne; Gelano; Ceinture du Glourséleste; Masque du Glourséleste; Cape Hiculteur; Pantoufles Émar; Astucieux majeur; Miraculé majeur; Érudit majeur; Nomade; Vigoureux majeur; Remueur; Dragodinde Turquoise</t>
        </is>
      </c>
    </row>
    <row r="22542">
      <c r="A22542" t="inlineStr">
        <is>
          <t>Stuff 2</t>
        </is>
      </c>
      <c r="B22542">
        <f>HYPERLINK("https://www.dofusbook.net/fr/equipement/576110-stuff-2/objets", "link")</f>
        <v/>
      </c>
      <c r="C22542" t="n">
        <v>0</v>
      </c>
      <c r="D22542" t="inlineStr">
        <is>
          <t>Bâthon; Amulette du Strigide; Gelano; Bracelet du Piloztère; Ceintacé; Chapeau de Gein; Cape de Kongoku; Bottes du Strigide; Dofus des Glaces; Dofus Pourpre; Déserteur majeur; Remueur; Temporiseur majeur; Vigoureux majeur; Muldo Pourpre et Amande</t>
        </is>
      </c>
    </row>
    <row r="22543">
      <c r="A22543" t="inlineStr">
        <is>
          <t>Stuff 2</t>
        </is>
      </c>
      <c r="B22543">
        <f>HYPERLINK("https://www.dofusbook.net/fr/equipement/576105-stuff-2/objets", "link")</f>
        <v/>
      </c>
      <c r="C22543" t="n">
        <v>0</v>
      </c>
      <c r="D22543" t="inlineStr">
        <is>
          <t>Arc Hétype; Amulette d'Otomaï; Anneau de Nidas; Gelano; Ceinture Séculaire; Couronne de Nidas; Cape de Nileza; Pataugastrique; Érudit majeur; Remueur; Temporiseur majeur; Miraculé majeur; Entraveur majeur; Ralentisseur majeur; Dragodinde Emeraude et Rousse</t>
        </is>
      </c>
    </row>
    <row r="22544">
      <c r="A22544" t="inlineStr">
        <is>
          <t>Stuff 1</t>
        </is>
      </c>
      <c r="B22544">
        <f>HYPERLINK("https://www.dofusbook.net/fr/equipement/576102-stuff-1/objets", "link")</f>
        <v/>
      </c>
      <c r="C22544" t="n">
        <v>0</v>
      </c>
      <c r="D22544" t="inlineStr">
        <is>
          <t>Arc Hétype; Amulette de Nileza; Gelano; Anneau Kturne; Ceinture du Glourséleste; Casqnoar; Cape de Dremoan; Pantoufles Émar; Dofus Cawotte; Chanceux majeur; Miraculé majeur; Érudit majeur; Nomade; Remueur; Dragodinde Turquoise</t>
        </is>
      </c>
    </row>
    <row r="22545">
      <c r="A22545" t="inlineStr">
        <is>
          <t>Stuff 2</t>
        </is>
      </c>
      <c r="B22545">
        <f>HYPERLINK("https://www.dofusbook.net/fr/equipement/576097-stuff-2/objets", "link")</f>
        <v/>
      </c>
      <c r="C22545" t="n">
        <v>0</v>
      </c>
      <c r="D22545" t="inlineStr">
        <is>
          <t>Dagues Érhy; Amulette du Strigide; Anneau Chevelu; Bague Gloursonne; Ceinture de Gein; Chapeau de Gein; Voile d'encre; Bottes de la Cour Sombre; Dofus Turquoise; Dofus Ocre; Dofus Pourpre; Nomade; Remueur; Vigoureux majeur; Kwaltess</t>
        </is>
      </c>
    </row>
    <row r="22546">
      <c r="A22546" t="inlineStr">
        <is>
          <t>Stuff 1</t>
        </is>
      </c>
      <c r="B22546">
        <f>HYPERLINK("https://www.dofusbook.net/fr/equipement/576104-stuff-1/objets", "link")</f>
        <v/>
      </c>
      <c r="C22546" t="n">
        <v>0</v>
      </c>
      <c r="D22546" t="inlineStr">
        <is>
          <t>Dagues Açantes; Amulette du Royalmouth; Gelano; Anneau Frage; Slip Hie; Fantômasque; Cape du Mansot Royal; Bottes Hoktone; Entraveur majeur; Nomade; Temporiseur majeur; Remueur; Ralentisseur majeur; Miraculé majeur; Dragodinde Turquoise</t>
        </is>
      </c>
    </row>
    <row r="22547">
      <c r="A22547" t="inlineStr">
        <is>
          <t>Stuff 1</t>
        </is>
      </c>
      <c r="B22547">
        <f>HYPERLINK("https://www.dofusbook.net/fr/equipement/576099-stuff-1/objets", "link")</f>
        <v/>
      </c>
      <c r="C22547" t="n">
        <v>0</v>
      </c>
      <c r="D22547" t="inlineStr">
        <is>
          <t>Baguette Hernelle; Amulette d'Otomaï; Anneau de Padgref; Gelano; Ceinture Séculaire; Coiffe Séculaire; Cape de Nileza; Pantoufles Émar; Vigoureux majeur; Remueur; Nomade; Guérisseur majeur; Érudit majeur; Miraculé majeur; Dragodinde en armure</t>
        </is>
      </c>
    </row>
    <row r="22548">
      <c r="A22548" t="inlineStr">
        <is>
          <t>Stuff 2</t>
        </is>
      </c>
      <c r="B22548">
        <f>HYPERLINK("https://www.dofusbook.net/fr/equipement/576094-stuff-2/objets", "link")</f>
        <v/>
      </c>
      <c r="C22548" t="n">
        <v>0</v>
      </c>
      <c r="D22548" t="inlineStr">
        <is>
          <t>Sabres d'Atcham; Talisman Glouti; Bague Gloursonne; Anneau Tique; Ceinture de Kongoku; Dorabysses; Cape d'Atcham; Sandales  d'Atcham; Dofus des Glaces; Dofus Ocre; Dofus Turquoise; Dofus Pourpre; Dragodinde Emeraude</t>
        </is>
      </c>
    </row>
    <row r="22549">
      <c r="A22549" t="inlineStr">
        <is>
          <t>Stuff 3</t>
        </is>
      </c>
      <c r="B22549">
        <f>HYPERLINK("https://www.dofusbook.net/fr/equipement/576101-stuff-3/objets", "link")</f>
        <v/>
      </c>
      <c r="C22549" t="n">
        <v>0</v>
      </c>
      <c r="D22549" t="inlineStr">
        <is>
          <t>Baguette Hernelle; Amulette d'Otomaï; Gelano; Anneau de Padgref; Ceinture Hanium; Coiffe de Padgref; Cape Hiculteur; Getas de Padgref; Dofus Kaliptus; Puissant majeur; Soigneur majeur; Ravageur Feu majeur; Survivant majeur; Savant majeur; Dragodinde Prune et Emeraude</t>
        </is>
      </c>
    </row>
    <row r="22550">
      <c r="A22550" t="inlineStr">
        <is>
          <t>Stuff 1</t>
        </is>
      </c>
      <c r="B22550">
        <f>HYPERLINK("https://www.dofusbook.net/fr/equipement/576096-stuff-1/objets", "link")</f>
        <v/>
      </c>
      <c r="C22550" t="n">
        <v>0</v>
      </c>
      <c r="D22550" t="inlineStr">
        <is>
          <t>Epée Toche; Amulette du Strigide; Gelano; Bague Gloursonne; Ceinture du Strigide; Casque de Missiz Frizz; Cape du Professeur Xa; Bottes du Lévitrof; Érudit majeur; Turbulent; Enragé majeur; Nomade; Vigoureux majeur; Remueur; Dragodinde en armure</t>
        </is>
      </c>
    </row>
    <row r="22551">
      <c r="A22551" t="inlineStr">
        <is>
          <t>Stuff 2</t>
        </is>
      </c>
      <c r="B22551">
        <f>HYPERLINK("https://www.dofusbook.net/fr/equipement/576103-stuff-2/objets", "link")</f>
        <v/>
      </c>
      <c r="C22551" t="n">
        <v>0</v>
      </c>
      <c r="D22551" t="inlineStr">
        <is>
          <t>Hache du Guerrier Zoth; Amulette du Royalmouth; Anneau Nobstant; Anneau Nobstant; Ceinture du Royalmouth; Chapeau de Ben le Ripate; Cape du Mansot Royal; Bottes Hoktone; Dofus Cawotte; Érudit majeur; Remueur; Miraculé majeur; Chanceux majeur; Nomade; Dragoune Rose</t>
        </is>
      </c>
    </row>
    <row r="22552">
      <c r="A22552" t="inlineStr">
        <is>
          <t>Stuff 3</t>
        </is>
      </c>
      <c r="B22552">
        <f>HYPERLINK("https://www.dofusbook.net/fr/equipement/576098-stuff-3/objets", "link")</f>
        <v/>
      </c>
      <c r="C22552" t="n">
        <v>0</v>
      </c>
      <c r="D22552" t="inlineStr">
        <is>
          <t>Bâthon; Amulette du Strigide; Gelano; Chevalière du Roi Joueur; Ceinture du Strigide; Bonnet Ko; Voile d'encre; Bottes du Cycloïde; Dofus Pourpre; Dofus Turquoise; Vigoureux majeur; Nomade; Remueur; Turbulent; Muldo Doré et Amande</t>
        </is>
      </c>
    </row>
    <row r="22553">
      <c r="A22553" t="inlineStr">
        <is>
          <t>Stuff 1</t>
        </is>
      </c>
      <c r="B22553">
        <f>HYPERLINK("https://www.dofusbook.net/fr/equipement/576093-stuff-1/objets", "link")</f>
        <v/>
      </c>
      <c r="C22553" t="n">
        <v>0</v>
      </c>
      <c r="D22553" t="inlineStr">
        <is>
          <t>Rapière aux Glyphes; Amulette de Danathor; Alliance Gloursonne; Gelano; Ceinture Glaciale; Coiffe de Danathor; Cape Matelassée; Remueur; Survivant majeur; Fonceur majeur; Miraculé majeur; Nomade; Chanceux majeur; Dragodinde Turquoise</t>
        </is>
      </c>
    </row>
    <row r="22554">
      <c r="A22554" t="inlineStr">
        <is>
          <t>Stuff 2</t>
        </is>
      </c>
      <c r="B22554">
        <f>HYPERLINK("https://www.dofusbook.net/fr/equipement/576100-stuff-2/objets", "link")</f>
        <v/>
      </c>
      <c r="C22554" t="n">
        <v>0</v>
      </c>
      <c r="D22554" t="inlineStr">
        <is>
          <t>Sabres d'Atcham; Talisman Igans; Anneau Tique; Anneau de Padgref; Ceintrigue; Coiffe de Padgref; Cape d'Atcham; Getas de Padgref; Dofus des Glaces; Dofus Pourpre; Dofus Émeraude; Dofus Ocre; Dofus Turquoise; Voyageur; Dragodinde en armure</t>
        </is>
      </c>
    </row>
    <row r="22555">
      <c r="A22555" t="inlineStr">
        <is>
          <t>Stuff 1</t>
        </is>
      </c>
      <c r="B22555">
        <f>HYPERLINK("https://www.dofusbook.net/fr/equipement/576102-stuff-1/objets", "link")</f>
        <v/>
      </c>
      <c r="C22555" t="n">
        <v>0</v>
      </c>
      <c r="D22555" t="inlineStr">
        <is>
          <t>Arc Hétype; Amulette de Nileza; Gelano; Anneau Kturne; Ceinture du Glourséleste; Casqnoar; Cape de Dremoan; Pantoufles Émar; Dofus Cawotte; Chanceux majeur; Miraculé majeur; Érudit majeur; Nomade; Remueur; Dragodinde Turquoise</t>
        </is>
      </c>
    </row>
    <row r="22556">
      <c r="A22556" t="inlineStr">
        <is>
          <t>chaloeil</t>
        </is>
      </c>
      <c r="B22556">
        <f>HYPERLINK("https://www.dofusbook.net/fr/equipement/3056053-chaloeil/objets", "link")</f>
        <v/>
      </c>
      <c r="C22556" t="n">
        <v>1</v>
      </c>
      <c r="D22556" t="inlineStr">
        <is>
          <t>Hache du Chalœil; Amulette du Strigide; Alliance Gloursonne; Bracelet du Piloztère; Quatre-feuilles; Ceintacé; Masque du Katcheur; Cape du Chalœil; Bottes du Strigide; Dofus des Glaces; Dolmanax; Dofus Pourpre; Vigoureux majeur; Nomade; Remueur; Muldo Doré et Emeraude</t>
        </is>
      </c>
    </row>
    <row r="22557">
      <c r="A22557" t="inlineStr">
        <is>
          <t>Stuff 2</t>
        </is>
      </c>
      <c r="B22557">
        <f>HYPERLINK("https://www.dofusbook.net/fr/equipement/551849-stuff-2/objets", "link")</f>
        <v/>
      </c>
      <c r="C22557" t="n">
        <v>0</v>
      </c>
      <c r="D22557" t="inlineStr">
        <is>
          <t>Arc Volkorne; Amulette du Strigide; Bracelet du Piloztère; Anneau Volkorne; Quatre-feuilles; Ceinture du Strigide; Casque Volkorne; Voile d'encre; Bottes du Strigide; Dolmanax; Dofus Turquoise; Dofus des Glaces; Dofus Ocre; Dofus Abyssal; Dofus Pourpre; Muldo Doré et Emeraude</t>
        </is>
      </c>
    </row>
    <row r="22558">
      <c r="A22558" t="inlineStr">
        <is>
          <t>Pandawa M 200</t>
        </is>
      </c>
      <c r="B22558">
        <f>HYPERLINK("https://www.dofusbook.net/fr/equipement/4525772-pandawa-m-200/objets", "link")</f>
        <v/>
      </c>
      <c r="C22558" t="n">
        <v>0</v>
      </c>
      <c r="D22558" t="inlineStr">
        <is>
          <t>Arc Volkorne; Amulette Volkorne; Alliance Gloursonne; Anneau Volkorne; Bouclier du Stalak; Ceinture Volkorne; Le Dorado; Cape de la Dame du Hasard; Bottes de la Dame du Hasard; Dofus Abyssal; Dofus Ocre; Dofus Pourpre; Dofus des Glaces; Dofus Nébuleux; Dofus Turquoise; Muldo Prune et Doré</t>
        </is>
      </c>
    </row>
    <row r="22559">
      <c r="A22559" t="inlineStr">
        <is>
          <t>Sram M 200</t>
        </is>
      </c>
      <c r="B22559">
        <f>HYPERLINK("https://www.dofusbook.net/fr/equipement/4480191-sram-m-200/objets", "link")</f>
        <v/>
      </c>
      <c r="C22559" t="n">
        <v>1</v>
      </c>
      <c r="D22559" t="inlineStr">
        <is>
          <t>Arc de Koutoulou; Amulette de l'Indicible; Alliance Gloursonne; Gant du Valet Veinard; Bouclier du Stalak; Menoture; Capuche de Moum-Ra; Cape Routh; Bottes Voldelor; Dofus Ivoire; Dofus Ocre; Dofus Abyssal; Dokoko; Nomade; Chanceux majeur; Blérodoudou</t>
        </is>
      </c>
    </row>
    <row r="22560">
      <c r="A22560" t="inlineStr">
        <is>
          <t>critique</t>
        </is>
      </c>
      <c r="B22560">
        <f>HYPERLINK("https://www.dofusbook.net/fr/equipement/4103019-critique/objets", "link")</f>
        <v/>
      </c>
      <c r="C22560" t="n">
        <v>0</v>
      </c>
      <c r="D22560" t="inlineStr">
        <is>
          <t>Sabres d'Atcham; Amulette du Strigide; Anneau de Padgref; Alliance Gloursonne; Quatre-feuilles; Ceinture du Strigide; Coiffe de Padgref; Cape d'Atcham; Getas de Padgref; Dolmanax; Dofus des Glaces; Dofus Pourpre; Dofus Ocre; Dofus Turquoise; Puissant majeur; Muldo Prune et Emeraude</t>
        </is>
      </c>
    </row>
    <row r="22561">
      <c r="A22561" t="inlineStr">
        <is>
          <t>Iop M 200</t>
        </is>
      </c>
      <c r="B22561">
        <f>HYPERLINK("https://www.dofusbook.net/fr/equipement/4088837-iop-m-200/objets", "link")</f>
        <v/>
      </c>
      <c r="C22561" t="n">
        <v>5</v>
      </c>
      <c r="D22561" t="inlineStr">
        <is>
          <t>Arc du Chalœil; Amulette du Strigide; Anneau de Brouce; Bague Gloursonne; Bouclier du Stalak; Ceinture du Strigide; Masque Brûlâme; Cape de la Fuji Givrefoux; Sabots Volcaniques; Dofus Ocre; Dofus Turquoise; Dofus des Glaces; Dofus Pourpre; Remueur; Vigoureux majeur; Sakochère</t>
        </is>
      </c>
    </row>
    <row r="22562">
      <c r="A22562" t="inlineStr">
        <is>
          <t>Stuff 3</t>
        </is>
      </c>
      <c r="B22562">
        <f>HYPERLINK("https://www.dofusbook.net/fr/equipement/551859-stuff-3/objets", "link")</f>
        <v/>
      </c>
      <c r="C22562" t="n">
        <v>1</v>
      </c>
      <c r="D22562" t="inlineStr">
        <is>
          <t>Arc corrompu; Pendentif affamé; Bague Gloursonne; Anneau Tamie; Bouclier du Cycloïde; Ceinture Séculaire; Coiffe Séculaire; Cape de Diondin; Bottes Innommables; Dofus Turquoise; Nomade; Savant majeur; Remueur; Érudit majeur; Kramkram</t>
        </is>
      </c>
    </row>
    <row r="22563">
      <c r="A22563" t="inlineStr">
        <is>
          <t>eau/feu</t>
        </is>
      </c>
      <c r="B22563">
        <f>HYPERLINK("https://www.dofusbook.net/fr/equipement/2035926-eau-feu/objets", "link")</f>
        <v/>
      </c>
      <c r="C22563" t="n">
        <v>1</v>
      </c>
      <c r="D22563" t="inlineStr">
        <is>
          <t>Arc Nécrotique; Amulette du Strigide; Bracelet du Piloztère; Anneau Cryochrone; Bouclier du Stalak; Ceinture du Strigide; Kidibonnet; Cape de la Dame du Hasard; Bottes de la Dame du Hasard; Dofus Ocre; Dofus Émeraude; Dofus des Glaces; Dofus Abyssal; Dofus Pourpre; Dofus Turquoise; Muldo Prune et Emeraude</t>
        </is>
      </c>
    </row>
    <row r="22564">
      <c r="A22564" t="inlineStr">
        <is>
          <t>Stuff 2</t>
        </is>
      </c>
      <c r="B22564">
        <f>HYPERLINK("https://www.dofusbook.net/fr/equipement/551852-stuff-2/objets", "link")</f>
        <v/>
      </c>
      <c r="C22564" t="n">
        <v>0</v>
      </c>
      <c r="D22564" t="inlineStr">
        <is>
          <t>Dagues Açantes; Amulette de Danathor; Anneau Glacial; Pikano; Ceinture du Glourséleste; Kidibonnet; Cape de Léthaline; Pikottes; Entraveur majeur; Remueur; Chanceux majeur; Temporiseur majeur; Ralentisseur majeur; Nomade; Kramkram</t>
        </is>
      </c>
    </row>
    <row r="22565">
      <c r="A22565" t="inlineStr">
        <is>
          <t>Stuff 2</t>
        </is>
      </c>
      <c r="B22565">
        <f>HYPERLINK("https://www.dofusbook.net/fr/equipement/551864-stuff-2/objets", "link")</f>
        <v/>
      </c>
      <c r="C22565" t="n">
        <v>0</v>
      </c>
      <c r="D22565" t="inlineStr">
        <is>
          <t>Manthache; Collier du Valet Veinard; Gant du Valet Veinard; Alliance Gloursonne; Menoture; Couronne d'Allister; Cape Indescriptible; Palmes Trithons; Dofus des Glaces; Cascadeur majeur; Vigoureux majeur; Nomade; Dévastateur Air majeur; Remueur; Kramkram</t>
        </is>
      </c>
    </row>
    <row r="22566">
      <c r="A22566" t="inlineStr">
        <is>
          <t>Stuff 1</t>
        </is>
      </c>
      <c r="B22566">
        <f>HYPERLINK("https://www.dofusbook.net/fr/equipement/551854-stuff-1/objets", "link")</f>
        <v/>
      </c>
      <c r="C22566" t="n">
        <v>0</v>
      </c>
      <c r="D22566" t="inlineStr">
        <is>
          <t>Dagues Érhy; Amulette du Strigide; Alliance de Missiz Frizz; Bague Gloursonne; Ceinture du Strigide; Casque de Missiz Frizz; Cape au Logis; Bottes du Strigide; Dofus Ocre; Dolmanax; Dofus Pourpre; Dofus Cawotte; Ravageur Terre majeur; Ravageur Neutre majeur; Dragodinde Emeraude et Rousse</t>
        </is>
      </c>
    </row>
    <row r="22567">
      <c r="A22567" t="inlineStr">
        <is>
          <t>Stuff 1</t>
        </is>
      </c>
      <c r="B22567">
        <f>HYPERLINK("https://www.dofusbook.net/fr/equipement/551866-stuff-1/objets", "link")</f>
        <v/>
      </c>
      <c r="C22567" t="n">
        <v>0</v>
      </c>
      <c r="D22567" t="inlineStr">
        <is>
          <t>Dagues Érhy; Amulette d'Otomaï; Anneau Rifique; Kralano; Ceinture Séculaire; Casque Cyclopéen; Cape de Diondin; Bottes de Meno; Dofus Turquoise; Dolmanax; Érudit majeur; Nomade; Remueur; Vigoureux majeur; Kramkram</t>
        </is>
      </c>
    </row>
    <row r="22568">
      <c r="A22568" t="inlineStr">
        <is>
          <t>Stuff 2</t>
        </is>
      </c>
      <c r="B22568">
        <f>HYPERLINK("https://www.dofusbook.net/fr/equipement/551861-stuff-2/objets", "link")</f>
        <v/>
      </c>
      <c r="C22568" t="n">
        <v>0</v>
      </c>
      <c r="D22568" t="inlineStr">
        <is>
          <t>Pelle de la Cour Sombre; Amibou; Gant du Valet Veinard; Alliance Gloursonne; Menoture; Dorabysses; Cape Indescriptible; Bottes du Kamasterisk; Cascadeur majeur; Nomade; Carapace Air majeur; Fonceur majeur; Vigoureux majeur; Remueur; Kramkram</t>
        </is>
      </c>
    </row>
    <row r="22569">
      <c r="A22569" t="inlineStr">
        <is>
          <t>Stuff 3</t>
        </is>
      </c>
      <c r="B22569">
        <f>HYPERLINK("https://www.dofusbook.net/fr/equipement/551856-stuff-3/objets", "link")</f>
        <v/>
      </c>
      <c r="C22569" t="n">
        <v>0</v>
      </c>
      <c r="D22569" t="inlineStr">
        <is>
          <t>Dagues Érhy; Amulette du Strigide; Anneau de Brouce; Bague Gloursonne; Ceinture du Strigide; Casque de Missiz Frizz; Voile d'encre; Bottes du Lévitrof; Dofus Pourpre; Dolmanax; Dofus Ocre; Nomade; Remueur; Miraculé majeur; Kwaltess</t>
        </is>
      </c>
    </row>
    <row r="22570">
      <c r="A22570" t="inlineStr">
        <is>
          <t>Stuff 1</t>
        </is>
      </c>
      <c r="B22570">
        <f>HYPERLINK("https://www.dofusbook.net/fr/equipement/551851-stuff-1/objets", "link")</f>
        <v/>
      </c>
      <c r="C22570" t="n">
        <v>0</v>
      </c>
      <c r="D22570" t="inlineStr">
        <is>
          <t>Dagues Açantes; Amulette de Danathor; Alliance Gloursonne; Pikano; Ceinture Glaciale; Kidibonnet; Cape de Léthaline; Pikottes; Entraveur majeur; Remueur; Chanceux majeur; Temporiseur majeur; Ralentisseur majeur; Nomade; Kramkram</t>
        </is>
      </c>
    </row>
    <row r="22571">
      <c r="A22571" t="inlineStr">
        <is>
          <t>Stuff 1</t>
        </is>
      </c>
      <c r="B22571">
        <f>HYPERLINK("https://www.dofusbook.net/fr/equipement/551863-stuff-1/objets", "link")</f>
        <v/>
      </c>
      <c r="C22571" t="n">
        <v>2</v>
      </c>
      <c r="D22571" t="inlineStr">
        <is>
          <t>Manthache; Collier du Valet Veinard; Gant du Valet Veinard; Alliance Gloursonne; Ceinture Billonnante; Couronne d'Allister; Cape Indescriptible; Baleinabottes; Fonceur majeur; Cascadeur majeur; Vigoureux majeur; Nomade; Dévastateur Air majeur; Remueur; Kramkram</t>
        </is>
      </c>
    </row>
    <row r="22572">
      <c r="A22572" t="inlineStr">
        <is>
          <t>Stuff 2</t>
        </is>
      </c>
      <c r="B22572">
        <f>HYPERLINK("https://www.dofusbook.net/fr/equipement/551858-stuff-2/objets", "link")</f>
        <v/>
      </c>
      <c r="C22572" t="n">
        <v>0</v>
      </c>
      <c r="D22572" t="inlineStr">
        <is>
          <t>Dagues Érhy; Amulette Séculaire; Anneau de Padgref; Alliance Gloursonne; Ceinture Séculaire; Couronne de Nidas; Cape de Diondin; Pataugastrique; Dolmanax; Dofus Cawotte; Érudit majeur; Remueur; Vigoureux majeur; Nomade; Kramkram</t>
        </is>
      </c>
    </row>
    <row r="22573">
      <c r="A22573" t="inlineStr">
        <is>
          <t>Stuff 3</t>
        </is>
      </c>
      <c r="B22573">
        <f>HYPERLINK("https://www.dofusbook.net/fr/equipement/551853-stuff-3/objets", "link")</f>
        <v/>
      </c>
      <c r="C22573" t="n">
        <v>1</v>
      </c>
      <c r="D22573" t="inlineStr">
        <is>
          <t>Baguette Hique; Collier de la Dame du Hasard; Anneau Tamie; Alliance Gloursonne; Ceinture Glaciale; Kidibonnet; Cape de la Dame du Hasard; Bottes de Meno; Entraveur majeur; Observateur; Chanceux majeur; Nomade; Temporiseur majeur; Remueur; Kramkram</t>
        </is>
      </c>
    </row>
    <row r="22574">
      <c r="A22574" t="inlineStr">
        <is>
          <t>Stuff 1</t>
        </is>
      </c>
      <c r="B22574">
        <f>HYPERLINK("https://www.dofusbook.net/fr/equipement/551848-stuff-1/objets", "link")</f>
        <v/>
      </c>
      <c r="C22574" t="n">
        <v>0</v>
      </c>
      <c r="D22574" t="inlineStr">
        <is>
          <t>Rapière aux Glyphes; Amulette de Danathor; Alliance Gloursonne; Bracelet du Piloztère; Ceintacé; Coiffe de Danathor; Cape Glaciale; Pataugastrique; Dofus Cawotte; Dévastateur Eau majeur; Fonceur majeur; Nomade; Chanceux majeur; Remueur; Kramkram</t>
        </is>
      </c>
    </row>
    <row r="22575">
      <c r="A22575" t="inlineStr">
        <is>
          <t>Stuff 3</t>
        </is>
      </c>
      <c r="B22575">
        <f>HYPERLINK("https://www.dofusbook.net/fr/equipement/551865-stuff-3/objets", "link")</f>
        <v/>
      </c>
      <c r="C22575" t="n">
        <v>0</v>
      </c>
      <c r="D22575" t="inlineStr">
        <is>
          <t>Manthache; Collier du Valet Veinard; Alliance Gloursonne; Anneau d'Allister; Ceinture Billonnante; Couronne d'Allister; Cape de Klime; Baleinabottes; Miraculé majeur; Nomade; Acrobate majeur; Remueur; Vigoureux majeur; Cascadeur majeur; Kramkram</t>
        </is>
      </c>
    </row>
    <row r="22576">
      <c r="A22576" t="inlineStr">
        <is>
          <t>Stuff 2</t>
        </is>
      </c>
      <c r="B22576">
        <f>HYPERLINK("https://www.dofusbook.net/fr/equipement/551855-stuff-2/objets", "link")</f>
        <v/>
      </c>
      <c r="C22576" t="n">
        <v>0</v>
      </c>
      <c r="D22576" t="inlineStr">
        <is>
          <t>Dagues Érhy; Amulette du Strigide; Bague Gloursonne; Alliance de Missiz Frizz; Ceinture du Strigide; Casque de Missiz Frizz; Cape au Logis; Bottes du Strigide; Dofus Cawotte; Dofus Pourpre; Dofus Ocre; Saccageur Neutre majeur; Ravageur Neutre majeur; Forcené majeur; Dragodinde Emeraude et Rousse</t>
        </is>
      </c>
    </row>
    <row r="22577">
      <c r="A22577" t="inlineStr">
        <is>
          <t>Stuff 3</t>
        </is>
      </c>
      <c r="B22577">
        <f>HYPERLINK("https://www.dofusbook.net/fr/equipement/551850-stuff-3/objets", "link")</f>
        <v/>
      </c>
      <c r="C22577" t="n">
        <v>0</v>
      </c>
      <c r="D22577" t="inlineStr">
        <is>
          <t>Epée Gloursonne; Amulette du Strigide; Bague Gloursonne; Alliance Gloursonne; Ceinture du Strigide; Coiffe du Lévitrof; Voile d'encre; Bottes du Strigide; Dolmanax; Dofus des Glaces; Dofus Pourpre; Dofus Turquoise; Dofus Ocre; Examinateur; Dragodinde Prune et Emeraude</t>
        </is>
      </c>
    </row>
    <row r="22578">
      <c r="A22578" t="inlineStr">
        <is>
          <t>Stuff 3</t>
        </is>
      </c>
      <c r="B22578">
        <f>HYPERLINK("https://www.dofusbook.net/fr/equipement/551862-stuff-3/objets", "link")</f>
        <v/>
      </c>
      <c r="C22578" t="n">
        <v>1</v>
      </c>
      <c r="D22578" t="inlineStr">
        <is>
          <t>Pelle de la Cour Sombre; Collier du Valet Veinard; Anneau d'Allister; Alliance Gloursonne; Ceinture Billonnante; Couronne d'Allister; Cape du Kamasterisk; Baleinabottes; Dofus Turquoise; Vigoureux majeur; Remueur; Fonceur majeur; Cascadeur majeur; Nomade; Kramkram</t>
        </is>
      </c>
    </row>
    <row r="22579">
      <c r="A22579" t="inlineStr">
        <is>
          <t>Stuff 1</t>
        </is>
      </c>
      <c r="B22579">
        <f>HYPERLINK("https://www.dofusbook.net/fr/equipement/551857-stuff-1/objets", "link")</f>
        <v/>
      </c>
      <c r="C22579" t="n">
        <v>0</v>
      </c>
      <c r="D22579" t="inlineStr">
        <is>
          <t>Harpelle; Amulette Séculaire; Bague Gloursonne; Alliance Gloursonne; Ceinture de Vortex; Couronne de Nidas; Cape de Diondin; Bottes de Meno; Dolmanax; Dofus Cawotte; Observateur; Nomade; Érudit majeur; Remueur; Kramkram</t>
        </is>
      </c>
    </row>
    <row r="22580">
      <c r="A22580" t="inlineStr">
        <is>
          <t>Stuff 2</t>
        </is>
      </c>
      <c r="B22580">
        <f>HYPERLINK("https://www.dofusbook.net/fr/equipement/551852-stuff-2/objets", "link")</f>
        <v/>
      </c>
      <c r="C22580" t="n">
        <v>0</v>
      </c>
      <c r="D22580" t="inlineStr">
        <is>
          <t>Dagues Açantes; Amulette de Danathor; Anneau Glacial; Pikano; Ceinture du Glourséleste; Kidibonnet; Cape de Léthaline; Pikottes; Ralentisseur majeur; Nomade; Entraveur majeur; Remueur; Chanceux majeur; Temporiseur majeur; Kramkram</t>
        </is>
      </c>
    </row>
    <row r="22581">
      <c r="A22581" t="inlineStr">
        <is>
          <t>bite</t>
        </is>
      </c>
      <c r="B22581">
        <f>HYPERLINK("https://www.dofusbook.net/fr/equipement/5465125-bite/objets", "link")</f>
        <v/>
      </c>
      <c r="C22581" t="n">
        <v>2</v>
      </c>
      <c r="D22581" t="inlineStr">
        <is>
          <t>Hache du Chalœil; Amulette Volkorne; Bague Trithon; Anneau Volkorne; Quatre-feuilles; Ceinture Volkorne; Masque Trithon; Voile d'encre; Bottes Trithon; Dofus Abyssal; Dofus Turquoise; Dofus Ivoire; Dofus Ocre; Dofus des Glaces; Dofus Ébène; Kokulte</t>
        </is>
      </c>
    </row>
    <row r="22582">
      <c r="A22582" t="inlineStr">
        <is>
          <t>Hynami</t>
        </is>
      </c>
      <c r="B22582">
        <f>HYPERLINK("https://www.dofusbook.net/fr/equipement/1990767-hynami/objets", "link")</f>
        <v/>
      </c>
      <c r="C22582" t="n">
        <v>3</v>
      </c>
      <c r="D22582" t="inlineStr">
        <is>
          <t>Hache Téroïde; Amulette du Strigide; Anneau de Brouce; Bague Gloursonne; Quatre-feuilles; Ceinture du Strigide; Masque Brûlâme; Cape du Professeur Xa; Bottes du Roi Joueur; Dofus Ocre; Dofus Pourpre; Dofus Turquoise; Enragé majeur; Remueur; Vigoureux majeur; Dragodinde en armure</t>
        </is>
      </c>
    </row>
    <row r="22583">
      <c r="A22583" t="inlineStr">
        <is>
          <t>Eniripsa F 200</t>
        </is>
      </c>
      <c r="B22583">
        <f>HYPERLINK("https://www.dofusbook.net/fr/equipement/4557874-eniripsa-f-200/objets", "link")</f>
        <v/>
      </c>
      <c r="C22583" t="n">
        <v>3</v>
      </c>
      <c r="D22583" t="inlineStr">
        <is>
          <t>Baguette de Torkélonia; Amulette du Cœur Saignant; Anneau Volkorne; Chevalière du Roi Joueur; Quatre-feuilles; Ceinture Volkorne; Corne de Torkélonia; Cape du Cœur Saignant; Bottes du Cœur Saignant; Dofus Vulbis; Dofus Ivoire; Dofus Ébène; Dofus Ocre; Dofus Turquoise; Dofus Abyssal; Dragodinde Emeraude et Pourpre</t>
        </is>
      </c>
    </row>
    <row r="22584">
      <c r="A22584" t="inlineStr">
        <is>
          <t>Ecaflip F 200</t>
        </is>
      </c>
      <c r="B22584">
        <f>HYPERLINK("https://www.dofusbook.net/fr/equipement/4232338-ecaflip-f-200/objets", "link")</f>
        <v/>
      </c>
      <c r="C22584" t="n">
        <v>2</v>
      </c>
      <c r="D22584" t="inlineStr">
        <is>
          <t>Hache du Chalœil; Amulette Volkorne; Anneau Volkorne; Bague Trithon; Bouclier du Stalak; Ceinture Volkorne; Masque Trithon; Voile d'encre; Bottes Trithon; Dofus Turquoise; Dofus Ocre; Dofus Nébuleux; Dofus Pourpre; Dofus des Glaces; Dofus Abyssal; Chacha Angora</t>
        </is>
      </c>
    </row>
    <row r="22585">
      <c r="A22585" t="inlineStr">
        <is>
          <t>Eniripsa F 200</t>
        </is>
      </c>
      <c r="B22585">
        <f>HYPERLINK("https://www.dofusbook.net/fr/equipement/4546757-eniripsa-f-200/objets", "link")</f>
        <v/>
      </c>
      <c r="C22585" t="n">
        <v>4</v>
      </c>
      <c r="D22585" t="inlineStr">
        <is>
          <t>Arc corrompu; Pendentif affamé; Anneauræus; Anneauræus; Bouclier du Mont Kipou; Ceinture de Vortex; Cagoule de Vortex; Voile d'encre; Pataugastrique; Dofus Ivoire; Dofus Vulbis; Dofus Ocre; Dofus Abyssal; Érudit majeur; Carapace Feu majeur; Ross</t>
        </is>
      </c>
    </row>
    <row r="22586">
      <c r="A22586" t="inlineStr">
        <is>
          <t>Ecaflip F 200</t>
        </is>
      </c>
      <c r="B22586">
        <f>HYPERLINK("https://www.dofusbook.net/fr/equipement/4250381-ecaflip-f-200/objets", "link")</f>
        <v/>
      </c>
      <c r="C22586" t="n">
        <v>1</v>
      </c>
      <c r="D22586" t="inlineStr">
        <is>
          <t>Hache Rot; Amulette de Shokkoth; Alliance Gloursonne; Anneau Volkorne; Bouclier du Stalak; Pagne du Rykaon; Kidibonnet; Cape de la Dame du Hasard; Bottes de la Dame du Hasard; Dofus Ivoire; Dofus Ocre; Dofus Abyssal; Dofus Ébène; Dofus Vulbis; Chanceux majeur; Pioute bleu</t>
        </is>
      </c>
    </row>
    <row r="22587">
      <c r="A22587" t="inlineStr">
        <is>
          <t>Ecaflip F 200</t>
        </is>
      </c>
      <c r="B22587">
        <f>HYPERLINK("https://www.dofusbook.net/fr/equipement/4902485-ecaflip-f-200/objets", "link")</f>
        <v/>
      </c>
      <c r="C22587" t="n">
        <v>0</v>
      </c>
      <c r="D22587" t="inlineStr">
        <is>
          <t>Bêche Asse; Amulette du Cœur Saignant; Anneau Crustique; Anneau de Brouce; Bouclier du Stalak; Ceinture Volkorne; Coiffe de la Fuji Givrefoux; Cape du Cœur Saignant; Bottes du Cœur Saignant; Dofus Ébène; Dofus Ocre; Dofus Abyssal; Dofus Ivoire; Dofus Turquoise; Dofus Vulbis; Pioute vert</t>
        </is>
      </c>
    </row>
    <row r="22588">
      <c r="A22588" t="inlineStr">
        <is>
          <t>Féca F 200</t>
        </is>
      </c>
      <c r="B22588">
        <f>HYPERLINK("https://www.dofusbook.net/fr/equipement/4646452-feca-f-200/objets", "link")</f>
        <v/>
      </c>
      <c r="C22588" t="n">
        <v>2</v>
      </c>
      <c r="D22588" t="inlineStr">
        <is>
          <t>Lav'Hache; Amulette de l'Indicible; Anneau Crustique; Anneau Crustique; Sept ans de malheur; Ceinture de la Cour Sombre; Chapeau du Comte Razof; Cape de la Cour Sombre; Bottes de la Cour Sombre; Dofus Émeraude; Dofus Ocre; Dofus Ébène; Dofus Ivoire; Dofus Abyssal; Dofus Vulbis; Drakopin</t>
        </is>
      </c>
    </row>
    <row r="22589">
      <c r="A22589" t="inlineStr">
        <is>
          <t>Crâ F 200</t>
        </is>
      </c>
      <c r="B22589">
        <f>HYPERLINK("https://www.dofusbook.net/fr/equipement/4654123-cra-f-200/objets", "link")</f>
        <v/>
      </c>
      <c r="C22589" t="n">
        <v>0</v>
      </c>
      <c r="D22589" t="inlineStr">
        <is>
          <t>Marteau R'ture; Amulette du Cœur Saignant; Anneau Crustique; Anneau de Brouce; Quatre-feuilles; Ceinture Volkorne; Coiffe de la Fuji Givrefoux; Cape du Cœur Saignant; Bottes du Cœur Saignant; Dofus Ébène; Dofus Vulbis; Dofus Ivoire; Dofus Ocre; Dofus Nébuleux; Dofus Turquoise; Pioute vert</t>
        </is>
      </c>
    </row>
    <row r="22590">
      <c r="A22590" t="inlineStr">
        <is>
          <t>Sram F 200</t>
        </is>
      </c>
      <c r="B22590">
        <f>HYPERLINK("https://www.dofusbook.net/fr/equipement/4563636-sram-f-200/objets", "link")</f>
        <v/>
      </c>
      <c r="C22590" t="n">
        <v>0</v>
      </c>
      <c r="D22590" t="inlineStr">
        <is>
          <t>Manthache; Collier du Valet Veinard; Alliance Gloursonne; Gant du Valet Veinard; Cadran d'Air; Ceinture du Barbétoal; Casque Volkorne; Cape Martegel; Baleinabottes; Dofus Abyssal; Dofus Vulbis; Dofus Ivoire; Dofus Ocre; Dofus Ébène; Dofus Pourpre; Blérodoudou</t>
        </is>
      </c>
    </row>
    <row r="22591">
      <c r="A22591" t="inlineStr">
        <is>
          <t>Zobal F 200</t>
        </is>
      </c>
      <c r="B22591">
        <f>HYPERLINK("https://www.dofusbook.net/fr/equipement/4309346-zobal-f-200/objets", "link")</f>
        <v/>
      </c>
      <c r="C22591" t="n">
        <v>0</v>
      </c>
      <c r="D22591" t="inlineStr">
        <is>
          <t>Arc Nécrotique; Amulette Volkorne; Bague Trithon; Anneau Volkorne; Quatre-feuilles; Ceintacé; Masque Trithon; Cape de la Dame du Hasard; Bottes de la Dame du Hasard; Dofus Abyssal; Dofus Turquoise; Dokoko; Dofus Vulbis; Dofus Ivoire; Dofus Ocre</t>
        </is>
      </c>
    </row>
    <row r="22592">
      <c r="A22592" t="inlineStr">
        <is>
          <t>Zobal F 200</t>
        </is>
      </c>
      <c r="B22592">
        <f>HYPERLINK("https://www.dofusbook.net/fr/equipement/4234377-zobal-f-200/objets", "link")</f>
        <v/>
      </c>
      <c r="C22592" t="n">
        <v>4</v>
      </c>
      <c r="D22592" t="inlineStr">
        <is>
          <t>Hache Téroïde; Amulette du Strigide; Bague Gloursonne; Bague Trithon; Bouclier du Captain Amakna; Ceinture du Strigide; Masque Trithon; Voile d'encre; Bottes Trithon; Dofus Pourpre; Dofus Turquoise; Dofus Abyssal; Dofus Vulbis; Dofus Ivoire; Dofus Ocre; Kokulte</t>
        </is>
      </c>
    </row>
    <row r="22593">
      <c r="A22593" t="inlineStr">
        <is>
          <t>Mayumi</t>
        </is>
      </c>
      <c r="B22593">
        <f>HYPERLINK("https://www.dofusbook.net/fr/equipement/2022719-mayumi/objets", "link")</f>
        <v/>
      </c>
      <c r="C22593" t="n">
        <v>0</v>
      </c>
      <c r="D22593" t="inlineStr">
        <is>
          <t>Rapière aux Glyphes; Amulette de Shokkoth; Pikano; Alliance Gloursonne; Bouclier cubiste; Ceinture Glaciale; Kidibonnet; Cape de Meno; Bottes de Meno; Nomade; Entraveur majeur; Remueur; Temporiseur majeur; Ralentisseur majeur; Chanceux majeur; Dragodinde en armure</t>
        </is>
      </c>
    </row>
    <row r="22594">
      <c r="A22594" t="inlineStr">
        <is>
          <t>Yhui</t>
        </is>
      </c>
      <c r="B22594">
        <f>HYPERLINK("https://www.dofusbook.net/fr/equipement/1990831-yhui/objets", "link")</f>
        <v/>
      </c>
      <c r="C22594" t="n">
        <v>0</v>
      </c>
      <c r="D22594" t="inlineStr">
        <is>
          <t>Arc corrompu; Amulette d'Otomaï; Anneauræus; Bague Gloursonne; Bouclier du Cycloïde; Ceinture de Gein; Chapeau de Gein; Cape de Diondin; Bottes Innommables; Dofus Turquoise; Nomade; Guérisseur majeur; Remueur; Astucieux majeur; Érudit majeur; Dragodinde en armure</t>
        </is>
      </c>
    </row>
    <row r="22595">
      <c r="A22595" t="inlineStr">
        <is>
          <t>Yhuri</t>
        </is>
      </c>
      <c r="B22595">
        <f>HYPERLINK("https://www.dofusbook.net/fr/equipement/1990836-yhuri/objets", "link")</f>
        <v/>
      </c>
      <c r="C22595" t="n">
        <v>0</v>
      </c>
      <c r="D22595" t="inlineStr">
        <is>
          <t>Hache du Chalœil; Amulette du Strigide; Alliance Gloursonne; Bracelet du Piloztère; Quatre-feuilles; Ceintacé; Casque du Chalœil; Voile d'encre; Bottes du Chalœil; Dofus Turquoise; Dofus Pourpre; Fonceur majeur; Nomade; Vigoureux majeur; Remueur; Dragodinde en armure</t>
        </is>
      </c>
    </row>
    <row r="22596">
      <c r="A22596" t="inlineStr">
        <is>
          <t>Zakylisce</t>
        </is>
      </c>
      <c r="B22596">
        <f>HYPERLINK("https://www.dofusbook.net/fr/equipement/1990726-zakylisce/objets", "link")</f>
        <v/>
      </c>
      <c r="C22596" t="n">
        <v>0</v>
      </c>
      <c r="D22596" t="inlineStr">
        <is>
          <t>Hache du Chalœil; Amulette du Strigide; Bracelet du Piloztère; Alliance Gloursonne; Quatre-feuilles; Ceintacé; Casque du Chalœil; Voile d'encre; Bottes du Chalœil; Dofus Pourpre; Dofus Turquoise; Dofus Abyssal; Dofus Ocre; Nomade; Vigoureux majeur; Dragodinde en armure</t>
        </is>
      </c>
    </row>
    <row r="22597">
      <c r="A22597" t="inlineStr">
        <is>
          <t>Iop F 200</t>
        </is>
      </c>
      <c r="B22597">
        <f>HYPERLINK("https://www.dofusbook.net/fr/equipement/5144773-iop-f-200/objets", "link")</f>
        <v/>
      </c>
      <c r="C22597" t="n">
        <v>1</v>
      </c>
      <c r="D22597" t="inlineStr">
        <is>
          <t>Arc corrompu; Amulette Volkorne; Anneauræus; Anneauræus; Quatre-feuilles; Ceinture Séculaire; Coiffe Séculaire; Cape de Diondin; Bottes Innommables; Dofus Vulbis; Dofus Ivoire; Dofus Turquoise; Dofus Ébène; Dofus Abyssal; Dofus Ocre; Bisouglours</t>
        </is>
      </c>
    </row>
    <row r="22598">
      <c r="A22598" t="inlineStr">
        <is>
          <t>Multi</t>
        </is>
      </c>
      <c r="B22598">
        <f>HYPERLINK("https://www.dofusbook.net/fr/equipement/5144728-multi/objets", "link")</f>
        <v/>
      </c>
      <c r="C22598" t="n">
        <v>10</v>
      </c>
      <c r="D22598" t="inlineStr">
        <is>
          <t>Crocobur; Amulette du Strigide; Bague Trithon; Bracelet du Piloztère; Bouclier du Captain Amakna; Ceinture du Strigide; Masque Trithon; Cape de Jahash Jurgen; Bottes Trithon; Dofus des Glaces; Dofus Vulbis; Dofus Abyssal; Dofus Ocre; Dofus Turquoise; Dofus Ébène; Fëanor</t>
        </is>
      </c>
    </row>
    <row r="22599">
      <c r="A22599" t="inlineStr">
        <is>
          <t>Ecaflip M 200</t>
        </is>
      </c>
      <c r="B22599">
        <f>HYPERLINK("https://www.dofusbook.net/fr/equipement/3467730-ecaflip-m-200/objets", "link")</f>
        <v/>
      </c>
      <c r="C22599" t="n">
        <v>0</v>
      </c>
      <c r="D22599" t="inlineStr">
        <is>
          <t>Arc de Koutoulou; Amulette du Strigide; Bague Gloursonne; Alliance Gloursonne; Quatre-feuilles; Ceinture du Strigide; Némès de Tal Kasha; Chevelure de Tal Kasha; Bottes du Strigide; Dolmanax; Dofus Pourpre; Dofus Ocre; Dofus Turquoise; Dofus des Glaces; Dofus Abyssal; Kramkram</t>
        </is>
      </c>
    </row>
    <row r="22600">
      <c r="A22600" t="inlineStr">
        <is>
          <t>Eliotrope M 200</t>
        </is>
      </c>
      <c r="B22600">
        <f>HYPERLINK("https://www.dofusbook.net/fr/equipement/3467645-eliotrope-m-200/objets", "link")</f>
        <v/>
      </c>
      <c r="C22600" t="n">
        <v>0</v>
      </c>
      <c r="D22600" t="inlineStr">
        <is>
          <t>Sceptre du Roi Joueur; Amulette de Shokkoth; Bracelet des Fonds marins; Alliance Gloursonne; Quatre-feuilles; Ceintacé; Kidibonnet; Cape de Mantaze; Sandales des Fonds marins; Carapace Eau majeur; Nomade; Vigoureux majeur; Chanceux majeur; Kramkram</t>
        </is>
      </c>
    </row>
    <row r="22601">
      <c r="A22601" t="inlineStr">
        <is>
          <t>nouveau</t>
        </is>
      </c>
      <c r="B22601">
        <f>HYPERLINK("https://www.dofusbook.net/fr/equipement/3450717-nouveau-/objets", "link")</f>
        <v/>
      </c>
      <c r="C22601" t="n">
        <v>3</v>
      </c>
      <c r="D22601" t="inlineStr">
        <is>
          <t>Arc du Chalœil; Amulette du Strigide; Anneau de Brouce; Anneau Chevelu; Quatre-feuilles; Ceinture du Strigide; Masque de Koutoulou; Cape au Logis; Bottes de Brouce; Dofus Ocre; Dofus Nébuleux; Dofus Pourpre; Dofus Turquoise</t>
        </is>
      </c>
    </row>
    <row r="22602">
      <c r="A22602" t="inlineStr">
        <is>
          <t>Stuff 2</t>
        </is>
      </c>
      <c r="B22602">
        <f>HYPERLINK("https://www.dofusbook.net/fr/equipement/254828-stuff-2/objets", "link")</f>
        <v/>
      </c>
      <c r="C22602" t="n">
        <v>0</v>
      </c>
      <c r="D22602" t="inlineStr">
        <is>
          <t>Dagues d'Ilyzaelle; Collier de Tourthon; Anneau du Comte Harebourg; Anneau Crustique; Quatre-feuilles; Ceinture Volkorne; Coiffe du Comte Harebourg; Cape au Logis; Bottes de Brouce; Dofus Nébuleux; Dofus Pourpre; Enragé majeur; Forcené majeur; Vigoureux majeur; Furibond majeur; Kompost</t>
        </is>
      </c>
    </row>
    <row r="22603">
      <c r="A22603" t="inlineStr">
        <is>
          <t>Eliotrope M 200</t>
        </is>
      </c>
      <c r="B22603">
        <f>HYPERLINK("https://www.dofusbook.net/fr/equipement/3453190-eliotrope-m-200/objets", "link")</f>
        <v/>
      </c>
      <c r="C22603" t="n">
        <v>0</v>
      </c>
      <c r="D22603" t="inlineStr">
        <is>
          <t>Pyraguette; Amulette de Shokkoth; Alliance Gloursonne; Bracelet des Fonds marins; Quatre-feuilles; Ceinture Voldelor; Capuche de l'Œil Attentif; Cape Solution; Bottes Voldelor; Dofus Pourpre; Dofus Ocre; Dofus des Glaces; Taquin majeur; Robuste majeur; Chanceux majeur; Dehluge</t>
        </is>
      </c>
    </row>
    <row r="22604">
      <c r="A22604" t="inlineStr">
        <is>
          <t>hegache</t>
        </is>
      </c>
      <c r="B22604">
        <f>HYPERLINK("https://www.dofusbook.net/fr/equipement/1050570-hegache/objets", "link")</f>
        <v/>
      </c>
      <c r="C22604" t="n">
        <v>0</v>
      </c>
      <c r="D22604" t="inlineStr">
        <is>
          <t>Héqache; Amulette du Strigide; Anneau Chevelu; Bracelet Ventré; Ceinture du Strigide; Dorabysses; Cape au Logis; Baleinabottes; Dofus Pourpre; Carapace Terre majeur; Remueur; Vigoureux majeur; Nomade; Kramkram</t>
        </is>
      </c>
    </row>
    <row r="22605">
      <c r="A22605" t="inlineStr">
        <is>
          <t>Steamer M 200</t>
        </is>
      </c>
      <c r="B22605">
        <f>HYPERLINK("https://www.dofusbook.net/fr/equipement/5890655-steamer-m-200/objets", "link")</f>
        <v/>
      </c>
      <c r="C22605" t="n">
        <v>1</v>
      </c>
      <c r="D22605" t="inlineStr">
        <is>
          <t>Arc du Chalœil; Amulette Luminescente; Anneau de Pol Ouatnos; Bague Trithon; Bouclier précieux; Ceinture Luminescente; Masque Trithon; Cape Luminescente; Bottes Trithon; Dofus Abyssal; Dokoko; Dofus Ivoire; Pousseur majeur; Bousculeur majeur; Bousculeur; Tatouf</t>
        </is>
      </c>
    </row>
    <row r="22606">
      <c r="A22606" t="inlineStr">
        <is>
          <t>Steamer M 200</t>
        </is>
      </c>
      <c r="B22606">
        <f>HYPERLINK("https://www.dofusbook.net/fr/equipement/5694765-steamer-m-200/objets", "link")</f>
        <v/>
      </c>
      <c r="C22606" t="n">
        <v>4</v>
      </c>
      <c r="D22606" t="inlineStr">
        <is>
          <t>Hache du Chalœil; Amulette Volkorne; Anneau Volkorne; Bague Trithon; Quatre-feuilles; Ceinture Volkorne; Masque Trithon; Chevelure de Tal Kasha; Bottes Trithon; Dofus Turquoise; Dofus des Glaces; Dofus Abyssal; Dofus Ocre; Dofus Pourpre; Dofus Ivoire; Kokulte</t>
        </is>
      </c>
    </row>
    <row r="22607">
      <c r="A22607" t="inlineStr">
        <is>
          <t>Enutrof M 200</t>
        </is>
      </c>
      <c r="B22607">
        <f>HYPERLINK("https://www.dofusbook.net/fr/equipement/5900010-enutrof-m-200/objets", "link")</f>
        <v/>
      </c>
      <c r="C22607" t="n">
        <v>0</v>
      </c>
      <c r="D22607" t="inlineStr">
        <is>
          <t>Baguette Hique; Collier Lunaire; Bracelet des Fonds marins; Anneau Volkorne; Bouclier cubiste; Ceinture Glaciale; Casquette de Meno; Cape de la Dame du Hasard; Bottes Lunaires; Remueur; Entraveur majeur; Entraveur; Ralentisseur majeur; Nomade; Temporiseur majeur; Volkorne Turquoise et Indigo</t>
        </is>
      </c>
    </row>
    <row r="22608">
      <c r="A22608" t="inlineStr">
        <is>
          <t>Sacrieur M 200</t>
        </is>
      </c>
      <c r="B22608">
        <f>HYPERLINK("https://www.dofusbook.net/fr/equipement/5899178-sacrieur-m-200/objets", "link")</f>
        <v/>
      </c>
      <c r="C22608" t="n">
        <v>0</v>
      </c>
      <c r="D22608" t="inlineStr">
        <is>
          <t>Bêche Asse; Amulette du Cœur Saignant; Anneau Crustique; Anneau de Brouce; Bouclier d'Ilyzaelle; Ceinture Volkorne; Masque de Koutoulou; Cape au Logis; Bottes de Brouce; Dofus des Glaces; Dofus Pourpre; Remueur; Robuste majeur; Vigoureux majeur; Enragé majeur; Bulbisou</t>
        </is>
      </c>
    </row>
    <row r="22609">
      <c r="A22609" t="inlineStr">
        <is>
          <t>Steamer M 200</t>
        </is>
      </c>
      <c r="B22609">
        <f>HYPERLINK("https://www.dofusbook.net/fr/equipement/5483070-steamer-m-200/objets", "link")</f>
        <v/>
      </c>
      <c r="C22609" t="n">
        <v>1</v>
      </c>
      <c r="D22609" t="inlineStr">
        <is>
          <t>Pelle de Nidas; Amulette Volkorne; Anneau Volkorne; Bague Trithon; Quatre-feuilles; Ceinture Volkorne; Masque Trithon; Cape de la Dame du Hasard; Bottes Trithon; Dofus Turquoise; Dofus des Glaces; Dofus Ocre; Dofus Ivoire; Entraveur majeur; Ralentisseur majeur; Kokulte</t>
        </is>
      </c>
    </row>
    <row r="22610">
      <c r="A22610" t="inlineStr">
        <is>
          <t>Iop M 200</t>
        </is>
      </c>
      <c r="B22610">
        <f>HYPERLINK("https://www.dofusbook.net/fr/equipement/5500860-iop-m-200/objets", "link")</f>
        <v/>
      </c>
      <c r="C22610" t="n">
        <v>2</v>
      </c>
      <c r="D22610" t="inlineStr">
        <is>
          <t>Crocobur; Amulette de l'Œil Attentif; Bracelet des Fonds marins; Anneau Volkorne; Bouclier d'Ilyzaelle; Ceinture Glaciale; Capuche de l'Œil Attentif; Cape de l'Œil Attentif; Sandales des Fonds marins; Dofus Pourpre; Dofus Ivoire; Dofus Ocre; Dofus Ébène; Dofus Vulbis; Dofus Abyssal; Kanigloups</t>
        </is>
      </c>
    </row>
    <row r="22611">
      <c r="A22611" t="inlineStr">
        <is>
          <t>Do pou</t>
        </is>
      </c>
      <c r="B22611">
        <f>HYPERLINK("https://www.dofusbook.net/fr/equipement/4008243-do-pou/objets", "link")</f>
        <v/>
      </c>
      <c r="C22611" t="n">
        <v>1</v>
      </c>
      <c r="D22611" t="inlineStr">
        <is>
          <t>Arc du Chalœil; Torquistik; Bague Instable; Bague Trithon; Bouclier précieux; Ceinture Gence; Casque Dragoeuf; Cape d'Anerice; Bottistik; Dofus Ocre; Dofus Abyssal; Dofus Ivoire; Bousculeur majeur; Culbuteur majeur; Pousseur majeur; Balafreux</t>
        </is>
      </c>
    </row>
    <row r="22612">
      <c r="A22612" t="inlineStr">
        <is>
          <t>Sacrieur M 200</t>
        </is>
      </c>
      <c r="B22612">
        <f>HYPERLINK("https://www.dofusbook.net/fr/equipement/5305878-sacrieur-m-200/objets", "link")</f>
        <v/>
      </c>
      <c r="C22612" t="n">
        <v>2</v>
      </c>
      <c r="D22612" t="inlineStr">
        <is>
          <t>Manthache; Collier du Valet Veinard; Alliance Gloursonne; Gant du Valet Veinard; Trompe-la-Mort; Menoture; Casque Dragoeuf; Cape Indescriptible; Palmes Trithons; Dofus Ivoire; Dofus Abyssal; Dofus Ocre; Dofus Ébène; Dofus Pourpre; Dofus Argenté; Muldo Doré et Ebène</t>
        </is>
      </c>
    </row>
    <row r="22613">
      <c r="A22613" t="inlineStr">
        <is>
          <t>Sacrieur F 200</t>
        </is>
      </c>
      <c r="B22613">
        <f>HYPERLINK("https://www.dofusbook.net/fr/equipement/5476453-sacrieur-f-200/objets", "link")</f>
        <v/>
      </c>
      <c r="C22613" t="n">
        <v>2</v>
      </c>
      <c r="D22613" t="inlineStr">
        <is>
          <t>Rapière aux Glyphes; Amulette de l'Œil Attentif; Anneau Volkorne; Bracelet des Fonds marins; Bouclier d'Ilyzaelle; Poulpagne; Casque d'Ilyzaelle; Cape de l'Œil Attentif; Sandales des Fonds marins; Dofus Pourpre; Dofus Ivoire; Dofus des Glaces; Dofus Ébène; Dofus Ocre; Dofus Abyssal; Muldo Ebène et Pourpre</t>
        </is>
      </c>
    </row>
    <row r="22614">
      <c r="A22614" t="inlineStr">
        <is>
          <t>Sacrieur F 200</t>
        </is>
      </c>
      <c r="B22614">
        <f>HYPERLINK("https://www.dofusbook.net/fr/equipement/5476347-sacrieur-f-200/objets", "link")</f>
        <v/>
      </c>
      <c r="C22614" t="n">
        <v>2</v>
      </c>
      <c r="D22614" t="inlineStr">
        <is>
          <t>Rapière aux Glyphes; Amulette d'Ilyzaelle; Alliance Gloursonne; Anneau Volkorne; Bouclier d'Ilyzaelle; Ceinture Glaciale; Casque d'Ilyzaelle; Cape du Sinistrofu; Bottes du Sinistrofu; Dofus Vulbis; Dofus Abyssal; Dofus Pourpre; Dofus Ivoire; Dofus Ocre; Dofus Ébène; Dragodinde Indigo et Ivoire</t>
        </is>
      </c>
    </row>
    <row r="22615">
      <c r="A22615" t="inlineStr">
        <is>
          <t>Sacrieur M 200</t>
        </is>
      </c>
      <c r="B22615">
        <f>HYPERLINK("https://www.dofusbook.net/fr/equipement/5304794-sacrieur-m-200/objets", "link")</f>
        <v/>
      </c>
      <c r="C22615" t="n">
        <v>4</v>
      </c>
      <c r="D22615" t="inlineStr">
        <is>
          <t>Sceptre du Roi Joueur; Amulette de l'Œil Attentif; Alliance Gloursonne; Anneau Volkorne; Bouclier cubiste; Ceinture Glaciale; Capuche de l'Œil Attentif; Cape de l'Œil Attentif; Bottes du Sinistrofu; Dofus Vulbis; Dofus Ivoire; Dofus Pourpre; Dofus Ébène; Dofus Argenté; Dofus Abyssal; Volkorne Doré et Turquoise</t>
        </is>
      </c>
    </row>
    <row r="22616">
      <c r="A22616" t="inlineStr">
        <is>
          <t>Sacrieur M 200</t>
        </is>
      </c>
      <c r="B22616">
        <f>HYPERLINK("https://www.dofusbook.net/fr/equipement/5393824-sacrieur-m-200/objets", "link")</f>
        <v/>
      </c>
      <c r="C22616" t="n">
        <v>3</v>
      </c>
      <c r="D22616" t="inlineStr">
        <is>
          <t>Rapière aux Glyphes; Amulette de l'Œil Attentif; Bracelet des Fonds marins; Anneau Volkorne; Trompe-la-Mort; Ceinture Volkorne; Masque des Fonds marins; Cape de l'Œil Attentif; Sandales des Fonds marins; Dofus Ocre; Dofus Ivoire; Dofus Pourpre; Dofus Vulbis; Dofus Ébène; Dofus Abyssal; Dragodinde Amande et Indigo</t>
        </is>
      </c>
    </row>
    <row r="22617">
      <c r="A22617" t="inlineStr">
        <is>
          <t>Sacrieur M 200</t>
        </is>
      </c>
      <c r="B22617">
        <f>HYPERLINK("https://www.dofusbook.net/fr/equipement/5314047-sacrieur-m-200/objets", "link")</f>
        <v/>
      </c>
      <c r="C22617" t="n">
        <v>3</v>
      </c>
      <c r="D22617" t="inlineStr">
        <is>
          <t>Rapière aux Glyphes; Amulette de l'Œil Attentif; Bracelet des Fonds marins; Anneau Volkorne; Bouclier du Stalak; Poulpagne; Masque des Fonds marins; Cape de l'Œil Attentif; Sandales des Fonds marins; Dofus des Glaces; Dofus Abyssal; Dofus Émeraude; Dofus Ivoire; Dofus Pourpre; Dofus Ébène; Muldo Indigo et Pourpre</t>
        </is>
      </c>
    </row>
    <row r="22618">
      <c r="A22618" t="inlineStr">
        <is>
          <t>Sacrieur M 200</t>
        </is>
      </c>
      <c r="B22618">
        <f>HYPERLINK("https://www.dofusbook.net/fr/equipement/5336561-sacrieur-m-200/objets", "link")</f>
        <v/>
      </c>
      <c r="C22618" t="n">
        <v>2</v>
      </c>
      <c r="D22618" t="inlineStr">
        <is>
          <t>Rapière aux Glyphes; Amulette de l'Œil Attentif; Anneau Volkorne; Bracelet des Fonds marins; Bouclier du Stalak; Poulpagne; Casque Dragoeuf; Cape de l'Œil Attentif; Sandales des Fonds marins; Dofus Pourpre; Dofus Abyssal; Dofus Ivoire; Dofus Ébène; Dofus Ocre; Voyageur; Kanigloups</t>
        </is>
      </c>
    </row>
    <row r="22619">
      <c r="A22619" t="inlineStr">
        <is>
          <t>Crâ M 200</t>
        </is>
      </c>
      <c r="B22619">
        <f>HYPERLINK("https://www.dofusbook.net/fr/equipement/5280359-cra-m-200/objets", "link")</f>
        <v/>
      </c>
      <c r="C22619" t="n">
        <v>2</v>
      </c>
      <c r="D22619" t="inlineStr">
        <is>
          <t>Sabres d'Atcham; Amulette du Strigide; Anneau Tique; Anneau de Padgref; Quatre-feuilles; Ceinture du Strigide; Coiffe de Padgref; Cape d'Atcham; Getas de Padgref; Dofus Ocre; Dofus des Glaces; Dofus Nébuleux; Dofus Pourpre; Dolmanax; Dofus Turquoise; Muldo Emeraude</t>
        </is>
      </c>
    </row>
    <row r="22620">
      <c r="A22620" t="inlineStr">
        <is>
          <t>Sacrieur M 200</t>
        </is>
      </c>
      <c r="B22620">
        <f>HYPERLINK("https://www.dofusbook.net/fr/equipement/5317786-sacrieur-m-200/objets", "link")</f>
        <v/>
      </c>
      <c r="C22620" t="n">
        <v>2</v>
      </c>
      <c r="D22620" t="inlineStr">
        <is>
          <t>Rapière aux Glyphes; Amulette de l'Œil Attentif; Anneau Volkorne; Bracelet des Fonds marins; Bouclier du Stalak; Poulpagne; Masque des Fonds marins; Cape de l'Œil Attentif; Sandales des Fonds marins; Dofus Vulbis; Dofus Ivoire; Dofus Pourpre; Dofus des Glaces; Dofus Ébène; Dofus Abyssal; Kanigloups</t>
        </is>
      </c>
    </row>
    <row r="22621">
      <c r="A22621" t="inlineStr">
        <is>
          <t>Sacrieur M 200</t>
        </is>
      </c>
      <c r="B22621">
        <f>HYPERLINK("https://www.dofusbook.net/fr/equipement/5311690-sacrieur-m-200/objets", "link")</f>
        <v/>
      </c>
      <c r="C22621" t="n">
        <v>2</v>
      </c>
      <c r="D22621" t="inlineStr">
        <is>
          <t>Sceptre du Roi Joueur; Amulette Luminescente; Bracelet des Fonds marins; Anneau Volkorne; Bouclier du Stalak; Ceinture Luminescente; Masque des Fonds marins; Cape Luminescente; Sandales des Fonds marins; Dofus Vulbis; Dofus Ivoire; Dofus Pourpre; Dofus Ébène; Dofus Ocre; Dofus Abyssal; Kanigloups</t>
        </is>
      </c>
    </row>
    <row r="22622">
      <c r="A22622" t="inlineStr">
        <is>
          <t>to buy</t>
        </is>
      </c>
      <c r="B22622">
        <f>HYPERLINK("https://www.dofusbook.net/fr/equipement/4603622-to-buy/objets", "link")</f>
        <v/>
      </c>
      <c r="C22622" t="n">
        <v>0</v>
      </c>
      <c r="D22622" t="inlineStr">
        <is>
          <t>Manthache; Collier du Valet Veinard; Gant du Valet Veinard; Menoture; Couronne d'Allister; Cape Indescriptible; Palmes Trithons; Dofus Abyssal; Blérodoudou</t>
        </is>
      </c>
    </row>
    <row r="22623">
      <c r="A22623" t="inlineStr">
        <is>
          <t>fukl air</t>
        </is>
      </c>
      <c r="B22623">
        <f>HYPERLINK("https://www.dofusbook.net/fr/equipement/4493200-fukl-air/objets", "link")</f>
        <v/>
      </c>
      <c r="C22623" t="n">
        <v>3</v>
      </c>
      <c r="D22623" t="inlineStr">
        <is>
          <t>Manthache; Collier du Valet Veinard; Gant du Valet Veinard; Alliance Gloursonne; Bouclier du Stalak; Menoture; Couronne d'Allister; Cape Indescriptible; Palmes Trithons; Dofus Abyssal; Dofus Pourpre; Dofus des Glaces; Nomade; Remueur; Cascadeur majeur; Blérodoudou</t>
        </is>
      </c>
    </row>
    <row r="22624">
      <c r="A22624" t="inlineStr">
        <is>
          <t>Terre low cost</t>
        </is>
      </c>
      <c r="B22624">
        <f>HYPERLINK("https://www.dofusbook.net/fr/equipement/4017090-terre-low-cost/objets", "link")</f>
        <v/>
      </c>
      <c r="C22624" t="n">
        <v>1</v>
      </c>
      <c r="D22624" t="inlineStr">
        <is>
          <t>Marteau R'ture; Collier de Tourthon; Anneau Crustique; Anneau de Brouce; Bouclier d'Ilyzaelle; Ceinture Volkorne; Masque de Koutoulou; Cape au Logis; Bottes de Brouce; Dofus des Glaces; Dofus Pourpre; Dofus Abyssal; Dofus Ocre; Enragé majeur; Vigoureux majeur; Kompost</t>
        </is>
      </c>
    </row>
    <row r="22625">
      <c r="A22625" t="inlineStr">
        <is>
          <t>do pou</t>
        </is>
      </c>
      <c r="B22625">
        <f>HYPERLINK("https://www.dofusbook.net/fr/equipement/4591606-do-pou/objets", "link")</f>
        <v/>
      </c>
      <c r="C22625" t="n">
        <v>1</v>
      </c>
      <c r="D22625" t="inlineStr">
        <is>
          <t>Héqache; Amulette du Sinistrofu; Bague Instable; Bague Trithon; Bouclier précieux; Ceintrigue; Casque Dragoeuf; Cape Paztek; Bottes Owesli; Dofus Abyssal; Dofus Ivoire; Dofus Ocre; Dofus Pourpre; Bousculeur majeur; Culbuteur majeur; Balafreux</t>
        </is>
      </c>
    </row>
    <row r="22626">
      <c r="A22626" t="inlineStr">
        <is>
          <t>terre do pou</t>
        </is>
      </c>
      <c r="B22626">
        <f>HYPERLINK("https://www.dofusbook.net/fr/equipement/4030656-terre-do-pou/objets", "link")</f>
        <v/>
      </c>
      <c r="C22626" t="n">
        <v>3</v>
      </c>
      <c r="D22626" t="inlineStr">
        <is>
          <t>Arc du Chalœil; Amulette du Cœur Vaillant; Bague Trithon; Bague Instable; Bouclier précieux; Ceinture Gence; Casque Dragoeuf; Cape du Cœur Vaillant; Bottes du Cul Botté; Dofus Ivoire; Dofus Abyssal; Bousculeur majeur; Remueur; Culbuteur majeur; Pousseur majeur; Balafreux</t>
        </is>
      </c>
    </row>
    <row r="22627">
      <c r="A22627" t="inlineStr">
        <is>
          <t>Ret</t>
        </is>
      </c>
      <c r="B22627">
        <f>HYPERLINK("https://www.dofusbook.net/fr/equipement/625748-ret/objets", "link")</f>
        <v/>
      </c>
      <c r="C22627" t="n">
        <v>0</v>
      </c>
      <c r="D22627" t="inlineStr">
        <is>
          <t>Amulette du Glourséleste; Ceinture Instable; Casquipik; Cape de Léthaline; Pikottes; Temporiseur; Temporiseur majeur; Remueur; Ralentisseur majeur; Entraveur; Entraveur majeur</t>
        </is>
      </c>
    </row>
    <row r="22628">
      <c r="A22628" t="inlineStr">
        <is>
          <t>Stuff 2</t>
        </is>
      </c>
      <c r="B22628">
        <f>HYPERLINK("https://www.dofusbook.net/fr/equipement/419026-stuff-2/objets", "link")</f>
        <v/>
      </c>
      <c r="C22628" t="n">
        <v>0</v>
      </c>
      <c r="D22628" t="inlineStr">
        <is>
          <t>Sceptre du Roi Joueur; Amulette Luminescente; Bague Trithon; Alliance Gloursonne; Ceinture Luminescente; Masque Trithon; Cape Luminescente; Bottes Trithon; Dofus Ocre; Dofus Turquoise; Dofus Émeraude; Dofus des Glaces; Dofus Pourpre; Bousculeur majeur; Muldo Ebène</t>
        </is>
      </c>
    </row>
    <row r="22629">
      <c r="A22629" t="inlineStr">
        <is>
          <t>Stuff 2</t>
        </is>
      </c>
      <c r="B22629">
        <f>HYPERLINK("https://www.dofusbook.net/fr/equipement/419023-stuff-2/objets", "link")</f>
        <v/>
      </c>
      <c r="C22629" t="n">
        <v>0</v>
      </c>
      <c r="D22629" t="inlineStr">
        <is>
          <t>Sabres d'Atcham; Amulette du Strigide; Anneau de Pol Ouatnos; Alliance Gloursonne; Ceintacé; Dorabysses; Cape d'Atcham; Pataugastrique; Dolmanax; Dofus Turquoise; Carapace Eau majeur; Étourdisseur majeur; Temporiseur majeur; Obstructeur majeur; Kramkram</t>
        </is>
      </c>
    </row>
    <row r="22630">
      <c r="A22630" t="inlineStr">
        <is>
          <t>Stuff 1</t>
        </is>
      </c>
      <c r="B22630">
        <f>HYPERLINK("https://www.dofusbook.net/fr/equipement/419025-stuff-1/objets", "link")</f>
        <v/>
      </c>
      <c r="C22630" t="n">
        <v>0</v>
      </c>
      <c r="D22630" t="inlineStr">
        <is>
          <t>Sceptre du Roi Joueur; Amulette Luminescente; Bague Trithon; Alliance Gloursonne; Ceinture Luminescente; Kidibonnet; Cape des Malveilleurs; Bottes Owesli; Dofus Émeraude; Culbuteur majeur; Remueur; Miraculé majeur; Chanceux majeur; Bousculeur majeur; Muldo Ebène et Indigo</t>
        </is>
      </c>
    </row>
    <row r="22631">
      <c r="A22631" t="inlineStr">
        <is>
          <t>Stuff 3</t>
        </is>
      </c>
      <c r="B22631">
        <f>HYPERLINK("https://www.dofusbook.net/fr/equipement/419027-stuff-3/objets", "link")</f>
        <v/>
      </c>
      <c r="C22631" t="n">
        <v>0</v>
      </c>
      <c r="D22631" t="inlineStr">
        <is>
          <t>Sceptre du Roi Joueur; Amulette du Sinistrofu; Alliance Gloursonne; Bague Trithon; Bouclier précieux; Ceinture Luminescente; Kidibonnet; Cape Luminescente; Bottes Owesli; Dofus Émeraude; Bousculeur majeur; Culbuteur majeur; Remueur; Miraculé majeur; Chanceux majeur; Muldo Ebène</t>
        </is>
      </c>
    </row>
    <row r="22632">
      <c r="A22632" t="inlineStr">
        <is>
          <t>Stuff 1</t>
        </is>
      </c>
      <c r="B22632">
        <f>HYPERLINK("https://www.dofusbook.net/fr/equipement/419022-stuff-1/objets", "link")</f>
        <v/>
      </c>
      <c r="C22632" t="n">
        <v>0</v>
      </c>
      <c r="D22632" t="inlineStr">
        <is>
          <t>Héqache; Amulette du Strigide; Anneau Crustique; Alliance Gloursonne; Menoture; Chapoulpe; Voile d'encre; Tentassons; Dofus Pourpre; Étourdisseur majeur; Carapace Air majeur; Remueur; Obstructeur majeur; Nomade; Kramkram</t>
        </is>
      </c>
    </row>
    <row r="22633">
      <c r="A22633" t="inlineStr">
        <is>
          <t>Stuff 3</t>
        </is>
      </c>
      <c r="B22633">
        <f>HYPERLINK("https://www.dofusbook.net/fr/equipement/419024-stuff-3/objets", "link")</f>
        <v/>
      </c>
      <c r="C22633" t="n">
        <v>0</v>
      </c>
      <c r="D22633" t="inlineStr">
        <is>
          <t>Baguette de Malléfisk; Amulette d'Otomaï; Anneau de Nidas; Bague Gloursonne; Ceinture de Vortex; Couronne de Nidas; Voile d'encre; Pataugastrique; Temporiseur majeur; Nomade; Obstructeur majeur; Remueur; Érudit majeur; Étourdisseur majeur; Croum</t>
        </is>
      </c>
    </row>
    <row r="22634">
      <c r="A22634" t="inlineStr">
        <is>
          <t>Wild</t>
        </is>
      </c>
      <c r="B22634">
        <f>HYPERLINK("https://www.dofusbook.net/fr/equipement/2017353-wild/objets", "link")</f>
        <v/>
      </c>
      <c r="C22634" t="n">
        <v>0</v>
      </c>
      <c r="D22634" t="inlineStr">
        <is>
          <t>Sabres d'Atcham; Amulette du Strigide; Bague Trithon; Alliance Gloursonne; Bouclier du Captain Amakna; Ceinture du Strigide; Masque Trithon; Cape d'Atcham; Bottes Trithon; Dofus Turquoise; Dolmanax; Dofus Ocre; Dofus Pourpre; Dofus des Glaces; Puissant majeur; Muldo Prune et Emeraude</t>
        </is>
      </c>
    </row>
    <row r="22635">
      <c r="A22635" t="inlineStr">
        <is>
          <t>Full force</t>
        </is>
      </c>
      <c r="B22635">
        <f>HYPERLINK("https://www.dofusbook.net/fr/equipement/1909002-full-force/objets", "link")</f>
        <v/>
      </c>
      <c r="C22635" t="n">
        <v>0</v>
      </c>
      <c r="D22635" t="inlineStr">
        <is>
          <t>Marteau R'ture; Collier de Tourthon; Anneau du Comte Harebourg; Anneau de Brouce; Ceintacé; Coiffe du Comte Harebourg; Cape au Logis; Bottes du Comte Harebourg; Dofus Turquoise; Furibond majeur; Paralyseur majeur; Forcené majeur</t>
        </is>
      </c>
    </row>
    <row r="22636">
      <c r="A22636" t="inlineStr">
        <is>
          <t>Stuff 3</t>
        </is>
      </c>
      <c r="B22636">
        <f>HYPERLINK("https://www.dofusbook.net/fr/equipement/1765422-stuff-3/objets", "link")</f>
        <v/>
      </c>
      <c r="C22636" t="n">
        <v>0</v>
      </c>
      <c r="D22636" t="inlineStr">
        <is>
          <t>Héqache; Amulette du Strigide; Bague Gloursonne; Bracelet du Piloztère; Quatre-feuilles; Ceinture du Strigide; Masque du Katcheur; Cape de la Cour Sombre; Baleinabottes; Dofus Turquoise; Enragé majeur; Remueur; Nomade; Observateur; Vigoureux majeur; Muldo Prune et Emeraude</t>
        </is>
      </c>
    </row>
    <row r="22637">
      <c r="A22637" t="inlineStr">
        <is>
          <t>eau/air DCC</t>
        </is>
      </c>
      <c r="B22637">
        <f>HYPERLINK("https://www.dofusbook.net/fr/equipement/1732209-eau-air-dcc/objets", "link")</f>
        <v/>
      </c>
      <c r="C22637" t="n">
        <v>0</v>
      </c>
      <c r="D22637" t="inlineStr">
        <is>
          <t>Arc de Koutoulou; Amulette du Strigide; Bague Trithon; Alliance Gloursonne; Quatre-feuilles; Ceinture du Barbétoal; Le Dorado; Chevelure de Tal Kasha; Sandales de Tal Kasha; Dofus Pourpre; Dofus Nébuleux; Dofus Ocre; Dofus Turquoise; Remueur; Puissant majeur; Muldo Prune et Emeraude</t>
        </is>
      </c>
    </row>
    <row r="22638">
      <c r="A22638" t="inlineStr">
        <is>
          <t>eau/air DCC</t>
        </is>
      </c>
      <c r="B22638">
        <f>HYPERLINK("https://www.dofusbook.net/fr/equipement/1726942-eau-air-dcc/objets", "link")</f>
        <v/>
      </c>
      <c r="C22638" t="n">
        <v>0</v>
      </c>
      <c r="D22638" t="inlineStr">
        <is>
          <t>Arc de Koutoulou; Amulette du Strigide; Bracelet du Piloztère; Alliance Gloursonne; Quatre-feuilles; Ceinture du Strigide; Némès de Tal Kasha; Chevelure de Tal Kasha; Sandales de Tal Kasha; Dofus Pourpre; Dofus Nébuleux; Dofus Ocre; Dofus Turquoise; Puissant majeur; Muldo Prune et Emeraude</t>
        </is>
      </c>
    </row>
    <row r="22639">
      <c r="A22639" t="inlineStr">
        <is>
          <t>Stuff 2</t>
        </is>
      </c>
      <c r="B22639">
        <f>HYPERLINK("https://www.dofusbook.net/fr/equipement/1328273-stuff-2/objets", "link")</f>
        <v/>
      </c>
      <c r="C22639" t="n">
        <v>0</v>
      </c>
      <c r="D22639" t="inlineStr">
        <is>
          <t>Hache du Chalœil; Amulette du Strigide; Alliance de Missiz Frizz; Bracelet du Piloztère; Quatre-feuilles; Ceinture du Strigide; Bonnet Ko; Voile d'encre; Bottes du Lévitrof; Dofus Pourpre; Dofus Turquoise; Puissant majeur; Observateur; Remueur; Vigoureux majeur; Muldo Prune et Emeraude</t>
        </is>
      </c>
    </row>
    <row r="22640">
      <c r="A22640" t="inlineStr">
        <is>
          <t>Terre/air</t>
        </is>
      </c>
      <c r="B22640">
        <f>HYPERLINK("https://www.dofusbook.net/fr/equipement/1707606-terre-air/objets", "link")</f>
        <v/>
      </c>
      <c r="C22640" t="n">
        <v>0</v>
      </c>
      <c r="D22640" t="inlineStr">
        <is>
          <t>Héqache; Amulette du Strigide; Bracelet du Piloztère; Anneau d'Allister; Quatre-feuilles; Ceinture du Strigide; Chapoulpe; Cape de la Cour Sombre; Baleinabottes; Dofus Turquoise; Dofus Pourpre; Nomade; Vigoureux majeur; Remueur</t>
        </is>
      </c>
    </row>
    <row r="22641">
      <c r="A22641" t="inlineStr">
        <is>
          <t>Stuff 1</t>
        </is>
      </c>
      <c r="B22641">
        <f>HYPERLINK("https://www.dofusbook.net/fr/equipement/1328272-stuff-1/objets", "link")</f>
        <v/>
      </c>
      <c r="C22641" t="n">
        <v>0</v>
      </c>
      <c r="D22641" t="inlineStr">
        <is>
          <t>Héqache; Amulette du Strigide; Bague Gloursonne; Bracelet du Piloztère; Quatre-feuilles; Ceinture du Strigide; Masque du Katcheur; Cape de la Cour Sombre; Baleinabottes; Dofus Turquoise; Enragé majeur; Remueur; Nomade; Observateur; Vigoureux majeur; Muldo Prune et Emeraude</t>
        </is>
      </c>
    </row>
    <row r="22642">
      <c r="A22642" t="inlineStr">
        <is>
          <t>Stuff 3</t>
        </is>
      </c>
      <c r="B22642">
        <f>HYPERLINK("https://www.dofusbook.net/fr/equipement/1328274-stuff-3/objets", "link")</f>
        <v/>
      </c>
      <c r="C22642" t="n">
        <v>0</v>
      </c>
      <c r="D22642" t="inlineStr">
        <is>
          <t>Bâton Beau; Amulette du Strigide; Anneau de Padgref; Bracelet du Piloztère; Quatre-feuilles; Ceinture du Strigide; Le Dorado; Dofusteuse; Baleinabottes; Dolmanax; Dofus Pourpre; Dofus Turquoise; Vigoureux majeur; Nomade; Remueur; Muldo Prune et Emeraude</t>
        </is>
      </c>
    </row>
    <row r="22643">
      <c r="A22643" t="inlineStr">
        <is>
          <t>Agi</t>
        </is>
      </c>
      <c r="B22643">
        <f>HYPERLINK("https://www.dofusbook.net/fr/equipement/1683837-agi/objets", "link")</f>
        <v/>
      </c>
      <c r="C22643" t="n">
        <v>0</v>
      </c>
      <c r="D22643" t="inlineStr">
        <is>
          <t>Manthache; Collier du Valet Veinard; Alliance Gloursonne; Gant du Valet Veinard; Menoture; Couronne d'Allister; Cape de Klime; Baleinabottes; Nomade; Cascadeur majeur; Remueur</t>
        </is>
      </c>
    </row>
    <row r="22644">
      <c r="A22644" t="inlineStr">
        <is>
          <t>Gein</t>
        </is>
      </c>
      <c r="B22644">
        <f>HYPERLINK("https://www.dofusbook.net/fr/equipement/1374026-gein/objets", "link")</f>
        <v/>
      </c>
      <c r="C22644" t="n">
        <v>0</v>
      </c>
      <c r="D22644" t="inlineStr">
        <is>
          <t>Coiffe du Lévitrof</t>
        </is>
      </c>
    </row>
    <row r="22645">
      <c r="A22645" t="inlineStr">
        <is>
          <t>Indisci</t>
        </is>
      </c>
      <c r="B22645">
        <f>HYPERLINK("https://www.dofusbook.net/fr/equipement/1373823-indisci/objets", "link")</f>
        <v/>
      </c>
      <c r="C22645" t="n">
        <v>0</v>
      </c>
      <c r="D22645" t="inlineStr">
        <is>
          <t>Hache du Chalœil; Amulette de l'Indicible; Alliance de Missiz Frizz; Alliance du Lévitrof; Quatre-feuilles; Ceinture de l'Indicible; Masque du Katcheur; Cape de la Cour Sombre; Pataugastrique; Dofus Turquoise; Dofus Pourpre; Remueur; Nomade; Vigoureux majeur; Muldo Prune et Emeraude</t>
        </is>
      </c>
    </row>
    <row r="22646">
      <c r="A22646" t="inlineStr">
        <is>
          <t>hache chaloeil</t>
        </is>
      </c>
      <c r="B22646">
        <f>HYPERLINK("https://www.dofusbook.net/fr/equipement/1328269-hache-chaloeil/objets", "link")</f>
        <v/>
      </c>
      <c r="C22646" t="n">
        <v>0</v>
      </c>
      <c r="D22646" t="inlineStr">
        <is>
          <t>Amulette du Strigide; Anneau Pwal; Bracelet du Piloztère; Quatre-feuilles; Ceinture du Strigide; Coiffe du Lévitrof; Cape de la Cour Sombre; Pataugastrique; Dofus Turquoise; Dofus Pourpre; Vigoureux majeur; Nomade; Remueur; Observateur; Muldo Prune et Emeraude</t>
        </is>
      </c>
    </row>
    <row r="22647">
      <c r="A22647" t="inlineStr">
        <is>
          <t>do crit</t>
        </is>
      </c>
      <c r="B22647">
        <f>HYPERLINK("https://www.dofusbook.net/fr/equipement/1373697-do-crit/objets", "link")</f>
        <v/>
      </c>
      <c r="C22647" t="n">
        <v>0</v>
      </c>
      <c r="D22647" t="inlineStr">
        <is>
          <t>Bâton Beau; Amulette du Strigide; Anneau Pwal; Bague Trithon; Quatre-feuilles; Ceinture du Strigide; Masque Trithon; Cape de la Cour Sombre; Bottes du Strigide; Dolmanax; Dofus Pourpre; Dofus Turquoise; Dofus Ocre; Examinateur; Voyageur; Muldo Prune et Emeraude</t>
        </is>
      </c>
    </row>
    <row r="22648">
      <c r="A22648" t="inlineStr">
        <is>
          <t>Stuff 2</t>
        </is>
      </c>
      <c r="B22648">
        <f>HYPERLINK("https://www.dofusbook.net/fr/equipement/1328268-stuff-2/objets", "link")</f>
        <v/>
      </c>
      <c r="C22648" t="n">
        <v>0</v>
      </c>
      <c r="D22648" t="inlineStr">
        <is>
          <t>Arc du Chalœil; Amulette du Strigide; Bracelet du Piloztère; Anneau Pwal; Quatre-feuilles; Ceinture du Strigide; Cape de la Cour Sombre; Baleinabottes; Dofus Turquoise; Dofus Pourpre; Remueur; Enragé majeur; Nomade; Vigoureux majeur; Muldo Prune et Emeraude</t>
        </is>
      </c>
    </row>
    <row r="22649">
      <c r="A22649" t="inlineStr">
        <is>
          <t>Stuff 1</t>
        </is>
      </c>
      <c r="B22649">
        <f>HYPERLINK("https://www.dofusbook.net/fr/equipement/1328267-stuff-1/objets", "link")</f>
        <v/>
      </c>
      <c r="C22649" t="n">
        <v>0</v>
      </c>
      <c r="D22649" t="inlineStr">
        <is>
          <t>Arc du Chalœil; Amulule; Anneau de Brouce; Anneau Pwal; Quatre-feuilles; Ceinture de Brouce; Coiffe du Lévitrof; Cape de la Cour Sombre; Baleinabottes; Dofus Turquoise; Dofus Pourpre; Vigoureux majeur; Enragé majeur; Nomade; Remueur; Muldo Prune et Emeraude</t>
        </is>
      </c>
    </row>
    <row r="22650">
      <c r="A22650" t="inlineStr">
        <is>
          <t>Stuff 2</t>
        </is>
      </c>
      <c r="B22650">
        <f>HYPERLINK("https://www.dofusbook.net/fr/equipement/1328264-stuff-2/objets", "link")</f>
        <v/>
      </c>
      <c r="C22650" t="n">
        <v>0</v>
      </c>
      <c r="D22650" t="inlineStr">
        <is>
          <t>Sabres d'Atcham; Amulette du Strigide; Alliance de Missiz Frizz; Anneau de Padgref; Quatre-feuilles; Ceinture du Strigide; Coiffe de Padgref; Cape d'Atcham; Getas de Padgref; Dofus Ocre; Dofus Émeraude; Dofus des Glaces; Dofus Pourpre; Dolmanax; Dofus Turquoise; Muldo Doré</t>
        </is>
      </c>
    </row>
    <row r="22651">
      <c r="A22651" t="inlineStr">
        <is>
          <t>Stuff 1</t>
        </is>
      </c>
      <c r="B22651">
        <f>HYPERLINK("https://www.dofusbook.net/fr/equipement/1328266-stuff-1/objets", "link")</f>
        <v/>
      </c>
      <c r="C22651" t="n">
        <v>0</v>
      </c>
      <c r="D22651" t="inlineStr">
        <is>
          <t>Epée Kari; Kralamansion; Anneau du Comte Harebourg; Bracelet du Piloztère; Ceintacé; Coiffe du Comte Harebourg; Cape au Logis; Baleinabottes; Dofus Émeraude; Remueur; Nomade; Obstructeur majeur; Survivant majeur; Miraculé majeur; Péki</t>
        </is>
      </c>
    </row>
    <row r="22652">
      <c r="A22652" t="inlineStr">
        <is>
          <t>Stuff 1</t>
        </is>
      </c>
      <c r="B22652">
        <f>HYPERLINK("https://www.dofusbook.net/fr/equipement/1328263-stuff-1/objets", "link")</f>
        <v/>
      </c>
      <c r="C22652" t="n">
        <v>0</v>
      </c>
      <c r="D22652" t="inlineStr">
        <is>
          <t>Epée Gloursonne; Amulette du Strigide; Bague Gloursonne; Alliance Gloursonne; Ceinture du Strigide; Chapeau des Malveilleurs; Cape des Malveilleurs; Bottes du Strigide; Dofus Pourpre; Dofus Ocre; Dofus Turquoise; Voyageur; Puissant majeur; Dragodinde en armure</t>
        </is>
      </c>
    </row>
    <row r="22653">
      <c r="A22653" t="inlineStr">
        <is>
          <t>Stuff 3</t>
        </is>
      </c>
      <c r="B22653">
        <f>HYPERLINK("https://www.dofusbook.net/fr/equipement/1328265-stuff-3/objets", "link")</f>
        <v/>
      </c>
      <c r="C22653" t="n">
        <v>1</v>
      </c>
      <c r="D22653" t="inlineStr">
        <is>
          <t>Marteau des égarés; Amulette du Strigide; Bracelet du Piloztère; Alliance Gloursonne; Ceinture du Strigide; Chapeau des Malveilleurs; Voile d'encre; Pataugastrique; Dofus Pourpre; Dofus Turquoise; Temporiseur majeur; Nomade; Remueur; Vigoureux majeur; Dragodinde en armure</t>
        </is>
      </c>
    </row>
    <row r="22654">
      <c r="A22654" t="inlineStr">
        <is>
          <t>Crâ M 200</t>
        </is>
      </c>
      <c r="B22654">
        <f>HYPERLINK("https://www.dofusbook.net/fr/equipement/3676271-cra-m-200/objets", "link")</f>
        <v/>
      </c>
      <c r="C22654" t="n">
        <v>0</v>
      </c>
      <c r="D22654" t="inlineStr">
        <is>
          <t>Sabres d'Atcham; Amulette Volkorne; Bracelet du Piloztère; Anneau Volkorne; Quatre-feuilles; Ceinture Volkorne; Casque Volkorne; Cape d'Atcham; Sandales  d'Atcham; Dofus Pourpre; Dofus Turquoise; Dofus Ocre; Dolmanax; Dofus des Glaces; Puissant majeur; Volkorne Doré et Emeraude</t>
        </is>
      </c>
    </row>
    <row r="22655">
      <c r="A22655" t="inlineStr">
        <is>
          <t>Iop M 200</t>
        </is>
      </c>
      <c r="B22655">
        <f>HYPERLINK("https://www.dofusbook.net/fr/equipement/3676169-iop-m-200/objets", "link")</f>
        <v/>
      </c>
      <c r="C22655" t="n">
        <v>1</v>
      </c>
      <c r="D22655" t="inlineStr">
        <is>
          <t>Arc Volkorne; Amulette du Strigide; Bracelet du Piloztère; Anneau Toriété; Quatre-feuilles; Ceinture du Strigide; Cape du Chalœil; Dofus Pourpre; Dolmanax; Dofus des Glaces; Dofus Turquoise; Dofus Ocre; Muldo Prune et Emeraude</t>
        </is>
      </c>
    </row>
    <row r="22656">
      <c r="A22656" t="inlineStr">
        <is>
          <t>zozo</t>
        </is>
      </c>
      <c r="B22656">
        <f>HYPERLINK("https://www.dofusbook.net/fr/equipement/2656017-zozo/objets", "link")</f>
        <v/>
      </c>
      <c r="C22656" t="n">
        <v>1</v>
      </c>
      <c r="D22656" t="inlineStr">
        <is>
          <t>Epée Kari; Amulette du Strigide; Anneau Crustique; Bracelet du Piloztère; Détourné; Ceintacé; Voilamibe; Bottes du Strigide; Dolmanax; Dofus Émeraude; Dofus Pourpre; Remueur; Nomade; Miraculé majeur; Péki</t>
        </is>
      </c>
    </row>
    <row r="22657">
      <c r="A22657" t="inlineStr">
        <is>
          <t>feu</t>
        </is>
      </c>
      <c r="B22657">
        <f>HYPERLINK("https://www.dofusbook.net/fr/equipement/2636813-feu/objets", "link")</f>
        <v/>
      </c>
      <c r="C22657" t="n">
        <v>0</v>
      </c>
      <c r="D22657" t="inlineStr">
        <is>
          <t>Arc corrompu; Pendentif affamé; Anneauræus; Anneauræus; Bouclier du Stalak; Ceinture Séculaire; Coiffe Séculaire; Cape de Diondin; Bottes Innommables; Dofus Pourpre; Guérisseur majeur; Nomade; Érudit majeur; Remueur; Kramkram</t>
        </is>
      </c>
    </row>
    <row r="22658">
      <c r="A22658" t="inlineStr">
        <is>
          <t>enipvm</t>
        </is>
      </c>
      <c r="B22658">
        <f>HYPERLINK("https://www.dofusbook.net/fr/equipement/2634036-enipvm/objets", "link")</f>
        <v/>
      </c>
      <c r="C22658" t="n">
        <v>0</v>
      </c>
      <c r="D22658" t="inlineStr">
        <is>
          <t>Arc Nécrotique; Amulette du Strigide; Bracelet du Piloztère; Anneau de Padgref; Quatre-feuilles; Ceintacé; Capuche de l'Œil Putride; Cape d'Atcham; Pataugastrique; Dofus Turquoise; Dofus des Glaces; Dolmanax; Dofus Pourpre; Nomade; Vigoureux majeur; Muldo Prune et Doré</t>
        </is>
      </c>
    </row>
    <row r="22659">
      <c r="A22659" t="inlineStr">
        <is>
          <t>Cra 200 multi</t>
        </is>
      </c>
      <c r="B22659">
        <f>HYPERLINK("https://www.dofusbook.net/fr/equipement/3878151-cra-200-multi/objets", "link")</f>
        <v/>
      </c>
      <c r="C22659" t="n">
        <v>0</v>
      </c>
      <c r="D22659" t="inlineStr">
        <is>
          <t>Amulette du Strigide; Bracelet du Piloztère; Ceinture du Strigide; Casque du Chalœil; Cape de Kongoku; Bottes du Père Fwetar</t>
        </is>
      </c>
    </row>
    <row r="22660">
      <c r="A22660" t="inlineStr">
        <is>
          <t>Panda eau 200</t>
        </is>
      </c>
      <c r="B22660">
        <f>HYPERLINK("https://www.dofusbook.net/fr/equipement/3872106-panda-eau-200/objets", "link")</f>
        <v/>
      </c>
      <c r="C22660" t="n">
        <v>1</v>
      </c>
      <c r="D22660" t="inlineStr">
        <is>
          <t>Dagoulinantes; Amulette de Danathor; Bracelet des Fonds marins; Alliance Gloursonne; Quatre-feuilles; Ceinture Glaciale; Coiffe de Danathor; Cape Solution; Bottes du Sinistrofu; Vigoureux majeur; Remueur; Dévastateur Eau majeur; Nomade; Miraculé majeur; Chanceux majeur; Dragodinde Prune et Indigo</t>
        </is>
      </c>
    </row>
    <row r="22661">
      <c r="A22661" t="inlineStr">
        <is>
          <t>Eni feu 200</t>
        </is>
      </c>
      <c r="B22661">
        <f>HYPERLINK("https://www.dofusbook.net/fr/equipement/3871909-eni-feu-200/objets", "link")</f>
        <v/>
      </c>
      <c r="C22661" t="n">
        <v>1</v>
      </c>
      <c r="D22661" t="inlineStr">
        <is>
          <t>Harpelle; Pendentif affamé; Anneau de Nidas; Anneauræus; Bouclier du Cycloïde; Ceinture Séculaire; Couronne de Nidas; Cape de Diondin; Bottes Innommables; Soigneur majeur; Érudit majeur; Dévastateur Feu majeur; Remueur; Guérisseur majeur; Nomade; Volkorne Orchidée</t>
        </is>
      </c>
    </row>
    <row r="22662">
      <c r="A22662" t="inlineStr">
        <is>
          <t>do crit</t>
        </is>
      </c>
      <c r="B22662">
        <f>HYPERLINK("https://www.dofusbook.net/fr/equipement/3610091-do-crit/objets", "link")</f>
        <v/>
      </c>
      <c r="C22662" t="n">
        <v>1</v>
      </c>
      <c r="D22662" t="inlineStr">
        <is>
          <t>Arc Volkorne; Amulette du Strigide; Bracelet du Piloztère; Anneau Volkorne; Quatre-feuilles; Ceinture du Strigide; Casque Volkorne; Cape de Jahash Jurgen; Bottes du Strigide; Dofus Vulbis; Dolmanax; Dofus Pourpre; Dofus Turquoise; Dofus Nébuleux; Dofus Ocre; Kokulte</t>
        </is>
      </c>
    </row>
    <row r="22663">
      <c r="A22663" t="inlineStr">
        <is>
          <t>eau</t>
        </is>
      </c>
      <c r="B22663">
        <f>HYPERLINK("https://www.dofusbook.net/fr/equipement/4988203-eau/objets", "link")</f>
        <v/>
      </c>
      <c r="C22663" t="n">
        <v>4</v>
      </c>
      <c r="D22663" t="inlineStr">
        <is>
          <t>Arc Volkorne; Amulette du Strigide; Bracelet du Piloztère; Anneau Volkorne; Quatre-feuilles; Ceinture du Strigide; Le Dorado; Cape de Jahash Jurgen; Bottes du Strigide; Dofus Nébuleux; Dofus Vulbis; Dofus Pourpre; Dolmanax; Dofus Turquoise; Dofus des Glaces; Kokulte</t>
        </is>
      </c>
    </row>
    <row r="22664">
      <c r="A22664" t="inlineStr">
        <is>
          <t>Féca M 200</t>
        </is>
      </c>
      <c r="B22664">
        <f>HYPERLINK("https://www.dofusbook.net/fr/equipement/5771194-feca-m-200/objets", "link")</f>
        <v/>
      </c>
      <c r="C22664" t="n">
        <v>11</v>
      </c>
      <c r="D22664" t="inlineStr">
        <is>
          <t>Arc Volkorne; Amulette du Strigide; Bracelet du Piloztère; Anneau Volkorne; Quatre-feuilles; Ceinture Volkorne; Le Dorado; Cape de Jahash Jurgen; Bottes du Strigide; Dofus des Glaces; Dofus Ocre; Dofus Vulbis; Dofus Pourpre; Dofus Nébuleux; Dofus Turquoise; Pioute bleu</t>
        </is>
      </c>
    </row>
    <row r="22665">
      <c r="A22665" t="inlineStr">
        <is>
          <t>multi</t>
        </is>
      </c>
      <c r="B22665">
        <f>HYPERLINK("https://www.dofusbook.net/fr/equipement/3898917-multi/objets", "link")</f>
        <v/>
      </c>
      <c r="C22665" t="n">
        <v>5</v>
      </c>
      <c r="D22665" t="inlineStr">
        <is>
          <t>Dagues Érhy; Amulette du Strigide; Anneau Volkorne; Bracelet du Piloztère; Bouclier du Captain Amakna; Ceinture du Strigide; Casque Volkorne; Cape de Jahash Jurgen; Bottes du Strigide; Dofus Pourpre; Dofus Ocre; Dofus Nébuleux; Dofus Vulbis; Dofus Turquoise; Dolmanax; Kokulte</t>
        </is>
      </c>
    </row>
    <row r="22666">
      <c r="A22666" t="inlineStr">
        <is>
          <t>multi cheat</t>
        </is>
      </c>
      <c r="B22666">
        <f>HYPERLINK("https://www.dofusbook.net/fr/equipement/3940085-multi-cheat/objets", "link")</f>
        <v/>
      </c>
      <c r="C22666" t="n">
        <v>1</v>
      </c>
      <c r="D22666" t="inlineStr">
        <is>
          <t>Arc Volkorne; Amulette du Strigide; Bracelet du Piloztère; Anneau Volkorne; Quatre-feuilles; Ceinture du Strigide; Casque Volkorne; Cape de Jahash Jurgen; Bottes du Strigide; Dofus Nébuleux; Dofus Turquoise; Dolmanax; Dofus Vulbis; Dofus Pourpre; Dofus Ocre; Chacha Angora</t>
        </is>
      </c>
    </row>
    <row r="22667">
      <c r="A22667" t="inlineStr">
        <is>
          <t>chepa</t>
        </is>
      </c>
      <c r="B22667">
        <f>HYPERLINK("https://www.dofusbook.net/fr/equipement/4105330-chepa/objets", "link")</f>
        <v/>
      </c>
      <c r="C22667" t="n">
        <v>1</v>
      </c>
      <c r="D22667" t="inlineStr">
        <is>
          <t>Arc Volkorne; Amulette du Strigide; Bracelet du Piloztère; Anneau Volkorne; Quatre-feuilles; Ceinture Volkorne; Le Dorado; Cape de Jahash Jurgen; Bottes du Strigide; Dofus Pourpre; Dofus Ocre; Dofus Nébuleux; Dolmanax; Dofus Vulbis; Dofus Turquoise; Kokulte</t>
        </is>
      </c>
    </row>
    <row r="22668">
      <c r="A22668" t="inlineStr">
        <is>
          <t>reseau</t>
        </is>
      </c>
      <c r="B22668">
        <f>HYPERLINK("https://www.dofusbook.net/fr/equipement/490036-reseau/objets", "link")</f>
        <v/>
      </c>
      <c r="C22668" t="n">
        <v>1</v>
      </c>
      <c r="D22668" t="inlineStr">
        <is>
          <t>Dagues Érhy; Amulette Volkorne; Bague Gloursonne; Chevalière du Roi Joueur; Quatre-feuilles; Ceinture Volkorne; Couronne du Roi Joueur; Cape de Jahash Jurgen; Bottes du Roi Joueur; Dofus Abyssal; Dofus Ocre; Dofus Turquoise; Dofus Nébuleux; Dofus Vulbis; Dofus Pourpre; Cromeugnon</t>
        </is>
      </c>
    </row>
    <row r="22669">
      <c r="A22669" t="inlineStr">
        <is>
          <t>multi</t>
        </is>
      </c>
      <c r="B22669">
        <f>HYPERLINK("https://www.dofusbook.net/fr/equipement/4716922-multi/objets", "link")</f>
        <v/>
      </c>
      <c r="C22669" t="n">
        <v>0</v>
      </c>
      <c r="D22669" t="inlineStr">
        <is>
          <t>Dagues Érhy; Amulette du Strigide; Anneau Volkorne; Bracelet du Piloztère; Bouclier du Captain Amakna; Ceinture du Strigide; Casque Volkorne; Cape au Logis; Bottes du Strigide; Dolmanax; Dofus Ocre; Dofus Nébuleux; Dofus Turquoise; Dofus des Glaces; Dofus Pourpre; Kokulte</t>
        </is>
      </c>
    </row>
    <row r="22670">
      <c r="A22670" t="inlineStr">
        <is>
          <t>ret</t>
        </is>
      </c>
      <c r="B22670">
        <f>HYPERLINK("https://www.dofusbook.net/fr/equipement/191123-ret/objets", "link")</f>
        <v/>
      </c>
      <c r="C22670" t="n">
        <v>1</v>
      </c>
      <c r="D22670" t="inlineStr">
        <is>
          <t>Marteau R'ture; Amulette du Strigide; Bracelet du Piloztère; Chevalière du Roi Joueur; Quatre-feuilles; Ceinture du Strigide; Couronne du Roi Joueur; Cape de Jahash Jurgen; Bottes du Roi Joueur; Dofus Vulbis; Dofus Pourpre; Dofus Ocre; Dofus Turquoise; Dofus Nébuleux; Entraveur majeur; Léopardo</t>
        </is>
      </c>
    </row>
    <row r="22671">
      <c r="A22671" t="inlineStr">
        <is>
          <t>multi</t>
        </is>
      </c>
      <c r="B22671">
        <f>HYPERLINK("https://www.dofusbook.net/fr/equipement/191122-multi/objets", "link")</f>
        <v/>
      </c>
      <c r="C22671" t="n">
        <v>1</v>
      </c>
      <c r="D22671" t="inlineStr">
        <is>
          <t>Arc Volkorne; Amulette du Strigide; Anneau Volkorne; Bracelet du Piloztère; Quatre-feuilles; Ceinture Volkorne; Le Dorado; Cape de Jahash Jurgen; Bottes du Strigide; Dofus Ocre; Dofus des Glaces; Dofus Turquoise; Dofus Nébuleux; Dofus Vulbis; Dofus Pourpre; Kokulte</t>
        </is>
      </c>
    </row>
    <row r="22672">
      <c r="A22672" t="inlineStr">
        <is>
          <t>test</t>
        </is>
      </c>
      <c r="B22672">
        <f>HYPERLINK("https://www.dofusbook.net/fr/equipement/4187802-test/objets", "link")</f>
        <v/>
      </c>
      <c r="C22672" t="n">
        <v>0</v>
      </c>
      <c r="D22672" t="inlineStr">
        <is>
          <t>Crocobur; Amulette Ementaire Deluxe; Alliance Gloursonne; Bague Gloursonne; Droiture de Fallanster; Ceinture de Dame Jhessica; Casque Dragoeuf; Cape au Logis; Bottes de XLII; Dofus Ocre; Dofus Émeraude; Dofus Ivoire; Carapace Terre majeur; Remueur; Carapace Air majeur; Givrefoux</t>
        </is>
      </c>
    </row>
    <row r="22673">
      <c r="A22673" t="inlineStr">
        <is>
          <t>ret air feu</t>
        </is>
      </c>
      <c r="B22673">
        <f>HYPERLINK("https://www.dofusbook.net/fr/equipement/5564875-ret-air-feu/objets", "link")</f>
        <v/>
      </c>
      <c r="C22673" t="n">
        <v>0</v>
      </c>
      <c r="D22673" t="inlineStr">
        <is>
          <t>Baguette Range; Amulette du Strigide; Bracelet du Piloztère; Anneau de Padgref; Quatre-feuilles; Ceinture du Strigide; Coiffe de Padgref; Cape de Jahash Jurgen; Getas de Padgref; Dofus Nébuleux; Dofus Pourpre; Dofus des Glaces; Dofus Ocre; Dofus Turquoise; Entraveur majeur; Léopardo</t>
        </is>
      </c>
    </row>
    <row r="22674">
      <c r="A22674" t="inlineStr">
        <is>
          <t>terre</t>
        </is>
      </c>
      <c r="B22674">
        <f>HYPERLINK("https://www.dofusbook.net/fr/equipement/5561337-terre/objets", "link")</f>
        <v/>
      </c>
      <c r="C22674" t="n">
        <v>4</v>
      </c>
      <c r="D22674" t="inlineStr">
        <is>
          <t>Arc du Chalœil; Amulette du Strigide; Bracelet du Piloztère; Alliance de Missiz Frizz; Quatre-feuilles; Ceinture du Strigide; Casque de Missiz Frizz; Cape au Logis; Bottes du Strigide; Dolmanax; Dofus Ocre; Dofus Nébuleux; Dofus Turquoise; Dofus Pourpre; Forcené majeur; Pioute vert</t>
        </is>
      </c>
    </row>
    <row r="22675">
      <c r="A22675" t="inlineStr">
        <is>
          <t>200</t>
        </is>
      </c>
      <c r="B22675">
        <f>HYPERLINK("https://www.dofusbook.net/fr/equipement/5055025-200/objets", "link")</f>
        <v/>
      </c>
      <c r="C22675" t="n">
        <v>0</v>
      </c>
      <c r="D22675" t="inlineStr">
        <is>
          <t>Crocobur; Amulette du Strigide; Anneau Volkorne; Bracelet du Piloztère; Bouclier du Captain Amakna; Ceinture du Strigide; Casque Volkorne; Cape de Jahash Jurgen; Bottes du Strigide; Dolmanax; Dofus Ocre; Dofus Nébuleux; Dofus Turquoise; Dofus Vulbis; Dofus Pourpre; Kokulte</t>
        </is>
      </c>
    </row>
    <row r="22676">
      <c r="A22676" t="inlineStr">
        <is>
          <t>new</t>
        </is>
      </c>
      <c r="B22676">
        <f>HYPERLINK("https://www.dofusbook.net/fr/equipement/4149572-new-/objets", "link")</f>
        <v/>
      </c>
      <c r="C22676" t="n">
        <v>5</v>
      </c>
      <c r="D22676" t="inlineStr">
        <is>
          <t>Arc Volkorne; Amulette du Strigide; Bracelet du Piloztère; Anneau Volkorne; Quatre-feuilles; Ceinture du Strigide; Casque Volkorne; Cape de Jahash Jurgen; Bottes du Strigide; Dofus Vulbis; Dofus Ocre; Dofus Nébuleux; Dofus Turquoise; Dofus Ébène; Dofus Pourpre; Kokulte</t>
        </is>
      </c>
    </row>
    <row r="22677">
      <c r="A22677" t="inlineStr">
        <is>
          <t>multi</t>
        </is>
      </c>
      <c r="B22677">
        <f>HYPERLINK("https://www.dofusbook.net/fr/equipement/5324611-multi/objets", "link")</f>
        <v/>
      </c>
      <c r="C22677" t="n">
        <v>0</v>
      </c>
      <c r="D22677" t="inlineStr">
        <is>
          <t>Arc Volkorne; Amulette du Strigide; Bracelet du Piloztère; Anneau Volkorne; Quatre-feuilles; Ceinture du Strigide; Casque Volkorne; Cape de Jahash Jurgen; Bottes du Strigide; Dofus Nébuleux; Dofus Turquoise; Dofus des Glaces; Dofus Pourpre; Dolmanax; Dofus Ocre; Kokulte</t>
        </is>
      </c>
    </row>
    <row r="22678">
      <c r="A22678" t="inlineStr">
        <is>
          <t>Steamer M 200</t>
        </is>
      </c>
      <c r="B22678">
        <f>HYPERLINK("https://www.dofusbook.net/fr/equipement/5319616-steamer-m-200/objets", "link")</f>
        <v/>
      </c>
      <c r="C22678" t="n">
        <v>0</v>
      </c>
      <c r="D22678" t="inlineStr">
        <is>
          <t>Arc Volkorne; Amulette du Strigide; Anneau Volkorne; Bracelet du Piloztère; Quatre-feuilles; Ceinture du Strigide; Casque Volkorne; Cape de Jahash Jurgen; Bottes du Strigide; Dolmanax; Dofus Ocre; Dofus Nébuleux; Dofus Turquoise; Dofus des Glaces; Dofus Pourpre; Kokulte</t>
        </is>
      </c>
    </row>
    <row r="22679">
      <c r="A22679" t="inlineStr">
        <is>
          <t>multi do crit</t>
        </is>
      </c>
      <c r="B22679">
        <f>HYPERLINK("https://www.dofusbook.net/fr/equipement/1592079-multi-do-crit/objets", "link")</f>
        <v/>
      </c>
      <c r="C22679" t="n">
        <v>5</v>
      </c>
      <c r="D22679" t="inlineStr">
        <is>
          <t>Arc Volkorne; Amulette du Strigide; Bracelet du Piloztère; Anneau de Padgref; Quatre-feuilles; Ceinture du Strigide; Coiffe de Padgref; Cape de Jahash Jurgen; Getas de Padgref; Dolmanax; Dofus Pourpre; Dofus Vulbis; Dofus Ocre; Dofus Turquoise; Dofus Nébuleux; Kokulte</t>
        </is>
      </c>
    </row>
    <row r="22680">
      <c r="A22680" t="inlineStr">
        <is>
          <t>eau/ret</t>
        </is>
      </c>
      <c r="B22680">
        <f>HYPERLINK("https://www.dofusbook.net/fr/equipement/5176554-eau-ret/objets", "link")</f>
        <v/>
      </c>
      <c r="C22680" t="n">
        <v>0</v>
      </c>
      <c r="D22680" t="inlineStr">
        <is>
          <t>Baguette Hique; Collier de la Dame du Hasard; Anneau Volkorne; Anneau Glacial; Bouclier cubiste; Ceinture Instable; Kidibonnet; Cape de la Dame du Hasard; Bottes du Sinistrofu; Dofus Turquoise; Chanceux majeur; Temporiseur majeur; Remueur; Nomade; Entraveur majeur; Léopardo</t>
        </is>
      </c>
    </row>
    <row r="22681">
      <c r="A22681" t="inlineStr">
        <is>
          <t>ret</t>
        </is>
      </c>
      <c r="B22681">
        <f>HYPERLINK("https://www.dofusbook.net/fr/equipement/4205486-ret/objets", "link")</f>
        <v/>
      </c>
      <c r="C22681" t="n">
        <v>1</v>
      </c>
      <c r="D22681" t="inlineStr">
        <is>
          <t>Baguette Hique; Collier de la Dame du Hasard; Anneau Tamie; Anneau Tamie; Bouclier cubiste; Ceinture Instable; Kidibonnet; Cape de la Dame du Hasard; Bottes du Cul Botté; Temporiseur majeur; Ralentisseur majeur; Entraveur majeur; Nomade; Entraveur; Remueur; Léopardo</t>
        </is>
      </c>
    </row>
    <row r="22682">
      <c r="A22682" t="inlineStr">
        <is>
          <t>eau</t>
        </is>
      </c>
      <c r="B22682">
        <f>HYPERLINK("https://www.dofusbook.net/fr/equipement/5175998-eau/objets", "link")</f>
        <v/>
      </c>
      <c r="C22682" t="n">
        <v>0</v>
      </c>
      <c r="D22682" t="inlineStr">
        <is>
          <t>Dagoulinantes; Amulette de Shokkoth; Anneau Glacial; Anneau Volkorne; Quatre-feuilles; Poulpagne; Kidibonnet; Cape du Sinistrofu; Bottes du Sinistrofu; Dofus Turquoise; Dofus Pourpre; Dofus Nébuleux; Taquin majeur; Chanceux majeur; Nomade; Pioute bleu</t>
        </is>
      </c>
    </row>
    <row r="22683">
      <c r="A22683" t="inlineStr">
        <is>
          <t>songe</t>
        </is>
      </c>
      <c r="B22683">
        <f>HYPERLINK("https://www.dofusbook.net/fr/equipement/5067146-songe/objets", "link")</f>
        <v/>
      </c>
      <c r="C22683" t="n">
        <v>1</v>
      </c>
      <c r="D22683" t="inlineStr">
        <is>
          <t>Dagues Érhy; Amulette du Strigide; Bracelet du Piloztère; Anneau Volkorne; Bouclier du Captain Amakna; Ceinture du Strigide; Casque Volkorne; Cape au Logis; Bottes du Strigide; Dofus Ivoire; Dofus Turquoise; Dofus des Glaces; Dofus Ocre; Dofus Pourpre; Dofus Nébuleux; Kokulte</t>
        </is>
      </c>
    </row>
    <row r="22684">
      <c r="A22684" t="inlineStr">
        <is>
          <t>multi</t>
        </is>
      </c>
      <c r="B22684">
        <f>HYPERLINK("https://www.dofusbook.net/fr/equipement/5067245-multi/objets", "link")</f>
        <v/>
      </c>
      <c r="C22684" t="n">
        <v>3</v>
      </c>
      <c r="D22684" t="inlineStr">
        <is>
          <t>Sabres d'Atcham; Amulette du Strigide; Anneau Volkorne; Anneau de Padgref; Bouclier du Captain Amakna; Ceinture du Strigide; Casque Volkorne; Cape d'Atcham; Bottes du Strigide; Dofus Turquoise; Dofus Nébuleux; Dofus Abyssal; Dofus Pourpre; Dolmanax; Dofus Ocre; Pioute jaune</t>
        </is>
      </c>
    </row>
    <row r="22685">
      <c r="A22685" t="inlineStr">
        <is>
          <t>air feu do crit</t>
        </is>
      </c>
      <c r="B22685">
        <f>HYPERLINK("https://www.dofusbook.net/fr/equipement/5088104-air-feu-do-crit/objets", "link")</f>
        <v/>
      </c>
      <c r="C22685" t="n">
        <v>0</v>
      </c>
      <c r="D22685" t="inlineStr">
        <is>
          <t>Sabres d'Atcham; Amulette du Strigide; Bracelet du Piloztère; Anneau de Padgref; Bouclier du Captain Amakna; Ceinture du Strigide; Coiffe de Padgref; Cape d'Atcham; Getas de Padgref; Dofus Nébuleux; Dofus Turquoise; Dofus des Glaces; Dofus Pourpre; Dolmanax; Dofus Ocre; Pioute jaune</t>
        </is>
      </c>
    </row>
    <row r="22686">
      <c r="A22686" t="inlineStr">
        <is>
          <t>feu soin</t>
        </is>
      </c>
      <c r="B22686">
        <f>HYPERLINK("https://www.dofusbook.net/fr/equipement/4988096-feu-soin/objets", "link")</f>
        <v/>
      </c>
      <c r="C22686" t="n">
        <v>0</v>
      </c>
      <c r="D22686" t="inlineStr">
        <is>
          <t>Arc corrompu; Amulette Volkorne; Anneauræus; Bague Gloursonne; Quatre-feuilles; Ceinture Séculaire; Coiffe Séculaire; Cape de Diondin; Bottes Innommables; Dofus Turquoise; Remueur; Astucieux majeur; Érudit majeur; Guérisseur majeur; Nomade; Bisouglours</t>
        </is>
      </c>
    </row>
    <row r="22687">
      <c r="A22687" t="inlineStr">
        <is>
          <t>test</t>
        </is>
      </c>
      <c r="B22687">
        <f>HYPERLINK("https://www.dofusbook.net/fr/equipement/4166367-test/objets", "link")</f>
        <v/>
      </c>
      <c r="C22687" t="n">
        <v>1</v>
      </c>
      <c r="D22687" t="inlineStr">
        <is>
          <t>Crocobur; Amulette Ementaire Deluxe; Anneau Toriété; Anneau de Pol Ouatnos; Droiture de Fallanster; Ceinture de XLII; Casque Dragoeuf; Voile d'encre; Bottes de XLII; Dofus Ocre; Dofus Émeraude; Dofus Ivoire; Obstructeur majeur; Remueur; Carapace Terre majeur; Givrefoux</t>
        </is>
      </c>
    </row>
    <row r="22688">
      <c r="A22688" t="inlineStr">
        <is>
          <t>ret</t>
        </is>
      </c>
      <c r="B22688">
        <f>HYPERLINK("https://www.dofusbook.net/fr/equipement/1040960-ret/objets", "link")</f>
        <v/>
      </c>
      <c r="C22688" t="n">
        <v>0</v>
      </c>
      <c r="D22688" t="inlineStr">
        <is>
          <t>Arc du Chalœil; Amulette du Strigide; Bracelet du Piloztère; Anneau Volkorne; Quatre-feuilles; Ceinture du Strigide; Casque Volkorne; Cape au Logis; Bottes du Strigide; Dofus Ébène; Dofus Ocre; Dofus Nébuleux; Dofus Turquoise; Dolmanax; Dofus Pourpre; Pioute vert</t>
        </is>
      </c>
    </row>
    <row r="22689">
      <c r="A22689" t="inlineStr">
        <is>
          <t>Multi/pui</t>
        </is>
      </c>
      <c r="B22689">
        <f>HYPERLINK("https://www.dofusbook.net/fr/equipement/191064-multi-pui/objets", "link")</f>
        <v/>
      </c>
      <c r="C22689" t="n">
        <v>2</v>
      </c>
      <c r="D22689" t="inlineStr">
        <is>
          <t>Arc Volkorne; Amulette du Strigide; Anneau Volkorne; Bracelet du Piloztère; Quatre-feuilles; Ceinture du Strigide; Casque Volkorne; Cape de Jahash Jurgen; Bottes du Strigide; Dofus Vulbis; Dofus Ocre; Dofus Turquoise; Dofus Nébuleux; Dofus Ébène; Dofus Pourpre; Kokulte</t>
        </is>
      </c>
    </row>
    <row r="22690">
      <c r="A22690" t="inlineStr">
        <is>
          <t>multi</t>
        </is>
      </c>
      <c r="B22690">
        <f>HYPERLINK("https://www.dofusbook.net/fr/equipement/3935894-multi/objets", "link")</f>
        <v/>
      </c>
      <c r="C22690" t="n">
        <v>0</v>
      </c>
      <c r="D22690" t="inlineStr">
        <is>
          <t>Dagues d'Ilyzaelle; Amulette du Strigide; Anneau Volkorne; Alliance de Missiz Frizz; Bouclier du Captain Amakna; Ceinture Volkorne; Casque de Missiz Frizz; Cape au Logis; Bottes du Strigide; Dolmanax; Dofus Pourpre; Dofus des Glaces; Dofus Ocre; Dofus Nébuleux; Dofus Turquoise; Sakochère</t>
        </is>
      </c>
    </row>
    <row r="22691">
      <c r="A22691" t="inlineStr">
        <is>
          <t>multi sky</t>
        </is>
      </c>
      <c r="B22691">
        <f>HYPERLINK("https://www.dofusbook.net/fr/equipement/4716964-multi-sky/objets", "link")</f>
        <v/>
      </c>
      <c r="C22691" t="n">
        <v>0</v>
      </c>
      <c r="D22691" t="inlineStr">
        <is>
          <t>Dagues Érhy; Amulette du Strigide; Alliance de Missiz Frizz; Bague Gloursonne; Bouclier du Captain Amakna; Ceinture du Strigide; Casque de Missiz Frizz; Cape au Logis; Bottes du Strigide; Dofus Pourpre; Dolmanax; Dofus Turquoise; Dofus des Glaces; Dofus Nébuleux; Dofus Ocre; Chacha Angora</t>
        </is>
      </c>
    </row>
    <row r="22692">
      <c r="A22692" t="inlineStr">
        <is>
          <t>200</t>
        </is>
      </c>
      <c r="B22692">
        <f>HYPERLINK("https://www.dofusbook.net/fr/equipement/4592222-200/objets", "link")</f>
        <v/>
      </c>
      <c r="C22692" t="n">
        <v>44</v>
      </c>
      <c r="D22692" t="inlineStr">
        <is>
          <t>Arc Volkorne; Amulette du Strigide; Bracelet du Piloztère; Anneau Volkorne; Quatre-feuilles; Ceintacé; Casque Volkorne; Cape d'Atcham; Pataugastrique; Dofus Pourpre; Dofus Turquoise; Enragé majeur; Remueur; Vigoureux majeur; Nomade; Muldo Prune et Emeraude</t>
        </is>
      </c>
    </row>
    <row r="22693">
      <c r="A22693" t="inlineStr">
        <is>
          <t>cheat</t>
        </is>
      </c>
      <c r="B22693">
        <f>HYPERLINK("https://www.dofusbook.net/fr/equipement/3847781-cheat/objets", "link")</f>
        <v/>
      </c>
      <c r="C22693" t="n">
        <v>8</v>
      </c>
      <c r="D22693" t="inlineStr">
        <is>
          <t>Arc Volkorne; Amulette du Strigide; Bracelet du Piloztère; Anneau Volkorne; Quatre-feuilles; Ceinture du Strigide; Casque Volkorne; Cape de Jahash Jurgen; Bottes du Strigide; Dofus Vulbis; Dofus Ocre; Dofus Nébuleux; Dofus Turquoise; Dofus Ébène; Dofus Pourpre; Kokulte</t>
        </is>
      </c>
    </row>
    <row r="22694">
      <c r="A22694" t="inlineStr">
        <is>
          <t>multi</t>
        </is>
      </c>
      <c r="B22694">
        <f>HYPERLINK("https://www.dofusbook.net/fr/equipement/3072344-multi/objets", "link")</f>
        <v/>
      </c>
      <c r="C22694" t="n">
        <v>0</v>
      </c>
      <c r="D22694" t="inlineStr">
        <is>
          <t>Arc Volkorne; Amulette du Strigide; Bracelet du Piloztère; Anneau Volkorne; Quatre-feuilles; Ceinture Volkorne; Le Dorado; Cape au Logis; Bottes du Strigide; Dolmanax; Dofus Pourpre; Dofus des Glaces; Dofus Ocre; Dofus Turquoise; Dofus Nébuleux; Kokulte</t>
        </is>
      </c>
    </row>
    <row r="22695">
      <c r="A22695" t="inlineStr">
        <is>
          <t>new</t>
        </is>
      </c>
      <c r="B22695">
        <f>HYPERLINK("https://www.dofusbook.net/fr/equipement/4205363-new/objets", "link")</f>
        <v/>
      </c>
      <c r="C22695" t="n">
        <v>15</v>
      </c>
      <c r="D22695" t="inlineStr">
        <is>
          <t>Baguette Hique; Collier de la Dame du Hasard; Lavanneau; Alliance Gloursonne; Quatre-feuilles; Ceinture Instable; Capuche de l'Œil Putride; Cape de la Dame du Hasard; Pataugastrique; Nomade; Entraveur majeur; Temporiseur; Temporiseur majeur; Ralentisseur majeur; Remueur; Léopardo</t>
        </is>
      </c>
    </row>
    <row r="22696">
      <c r="A22696" t="inlineStr">
        <is>
          <t>new do crit</t>
        </is>
      </c>
      <c r="B22696">
        <f>HYPERLINK("https://www.dofusbook.net/fr/equipement/4149596-new-do-crit/objets", "link")</f>
        <v/>
      </c>
      <c r="C22696" t="n">
        <v>0</v>
      </c>
      <c r="D22696" t="inlineStr">
        <is>
          <t>Arc Volkorne; Amulette du Strigide; Anneau de Padgref; Bracelet du Piloztère; Quatre-feuilles; Ceinture du Strigide; Coiffe de Padgref; Cape de Jahash Jurgen; Getas de Padgref; Dofus Vulbis; Dofus Ocre; Dofus Turquoise; Dofus Nébuleux; Dolmanax; Dofus Pourpre; Kokulte</t>
        </is>
      </c>
    </row>
    <row r="22697">
      <c r="A22697" t="inlineStr">
        <is>
          <t>full air</t>
        </is>
      </c>
      <c r="B22697">
        <f>HYPERLINK("https://www.dofusbook.net/fr/equipement/3610670-full-air/objets", "link")</f>
        <v/>
      </c>
      <c r="C22697" t="n">
        <v>2</v>
      </c>
      <c r="D22697" t="inlineStr">
        <is>
          <t>Manthache; Amulette du Granduk; Alliance Gloursonne; Anneau de Padgref; Quatre-feuilles; Menoture; Coiffe de Padgref; Cape Indescriptible; Palmes Trithons; Dofus Turquoise; Dofus Pourpre; Dofus Nébuleux; Cascadeur majeur; Nomade; Remueur; Blérodoudou</t>
        </is>
      </c>
    </row>
    <row r="22698">
      <c r="A22698" t="inlineStr">
        <is>
          <t>eau/feu/ret</t>
        </is>
      </c>
      <c r="B22698">
        <f>HYPERLINK("https://www.dofusbook.net/fr/equipement/3793968-eau-feu-ret/objets", "link")</f>
        <v/>
      </c>
      <c r="C22698" t="n">
        <v>2</v>
      </c>
      <c r="D22698" t="inlineStr">
        <is>
          <t>Baguette Hique; Collier de la Dame du Hasard; Alliance Gloursonne; Alliance de Missiz Frizz; Quatre-feuilles; Ceinture Instable; Casquette de Meno; Cape de la Dame du Hasard; Pataugastrique; Ralentisseur majeur; Remueur; Nomade; Entraveur majeur; Temporiseur; Temporiseur majeur; Léopardo</t>
        </is>
      </c>
    </row>
    <row r="22699">
      <c r="A22699" t="inlineStr">
        <is>
          <t>multi</t>
        </is>
      </c>
      <c r="B22699">
        <f>HYPERLINK("https://www.dofusbook.net/fr/equipement/4073274-multi/objets", "link")</f>
        <v/>
      </c>
      <c r="C22699" t="n">
        <v>1</v>
      </c>
      <c r="D22699" t="inlineStr">
        <is>
          <t>Sabres d'Atcham; Amulette du Strigide; Anneau de Padgref; Bracelet du Piloztère; Quatre-feuilles; Ceinture du Strigide; Coiffe de Padgref; Cape d'Atcham; Bottes du Strigide; Dofus des Glaces; Dofus Ocre; Dofus Nébuleux; Dofus Pourpre; Dolmanax; Dofus Turquoise; Chacha Angora</t>
        </is>
      </c>
    </row>
    <row r="22700">
      <c r="A22700" t="inlineStr">
        <is>
          <t>air</t>
        </is>
      </c>
      <c r="B22700">
        <f>HYPERLINK("https://www.dofusbook.net/fr/equipement/2869193-air/objets", "link")</f>
        <v/>
      </c>
      <c r="C22700" t="n">
        <v>1</v>
      </c>
      <c r="D22700" t="inlineStr">
        <is>
          <t>Manthache; Collier du Valet Veinard; Alliance Gloursonne; Gant du Valet Veinard; Quatre-feuilles; Menoture; Couronne d'Allister; Cape Indescriptible; Palmes Trithons; Dofus des Glaces; Dévastateur Air majeur; Cascadeur majeur; Nomade; Miraculé majeur; Remueur; Blérodoudou</t>
        </is>
      </c>
    </row>
    <row r="22701">
      <c r="A22701" t="inlineStr">
        <is>
          <t>multi</t>
        </is>
      </c>
      <c r="B22701">
        <f>HYPERLINK("https://www.dofusbook.net/fr/equipement/3939876-multi/objets", "link")</f>
        <v/>
      </c>
      <c r="C22701" t="n">
        <v>1</v>
      </c>
      <c r="D22701" t="inlineStr">
        <is>
          <t>Sabres d'Atcham; Amulette du Strigide; Bracelet du Piloztère; Anneau Volkorne; Quatre-feuilles; Ceinture du Strigide; Casque Volkorne; Cape d'Atcham; Bottes du Strigide; Dofus Nébuleux; Dofus Turquoise; Dofus des Glaces; Dolmanax; Dofus Pourpre; Dofus Ocre; Chacha Angora</t>
        </is>
      </c>
    </row>
    <row r="22702">
      <c r="A22702" t="inlineStr">
        <is>
          <t>terre/res/tacle</t>
        </is>
      </c>
      <c r="B22702">
        <f>HYPERLINK("https://www.dofusbook.net/fr/equipement/4002223-terre-res-tacle/objets", "link")</f>
        <v/>
      </c>
      <c r="C22702" t="n">
        <v>3</v>
      </c>
      <c r="D22702" t="inlineStr">
        <is>
          <t>Bêche Asse; Amulette Ementaire Deluxe; Alliance Gloursonne; Anneau Crustique; Bouclier précieux; Ceinture de XLII; Casque Dragoeuf; Cape au Logis; Bottes de XLII; Dofus Ocre; Dofus Émeraude; Bloqueur majeur; Miraculé majeur; Obstructeur majeur; Remueur; Givrefoux</t>
        </is>
      </c>
    </row>
    <row r="22703">
      <c r="A22703" t="inlineStr">
        <is>
          <t>feu</t>
        </is>
      </c>
      <c r="B22703">
        <f>HYPERLINK("https://www.dofusbook.net/fr/equipement/1673101-feu/objets", "link")</f>
        <v/>
      </c>
      <c r="C22703" t="n">
        <v>0</v>
      </c>
      <c r="D22703" t="inlineStr">
        <is>
          <t>Arc Hétype; Pendentif affamé; Anneau Tamie; Anneau Tamie; Quatre-feuilles; Ceinture Séculaire; Coiffe Séculaire; Cape de Diondin; Bottes Innommables; Dofus des Glaces; Dévastateur Feu majeur; Nomade; Remueur; Astucieux majeur; Érudit majeur; Bisouglours</t>
        </is>
      </c>
    </row>
    <row r="22704">
      <c r="A22704" t="inlineStr">
        <is>
          <t>oussa</t>
        </is>
      </c>
      <c r="B22704">
        <f>HYPERLINK("https://www.dofusbook.net/fr/equipement/4022653-oussa/objets", "link")</f>
        <v/>
      </c>
      <c r="C22704" t="n">
        <v>6</v>
      </c>
      <c r="D22704" t="inlineStr">
        <is>
          <t>Arc du Chalœil; Amulette du Strigide; Anneau Crustique; Anneau Crustique; Bouclier du Captain Amakna; Ceinture Volkorne; Masque de Koutoulou; Cape au Logis; Bottes du Strigide; Dofus Pourpre; Dofus Turquoise; Forcené majeur; Vigoureux majeur; Remueur; Enragé majeur; Pioute vert</t>
        </is>
      </c>
    </row>
    <row r="22705">
      <c r="A22705" t="inlineStr">
        <is>
          <t>Eca DWS</t>
        </is>
      </c>
      <c r="B22705">
        <f>HYPERLINK("https://www.dofusbook.net/fr/equipement/4005710-eca-dws/objets", "link")</f>
        <v/>
      </c>
      <c r="C22705" t="n">
        <v>0</v>
      </c>
      <c r="D22705" t="inlineStr">
        <is>
          <t>Hache du Chalœil; Amulette du Strigide; Anneau Volkorne; Anneau de Pol Ouatnos; Bouclier du Stalak; Ceinture Volkorne; Le Dorado; Voile d'encre; Bottes du Strigide; Dofus Pourpre; Dofus des Glaces; Dolmanax; Dofus Ocre; Dofus Turquoise; Dofus Nébuleux; Chacha Angora</t>
        </is>
      </c>
    </row>
    <row r="22706">
      <c r="A22706" t="inlineStr">
        <is>
          <t>terre/ret/tacle</t>
        </is>
      </c>
      <c r="B22706">
        <f>HYPERLINK("https://www.dofusbook.net/fr/equipement/3831004-terre-ret-tacle/objets", "link")</f>
        <v/>
      </c>
      <c r="C22706" t="n">
        <v>1</v>
      </c>
      <c r="D22706" t="inlineStr">
        <is>
          <t>Lav'Hache; Collier de Tourthon; Anneau Chevelu; Anneau Crustique; Bouclier alvéolé; Ceintouse; Masque de Koutoulou; Cape au Logis; Tentassons; Dofus Émeraude; Dofus Ivoire; Dofus Ocre; Carapace Terre majeur; Enragé majeur; Étourdisseur majeur; Drakopin</t>
        </is>
      </c>
    </row>
    <row r="22707">
      <c r="A22707" t="inlineStr">
        <is>
          <t>pvp</t>
        </is>
      </c>
      <c r="B22707">
        <f>HYPERLINK("https://www.dofusbook.net/fr/equipement/3835993-pvp/objets", "link")</f>
        <v/>
      </c>
      <c r="C22707" t="n">
        <v>3</v>
      </c>
      <c r="D22707" t="inlineStr">
        <is>
          <t>Hache du Chalœil; Amulette Ementaire Deluxe; Anneau de Pol Ouatnos; Bague Trithon; Quatre-feuilles; Ceinture de Gein; Masque de l'Esprit Salvateur; Voile d'encre; Bottes Trithon; Dolmanax; Dofus Pourpre; Dofus Ocre; Dofus Nébuleux; Dofus Ivoire; Remueur; Chacha Angora</t>
        </is>
      </c>
    </row>
    <row r="22708">
      <c r="A22708" t="inlineStr">
        <is>
          <t>ret pa/ret pm/tacle</t>
        </is>
      </c>
      <c r="B22708">
        <f>HYPERLINK("https://www.dofusbook.net/fr/equipement/2160529-ret-pa-ret-pm-tacle/objets", "link")</f>
        <v/>
      </c>
      <c r="C22708" t="n">
        <v>2</v>
      </c>
      <c r="D22708" t="inlineStr">
        <is>
          <t>Dagoulinantes; Talisman Glouti; Anneau de Pol Ouatnos; Anneau Crustique; Sept ans de malheur; Ceinture Instable; Casque Dragoeuf; Voile d'encre; Pataugastrique; Dofus Ivoire; Carapace Eau majeur; Temporiseur majeur; Remueur; Temporiseur; Obstructeur majeur; Drakopin</t>
        </is>
      </c>
    </row>
    <row r="22709">
      <c r="A22709" t="inlineStr">
        <is>
          <t>eau pvp</t>
        </is>
      </c>
      <c r="B22709">
        <f>HYPERLINK("https://www.dofusbook.net/fr/equipement/3891955-eau-pvp/objets", "link")</f>
        <v/>
      </c>
      <c r="C22709" t="n">
        <v>0</v>
      </c>
      <c r="D22709" t="inlineStr">
        <is>
          <t>Sceptre du Roi Joueur; Amulette de Shokkoth; Bracelet des Fonds marins; Alliance Gloursonne; Bouclier du Stalak; Poulpagne; Casque Dragoeuf; Cape du Sinistrofu; Bottes du Sinistrofu; Dofus Ivoire; Dofus Pourpre; Dolmanax; Dofus Ocre; Carapace Eau majeur; Chanceux majeur; Muldo Ebène et Indigo</t>
        </is>
      </c>
    </row>
    <row r="22710">
      <c r="A22710" t="inlineStr">
        <is>
          <t>air</t>
        </is>
      </c>
      <c r="B22710">
        <f>HYPERLINK("https://www.dofusbook.net/fr/equipement/3185006-air/objets", "link")</f>
        <v/>
      </c>
      <c r="C22710" t="n">
        <v>1</v>
      </c>
      <c r="D22710" t="inlineStr">
        <is>
          <t>Manthache; Collier du Valet Veinard; Alliance Gloursonne; Gant du Valet Veinard; Quatre-feuilles; Menoture; Couronne d'Allister; Cape Indescriptible; Palmes Trithons; Dofus des Glaces; Equilibriste majeur; Nomade; Remueur; Dévastateur Air majeur; Cascadeur majeur; Siroko</t>
        </is>
      </c>
    </row>
    <row r="22711">
      <c r="A22711" t="inlineStr">
        <is>
          <t>terre</t>
        </is>
      </c>
      <c r="B22711">
        <f>HYPERLINK("https://www.dofusbook.net/fr/equipement/2159110-terre/objets", "link")</f>
        <v/>
      </c>
      <c r="C22711" t="n">
        <v>0</v>
      </c>
      <c r="D22711" t="inlineStr">
        <is>
          <t>Arc du Chalœil; Amulette du Strigide; Alliance de Missiz Frizz; Bracelet du Piloztère; Quatre-feuilles; Ceinture du Strigide; Casque de Missiz Frizz; Cape au Logis; Bottes du Strigide; Dofus Turquoise; Dofus Nébuleux; Dolmanax; Dofus Ocre; Dofus Pourpre; Forcené majeur; Kompost</t>
        </is>
      </c>
    </row>
    <row r="22712">
      <c r="A22712" t="inlineStr">
        <is>
          <t>air/feu/crit</t>
        </is>
      </c>
      <c r="B22712">
        <f>HYPERLINK("https://www.dofusbook.net/fr/equipement/191115-air-feu-crit/objets", "link")</f>
        <v/>
      </c>
      <c r="C22712" t="n">
        <v>1</v>
      </c>
      <c r="D22712" t="inlineStr">
        <is>
          <t>Sabres d'Atcham; Amulette du Strigide; Anneau de Padgref; Bracelet du Piloztère; Quatre-feuilles; Ceinture du Strigide; Coiffe de Padgref; Cape d'Atcham; Getas de Padgref; Dofus Turquoise; Dofus Nébuleux; Dolmanax; Dofus Pourpre; Dofus Ocre; Dofus des Glaces; Muldo Prune et Emeraude</t>
        </is>
      </c>
    </row>
    <row r="22713">
      <c r="A22713" t="inlineStr">
        <is>
          <t>multi</t>
        </is>
      </c>
      <c r="B22713">
        <f>HYPERLINK("https://www.dofusbook.net/fr/equipement/191113-multi/objets", "link")</f>
        <v/>
      </c>
      <c r="C22713" t="n">
        <v>0</v>
      </c>
      <c r="D22713" t="inlineStr">
        <is>
          <t>Sabres d'Atcham; Amulette du Strigide; Bracelet du Piloztère; Alliance de Missiz Frizz; Quatre-feuilles; Ceinture du Strigide; Casque de Missiz Frizz; Cape d'Atcham; Bottes du Strigide; Dofus des Glaces; Dofus Pourpre; Dofus Nébuleux; Dofus Ocre; Dofus Turquoise; Dolmanax; Muldo Prune et Emeraude</t>
        </is>
      </c>
    </row>
    <row r="22714">
      <c r="A22714" t="inlineStr">
        <is>
          <t>feu/air/crit</t>
        </is>
      </c>
      <c r="B22714">
        <f>HYPERLINK("https://www.dofusbook.net/fr/equipement/1078405-feu-air-crit/objets", "link")</f>
        <v/>
      </c>
      <c r="C22714" t="n">
        <v>1</v>
      </c>
      <c r="D22714" t="inlineStr">
        <is>
          <t>Sabres d'Atcham; Amulette du Strigide; Bracelet du Piloztère; Anneau de Padgref; Quatre-feuilles; Ceinture du Strigide; Coiffe de Padgref; Cape d'Atcham; Getas de Padgref; Dolmanax; Dofus Pourpre; Dofus des Glaces; Dofus Ocre; Dofus Turquoise; Dofus Nébuleux; Muldo Prune et Emeraude</t>
        </is>
      </c>
    </row>
    <row r="22715">
      <c r="A22715" t="inlineStr">
        <is>
          <t>air valet</t>
        </is>
      </c>
      <c r="B22715">
        <f>HYPERLINK("https://www.dofusbook.net/fr/equipement/191085-air-valet/objets", "link")</f>
        <v/>
      </c>
      <c r="C22715" t="n">
        <v>2</v>
      </c>
      <c r="D22715" t="inlineStr">
        <is>
          <t>Manthache; Collier du Valet Veinard; Alliance Gloursonne; Gant du Valet Veinard; Quatre-feuilles; Menoture; Couronne d'Allister; Cape Indescriptible; Palmes Trithons; Dofus Pourpre; Dofus Turquoise; Remueur; Vigoureux majeur; Nomade; Cascadeur majeur; Siroko</t>
        </is>
      </c>
    </row>
    <row r="22716">
      <c r="A22716" t="inlineStr">
        <is>
          <t>eau/air</t>
        </is>
      </c>
      <c r="B22716">
        <f>HYPERLINK("https://www.dofusbook.net/fr/equipement/3610686-eau-air/objets", "link")</f>
        <v/>
      </c>
      <c r="C22716" t="n">
        <v>1</v>
      </c>
      <c r="D22716" t="inlineStr">
        <is>
          <t>Arc de Koutoulou; Amulette du Strigide; Bracelet du Piloztère; Anneau de Padgref; Quatre-feuilles; Ceinture du Strigide; Coiffe de Padgref; Cape d'Atcham; Getas de Padgref; Dofus Pourpre; Dofus Turquoise; Dofus Nébuleux; Dofus Ocre; Dofus des Glaces; Dolmanax; Muldo Prune et Emeraude</t>
        </is>
      </c>
    </row>
    <row r="22717">
      <c r="A22717" t="inlineStr">
        <is>
          <t>agi/pvp</t>
        </is>
      </c>
      <c r="B22717">
        <f>HYPERLINK("https://www.dofusbook.net/fr/equipement/3820174-agi-pvp/objets", "link")</f>
        <v/>
      </c>
      <c r="C22717" t="n">
        <v>1</v>
      </c>
      <c r="D22717" t="inlineStr">
        <is>
          <t>Pelle de la Cour Sombre; Collier du Valet Veinard; Gant du Valet Veinard; Alliance Gloursonne; Bouclier du Stalak; Menoture; Dorabysses; Voile d'encre; Palmes Trithons; Dolmanax; Dofus Pourpre; Dofus Ivoire; Dofus Ocre; Dofus Turquoise; Nomade; Bwak d'Air</t>
        </is>
      </c>
    </row>
    <row r="22718">
      <c r="A22718" t="inlineStr">
        <is>
          <t>multi do crit</t>
        </is>
      </c>
      <c r="B22718">
        <f>HYPERLINK("https://www.dofusbook.net/fr/equipement/3048737-multi-do-crit/objets", "link")</f>
        <v/>
      </c>
      <c r="C22718" t="n">
        <v>0</v>
      </c>
      <c r="D22718" t="inlineStr">
        <is>
          <t>Sabres d'Atcham; Amulette du Strigide; Anneau de Padgref; Bracelet du Piloztère; Quatre-feuilles; Ceinture du Strigide; Coiffe de Padgref; Cape d'Atcham; Getas de Padgref; Dolmanax; Dofus Ocre; Dofus Nébuleux; Dofus Pourpre; Dofus des Glaces; Dofus Turquoise; Kokulte</t>
        </is>
      </c>
    </row>
    <row r="22719">
      <c r="A22719" t="inlineStr">
        <is>
          <t>multi do crit</t>
        </is>
      </c>
      <c r="B22719">
        <f>HYPERLINK("https://www.dofusbook.net/fr/equipement/3072337-multi-do-crit/objets", "link")</f>
        <v/>
      </c>
      <c r="C22719" t="n">
        <v>0</v>
      </c>
      <c r="D22719" t="inlineStr">
        <is>
          <t>Sabres d'Atcham; Amulette du Strigide; Anneau de Padgref; Bracelet du Piloztère; Quatre-feuilles; Ceinture du Strigide; Coiffe de Padgref; Cape d'Atcham; Getas de Padgref; Dofus Turquoise; Dofus Nébuleux; Dolmanax; Dofus Pourpre; Dofus Abyssal; Dofus Ocre; Muldo Prune et Emeraude</t>
        </is>
      </c>
    </row>
    <row r="22720">
      <c r="A22720" t="inlineStr">
        <is>
          <t>air</t>
        </is>
      </c>
      <c r="B22720">
        <f>HYPERLINK("https://www.dofusbook.net/fr/equipement/3185031-air/objets", "link")</f>
        <v/>
      </c>
      <c r="C22720" t="n">
        <v>0</v>
      </c>
      <c r="D22720" t="inlineStr">
        <is>
          <t>Manthache; Collier du Valet Veinard; Gant du Valet Veinard; Alliance Gloursonne; Quatre-feuilles; Menoture; Couronne d'Allister; Cape Indescriptible; Palmes Trithons; Dofus Émeraude; Dofus Pourpre; Miraculé majeur; Remueur; Cascadeur majeur; Nomade; Siroko</t>
        </is>
      </c>
    </row>
    <row r="22721">
      <c r="A22721" t="inlineStr">
        <is>
          <t>feu/air/crit</t>
        </is>
      </c>
      <c r="B22721">
        <f>HYPERLINK("https://www.dofusbook.net/fr/equipement/3072367-feu-air-crit/objets", "link")</f>
        <v/>
      </c>
      <c r="C22721" t="n">
        <v>0</v>
      </c>
      <c r="D22721" t="inlineStr">
        <is>
          <t>Sabres d'Atcham; Amulette du Strigide; Bracelet du Piloztère; Anneau de Padgref; Quatre-feuilles; Ceinture du Strigide; Coiffe de Padgref; Cape d'Atcham; Getas de Padgref; Dolmanax; Dofus Pourpre; Dofus des Glaces; Dofus Ocre; Dofus Turquoise; Dofus Nébuleux; Muldo Prune et Emeraude</t>
        </is>
      </c>
    </row>
    <row r="22722">
      <c r="A22722" t="inlineStr">
        <is>
          <t>Sacrieur M 200</t>
        </is>
      </c>
      <c r="B22722">
        <f>HYPERLINK("https://www.dofusbook.net/fr/equipement/6011309-sacrieur-m-200/objets", "link")</f>
        <v/>
      </c>
      <c r="C22722" t="n">
        <v>0</v>
      </c>
      <c r="D22722" t="inlineStr"/>
    </row>
    <row r="22723">
      <c r="A22723" t="inlineStr">
        <is>
          <t>Iop M 200</t>
        </is>
      </c>
      <c r="B22723">
        <f>HYPERLINK("https://www.dofusbook.net/fr/equipement/5995353-iop-m-200/objets", "link")</f>
        <v/>
      </c>
      <c r="C22723" t="n">
        <v>0</v>
      </c>
      <c r="D22723" t="inlineStr">
        <is>
          <t>Arc du Chalœil; Amulette du Strigide; Anneau Volkorne; Bague Gloursonne; Quatre-feuilles; Ceinture Volkorne; Masque de Koutoulou; Cape au Logis; Bottes du Strigide; Dofus Ébène; Dofus Ivoire; Dofus Nébuleux; Dofus Ocre; Dofus Turquoise; Dofus Abyssal; Dragodinde Emeraude et Pourpre</t>
        </is>
      </c>
    </row>
    <row r="22724">
      <c r="A22724" t="inlineStr">
        <is>
          <t>Sacrieur M 200</t>
        </is>
      </c>
      <c r="B22724">
        <f>HYPERLINK("https://www.dofusbook.net/fr/equipement/5717501-sacrieur-m-200/objets", "link")</f>
        <v/>
      </c>
      <c r="C22724" t="n">
        <v>3</v>
      </c>
      <c r="D22724" t="inlineStr">
        <is>
          <t>Rapière aux Glyphes; Amulette d'Ilyzaelle; Alliance Gloursonne; Anneau Volkorne; Bouclier d'Ilyzaelle; Ceinture Glaciale; Casque d'Ilyzaelle; Cape du Sinistrofu; Bottes du Sinistrofu; Dofus Ivoire; Dofus Abyssal; Dofus Émeraude; Dofus Vulbis; Dofus Ébène; Dofus Ocre; Volkorne Améthyste</t>
        </is>
      </c>
    </row>
    <row r="22725">
      <c r="A22725" t="inlineStr">
        <is>
          <t>Pandawa M 200</t>
        </is>
      </c>
      <c r="B22725">
        <f>HYPERLINK("https://www.dofusbook.net/fr/equipement/5523523-pandawa-m-200/objets", "link")</f>
        <v/>
      </c>
      <c r="C22725" t="n">
        <v>0</v>
      </c>
      <c r="D22725" t="inlineStr">
        <is>
          <t>Sceptre du Roi Joueur; Amulette de Shokkoth; Anneau Volkorne; Alliance Gloursonne; Bouclier du Stalak; Poulpagne; Masque des Fonds marins; Cape du Sinistrofu; Bottes du Sinistrofu; Dofus Ivoire; Dofus Abyssal; Dofus Vulbis; Dofus Ébène; Dofus Ocre; Kanigloups</t>
        </is>
      </c>
    </row>
    <row r="22726">
      <c r="A22726" t="inlineStr">
        <is>
          <t>Pandawa M 200</t>
        </is>
      </c>
      <c r="B22726">
        <f>HYPERLINK("https://www.dofusbook.net/fr/equipement/5523400-pandawa-m-200/objets", "link")</f>
        <v/>
      </c>
      <c r="C22726" t="n">
        <v>1</v>
      </c>
      <c r="D22726" t="inlineStr">
        <is>
          <t>Sceptre du Roi Joueur; Amulette de Shokkoth; Anneau Volkorne; Alliance Gloursonne; Quatre-feuilles; Ceinture Voldelor; Capuche de l'Œil Attentif; Cape de l'Œil Attentif; Pataugastrique; Dofus Abyssal; Dofus Ocre; Dofus Turquoise; Dofus Ébène; Dofus Vulbis; Dofus Ivoire; Pioute bleu</t>
        </is>
      </c>
    </row>
    <row r="22727">
      <c r="A22727" t="inlineStr">
        <is>
          <t>Sacrieur M 200</t>
        </is>
      </c>
      <c r="B22727">
        <f>HYPERLINK("https://www.dofusbook.net/fr/equipement/5481291-sacrieur-m-200/objets", "link")</f>
        <v/>
      </c>
      <c r="C22727" t="n">
        <v>1</v>
      </c>
      <c r="D22727" t="inlineStr">
        <is>
          <t>Pelle de la Cour Sombre; Collier du Valet Veinard; Gant du Valet Veinard; Alliance Gloursonne; Bouclier d'Ilyzaelle; Menoture; Dofus Émeraude; Dofus Ivoire; Dofus Nébuleux; Dofus Abyssal; Dofus Ébène; Dofus Vulbis; Dragodinde Amande et Ebène</t>
        </is>
      </c>
    </row>
    <row r="22728">
      <c r="A22728" t="inlineStr">
        <is>
          <t>Sacrieur M 200</t>
        </is>
      </c>
      <c r="B22728">
        <f>HYPERLINK("https://www.dofusbook.net/fr/equipement/5474499-sacrieur-m-200/objets", "link")</f>
        <v/>
      </c>
      <c r="C22728" t="n">
        <v>1</v>
      </c>
      <c r="D22728" t="inlineStr">
        <is>
          <t>Plume de Buhorado; Collier du Valet Veinard; Alliance Gloursonne; Gant du Valet Veinard; Bouclier d'Ilyzaelle; Menoture; Casque Dragoeuf; Cape Indescriptible; Palmes Trithons; Dofus Abyssal; Dofus Ocre; Dofus Argenté; Dofus Ébène; Dofus Émeraude; Dofus Ivoire; Dragodinde Ebène et Ivoire</t>
        </is>
      </c>
    </row>
    <row r="22729">
      <c r="A22729" t="inlineStr">
        <is>
          <t>Sacrieur M 200</t>
        </is>
      </c>
      <c r="B22729">
        <f>HYPERLINK("https://www.dofusbook.net/fr/equipement/5414396-sacrieur-m-200/objets", "link")</f>
        <v/>
      </c>
      <c r="C22729" t="n">
        <v>2</v>
      </c>
      <c r="D22729" t="inlineStr">
        <is>
          <t>Rapière aux Glyphes; Amulette de Shokkoth; Bracelet des Fonds marins; Alliance Gloursonne; Bouclier d'Ilyzaelle; Ceinture Glaciale; Cape Solution; Sandales des Fonds marins; Dofus Abyssal; Dofus Pourpre; Dofus Ébène; Dofus Argenté; Dofus Ivoire; Dragodinde Amande et Indigo</t>
        </is>
      </c>
    </row>
    <row r="22730">
      <c r="A22730" t="inlineStr">
        <is>
          <t>Sacrieur M 200</t>
        </is>
      </c>
      <c r="B22730">
        <f>HYPERLINK("https://www.dofusbook.net/fr/equipement/5324150-sacrieur-m-200/objets", "link")</f>
        <v/>
      </c>
      <c r="C22730" t="n">
        <v>0</v>
      </c>
      <c r="D22730" t="inlineStr">
        <is>
          <t>Rapière aux Glyphes; Amulette de Shokkoth; Anneau Volkorne; Alliance Gloursonne; Bouclier d'Ilyzaelle; Poulpagne; Masque des Fonds marins; Cape du Sinistrofu; Bottes du Sinistrofu; Dofus Vulbis; Dofus Ivoire; Dofus Abyssal; Dofus Ocre; Dofus Argenté; Dofus Ébène; Dragodinde Amande et Ivoire</t>
        </is>
      </c>
    </row>
    <row r="22731">
      <c r="A22731" t="inlineStr">
        <is>
          <t>Sacrieur M 200</t>
        </is>
      </c>
      <c r="B22731">
        <f>HYPERLINK("https://www.dofusbook.net/fr/equipement/5414035-sacrieur-m-200/objets", "link")</f>
        <v/>
      </c>
      <c r="C22731" t="n">
        <v>3</v>
      </c>
      <c r="D22731" t="inlineStr">
        <is>
          <t>Rapière aux Glyphes; Amulette de l'Œil Attentif; Alliance Gloursonne; Bracelet des Fonds marins; Bouclier d'Ilyzaelle; Sangle Ouare; Masque des Fonds marins; Cape de l'Œil Attentif; Sandales des Fonds marins; Dofus Ébène; Dofus Ocre; Dofus Argenté; Dofus Ivoire; Dofus Abyssal; Dofus Pourpre; Dragodinde Amande et Ivoire</t>
        </is>
      </c>
    </row>
    <row r="22732">
      <c r="A22732" t="inlineStr">
        <is>
          <t>Sacrieur M 200</t>
        </is>
      </c>
      <c r="B22732">
        <f>HYPERLINK("https://www.dofusbook.net/fr/equipement/5414015-sacrieur-m-200/objets", "link")</f>
        <v/>
      </c>
      <c r="C22732" t="n">
        <v>1</v>
      </c>
      <c r="D22732" t="inlineStr">
        <is>
          <t>Rapière aux Glyphes; Amulette de l'Œil Attentif; Bracelet des Fonds marins; Anneau Volkorne; Bouclier d'Ilyzaelle; Ceinture Volkorne; Masque des Fonds marins; Cape de l'Œil Attentif; Sandales des Fonds marins; Dofus Abyssal; Dofus Vulbis; Dofus Ébène; Dofus Ocre; Dofus Argenté; Dofus Ivoire; Dragodinde Amande et Ivoire</t>
        </is>
      </c>
    </row>
    <row r="22733">
      <c r="A22733" t="inlineStr">
        <is>
          <t>Sacrieur M 200</t>
        </is>
      </c>
      <c r="B22733">
        <f>HYPERLINK("https://www.dofusbook.net/fr/equipement/5450265-sacrieur-m-200/objets", "link")</f>
        <v/>
      </c>
      <c r="C22733" t="n">
        <v>0</v>
      </c>
      <c r="D22733" t="inlineStr">
        <is>
          <t>Dagoulinantes; Amulette de Shokkoth; Anneau Volkorne; Alliance Gloursonne; Bouclier d'Ilyzaelle; Poulpagne; Casque d'Ilyzaelle; Cape du Sinistrofu; Bottes du Sinistrofu; Dofus Argenté; Dofus Ivoire; Dofus Abyssal; Dofus Vulbis; Dofus Ébène; Dofus Ocre; La Chose</t>
        </is>
      </c>
    </row>
    <row r="22734">
      <c r="A22734" t="inlineStr">
        <is>
          <t>Iop M 200</t>
        </is>
      </c>
      <c r="B22734">
        <f>HYPERLINK("https://www.dofusbook.net/fr/equipement/5428351-iop-m-200/objets", "link")</f>
        <v/>
      </c>
      <c r="C22734" t="n">
        <v>0</v>
      </c>
      <c r="D22734" t="inlineStr">
        <is>
          <t>Épée du Granduk; Amulette du Granduk; Alliance Gloursonne; Anneau Tamie; Droiture de Fallanster; Menoture; Couronne d'Allister; Cape de Mantaze; Pataugastrique; Dofus Vulbis; Obstructeur; Tacleur majeur; Obstructeur majeur; Cascadeur majeur; Bloqueur majeur; Blokus</t>
        </is>
      </c>
    </row>
    <row r="22735">
      <c r="A22735" t="inlineStr">
        <is>
          <t>Sacrieur M 200</t>
        </is>
      </c>
      <c r="B22735">
        <f>HYPERLINK("https://www.dofusbook.net/fr/equipement/5379035-sacrieur-m-200/objets", "link")</f>
        <v/>
      </c>
      <c r="C22735" t="n">
        <v>11</v>
      </c>
      <c r="D22735" t="inlineStr">
        <is>
          <t>Héqache; Amulette du Strigide; Bague Trithon; Bague Gloursonne; Bouclier du Captain Amakna; Ceinture du Strigide; Corne de Torkélonia; Carapace de Torkélonia; Bottes Trithon; Dofus Ébène; Dofus Ocre; Dofus Vulbis; Dofus Ivoire; Dofus Abyssal; Dofus Turquoise; Kokulte</t>
        </is>
      </c>
    </row>
    <row r="22736">
      <c r="A22736" t="inlineStr">
        <is>
          <t>Sacrieur M 200</t>
        </is>
      </c>
      <c r="B22736">
        <f>HYPERLINK("https://www.dofusbook.net/fr/equipement/5419918-sacrieur-m-200/objets", "link")</f>
        <v/>
      </c>
      <c r="C22736" t="n">
        <v>0</v>
      </c>
      <c r="D22736" t="inlineStr">
        <is>
          <t>Manthache; Collier du Valet Veinard; Gant du Valet Veinard; Alliance Gloursonne; Cadran de Feu; Sangle Oriole; Chapeau de Tournoyé; Cape du Kamasterisk; Palmes Trithons; Dofus Abyssal; Dofus Ivoire; Dofus Argenté; Dofus Vulbis; Dofus Ébène; Dofus Ocre; Chienchien Tigré</t>
        </is>
      </c>
    </row>
    <row r="22737">
      <c r="A22737" t="inlineStr">
        <is>
          <t>Sacrieur M 200</t>
        </is>
      </c>
      <c r="B22737">
        <f>HYPERLINK("https://www.dofusbook.net/fr/equipement/5413550-sacrieur-m-200/objets", "link")</f>
        <v/>
      </c>
      <c r="C22737" t="n">
        <v>2</v>
      </c>
      <c r="D22737" t="inlineStr">
        <is>
          <t>Baguette de Torkélonia; Amulette du Strigide; Bague Gloursonne; Alliance Gloursonne; Quatre-feuilles; Ceinture du Strigide; Corne de Torkélonia; Carapace de Torkélonia; Bottes Trithon; Dofus Abyssal; Dofus Ivoire; Dofus Turquoise; Dofus Ocre; Dofus Argenté; Dofus Ébène; Fëanor</t>
        </is>
      </c>
    </row>
    <row r="22738">
      <c r="A22738" t="inlineStr">
        <is>
          <t>Sacrieur M 200</t>
        </is>
      </c>
      <c r="B22738">
        <f>HYPERLINK("https://www.dofusbook.net/fr/equipement/5406183-sacrieur-m-200/objets", "link")</f>
        <v/>
      </c>
      <c r="C22738" t="n">
        <v>1</v>
      </c>
      <c r="D22738" t="inlineStr">
        <is>
          <t>Arc corrompu; Amulette Volkorne; Anneauræus; Anneau Volkorne; Bouclier du Stalak; Croture; Casque Dragoeuf; Cape de Diondin; Bottes Innommables; Dofus Ébène; Dofus Ocre; Dofus Argenté; Dofus Ivoire; Dofus Abyssal; Dofus Vulbis; Dragodinde Ivoire et Orchidée</t>
        </is>
      </c>
    </row>
    <row r="22739">
      <c r="A22739" t="inlineStr">
        <is>
          <t>Pandawa M 200</t>
        </is>
      </c>
      <c r="B22739">
        <f>HYPERLINK("https://www.dofusbook.net/fr/equipement/5391922-pandawa-m-200/objets", "link")</f>
        <v/>
      </c>
      <c r="C22739" t="n">
        <v>0</v>
      </c>
      <c r="D22739" t="inlineStr">
        <is>
          <t>Rouleau à Pâtisserie d'Aermyne; Collier Rophante; Anneau du Cycloïde; Alliance Gloursonne; Droiture de Fallanster; Ceinture de Kongoku; Casque Dragoeuf; Cape d'Aermyne; Pataugastrique; Dofus Émeraude; Dofus Ivoire; Dofus Ocre; Dokoko; Bloqueur majeur; Obstructeur majeur; Muldo Roux</t>
        </is>
      </c>
    </row>
    <row r="22740">
      <c r="A22740" t="inlineStr">
        <is>
          <t>Sacrieur M 200</t>
        </is>
      </c>
      <c r="B22740">
        <f>HYPERLINK("https://www.dofusbook.net/fr/equipement/5324122-sacrieur-m-200/objets", "link")</f>
        <v/>
      </c>
      <c r="C22740" t="n">
        <v>0</v>
      </c>
      <c r="D22740" t="inlineStr">
        <is>
          <t>Sceptre du Roi Joueur; Amulette de Shokkoth; Alliance Gloursonne; Anneau Volkorne; Bouclier d'Ilyzaelle; Poulpagne; Capuche de l'Œil Attentif; Cape de l'Œil Attentif; Bottes du Sinistrofu; Dofus Abyssal; Dofus Ocre; Dofus Argenté; Dofus Ébène; Dofus Vulbis; Dofus Ivoire; Dragodinde Indigo et Ivoire</t>
        </is>
      </c>
    </row>
    <row r="22741">
      <c r="A22741" t="inlineStr">
        <is>
          <t>Sacrieur M 200</t>
        </is>
      </c>
      <c r="B22741">
        <f>HYPERLINK("https://www.dofusbook.net/fr/equipement/3583969-sacrieur-m-200/objets", "link")</f>
        <v/>
      </c>
      <c r="C22741" t="n">
        <v>3</v>
      </c>
      <c r="D22741" t="inlineStr">
        <is>
          <t>Hache à Lamelles; Collier du Minotot; Anneau Bliteré; Bracelet du Minotot; Tranche des Sous-bois; Casque Harnage; Cape du Minotot; Bottines des sous-bois; Dokille; Dofus Kaliptus; Dolmanax; Taquin majeur; Joueur majeur; Taquin; Nomoon</t>
        </is>
      </c>
    </row>
    <row r="22742">
      <c r="A22742" t="inlineStr">
        <is>
          <t>ConcoursDB</t>
        </is>
      </c>
      <c r="B22742">
        <f>HYPERLINK("https://www.dofusbook.net/fr/equipement/3331646-concoursdb/objets", "link")</f>
        <v/>
      </c>
      <c r="C22742" t="n">
        <v>7</v>
      </c>
      <c r="D22742" t="inlineStr">
        <is>
          <t>Pelle de la Cour Sombre; Collier du Valet Veinard; Gant du Valet Veinard; Alliance Gloursonne; Bouclier d'Ilyzaelle; Protopagne; Casque Dragoeuf; Cape Matelassée; Palmes Trithons; Dofus Émeraude; Dofus Ivoire; Miraculé majeur; Remueur; Carapace Neutre majeur; Carapace Air majeur; Muldo Ebène</t>
        </is>
      </c>
    </row>
    <row r="22743">
      <c r="A22743" t="inlineStr">
        <is>
          <t>test1</t>
        </is>
      </c>
      <c r="B22743">
        <f>HYPERLINK("https://www.dofusbook.net/fr/equipement/2990635-test1/objets", "link")</f>
        <v/>
      </c>
      <c r="C22743" t="n">
        <v>0</v>
      </c>
      <c r="D22743" t="inlineStr">
        <is>
          <t>Arc du Chalœil; Amulette du Strigide; Anneau Chevelu; Bague Gloursonne; Bouclier d'Ilyzaelle; Ceinture du Strigide; Masque de Koutoulou; Cape au Logis; Bottes du Cœur Saignant; Dofus Turquoise; Dofus Ivoire; Dofus Abyssal; Enragé majeur; Évasif majeur; Remueur; El Scarador</t>
        </is>
      </c>
    </row>
    <row r="22744">
      <c r="A22744" t="inlineStr">
        <is>
          <t>test2</t>
        </is>
      </c>
      <c r="B22744">
        <f>HYPERLINK("https://www.dofusbook.net/fr/equipement/2990645-test2/objets", "link")</f>
        <v/>
      </c>
      <c r="C22744" t="n">
        <v>0</v>
      </c>
      <c r="D22744" t="inlineStr">
        <is>
          <t>Arc du Chalœil; Amulette du Strigide; Anneau Chevelu; Bague Gloursonne; Bouclier d'Ilyzaelle; Ceintacé; Masque de Koutoulou; Cape au Logis; Bottes du Strigide; Dofus Ivoire; Dofus Abyssal; Dofus Turquoise; Dofus Pourpre; Enragé majeur; Évasif majeur; El Scarador</t>
        </is>
      </c>
    </row>
    <row r="22745">
      <c r="A22745" t="inlineStr">
        <is>
          <t>Stuff air low cost</t>
        </is>
      </c>
      <c r="B22745">
        <f>HYPERLINK("https://www.dofusbook.net/fr/equipement/2171766-stuff-air-low-cost/objets", "link")</f>
        <v/>
      </c>
      <c r="C22745" t="n">
        <v>0</v>
      </c>
      <c r="D22745" t="inlineStr">
        <is>
          <t>Manthache; Collier du Valet Veinard; Alliance Gloursonne; Gant du Valet Veinard; Bouclier Taverne; Menoture; Couronne d'Allister; Cape Indescriptible; Palmes Trithons; Dofus Pourpre; Dofus Émeraude; Remueur; Miraculé majeur; Cascadeur majeur; Nomade; Muldo Ebène</t>
        </is>
      </c>
    </row>
    <row r="22746">
      <c r="A22746" t="inlineStr">
        <is>
          <t>Stuff air</t>
        </is>
      </c>
      <c r="B22746">
        <f>HYPERLINK("https://www.dofusbook.net/fr/equipement/2171611-stuff-air/objets", "link")</f>
        <v/>
      </c>
      <c r="C22746" t="n">
        <v>1</v>
      </c>
      <c r="D22746" t="inlineStr">
        <is>
          <t>Manthache; Collier du Valet Veinard; Gant du Valet Veinard; Alliance Gloursonne; Bouclier d'Ilyzaelle; Menoture; Casque Dragoeuf; Cape du Kamasterisk; Palmes Trithons; Dofus Pourpre; Dofus Abyssal; Dofus Émeraude; Dofus Ivoire; Remueur; Cascadeur majeur; Muldo Ebène et Orchidée</t>
        </is>
      </c>
    </row>
    <row r="22747">
      <c r="A22747" t="inlineStr">
        <is>
          <t>Stuff 3</t>
        </is>
      </c>
      <c r="B22747">
        <f>HYPERLINK("https://www.dofusbook.net/fr/equipement/78389-stuff-3/objets", "link")</f>
        <v/>
      </c>
      <c r="C22747" t="n">
        <v>0</v>
      </c>
      <c r="D22747" t="inlineStr">
        <is>
          <t>Sabres d'Atcham; Amulette du Strigide; Alliance Gloursonne; Anneau Tique; Ceintacé; Masque des Fonds marins; Voile d'encre; Sandales  d'Atcham; Dofus Turquoise; Dolmanax; Dofus des Glaces; Carapace Terre majeur; Remueur; Nomade; Kramkram</t>
        </is>
      </c>
    </row>
    <row r="22748">
      <c r="A22748" t="inlineStr">
        <is>
          <t>Stuff 1</t>
        </is>
      </c>
      <c r="B22748">
        <f>HYPERLINK("https://www.dofusbook.net/fr/equipement/78336-stuff-1/objets", "link")</f>
        <v/>
      </c>
      <c r="C22748" t="n">
        <v>0</v>
      </c>
      <c r="D22748" t="inlineStr">
        <is>
          <t>La Baguette des Limbes; Médaille Kido; Gelano; Anneau Truche; Xénature; Chapeau Truche; Cape des Ecaflipuces; Bottes du Pounicheur; Dokoko; Dofus Cawotte; Dévastateur Feu; Érudit; Miraculé; Remueur</t>
        </is>
      </c>
    </row>
    <row r="22749">
      <c r="A22749" t="inlineStr">
        <is>
          <t>Stuff 2</t>
        </is>
      </c>
      <c r="B22749">
        <f>HYPERLINK("https://www.dofusbook.net/fr/equipement/78391-stuff-2/objets", "link")</f>
        <v/>
      </c>
      <c r="C22749" t="n">
        <v>2</v>
      </c>
      <c r="D22749" t="inlineStr">
        <is>
          <t>Arc Nécrotique; Talisman Igans; Anneau de Nidas; Alliance Gloursonne; Ceintrigue; Casqnoar; Voile d'encre; Pataugastrique; Dolmanax; Dofus des Glaces; Carapace Feu majeur; Temporiseur majeur; Carapace Eau majeur; Remueur</t>
        </is>
      </c>
    </row>
    <row r="22750">
      <c r="A22750" t="inlineStr">
        <is>
          <t>Stuff 3</t>
        </is>
      </c>
      <c r="B22750">
        <f>HYPERLINK("https://www.dofusbook.net/fr/equipement/78338-stuff-3/objets", "link")</f>
        <v/>
      </c>
      <c r="C22750" t="n">
        <v>0</v>
      </c>
      <c r="D22750" t="inlineStr">
        <is>
          <t>Baguette de Malléfisk; Amulette Séculaire; Anneau Tamie; Anneau Tamie; Sangle Aise; Coiffe Séculaire; Cape de Nileza; Pataugastrique; Dofus des Glaces; Remueur; Dévastateur Feu majeur; Érudit majeur; Nomade; Saccageur Feu majeur; Brûlih</t>
        </is>
      </c>
    </row>
    <row r="22751">
      <c r="A22751" t="inlineStr">
        <is>
          <t>Stuff 2</t>
        </is>
      </c>
      <c r="B22751">
        <f>HYPERLINK("https://www.dofusbook.net/fr/equipement/78388-stuff-2/objets", "link")</f>
        <v/>
      </c>
      <c r="C22751" t="n">
        <v>0</v>
      </c>
      <c r="D22751" t="inlineStr">
        <is>
          <t>Sabres d'Atcham; Collier de la Dame du Hasard; Alliance Gloursonne; Anneau Tique; Menoture; Casque Dragoeuf; Cape d'Atcham; Sandales de Tal Kasha; Dofus des Glaces; Dofus Turquoise; Remueur; Étourdisseur majeur; Évasif majeur; Carapace Neutre majeur</t>
        </is>
      </c>
    </row>
    <row r="22752">
      <c r="A22752" t="inlineStr">
        <is>
          <t>Stuff 1</t>
        </is>
      </c>
      <c r="B22752">
        <f>HYPERLINK("https://www.dofusbook.net/fr/equipement/78390-stuff-1/objets", "link")</f>
        <v/>
      </c>
      <c r="C22752" t="n">
        <v>3</v>
      </c>
      <c r="D22752" t="inlineStr">
        <is>
          <t>Le Thanos; Torquistik; Anneau de Nidas; Baguistik; Ceinture de Kongoku; Casque Dragoeuf; Cape de Diondin; Bottes de Dremoan; Déserteur majeur; Temporiseur majeur; Érudit majeur; Remueur; Carapace Feu majeur; Évasif majeur</t>
        </is>
      </c>
    </row>
    <row r="22753">
      <c r="A22753" t="inlineStr">
        <is>
          <t>Stuff 2</t>
        </is>
      </c>
      <c r="B22753">
        <f>HYPERLINK("https://www.dofusbook.net/fr/equipement/78337-stuff-2/objets", "link")</f>
        <v/>
      </c>
      <c r="C22753" t="n">
        <v>0</v>
      </c>
      <c r="D22753" t="inlineStr">
        <is>
          <t>La Baguette des Limbes; Amulette de Moon; Gelano; Alliance des Forestiers; Ceinture des Vents; Casque du Berserkoffre; Cape de Moon; Fourbabottes; Dokoko; Dofus Cawotte; Érudit; Remueur; Vigoureux; Dévastateur Feu</t>
        </is>
      </c>
    </row>
    <row r="22754">
      <c r="A22754" t="inlineStr">
        <is>
          <t>Stuff 3</t>
        </is>
      </c>
      <c r="B22754">
        <f>HYPERLINK("https://www.dofusbook.net/fr/equipement/78392-stuff-3/objets", "link")</f>
        <v/>
      </c>
      <c r="C22754" t="n">
        <v>1</v>
      </c>
      <c r="D22754" t="inlineStr">
        <is>
          <t>Dagues Érhy; Amulette du Strigide; Bague Gloursonne; Anneau Chevelu; Ceinture de Gein; Chapeau de Gein; Voile d'encre; Sabots Minables; Dofus Pourpre; Dofus Turquoise; Déserteur majeur; Carapace Neutre majeur; Évasif majeur; Remueur</t>
        </is>
      </c>
    </row>
    <row r="22755">
      <c r="A22755" t="inlineStr">
        <is>
          <t>Stuff 1</t>
        </is>
      </c>
      <c r="B22755">
        <f>HYPERLINK("https://www.dofusbook.net/fr/equipement/78387-stuff-1/objets", "link")</f>
        <v/>
      </c>
      <c r="C22755" t="n">
        <v>0</v>
      </c>
      <c r="D22755" t="inlineStr">
        <is>
          <t>Marteau des Anciens Steamers; Amulette Voldelor; Anneau de Padgref; Alliance Gloursonne; Ceintacé; Casque Dragoeuf; Chevelure de Tal Kasha; Sandales de Tal Kasha; Dofus des Glaces; Dolmanax; Dofus Émeraude; Dofus Turquoise; Remueur; Étourdisseur majeur</t>
        </is>
      </c>
    </row>
    <row r="22756">
      <c r="A22756" t="inlineStr">
        <is>
          <t>Stuff 2</t>
        </is>
      </c>
      <c r="B22756">
        <f>HYPERLINK("https://www.dofusbook.net/fr/equipement/78292-stuff-2/objets", "link")</f>
        <v/>
      </c>
      <c r="C22756" t="n">
        <v>1</v>
      </c>
      <c r="D22756" t="inlineStr">
        <is>
          <t>Manthache; Collier du Valet Veinard; Gant du Valet Veinard; Alliance Gloursonne; Menoture; Casque Dragoeuf; Cape du Kamasterisk; Palmes Trithons; Dofus Pourpre; Dofus des Glaces; Dofus Ocre; Fonceur majeur; Carapace Air majeur; Cascadeur majeur</t>
        </is>
      </c>
    </row>
    <row r="22757">
      <c r="A22757" t="inlineStr">
        <is>
          <t>Stuff 1</t>
        </is>
      </c>
      <c r="B22757">
        <f>HYPERLINK("https://www.dofusbook.net/fr/equipement/78291-stuff-1/objets", "link")</f>
        <v/>
      </c>
      <c r="C22757" t="n">
        <v>1</v>
      </c>
      <c r="D22757" t="inlineStr">
        <is>
          <t>Dagues Érhy; Amulette du Strigide; Alliance Gloursonne; Anneau Chevelu; Ceintacé; Casque des égarés; Voile d'encre; Bottes des égarés; Dofus Ocre; Dofus Pourpre; Dofus des Glaces; Dofus Vulbis; Carapace Feu majeur; Vigoureux majeur</t>
        </is>
      </c>
    </row>
    <row r="22758">
      <c r="A22758" t="inlineStr">
        <is>
          <t>Stuff 3</t>
        </is>
      </c>
      <c r="B22758">
        <f>HYPERLINK("https://www.dofusbook.net/fr/equipement/78293-stuff-3/objets", "link")</f>
        <v/>
      </c>
      <c r="C22758" t="n">
        <v>2</v>
      </c>
      <c r="D22758" t="inlineStr">
        <is>
          <t>Héqache; Amulette du Strigide; Anneau Chevelu; Alliance Gloursonne; Ceintacé; Casque des égarés; Voile d'encre; Bottes du Strigide; Dofus Turquoise; Dofus Pourpre; Dofus Ocre; Dofus des Glaces; Fonceur majeur; Carapace Terre majeur</t>
        </is>
      </c>
    </row>
    <row r="22759">
      <c r="A22759" t="inlineStr">
        <is>
          <t>Féca M 200</t>
        </is>
      </c>
      <c r="B22759">
        <f>HYPERLINK("https://www.dofusbook.net/fr/equipement/5908975-feca-m-200/objets", "link")</f>
        <v/>
      </c>
      <c r="C22759" t="n">
        <v>0</v>
      </c>
      <c r="D22759" t="inlineStr">
        <is>
          <t>Rapière aux Glyphes; Amulette du Sinistrofu; Bracelet du Piloztère; Alliance Gloursonne; Quatre-feuilles; Ceinture de Danathor; Kidibonnet; Cape du Sinistrofu; Pataugastrique; Miraculé majeur; Nomade; Chanceux majeur; Joueur majeur; Remueur; Muldo Doré et Indigo</t>
        </is>
      </c>
    </row>
    <row r="22760">
      <c r="A22760" t="inlineStr">
        <is>
          <t>Roublard F 200</t>
        </is>
      </c>
      <c r="B22760">
        <f>HYPERLINK("https://www.dofusbook.net/fr/equipement/5902365-roublard-f-200/objets", "link")</f>
        <v/>
      </c>
      <c r="C22760" t="n">
        <v>3</v>
      </c>
      <c r="D22760" t="inlineStr">
        <is>
          <t>Arc corrompu; Amulette Volkorne; Anneau Tamie; Anneau Tamie; Bouclier du Stalak; Ceinture Séculaire; Coiffe Séculaire; Cape de Diondin; Bottes Innommables; Érudit majeur; Nomade; Dévastateur Feu majeur; Féroce majeur; Remueur; Saccageur Feu majeur; Bisouglours</t>
        </is>
      </c>
    </row>
    <row r="22761">
      <c r="A22761" t="inlineStr">
        <is>
          <t>Sadida F 200</t>
        </is>
      </c>
      <c r="B22761">
        <f>HYPERLINK("https://www.dofusbook.net/fr/equipement/5902485-sadida-f-200/objets", "link")</f>
        <v/>
      </c>
      <c r="C22761" t="n">
        <v>3</v>
      </c>
      <c r="D22761" t="inlineStr">
        <is>
          <t>Arc du Chalœil; Collier de Tourthon; Anneau du Comte Harebourg; Anneau de Brouce; Quatre-feuilles; Ceinture de Brouce; Coiffe du Comte Harebourg; Cape du Cœur Saignant; Bottes de Brouce; Dofus Pourpre; Dofus Ocre; Dofus Turquoise; Voyageur; Furibond majeur; Forcené majeur; Volkorne Pourpre</t>
        </is>
      </c>
    </row>
    <row r="22762">
      <c r="A22762" t="inlineStr">
        <is>
          <t>Sram F 200</t>
        </is>
      </c>
      <c r="B22762">
        <f>HYPERLINK("https://www.dofusbook.net/fr/equipement/5650433-sram-f-200/objets", "link")</f>
        <v/>
      </c>
      <c r="C22762" t="n">
        <v>0</v>
      </c>
      <c r="D22762" t="inlineStr"/>
    </row>
    <row r="22763">
      <c r="A22763" t="inlineStr">
        <is>
          <t>Féca M 200</t>
        </is>
      </c>
      <c r="B22763">
        <f>HYPERLINK("https://www.dofusbook.net/fr/equipement/4429035-feca-m-200/objets", "link")</f>
        <v/>
      </c>
      <c r="C22763" t="n">
        <v>1</v>
      </c>
      <c r="D22763" t="inlineStr">
        <is>
          <t>Baguette Houalle; Collier de Tourthon; Anneau Crustique; Anneau Crustique; Sept ans de malheur; Ceintouse; Masque de Koutoulou; Cape au Logis; Tentassons; Dofus Émeraude; Dofus Ivoire; Étourdisseur majeur; Remueur; Enragé majeur; Obstructeur majeur</t>
        </is>
      </c>
    </row>
    <row r="22764">
      <c r="A22764" t="inlineStr">
        <is>
          <t>Eniripsa F 200</t>
        </is>
      </c>
      <c r="B22764">
        <f>HYPERLINK("https://www.dofusbook.net/fr/equipement/4429335-eniripsa-f-200/objets", "link")</f>
        <v/>
      </c>
      <c r="C22764" t="n">
        <v>1</v>
      </c>
      <c r="D22764" t="inlineStr">
        <is>
          <t>Jakchir Arc; Amulette de Shokkoth; Alliance Gloursonne; Bracelet des Fonds marins; Sept ans de malheur; Poulpagne; Masque du Barbétoal; Chevelure de Tal Kasha; Sandales de Tal Kasha; Dofus Turquoise; Dofus Ivoire; Paralyseur majeur; Nomade; Étourdisseur majeur; Remueur; La Chose</t>
        </is>
      </c>
    </row>
    <row r="22765">
      <c r="A22765" t="inlineStr">
        <is>
          <t>Ecaflip M 200</t>
        </is>
      </c>
      <c r="B22765">
        <f>HYPERLINK("https://www.dofusbook.net/fr/equipement/4431131-ecaflip-m-200/objets", "link")</f>
        <v/>
      </c>
      <c r="C22765" t="n">
        <v>0</v>
      </c>
      <c r="D22765" t="inlineStr">
        <is>
          <t>Le Thanos; Collier du Valet Veinard; Alliance Gloursonne; Gant du Valet Veinard; Sept ans de malheur; Menoture; Dorabysses; Cape Indescriptible; Palmes Trithons; Dofus Ivoire; Dofus Émeraude; Paralyseur majeur; Remueur; Cascadeur majeur; Étourdisseur majeur; Muldo Ebène et Indigo</t>
        </is>
      </c>
    </row>
    <row r="22766">
      <c r="A22766" t="inlineStr">
        <is>
          <t>Fuji/Heqache</t>
        </is>
      </c>
      <c r="B22766">
        <f>HYPERLINK("https://www.dofusbook.net/fr/equipement/4412131-fuji-heqache/objets", "link")</f>
        <v/>
      </c>
      <c r="C22766" t="n">
        <v>3</v>
      </c>
      <c r="D22766" t="inlineStr">
        <is>
          <t>Héqache; Amulette du Strigide; Anneau de la Fuji Givrefoux; Anneau Crustique; Sept ans de malheur; Ceinture du Strigide; Coiffe de la Fuji Givrefoux; Cape de la Fuji Givrefoux; Bottes de la Fuji Givrefoux; Dofus Émeraude; Dofus Ivoire; Dofus Abyssal; Dofus Turquoise; Dofus Ocre; Dofus des Glaces; Kramkram</t>
        </is>
      </c>
    </row>
    <row r="22767">
      <c r="A22767" t="inlineStr">
        <is>
          <t>Do Pou</t>
        </is>
      </c>
      <c r="B22767">
        <f>HYPERLINK("https://www.dofusbook.net/fr/equipement/3388535-do-pou/objets", "link")</f>
        <v/>
      </c>
      <c r="C22767" t="n">
        <v>5</v>
      </c>
      <c r="D22767" t="inlineStr">
        <is>
          <t>Sceptre du Roi Joueur; Amulette du Sinistrofu; Bague Instable; Bague Trithon; Bouclier précieux; Sangle Ouare; Casque Dragoeuf; Cape Solution; Bottes Trithon; Dofus Abyssal; Dofus Émeraude; Dofus Ivoire; Bousculeur majeur; Culbuteur majeur; Remueur; Péki</t>
        </is>
      </c>
    </row>
    <row r="22768">
      <c r="A22768" t="inlineStr">
        <is>
          <t>Anti Ougi-Iop</t>
        </is>
      </c>
      <c r="B22768">
        <f>HYPERLINK("https://www.dofusbook.net/fr/equipement/4408067-anti-ougi-iop/objets", "link")</f>
        <v/>
      </c>
      <c r="C22768" t="n">
        <v>2</v>
      </c>
      <c r="D22768" t="inlineStr">
        <is>
          <t>Dague Adou; Amulette du Strigide; Bague Gloursonne; Alliance Gloursonne; Bouclier du Captain Amakna; Ceinture du Strigide; Némès de Tal Kasha; Chevelure de Tal Kasha; Sandales de Tal Kasha; Dofus Vulbis; Dofus des Glaces; Dofus Ocre; Dofus Ivoire; Dofus Émeraude; Dofus Turquoise; Kramkram</t>
        </is>
      </c>
    </row>
    <row r="22769">
      <c r="A22769" t="inlineStr">
        <is>
          <t>Anti sram</t>
        </is>
      </c>
      <c r="B22769">
        <f>HYPERLINK("https://www.dofusbook.net/fr/equipement/4422582-anti-sram/objets", "link")</f>
        <v/>
      </c>
      <c r="C22769" t="n">
        <v>1</v>
      </c>
      <c r="D22769" t="inlineStr">
        <is>
          <t>Arc du Chalœil; Amulette du Strigide; Bague Trithon; Anneau de Pol Ouatnos; Bouclier cubiste; Ceinture du Strigide; Masque Trithon; Voile d'encre; Bottes Trithon; Dofus Abyssal; Dofus des Glaces; Dofus Ocre; Dofus Turquoise; Dofus Ivoire; Dokoko; Croum</t>
        </is>
      </c>
    </row>
    <row r="22770">
      <c r="A22770" t="inlineStr">
        <is>
          <t>Anti-Enu</t>
        </is>
      </c>
      <c r="B22770">
        <f>HYPERLINK("https://www.dofusbook.net/fr/equipement/4422424-anti-enu/objets", "link")</f>
        <v/>
      </c>
      <c r="C22770" t="n">
        <v>2</v>
      </c>
      <c r="D22770" t="inlineStr">
        <is>
          <t>Arc du Chalœil; Amulette de Pol Ouatnos; Anneau Chevelu; Anneau des égarés; Bouclier à hélice; Ceintacé; Casque des égarés; Voile d'encre; Baleinabottes; Dofus Abyssal; Dofus Ivoire; Dokoko; Remueur; Nomade; Cavaleur majeur; Kramkram</t>
        </is>
      </c>
    </row>
    <row r="22771">
      <c r="A22771" t="inlineStr">
        <is>
          <t>Anti-feca</t>
        </is>
      </c>
      <c r="B22771">
        <f>HYPERLINK("https://www.dofusbook.net/fr/equipement/4420830-anti-feca/objets", "link")</f>
        <v/>
      </c>
      <c r="C22771" t="n">
        <v>0</v>
      </c>
      <c r="D22771" t="inlineStr">
        <is>
          <t>Marteau R'ture; Amulette du Strigide; Bague Trithon; Anneau Chevelu; Goulclier; Ceinture du Strigide; Masque Trithon; Voile d'encre; Bottes Trithon; Dofus Ivoire; Dofus Ocre; Dofus Émeraude; Dofus Vulbis; Dokoko; Imprenable majeur; Kramkram</t>
        </is>
      </c>
    </row>
    <row r="22772">
      <c r="A22772" t="inlineStr">
        <is>
          <t>Sram M 200</t>
        </is>
      </c>
      <c r="B22772">
        <f>HYPERLINK("https://www.dofusbook.net/fr/equipement/3859088-sram-m-200/objets", "link")</f>
        <v/>
      </c>
      <c r="C22772" t="n">
        <v>2</v>
      </c>
      <c r="D22772" t="inlineStr">
        <is>
          <t>Dagues Érhy; Amulette du Cycloïde; Anneau du Katcheur; Anneau du Cycloïde; Masque du Katcheur; Voile d'encre; Bottes du Katcheur</t>
        </is>
      </c>
    </row>
    <row r="22773">
      <c r="A22773" t="inlineStr">
        <is>
          <t>PVM-200</t>
        </is>
      </c>
      <c r="B22773">
        <f>HYPERLINK("https://www.dofusbook.net/fr/equipement/4415872-pvm-200/objets", "link")</f>
        <v/>
      </c>
      <c r="C22773" t="n">
        <v>1</v>
      </c>
      <c r="D22773" t="inlineStr">
        <is>
          <t>Hache du Chalœil; Amulette du Strigide; Bracelet du Piloztère; Alliance du Lévitrof; Bouclier du Captain Amakna; Ceinture du Strigide; Coiffe du Lévitrof; Dofusteuse; Bottes du Lévitrof; Dofus Turquoise; Dofus Ocre; Dolmanax; Dofus des Glaces; Dofus Pourpre; Dofus Abyssal; Muldo Prune et Emeraude</t>
        </is>
      </c>
    </row>
    <row r="22774">
      <c r="A22774" t="inlineStr">
        <is>
          <t>PVM-200</t>
        </is>
      </c>
      <c r="B22774">
        <f>HYPERLINK("https://www.dofusbook.net/fr/equipement/4415865-pvm-200/objets", "link")</f>
        <v/>
      </c>
      <c r="C22774" t="n">
        <v>0</v>
      </c>
      <c r="D22774" t="inlineStr">
        <is>
          <t>Dague Adou; Amulette du Strigide; Bracelet du Piloztère; Bague Trithon; Bouclier du Captain Amakna; Ceinture du Strigide; Némès de Tal Kasha; Chevelure de Tal Kasha; Sandales de Tal Kasha; Dofus Pourpre; Dofus des Glaces; Dofus Ocre; Dofus Abyssal; Dofus Turquoise; Puissant majeur; Muldo Prune et Emeraude</t>
        </is>
      </c>
    </row>
    <row r="22775">
      <c r="A22775" t="inlineStr">
        <is>
          <t>Srambad</t>
        </is>
      </c>
      <c r="B22775">
        <f>HYPERLINK("https://www.dofusbook.net/fr/equipement/4415754-srambad/objets", "link")</f>
        <v/>
      </c>
      <c r="C22775" t="n">
        <v>0</v>
      </c>
      <c r="D22775" t="inlineStr">
        <is>
          <t>Dagues de Srambad; Collier de Tourthon; Anneau Chevelu; Bracelet du Piloztère; Bouclier précieux; Ceinture de la Reine des Voleurs; Coiffe de la Reine des Voleurs; Voile d'encre; Baleinabottes; Dofus Émeraude; Dofus des Glaces; Dolmanax; Dofus Ivoire; Nomade; Remueur; Kramkram</t>
        </is>
      </c>
    </row>
    <row r="22776">
      <c r="A22776" t="inlineStr">
        <is>
          <t>Lance corrompue</t>
        </is>
      </c>
      <c r="B22776">
        <f>HYPERLINK("https://www.dofusbook.net/fr/equipement/3360465-lance-corrompue/objets", "link")</f>
        <v/>
      </c>
      <c r="C22776" t="n">
        <v>4</v>
      </c>
      <c r="D22776" t="inlineStr">
        <is>
          <t>Lance corrompue; Amulette de Nevark; Alliance Gloursonne; Bague Gloursonne; Bouclier Pandawa; Ceinture de la Reine des Voleurs; Coiffe de la Reine des Voleurs; Cape de Nevark; Bottes de la Reine des Voleurs; Dokoko; Dofus des Glaces; Dofus Émeraude; Dofus Ivoire; Dofus Ocre; Dofus Vulbis; Croum</t>
        </is>
      </c>
    </row>
    <row r="22777">
      <c r="A22777" t="inlineStr">
        <is>
          <t>Full terre</t>
        </is>
      </c>
      <c r="B22777">
        <f>HYPERLINK("https://www.dofusbook.net/fr/equipement/4415611-full-terre/objets", "link")</f>
        <v/>
      </c>
      <c r="C22777" t="n">
        <v>4</v>
      </c>
      <c r="D22777" t="inlineStr">
        <is>
          <t>Lav'Hache; Collier de Tourthon; Anneau Crustique; Anneau Crustique; Sept ans de malheur; Ceintouse; Masque de Koutoulou; Cape au Logis; Tentassons; Dofus Ivoire; Dofus Émeraude; Obstructeur majeur; Étourdisseur majeur; Remueur; Enragé majeur; Blokus</t>
        </is>
      </c>
    </row>
    <row r="22778">
      <c r="A22778" t="inlineStr">
        <is>
          <t>Full Tacle/Ret</t>
        </is>
      </c>
      <c r="B22778">
        <f>HYPERLINK("https://www.dofusbook.net/fr/equipement/4412265-full-tacle-ret/objets", "link")</f>
        <v/>
      </c>
      <c r="C22778" t="n">
        <v>2</v>
      </c>
      <c r="D22778" t="inlineStr">
        <is>
          <t>Héqache; Collier de Tourthon; Anneau Crustique; Anneau Crustique; Sept ans de malheur; Ceintouse; Masque de Koutoulou; Cape au Logis; Tentassons; Dofus Émeraude; Dofus Ivoire; Étourdisseur majeur; Carapace Terre majeur; Remueur; Obstructeur majeur; Blokus</t>
        </is>
      </c>
    </row>
    <row r="22779">
      <c r="A22779" t="inlineStr">
        <is>
          <t>Féca F 200</t>
        </is>
      </c>
      <c r="B22779">
        <f>HYPERLINK("https://www.dofusbook.net/fr/equipement/4415620-feca-f-200/objets", "link")</f>
        <v/>
      </c>
      <c r="C22779" t="n">
        <v>0</v>
      </c>
      <c r="D22779" t="inlineStr">
        <is>
          <t>Lav'Hache; Collier de Tourthon; Bracelet du Piloztère; Anneau Chevelu; Ceinture de la Cour Sombre; Masque de Koutoulou; Cape au Logis; Bottes de la Cour Sombre; Dofus Émeraude; Dofus Abyssal; Dofus Ivoire; Dofus des Glaces; Enragé majeur; Remueur</t>
        </is>
      </c>
    </row>
    <row r="22780">
      <c r="A22780" t="inlineStr">
        <is>
          <t>Variante Terre/Ini</t>
        </is>
      </c>
      <c r="B22780">
        <f>HYPERLINK("https://www.dofusbook.net/fr/equipement/4415615-variante-terre-ini/objets", "link")</f>
        <v/>
      </c>
      <c r="C22780" t="n">
        <v>0</v>
      </c>
      <c r="D22780" t="inlineStr">
        <is>
          <t>Lav'Hache; Collier de Tourthon; Anneau Crustique; Anneau Crustique; Sept ans de malheur; Ceinture de la Cour Sombre; Masque de Koutoulou; Cape au Logis; Bottes de la Cour Sombre; Dofus Émeraude; Dofus Ivoire; Enragé majeur; Obstructeur majeur; Étourdisseur majeur; Remueur; Bulbisou</t>
        </is>
      </c>
    </row>
    <row r="22781">
      <c r="A22781" t="inlineStr">
        <is>
          <t>Srambad</t>
        </is>
      </c>
      <c r="B22781">
        <f>HYPERLINK("https://www.dofusbook.net/fr/equipement/4412984-srambad/objets", "link")</f>
        <v/>
      </c>
      <c r="C22781" t="n">
        <v>1</v>
      </c>
      <c r="D22781" t="inlineStr">
        <is>
          <t>Dagues de Srambad; Amulette Ementaire Deluxe; Alliance Gloursonne; Bracelet du Piloztère; Bouclier du Stalak; Ceinture de la Reine des Voleurs; Coiffe de la Reine des Voleurs; Voile d'encre; Baleinabottes; Dofus Émeraude; Dofus des Glaces; Dofus Abyssal; Dofus Ivoire; Remueur; Nomade</t>
        </is>
      </c>
    </row>
    <row r="22782">
      <c r="A22782" t="inlineStr">
        <is>
          <t>Multi-Do Crit</t>
        </is>
      </c>
      <c r="B22782">
        <f>HYPERLINK("https://www.dofusbook.net/fr/equipement/3549356-multi-do-crit/objets", "link")</f>
        <v/>
      </c>
      <c r="C22782" t="n">
        <v>2</v>
      </c>
      <c r="D22782" t="inlineStr">
        <is>
          <t>Hache du Chalœil; Amulette du Strigide; Alliance Gloursonne; Bague Trithon; Bouclier du Captain Amakna; Ceinture du Strigide; Masque Trithon; Voile d'encre; Bottes Trithon; Dofus Ocre; Dofus des Glaces; Dofus Pourpre; Dofus Ivoire; Dolmanax; Dofus Vulbis; Kramkram</t>
        </is>
      </c>
    </row>
    <row r="22783">
      <c r="A22783" t="inlineStr">
        <is>
          <t>Terre/do pou</t>
        </is>
      </c>
      <c r="B22783">
        <f>HYPERLINK("https://www.dofusbook.net/fr/equipement/3390366-terre-do-pou/objets", "link")</f>
        <v/>
      </c>
      <c r="C22783" t="n">
        <v>8</v>
      </c>
      <c r="D22783" t="inlineStr">
        <is>
          <t>Lav'Hache; Torquistik; Bague Trithon; Bague Instable; Bouclier précieux; Ceinture Gence; Casque Dragoeuf; Cape du Cœur Saignant; Bottistik; Dofus Émeraude; Dolmanax; Dofus Ivoire; Dokoko; Culbuteur majeur; Bousculeur majeur; Tanuk</t>
        </is>
      </c>
    </row>
    <row r="22784">
      <c r="A22784" t="inlineStr">
        <is>
          <t>Feu/Soin/RetPa</t>
        </is>
      </c>
      <c r="B22784">
        <f>HYPERLINK("https://www.dofusbook.net/fr/equipement/4412383-feu-soin-retpa/objets", "link")</f>
        <v/>
      </c>
      <c r="C22784" t="n">
        <v>2</v>
      </c>
      <c r="D22784" t="inlineStr">
        <is>
          <t>Baguette de Malléfisk; Pendentif affamé; Kralano; Anneau Rifique; Carapar; Ceinture de Vortex; Cagoule de Vortex; Voile d'encre; Pataugastrique; Dofus Ocre; Dofus Ivoire; Obstructeur majeur; Paralyseur majeur; Nomade; Étourdisseur majeur</t>
        </is>
      </c>
    </row>
    <row r="22785">
      <c r="A22785" t="inlineStr">
        <is>
          <t>Anti-sram Air</t>
        </is>
      </c>
      <c r="B22785">
        <f>HYPERLINK("https://www.dofusbook.net/fr/equipement/3378988-anti-sram-air/objets", "link")</f>
        <v/>
      </c>
      <c r="C22785" t="n">
        <v>2</v>
      </c>
      <c r="D22785" t="inlineStr">
        <is>
          <t>Arc Ahique; Amulette d'Ilyzaelle; Gant du Valet Veinard; Alliance Gloursonne; Bouclier du Stalak; Ceintouse; Casque d'Ilyzaelle; Cape du Kamasterisk; Bottes du Cycloïde; Dofus Ocre; Dofus des Glaces; Dokoko; Dofus Ivoire; Dofus Abyssal; Dofus Vulbis; Blérodoudou</t>
        </is>
      </c>
    </row>
    <row r="22786">
      <c r="A22786" t="inlineStr">
        <is>
          <t>Anti-Crit</t>
        </is>
      </c>
      <c r="B22786">
        <f>HYPERLINK("https://www.dofusbook.net/fr/equipement/4413551-anti-crit/objets", "link")</f>
        <v/>
      </c>
      <c r="C22786" t="n">
        <v>2</v>
      </c>
      <c r="D22786" t="inlineStr">
        <is>
          <t>Dagues de Srambad; Torquistik; Baguistik; Goulano; Goulclier; Ceinture de la Reine des Voleurs; Coiffe de la Reine des Voleurs; Voile d'encre; Bottistik; Dofus Vulbis; Dofus Ivoire; Dofus Abyssal; Dofus Ocre; Dofus Émeraude; Dofus des Glaces; Kramkram</t>
        </is>
      </c>
    </row>
    <row r="22787">
      <c r="A22787" t="inlineStr">
        <is>
          <t>Sram M 200</t>
        </is>
      </c>
      <c r="B22787">
        <f>HYPERLINK("https://www.dofusbook.net/fr/equipement/4412754-sram-m-200/objets", "link")</f>
        <v/>
      </c>
      <c r="C22787" t="n">
        <v>4</v>
      </c>
      <c r="D22787" t="inlineStr">
        <is>
          <t>Epée Gloursonne; Amulette de Gein; Bague Gloursonne; Alliance Gloursonne; Bouclier Brâkmarien; Ceinture de Gein; Chapeau de Gein; Voile d'encre; Bottes du Katcheur; Dolmanax; Dofus Nébuleux; Dofus Ocre; Dofus des Glaces; Dofus Vulbis; Dofus Abyssal</t>
        </is>
      </c>
    </row>
    <row r="22788">
      <c r="A22788" t="inlineStr">
        <is>
          <t>Lance corrompue</t>
        </is>
      </c>
      <c r="B22788">
        <f>HYPERLINK("https://www.dofusbook.net/fr/equipement/4412113-lance-corrompue/objets", "link")</f>
        <v/>
      </c>
      <c r="C22788" t="n">
        <v>0</v>
      </c>
      <c r="D22788" t="inlineStr">
        <is>
          <t>Lance corrompue; Amulette de Nevark; Bague Gloursonne; Alliance Gloursonne; Sept ans de malheur; Ceintouse; Chapoulpe; Cape de Nevark; Tentassons; Dofus Vulbis; Dofus Ivoire; Dofus Ocre; Dofus des Glaces; Dofus Émeraude; Dofus Abyssal</t>
        </is>
      </c>
    </row>
    <row r="22789">
      <c r="A22789" t="inlineStr">
        <is>
          <t>Sram M 200</t>
        </is>
      </c>
      <c r="B22789">
        <f>HYPERLINK("https://www.dofusbook.net/fr/equipement/4410097-sram-m-200/objets", "link")</f>
        <v/>
      </c>
      <c r="C22789" t="n">
        <v>1</v>
      </c>
      <c r="D22789" t="inlineStr">
        <is>
          <t>Arc corrompu; Pendentif affamé; Anneau Tamie; Anneau Tamie; Ceinture Séculaire; Coiffe Séculaire; Voile d'encre; Bottes Innommables; Dofus Vulbis; Dofus Turquoise; Dofus des Glaces; Savant majeur; Astucieux majeur; Érudit majeur; Brûlih</t>
        </is>
      </c>
    </row>
    <row r="22790">
      <c r="A22790" t="inlineStr">
        <is>
          <t>Teroide</t>
        </is>
      </c>
      <c r="B22790">
        <f>HYPERLINK("https://www.dofusbook.net/fr/equipement/4405972-teroide/objets", "link")</f>
        <v/>
      </c>
      <c r="C22790" t="n">
        <v>0</v>
      </c>
      <c r="D22790" t="inlineStr">
        <is>
          <t>Héqache; Amulette du Strigide; Anneau Chevelu; Bague Trithon; Ceinture du Strigide; Masque Trithon; Cape au Logis; Bottes Trithon; Dofus Ocre; Dofus Ivoire; Dofus Émeraude; Dokoko; Dofus Turquoise; Dofus des Glaces; Molosk</t>
        </is>
      </c>
    </row>
    <row r="22791">
      <c r="A22791" t="inlineStr">
        <is>
          <t>Pvp Multi</t>
        </is>
      </c>
      <c r="B22791">
        <f>HYPERLINK("https://www.dofusbook.net/fr/equipement/3401233-pvp-multi/objets", "link")</f>
        <v/>
      </c>
      <c r="C22791" t="n">
        <v>2</v>
      </c>
      <c r="D22791" t="inlineStr">
        <is>
          <t>Hache Euvale; Amulette Luminescente; Pikano; Bague Trithon; Bouclier précieux; Ceinture Glaciale; Masque d'Anerice; Cape d'Anerice; Pataugastrique; Dokoko; Dofus Ivoire; Dofus Émeraude; Remueur; Nomade; Miraculé majeur</t>
        </is>
      </c>
    </row>
    <row r="22792">
      <c r="A22792" t="inlineStr">
        <is>
          <t>Full Terre</t>
        </is>
      </c>
      <c r="B22792">
        <f>HYPERLINK("https://www.dofusbook.net/fr/equipement/3364412-full-terre/objets", "link")</f>
        <v/>
      </c>
      <c r="C22792" t="n">
        <v>5</v>
      </c>
      <c r="D22792" t="inlineStr">
        <is>
          <t>Dagues d'Ilyzaelle; Amulette du Cœur Saignant; Anneau Chevelu; Goulano; Bouclier d'Ilyzaelle; Ceintacé; Casque des égarés; Cape au Logis; Bottes du Cœur Saignant; Dofus Abyssal; Dofus des Glaces; Dokoko; Dofus Turquoise; Dofus Émeraude; Dofus Ocre; Bulbisou</t>
        </is>
      </c>
    </row>
    <row r="22793">
      <c r="A22793" t="inlineStr">
        <is>
          <t>Zobal F 200</t>
        </is>
      </c>
      <c r="B22793">
        <f>HYPERLINK("https://www.dofusbook.net/fr/equipement/3832559-zobal-f-200/objets", "link")</f>
        <v/>
      </c>
      <c r="C22793" t="n">
        <v>0</v>
      </c>
      <c r="D22793" t="inlineStr">
        <is>
          <t>Epée Gloursonne; Amulette du Strigide; Bague Gloursonne; Alliance Gloursonne; Bouclier alvéolé; Ceinture du Strigide; Coiffe de la Fuji Givrefoux; Cape de la Fuji Givrefoux; Bottes du Strigide; Dofus Turquoise; Dolmanax; Dofus Vulbis; Dofus Ocre; Dofus Émeraude; Dofus des Glaces; Péki</t>
        </is>
      </c>
    </row>
    <row r="22794">
      <c r="A22794" t="inlineStr">
        <is>
          <t>Pandawa M 200</t>
        </is>
      </c>
      <c r="B22794">
        <f>HYPERLINK("https://www.dofusbook.net/fr/equipement/4397441-pandawa-m-200/objets", "link")</f>
        <v/>
      </c>
      <c r="C22794" t="n">
        <v>1</v>
      </c>
      <c r="D22794" t="inlineStr">
        <is>
          <t>Amulette du Kamasterisk; Anneau Chevelu; Anneau des égarés; Quatre-feuilles; Ceinture de Brouce; Casque des égarés; Cape du Kamasterisk; Bottes de Brouce; Dokoko; Dofus des Glaces; Dofus Pourpre; Dofus Nébuleux; Dolmanax; Dofus Turquoise; Bulbisou</t>
        </is>
      </c>
    </row>
    <row r="22795">
      <c r="A22795" t="inlineStr">
        <is>
          <t>Sadida F 200</t>
        </is>
      </c>
      <c r="B22795">
        <f>HYPERLINK("https://www.dofusbook.net/fr/equipement/4394038-sadida-f-200/objets", "link")</f>
        <v/>
      </c>
      <c r="C22795" t="n">
        <v>1</v>
      </c>
      <c r="D22795" t="inlineStr">
        <is>
          <t>Arc Honte; Amulette de l'Œil Putride; Bague Gloursonne; Alliance Gloursonne; Bouclier du Stalak; Ceinture de l'Esprit Salvateur; Masque de l'Esprit Salvateur; Cape de l'Œil Putride; Bottes de l'Esprit Salvateur; Dokoko; Dofus des Glaces; Dofus Ocre; Dofus Ivoire; Dofus Vulbis; Dofus Abyssal; Kramkram</t>
        </is>
      </c>
    </row>
    <row r="22796">
      <c r="A22796" t="inlineStr">
        <is>
          <t>Sadida F 200</t>
        </is>
      </c>
      <c r="B22796">
        <f>HYPERLINK("https://www.dofusbook.net/fr/equipement/4397293-sadida-f-200/objets", "link")</f>
        <v/>
      </c>
      <c r="C22796" t="n">
        <v>0</v>
      </c>
      <c r="D22796" t="inlineStr">
        <is>
          <t>Dagues de Srambad; Amulette Ementaire Deluxe; Bracelet du Piloztère; Anneau Chevelu; Bouclier cubiste; Ceinture de la Reine des Voleurs; Coiffe de la Reine des Voleurs; Voile d'encre; Bottes du Cœur Saignant; Dofus Vulbis; Dofus des Glaces; Dofus Ivoire; Dokoko; Dofus Abyssal; Temporiseur majeur; Volkorne Turquoise</t>
        </is>
      </c>
    </row>
    <row r="22797">
      <c r="A22797" t="inlineStr">
        <is>
          <t>Féca M 200</t>
        </is>
      </c>
      <c r="B22797">
        <f>HYPERLINK("https://www.dofusbook.net/fr/equipement/4362464-feca-m-200/objets", "link")</f>
        <v/>
      </c>
      <c r="C22797" t="n">
        <v>2</v>
      </c>
      <c r="D22797" t="inlineStr">
        <is>
          <t>Marteau des égarés; Amulette de l'Indicible; Alliance Gloursonne; Bague Gloursonne; Bouclier du Stalak; Ceinture de l'Indicible; Casque du Chalœil; Cape Reski; Bottes du Chalœil; Dofus des Glaces; Dofus Pourpre; Dolmanax; Féroce majeur; Robuste majeur; Rauleur</t>
        </is>
      </c>
    </row>
    <row r="22798">
      <c r="A22798" t="inlineStr">
        <is>
          <t>Eniripsa F 200</t>
        </is>
      </c>
      <c r="B22798">
        <f>HYPERLINK("https://www.dofusbook.net/fr/equipement/4354747-eniripsa-f-200/objets", "link")</f>
        <v/>
      </c>
      <c r="C22798" t="n">
        <v>6</v>
      </c>
      <c r="D22798" t="inlineStr">
        <is>
          <t>Sabres d'Atcham; Amulette du Strigide; Anneau de Padgref; Quatre-feuilles; Ceinture du Strigide; Coiffe de Padgref; Cape d'Atcham; Getas de Padgref; Dofus des Glaces; Dofus Pourpre; Dolmanax; Dofus Turquoise; Muldo Prune et Emeraude</t>
        </is>
      </c>
    </row>
    <row r="22799">
      <c r="A22799" t="inlineStr">
        <is>
          <t>Eniripsa M 200</t>
        </is>
      </c>
      <c r="B22799">
        <f>HYPERLINK("https://www.dofusbook.net/fr/equipement/4362507-eniripsa-m-200/objets", "link")</f>
        <v/>
      </c>
      <c r="C22799" t="n">
        <v>1</v>
      </c>
      <c r="D22799" t="inlineStr">
        <is>
          <t>Marteau des égarés; Amulette Volkorne; Alliance Gloursonne; Anneau Volkorne; Ceinture de la Reine des Voleurs; Coiffe de la Reine des Voleurs; Cape du Chalœil; Bottes du Chalœil; Dofus Pourpre; Dolmanax; Dofus Turquoise; Dofus des Glaces</t>
        </is>
      </c>
    </row>
    <row r="22800">
      <c r="A22800" t="inlineStr">
        <is>
          <t>Iop F 200</t>
        </is>
      </c>
      <c r="B22800">
        <f>HYPERLINK("https://www.dofusbook.net/fr/equipement/4360778-iop-f-200/objets", "link")</f>
        <v/>
      </c>
      <c r="C22800" t="n">
        <v>1</v>
      </c>
      <c r="D22800" t="inlineStr">
        <is>
          <t>Marteau de Katrepat; Amulette du Strigide; Bague Gloursonne; Bracelet du Piloztère; Bouclier du Captain Amakna; Ceinture du Strigide; Casque du Chalœil; Cape Reski; Bottes du Katcheur; Dofus Turquoise; Dofus des Glaces; Nomade; Sanguinaire majeur; Vigoureux majeur; Muldo Prune et Emeraude</t>
        </is>
      </c>
    </row>
    <row r="22801">
      <c r="A22801" t="inlineStr">
        <is>
          <t>Pandawa F 200</t>
        </is>
      </c>
      <c r="B22801">
        <f>HYPERLINK("https://www.dofusbook.net/fr/equipement/3859131-pandawa-f-200/objets", "link")</f>
        <v/>
      </c>
      <c r="C22801" t="n">
        <v>1</v>
      </c>
      <c r="D22801" t="inlineStr">
        <is>
          <t>Arc du Chalœil; Amulette du Strigide; Anneau Crustique; Anneau Crustique; Quatre-feuilles; Ceinture du Strigide; Chapeau de Gein; Cape au Logis; Bottes de la Cour Sombre; Dofus Turquoise; Dofus Nébuleux; Dofus des Glaces; Dofus Ivoire; Remueur; Nomade; Kramkram</t>
        </is>
      </c>
    </row>
    <row r="22802">
      <c r="A22802" t="inlineStr">
        <is>
          <t>Pandawa M 200</t>
        </is>
      </c>
      <c r="B22802">
        <f>HYPERLINK("https://www.dofusbook.net/fr/equipement/3848122-pandawa-m-200/objets", "link")</f>
        <v/>
      </c>
      <c r="C22802" t="n">
        <v>1</v>
      </c>
      <c r="D22802" t="inlineStr">
        <is>
          <t>Arc Ahique; Collier du Valet Veinard; Alliance Gloursonne; Gant du Valet Veinard; Bouclier du Stalak; Ceinture de la Reine des Voleurs; Coiffe de la Reine des Voleurs; Cape du Valet Veinard; Bottes de la Reine des Voleurs; Dofus des Glaces; Dofus Ocre; Dofus Ivoire; Dolmanax; Muldo Ebène</t>
        </is>
      </c>
    </row>
    <row r="22803">
      <c r="A22803" t="inlineStr">
        <is>
          <t>Sadida M 200</t>
        </is>
      </c>
      <c r="B22803">
        <f>HYPERLINK("https://www.dofusbook.net/fr/equipement/3847910-sadida-m-200/objets", "link")</f>
        <v/>
      </c>
      <c r="C22803" t="n">
        <v>0</v>
      </c>
      <c r="D22803" t="inlineStr">
        <is>
          <t>Arc Ahique; Amulette Ementaire Deluxe; Bague Gloursonne; Bracelet du Piloztère; Bouclier du Stalak; Ceinture de la Reine des Voleurs; Coiffe de la Reine des Voleurs; Voile d'encre; Pikottes; Dofus des Glaces; Dofus Ivoire; Dofus Ocre; Temporiseur majeur; Remueur; Nomade; Kramkram</t>
        </is>
      </c>
    </row>
    <row r="22804">
      <c r="A22804" t="inlineStr">
        <is>
          <t>Sadida M 200</t>
        </is>
      </c>
      <c r="B22804">
        <f>HYPERLINK("https://www.dofusbook.net/fr/equipement/3832795-sadida-m-200/objets", "link")</f>
        <v/>
      </c>
      <c r="C22804" t="n">
        <v>0</v>
      </c>
      <c r="D22804" t="inlineStr">
        <is>
          <t>Arc de Guten Tak; Amulette du Strigide; Anneau de Brouce; Alliance du Lévitrof; Quatre-feuilles; Ceinture de Brouce; Coiffe du Lévitrof; Voile d'encre; Bottes de Brouce; Dolmanax; Dofus Ocre; Dofus Pourpre; Dofus des Glaces; Dofus Vulbis; Dofus Turquoise; Kompost</t>
        </is>
      </c>
    </row>
    <row r="22805">
      <c r="A22805" t="inlineStr">
        <is>
          <t>Roublard F 200</t>
        </is>
      </c>
      <c r="B22805">
        <f>HYPERLINK("https://www.dofusbook.net/fr/equipement/3829791-roublard-f-200/objets", "link")</f>
        <v/>
      </c>
      <c r="C22805" t="n">
        <v>0</v>
      </c>
      <c r="D22805" t="inlineStr">
        <is>
          <t>Harpelle; Amulette Séculaire; Anneau Tamie; Anneau Tamie; Bouclier du Stalak; Ceinture Séculaire; Coiffe Séculaire; Cape de Nileza; Bottes Innommables; Dofus des Glaces; Dolmanax; Dofus Ocre; Dofus Vulbis; Pioute rouge</t>
        </is>
      </c>
    </row>
    <row r="22806">
      <c r="A22806" t="inlineStr">
        <is>
          <t>Ouginak F 200</t>
        </is>
      </c>
      <c r="B22806">
        <f>HYPERLINK("https://www.dofusbook.net/fr/equipement/3557066-ouginak-f-200/objets", "link")</f>
        <v/>
      </c>
      <c r="C22806" t="n">
        <v>1</v>
      </c>
      <c r="D22806" t="inlineStr">
        <is>
          <t>Marteau des Anciens Steamers; Amulette d'Ilyzaelle; Bague Gloursonne; Alliance Gloursonne; Bouclier d'Ilyzaelle; Ceinture de la Reine des Voleurs; Masque d'Anerice; Cape d'Anerice; Bottes de la Reine des Voleurs; Croum</t>
        </is>
      </c>
    </row>
    <row r="22807">
      <c r="A22807" t="inlineStr">
        <is>
          <t>Ecaflip M 200</t>
        </is>
      </c>
      <c r="B22807">
        <f>HYPERLINK("https://www.dofusbook.net/fr/equipement/3552404-ecaflip-m-200/objets", "link")</f>
        <v/>
      </c>
      <c r="C22807" t="n">
        <v>1</v>
      </c>
      <c r="D22807" t="inlineStr">
        <is>
          <t>Lance corrompue; Amulette de Nevark; Bague Gloursonne; Alliance Gloursonne; Ceinture de la Reine des Voleurs; Casque Dragoeuf; Cape de Nevark; Bottes de la Reine des Voleurs; Dofus des Glaces; Dofus Émeraude; Dofus Ivoire; Dofus Kaliptus; Dolmanax; Dokoko; Croum</t>
        </is>
      </c>
    </row>
    <row r="22808">
      <c r="A22808" t="inlineStr">
        <is>
          <t>Iop M 200</t>
        </is>
      </c>
      <c r="B22808">
        <f>HYPERLINK("https://www.dofusbook.net/fr/equipement/3418430-iop-m-200/objets", "link")</f>
        <v/>
      </c>
      <c r="C22808" t="n">
        <v>0</v>
      </c>
      <c r="D22808" t="inlineStr">
        <is>
          <t>Harpelle; Amulette d'Otomaï; Bracelet du Piloztère; Anneau de Nidas; Quatre-feuilles; Ceinture Séculaire; Coiffe Séculaire; Cape de Diondin; Pantoufles Émar; Astucieux majeur; Remueur; Érudit majeur; Nomade; Voyageur; Dévastateur Feu majeur; Brûlih</t>
        </is>
      </c>
    </row>
    <row r="22809">
      <c r="A22809" t="inlineStr">
        <is>
          <t>Feu Malé</t>
        </is>
      </c>
      <c r="B22809">
        <f>HYPERLINK("https://www.dofusbook.net/fr/equipement/3410937-feu-male/objets", "link")</f>
        <v/>
      </c>
      <c r="C22809" t="n">
        <v>2</v>
      </c>
      <c r="D22809" t="inlineStr">
        <is>
          <t>Baguette de Malléfisk; Amulette Séculaire; Alliance du Lévitrof; Anneau de Nidas; Ceinture Séculaire; Couronne de Nidas; Voile d'encre; Tongues de Nidas; Dofus Ivoire; Dokoko; Dolmanax; Docteur majeur; Vagabond majeur; Brûlih</t>
        </is>
      </c>
    </row>
    <row r="22810">
      <c r="A22810" t="inlineStr">
        <is>
          <t>Lance</t>
        </is>
      </c>
      <c r="B22810">
        <f>HYPERLINK("https://www.dofusbook.net/fr/equipement/3413003-lance/objets", "link")</f>
        <v/>
      </c>
      <c r="C22810" t="n">
        <v>1</v>
      </c>
      <c r="D22810" t="inlineStr">
        <is>
          <t>Lance corrompue; Amulette de Nevark; Alliance Gloursonne; Bague Gloursonne; Ceinture de la Reine des Voleurs; Casque Dragoeuf; Cape de Nevark; Bottes de la Reine des Voleurs; Dofus Ivoire; Dofus Kaliptus; Dolmanax; Dokoko; Dofus des Glaces; Dofus Émeraude; Croum; Colorivant 7</t>
        </is>
      </c>
    </row>
    <row r="22811">
      <c r="A22811" t="inlineStr">
        <is>
          <t>Iop M 200</t>
        </is>
      </c>
      <c r="B22811">
        <f>HYPERLINK("https://www.dofusbook.net/fr/equipement/3409087-iop-m-200/objets", "link")</f>
        <v/>
      </c>
      <c r="C22811" t="n">
        <v>0</v>
      </c>
      <c r="D22811" t="inlineStr">
        <is>
          <t>Epée Maudite du Saigneur Guerrier; Amulette du Strigide; Alliance Gloursonne; Anneau de Padgref; Bouclier du Captain Amakna; Ceinture du Strigide; Coiffe de Padgref; Voile d'encre; Getas de Padgref; Dofus Turquoise; Dofus Ivoire; Dolmanax; Dofus Émeraude; Dofus Kaliptus; Dofus Nébuleux; Kramkram</t>
        </is>
      </c>
    </row>
    <row r="22812">
      <c r="A22812" t="inlineStr">
        <is>
          <t>Eau/feu Fuite</t>
        </is>
      </c>
      <c r="B22812">
        <f>HYPERLINK("https://www.dofusbook.net/fr/equipement/3401364-eau-feu-fuite/objets", "link")</f>
        <v/>
      </c>
      <c r="C22812" t="n">
        <v>0</v>
      </c>
      <c r="D22812" t="inlineStr">
        <is>
          <t>Pyraguette; Amulette de l'Œil Putride; Bague Gloursonne; Alliance Gloursonne; Bouclier du Stalak; Ceinture de l'Esprit Salvateur; Masque de l'Esprit Salvateur; Cape de l'Œil Putride; Bottes de l'Esprit Salvateur; Dolmanax; Dokille; Dofus des Glaces; Dokoko; Dofus Ivoire; Vagabond majeur; Kramkram</t>
        </is>
      </c>
    </row>
    <row r="22813">
      <c r="A22813" t="inlineStr">
        <is>
          <t>Eau-Distance</t>
        </is>
      </c>
      <c r="B22813">
        <f>HYPERLINK("https://www.dofusbook.net/fr/equipement/3360631-eau-distance/objets", "link")</f>
        <v/>
      </c>
      <c r="C22813" t="n">
        <v>4</v>
      </c>
      <c r="D22813" t="inlineStr">
        <is>
          <t>Sceptre du Roi Joueur; Amulette du Sinistrofu; Anneau Glacial; Bracelet des Fonds marins; Ceinture Glaciale; Masque des Fonds marins; Cape du Sinistrofu; Bottes du Sinistrofu; Dofus Émeraude; Dofus Ivoire; Dofus Kaliptus; Dolmanax; Dokoko; Dofus des Glaces; Kramkram</t>
        </is>
      </c>
    </row>
    <row r="22814">
      <c r="A22814" t="inlineStr">
        <is>
          <t>eau do pou</t>
        </is>
      </c>
      <c r="B22814">
        <f>HYPERLINK("https://www.dofusbook.net/fr/equipement/5917958-eau-do-pou-/objets", "link")</f>
        <v/>
      </c>
      <c r="C22814" t="n">
        <v>0</v>
      </c>
      <c r="D22814" t="inlineStr">
        <is>
          <t>Rapière aux Glyphes; Amulette du Sinistrofu; Bague Trithon; Alliance Gloursonne; Bouclier Taverne; Sangle Ouare; Masque Paztek; Cape Solution; Sandales Paztek; Dofus Abyssal; Dofus Ocre; Dofus Ivoire; Bousculeur majeur; Culbuteur majeur; Chanceux majeur; Écumouth</t>
        </is>
      </c>
    </row>
    <row r="22815">
      <c r="A22815" t="inlineStr">
        <is>
          <t>air do pou</t>
        </is>
      </c>
      <c r="B22815">
        <f>HYPERLINK("https://www.dofusbook.net/fr/equipement/5917913-air-do-pou-/objets", "link")</f>
        <v/>
      </c>
      <c r="C22815" t="n">
        <v>0</v>
      </c>
      <c r="D22815" t="inlineStr">
        <is>
          <t>Plume de Buhorado; Amibou; Alliance Gloursonne; Bague Trithon; Bouclier Taverne; Menoture; Casque Dragoeuf; Cape Indescriptible; Bottes Trithon; Dofus Ocre; Dofus Ivoire; Dofus Abyssal; Bousculeur majeur; Culbuteur majeur; Cascadeur majeur; Tofoudre</t>
        </is>
      </c>
    </row>
    <row r="22816">
      <c r="A22816" t="inlineStr">
        <is>
          <t>Iop F 200</t>
        </is>
      </c>
      <c r="B22816">
        <f>HYPERLINK("https://www.dofusbook.net/fr/equipement/5917883-iop-f-200/objets", "link")</f>
        <v/>
      </c>
      <c r="C22816" t="n">
        <v>0</v>
      </c>
      <c r="D22816" t="inlineStr">
        <is>
          <t>Marteau des Anciens Steamers; Amulette d'Ilyzaelle; Alliance Gloursonne; Anneau Volkorne; Bouclier d'Ilyzaelle; Ceinture de la Reine des Voleurs; Casque d'Ilyzaelle; Cape de Jahash Jurgen; Bottes de la Reine des Voleurs; Dofus Pourpre; Dofus Abyssal; Dofus Ivoire; Dofus Vulbis; Dofus Ébène; Dofus Ocre; Mini Wa</t>
        </is>
      </c>
    </row>
    <row r="22817">
      <c r="A22817" t="inlineStr">
        <is>
          <t>Iop F 200</t>
        </is>
      </c>
      <c r="B22817">
        <f>HYPERLINK("https://www.dofusbook.net/fr/equipement/5431079-iop-f-200/objets", "link")</f>
        <v/>
      </c>
      <c r="C22817" t="n">
        <v>2</v>
      </c>
      <c r="D22817" t="inlineStr">
        <is>
          <t>Canne Harr; Amulette Volkorne; Bague Trithon; Anneau Volkorne; Quatre-feuilles; Ceintacé; Casque Volkorne; Cape de Jahash Jurgen; Bottes Trithon; Dofus Ocre; Dofus Ébène; Dofus des Glaces; Dofus Turquoise; Dofus Pourpre; Dofus Abyssal; Willy le Relou</t>
        </is>
      </c>
    </row>
    <row r="22818">
      <c r="A22818" t="inlineStr">
        <is>
          <t>Eniripsa F 200</t>
        </is>
      </c>
      <c r="B22818">
        <f>HYPERLINK("https://www.dofusbook.net/fr/equipement/5837292-eniripsa-f-200/objets", "link")</f>
        <v/>
      </c>
      <c r="C22818" t="n">
        <v>0</v>
      </c>
      <c r="D22818" t="inlineStr">
        <is>
          <t>Amulette d'Ilyzaelle; Bouclier d'Ilyzaelle; Ceinture de la Reine des Voleurs; Casque d'Ilyzaelle; Cape Tif; Bottes de la Reine des Voleurs</t>
        </is>
      </c>
    </row>
    <row r="22819">
      <c r="A22819" t="inlineStr">
        <is>
          <t>Ouginak M 200</t>
        </is>
      </c>
      <c r="B22819">
        <f>HYPERLINK("https://www.dofusbook.net/fr/equipement/5823951-ouginak-m-200/objets", "link")</f>
        <v/>
      </c>
      <c r="C22819" t="n">
        <v>0</v>
      </c>
      <c r="D22819" t="inlineStr">
        <is>
          <t>Massier; Amulette Volkorne; Anneauræus; Anneauræus; Bouclier d'Ilyzaelle; Ceinture Volkorne; Heaume Oplate; Voile d'encre; Bottes Innommables; Dofus Pourpre; Dofus Ébène; Dofus Ocre; Dofus Abyssal; Dofus Vulbis; Érudit majeur; Dragodinde Ivoire et Orchidée</t>
        </is>
      </c>
    </row>
    <row r="22820">
      <c r="A22820" t="inlineStr">
        <is>
          <t>Ecaflip F 200</t>
        </is>
      </c>
      <c r="B22820">
        <f>HYPERLINK("https://www.dofusbook.net/fr/equipement/5709955-ecaflip-f-200/objets", "link")</f>
        <v/>
      </c>
      <c r="C22820" t="n">
        <v>1</v>
      </c>
      <c r="D22820" t="inlineStr">
        <is>
          <t>Hache Téroïde; Amulette du Strigide; Chevalière du Roi Joueur; Bague Gloursonne; Quatre-feuilles; Ceinture du Strigide; Couronne du Roi Joueur; Cape au Logis; Bottes du Roi Joueur; Dofus Ocre; Dofus des Glaces; Dofus Émeraude; Dofus Abyssal; Dofus Pourpre; Dofus Turquoise; Pioute vert</t>
        </is>
      </c>
    </row>
    <row r="22821">
      <c r="A22821" t="inlineStr">
        <is>
          <t>Huppermage M 200</t>
        </is>
      </c>
      <c r="B22821">
        <f>HYPERLINK("https://www.dofusbook.net/fr/equipement/5569579-huppermage-m-200/objets", "link")</f>
        <v/>
      </c>
      <c r="C22821" t="n">
        <v>0</v>
      </c>
      <c r="D22821" t="inlineStr">
        <is>
          <t>Pyraguette; Amulette Volkorne; Lavanneau; Anneau Volkorne; Bouclier du Stalak; Ceinture de l'Esprit Salvateur; Masque de l'Esprit Salvateur; Cape de l'Œil Putride; Bottes de l'Esprit Salvateur; Dofus Ocre; Dofus Abyssal; Dofus Vulbis; Dofus des Glaces; Dofus Pourpre; Dofus Ébène; Kramkram</t>
        </is>
      </c>
    </row>
    <row r="22822">
      <c r="A22822" t="inlineStr">
        <is>
          <t>Enutrof M 200</t>
        </is>
      </c>
      <c r="B22822">
        <f>HYPERLINK("https://www.dofusbook.net/fr/equipement/5578417-enutrof-m-200/objets", "link")</f>
        <v/>
      </c>
      <c r="C22822" t="n">
        <v>0</v>
      </c>
      <c r="D22822" t="inlineStr">
        <is>
          <t>Manthache; Collier du Valet Veinard; Alliance Gloursonne; Gant du Valet Veinard; Bouclier du Stalak; Menoture; Couronne d'Allister; Cape Indescriptible; Palmes Trithons; Dofus Ébène; Dofus Pourpre; Equilibriste majeur; Remueur; Cascadeur majeur; Nomade; Siroko</t>
        </is>
      </c>
    </row>
    <row r="22823">
      <c r="A22823" t="inlineStr">
        <is>
          <t>Enutrof M 200</t>
        </is>
      </c>
      <c r="B22823">
        <f>HYPERLINK("https://www.dofusbook.net/fr/equipement/5578332-enutrof-m-200/objets", "link")</f>
        <v/>
      </c>
      <c r="C22823" t="n">
        <v>0</v>
      </c>
      <c r="D22823" t="inlineStr">
        <is>
          <t>Karnak; Collier du Valet Veinard; Anneau d'Allister; Gant du Valet Veinard; Bouclier du Stalak; Sangle Oriole; Couronne d'Allister; Cape du Valet Veinard; Bottes d'Allister; Dofus Pourpre; Dofus Abyssal; Dofus Émeraude; Dofus Ocre; Dofus des Glaces; Dofus Ébène; Blérodoudou</t>
        </is>
      </c>
    </row>
    <row r="22824">
      <c r="A22824" t="inlineStr">
        <is>
          <t>Pandawa F 200</t>
        </is>
      </c>
      <c r="B22824">
        <f>HYPERLINK("https://www.dofusbook.net/fr/equipement/5300612-pandawa-f-200/objets", "link")</f>
        <v/>
      </c>
      <c r="C22824" t="n">
        <v>2</v>
      </c>
      <c r="D22824" t="inlineStr">
        <is>
          <t>Rouleau à Pâtisserie d'Aermyne; Collier Rophante; Alliance Gloursonne; Anneau Tique; Droiture de Fallanster; Ceintacé; Masque d'Anerice; Cape d'Anerice; Sandales des Fonds marins; Dofus Émeraude; Dofus Ivoire; Dofus Abyssal; Bloqueur majeur; Remueur; Obstructeur majeur; Givrefoux</t>
        </is>
      </c>
    </row>
    <row r="22825">
      <c r="A22825" t="inlineStr">
        <is>
          <t>Sadida M 200</t>
        </is>
      </c>
      <c r="B22825">
        <f>HYPERLINK("https://www.dofusbook.net/fr/equipement/5528477-sadida-m-200/objets", "link")</f>
        <v/>
      </c>
      <c r="C22825" t="n">
        <v>0</v>
      </c>
      <c r="D22825" t="inlineStr">
        <is>
          <t>Baguette Héroclite; Amulette d'Ilyzaelle; Anneau Volkorne; Bracelet des Fonds marins; Bouclier du Stalak; Ceinture de la Reine des Voleurs; Casque d'Ilyzaelle; Cape Solution; Bottes de la Reine des Voleurs; Dofus Vulbis; Dofus Abyssal; Dofus Pourpre; Dofus Ébène; Dofus Ocre; Dofus des Glaces; Kanigloups</t>
        </is>
      </c>
    </row>
    <row r="22826">
      <c r="A22826" t="inlineStr">
        <is>
          <t>Iop M 200</t>
        </is>
      </c>
      <c r="B22826">
        <f>HYPERLINK("https://www.dofusbook.net/fr/equipement/5489691-iop-m-200/objets", "link")</f>
        <v/>
      </c>
      <c r="C22826" t="n">
        <v>1</v>
      </c>
      <c r="D22826" t="inlineStr">
        <is>
          <t>Hache Téroïde; Amulette du Strigide; Bague Gloursonne; Bague Trithon; Bouclier du Captain Amakna; Ceinture du Strigide; Corne de Torkélonia; Carapace de Torkélonia; Bottes Trithon; Dofus Ocre; Dofus Abyssal; Dofus Turquoise; Dofus Ébène; Dolmanax; Dofus Vulbis; Sakochère</t>
        </is>
      </c>
    </row>
    <row r="22827">
      <c r="A22827" t="inlineStr">
        <is>
          <t>Sacrieur F 200</t>
        </is>
      </c>
      <c r="B22827">
        <f>HYPERLINK("https://www.dofusbook.net/fr/equipement/5405910-sacrieur-f-200/objets", "link")</f>
        <v/>
      </c>
      <c r="C22827" t="n">
        <v>0</v>
      </c>
      <c r="D22827" t="inlineStr">
        <is>
          <t>Rapière aux Glyphes; Amulette de l'Œil Attentif; Anneau Volkorne; Bracelet des Fonds marins; Bouclier d'Ilyzaelle; Ceinture Volkorne; Masque des Fonds marins; Cape de l'Œil Attentif; Sandales des Fonds marins; Dofus Pourpre; Dofus Ébène; Dofus Ocre; Dofus Abyssal; Dofus Turquoise; Dofus Vulbis; Kanigloups</t>
        </is>
      </c>
    </row>
    <row r="22828">
      <c r="A22828" t="inlineStr">
        <is>
          <t>Iop M 200</t>
        </is>
      </c>
      <c r="B22828">
        <f>HYPERLINK("https://www.dofusbook.net/fr/equipement/5327128-iop-m-200/objets", "link")</f>
        <v/>
      </c>
      <c r="C22828" t="n">
        <v>3</v>
      </c>
      <c r="D22828" t="inlineStr">
        <is>
          <t>Baguette de Torkélonia; Amulette du Cœur Saignant; Anneau Volkorne; Bague Gloursonne; Quatre-feuilles; Ceinture Volkorne; Corne de Torkélonia; Cape du Cœur Saignant; Bottes du Cœur Saignant; Dofus Vulbis; Dofus Ébène; Dofus Pourpre; Dofus Ocre; Dofus Turquoise; Dofus Abyssal; Kokulte</t>
        </is>
      </c>
    </row>
    <row r="22829">
      <c r="A22829" t="inlineStr">
        <is>
          <t>Pandawa F 200</t>
        </is>
      </c>
      <c r="B22829">
        <f>HYPERLINK("https://www.dofusbook.net/fr/equipement/5144267-pandawa-f-200/objets", "link")</f>
        <v/>
      </c>
      <c r="C22829" t="n">
        <v>5</v>
      </c>
      <c r="D22829" t="inlineStr">
        <is>
          <t>Lance Horselé; Collier du Valet Veinard; Gant du Valet Veinard; Alliance Gloursonne; Bouclier du Stalak; Menoture; Dorabysses; Cape de Crânonier; Palmes Trithons; Dofus Abyssal; Dofus Ébène; Dofus Pourpre; Cascadeur majeur; Remueur; Nomade; Bwak d'Air</t>
        </is>
      </c>
    </row>
    <row r="22830">
      <c r="A22830" t="inlineStr">
        <is>
          <t>pvp kolo 2</t>
        </is>
      </c>
      <c r="B22830">
        <f>HYPERLINK("https://www.dofusbook.net/fr/equipement/6013863-pvp-kolo-2/objets", "link")</f>
        <v/>
      </c>
      <c r="C22830" t="n">
        <v>0</v>
      </c>
      <c r="D22830" t="inlineStr">
        <is>
          <t>Dagues d'Ilyzaelle; Collier de Tourthon; Anneau Volkorne; Anneau Crustique; Bouclier du Captain Amakna; Ceinture Volkorne; Corne de Torkélonia; Carapace de Torkélonia; Bottes du Cœur Saignant; Dragodinde Ivoire et Pourpre</t>
        </is>
      </c>
    </row>
    <row r="22831">
      <c r="A22831" t="inlineStr">
        <is>
          <t>Str 3v3 Kolo</t>
        </is>
      </c>
      <c r="B22831">
        <f>HYPERLINK("https://www.dofusbook.net/fr/equipement/4853092-str-3v3-kolo/objets", "link")</f>
        <v/>
      </c>
      <c r="C22831" t="n">
        <v>38</v>
      </c>
      <c r="D22831" t="inlineStr">
        <is>
          <t>Marteau R'ture; Collier de Tourthon; Anneau Chevelu; Anneau Volkorne; Bouclier d'Ilyzaelle; Ceinture Volkorne; Masque de Koutoulou; Cape au Logis; Bottes de la Cour Sombre; Dofus Ocre; Dofus Ébène; Dofus Abyssal; Dofus Pourpre; Dofus Ivoire; Enragé majeur; Dragodinde Ivoire et Pourpre</t>
        </is>
      </c>
    </row>
    <row r="22832">
      <c r="A22832" t="inlineStr">
        <is>
          <t>Dagger Feca agi/crit</t>
        </is>
      </c>
      <c r="B22832">
        <f>HYPERLINK("https://www.dofusbook.net/fr/equipement/5825467-dagger-feca-agi-crit/objets", "link")</f>
        <v/>
      </c>
      <c r="C22832" t="n">
        <v>4</v>
      </c>
      <c r="D22832" t="inlineStr">
        <is>
          <t>Hachoirs de Viandargh; Amulette du Strigide; Alliance Gloursonne; Anneau de Padgref; Bouclier du Captain Amakna; Ceinture du Strigide; Corne de Torkélonia; Carapace de Torkélonia; Bottes du Strigide; Dofus Ocre; Dofus Ébène; Dofus Pourpre; Dofus Ivoire; Dofus Vulbis; Dofus Turquoise; Kokulte</t>
        </is>
      </c>
    </row>
    <row r="22833">
      <c r="A22833" t="inlineStr">
        <is>
          <t>Full str Jahash</t>
        </is>
      </c>
      <c r="B22833">
        <f>HYPERLINK("https://www.dofusbook.net/fr/equipement/5862586-full-str-jahash/objets", "link")</f>
        <v/>
      </c>
      <c r="C22833" t="n">
        <v>36</v>
      </c>
      <c r="D22833" t="inlineStr">
        <is>
          <t>Arc du Chalœil; Collier de Tourthon; Anneau de Brouce; Anneau du Comte Harebourg; Quatre-feuilles; Ceinture de Brouce; Coiffe du Comte Harebourg; Cape de Jahash Jurgen; Bottes de Brouce; Dofus Ébène; Dofus Ocre; Dofus Turquoise; Dofus Pourpre; Dofus Vulbis; Forcené majeur; Bulbisou</t>
        </is>
      </c>
    </row>
    <row r="22834">
      <c r="A22834" t="inlineStr">
        <is>
          <t>Block Türsteher</t>
        </is>
      </c>
      <c r="B22834">
        <f>HYPERLINK("https://www.dofusbook.net/fr/equipement/2115674-block-tursteher/objets", "link")</f>
        <v/>
      </c>
      <c r="C22834" t="n">
        <v>50</v>
      </c>
      <c r="D22834" t="inlineStr">
        <is>
          <t>Rouleau à Pâtisserie d'Aermyne; Collier Rophante; Alliance Gloursonne; Anneau de Pol Ouatnos; Droiture de Fallanster; Ceinture de Dame Jhessica; Casque Dragoeuf; Cape d'Aermyne; Pataugastrique; Dofus Émeraude; Obstructeur majeur; Remueur; Carapace Eau majeur; Miraculé majeur; Bloqueur majeur; Givrefoux</t>
        </is>
      </c>
    </row>
    <row r="22835">
      <c r="A22835" t="inlineStr">
        <is>
          <t>Full Agi</t>
        </is>
      </c>
      <c r="B22835">
        <f>HYPERLINK("https://www.dofusbook.net/fr/equipement/4053343-full-agi/objets", "link")</f>
        <v/>
      </c>
      <c r="C22835" t="n">
        <v>28</v>
      </c>
      <c r="D22835" t="inlineStr">
        <is>
          <t>Crocobur; Collier du Valet Veinard; Alliance Gloursonne; Gant du Valet Veinard; Bouclier d'Ilyzaelle; Menoture; Couronne d'Allister; Cape Indescriptible; Palmes Trithons; Dofus Vulbis; Dofus Pourpre; Dofus Ivoire; Dofus Ocre; Dofus Abyssal; Cascadeur majeur; Blérodoudou</t>
        </is>
      </c>
    </row>
    <row r="22836">
      <c r="A22836" t="inlineStr">
        <is>
          <t>Ap Rape</t>
        </is>
      </c>
      <c r="B22836">
        <f>HYPERLINK("https://www.dofusbook.net/fr/equipement/5940873-ap-rape/objets", "link")</f>
        <v/>
      </c>
      <c r="C22836" t="n">
        <v>0</v>
      </c>
      <c r="D22836" t="inlineStr">
        <is>
          <t>Lav'Hache; Collier de Tourthon; Anneau Chevelu; Anneau Crustique; Sept ans de malheur; Ceinture de la Cour Sombre; Masque de Koutoulou; Cape au Logis; Bottes de la Cour Sombre; Dofus Ocre; Dofus Ébène; Dofus Abyssal; Dofus Pourpre; Dofus Ivoire; Étourdisseur majeur; Drakopin</t>
        </is>
      </c>
    </row>
    <row r="22837">
      <c r="A22837" t="inlineStr">
        <is>
          <t>Int Tumult</t>
        </is>
      </c>
      <c r="B22837">
        <f>HYPERLINK("https://www.dofusbook.net/fr/equipement/4800883-int-tumult/objets", "link")</f>
        <v/>
      </c>
      <c r="C22837" t="n">
        <v>8</v>
      </c>
      <c r="D22837" t="inlineStr">
        <is>
          <t>Arc corrompu; Amulette Volkorne; Anneauræus; Anneauræus; Bouclier du Stalak; Ceinture Volkorne; Heaume Oplate; Cape de Jahash Jurgen; Pataugastrique; Dofus Pourpre; Dofus Ébène; Dofus Abyssal; Dofus Ivoire; Érudit majeur; Nomade; Bisouglours</t>
        </is>
      </c>
    </row>
    <row r="22838">
      <c r="A22838" t="inlineStr">
        <is>
          <t>Torkelonia</t>
        </is>
      </c>
      <c r="B22838">
        <f>HYPERLINK("https://www.dofusbook.net/fr/equipement/5876899-torkelonia-/objets", "link")</f>
        <v/>
      </c>
      <c r="C22838" t="n">
        <v>4</v>
      </c>
      <c r="D22838" t="inlineStr">
        <is>
          <t>Dagues d'Ilyzaelle; Amulette du Strigide; Anneau Crustique; Bague Gloursonne; Bouclier du Captain Amakna; Ceinture du Strigide; Corne de Torkélonia; Carapace de Torkélonia; Bottes du Strigide; Dofus Ocre; Dofus Ébène; Dofus Pourpre; Dofus Ivoire; Dofus Vulbis; Dofus Turquoise; Kokulte</t>
        </is>
      </c>
    </row>
    <row r="22839">
      <c r="A22839" t="inlineStr">
        <is>
          <t>Bullshit</t>
        </is>
      </c>
      <c r="B22839">
        <f>HYPERLINK("https://www.dofusbook.net/fr/equipement/5496664-bullshit/objets", "link")</f>
        <v/>
      </c>
      <c r="C22839" t="n">
        <v>11</v>
      </c>
      <c r="D22839" t="inlineStr">
        <is>
          <t>Baguette du Dragoeuf; Amulette du Strigide; Anneau de Padgref; Bague Trithon; Quatre-feuilles; Ceinture du Strigide; Corne de Torkélonia; Carapace de Torkélonia; Bottes du Strigide; Dofus Ocre; Dofus Ébène; Dofus Pourpre; Dofus Ivoire; Dofus Vulbis; Dofus Turquoise; Kokulte</t>
        </is>
      </c>
    </row>
    <row r="22840">
      <c r="A22840" t="inlineStr">
        <is>
          <t>Cha Jahash</t>
        </is>
      </c>
      <c r="B22840">
        <f>HYPERLINK("https://www.dofusbook.net/fr/equipement/5713247-cha-jahash/objets", "link")</f>
        <v/>
      </c>
      <c r="C22840" t="n">
        <v>1</v>
      </c>
      <c r="D22840" t="inlineStr">
        <is>
          <t>Crocobur; Amulette de Shokkoth; Anneau Volkorne; Alliance Gloursonne; Bouclier d'Ilyzaelle; Ceinture Volkorne; Kidibonnet; Cape de Jahash Jurgen; Bottes du Sinistrofu; Dofus Ocre; Dofus Ébène; Dofus Ivoire; Dofus Vulbis; Dofus Abyssal; Chanceux majeur; Kanigloups</t>
        </is>
      </c>
    </row>
    <row r="22841">
      <c r="A22841" t="inlineStr">
        <is>
          <t>Int</t>
        </is>
      </c>
      <c r="B22841">
        <f>HYPERLINK("https://www.dofusbook.net/fr/equipement/5658261-int-/objets", "link")</f>
        <v/>
      </c>
      <c r="C22841" t="n">
        <v>1</v>
      </c>
      <c r="D22841" t="inlineStr">
        <is>
          <t>Massier; Amulette Volkorne; Anneau Volkorne; Anneauræus; Droiture de Fallanster; Croture; Heaume Oplate; Voile d'encre; Pataugastrique; Dofus Pourpre; Dofus Ivoire; Dofus Vulbis; Dofus Ébène; Dofus Abyssal; Érudit majeur; Bisouglours</t>
        </is>
      </c>
    </row>
    <row r="22842">
      <c r="A22842" t="inlineStr">
        <is>
          <t>Torkelonia</t>
        </is>
      </c>
      <c r="B22842">
        <f>HYPERLINK("https://www.dofusbook.net/fr/equipement/5764502-torkelonia/objets", "link")</f>
        <v/>
      </c>
      <c r="C22842" t="n">
        <v>1</v>
      </c>
      <c r="D22842" t="inlineStr">
        <is>
          <t>Baguette de Torkélonia; Amulette du Strigide; Bague Gloursonne; Alliance Gloursonne; Quatre-feuilles; Ceinture du Strigide; Corne de Torkélonia; Carapace de Torkélonia; Bottes du Strigide; Dofus Turquoise; Dofus Pourpre; Dofus Ivoire; Dofus Ocre; Dofus des Glaces; Dofus Ébène; Kokulte</t>
        </is>
      </c>
    </row>
    <row r="22843">
      <c r="A22843" t="inlineStr">
        <is>
          <t>Bp entzug</t>
        </is>
      </c>
      <c r="B22843">
        <f>HYPERLINK("https://www.dofusbook.net/fr/equipement/1950585-bp-entzug/objets", "link")</f>
        <v/>
      </c>
      <c r="C22843" t="n">
        <v>47</v>
      </c>
      <c r="D22843" t="inlineStr">
        <is>
          <t>Arc Hétype; Amulette de Nileza; Anneau Tamie; Anneau Tamie; Bouclier cubiste; Sangle Aise; Couronne de Nidas; Cape de Nileza; Pantoufles Émar; Fonceur majeur; Ralentisseur majeur; Nomade; Entraveur majeur; Temporiseur; Temporiseur majeur; Léopardo</t>
        </is>
      </c>
    </row>
    <row r="22844">
      <c r="A22844" t="inlineStr">
        <is>
          <t>Str</t>
        </is>
      </c>
      <c r="B22844">
        <f>HYPERLINK("https://www.dofusbook.net/fr/equipement/1862223-str-/objets", "link")</f>
        <v/>
      </c>
      <c r="C22844" t="n">
        <v>3</v>
      </c>
      <c r="D22844" t="inlineStr">
        <is>
          <t>Arc du Chalœil; Collier de Tourthon; Anneau de Brouce; Bracelet du Piloztère; Quatre-feuilles; Ceinture Gence; Masque de Koutoulou; Cape au Logis; Bottes de Brouce; Dofus des Glaces; Dofus Ébène; Dofus Pourpre; Vigoureux majeur; Enragé majeur; Forcené majeur; Bulbisou</t>
        </is>
      </c>
    </row>
    <row r="22845">
      <c r="A22845" t="inlineStr">
        <is>
          <t>Int/str</t>
        </is>
      </c>
      <c r="B22845">
        <f>HYPERLINK("https://www.dofusbook.net/fr/equipement/3945682-int-str/objets", "link")</f>
        <v/>
      </c>
      <c r="C22845" t="n">
        <v>5</v>
      </c>
      <c r="D22845" t="inlineStr">
        <is>
          <t>Hache Téroïde; Amulette Volkorne; Chevalière du Roi Joueur; Anneau Volkorne; Quatre-feuilles; Ceinture Volkorne; Couronne du Roi Joueur; Voile d'encre; Bottes du Roi Joueur; Dofus Turquoise; Dofus Ébène; Dofus Ocre; Dofus Ivoire; Dofus Pourpre; Dofus des Glaces; Sakochère</t>
        </is>
      </c>
    </row>
    <row r="22846">
      <c r="A22846" t="inlineStr">
        <is>
          <t>Str/Block</t>
        </is>
      </c>
      <c r="B22846">
        <f>HYPERLINK("https://www.dofusbook.net/fr/equipement/5651263-str-block/objets", "link")</f>
        <v/>
      </c>
      <c r="C22846" t="n">
        <v>2</v>
      </c>
      <c r="D22846" t="inlineStr">
        <is>
          <t>Héqache; Collier de Tourthon; Anneau Crustique; Anneau Crustique; Bouclier alvéolé; Ceinture du Strigide; Masque de Koutoulou; Cape au Logis; Bottes du Strigide; Dofus Pourpre; Obstructeur majeur; Bloqueur majeur; Forcené majeur; Remueur; Enragé majeur; Dragodinde Ivoire et Pourpre</t>
        </is>
      </c>
    </row>
    <row r="22847">
      <c r="A22847" t="inlineStr">
        <is>
          <t>Int/Ap-Entzug</t>
        </is>
      </c>
      <c r="B22847">
        <f>HYPERLINK("https://www.dofusbook.net/fr/equipement/5595927-int-ap-entzug/objets", "link")</f>
        <v/>
      </c>
      <c r="C22847" t="n">
        <v>0</v>
      </c>
      <c r="D22847" t="inlineStr">
        <is>
          <t>Arc corrompu; Amulette Volkorne; Anneauræus; Anneauræus; Bouclier du Stalak; Croture; Heaume Oplate; Voile d'encre; Pataugastrique; Dofus Argenté; Dofus Ivoire; Dofus Ébène; Dofus Pourpre; Dofus Abyssal; Dofus Vulbis; Koalak Sanguin</t>
        </is>
      </c>
    </row>
    <row r="22848">
      <c r="A22848" t="inlineStr">
        <is>
          <t>Kolo 1.0</t>
        </is>
      </c>
      <c r="B22848">
        <f>HYPERLINK("https://www.dofusbook.net/fr/equipement/3876967-kolo-1-0/objets", "link")</f>
        <v/>
      </c>
      <c r="C22848" t="n">
        <v>61</v>
      </c>
      <c r="D22848" t="inlineStr">
        <is>
          <t>Arc corrompu; Amulette Volkorne; Anneauræus; Anneauræus; Bouclier du Stalak; Ceinture Volkorne; Heaume Oplate; Voile d'encre; Bottes Innommables; Dofus Vulbis; Dofus Pourpre; Dofus Ocre; Dofus Ébène; Dofus Ivoire; Érudit majeur; Bisouglours</t>
        </is>
      </c>
    </row>
    <row r="22849">
      <c r="A22849" t="inlineStr">
        <is>
          <t>Kolo 2.0</t>
        </is>
      </c>
      <c r="B22849">
        <f>HYPERLINK("https://www.dofusbook.net/fr/equipement/489329-kolo-2-0/objets", "link")</f>
        <v/>
      </c>
      <c r="C22849" t="n">
        <v>10</v>
      </c>
      <c r="D22849" t="inlineStr">
        <is>
          <t>Arc corrompu; Amulette Volkorne; Anneau Volkorne; Anneauræus; Bouclier du Stalak; Croture; Heaume Oplate; Voile d'encre; Bottes Innommables; Dofus Vulbis; Dofus Ocre; Dofus Pourpre; Dofus Ivoire; Dofus Abyssal; Érudit majeur; Bisouglours</t>
        </is>
      </c>
    </row>
    <row r="22850">
      <c r="A22850" t="inlineStr">
        <is>
          <t>Iop Agi</t>
        </is>
      </c>
      <c r="B22850">
        <f>HYPERLINK("https://www.dofusbook.net/fr/equipement/5573351-iop-agi/objets", "link")</f>
        <v/>
      </c>
      <c r="C22850" t="n">
        <v>0</v>
      </c>
      <c r="D22850" t="inlineStr">
        <is>
          <t>Manthache; Collier du Valet Veinard; Alliance Gloursonne; Gant du Valet Veinard; Bouclier du Stalak; Menoture; Dorabysses; Cape de Jahash Jurgen; Palmes Trithons; Dofus Vulbis; Dofus Ocre; Dofus Ébène; Dofus Pourpre; Dofus Ivoire; Cascadeur majeur; Blérodoudou</t>
        </is>
      </c>
    </row>
    <row r="22851">
      <c r="A22851" t="inlineStr">
        <is>
          <t>Feca block</t>
        </is>
      </c>
      <c r="B22851">
        <f>HYPERLINK("https://www.dofusbook.net/fr/equipement/5526247-feca-block/objets", "link")</f>
        <v/>
      </c>
      <c r="C22851" t="n">
        <v>0</v>
      </c>
      <c r="D22851" t="inlineStr">
        <is>
          <t>Rouleau à Pâtisserie d'Aermyne; Collier Rophante; Anneau de Pol Ouatnos; Alliance Gloursonne; Droiture de Fallanster; Ceinture de Kongoku; Casque Dragoeuf; Cape d'Aermyne; Pataugastrique; Dofus Émeraude; Dofus Ivoire; Obstructeur majeur; Remueur; Miraculé majeur; Bloqueur majeur; Platypus</t>
        </is>
      </c>
    </row>
    <row r="22852">
      <c r="A22852" t="inlineStr">
        <is>
          <t>Cha feca</t>
        </is>
      </c>
      <c r="B22852">
        <f>HYPERLINK("https://www.dofusbook.net/fr/equipement/5522619-cha-feca/objets", "link")</f>
        <v/>
      </c>
      <c r="C22852" t="n">
        <v>0</v>
      </c>
      <c r="D22852" t="inlineStr">
        <is>
          <t>Baguette Hique; Collier de la Dame du Hasard; Alliance Gloursonne; Anneau Volkorne; Quatre-feuilles; Sangle Ouare; Kidibonnet; Cape Solution; Bottes de la Dame du Hasard; Dofus Pourpre; Dofus des Glaces; Dofus Ébène; Dofus Turquoise; Chanceux majeur; Vigoureux majeur; Kanigloups</t>
        </is>
      </c>
    </row>
    <row r="22853">
      <c r="A22853" t="inlineStr">
        <is>
          <t>Agi Feca</t>
        </is>
      </c>
      <c r="B22853">
        <f>HYPERLINK("https://www.dofusbook.net/fr/equipement/5517706-agi-feca/objets", "link")</f>
        <v/>
      </c>
      <c r="C22853" t="n">
        <v>0</v>
      </c>
      <c r="D22853" t="inlineStr">
        <is>
          <t>Manthache; Collier du Valet Veinard; Alliance Gloursonne; Gant du Valet Veinard; Bouclier d'Ilyzaelle; Menoture; Couronne d'Allister; Cape Indescriptible; Palmes Trithons; Dofus Ivoire; Dofus Vulbis; Dofus Ocre; Dofus Ébène; Dofus Pourpre; Cascadeur majeur; Blérodoudou</t>
        </is>
      </c>
    </row>
    <row r="22854">
      <c r="A22854" t="inlineStr">
        <is>
          <t>PvM Cha</t>
        </is>
      </c>
      <c r="B22854">
        <f>HYPERLINK("https://www.dofusbook.net/fr/equipement/2714566-pvm-cha/objets", "link")</f>
        <v/>
      </c>
      <c r="C22854" t="n">
        <v>10</v>
      </c>
      <c r="D22854" t="inlineStr">
        <is>
          <t>Dagoulinantes; Amulette de Shokkoth; Alliance Gloursonne; Anneau Volkorne; Bouclier du Stalak; Ceinture Volkorne; Kidibonnet; Cape Solution; Bottes du Sinistrofu; Dofus Pourpre; Dofus Vulbis; Dofus Ébène; Chanceux majeur; Vigoureux majeur; Taquin majeur; Kanigloups</t>
        </is>
      </c>
    </row>
    <row r="22855">
      <c r="A22855" t="inlineStr">
        <is>
          <t>Agi Sac</t>
        </is>
      </c>
      <c r="B22855">
        <f>HYPERLINK("https://www.dofusbook.net/fr/equipement/5474914-agi-sac/objets", "link")</f>
        <v/>
      </c>
      <c r="C22855" t="n">
        <v>2</v>
      </c>
      <c r="D22855" t="inlineStr">
        <is>
          <t>Manthache; Collier du Valet Veinard; Alliance Gloursonne; Gant du Valet Veinard; Bouclier d'Ilyzaelle; Menoture; Masquegel; Cape Martegel; Palmes Trithons; Dofus Émeraude; Dofus Ivoire; Dofus Vulbis; Dofus Ocre; Dofus Ébène; Dofus Pourpre; Dragodinde Ebène et Ivoire</t>
        </is>
      </c>
    </row>
    <row r="22856">
      <c r="A22856" t="inlineStr">
        <is>
          <t>Agi</t>
        </is>
      </c>
      <c r="B22856">
        <f>HYPERLINK("https://www.dofusbook.net/fr/equipement/5368326-agi/objets", "link")</f>
        <v/>
      </c>
      <c r="C22856" t="n">
        <v>4</v>
      </c>
      <c r="D22856" t="inlineStr">
        <is>
          <t>Épée du Granduk; Amulette du Strigide; Anneau de Padgref; Alliance Brûlâme; Bouclier du Captain Amakna; Ceinture du Strigide; Corne de Torkélonia; Carapace de Torkélonia; Bottes du Strigide; Dofus Vulbis; Dofus des Glaces; Dofus Ocre; Dofus Turquoise; Dofus Pourpre; Dofus Ébène; Pioute jaune</t>
        </is>
      </c>
    </row>
    <row r="22857">
      <c r="A22857" t="inlineStr">
        <is>
          <t>Cha/Pb</t>
        </is>
      </c>
      <c r="B22857">
        <f>HYPERLINK("https://www.dofusbook.net/fr/equipement/5486068-cha-pb/objets", "link")</f>
        <v/>
      </c>
      <c r="C22857" t="n">
        <v>1</v>
      </c>
      <c r="D22857" t="inlineStr">
        <is>
          <t>Dagoulinantes; Amulette Luminescente; Bague Instable; Alliance Gloursonne; Bouclier d'Ilyzaelle; Sangle Ouare; Masque Paztek; Cape Solution; Sandales Paztek; Dofus Ocre; Dokoko; Dofus Ivoire; Dofus Argenté; Dofus Ébène; Culbuteur majeur; Écumouth</t>
        </is>
      </c>
    </row>
    <row r="22858">
      <c r="A22858" t="inlineStr">
        <is>
          <t>Str/pb</t>
        </is>
      </c>
      <c r="B22858">
        <f>HYPERLINK("https://www.dofusbook.net/fr/equipement/3585373-str-pb/objets", "link")</f>
        <v/>
      </c>
      <c r="C22858" t="n">
        <v>17</v>
      </c>
      <c r="D22858" t="inlineStr">
        <is>
          <t>Héqache; Torquistik; Anneau Chevelu; Anneau Crustique; Bouclier d'Ilyzaelle; Ceinture Gence; Masque de Koutoulou; Cape au Logis; Bottistik; Dokoko; Dofus Ébène; Dofus Argenté; Dofus Ivoire; Bousculeur majeur; Culbuteur majeur; Black Tiwabbit</t>
        </is>
      </c>
    </row>
    <row r="22859">
      <c r="A22859" t="inlineStr">
        <is>
          <t>Agi</t>
        </is>
      </c>
      <c r="B22859">
        <f>HYPERLINK("https://www.dofusbook.net/fr/equipement/1236836-agi/objets", "link")</f>
        <v/>
      </c>
      <c r="C22859" t="n">
        <v>20</v>
      </c>
      <c r="D22859" t="inlineStr">
        <is>
          <t>Manthache; Collier du Valet Veinard; Alliance Gloursonne; Gant du Valet Veinard; Bouclier du Stalak; Menoture; Couronne d'Allister; Cape de Jahash Jurgen; Palmes Trithons; Dofus Ivoire; Dofus Vulbis; Dofus Ocre; Dofus Ébène; Dofus Pourpre; Cascadeur majeur; Blérodoudou</t>
        </is>
      </c>
    </row>
    <row r="22860">
      <c r="A22860" t="inlineStr">
        <is>
          <t>Str</t>
        </is>
      </c>
      <c r="B22860">
        <f>HYPERLINK("https://www.dofusbook.net/fr/equipement/3877535-str/objets", "link")</f>
        <v/>
      </c>
      <c r="C22860" t="n">
        <v>1</v>
      </c>
      <c r="D22860" t="inlineStr">
        <is>
          <t>Epée Kari; Collier de Tourthon; Anneau Crustique; Anneau de Brouce; Bouclier du Captain Amakna; Ceinture Gence; Masque de Koutoulou; Cape au Logis; Bottes de Brouce; Dofus Pourpre; Dofus Ivoire; Dofus Ébène; Dofus Turquoise; Enragé majeur; Forcené majeur; Bulbisou</t>
        </is>
      </c>
    </row>
    <row r="22861">
      <c r="A22861" t="inlineStr">
        <is>
          <t>Ougi</t>
        </is>
      </c>
      <c r="B22861">
        <f>HYPERLINK("https://www.dofusbook.net/fr/equipement/4882946-ougi/objets", "link")</f>
        <v/>
      </c>
      <c r="C22861" t="n">
        <v>6</v>
      </c>
      <c r="D22861" t="inlineStr">
        <is>
          <t>Marteau R'ture; Collier de Tourthon; Anneau Volkorne; Anneau Chevelu; Bouclier d'Ilyzaelle; Ceinture Volkorne; Masque de Koutoulou; Cape au Logis; Bottes de la Cour Sombre; Dofus Ébène; Dofus Ivoire; Dofus Abyssal; Dofus Ocre; Dofus Pourpre; Enragé majeur; Bulbisou</t>
        </is>
      </c>
    </row>
    <row r="22862">
      <c r="A22862" t="inlineStr">
        <is>
          <t>new set</t>
        </is>
      </c>
      <c r="B22862">
        <f>HYPERLINK("https://www.dofusbook.net/fr/equipement/5377228-new-set/objets", "link")</f>
        <v/>
      </c>
      <c r="C22862" t="n">
        <v>1</v>
      </c>
      <c r="D22862" t="inlineStr">
        <is>
          <t>Baguette de Torkélonia; Amulette du Strigide; Bague Gloursonne; Alliance Gloursonne; Quatre-feuilles; Ceinture du Strigide; Corne de Torkélonia; Carapace de Torkélonia; Bottes du Strigide; Dofus Pourpre; Dofus Ébène; Dofus Ocre; Dofus Ivoire; Dofus Turquoise; Dofus des Glaces; Kokulte</t>
        </is>
      </c>
    </row>
    <row r="22863">
      <c r="A22863" t="inlineStr">
        <is>
          <t>Crit cha/int</t>
        </is>
      </c>
      <c r="B22863">
        <f>HYPERLINK("https://www.dofusbook.net/fr/equipement/1874614-crit-cha-int/objets", "link")</f>
        <v/>
      </c>
      <c r="C22863" t="n">
        <v>3</v>
      </c>
      <c r="D22863" t="inlineStr">
        <is>
          <t>Sabres d'Atcham; Amulette du Strigide; Bracelet du Piloztère; Anneau de Padgref; Quatre-feuilles; Ceinture du Strigide; Coiffe de Padgref; Cape de Jahash Jurgen; Getas de Padgref; Dofus des Glaces; Dofus Turquoise; Dofus Pourpre; Dofus Ocre; Dofus Ébène; Dofus Vulbis; Kokulte</t>
        </is>
      </c>
    </row>
    <row r="22864">
      <c r="A22864" t="inlineStr">
        <is>
          <t>Int/cha krit</t>
        </is>
      </c>
      <c r="B22864">
        <f>HYPERLINK("https://www.dofusbook.net/fr/equipement/5268535-int-cha-krit/objets", "link")</f>
        <v/>
      </c>
      <c r="C22864" t="n">
        <v>7</v>
      </c>
      <c r="D22864" t="inlineStr">
        <is>
          <t>Arc Nécrotique; Amulette Volkorne; Alliance Gloursonne; Anneau Volkorne; Quatre-feuilles; Ceinture Volkorne; Kidibonnet; Cape de la Dame du Hasard; Bottes de la Dame du Hasard; Dofus Pourpre; Dofus des Glaces; Dofus Ocre; Dofus Ébène; Dofus Turquoise; Dofus Ivoire; Kokulte</t>
        </is>
      </c>
    </row>
    <row r="22865">
      <c r="A22865" t="inlineStr">
        <is>
          <t>multi krit dmg</t>
        </is>
      </c>
      <c r="B22865">
        <f>HYPERLINK("https://www.dofusbook.net/fr/equipement/5331806-multi-krit-dmg/objets", "link")</f>
        <v/>
      </c>
      <c r="C22865" t="n">
        <v>2</v>
      </c>
      <c r="D22865" t="inlineStr">
        <is>
          <t>Hache du Chalœil; Amulette Volkorne; Bague Trithon; Anneau Volkorne; Quatre-feuilles; Ceinture Volkorne; Masque Trithon; Cape de Jahash Jurgen; Bottes Trithon; Dofus Ocre; Dofus Ivoire; Dofus Turquoise; Dofus des Glaces; Dofus Pourpre; Dofus Ébène; Kokulte</t>
        </is>
      </c>
    </row>
    <row r="22866">
      <c r="A22866" t="inlineStr">
        <is>
          <t>Str</t>
        </is>
      </c>
      <c r="B22866">
        <f>HYPERLINK("https://www.dofusbook.net/fr/equipement/1059359-str/objets", "link")</f>
        <v/>
      </c>
      <c r="C22866" t="n">
        <v>6</v>
      </c>
      <c r="D22866" t="inlineStr">
        <is>
          <t>Arc du Chalœil; Collier de Tourthon; Anneau Chevelu; Anneau Volkorne; Bouclier du Stalak; Ceinture Volkorne; Masque de Koutoulou; Cape de Jahash Jurgen; Bottes Honyme; Dofus Ébène; Dofus Abyssal; Dofus Ivoire; Dofus Pourpre; Enragé majeur; Nomade; Bulbisou</t>
        </is>
      </c>
    </row>
    <row r="22867">
      <c r="A22867" t="inlineStr">
        <is>
          <t>Int/crit</t>
        </is>
      </c>
      <c r="B22867">
        <f>HYPERLINK("https://www.dofusbook.net/fr/equipement/2880700-int-crit/objets", "link")</f>
        <v/>
      </c>
      <c r="C22867" t="n">
        <v>1</v>
      </c>
      <c r="D22867" t="inlineStr">
        <is>
          <t>Arc Volkorne; Amulette Volkorne; Anneau de Padgref; Anneau Volkorne; Quatre-feuilles; Ceinture Volkorne; Coiffe de Padgref; Cape d'Atcham; Getas de Padgref; Dofus Ébène; Dofus Ocre; Dolmanax; Dofus des Glaces; Dofus Pourpre; Dofus Turquoise; Kokulte</t>
        </is>
      </c>
    </row>
    <row r="22868">
      <c r="A22868" t="inlineStr">
        <is>
          <t>Cha/agi Pvm</t>
        </is>
      </c>
      <c r="B22868">
        <f>HYPERLINK("https://www.dofusbook.net/fr/equipement/4125682-cha-agi-pvm/objets", "link")</f>
        <v/>
      </c>
      <c r="C22868" t="n">
        <v>0</v>
      </c>
      <c r="D22868" t="inlineStr">
        <is>
          <t>Sceptre du Roi Joueur; Amulette de Shokkoth; Alliance Gloursonne; Anneau Volkorne; Bouclier du Stalak; Sangle Ouare; Kidibonnet; Cape de Jahash Jurgen; Pataugastrique; Dofus Ivoire; Dofus Nébuleux; Dofus Ébène; Dofus Pourpre; Taquin majeur; Chanceux majeur; Pioute bleu</t>
        </is>
      </c>
    </row>
    <row r="22869">
      <c r="A22869" t="inlineStr">
        <is>
          <t>Int Tumult build 5v5</t>
        </is>
      </c>
      <c r="B22869">
        <f>HYPERLINK("https://www.dofusbook.net/fr/equipement/3395294-int-tumult-build-5v5/objets", "link")</f>
        <v/>
      </c>
      <c r="C22869" t="n">
        <v>12</v>
      </c>
      <c r="D22869" t="inlineStr">
        <is>
          <t>Arc corrompu; Amulette Martegel; Anneauræus; Anneauræus; Bouclier du Stalak; Ceinture de Gein; Heaume Oplate; Cape Martegel; Pataugastrique; Dofus Nébuleux; Dofus Ivoire; Dofus Pourpre; Dofus Ébène; Nomade; Érudit majeur; Dragodinde Amande et Orchidée</t>
        </is>
      </c>
    </row>
    <row r="22870">
      <c r="A22870" t="inlineStr">
        <is>
          <t>Full int</t>
        </is>
      </c>
      <c r="B22870">
        <f>HYPERLINK("https://www.dofusbook.net/fr/equipement/3157637-full-int/objets", "link")</f>
        <v/>
      </c>
      <c r="C22870" t="n">
        <v>0</v>
      </c>
      <c r="D22870" t="inlineStr">
        <is>
          <t>Arc corrompu; Amulette Volkorne; Anneauræus; Anneauræus; Bouclier du Stalak; Ceinture Volkorne; Heaume Oplate; Voile d'encre; Pataugastrique; Dofus Abyssal; Dofus Ivoire; Dofus Ébène; Dofus Pourpre; Nomade; Érudit majeur; Bisouglours</t>
        </is>
      </c>
    </row>
    <row r="22871">
      <c r="A22871" t="inlineStr">
        <is>
          <t>Full str</t>
        </is>
      </c>
      <c r="B22871">
        <f>HYPERLINK("https://www.dofusbook.net/fr/equipement/489328-full-str/objets", "link")</f>
        <v/>
      </c>
      <c r="C22871" t="n">
        <v>15</v>
      </c>
      <c r="D22871" t="inlineStr">
        <is>
          <t>Marteau R'ture; Collier de Tourthon; Anneau Chevelu; Anneau Volkorne; Bouclier d'Ilyzaelle; Ceinture Volkorne; Masque de Koutoulou; Cape de Jahash Jurgen; Bottes de la Cour Sombre; Dofus Ébène; Dofus Abyssal; Dofus Pourpre; Dofus Ocre; Dofus Ivoire; Nomade; Bulbisou</t>
        </is>
      </c>
    </row>
    <row r="22872">
      <c r="A22872" t="inlineStr">
        <is>
          <t>Cha Pvp</t>
        </is>
      </c>
      <c r="B22872">
        <f>HYPERLINK("https://www.dofusbook.net/fr/equipement/4053566-cha-pvp/objets", "link")</f>
        <v/>
      </c>
      <c r="C22872" t="n">
        <v>28</v>
      </c>
      <c r="D22872" t="inlineStr">
        <is>
          <t>Sceptre du Roi Joueur; Amulette de Shokkoth; Anneau Volkorne; Alliance Gloursonne; Bouclier du Stalak; Sangle Ouare; Némès de Tal Kasha; Chevelure de Tal Kasha; Pataugastrique; Dofus Ivoire; Dofus Ébène; Dofus Ocre; Dofus Pourpre; Dofus Abyssal; Chanceux majeur; Pioute bleu</t>
        </is>
      </c>
    </row>
    <row r="22873">
      <c r="A22873" t="inlineStr">
        <is>
          <t>Cha</t>
        </is>
      </c>
      <c r="B22873">
        <f>HYPERLINK("https://www.dofusbook.net/fr/equipement/4968641-cha/objets", "link")</f>
        <v/>
      </c>
      <c r="C22873" t="n">
        <v>0</v>
      </c>
      <c r="D22873" t="inlineStr">
        <is>
          <t>Baguette Héroclite; Amulette de Shokkoth; Anneau Volkorne; Bracelet des Fonds marins; Quatre-feuilles; Ceinture Volkorne; Capuche de l'Œil Attentif; Cape Solution; Bottes du Sinistrofu; Dofus Ébène; Dofus Turquoise; Dofus Pourpre; Nomade; Chanceux majeur; Taquin majeur; Kanigloups</t>
        </is>
      </c>
    </row>
    <row r="22874">
      <c r="A22874" t="inlineStr">
        <is>
          <t>Str Rykke Errel</t>
        </is>
      </c>
      <c r="B22874">
        <f>HYPERLINK("https://www.dofusbook.net/fr/equipement/2956412-str-rykke-errel/objets", "link")</f>
        <v/>
      </c>
      <c r="C22874" t="n">
        <v>60</v>
      </c>
      <c r="D22874" t="inlineStr">
        <is>
          <t>Marteau R'ture; Collier de Tourthon; Anneau Chevelu; Anneau Volkorne; Bouclier d'Ilyzaelle; Ceinture Volkorne; Masque de Koutoulou; Bravoure de Rykke Errel; Bottes de la Cour Sombre; Dofus Ébène; Dofus Abyssal; Dofus Pourpre; Dofus Ivoire; Dofus Ocre; Nomade; Bulbisou</t>
        </is>
      </c>
    </row>
    <row r="22875">
      <c r="A22875" t="inlineStr">
        <is>
          <t>Full str 1.0</t>
        </is>
      </c>
      <c r="B22875">
        <f>HYPERLINK("https://www.dofusbook.net/fr/equipement/3648309-full-str-1-0/objets", "link")</f>
        <v/>
      </c>
      <c r="C22875" t="n">
        <v>50</v>
      </c>
      <c r="D22875" t="inlineStr">
        <is>
          <t>Arc du Chalœil; Collier de Tourthon; Anneau de Brouce; Anneau Crustique; Quatre-feuilles; Ceinture Gence; Masque de Koutoulou; Cape au Logis; Bottes de Brouce; Dofus Turquoise; Dofus Pourpre; Dofus Ébène; Enragé majeur; Vigoureux majeur; Forcené majeur; Bulbisou</t>
        </is>
      </c>
    </row>
    <row r="22876">
      <c r="A22876" t="inlineStr">
        <is>
          <t>Cha/agi</t>
        </is>
      </c>
      <c r="B22876">
        <f>HYPERLINK("https://www.dofusbook.net/fr/equipement/4885335-cha-agi/objets", "link")</f>
        <v/>
      </c>
      <c r="C22876" t="n">
        <v>1</v>
      </c>
      <c r="D22876" t="inlineStr">
        <is>
          <t>Arc de Koutoulou; Amulette d'Ilyzaelle; Alliance Gloursonne; Anneau Volkorne; Bouclier du Stalak; Menoture; Casque Volkorne; Cape Solution; Bottes de la Reine des Voleurs; Dofus Ivoire; Dofus Pourpre; Dofus Ébène; Chanceux majeur; Nomade; Cascadeur majeur; Mini Wa</t>
        </is>
      </c>
    </row>
    <row r="22877">
      <c r="A22877" t="inlineStr">
        <is>
          <t>Crocobur</t>
        </is>
      </c>
      <c r="B22877">
        <f>HYPERLINK("https://www.dofusbook.net/fr/equipement/4878133-crocobur/objets", "link")</f>
        <v/>
      </c>
      <c r="C22877" t="n">
        <v>8</v>
      </c>
      <c r="D22877" t="inlineStr">
        <is>
          <t>Crocobur; Amulette du Cœur Saignant; Anneau Volkorne; Anneau Crustique; Bouclier du Captain Amakna; Ceinture Volkorne; Masque de Koutoulou; Cape du Cœur Saignant; Bottes du Cœur Saignant; Dofus Turquoise; Dofus Abyssal; Dofus Vulbis; Dofus Ivoire; Dofus Pourpre; Dofus Ébène; Pioute vert</t>
        </is>
      </c>
    </row>
    <row r="22878">
      <c r="A22878" t="inlineStr">
        <is>
          <t>Agi 2.0</t>
        </is>
      </c>
      <c r="B22878">
        <f>HYPERLINK("https://www.dofusbook.net/fr/equipement/4798616-agi-2-0/objets", "link")</f>
        <v/>
      </c>
      <c r="C22878" t="n">
        <v>6</v>
      </c>
      <c r="D22878" t="inlineStr">
        <is>
          <t>Pelle de la Cour Sombre; Collier du Valet Veinard; Gant du Valet Veinard; Anneau d'Allister; Bouclier du Stalak; Ceinture du Nocturlabe; Couronne d'Allister; Cape du Valet Veinard; Bottes d'Allister; Dofus Pourpre; Dofus Ivoire; Dofus Ocre; Dofus Ébène; Dofus Vulbis; Dofus Abyssal; Blérodoudou</t>
        </is>
      </c>
    </row>
    <row r="22879">
      <c r="A22879" t="inlineStr">
        <is>
          <t>Skinny</t>
        </is>
      </c>
      <c r="B22879">
        <f>HYPERLINK("https://www.dofusbook.net/fr/equipement/3696671-skinny/objets", "link")</f>
        <v/>
      </c>
      <c r="C22879" t="n">
        <v>1</v>
      </c>
      <c r="D22879" t="inlineStr">
        <is>
          <t>Épée du Granduk; Amulette Hendart; Anneau d'Allister; Alliance Gloursonne; Bouclier du Stalak; Ceinture du Nocturlabe; Couronne d'Allister; Cape de Klime; Baleinabottes; Dofus Pourpre; Dofus Ocre; Nomade; Remueur; Equilibriste majeur; Cascadeur majeur; Muldo Roux et Orchidée</t>
        </is>
      </c>
    </row>
    <row r="22880">
      <c r="A22880" t="inlineStr">
        <is>
          <t>Kritres</t>
        </is>
      </c>
      <c r="B22880">
        <f>HYPERLINK("https://www.dofusbook.net/fr/equipement/4788541-kritres/objets", "link")</f>
        <v/>
      </c>
      <c r="C22880" t="n">
        <v>1</v>
      </c>
      <c r="D22880" t="inlineStr">
        <is>
          <t>Dagues de Srambad; Amulette de Pol Ouatnos; Goulano; Baguistik; Bouclier précieux; Ceinture de la Reine des Voleurs; Masque de Koutoulou; Cape au Logis; Goulbottes; Dofus Émeraude; Dofus Ivoire; Dofus Ocre; Dokoko; Dofus Pourpre; Dofus Argenté; Wabbit</t>
        </is>
      </c>
    </row>
    <row r="22881">
      <c r="A22881" t="inlineStr">
        <is>
          <t>Int</t>
        </is>
      </c>
      <c r="B22881">
        <f>HYPERLINK("https://www.dofusbook.net/fr/equipement/4773182-int/objets", "link")</f>
        <v/>
      </c>
      <c r="C22881" t="n">
        <v>1</v>
      </c>
      <c r="D22881" t="inlineStr">
        <is>
          <t>Arc corrompu; Amulette Volkorne; Anneau Volkorne; Anneauræus; Quatre-feuilles; Ceinture Volkorne; Heaume Oplate; Voile d'encre; Pataugastrique; Dofus Turquoise; Dofus Ébène; Dofus Pourpre; Dofus Ivoire; Dofus des Glaces; Dofus Abyssal; Bisouglours</t>
        </is>
      </c>
    </row>
    <row r="22882">
      <c r="A22882" t="inlineStr">
        <is>
          <t>Int PvM</t>
        </is>
      </c>
      <c r="B22882">
        <f>HYPERLINK("https://www.dofusbook.net/fr/equipement/3752652-int-pvm/objets", "link")</f>
        <v/>
      </c>
      <c r="C22882" t="n">
        <v>8</v>
      </c>
      <c r="D22882" t="inlineStr">
        <is>
          <t>Baguette de Malléfisk; Amulette d'Otomaï; Bague Gloursonne; Anneauræus; Quatre-feuilles; Ceinture Séculaire; Heaume Oplate; Cape de Diondin; Bottes d'Otomaï; Dofus Turquoise; Dofus Ébène; Dofus Pourpre; Astucieux majeur; Nomade; Érudit majeur; Bisouglours</t>
        </is>
      </c>
    </row>
    <row r="22883">
      <c r="A22883" t="inlineStr">
        <is>
          <t>Str/Int</t>
        </is>
      </c>
      <c r="B22883">
        <f>HYPERLINK("https://www.dofusbook.net/fr/equipement/4731185-str-int/objets", "link")</f>
        <v/>
      </c>
      <c r="C22883" t="n">
        <v>0</v>
      </c>
      <c r="D22883" t="inlineStr">
        <is>
          <t>Arc du Chalœil; Amulette Volkorne; Anneau Volkorne; Chevalière du Roi Joueur; Quatre-feuilles; Ceinture Volkorne; Couronne du Roi Joueur; Voile d'encre; Bottes du Roi Joueur; Dofus Pourpre; Dofus Ébène; Dofus Ocre; Dofus des Glaces; Dofus Turquoise; Forcené majeur; Bulbisou</t>
        </is>
      </c>
    </row>
    <row r="22884">
      <c r="A22884" t="inlineStr">
        <is>
          <t>Cha Hupper</t>
        </is>
      </c>
      <c r="B22884">
        <f>HYPERLINK("https://www.dofusbook.net/fr/equipement/4646709-cha-hupper/objets", "link")</f>
        <v/>
      </c>
      <c r="C22884" t="n">
        <v>0</v>
      </c>
      <c r="D22884" t="inlineStr">
        <is>
          <t>Sceptre du Roi Joueur; Amulette de Shokkoth; Alliance Gloursonne; Anneau Volkorne; Bouclier d'Ilyzaelle; Sangle Ouare; Némès de Tal Kasha; Chevelure de Tal Kasha; Pataugastrique; Dofus Pourpre; Dofus Abyssal; Dofus Turquoise; Dofus Ivoire; Dofus Ébène; Dofus Ocre; Pioute bleu</t>
        </is>
      </c>
    </row>
    <row r="22885">
      <c r="A22885" t="inlineStr">
        <is>
          <t>Virgil</t>
        </is>
      </c>
      <c r="B22885">
        <f>HYPERLINK("https://www.dofusbook.net/fr/equipement/4635042-virgil/objets", "link")</f>
        <v/>
      </c>
      <c r="C22885" t="n">
        <v>4</v>
      </c>
      <c r="D22885" t="inlineStr">
        <is>
          <t>Arc Hétype; Pendentif affamé; Anneau Tamie; Anneau Tamie; Bouclier du Stalak; Ceinture Séculaire; Heaume Oplate; Cape de Diondin; Bottes Innommables; Dofus Ébène; Dofus Pourpre; Dofus Abyssal; Dévastateur Feu majeur; Nomade; Érudit majeur; Bisouglours</t>
        </is>
      </c>
    </row>
    <row r="22886">
      <c r="A22886" t="inlineStr">
        <is>
          <t>Str range resi 2.0</t>
        </is>
      </c>
      <c r="B22886">
        <f>HYPERLINK("https://www.dofusbook.net/fr/equipement/3064682-str-range-resi-2-0/objets", "link")</f>
        <v/>
      </c>
      <c r="C22886" t="n">
        <v>0</v>
      </c>
      <c r="D22886" t="inlineStr">
        <is>
          <t>Arc du Chalœil; Amulette du Strigide; Goulano; Bague Gloursonne; Goulclier; Ceintacé; Masque de Koutoulou; Cape au Logis; Bottes de la Cour Sombre; Dokoko; Dofus Forgelave; Dofus Abyssal; Dofus Pourpre; Dofus Ivoire; Dofus Turquoise; Bulbisou</t>
        </is>
      </c>
    </row>
    <row r="22887">
      <c r="A22887" t="inlineStr">
        <is>
          <t>Xelorium lvln Str</t>
        </is>
      </c>
      <c r="B22887">
        <f>HYPERLINK("https://www.dofusbook.net/fr/equipement/4605681-xelorium-lvln-str/objets", "link")</f>
        <v/>
      </c>
      <c r="C22887" t="n">
        <v>0</v>
      </c>
      <c r="D22887" t="inlineStr">
        <is>
          <t>Marteau R'ture; Collier de Tourthon; Anneau Crustique; Anneau Volkorne; Bouclier précieux; Ceinture Volkorne; Masque de Koutoulou; Cape au Logis; Bottes de la Cour Sombre; Dofus Pourpre; Dofus Émeraude; Dofus Ivoire; Dofus Ocre; Obstructeur majeur; Bloqueur majeur; Bulbisou</t>
        </is>
      </c>
    </row>
    <row r="22888">
      <c r="A22888" t="inlineStr">
        <is>
          <t>Tryhard</t>
        </is>
      </c>
      <c r="B22888">
        <f>HYPERLINK("https://www.dofusbook.net/fr/equipement/4567175-tryhard-/objets", "link")</f>
        <v/>
      </c>
      <c r="C22888" t="n">
        <v>5</v>
      </c>
      <c r="D22888" t="inlineStr">
        <is>
          <t>Lance corrompue; Amulette Volkorne; Anneau Crustique; Bague Gloursonne; Bouclier alvéolé; Ceinture Volkorne; Coiffe de la Reine des Voleurs; Cape au Logis; Baleinabottes; Dofus des Glaces; Dofus Ébène; Dofus Ocre; Dofus Ivoire; Dofus Pourpre; Dofus Abyssal; Bulbisou</t>
        </is>
      </c>
    </row>
    <row r="22889">
      <c r="A22889" t="inlineStr">
        <is>
          <t>Anti gloot</t>
        </is>
      </c>
      <c r="B22889">
        <f>HYPERLINK("https://www.dofusbook.net/fr/equipement/4556429-anti-gloot/objets", "link")</f>
        <v/>
      </c>
      <c r="C22889" t="n">
        <v>0</v>
      </c>
      <c r="D22889" t="inlineStr">
        <is>
          <t>Manthache; Collier du Valet Veinard; Alliance Gloursonne; Gant du Valet Veinard; Bouclier du Stalak; Menoture; Couronne d'Allister; Cape Indescriptible; Palmes Trithons; Dofus Pourpre; Dofus Ivoire; Dofus Ocre; Bastion majeur; Fortification majeure; Nomade; Wabbit</t>
        </is>
      </c>
    </row>
    <row r="22890">
      <c r="A22890" t="inlineStr">
        <is>
          <t>lektors bogen</t>
        </is>
      </c>
      <c r="B22890">
        <f>HYPERLINK("https://www.dofusbook.net/fr/equipement/4552640-lektors-bogen/objets", "link")</f>
        <v/>
      </c>
      <c r="C22890" t="n">
        <v>13</v>
      </c>
      <c r="D22890" t="inlineStr">
        <is>
          <t>Arc de Laikteur; Amulette du Strigide; Bracelet du Piloztère; Anneau de Padgref; Quatre-feuilles; Ceinture du Strigide; Coiffe de Padgref; Cape Glaciale; Getas de Padgref; Dofus Pourpre; Dofus Abyssal; Dofus Ivoire; Dokoko; Dofus Turquoise; Voyageur; Kokulte</t>
        </is>
      </c>
    </row>
    <row r="22891">
      <c r="A22891" t="inlineStr">
        <is>
          <t>Int</t>
        </is>
      </c>
      <c r="B22891">
        <f>HYPERLINK("https://www.dofusbook.net/fr/equipement/3011269-int/objets", "link")</f>
        <v/>
      </c>
      <c r="C22891" t="n">
        <v>3</v>
      </c>
      <c r="D22891" t="inlineStr">
        <is>
          <t>Arc corrompu; Amulette Volkorne; Anneauræus; Anneauræus; Quatre-feuilles; Ceinture Volkorne; Heaume Oplate; Voile d'encre; Bottes Innommables; Dofus Pourpre; Dofus Ocre; Dofus Ivoire; Dofus Nébuleux; Dofus Ébène; Nomade; Dragodinde Ivoire et Orchidée</t>
        </is>
      </c>
    </row>
    <row r="22892">
      <c r="A22892" t="inlineStr">
        <is>
          <t>New Pvp set</t>
        </is>
      </c>
      <c r="B22892">
        <f>HYPERLINK("https://www.dofusbook.net/fr/equipement/3748951-new-pvp-set/objets", "link")</f>
        <v/>
      </c>
      <c r="C22892" t="n">
        <v>6</v>
      </c>
      <c r="D22892" t="inlineStr">
        <is>
          <t>Dagoulinantes; Amulette de l'Œil Attentif; Alliance Gloursonne; Anneau Volkorne; Bouclier d'Ilyzaelle; Sangle Ouare; Capuche de l'Œil Attentif; Cape Solution; Bottes du Sinistrofu; Dofus Émeraude; Dofus Ocre; Dokoko; Dofus Abyssal; Dofus Pourpre; Dofus Ivoire; Kanigloups</t>
        </is>
      </c>
    </row>
    <row r="22893">
      <c r="A22893" t="inlineStr">
        <is>
          <t>Int/agi</t>
        </is>
      </c>
      <c r="B22893">
        <f>HYPERLINK("https://www.dofusbook.net/fr/equipement/4523184-int-agi/objets", "link")</f>
        <v/>
      </c>
      <c r="C22893" t="n">
        <v>3</v>
      </c>
      <c r="D22893" t="inlineStr">
        <is>
          <t>Marteau Phossile; Amulette Volkorne; Anneau de Padgref; Anneauræus; Quatre-feuilles; Ceinture Séculaire; Casque Volkorne; Voile d'encre; Pataugastrique; Dofus Ocre; Dofus Ivoire; Dofus Turquoise; Dofus Ébène; Dofus Pourpre; Nomade; Kokulte</t>
        </is>
      </c>
    </row>
    <row r="22894">
      <c r="A22894" t="inlineStr">
        <is>
          <t>Stuff 2</t>
        </is>
      </c>
      <c r="B22894">
        <f>HYPERLINK("https://www.dofusbook.net/fr/equipement/489333-stuff-2/objets", "link")</f>
        <v/>
      </c>
      <c r="C22894" t="n">
        <v>1</v>
      </c>
      <c r="D22894" t="inlineStr">
        <is>
          <t>Arc Nécrotique; Amulette Volkorne; Anneau Volkorne; Alliance Gloursonne; Quatre-feuilles; Ceintrigue; Casque Dragoeuf; Cape de la Dame du Hasard; Pataugastrique; Dofus Ocre; Dofus Turquoise; Dofus des Glaces; Dolmanax; Carapace Eau majeur; Nomade; Dragodinde Indigo et Ivoire</t>
        </is>
      </c>
    </row>
    <row r="22895">
      <c r="A22895" t="inlineStr">
        <is>
          <t>Str range resi</t>
        </is>
      </c>
      <c r="B22895">
        <f>HYPERLINK("https://www.dofusbook.net/fr/equipement/875065-str-range-resi/objets", "link")</f>
        <v/>
      </c>
      <c r="C22895" t="n">
        <v>1</v>
      </c>
      <c r="D22895" t="inlineStr">
        <is>
          <t>Arc du Chalœil; Collier de Tourthon; Bague Gloursonne; Goulano; Goulclier; Ceinture de la Cour Sombre; Masque de Koutoulou; Cape au Logis; Bottes de la Cour Sombre; Dofus Abyssal; Dofus Pourpre; Dofus Ivoire; Dofus Turquoise; Dofus Ocre; Dofus Ébène; Bulbisou</t>
        </is>
      </c>
    </row>
    <row r="22896">
      <c r="A22896" t="inlineStr">
        <is>
          <t>Int/cha</t>
        </is>
      </c>
      <c r="B22896">
        <f>HYPERLINK("https://www.dofusbook.net/fr/equipement/4523157-int-cha/objets", "link")</f>
        <v/>
      </c>
      <c r="C22896" t="n">
        <v>0</v>
      </c>
      <c r="D22896" t="inlineStr">
        <is>
          <t>Arc Nécrotique; Collier de la Dame du Hasard; Anneauræus; Anneau Volkorne; Quatre-feuilles; Ceinture de l'Esprit Malsain; Casquette de Meno; Cape de la Dame du Hasard; Bottes de la Dame du Hasard; Dofus Pourpre; Dofus Ocre; Dofus Turquoise; Dofus Ivoire; Dofus Ébène; Kokulte</t>
        </is>
      </c>
    </row>
    <row r="22897">
      <c r="A22897" t="inlineStr">
        <is>
          <t>Stringid</t>
        </is>
      </c>
      <c r="B22897">
        <f>HYPERLINK("https://www.dofusbook.net/fr/equipement/2876118-stringid/objets", "link")</f>
        <v/>
      </c>
      <c r="C22897" t="n">
        <v>1</v>
      </c>
      <c r="D22897" t="inlineStr">
        <is>
          <t>Epée Gloursonne; Amulette du Strigide; Alliance Gloursonne; Bague Gloursonne; Quatre-feuilles; Ceinture du Strigide; Coiffe du Glourséleste; Voile d'encre; Bottes du Strigide; Dofus des Glaces; Dofus Ocre; Dofus Ivoire; Dofus Pourpre; Dolmanax; Dofus Turquoise; Bébé Pandawa</t>
        </is>
      </c>
    </row>
    <row r="22898">
      <c r="A22898" t="inlineStr">
        <is>
          <t>Pushback dmg</t>
        </is>
      </c>
      <c r="B22898">
        <f>HYPERLINK("https://www.dofusbook.net/fr/equipement/1928578-pushback-dmg/objets", "link")</f>
        <v/>
      </c>
      <c r="C22898" t="n">
        <v>6</v>
      </c>
      <c r="D22898" t="inlineStr">
        <is>
          <t>Rapière aux Glyphes; Amulette de Shokkoth; Alliance Gloursonne; Anneau Volkorne; Bouclier du Stalak; Sangle Ouare; Kidibonnet; Cape du Sinistrofu; Bottes du Sinistrofu; Dofus Ivoire; Dofus Pourpre; Dofus Ocre; Dofus Ébène; Dofus Abyssal; Chanceux majeur; Kanigloups</t>
        </is>
      </c>
    </row>
    <row r="22899">
      <c r="A22899" t="inlineStr">
        <is>
          <t>Int</t>
        </is>
      </c>
      <c r="B22899">
        <f>HYPERLINK("https://www.dofusbook.net/fr/equipement/4415569-int/objets", "link")</f>
        <v/>
      </c>
      <c r="C22899" t="n">
        <v>0</v>
      </c>
      <c r="D22899" t="inlineStr">
        <is>
          <t>Arc corrompu; Amulette Volkorne; Bague Gloursonne; Anneauræus; Bouclier du Stalak; Ceinture Volkorne; Heaume Oplate; Voile d'encre; Pataugastrique; Dofus Abyssal; Dofus Ivoire; Dofus Pourpre; Dofus Turquoise; Nomade; Érudit majeur; Bisouglours</t>
        </is>
      </c>
    </row>
    <row r="22900">
      <c r="A22900" t="inlineStr">
        <is>
          <t>Cha/tank</t>
        </is>
      </c>
      <c r="B22900">
        <f>HYPERLINK("https://www.dofusbook.net/fr/equipement/2618391-cha-tank/objets", "link")</f>
        <v/>
      </c>
      <c r="C22900" t="n">
        <v>1</v>
      </c>
      <c r="D22900" t="inlineStr">
        <is>
          <t>Baguette Héroclite; Amulette de l'Œil Attentif; Alliance Gloursonne; Anneau Volkorne; Quatre-feuilles; Sangle Ouare; Capuche de l'Œil Attentif; Cape Solution; Bottes du Sinistrofu; Dofus Ébène; Dofus Ocre; Dofus Abyssal; Dofus Pourpre; Dofus Ivoire; Chanceux majeur; Kanigloups</t>
        </is>
      </c>
    </row>
    <row r="22901">
      <c r="A22901" t="inlineStr">
        <is>
          <t>Sram M 200</t>
        </is>
      </c>
      <c r="B22901">
        <f>HYPERLINK("https://www.dofusbook.net/fr/equipement/4404645-sram-m-200/objets", "link")</f>
        <v/>
      </c>
      <c r="C22901" t="n">
        <v>0</v>
      </c>
      <c r="D22901" t="inlineStr">
        <is>
          <t>Dagues Érhy; Amulette Volkorne; Bague Gloursonne; Chevalière du Roi Joueur; Quatre-feuilles; Ceinture Volkorne; Couronne du Roi Joueur; Cape au Logis; Bottes du Roi Joueur; Dofus Abyssal; Dofus Turquoise; Dofus Ocre; Dofus des Glaces; Dofus Pourpre; Dofus Ivoire; Bulbisou</t>
        </is>
      </c>
    </row>
    <row r="22902">
      <c r="A22902" t="inlineStr">
        <is>
          <t>Stuff 2</t>
        </is>
      </c>
      <c r="B22902">
        <f>HYPERLINK("https://www.dofusbook.net/fr/equipement/489330-stuff-2/objets", "link")</f>
        <v/>
      </c>
      <c r="C22902" t="n">
        <v>0</v>
      </c>
      <c r="D22902" t="inlineStr">
        <is>
          <t>Arc corrompu; Amulette d'Otomaï; Anneau Tamie; Anneau de Padgref; Quatre-feuilles; Ceinture Séculaire; Coiffe de Padgref; Cape de Diondin; Getas de Padgref; Dofus Turquoise; Dofus Pourpre; Astucieux majeur; Brûlih</t>
        </is>
      </c>
    </row>
    <row r="22903">
      <c r="A22903" t="inlineStr">
        <is>
          <t>Cha PvM</t>
        </is>
      </c>
      <c r="B22903">
        <f>HYPERLINK("https://www.dofusbook.net/fr/equipement/4309568-cha-pvm/objets", "link")</f>
        <v/>
      </c>
      <c r="C22903" t="n">
        <v>6</v>
      </c>
      <c r="D22903" t="inlineStr">
        <is>
          <t>Sceptre du Roi Joueur; Amulette de Shokkoth; Alliance Gloursonne; Anneau Volkorne; Bouclier du Stalak; Sangle Ouare; Némès de Tal Kasha; Chevelure de Tal Kasha; Pataugastrique; Dofus Turquoise; Dofus Ocre; Dofus Pourpre; Vigoureux majeur; Chanceux majeur; Taquin majeur; Pioute bleu</t>
        </is>
      </c>
    </row>
    <row r="22904">
      <c r="A22904" t="inlineStr">
        <is>
          <t>Maunzaug</t>
        </is>
      </c>
      <c r="B22904">
        <f>HYPERLINK("https://www.dofusbook.net/fr/equipement/1684135-maunzaug/objets", "link")</f>
        <v/>
      </c>
      <c r="C22904" t="n">
        <v>3</v>
      </c>
      <c r="D22904" t="inlineStr">
        <is>
          <t>Hache du Chalœil; Amulette du Strigide; Alliance Gloursonne; Bracelet du Piloztère; Bouclier du Stalak; Ceintacé; Casque du Chalœil; Voile d'encre; Bottes du Strigide; Dofus des Glaces; Dofus Pourpre; Robuste majeur; Remueur; Vigoureux majeur; Nomade; Chacha Angora</t>
        </is>
      </c>
    </row>
    <row r="22905">
      <c r="A22905" t="inlineStr">
        <is>
          <t>Str/Int</t>
        </is>
      </c>
      <c r="B22905">
        <f>HYPERLINK("https://www.dofusbook.net/fr/equipement/3149511-str-int/objets", "link")</f>
        <v/>
      </c>
      <c r="C22905" t="n">
        <v>3</v>
      </c>
      <c r="D22905" t="inlineStr">
        <is>
          <t>Hache Téroïde; Amulette Volkorne; Chevalière du Roi Joueur; Bague Gloursonne; Bouclier du Captain Amakna; Ceinture Volkorne; Couronne du Roi Joueur; Cape au Logis; Bottes du Roi Joueur; Dofus Turquoise; Dofus des Glaces; Dofus Nébuleux; Dofus Ocre; Dofus Pourpre; Dofus Abyssal; Pioute vert</t>
        </is>
      </c>
    </row>
    <row r="22906">
      <c r="A22906" t="inlineStr">
        <is>
          <t>multi</t>
        </is>
      </c>
      <c r="B22906">
        <f>HYPERLINK("https://www.dofusbook.net/fr/equipement/1761735-multi/objets", "link")</f>
        <v/>
      </c>
      <c r="C22906" t="n">
        <v>2</v>
      </c>
      <c r="D22906" t="inlineStr">
        <is>
          <t>Sabres d'Atcham; Amulette du Strigide; Bracelet du Piloztère; Anneau de Padgref; Quatre-feuilles; Ceinture du Strigide; Coiffe de Padgref; Cape d'Atcham; Bottes du Strigide; Dofus Vulbis; Dofus des Glaces; Dofus Pourpre; Dofus Nébuleux; Dofus Turquoise; Dofus Ocre; Kokulte</t>
        </is>
      </c>
    </row>
    <row r="22907">
      <c r="A22907" t="inlineStr">
        <is>
          <t>Cha/bp entzug</t>
        </is>
      </c>
      <c r="B22907">
        <f>HYPERLINK("https://www.dofusbook.net/fr/equipement/1783511-cha-bp-entzug/objets", "link")</f>
        <v/>
      </c>
      <c r="C22907" t="n">
        <v>1</v>
      </c>
      <c r="D22907" t="inlineStr">
        <is>
          <t>Dagues Açantes; Amulette de Shokkoth; Alliance Gloursonne; Anneau Volkorne; Bouclier cubiste; Ceinture Glaciale; Kidibonnet; Cape de la Dame du Hasard; Bottes de la Dame du Hasard; Temporiseur majeur; Remueur; Chanceux majeur; Nomade; Ralentisseur majeur; Entraveur majeur; Léopardo</t>
        </is>
      </c>
    </row>
    <row r="22908">
      <c r="A22908" t="inlineStr">
        <is>
          <t>Pandawa M 200</t>
        </is>
      </c>
      <c r="B22908">
        <f>HYPERLINK("https://www.dofusbook.net/fr/equipement/3884769-pandawa-m-200/objets", "link")</f>
        <v/>
      </c>
      <c r="C22908" t="n">
        <v>0</v>
      </c>
      <c r="D22908" t="inlineStr">
        <is>
          <t>Arc du Chalœil; Collier de Tourthon; Anneau de Brouce; Bague Gloursonne; Quatre-feuilles; Ceinture Volkorne; Masque de Koutoulou; Cape au Logis; Bottes de Brouce; Dofus Pourpre; Dofus Abyssal; Dofus Ocre; Dofus Ivoire; Enragé majeur; Bwak de Terre</t>
        </is>
      </c>
    </row>
    <row r="22909">
      <c r="A22909" t="inlineStr">
        <is>
          <t>Full int</t>
        </is>
      </c>
      <c r="B22909">
        <f>HYPERLINK("https://www.dofusbook.net/fr/equipement/2280637-full-int/objets", "link")</f>
        <v/>
      </c>
      <c r="C22909" t="n">
        <v>1</v>
      </c>
      <c r="D22909" t="inlineStr">
        <is>
          <t>Baguette de Malléfisk; Pendentif mignon de Koutoulou; Alliance Gloursonne; Anneau Rifique; Carapar; Protopagne; Heaume Oplate; Voile d'encre; Pataugastrique; Dofus Ivoire; Dofus Émeraude; Dofus Abyssal; Évasif majeur; Érudit majeur; Carapace Terre majeur; Muldo Indigo</t>
        </is>
      </c>
    </row>
    <row r="22910">
      <c r="A22910" t="inlineStr">
        <is>
          <t>Full agi</t>
        </is>
      </c>
      <c r="B22910">
        <f>HYPERLINK("https://www.dofusbook.net/fr/equipement/3522427-full-agi/objets", "link")</f>
        <v/>
      </c>
      <c r="C22910" t="n">
        <v>4</v>
      </c>
      <c r="D22910" t="inlineStr">
        <is>
          <t>Manthache; Collier du Valet Veinard; Alliance Gloursonne; Gant du Valet Veinard; Bouclier du Stalak; Menoture; Couronne d'Allister; Cape Indescriptible; Palmes Trithons; Dofus Nébuleux; Dofus Abyssal; Dofus Pourpre; Dofus Ivoire; Dofus Ocre; Nomade; Blérodoudou</t>
        </is>
      </c>
    </row>
    <row r="22911">
      <c r="A22911" t="inlineStr">
        <is>
          <t>Full Int</t>
        </is>
      </c>
      <c r="B22911">
        <f>HYPERLINK("https://www.dofusbook.net/fr/equipement/4052729-full-int/objets", "link")</f>
        <v/>
      </c>
      <c r="C22911" t="n">
        <v>0</v>
      </c>
      <c r="D22911" t="inlineStr">
        <is>
          <t>Arc corrompu; Amulette Volkorne; Bague Gloursonne; Anneauræus; Quatre-feuilles; Ceinture Volkorne; Heaume Oplate; Voile d'encre; Bottes Innommables; Dofus Pourpre; Dofus Nébuleux; Dofus Turquoise; Dofus Ocre; Dofus des Glaces</t>
        </is>
      </c>
    </row>
    <row r="22912">
      <c r="A22912" t="inlineStr">
        <is>
          <t>Agi/Ap entzug</t>
        </is>
      </c>
      <c r="B22912">
        <f>HYPERLINK("https://www.dofusbook.net/fr/equipement/4022619-agi-ap-entzug/objets", "link")</f>
        <v/>
      </c>
      <c r="C22912" t="n">
        <v>0</v>
      </c>
      <c r="D22912" t="inlineStr">
        <is>
          <t>Manthache; Collier du Valet Veinard; Gant du Valet Veinard; Alliance Gloursonne; Bouclier du Stalak; Menoture; Couronne d'Allister; Cape Indescriptible; Palmes Trithons; Dofus Ivoire; Nomade; Remueur; Étourdisseur majeur; Carapace Air majeur; Koalak Sanguin</t>
        </is>
      </c>
    </row>
    <row r="22913">
      <c r="A22913" t="inlineStr">
        <is>
          <t>Kolo</t>
        </is>
      </c>
      <c r="B22913">
        <f>HYPERLINK("https://www.dofusbook.net/fr/equipement/1783998-kolo/objets", "link")</f>
        <v/>
      </c>
      <c r="C22913" t="n">
        <v>2</v>
      </c>
      <c r="D22913" t="inlineStr">
        <is>
          <t>Arc corrompu; Amulette Volkorne; Anneauræus; Bague Gloursonne; Bouclier du Stalak; Ceinture Volkorne; Heaume Oplate; Voile d'encre; Pataugastrique; Dofus Ivoire; Dofus Pourpre; Dofus Turquoise; Carapace Terre majeur; Nomade; Érudit majeur; Muldo Pourpre et Amande</t>
        </is>
      </c>
    </row>
    <row r="22914">
      <c r="A22914" t="inlineStr">
        <is>
          <t>Schubsdmg 2</t>
        </is>
      </c>
      <c r="B22914">
        <f>HYPERLINK("https://www.dofusbook.net/fr/equipement/2531255-schubsdmg-2/objets", "link")</f>
        <v/>
      </c>
      <c r="C22914" t="n">
        <v>0</v>
      </c>
      <c r="D22914" t="inlineStr">
        <is>
          <t>Lav'Hache; Torquistik; Bague Instable; Alliance Gloursonne; Bouclier précieux; Sangle Ouare; Masque d'Anerice; Cape d'Anerice; Sabots Minables; Dofus Ocre; Dofus Ivoire; Dofus Abyssal; Dofus Émeraude; Culbuteur majeur; Bousculeur majeur; Tatouf</t>
        </is>
      </c>
    </row>
    <row r="22915">
      <c r="A22915" t="inlineStr">
        <is>
          <t>Pushback</t>
        </is>
      </c>
      <c r="B22915">
        <f>HYPERLINK("https://www.dofusbook.net/fr/equipement/3924388-pushback/objets", "link")</f>
        <v/>
      </c>
      <c r="C22915" t="n">
        <v>0</v>
      </c>
      <c r="D22915" t="inlineStr">
        <is>
          <t>Arc du Chalœil; Torquistik; Bague Instable; Bouclier précieux; Ceinture Gence; Masque Trithon; Cape des Malveilleurs; Bottistik; Dofus Ocre; Dofus Abyssal; Dofus Émeraude; Dofus Ivoire; Bousculeur majeur; Culbuteur majeur; Tatouf</t>
        </is>
      </c>
    </row>
    <row r="22916">
      <c r="A22916" t="inlineStr">
        <is>
          <t>Agi</t>
        </is>
      </c>
      <c r="B22916">
        <f>HYPERLINK("https://www.dofusbook.net/fr/equipement/4052512-agi/objets", "link")</f>
        <v/>
      </c>
      <c r="C22916" t="n">
        <v>0</v>
      </c>
      <c r="D22916" t="inlineStr">
        <is>
          <t>Manthache; Collier du Valet Veinard; Alliance Gloursonne; Gant du Valet Veinard; Bouclier d'Ilyzaelle; Menoture; Couronne d'Allister; Cape Indescriptible; Palmes Trithons; Dofus Nébuleux; Dofus Ocre; Dofus Abyssal; Dofus Pourpre; Dofus Ivoire; Nomade; Blérodoudou</t>
        </is>
      </c>
    </row>
    <row r="22917">
      <c r="A22917" t="inlineStr">
        <is>
          <t>Crâ F 200</t>
        </is>
      </c>
      <c r="B22917">
        <f>HYPERLINK("https://www.dofusbook.net/fr/equipement/3262076-cra-f-200/objets", "link")</f>
        <v/>
      </c>
      <c r="C22917" t="n">
        <v>2</v>
      </c>
      <c r="D22917" t="inlineStr">
        <is>
          <t>Arc du Chalœil; Collier de Tourthon; Anneau de Brouce; Bague Gloursonne; Bouclier du Stalak; Ceinture Volkorne; Masque de Koutoulou; Cape au Logis; Bottes de Brouce; Dofus Abyssal; Dofus Nébuleux; Dofus Pourpre; Dofus Ivoire; Dofus Turquoise; Dofus Ocre; Bwak de Terre</t>
        </is>
      </c>
    </row>
    <row r="22918">
      <c r="A22918" t="inlineStr">
        <is>
          <t>Pandawa M 200</t>
        </is>
      </c>
      <c r="B22918">
        <f>HYPERLINK("https://www.dofusbook.net/fr/equipement/3955463-pandawa-m-200/objets", "link")</f>
        <v/>
      </c>
      <c r="C22918" t="n">
        <v>0</v>
      </c>
      <c r="D22918" t="inlineStr">
        <is>
          <t>Baguette Héroclite; Amulette de Shokkoth; Alliance Gloursonne; Anneau Volkorne; Bouclier du Stalak; Sangle Ouare; Kidibonnet; Cape du Sinistrofu; Bottes du Sinistrofu; Dofus Pourpre; Dofus Abyssal; Dofus Turquoise; Dofus Ivoire; Remueur; Nomade; Bwak de Terre</t>
        </is>
      </c>
    </row>
    <row r="22919">
      <c r="A22919" t="inlineStr">
        <is>
          <t>Int Pvp</t>
        </is>
      </c>
      <c r="B22919">
        <f>HYPERLINK("https://www.dofusbook.net/fr/equipement/3108626-int-pvp/objets", "link")</f>
        <v/>
      </c>
      <c r="C22919" t="n">
        <v>2</v>
      </c>
      <c r="D22919" t="inlineStr">
        <is>
          <t>Baguette de Malléfisk; Pendentif mignon de Koutoulou; Anneau Rifique; Anneau Tique; Carapar; Protopagne; Heaume Oplate; Voile d'encre; Bottes Innommables; Dofus Ivoire; Dofus Abyssal; Dofus Pourpre; Dofus Ocre; Carapace Feu majeur; Carapace Terre majeur; El Scarador</t>
        </is>
      </c>
    </row>
    <row r="22920">
      <c r="A22920" t="inlineStr">
        <is>
          <t>cha4</t>
        </is>
      </c>
      <c r="B22920">
        <f>HYPERLINK("https://www.dofusbook.net/fr/equipement/3645686-cha4/objets", "link")</f>
        <v/>
      </c>
      <c r="C22920" t="n">
        <v>0</v>
      </c>
      <c r="D22920" t="inlineStr">
        <is>
          <t>Dagoulinantes; Amulette de Shokkoth; Bracelet des Fonds marins; Alliance Gloursonne; Bouclier du Stalak; Poulpagne; Capuche de l'Œil Attentif; Cape du Sinistrofu; Bottes du Sinistrofu; Dofus Pourpre; Dofus Ivoire; Dofus Ocre; Dofus Turquoise; Dofus Abyssal; Nomade; Bwak d'Eau</t>
        </is>
      </c>
    </row>
    <row r="22921">
      <c r="A22921" t="inlineStr">
        <is>
          <t>Int pvp</t>
        </is>
      </c>
      <c r="B22921">
        <f>HYPERLINK("https://www.dofusbook.net/fr/equipement/3877127-int-pvp/objets", "link")</f>
        <v/>
      </c>
      <c r="C22921" t="n">
        <v>1</v>
      </c>
      <c r="D22921" t="inlineStr">
        <is>
          <t>Arc corrompu; Amulette Volkorne; Bague Gloursonne; Anneauræus; Bouclier cubiste; Ceinture Volkorne; Heaume Oplate; Cape de Nileza; Pataugastrique; Dofus Pourpre; Dofus Ivoire; Dofus Abyssal; Dofus Turquoise; Dofus Nébuleux; Nomade; Dragodinde Amande et Orchidée</t>
        </is>
      </c>
    </row>
    <row r="22922">
      <c r="A22922" t="inlineStr">
        <is>
          <t>Iop M 200</t>
        </is>
      </c>
      <c r="B22922">
        <f>HYPERLINK("https://www.dofusbook.net/fr/equipement/3752764-iop-m-200/objets", "link")</f>
        <v/>
      </c>
      <c r="C22922" t="n">
        <v>4</v>
      </c>
      <c r="D22922" t="inlineStr">
        <is>
          <t>Harpelle; Amulette Volkorne; Anneauræus; Anneauræus; Bouclier du Captain Amakna; Ceinture Volkorne; Heaume Oplate; Voile d'encre; Pataugastrique; Dofus Pourpre; Dofus Abyssal; Dofus Turquoise; Dofus Nébuleux; Érudit majeur; Nomade; Pioute rouge</t>
        </is>
      </c>
    </row>
    <row r="22923">
      <c r="A22923" t="inlineStr">
        <is>
          <t>Current str set</t>
        </is>
      </c>
      <c r="B22923">
        <f>HYPERLINK("https://www.dofusbook.net/fr/equipement/3760007-current-str-set/objets", "link")</f>
        <v/>
      </c>
      <c r="C22923" t="n">
        <v>3</v>
      </c>
      <c r="D22923" t="inlineStr">
        <is>
          <t>Arc du Chalœil; Collier de Tourthon; Anneau de Brouce; Bague Gloursonne; Quatre-feuilles; Ceinture Gence; Masque de Koutoulou; Cape au Logis; Bottes de Brouce; Dofus des Glaces; Dofus Turquoise; Dofus Pourpre; Enragé majeur; Forcené majeur; Furibond majeur; Kompost</t>
        </is>
      </c>
    </row>
    <row r="22924">
      <c r="A22924" t="inlineStr">
        <is>
          <t>Cha/Agi</t>
        </is>
      </c>
      <c r="B22924">
        <f>HYPERLINK("https://www.dofusbook.net/fr/equipement/3741074-cha-agi/objets", "link")</f>
        <v/>
      </c>
      <c r="C22924" t="n">
        <v>2</v>
      </c>
      <c r="D22924" t="inlineStr">
        <is>
          <t>Arc de Koutoulou; Amulette du Strigide; Alliance Gloursonne; Anneau Volkorne; Bouclier d'Ilyzaelle; Ceintacé; Casque Volkorne; Chevelure de Tal Kasha; Sandales de Tal Kasha; Dofus Turquoise; Dofus Abyssal; Dofus Ocre; Dofus Ivoire; Dofus Pourpre; Dofus des Glaces</t>
        </is>
      </c>
    </row>
    <row r="22925">
      <c r="A22925" t="inlineStr">
        <is>
          <t>New pvp set 2</t>
        </is>
      </c>
      <c r="B22925">
        <f>HYPERLINK("https://www.dofusbook.net/fr/equipement/3750259-new-pvp-set-2/objets", "link")</f>
        <v/>
      </c>
      <c r="C22925" t="n">
        <v>0</v>
      </c>
      <c r="D22925" t="inlineStr"/>
    </row>
    <row r="22926">
      <c r="A22926" t="inlineStr">
        <is>
          <t>New stuff</t>
        </is>
      </c>
      <c r="B22926">
        <f>HYPERLINK("https://www.dofusbook.net/fr/equipement/3441609-new-stuff/objets", "link")</f>
        <v/>
      </c>
      <c r="C22926" t="n">
        <v>2</v>
      </c>
      <c r="D22926" t="inlineStr">
        <is>
          <t>Marteau R'ture; Collier de Tourthon; Bague Gloursonne; Anneau Chevelu; Bouclier d'Ilyzaelle; Ceinture de la Cour Sombre; Masque de Koutoulou; Cape au Logis; Bottes de la Cour Sombre; Dofus Pourpre; Dofus Abyssal; Dofus Turquoise; Dofus Ivoire; Dofus des Glaces; Dofus Ocre</t>
        </is>
      </c>
    </row>
    <row r="22927">
      <c r="A22927" t="inlineStr">
        <is>
          <t>Grp Pvp 2.0</t>
        </is>
      </c>
      <c r="B22927">
        <f>HYPERLINK("https://www.dofusbook.net/fr/equipement/3741092-grp-pvp-2-0/objets", "link")</f>
        <v/>
      </c>
      <c r="C22927" t="n">
        <v>2</v>
      </c>
      <c r="D22927" t="inlineStr">
        <is>
          <t>Marteau R'ture; Collier de Tourthon; Bague Gloursonne; Anneau de Brouce; Bouclier du Captain Amakna; Ceinture Volkorne; Masque de Koutoulou; Cape au Logis; Bottes de Brouce; Dofus Turquoise; Dofus Abyssal; Dofus Pourpre; Dofus Nébuleux; Dofus des Glaces; Dofus Ocre; Bwak de Terre</t>
        </is>
      </c>
    </row>
    <row r="22928">
      <c r="A22928" t="inlineStr">
        <is>
          <t>Gruppen Pvp</t>
        </is>
      </c>
      <c r="B22928">
        <f>HYPERLINK("https://www.dofusbook.net/fr/equipement/3701649-gruppen-pvp/objets", "link")</f>
        <v/>
      </c>
      <c r="C22928" t="n">
        <v>3</v>
      </c>
      <c r="D22928" t="inlineStr">
        <is>
          <t>Marteau R'ture; Collier de Tourthon; Bague Gloursonne; Anneau Chevelu; Bouclier d'Ilyzaelle; Ceinture de la Cour Sombre; Masque de Koutoulou; Cape au Logis; Bottes de la Cour Sombre; Dofus Pourpre; Dofus Ivoire; Dofus Ocre; Dofus Turquoise; Dofus Abyssal; Enragé majeur; Croum</t>
        </is>
      </c>
    </row>
    <row r="22929">
      <c r="A22929" t="inlineStr">
        <is>
          <t>Bp entzug 2</t>
        </is>
      </c>
      <c r="B22929">
        <f>HYPERLINK("https://www.dofusbook.net/fr/equipement/2935547-bp-entzug-2/objets", "link")</f>
        <v/>
      </c>
      <c r="C22929" t="n">
        <v>2</v>
      </c>
      <c r="D22929" t="inlineStr">
        <is>
          <t>Arc Hétype; Amulette de Nileza; Anneau Tamie; Alliance Gloursonne; Bouclier cubiste; Ceinture de Kongoku; Boucle d'oreille de Kongoku; Cape de Léthaline; Pantoufles Émar; Dofus Cawotte; Entraveur majeur; Temporiseur; Temporiseur majeur; Érudit majeur; Ralentisseur majeur; Volkorne Turquoise</t>
        </is>
      </c>
    </row>
    <row r="22930">
      <c r="A22930" t="inlineStr">
        <is>
          <t>Int bp entzug</t>
        </is>
      </c>
      <c r="B22930">
        <f>HYPERLINK("https://www.dofusbook.net/fr/equipement/3026567-int-bp-entzug/objets", "link")</f>
        <v/>
      </c>
      <c r="C22930" t="n">
        <v>1</v>
      </c>
      <c r="D22930" t="inlineStr">
        <is>
          <t>Arc Hétype; Amulette de l'Œil Putride; Anneau Tamie; Anneau Tamie; Bouclier cubiste; Ceinture Instable; Capuche de l'Œil Putride; Cape de Léthaline; Pikottes; Ralentisseur majeur; Remueur; Entraveur majeur; Temporiseur; Temporiseur majeur; Volkorne Turquoise</t>
        </is>
      </c>
    </row>
    <row r="22931">
      <c r="A22931" t="inlineStr">
        <is>
          <t>Gepardo</t>
        </is>
      </c>
      <c r="B22931">
        <f>HYPERLINK("https://www.dofusbook.net/fr/equipement/3582775-gepardo/objets", "link")</f>
        <v/>
      </c>
      <c r="C22931" t="n">
        <v>3</v>
      </c>
      <c r="D22931" t="inlineStr">
        <is>
          <t>Arc Honte; Pendentif mignon de Koutoulou; Alliance Gloursonne; Anneau Rifique; Bouclier du Stalak; Ceinture de l'Indicible; Casque Cyclopéen; Voile d'encre; Bottes de l'Indicible; Dofus Abyssal; Dofus Pourpre; Dofus des Glaces; Dolmanax; Dofus Ocre; Féroce majeur; Muldo Ebène et Indigo</t>
        </is>
      </c>
    </row>
    <row r="22932">
      <c r="A22932" t="inlineStr">
        <is>
          <t>Wallba 2.0</t>
        </is>
      </c>
      <c r="B22932">
        <f>HYPERLINK("https://www.dofusbook.net/fr/equipement/3524579-wallba-2-0/objets", "link")</f>
        <v/>
      </c>
      <c r="C22932" t="n">
        <v>4</v>
      </c>
      <c r="D22932" t="inlineStr">
        <is>
          <t>Dagoulinantes; Amulette de Shokkoth; Alliance Gloursonne; Goulano; Goulclier; Ceinture de la Reine des Voleurs; Kidibonnet; Cape de l'Œil Attentif; Bottes de la Reine des Voleurs; Dofus Ocre; Dofus Pourpre; Dofus Abyssal; Dofus des Glaces; Dofus Ivoire; Dofus Turquoise</t>
        </is>
      </c>
    </row>
    <row r="22933">
      <c r="A22933" t="inlineStr">
        <is>
          <t>Wallba</t>
        </is>
      </c>
      <c r="B22933">
        <f>HYPERLINK("https://www.dofusbook.net/fr/equipement/3524486-wallba/objets", "link")</f>
        <v/>
      </c>
      <c r="C22933" t="n">
        <v>2</v>
      </c>
      <c r="D22933" t="inlineStr">
        <is>
          <t>Arc de Koutoulou; Amulette de Shokkoth; Alliance Gloursonne; Bracelet des Fonds marins; Quatre-feuilles; Sangle Ouare; Némès de Tal Kasha; Chevelure de Tal Kasha; Sandales de Tal Kasha; Dofus Turquoise; Dofus Abyssal; Dofus Pourpre; Dofus des Glaces; Dofus Ocre; Paralyseur majeur; Dragodinde en armure</t>
        </is>
      </c>
    </row>
    <row r="22934">
      <c r="A22934" t="inlineStr">
        <is>
          <t>Crit inka</t>
        </is>
      </c>
      <c r="B22934">
        <f>HYPERLINK("https://www.dofusbook.net/fr/equipement/1864458-crit-inka/objets", "link")</f>
        <v/>
      </c>
      <c r="C22934" t="n">
        <v>1</v>
      </c>
      <c r="D22934" t="inlineStr">
        <is>
          <t>Arc de Laikteur; Amulette du Strigide; Bracelet du Piloztère; Anneau de Padgref; Quatre-feuilles; Ceinture du Strigide; Coiffe de Padgref; Chevelure de Tal Kasha; Getas de Padgref; Dofus Ocre; Dofus Abyssal; Dofus Ivoire; Dokoko; Dofus Pourpre; Dofus Turquoise; Phortiche</t>
        </is>
      </c>
    </row>
    <row r="22935">
      <c r="A22935" t="inlineStr">
        <is>
          <t>Range dmg</t>
        </is>
      </c>
      <c r="B22935">
        <f>HYPERLINK("https://www.dofusbook.net/fr/equipement/3469497-range-dmg/objets", "link")</f>
        <v/>
      </c>
      <c r="C22935" t="n">
        <v>1</v>
      </c>
      <c r="D22935" t="inlineStr">
        <is>
          <t>Arc du Chalœil; Amulette du Strigide; Anneau Chevelu; Bague Gloursonne; Quatre-feuilles; Ceinture Volkorne; Masque de Koutoulou; Cape au Logis; Bottes du Strigide; Dofus Turquoise; Dofus Ivoire; Dofus Ocre; Dofus Pourpre; Dofus Abyssal; Enragé majeur; Dragodinde Ivoire et Pourpre</t>
        </is>
      </c>
    </row>
    <row r="22936">
      <c r="A22936" t="inlineStr">
        <is>
          <t>Bp Entzug/Int</t>
        </is>
      </c>
      <c r="B22936">
        <f>HYPERLINK("https://www.dofusbook.net/fr/equipement/3469455-bp-entzug-int/objets", "link")</f>
        <v/>
      </c>
      <c r="C22936" t="n">
        <v>1</v>
      </c>
      <c r="D22936" t="inlineStr">
        <is>
          <t>Arc corrompu; Amulette Volkorne; Anneau Tamie; Chevalière du Roi Joueur; Bouclier cubiste; Ceinture de Kongoku; Couronne du Roi Joueur; Voile d'encre; Bottes du Roi Joueur; Dofus Abyssal; Dofus Turquoise; Dofus Ivoire; Dofus Ocre; Dofus Pourpre; Muldo Pourpre</t>
        </is>
      </c>
    </row>
    <row r="22937">
      <c r="A22937" t="inlineStr">
        <is>
          <t>ZwoelfAP Str</t>
        </is>
      </c>
      <c r="B22937">
        <f>HYPERLINK("https://www.dofusbook.net/fr/equipement/3174266-zwoelfap-str/objets", "link")</f>
        <v/>
      </c>
      <c r="C22937" t="n">
        <v>1</v>
      </c>
      <c r="D22937" t="inlineStr">
        <is>
          <t>Marteau R'ture; Collier de Tourthon; Bague Gloursonne; Anneau Chevelu; Bouclier alvéolé; Ceinture Volkorne; Masque de Koutoulou; Cape au Logis; Bottes de la Cour Sombre; Dofus Pourpre; Dofus Abyssal; Dofus Turquoise; Dofus Ivoire; Dofus Ocre; Croum</t>
        </is>
      </c>
    </row>
    <row r="22938">
      <c r="A22938" t="inlineStr">
        <is>
          <t>Full int</t>
        </is>
      </c>
      <c r="B22938">
        <f>HYPERLINK("https://www.dofusbook.net/fr/equipement/3013629-full-int/objets", "link")</f>
        <v/>
      </c>
      <c r="C22938" t="n">
        <v>2</v>
      </c>
      <c r="D22938" t="inlineStr">
        <is>
          <t>Dagues Ricol; Amulette de Nileza; Anneauræus; Anneauræus; Quatre-feuilles; Ceinture de Kongoku; Heaume Oplate; Cape de Nileza; Bottes Innommables; Dofus Nébuleux; Dofus Ivoire; Dofus Pourpre; Astucieux majeur; Érudit majeur; Remueur; Muldo Orchidée et Pourpre</t>
        </is>
      </c>
    </row>
    <row r="22939">
      <c r="A22939" t="inlineStr">
        <is>
          <t>Huppermage F 200</t>
        </is>
      </c>
      <c r="B22939">
        <f>HYPERLINK("https://www.dofusbook.net/fr/equipement/3268237-huppermage-f-200/objets", "link")</f>
        <v/>
      </c>
      <c r="C22939" t="n">
        <v>0</v>
      </c>
      <c r="D22939" t="inlineStr">
        <is>
          <t>Epée Gloursonne; Amulette du Strigide; Bague Gloursonne; Alliance Gloursonne; Bouclier d'Ilyzaelle; Ceinture du Strigide; Coiffe de la Fuji Givrefoux; Cape de la Fuji Givrefoux; Bottes du Strigide; Dokoko; Dofus Ocre; Dofus Pourpre; Dofus Abyssal; Dofus Turquoise; Dofus Ivoire; Kramkram</t>
        </is>
      </c>
    </row>
    <row r="22940">
      <c r="A22940" t="inlineStr">
        <is>
          <t>Cha/agi</t>
        </is>
      </c>
      <c r="B22940">
        <f>HYPERLINK("https://www.dofusbook.net/fr/equipement/3237999-cha-agi/objets", "link")</f>
        <v/>
      </c>
      <c r="C22940" t="n">
        <v>0</v>
      </c>
      <c r="D22940" t="inlineStr">
        <is>
          <t>Hache du Korriandre; Amulette du Strigide; Bracelet du Piloztère; Alliance Gloursonne; Quatre-feuilles; Ceinture du Strigide; Némès de Tal Kasha; Chevelure de Tal Kasha; Sandales de Tal Kasha; Dofus Abyssal; Dofus Pourpre; Dofus Ivoire; Dofus Ocre; Dofus Turquoise; Dokoko; Muldo Ebène et Indigo</t>
        </is>
      </c>
    </row>
    <row r="22941">
      <c r="A22941" t="inlineStr">
        <is>
          <t>Schubsdmg 3</t>
        </is>
      </c>
      <c r="B22941">
        <f>HYPERLINK("https://www.dofusbook.net/fr/equipement/3120352-schubsdmg-3/objets", "link")</f>
        <v/>
      </c>
      <c r="C22941" t="n">
        <v>0</v>
      </c>
      <c r="D22941" t="inlineStr">
        <is>
          <t>Lav'Hache; Torquistik; Bague Instable; Bague Trithon; Bouclier précieux; Ceinture Gence; Masque d'Anerice; Cape d'Anerice; Bottes du Cœur Vaillant; Dofus Ivoire; Dofus Émeraude; Dokoko; Culbuteur majeur; Remueur; Bousculeur majeur; Muldo Ebène et Pourpre</t>
        </is>
      </c>
    </row>
    <row r="22942">
      <c r="A22942" t="inlineStr">
        <is>
          <t>Catseye</t>
        </is>
      </c>
      <c r="B22942">
        <f>HYPERLINK("https://www.dofusbook.net/fr/equipement/2958470-catseye/objets", "link")</f>
        <v/>
      </c>
      <c r="C22942" t="n">
        <v>1</v>
      </c>
      <c r="D22942" t="inlineStr">
        <is>
          <t>Hache Téroïde; Amulette du Strigide; Chevalière du Roi Joueur; Bague Gloursonne; Bouclier du Captain Amakna; Ceinture du Strigide; Couronne du Roi Joueur; Cape au Logis; Bottes du Roi Joueur; Dofus Turquoise; Dofus Ivoire; Dofus Ocre; Dofus Nébuleux; Dofus Pourpre; Dofus Abyssal; Kramkram</t>
        </is>
      </c>
    </row>
    <row r="22943">
      <c r="A22943" t="inlineStr">
        <is>
          <t>Full agy</t>
        </is>
      </c>
      <c r="B22943">
        <f>HYPERLINK("https://www.dofusbook.net/fr/equipement/1776865-full-agy/objets", "link")</f>
        <v/>
      </c>
      <c r="C22943" t="n">
        <v>0</v>
      </c>
      <c r="D22943" t="inlineStr">
        <is>
          <t>Manthache; Collier du Valet Veinard; Alliance Gloursonne; Gant du Valet Veinard; Bouclier du Stalak; Menoture; Couronne d'Allister; Cape Indescriptible; Palmes Trithons; Dofus Ocre; Dévastateur Air majeur; Remueur; Equilibriste majeur; Nomade; Cascadeur majeur; Muldo Ebène et Indigo</t>
        </is>
      </c>
    </row>
    <row r="22944">
      <c r="A22944" t="inlineStr">
        <is>
          <t>cha2</t>
        </is>
      </c>
      <c r="B22944">
        <f>HYPERLINK("https://www.dofusbook.net/fr/equipement/2714568-cha2/objets", "link")</f>
        <v/>
      </c>
      <c r="C22944" t="n">
        <v>0</v>
      </c>
      <c r="D22944" t="inlineStr">
        <is>
          <t>Rapière aux Glyphes; Amulette de Shokkoth; Alliance Gloursonne; Bracelet des Fonds marins; Bouclier du Captain Amakna; Poulpagne; Capuche de l'Œil Attentif; Cape Solution; Bottes du Sinistrofu; Dofus Nébuleux; Dofus Ivoire; Dofus Pourpre; Dofus Turquoise; Dofus Abyssal; Nomade; Croum</t>
        </is>
      </c>
    </row>
    <row r="22945">
      <c r="A22945" t="inlineStr">
        <is>
          <t>cha</t>
        </is>
      </c>
      <c r="B22945">
        <f>HYPERLINK("https://www.dofusbook.net/fr/equipement/2634650-cha/objets", "link")</f>
        <v/>
      </c>
      <c r="C22945" t="n">
        <v>0</v>
      </c>
      <c r="D22945" t="inlineStr">
        <is>
          <t>Rapière aux Glyphes; Amulette du Sinistrofu; Bracelet des Fonds marins; Alliance Gloursonne; Bouclier du Stalak; Sangle Ouare; Capuche de l'Œil Attentif; Cape du Sinistrofu; Bottes du Sinistrofu; Dofus Turquoise; Dofus Abyssal; Dofus Ocre; Dofus Ivoire; Dofus Pourpre; Dofus Nébuleux; Muldo Ebène et Indigo</t>
        </is>
      </c>
    </row>
    <row r="22946">
      <c r="A22946" t="inlineStr">
        <is>
          <t>Str/int</t>
        </is>
      </c>
      <c r="B22946">
        <f>HYPERLINK("https://www.dofusbook.net/fr/equipement/2280792-str-int/objets", "link")</f>
        <v/>
      </c>
      <c r="C22946" t="n">
        <v>0</v>
      </c>
      <c r="D22946" t="inlineStr">
        <is>
          <t>Epée Gloursonne; Amulette de Gein; Bague Gloursonne; Alliance Gloursonne; Quatre-feuilles; Ceinture de Gein; Chapeau de Gein; Voile d'encre; Bottes du Roi Joueur; Dofus des Glaces; Dofus Turquoise; Dofus Nébuleux; Dofus Ocre; Dofus Abyssal; Dofus Pourpre; Muldo Roux et Orchidée</t>
        </is>
      </c>
    </row>
    <row r="22947">
      <c r="A22947" t="inlineStr">
        <is>
          <t>Int/cha</t>
        </is>
      </c>
      <c r="B22947">
        <f>HYPERLINK("https://www.dofusbook.net/fr/equipement/2057262-int-cha/objets", "link")</f>
        <v/>
      </c>
      <c r="C22947" t="n">
        <v>1</v>
      </c>
      <c r="D22947" t="inlineStr">
        <is>
          <t>Arc corrompu; Amulette du Strigide; Anneau de Padgref; Alliance Gloursonne; Quatre-feuilles; Ceinture de l'Esprit Malsain; Capuche de l'Œil Putride; Cape de l'Œil Putride; Pataugastrique; Dofus Turquoise; Dofus Abyssal; Dofus Pourpre; Dofus Ivoire; Nomade; Remueur; Kramkram</t>
        </is>
      </c>
    </row>
    <row r="22948">
      <c r="A22948" t="inlineStr">
        <is>
          <t>fsf</t>
        </is>
      </c>
      <c r="B22948">
        <f>HYPERLINK("https://www.dofusbook.net/fr/equipement/1916752-fsf/objets", "link")</f>
        <v/>
      </c>
      <c r="C22948" t="n">
        <v>2</v>
      </c>
      <c r="D22948" t="inlineStr">
        <is>
          <t>Sabres d'Atcham; Amulette du Strigide; Bracelet du Piloztère; Anneau de Padgref; Quatre-feuilles; Ceinture du Strigide; Coiffe de Padgref; Cape d'Atcham; Getas de Padgref; Dolmanax; Dofus Ocre; Dofus Turquoise; Dofus des Glaces; Dofus Pourpre; Dofus Nébuleux; Muldo Prune et Emeraude</t>
        </is>
      </c>
    </row>
    <row r="22949">
      <c r="A22949" t="inlineStr">
        <is>
          <t>Maunzaug</t>
        </is>
      </c>
      <c r="B22949">
        <f>HYPERLINK("https://www.dofusbook.net/fr/equipement/2249848-maunzaug/objets", "link")</f>
        <v/>
      </c>
      <c r="C22949" t="n">
        <v>0</v>
      </c>
      <c r="D22949" t="inlineStr">
        <is>
          <t>Hache du Chalœil; Amulette du Strigide; Bracelet du Piloztère; Bague Gloursonne; Quatre-feuilles; Ceintacé; Casque du Chalœil; Voile d'encre; Bottes du Chalœil; Dofus Pourpre; Dofus Turquoise; Dofus Nébuleux; Vigoureux majeur; Remueur; Fonceur majeur; Muldo Roux et Pourpre</t>
        </is>
      </c>
    </row>
    <row r="22950">
      <c r="A22950" t="inlineStr">
        <is>
          <t>Full int</t>
        </is>
      </c>
      <c r="B22950">
        <f>HYPERLINK("https://www.dofusbook.net/fr/equipement/2057261-full-int-/objets", "link")</f>
        <v/>
      </c>
      <c r="C22950" t="n">
        <v>0</v>
      </c>
      <c r="D22950" t="inlineStr"/>
    </row>
    <row r="22951">
      <c r="A22951" t="inlineStr">
        <is>
          <t>terra</t>
        </is>
      </c>
      <c r="B22951">
        <f>HYPERLINK("https://www.dofusbook.net/fr/equipement/2048825-terra/objets", "link")</f>
        <v/>
      </c>
      <c r="C22951" t="n">
        <v>0</v>
      </c>
      <c r="D22951" t="inlineStr">
        <is>
          <t>Hache Terrdala; Amulette Terrdala; Alliance Terrdala; Gelano; Ceinture Terrdala; Chapeau Terrdala; Cape Terrdala; Geta Terrdala; Dragodinde Prune et Emeraude</t>
        </is>
      </c>
    </row>
    <row r="22952">
      <c r="A22952" t="inlineStr">
        <is>
          <t>sashfkas</t>
        </is>
      </c>
      <c r="B22952">
        <f>HYPERLINK("https://www.dofusbook.net/fr/equipement/2021102-sashfkas/objets", "link")</f>
        <v/>
      </c>
      <c r="C22952" t="n">
        <v>0</v>
      </c>
      <c r="D22952" t="inlineStr">
        <is>
          <t>Epée Gloursonne; Amulette du Strigide; Bague Gloursonne; Alliance Gloursonne; Quatre-feuilles; Ceinture du Strigide; Chapeau des Malveilleurs; Cape des Malveilleurs; Bottes du Strigide; Dofus Pourpre; Dofus Turquoise; Dofus Nébuleux; Dofus Ocre; Astucieux majeur; Examinateur; Phortiche</t>
        </is>
      </c>
    </row>
    <row r="22953">
      <c r="A22953" t="inlineStr">
        <is>
          <t>Str full dofus</t>
        </is>
      </c>
      <c r="B22953">
        <f>HYPERLINK("https://www.dofusbook.net/fr/equipement/1950620-str-full-dofus/objets", "link")</f>
        <v/>
      </c>
      <c r="C22953" t="n">
        <v>1</v>
      </c>
      <c r="D22953" t="inlineStr">
        <is>
          <t>Marteau R'ture; Amulette du Cœur Saignant; Anneau Chevelu; Anneau Crustique; Bouclier du Captain Amakna; Ceinture de la Reine des Voleurs; Masque de Koutoulou; Cape du Cœur Saignant; Bottes du Cœur Saignant; Dofus Turquoise; Dokoko; Dofus Nébuleux; Dofus Pourpre; Dofus Abyssal; Forcené majeur; Muldo Doré et Emeraude</t>
        </is>
      </c>
    </row>
    <row r="22954">
      <c r="A22954" t="inlineStr">
        <is>
          <t>crit cha/agi</t>
        </is>
      </c>
      <c r="B22954">
        <f>HYPERLINK("https://www.dofusbook.net/fr/equipement/1874274-crit-cha-agi/objets", "link")</f>
        <v/>
      </c>
      <c r="C22954" t="n">
        <v>1</v>
      </c>
      <c r="D22954" t="inlineStr">
        <is>
          <t>Rapière aux Glyphes; Amulette du Strigide; Pikano; Alliance Gloursonne; Bouclier Taverne; Ceinture du Strigide; Kidibonnet; Voile d'encre; Sandales  d'Atcham; Dofus Pourpre; Dofus Abyssal; Dofus Turquoise; Nomade; Chanceux majeur; Remueur; Kramkram</t>
        </is>
      </c>
    </row>
    <row r="22955">
      <c r="A22955" t="inlineStr">
        <is>
          <t>crit cha/agi</t>
        </is>
      </c>
      <c r="B22955">
        <f>HYPERLINK("https://www.dofusbook.net/fr/equipement/1850942-crit-cha-agi/objets", "link")</f>
        <v/>
      </c>
      <c r="C22955" t="n">
        <v>1</v>
      </c>
      <c r="D22955" t="inlineStr">
        <is>
          <t>Arc de Koutoulou; Amulette du Strigide; Bague Trithon; Alliance Gloursonne; Quatre-feuilles; Ceinture du Strigide; Némès de Tal Kasha; Chevelure de Tal Kasha; Sandales de Tal Kasha; Dolmanax; Dofus Pourpre; Dofus Abyssal; Dofus Turquoise; Dofus des Glaces; Dofus Ocre; Muldo Prune et Emeraude</t>
        </is>
      </c>
    </row>
    <row r="22956">
      <c r="A22956" t="inlineStr">
        <is>
          <t>crit cha/agi</t>
        </is>
      </c>
      <c r="B22956">
        <f>HYPERLINK("https://www.dofusbook.net/fr/equipement/1850916-crit-cha-agi/objets", "link")</f>
        <v/>
      </c>
      <c r="C22956" t="n">
        <v>0</v>
      </c>
      <c r="D22956" t="inlineStr">
        <is>
          <t>Arc de Koutoulou; Amulette du Strigide; Bague Trithon; Alliance Gloursonne; Quatre-feuilles; Ceinture du Strigide; Némès de Tal Kasha; Chevelure de Tal Kasha; Sandales de Tal Kasha; Dofus des Glaces; Dofus Ocre; Dolmanax; Dofus Pourpre; Dofus Abyssal; Dofus Turquoise; Muldo Prune et Emeraude</t>
        </is>
      </c>
    </row>
    <row r="22957">
      <c r="A22957" t="inlineStr">
        <is>
          <t>jgjfg</t>
        </is>
      </c>
      <c r="B22957">
        <f>HYPERLINK("https://www.dofusbook.net/fr/equipement/1796781-jgjfg/objets", "link")</f>
        <v/>
      </c>
      <c r="C22957" t="n">
        <v>0</v>
      </c>
      <c r="D22957" t="inlineStr">
        <is>
          <t>Hache du Korriandre; Amulette du Strigide; Alliance Gloursonne; Bracelet du Piloztère; Quatre-feuilles; Ceintacé; Kidibonnet; Chevelure de Tal Kasha; Bottes du Strigide; Dofus Pourpre; Dofus Turquoise; Vigoureux majeur; Dévastateur Air majeur; Remueur; Nomade; Muldo Prune et Emeraude</t>
        </is>
      </c>
    </row>
    <row r="22958">
      <c r="A22958" t="inlineStr">
        <is>
          <t>Full str</t>
        </is>
      </c>
      <c r="B22958">
        <f>HYPERLINK("https://www.dofusbook.net/fr/equipement/1776838-full-str/objets", "link")</f>
        <v/>
      </c>
      <c r="C22958" t="n">
        <v>0</v>
      </c>
      <c r="D22958" t="inlineStr">
        <is>
          <t>Arc du Chalœil; Amulette du Strigide; Bague Gloursonne; Anneau Chevelu; Quatre-feuilles; Ceintacé; Masque de Koutoulou; Cape au Logis; Bottes du Strigide; Dofus Pourpre; Dofus Turquoise; Vigoureux majeur; Remueur; Enragé majeur; Nomade; Kompost</t>
        </is>
      </c>
    </row>
    <row r="22959">
      <c r="A22959" t="inlineStr">
        <is>
          <t>Healbot</t>
        </is>
      </c>
      <c r="B22959">
        <f>HYPERLINK("https://www.dofusbook.net/fr/equipement/489331-healbot/objets", "link")</f>
        <v/>
      </c>
      <c r="C22959" t="n">
        <v>6</v>
      </c>
      <c r="D22959" t="inlineStr">
        <is>
          <t>Harpelle; Amulette d'Otomaï; Anneau Tamie; Anneau de Nidas; Bivalve; Ceinture Séculaire; Couronne de Nidas; Cape de Diondin; Pataugastrique; Dofus Turquoise; Remueur; Guérisseur majeur; Astucieux majeur; Érudit majeur; Nomade; Brûlih</t>
        </is>
      </c>
    </row>
    <row r="22960">
      <c r="A22960" t="inlineStr">
        <is>
          <t>Stuff 2</t>
        </is>
      </c>
      <c r="B22960">
        <f>HYPERLINK("https://www.dofusbook.net/fr/equipement/489336-stuff-2/objets", "link")</f>
        <v/>
      </c>
      <c r="C22960" t="n">
        <v>0</v>
      </c>
      <c r="D22960" t="inlineStr">
        <is>
          <t>Rapière aux Glyphes; Amulette du Strigide; Pikano; Alliance Gloursonne; Bouclier Taverne; Ceintacé; Kidibonnet; Cape du Sinistrofu; Bottes du Strigide; Dofus Émeraude; Dofus Turquoise; Dofus Pourpre; Dofus Abyssal; Chanceux majeur; Nomade; Dragodinde en armure</t>
        </is>
      </c>
    </row>
    <row r="22961">
      <c r="A22961" t="inlineStr">
        <is>
          <t>Stuff 1</t>
        </is>
      </c>
      <c r="B22961">
        <f>HYPERLINK("https://www.dofusbook.net/fr/equipement/489335-stuff-1/objets", "link")</f>
        <v/>
      </c>
      <c r="C22961" t="n">
        <v>0</v>
      </c>
      <c r="D22961" t="inlineStr">
        <is>
          <t>Harpelle; Amulette du Strigide; Bague Gloursonne; Baguistik; Bouclier Taverne; Ceinture Séculaire; Coiffe de Padgref; Voile d'encre; Getas de Padgref; Dofus Ocre; Dofus Abyssal; Dofus Pourpre; Dofus Turquoise; Remueur; Nomade; Croum</t>
        </is>
      </c>
    </row>
    <row r="22962">
      <c r="A22962" t="inlineStr">
        <is>
          <t>Stuff 1</t>
        </is>
      </c>
      <c r="B22962">
        <f>HYPERLINK("https://www.dofusbook.net/fr/equipement/1243375-stuff-1/objets", "link")</f>
        <v/>
      </c>
      <c r="C22962" t="n">
        <v>0</v>
      </c>
      <c r="D22962" t="inlineStr">
        <is>
          <t>Hache du Korriandre; Amulette du Strigide; Pikano; Alliance Gloursonne; Bouclier du Captain Amakna; Ceinture du Strigide; Némès de Tal Kasha; Chevelure de Tal Kasha; Sandales de Tal Kasha; Dofus Ivoire; Dofus Pourpre; Dofus Ocre; Dofus des Glaces; Dofus Turquoise; Dofus Abyssal; Muldo Prune et Emeraude</t>
        </is>
      </c>
    </row>
    <row r="22963">
      <c r="A22963" t="inlineStr">
        <is>
          <t>Full Cha</t>
        </is>
      </c>
      <c r="B22963">
        <f>HYPERLINK("https://www.dofusbook.net/fr/equipement/876598-full-cha/objets", "link")</f>
        <v/>
      </c>
      <c r="C22963" t="n">
        <v>2</v>
      </c>
      <c r="D22963" t="inlineStr">
        <is>
          <t>Rapière aux Glyphes; Amulette de Shokkoth; Alliance Gloursonne; Pikano; Quatre-feuilles; Ceintacé; Kidibonnet; Cape du Sinistrofu; Bottes du Sinistrofu; Dofus Turquoise; Dofus Pourpre; Dofus Abyssal; Chanceux majeur; Fonceur majeur; Nomade; Kramkram</t>
        </is>
      </c>
    </row>
    <row r="22964">
      <c r="A22964" t="inlineStr">
        <is>
          <t>Int/str</t>
        </is>
      </c>
      <c r="B22964">
        <f>HYPERLINK("https://www.dofusbook.net/fr/equipement/862764-int-str/objets", "link")</f>
        <v/>
      </c>
      <c r="C22964" t="n">
        <v>0</v>
      </c>
      <c r="D22964" t="inlineStr">
        <is>
          <t>Hache du Chalœil; Amulette du Strigide; Pikano; Bague Gloursonne; Bouclier du Captain Amakna; Ceintacé; Casque du Chalœil; Voile d'encre; Bottes du Chalœil; Dofus Émeraude; Dofus Turquoise; Dofus Pourpre; Dofus Abyssal; Remueur; Nomade; Kramkram</t>
        </is>
      </c>
    </row>
    <row r="22965">
      <c r="A22965" t="inlineStr">
        <is>
          <t>Int/cha</t>
        </is>
      </c>
      <c r="B22965">
        <f>HYPERLINK("https://www.dofusbook.net/fr/equipement/798133-int-cha/objets", "link")</f>
        <v/>
      </c>
      <c r="C22965" t="n">
        <v>0</v>
      </c>
      <c r="D22965" t="inlineStr">
        <is>
          <t>Arc Nécrotique; Amulette du Strigide; Alliance Gloursonne; Alliance du Lévitrof; Bouclier Taverne; Ceintacé; Kidibonnet; Cape de la Dame du Hasard; Bottes du Strigide; Dofus Abyssal; Dofus Émeraude; Dofus Pourpre; Dofus Turquoise; Chanceux majeur; Nomade; Kramkram</t>
        </is>
      </c>
    </row>
    <row r="22966">
      <c r="A22966" t="inlineStr">
        <is>
          <t>Cha Hupper</t>
        </is>
      </c>
      <c r="B22966">
        <f>HYPERLINK("https://www.dofusbook.net/fr/equipement/518824-cha-hupper/objets", "link")</f>
        <v/>
      </c>
      <c r="C22966" t="n">
        <v>0</v>
      </c>
      <c r="D22966" t="inlineStr">
        <is>
          <t>Dagoulinantes; Amulette du Strigide; Alliance Gloursonne; Pikano; Bouclier Taverne; Ceintacé; Kidibonnet; Cape du Sinistrofu; Bottes du Strigide; Dofus Émeraude; Dofus Turquoise; Dofus Pourpre; Dofus Abyssal; Chanceux majeur; Nomade; Dragodinde en armure</t>
        </is>
      </c>
    </row>
    <row r="22967">
      <c r="A22967" t="inlineStr">
        <is>
          <t>Stuff 3</t>
        </is>
      </c>
      <c r="B22967">
        <f>HYPERLINK("https://www.dofusbook.net/fr/equipement/489340-stuff-3/objets", "link")</f>
        <v/>
      </c>
      <c r="C22967" t="n">
        <v>0</v>
      </c>
      <c r="D22967" t="inlineStr">
        <is>
          <t>Epée Gloursonne; Amulette du Strigide; Bague Gloursonne; Alliance Gloursonne; Bouclier de Sidimote cassé; Ceinture du Strigide; Casque du Chalœil; Cape du Chalœil; Bottes du Chalœil; Dofus Ocre; Dofus Pourpre; Dokoko; Dofus Turquoise; Dofus des Glaces; Dofus Émeraude; Muldo Indigo et Orchidée</t>
        </is>
      </c>
    </row>
    <row r="22968">
      <c r="A22968" t="inlineStr">
        <is>
          <t>Stuff 3</t>
        </is>
      </c>
      <c r="B22968">
        <f>HYPERLINK("https://www.dofusbook.net/fr/equipement/489334-stuff-3/objets", "link")</f>
        <v/>
      </c>
      <c r="C22968" t="n">
        <v>0</v>
      </c>
      <c r="D22968" t="inlineStr">
        <is>
          <t>Dagoulinantes; Amulette du Sinistrofu; Alliance Gloursonne; Bracelet du Piloztère; Ftalmo cassé; Poulpagne; Masque des Fonds marins; Cape du Sinistrofu; Bottes de Meno; Dofus Ocre; Dofus Pourpre; Dofus Turquoise; Dolmanax; Nomade; Remueur; Dragodinde en armure</t>
        </is>
      </c>
    </row>
    <row r="22969">
      <c r="A22969" t="inlineStr">
        <is>
          <t>Stuff 1</t>
        </is>
      </c>
      <c r="B22969">
        <f>HYPERLINK("https://www.dofusbook.net/fr/equipement/489338-stuff-1/objets", "link")</f>
        <v/>
      </c>
      <c r="C22969" t="n">
        <v>0</v>
      </c>
      <c r="D22969" t="inlineStr">
        <is>
          <t>Hache du Korriandre; Amulette du Strigide; Alliance Gloursonne; Bracelet des Fonds marins; Bouclier du Captain Amakna; Ceinture du Strigide; Némès de Tal Kasha; Chevelure de Tal Kasha; Sandales de Tal Kasha; Dofus Ocre; Dofus Pourpre; Dofus Nébuleux; Dofus Ivoire; Dofus Turquoise; Dofus Abyssal; Muldo Ebène et Indigo</t>
        </is>
      </c>
    </row>
    <row r="22970">
      <c r="A22970" t="inlineStr">
        <is>
          <t>Stuff 3</t>
        </is>
      </c>
      <c r="B22970">
        <f>HYPERLINK("https://www.dofusbook.net/fr/equipement/489337-stuff-3/objets", "link")</f>
        <v/>
      </c>
      <c r="C22970" t="n">
        <v>3</v>
      </c>
      <c r="D22970" t="inlineStr">
        <is>
          <t>Manthache; Collier du Valet Veinard; Gant du Valet Veinard; Alliance Gloursonne; Bouclier en Slip cassé; Menoture; Casque Dragoeuf; Cape Indescriptible; Palmes Trithons; Dofus Émeraude; Miraculé majeur; Remueur; Carapace Neutre majeur; Miraculé; Survivant majeur; Muldo Ebène et Indigo</t>
        </is>
      </c>
    </row>
    <row r="22971">
      <c r="A22971" t="inlineStr">
        <is>
          <t>Stuff 1</t>
        </is>
      </c>
      <c r="B22971">
        <f>HYPERLINK("https://www.dofusbook.net/fr/equipement/489332-stuff-1/objets", "link")</f>
        <v/>
      </c>
      <c r="C22971" t="n">
        <v>0</v>
      </c>
      <c r="D22971" t="inlineStr">
        <is>
          <t>Sabres d'Atcham; Amulette du Strigide; Alliance Gloursonne; Alliance du Lévitrof; Ceinture du Strigide; Coiffe de Padgref; Voile d'encre; Pataugastrique; Dofus Turquoise; Dolmanax; Dofus des Glaces; Vigoureux majeur; Remueur; Nomade; Dragodinde en armure</t>
        </is>
      </c>
    </row>
    <row r="22972">
      <c r="A22972" t="inlineStr">
        <is>
          <t>teamTERRE</t>
        </is>
      </c>
      <c r="B22972">
        <f>HYPERLINK("https://www.dofusbook.net/fr/equipement/5870967-teamterre/objets", "link")</f>
        <v/>
      </c>
      <c r="C22972" t="n">
        <v>0</v>
      </c>
      <c r="D22972" t="inlineStr">
        <is>
          <t>Hache Sueur Rance; Amulette Héroclite; Gelano; Bague Gloursonne; Bouclier Taverne; Ceinture de Brouce; Bonnet Ko; Cape de la Fuji Givrefoux; Bottes de Brouce; Dofus Kaliptus; Dofus Turquoise; Dofus Pourpre; Remueur; Enragé majeur; Nomade; Dragodinde Turquoise et Pourpre</t>
        </is>
      </c>
    </row>
    <row r="22973">
      <c r="A22973" t="inlineStr">
        <is>
          <t>farmxp</t>
        </is>
      </c>
      <c r="B22973">
        <f>HYPERLINK("https://www.dofusbook.net/fr/equipement/5780584-farmxp/objets", "link")</f>
        <v/>
      </c>
      <c r="C22973" t="n">
        <v>4</v>
      </c>
      <c r="D22973" t="inlineStr">
        <is>
          <t>Baguette Hique; Amulette Cryochrone; Anneau Volkorne; Alliance Gloursonne; Bouclier cubiste; Poulpagne; Kidibonnet; Cape de la Dame du Hasard; Bottes de la Dame du Hasard; Dofus Turquoise; Temporiseur majeur; Remueur; Chanceux majeur; Entraveur majeur; Nomade; Gwo Tofu Ventripotent</t>
        </is>
      </c>
    </row>
    <row r="22974">
      <c r="A22974" t="inlineStr">
        <is>
          <t>farmxp2</t>
        </is>
      </c>
      <c r="B22974">
        <f>HYPERLINK("https://www.dofusbook.net/fr/equipement/5791559-farmxp2/objets", "link")</f>
        <v/>
      </c>
      <c r="C22974" t="n">
        <v>0</v>
      </c>
      <c r="D22974" t="inlineStr">
        <is>
          <t>Manthache; Amulette du Strigide; Alliance Gloursonne; Gant du Valet Veinard; Quatre-feuilles; Menoture; Dorabysses; Cape Indescriptible; Palmes Trithons; Dofus Turquoise; Dofus Pourpre; Cascadeur majeur; Nomade; Remueur; Pioute jaune</t>
        </is>
      </c>
    </row>
    <row r="22975">
      <c r="A22975" t="inlineStr">
        <is>
          <t>steam200</t>
        </is>
      </c>
      <c r="B22975">
        <f>HYPERLINK("https://www.dofusbook.net/fr/equipement/5827681-steam200/objets", "link")</f>
        <v/>
      </c>
      <c r="C22975" t="n">
        <v>0</v>
      </c>
      <c r="D22975" t="inlineStr">
        <is>
          <t>Arc du Chalœil; Torquistik; Bague Gloursonne; Baguistik; Cadran de Terre; Ceinture Volkorne; Masque de Koutoulou; Cape au Logis; Bottistik; Dofus Abyssal; Dofus Turquoise; Dofus Ébène; Dofus Pourpre; Dofus Ivoire; Dragodinde Prune et Pourpre</t>
        </is>
      </c>
    </row>
    <row r="22976">
      <c r="A22976" t="inlineStr">
        <is>
          <t>crafarmxp</t>
        </is>
      </c>
      <c r="B22976">
        <f>HYPERLINK("https://www.dofusbook.net/fr/equipement/5780539-crafarmxp/objets", "link")</f>
        <v/>
      </c>
      <c r="C22976" t="n">
        <v>2</v>
      </c>
      <c r="D22976" t="inlineStr">
        <is>
          <t>Epée Gloursonne; Amulette du Strigide; Alliance Gloursonne; Bague Gloursonne; Quatre-feuilles; Ceinture du Strigide; Maskrobe; Cape Reski; Bottes du Strigide; Dofus Pourpre; Dofus Turquoise; Puissant majeur; Voyageur; Chacha Angora</t>
        </is>
      </c>
    </row>
    <row r="22977">
      <c r="A22977" t="inlineStr">
        <is>
          <t>Pandakoli</t>
        </is>
      </c>
      <c r="B22977">
        <f>HYPERLINK("https://www.dofusbook.net/fr/equipement/5121247-pandakoli/objets", "link")</f>
        <v/>
      </c>
      <c r="C22977" t="n">
        <v>2</v>
      </c>
      <c r="D22977" t="inlineStr">
        <is>
          <t>Arc corrompu; Amulette Volkorne; Chevalière du Roi Joueur; Anneauræus; Quatre-feuilles; Croture; Heaume Oplate; Cape de la Dame du Hasard; Bottes Innommables; Dofus Turquoise; Dofus Pourpre; Dofus Ivoire; Nomade; Remueur; Érudit majeur; Dragodinde Amande et Orchidée</t>
        </is>
      </c>
    </row>
    <row r="22978">
      <c r="A22978" t="inlineStr">
        <is>
          <t>terrefeu</t>
        </is>
      </c>
      <c r="B22978">
        <f>HYPERLINK("https://www.dofusbook.net/fr/equipement/4130715-terrefeu/objets", "link")</f>
        <v/>
      </c>
      <c r="C22978" t="n">
        <v>4</v>
      </c>
      <c r="D22978" t="inlineStr">
        <is>
          <t>Dagues Érhy; Amulette Volkorne; Bague Gloursonne; Baguistik; Bouclier Taverne; Ceinture Volkorne; Couronne du Roi Joueur; Cape au Logis; Bottes Honyme; Dofus Pourpre; Dofus Turquoise; Enragé majeur; Nomade; Vigoureux majeur; Remueur; Dragodinde Ivoire et Pourpre</t>
        </is>
      </c>
    </row>
    <row r="22979">
      <c r="A22979" t="inlineStr">
        <is>
          <t>eauteamnormal</t>
        </is>
      </c>
      <c r="B22979">
        <f>HYPERLINK("https://www.dofusbook.net/fr/equipement/4474340-eauteamnormal/objets", "link")</f>
        <v/>
      </c>
      <c r="C22979" t="n">
        <v>1</v>
      </c>
      <c r="D22979" t="inlineStr">
        <is>
          <t>Sceptre du Roi Joueur; Amulette de Shokkoth; Anneau Volkorne; Anneau Glacial; Bouclier du Stalak; Poulpagne; Coiffe de Danathor; Cape Glaciale; Pataugastrique; Dofus Pourpre; Dofus Turquoise; Nomade; Remueur; Taquin majeur; Chanceux majeur; Dragodinde Indigo et Ivoire</t>
        </is>
      </c>
    </row>
    <row r="22980">
      <c r="A22980" t="inlineStr">
        <is>
          <t>eau air</t>
        </is>
      </c>
      <c r="B22980">
        <f>HYPERLINK("https://www.dofusbook.net/fr/equipement/4231914-eau-air/objets", "link")</f>
        <v/>
      </c>
      <c r="C22980" t="n">
        <v>0</v>
      </c>
      <c r="D22980" t="inlineStr">
        <is>
          <t>Arc de Koutoulou; Amulette du Strigide; Bracelet du Piloztère; Alliance Gloursonne; Quatre-feuilles; Ceintacé; Némès de Tal Kasha; Chevelure de Tal Kasha; Bottes Voldelor; Dofus Turquoise; Cascadeur majeur; Remueur; Nomade; Chanceux majeur; Vigoureux majeur; Muldo Prune et Emeraude</t>
        </is>
      </c>
    </row>
    <row r="22981">
      <c r="A22981" t="inlineStr">
        <is>
          <t>pod</t>
        </is>
      </c>
      <c r="B22981">
        <f>HYPERLINK("https://www.dofusbook.net/fr/equipement/4012016-pod/objets", "link")</f>
        <v/>
      </c>
      <c r="C22981" t="n">
        <v>3</v>
      </c>
      <c r="D22981" t="inlineStr">
        <is>
          <t>Canne Hassukre; Amulette de l'Obsidiantre; Anneau de Brouce; Anneau de Guten Tak; Ceinture Royale du Bouftou; Masque Vaudou Eth; Sac du Staca Noviste; Bottes de Brouce; Forcené; Forcené majeur; Enragé; Enragé majeur; Furibond majeur; Bworky</t>
        </is>
      </c>
    </row>
    <row r="22982">
      <c r="A22982" t="inlineStr">
        <is>
          <t>Féca M 200</t>
        </is>
      </c>
      <c r="B22982">
        <f>HYPERLINK("https://www.dofusbook.net/fr/equipement/3923621-feca-m-200/objets", "link")</f>
        <v/>
      </c>
      <c r="C22982" t="n">
        <v>0</v>
      </c>
      <c r="D22982" t="inlineStr">
        <is>
          <t>Arc Nécrotique; Amulette Volkorne; Anneau Volkorne; Bague Trithon; Quatre-feuilles; Ceinture de l'Esprit Malsain; Masque Trithon; Cape de la Dame du Hasard; Pataugastrique; Dofus Ocre; Dofus Ivoire; Dofus Vulbis; Dofus des Glaces; Dofus Turquoise; Dofus Pourpre; Kokulte</t>
        </is>
      </c>
    </row>
    <row r="22983">
      <c r="A22983" t="inlineStr">
        <is>
          <t>Stuff 1</t>
        </is>
      </c>
      <c r="B22983">
        <f>HYPERLINK("https://www.dofusbook.net/fr/equipement/239087-stuff-1/objets", "link")</f>
        <v/>
      </c>
      <c r="C22983" t="n">
        <v>0</v>
      </c>
      <c r="D22983" t="inlineStr">
        <is>
          <t>Lav'Hache; Collier de Tourthon; Anneau Chevelu; Anneau Crustique; Bouclier d'Ilyzaelle; Ceintouse; Masque de Koutoulou; Cape au Logis; Tentassons; Dofus Pourpre; Dofus Émeraude; Enragé majeur; Remueur; Étourdisseur majeur; Obstructeur majeur; Volkorne Jade et Ivoire</t>
        </is>
      </c>
    </row>
    <row r="22984">
      <c r="A22984" t="inlineStr">
        <is>
          <t>Vlab stuff</t>
        </is>
      </c>
      <c r="B22984">
        <f>HYPERLINK("https://www.dofusbook.net/fr/equipement/3880714-vlab-stuff/objets", "link")</f>
        <v/>
      </c>
      <c r="C22984" t="n">
        <v>1</v>
      </c>
      <c r="D22984" t="inlineStr">
        <is>
          <t>Arc Honte; Amulette Volkorne; Alliance Gloursonne; Anneau Volkorne; Cadran de Terre; Ceinture de l'Esprit Salvateur; Masque de l'Esprit Salvateur; Voile d'encre; Bottes de l'Esprit Salvateur; Dofus Pourpre; Dofus Abyssal; Dofus Ocre; Dofus Ivoire; Dofus Vulbis; Dofus des Glaces; Dragodinde Ivoire et Orchidée</t>
        </is>
      </c>
    </row>
    <row r="22985">
      <c r="A22985" t="inlineStr">
        <is>
          <t>ret pm</t>
        </is>
      </c>
      <c r="B22985">
        <f>HYPERLINK("https://www.dofusbook.net/fr/equipement/5638925-ret-pm/objets", "link")</f>
        <v/>
      </c>
      <c r="C22985" t="n">
        <v>0</v>
      </c>
      <c r="D22985" t="inlineStr"/>
    </row>
    <row r="22986">
      <c r="A22986" t="inlineStr">
        <is>
          <t>Enutrof M 200</t>
        </is>
      </c>
      <c r="B22986">
        <f>HYPERLINK("https://www.dofusbook.net/fr/equipement/5969229-enutrof-m-200/objets", "link")</f>
        <v/>
      </c>
      <c r="C22986" t="n">
        <v>0</v>
      </c>
      <c r="D22986" t="inlineStr"/>
    </row>
    <row r="22987">
      <c r="A22987" t="inlineStr">
        <is>
          <t>Enutrof M 200</t>
        </is>
      </c>
      <c r="B22987">
        <f>HYPERLINK("https://www.dofusbook.net/fr/equipement/5572084-enutrof-m-200/objets", "link")</f>
        <v/>
      </c>
      <c r="C22987" t="n">
        <v>0</v>
      </c>
      <c r="D22987" t="inlineStr">
        <is>
          <t>Hache du Guerrier Zoth; Amulette du Glourséleste; Anneau Tamie; Anneau Tamie; Bouclier cubiste; Ceinture Instable; Coiffe d'Ogivol; Cape de Léthaline; Pantoufles Émar; Fonceur majeur; Entraveur majeur; Ralentisseur majeur; Remueur; Temporiseur majeur; Tofu Givré</t>
        </is>
      </c>
    </row>
    <row r="22988">
      <c r="A22988" t="inlineStr">
        <is>
          <t>tank 200</t>
        </is>
      </c>
      <c r="B22988">
        <f>HYPERLINK("https://www.dofusbook.net/fr/equipement/5583276-tank-200/objets", "link")</f>
        <v/>
      </c>
      <c r="C22988" t="n">
        <v>0</v>
      </c>
      <c r="D22988" t="inlineStr">
        <is>
          <t>Rouleau à Pâtisserie d'Aermyne; Amulette des Chocomanciens; Alliance Gloursonne; Anneau de Pol Ouatnos; Bouclier d'Anerice; Ceinture de Kongoku; Casque Dragoeuf; Cape d'Anerice; Pataugastrique; Dofus Ivoire; Dokoko; Dofus Émeraude; Obstructeur majeur; Bloqueur majeur; Remueur; Platypus</t>
        </is>
      </c>
    </row>
    <row r="22989">
      <c r="A22989" t="inlineStr">
        <is>
          <t>do pou</t>
        </is>
      </c>
      <c r="B22989">
        <f>HYPERLINK("https://www.dofusbook.net/fr/equipement/5261395-do-pou/objets", "link")</f>
        <v/>
      </c>
      <c r="C22989" t="n">
        <v>1</v>
      </c>
      <c r="D22989" t="inlineStr">
        <is>
          <t>Arc du Chalœil; Torquistik; Baguistik; Bague Trithon; Bouclier précieux; Ceinture Gence; Casque Dragoeuf; Cape Solution; Bottes du Cul Botté; Dofus Abyssal; Dofus Ivoire; Culbuteur majeur; Culbuteur; Bousculeur majeur; Pousseur majeur; Balafreux</t>
        </is>
      </c>
    </row>
    <row r="22990">
      <c r="A22990" t="inlineStr">
        <is>
          <t>triton/volk</t>
        </is>
      </c>
      <c r="B22990">
        <f>HYPERLINK("https://www.dofusbook.net/fr/equipement/5260309-triton-volk/objets", "link")</f>
        <v/>
      </c>
      <c r="C22990" t="n">
        <v>2</v>
      </c>
      <c r="D22990" t="inlineStr">
        <is>
          <t>Hache du Chalœil; Amulette Volkorne; Anneau Volkorne; Bague Trithon; Quatre-feuilles; Ceinture Volkorne; Masque Trithon; Cape du Chalœil; Bottes Trithon; Dofus Ocre; Dofus Abyssal; Dofus Turquoise; Dofus des Glaces; Dokoko; Dofus Pourpre; Kokulte</t>
        </is>
      </c>
    </row>
    <row r="22991">
      <c r="A22991" t="inlineStr">
        <is>
          <t>Roublard F 200</t>
        </is>
      </c>
      <c r="B22991">
        <f>HYPERLINK("https://www.dofusbook.net/fr/equipement/5281864-roublard-f-200/objets", "link")</f>
        <v/>
      </c>
      <c r="C22991" t="n">
        <v>0</v>
      </c>
      <c r="D22991" t="inlineStr">
        <is>
          <t>Manthache; Collier du Valet Veinard; Alliance Gloursonne; Gant du Valet Veinard; Bouclier du Stalak; Menoture; Couronne d'Allister; Cape Indescriptible; Palmes Trithons; Remueur; Saccageur Air majeur; Dévastateur Air majeur; Voyageur; Nomade; Cascadeur majeur; Blérodoudou</t>
        </is>
      </c>
    </row>
    <row r="22992">
      <c r="A22992" t="inlineStr">
        <is>
          <t>air do pou</t>
        </is>
      </c>
      <c r="B22992">
        <f>HYPERLINK("https://www.dofusbook.net/fr/equipement/5240220-air-do-pou/objets", "link")</f>
        <v/>
      </c>
      <c r="C22992" t="n">
        <v>0</v>
      </c>
      <c r="D22992" t="inlineStr">
        <is>
          <t>Hachoirs de Viandargh; Amulette du Cœur Vaillant; Alliance Gloursonne; Bague Trithon; Bouclier Taverne; Menoture; Dorabysses; Cape des Malveilleurs; Bottes du Cœur Vaillant; Dofus Abyssal; Dofus Ocre; Bousculeur majeur; Nomade; Cascadeur majeur; Culbuteur majeur; Tofoudre</t>
        </is>
      </c>
    </row>
    <row r="22993">
      <c r="A22993" t="inlineStr">
        <is>
          <t>necro mais hache chal</t>
        </is>
      </c>
      <c r="B22993">
        <f>HYPERLINK("https://www.dofusbook.net/fr/equipement/5248431-necro-mais-hache-chal/objets", "link")</f>
        <v/>
      </c>
      <c r="C22993" t="n">
        <v>0</v>
      </c>
      <c r="D22993" t="inlineStr">
        <is>
          <t>Hache du Chalœil; Amulette Volkorne; Anneau Volkorne; Bague Trithon; Quatre-feuilles; Ceintacé; Masque Trithon; Cape de la Dame du Hasard; Bottes de la Dame du Hasard; Dofus Ocre; Dofus Ivoire; Dofus Ébène; Dofus Turquoise; Dofus Abyssal; Voyageur; Kokulte</t>
        </is>
      </c>
    </row>
    <row r="22994">
      <c r="A22994" t="inlineStr">
        <is>
          <t>nécro</t>
        </is>
      </c>
      <c r="B22994">
        <f>HYPERLINK("https://www.dofusbook.net/fr/equipement/5383123-necro/objets", "link")</f>
        <v/>
      </c>
      <c r="C22994" t="n">
        <v>0</v>
      </c>
      <c r="D22994" t="inlineStr">
        <is>
          <t>Arc Nécrotique; Amulette Volkorne; Bague Trithon; Anneau Volkorne; Quatre-feuilles; Ceintacé; Masque Trithon; Cape de la Dame du Hasard; Bottes de la Dame du Hasard; Dofus Ocre; Dofus Abyssal; Dofus Pourpre; Dofus Ivoire; Dofus Turquoise; Voyageur; Kokulte</t>
        </is>
      </c>
    </row>
    <row r="22995">
      <c r="A22995" t="inlineStr">
        <is>
          <t>Steamer FEU</t>
        </is>
      </c>
      <c r="B22995">
        <f>HYPERLINK("https://www.dofusbook.net/fr/equipement/5281921-steamer-feu/objets", "link")</f>
        <v/>
      </c>
      <c r="C22995" t="n">
        <v>2</v>
      </c>
      <c r="D22995" t="inlineStr">
        <is>
          <t>Arc corrompu; Amulette Volkorne; Anneauræus; Anneauræus; Bouclier du Stalak; Ceinture Volkorne; Heaume Oplate; Voile d'encre; Bottes Innommables; Dofus Pourpre; Érudit majeur; Nomade; Remueur; Bisouglours</t>
        </is>
      </c>
    </row>
    <row r="22996">
      <c r="A22996" t="inlineStr">
        <is>
          <t>steam TER</t>
        </is>
      </c>
      <c r="B22996">
        <f>HYPERLINK("https://www.dofusbook.net/fr/equipement/5280616-steam-ter/objets", "link")</f>
        <v/>
      </c>
      <c r="C22996" t="n">
        <v>0</v>
      </c>
      <c r="D22996" t="inlineStr">
        <is>
          <t>Arc du Chalœil; Collier de Tourthon; Anneau Volkorne; Anneau Chevelu; Bouclier du Stalak; Ceinture Volkorne; Masque de Koutoulou; Cape au Logis; Sabots Minables; Dofus des Glaces; Dokoko; Dofus Pourpre; Dofus Abyssal; Vigoureux majeur; Enragé majeur; Dragodinde Prune et Pourpre</t>
        </is>
      </c>
    </row>
    <row r="22997">
      <c r="A22997" t="inlineStr">
        <is>
          <t>multi pas crit</t>
        </is>
      </c>
      <c r="B22997">
        <f>HYPERLINK("https://www.dofusbook.net/fr/equipement/5261676-multi-pas-crit/objets", "link")</f>
        <v/>
      </c>
      <c r="C22997" t="n">
        <v>0</v>
      </c>
      <c r="D22997" t="inlineStr">
        <is>
          <t>Arc Volkorne; Amulette Volkorne; Bracelet du Piloztère; Anneau Volkorne; Bouclier du Stalak; Ceinture Volkorne; Casque du Chalœil; Cape du Chalœil; Bottes du Chalœil; Dokoko; Dofus des Glaces; Dofus Pourpre; Dofus Abyssal; Dofus Ocre; Robuste majeur; Kramkram</t>
        </is>
      </c>
    </row>
    <row r="22998">
      <c r="A22998" t="inlineStr">
        <is>
          <t>arc volk</t>
        </is>
      </c>
      <c r="B22998">
        <f>HYPERLINK("https://www.dofusbook.net/fr/equipement/5238316-arc-volk/objets", "link")</f>
        <v/>
      </c>
      <c r="C22998" t="n">
        <v>0</v>
      </c>
      <c r="D22998" t="inlineStr">
        <is>
          <t>Arc Volkorne; Amulette Volkorne; Bague Trithon; Anneau Volkorne; Quatre-feuilles; Ceintacé; Masque Trithon; Chevelure de Tal Kasha; Sandales de Tal Kasha; Dofus Pourpre; Dofus Abyssal; Dofus Turquoise; Dofus des Glaces; Dofus Ocre; Voyageur; Kokulte</t>
        </is>
      </c>
    </row>
    <row r="22999">
      <c r="A22999" t="inlineStr">
        <is>
          <t>nécro</t>
        </is>
      </c>
      <c r="B22999">
        <f>HYPERLINK("https://www.dofusbook.net/fr/equipement/5247984-necro/objets", "link")</f>
        <v/>
      </c>
      <c r="C22999" t="n">
        <v>0</v>
      </c>
      <c r="D22999" t="inlineStr">
        <is>
          <t>Arc Nécrotique; Amulette Volkorne; Bague Trithon; Anneau Volkorne; Quatre-feuilles; Ceintacé; Masque Trithon; Cape de la Dame du Hasard; Bottes de la Dame du Hasard; Dofus Abyssal; Dofus Turquoise; Dofus des Glaces; Dofus Pourpre; Dofus Ocre; Voyageur; Kokulte</t>
        </is>
      </c>
    </row>
    <row r="23000">
      <c r="A23000" t="inlineStr">
        <is>
          <t>volk/stri</t>
        </is>
      </c>
      <c r="B23000">
        <f>HYPERLINK("https://www.dofusbook.net/fr/equipement/4779228-volk-stri/objets", "link")</f>
        <v/>
      </c>
      <c r="C23000" t="n">
        <v>1</v>
      </c>
      <c r="D23000" t="inlineStr">
        <is>
          <t>Arc Volkorne; Amulette du Strigide; Bracelet du Piloztère; Anneau Volkorne; Quatre-feuilles; Ceinture Volkorne; Casque Volkorne; Cape de la Dame du Hasard; Bottes du Strigide; Dofus Pourpre; Dofus Abyssal; Dofus des Glaces; Dofus Turquoise; Dolmanax; Dofus Ocre; Sakochère</t>
        </is>
      </c>
    </row>
    <row r="23001">
      <c r="A23001" t="inlineStr">
        <is>
          <t>Steamer M 200</t>
        </is>
      </c>
      <c r="B23001">
        <f>HYPERLINK("https://www.dofusbook.net/fr/equipement/5232561-steamer-m-200/objets", "link")</f>
        <v/>
      </c>
      <c r="C23001" t="n">
        <v>0</v>
      </c>
      <c r="D23001" t="inlineStr">
        <is>
          <t>Pelle de la Cour Sombre; Collier du Valet Veinard; Gant du Valet Veinard; Alliance Gloursonne; Bouclier du Stalak; Menoture; Couronne d'Allister; Cape Indescriptible; Palmes Trithons; Dofus Pourpre; Dofus Abyssal; Dokoko; Nomade; Cascadeur majeur; Remueur; Muldo Ebène</t>
        </is>
      </c>
    </row>
    <row r="23002">
      <c r="A23002" t="inlineStr">
        <is>
          <t>test</t>
        </is>
      </c>
      <c r="B23002">
        <f>HYPERLINK("https://www.dofusbook.net/fr/equipement/4806112-test/objets", "link")</f>
        <v/>
      </c>
      <c r="C23002" t="n">
        <v>0</v>
      </c>
      <c r="D23002" t="inlineStr">
        <is>
          <t>Épouvante; Collier de Tourthon; Bracelet du Piloztère; Anneau Volkorne; Bouclier précieux; Ceinture Volkorne; Kidibonnet; Cape Luminescente; Chaussons de Macrab; Dofus Pourpre; Dofus Ocre; Dofus Turquoise; Carapace Terre majeur; Vigoureux majeur; Muldo Ebène et Indigo</t>
        </is>
      </c>
    </row>
    <row r="23003">
      <c r="A23003" t="inlineStr">
        <is>
          <t>Pandawa M 200</t>
        </is>
      </c>
      <c r="B23003">
        <f>HYPERLINK("https://www.dofusbook.net/fr/equipement/4809119-pandawa-m-200/objets", "link")</f>
        <v/>
      </c>
      <c r="C23003" t="n">
        <v>0</v>
      </c>
      <c r="D23003" t="inlineStr">
        <is>
          <t>Rouleau à Pâtisserie d'Aermyne; Collier Rophante; Alliance Gloursonne; Anneau de XLII; Sept ans de malheur; Ceinture de XLII; Coiffe d'Aermyne; Cape d'Aermyne; Bottes de XLII; Dokoko; Dofus Émeraude; Bloqueur majeur; Tacleur majeur; Bloqueur; Survivant majeur; Muldo Ebène et Indigo</t>
        </is>
      </c>
    </row>
    <row r="23004">
      <c r="A23004" t="inlineStr">
        <is>
          <t>Reroll</t>
        </is>
      </c>
      <c r="B23004">
        <f>HYPERLINK("https://www.dofusbook.net/fr/equipement/4585536-reroll/objets", "link")</f>
        <v/>
      </c>
      <c r="C23004" t="n">
        <v>3</v>
      </c>
      <c r="D23004" t="inlineStr">
        <is>
          <t>Amulette de Shokkoth; Poulpagne; Masque des Fonds marins; Cape Solution; Sandales des Fonds marins</t>
        </is>
      </c>
    </row>
    <row r="23005">
      <c r="A23005" t="inlineStr">
        <is>
          <t>1v1</t>
        </is>
      </c>
      <c r="B23005">
        <f>HYPERLINK("https://www.dofusbook.net/fr/equipement/4804941-1v1/objets", "link")</f>
        <v/>
      </c>
      <c r="C23005" t="n">
        <v>1</v>
      </c>
      <c r="D23005" t="inlineStr">
        <is>
          <t>Arc corrompu; Amulette Volkorne; Anneauræus; Anneauræus; Bouclier du Stalak; Ceinture Volkorne; Casque Dragoeuf; Cape de Diondin; Bottes Innommables; Dofus Pourpre; Dofus Ébène; Dofus Ocre; Dofus des Glaces; Dofus Ivoire; Nomade; Bisouglours</t>
        </is>
      </c>
    </row>
    <row r="23006">
      <c r="A23006" t="inlineStr">
        <is>
          <t>air pano</t>
        </is>
      </c>
      <c r="B23006">
        <f>HYPERLINK("https://www.dofusbook.net/fr/equipement/4804552-air-pano/objets", "link")</f>
        <v/>
      </c>
      <c r="C23006" t="n">
        <v>0</v>
      </c>
      <c r="D23006" t="inlineStr">
        <is>
          <t>Manthache; Collier du Valet Veinard; Alliance Gloursonne; Gant du Valet Veinard; Bouclier du Stalak; Ceinture Volkorne; Casque Volkorne; Cape du Valet Veinard; Palmes Trithons; Dofus Ocre; Dofus Ébène; Dofus Abyssal; Dofus Pourpre; Dofus Ivoire; Voyageur; Bwak d'Air</t>
        </is>
      </c>
    </row>
    <row r="23007">
      <c r="A23007" t="inlineStr">
        <is>
          <t>air</t>
        </is>
      </c>
      <c r="B23007">
        <f>HYPERLINK("https://www.dofusbook.net/fr/equipement/4786122-air-/objets", "link")</f>
        <v/>
      </c>
      <c r="C23007" t="n">
        <v>1</v>
      </c>
      <c r="D23007" t="inlineStr">
        <is>
          <t>Manthache; Collier du Valet Veinard; Alliance Gloursonne; Gant du Valet Veinard; Bouclier du Stalak; Menoture; Couronne d'Allister; Cape Indescriptible; Palmes Trithons; Dofus Ocre; Dofus Ivoire; Dofus Abyssal; Dofus Ébène; Cascadeur majeur; Nomade; Bwak d'Air</t>
        </is>
      </c>
    </row>
    <row r="23008">
      <c r="A23008" t="inlineStr">
        <is>
          <t>terre crit</t>
        </is>
      </c>
      <c r="B23008">
        <f>HYPERLINK("https://www.dofusbook.net/fr/equipement/4804274-terre-crit/objets", "link")</f>
        <v/>
      </c>
      <c r="C23008" t="n">
        <v>0</v>
      </c>
      <c r="D23008" t="inlineStr">
        <is>
          <t>Arc du Chalœil; Amulette du Strigide; Anneau Chevelu; Anneau Volkorne; Quatre-feuilles; Ceinture Volkorne; Masque de Koutoulou; Voile d'encre; Bottes du Strigide; Dofus Turquoise; Dofus Ivoire; Dofus Ocre; Dofus Ébène; Dofus Abyssal; Voyageur; Bulbisou</t>
        </is>
      </c>
    </row>
    <row r="23009">
      <c r="A23009" t="inlineStr">
        <is>
          <t>terre</t>
        </is>
      </c>
      <c r="B23009">
        <f>HYPERLINK("https://www.dofusbook.net/fr/equipement/4786830-terre/objets", "link")</f>
        <v/>
      </c>
      <c r="C23009" t="n">
        <v>0</v>
      </c>
      <c r="D23009" t="inlineStr">
        <is>
          <t>Arc du Chalœil; Collier de Tourthon; Anneau Volkorne; Anneau Toriété; Bouclier du Stalak; Ceinture Volkorne; Masque de Koutoulou; Voile d'encre; Tentassons; Dofus Pourpre; Dofus Abyssal; Dofus Ivoire; Dofus Ocre; Dofus Ébène; Enragé majeur; Bulbisou</t>
        </is>
      </c>
    </row>
    <row r="23010">
      <c r="A23010" t="inlineStr">
        <is>
          <t>feu pas crit</t>
        </is>
      </c>
      <c r="B23010">
        <f>HYPERLINK("https://www.dofusbook.net/fr/equipement/4786033-feu-pas-crit/objets", "link")</f>
        <v/>
      </c>
      <c r="C23010" t="n">
        <v>0</v>
      </c>
      <c r="D23010" t="inlineStr">
        <is>
          <t>Arc corrompu; Amulette Volkorne; Anneauræus; Anneauræus; Bouclier du Stalak; Ceinture Volkorne; Heaume Oplate; Voile d'encre; Bottes Innommables; Dofus Ocre; Dofus Ébène; Dofus Abyssal; Dofus Pourpre; Dofus Ivoire; Nomade; Bisouglours</t>
        </is>
      </c>
    </row>
    <row r="23011">
      <c r="A23011" t="inlineStr">
        <is>
          <t>Feu crit</t>
        </is>
      </c>
      <c r="B23011">
        <f>HYPERLINK("https://www.dofusbook.net/fr/equipement/4785893-feu-crit/objets", "link")</f>
        <v/>
      </c>
      <c r="C23011" t="n">
        <v>0</v>
      </c>
      <c r="D23011" t="inlineStr">
        <is>
          <t>Arc corrompu; Amulette de Nileza; Anneauræus; Anneauræus; Quatre-feuilles; Ceinture Séculaire; Heaume Oplate; Cape de Nileza; Bottes de Nileza; Dofus Pourpre; Dofus Abyssal; Dofus Ocre; Dofus Ivoire; Dofus Turquoise; Dofus Ébène; Bisouglours</t>
        </is>
      </c>
    </row>
    <row r="23012">
      <c r="A23012" t="inlineStr">
        <is>
          <t>Iop</t>
        </is>
      </c>
      <c r="B23012">
        <f>HYPERLINK("https://www.dofusbook.net/fr/equipement/4657305-iop/objets", "link")</f>
        <v/>
      </c>
      <c r="C23012" t="n">
        <v>0</v>
      </c>
      <c r="D23012" t="inlineStr">
        <is>
          <t>Poolache; Amulette du Strigide; Bracelet du Piloztère; Bague Gloursonne; Quatre-feuilles; Ceintacé; Chapeau de Gein; Voile d'encre; Bottes du Strigide; Dofus Pourpre; Dofus Turquoise; Nomade; Remueur; Vigoureux majeur; Kokulte</t>
        </is>
      </c>
    </row>
    <row r="23013">
      <c r="A23013" t="inlineStr">
        <is>
          <t>Eliotrope M 200</t>
        </is>
      </c>
      <c r="B23013">
        <f>HYPERLINK("https://www.dofusbook.net/fr/equipement/4779096-eliotrope-m-200/objets", "link")</f>
        <v/>
      </c>
      <c r="C23013" t="n">
        <v>0</v>
      </c>
      <c r="D23013" t="inlineStr">
        <is>
          <t>Arc de Koutoulou; Amulette du Strigide; Anneau Volkorne; Alliance Gloursonne; Quatre-feuilles; Ceinture du Strigide; Casque Volkorne; Chevelure de Tal Kasha; Bottes du Strigide; Dokoko; Dofus Ocre; Dofus des Glaces; Dofus Pourpre; Dofus Turquoise; Voyageur; Sakochère</t>
        </is>
      </c>
    </row>
    <row r="23014">
      <c r="A23014" t="inlineStr">
        <is>
          <t>Nehmet</t>
        </is>
      </c>
      <c r="B23014">
        <f>HYPERLINK("https://www.dofusbook.net/fr/equipement/4585179-nehmet/objets", "link")</f>
        <v/>
      </c>
      <c r="C23014" t="n">
        <v>2</v>
      </c>
      <c r="D23014" t="inlineStr">
        <is>
          <t>Le Thanos; Amulette Volkorne; Anneau Tamie; Anneau Tamie; Bouclier cubiste; Ceinture Hanium; Couronne de Nidas; Cape de Diondin; Tongues de Nidas; Nomade; Carapace Air majeur; Carapace Eau majeur; Érudit majeur; Guérisseur majeur; Temporiseur majeur; Volkorne Turquoise et Orchidée</t>
        </is>
      </c>
    </row>
    <row r="23015">
      <c r="A23015" t="inlineStr">
        <is>
          <t>Shukno</t>
        </is>
      </c>
      <c r="B23015">
        <f>HYPERLINK("https://www.dofusbook.net/fr/equipement/4655964-shukno/objets", "link")</f>
        <v/>
      </c>
      <c r="C23015" t="n">
        <v>3</v>
      </c>
      <c r="D23015" t="inlineStr">
        <is>
          <t>Bâton Brelle; Collier du Valet Veinard; Gant du Valet Veinard; Anneau d'Allister; Bouclier du Stalak; Menoture; Couronne d'Allister; Cape du Valet Veinard; Bottes d'Allister; Dokoko; Dofus Kaliptus; Dofus Pourpre; Dofus Cawotte; Acrobate majeur; Muldo Ebène et Orchidée</t>
        </is>
      </c>
    </row>
    <row r="23016">
      <c r="A23016" t="inlineStr">
        <is>
          <t>Roublard F 200</t>
        </is>
      </c>
      <c r="B23016">
        <f>HYPERLINK("https://www.dofusbook.net/fr/equipement/3466495-roublard-f-200/objets", "link")</f>
        <v/>
      </c>
      <c r="C23016" t="n">
        <v>1</v>
      </c>
      <c r="D23016" t="inlineStr">
        <is>
          <t>Arc Hétype; Pendentif affamé; Anneau Tamie; Anneau Tamie; Bouclier du Stalak; Ceinture Séculaire; Coiffe Séculaire; Cape de Diondin; Pataugastrique; Dofus Pourpre; Dofus des Glaces; Érudit majeur; Nomade; Dévastateur Feu majeur; Sanguinaire majeur; Bisouglours</t>
        </is>
      </c>
    </row>
    <row r="23017">
      <c r="A23017" t="inlineStr">
        <is>
          <t>eau/feu tacle</t>
        </is>
      </c>
      <c r="B23017">
        <f>HYPERLINK("https://www.dofusbook.net/fr/equipement/4597733-eau-feu-tacle/objets", "link")</f>
        <v/>
      </c>
      <c r="C23017" t="n">
        <v>4</v>
      </c>
      <c r="D23017" t="inlineStr">
        <is>
          <t>Arc Nécrotique; Talisman Glouti; Anneau Tique; Alliance Gloursonne; Bouclier du Stalak; Ceinture de l'Esprit Malsain; Casque Dragoeuf; Voile d'encre; Pataugastrique; Dokoko; Dofus Pourpre; Dofus Émeraude; Obstructeur majeur; Carapace Neutre majeur; Remueur; Muldo Roux et Indigo</t>
        </is>
      </c>
    </row>
    <row r="23018">
      <c r="A23018" t="inlineStr">
        <is>
          <t>Sacrieur Air Mix</t>
        </is>
      </c>
      <c r="B23018">
        <f>HYPERLINK("https://www.dofusbook.net/fr/equipement/4612156-sacrieur-air-mix/objets", "link")</f>
        <v/>
      </c>
      <c r="C23018" t="n">
        <v>2</v>
      </c>
      <c r="D23018" t="inlineStr">
        <is>
          <t>Epée Toche; Amulette de Gein; Bracelet du Piloztère; Bague Gloursonne; Bouclier du Captain Amakna; Ceinture de Gein; Chapeau de Gein; Cape au Logis; Pataugastrique; Dokoko; Dofus Turquoise; Dofus Émeraude; Dofus Abyssal; Dofus Nébuleux; Dofus Pourpre; Kokulte</t>
        </is>
      </c>
    </row>
    <row r="23019">
      <c r="A23019" t="inlineStr">
        <is>
          <t>Osamodas M 200</t>
        </is>
      </c>
      <c r="B23019">
        <f>HYPERLINK("https://www.dofusbook.net/fr/equipement/4661317-osamodas-m-200/objets", "link")</f>
        <v/>
      </c>
      <c r="C23019" t="n">
        <v>1</v>
      </c>
      <c r="D23019" t="inlineStr">
        <is>
          <t>Karnak; Collier du Valet Veinard; Gant du Valet Veinard; Anneau d'Allister; Cadran de Feu; Menoture; Couronne d'Allister; Cape du Valet Veinard; Bottes d'Allister; Dokoko; Ravageur Air majeur; Acrobate majeur; Fuyard majeur; Dragodinde Dorée et Ebène</t>
        </is>
      </c>
    </row>
    <row r="23020">
      <c r="A23020" t="inlineStr">
        <is>
          <t>Eniripsa M 200</t>
        </is>
      </c>
      <c r="B23020">
        <f>HYPERLINK("https://www.dofusbook.net/fr/equipement/4647669-eniripsa-m-200/objets", "link")</f>
        <v/>
      </c>
      <c r="C23020" t="n">
        <v>1</v>
      </c>
      <c r="D23020" t="inlineStr">
        <is>
          <t>Épée d'Otomaï; Pendentif affamé; Anneau de Nidas; Bague Gloursonne; Bouclier du Cycloïde; Ceinture de Vortex; Couronne de Nidas; Cape de Diondin; Bottes Innommables; Érudit majeur; Déserteur majeur; Nomade; Guérisseur majeur; Remueur; Dragodinde Prune et Orchidée</t>
        </is>
      </c>
    </row>
    <row r="23021">
      <c r="A23021" t="inlineStr">
        <is>
          <t>Tankosaure</t>
        </is>
      </c>
      <c r="B23021">
        <f>HYPERLINK("https://www.dofusbook.net/fr/equipement/4647351-tankosaure/objets", "link")</f>
        <v/>
      </c>
      <c r="C23021" t="n">
        <v>1</v>
      </c>
      <c r="D23021" t="inlineStr">
        <is>
          <t>Karnak; Collier du Valet Veinard; Anneau d'Allister; Alliance Gloursonne; Bouclier d'Anerice; Menoture; Casque Dragoeuf; Cape d'Anerice; Palmes Trithons; Dofus Émeraude; Dofus Ivoire; Miraculé majeur; Obstructeur majeur; Remueur; Cascadeur majeur; La Chose</t>
        </is>
      </c>
    </row>
    <row r="23022">
      <c r="A23022" t="inlineStr">
        <is>
          <t>Multi volk/stri</t>
        </is>
      </c>
      <c r="B23022">
        <f>HYPERLINK("https://www.dofusbook.net/fr/equipement/4638657-multi-volk-stri/objets", "link")</f>
        <v/>
      </c>
      <c r="C23022" t="n">
        <v>1</v>
      </c>
      <c r="D23022" t="inlineStr">
        <is>
          <t>Arc Volkorne; Amulette du Strigide; Alliance Gloursonne; Anneau Volkorne; Quatre-feuilles; Ceinture Volkorne; Casque Volkorne; Voile d'encre; Bottes du Strigide; Dofus Pourpre; Dofus Abyssal; Dofus Turquoise; Dokoko; Dofus Ocre; Puissant majeur; Sakochère</t>
        </is>
      </c>
    </row>
    <row r="23023">
      <c r="A23023" t="inlineStr">
        <is>
          <t>Eau/air crit</t>
        </is>
      </c>
      <c r="B23023">
        <f>HYPERLINK("https://www.dofusbook.net/fr/equipement/4639553-eau-air-crit/objets", "link")</f>
        <v/>
      </c>
      <c r="C23023" t="n">
        <v>1</v>
      </c>
      <c r="D23023" t="inlineStr">
        <is>
          <t>Arc de Koutoulou; Amulette du Strigide; Anneau Volkorne; Alliance Gloursonne; Quatre-feuilles; Ceinture du Strigide; Némès de Tal Kasha; Chevelure de Tal Kasha; Sandales de Tal Kasha; Dokoko; Dofus Ocre; Dofus Pourpre; Dofus Abyssal; Dofus des Glaces; Dofus Turquoise; Muldo Ebène et Indigo</t>
        </is>
      </c>
    </row>
    <row r="23024">
      <c r="A23024" t="inlineStr">
        <is>
          <t>terre/eau</t>
        </is>
      </c>
      <c r="B23024">
        <f>HYPERLINK("https://www.dofusbook.net/fr/equipement/4641022-terre-eau/objets", "link")</f>
        <v/>
      </c>
      <c r="C23024" t="n">
        <v>0</v>
      </c>
      <c r="D23024" t="inlineStr">
        <is>
          <t>Baguette des égarés; Amulette du Strigide; Pikano; Bracelet du Piloztère; Quatre-feuilles; Ceintacé; Masque de Funespadon; Cape de la Dame du Hasard; Chaussons de Macrab; Dofus Turquoise; Dofus Ocre; Dofus des Glaces; Dofus Abyssal; Dofus Pourpre; Vigoureux majeur; Muldo Prune et Emeraude</t>
        </is>
      </c>
    </row>
    <row r="23025">
      <c r="A23025" t="inlineStr">
        <is>
          <t>AIR</t>
        </is>
      </c>
      <c r="B23025">
        <f>HYPERLINK("https://www.dofusbook.net/fr/equipement/3163296-air/objets", "link")</f>
        <v/>
      </c>
      <c r="C23025" t="n">
        <v>2</v>
      </c>
      <c r="D23025" t="inlineStr">
        <is>
          <t>Pelle de la Cour Sombre; Collier du Valet Veinard; Alliance Gloursonne; Gant du Valet Veinard; Bouclier du Stalak; Menoture; Couronne d'Allister; Cape Indescriptible; Palmes Trithons; Dokoko; Carapace Neutre majeur; Remueur; Cascadeur majeur; Carapace Air majeur; Nomade; Muldo Ebène et Indigo</t>
        </is>
      </c>
    </row>
    <row r="23026">
      <c r="A23026" t="inlineStr">
        <is>
          <t>eau</t>
        </is>
      </c>
      <c r="B23026">
        <f>HYPERLINK("https://www.dofusbook.net/fr/equipement/4641801-eau/objets", "link")</f>
        <v/>
      </c>
      <c r="C23026" t="n">
        <v>0</v>
      </c>
      <c r="D23026" t="inlineStr">
        <is>
          <t>Baguette Héroclite; Amulette de Shokkoth; Alliance Gloursonne; Bracelet des Fonds marins; Bouclier du Stalak; Ceinture de la Reine des Voleurs; Capuche de l'Œil Attentif; Cape Solution; Bottes de la Reine des Voleurs; Dofus Pourpre; Dofus des Glaces; Dofus Ocre; Dofus Abyssal; Dokoko; Chanceux majeur; Muldo Indigo et Orchidée</t>
        </is>
      </c>
    </row>
    <row r="23027">
      <c r="A23027" t="inlineStr">
        <is>
          <t>eau/air pas crit</t>
        </is>
      </c>
      <c r="B23027">
        <f>HYPERLINK("https://www.dofusbook.net/fr/equipement/4639650-eau-air-pas-crit/objets", "link")</f>
        <v/>
      </c>
      <c r="C23027" t="n">
        <v>0</v>
      </c>
      <c r="D23027" t="inlineStr">
        <is>
          <t>Arc de Koutoulou; Amulette d'Ilyzaelle; Alliance Gloursonne; Anneau Volkorne; Bouclier du Stalak; Ceinture du Barbétoal; Casque d'Ilyzaelle; Cape des Malveilleurs; Bottes de la Reine des Voleurs; Dokoko; Dofus Abyssal; Dofus Pourpre; Dofus des Glaces; Dofus Ocre; Vigoureux majeur; Muldo Ebène</t>
        </is>
      </c>
    </row>
    <row r="23028">
      <c r="A23028" t="inlineStr">
        <is>
          <t>Roublard F 200</t>
        </is>
      </c>
      <c r="B23028">
        <f>HYPERLINK("https://www.dofusbook.net/fr/equipement/3499819-roublard-f-200/objets", "link")</f>
        <v/>
      </c>
      <c r="C23028" t="n">
        <v>4</v>
      </c>
      <c r="D23028" t="inlineStr">
        <is>
          <t>Pendentif mignon de Koutoulou; Anneau Tamie; Anneau Tamie; Bouclier du Stalak; Casque Cyclopéen; Cape de Diondin; Pataugastrique; Dofus Pourpre; Vigoureux majeur; Érudit majeur; Dévastateur Feu majeur; Voyageur; Nomade; Bisouglours</t>
        </is>
      </c>
    </row>
    <row r="23029">
      <c r="A23029" t="inlineStr">
        <is>
          <t>test</t>
        </is>
      </c>
      <c r="B23029">
        <f>HYPERLINK("https://www.dofusbook.net/fr/equipement/2595452-test/objets", "link")</f>
        <v/>
      </c>
      <c r="C23029" t="n">
        <v>0</v>
      </c>
      <c r="D23029" t="inlineStr">
        <is>
          <t>Baguette Hique; Collier de la Dame du Hasard; Anneau Tamie; Bracelet des Fonds marins; Bouclier cubiste; Ceintacé; Casquette de Meno; Cape de la Dame du Hasard; Pataugastrique; Dofus Pourpre; Dofus Turquoise; Temporiseur majeur; Remueur; Nomade; Gwo Tofu Ventripotent</t>
        </is>
      </c>
    </row>
    <row r="23030">
      <c r="A23030" t="inlineStr">
        <is>
          <t>Feu tank</t>
        </is>
      </c>
      <c r="B23030">
        <f>HYPERLINK("https://www.dofusbook.net/fr/equipement/4601792-feu-tank/objets", "link")</f>
        <v/>
      </c>
      <c r="C23030" t="n">
        <v>0</v>
      </c>
      <c r="D23030" t="inlineStr">
        <is>
          <t>Plumeau Bil; Amulette Volkorne; Anneau Tique; Anneau de Nidas; Bouclier précieux; Ceinture de Vortex; Couronne de Nidas; Voile d'encre; Pataugastrique; Dofus Émeraude; Érudit majeur; Remueur; Obstructeur majeur; Carapace Neutre majeur; Nomade; Platypus</t>
        </is>
      </c>
    </row>
    <row r="23031">
      <c r="A23031" t="inlineStr">
        <is>
          <t>Air</t>
        </is>
      </c>
      <c r="B23031">
        <f>HYPERLINK("https://www.dofusbook.net/fr/equipement/3466552-air/objets", "link")</f>
        <v/>
      </c>
      <c r="C23031" t="n">
        <v>1</v>
      </c>
      <c r="D23031" t="inlineStr">
        <is>
          <t>Pelle de la Cour Sombre; Collier du Valet Veinard; Gant du Valet Veinard; Alliance Gloursonne; Bouclier du Stalak; Menoture; Couronne d'Allister; Cape Indescriptible; Palmes Trithons; Dokoko; Cascadeur majeur; Carapace Air majeur; Nomade; Dévastateur Air majeur; Remueur; Muldo Ebène et Indigo</t>
        </is>
      </c>
    </row>
    <row r="23032">
      <c r="A23032" t="inlineStr">
        <is>
          <t>Ecaflip F 200</t>
        </is>
      </c>
      <c r="B23032">
        <f>HYPERLINK("https://www.dofusbook.net/fr/equipement/4613909-ecaflip-f-200/objets", "link")</f>
        <v/>
      </c>
      <c r="C23032" t="n">
        <v>2</v>
      </c>
      <c r="D23032" t="inlineStr">
        <is>
          <t>Arc Volkorne; Amulette du Strigide; Anneau de Padgref; Bracelet du Piloztère; Bouclier du Stalak; Ceintacé; Masque de l'Esprit Salvateur; Cape de la Dame du Hasard; Bottes du Strigide; Dofus Pourpre; Dofus Turquoise; Dolmanax; Remueur; Vigoureux majeur; Nomade; Chacha Angora</t>
        </is>
      </c>
    </row>
    <row r="23033">
      <c r="A23033" t="inlineStr">
        <is>
          <t>Entrave/soin</t>
        </is>
      </c>
      <c r="B23033">
        <f>HYPERLINK("https://www.dofusbook.net/fr/equipement/4610435-entrave-soin/objets", "link")</f>
        <v/>
      </c>
      <c r="C23033" t="n">
        <v>1</v>
      </c>
      <c r="D23033" t="inlineStr">
        <is>
          <t>Baguette de Malléfisk; Amulette d'Otomaï; Anneau de Nidas; Anneau Toriété; Carapar; Ceinture Instable; Couronne de Nidas; Cape de Diondin; Bottes Innommables; Dokoko; Carapace Feu majeur; Érudit majeur; Nomade; Temporiseur majeur; Remueur; Dragodinde Orchidée et Rousse</t>
        </is>
      </c>
    </row>
    <row r="23034">
      <c r="A23034" t="inlineStr">
        <is>
          <t>réseau trkl tmtc</t>
        </is>
      </c>
      <c r="B23034">
        <f>HYPERLINK("https://www.dofusbook.net/fr/equipement/4610414-reseau-trkl-tmtc/objets", "link")</f>
        <v/>
      </c>
      <c r="C23034" t="n">
        <v>1</v>
      </c>
      <c r="D23034" t="inlineStr">
        <is>
          <t>Dagues Érhy; Amulette Volkorne; Chevalière du Roi Joueur; Alliance Gloursonne; Bouclier du Stalak; Ceinture Volkorne; Chapeau de Gein; Voile d'encre; Bottes Honyme; Dofus Pourpre; Dofus des Glaces; Dokoko; Remueur; Vigoureux majeur; Nomade; Muldo Ebène et Indigo</t>
        </is>
      </c>
    </row>
    <row r="23035">
      <c r="A23035" t="inlineStr">
        <is>
          <t>Plot lvl 200</t>
        </is>
      </c>
      <c r="B23035">
        <f>HYPERLINK("https://www.dofusbook.net/fr/equipement/4597494-plot-lvl-200/objets", "link")</f>
        <v/>
      </c>
      <c r="C23035" t="n">
        <v>1</v>
      </c>
      <c r="D23035" t="inlineStr">
        <is>
          <t>Héqache; Amulette du Strigide; Bracelet du Piloztère; Alliance Gloursonne; Sept ans de malheur; Ceintouse; Masque d'Anerice; Cape d'Anerice; Baleinabottes; Dokoko; Dofus Émeraude; Remueur; Bloqueur majeur; Miraculé majeur; Obstructeur majeur; Muldo Ebène et Indigo</t>
        </is>
      </c>
    </row>
    <row r="23036">
      <c r="A23036" t="inlineStr">
        <is>
          <t>eau pas cc</t>
        </is>
      </c>
      <c r="B23036">
        <f>HYPERLINK("https://www.dofusbook.net/fr/equipement/4598873-eau-pas-cc/objets", "link")</f>
        <v/>
      </c>
      <c r="C23036" t="n">
        <v>2</v>
      </c>
      <c r="D23036" t="inlineStr">
        <is>
          <t>Baguette Héroclite; Amulette de Shokkoth; Bracelet des Fonds marins; Alliance Gloursonne; Bouclier du Stalak; Ceinture de la Reine des Voleurs; Casque Dragoeuf; Cape Solution; Bottes de la Reine des Voleurs; Dofus Pourpre; Dokoko; Remueur; Chanceux majeur; Miraculé majeur; Muldo Indigo et Orchidée</t>
        </is>
      </c>
    </row>
    <row r="23037">
      <c r="A23037" t="inlineStr">
        <is>
          <t>Il me faut de l eau</t>
        </is>
      </c>
      <c r="B23037">
        <f>HYPERLINK("https://www.dofusbook.net/fr/equipement/4598331-il-me-faut-de-l-eau/objets", "link")</f>
        <v/>
      </c>
      <c r="C23037" t="n">
        <v>0</v>
      </c>
      <c r="D23037" t="inlineStr">
        <is>
          <t>Dagoulinantes; Amulette du Strigide; Pikano; Alliance Gloursonne; Quatre-feuilles; Ceintacé; Casque Dragoeuf; Cape de la Dame du Hasard; Bottes de la Dame du Hasard; Dofus Turquoise; Dofus Pourpre; Dokoko; Carapace Eau majeur; Nomade; Remueur; Dragodinde Prune et Indigo</t>
        </is>
      </c>
    </row>
    <row r="23038">
      <c r="A23038" t="inlineStr">
        <is>
          <t>terre</t>
        </is>
      </c>
      <c r="B23038">
        <f>HYPERLINK("https://www.dofusbook.net/fr/equipement/2989115-terre/objets", "link")</f>
        <v/>
      </c>
      <c r="C23038" t="n">
        <v>1</v>
      </c>
      <c r="D23038" t="inlineStr">
        <is>
          <t>Arc Nécrotique; Amulette du Strigide; Anneau de Padgref; Bague Trithon; Quatre-feuilles; Ceinture du Strigide; Masque Trithon; Cape d'Atcham; Bottes Trithon; Dofus Turquoise; Dofus Vulbis; Dofus Nébuleux; Dofus Ocre; Dofus Ivoire; Kokulte</t>
        </is>
      </c>
    </row>
    <row r="23039">
      <c r="A23039" t="inlineStr">
        <is>
          <t>Féca M 200</t>
        </is>
      </c>
      <c r="B23039">
        <f>HYPERLINK("https://www.dofusbook.net/fr/equipement/5390867-feca-m-200/objets", "link")</f>
        <v/>
      </c>
      <c r="C23039" t="n">
        <v>11</v>
      </c>
      <c r="D23039" t="inlineStr">
        <is>
          <t>Dagues Lassay; Amulette du Strigide; Gant du Valet Veinard; Anneau de Padgref; Bouclier d'Ilyzaelle; Menoture; Casque Volkorne; Cape Indescriptible; Bottes du Strigide; Dofus Pourpre; Dofus Ocre; Dofus Ivoire; Dofus Ébène; Dofus Turquoise; Cascadeur majeur; Kokulte</t>
        </is>
      </c>
    </row>
    <row r="23040">
      <c r="A23040" t="inlineStr">
        <is>
          <t>iop vieux</t>
        </is>
      </c>
      <c r="B23040">
        <f>HYPERLINK("https://www.dofusbook.net/fr/equipement/3095398-iop-vieux/objets", "link")</f>
        <v/>
      </c>
      <c r="C23040" t="n">
        <v>29</v>
      </c>
      <c r="D23040" t="inlineStr">
        <is>
          <t>Dagues Érhy; Amulette Volkorne; Bracelet du Piloztère; Bague Gloursonne; Bouclier d'Ilyzaelle; Ceinture Volkorne; Casque de Missiz Frizz; Voile d'encre; Bottes du Roi Joueur; Dofus Ocre; Dofus Ébène; Dofus Pourpre; Dofus Turquoise; Vigoureux majeur; Enragé majeur; Kokulte</t>
        </is>
      </c>
    </row>
    <row r="23041">
      <c r="A23041" t="inlineStr">
        <is>
          <t>Ecaflip M 200</t>
        </is>
      </c>
      <c r="B23041">
        <f>HYPERLINK("https://www.dofusbook.net/fr/equipement/4019136-ecaflip-m-200/objets", "link")</f>
        <v/>
      </c>
      <c r="C23041" t="n">
        <v>0</v>
      </c>
      <c r="D23041" t="inlineStr">
        <is>
          <t>Lance corrompue; Collier de Tourthon; Anneau Chevelu; Anneau de Brouce; Cadran d'Eau; Ceinture de la Reine des Voleurs; Coiffe de la Reine des Voleurs; Cape au Logis; Baleinabottes; Dofus Émeraude; Dofus Ébène; Dofus Ocre; Dofus des Glaces; Dofus Ivoire; Dévastateur Terre majeur; Bulbisou</t>
        </is>
      </c>
    </row>
    <row r="23042">
      <c r="A23042" t="inlineStr">
        <is>
          <t>Iop M 200</t>
        </is>
      </c>
      <c r="B23042">
        <f>HYPERLINK("https://www.dofusbook.net/fr/equipement/3316803-iop-m-200/objets", "link")</f>
        <v/>
      </c>
      <c r="C23042" t="n">
        <v>1</v>
      </c>
      <c r="D23042" t="inlineStr">
        <is>
          <t>Arc du Chalœil; Torquistik; Bague Trithon; Bague Instable; Bouclier précieux; Ceinture Gence; Masque de Koutoulou; Bottistik</t>
        </is>
      </c>
    </row>
    <row r="23043">
      <c r="A23043" t="inlineStr">
        <is>
          <t>pou</t>
        </is>
      </c>
      <c r="B23043">
        <f>HYPERLINK("https://www.dofusbook.net/fr/equipement/2741706-pou/objets", "link")</f>
        <v/>
      </c>
      <c r="C23043" t="n">
        <v>3</v>
      </c>
      <c r="D23043" t="inlineStr">
        <is>
          <t>Lance Horselé; Amulette Ementaire Deluxe; Gant du Valet Veinard; Alliance Gloursonne; Bouclier du Stalak; Menoture; Casque Dragoeuf; Cape du Valet Veinard; Palmes Trithons; Dofus Émeraude; Dofus Abyssal; Dolmanax; Miraculé majeur; Carapace Air majeur; Remueur; Muldo Indigo et Orchidée</t>
        </is>
      </c>
    </row>
    <row r="23044">
      <c r="A23044" t="inlineStr">
        <is>
          <t>Stuff 3</t>
        </is>
      </c>
      <c r="B23044">
        <f>HYPERLINK("https://www.dofusbook.net/fr/equipement/253312-stuff-3/objets", "link")</f>
        <v/>
      </c>
      <c r="C23044" t="n">
        <v>0</v>
      </c>
      <c r="D23044" t="inlineStr"/>
    </row>
    <row r="23045">
      <c r="A23045" t="inlineStr">
        <is>
          <t>Féca M 200</t>
        </is>
      </c>
      <c r="B23045">
        <f>HYPERLINK("https://www.dofusbook.net/fr/equipement/4010228-feca-m-200/objets", "link")</f>
        <v/>
      </c>
      <c r="C23045" t="n">
        <v>0</v>
      </c>
      <c r="D23045" t="inlineStr">
        <is>
          <t>Baguette de Malléfisk; Pendentif affamé; Anneau Tique; Anneau de Nidas; Carapar; Ceinture de Vortex; Couronne de Nidas; Cape de Diondin; Bottes Innommables; Dofus Abyssal; Nomade; Érudit majeur; Remueur; Carapace Feu majeur; Guérisseur majeur; Bilby</t>
        </is>
      </c>
    </row>
    <row r="23046">
      <c r="A23046" t="inlineStr">
        <is>
          <t>Féca M 200</t>
        </is>
      </c>
      <c r="B23046">
        <f>HYPERLINK("https://www.dofusbook.net/fr/equipement/3461950-feca-m-200/objets", "link")</f>
        <v/>
      </c>
      <c r="C23046" t="n">
        <v>1</v>
      </c>
      <c r="D23046" t="inlineStr">
        <is>
          <t>Arc Volkorne; Amulette Volkorne; Bague Trithon; Anneau Volkorne; Quatre-feuilles; Ceinture Volkorne; Masque Trithon; Chevelure de Tal Kasha; Bottes Trithon; Dofus Pourpre; Dofus des Glaces; Dofus Turquoise; Dofus Nébuleux; Dolmanax; Dofus Ocre; Muldo Doré et Emeraude</t>
        </is>
      </c>
    </row>
    <row r="23047">
      <c r="A23047" t="inlineStr">
        <is>
          <t>Iop M 200</t>
        </is>
      </c>
      <c r="B23047">
        <f>HYPERLINK("https://www.dofusbook.net/fr/equipement/3262707-iop-m-200/objets", "link")</f>
        <v/>
      </c>
      <c r="C23047" t="n">
        <v>0</v>
      </c>
      <c r="D23047" t="inlineStr">
        <is>
          <t>Manthache; Collier du Valet Veinard; Alliance Gloursonne; Gant du Valet Veinard; Bouclier du Stalak; Menoture; Couronne d'Allister; Cape Indescriptible; Palmes Trithons; Dofus Pourpre; Cascadeur majeur; Remueur; Vigoureux majeur; Equilibriste majeur; Nomade; Siroko</t>
        </is>
      </c>
    </row>
    <row r="23048">
      <c r="A23048" t="inlineStr">
        <is>
          <t>equivep</t>
        </is>
      </c>
      <c r="B23048">
        <f>HYPERLINK("https://www.dofusbook.net/fr/equipement/2933088-equivep/objets", "link")</f>
        <v/>
      </c>
      <c r="C23048" t="n">
        <v>0</v>
      </c>
      <c r="D23048" t="inlineStr">
        <is>
          <t>Manthache; Amulette d'Ilyzaelle; Alliance Gloursonne; Gant du Valet Veinard; Bouclier de Solar; Menoture; Chapeau de Tournoyé; Cape de Crânonier; Palmes Trithons; Dofus des Glaces; Dofus Ivoire; Carapace Air majeur; Remueur; Cascadeur majeur; Cavaleur majeur; Muldo Ebène et Orchidée</t>
        </is>
      </c>
    </row>
    <row r="23049">
      <c r="A23049" t="inlineStr">
        <is>
          <t>eau</t>
        </is>
      </c>
      <c r="B23049">
        <f>HYPERLINK("https://www.dofusbook.net/fr/equipement/2831345-eau/objets", "link")</f>
        <v/>
      </c>
      <c r="C23049" t="n">
        <v>0</v>
      </c>
      <c r="D23049" t="inlineStr">
        <is>
          <t>Arc Nécrotique; Talisman Igans; Alliance Gloursonne; Anneau Tique; Quatre-feuilles; Ceintrigue; Casquette de Meno; Cape de la Dame du Hasard; Pataugastrique; Dofus des Glaces; Dofus Turquoise; Dofus Émeraude; Dofus Abyssal; Miraculé majeur; Remueur; Muldo Orchidée</t>
        </is>
      </c>
    </row>
    <row r="23050">
      <c r="A23050" t="inlineStr">
        <is>
          <t>heal</t>
        </is>
      </c>
      <c r="B23050">
        <f>HYPERLINK("https://www.dofusbook.net/fr/equipement/2271008-heal/objets", "link")</f>
        <v/>
      </c>
      <c r="C23050" t="n">
        <v>0</v>
      </c>
      <c r="D23050" t="inlineStr">
        <is>
          <t>Collier du Valet Veinard; Alliance Gloursonne; Anneau Tique; Ceinture du Barbétoal; Kidibonnet; Cape d'Atcham; Sandales  d'Atcham</t>
        </is>
      </c>
    </row>
    <row r="23051">
      <c r="A23051" t="inlineStr">
        <is>
          <t>Stuff 1</t>
        </is>
      </c>
      <c r="B23051">
        <f>HYPERLINK("https://www.dofusbook.net/fr/equipement/253311-stuff-1/objets", "link")</f>
        <v/>
      </c>
      <c r="C23051" t="n">
        <v>0</v>
      </c>
      <c r="D23051" t="inlineStr">
        <is>
          <t>Héqache; Amulette du Strigide; Anneau Chevelu; Bague Gloursonne; Bouclier Taverne; Ceinture du Strigide; Masque de Koutoulou; Cape au Logis; Bottes du Cœur Vaillant; Dofus Pourpre; Dofus des Glaces; Dofus Turquoise; Culbuteur majeur; Remueur; Bousculeur majeur; Kramkram</t>
        </is>
      </c>
    </row>
    <row r="23052">
      <c r="A23052" t="inlineStr">
        <is>
          <t>eau-do-cc</t>
        </is>
      </c>
      <c r="B23052">
        <f>HYPERLINK("https://www.dofusbook.net/fr/equipement/2787422-eau-do-cc/objets", "link")</f>
        <v/>
      </c>
      <c r="C23052" t="n">
        <v>0</v>
      </c>
      <c r="D23052" t="inlineStr">
        <is>
          <t>Dagoulinantes; Amulette du Strigide; Pikano; Alliance Gloursonne; Quatre-feuilles; Ceinture du Strigide; Kidibonnet; Cape de la Dame du Hasard; Bottes de Meno; Dofus Pourpre; Dofus Turquoise; Dofus des Glaces; Carapace Eau majeur; Remueur; Vigoureux majeur; Muldo Ebène et Indigo</t>
        </is>
      </c>
    </row>
    <row r="23053">
      <c r="A23053" t="inlineStr">
        <is>
          <t>eau</t>
        </is>
      </c>
      <c r="B23053">
        <f>HYPERLINK("https://www.dofusbook.net/fr/equipement/2732428-eau/objets", "link")</f>
        <v/>
      </c>
      <c r="C23053" t="n">
        <v>0</v>
      </c>
      <c r="D23053" t="inlineStr">
        <is>
          <t>Hache Rot; Amulette de Shokkoth; Pikano; Alliance Gloursonne; Bouclier du Stalak; Ceinture Glaciale; Kidibonnet; Cape du Sinistrofu; Bottes du Sinistrofu; Dofus Pourpre; Chanceux majeur; Remueur; Dévastateur Eau majeur; Vigoureux majeur; Nomade; Kramkram</t>
        </is>
      </c>
    </row>
    <row r="23054">
      <c r="A23054" t="inlineStr">
        <is>
          <t>Stuff 2</t>
        </is>
      </c>
      <c r="B23054">
        <f>HYPERLINK("https://www.dofusbook.net/fr/equipement/253314-stuff-2/objets", "link")</f>
        <v/>
      </c>
      <c r="C23054" t="n">
        <v>0</v>
      </c>
      <c r="D23054" t="inlineStr">
        <is>
          <t>Hache Ériphe; Amulette du Kamasterisk; Alliance Gloursonne; Anneau des égarés; Bouclier d'Ilyzaelle; Ceintouse; Casque des égarés; Cape du Kamasterisk; Bottes du Kamasterisk; Dolmanax; Dofus Émeraude; Dofus Abyssal; Dofus Ocre; Dofus Pourpre; Dofus des Glaces; Kramkram</t>
        </is>
      </c>
    </row>
    <row r="23055">
      <c r="A23055" t="inlineStr">
        <is>
          <t>do cc</t>
        </is>
      </c>
      <c r="B23055">
        <f>HYPERLINK("https://www.dofusbook.net/fr/equipement/2722711-do-cc/objets", "link")</f>
        <v/>
      </c>
      <c r="C23055" t="n">
        <v>0</v>
      </c>
      <c r="D23055" t="inlineStr">
        <is>
          <t>Sabres d'Atcham; Amulette du Strigide; Anneau de Padgref; Bague Gloursonne; Quatre-feuilles; Ceinture du Strigide; Coiffe de Padgref; Cape d'Atcham; Getas de Padgref; Dofus Turquoise; Dofus Nébuleux; Dolmanax; Dofus Ocre; Dofus Pourpre; Dofus des Glaces; Muldo Prune et Emeraude</t>
        </is>
      </c>
    </row>
    <row r="23056">
      <c r="A23056" t="inlineStr">
        <is>
          <t>feu</t>
        </is>
      </c>
      <c r="B23056">
        <f>HYPERLINK("https://www.dofusbook.net/fr/equipement/2035124-feu/objets", "link")</f>
        <v/>
      </c>
      <c r="C23056" t="n">
        <v>0</v>
      </c>
      <c r="D23056" t="inlineStr">
        <is>
          <t>Arc Nécrotique; Collier de la Dame du Hasard; Anneau Tique; Lavanneau; Quatre-feuilles; Ceinture de l'Esprit Malsain; Casquette de Meno; Cape de la Dame du Hasard; Pataugastrique; Dofus Turquoise; Dofus des Glaces; Dofus Pourpre; Vigoureux majeur; Remueur; Muldo Orchidée</t>
        </is>
      </c>
    </row>
    <row r="23057">
      <c r="A23057" t="inlineStr">
        <is>
          <t>iopo</t>
        </is>
      </c>
      <c r="B23057">
        <f>HYPERLINK("https://www.dofusbook.net/fr/equipement/2588225-iopo/objets", "link")</f>
        <v/>
      </c>
      <c r="C23057" t="n">
        <v>0</v>
      </c>
      <c r="D23057" t="inlineStr">
        <is>
          <t>Arc du Chalœil; Torquistik; Bague Trithon; Bague Instable; Bouclier précieux; Ceinture Gence; Casque Dragoeuf; Cape du Cœur Vaillant; Bottistik; Dokoko; Dofus Émeraude; Culbuteur majeur; Pousseur majeur; Remueur; Bousculeur majeur; Muldo Indigo et Pourpre</t>
        </is>
      </c>
    </row>
    <row r="23058">
      <c r="A23058" t="inlineStr">
        <is>
          <t>do pous</t>
        </is>
      </c>
      <c r="B23058">
        <f>HYPERLINK("https://www.dofusbook.net/fr/equipement/837541-do-pous/objets", "link")</f>
        <v/>
      </c>
      <c r="C23058" t="n">
        <v>0</v>
      </c>
      <c r="D23058" t="inlineStr">
        <is>
          <t>Arc du Chalœil; Torquistik; Bague Instable; Bague Trithon; Bouclier précieux; Ceinture Gence; Casque Dragoeuf; Cape du Cœur Vaillant; Bottistik; Dofus Émeraude; Dofus des Glaces; Bousculeur majeur; Culbuteur majeur; Pousseur majeur; Remueur; Muldo Indigo et Pourpre</t>
        </is>
      </c>
    </row>
    <row r="23059">
      <c r="A23059" t="inlineStr">
        <is>
          <t>Stuff 3</t>
        </is>
      </c>
      <c r="B23059">
        <f>HYPERLINK("https://www.dofusbook.net/fr/equipement/253309-stuff-3/objets", "link")</f>
        <v/>
      </c>
      <c r="C23059" t="n">
        <v>0</v>
      </c>
      <c r="D23059" t="inlineStr">
        <is>
          <t>Lance Horselé; Amulette du Strigide; Anneau des égarés; Anneau de Padgref; Bouclier du Captain Amakna; Menoture; Chapeau de Tournoyé; Cape Indescriptible; Bottes du Strigide; Dofus Pourpre; Dofus Turquoise; Dofus des Glaces; Remueur; Cascadeur majeur; Vigoureux majeur; Kramkram</t>
        </is>
      </c>
    </row>
    <row r="23060">
      <c r="A23060" t="inlineStr">
        <is>
          <t>pousser</t>
        </is>
      </c>
      <c r="B23060">
        <f>HYPERLINK("https://www.dofusbook.net/fr/equipement/837544-pousser/objets", "link")</f>
        <v/>
      </c>
      <c r="C23060" t="n">
        <v>0</v>
      </c>
      <c r="D23060" t="inlineStr">
        <is>
          <t>Lance corrompue; Amulette du Cœur Vaillant; Bague Trithon; Anneau Chevelu; Bouclier précieux; Ceinture Gence; Chapibou; Cape au Logis; Bottes du Cœur Vaillant; Dofus Pourpre; Dofus Ivoire; Dofus des Glaces; Bousculeur majeur; Culbuteur majeur; Remueur; Kramkram</t>
        </is>
      </c>
    </row>
    <row r="23061">
      <c r="A23061" t="inlineStr">
        <is>
          <t>terre</t>
        </is>
      </c>
      <c r="B23061">
        <f>HYPERLINK("https://www.dofusbook.net/fr/equipement/2335268-terre/objets", "link")</f>
        <v/>
      </c>
      <c r="C23061" t="n">
        <v>0</v>
      </c>
      <c r="D23061" t="inlineStr">
        <is>
          <t>Hache du Chalœil; Amulette du Strigide; Anneau Chevelu; Bague Gloursonne; Quatre-feuilles; Ceinture du Strigide; Masque de Koutoulou; Voile d'encre; Chaussures Hau; Dofus Pourpre; Dofus Turquoise; Dofus Nébuleux; Dofus des Glaces; Remueur; Nomade; Kramkram</t>
        </is>
      </c>
    </row>
    <row r="23062">
      <c r="A23062" t="inlineStr">
        <is>
          <t>feu soin resi</t>
        </is>
      </c>
      <c r="B23062">
        <f>HYPERLINK("https://www.dofusbook.net/fr/equipement/2277594-feu-soin-resi-/objets", "link")</f>
        <v/>
      </c>
      <c r="C23062" t="n">
        <v>0</v>
      </c>
      <c r="D23062" t="inlineStr">
        <is>
          <t>Baguette de Malléfisk; Pendentif mignon de Koutoulou; Anneau Rifique; Anneau Tique; Cadran de Feu; Ceinture de Vortex; Casque Dragoeuf; Cape de Diondin; Bottes Innommables; Dofus Ivoire; Miraculé majeur; Guérisseur majeur; Carapace Terre majeur; Remueur; Carapace Neutre majeur; Muldo Orchidée et Pourpre</t>
        </is>
      </c>
    </row>
    <row r="23063">
      <c r="A23063" t="inlineStr">
        <is>
          <t>pop</t>
        </is>
      </c>
      <c r="B23063">
        <f>HYPERLINK("https://www.dofusbook.net/fr/equipement/2272292-pop/objets", "link")</f>
        <v/>
      </c>
      <c r="C23063" t="n">
        <v>3</v>
      </c>
      <c r="D23063" t="inlineStr">
        <is>
          <t>Sabres d'Atcham; Amulette du Strigide; Bague Gloursonne; Anneau de Padgref; Quatre-feuilles; Ceinture du Strigide; Coiffe de Padgref; Cape d'Atcham; Getas de Padgref; Dofus Pourpre; Dofus des Glaces; Dofus Nébuleux; Dofus Turquoise; Dolmanax; Dofus Ocre; Muldo Doré et Emeraude</t>
        </is>
      </c>
    </row>
    <row r="23064">
      <c r="A23064" t="inlineStr">
        <is>
          <t>heal</t>
        </is>
      </c>
      <c r="B23064">
        <f>HYPERLINK("https://www.dofusbook.net/fr/equipement/2271007-heal/objets", "link")</f>
        <v/>
      </c>
      <c r="C23064" t="n">
        <v>0</v>
      </c>
      <c r="D23064" t="inlineStr">
        <is>
          <t>Arc de Flèche Mauve; Talisman d'Elya Wood; Anneau Xélomorphe; Alliance d'Elya Wood; Bouclier du Mont Kipou; Xénature; Bonnet Ko; Cape Usée du Chêne Mou; Bottes du Dragoeuf; Dofus Ocre; Guérisseur majeur; Miraculé majeur; Nomade; Érudit majeur; Remueur; Muldo Turquoise et Ivoire</t>
        </is>
      </c>
    </row>
    <row r="23065">
      <c r="A23065" t="inlineStr">
        <is>
          <t>pvp</t>
        </is>
      </c>
      <c r="B23065">
        <f>HYPERLINK("https://www.dofusbook.net/fr/equipement/2125552-pvp/objets", "link")</f>
        <v/>
      </c>
      <c r="C23065" t="n">
        <v>0</v>
      </c>
      <c r="D23065" t="inlineStr">
        <is>
          <t>Épée Brûlâme; Amulette du Strigide; Alliance Gloursonne; Anneau de Padgref; Quatre-feuilles; Ceinture du Strigide; Casquette de Meno; Cape d'Atcham; Pataugastrique; Dofus des Glaces; Dofus Turquoise; Dofus Pourpre; Vigoureux majeur; Remueur; Nomade; Kramkram</t>
        </is>
      </c>
    </row>
    <row r="23066">
      <c r="A23066" t="inlineStr">
        <is>
          <t>doterre</t>
        </is>
      </c>
      <c r="B23066">
        <f>HYPERLINK("https://www.dofusbook.net/fr/equipement/2094844-doterre/objets", "link")</f>
        <v/>
      </c>
      <c r="C23066" t="n">
        <v>0</v>
      </c>
      <c r="D23066" t="inlineStr">
        <is>
          <t>Héqache; Amulette du Cœur Saignant; Masque de Koutoulou; Cape du Cœur Saignant; Bottes du Cœur Vaillant</t>
        </is>
      </c>
    </row>
    <row r="23067">
      <c r="A23067" t="inlineStr">
        <is>
          <t>terre agi</t>
        </is>
      </c>
      <c r="B23067">
        <f>HYPERLINK("https://www.dofusbook.net/fr/equipement/799603-terre-agi/objets", "link")</f>
        <v/>
      </c>
      <c r="C23067" t="n">
        <v>0</v>
      </c>
      <c r="D23067" t="inlineStr">
        <is>
          <t>Dagues d'Ilyzaelle; Amulette du Strigide; Anneau Chevelu; Bracelet du Piloztère; Bouclier du Captain Amakna; Ceinture du Strigide; Masque de Koutoulou; Cape au Logis; Bottes du Cœur Vaillant; Dofus des Glaces; Dofus Pourpre; Dofus Turquoise; Carapace Terre majeur; Vigoureux majeur; Remueur; Kramkram</t>
        </is>
      </c>
    </row>
    <row r="23068">
      <c r="A23068" t="inlineStr">
        <is>
          <t>terre</t>
        </is>
      </c>
      <c r="B23068">
        <f>HYPERLINK("https://www.dofusbook.net/fr/equipement/2035128-terre/objets", "link")</f>
        <v/>
      </c>
      <c r="C23068" t="n">
        <v>0</v>
      </c>
      <c r="D23068" t="inlineStr">
        <is>
          <t>Marteau R'ture; Amulette du Strigide; Anneau Chevelu; Bague Gloursonne; Bouclier du Captain Amakna; Ceinture du Strigide; Masque de Koutoulou; Cape au Logis; Bottes de la Cour Sombre; Dofus des Glaces; Dofus Nébuleux; Dofus Pourpre; Remueur; Enragé majeur; Vigoureux majeur; Kompost</t>
        </is>
      </c>
    </row>
    <row r="23069">
      <c r="A23069" t="inlineStr">
        <is>
          <t>iop terre pui</t>
        </is>
      </c>
      <c r="B23069">
        <f>HYPERLINK("https://www.dofusbook.net/fr/equipement/1380357-iop-terre-pui/objets", "link")</f>
        <v/>
      </c>
      <c r="C23069" t="n">
        <v>0</v>
      </c>
      <c r="D23069" t="inlineStr">
        <is>
          <t>Dagues d'Ilyzaelle; Amulette du Cœur Saignant; Bague Gloursonne; Alliance de Missiz Frizz; Bouclier du Captain Amakna; Ceinture du Strigide; Casque de Missiz Frizz; Cape du Cœur Saignant; Bottes du Cœur Saignant; Dofus Ocre; Dofus Turquoise; Dofus Nébuleux; Dofus des Glaces; Dofus Pourpre; Forcené majeur; Muldo Doré et Emeraude</t>
        </is>
      </c>
    </row>
    <row r="23070">
      <c r="A23070" t="inlineStr">
        <is>
          <t>terre agi</t>
        </is>
      </c>
      <c r="B23070">
        <f>HYPERLINK("https://www.dofusbook.net/fr/equipement/2014459-terre-agi-/objets", "link")</f>
        <v/>
      </c>
      <c r="C23070" t="n">
        <v>0</v>
      </c>
      <c r="D23070" t="inlineStr">
        <is>
          <t>Héqache; Amulette du Strigide; Anneau Chevelu; Alliance Gloursonne; Quatre-feuilles; Ceinture du Strigide; Casque des égarés; Cape du Cœur Vaillant; Baleinabottes; Dofus des Glaces; Dofus Turquoise; Dofus Pourpre; Remueur; Vigoureux majeur; Nomade; Kramkram</t>
        </is>
      </c>
    </row>
    <row r="23071">
      <c r="A23071" t="inlineStr">
        <is>
          <t>poi</t>
        </is>
      </c>
      <c r="B23071">
        <f>HYPERLINK("https://www.dofusbook.net/fr/equipement/2014363-poi/objets", "link")</f>
        <v/>
      </c>
      <c r="C23071" t="n">
        <v>0</v>
      </c>
      <c r="D23071" t="inlineStr">
        <is>
          <t>Arc Ahique; Amulette d'Ilyzaelle; Gant du Valet Veinard; Alliance Gloursonne; Cadran d'Air; Ceinture de la Reine des Voleurs; Némès de Tal Kasha; Cape Matelassée; Bottes de la Reine des Voleurs; Dofus Émeraude; Dofus Pourpre; Dolmanax; Dofus des Glaces; Remueur; Vigoureux majeur; Muldo Ebène</t>
        </is>
      </c>
    </row>
    <row r="23072">
      <c r="A23072" t="inlineStr">
        <is>
          <t>Stuff 1</t>
        </is>
      </c>
      <c r="B23072">
        <f>HYPERLINK("https://www.dofusbook.net/fr/equipement/253307-stuff-1/objets", "link")</f>
        <v/>
      </c>
      <c r="C23072" t="n">
        <v>0</v>
      </c>
      <c r="D23072" t="inlineStr">
        <is>
          <t>Dagues d'Ilyzaelle; Amulette du Strigide; Anneau Chevelu; Bague Gloursonne; Bouclier du Captain Amakna; Ceinture du Strigide; Masque de Koutoulou; Cape du Cœur Saignant; Bottes du Cœur Saignant; Dofus des Glaces; Dofus Pourpre; Dofus Nébuleux; Dofus Ocre; Dofus Turquoise; Forcené majeur; Muldo Doré et Emeraude</t>
        </is>
      </c>
    </row>
    <row r="23073">
      <c r="A23073" t="inlineStr">
        <is>
          <t>docc</t>
        </is>
      </c>
      <c r="B23073">
        <f>HYPERLINK("https://www.dofusbook.net/fr/equipement/985109-docc/objets", "link")</f>
        <v/>
      </c>
      <c r="C23073" t="n">
        <v>2</v>
      </c>
      <c r="D23073" t="inlineStr">
        <is>
          <t>Sabres d'Atcham; Amulette du Strigide; Anneau de Padgref; Bague Trithon; Quatre-feuilles; Ceinture du Strigide; Masque Trithon; Cape d'Atcham; Bottes Trithon; Dofus Turquoise; Dofus des Glaces; Dofus Ocre; Dofus Nébuleux; Dofus Pourpre; Dolmanax; Muldo Doré et Emeraude</t>
        </is>
      </c>
    </row>
    <row r="23074">
      <c r="A23074" t="inlineStr">
        <is>
          <t>arc ahic</t>
        </is>
      </c>
      <c r="B23074">
        <f>HYPERLINK("https://www.dofusbook.net/fr/equipement/1988320-arc-ahic/objets", "link")</f>
        <v/>
      </c>
      <c r="C23074" t="n">
        <v>0</v>
      </c>
      <c r="D23074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Dolmanax; Dofus des Glaces; Dofus Ocre; Dofus Émeraude</t>
        </is>
      </c>
    </row>
    <row r="23075">
      <c r="A23075" t="inlineStr">
        <is>
          <t>pui</t>
        </is>
      </c>
      <c r="B23075">
        <f>HYPERLINK("https://www.dofusbook.net/fr/equipement/1983556-pui/objets", "link")</f>
        <v/>
      </c>
      <c r="C23075" t="n">
        <v>0</v>
      </c>
      <c r="D23075" t="inlineStr">
        <is>
          <t>Epée Kari; Amulette du Strigide; Pikano; Bracelet du Piloztère; Quatre-feuilles; Ceintacé; Chapeau Lisson; Cape Reski; Bottes du Strigide; Dofus Turquoise; Dofus Pourpre; Dofus des Glaces; Remueur; Nomade; Vigoureux majeur; Bouftor</t>
        </is>
      </c>
    </row>
    <row r="23076">
      <c r="A23076" t="inlineStr">
        <is>
          <t>brulame</t>
        </is>
      </c>
      <c r="B23076">
        <f>HYPERLINK("https://www.dofusbook.net/fr/equipement/1933596-brulame/objets", "link")</f>
        <v/>
      </c>
      <c r="C23076" t="n">
        <v>0</v>
      </c>
      <c r="D23076" t="inlineStr">
        <is>
          <t>Épée Brûlâme; Collier de la Dame du Hasard; Anneau de Padgref; Alliance Gloursonne; Bouclier du Captain Amakna; Ceinture de l'Esprit Malsain; Casquette de Meno; Cape de la Dame du Hasard; Pataugastrique; Dofus des Glaces; Dofus Pourpre; Dofus Turquoise; Vigoureux majeur; Remueur; Muldo Orchidée et Emeraude</t>
        </is>
      </c>
    </row>
    <row r="23077">
      <c r="A23077" t="inlineStr">
        <is>
          <t>do cc</t>
        </is>
      </c>
      <c r="B23077">
        <f>HYPERLINK("https://www.dofusbook.net/fr/equipement/1235975-do-cc/objets", "link")</f>
        <v/>
      </c>
      <c r="C23077" t="n">
        <v>0</v>
      </c>
      <c r="D23077" t="inlineStr">
        <is>
          <t>Arc Ahique; Amulette d'Ilyzaelle; Pikano; Alliance Gloursonne; Bouclier du Stalak; Poulpagne; Casque d'Ilyzaelle; Cape du Valet Veinard; Bottes de la Reine des Voleurs; Dofus des Glaces; Dofus Pourpre; Dolmanax; Remueur; Carapace Air majeur; Vigoureux majeur; Muldo Ebène et Pourpre</t>
        </is>
      </c>
    </row>
    <row r="23078">
      <c r="A23078" t="inlineStr">
        <is>
          <t>Stuff 2</t>
        </is>
      </c>
      <c r="B23078">
        <f>HYPERLINK("https://www.dofusbook.net/fr/equipement/253308-stuff-2/objets", "link")</f>
        <v/>
      </c>
      <c r="C23078" t="n">
        <v>0</v>
      </c>
      <c r="D23078" t="inlineStr">
        <is>
          <t>Dagues Érhy; Amulette du Strigide; Bague Gloursonne; Bracelet du Piloztère; Bouclier du Captain Amakna; Ceintacé; Casque de Missiz Frizz; Voile d'encre; Bottes du Strigide; Dofus des Glaces; Dofus Pourpre; Dofus Turquoise; Vigoureux majeur; Remueur; Enragé majeur; Kramkram</t>
        </is>
      </c>
    </row>
    <row r="23079">
      <c r="A23079" t="inlineStr">
        <is>
          <t>poi</t>
        </is>
      </c>
      <c r="B23079">
        <f>HYPERLINK("https://www.dofusbook.net/fr/equipement/593251-poi/objets", "link")</f>
        <v/>
      </c>
      <c r="C23079" t="n">
        <v>0</v>
      </c>
      <c r="D23079" t="inlineStr">
        <is>
          <t>Lance corrompue; Amulette du Cœur Vaillant; Anneau Chevelu; Bague Gloursonne; Bouclier du Captain Amakna; Ceinture de la Reine des Voleurs; Coiffe de la Reine des Voleurs; Cape au Logis; Baleinabottes; Dofus Pourpre; Dofus des Glaces; Remueur; Vigoureux majeur; Enragé majeur; Kramkram</t>
        </is>
      </c>
    </row>
    <row r="23080">
      <c r="A23080" t="inlineStr">
        <is>
          <t>eau agi</t>
        </is>
      </c>
      <c r="B23080">
        <f>HYPERLINK("https://www.dofusbook.net/fr/equipement/1694048-eau-agi-/objets", "link")</f>
        <v/>
      </c>
      <c r="C23080" t="n">
        <v>0</v>
      </c>
      <c r="D23080" t="inlineStr">
        <is>
          <t>Arc Ahique; Collier du Valet Veinard; Gant du Valet Veinard; Alliance Gloursonne; Bouclier du Stalak; Menoture; Némès de Tal Kasha; Cape Indescriptible; Palmes Trithons; Dofus des Glaces; Dofus Pourpre; Cascadeur majeur; Dévastateur Air majeur; Vigoureux majeur; Remueur; Muldo Ebène</t>
        </is>
      </c>
    </row>
    <row r="23081">
      <c r="A23081" t="inlineStr">
        <is>
          <t>paf</t>
        </is>
      </c>
      <c r="B23081">
        <f>HYPERLINK("https://www.dofusbook.net/fr/equipement/1840599-paf/objets", "link")</f>
        <v/>
      </c>
      <c r="C23081" t="n">
        <v>0</v>
      </c>
      <c r="D23081" t="inlineStr">
        <is>
          <t>Héqache; Amulette du Strigide; Bague Gloursonne; Anneau Chevelu; Roncier; Ceinture du Strigide; Masque de Koutoulou; Cape au Logis; Bottes de la Cour Sombre; Dofus Turquoise; Dofus des Glaces; Dofus Émeraude; Remueur; Muraille Eau majeure; Muraille Terre majeure; Kramkram</t>
        </is>
      </c>
    </row>
    <row r="23082">
      <c r="A23082" t="inlineStr">
        <is>
          <t>resi</t>
        </is>
      </c>
      <c r="B23082">
        <f>HYPERLINK("https://www.dofusbook.net/fr/equipement/1840594-resi/objets", "link")</f>
        <v/>
      </c>
      <c r="C23082" t="n">
        <v>0</v>
      </c>
      <c r="D23082" t="inlineStr"/>
    </row>
    <row r="23083">
      <c r="A23083" t="inlineStr">
        <is>
          <t>eni</t>
        </is>
      </c>
      <c r="B23083">
        <f>HYPERLINK("https://www.dofusbook.net/fr/equipement/1809637-eni-/objets", "link")</f>
        <v/>
      </c>
      <c r="C23083" t="n">
        <v>0</v>
      </c>
      <c r="D23083" t="inlineStr">
        <is>
          <t>Harpelle; Amulette de Nileza; Bague Gloursonne; Anneau Tique; Sept ans de malheur; Ceinture de Vortex; Cagoule de Vortex; Cape de Diondin; Bottes Innommables; Dofus Pourpre; Vigoureux majeur; Étourdisseur majeur; Nomade; Érudit majeur; Remueur; Kramkram</t>
        </is>
      </c>
    </row>
    <row r="23084">
      <c r="A23084" t="inlineStr">
        <is>
          <t>pousser vous</t>
        </is>
      </c>
      <c r="B23084">
        <f>HYPERLINK("https://www.dofusbook.net/fr/equipement/1764212-pousser-vous/objets", "link")</f>
        <v/>
      </c>
      <c r="C23084" t="n">
        <v>0</v>
      </c>
      <c r="D23084" t="inlineStr">
        <is>
          <t>Hachoirs de Viandargh; Amibou; Alliance Gloursonne; Bague Instable; Bouclier précieux; Sangle Ouare; Chapeau des Malveilleurs; Cape des Malveilleurs; Pataugastrique; Pousseur majeur; Culbuteur majeur; Carapace Eau majeur; Remueur; Culbuteur; Bousculeur majeur; Muldo Orchidée</t>
        </is>
      </c>
    </row>
    <row r="23085">
      <c r="A23085" t="inlineStr">
        <is>
          <t>tri</t>
        </is>
      </c>
      <c r="B23085">
        <f>HYPERLINK("https://www.dofusbook.net/fr/equipement/1700653-tri/objets", "link")</f>
        <v/>
      </c>
      <c r="C23085" t="n">
        <v>0</v>
      </c>
      <c r="D23085" t="inlineStr">
        <is>
          <t>Marteau du Glouragan; Amulette du Strigide; Anneau de Padgref; Alliance Gloursonne; Bouclier du Captain Amakna; Ceinture du Strigide; Chapeau des Malveilleurs; Cape d'Atcham; Pataugastrique; Dofus Pourpre; Dofus Turquoise; Dofus des Glaces; Vigoureux majeur; Nomade; Remueur; Kramkram</t>
        </is>
      </c>
    </row>
    <row r="23086">
      <c r="A23086" t="inlineStr">
        <is>
          <t>bim</t>
        </is>
      </c>
      <c r="B23086">
        <f>HYPERLINK("https://www.dofusbook.net/fr/equipement/537342-bim/objets", "link")</f>
        <v/>
      </c>
      <c r="C23086" t="n">
        <v>0</v>
      </c>
      <c r="D23086" t="inlineStr">
        <is>
          <t>Clef à Molette; Amulette du Krokilleur; Gantelet du Gorgouille; Bracelet du Chef Bwork; Coupe de Dragokart; Puissante Ceinture Fulgurante; Coiffe du Muloubar; Cape du Muloubar; Geta Terrdala; Dofus Ocre; Dofus des Glaces; Nomade; Bousculeur; Culbuteur; Remueur; Kramkram</t>
        </is>
      </c>
    </row>
    <row r="23087">
      <c r="A23087" t="inlineStr">
        <is>
          <t>monstre</t>
        </is>
      </c>
      <c r="B23087">
        <f>HYPERLINK("https://www.dofusbook.net/fr/equipement/1590109-monstre/objets", "link")</f>
        <v/>
      </c>
      <c r="C23087" t="n">
        <v>0</v>
      </c>
      <c r="D23087" t="inlineStr">
        <is>
          <t>Hache Ériphe; Amulette du Strigide; Anneau Chevelu; Bague Gloursonne; Bouclier du Captain Amakna; Masque de Koutoulou; Voile d'encre; Tentassons; Dofus des Glaces; Dofus Pourpre; Dofus Turquoise; Remueur; Vigoureux majeur; Nomade; Kramkram</t>
        </is>
      </c>
    </row>
    <row r="23088">
      <c r="A23088" t="inlineStr">
        <is>
          <t>resi</t>
        </is>
      </c>
      <c r="B23088">
        <f>HYPERLINK("https://www.dofusbook.net/fr/equipement/1581996-resi/objets", "link")</f>
        <v/>
      </c>
      <c r="C23088" t="n">
        <v>0</v>
      </c>
      <c r="D23088" t="inlineStr">
        <is>
          <t>Héqache; Amulette du Strigide; Anneau Chevelu; Alliance Gloursonne; Ceinture de XLII; Chapeau Lisson; Voile d'encre; Bottes de XLII; Dofus Ocre; Dofus Pourpre; Remueur; Vigoureux majeur; Nomade; Kramkram</t>
        </is>
      </c>
    </row>
    <row r="23089">
      <c r="A23089" t="inlineStr">
        <is>
          <t>mode piege</t>
        </is>
      </c>
      <c r="B23089">
        <f>HYPERLINK("https://www.dofusbook.net/fr/equipement/1495329-mode-piege/objets", "link")</f>
        <v/>
      </c>
      <c r="C23089" t="n">
        <v>0</v>
      </c>
      <c r="D23089" t="inlineStr">
        <is>
          <t>Dagues Érhy; Torquistik; Chevalière du Roi Joueur; Baguistik; Bouclier cubiste; Ceintacé; Chapeau de Gein; Voile d'encre; Tentassons; Dofus Abyssal; Dofus Pourpre; Dofus des Glaces; Remueur; Vigoureux majeur; Nomade; Kramkram</t>
        </is>
      </c>
    </row>
    <row r="23090">
      <c r="A23090" t="inlineStr">
        <is>
          <t>terre agi 2</t>
        </is>
      </c>
      <c r="B23090">
        <f>HYPERLINK("https://www.dofusbook.net/fr/equipement/1490244-terre-agi-2/objets", "link")</f>
        <v/>
      </c>
      <c r="C23090" t="n">
        <v>0</v>
      </c>
      <c r="D23090" t="inlineStr">
        <is>
          <t>Hache Ériphe; Amulette du Strigide; Anneau Chevelu; Anneau des égarés; Bouclier du Captain Amakna; Ceintacé; Chapoulpe; Voile d'encre; Tentassons; Dofus Pourpre; Dofus Turquoise; Dofus des Glaces; Nomade; Remueur; Vigoureux majeur; Kramkram</t>
        </is>
      </c>
    </row>
    <row r="23091">
      <c r="A23091" t="inlineStr">
        <is>
          <t>eni krav</t>
        </is>
      </c>
      <c r="B23091">
        <f>HYPERLINK("https://www.dofusbook.net/fr/equipement/795769-eni-krav/objets", "link")</f>
        <v/>
      </c>
      <c r="C23091" t="n">
        <v>0</v>
      </c>
      <c r="D23091" t="inlineStr">
        <is>
          <t>Pelle de Katrepat; Collier de la Dame du Hasard; Anneauræus; Anneau Tique; Bouclier alvéolé; Ceintrigue; Casquette de Meno; Cape de la Dame du Hasard; Pataugastrique; Dofus Turquoise; Dofus Pourpre; Dofus des Glaces; Remueur; Nomade; Vigoureux majeur; Kramkram</t>
        </is>
      </c>
    </row>
    <row r="23092">
      <c r="A23092" t="inlineStr">
        <is>
          <t>soin</t>
        </is>
      </c>
      <c r="B23092">
        <f>HYPERLINK("https://www.dofusbook.net/fr/equipement/1443014-soin-/objets", "link")</f>
        <v/>
      </c>
      <c r="C23092" t="n">
        <v>0</v>
      </c>
      <c r="D23092" t="inlineStr">
        <is>
          <t>Le Thanos; Pendentif affamé; Anneau Rifique; Anneau de Nidas; Carapar; Ceintrigue; Couronne de Nidas; Cape de Diondin; Bottes Innommables; Carapace Eau majeur; Docteur majeur; Guérisseur; Remueur; Carapace Feu majeur; Guérisseur majeur; Muldo Indigo et Orchidée</t>
        </is>
      </c>
    </row>
    <row r="23093">
      <c r="A23093" t="inlineStr">
        <is>
          <t>pvp</t>
        </is>
      </c>
      <c r="B23093">
        <f>HYPERLINK("https://www.dofusbook.net/fr/equipement/1373012-pvp/objets", "link")</f>
        <v/>
      </c>
      <c r="C23093" t="n">
        <v>0</v>
      </c>
      <c r="D23093" t="inlineStr">
        <is>
          <t>Héqache; Amulette du Strigide; Anneau Chevelu; Bracelet du Piloztère; Ceintacé; Casque Dragoeuf; Voile d'encre; Bottes du Strigide; Dofus Pourpre; Dofus Émeraude; Dofus Turquoise; Vigoureux majeur; Remueur; Muldo Ebène et Pourpre</t>
        </is>
      </c>
    </row>
    <row r="23094">
      <c r="A23094" t="inlineStr">
        <is>
          <t>maj</t>
        </is>
      </c>
      <c r="B23094">
        <f>HYPERLINK("https://www.dofusbook.net/fr/equipement/1357983-maj/objets", "link")</f>
        <v/>
      </c>
      <c r="C23094" t="n">
        <v>0</v>
      </c>
      <c r="D23094" t="inlineStr">
        <is>
          <t>Hache du Chalœil; Torquistik; Pikano; Goulano; Quatre-feuilles; Ceintacé; Casque de Missiz Frizz; Voile d'encre; Goulbottes; Dofus des Glaces; Dofus Pourpre; Dofus Turquoise; Vigoureux majeur; Remueur; Nomade; Kramkram</t>
        </is>
      </c>
    </row>
    <row r="23095">
      <c r="A23095" t="inlineStr">
        <is>
          <t>terre eau do pou</t>
        </is>
      </c>
      <c r="B23095">
        <f>HYPERLINK("https://www.dofusbook.net/fr/equipement/1357839-terre-eau-do-pou-/objets", "link")</f>
        <v/>
      </c>
      <c r="C23095" t="n">
        <v>0</v>
      </c>
      <c r="D23095" t="inlineStr">
        <is>
          <t>Hache Euvale; Amulette Luminescente; Bracelet du Piloztère; Pikano; Ceinture de la Reine des Voleurs; Kidibonnet; Cape Luminescente; Bottes du Strigide; Kramkram</t>
        </is>
      </c>
    </row>
    <row r="23096">
      <c r="A23096" t="inlineStr">
        <is>
          <t>iopti bi</t>
        </is>
      </c>
      <c r="B23096">
        <f>HYPERLINK("https://www.dofusbook.net/fr/equipement/1328568-iopti-bi-/objets", "link")</f>
        <v/>
      </c>
      <c r="C23096" t="n">
        <v>0</v>
      </c>
      <c r="D23096" t="inlineStr">
        <is>
          <t>Héqache; Amulette du Strigide; Anneau des égarés; Bracelet du Piloztère; Bouclier du Captain Amakna; Ceinture du Strigide; Chapoulpe; Cape du Kamasterisk; Baleinabottes; Dofus Turquoise; Dofus des Glaces; Dofus Pourpre; Nomade; Vigoureux majeur; Remueur; Kramkram</t>
        </is>
      </c>
    </row>
    <row r="23097">
      <c r="A23097" t="inlineStr">
        <is>
          <t>tri</t>
        </is>
      </c>
      <c r="B23097">
        <f>HYPERLINK("https://www.dofusbook.net/fr/equipement/1321640-tri/objets", "link")</f>
        <v/>
      </c>
      <c r="C23097" t="n">
        <v>0</v>
      </c>
      <c r="D23097" t="inlineStr">
        <is>
          <t>Épée Brûlâme; Amulette du Strigide; Anneau de Padgref; Bracelet des Fonds marins; Bouclier du Captain Amakna; Ceinture du Strigide; Casquette de Meno; Cape de la Dame du Hasard; Pataugastrique; Dofus des Glaces; Dofus Pourpre; Dofus Turquoise; Remueur; Vigoureux majeur; Miraculé majeur; Muldo Ebène et Orchidée</t>
        </is>
      </c>
    </row>
    <row r="23098">
      <c r="A23098" t="inlineStr">
        <is>
          <t>terre eau</t>
        </is>
      </c>
      <c r="B23098">
        <f>HYPERLINK("https://www.dofusbook.net/fr/equipement/1294426-terre-eau-/objets", "link")</f>
        <v/>
      </c>
      <c r="C23098" t="n">
        <v>0</v>
      </c>
      <c r="D23098" t="inlineStr">
        <is>
          <t>Épouvante; Amulette Luminescente; Anneau Chevelu; Pikano; Quatre-feuilles; Ceinture de la Reine des Voleurs; Masque de Koutoulou; Cape Luminescente; Bottes du Lévitrof; Dofus Turquoise; Dofus des Glaces; Dofus Pourpre; Nomade; Vigoureux majeur; Remueur; Kramkram</t>
        </is>
      </c>
    </row>
    <row r="23099">
      <c r="A23099" t="inlineStr">
        <is>
          <t>vbn</t>
        </is>
      </c>
      <c r="B23099">
        <f>HYPERLINK("https://www.dofusbook.net/fr/equipement/922338-vbn/objets", "link")</f>
        <v/>
      </c>
      <c r="C23099" t="n">
        <v>0</v>
      </c>
      <c r="D23099" t="inlineStr">
        <is>
          <t>Hachoirs de Viandargh; Amibou; Bague Trithon; Bague Instable; Bouclier précieux; Sangle Ouare; Masque Trithon; Cape des Malveilleurs; Bottes Owesli; Dofus Ocre; Bousculeur majeur; Remueur; Carapace Feu majeur; Culbuteur majeur; Pousseur majeur; Kramkram</t>
        </is>
      </c>
    </row>
    <row r="23100">
      <c r="A23100" t="inlineStr">
        <is>
          <t>mpl</t>
        </is>
      </c>
      <c r="B23100">
        <f>HYPERLINK("https://www.dofusbook.net/fr/equipement/1191221-mpl/objets", "link")</f>
        <v/>
      </c>
      <c r="C23100" t="n">
        <v>0</v>
      </c>
      <c r="D23100" t="inlineStr">
        <is>
          <t>Arc du Chalœil; Amulette Luminescente; Anneau Chevelu; Bague Trithon; Bouclier Taverne; Sangle Ouare; Masque de Koutoulou; Cape Luminescente; Bottistik; Dofus des Glaces; Dofus Pourpre; Dofus Émeraude; Remueur; Culbuteur majeur; Bousculeur majeur; Kramkram</t>
        </is>
      </c>
    </row>
    <row r="23101">
      <c r="A23101" t="inlineStr">
        <is>
          <t>feu</t>
        </is>
      </c>
      <c r="B23101">
        <f>HYPERLINK("https://www.dofusbook.net/fr/equipement/1090699-feu/objets", "link")</f>
        <v/>
      </c>
      <c r="C23101" t="n">
        <v>0</v>
      </c>
      <c r="D23101" t="inlineStr">
        <is>
          <t>Arc Hétype; Amulette d'Otomaï; Bague Gloursonne; Anneau Tamie; Quatre-feuilles; Ceinture Séculaire; Coiffe Séculaire; Cape de Diondin; Bottes Innommables; Dofus Émeraude; Dévastateur Feu majeur; Érudit majeur; Vigoureux majeur; Nomade; Remueur</t>
        </is>
      </c>
    </row>
    <row r="23102">
      <c r="A23102" t="inlineStr">
        <is>
          <t>toi</t>
        </is>
      </c>
      <c r="B23102">
        <f>HYPERLINK("https://www.dofusbook.net/fr/equipement/1031650-toi/objets", "link")</f>
        <v/>
      </c>
      <c r="C23102" t="n">
        <v>0</v>
      </c>
      <c r="D23102" t="inlineStr">
        <is>
          <t>Manthache; Collier du Valet Veinard; Alliance Gloursonne; Gant du Valet Veinard; Écorce de Brouce; Menoture; Casque Dragoeuf; Cape Indescriptible; Palmes Trithons; Dofus Émeraude; Dofus Abyssal; Dokoko; Carapace Air majeur; Cascadeur majeur; Remueur; Muldo Ebène</t>
        </is>
      </c>
    </row>
    <row r="23103">
      <c r="A23103" t="inlineStr">
        <is>
          <t>soin</t>
        </is>
      </c>
      <c r="B23103">
        <f>HYPERLINK("https://www.dofusbook.net/fr/equipement/875067-soin/objets", "link")</f>
        <v/>
      </c>
      <c r="C23103" t="n">
        <v>1</v>
      </c>
      <c r="D23103" t="inlineStr">
        <is>
          <t>Le Thanos; Pendentif affamé; Anneau Rifique; Anneau de Nidas; Bivalve; Ceinture du Comte Razof; Couronne de Nidas; Cape de Diondin; Bottes Innommables; Dofus Émeraude; Docteur majeur; Guérisseur; Érudit majeur; Remueur; Guérisseur majeur; Muldo Indigo et Orchidée</t>
        </is>
      </c>
    </row>
    <row r="23104">
      <c r="A23104" t="inlineStr">
        <is>
          <t>pvp</t>
        </is>
      </c>
      <c r="B23104">
        <f>HYPERLINK("https://www.dofusbook.net/fr/equipement/851051-pvp/objets", "link")</f>
        <v/>
      </c>
      <c r="C23104" t="n">
        <v>0</v>
      </c>
      <c r="D23104" t="inlineStr">
        <is>
          <t>Héqache; Amulette du Strigide; Anneau des égarés; Anneau Crustique; Sept ans de malheur; Menoture; Chapoulpe; Cape de la Cour Sombre; Tentassons; Dolmanax; Dofus Pourpre; Dofus Émeraude; Étourdisseur majeur; Obstructeur majeur; Remueur; Muldo Ebène et Indigo</t>
        </is>
      </c>
    </row>
    <row r="23105">
      <c r="A23105" t="inlineStr">
        <is>
          <t>iop</t>
        </is>
      </c>
      <c r="B23105">
        <f>HYPERLINK("https://www.dofusbook.net/fr/equipement/697371-iop/objets", "link")</f>
        <v/>
      </c>
      <c r="C23105" t="n">
        <v>0</v>
      </c>
      <c r="D23105" t="inlineStr">
        <is>
          <t>Hachoirs de Viandargh; Collier du Valet Veinard; Alliance Gloursonne; Gant du Valet Veinard; Bouclier du Captain Amakna; Menoture; Capuche de Moum-Ra; Cape Indescriptible; Palmes Trithons; Dofus Turquoise; Dofus des Glaces; Dévastateur Air majeur; Nomade; Cascadeur majeur; Remueur; Siroko</t>
        </is>
      </c>
    </row>
    <row r="23106">
      <c r="A23106" t="inlineStr">
        <is>
          <t>multi</t>
        </is>
      </c>
      <c r="B23106">
        <f>HYPERLINK("https://www.dofusbook.net/fr/equipement/728236-multi/objets", "link")</f>
        <v/>
      </c>
      <c r="C23106" t="n">
        <v>0</v>
      </c>
      <c r="D23106" t="inlineStr">
        <is>
          <t>Epée Gloursonne; Amulette du Strigide; Bague Gloursonne; Alliance Gloursonne; Bouclier du Captain Amakna; Ceinture du Strigide; Casque du Chalœil; Cape du Chalœil; Bottes du Chalœil; Dofus Turquoise; Dofus des Glaces; Dofus Pourpre; Dofus Ocre; Dofus Nébuleux; Dolmanax; Kramkram</t>
        </is>
      </c>
    </row>
    <row r="23107">
      <c r="A23107" t="inlineStr">
        <is>
          <t>full terre</t>
        </is>
      </c>
      <c r="B23107">
        <f>HYPERLINK("https://www.dofusbook.net/fr/equipement/718314-full-terre/objets", "link")</f>
        <v/>
      </c>
      <c r="C23107" t="n">
        <v>0</v>
      </c>
      <c r="D23107" t="inlineStr">
        <is>
          <t>Marteau R'ture; Amulette du Strigide; Anneau Chevelu; Bague Gloursonne; Bouclier du Captain Amakna; Ceinture du Strigide; Masque de Koutoulou; Cape au Logis; Bottes de la Cour Sombre; Dofus Turquoise; Dofus des Glaces; Dofus Pourpre; Dofus Nébuleux; Enragé majeur; Remueur; Kompost</t>
        </is>
      </c>
    </row>
    <row r="23108">
      <c r="A23108" t="inlineStr">
        <is>
          <t>poi</t>
        </is>
      </c>
      <c r="B23108">
        <f>HYPERLINK("https://www.dofusbook.net/fr/equipement/707609-poi/objets", "link")</f>
        <v/>
      </c>
      <c r="C23108" t="n">
        <v>0</v>
      </c>
      <c r="D23108" t="inlineStr">
        <is>
          <t>Hache du Korriandre; Amulette du Strigide; Alliance Gloursonne; Anneau de Padgref; Ceinture du Strigide; Kidibonnet; Chevelure de Tal Kasha; Sandales  d'Atcham; Dofus des Glaces; Dofus Pourpre; Dofus Turquoise; Vigoureux majeur; Nomade; Remueur; Kramkram</t>
        </is>
      </c>
    </row>
    <row r="23109">
      <c r="A23109" t="inlineStr">
        <is>
          <t>bnk</t>
        </is>
      </c>
      <c r="B23109">
        <f>HYPERLINK("https://www.dofusbook.net/fr/equipement/324108-bnk/objets", "link")</f>
        <v/>
      </c>
      <c r="C23109" t="n">
        <v>0</v>
      </c>
      <c r="D23109" t="inlineStr">
        <is>
          <t>Héqache; Torquistik; Baguistik; Bague Instable; Bouclier précieux; Sangle Ouare; Masque du Barbétoal; Cape des Malveilleurs; Bottes Trithon; Dofus Ocre; Remueur; Pousseur majeur; Bousculeur majeur; Culbuteur; Culbuteur majeur; Tanuk</t>
        </is>
      </c>
    </row>
    <row r="23110">
      <c r="A23110" t="inlineStr">
        <is>
          <t>Stuff 1</t>
        </is>
      </c>
      <c r="B23110">
        <f>HYPERLINK("https://www.dofusbook.net/fr/equipement/253304-stuff-1/objets", "link")</f>
        <v/>
      </c>
      <c r="C23110" t="n">
        <v>0</v>
      </c>
      <c r="D23110" t="inlineStr">
        <is>
          <t>Arc Hétype; Amulette de Nileza; Anneau Tique; Anneau de Nidas; Ceinture de Vortex; Couronne de Nidas; Voile d'encre; Pataugastrique; Carapace Terre majeur; Érudit majeur; Déserteur majeur; Remueur; Temporiseur majeur; Nomade; Croum</t>
        </is>
      </c>
    </row>
    <row r="23111">
      <c r="A23111" t="inlineStr">
        <is>
          <t>Stuff 2</t>
        </is>
      </c>
      <c r="B23111">
        <f>HYPERLINK("https://www.dofusbook.net/fr/equipement/253299-stuff-2/objets", "link")</f>
        <v/>
      </c>
      <c r="C23111" t="n">
        <v>0</v>
      </c>
      <c r="D23111" t="inlineStr">
        <is>
          <t>Sabres d'Atcham; Amulette du Strigide; Alliance Gloursonne; Anneau de Padgref; Ceinture du Strigide; Coiffe de Padgref; Cape d'Atcham; Getas de Padgref; Dofus Ocre; Dolmanax; Dofus Turquoise; Dofus des Glaces; Dofus Pourpre; Puissant majeur; Muldo Doré et Emeraude</t>
        </is>
      </c>
    </row>
    <row r="23112">
      <c r="A23112" t="inlineStr">
        <is>
          <t>Stuff 3</t>
        </is>
      </c>
      <c r="B23112">
        <f>HYPERLINK("https://www.dofusbook.net/fr/equipement/253306-stuff-3/objets", "link")</f>
        <v/>
      </c>
      <c r="C23112" t="n">
        <v>3</v>
      </c>
      <c r="D23112" t="inlineStr">
        <is>
          <t>Le Thanos; Amulette d'Otomaï; Bague Gloursonne; Anneau de Nidas; Ceinture Séculaire; Coiffe Séculaire; Cape de Diondin; Bottes Innommables; Docteur majeur; Guérisseur majeur; Érudit majeur; Nomade; Guérisseur; Remueur; Kramkram</t>
        </is>
      </c>
    </row>
    <row r="23113">
      <c r="A23113" t="inlineStr">
        <is>
          <t>Stuff 1</t>
        </is>
      </c>
      <c r="B23113">
        <f>HYPERLINK("https://www.dofusbook.net/fr/equipement/253301-stuff-1/objets", "link")</f>
        <v/>
      </c>
      <c r="C23113" t="n">
        <v>0</v>
      </c>
      <c r="D23113" t="inlineStr">
        <is>
          <t>Arc corrompu; Amulette d'Otomaï; Anneau Tamie; Anneau Tamie; Quatre-feuilles; Ceinture Séculaire; Coiffe Séculaire; Cape de Diondin; Bottes Innommables; Dofus des Glaces; Remueur; Nomade; Astucieux majeur; Érudit majeur; Dévastateur Feu majeur; Brûlih</t>
        </is>
      </c>
    </row>
    <row r="23114">
      <c r="A23114" t="inlineStr">
        <is>
          <t>Stuff 1</t>
        </is>
      </c>
      <c r="B23114">
        <f>HYPERLINK("https://www.dofusbook.net/fr/equipement/253313-stuff-1/objets", "link")</f>
        <v/>
      </c>
      <c r="C23114" t="n">
        <v>0</v>
      </c>
      <c r="D23114" t="inlineStr">
        <is>
          <t>Pelle Hikule; Amulette Ementaire; Anneau Ancestral; Anneau du Meulou; Bouclier d'Asse; Ceinture du Pounicheur; Kaskargo; Cape du Wabbit Garou; Bottes du Wabbit Garou; Dofus des Glaces; Dofus Ocre; Dofus Pourpre; Dolmanax; Nomade; Remueur; Pioute vert</t>
        </is>
      </c>
    </row>
    <row r="23115">
      <c r="A23115" t="inlineStr">
        <is>
          <t>Stuff 1</t>
        </is>
      </c>
      <c r="B23115">
        <f>HYPERLINK("https://www.dofusbook.net/fr/equipement/253313-stuff-1/objets", "link")</f>
        <v/>
      </c>
      <c r="C23115" t="n">
        <v>0</v>
      </c>
      <c r="D23115" t="inlineStr">
        <is>
          <t>Pelle Hikule; Amulette Ementaire; Anneau Ancestral; Anneau du Meulou; Bouclier d'Asse; Ceinture du Pounicheur; Kaskargo; Cape du Wabbit Garou; Bottes du Wabbit Garou; Dofus des Glaces; Dofus Ocre; Dofus Pourpre; Dolmanax; Nomade; Remueur; Pioute vert</t>
        </is>
      </c>
    </row>
    <row r="23116">
      <c r="A23116" t="inlineStr">
        <is>
          <t>Stuff 3</t>
        </is>
      </c>
      <c r="B23116">
        <f>HYPERLINK("https://www.dofusbook.net/fr/equipement/253303-stuff-3/objets", "link")</f>
        <v/>
      </c>
      <c r="C23116" t="n">
        <v>0</v>
      </c>
      <c r="D23116" t="inlineStr">
        <is>
          <t>Pelle de la Cour Sombre; Amulette du Strigide; Gelano; Alliance Gloursonne; Ceinture de XLII; Dorabysses; Cape d'Hel Munster; Bottes de XLII; Dofus Ocre; Nomade; Remueur; Bloqueur majeur; Obstructeur majeur; Carapace Feu majeur; Blokus</t>
        </is>
      </c>
    </row>
    <row r="23117">
      <c r="A23117" t="inlineStr">
        <is>
          <t>Stuff 1</t>
        </is>
      </c>
      <c r="B23117">
        <f>HYPERLINK("https://www.dofusbook.net/fr/equipement/253298-stuff-1/objets", "link")</f>
        <v/>
      </c>
      <c r="C23117" t="n">
        <v>0</v>
      </c>
      <c r="D23117" t="inlineStr">
        <is>
          <t>Sabres d'Atcham; Amulette du Strigide; Anneau de Padgref; Alliance Gloursonne; Ceinture du Strigide; Chapeau des Malveilleurs; Voile d'encre; Pataugastrique; Dofus Turquoise; Dofus Pourpre; Dofus des Glaces; Vigoureux majeur; Nomade; Remueur; Kramkram</t>
        </is>
      </c>
    </row>
    <row r="23118">
      <c r="A23118" t="inlineStr">
        <is>
          <t>Stuff 3</t>
        </is>
      </c>
      <c r="B23118">
        <f>HYPERLINK("https://www.dofusbook.net/fr/equipement/253315-stuff-3/objets", "link")</f>
        <v/>
      </c>
      <c r="C23118" t="n">
        <v>0</v>
      </c>
      <c r="D23118" t="inlineStr">
        <is>
          <t>Dagues Érhy; Amulette de l'Indicible; Anneau des égarés; Anneau Chevelu; Ceintouse; Masque de Koutoulou; Cape du Kamasterisk; Tentassons; Dofus Émeraude; Dofus des Glaces; Dofus Pourpre; Nomade; Remueur; Vigoureux majeur; Kramkram</t>
        </is>
      </c>
    </row>
    <row r="23119">
      <c r="A23119" t="inlineStr">
        <is>
          <t>Stuff 1</t>
        </is>
      </c>
      <c r="B23119">
        <f>HYPERLINK("https://www.dofusbook.net/fr/equipement/253310-stuff-1/objets", "link")</f>
        <v/>
      </c>
      <c r="C23119" t="n">
        <v>0</v>
      </c>
      <c r="D23119" t="inlineStr">
        <is>
          <t>Dagues Érhy; Torquistik; Anneau de Nidas; Bracelet du Piloztère; Bouclier cubiste; Ceintacé; Couronne de Nidas; Voile d'encre; Chaussures Hau; Dofus des Glaces; Dofus Pourpre; Remueur; Nomade; Vigoureux majeur; Temporiseur majeur; Kramkram</t>
        </is>
      </c>
    </row>
    <row r="23120">
      <c r="A23120" t="inlineStr">
        <is>
          <t>Stuff 2</t>
        </is>
      </c>
      <c r="B23120">
        <f>HYPERLINK("https://www.dofusbook.net/fr/equipement/253305-stuff-2/objets", "link")</f>
        <v/>
      </c>
      <c r="C23120" t="n">
        <v>0</v>
      </c>
      <c r="D23120" t="inlineStr">
        <is>
          <t>Hache à Lamelles; Collier du Minotot; Bracelet du Minotot; Anneau Bliteré; Tranche des Sous-bois; Casque Harnage; Cape du Minotot; Sandales Circulaires du Kimbo; Dolmanax; Dofus Kaliptus; Dokille; Joueur majeur; Taquin; Taquin majeur; Pykur</t>
        </is>
      </c>
    </row>
    <row r="23121">
      <c r="A23121" t="inlineStr">
        <is>
          <t>Stuff 3</t>
        </is>
      </c>
      <c r="B23121">
        <f>HYPERLINK("https://www.dofusbook.net/fr/equipement/253300-stuff-3/objets", "link")</f>
        <v/>
      </c>
      <c r="C23121" t="n">
        <v>0</v>
      </c>
      <c r="D23121" t="inlineStr">
        <is>
          <t>Manthache; Collier du Valet Veinard; Alliance Gloursonne; Gant du Valet Veinard; Menoture; Couronne d'Allister; Cape Indescriptible; Palmes Trithons; Dofus Pourpre; Dofus des Glaces; Nomade; Dévastateur Air majeur; Remueur; Cascadeur majeur; Siroko</t>
        </is>
      </c>
    </row>
    <row r="23122">
      <c r="A23122" t="inlineStr">
        <is>
          <t>Bistouille</t>
        </is>
      </c>
      <c r="B23122">
        <f>HYPERLINK("https://www.dofusbook.net/fr/equipement/5372342-bistouille/objets", "link")</f>
        <v/>
      </c>
      <c r="C23122" t="n">
        <v>15</v>
      </c>
      <c r="D23122" t="inlineStr">
        <is>
          <t>Crocobur; Amulette du Cœur Saignant; Anneau Volkorne; Alliance de Missiz Frizz; Bouclier d'Ilyzaelle; Ceinture Volkorne; Casque de Missiz Frizz; Cape du Cœur Saignant; Bottes du Cœur Saignant; Dofus Turquoise; Dofus Ivoire; Dofus Émeraude; Dofus Ocre; Dofus Pourpre; Dofus Vulbis; Platypus</t>
        </is>
      </c>
    </row>
    <row r="23123">
      <c r="A23123" t="inlineStr">
        <is>
          <t>Panda Multi 12/6</t>
        </is>
      </c>
      <c r="B23123">
        <f>HYPERLINK("https://www.dofusbook.net/fr/equipement/5061129-panda-multi-12-6/objets", "link")</f>
        <v/>
      </c>
      <c r="C23123" t="n">
        <v>46</v>
      </c>
      <c r="D23123" t="inlineStr">
        <is>
          <t>Arc Volkorne; Amulette Volkorne; Anneau de Padgref; Anneau Volkorne; Quatre-feuilles; Ceinture Volkorne; Coiffe de Padgref; Cape de Jahash Jurgen; Getas de Padgref; Dofus Nébuleux; Dofus Vulbis; Dofus Pourpre; Dofus Ocre; Dofus Turquoise; Dofus des Glaces; Sakochère</t>
        </is>
      </c>
    </row>
    <row r="23124">
      <c r="A23124" t="inlineStr">
        <is>
          <t>locio</t>
        </is>
      </c>
      <c r="B23124">
        <f>HYPERLINK("https://www.dofusbook.net/fr/equipement/5943558-locio/objets", "link")</f>
        <v/>
      </c>
      <c r="C23124" t="n">
        <v>3</v>
      </c>
      <c r="D23124" t="inlineStr">
        <is>
          <t>Dagues du Dragoeuf; Amulette Volkorne; Anneau Volkorne; Anneau de Padgref; Quatre-feuilles; Ceinture Volkorne; Coiffe de Padgref; Cape de Jahash Jurgen; Getas de Padgref; Dofus Turquoise; Dofus Nébuleux; Dofus Abyssal; Dofus des Glaces; Dofus Ébène; Dofus Ocre; Kokulte</t>
        </is>
      </c>
    </row>
    <row r="23125">
      <c r="A23125" t="inlineStr">
        <is>
          <t>Enu 200</t>
        </is>
      </c>
      <c r="B23125">
        <f>HYPERLINK("https://www.dofusbook.net/fr/equipement/5942096-enu-200/objets", "link")</f>
        <v/>
      </c>
      <c r="C23125" t="n">
        <v>2</v>
      </c>
      <c r="D23125" t="inlineStr">
        <is>
          <t>Dagues Açantes; Amulette de Shokkoth; Pikano; Anneau Volkorne; Bouclier cubiste; Ceinture Volkorne; Kidibonnet; Cape de Mantaze; Bottes du Nocturlabe; Nomade; Entraveur majeur; Ralentisseur majeur; Dévastateur Eau majeur; Temporiseur majeur; Chanceux majeur; Volkorne Turquoise et Indigo</t>
        </is>
      </c>
    </row>
    <row r="23126">
      <c r="A23126" t="inlineStr">
        <is>
          <t>Sram Terre</t>
        </is>
      </c>
      <c r="B23126">
        <f>HYPERLINK("https://www.dofusbook.net/fr/equipement/5901286-sram-terre/objets", "link")</f>
        <v/>
      </c>
      <c r="C23126" t="n">
        <v>1</v>
      </c>
      <c r="D23126" t="inlineStr">
        <is>
          <t>Crocobur; Amulette du Cœur Saignant; Anneau Volkorne; Anneau du Comte Harebourg; Bouclier du Captain Amakna; Ceinture Volkorne; Corne de Torkélonia; Cape du Cœur Saignant; Bottes du Cœur Saignant; Dofus Vulbis; Dofus Nébuleux; Dofus Ébène; Dofus Turquoise; Dofus Ocre; Dofus des Glaces; Volkorne Emeraude et Pourpre</t>
        </is>
      </c>
    </row>
    <row r="23127">
      <c r="A23127" t="inlineStr">
        <is>
          <t>Féca F 200</t>
        </is>
      </c>
      <c r="B23127">
        <f>HYPERLINK("https://www.dofusbook.net/fr/equipement/5015747-feca-f-200/objets", "link")</f>
        <v/>
      </c>
      <c r="C23127" t="n">
        <v>16</v>
      </c>
      <c r="D23127" t="inlineStr">
        <is>
          <t>Épée Brûlâme; Amulette Volkorne; Anneau Cryochrone; Anneau Volkorne; Bouclier du Captain Amakna; Sangle Aise; Coiffe Cryochrone; Cape de la Dame du Hasard; Bottes de la Dame du Hasard; Dofus Pourpre; Dofus Nébuleux; Dofus Turquoise; Dofus des Glaces; Dofus Abyssal; Dofus Ocre; Kokulte</t>
        </is>
      </c>
    </row>
    <row r="23128">
      <c r="A23128" t="inlineStr">
        <is>
          <t>Force RetPm</t>
        </is>
      </c>
      <c r="B23128">
        <f>HYPERLINK("https://www.dofusbook.net/fr/equipement/4890002-force-retpm/objets", "link")</f>
        <v/>
      </c>
      <c r="C23128" t="n">
        <v>13</v>
      </c>
      <c r="D23128" t="inlineStr">
        <is>
          <t>Marteau R'ture; Amulette Volcanique; Anneau Volkorne; Pikano; Bouclier cubiste; Ceinture Volkorne; Masque de Koutoulou; Cape du Cœur Saignant; Bottes du Roi Joueur; Dofus Abyssal; Dofus Pourpre; Dofus Ivoire; Remueur; Temporiseur majeur; Entraveur majeur; Phortiche</t>
        </is>
      </c>
    </row>
    <row r="23129">
      <c r="A23129" t="inlineStr">
        <is>
          <t>Tri Elem</t>
        </is>
      </c>
      <c r="B23129">
        <f>HYPERLINK("https://www.dofusbook.net/fr/equipement/4889035-tri-elem/objets", "link")</f>
        <v/>
      </c>
      <c r="C23129" t="n">
        <v>13</v>
      </c>
      <c r="D23129" t="inlineStr">
        <is>
          <t>Arc Honte; Amulette Volkorne; Alliance Gloursonne; Anneau Volkorne; Bivalve; Sangle Aise; Casque Volkorne; Cape d'Atcham; Sandales  d'Atcham; Dofus Pourpre; Dofus des Glaces; Dofus Turquoise; Dofus Abyssal; Dofus Émeraude; Dofus Ivoire; Fëanor</t>
        </is>
      </c>
    </row>
    <row r="23130">
      <c r="A23130" t="inlineStr">
        <is>
          <t>Stri/Pad/Arc Vov</t>
        </is>
      </c>
      <c r="B23130">
        <f>HYPERLINK("https://www.dofusbook.net/fr/equipement/3843272-stri-pad-arc-vov/objets", "link")</f>
        <v/>
      </c>
      <c r="C23130" t="n">
        <v>29</v>
      </c>
      <c r="D23130" t="inlineStr">
        <is>
          <t>Arc Volkorne; Amulette du Strigide; Bracelet du Piloztère; Anneau de Padgref; Quatre-feuilles; Ceinture du Strigide; Coiffe de Padgref; Cape Ovri; Getas de Padgref; Dolmanax; Dofus des Glaces; Dofus Turquoise; Dofus Nébuleux; Dofus Abyssal; Dofus Ocre; Sakochère</t>
        </is>
      </c>
    </row>
    <row r="23131">
      <c r="A23131" t="inlineStr">
        <is>
          <t>Eau Feu DoCri</t>
        </is>
      </c>
      <c r="B23131">
        <f>HYPERLINK("https://www.dofusbook.net/fr/equipement/4760671-eau-feu-docri/objets", "link")</f>
        <v/>
      </c>
      <c r="C23131" t="n">
        <v>21</v>
      </c>
      <c r="D23131" t="inlineStr">
        <is>
          <t>Épée Brûlâme; Amulette Volkorne; Anneau Volkorne; Anneau Cryochrone; Bouclier du Captain Amakna; Sangle Aise; Coiffe Cryochrone; Cape de la Dame du Hasard; Bottes Honyme; Dofus des Glaces; Dofus Nébuleux; Dofus Abyssal; Dofus Pourpre; Dofus Ivoire; Dofus Turquoise; Kokulte</t>
        </is>
      </c>
    </row>
    <row r="23132">
      <c r="A23132" t="inlineStr">
        <is>
          <t>Bistouille</t>
        </is>
      </c>
      <c r="B23132">
        <f>HYPERLINK("https://www.dofusbook.net/fr/equipement/4785876-bistouille/objets", "link")</f>
        <v/>
      </c>
      <c r="C23132" t="n">
        <v>25</v>
      </c>
      <c r="D23132" t="inlineStr">
        <is>
          <t>Crocobur; Collier de Tourthon; Anneau Chevelu; Anneau Crustique; Bouclier d'Ilyzaelle; Ceinture Volkorne; Masque de Koutoulou; Cape au Logis; Baleinabottes; Dofus Émeraude; Dofus Ivoire; Dofus Pourpre; Dofus Abyssal; Miraculé majeur; Obstructeur majeur; Platypus</t>
        </is>
      </c>
    </row>
    <row r="23133">
      <c r="A23133" t="inlineStr">
        <is>
          <t>Multi v4</t>
        </is>
      </c>
      <c r="B23133">
        <f>HYPERLINK("https://www.dofusbook.net/fr/equipement/4690465-multi-v4/objets", "link")</f>
        <v/>
      </c>
      <c r="C23133" t="n">
        <v>11</v>
      </c>
      <c r="D23133" t="inlineStr">
        <is>
          <t>Arc Volkorne; Amulette Volkorne; Bracelet du Piloztère; Anneau Volkorne; Quatre-feuilles; Ceinture de l'Indicible; Coiffe du Lévitrof; Cape de la Dame du Hasard; Bottes du Roi Joueur; Dofus Ocre; Dofus Turquoise; Dofus Pourpre; Nomade; Remueur; Vigoureux majeur; Kougnard</t>
        </is>
      </c>
    </row>
    <row r="23134">
      <c r="A23134" t="inlineStr">
        <is>
          <t>Songes</t>
        </is>
      </c>
      <c r="B23134">
        <f>HYPERLINK("https://www.dofusbook.net/fr/equipement/4369672-songes/objets", "link")</f>
        <v/>
      </c>
      <c r="C23134" t="n">
        <v>22</v>
      </c>
      <c r="D23134" t="inlineStr">
        <is>
          <t>Sabres d'Atcham; Talisman Glouti; Anneau Tique; Anneau Volkorne; Quatre-feuilles; Ceinture Volkorne; Dorabysses; Cape d'Atcham; Sandales  d'Atcham; Dofus Vulbis; Dofus des Glaces; Dofus Ocre; Dofus Ivoire; Dofus Pourpre; Dofus Turquoise; Kougnard</t>
        </is>
      </c>
    </row>
    <row r="23135">
      <c r="A23135" t="inlineStr">
        <is>
          <t>Tank - Tacle v2</t>
        </is>
      </c>
      <c r="B23135">
        <f>HYPERLINK("https://www.dofusbook.net/fr/equipement/2806872-tank---tacle-v2/objets", "link")</f>
        <v/>
      </c>
      <c r="C23135" t="n">
        <v>2763</v>
      </c>
      <c r="D23135" t="inlineStr">
        <is>
          <t>Rouleau à Pâtisserie d'Aermyne; Collier Rophante; Anneau Tique; Alliance Gloursonne; Droiture de Fallanster; Ceinture de Kongoku; Casque Dragoeuf; Cape d'Aermyne; Pataugastrique; Dofus Ivoire; Dofus Émeraude; Obstructeur majeur; Miraculé majeur; Carapace Neutre majeur; Remueur; Givrefoux</t>
        </is>
      </c>
    </row>
    <row r="23136">
      <c r="A23136" t="inlineStr">
        <is>
          <t>Air</t>
        </is>
      </c>
      <c r="B23136">
        <f>HYPERLINK("https://www.dofusbook.net/fr/equipement/2991149-air/objets", "link")</f>
        <v/>
      </c>
      <c r="C23136" t="n">
        <v>24</v>
      </c>
      <c r="D23136" t="inlineStr">
        <is>
          <t>Manthache; Collier du Valet Veinard; Gant du Valet Veinard; Alliance Gloursonne; Bouclier du Stalak; Menoture; Casque Volkorne; Cape Indescriptible; Palmes Trithons; Dofus des Glaces; Cascadeur majeur; Saccageur Air majeur; Nomade; Dévastateur Air majeur; Remueur; Blérodoudou</t>
        </is>
      </c>
    </row>
    <row r="23137">
      <c r="A23137" t="inlineStr">
        <is>
          <t>Full Agi Dada</t>
        </is>
      </c>
      <c r="B23137">
        <f>HYPERLINK("https://www.dofusbook.net/fr/equipement/3993801-full-agi-dada/objets", "link")</f>
        <v/>
      </c>
      <c r="C23137" t="n">
        <v>9</v>
      </c>
      <c r="D23137" t="inlineStr">
        <is>
          <t>Manthache; Collier du Valet Veinard; Alliance Gloursonne; Gant du Valet Veinard; Bouclier du Stalak; Menoture; Casque Volkorne; Cape Indescriptible; Palmes Trithons; Dofus Ocre; Dofus des Glaces; Dofus Ivoire; Dofus Vulbis; Dévastateur Air majeur; Cascadeur majeur; Bwak d'Air</t>
        </is>
      </c>
    </row>
    <row r="23138">
      <c r="A23138" t="inlineStr">
        <is>
          <t>Rush Omega</t>
        </is>
      </c>
      <c r="B23138">
        <f>HYPERLINK("https://www.dofusbook.net/fr/equipement/2774304-rush-omega/objets", "link")</f>
        <v/>
      </c>
      <c r="C23138" t="n">
        <v>16</v>
      </c>
      <c r="D23138" t="inlineStr">
        <is>
          <t>Racine de Floribonde; Amulette du Glourséleste; Annolamour; Kralano; Bouclier du Bawbawe; Ceinture de Léthaline; Coiffe d'Ogivol; Cape de Léthaline; Bottes de Léthaline; Dofus Kaliptus; Dofus Ocre; Dokille; Dofus Cawotte; Entraveur; Entraveur majeur; Chienchien</t>
        </is>
      </c>
    </row>
    <row r="23139">
      <c r="A23139" t="inlineStr">
        <is>
          <t>Sram Multi Turfu</t>
        </is>
      </c>
      <c r="B23139">
        <f>HYPERLINK("https://www.dofusbook.net/fr/equipement/4217397-sram-multi-turfu/objets", "link")</f>
        <v/>
      </c>
      <c r="C23139" t="n">
        <v>15</v>
      </c>
      <c r="D23139" t="inlineStr">
        <is>
          <t>Crocobur; Amulette Volkorne; Anneau Volkorne; Chevalière du Roi Joueur; Bouclier du Cycloïde; Ceinture de la Reine des Voleurs; Diadème de Ganymède; Voilamibe; Bottes de la Reine des Voleurs; Dofus Vulbis; Dofus Ocre; Dofus Pourpre; Dofus des Glaces; Dolmanax; Dofus Abyssal; Pioute rose</t>
        </is>
      </c>
    </row>
    <row r="23140">
      <c r="A23140" t="inlineStr">
        <is>
          <t>Multi 12/6 noCrit</t>
        </is>
      </c>
      <c r="B23140">
        <f>HYPERLINK("https://www.dofusbook.net/fr/equipement/3988342-multi-12-6-nocrit/objets", "link")</f>
        <v/>
      </c>
      <c r="C23140" t="n">
        <v>41</v>
      </c>
      <c r="D23140" t="inlineStr">
        <is>
          <t>Arc Volkorne; Amulette Volkorne; Anneau Volkorne; Bracelet du Piloztère; Bouclier du Stalak; Ceinture de l'Esprit Salvateur; Masque de l'Esprit Salvateur; Cape Indescriptible; Bottes de l'Esprit Salvateur; Dolmanax; Dofus des Glaces; Dofus Ivoire; Dofus Pourpre; Dofus Vulbis; Dofus Ocre; Kougnard</t>
        </is>
      </c>
    </row>
    <row r="23141">
      <c r="A23141" t="inlineStr">
        <is>
          <t>Full Crit</t>
        </is>
      </c>
      <c r="B23141">
        <f>HYPERLINK("https://www.dofusbook.net/fr/equipement/3256800-full-crit/objets", "link")</f>
        <v/>
      </c>
      <c r="C23141" t="n">
        <v>45</v>
      </c>
      <c r="D23141" t="inlineStr">
        <is>
          <t>Arc Volkorne; Amulette du Strigide; Pikano; Anneau de Padgref; Quatre-feuilles; Ceinture du Strigide; Coiffe de Padgref; Cape au Logis; Getas de Padgref; Dofus Pourpre; Dofus Turquoise; Dofus Nébuleux; Dofus Ocre; Dolmanax; Dofus des Glaces; Dragodinde Emeraude et Ivoire</t>
        </is>
      </c>
    </row>
    <row r="23142">
      <c r="A23142" t="inlineStr">
        <is>
          <t>Full Agi</t>
        </is>
      </c>
      <c r="B23142">
        <f>HYPERLINK("https://www.dofusbook.net/fr/equipement/4109007-full-agi/objets", "link")</f>
        <v/>
      </c>
      <c r="C23142" t="n">
        <v>18</v>
      </c>
      <c r="D23142" t="inlineStr">
        <is>
          <t>Lance Horselé; Pendentif Oton; Anneau d'Allister; Anneau de Padgref; Bouclier du Captain Amakna; Menoture; Coiffe de Padgref; Cape de Klime; Bottes Voldelor; Dofus Turquoise; Dofus Nébuleux; Nomade; Dévastateur Air majeur; Remueur; Cascadeur majeur; Pioute jaune</t>
        </is>
      </c>
    </row>
    <row r="23143">
      <c r="A23143" t="inlineStr">
        <is>
          <t>Feu Eau DoCrit v2</t>
        </is>
      </c>
      <c r="B23143">
        <f>HYPERLINK("https://www.dofusbook.net/fr/equipement/4200217-feu-eau-docrit-v2/objets", "link")</f>
        <v/>
      </c>
      <c r="C23143" t="n">
        <v>16</v>
      </c>
      <c r="D23143" t="inlineStr">
        <is>
          <t>Épée Brûlâme; Amulette Volkorne; Bague Nostik; Anneau Volkorne; Bouclier du Captain Amakna; Sangle Aise; Coiffe Cryochrone; Cape de la Dame du Hasard; Bottes de la Dame du Hasard; Dofus Ocre; Dofus des Glaces; Dofus Pourpre; Dofus Nébuleux; Dofus Émeraude; Dofus Turquoise; Muldo Prune et Emeraude</t>
        </is>
      </c>
    </row>
    <row r="23144">
      <c r="A23144" t="inlineStr">
        <is>
          <t>Full Agi v2</t>
        </is>
      </c>
      <c r="B23144">
        <f>HYPERLINK("https://www.dofusbook.net/fr/equipement/4203815-full-agi-v2/objets", "link")</f>
        <v/>
      </c>
      <c r="C23144" t="n">
        <v>2</v>
      </c>
      <c r="D23144" t="inlineStr">
        <is>
          <t>Lance Horselé; Pendentif Oton; Anneau d'Allister; Alliance Gloursonne; Bouclier du Captain Amakna; Menoture; Casque Volkorne; Cape de Klime; Bottes d'Allister; Dofus Pourpre; Dofus Émeraude; Dofus Turquoise; Dofus Nébuleux; Nomade; Remueur; Pioute jaune</t>
        </is>
      </c>
    </row>
    <row r="23145">
      <c r="A23145" t="inlineStr">
        <is>
          <t>Bi Elem Fo Age</t>
        </is>
      </c>
      <c r="B23145">
        <f>HYPERLINK("https://www.dofusbook.net/fr/equipement/4156682-bi-elem-fo-age/objets", "link")</f>
        <v/>
      </c>
      <c r="C23145" t="n">
        <v>9</v>
      </c>
      <c r="D23145" t="inlineStr">
        <is>
          <t>Hache Ériphe; Amulette Hendart; Anneau des égarés; Gant du Valet Veinard; Bouclier du Stalak; Ceinture de la Reine des Voleurs; Coiffe de la Reine des Voleurs; Cape du Kamasterisk; Baleinabottes; Dofus des Glaces; Dofus Pourpre; Dofus Ocre; Sanguinaire majeur; Nomade; Vigoureux majeur; Mékrabe</t>
        </is>
      </c>
    </row>
    <row r="23146">
      <c r="A23146" t="inlineStr">
        <is>
          <t>Multi 12/6 n1</t>
        </is>
      </c>
      <c r="B23146">
        <f>HYPERLINK("https://www.dofusbook.net/fr/equipement/2974670-multi-12-6-n1/objets", "link")</f>
        <v/>
      </c>
      <c r="C23146" t="n">
        <v>50</v>
      </c>
      <c r="D23146" t="inlineStr">
        <is>
          <t>Hache du Chalœil; Amulette du Strigide; Bracelet du Piloztère; Alliance du Lévitrof; Quatre-feuilles; Ceinture du Strigide; Coiffe du Lévitrof; Cape de Crânonier; Bottes du Strigide; Dofus Vulbis; Dofus des Glaces; Dolmanax; Dofus Nébuleux; Dofus Ocre; Dofus Turquoise; Sakochère</t>
        </is>
      </c>
    </row>
    <row r="23147">
      <c r="A23147" t="inlineStr">
        <is>
          <t>Arkoff</t>
        </is>
      </c>
      <c r="B23147">
        <f>HYPERLINK("https://www.dofusbook.net/fr/equipement/4063295-arkoff/objets", "link")</f>
        <v/>
      </c>
      <c r="C23147" t="n">
        <v>2</v>
      </c>
      <c r="D23147" t="inlineStr">
        <is>
          <t>Manthache; Amulette du Granduk; Alliance Gloursonne; Anneau d'Allister; Bouclier du Captain Amakna; Menoture; Couronne d'Allister; Cape Indescriptible; Palmes Trithons; Dofus Émeraude; Dofus Pourpre; Nomade; Dévastateur Air majeur; Remueur; Cascadeur majeur; Blérodoudou</t>
        </is>
      </c>
    </row>
    <row r="23148">
      <c r="A23148" t="inlineStr">
        <is>
          <t>Full Chance</t>
        </is>
      </c>
      <c r="B23148">
        <f>HYPERLINK("https://www.dofusbook.net/fr/equipement/3364167-full-chance/objets", "link")</f>
        <v/>
      </c>
      <c r="C23148" t="n">
        <v>18</v>
      </c>
      <c r="D23148" t="inlineStr">
        <is>
          <t>Dagoulinantes; Amulette Voldelor; Bracelet du Piloztère; Bracelet des Fonds marins; Quatre-feuilles; Pagne du Rykaon; Kidibonnet; Cape Solution; Bottes Voldelor; Dofus Turquoise; Dévastateur Eau majeur; Vigoureux majeur; Remueur; Chanceux majeur; Nomade; Dehluge</t>
        </is>
      </c>
    </row>
    <row r="23149">
      <c r="A23149" t="inlineStr">
        <is>
          <t>Full Agi - RetPM</t>
        </is>
      </c>
      <c r="B23149">
        <f>HYPERLINK("https://www.dofusbook.net/fr/equipement/3310083-full-agi---retpm/objets", "link")</f>
        <v/>
      </c>
      <c r="C23149" t="n">
        <v>13</v>
      </c>
      <c r="D23149" t="inlineStr">
        <is>
          <t>Dagues Érhy; Amibou; Gant du Valet Veinard; Alliance Gloursonne; Ambrouclier; Menoture; Couronne d'Allister; Capibou; Bottes du Kamasterisk; Dofus Ocre; Dofus Ivoire; Dofus Abyssal; Temporiseur majeur; Entraveur majeur; Cascadeur majeur; Muldo Doré et Indigo</t>
        </is>
      </c>
    </row>
    <row r="23150">
      <c r="A23150" t="inlineStr">
        <is>
          <t>Cha - Ine - RetPm</t>
        </is>
      </c>
      <c r="B23150">
        <f>HYPERLINK("https://www.dofusbook.net/fr/equipement/3530971-cha---ine---retpm/objets", "link")</f>
        <v/>
      </c>
      <c r="C23150" t="n">
        <v>5</v>
      </c>
      <c r="D23150" t="inlineStr">
        <is>
          <t>Baguette Hique; Collier de la Dame du Hasard; Pikano; Lavanneau; Bouclier cubiste; Ceinture du Glourséleste; Casquette de Meno; Cape de Meno; Bottes Honyme; Dofus Vulbis; Dofus Ocre; Dolmanax; Temporiseur majeur; Ralentisseur majeur; Entraveur majeur; Dragoune Noire</t>
        </is>
      </c>
    </row>
    <row r="23151">
      <c r="A23151" t="inlineStr">
        <is>
          <t>Full Force</t>
        </is>
      </c>
      <c r="B23151">
        <f>HYPERLINK("https://www.dofusbook.net/fr/equipement/3581422-full-force/objets", "link")</f>
        <v/>
      </c>
      <c r="C23151" t="n">
        <v>74</v>
      </c>
      <c r="D23151" t="inlineStr">
        <is>
          <t>Arc du Chalœil; Collier de Tourthon; Anneau de Brouce; Anneau du Comte Harebourg; Bouclier du Stalak; Ceinture de Brouce; Coiffe du Comte Harebourg; Cape au Logis; Bottes du Comte Harebourg; Dofus Pourpre; Dofus des Glaces; Dolmanax; Dofus Nébuleux; Dofus Ocre; Forcené majeur; Dragodinde Ivoire et Pourpre</t>
        </is>
      </c>
    </row>
    <row r="23152">
      <c r="A23152" t="inlineStr">
        <is>
          <t>DoCrit - Arc Vovo</t>
        </is>
      </c>
      <c r="B23152">
        <f>HYPERLINK("https://www.dofusbook.net/fr/equipement/3719037-docrit---arc-vovo/objets", "link")</f>
        <v/>
      </c>
      <c r="C23152" t="n">
        <v>10</v>
      </c>
      <c r="D23152" t="inlineStr">
        <is>
          <t>Arc Volkorne; Amulette du Strigide; Bracelet du Piloztère; Anneau de Padgref; Quatre-feuilles; Ceinture du Strigide; Coiffe de Padgref; Cape Ovri; Bottes du Strigide; Dofus des Glaces; Dofus Turquoise; Dofus Nébuleux; Dofus Vulbis; Dofus Ocre; Dolmanax; Volkorne Emeraude et Pourpre</t>
        </is>
      </c>
    </row>
    <row r="23153">
      <c r="A23153" t="inlineStr">
        <is>
          <t>RetPm Ini</t>
        </is>
      </c>
      <c r="B23153">
        <f>HYPERLINK("https://www.dofusbook.net/fr/equipement/3638710-retpm-ini/objets", "link")</f>
        <v/>
      </c>
      <c r="C23153" t="n">
        <v>7</v>
      </c>
      <c r="D23153" t="inlineStr">
        <is>
          <t>Marteau R'ture; Amulette du Glourséleste; Anneau de la Fuji Givrefoux; Anneau Tamie; Bouclier cubiste; Ceinture Instable; Capuche de l'Œil Putride; Cape de l'Œil Putride; Pikottes; Dofus Ocre; Entraveur; Entraveur majeur; Temporiseur; Temporiseur majeur; Ralentisseur majeur; Volkorne Turquoise</t>
        </is>
      </c>
    </row>
    <row r="23154">
      <c r="A23154" t="inlineStr">
        <is>
          <t>Intel - Chance</t>
        </is>
      </c>
      <c r="B23154">
        <f>HYPERLINK("https://www.dofusbook.net/fr/equipement/3574799-intel---chance/objets", "link")</f>
        <v/>
      </c>
      <c r="C23154" t="n">
        <v>11</v>
      </c>
      <c r="D23154" t="inlineStr">
        <is>
          <t>Pyraguette; Amulette Volkorne; Lavanneau; Anneau Volkorne; Bouclier du Cycloïde; Ceinture Volkorne; Casquette de Meno; Cape de Meno; Bottes de Meno; Dofus Nébuleux; Dofus Ocre; Dofus Abyssal; Dolmanax; Dofus des Glaces; Dofus Pourpre; Kwaltess</t>
        </is>
      </c>
    </row>
    <row r="23155">
      <c r="A23155" t="inlineStr">
        <is>
          <t>Multi 12/6 n3</t>
        </is>
      </c>
      <c r="B23155">
        <f>HYPERLINK("https://www.dofusbook.net/fr/equipement/3088771-multi-12-6-n3/objets", "link")</f>
        <v/>
      </c>
      <c r="C23155" t="n">
        <v>28</v>
      </c>
      <c r="D23155" t="inlineStr">
        <is>
          <t>Hache du Chalœil; Amulette de l'Œil Putride; Bracelet du Piloztère; Bague Trithon; Quatre-feuilles; Ceinture de Brouce; Masque Trithon; Cape de l'Œil Putride; Bottes Trithon; Dofus Abyssal; Dofus des Glaces; Dolmanax; Dofus Vulbis; Dofus Ocre; Dofus Turquoise; Kwaltess</t>
        </is>
      </c>
    </row>
    <row r="23156">
      <c r="A23156" t="inlineStr">
        <is>
          <t>Multi axé Soin</t>
        </is>
      </c>
      <c r="B23156">
        <f>HYPERLINK("https://www.dofusbook.net/fr/equipement/2529610-multi-axe-soin/objets", "link")</f>
        <v/>
      </c>
      <c r="C23156" t="n">
        <v>9</v>
      </c>
      <c r="D23156" t="inlineStr">
        <is>
          <t>Arc corrompu; Amulette d'Ilyzaelle; Bague Gloursonne; Baguistik; Bivalve; Ceinture Séculaire; Casque d'Ilyzaelle; Voile d'encre; Pataugastrique; Dofus Pourpre; Dofus Ivoire; Dofus Ocre; Déserteur majeur; Érudit majeur; Guérisseur majeur; Muldo Doré et Pourpre</t>
        </is>
      </c>
    </row>
    <row r="23157">
      <c r="A23157" t="inlineStr">
        <is>
          <t>Agi</t>
        </is>
      </c>
      <c r="B23157">
        <f>HYPERLINK("https://www.dofusbook.net/fr/equipement/2318546-agi/objets", "link")</f>
        <v/>
      </c>
      <c r="C23157" t="n">
        <v>3</v>
      </c>
      <c r="D23157" t="inlineStr">
        <is>
          <t>Arc Ahique; Collier du Valet Veinard; Alliance Gloursonne; Anneau d'Allister; Quatre-feuilles; Menoture; Coiffe de la Reine des Voleurs; Cape Indescriptible; Bottes de la Reine des Voleurs; Dofus Pourpre; Dofus des Glaces; Cascadeur majeur; Remueur; Vigoureux majeur; Nomade; Muldo Doré et Ebène</t>
        </is>
      </c>
    </row>
    <row r="23158">
      <c r="A23158" t="inlineStr">
        <is>
          <t>Full Agi</t>
        </is>
      </c>
      <c r="B23158">
        <f>HYPERLINK("https://www.dofusbook.net/fr/equipement/3564215-full-agi/objets", "link")</f>
        <v/>
      </c>
      <c r="C23158" t="n">
        <v>9</v>
      </c>
      <c r="D23158" t="inlineStr">
        <is>
          <t>Arc Ahique; Collier du Valet Veinard; Alliance Gloursonne; Gant du Valet Veinard; Quatre-feuilles; Ceinture de la Reine des Voleurs; Coiffe de la Reine des Voleurs; Cape du Valet Veinard; Bottes de la Reine des Voleurs; Dofus Vulbis; Dofus Abyssal; Dofus Ocre; Dofus Pourpre; Dofus des Glaces; Dolmanax; Dragodinde Ebène et Ivoire</t>
        </is>
      </c>
    </row>
    <row r="23159">
      <c r="A23159" t="inlineStr">
        <is>
          <t>Duo Anerice</t>
        </is>
      </c>
      <c r="B23159">
        <f>HYPERLINK("https://www.dofusbook.net/fr/equipement/1782015-duo-anerice/objets", "link")</f>
        <v/>
      </c>
      <c r="C23159" t="n">
        <v>7</v>
      </c>
      <c r="D23159" t="inlineStr">
        <is>
          <t>Bâton de Karotz; Amulette Luminescente; Pikano; Chevalière du Roi Joueur; Bouclier cubiste; Ceinture Instable; Bonnet Ko; Cape de Léthaline; Bottes du Roi Joueur; Dofus Ocre; Dokoko; Dofus Abyssal; Remueur; Temporiseur majeur; Entraveur majeur; Phortiche</t>
        </is>
      </c>
    </row>
    <row r="23160">
      <c r="A23160" t="inlineStr">
        <is>
          <t>RdV - VV - Ahique</t>
        </is>
      </c>
      <c r="B23160">
        <f>HYPERLINK("https://www.dofusbook.net/fr/equipement/2558612-rdv---vv---ahique/objets", "link")</f>
        <v/>
      </c>
      <c r="C23160" t="n">
        <v>9</v>
      </c>
      <c r="D23160" t="inlineStr">
        <is>
          <t>Hache du Korriandre; Collier du Valet Veinard; Alliance Gloursonne; Gant du Valet Veinard; Bouclier du Stalak; Ceinture de la Reine des Voleurs; Coiffe de la Reine des Voleurs; Cape du Valet Veinard; Bottes de la Reine des Voleurs; Dofus Abyssal; Dolmanax; Dofus Ivoire; Dofus Ocre; Dofus Émeraude; Dofus Pourpre; Muldo Ebène</t>
        </is>
      </c>
    </row>
    <row r="23161">
      <c r="A23161" t="inlineStr">
        <is>
          <t>Multi - Res</t>
        </is>
      </c>
      <c r="B23161">
        <f>HYPERLINK("https://www.dofusbook.net/fr/equipement/2699025-multi---res/objets", "link")</f>
        <v/>
      </c>
      <c r="C23161" t="n">
        <v>10</v>
      </c>
      <c r="D23161" t="inlineStr">
        <is>
          <t>Epée Gloursonne; Amulette du Strigide; Bague Gloursonne; Alliance Gloursonne; Bouclier d'Anerice; Ceinture du Strigide; Masque d'Anerice; Cape d'Anerice; Bottes du Strigide; Dofus Abyssal; Dofus Émeraude; Dofus Ivoire; Dolmanax; Dofus Pourpre; Examinateur; Muldo Doré et Indigo</t>
        </is>
      </c>
    </row>
    <row r="23162">
      <c r="A23162" t="inlineStr">
        <is>
          <t>Feu</t>
        </is>
      </c>
      <c r="B23162">
        <f>HYPERLINK("https://www.dofusbook.net/fr/equipement/2699396-feu/objets", "link")</f>
        <v/>
      </c>
      <c r="C23162" t="n">
        <v>5</v>
      </c>
      <c r="D23162" t="inlineStr">
        <is>
          <t>Arc corrompu; Pendentif affamé; Anneau Tamie; Anneau Tamie; Bouclier du Stalak; Ceintrigue; Heaume Oplate; Cape de Diondin; Bottes Owesli; Dofus des Glaces; Savant majeur; Érudit majeur; Nomade; Dévastateur Feu majeur; Saccageur Feu majeur; Bisouglours</t>
        </is>
      </c>
    </row>
    <row r="23163">
      <c r="A23163" t="inlineStr">
        <is>
          <t>Tweaps</t>
        </is>
      </c>
      <c r="B23163">
        <f>HYPERLINK("https://www.dofusbook.net/fr/equipement/2722236-tweaps/objets", "link")</f>
        <v/>
      </c>
      <c r="C23163" t="n">
        <v>2</v>
      </c>
      <c r="D23163" t="inlineStr">
        <is>
          <t>Bâton Beau; Kralamansion; Alliance Gloursonne; Alliance de Missiz Frizz; Le Karde Cœur; Ceinture du Père Fwetar; Casque de Missiz Frizz; Cape du Glourséleste; Pantoufles Émar; Dofus Pourpre; Remueur; Vigoureux majeur; Obstructeur majeur; Nomade; Sanguinaire majeur; Muldo Roux et Doré</t>
        </is>
      </c>
    </row>
    <row r="23164">
      <c r="A23164" t="inlineStr">
        <is>
          <t>Multi</t>
        </is>
      </c>
      <c r="B23164">
        <f>HYPERLINK("https://www.dofusbook.net/fr/equipement/2817694-multi/objets", "link")</f>
        <v/>
      </c>
      <c r="C23164" t="n">
        <v>3</v>
      </c>
      <c r="D23164" t="inlineStr">
        <is>
          <t>Epée Gloursonne; Amulette du Strigide; Bague Gloursonne; Alliance Gloursonne; Quatre-feuilles; Ceinture du Strigide; Casque du Chalœil; Cape du Chalœil; Bottes du Strigide; Dofus Turquoise; Dolmanax; Dofus Pourpre; Dofus Nébuleux; Dofus Ocre; Dofus des Glaces; Muldo Prune et Doré</t>
        </is>
      </c>
    </row>
    <row r="23165">
      <c r="A23165" t="inlineStr">
        <is>
          <t>Full Force v2</t>
        </is>
      </c>
      <c r="B23165">
        <f>HYPERLINK("https://www.dofusbook.net/fr/equipement/2926039-full-force-v2/objets", "link")</f>
        <v/>
      </c>
      <c r="C23165" t="n">
        <v>14</v>
      </c>
      <c r="D23165" t="inlineStr">
        <is>
          <t>Marteau R'ture; Amulette Luminescente; Anneau Crustique; Anneau du Comte Harebourg; Bouclier du Captain Amakna; Ceinture Luminescente; Coiffe du Comte Harebourg; Cape Luminescente; Bottes du Comte Harebourg; Dofus Pourpre; Dofus des Glaces; Dofus Turquoise; Dofus Nébuleux; Dofus Ocre; Dofus Abyssal; Kompost</t>
        </is>
      </c>
    </row>
    <row r="23166">
      <c r="A23166" t="inlineStr">
        <is>
          <t>Air Tank</t>
        </is>
      </c>
      <c r="B23166">
        <f>HYPERLINK("https://www.dofusbook.net/fr/equipement/2749975-air-tank-/objets", "link")</f>
        <v/>
      </c>
      <c r="C23166" t="n">
        <v>7</v>
      </c>
      <c r="D23166" t="inlineStr">
        <is>
          <t>Hachoirs de Viandargh; Amulette d'Ilyzaelle; Gant du Valet Veinard; Alliance Gloursonne; Sept ans de malheur; Ceinture Billonnante; Dorabysses; Cape du Valet Veinard; Baleinabottes; Dofus Abyssal; Dofus Ivoire; Dofus Émeraude; Carapace Air majeur; Cascadeur majeur; Remueur; Muldo Roux et Ebène</t>
        </is>
      </c>
    </row>
    <row r="23167">
      <c r="A23167" t="inlineStr">
        <is>
          <t>Duo Proto</t>
        </is>
      </c>
      <c r="B23167">
        <f>HYPERLINK("https://www.dofusbook.net/fr/equipement/2971787-duo-proto/objets", "link")</f>
        <v/>
      </c>
      <c r="C23167" t="n">
        <v>15</v>
      </c>
      <c r="D23167" t="inlineStr">
        <is>
          <t>Dagues de Srambad; Collier Rophante; Pikano; Bracelet du Piloztère; Bouclier du Stalak; Ceinture Luminescente; Masque de Koutoulou; Voile d'encre; Chaussons de Macrab; Dofus Abyssal; Dofus Pourpre; Dofus Ivoire; Dofus Émeraude; Dofus Ocre; Dolmanax; Petit Chacha Blanc</t>
        </is>
      </c>
    </row>
    <row r="23168">
      <c r="A23168" t="inlineStr">
        <is>
          <t>Terre</t>
        </is>
      </c>
      <c r="B23168">
        <f>HYPERLINK("https://www.dofusbook.net/fr/equipement/2991265-terre/objets", "link")</f>
        <v/>
      </c>
      <c r="C23168" t="n">
        <v>11</v>
      </c>
      <c r="D23168" t="inlineStr">
        <is>
          <t>Marteau R'ture; Collier de Tourthon; Bracelet du Piloztère; Anneau de Brouce; Bouclier du Stalak; Ceinture de la Reine des Voleurs; Coiffe de la Reine des Voleurs; Cape au Logis; Baleinabottes; Dofus des Glaces; Saccageur Terre majeur; Sanguinaire majeur; Dévastateur Terre majeur; Remueur; Enragé majeur; Bulbisou</t>
        </is>
      </c>
    </row>
    <row r="23169">
      <c r="A23169" t="inlineStr">
        <is>
          <t>Dague Sb - Tank</t>
        </is>
      </c>
      <c r="B23169">
        <f>HYPERLINK("https://www.dofusbook.net/fr/equipement/2811675-dague-sb---tank/objets", "link")</f>
        <v/>
      </c>
      <c r="C23169" t="n">
        <v>8</v>
      </c>
      <c r="D23169" t="inlineStr">
        <is>
          <t>Dagues de Srambad; Amulette de l'Indicible; Anneau Crustique; Alliance Gloursonne; Bouclier alvéolé; Ceinture de la Reine des Voleurs; Coiffe de la Reine des Voleurs; Cape Luminescente; Bottes Honyme; Dofus Abyssal; Dofus Émeraude; Dofus Ivoire; Dofus des Glaces; Remueur; Nomade; Blokus</t>
        </is>
      </c>
    </row>
    <row r="23170">
      <c r="A23170" t="inlineStr">
        <is>
          <t>Chance - Tacle</t>
        </is>
      </c>
      <c r="B23170">
        <f>HYPERLINK("https://www.dofusbook.net/fr/equipement/1907738-chance---tacle/objets", "link")</f>
        <v/>
      </c>
      <c r="C23170" t="n">
        <v>6</v>
      </c>
      <c r="D23170" t="inlineStr">
        <is>
          <t>Rouleau à Pâtisserie d'Aermyne; Amulette Luminescente; Anneau Tique; Bracelet des Fonds marins; Bouclier Feudala; Ceintacé; Masque des Fonds marins; Cape de Kongoku; Pataugastrique; Nomade; Carapace Neutre majeur; Remueur; Fonceur majeur; Carapace Air majeur; Obstructeur majeur; Muldo Roux et Indigo</t>
        </is>
      </c>
    </row>
    <row r="23171">
      <c r="A23171" t="inlineStr">
        <is>
          <t>Regen - Tank - Tacle</t>
        </is>
      </c>
      <c r="B23171">
        <f>HYPERLINK("https://www.dofusbook.net/fr/equipement/2813086-regen---tank---tacle/objets", "link")</f>
        <v/>
      </c>
      <c r="C23171" t="n">
        <v>19</v>
      </c>
      <c r="D23171" t="inlineStr">
        <is>
          <t>Épée Brûlâme; Collier Rophante; Anneau Tique; Bracelet des Fonds marins; Bouclier alvéolé; Ceinture de l'Esprit Malsain; Chapeau des Malveilleurs; Cape des Malveilleurs; Pataugastrique; Dofus des Glaces; Dofus Abyssal; Dofus Émeraude; Dofus Ivoire; Remueur; Carapace Neutre majeur; Croum</t>
        </is>
      </c>
    </row>
    <row r="23172">
      <c r="A23172" t="inlineStr">
        <is>
          <t>Force - Intel</t>
        </is>
      </c>
      <c r="B23172">
        <f>HYPERLINK("https://www.dofusbook.net/fr/equipement/2909856-force---intel/objets", "link")</f>
        <v/>
      </c>
      <c r="C23172" t="n">
        <v>7</v>
      </c>
      <c r="D23172" t="inlineStr">
        <is>
          <t>La Racine Cinati; Amulette du Strigide; Bague Gloursonne; Chevalière du Roi Joueur; Bouclier du Captain Amakna; Ceinture du Strigide; Couronne du Roi Joueur; Cape du Professeur Xa; Bottes du Roi Joueur; Dofus Turquoise; Dofus Abyssal; Dofus Ocre; Dofus Ivoire; Dofus Pourpre; Dofus Nébuleux; Phortiche</t>
        </is>
      </c>
    </row>
    <row r="23173">
      <c r="A23173" t="inlineStr">
        <is>
          <t>Tank - Tacle v1</t>
        </is>
      </c>
      <c r="B23173">
        <f>HYPERLINK("https://www.dofusbook.net/fr/equipement/1248175-tank---tacle-v1/objets", "link")</f>
        <v/>
      </c>
      <c r="C23173" t="n">
        <v>28</v>
      </c>
      <c r="D23173" t="inlineStr">
        <is>
          <t>Rouleau à Pâtisserie d'Aermyne; Collier Rophante; Alliance Gloursonne; Anneau Tique; Sept ans de malheur; Menoture; Dorabysses; Voile d'encre; Sandales des Fonds marins; Dofus Abyssal; Dokoko; Dofus Ivoire; Dofus Émeraude; Remueur; Miraculé majeur; Péki</t>
        </is>
      </c>
    </row>
    <row r="23174">
      <c r="A23174" t="inlineStr">
        <is>
          <t>Eau Air</t>
        </is>
      </c>
      <c r="B23174">
        <f>HYPERLINK("https://www.dofusbook.net/fr/equipement/3108889-eau-air/objets", "link")</f>
        <v/>
      </c>
      <c r="C23174" t="n">
        <v>4</v>
      </c>
      <c r="D23174" t="inlineStr">
        <is>
          <t>Hachoirs de Viandargh; Amulette du Strigide; Alliance Gloursonne; Anneau du Korriandre; Bouclier du Captain Amakna; Ceinture du Strigide; Némès de Tal Kasha; Chevelure de Tal Kasha; Bottes du Strigide; Dofus Turquoise; Dofus Nébuleux; Dofus Ocre; Dofus Pourpre; Dofus des Glaces; Voyageur; Molosk</t>
        </is>
      </c>
    </row>
    <row r="23175">
      <c r="A23175" t="inlineStr">
        <is>
          <t>Terre - Eau - doPou</t>
        </is>
      </c>
      <c r="B23175">
        <f>HYPERLINK("https://www.dofusbook.net/fr/equipement/3118799-terre---eau---dopou/objets", "link")</f>
        <v/>
      </c>
      <c r="C23175" t="n">
        <v>13</v>
      </c>
      <c r="D23175" t="inlineStr">
        <is>
          <t>Hache Euvale; Amulette Luminescente; Anneau de Guten Tak; Bague Trithon; Bivalve; Ceinture Luminescente; Masque Trithon; Cape Luminescente; Bottes Trithon; Dofus Pourpre; Dofus des Glaces; Dofus Turquoise; Dofus Nébuleux; Dolmanax; Dofus Ocre; Muldo Doré et Ebène</t>
        </is>
      </c>
    </row>
    <row r="23176">
      <c r="A23176" t="inlineStr">
        <is>
          <t>Multi - Puissance</t>
        </is>
      </c>
      <c r="B23176">
        <f>HYPERLINK("https://www.dofusbook.net/fr/equipement/1808513-multi---puissance/objets", "link")</f>
        <v/>
      </c>
      <c r="C23176" t="n">
        <v>16</v>
      </c>
      <c r="D23176" t="inlineStr">
        <is>
          <t>Bâton Beau; Amulette du Strigide; Bracelet du Piloztère; Alliance Gloursonne; Quatre-feuilles; Ceintacé; Casque de Missiz Frizz; Cape Reski; Bottes du Strigide; Dofus Turquoise; Dofus Nébuleux; Dofus Pourpre; Nomade; Remueur; Vigoureux majeur; Muldo Prune et Doré</t>
        </is>
      </c>
    </row>
    <row r="23177">
      <c r="A23177" t="inlineStr">
        <is>
          <t>Stri - Pad - Atcham</t>
        </is>
      </c>
      <c r="B23177">
        <f>HYPERLINK("https://www.dofusbook.net/fr/equipement/2717583-stri---pad---atcham/objets", "link")</f>
        <v/>
      </c>
      <c r="C23177" t="n">
        <v>12</v>
      </c>
      <c r="D23177" t="inlineStr">
        <is>
          <t>Sabres d'Atcham; Amulette du Strigide; Bague Trithon; Anneau de Padgref; Quatre-feuilles; Ceinture du Strigide; Coiffe de Padgref; Cape d'Atcham; Getas de Padgref; Dofus Turquoise; Dofus Nébuleux; Dolmanax; Dofus Ocre; Dofus Pourpre; Dofus des Glaces; Muldo Prune et Emeraude</t>
        </is>
      </c>
    </row>
    <row r="23178">
      <c r="A23178" t="inlineStr">
        <is>
          <t>Multi - RetPm</t>
        </is>
      </c>
      <c r="B23178">
        <f>HYPERLINK("https://www.dofusbook.net/fr/equipement/1492484-multi---retpm/objets", "link")</f>
        <v/>
      </c>
      <c r="C23178" t="n">
        <v>17</v>
      </c>
      <c r="D23178" t="inlineStr">
        <is>
          <t>Marteau R'ture; Amulette du Glourséleste; Anneau de la Fuji Givrefoux; Anneau Vicieux; Bouclier cubiste; Sangle Cible; Boucle d'oreille de Kongoku; Cape de Kongoku; Pantoufles Émar; Temporiseur majeur; Remueur; Fonceur majeur; Entraveur; Temporiseur; Entraveur majeur; Tifoux</t>
        </is>
      </c>
    </row>
    <row r="23179">
      <c r="A23179" t="inlineStr">
        <is>
          <t>RetPm - NoDmg</t>
        </is>
      </c>
      <c r="B23179">
        <f>HYPERLINK("https://www.dofusbook.net/fr/equipement/3159283-retpm---nodmg/objets", "link")</f>
        <v/>
      </c>
      <c r="C23179" t="n">
        <v>55</v>
      </c>
      <c r="D23179" t="inlineStr">
        <is>
          <t>Marteau R'ture; Amulette du Glourséleste; Anneau Vicieux; Anneau Tamie; Bouclier cubiste; Sangle Cible; Coiffe d'Aermyne; Cape d'Aermyne; Pantoufles Émar; Dofus Ocre; Entraveur majeur; Temporiseur; Fonceur majeur; Temporiseur majeur; Entraveur; Dragodinde Amande et Emeraude</t>
        </is>
      </c>
    </row>
    <row r="23180">
      <c r="A23180" t="inlineStr">
        <is>
          <t>Eau</t>
        </is>
      </c>
      <c r="B23180">
        <f>HYPERLINK("https://www.dofusbook.net/fr/equipement/2991046-eau/objets", "link")</f>
        <v/>
      </c>
      <c r="C23180" t="n">
        <v>5</v>
      </c>
      <c r="D23180" t="inlineStr">
        <is>
          <t>Dagoulinantes; Amulette de Shokkoth; Bracelet des Fonds marins; Anneau Glacial; Bouclier du Stalak; Ceinture de la Reine des Voleurs; Capuche de l'Œil Attentif; Cape Solution; Bottes de la Reine des Voleurs; Dofus Nébuleux; Dofus des Glaces; Saccageur Eau majeur; Nomade; Dévastateur Eau majeur; Remueur; Kanigloups</t>
        </is>
      </c>
    </row>
    <row r="23181">
      <c r="A23181" t="inlineStr">
        <is>
          <t>Multi</t>
        </is>
      </c>
      <c r="B23181">
        <f>HYPERLINK("https://www.dofusbook.net/fr/equipement/2974739-multi/objets", "link")</f>
        <v/>
      </c>
      <c r="C23181" t="n">
        <v>5</v>
      </c>
      <c r="D23181" t="inlineStr">
        <is>
          <t>Hache du Chalœil; Amulette du Strigide; Alliance du Lévitrof; Bracelet du Piloztère; Quatre-feuilles; Ceintacé; Coiffe du Lévitrof; Cape de la Dame du Hasard; Bottes Honyme; Dofus Pourpre; Dofus Nébuleux; Dofus Turquoise; Dofus des Glaces; Vigoureux majeur; Nomade; Molosk</t>
        </is>
      </c>
    </row>
    <row r="23182">
      <c r="A23182" t="inlineStr">
        <is>
          <t>Multi</t>
        </is>
      </c>
      <c r="B23182">
        <f>HYPERLINK("https://www.dofusbook.net/fr/equipement/3230243-multi-/objets", "link")</f>
        <v/>
      </c>
      <c r="C23182" t="n">
        <v>4</v>
      </c>
      <c r="D23182" t="inlineStr">
        <is>
          <t>Epée Gloursonne; Amulette de l'Indicible; Bague Gloursonne; Alliance Gloursonne; Bouclier du Stalak; Ceinture de l'Indicible; Le Dorado; Voilamibe; Bottes de l'Indicible; Dofus Pourpre; Dofus des Glaces; Dofus Nébuleux; Dolmanax; Féroce majeur; Robuste majeur; Muldo Doré et Amande</t>
        </is>
      </c>
    </row>
    <row r="23183">
      <c r="A23183" t="inlineStr">
        <is>
          <t>Terre - Air</t>
        </is>
      </c>
      <c r="B23183">
        <f>HYPERLINK("https://www.dofusbook.net/fr/equipement/3244877-terre---air/objets", "link")</f>
        <v/>
      </c>
      <c r="C23183" t="n">
        <v>7</v>
      </c>
      <c r="D23183" t="inlineStr">
        <is>
          <t>Dague Hirr; Amulette du Cœur Vaillant; Anneau du Comte Harebourg; Gant du Valet Veinard; Bouclier du Captain Amakna; Ceintacé; Casque des égarés; Cape du Cœur Vaillant; Bottes du Katcheur; Dofus Pourpre; Dofus des Glaces; Dofus Turquoise; Dofus Nébuleux; Remueur; Nomade; Molosk</t>
        </is>
      </c>
    </row>
    <row r="23184">
      <c r="A23184" t="inlineStr">
        <is>
          <t>DoCri v2</t>
        </is>
      </c>
      <c r="B23184">
        <f>HYPERLINK("https://www.dofusbook.net/fr/equipement/3311562-docri-v2/objets", "link")</f>
        <v/>
      </c>
      <c r="C23184" t="n">
        <v>5</v>
      </c>
      <c r="D23184" t="inlineStr">
        <is>
          <t>Sabres d'Atcham; Amulette du Strigide; Anneau de Pol Ouatnos; Bague Trithon; Bouclier du Captain Amakna; Ceinture du Strigide; Masque Trithon; Cape d'Atcham; Bottes Trithon; Dofus Ocre; Dofus Abyssal; Dofus des Glaces; Dolmanax; Dofus Turquoise; Dofus Nébuleux; Molosk</t>
        </is>
      </c>
    </row>
    <row r="23185">
      <c r="A23185" t="inlineStr">
        <is>
          <t>Full force</t>
        </is>
      </c>
      <c r="B23185">
        <f>HYPERLINK("https://www.dofusbook.net/fr/equipement/3402784-full-force/objets", "link")</f>
        <v/>
      </c>
      <c r="C23185" t="n">
        <v>11</v>
      </c>
      <c r="D23185" t="inlineStr">
        <is>
          <t>Marteau R'ture; Collier de Tourthon; Anneau Crustique; Anneau Crustique; Bouclier du Captain Amakna; Ceinture de la Reine des Voleurs; Coiffe de la Reine des Voleurs; Cape au Logis; Baleinabottes; Dofus Pourpre; Dofus Nébuleux; Dofus Ocre; Dofus des Glaces; Enragé majeur; Forcené majeur; Kompost</t>
        </is>
      </c>
    </row>
    <row r="23186">
      <c r="A23186" t="inlineStr">
        <is>
          <t>Ine - For - Cha</t>
        </is>
      </c>
      <c r="B23186">
        <f>HYPERLINK("https://www.dofusbook.net/fr/equipement/3229047-ine---for---cha/objets", "link")</f>
        <v/>
      </c>
      <c r="C23186" t="n">
        <v>13</v>
      </c>
      <c r="D23186" t="inlineStr">
        <is>
          <t>Hache du Chalœil; Amulette du Strigide; Alliance du Lévitrof; Goulano; Bouclier du Captain Amakna; Ceinture du Strigide; Coiffe du Lévitrof; Cape du Professeur Xa; Bottes du Strigide; Dofus Ocre; Dofus Abyssal; Dofus Pourpre; Dofus des Glaces; Dofus Turquoise; Dofus Nébuleux; Molosk</t>
        </is>
      </c>
    </row>
    <row r="23187">
      <c r="A23187" t="inlineStr">
        <is>
          <t>Duo Dazak</t>
        </is>
      </c>
      <c r="B23187">
        <f>HYPERLINK("https://www.dofusbook.net/fr/equipement/3512523-duo-dazak/objets", "link")</f>
        <v/>
      </c>
      <c r="C23187" t="n">
        <v>13</v>
      </c>
      <c r="D23187" t="inlineStr">
        <is>
          <t>Manthache; Collier du Valet Veinard; Alliance Gloursonne; Gant du Valet Veinard; Bouclier du Stalak; Menoture; Couronne d'Allister; Cape Indescriptible; Palmes Trithons; Dofus Ocre; Dofus Ivoire; Dofus Vulbis; Dofus des Glaces; Dofus Nébuleux; Dofus Abyssal; Siroko</t>
        </is>
      </c>
    </row>
    <row r="23188">
      <c r="A23188" t="inlineStr">
        <is>
          <t>Full Chance</t>
        </is>
      </c>
      <c r="B23188">
        <f>HYPERLINK("https://www.dofusbook.net/fr/equipement/3536843-full-chance/objets", "link")</f>
        <v/>
      </c>
      <c r="C23188" t="n">
        <v>12</v>
      </c>
      <c r="D23188" t="inlineStr">
        <is>
          <t>Baguette Héroclite; Amulette de l'Œil Attentif; Alliance Gloursonne; Anneau Volkorne; Bouclier du Stalak; Ceinture de la Reine des Voleurs; Capuche de l'Œil Attentif; Cape de Mantaze; Bottes de la Reine des Voleurs; Dofus Ocre; Dofus Abyssal; Dofus des Glaces; Dofus Ivoire; Dofus Vulbis; Dofus Nébuleux; Volkorne Rubis et Indigo</t>
        </is>
      </c>
    </row>
    <row r="23189">
      <c r="A23189" t="inlineStr">
        <is>
          <t>Terre Tank Tac</t>
        </is>
      </c>
      <c r="B23189">
        <f>HYPERLINK("https://www.dofusbook.net/fr/equipement/3183601-terre-tank-tac/objets", "link")</f>
        <v/>
      </c>
      <c r="C23189" t="n">
        <v>42</v>
      </c>
      <c r="D23189" t="inlineStr">
        <is>
          <t>Lav'Hache; Amulette de Pol Ouatnos; Alliance Gloursonne; Anneau Crustique; Sept ans de malheur; Ceinture de la Cour Sombre; Casque Dragoeuf; Cape de la Cour Sombre; Pataugastrique; Dofus Émeraude; Dofus Ivoire; Remueur; Obstructeur majeur; Enragé majeur; Carapace Neutre majeur; Bontique</t>
        </is>
      </c>
    </row>
    <row r="23190">
      <c r="A23190" t="inlineStr">
        <is>
          <t>265 RetPM</t>
        </is>
      </c>
      <c r="B23190">
        <f>HYPERLINK("https://www.dofusbook.net/fr/equipement/1206663-265-retpm/objets", "link")</f>
        <v/>
      </c>
      <c r="C23190" t="n">
        <v>63</v>
      </c>
      <c r="D23190" t="inlineStr">
        <is>
          <t>Marteau R'ture; Amulette du Glourséleste; Anneau Tamie; Anneau Instable; Bouclier cubiste; Ceinture Instable; Casquipik; Cape de Léthaline; Chaussures Face; Dofus Ocre; Entraveur majeur; Entraveur; Temporiseur; Ralentisseur majeur; Temporiseur majeur; Volkorne Turquoise</t>
        </is>
      </c>
    </row>
    <row r="23191">
      <c r="A23191" t="inlineStr">
        <is>
          <t>Multi 12/6 n2</t>
        </is>
      </c>
      <c r="B23191">
        <f>HYPERLINK("https://www.dofusbook.net/fr/equipement/3318904-multi-12-6-n2/objets", "link")</f>
        <v/>
      </c>
      <c r="C23191" t="n">
        <v>18</v>
      </c>
      <c r="D23191" t="inlineStr">
        <is>
          <t>Epée Gloursonne; Amulette de Nileza; Alliance Gloursonne; Bague Gloursonne; Bouclier du Stalak; Ceinture de la Reine des Voleurs; Coiffe de la Reine des Voleurs; Cape de Nileza; Bottes de la Reine des Voleurs; Dofus Vulbis; Dofus Abyssal; Dolmanax; Dofus Ocre; Dofus Pourpre; Dofus des Glaces; Kramkram</t>
        </is>
      </c>
    </row>
    <row r="23192">
      <c r="A23192" t="inlineStr">
        <is>
          <t>Intel Soin Fuite</t>
        </is>
      </c>
      <c r="B23192">
        <f>HYPERLINK("https://www.dofusbook.net/fr/equipement/2002723-intel-soin-fuite/objets", "link")</f>
        <v/>
      </c>
      <c r="C23192" t="n">
        <v>6</v>
      </c>
      <c r="D23192" t="inlineStr">
        <is>
          <t>Arc corrompu; Pendentif affamé; Anneau Rifique; Chevalière du Roi Joueur; Bivalve; Ceinture Séculaire; Coiffe Séculaire; Cape de Diondin; Bottes Innommables; Dofus Ivoire; Guérisseur majeur; Remueur; Savant majeur; Érudit majeur; Déserteur majeur; Muldo Orchidée et Amande</t>
        </is>
      </c>
    </row>
    <row r="23193">
      <c r="A23193" t="inlineStr">
        <is>
          <t>Duo Meno</t>
        </is>
      </c>
      <c r="B23193">
        <f>HYPERLINK("https://www.dofusbook.net/fr/equipement/1374934-duo-meno/objets", "link")</f>
        <v/>
      </c>
      <c r="C23193" t="n">
        <v>5</v>
      </c>
      <c r="D23193" t="inlineStr">
        <is>
          <t>Bouquet de Roses démoniaques; Pendentif affamé; Alliance d'Elya Wood; Anneau Tique; Carapar; Ceinture de Vortex; Couronne de Nidas; Cape de Diondin; Bottes Innommables; Dokoko; Dofus des Veilleurs; Soigneur majeur; Guérisseur majeur; Remueur; Érudit majeur; Muldo Indigo et Orchidée</t>
        </is>
      </c>
    </row>
    <row r="23194">
      <c r="A23194" t="inlineStr">
        <is>
          <t>Laikteur</t>
        </is>
      </c>
      <c r="B23194">
        <f>HYPERLINK("https://www.dofusbook.net/fr/equipement/3408035-laikteur/objets", "link")</f>
        <v/>
      </c>
      <c r="C23194" t="n">
        <v>49</v>
      </c>
      <c r="D23194" t="inlineStr">
        <is>
          <t>Arc de Laikteur; Amulette du Sinistrofu; Bracelet du Piloztère; Bague Moutheuze; Quatre-feuilles; Pagne du Rykaon; Kidibonnet; Cape du Sinistrofu; Bottes Voldelor; Dofus Vulbis; Dofus Turquoise; Dofus Ocre; Dokoko; Dofus des Glaces; Dévastateur Eau majeur; Molosk</t>
        </is>
      </c>
    </row>
    <row r="23195">
      <c r="A23195" t="inlineStr">
        <is>
          <t>ret pm</t>
        </is>
      </c>
      <c r="B23195">
        <f>HYPERLINK("https://www.dofusbook.net/fr/equipement/6010056-ret-pm/objets", "link")</f>
        <v/>
      </c>
      <c r="C23195" t="n">
        <v>0</v>
      </c>
      <c r="D23195" t="inlineStr">
        <is>
          <t>Hache du Guerrier Zoth; Amulette Luminescente; Alliance Gloursonne; Bracelet du Piloztère; Bouclier cubiste; Ceinture Luminescente; Coiffe d'Ogivol; Cape de Léthaline; Sabots Taj; Dofus Ocre; Dofus Abyssal; Remueur; Entraveur majeur; Temporiseur majeur; Ralentisseur majeur; Gwo Tofu Ventripotent</t>
        </is>
      </c>
    </row>
    <row r="23196">
      <c r="A23196" t="inlineStr">
        <is>
          <t>Meno</t>
        </is>
      </c>
      <c r="B23196">
        <f>HYPERLINK("https://www.dofusbook.net/fr/equipement/5983424-meno/objets", "link")</f>
        <v/>
      </c>
      <c r="C23196" t="n">
        <v>0</v>
      </c>
      <c r="D23196" t="inlineStr">
        <is>
          <t>Arc Nécrotique; Amulette Volkorne; Anneau Volkorne; Bracelet du Piloztère; Quatre-feuilles; Ceintrigue; Capuche de l'Œil Putride; Cape de la Dame du Hasard; Bottes Antouche; Dofus Turquoise; Dofus des Glaces; Dofus Ocre; Dofus Pourpre; Remueur; Nomade; Kokulte</t>
        </is>
      </c>
    </row>
    <row r="23197">
      <c r="A23197" t="inlineStr">
        <is>
          <t>Feca bis</t>
        </is>
      </c>
      <c r="B23197">
        <f>HYPERLINK("https://www.dofusbook.net/fr/equipement/5654602-feca-bis/objets", "link")</f>
        <v/>
      </c>
      <c r="C23197" t="n">
        <v>15</v>
      </c>
      <c r="D23197" t="inlineStr">
        <is>
          <t>Arc Nécrotique; Amulette Volkorne; Bracelet du Piloztère; Anneau Volkorne; Quatre-feuilles; Ceintrigue; Capuche de l'Œil Putride; Cape de la Dame du Hasard; Bottes Honyme; Dofus des Glaces; Dofus Ocre; Dofus Pourpre; Dofus Turquoise; Nomade; Vigoureux majeur; Kokulte</t>
        </is>
      </c>
    </row>
    <row r="23198">
      <c r="A23198" t="inlineStr">
        <is>
          <t>Cha vol cha</t>
        </is>
      </c>
      <c r="B23198">
        <f>HYPERLINK("https://www.dofusbook.net/fr/equipement/5854946-cha-vol-cha/objets", "link")</f>
        <v/>
      </c>
      <c r="C23198" t="n">
        <v>1</v>
      </c>
      <c r="D23198" t="inlineStr">
        <is>
          <t>Hache du Chalœil; Amulette Volkorne; Anneau Volkorne; Bracelet du Piloztère; Ceinture Volkorne; Casque du Chalœil; Cape du Chalœil; Bottes du Chalœil; Dofus Pourpre; Dofus des Glaces; Dofus Turquoise; Dofus Abyssal; Dolmanax; Dofus Ocre; Kokulte</t>
        </is>
      </c>
    </row>
    <row r="23199">
      <c r="A23199" t="inlineStr">
        <is>
          <t>Meno</t>
        </is>
      </c>
      <c r="B23199">
        <f>HYPERLINK("https://www.dofusbook.net/fr/equipement/5983408-meno/objets", "link")</f>
        <v/>
      </c>
      <c r="C23199" t="n">
        <v>0</v>
      </c>
      <c r="D23199" t="inlineStr">
        <is>
          <t>Épée Brûlâme; Amulette du Strigide; Bracelet Jande; Bracelet du Piloztère; Quatre-feuilles; Ceintacé; Masque du Glourséleste; Cape Aircussion; Bottes Honyme; Dofus Pourpre; Dofus Abyssal; Dofus Ocre; Dofus Turquoise; Vigoureux majeur; Nomade; Kokulte</t>
        </is>
      </c>
    </row>
    <row r="23200">
      <c r="A23200" t="inlineStr">
        <is>
          <t>terre</t>
        </is>
      </c>
      <c r="B23200">
        <f>HYPERLINK("https://www.dofusbook.net/fr/equipement/5960923-terre/objets", "link")</f>
        <v/>
      </c>
      <c r="C23200" t="n">
        <v>0</v>
      </c>
      <c r="D23200" t="inlineStr">
        <is>
          <t>L'Épée Nice; Amulette du Strigide; Bague Gloursonne; Anneau de Brouce; Quatre-feuilles; Ceinture de Brouce; Masque de Koutoulou; Cape au Logis; Baleinabottes; Dofus Abyssal; Dofus Turquoise; Dofus Ocre; Dofus Pourpre; Enragé majeur; Obstructeur majeur; Givrefoux</t>
        </is>
      </c>
    </row>
    <row r="23201">
      <c r="A23201" t="inlineStr">
        <is>
          <t>Eniripsa F 200</t>
        </is>
      </c>
      <c r="B23201">
        <f>HYPERLINK("https://www.dofusbook.net/fr/equipement/5942809-eniripsa-f-200/objets", "link")</f>
        <v/>
      </c>
      <c r="C23201" t="n">
        <v>0</v>
      </c>
      <c r="D23201" t="inlineStr">
        <is>
          <t>Arc corrompu; Amulette Séculaire; Anneauræus; Bague Gloursonne; Quatre-feuilles; Ceinture Séculaire; Heaume Oplate; Voile d'encre; Bottes d'Otomaï; Dofus Ocre; Dofus Pourpre; Dofus Turquoise; Érudit majeur; Nomade; Guérisseur majeur; Bisouglours</t>
        </is>
      </c>
    </row>
    <row r="23202">
      <c r="A23202" t="inlineStr">
        <is>
          <t>Pandawa M 200</t>
        </is>
      </c>
      <c r="B23202">
        <f>HYPERLINK("https://www.dofusbook.net/fr/equipement/5817173-pandawa-m-200/objets", "link")</f>
        <v/>
      </c>
      <c r="C23202" t="n">
        <v>2</v>
      </c>
      <c r="D23202" t="inlineStr">
        <is>
          <t>Rouleau à Pâtisserie d'Aermyne; Collier Rophante; Alliance Gloursonne; Bague Trithon; Sept ans de malheur; Ceinture de Kongoku; Masque d'Anerice; Cape d'Anerice; Pataugastrique; Dofus Émeraude; Dofus Abyssal; Nomade; Obstructeur majeur; Remueur; Miraculé majeur; Givrefoux</t>
        </is>
      </c>
    </row>
    <row r="23203">
      <c r="A23203" t="inlineStr">
        <is>
          <t>Ecaflip F 200</t>
        </is>
      </c>
      <c r="B23203">
        <f>HYPERLINK("https://www.dofusbook.net/fr/equipement/5812025-ecaflip-f-200/objets", "link")</f>
        <v/>
      </c>
      <c r="C23203" t="n">
        <v>25</v>
      </c>
      <c r="D23203" t="inlineStr">
        <is>
          <t>Hache du Chalœil; Amulette Volkorne; Anneau Volkorne; Bracelet du Piloztère; Bouclier Taverne; Ceinture Volkorne; Casque du Chalœil; Cape du Chalœil; Bottes du Chalœil; Dofus Turquoise; Dofus Abyssal; Dolmanax; Dofus Ocre; Dofus Pourpre; Dofus des Glaces; Kokulte</t>
        </is>
      </c>
    </row>
    <row r="23204">
      <c r="A23204" t="inlineStr">
        <is>
          <t>Iop F 200</t>
        </is>
      </c>
      <c r="B23204">
        <f>HYPERLINK("https://www.dofusbook.net/fr/equipement/5705316-iop-f-200/objets", "link")</f>
        <v/>
      </c>
      <c r="C23204" t="n">
        <v>0</v>
      </c>
      <c r="D23204" t="inlineStr">
        <is>
          <t>Héqache; Amulette du Strigide; Bague Gloursonne; Alliance Gloursonne; Bouclier Taverne; Ceinture du Strigide; Corne de Torkélonia; Carapace de Torkélonia; Bottes du Strigide; Dolmanax; Dofus Turquoise; Dofus Ocre; Dofus Pourpre; Dofus Abyssal; Voyageur; Fëanor</t>
        </is>
      </c>
    </row>
    <row r="23205">
      <c r="A23205" t="inlineStr">
        <is>
          <t>Crâ F 200</t>
        </is>
      </c>
      <c r="B23205">
        <f>HYPERLINK("https://www.dofusbook.net/fr/equipement/5641012-cra-f-200/objets", "link")</f>
        <v/>
      </c>
      <c r="C23205" t="n">
        <v>6</v>
      </c>
      <c r="D23205" t="inlineStr">
        <is>
          <t>Arc Volkorne; Amulette Volkorne; Bracelet du Piloztère; Anneau Volkorne; Quatre-feuilles; Ceinture Volkorne; Casque du Chalœil; Cape du Chalœil; Bottes du Chalœil; Dolmanax; Dofus Ocre; Dofus Pourpre; Dofus Nébuleux; Dofus Turquoise; Dofus des Glaces; Fëanor</t>
        </is>
      </c>
    </row>
    <row r="23206">
      <c r="A23206" t="inlineStr">
        <is>
          <t>Enutrof M 200</t>
        </is>
      </c>
      <c r="B23206">
        <f>HYPERLINK("https://www.dofusbook.net/fr/equipement/3849155-enutrof-m-200/objets", "link")</f>
        <v/>
      </c>
      <c r="C23206" t="n">
        <v>0</v>
      </c>
      <c r="D23206" t="inlineStr"/>
    </row>
    <row r="23207">
      <c r="A23207" t="inlineStr">
        <is>
          <t>Enutrof M 200</t>
        </is>
      </c>
      <c r="B23207">
        <f>HYPERLINK("https://www.dofusbook.net/fr/equipement/3359142-enutrof-m-200/objets", "link")</f>
        <v/>
      </c>
      <c r="C23207" t="n">
        <v>0</v>
      </c>
      <c r="D23207" t="inlineStr">
        <is>
          <t>Hache du Chalœil; Amulette du Strigide; Alliance du Lévitrof; Bracelet du Piloztère; Bouclier cubiste; Ceintacé; Casque du Chalœil; Voile d'encre; Bottes du Chalœil; Dofus Pourpre; Dofus Turquoise; Dolmanax; Vigoureux majeur; Muldo Prune et Emeraude</t>
        </is>
      </c>
    </row>
    <row r="23208">
      <c r="A23208" t="inlineStr">
        <is>
          <t>Enutrof M 200</t>
        </is>
      </c>
      <c r="B23208">
        <f>HYPERLINK("https://www.dofusbook.net/fr/equipement/3359092-enutrof-m-200/objets", "link")</f>
        <v/>
      </c>
      <c r="C23208" t="n">
        <v>0</v>
      </c>
      <c r="D23208" t="inlineStr">
        <is>
          <t>Amulette de l'Œil Attentif</t>
        </is>
      </c>
    </row>
    <row r="23209">
      <c r="A23209" t="inlineStr">
        <is>
          <t>Crâ M 200</t>
        </is>
      </c>
      <c r="B23209">
        <f>HYPERLINK("https://www.dofusbook.net/fr/equipement/3358792-cra-m-200/objets", "link")</f>
        <v/>
      </c>
      <c r="C23209" t="n">
        <v>3</v>
      </c>
      <c r="D23209" t="inlineStr">
        <is>
          <t>Amulette Ementaire Deluxe; Chapeau Lisson</t>
        </is>
      </c>
    </row>
    <row r="23210">
      <c r="A23210" t="inlineStr">
        <is>
          <t>teamterre</t>
        </is>
      </c>
      <c r="B23210">
        <f>HYPERLINK("https://www.dofusbook.net/fr/equipement/2277119-teamterre/objets", "link")</f>
        <v/>
      </c>
      <c r="C23210" t="n">
        <v>0</v>
      </c>
      <c r="D23210" t="inlineStr">
        <is>
          <t>Bêche Asse; Amulette Héroclite; Anneau de Brouce; Gelano; Bouclier Taverne; Ceinture de Brouce; Casque de Missiz Frizz; Cape au Logis; Sabots Minables; Furibond majeur; Vigoureux majeur; Remueur; Enragé majeur; Miraculé; Miraculé majeur; Muldo Prune et Emeraude</t>
        </is>
      </c>
    </row>
    <row r="23211">
      <c r="A23211" t="inlineStr">
        <is>
          <t>fullforce</t>
        </is>
      </c>
      <c r="B23211">
        <f>HYPERLINK("https://www.dofusbook.net/fr/equipement/2256001-fullforce/objets", "link")</f>
        <v/>
      </c>
      <c r="C23211" t="n">
        <v>0</v>
      </c>
      <c r="D23211" t="inlineStr">
        <is>
          <t>Bêche Asse; Amulette Héroclite; Bague Gloursonne; Gelano; Ceinture du Glourséleste; Casque de Missiz Frizz; Cape du Professeur Xa; Bottes de Brouce; Dofus Turquoise; Remueur; Enragé majeur; Nomade; Turbulent; Forcené majeur; Muldo Prune et Emeraude</t>
        </is>
      </c>
    </row>
    <row r="23212">
      <c r="A23212" t="inlineStr">
        <is>
          <t>popo</t>
        </is>
      </c>
      <c r="B23212">
        <f>HYPERLINK("https://www.dofusbook.net/fr/equipement/1893083-popo/objets", "link")</f>
        <v/>
      </c>
      <c r="C23212" t="n">
        <v>0</v>
      </c>
      <c r="D23212" t="inlineStr">
        <is>
          <t>Arc corrompu; Pendentif affamé; Anneau Tamie; Anneau Tamie; Quatre-feuilles; Sangle Aise; Cagoule de Vortex; Cape de Diondin; Sabots de Vortex; Dofus Nébuleux; Dofus Pourpre; Dofus Turquoise; Nomade; Remueur; Érudit majeur; Muldo Prune et Emeraude</t>
        </is>
      </c>
    </row>
    <row r="23213">
      <c r="A23213" t="inlineStr">
        <is>
          <t>deux cent</t>
        </is>
      </c>
      <c r="B23213">
        <f>HYPERLINK("https://www.dofusbook.net/fr/equipement/2268417-deux-cent/objets", "link")</f>
        <v/>
      </c>
      <c r="C23213" t="n">
        <v>0</v>
      </c>
      <c r="D23213" t="inlineStr">
        <is>
          <t>Épouvante; Amulette Luminescente; Bague Trithon; Bague Instable; Ceinture Luminescente; Masque Trithon; Cape Luminescente; Bottes Trithon; Dofus Ocre; Dofus Pourpre; Dofus Nébuleux; Dofus Turquoise; Bousculeur majeur; Pousseur majeur; Muldo Prune et Emeraude</t>
        </is>
      </c>
    </row>
    <row r="23214">
      <c r="A23214" t="inlineStr">
        <is>
          <t>nobrain</t>
        </is>
      </c>
      <c r="B23214">
        <f>HYPERLINK("https://www.dofusbook.net/fr/equipement/2257989-nobrain/objets", "link")</f>
        <v/>
      </c>
      <c r="C23214" t="n">
        <v>0</v>
      </c>
      <c r="D23214" t="inlineStr">
        <is>
          <t>Arc de Koutoulou; Amulette Voldelor; Alliance Gloursonne; Bracelet du Piloztère; Ceinture Voldelor; Némès de Tal Kasha; Chevelure de Tal Kasha; Sandales de Tal Kasha; Dolmanax; Dofus Ocre; Dofus Pourpre; Dofus Nébuleux; Dofus Abyssal; Dofus Turquoise; Muldo Prune et Emeraude</t>
        </is>
      </c>
    </row>
    <row r="23215">
      <c r="A23215" t="inlineStr">
        <is>
          <t>pvmeau/air</t>
        </is>
      </c>
      <c r="B23215">
        <f>HYPERLINK("https://www.dofusbook.net/fr/equipement/2257933-pvmeau-air/objets", "link")</f>
        <v/>
      </c>
      <c r="C23215" t="n">
        <v>0</v>
      </c>
      <c r="D23215" t="inlineStr">
        <is>
          <t>Marteau des Anciens Steamers; Pendentif Oton; Gelano; Alliance Gloursonne; Bouclier Taverne; Ceinture d'Ogivol; Coiffe d'Hel Munster; Cape Tif; Chaussures Face; Dofus Cawotte; Nomade; Cascadeur majeur; Remueur; Vigoureux majeur; Chanceux majeur; Dragoune Rose</t>
        </is>
      </c>
    </row>
    <row r="23216">
      <c r="A23216" t="inlineStr">
        <is>
          <t>feu/pmv</t>
        </is>
      </c>
      <c r="B23216">
        <f>HYPERLINK("https://www.dofusbook.net/fr/equipement/2257376-feu-pmv/objets", "link")</f>
        <v/>
      </c>
      <c r="C23216" t="n">
        <v>0</v>
      </c>
      <c r="D23216" t="inlineStr">
        <is>
          <t>Arc Hétype; Pendentif affamé; Anneau de Nidas; Anneau de Padgref; Ceinture Séculaire; Coiffe Séculaire; Cape de Diondin; Pataugastrique; Dofus Turquoise; Miraculé majeur; Remueur; Érudit majeur; Nomade; Guérisseur majeur; Muldo Prune et Emeraude</t>
        </is>
      </c>
    </row>
    <row r="23217">
      <c r="A23217" t="inlineStr">
        <is>
          <t>pppppppppo</t>
        </is>
      </c>
      <c r="B23217">
        <f>HYPERLINK("https://www.dofusbook.net/fr/equipement/2147827-pppppppppo/objets", "link")</f>
        <v/>
      </c>
      <c r="C23217" t="n">
        <v>0</v>
      </c>
      <c r="D23217" t="inlineStr">
        <is>
          <t>Sabres d'Atcham; Amulette du Strigide; Alliance Gloursonne; Bague Gloursonne; Ceinture du Strigide; Chapeau Lisson; Cape d'Atcham; Sandales  d'Atcham; Dofus Ocre; Dofus Turquoise; Dofus Vulbis; Dofus des Glaces; Dofus Pourpre; Paralyseur majeur; Kramkram</t>
        </is>
      </c>
    </row>
    <row r="23218">
      <c r="A23218" t="inlineStr">
        <is>
          <t>ppp</t>
        </is>
      </c>
      <c r="B23218">
        <f>HYPERLINK("https://www.dofusbook.net/fr/equipement/2219190-ppp/objets", "link")</f>
        <v/>
      </c>
      <c r="C23218" t="n">
        <v>0</v>
      </c>
      <c r="D23218" t="inlineStr">
        <is>
          <t>Héqache; Amulette du Strigide; Anneau de la Fuji Givrefoux; Bracelet du Piloztère; Ceinture du Strigide; Coiffe de la Fuji Givrefoux; Cape de la Fuji Givrefoux; Bottes de la Fuji Givrefoux; Dofus Ocre; Dofus des Glaces; Dolmanax; Dofus Nébuleux; Dofus Pourpre; Kramkram</t>
        </is>
      </c>
    </row>
    <row r="23219">
      <c r="A23219" t="inlineStr">
        <is>
          <t>gfds</t>
        </is>
      </c>
      <c r="B23219">
        <f>HYPERLINK("https://www.dofusbook.net/fr/equipement/1785135-gfds/objets", "link")</f>
        <v/>
      </c>
      <c r="C23219" t="n">
        <v>0</v>
      </c>
      <c r="D23219" t="inlineStr">
        <is>
          <t>Arc de Guten Tak; Amulette Cætera; Anneau Tabéné; Anneau du Meulou; Quatre-feuilles; Ceinture Bine; Coiffe d'Ogivol; Cape d'Ogivol; Grésilobottes; Dofus Turquoise; Temporiseur majeur; Remueur; Vigoureux majeur; Entraveur majeur; Nomade; Muldo Prune et Emeraude</t>
        </is>
      </c>
    </row>
    <row r="23220">
      <c r="A23220" t="inlineStr">
        <is>
          <t>feu eau</t>
        </is>
      </c>
      <c r="B23220">
        <f>HYPERLINK("https://www.dofusbook.net/fr/equipement/2202143-feu-eau/objets", "link")</f>
        <v/>
      </c>
      <c r="C23220" t="n">
        <v>0</v>
      </c>
      <c r="D23220" t="inlineStr">
        <is>
          <t>Épée Brûlâme; Amulette de l'Œil Putride; Bracelet du Piloztère; Anneau Tique; Bouclier du Captain Amakna; Ceinture de l'Esprit Malsain; Capuche de l'Œil Putride; Cape de l'Œil Putride; Bottes de l'Esprit Malsain; Dofus Turquoise; Dofus Pourpre; Dofus Nébuleux; Dofus Abyssal; Dofus Ocre; Dofus Vulbis</t>
        </is>
      </c>
    </row>
    <row r="23221">
      <c r="A23221" t="inlineStr">
        <is>
          <t>brn</t>
        </is>
      </c>
      <c r="B23221">
        <f>HYPERLINK("https://www.dofusbook.net/fr/equipement/2136954-brn/objets", "link")</f>
        <v/>
      </c>
      <c r="C23221" t="n">
        <v>0</v>
      </c>
      <c r="D23221" t="inlineStr">
        <is>
          <t>Marteau Reine; Amulette du Strigide; Bracelet du Piloztère; Alliance Brûlâme; Ceinture du Strigide; Masque Brûlâme; Voile d'encre; Pompes Funèbres; Dofus Nébuleux; Dofus Turquoise; Dofus Ocre; Dolmanax; Dofus des Glaces; Dofus Pourpre; Muldo Prune et Emeraude</t>
        </is>
      </c>
    </row>
    <row r="23222">
      <c r="A23222" t="inlineStr">
        <is>
          <t>zobal</t>
        </is>
      </c>
      <c r="B23222">
        <f>HYPERLINK("https://www.dofusbook.net/fr/equipement/1874247-zobal/objets", "link")</f>
        <v/>
      </c>
      <c r="C23222" t="n">
        <v>0</v>
      </c>
      <c r="D23222" t="inlineStr">
        <is>
          <t>Hache du Guerrier Zoth; Amulette du Père Phorreur; Gelano; Anneau du Meulou; String Automnal du Chêne Mou; Masque du Nowel Cauchemardesque; Cape du Mansot Royal; Bottines en bois d'abrakleur; Dofus Cawotte; Miraculé majeur; Nomade; Remueur; Vigoureux majeur; Enragé majeur</t>
        </is>
      </c>
    </row>
    <row r="23223">
      <c r="A23223" t="inlineStr">
        <is>
          <t>iopzozo</t>
        </is>
      </c>
      <c r="B23223">
        <f>HYPERLINK("https://www.dofusbook.net/fr/equipement/2089483-iopzozo/objets", "link")</f>
        <v/>
      </c>
      <c r="C23223" t="n">
        <v>0</v>
      </c>
      <c r="D23223" t="inlineStr">
        <is>
          <t>Griffe Rose; Amulette du Krokilleur; Anneau Ancestral; Gelano; Ceinture du Pounicheur; Abracaska Ancestral; Raquettes Dugraal; Turbulent; Nomade; Remueur; Robuste; Enragé</t>
        </is>
      </c>
    </row>
    <row r="23224">
      <c r="A23224" t="inlineStr">
        <is>
          <t>blp</t>
        </is>
      </c>
      <c r="B23224">
        <f>HYPERLINK("https://www.dofusbook.net/fr/equipement/2084987-blp/objets", "link")</f>
        <v/>
      </c>
      <c r="C23224" t="n">
        <v>0</v>
      </c>
      <c r="D23224" t="inlineStr">
        <is>
          <t>Marteau M'Pouce; Médaille Kido; Alliance d'Elya Wood; Gelano; Xénature; Coiffe du Royalmouth; Ortiz; Bottes du Royalmouth; Dolmanax; Nomade; Remueur; Dévastateur Feu; Érudit; Dragoune Rose</t>
        </is>
      </c>
    </row>
    <row r="23225">
      <c r="A23225" t="inlineStr">
        <is>
          <t>gfhdfg</t>
        </is>
      </c>
      <c r="B23225">
        <f>HYPERLINK("https://www.dofusbook.net/fr/equipement/1868292-gfhdfg/objets", "link")</f>
        <v/>
      </c>
      <c r="C23225" t="n">
        <v>0</v>
      </c>
      <c r="D23225" t="inlineStr">
        <is>
          <t>Sabres d'Atcham; Amulette du Strigide; Bracelet du Piloztère; Anneau de Padgref; Ceinture du Strigide; Coiffe de Padgref; Cape d'Atcham; Getas de Padgref; Dofus Ocre; Dofus des Glaces; Dofus Nébuleux; Dofus Pourpre; Dolmanax; Dofus Turquoise; Muldo Prune et Emeraude</t>
        </is>
      </c>
    </row>
    <row r="23226">
      <c r="A23226" t="inlineStr">
        <is>
          <t>dqd</t>
        </is>
      </c>
      <c r="B23226">
        <f>HYPERLINK("https://www.dofusbook.net/fr/equipement/1894787-dqd/objets", "link")</f>
        <v/>
      </c>
      <c r="C23226" t="n">
        <v>0</v>
      </c>
      <c r="D23226" t="inlineStr">
        <is>
          <t>Dagues Érhy; Amulette du Strigide; Bague Gloursonne; Bracelet du Piloztère; Ceinture du Strigide; Chapeau Lisson; Voile d'encre; Bottes du Katcheur; Dofus Turquoise; Dofus Pourpre; Vigoureux majeur; Remueur; Miraculé majeur; Nomade; Muldo Orchidée et Pourpre</t>
        </is>
      </c>
    </row>
    <row r="23227">
      <c r="A23227" t="inlineStr">
        <is>
          <t>oui</t>
        </is>
      </c>
      <c r="B23227">
        <f>HYPERLINK("https://www.dofusbook.net/fr/equipement/1893563-oui/objets", "link")</f>
        <v/>
      </c>
      <c r="C23227" t="n">
        <v>0</v>
      </c>
      <c r="D23227" t="inlineStr">
        <is>
          <t>Épouvante; Amulette du Strigide; Bague Gloursonne; Bracelet du Piloztère; Ceintacé; Casque du Chalœil; Cape des Justiciers; Pantoufles du Piloztère; Dofus Pourpre; Dofus Turquoise; Remueur; Vigoureux majeur; Carapace Feu majeur; Nomade; Dragodinde en armure</t>
        </is>
      </c>
    </row>
    <row r="23228">
      <c r="A23228" t="inlineStr">
        <is>
          <t>multi</t>
        </is>
      </c>
      <c r="B23228">
        <f>HYPERLINK("https://www.dofusbook.net/fr/equipement/1900888-multi/objets", "link")</f>
        <v/>
      </c>
      <c r="C23228" t="n">
        <v>0</v>
      </c>
      <c r="D23228" t="inlineStr">
        <is>
          <t>Arc Nécrotique; Talisman Igans; Bracelet du Piloztère; Bague Gloursonne; Ceintrigue; Kidibonnet; Cape de la Dame du Hasard; Pataugastrique; Dofus Pourpre; Dofus Turquoise; Carapace Feu majeur; Remueur; Vigoureux majeur; Observateur; Muldo Indigo et Orchidée</t>
        </is>
      </c>
    </row>
    <row r="23229">
      <c r="A23229" t="inlineStr">
        <is>
          <t>pop</t>
        </is>
      </c>
      <c r="B23229">
        <f>HYPERLINK("https://www.dofusbook.net/fr/equipement/1855290-pop/objets", "link")</f>
        <v/>
      </c>
      <c r="C23229" t="n">
        <v>0</v>
      </c>
      <c r="D23229" t="inlineStr">
        <is>
          <t>Hachoirs de Viandargh; Amulette Hendart; Alliance Gloursonne; Anneau d'Allister; Ceinture Rasboulaire du Rasboul; Couronne d'Allister; Cape de Klime; Pantoufles Émar; Érudit majeur; Acrobate majeur; Nomade; Miraculé majeur; Remueur; Cascadeur majeur; Péki</t>
        </is>
      </c>
    </row>
    <row r="23230">
      <c r="A23230" t="inlineStr">
        <is>
          <t>nbhj</t>
        </is>
      </c>
      <c r="B23230">
        <f>HYPERLINK("https://www.dofusbook.net/fr/equipement/1853868-nbhj/objets", "link")</f>
        <v/>
      </c>
      <c r="C23230" t="n">
        <v>0</v>
      </c>
      <c r="D23230" t="inlineStr">
        <is>
          <t>Hache du Korriandre; Amulette d'Hel Munster; Cape d'Hel Munster; Chanceux majeur; Remueur; Cascadeur majeur; Nomade; Vigoureux majeur; Dragodinde Prune et Emeraude</t>
        </is>
      </c>
    </row>
    <row r="23231">
      <c r="A23231" t="inlineStr">
        <is>
          <t>sdsd</t>
        </is>
      </c>
      <c r="B23231">
        <f>HYPERLINK("https://www.dofusbook.net/fr/equipement/1784911-sdsd/objets", "link")</f>
        <v/>
      </c>
      <c r="C23231" t="n">
        <v>0</v>
      </c>
      <c r="D23231" t="inlineStr">
        <is>
          <t>Épée d'Otomaï; Amulette d'Otomaï; Anneau Aimgéroks; Alliance Boletée; String Tue-Mouche; Chapeau Lochon; Capignon; Bottes d'Otomaï; Examinateur; Soigneur majeur; Astucieux majeur; Ravageur Feu majeur; Survivant majeur; Savant majeur; Dragodinde Prune et Emeraude</t>
        </is>
      </c>
    </row>
    <row r="23232">
      <c r="A23232" t="inlineStr">
        <is>
          <t>terre</t>
        </is>
      </c>
      <c r="B23232">
        <f>HYPERLINK("https://www.dofusbook.net/fr/equipement/2688794-terre/objets", "link")</f>
        <v/>
      </c>
      <c r="C23232" t="n">
        <v>8</v>
      </c>
      <c r="D23232" t="inlineStr">
        <is>
          <t>Marteau R'ture; Collier de Tourthon; Anneau de Brouce; Bague Gloursonne; Cadran d'Eau; Ceinture de Brouce; Corne de Torkélonia; Cape au Logis; Bottes de Brouce; Dofus Ébène; Dofus Ocre; Dofus Ivoire; Dofus Turquoise; Dofus Pourpre; Dolmanax; Chienchien Tigré</t>
        </is>
      </c>
    </row>
    <row r="23233">
      <c r="A23233" t="inlineStr">
        <is>
          <t>zob do pou</t>
        </is>
      </c>
      <c r="B23233">
        <f>HYPERLINK("https://www.dofusbook.net/fr/equipement/5825631-zob-do-pou/objets", "link")</f>
        <v/>
      </c>
      <c r="C23233" t="n">
        <v>0</v>
      </c>
      <c r="D23233" t="inlineStr">
        <is>
          <t>Arc du Chalœil; Torquistik; Anneau du Professeur Xa; Bague Trithon; Bouclier précieux; Ceintacé; Casque Dragoeuf; Cape Solution; Bottistik; Dofus Ivoire; Pousseur majeur; Bousculeur majeur; Bousculeur; Culbuteur majeur; Culbuteur; Tatouf</t>
        </is>
      </c>
    </row>
    <row r="23234">
      <c r="A23234" t="inlineStr">
        <is>
          <t>feu pvm</t>
        </is>
      </c>
      <c r="B23234">
        <f>HYPERLINK("https://www.dofusbook.net/fr/equipement/4654505-feu-pvm/objets", "link")</f>
        <v/>
      </c>
      <c r="C23234" t="n">
        <v>7</v>
      </c>
      <c r="D23234" t="inlineStr">
        <is>
          <t>Arc corrompu; Amulette Volkorne; Anneauræus; Anneauræus; Quatre-feuilles; Ceinture Volkorne; Coiffe Séculaire; Cape de Diondin; Bottes Innommables; Dofus Ivoire; Dofus Vulbis; Dofus Pourpre; Dofus Ébène; Dofus Ocre; Érudit majeur; Dragodinde Ivoire et Orchidée</t>
        </is>
      </c>
    </row>
    <row r="23235">
      <c r="A23235" t="inlineStr">
        <is>
          <t>feu</t>
        </is>
      </c>
      <c r="B23235">
        <f>HYPERLINK("https://www.dofusbook.net/fr/equipement/5425563-feu/objets", "link")</f>
        <v/>
      </c>
      <c r="C23235" t="n">
        <v>0</v>
      </c>
      <c r="D23235" t="inlineStr">
        <is>
          <t>Arc corrompu; Amulette Séculaire; Anneauræus; Anneauræus; Bouclier du Stalak; Ceinture Séculaire; Heaume Oplate; Cape de Diondin; Bottes Innommables; Dofus Ivoire; Dofus Pourpre; Dofus Ébène; Dofus Abyssal; Érudit majeur; Nomade; Dragodinde Ivoire et Orchidée</t>
        </is>
      </c>
    </row>
    <row r="23236">
      <c r="A23236" t="inlineStr">
        <is>
          <t>air</t>
        </is>
      </c>
      <c r="B23236">
        <f>HYPERLINK("https://www.dofusbook.net/fr/equipement/3868424-air/objets", "link")</f>
        <v/>
      </c>
      <c r="C23236" t="n">
        <v>2</v>
      </c>
      <c r="D23236" t="inlineStr">
        <is>
          <t>Manthache; Collier du Valet Veinard; Alliance Gloursonne; Gant du Valet Veinard; Bouclier Taverne; Menoture; Casque Volkorne; Cape Indescriptible; Palmes Trithons; Dofus Ocre; Dofus Ivoire; Dolmanax; Nomade; Cascadeur majeur; Carapace Air majeur; Dragodinde Ebène et Ivoire</t>
        </is>
      </c>
    </row>
    <row r="23237">
      <c r="A23237" t="inlineStr">
        <is>
          <t>rox</t>
        </is>
      </c>
      <c r="B23237">
        <f>HYPERLINK("https://www.dofusbook.net/fr/equipement/5146053-rox/objets", "link")</f>
        <v/>
      </c>
      <c r="C23237" t="n">
        <v>0</v>
      </c>
      <c r="D23237" t="inlineStr">
        <is>
          <t>Marteau R'ture; Amulette du Strigide; Chevalière du Roi Joueur; Bague Gloursonne; Cadran d'Eau; Ceinture du Strigide; Casque de Missiz Frizz; Cape au Logis; Bottes Honyme; Dofus Pourpre; Dofus Turquoise; Dofus Ocre; Dofus Ivoire; Enragé majeur; Carapace Terre majeur; Dragodinde Ivoire et Pourpre</t>
        </is>
      </c>
    </row>
    <row r="23238">
      <c r="A23238" t="inlineStr">
        <is>
          <t>eau ret pa</t>
        </is>
      </c>
      <c r="B23238">
        <f>HYPERLINK("https://www.dofusbook.net/fr/equipement/3978939-eau-ret-pa/objets", "link")</f>
        <v/>
      </c>
      <c r="C23238" t="n">
        <v>0</v>
      </c>
      <c r="D23238" t="inlineStr">
        <is>
          <t>Dagoulinantes; Amulette de Shokkoth; Alliance Gloursonne; Anneau Volkorne; Sept ans de malheur; Menoture; Casque Dragoeuf; Cape du Sinistrofu; Bottes du Sinistrofu; Dofus Ocre; Dofus Pourpre; Dofus Émeraude; Étourdisseur majeur; Nomade; Chanceux majeur; Bwak de Terre</t>
        </is>
      </c>
    </row>
    <row r="23239">
      <c r="A23239" t="inlineStr">
        <is>
          <t>terre</t>
        </is>
      </c>
      <c r="B23239">
        <f>HYPERLINK("https://www.dofusbook.net/fr/equipement/3171940-terre/objets", "link")</f>
        <v/>
      </c>
      <c r="C23239" t="n">
        <v>5</v>
      </c>
      <c r="D23239" t="inlineStr">
        <is>
          <t>Marteau R'ture; Collier de Tourthon; Anneau de Brouce; Bague Gloursonne; Bouclier Taverne; Ceinture de Brouce; Masque de Koutoulou; Cape au Logis; Bottes Honyme; Dolmanax; Dofus Turquoise; Dofus Pourpre; Dofus Ivoire; Carapace Terre majeur; Enragé majeur; Muldo Pourpre</t>
        </is>
      </c>
    </row>
    <row r="23240">
      <c r="A23240" t="inlineStr">
        <is>
          <t>eau</t>
        </is>
      </c>
      <c r="B23240">
        <f>HYPERLINK("https://www.dofusbook.net/fr/equipement/3995277-eau/objets", "link")</f>
        <v/>
      </c>
      <c r="C23240" t="n">
        <v>2</v>
      </c>
      <c r="D23240" t="inlineStr">
        <is>
          <t>Sceptre du Roi Joueur; Amulette de Shokkoth; Anneau Volkorne; Alliance Gloursonne; Quatre-feuilles; Poulpagne; Masque de Kao; Cape du Sinistrofu; Bottes du Sinistrofu; Dofus Ocre; Dofus Ivoire; Dolmanax; Dofus Pourpre; Nomade; Chanceux majeur; Dragodinde Indigo et Ivoire</t>
        </is>
      </c>
    </row>
    <row r="23241">
      <c r="A23241" t="inlineStr">
        <is>
          <t>terre pvm</t>
        </is>
      </c>
      <c r="B23241">
        <f>HYPERLINK("https://www.dofusbook.net/fr/equipement/4654446-terre-pvm/objets", "link")</f>
        <v/>
      </c>
      <c r="C23241" t="n">
        <v>3</v>
      </c>
      <c r="D23241" t="inlineStr">
        <is>
          <t>Arc du Chalœil; Collier de Tourthon; Bague Gloursonne; Anneau Volkorne; Quatre-feuilles; Ceinture Volkorne; Masque de Koutoulou; Cape au Logis; Sabots Minables; Dofus Ivoire; Dolmanax; Dofus Turquoise; Dofus Pourpre; Enragé majeur; Nomade; Dragodinde Ivoire et Pourpre</t>
        </is>
      </c>
    </row>
    <row r="23242">
      <c r="A23242" t="inlineStr">
        <is>
          <t>eau air</t>
        </is>
      </c>
      <c r="B23242">
        <f>HYPERLINK("https://www.dofusbook.net/fr/equipement/4664220-eau-air/objets", "link")</f>
        <v/>
      </c>
      <c r="C23242" t="n">
        <v>0</v>
      </c>
      <c r="D23242" t="inlineStr">
        <is>
          <t>Arc de Koutoulou; Amulette Voldelor; Alliance Gloursonne; Anneau Volkorne; Quatre-feuilles; Ceinture Voldelor; Casque Volkorne; Cape du Barbétoal; Bottes Voldelor; Dofus Abyssal; Dofus Pourpre; Dofus Turquoise; Dofus Ocre; Dofus Vulbis; Dofus Ivoire; Mini Wa</t>
        </is>
      </c>
    </row>
    <row r="23243">
      <c r="A23243" t="inlineStr">
        <is>
          <t>multi pvm</t>
        </is>
      </c>
      <c r="B23243">
        <f>HYPERLINK("https://www.dofusbook.net/fr/equipement/4654584-multi-pvm/objets", "link")</f>
        <v/>
      </c>
      <c r="C23243" t="n">
        <v>26</v>
      </c>
      <c r="D23243" t="inlineStr">
        <is>
          <t>Hache du Chalœil; Amulette du Strigide; Bracelet du Piloztère; Alliance Gloursonne; Quatre-feuilles; Ceintacé; Casque du Chalœil; Voile d'encre; Bottes du Strigide; Dofus Ocre; Dofus Turquoise; Dofus Pourpre; Enragé majeur; Chanceux majeur; Érudit majeur; Muldo Doré</t>
        </is>
      </c>
    </row>
    <row r="23244">
      <c r="A23244" t="inlineStr">
        <is>
          <t>feu</t>
        </is>
      </c>
      <c r="B23244">
        <f>HYPERLINK("https://www.dofusbook.net/fr/equipement/4175718-feu/objets", "link")</f>
        <v/>
      </c>
      <c r="C23244" t="n">
        <v>5</v>
      </c>
      <c r="D23244" t="inlineStr">
        <is>
          <t>Plumeau Bil; Amulette Séculaire; Bague Gloursonne; Anneauræus; Bouclier du Stalak; Ceinture Séculaire; Couronne du Roi Joueur; Cape de Diondin; Bottes Innommables; Dofus Turquoise; Dofus Pourpre; Dofus Ocre; Vigoureux majeur; Astucieux majeur; Érudit majeur; Muldo Orchidée et Pourpre</t>
        </is>
      </c>
    </row>
    <row r="23245">
      <c r="A23245" t="inlineStr">
        <is>
          <t>full air</t>
        </is>
      </c>
      <c r="B23245">
        <f>HYPERLINK("https://www.dofusbook.net/fr/equipement/4192784-full-air/objets", "link")</f>
        <v/>
      </c>
      <c r="C23245" t="n">
        <v>1</v>
      </c>
      <c r="D23245" t="inlineStr">
        <is>
          <t>Manthache; Collier du Valet Veinard; Anneau d'Allister; Alliance Gloursonne; Bouclier du Stalak; Menoture; Couronne d'Allister; Cape Indescriptible; Palmes Trithons; Dofus Ocre; Dofus Pourpre; Dofus des Glaces; Equilibriste majeur; Cascadeur majeur; Nomade; Siroko</t>
        </is>
      </c>
    </row>
    <row r="23246">
      <c r="A23246" t="inlineStr">
        <is>
          <t>eauu</t>
        </is>
      </c>
      <c r="B23246">
        <f>HYPERLINK("https://www.dofusbook.net/fr/equipement/4192875-eauu/objets", "link")</f>
        <v/>
      </c>
      <c r="C23246" t="n">
        <v>0</v>
      </c>
      <c r="D23246" t="inlineStr">
        <is>
          <t>Sceptre du Roi Joueur; Amulette de Shokkoth; Alliance Gloursonne; Anneau Volkorne; Bouclier d'Ilyzaelle; Poulpagne; Masque des Fonds marins; Cape du Sinistrofu; Bottes du Sinistrofu; Dofus Pourpre; Dofus Ocre; Vigoureux majeur; Nomade; Taquin majeur; Chanceux majeur; Dehluge</t>
        </is>
      </c>
    </row>
    <row r="23247">
      <c r="A23247" t="inlineStr">
        <is>
          <t>air ret pa</t>
        </is>
      </c>
      <c r="B23247">
        <f>HYPERLINK("https://www.dofusbook.net/fr/equipement/297143-air-ret-pa/objets", "link")</f>
        <v/>
      </c>
      <c r="C23247" t="n">
        <v>7</v>
      </c>
      <c r="D23247" t="inlineStr">
        <is>
          <t>Manthache; Amulette de Pol Ouatnos; Gant du Valet Veinard; Alliance Gloursonne; Sept ans de malheur; Menoture; Masque d'Anerice; Cape d'Anerice; Palmes Trithons; Dolmanax; Dofus Ocre; Bastion majeur; Étourdisseur majeur; Cascadeur majeur; Fortification majeure; Koalak Sanguin</t>
        </is>
      </c>
    </row>
    <row r="23248">
      <c r="A23248" t="inlineStr">
        <is>
          <t>terre</t>
        </is>
      </c>
      <c r="B23248">
        <f>HYPERLINK("https://www.dofusbook.net/fr/equipement/3747329-terre/objets", "link")</f>
        <v/>
      </c>
      <c r="C23248" t="n">
        <v>4</v>
      </c>
      <c r="D23248" t="inlineStr">
        <is>
          <t>Arc du Chalœil; Collier de Tourthon; Anneau de Brouce; Bague Gloursonne; Quatre-feuilles; Ceinture Gence; Casque Dragoeuf; Cape au Logis; Bottes de Brouce; Dofus Turquoise; Dolmanax; Dofus Ocre; Dofus Ivoire; Dofus Pourpre; Enragé majeur; Pioute vert</t>
        </is>
      </c>
    </row>
    <row r="23249">
      <c r="A23249" t="inlineStr">
        <is>
          <t>roub feu</t>
        </is>
      </c>
      <c r="B23249">
        <f>HYPERLINK("https://www.dofusbook.net/fr/equipement/3984744-roub-feu/objets", "link")</f>
        <v/>
      </c>
      <c r="C23249" t="n">
        <v>0</v>
      </c>
      <c r="D23249" t="inlineStr">
        <is>
          <t>Pyraguette; Pendentif mignon de Koutoulou; Anneau Rifique; Anneauræus; Bouclier du Stalak; Ceinture Séculaire; Casque Dragoeuf; Cape de Diondin; Bottes Innommables; Dofus Ivoire; Dofus Émeraude; Dofus des Glaces; Érudit majeur; Nomade; Remueur; Bisouglours</t>
        </is>
      </c>
    </row>
    <row r="23250">
      <c r="A23250" t="inlineStr">
        <is>
          <t>roublard</t>
        </is>
      </c>
      <c r="B23250">
        <f>HYPERLINK("https://www.dofusbook.net/fr/equipement/3984516-roublard/objets", "link")</f>
        <v/>
      </c>
      <c r="C23250" t="n">
        <v>0</v>
      </c>
      <c r="D23250" t="inlineStr">
        <is>
          <t>Lav'Hache; Collier de Tourthon; Anneau de Brouce; Anneau Volkorne; Bouclier du Stalak; Ceinture Volkorne; Masque de Koutoulou; Cape au Logis; Sabots Minables; Dofus Ivoire; Dofus des Glaces; Dofus Pourpre; Enragé majeur; Dévastateur Terre majeur; Carapace Terre majeur; Bulbisou</t>
        </is>
      </c>
    </row>
    <row r="23251">
      <c r="A23251" t="inlineStr">
        <is>
          <t>Xélor M 200</t>
        </is>
      </c>
      <c r="B23251">
        <f>HYPERLINK("https://www.dofusbook.net/fr/equipement/3978960-xelor-m-200/objets", "link")</f>
        <v/>
      </c>
      <c r="C23251" t="n">
        <v>1</v>
      </c>
      <c r="D23251" t="inlineStr">
        <is>
          <t>Arc de Koutoulou; Amulette Voldelor; Alliance Gloursonne; Anneau Tique; Sept ans de malheur; Menoture; Némès de Tal Kasha; Cape Solution; Sandales de Tal Kasha; Dofus Pourpre; Dolmanax; Cascadeur majeur; Chanceux majeur; Étourdisseur majeur; Nomade; Dragodinde Ebène et Indigo</t>
        </is>
      </c>
    </row>
    <row r="23252">
      <c r="A23252" t="inlineStr">
        <is>
          <t>Xélor M 200</t>
        </is>
      </c>
      <c r="B23252">
        <f>HYPERLINK("https://www.dofusbook.net/fr/equipement/3849894-xelor-m-200/objets", "link")</f>
        <v/>
      </c>
      <c r="C23252" t="n">
        <v>0</v>
      </c>
      <c r="D23252" t="inlineStr">
        <is>
          <t>Baguette des égarés; Amulette de Shokkoth; Anneau en Grithril; Anneau Volkorne; Quatre-feuilles; Ceinture Volkorne; Masque de Koutoulou; Cape Luminescente; Chaussons de Macrab; Dofus Ivoire; Dolmanax; Dofus Pourpre; Chanceux majeur; Nomade; Enragé majeur; Dragodinde Indigo et Pourpre</t>
        </is>
      </c>
    </row>
    <row r="23253">
      <c r="A23253" t="inlineStr">
        <is>
          <t>eau air</t>
        </is>
      </c>
      <c r="B23253">
        <f>HYPERLINK("https://www.dofusbook.net/fr/equipement/3755452-eau-air/objets", "link")</f>
        <v/>
      </c>
      <c r="C23253" t="n">
        <v>0</v>
      </c>
      <c r="D23253" t="inlineStr">
        <is>
          <t>Arc de Koutoulou; Amulette d'Ilyzaelle; Alliance Gloursonne; Anneau Volkorne; Bouclier du Stalak; Menoture; Casque Volkorne; Cape Solution; Palmes Trithons; Dofus Pourpre; Dofus Ivoire; Dolmanax; Cascadeur majeur; Chanceux majeur; Nomade; Dragodinde Ebène et Indigo</t>
        </is>
      </c>
    </row>
    <row r="23254">
      <c r="A23254" t="inlineStr">
        <is>
          <t>terre feu</t>
        </is>
      </c>
      <c r="B23254">
        <f>HYPERLINK("https://www.dofusbook.net/fr/equipement/3746869-terre-feu/objets", "link")</f>
        <v/>
      </c>
      <c r="C23254" t="n">
        <v>0</v>
      </c>
      <c r="D23254" t="inlineStr">
        <is>
          <t>Arc corrompu; Amulette Volkorne; Bague Gloursonne; Chevalière du Roi Joueur; Bouclier du Stalak; Ceinture Volkorne; Masque de Koutoulou; Voile d'encre; Bottes Honyme; Dolmanax; Dofus Ivoire; Dofus Pourpre; Dofus des Glaces; Nomade; Vigoureux majeur; Dragodinde Orchidée et Pourpre</t>
        </is>
      </c>
    </row>
    <row r="23255">
      <c r="A23255" t="inlineStr">
        <is>
          <t>terre air</t>
        </is>
      </c>
      <c r="B23255">
        <f>HYPERLINK("https://www.dofusbook.net/fr/equipement/3746436-terre-air/objets", "link")</f>
        <v/>
      </c>
      <c r="C23255" t="n">
        <v>0</v>
      </c>
      <c r="D23255" t="inlineStr">
        <is>
          <t>Héqache; Collier de Tourthon; Alliance Brûlâme; Bague Gloursonne; Bouclier du Stalak; Ceinture Volkorne; Casque Volkorne; Cape du Cœur Vaillant; Baleinabottes; Dolmanax; Dofus Pourpre; Dofus Ocre; Dofus des Glaces; Dofus Ivoire; Nomade; Dragodinde Ebène et Pourpre</t>
        </is>
      </c>
    </row>
    <row r="23256">
      <c r="A23256" t="inlineStr">
        <is>
          <t>multi do</t>
        </is>
      </c>
      <c r="B23256">
        <f>HYPERLINK("https://www.dofusbook.net/fr/equipement/3690817-multi-do/objets", "link")</f>
        <v/>
      </c>
      <c r="C23256" t="n">
        <v>9</v>
      </c>
      <c r="D23256" t="inlineStr">
        <is>
          <t>Dagues Érhy; Amulette de l'Indicible; Alliance Brûlâme; Alliance Gloursonne; Bouclier du Stalak; Ceinture de l'Indicible; Casque Dragoeuf; Cape du Chalœil; Bottes Honyme; Dofus Ivoire; Dofus Ocre; Dolmanax; Dofus des Glaces; Sanguinaire majeur; Nomade; Dragodinde Prune et Ivoire</t>
        </is>
      </c>
    </row>
    <row r="23257">
      <c r="A23257" t="inlineStr">
        <is>
          <t>sadi eau pvm</t>
        </is>
      </c>
      <c r="B23257">
        <f>HYPERLINK("https://www.dofusbook.net/fr/equipement/3737975-sadi-eau-pvm/objets", "link")</f>
        <v/>
      </c>
      <c r="C23257" t="n">
        <v>0</v>
      </c>
      <c r="D23257" t="inlineStr">
        <is>
          <t>Dagoulinantes; Amulette de Shokkoth; Bracelet des Fonds marins; Alliance Gloursonne; Bouclier du Stalak; Poulpagne; Kidibonnet; Cape Solution; Sandales des Fonds marins; Dofus Turquoise; Dofus des Glaces; Dofus Pourpre; Chanceux majeur; Nomade; Vigoureux majeur; Dragodinde Indigo et Ivoire</t>
        </is>
      </c>
    </row>
    <row r="23258">
      <c r="A23258" t="inlineStr">
        <is>
          <t>dws</t>
        </is>
      </c>
      <c r="B23258">
        <f>HYPERLINK("https://www.dofusbook.net/fr/equipement/3530034-dws/objets", "link")</f>
        <v/>
      </c>
      <c r="C23258" t="n">
        <v>9</v>
      </c>
      <c r="D23258" t="inlineStr">
        <is>
          <t>Pelle de la Cour Sombre; Collier du Valet Veinard; Alliance Gloursonne; Alliance Brûlâme; Carapar; Menoture; Masque d'Anerice; Cape d'Anerice; Palmes Trithons; Dofus Ocre; Dofus Émeraude; Dofus Ivoire; Miraculé majeur; Nomade; Cascadeur majeur; Dragodinde Ebène et Ivoire</t>
        </is>
      </c>
    </row>
    <row r="23259">
      <c r="A23259" t="inlineStr">
        <is>
          <t>Sacrieur M 200</t>
        </is>
      </c>
      <c r="B23259">
        <f>HYPERLINK("https://www.dofusbook.net/fr/equipement/3529869-sacrieur-m-200/objets", "link")</f>
        <v/>
      </c>
      <c r="C23259" t="n">
        <v>15</v>
      </c>
      <c r="D23259" t="inlineStr">
        <is>
          <t>Manthache; Collier du Valet Veinard; Alliance Gloursonne; Gant du Valet Veinard; Bouclier d'Ilyzaelle; Menoture; Couronne d'Allister; Cape Indescriptible; Palmes Trithons; Dofus Émeraude; Dofus Ivoire; Dofus Pourpre; Dofus Ocre; Nomade; Cascadeur majeur; Dragodinde Ebène et Ivoire</t>
        </is>
      </c>
    </row>
    <row r="23260">
      <c r="A23260" t="inlineStr">
        <is>
          <t>full air</t>
        </is>
      </c>
      <c r="B23260">
        <f>HYPERLINK("https://www.dofusbook.net/fr/equipement/3551781-full-air/objets", "link")</f>
        <v/>
      </c>
      <c r="C23260" t="n">
        <v>5</v>
      </c>
      <c r="D23260" t="inlineStr">
        <is>
          <t>Manthache; Collier du Valet Veinard; Alliance Gloursonne; Gant du Valet Veinard; Bouclier d'Ilyzaelle; Ceinture Volkorne; Casque Volkorne; Cape du Valet Veinard; Palmes Trithons; Dolmanax; Dofus Vulbis; Dofus Pourpre; Dofus Ocre; Robuste majeur; Equilibriste majeur; Dragodinde Ebène et Ivoire</t>
        </is>
      </c>
    </row>
    <row r="23261">
      <c r="A23261" t="inlineStr">
        <is>
          <t>eau</t>
        </is>
      </c>
      <c r="B23261">
        <f>HYPERLINK("https://www.dofusbook.net/fr/equipement/3596310-eau/objets", "link")</f>
        <v/>
      </c>
      <c r="C23261" t="n">
        <v>4</v>
      </c>
      <c r="D23261" t="inlineStr">
        <is>
          <t>Sceptre du Roi Joueur; Amulette de Shokkoth; Alliance Gloursonne; Anneau Volkorne; Bouclier du Stalak; Poulpagne; Casque Dragoeuf; Cape du Sinistrofu; Bottes du Sinistrofu; Dofus Émeraude; Dofus Ivoire; Dofus Vulbis; Dofus Ocre; Chanceux majeur; Miraculé majeur; Dragodinde Prune et Indigo</t>
        </is>
      </c>
    </row>
    <row r="23262">
      <c r="A23262" t="inlineStr">
        <is>
          <t>dws feu</t>
        </is>
      </c>
      <c r="B23262">
        <f>HYPERLINK("https://www.dofusbook.net/fr/equipement/3548391-dws-feu/objets", "link")</f>
        <v/>
      </c>
      <c r="C23262" t="n">
        <v>4</v>
      </c>
      <c r="D23262" t="inlineStr">
        <is>
          <t>Baguette de Malléfisk; Amulette Volkorne; Anneauræus; Baguistik; Carapar; Ceinture Volkorne; Casque Dragoeuf; Cape de Diondin; Chaussures Ardentes; Dofus Émeraude; Dofus Ivoire; Dofus Ocre; Guérisseur majeur; Nomade; Miraculé majeur; Dragodinde Prune et Rousse</t>
        </is>
      </c>
    </row>
    <row r="23263">
      <c r="A23263" t="inlineStr">
        <is>
          <t>Xélor M 200</t>
        </is>
      </c>
      <c r="B23263">
        <f>HYPERLINK("https://www.dofusbook.net/fr/equipement/3483026-xelor-m-200/objets", "link")</f>
        <v/>
      </c>
      <c r="C23263" t="n">
        <v>0</v>
      </c>
      <c r="D23263" t="inlineStr">
        <is>
          <t>Marteau R'ture; Amulette de Gein; Bague Gloursonne; Anneau de Brouce; Bouclier du Captain Amakna; Ceinture de Brouce; Chapeau de Gein; Cape au Logis; Bottes de Brouce; Dofus Turquoise; Dofus Nébuleux; Dofus Ocre; Dofus Abyssal; Dofus des Glaces; Dofus Ivoire; Kramkram</t>
        </is>
      </c>
    </row>
    <row r="23264">
      <c r="A23264" t="inlineStr">
        <is>
          <t>terre ret pa</t>
        </is>
      </c>
      <c r="B23264">
        <f>HYPERLINK("https://www.dofusbook.net/fr/equipement/2230293-terre-ret-pa/objets", "link")</f>
        <v/>
      </c>
      <c r="C23264" t="n">
        <v>0</v>
      </c>
      <c r="D23264" t="inlineStr">
        <is>
          <t>Lav'Hache; Collier de Tourthon; Anneau Crustique; Anneau Crustique; Sept ans de malheur; Ceinture Gence; Masque de Koutoulou; Cape du Cœur Vaillant; Bottes du Cœur Vaillant; Dofus Ivoire; Dofus Pourpre; Dolmanax; Miraculé majeur; Enragé majeur; Étourdisseur majeur; Muldo Pourpre</t>
        </is>
      </c>
    </row>
    <row r="23265">
      <c r="A23265" t="inlineStr">
        <is>
          <t>arc chaloeil ret pa</t>
        </is>
      </c>
      <c r="B23265">
        <f>HYPERLINK("https://www.dofusbook.net/fr/equipement/1280428-arc-chaloeil-ret-pa/objets", "link")</f>
        <v/>
      </c>
      <c r="C23265" t="n">
        <v>0</v>
      </c>
      <c r="D23265" t="inlineStr">
        <is>
          <t>Arc du Chalœil; Amulette du Cœur Vaillant; Anneau Crustique; Bague Gloursonne; Ceinture de la Cour Sombre; Masque de Koutoulou; Cape du Cœur Vaillant; Tentassons; Dolmanax; Dofus Turquoise; Dofus Pourpre; Remueur; Enragé majeur; Étourdisseur majeur; Muldo Indigo et Pourpre</t>
        </is>
      </c>
    </row>
    <row r="23266">
      <c r="A23266" t="inlineStr">
        <is>
          <t>feu</t>
        </is>
      </c>
      <c r="B23266">
        <f>HYPERLINK("https://www.dofusbook.net/fr/equipement/1311930-feu/objets", "link")</f>
        <v/>
      </c>
      <c r="C23266" t="n">
        <v>0</v>
      </c>
      <c r="D23266" t="inlineStr">
        <is>
          <t>Sabres d'Atcham; Amulette du Strigide; Bague Gloursonne; Anneau de Padgref; Bouclier du Captain Amakna; Ceintacé; Chapeau des Malveilleurs; Voile d'encre; Bottes du Strigide; Dofus Émeraude; Carapace Eau majeur; Miraculé majeur; Érudit majeur; Déserteur majeur; Remueur; Muldo Pourpre</t>
        </is>
      </c>
    </row>
    <row r="23267">
      <c r="A23267" t="inlineStr">
        <is>
          <t>terre2</t>
        </is>
      </c>
      <c r="B23267">
        <f>HYPERLINK("https://www.dofusbook.net/fr/equipement/3219259-terre2/objets", "link")</f>
        <v/>
      </c>
      <c r="C23267" t="n">
        <v>0</v>
      </c>
      <c r="D23267" t="inlineStr">
        <is>
          <t>Arc du Chalœil; Amulette du Cœur Vaillant; Bague Gloursonne; Anneau Chevelu; Quatre-feuilles; Ceinture Gence; Masque de Koutoulou; Cape au Logis; Bottes du Cœur Vaillant; Dofus Ivoire; Dofus Turquoise; Dolmanax; Fonceur majeur; Enragé majeur; Miraculé majeur; Muldo Pourpre</t>
        </is>
      </c>
    </row>
    <row r="23268">
      <c r="A23268" t="inlineStr">
        <is>
          <t>air ret</t>
        </is>
      </c>
      <c r="B23268">
        <f>HYPERLINK("https://www.dofusbook.net/fr/equipement/3172755-air-ret/objets", "link")</f>
        <v/>
      </c>
      <c r="C23268" t="n">
        <v>0</v>
      </c>
      <c r="D23268" t="inlineStr">
        <is>
          <t>Manthache; Amulette du Cœur Vaillant; Gant du Valet Veinard; Alliance Gloursonne; Sept ans de malheur; Menoture; Chapoulpe; Cape du Kamasterisk; Bottes du Cœur Vaillant; Muldo Ebène et Indigo</t>
        </is>
      </c>
    </row>
    <row r="23269">
      <c r="A23269" t="inlineStr">
        <is>
          <t>ful pano ret pa</t>
        </is>
      </c>
      <c r="B23269">
        <f>HYPERLINK("https://www.dofusbook.net/fr/equipement/2097746-ful-pano-ret-pa/objets", "link")</f>
        <v/>
      </c>
      <c r="C23269" t="n">
        <v>0</v>
      </c>
      <c r="D23269" t="inlineStr">
        <is>
          <t>Manthache; Collier du Valet Veinard; Alliance Gloursonne; Gant du Valet Veinard; Sept ans de malheur; Ceintouse; Chapoulpe; Cape du Valet Veinard; Tentassons; Dolmanax; Dofus Ocre; Dofus Émeraude; Dofus Abyssal; Engourdisseur majeur; Paralyseur majeur; Muldo Ebène</t>
        </is>
      </c>
    </row>
    <row r="23270">
      <c r="A23270" t="inlineStr">
        <is>
          <t>dopou</t>
        </is>
      </c>
      <c r="B23270">
        <f>HYPERLINK("https://www.dofusbook.net/fr/equipement/2084515-dopou/objets", "link")</f>
        <v/>
      </c>
      <c r="C23270" t="n">
        <v>0</v>
      </c>
      <c r="D23270" t="inlineStr">
        <is>
          <t>Héqache; Torquistik; Baguistik; Bague Gloursonne; Bouclier précieux; Ceinture Luminescente; Masque de Koutoulou; Cape du Cœur Vaillant; Bottes Trithon; Dofus Abyssal; Dofus Pourpre; Dofus Turquoise; Culbuteur majeur; Remueur; Bousculeur majeur; Muldo Pourpre</t>
        </is>
      </c>
    </row>
    <row r="23271">
      <c r="A23271" t="inlineStr">
        <is>
          <t>marteau rtur casque</t>
        </is>
      </c>
      <c r="B23271">
        <f>HYPERLINK("https://www.dofusbook.net/fr/equipement/297141-marteau-rtur-casque-/objets", "link")</f>
        <v/>
      </c>
      <c r="C23271" t="n">
        <v>0</v>
      </c>
      <c r="D23271" t="inlineStr">
        <is>
          <t>Arc corrompu; Pendentif affamé; Anneau Tique; Bague Gloursonne; Cadran de Terre; Ceinture de Vortex; Cagoule de Vortex; Voile d'encre; Pataugastrique; Dofus Émeraude; Dofus Pourpre; Dolmanax; Remueur; Érudit majeur; Étourdisseur majeur; Muldo Orchidée et Pourpre</t>
        </is>
      </c>
    </row>
    <row r="23272">
      <c r="A23272" t="inlineStr">
        <is>
          <t>feu terre retpa</t>
        </is>
      </c>
      <c r="B23272">
        <f>HYPERLINK("https://www.dofusbook.net/fr/equipement/617966-feu-terre-retpa/objets", "link")</f>
        <v/>
      </c>
      <c r="C23272" t="n">
        <v>0</v>
      </c>
      <c r="D23272" t="inlineStr">
        <is>
          <t>Dagoulinantes; Amulette Voldelor; Anneau Tique; Alliance Gloursonne; Sept ans de malheur; Menoture; Chapoulpe; Cape Matelassée; Tentassons; Dofus Émeraude; Carapace Eau majeur; Étourdisseur majeur; Remueur; Engourdisseur majeur; Cascadeur majeur; Muldo Ebène</t>
        </is>
      </c>
    </row>
    <row r="23273">
      <c r="A23273" t="inlineStr">
        <is>
          <t>deux cents dix retpa</t>
        </is>
      </c>
      <c r="B23273">
        <f>HYPERLINK("https://www.dofusbook.net/fr/equipement/297142-deux-cents-dix-retpa/objets", "link")</f>
        <v/>
      </c>
      <c r="C23273" t="n">
        <v>0</v>
      </c>
      <c r="D23273" t="inlineStr">
        <is>
          <t>Dagoulinantes; Amulette Voldelor; Alliance Gloursonne; Anneau Crustique; Sept ans de malheur; Menoture; Masque du Barbétoal; Cape du Barbétoal; Sandales de Tal Kasha; Engourdisseur majeur; Remueur; Étourdisseur; Paralyseur majeur; Carapace Air majeur; Étourdisseur majeur; Muldo Ebène et Indigo</t>
        </is>
      </c>
    </row>
    <row r="23274">
      <c r="A23274" t="inlineStr">
        <is>
          <t>Stuff 2</t>
        </is>
      </c>
      <c r="B23274">
        <f>HYPERLINK("https://www.dofusbook.net/fr/equipement/297118-stuff-2/objets", "link")</f>
        <v/>
      </c>
      <c r="C23274" t="n">
        <v>0</v>
      </c>
      <c r="D23274" t="inlineStr">
        <is>
          <t>Bêche Asse; Amulette du Strigide; Bague Gloursonne; Anneau Crustique; Ceintacé; Chapoulpe; Voile d'encre; Tentassons; Obstructeur majeur; Étourdisseur majeur; Enragé majeur; Nomade; Engourdisseur majeur; Remueur; Croum</t>
        </is>
      </c>
    </row>
    <row r="23275">
      <c r="A23275" t="inlineStr">
        <is>
          <t>Stuff 1</t>
        </is>
      </c>
      <c r="B23275">
        <f>HYPERLINK("https://www.dofusbook.net/fr/equipement/297117-stuff-1/objets", "link")</f>
        <v/>
      </c>
      <c r="C23275" t="n">
        <v>0</v>
      </c>
      <c r="D23275" t="inlineStr">
        <is>
          <t>Bêche Asse; Amulette Luminescente; Bracelet du Piloztère; Anneau Crustique; Ceintouse; Masque de Koutoulou; Voile d'encre; Tentassons; Dofus Pourpre; Étourdisseur majeur; Enragé majeur; Nomade; Vigoureux majeur; Remueur; Croum</t>
        </is>
      </c>
    </row>
    <row r="23276">
      <c r="A23276" t="inlineStr">
        <is>
          <t>Stuff 3</t>
        </is>
      </c>
      <c r="B23276">
        <f>HYPERLINK("https://www.dofusbook.net/fr/equipement/297119-stuff-3/objets", "link")</f>
        <v/>
      </c>
      <c r="C23276" t="n">
        <v>0</v>
      </c>
      <c r="D23276" t="inlineStr">
        <is>
          <t>Marteau R'ture; Collier de Tourthon; Anneau Chevelu; Anneau Crustique; Ceintacé; Chapoulpe; Voile d'encre; Tentassons; Dofus Pourpre; Nomade; Vigoureux majeur; Remueur; Étourdisseur majeur; Enragé majeur; El Scarador</t>
        </is>
      </c>
    </row>
    <row r="23277">
      <c r="A23277" t="inlineStr">
        <is>
          <t>xel multi 86 crit</t>
        </is>
      </c>
      <c r="B23277">
        <f>HYPERLINK("https://www.dofusbook.net/fr/equipement/5999253-xel-multi-86-crit/objets", "link")</f>
        <v/>
      </c>
      <c r="C23277" t="n">
        <v>0</v>
      </c>
      <c r="D23277" t="inlineStr">
        <is>
          <t>Baguette de Torkélonia; Amulette du Strigide; Anneau de Padgref; Anneau Vicieux; Bouclier du Captain Amakna; Ceinture du Strigide; Coiffe de Padgref; Carapace de Torkélonia; Bottes du Strigide; Dofus Pourpre; Dofus des Glaces; Dofus Vulbis; Dofus Turquoise; Dofus Ocre; Dofus Abyssal; Kokulte</t>
        </is>
      </c>
    </row>
    <row r="23278">
      <c r="A23278" t="inlineStr">
        <is>
          <t>xel cancer dps</t>
        </is>
      </c>
      <c r="B23278">
        <f>HYPERLINK("https://www.dofusbook.net/fr/equipement/5911941-xel-cancer-dps/objets", "link")</f>
        <v/>
      </c>
      <c r="C23278" t="n">
        <v>0</v>
      </c>
      <c r="D23278" t="inlineStr">
        <is>
          <t>Dagoulinantes; Amulette de Shokkoth; Alliance Gloursonne; Anneau Volkorne; Sept ans de malheur; Ceinture Glaciale; Coiffe de Danathor; Cape Solution; Bottes du Nocturlabe; Dofus Ocre; Dofus Ivoire; Dofus Vulbis; Dofus Ébène; Étourdisseur majeur; Chanceux majeur; Kouin-Kouin Noir</t>
        </is>
      </c>
    </row>
    <row r="23279">
      <c r="A23279" t="inlineStr">
        <is>
          <t>xel cancer tank</t>
        </is>
      </c>
      <c r="B23279">
        <f>HYPERLINK("https://www.dofusbook.net/fr/equipement/5911832-xel-cancer-tank/objets", "link")</f>
        <v/>
      </c>
      <c r="C23279" t="n">
        <v>0</v>
      </c>
      <c r="D23279" t="inlineStr">
        <is>
          <t>Sceptre du Roi Joueur; Amulette de Shokkoth; Anneau de Pol Ouatnos; Alliance Gloursonne; Sept ans de malheur; Culotte de Bethel; Masque de Funespadon; Cape Solution; Pataugastrique; Dofus Ébène; Dofus Ivoire; Carapace Feu majeur; Chanceux majeur; Carapace Eau majeur; Étourdisseur majeur; Kouin-Kouin Noir</t>
        </is>
      </c>
    </row>
    <row r="23280">
      <c r="A23280" t="inlineStr">
        <is>
          <t>cra multi</t>
        </is>
      </c>
      <c r="B23280">
        <f>HYPERLINK("https://www.dofusbook.net/fr/equipement/5896267-cra-multi/objets", "link")</f>
        <v/>
      </c>
      <c r="C23280" t="n">
        <v>0</v>
      </c>
      <c r="D23280" t="inlineStr">
        <is>
          <t>Marteau des égarés; Amulette du Strigide; Bracelet du Piloztère; Bouclier précieux; Ceintacé; Le Dorado; Dofusteuse; Bottes du Strigide; Dofus Turquoise; Dokoko; Dofus Abyssal; Dolmanax; Dofus Émeraude; Nomade</t>
        </is>
      </c>
    </row>
    <row r="23281">
      <c r="A23281" t="inlineStr">
        <is>
          <t>sram tank</t>
        </is>
      </c>
      <c r="B23281">
        <f>HYPERLINK("https://www.dofusbook.net/fr/equipement/5881997-sram-tank/objets", "link")</f>
        <v/>
      </c>
      <c r="C23281" t="n">
        <v>1</v>
      </c>
      <c r="D23281" t="inlineStr">
        <is>
          <t>Pelle de la Cour Sombre; Collier du Valet Veinard; Anneau de Pol Ouatnos; Alliance Gloursonne; Bouclier d'Anerice; Menoture; Dorabysses; Cape Indescriptible; Palmes Trithons; Dofus Émeraude; Carapace Feu majeur; Nomade; Carapace Eau majeur; Remueur; Carapace Air majeur; Blokus</t>
        </is>
      </c>
    </row>
    <row r="23282">
      <c r="A23282" t="inlineStr">
        <is>
          <t>xel eau</t>
        </is>
      </c>
      <c r="B23282">
        <f>HYPERLINK("https://www.dofusbook.net/fr/equipement/5878802-xel-eau/objets", "link")</f>
        <v/>
      </c>
      <c r="C23282" t="n">
        <v>0</v>
      </c>
      <c r="D23282" t="inlineStr">
        <is>
          <t>Sceptre du Roi Joueur; Amulette de Shokkoth; Bracelet des Fonds marins; Anneau Volkorne; Quatre-feuilles; Poulpagne; Masque des Fonds marins; Cape du Sinistrofu; Bottes du Nocturlabe; Dofus Abyssal; Dofus Turquoise; Dofus Ocre; Chanceux majeur; Nomade; Dévastateur Eau majeur; Kanigloups</t>
        </is>
      </c>
    </row>
    <row r="23283">
      <c r="A23283" t="inlineStr">
        <is>
          <t>xel multi do crit</t>
        </is>
      </c>
      <c r="B23283">
        <f>HYPERLINK("https://www.dofusbook.net/fr/equipement/5878765-xel-multi-do-crit/objets", "link")</f>
        <v/>
      </c>
      <c r="C23283" t="n">
        <v>0</v>
      </c>
      <c r="D23283" t="inlineStr">
        <is>
          <t>Epée Maudite du Saigneur Guerrier; Amulette du Strigide; Bracelet du Piloztère; Anneau de Padgref; Quatre-feuilles; Ceinture du Strigide; Coiffe de Padgref; Chevelure de Tal Kasha; Bottes du Strigide; Dofus Turquoise; Dofus Ébène; Dofus Vulbis; Dofus des Glaces; Dofus Abyssal; Dofus Ocre; Kokulte</t>
        </is>
      </c>
    </row>
    <row r="23284">
      <c r="A23284" t="inlineStr">
        <is>
          <t>roublard f</t>
        </is>
      </c>
      <c r="B23284">
        <f>HYPERLINK("https://www.dofusbook.net/fr/equipement/5878751-roublard-f/objets", "link")</f>
        <v/>
      </c>
      <c r="C23284" t="n">
        <v>0</v>
      </c>
      <c r="D23284" t="inlineStr">
        <is>
          <t>Arc du Chalœil; Collier de Tourthon; Anneau de Brouce; Anneau Crustique; Quatre-feuilles; Ceinture de Brouce; Masque de Koutoulou; Cape au Logis; Bottes de la Cour Sombre; Dofus Abyssal; Dofus Turquoise; Dofus Pourpre; Remueur; Enragé majeur; Nomade; Kompost</t>
        </is>
      </c>
    </row>
    <row r="23285">
      <c r="A23285" t="inlineStr">
        <is>
          <t>sram multi</t>
        </is>
      </c>
      <c r="B23285">
        <f>HYPERLINK("https://www.dofusbook.net/fr/equipement/5861538-sram-multi/objets", "link")</f>
        <v/>
      </c>
      <c r="C23285" t="n">
        <v>5</v>
      </c>
      <c r="D23285" t="inlineStr">
        <is>
          <t>Arc Volkorne; Amulette Volkorne; Bracelet du Piloztère; Anneau Volkorne; Quatre-feuilles; Ceinture Volkorne; Casque Volkorne; Cape des Justiciers; Bottes de l'Esprit Salvateur; Dofus Ocre; Dofus des Glaces; Dofus Pourpre; Dofus Abyssal; Dolmanax; Dofus Turquoise; Kramkram</t>
        </is>
      </c>
    </row>
    <row r="23286">
      <c r="A23286" t="inlineStr">
        <is>
          <t>sram air</t>
        </is>
      </c>
      <c r="B23286">
        <f>HYPERLINK("https://www.dofusbook.net/fr/equipement/5872917-sram-air/objets", "link")</f>
        <v/>
      </c>
      <c r="C23286" t="n">
        <v>0</v>
      </c>
      <c r="D23286" t="inlineStr">
        <is>
          <t>Baguette Hernelle; Collier du Valet Veinard; Anneau Rifique; Anneau d'Allister; Quatre-feuilles; Menoture; Couronne d'Allister; Cape Indescriptible; Palmes Trithons; Dofus Abyssal; Dofus des Glaces; Dévastateur Air majeur; Nomade; Remueur; Cascadeur majeur; Blérodoudou</t>
        </is>
      </c>
    </row>
    <row r="23287">
      <c r="A23287" t="inlineStr">
        <is>
          <t>sram feu</t>
        </is>
      </c>
      <c r="B23287">
        <f>HYPERLINK("https://www.dofusbook.net/fr/equipement/5872845-sram-feu/objets", "link")</f>
        <v/>
      </c>
      <c r="C23287" t="n">
        <v>0</v>
      </c>
      <c r="D23287" t="inlineStr">
        <is>
          <t>Arc corrompu; Pendentif affamé; Anneau Tamie; Anneau Tamie; Quatre-feuilles; Croture; Coiffe Séculaire; Cape de Diondin; Bottes Innommables; Dofus Abyssal; Dofus Pourpre; Dofus Turquoise; Remueur; Érudit majeur; Nomade; Bisouglours</t>
        </is>
      </c>
    </row>
    <row r="23288">
      <c r="A23288" t="inlineStr">
        <is>
          <t>sram f 200</t>
        </is>
      </c>
      <c r="B23288">
        <f>HYPERLINK("https://www.dofusbook.net/fr/equipement/5861182-sram-f-200/objets", "link")</f>
        <v/>
      </c>
      <c r="C23288" t="n">
        <v>0</v>
      </c>
      <c r="D23288" t="inlineStr">
        <is>
          <t>Arc du Chalœil; Collier de Tourthon; Anneau de Brouce; Anneau Crustique; Quatre-feuilles; Ceinture de Brouce; Masque de Koutoulou; Cape au Logis; Bottes de la Cour Sombre; Dofus Abyssal; Dofus Turquoise; Dofus Pourpre; Remueur; Enragé majeur; Nomade; Kompost</t>
        </is>
      </c>
    </row>
    <row r="23289">
      <c r="A23289" t="inlineStr">
        <is>
          <t>xel feu</t>
        </is>
      </c>
      <c r="B23289">
        <f>HYPERLINK("https://www.dofusbook.net/fr/equipement/5861149-xel-feu/objets", "link")</f>
        <v/>
      </c>
      <c r="C23289" t="n">
        <v>0</v>
      </c>
      <c r="D23289" t="inlineStr">
        <is>
          <t>Arc corrompu; Pendentif affamé; Anneau Tamie; Anneau Tamie; Quatre-feuilles; Ceinture Séculaire; Coiffe Séculaire; Cape de Diondin; Bottes Innommables; Dofus Pourpre; Dofus Abyssal; Érudit majeur; Nomade; Dévastateur Feu majeur; Remueur; Brûlih</t>
        </is>
      </c>
    </row>
    <row r="23290">
      <c r="A23290" t="inlineStr">
        <is>
          <t>roubl f 200</t>
        </is>
      </c>
      <c r="B23290">
        <f>HYPERLINK("https://www.dofusbook.net/fr/equipement/5861134-roubl-f-200/objets", "link")</f>
        <v/>
      </c>
      <c r="C23290" t="n">
        <v>0</v>
      </c>
      <c r="D23290" t="inlineStr">
        <is>
          <t>Arc du Chalœil; Collier de Tourthon; Anneau de Brouce; Anneau Crustique; Quatre-feuilles; Ceinture Volkorne; Masque de Koutoulou; Cape au Logis; Bottes de Brouce; Dofus Abyssal; Dofus Turquoise; Dofus Pourpre; Remueur; Enragé majeur; Nomade; Kompost</t>
        </is>
      </c>
    </row>
    <row r="23291">
      <c r="A23291" t="inlineStr">
        <is>
          <t>xel f 200</t>
        </is>
      </c>
      <c r="B23291">
        <f>HYPERLINK("https://www.dofusbook.net/fr/equipement/5861107-xel-f-200/objets", "link")</f>
        <v/>
      </c>
      <c r="C23291" t="n">
        <v>0</v>
      </c>
      <c r="D23291" t="inlineStr">
        <is>
          <t>Arc du Chalœil; Collier de Tourthon; Anneau Crustique; Anneau de Brouce; Quatre-feuilles; Ceinture Volkorne; Masque de Koutoulou; Cape au Logis; Bottes de Brouce; Dofus Pourpre; Dofus Abyssal; Dofus Turquoise; Nomade; Remueur; Enragé majeur; Kompost</t>
        </is>
      </c>
    </row>
    <row r="23292">
      <c r="A23292" t="inlineStr">
        <is>
          <t>quadra atcham</t>
        </is>
      </c>
      <c r="B23292">
        <f>HYPERLINK("https://www.dofusbook.net/fr/equipement/5989227-quadra-atcham/objets", "link")</f>
        <v/>
      </c>
      <c r="C23292" t="n">
        <v>1</v>
      </c>
      <c r="D23292" t="inlineStr">
        <is>
          <t>Sabres d'Atcham; Amulette du Strigide; Bracelet du Piloztère; Alliance Gloursonne; Quatre-feuilles; Ceinture du Strigide; Le Dorado; Cape d'Atcham; Sandales  d'Atcham; Dofus Nébuleux; Dofus Vulbis; Dofus Ébène; Dofus Pourpre; Dofus Turquoise; Dofus des Glaces; Chacha Angora</t>
        </is>
      </c>
    </row>
    <row r="23293">
      <c r="A23293" t="inlineStr">
        <is>
          <t>air arc</t>
        </is>
      </c>
      <c r="B23293">
        <f>HYPERLINK("https://www.dofusbook.net/fr/equipement/5750408-air-arc/objets", "link")</f>
        <v/>
      </c>
      <c r="C23293" t="n">
        <v>11</v>
      </c>
      <c r="D23293" t="inlineStr">
        <is>
          <t>Plume de Buhorado; Collier du Valet Veinard; Gant du Valet Veinard; Alliance Gloursonne; Bouclier du Stalak; Menoture; Couronne d'Allister; Cape de Klime; Palmes Trithons; Dofus Ivoire; Dofus Ocre; Dofus Ébène; Dofus Vulbis; Dofus Abyssal; Cascadeur majeur; Blérodoudou</t>
        </is>
      </c>
    </row>
    <row r="23294">
      <c r="A23294" t="inlineStr">
        <is>
          <t>Trop cher pour Hugo</t>
        </is>
      </c>
      <c r="B23294">
        <f>HYPERLINK("https://www.dofusbook.net/fr/equipement/5923646-trop-cher-pour-hugo/objets", "link")</f>
        <v/>
      </c>
      <c r="C23294" t="n">
        <v>6</v>
      </c>
      <c r="D23294" t="inlineStr">
        <is>
          <t>Crocobur; Amulette du Strigide; Bague Gloursonne; Alliance Gloursonne; Bouclier du Captain Amakna; Ceinture du Strigide; Corne de Torkélonia; Carapace de Torkélonia; Bottes du Strigide; Dofus Nébuleux; Dofus Ocre; Dofus Abyssal; Dofus Vulbis; Dofus Ébène; Dofus Turquoise; Kokulte</t>
        </is>
      </c>
    </row>
    <row r="23295">
      <c r="A23295" t="inlineStr">
        <is>
          <t>ret PA féca</t>
        </is>
      </c>
      <c r="B23295">
        <f>HYPERLINK("https://www.dofusbook.net/fr/equipement/5904193-ret-pa-feca/objets", "link")</f>
        <v/>
      </c>
      <c r="C23295" t="n">
        <v>0</v>
      </c>
      <c r="D23295" t="inlineStr">
        <is>
          <t>Lav'Hache; Collier de Tourthon; Anneau Crustique; Anneau Crustique; Sept ans de malheur; Ceinture de la Cour Sombre; Casque Dragoeuf; Cape de la Cour Sombre; Tentassons; Dofus Ocre; Dofus Abyssal; Dofus Vulbis; Dofus Ivoire; Étourdisseur majeur; Obstructeur majeur; Kougnard</t>
        </is>
      </c>
    </row>
    <row r="23296">
      <c r="A23296" t="inlineStr">
        <is>
          <t>ö Thômas</t>
        </is>
      </c>
      <c r="B23296">
        <f>HYPERLINK("https://www.dofusbook.net/fr/equipement/5888260-o-thomas/objets", "link")</f>
        <v/>
      </c>
      <c r="C23296" t="n">
        <v>1</v>
      </c>
      <c r="D23296" t="inlineStr">
        <is>
          <t>Rapière aux Glyphes; Amulette de Shokkoth; Bracelet des Fonds marins; Alliance Gloursonne; Bouclier du Stalak; Poulpagne; Capuche de l'Œil Attentif; Cape de l'Œil Attentif; Bottes du Sinistrofu; Dofus Nébuleux; Dofus Ocre; Dofus Ébène; Dofus Vulbis; Dofus Abyssal; Chanceux majeur; Kanigloups</t>
        </is>
      </c>
    </row>
    <row r="23297">
      <c r="A23297" t="inlineStr">
        <is>
          <t>air perco</t>
        </is>
      </c>
      <c r="B23297">
        <f>HYPERLINK("https://www.dofusbook.net/fr/equipement/5871815-air-perco/objets", "link")</f>
        <v/>
      </c>
      <c r="C23297" t="n">
        <v>5</v>
      </c>
      <c r="D23297" t="inlineStr">
        <is>
          <t>Baguette de Frigostine; Amibou; Alliance Gloursonne; Gant du Valet Veinard; Bouclier du Stalak; Menoture; Casque Dragoeuf; Capibou; Palmes Trithons; Dofus Vulbis; Dofus Abyssal; Dofus Ivoire; Dofus Ocre; Dofus Ébène; Cascadeur majeur; Sourisette</t>
        </is>
      </c>
    </row>
    <row r="23298">
      <c r="A23298" t="inlineStr">
        <is>
          <t>air esquive 2</t>
        </is>
      </c>
      <c r="B23298">
        <f>HYPERLINK("https://www.dofusbook.net/fr/equipement/5819495-air-esquive-2/objets", "link")</f>
        <v/>
      </c>
      <c r="C23298" t="n">
        <v>4</v>
      </c>
      <c r="D23298" t="inlineStr">
        <is>
          <t>Manthache; Amulette Martegel; Gant du Valet Veinard; Alliance Gloursonne; Cadran d'Air; Sangle Oriole; Chapeau de Tournoyé; Cape de Crânonier; Palmes Trithons; Dofus Abyssal; Dofus Ocre; Dofus Ébène; Dofus Ivoire; Dofus Vulbis; Imprenable majeur; Petit Chacha Blanc</t>
        </is>
      </c>
    </row>
    <row r="23299">
      <c r="A23299" t="inlineStr">
        <is>
          <t>air esquive pa</t>
        </is>
      </c>
      <c r="B23299">
        <f>HYPERLINK("https://www.dofusbook.net/fr/equipement/2481999-air-esquive-pa/objets", "link")</f>
        <v/>
      </c>
      <c r="C23299" t="n">
        <v>12</v>
      </c>
      <c r="D23299" t="inlineStr">
        <is>
          <t>Manthache; Amulette Martegel; Gant du Valet Veinard; Alliance Gloursonne; Cadran d'Air; Sangle Oriole; Chapeau de Tournoyé; Cape Indescriptible; Bottes Honyme; Dofus Ocre; Dofus Ivoire; Imprenable majeur; Cascadeur majeur; Évasif majeur; Muldo Orchidée et Ivoire</t>
        </is>
      </c>
    </row>
    <row r="23300">
      <c r="A23300" t="inlineStr">
        <is>
          <t>tank Falanster Rykke</t>
        </is>
      </c>
      <c r="B23300">
        <f>HYPERLINK("https://www.dofusbook.net/fr/equipement/4826787-tank-falanster-rykke/objets", "link")</f>
        <v/>
      </c>
      <c r="C23300" t="n">
        <v>38</v>
      </c>
      <c r="D23300" t="inlineStr">
        <is>
          <t>Rouleau à Pâtisserie d'Aermyne; Collier Rophante; Alliance Gloursonne; Anneau Tique; Droiture de Fallanster; Ceintacé; Casque Dragoeuf; Bravoure de Rykke Errel; Pataugastrique; Dofus Ivoire; Dofus Émeraude; Dofus Vulbis; Dofus Abyssal; Carapace Terre majeur; Obstructeur majeur; Givrefoux</t>
        </is>
      </c>
    </row>
    <row r="23301">
      <c r="A23301" t="inlineStr">
        <is>
          <t>eau hique crit</t>
        </is>
      </c>
      <c r="B23301">
        <f>HYPERLINK("https://www.dofusbook.net/fr/equipement/5795083-eau-hique-crit/objets", "link")</f>
        <v/>
      </c>
      <c r="C23301" t="n">
        <v>1</v>
      </c>
      <c r="D23301" t="inlineStr">
        <is>
          <t>Baguette Hique; Amulette Volkorne; Anneau Volkorne; Alliance Gloursonne; Quatre-feuilles; Poulpagne; Capuche de l'Œil Attentif; Cape de la Dame du Hasard; Pataugastrique; Dofus Vulbis; Dofus Abyssal; Dofus Turquoise; Dofus Ivoire; Dofus Nébuleux; Dofus Ébène; Kanigloups</t>
        </is>
      </c>
    </row>
    <row r="23302">
      <c r="A23302" t="inlineStr">
        <is>
          <t>test</t>
        </is>
      </c>
      <c r="B23302">
        <f>HYPERLINK("https://www.dofusbook.net/fr/equipement/5468424-test/objets", "link")</f>
        <v/>
      </c>
      <c r="C23302" t="n">
        <v>8</v>
      </c>
      <c r="D23302" t="inlineStr">
        <is>
          <t>Arc du Chalœil; Amulette du Cœur Saignant; Bague Gloursonne; Anneau Volkorne; Quatre-feuilles; Ceinture Volkorne; Corne de Torkélonia; Cape du Cœur Saignant; Bottes du Cœur Saignant; Dofus Turquoise; Dofus Ocre; Dofus Abyssal; Dofus Vulbis; Dofus Ébène; Dofus Ivoire; Bulbisou</t>
        </is>
      </c>
    </row>
    <row r="23303">
      <c r="A23303" t="inlineStr">
        <is>
          <t>panda do crit</t>
        </is>
      </c>
      <c r="B23303">
        <f>HYPERLINK("https://www.dofusbook.net/fr/equipement/4181682-panda-do-crit/objets", "link")</f>
        <v/>
      </c>
      <c r="C23303" t="n">
        <v>24</v>
      </c>
      <c r="D23303" t="inlineStr">
        <is>
          <t>Hache du Chalœil; Amulette du Strigide; Bracelet du Piloztère; Alliance Gloursonne; Quatre-feuilles; Ceintacé; Chapeau de Gein; Voile d'encre; Bottes du Strigide; Dofus Turquoise; Dofus Ébène; Dofus Vulbis; Dofus Pourpre; Remueur; Fonceur majeur; Chacha Angora</t>
        </is>
      </c>
    </row>
    <row r="23304">
      <c r="A23304" t="inlineStr">
        <is>
          <t>cra légendaire</t>
        </is>
      </c>
      <c r="B23304">
        <f>HYPERLINK("https://www.dofusbook.net/fr/equipement/4167370-cra-legendaire/objets", "link")</f>
        <v/>
      </c>
      <c r="C23304" t="n">
        <v>26</v>
      </c>
      <c r="D23304" t="inlineStr">
        <is>
          <t>Hache du Chalœil; Amulette du Strigide; Bracelet du Piloztère; Alliance Gloursonne; Quatre-feuilles; Ceinture du Strigide; Le Dorado; Cape de Jahash Jurgen; Sandales  d'Atcham; Dofus Nébuleux; Dofus Vulbis; Dofus des Glaces; Dofus Pourpre; Dofus Ébène; Dofus Ocre; Chacha Angora</t>
        </is>
      </c>
    </row>
    <row r="23305">
      <c r="A23305" t="inlineStr">
        <is>
          <t>eau esquive</t>
        </is>
      </c>
      <c r="B23305">
        <f>HYPERLINK("https://www.dofusbook.net/fr/equipement/5592154-eau-esquive/objets", "link")</f>
        <v/>
      </c>
      <c r="C23305" t="n">
        <v>1</v>
      </c>
      <c r="D23305" t="inlineStr">
        <is>
          <t>Sceptre du Roi Joueur; Amulette de l'Œil Attentif; Alliance Gloursonne; Anneau Volkorne; Cadran d'Eau; Poulpagne; Capuche de l'Œil Attentif; Cape de l'Œil Attentif; Bottes du Sinistrofu; Dofus Vulbis; Dofus Abyssal; Dofus Pourpre; Dofus Ivoire; Dofus Ocre; Dofus Ébène; Rauleur</t>
        </is>
      </c>
    </row>
    <row r="23306">
      <c r="A23306" t="inlineStr">
        <is>
          <t>rési fixe feu</t>
        </is>
      </c>
      <c r="B23306">
        <f>HYPERLINK("https://www.dofusbook.net/fr/equipement/5563452-resi-fixe-feu/objets", "link")</f>
        <v/>
      </c>
      <c r="C23306" t="n">
        <v>6</v>
      </c>
      <c r="D23306" t="inlineStr">
        <is>
          <t>Manthache; Collier du Valet Veinard; Gant du Valet Veinard; Alliance Gloursonne; Cadran de Feu; Menoture; Chapibou; Capibou; Palmes Trithons; Dofus Ébène; Dofus Pourpre; Dofus Abyssal; Dofus Vulbis; Dofus Ivoire; Dofus Ocre; Crocodaille</t>
        </is>
      </c>
    </row>
    <row r="23307">
      <c r="A23307" t="inlineStr">
        <is>
          <t>terre cac croclier</t>
        </is>
      </c>
      <c r="B23307">
        <f>HYPERLINK("https://www.dofusbook.net/fr/equipement/5527634-terre-cac-croclier/objets", "link")</f>
        <v/>
      </c>
      <c r="C23307" t="n">
        <v>0</v>
      </c>
      <c r="D23307" t="inlineStr">
        <is>
          <t>Crocobur; Amulette du Strigide; Anneau Volkorne; Anneau de Brouce; Croclier; Ceinture Volkorne; Corne de Torkélonia; Carapace de Torkélonia; Sabots Minables; Dofus Ocre; Dofus Abyssal; Dofus Turquoise; Dofus Vulbis; Dofus Nébuleux; Dofus Ébène; Kokulte</t>
        </is>
      </c>
    </row>
    <row r="23308">
      <c r="A23308" t="inlineStr">
        <is>
          <t>Full terre</t>
        </is>
      </c>
      <c r="B23308">
        <f>HYPERLINK("https://www.dofusbook.net/fr/equipement/3652785-full-terre/objets", "link")</f>
        <v/>
      </c>
      <c r="C23308" t="n">
        <v>11</v>
      </c>
      <c r="D23308" t="inlineStr">
        <is>
          <t>Arc du Chalœil; Amulette du Strigide; Anneau du Comte Harebourg; Anneau de Brouce; Quatre-feuilles; Ceinture de Brouce; Coiffe du Comte Harebourg; Cape au Logis; Bottes de Brouce; Dofus Vulbis; Dofus Abyssal; Dofus Ocre; Dofus Turquoise; Dofus Ébène; Dofus Nébuleux; Bulbisou</t>
        </is>
      </c>
    </row>
    <row r="23309">
      <c r="A23309" t="inlineStr">
        <is>
          <t>tank rési</t>
        </is>
      </c>
      <c r="B23309">
        <f>HYPERLINK("https://www.dofusbook.net/fr/equipement/2650804-tank-resi/objets", "link")</f>
        <v/>
      </c>
      <c r="C23309" t="n">
        <v>18</v>
      </c>
      <c r="D23309" t="inlineStr">
        <is>
          <t>Rouleau à Pâtisserie d'Aermyne; Collier Rophante; Bracelet du Piloztère; Alliance Gloursonne; Droiture de Fallanster; Ceintacé; Casque Dragoeuf; Voile d'encre; Pataugastrique; Dofus Abyssal; Dofus Émeraude; Dofus Ivoire; Obstructeur majeur; Givrefoux</t>
        </is>
      </c>
    </row>
    <row r="23310">
      <c r="A23310" t="inlineStr">
        <is>
          <t>new anneau classe</t>
        </is>
      </c>
      <c r="B23310">
        <f>HYPERLINK("https://www.dofusbook.net/fr/equipement/5346325-new-anneau-classe/objets", "link")</f>
        <v/>
      </c>
      <c r="C23310" t="n">
        <v>2</v>
      </c>
      <c r="D23310" t="inlineStr">
        <is>
          <t>Epée Loponèze; Amulette d'Ilyzaelle; Alliance Gloursonne; Anneau Zamour; Droiture de Fallanster; Menoture; Casque Dragoeuf; Chevelure de Tal Kasha; Sandales de Tal Kasha; Dofus Vulbis; Dofus Abyssal; Dofus Ivoire; Dofus Ébène; Remueur; Étourdisseur majeur; Dragoune Rose</t>
        </is>
      </c>
    </row>
    <row r="23311">
      <c r="A23311" t="inlineStr">
        <is>
          <t>111</t>
        </is>
      </c>
      <c r="B23311">
        <f>HYPERLINK("https://www.dofusbook.net/fr/equipement/5243433-111/objets", "link")</f>
        <v/>
      </c>
      <c r="C23311" t="n">
        <v>2</v>
      </c>
      <c r="D23311" t="inlineStr">
        <is>
          <t>Sceptre du Roi Joueur; Amulette de l'Œil Attentif; Alliance Gloursonne; Anneau Volkorne; Bouclier du Stalak; Ceinture Volkorne; Capuche de l'Œil Attentif; Cape de l'Œil Attentif; Bottes du Sinistrofu; Dofus Ivoire; Dofus Turquoise; Dofus Ébène; Dofus Ocre; Dofus Abyssal; Dofus Vulbis; Kanigloups</t>
        </is>
      </c>
    </row>
    <row r="23312">
      <c r="A23312" t="inlineStr">
        <is>
          <t>test eau</t>
        </is>
      </c>
      <c r="B23312">
        <f>HYPERLINK("https://www.dofusbook.net/fr/equipement/5116405-test-eau/objets", "link")</f>
        <v/>
      </c>
      <c r="C23312" t="n">
        <v>1</v>
      </c>
      <c r="D23312" t="inlineStr">
        <is>
          <t>Baguette Héroclite; Amulette de Shokkoth; Anneau Volkorne; Alliance Gloursonne; Bouclier du Stalak; Ceinture Glaciale; Capuche de l'Œil Attentif; Cape Glaciale; Pataugastrique; Dofus des Glaces; Dofus Ébène; Dofus Vulbis; Dofus Ocre; Chanceux majeur; Dévastateur Eau majeur; Kanigloups</t>
        </is>
      </c>
    </row>
    <row r="23313">
      <c r="A23313" t="inlineStr">
        <is>
          <t>crocobur</t>
        </is>
      </c>
      <c r="B23313">
        <f>HYPERLINK("https://www.dofusbook.net/fr/equipement/4306676-crocobur/objets", "link")</f>
        <v/>
      </c>
      <c r="C23313" t="n">
        <v>3</v>
      </c>
      <c r="D23313" t="inlineStr">
        <is>
          <t>Crocobur; Amulette du Strigide; Alliance Gloursonne; Bracelet du Piloztère; Bouclier du serrurier; Ceinture de la Reine des Voleurs; Coiffe de la Reine des Voleurs; Dofusteuse; Bottes de la Reine des Voleurs; Dofus Pourpre; Dofus Ocre; Dokoko; Dofus Ivoire; Dofus Émeraude; Dofus Ébène; Bwak d'Air</t>
        </is>
      </c>
    </row>
    <row r="23314">
      <c r="A23314" t="inlineStr">
        <is>
          <t>tri nebu</t>
        </is>
      </c>
      <c r="B23314">
        <f>HYPERLINK("https://www.dofusbook.net/fr/equipement/2075882-tri-nebu/objets", "link")</f>
        <v/>
      </c>
      <c r="C23314" t="n">
        <v>3</v>
      </c>
      <c r="D23314" t="inlineStr">
        <is>
          <t>Sabres d'Atcham; Amulette du Strigide; Alliance Gloursonne; Anneau de Padgref; Bouclier du Captain Amakna; Ceinture du Strigide; Coiffe de Padgref; Cape d'Atcham; Sandales  d'Atcham; Dofus Ébène; Dofus Ocre; Dofus Pourpre; Dofus des Glaces; Dofus Turquoise; Dofus Nébuleux; Phorror</t>
        </is>
      </c>
    </row>
    <row r="23315">
      <c r="A23315" t="inlineStr">
        <is>
          <t>eau ret PA test</t>
        </is>
      </c>
      <c r="B23315">
        <f>HYPERLINK("https://www.dofusbook.net/fr/equipement/2163345-eau-ret-pa-test/objets", "link")</f>
        <v/>
      </c>
      <c r="C23315" t="n">
        <v>4</v>
      </c>
      <c r="D23315" t="inlineStr">
        <is>
          <t>Sceptre du Roi Joueur; Amulette de l'Œil Attentif; Anneau Volkorne; Alliance Gloursonne; Cadran de Terre; Culotte de Bethel; Capuche de l'Œil Attentif; Cape de l'Œil Attentif; Chaussons de Macrab; Dofus Ivoire; Dofus Vulbis; Dofus Ocre; Dofus Abyssal; Dofus Ébène; Dragoune Rose</t>
        </is>
      </c>
    </row>
    <row r="23316">
      <c r="A23316" t="inlineStr">
        <is>
          <t>feu ini</t>
        </is>
      </c>
      <c r="B23316">
        <f>HYPERLINK("https://www.dofusbook.net/fr/equipement/4752037-feu-ini/objets", "link")</f>
        <v/>
      </c>
      <c r="C23316" t="n">
        <v>32</v>
      </c>
      <c r="D23316" t="inlineStr">
        <is>
          <t>Arc Honte; Amulette Volkorne; Alliance Gloursonne; Anneau Tique; Bouclier du Stalak; Ceinture de Vortex; Masquegel; Cape Martegel; Sandales Paztek; Dofus Ocre; Dofus Ivoire; Dofus Ébène; Dofus Nébuleux; Érudit majeur; Nomade; Kougnard</t>
        </is>
      </c>
    </row>
    <row r="23317">
      <c r="A23317" t="inlineStr">
        <is>
          <t>Stuff 2</t>
        </is>
      </c>
      <c r="B23317">
        <f>HYPERLINK("https://www.dofusbook.net/fr/equipement/165009-stuff-2/objets", "link")</f>
        <v/>
      </c>
      <c r="C23317" t="n">
        <v>1</v>
      </c>
      <c r="D23317" t="inlineStr">
        <is>
          <t>Hache du Chalœil; Amulette du Strigide; Bracelet du Piloztère; Bague Gloursonne; Ceintacé; Casque du Chalœil; Voile d'encre; Bottes du Chalœil; Dofus Pourpre; Dofus des Glaces; Érudit majeur; Vigoureux majeur; Remueur; Nomade; El Scarador</t>
        </is>
      </c>
    </row>
    <row r="23318">
      <c r="A23318" t="inlineStr">
        <is>
          <t>air classique</t>
        </is>
      </c>
      <c r="B23318">
        <f>HYPERLINK("https://www.dofusbook.net/fr/equipement/3938104-air-classique/objets", "link")</f>
        <v/>
      </c>
      <c r="C23318" t="n">
        <v>7</v>
      </c>
      <c r="D23318" t="inlineStr">
        <is>
          <t>Manthache; Collier du Valet Veinard; Gant du Valet Veinard; Alliance Gloursonne; Bouclier du Stalak; Menoture; Couronne d'Allister; Cape Indescriptible; Palmes Trithons; Dofus Ivoire; Dofus Ébène; Dofus Abyssal; Cascadeur majeur; Nomade; Remueur; Blérodoudou</t>
        </is>
      </c>
    </row>
    <row r="23319">
      <c r="A23319" t="inlineStr">
        <is>
          <t>feu fuite</t>
        </is>
      </c>
      <c r="B23319">
        <f>HYPERLINK("https://www.dofusbook.net/fr/equipement/4484625-feu-fuite/objets", "link")</f>
        <v/>
      </c>
      <c r="C23319" t="n">
        <v>10</v>
      </c>
      <c r="D23319" t="inlineStr">
        <is>
          <t>Pyraguette; Amulette Volkorne; Anneau Volkorne; Alliance Gloursonne; Bouclier du Stalak; Ceinture de l'Esprit Salvateur; Masque Paztek; Cape de l'Œil Putride; Pataugastrique; Dofus Ébène; Dofus Abyssal; Dofus Ivoire; Nomade; Érudit majeur; Remueur; Bwak de Terre</t>
        </is>
      </c>
    </row>
    <row r="23320">
      <c r="A23320" t="inlineStr">
        <is>
          <t>eau esq PA thanos</t>
        </is>
      </c>
      <c r="B23320">
        <f>HYPERLINK("https://www.dofusbook.net/fr/equipement/3378769-eau-esq-pa-thanos/objets", "link")</f>
        <v/>
      </c>
      <c r="C23320" t="n">
        <v>3</v>
      </c>
      <c r="D23320" t="inlineStr">
        <is>
          <t>Le Thanos; Amulette de Shokkoth; Bracelet des Fonds marins; Alliance Gloursonne; Bouclier d'Ilyzaelle; Poulpagne; Capuche de l'Œil Attentif; Cape de l'Œil Attentif; Bottes du Sinistrofu; Dofus Ébène; Dofus Ivoire; Chanceux majeur; Nomade; Évasif majeur; Remueur; Bwak d'Eau</t>
        </is>
      </c>
    </row>
    <row r="23321">
      <c r="A23321" t="inlineStr">
        <is>
          <t>Stuff 3</t>
        </is>
      </c>
      <c r="B23321">
        <f>HYPERLINK("https://www.dofusbook.net/fr/equipement/165001-stuff-3/objets", "link")</f>
        <v/>
      </c>
      <c r="C23321" t="n">
        <v>39</v>
      </c>
      <c r="D23321" t="inlineStr">
        <is>
          <t>Hache du Chalœil; Amulette du Strigide; Alliance Gloursonne; Bracelet du Piloztère; Quatre-feuilles; Ceinture du Strigide; Le Dorado; Voile d'encre; Sandales  d'Atcham; Dofus Turquoise; Dofus Ocre; Dofus Nébuleux; Dofus Ébène; Dofus Pourpre; Nomade; Chacha Angora</t>
        </is>
      </c>
    </row>
    <row r="23322">
      <c r="A23322" t="inlineStr">
        <is>
          <t>ret pm ini</t>
        </is>
      </c>
      <c r="B23322">
        <f>HYPERLINK("https://www.dofusbook.net/fr/equipement/165025-ret-pm-ini/objets", "link")</f>
        <v/>
      </c>
      <c r="C23322" t="n">
        <v>44</v>
      </c>
      <c r="D23322" t="inlineStr">
        <is>
          <t>Marteau R'ture; Amulette du Glourséleste; Anneau Instable; Anneau Tamie; Bouclier cubiste; Ceinture Instable; Boucle d'oreille de Kongoku; Cape de Léthaline; Pantoufles Émar; Ralentisseur majeur; Remueur; Temporiseur; Entraveur; Entraveur majeur; Temporiseur majeur; Gwo Tofu Ventripotent</t>
        </is>
      </c>
    </row>
    <row r="23323">
      <c r="A23323" t="inlineStr">
        <is>
          <t>air bis 3</t>
        </is>
      </c>
      <c r="B23323">
        <f>HYPERLINK("https://www.dofusbook.net/fr/equipement/2676345-air-bis-3/objets", "link")</f>
        <v/>
      </c>
      <c r="C23323" t="n">
        <v>57</v>
      </c>
      <c r="D23323" t="inlineStr">
        <is>
          <t>Pelle de la Cour Sombre; Collier du Valet Veinard; Gant du Valet Veinard; Alliance Gloursonne; Bouclier de Solar; Menoture; Dorabysses; Cape de Crânonier; Palmes Trithons; Dofus Forgelave; Dofus Ivoire; Solide majeur; Adamantin majeur; Nomade; Inflexible majeur; Volkorne Amande</t>
        </is>
      </c>
    </row>
    <row r="23324">
      <c r="A23324" t="inlineStr">
        <is>
          <t>feu fuite</t>
        </is>
      </c>
      <c r="B23324">
        <f>HYPERLINK("https://www.dofusbook.net/fr/equipement/3857192-feu-fuite/objets", "link")</f>
        <v/>
      </c>
      <c r="C23324" t="n">
        <v>4</v>
      </c>
      <c r="D23324" t="inlineStr">
        <is>
          <t>Arc corrompu; Amulette de Nileza; Anneau de Nidas; Anneau Tique; Bouclier du Stalak; Ceinture de Gein; Chapeau de Gein; Voile d'encre; Pataugastrique; Dofus Ivoire; Dofus Abyssal; Remueur; Carapace Terre majeur; Nomade; Érudit majeur; Tofu Givré</t>
        </is>
      </c>
    </row>
    <row r="23325">
      <c r="A23325" t="inlineStr">
        <is>
          <t>feu air no cc range</t>
        </is>
      </c>
      <c r="B23325">
        <f>HYPERLINK("https://www.dofusbook.net/fr/equipement/3488000-feu-air-no-cc-range/objets", "link")</f>
        <v/>
      </c>
      <c r="C23325" t="n">
        <v>16</v>
      </c>
      <c r="D23325" t="inlineStr">
        <is>
          <t>Arc corrompu; Amulette de Nileza; Anneau Tique; Anneau de Nidas; Bouclier du Stalak; Ceinture de Vortex; Couronne de Nidas; Voile d'encre; Pataugastrique; Dofus Ivoire; Déserteur majeur; Nomade; Vagabond majeur; Carapace Terre majeur; Remueur; Tofu Givré</t>
        </is>
      </c>
    </row>
    <row r="23326">
      <c r="A23326" t="inlineStr">
        <is>
          <t>full eau</t>
        </is>
      </c>
      <c r="B23326">
        <f>HYPERLINK("https://www.dofusbook.net/fr/equipement/2415822-full-eau/objets", "link")</f>
        <v/>
      </c>
      <c r="C23326" t="n">
        <v>13</v>
      </c>
      <c r="D23326" t="inlineStr">
        <is>
          <t>Baguette Héroclite; Amulette de Shokkoth; Bracelet des Fonds marins; Alliance Gloursonne; Bouclier du Stalak; Poulpagne; Capuche de l'Œil Attentif; Cape Solution; Sandales des Fonds marins; Dofus Pourpre; Dofus Ivoire; Remueur; Vigoureux majeur; Chanceux majeur; Nomade; Chacha Angora</t>
        </is>
      </c>
    </row>
    <row r="23327">
      <c r="A23327" t="inlineStr">
        <is>
          <t>atcham</t>
        </is>
      </c>
      <c r="B23327">
        <f>HYPERLINK("https://www.dofusbook.net/fr/equipement/2970925-atcham/objets", "link")</f>
        <v/>
      </c>
      <c r="C23327" t="n">
        <v>3</v>
      </c>
      <c r="D23327" t="inlineStr">
        <is>
          <t>Sabres d'Atcham; Collier de la Dame du Hasard; Anneau de Padgref; Alliance Gloursonne; Bouclier du Stalak; Ceinture du Strigide; Chapeau des Malveilleurs; Cape de la Dame du Hasard; Pataugastrique; Dofus Ivoire; Dofus Pourpre; Dofus Turquoise; Nomade; Vigoureux majeur; Remueur</t>
        </is>
      </c>
    </row>
    <row r="23328">
      <c r="A23328" t="inlineStr">
        <is>
          <t>terre</t>
        </is>
      </c>
      <c r="B23328">
        <f>HYPERLINK("https://www.dofusbook.net/fr/equipement/3421621-terre-/objets", "link")</f>
        <v/>
      </c>
      <c r="C23328" t="n">
        <v>6</v>
      </c>
      <c r="D23328" t="inlineStr">
        <is>
          <t>Pelle Hikule; Collier de Tourthon; Anneau de Brouce; Anneau du Comte Harebourg; Bouclier du Captain Amakna; Ceinture de Brouce; Coiffe du Comte Harebourg; Cape au Logis; Bottes de Brouce; Dofus Pourpre; Dofus Abyssal; Dofus Turquoise; Dofus Nébuleux; Dofus Ocre; Forcené majeur; Kompost</t>
        </is>
      </c>
    </row>
    <row r="23329">
      <c r="A23329" t="inlineStr">
        <is>
          <t>Stuff 3</t>
        </is>
      </c>
      <c r="B23329">
        <f>HYPERLINK("https://www.dofusbook.net/fr/equipement/165004-stuff-3/objets", "link")</f>
        <v/>
      </c>
      <c r="C23329" t="n">
        <v>0</v>
      </c>
      <c r="D23329" t="inlineStr">
        <is>
          <t>Marteau Phossile; Pendentif mignon de Koutoulou; Anneau Rifique; Anneau de Padgref; Quatre-feuilles; Ceinture du Strigide; Casque Cyclopéen; Cape Lati; Bottes du Strigide; Dofus Pourpre; Dofus Ocre; Dofus Nébuleux; Dofus des Glaces; Dofus Turquoise; Puissant majeur; Phortiche</t>
        </is>
      </c>
    </row>
    <row r="23330">
      <c r="A23330" t="inlineStr">
        <is>
          <t>atcham roxxe pvp</t>
        </is>
      </c>
      <c r="B23330">
        <f>HYPERLINK("https://www.dofusbook.net/fr/equipement/2075937-atcham-roxxe-pvp/objets", "link")</f>
        <v/>
      </c>
      <c r="C23330" t="n">
        <v>3</v>
      </c>
      <c r="D23330" t="inlineStr">
        <is>
          <t>Sabres d'Atcham; Amulette de Pol Ouatnos; Alliance Gloursonne; Anneau Tique; Bouclier d'Ilyzaelle; Ceinture du Barbétoal; Chapeau des Malveilleurs; Cape Matelassée; Sandales  d'Atcham; Dofus Turquoise; Dofus des Glaces; Dofus Pourpre; Dofus Nébuleux; Remueur; Nomade; El Scarador</t>
        </is>
      </c>
    </row>
    <row r="23331">
      <c r="A23331" t="inlineStr">
        <is>
          <t>prospect</t>
        </is>
      </c>
      <c r="B23331">
        <f>HYPERLINK("https://www.dofusbook.net/fr/equipement/2806277-prospect/objets", "link")</f>
        <v/>
      </c>
      <c r="C23331" t="n">
        <v>13</v>
      </c>
      <c r="D23331" t="inlineStr">
        <is>
          <t>Kriss Toubal; Collier du Minotot; Anneau Bliteré; Bracelet du Minotot; Bouclier de Solar; Ceinture du Minotot; Casque Harnage; Cape du Minotot; Sandales du Minotot; Dokille; Dofus Kaliptus; Dofus Ivoire; Taquin; Joueur majeur; Taquin majeur; Nomoon</t>
        </is>
      </c>
    </row>
    <row r="23332">
      <c r="A23332" t="inlineStr">
        <is>
          <t>terre puissance</t>
        </is>
      </c>
      <c r="B23332">
        <f>HYPERLINK("https://www.dofusbook.net/fr/equipement/3421525-terre-puissance/objets", "link")</f>
        <v/>
      </c>
      <c r="C23332" t="n">
        <v>2</v>
      </c>
      <c r="D23332" t="inlineStr">
        <is>
          <t>Arc du Chalœil; Amulette du Strigide; Bracelet du Piloztère; Bague Gloursonne; Bouclier du Stalak; Ceintacé; Chapeau de Gein; Voile d'encre; Bottes du Strigide; Dofus des Glaces; Dofus Pourpre; Dofus Turquoise; Nomade; Vigoureux majeur; Remueur; Kramkram</t>
        </is>
      </c>
    </row>
    <row r="23333">
      <c r="A23333" t="inlineStr">
        <is>
          <t>Stuff 1</t>
        </is>
      </c>
      <c r="B23333">
        <f>HYPERLINK("https://www.dofusbook.net/fr/equipement/165020-stuff-1/objets", "link")</f>
        <v/>
      </c>
      <c r="C23333" t="n">
        <v>3</v>
      </c>
      <c r="D23333" t="inlineStr">
        <is>
          <t>Epée Maudite du Saigneur Guerrier; Amulette de Pol Ouatnos; Anneau de Brouce; Bague Gloursonne; Cadran de Feu; Protopagne; Coiffe de la Reine des Voleurs; Capchalot; Bottes de la Reine des Voleurs; Remueur; Miraculé majeur; Carapace Air majeur; Évasif majeur; Carapace Terre majeur; Cavaleur majeur; El Scarador</t>
        </is>
      </c>
    </row>
    <row r="23334">
      <c r="A23334" t="inlineStr">
        <is>
          <t>Stuff 1</t>
        </is>
      </c>
      <c r="B23334">
        <f>HYPERLINK("https://www.dofusbook.net/fr/equipement/165014-stuff-1/objets", "link")</f>
        <v/>
      </c>
      <c r="C23334" t="n">
        <v>1</v>
      </c>
      <c r="D23334" t="inlineStr">
        <is>
          <t>Jakchir Arc; Amulette du Strigide; Alliance Gloursonne; Bracelet du Piloztère; Bouclier du Stalak; Ceinture du Glourséleste; Maskrobe; Voilamibe; Bottes du Strigide; Dofus Turquoise; Dofus Pourpre; Dofus Ocre; Remueur; Étourdisseur majeur; Temporiseur majeur; Kramkram</t>
        </is>
      </c>
    </row>
    <row r="23335">
      <c r="A23335" t="inlineStr">
        <is>
          <t>terre/feu erhy</t>
        </is>
      </c>
      <c r="B23335">
        <f>HYPERLINK("https://www.dofusbook.net/fr/equipement/165003-terre-feu-erhy/objets", "link")</f>
        <v/>
      </c>
      <c r="C23335" t="n">
        <v>2</v>
      </c>
      <c r="D23335" t="inlineStr">
        <is>
          <t>Grésilosceptre; Amulette du Strigide; Bague Gloursonne; Bracelet du Piloztère; Quatre-feuilles; Ceintacé; Chapeau de Gein; Voile d'encre; Bottes du Strigide; Dofus des Glaces; Dofus Pourpre; Dofus Turquoise; Nomade; Vigoureux majeur; Remueur; Kramkram</t>
        </is>
      </c>
    </row>
    <row r="23336">
      <c r="A23336" t="inlineStr">
        <is>
          <t>terre harebourg cour</t>
        </is>
      </c>
      <c r="B23336">
        <f>HYPERLINK("https://www.dofusbook.net/fr/equipement/1838928-terre-harebourg-cour/objets", "link")</f>
        <v/>
      </c>
      <c r="C23336" t="n">
        <v>6</v>
      </c>
      <c r="D23336" t="inlineStr">
        <is>
          <t>Marteau R'ture; Amulette du Strigide; Anneau Crustique; Anneau du Comte Harebourg; Ceinture de la Cour Sombre; Coiffe du Comte Harebourg; Cape de la Cour Sombre; Bottes du Comte Harebourg; Dofus des Glaces; Dofus Vulbis; Dofus Nébuleux; Dofus Pourpre; Dofus Ocre; Forcené majeur; Kompost</t>
        </is>
      </c>
    </row>
    <row r="23337">
      <c r="A23337" t="inlineStr">
        <is>
          <t>terre basique</t>
        </is>
      </c>
      <c r="B23337">
        <f>HYPERLINK("https://www.dofusbook.net/fr/equipement/3187797-terre-basique/objets", "link")</f>
        <v/>
      </c>
      <c r="C23337" t="n">
        <v>4</v>
      </c>
      <c r="D23337" t="inlineStr">
        <is>
          <t>Dagues Érhy; Amulette du Strigide; Anneau de Guten Tak; Bague Gloursonne; Ceintacé; Chapeau de Gein; Voile d'encre; Bottes du Strigide; Remueur; Nomade; Vigoureux majeur; Kramkram</t>
        </is>
      </c>
    </row>
    <row r="23338">
      <c r="A23338" t="inlineStr">
        <is>
          <t>énu air Bis</t>
        </is>
      </c>
      <c r="B23338">
        <f>HYPERLINK("https://www.dofusbook.net/fr/equipement/2668977-enu-air-bis/objets", "link")</f>
        <v/>
      </c>
      <c r="C23338" t="n">
        <v>5</v>
      </c>
      <c r="D23338" t="inlineStr">
        <is>
          <t>Lance Horselé; Collier du Valet Veinard; Alliance Gloursonne; Anneau Toriété; Bouclier du Stalak; Menoture; Chapeau de Tournoyé; Cape de Crânonier; Palmes Trithons; Dofus Ivoire; Cascadeur majeur; Remueur; Cavaleur majeur; Évasif majeur; Étourdisseur majeur; El Scarador</t>
        </is>
      </c>
    </row>
    <row r="23339">
      <c r="A23339" t="inlineStr">
        <is>
          <t>tank retrait pm</t>
        </is>
      </c>
      <c r="B23339">
        <f>HYPERLINK("https://www.dofusbook.net/fr/equipement/2288552-tank-retrait-pm/objets", "link")</f>
        <v/>
      </c>
      <c r="C23339" t="n">
        <v>4</v>
      </c>
      <c r="D23339" t="inlineStr">
        <is>
          <t>Marteau R'ture; Amulette d'Ilyzaelle; Alliance Gloursonne; Anneau de Pol Ouatnos; Cadran d'Eau; Ceinture de Kongoku; Masque d'Anerice; Cape d'Anerice; Pataugastrique; Dofus Ivoire; Obstructeur majeur; Remueur; Miraculé majeur; Culbuteur majeur; Temporiseur majeur; El Scarador</t>
        </is>
      </c>
    </row>
    <row r="23340">
      <c r="A23340" t="inlineStr">
        <is>
          <t>eau anneau classe</t>
        </is>
      </c>
      <c r="B23340">
        <f>HYPERLINK("https://www.dofusbook.net/fr/equipement/2075926-eau-anneau-classe-/objets", "link")</f>
        <v/>
      </c>
      <c r="C23340" t="n">
        <v>0</v>
      </c>
      <c r="D23340" t="inlineStr">
        <is>
          <t>Dagoulinantes; Amulette de Pol Ouatnos; Anneau Zamour; Alliance Gloursonne; Sept ans de malheur; Ceinture du Barbétoal; Kidibonnet; Cape du Sinistrofu; Bottes du Sinistrofu; Étourdisseur majeur; Remueur; Obstructeur majeur; Nomade; Chanceux majeur; Déserteur majeur; El Scarador</t>
        </is>
      </c>
    </row>
    <row r="23341">
      <c r="A23341" t="inlineStr">
        <is>
          <t>Stuff 2</t>
        </is>
      </c>
      <c r="B23341">
        <f>HYPERLINK("https://www.dofusbook.net/fr/equipement/165024-stuff-2/objets", "link")</f>
        <v/>
      </c>
      <c r="C23341" t="n">
        <v>0</v>
      </c>
      <c r="D23341" t="inlineStr">
        <is>
          <t>Marteau R'ture; Amulette de Pol Ouatnos; Bracelet du Piloztère; Bague Gloursonne; Bouclier cubiste; Ceinture de Kongoku; Boucle d'oreille de Kongoku; Capchalot; Bottes du Chalœil; Ralentisseur majeur; Remueur; Observateur; Temporiseur majeur; Temporiseur; Nomade; El Scarador</t>
        </is>
      </c>
    </row>
    <row r="23342">
      <c r="A23342" t="inlineStr">
        <is>
          <t>Stuff 2</t>
        </is>
      </c>
      <c r="B23342">
        <f>HYPERLINK("https://www.dofusbook.net/fr/equipement/165015-stuff-2/objets", "link")</f>
        <v/>
      </c>
      <c r="C23342" t="n">
        <v>0</v>
      </c>
      <c r="D23342" t="inlineStr">
        <is>
          <t>Marteau R'ture; Amulette de Pol Ouatnos; Bracelet du Piloztère; Chevalière du Roi Joueur; Bouclier cubiste; Ceinture de Kongoku; Couronne de Nidas; Capchalot; Tongues de Nidas; Ralentisseur majeur; Carapace Air majeur; Temporiseur majeur; Remueur; Temporiseur; Carapace Terre majeur; Kramkram</t>
        </is>
      </c>
    </row>
    <row r="23343">
      <c r="A23343" t="inlineStr">
        <is>
          <t>Stuff 3</t>
        </is>
      </c>
      <c r="B23343">
        <f>HYPERLINK("https://www.dofusbook.net/fr/equipement/165016-stuff-3/objets", "link")</f>
        <v/>
      </c>
      <c r="C23343" t="n">
        <v>1</v>
      </c>
      <c r="D23343" t="inlineStr">
        <is>
          <t>Dagues Érhy; Amulette du Strigide; Bracelet du Piloztère; Bague Gloursonne; Ceintacé; Chapeau de Gein; Voile d'encre; Bottes du Strigide; Dofus des Glaces; Dofus Pourpre; Dofus Turquoise; Vigoureux majeur; Nomade; Remueur; Kramkram</t>
        </is>
      </c>
    </row>
    <row r="23344">
      <c r="A23344" t="inlineStr">
        <is>
          <t>Stuff 1</t>
        </is>
      </c>
      <c r="B23344">
        <f>HYPERLINK("https://www.dofusbook.net/fr/equipement/165008-stuff-1/objets", "link")</f>
        <v/>
      </c>
      <c r="C23344" t="n">
        <v>1</v>
      </c>
      <c r="D23344" t="inlineStr">
        <is>
          <t>Hache du Chalœil; Amulette de l'Indicible; Bague Gloursonne; Anneau de Padgref; Ceinture de l'Indicible; Le Dorado; Voile d'encre; Sandales  d'Atcham; Dofus Pourpre; Dofus des Glaces; Remueur; Nomade; Vigoureux majeur; Érudit majeur; El Scarador</t>
        </is>
      </c>
    </row>
    <row r="23345">
      <c r="A23345" t="inlineStr">
        <is>
          <t>feu</t>
        </is>
      </c>
      <c r="B23345">
        <f>HYPERLINK("https://www.dofusbook.net/fr/equipement/5992630-feu/objets", "link")</f>
        <v/>
      </c>
      <c r="C23345" t="n">
        <v>0</v>
      </c>
      <c r="D23345" t="inlineStr">
        <is>
          <t>Arc corrompu; Amulette Volkorne; Anneauræus; Anneauræus; Bouclier du Stalak; Ceinture Volkorne; Casque Dragoeuf; Cape de Diondin; Bottes Innommables; Dofus Vulbis; Dofus Ivoire; Dofus Abyssal; Dofus Ocre; Dofus Ébène; Érudit majeur</t>
        </is>
      </c>
    </row>
    <row r="23346">
      <c r="A23346" t="inlineStr">
        <is>
          <t>terre ini</t>
        </is>
      </c>
      <c r="B23346">
        <f>HYPERLINK("https://www.dofusbook.net/fr/equipement/5964104-terre-ini/objets", "link")</f>
        <v/>
      </c>
      <c r="C23346" t="n">
        <v>1</v>
      </c>
      <c r="D23346" t="inlineStr">
        <is>
          <t>Arc du Chalœil; Collier de Tourthon; Anneau Crustique; Annolamour; Bouclier Taverne; Ceinture Gence; Masque Trithon; Cape au Logis; Bottes Trithon; Dofus Ivoire; Dofus Ocre; Dofus Ébène; Dofus Abyssal; Enragé majeur; Culbuteur majeur; Black Tiwabbit</t>
        </is>
      </c>
    </row>
    <row r="23347">
      <c r="A23347" t="inlineStr">
        <is>
          <t>air jahash</t>
        </is>
      </c>
      <c r="B23347">
        <f>HYPERLINK("https://www.dofusbook.net/fr/equipement/5818464-air-jahash/objets", "link")</f>
        <v/>
      </c>
      <c r="C23347" t="n">
        <v>0</v>
      </c>
      <c r="D23347" t="inlineStr">
        <is>
          <t>Manthache; Collier du Valet Veinard; Gant du Valet Veinard; Alliance Gloursonne; Cadran d'Air; Ceinture de l'Esprit Salvateur; Masque de l'Esprit Salvateur; Cape de Jahash Jurgen; Bottes de l'Esprit Salvateur; Dofus Ébène; Dofus Ocre; Dofus Abyssal; Dofus Pourpre; Dofus Ivoire; Dofus Vulbis; Dragodinde Ebène et Ivoire</t>
        </is>
      </c>
    </row>
    <row r="23348">
      <c r="A23348" t="inlineStr">
        <is>
          <t>ret pm</t>
        </is>
      </c>
      <c r="B23348">
        <f>HYPERLINK("https://www.dofusbook.net/fr/equipement/5748607-ret-pm/objets", "link")</f>
        <v/>
      </c>
      <c r="C23348" t="n">
        <v>1</v>
      </c>
      <c r="D23348" t="inlineStr">
        <is>
          <t>Amulette des Chocomanciens; Ceinture des Chocomanciens; Bottes du Cul Botté; Ralentisseur majeur; Entraveur majeur; Entraveur; Temporiseur majeur; Volkorne Turquoise</t>
        </is>
      </c>
    </row>
    <row r="23349">
      <c r="A23349" t="inlineStr">
        <is>
          <t>eau crit</t>
        </is>
      </c>
      <c r="B23349">
        <f>HYPERLINK("https://www.dofusbook.net/fr/equipement/5435913-eau-crit/objets", "link")</f>
        <v/>
      </c>
      <c r="C23349" t="n">
        <v>5</v>
      </c>
      <c r="D23349" t="inlineStr">
        <is>
          <t>Sceptre du Roi Joueur; Amulette Volkorne; Alliance Gloursonne; Anneau Volkorne; Quatre-feuilles; Sangle Ouare; Kidibonnet; Cape de la Dame du Hasard; Bottes de la Dame du Hasard; Dofus Ébène; Dofus Ivoire; Dofus Turquoise; Dofus Abyssal; Dofus Pourpre; Dofus Ocre; Dragodinde Emeraude et Indigo</t>
        </is>
      </c>
    </row>
    <row r="23350">
      <c r="A23350" t="inlineStr">
        <is>
          <t>terre dégats</t>
        </is>
      </c>
      <c r="B23350">
        <f>HYPERLINK("https://www.dofusbook.net/fr/equipement/4034910-terre-degats/objets", "link")</f>
        <v/>
      </c>
      <c r="C23350" t="n">
        <v>10</v>
      </c>
      <c r="D23350" t="inlineStr">
        <is>
          <t>Marteau R'ture; Amulette du Strigide; Anneau Chevelu; Anneau Volkorne; Bouclier du Captain Amakna; Ceinture Volkorne; Masque de Koutoulou; Cape au Logis; Bottes de la Cour Sombre; Dofus Ocre; Dofus Pourpre; Dofus Turquoise; Dofus Ivoire; Vigoureux majeur; Enragé majeur; Dragodinde Ivoire et Pourpre</t>
        </is>
      </c>
    </row>
    <row r="23351">
      <c r="A23351" t="inlineStr">
        <is>
          <t>air ret PM</t>
        </is>
      </c>
      <c r="B23351">
        <f>HYPERLINK("https://www.dofusbook.net/fr/equipement/4129419-air-ret-pm/objets", "link")</f>
        <v/>
      </c>
      <c r="C23351" t="n">
        <v>0</v>
      </c>
      <c r="D23351" t="inlineStr">
        <is>
          <t>Manthache; Amulette Hale; Gant du Valet Veinard; Alliance Gloursonne; Bouclier cubiste; Menoture; Casque Dragoeuf; Cape du Kamasterisk; Chaussures Face; Dofus Pourpre; Dofus Ocre; Dofus Abyssal; Dofus Ivoire; Cascadeur majeur; Léopardo</t>
        </is>
      </c>
    </row>
    <row r="23352">
      <c r="A23352" t="inlineStr">
        <is>
          <t>terre ini 12PA</t>
        </is>
      </c>
      <c r="B23352">
        <f>HYPERLINK("https://www.dofusbook.net/fr/equipement/4170409-terre-ini-12pa/objets", "link")</f>
        <v/>
      </c>
      <c r="C23352" t="n">
        <v>4</v>
      </c>
      <c r="D23352" t="inlineStr">
        <is>
          <t>Arc du Chalœil; Amulette du Cœur Saignant; Anneau Volkorne; Bracelet du Piloztère; Quatre-feuilles; Ceinture Volkorne; Chapeau de Gein; Cape du Cœur Saignant; Bottes du Cœur Saignant; Dofus Ocre; Dofus Ivoire; Dofus Pourpre; Dofus Nébuleux; Dofus Vulbis; Dofus Abyssal; Kougnard</t>
        </is>
      </c>
    </row>
    <row r="23353">
      <c r="A23353" t="inlineStr">
        <is>
          <t>do pou</t>
        </is>
      </c>
      <c r="B23353">
        <f>HYPERLINK("https://www.dofusbook.net/fr/equipement/1512450-do-pou/objets", "link")</f>
        <v/>
      </c>
      <c r="C23353" t="n">
        <v>9</v>
      </c>
      <c r="D23353" t="inlineStr">
        <is>
          <t>Bague Trithon; Alliance Gloursonne; Bouclier Taverne; Ceinture Glaciale; Casque Dragoeuf; Cape Solution; Bottes Trithon; Dofus Abyssal; Dofus Ivoire; Dofus Ocre; Dofus Pourpre; Imprenable majeur; Bousculeur majeur; Balafreux</t>
        </is>
      </c>
    </row>
    <row r="23354">
      <c r="A23354" t="inlineStr">
        <is>
          <t>eau do pou</t>
        </is>
      </c>
      <c r="B23354">
        <f>HYPERLINK("https://www.dofusbook.net/fr/equipement/4166479-eau-do-pou/objets", "link")</f>
        <v/>
      </c>
      <c r="C23354" t="n">
        <v>2</v>
      </c>
      <c r="D23354" t="inlineStr">
        <is>
          <t>Amulette de Shokkoth; Alliance Gloursonne; Bouclier Taverne; Poulpagne; Bottes Trithon; Dofus Pourpre; Dofus Abyssal; Dofus Ivoire; Dofus Ocre; Bousculeur majeur; Imprenable majeur; Balafreux</t>
        </is>
      </c>
    </row>
    <row r="23355">
      <c r="A23355" t="inlineStr">
        <is>
          <t>air dégats</t>
        </is>
      </c>
      <c r="B23355">
        <f>HYPERLINK("https://www.dofusbook.net/fr/equipement/3179611-air-degats/objets", "link")</f>
        <v/>
      </c>
      <c r="C23355" t="n">
        <v>0</v>
      </c>
      <c r="D23355" t="inlineStr">
        <is>
          <t>Lance Horselé; Amulette du Strigide; Anneau Toriété; Anneau Volkorne; Cadran d'Air; Menoture; Casque Volkorne; Cape de Crânonier; Bottes du Strigide; Dofus Turquoise; Dofus Ocre; Dolmanax; Dofus Abyssal; Dofus Pourpre; Dofus Ivoire; Dragodinde Ebène et Ivoire</t>
        </is>
      </c>
    </row>
    <row r="23356">
      <c r="A23356" t="inlineStr">
        <is>
          <t>terre CaC</t>
        </is>
      </c>
      <c r="B23356">
        <f>HYPERLINK("https://www.dofusbook.net/fr/equipement/4151952-terre-cac/objets", "link")</f>
        <v/>
      </c>
      <c r="C23356" t="n">
        <v>3</v>
      </c>
      <c r="D23356" t="inlineStr">
        <is>
          <t>Dagues d'Ilyzaelle; Amulette du Cœur Saignant; Anneau Volkorne; Bague Trithon; Bouclier du Captain Amakna; Ceinture Volkorne; Masque de Koutoulou; Cape du Cœur Saignant; Bottes Trithon; Dofus Ivoire; Dofus Abyssal; Dofus Turquoise; Dofus Pourpre; Dofus Vulbis; Dofus Ocre; Pioute vert</t>
        </is>
      </c>
    </row>
    <row r="23357">
      <c r="A23357" t="inlineStr">
        <is>
          <t>terre CaC</t>
        </is>
      </c>
      <c r="B23357">
        <f>HYPERLINK("https://www.dofusbook.net/fr/equipement/4152176-terre-cac/objets", "link")</f>
        <v/>
      </c>
      <c r="C23357" t="n">
        <v>0</v>
      </c>
      <c r="D23357" t="inlineStr">
        <is>
          <t>Dagues d'Ilyzaelle; Amulette du Strigide; Ceinture du Strigide; Masque de Koutoulou; Cape du Cœur Saignant; Bottes du Cœur Saignant</t>
        </is>
      </c>
    </row>
    <row r="23358">
      <c r="A23358" t="inlineStr">
        <is>
          <t>feu eau</t>
        </is>
      </c>
      <c r="B23358">
        <f>HYPERLINK("https://www.dofusbook.net/fr/equipement/4107645-feu-eau/objets", "link")</f>
        <v/>
      </c>
      <c r="C23358" t="n">
        <v>0</v>
      </c>
      <c r="D23358" t="inlineStr">
        <is>
          <t>Arc Nécrotique; Amulette Volkorne; Anneau Volkorne; Alliance Gloursonne; Quatre-feuilles; Ceintacé; Masque Trithon; Cape d'Anerice; Bottes Trithon; Dofus Vulbis; Dofus Ocre; Dofus Turquoise; Dofus Abyssal; Dofus Pourpre; Dofus Ivoire; Dragodinde Indigo et Ivoire</t>
        </is>
      </c>
    </row>
    <row r="23359">
      <c r="A23359" t="inlineStr">
        <is>
          <t>foulo</t>
        </is>
      </c>
      <c r="B23359">
        <f>HYPERLINK("https://www.dofusbook.net/fr/equipement/4123405-foulo/objets", "link")</f>
        <v/>
      </c>
      <c r="C23359" t="n">
        <v>0</v>
      </c>
      <c r="D23359" t="inlineStr">
        <is>
          <t>Sceptre du Roi Joueur; Amulette Volkorne; Alliance Gloursonne; Anneau Volkorne; Quatre-feuilles; Pagne du Rykaon; Casque Dragoeuf; Cape de l'Œil Attentif; Pataugastrique; Dofus Ocre; Dofus Vulbis; Dofus Ivoire; Dofus Turquoise; Dofus Pourpre; Chanceux majeur; Dragodinde Indigo et Ivoire</t>
        </is>
      </c>
    </row>
    <row r="23360">
      <c r="A23360" t="inlineStr">
        <is>
          <t>eau malef</t>
        </is>
      </c>
      <c r="B23360">
        <f>HYPERLINK("https://www.dofusbook.net/fr/equipement/4106767-eau-malef/objets", "link")</f>
        <v/>
      </c>
      <c r="C23360" t="n">
        <v>1</v>
      </c>
      <c r="D23360" t="inlineStr">
        <is>
          <t>Baguette de Malléfisk; Amulette d'Ilyzaelle; Anneau Volkorne; Alliance Gloursonne; Bouclier d'Ilyzaelle; Ceinture Volkorne; Casque d'Ilyzaelle; Cape de Meno; Bottes de Meno; Dofus Abyssal; Dofus Ivoire; Dofus Vulbis; Dofus Pourpre; Dofus Ocre; Dragodinde Indigo et Rousse</t>
        </is>
      </c>
    </row>
    <row r="23361">
      <c r="A23361" t="inlineStr">
        <is>
          <t>air esq PA</t>
        </is>
      </c>
      <c r="B23361">
        <f>HYPERLINK("https://www.dofusbook.net/fr/equipement/4057579-air-esq-pa/objets", "link")</f>
        <v/>
      </c>
      <c r="C23361" t="n">
        <v>13</v>
      </c>
      <c r="D23361" t="inlineStr">
        <is>
          <t>Héqache; Collier du Valet Veinard; Alliance Gloursonne; Gant du Valet Veinard; Bouclier du Stalak; Menoture; Couronne d'Allister; Cape d'Anerice; Palmes Trithons; Dofus Ocre; Dofus Vulbis; Dofus Ivoire; Évasif majeur; Carapace Air majeur; Cascadeur majeur; Dragodinde Ebène et Ivoire</t>
        </is>
      </c>
    </row>
    <row r="23362">
      <c r="A23362" t="inlineStr">
        <is>
          <t>air malef</t>
        </is>
      </c>
      <c r="B23362">
        <f>HYPERLINK("https://www.dofusbook.net/fr/equipement/4053234-air-malef/objets", "link")</f>
        <v/>
      </c>
      <c r="C23362" t="n">
        <v>4</v>
      </c>
      <c r="D23362" t="inlineStr">
        <is>
          <t>Baguette de Malléfisk; Amulette d'Ilyzaelle; Alliance Gloursonne; Anneau Rifique; Bouclier du Stalak; Menoture; Casque d'Ilyzaelle; Cape Martegel; Dofus Vulbis; Dofus Ivoire; Dofus Ocre; Dofus Abyssal; Carapace Eau majeur; Cascadeur majeur; Dragodinde Ebène et Rousse</t>
        </is>
      </c>
    </row>
    <row r="23363">
      <c r="A23363" t="inlineStr">
        <is>
          <t>feu ret PA</t>
        </is>
      </c>
      <c r="B23363">
        <f>HYPERLINK("https://www.dofusbook.net/fr/equipement/4048042-feu-ret-pa/objets", "link")</f>
        <v/>
      </c>
      <c r="C23363" t="n">
        <v>0</v>
      </c>
      <c r="D23363" t="inlineStr">
        <is>
          <t>Rouleau à Pâtisserie d'Aermyne; Collier Rophante; Alliance Gloursonne; Anneau Crustique; Bouclier du Mont Kipou; Menoture; Chapoulpe; Tentassons; Dofus Ivoire; Dofus Abyssal; Étourdisseur majeur; Paralyseur majeur; Kougnard</t>
        </is>
      </c>
    </row>
    <row r="23364">
      <c r="A23364" t="inlineStr">
        <is>
          <t>terre esq fuite</t>
        </is>
      </c>
      <c r="B23364">
        <f>HYPERLINK("https://www.dofusbook.net/fr/equipement/3442395-terre-esq-fuite/objets", "link")</f>
        <v/>
      </c>
      <c r="C23364" t="n">
        <v>10</v>
      </c>
      <c r="D23364" t="inlineStr">
        <is>
          <t>Marteau R'ture; Amulette du Piloztère; Anneau Volkorne; Anneau Chevelu; Bouclier du Stalak; Ceinture Volkorne; Masque de Koutoulou; Cape au Logis; Bottes de la Cour Sombre; Dofus Pourpre; Dofus Ivoire; Dofus Ocre; Dofus Abyssal; Évasif majeur; Enragé majeur; Chienchien Tigré</t>
        </is>
      </c>
    </row>
    <row r="23365">
      <c r="A23365" t="inlineStr">
        <is>
          <t>terre fuite esq 2</t>
        </is>
      </c>
      <c r="B23365">
        <f>HYPERLINK("https://www.dofusbook.net/fr/equipement/4009077-terre-fuite-esq-2/objets", "link")</f>
        <v/>
      </c>
      <c r="C23365" t="n">
        <v>7</v>
      </c>
      <c r="D23365" t="inlineStr">
        <is>
          <t>Marteau R'ture; Amulette du Strigide; Anneau Chevelu; Anneau de Brouce; Bouclier du Stalak; Ceinture Volkorne; Casque Dragoeuf; Cape au Logis; Bottes du Strigide; Dolmanax; Dofus Abyssal; Dofus Pourpre; Dofus Ivoire; Dofus Turquoise; Dofus Ocre; Chienchien Tigré</t>
        </is>
      </c>
    </row>
    <row r="23366">
      <c r="A23366" t="inlineStr">
        <is>
          <t>terre esq 3</t>
        </is>
      </c>
      <c r="B23366">
        <f>HYPERLINK("https://www.dofusbook.net/fr/equipement/4009200-terre-esq-3/objets", "link")</f>
        <v/>
      </c>
      <c r="C23366" t="n">
        <v>0</v>
      </c>
      <c r="D23366" t="inlineStr">
        <is>
          <t>Marteau R'ture; Amulette du Piloztère; Anneau Volkorne; Bouclier du Stalak; Ceinture Volkorne; Casque Dragoeuf; Cape au Logis; Pantoufles du Piloztère; Dofus Pourpre; Dofus Ivoire; Dofus Turquoise; Dofus Ocre; Dolmanax; Dofus Abyssal; Chienchien Tigré</t>
        </is>
      </c>
    </row>
    <row r="23367">
      <c r="A23367" t="inlineStr">
        <is>
          <t>full ret PA</t>
        </is>
      </c>
      <c r="B23367">
        <f>HYPERLINK("https://www.dofusbook.net/fr/equipement/3971272-full-ret-pa/objets", "link")</f>
        <v/>
      </c>
      <c r="C23367" t="n">
        <v>14</v>
      </c>
      <c r="D23367" t="inlineStr">
        <is>
          <t>Rouleau à Pâtisserie d'Aermyne; Collier Rophante; Alliance Gloursonne; Anneau Crustique; Bouclier du Mont Kipou; Menoture; Casque Dragoeuf; Cape du Cœur Vaillant; Bottes du Cœur Vaillant; Dofus Abyssal; Dofus Ivoire; Dofus Ocre; Paralyseur majeur; Étourdisseur majeur; Dragoune Rose</t>
        </is>
      </c>
    </row>
    <row r="23368">
      <c r="A23368" t="inlineStr">
        <is>
          <t>terre air ini</t>
        </is>
      </c>
      <c r="B23368">
        <f>HYPERLINK("https://www.dofusbook.net/fr/equipement/3969573-terre-air-ini/objets", "link")</f>
        <v/>
      </c>
      <c r="C23368" t="n">
        <v>0</v>
      </c>
      <c r="D23368" t="inlineStr">
        <is>
          <t>Amulette du Strigide; Ceinture Volkorne; Casque Volkorne; Dofusteuse; Bottes du Strigide</t>
        </is>
      </c>
    </row>
    <row r="23369">
      <c r="A23369" t="inlineStr">
        <is>
          <t>feu</t>
        </is>
      </c>
      <c r="B23369">
        <f>HYPERLINK("https://www.dofusbook.net/fr/equipement/338399-feu/objets", "link")</f>
        <v/>
      </c>
      <c r="C23369" t="n">
        <v>0</v>
      </c>
      <c r="D23369" t="inlineStr">
        <is>
          <t>Arc corrompu; Amulette Volkorne; Anneauræus; Anneauræus; Bouclier du Stalak; Ceinture Volkorne; Casque Dragoeuf; Cape de Diondin; Bottes Innommables; Dofus Pourpre; Dofus Ivoire; Dofus Ocre; Dofus Abyssal; Érudit majeur; Nomade; Tanuk</t>
        </is>
      </c>
    </row>
    <row r="23370">
      <c r="A23370" t="inlineStr">
        <is>
          <t>feu res crit</t>
        </is>
      </c>
      <c r="B23370">
        <f>HYPERLINK("https://www.dofusbook.net/fr/equipement/3962980-feu-res-crit/objets", "link")</f>
        <v/>
      </c>
      <c r="C23370" t="n">
        <v>4</v>
      </c>
      <c r="D23370" t="inlineStr">
        <is>
          <t>Arc corrompu; Amulette Volkorne; Anneauræus; Anneau Volkorne; Bouclier du Stalak; Protopagne; Casque Dragoeuf; Cape de Diondin; Bottes Innommables; Dofus Ocre; Dofus Pourpre; Dofus Abyssal; Dofus Ivoire; Fortification majeure; Érudit majeur; Dragodinde Ivoire et Orchidée</t>
        </is>
      </c>
    </row>
    <row r="23371">
      <c r="A23371" t="inlineStr">
        <is>
          <t>feu ini 2</t>
        </is>
      </c>
      <c r="B23371">
        <f>HYPERLINK("https://www.dofusbook.net/fr/equipement/3907425-feu-ini-2/objets", "link")</f>
        <v/>
      </c>
      <c r="C23371" t="n">
        <v>2</v>
      </c>
      <c r="D23371" t="inlineStr">
        <is>
          <t>Baguette de Malléfisk; Amulette Volkorne; Anneau de Nidas; Anneauræus; Bouclier de Solar; Sangle Aise; Masque d'Anerice; Cape d'Anerice; Bottes Innommables; Dofus Abyssal; Dofus Ocre; Dofus Ivoire; Dolmanax; Dofus des Glaces; Dofus Vulbis; Dragodinde Amande et Orchidée</t>
        </is>
      </c>
    </row>
    <row r="23372">
      <c r="A23372" t="inlineStr">
        <is>
          <t>feu ini</t>
        </is>
      </c>
      <c r="B23372">
        <f>HYPERLINK("https://www.dofusbook.net/fr/equipement/3907224-feu-ini/objets", "link")</f>
        <v/>
      </c>
      <c r="C23372" t="n">
        <v>5</v>
      </c>
      <c r="D23372" t="inlineStr">
        <is>
          <t>Baguette de Malléfisk; Amulette Volkorne; Anneau de Nidas; Anneauræus; Bouclier d'Anerice; Protopagne; Heaume Oplate; Cape d'Anerice; Chaussures Ardentes; Dofus des Glaces; Dofus Abyssal; Dofus Ocre; Dofus Ivoire; Érudit majeur; Fonceur majeur; Dragodinde Amande et Orchidée</t>
        </is>
      </c>
    </row>
    <row r="23373">
      <c r="A23373" t="inlineStr">
        <is>
          <t>eau ret ini esq PM</t>
        </is>
      </c>
      <c r="B23373">
        <f>HYPERLINK("https://www.dofusbook.net/fr/equipement/3903019-eau-ret-ini-esq-pm/objets", "link")</f>
        <v/>
      </c>
      <c r="C23373" t="n">
        <v>6</v>
      </c>
      <c r="D23373" t="inlineStr">
        <is>
          <t>Epée Loponèze; Amulette d'Ilyzaelle; Alliance Gloursonne; Anneau Volkorne; Cadran de Terre; Ceinture du Barbétoal; Casque Volkorne; Cape Matelassée; Pataugastrique; Dofus Abyssal; Dofus Ivoire; Dofus Vulbis; Étourdisseur majeur; Chanceux majeur; Cavaleur majeur; Dragodinde Amande et Indigo</t>
        </is>
      </c>
    </row>
    <row r="23374">
      <c r="A23374" t="inlineStr">
        <is>
          <t>eau ret</t>
        </is>
      </c>
      <c r="B23374">
        <f>HYPERLINK("https://www.dofusbook.net/fr/equipement/3888138-eau-ret/objets", "link")</f>
        <v/>
      </c>
      <c r="C23374" t="n">
        <v>6</v>
      </c>
      <c r="D23374" t="inlineStr">
        <is>
          <t>Epée Loponèze; Amulette d'Ilyzaelle; Anneau Volkorne; Alliance Gloursonne; Cadran de Terre; Ceinture Glaciale; Casque d'Ilyzaelle; Cape de l'Œil Attentif; Pataugastrique; Dofus Ocre; Dofus Abyssal; Dofus Ivoire; Nomade; Étourdisseur majeur; Chanceux majeur; Tanuk</t>
        </is>
      </c>
    </row>
    <row r="23375">
      <c r="A23375" t="inlineStr">
        <is>
          <t>Terre</t>
        </is>
      </c>
      <c r="B23375">
        <f>HYPERLINK("https://www.dofusbook.net/fr/equipement/3885691-terre-/objets", "link")</f>
        <v/>
      </c>
      <c r="C23375" t="n">
        <v>0</v>
      </c>
      <c r="D23375" t="inlineStr">
        <is>
          <t>Dagues Érhy; Amulette Volkorne; Bague Gloursonne; Anneau Chevelu; Bouclier Bontarien; Ceinture Volkorne; Casque Dragoeuf; Voile d'encre; Bottes Dogues; Dofus Ivoire; Dofus Ocre; Dofus des Glaces; Remueur; Enragé majeur; Bulbisou</t>
        </is>
      </c>
    </row>
    <row r="23376">
      <c r="A23376" t="inlineStr">
        <is>
          <t>feu esq 3</t>
        </is>
      </c>
      <c r="B23376">
        <f>HYPERLINK("https://www.dofusbook.net/fr/equipement/3858788-feu-esq-3/objets", "link")</f>
        <v/>
      </c>
      <c r="C23376" t="n">
        <v>6</v>
      </c>
      <c r="D23376" t="inlineStr">
        <is>
          <t>Dagues Érhy; Amulette Volkorne; Anneauræus; Anneauræus; Écorce de Brouce; Ceinture Volkorne; Casque Dragoeuf; Cape de Diondin; Chaussures Ardentes; Dofus Vulbis; Dofus Abyssal; Dofus Ocre; Dofus Ivoire; Érudit majeur; Évasif majeur; Raknaille</t>
        </is>
      </c>
    </row>
    <row r="23377">
      <c r="A23377" t="inlineStr">
        <is>
          <t>eau non opti</t>
        </is>
      </c>
      <c r="B23377">
        <f>HYPERLINK("https://www.dofusbook.net/fr/equipement/3862701-eau-non-opti/objets", "link")</f>
        <v/>
      </c>
      <c r="C23377" t="n">
        <v>1</v>
      </c>
      <c r="D23377" t="inlineStr">
        <is>
          <t>Rapière aux Glyphes; Amulette de Shokkoth; Bague Trithon; Alliance Gloursonne; Bouclier du Stalak; Sangle Ouare; Casque Dragoeuf; Cape Solution; Bottes Trithon; Dofus Pourpre; Dofus Abyssal; Culbuteur majeur; Vigoureux majeur; Remueur; Chanceux majeur; Écumouth</t>
        </is>
      </c>
    </row>
    <row r="23378">
      <c r="A23378" t="inlineStr">
        <is>
          <t>terre esq</t>
        </is>
      </c>
      <c r="B23378">
        <f>HYPERLINK("https://www.dofusbook.net/fr/equipement/3861693-terre-esq/objets", "link")</f>
        <v/>
      </c>
      <c r="C23378" t="n">
        <v>1</v>
      </c>
      <c r="D23378" t="inlineStr">
        <is>
          <t>Lav'Hache; Amulette du Piloztère; Bracelet du Piloztère; Anneau Chevelu; Écorce de Brouce; Ceinture Volkorne; Masque de Koutoulou; Cape au Logis; Bottes de la Cour Sombre; Dofus Ivoire; Dofus Ocre; Dofus des Glaces; Dofus Abyssal; Évasif majeur; Enragé majeur; Chienchien Tigré</t>
        </is>
      </c>
    </row>
    <row r="23379">
      <c r="A23379" t="inlineStr">
        <is>
          <t>feu esq 2</t>
        </is>
      </c>
      <c r="B23379">
        <f>HYPERLINK("https://www.dofusbook.net/fr/equipement/3858645-feu-esq-2/objets", "link")</f>
        <v/>
      </c>
      <c r="C23379" t="n">
        <v>5</v>
      </c>
      <c r="D23379" t="inlineStr">
        <is>
          <t>Massier; Amulette Volkorne; Anneauræus; Anneauræus; Bouclier d'Anerice; Ceinture Séculaire; Masquegel; Cape d'Anerice; Bottes Dogues; Dofus Ocre; Dofus Abyssal; Dofus Ivoire; Dofus des Glaces; Érudit majeur; Évasif majeur; Chienchien Tigré</t>
        </is>
      </c>
    </row>
    <row r="23380">
      <c r="A23380" t="inlineStr">
        <is>
          <t>feu esquive</t>
        </is>
      </c>
      <c r="B23380">
        <f>HYPERLINK("https://www.dofusbook.net/fr/equipement/3858563-feu-esquive/objets", "link")</f>
        <v/>
      </c>
      <c r="C23380" t="n">
        <v>5</v>
      </c>
      <c r="D23380" t="inlineStr">
        <is>
          <t>Massier; Amulette Volkorne; Anneauræus; Anneau Volkorne; Écorce de Brouce; Ceinture Volkorne; Masquegel; Cape Martegel; Chaussures Ardentes; Dofus Ocre; Dofus Ivoire; Dofus des Glaces; Dofus Émeraude; Dofus Abyssal; Chienchien Tigré</t>
        </is>
      </c>
    </row>
    <row r="23381">
      <c r="A23381" t="inlineStr">
        <is>
          <t>terre ini</t>
        </is>
      </c>
      <c r="B23381">
        <f>HYPERLINK("https://www.dofusbook.net/fr/equipement/3849219-terre-ini/objets", "link")</f>
        <v/>
      </c>
      <c r="C23381" t="n">
        <v>11</v>
      </c>
      <c r="D23381" t="inlineStr">
        <is>
          <t>Dagues Érhy; Amulette Volkorne; Pikano; Anneau Chevelu; Bouclier de Solar; Ceinture Volkorne; Casque Dragoeuf; Cape au Logis; Bottes de la Cour Sombre; Dofus Abyssal; Dofus Ocre; Dofus Ivoire; Dofus des Glaces; Enragé majeur; Remueur; Kougnard</t>
        </is>
      </c>
    </row>
    <row r="23382">
      <c r="A23382" t="inlineStr">
        <is>
          <t>terre ini</t>
        </is>
      </c>
      <c r="B23382">
        <f>HYPERLINK("https://www.dofusbook.net/fr/equipement/3845268-terre-ini/objets", "link")</f>
        <v/>
      </c>
      <c r="C23382" t="n">
        <v>5</v>
      </c>
      <c r="D23382" t="inlineStr">
        <is>
          <t>Lav'Hache; Amulette Volkorne; Anneau Volkorne; Alliance Brûlâme; Bouclier d'Anerice; Ceinture Volkorne; Masque Brûlâme; Cape d'Anerice; Pompes Funèbres; Dofus Ocre; Dofus Ivoire; Dofus des Glaces; Dofus Émeraude; Dofus Abyssal; Féroce majeur; Kougnard</t>
        </is>
      </c>
    </row>
    <row r="23383">
      <c r="A23383" t="inlineStr">
        <is>
          <t>terre</t>
        </is>
      </c>
      <c r="B23383">
        <f>HYPERLINK("https://www.dofusbook.net/fr/equipement/3815245-terre/objets", "link")</f>
        <v/>
      </c>
      <c r="C23383" t="n">
        <v>5</v>
      </c>
      <c r="D23383" t="inlineStr">
        <is>
          <t>Lav'Hache; Amulette Volkorne; Anneau Chevelu; Pikano; Bouclier de Solar; Ceinture Volkorne; Casque Dragoeuf; Cape au Logis; Sabots Minables; Dofus Ocre; Dofus Ivoire; Dofus des Glaces; Dofus Abyssal; Miraculé majeur; Enragé majeur; Bulbisou</t>
        </is>
      </c>
    </row>
    <row r="23384">
      <c r="A23384" t="inlineStr">
        <is>
          <t>air deplumage</t>
        </is>
      </c>
      <c r="B23384">
        <f>HYPERLINK("https://www.dofusbook.net/fr/equipement/3815589-air-deplumage/objets", "link")</f>
        <v/>
      </c>
      <c r="C23384" t="n">
        <v>3</v>
      </c>
      <c r="D23384" t="inlineStr">
        <is>
          <t>Dagues Érhy; Collier du Valet Veinard; Gant du Valet Veinard; Alliance Gloursonne; Cadran d'Air; Menoture; Casque Dragoeuf; Cape Indescriptible; Palmes Trithons; Dofus Nébuleux; Dofus Abyssal; Dofus Ocre; Dofus Ivoire; Dofus des Glaces; Cascadeur majeur; Blérodoudou</t>
        </is>
      </c>
    </row>
    <row r="23385">
      <c r="A23385" t="inlineStr">
        <is>
          <t>terre 2e jet</t>
        </is>
      </c>
      <c r="B23385">
        <f>HYPERLINK("https://www.dofusbook.net/fr/equipement/3815434-terre-2e-jet/objets", "link")</f>
        <v/>
      </c>
      <c r="C23385" t="n">
        <v>5</v>
      </c>
      <c r="D23385" t="inlineStr">
        <is>
          <t>Lav'Hache; Amulette Héroclite; Pikano; Anneau Chevelu; Roncier; Ceinture Volkorne; Masque de Koutoulou; Cape au Logis; Sabots Minables; Dofus Ivoire; Dofus des Glaces; Dofus Abyssal; Carapace Terre majeur; Miraculé majeur; Enragé majeur; Bulbisou</t>
        </is>
      </c>
    </row>
    <row r="23386">
      <c r="A23386" t="inlineStr">
        <is>
          <t>feu terre</t>
        </is>
      </c>
      <c r="B23386">
        <f>HYPERLINK("https://www.dofusbook.net/fr/equipement/3815108-feu-terre/objets", "link")</f>
        <v/>
      </c>
      <c r="C23386" t="n">
        <v>7</v>
      </c>
      <c r="D23386" t="inlineStr">
        <is>
          <t>Dagues Érhy; Amulette Volkorne; Anneau de Pol Ouatnos; Chevalière du Roi Joueur; Bouclier d'Anerice; Ceinture Volkorne; Couronne du Roi Joueur; Cape d'Anerice; Bottes du Roi Joueur; Dofus des Glaces; Dofus Ocre; Dofus Ivoire; Dofus Abyssal; Dofus Émeraude; Féroce majeur; Bisouglours</t>
        </is>
      </c>
    </row>
    <row r="23387">
      <c r="A23387" t="inlineStr">
        <is>
          <t>feu</t>
        </is>
      </c>
      <c r="B23387">
        <f>HYPERLINK("https://www.dofusbook.net/fr/equipement/3814939-feu-/objets", "link")</f>
        <v/>
      </c>
      <c r="C23387" t="n">
        <v>5</v>
      </c>
      <c r="D23387" t="inlineStr">
        <is>
          <t>Hache Téroïde; Amulette Volkorne; Anneauræus; Anneau Tique; Ceinture Volkorne; Casque Dragoeuf; Cape de Diondin; Chaussures Ardentes; Dofus Ocre; Dofus Ivoire; Dofus des Glaces; Dofus Abyssal; Nomade; Érudit majeur; Bisouglours</t>
        </is>
      </c>
    </row>
    <row r="23388">
      <c r="A23388" t="inlineStr">
        <is>
          <t>full eau</t>
        </is>
      </c>
      <c r="B23388">
        <f>HYPERLINK("https://www.dofusbook.net/fr/equipement/2228531-full-eau/objets", "link")</f>
        <v/>
      </c>
      <c r="C23388" t="n">
        <v>8</v>
      </c>
      <c r="D23388" t="inlineStr">
        <is>
          <t>Epée Loponèze; Amulette du Strigide; Anneau Volkorne; Alliance Gloursonne; Bouclier du Stalak; Poulpagne; Casque Dragoeuf; Cape de la Dame du Hasard; Bottes du Strigide; Dofus Pourpre; Dofus Vulbis; Dofus Ocre; Dofus Ivoire; Chanceux majeur; Dragodinde Indigo et Ivoire</t>
        </is>
      </c>
    </row>
    <row r="23389">
      <c r="A23389" t="inlineStr">
        <is>
          <t>necro</t>
        </is>
      </c>
      <c r="B23389">
        <f>HYPERLINK("https://www.dofusbook.net/fr/equipement/697469-necro/objets", "link")</f>
        <v/>
      </c>
      <c r="C23389" t="n">
        <v>0</v>
      </c>
      <c r="D23389" t="inlineStr">
        <is>
          <t>Arc Nécrotique; Amulette Volkorne; Anneau Volkorne; Alliance Gloursonne; Quatre-feuilles; Sangle Ouare; Kidibonnet; Cape de la Dame du Hasard; Bottes de la Dame du Hasard; Dofus Ocre; Dofus Ivoire; Dofus des Glaces; Dofus Pourpre; Dofus Émeraude; Dofus Turquoise; Kokulte</t>
        </is>
      </c>
    </row>
    <row r="23390">
      <c r="A23390" t="inlineStr">
        <is>
          <t>Eau air</t>
        </is>
      </c>
      <c r="B23390">
        <f>HYPERLINK("https://www.dofusbook.net/fr/equipement/3653640-eau-air/objets", "link")</f>
        <v/>
      </c>
      <c r="C23390" t="n">
        <v>5</v>
      </c>
      <c r="D23390" t="inlineStr">
        <is>
          <t>Marteau des Anciens Steamers; Amulette du Strigide; Alliance Gloursonne; Anneau Volkorne; Bouclier du Stalak; Ceintacé; Casque Dragoeuf; Chevelure de Tal Kasha; Bottes du Strigide; Dofus Pourpre; Dolmanax; Dofus Ivoire; Dofus Vulbis; Dofus Ocre; Robuste majeur; Dragodinde Amande et Ivoire</t>
        </is>
      </c>
    </row>
    <row r="23391">
      <c r="A23391" t="inlineStr">
        <is>
          <t>Eau terre</t>
        </is>
      </c>
      <c r="B23391">
        <f>HYPERLINK("https://www.dofusbook.net/fr/equipement/3653639-eau-terre/objets", "link")</f>
        <v/>
      </c>
      <c r="C23391" t="n">
        <v>0</v>
      </c>
      <c r="D23391" t="inlineStr"/>
    </row>
    <row r="23392">
      <c r="A23392" t="inlineStr">
        <is>
          <t>foulter</t>
        </is>
      </c>
      <c r="B23392">
        <f>HYPERLINK("https://www.dofusbook.net/fr/equipement/3535271-foulter/objets", "link")</f>
        <v/>
      </c>
      <c r="C23392" t="n">
        <v>16</v>
      </c>
      <c r="D23392" t="inlineStr">
        <is>
          <t>Marteau R'ture; Amulette du Cœur Saignant; Anneau Volkorne; Anneau Chevelu; Cadran d'Eau; Ceinture Volkorne; Casque Dragoeuf; Cape du Cœur Saignant; Bottes du Cœur Saignant; Dofus Turquoise; Dofus Ocre; Dofus Vulbis; Dofus Nébuleux; Dofus Pourpre; Dofus Ivoire; Dragodinde Ivoire et Pourpre</t>
        </is>
      </c>
    </row>
    <row r="23393">
      <c r="A23393" t="inlineStr">
        <is>
          <t>12 PA</t>
        </is>
      </c>
      <c r="B23393">
        <f>HYPERLINK("https://www.dofusbook.net/fr/equipement/3633616-12-pa/objets", "link")</f>
        <v/>
      </c>
      <c r="C23393" t="n">
        <v>3</v>
      </c>
      <c r="D23393" t="inlineStr">
        <is>
          <t>Dagues Érhy; Collier du Valet Veinard; Alliance Gloursonne; Gant du Valet Veinard; Bouclier de Solar; Ceinture du Barbétoal; Casque Dragoeuf; Cape du Valet Veinard; Palmes Trithons; Dofus Abyssal; Dofus Ocre; Dofus Ivoire; Dofus des Glaces; Turbulent; Précurseur majeur; Muldo Ebène</t>
        </is>
      </c>
    </row>
    <row r="23394">
      <c r="A23394" t="inlineStr">
        <is>
          <t>terre do pou</t>
        </is>
      </c>
      <c r="B23394">
        <f>HYPERLINK("https://www.dofusbook.net/fr/equipement/3603895-terre-do-pou/objets", "link")</f>
        <v/>
      </c>
      <c r="C23394" t="n">
        <v>1</v>
      </c>
      <c r="D23394" t="inlineStr">
        <is>
          <t>Lav'Hache; Torquistik; Anneau Chevelu; Bague Trithon; Bouclier Taverne; Ceinture Gence; Casque Dragoeuf; Cape au Logis; Bottistik; Dofus Ivoire; Dofus Abyssal; Dofus Pourpre; Enragé majeur; Culbuteur majeur; Bousculeur majeur; Volkorne Jade et Roux</t>
        </is>
      </c>
    </row>
    <row r="23395">
      <c r="A23395" t="inlineStr">
        <is>
          <t>Terre feu</t>
        </is>
      </c>
      <c r="B23395">
        <f>HYPERLINK("https://www.dofusbook.net/fr/equipement/3601419-terre-feu/objets", "link")</f>
        <v/>
      </c>
      <c r="C23395" t="n">
        <v>1</v>
      </c>
      <c r="D23395" t="inlineStr">
        <is>
          <t>Baguette de Malléfisk; Amulette Volkorne; Anneau Chevelu; Chevalière du Roi Joueur; Bouclier du Stalak; Ceinture Volkorne; Couronne du Roi Joueur; Voile d'encre; Bottes du Roi Joueur; Dofus Pourpre; Dofus Ivoire; Dofus Ocre; Dofus Abyssal; Robuste majeur</t>
        </is>
      </c>
    </row>
    <row r="23396">
      <c r="A23396" t="inlineStr">
        <is>
          <t>eau 12PA</t>
        </is>
      </c>
      <c r="B23396">
        <f>HYPERLINK("https://www.dofusbook.net/fr/equipement/3569976-eau-12pa/objets", "link")</f>
        <v/>
      </c>
      <c r="C23396" t="n">
        <v>1</v>
      </c>
      <c r="D23396" t="inlineStr">
        <is>
          <t>Sceptre du Roi Joueur; Amulette Luminescente; Pikano; Bracelet des Fonds marins; Ceinture Luminescente; Masque des Fonds marins; Cape Luminescente; Sandales des Fonds marins; Dofus Vulbis; Dofus des Glaces; Dofus Ocre; Dofus Émeraude; Dofus Ivoire; Taquin majeur; Dragodinde Dorée et Indigo</t>
        </is>
      </c>
    </row>
    <row r="23397">
      <c r="A23397" t="inlineStr">
        <is>
          <t>res pou</t>
        </is>
      </c>
      <c r="B23397">
        <f>HYPERLINK("https://www.dofusbook.net/fr/equipement/3529067-res-pou/objets", "link")</f>
        <v/>
      </c>
      <c r="C23397" t="n">
        <v>4</v>
      </c>
      <c r="D23397" t="inlineStr">
        <is>
          <t>Lav'Hache; Torquistik; Bague Trithon; Bague Instable; Bouclier de Solar; Ceinture Gence; Casque Dragoeuf; Cape du Cœur Vaillant; Bottistik; Dofus Ivoire; Dofus Forgelave; Dofus Ocre; Solide majeur; Bousculeur majeur; Culbuteur majeur; Muldo Pourpre</t>
        </is>
      </c>
    </row>
    <row r="23398">
      <c r="A23398" t="inlineStr">
        <is>
          <t>feu re pou</t>
        </is>
      </c>
      <c r="B23398">
        <f>HYPERLINK("https://www.dofusbook.net/fr/equipement/3528979-feu-re-pou/objets", "link")</f>
        <v/>
      </c>
      <c r="C23398" t="n">
        <v>4</v>
      </c>
      <c r="D23398" t="inlineStr">
        <is>
          <t>Baguette de Malléfisk; Amulette Volkorne; Anneau Tique; Anneauræus; Bouclier de Solar; Ceinture Volkorne; Heaume Oplate; Voile d'encre; Bottes Innommables; Dofus Ivoire; Dofus Ocre; Dofus Forgelave; Miraculé majeur; Érudit majeur; Solide majeur; Muldo Pourpre</t>
        </is>
      </c>
    </row>
    <row r="23399">
      <c r="A23399" t="inlineStr">
        <is>
          <t>air re pou</t>
        </is>
      </c>
      <c r="B23399">
        <f>HYPERLINK("https://www.dofusbook.net/fr/equipement/3528027-air-re-pou/objets", "link")</f>
        <v/>
      </c>
      <c r="C23399" t="n">
        <v>11</v>
      </c>
      <c r="D23399" t="inlineStr">
        <is>
          <t>Dagues Érhy; Collier du Valet Veinard; Alliance Gloursonne; Gant du Valet Veinard; Bouclier de Solar; Menoture; Dorabysses; Cape de Crânonier; Palmes Trithons; Dofus Ivoire; Dofus Ocre; Dofus Forgelave; Solide majeur; Nomade; Cascadeur majeur; Dragodinde Dorée</t>
        </is>
      </c>
    </row>
    <row r="23400">
      <c r="A23400" t="inlineStr">
        <is>
          <t>full agi</t>
        </is>
      </c>
      <c r="B23400">
        <f>HYPERLINK("https://www.dofusbook.net/fr/equipement/2187967-full-agi/objets", "link")</f>
        <v/>
      </c>
      <c r="C23400" t="n">
        <v>1</v>
      </c>
      <c r="D23400" t="inlineStr">
        <is>
          <t>L'Épée Nice; Collier du Valet Veinard; Alliance Gloursonne; Gant du Valet Veinard; Bouclier d'Ilyzaelle; Menoture; Casque d'Ilyzaelle; Chevelure de Tal Kasha; Sandales de Tal Kasha; Dofus Pourpre; Dofus Émeraude; Dofus Ocre; Dofus des Glaces; Dofus Abyssal; Robuste majeur; Croum</t>
        </is>
      </c>
    </row>
    <row r="23401">
      <c r="A23401" t="inlineStr">
        <is>
          <t>air degat</t>
        </is>
      </c>
      <c r="B23401">
        <f>HYPERLINK("https://www.dofusbook.net/fr/equipement/3525052-air-degat/objets", "link")</f>
        <v/>
      </c>
      <c r="C23401" t="n">
        <v>1</v>
      </c>
      <c r="D23401" t="inlineStr">
        <is>
          <t>Karnak; Collier du Valet Veinard; Gant du Valet Veinard; Alliance Gloursonne; Bouclier du Stalak; Ceinture du Barbétoal; Coiffe de la Reine des Voleurs; Cape du Valet Veinard; Bottes de la Reine des Voleurs; Dofus Nébuleux; Dofus Ocre; Dofus Pourpre; Dofus Ivoire; Dofus des Glaces; Turbulent; Croum</t>
        </is>
      </c>
    </row>
    <row r="23402">
      <c r="A23402" t="inlineStr">
        <is>
          <t>air deplumage</t>
        </is>
      </c>
      <c r="B23402">
        <f>HYPERLINK("https://www.dofusbook.net/fr/equipement/3490638-air-deplumage/objets", "link")</f>
        <v/>
      </c>
      <c r="C23402" t="n">
        <v>5</v>
      </c>
      <c r="D23402" t="inlineStr">
        <is>
          <t>Karnak; Collier du Valet Veinard; Gant du Valet Veinard; Alliance Gloursonne; Bouclier du Stalak; Ceinture du Barbétoal; Couronne d'Allister; Cape du Valet Veinard; Palmes Trithons; Dofus des Glaces; Dofus Nébuleux; Dofus Pourpre; Dofus Ivoire; Dofus Ocre; Turbulent; Kramkram</t>
        </is>
      </c>
    </row>
    <row r="23403">
      <c r="A23403" t="inlineStr">
        <is>
          <t>foulfeu</t>
        </is>
      </c>
      <c r="B23403">
        <f>HYPERLINK("https://www.dofusbook.net/fr/equipement/3523735-foulfeu/objets", "link")</f>
        <v/>
      </c>
      <c r="C23403" t="n">
        <v>0</v>
      </c>
      <c r="D23403" t="inlineStr">
        <is>
          <t>Arc corrompu; Amulette Séculaire; Anneauræus; Anneauræus; Bouclier du Stalak; Ceinture Séculaire; Heaume Oplate; Voile d'encre; Bottes Innommables; Dofus Abyssal; Dofus Nébuleux; Dofus Ocre; Dofus Pourpre; Vigoureux majeur; Érudit majeur</t>
        </is>
      </c>
    </row>
    <row r="23404">
      <c r="A23404" t="inlineStr">
        <is>
          <t>terre PO</t>
        </is>
      </c>
      <c r="B23404">
        <f>HYPERLINK("https://www.dofusbook.net/fr/equipement/3257218-terre-po/objets", "link")</f>
        <v/>
      </c>
      <c r="C23404" t="n">
        <v>8</v>
      </c>
      <c r="D23404" t="inlineStr">
        <is>
          <t>Marteau R'ture; Amulette du Strigide; Anneau Chevelu; Anneau Crustique; Quatre-feuilles; Ceinture du Strigide; Masque de Koutoulou; Cape au Logis; Bottes du Cœur Saignant; Dofus Nébuleux; Dofus Turquoise; Dofus Pourpre; Enragé majeur; Vigoureux majeur; Remueur; Kramkram</t>
        </is>
      </c>
    </row>
    <row r="23405">
      <c r="A23405" t="inlineStr">
        <is>
          <t>foultair</t>
        </is>
      </c>
      <c r="B23405">
        <f>HYPERLINK("https://www.dofusbook.net/fr/equipement/3501286-foultair/objets", "link")</f>
        <v/>
      </c>
      <c r="C23405" t="n">
        <v>1</v>
      </c>
      <c r="D23405" t="inlineStr">
        <is>
          <t>Marteau R'ture; Amulette du Strigide; Anneau Crustique; Anneau Chevelu; Bouclier du Captain Amakna; Ceinture du Strigide; Masque de Koutoulou; Cape au Logis; Bottes du Cœur Saignant; Dofus Turquoise; Dofus Pourpre; Dofus Nébuleux; Vigoureux majeur; Remueur; Enragé majeur; Kramkram</t>
        </is>
      </c>
    </row>
    <row r="23406">
      <c r="A23406" t="inlineStr">
        <is>
          <t>feu ret PA</t>
        </is>
      </c>
      <c r="B23406">
        <f>HYPERLINK("https://www.dofusbook.net/fr/equipement/3495960-feu-ret-pa/objets", "link")</f>
        <v/>
      </c>
      <c r="C23406" t="n">
        <v>0</v>
      </c>
      <c r="D23406" t="inlineStr">
        <is>
          <t>Ceinture de Vortex; Cagoule de Vortex</t>
        </is>
      </c>
    </row>
    <row r="23407">
      <c r="A23407" t="inlineStr">
        <is>
          <t>dégats eau</t>
        </is>
      </c>
      <c r="B23407">
        <f>HYPERLINK("https://www.dofusbook.net/fr/equipement/3486706-degats-eau/objets", "link")</f>
        <v/>
      </c>
      <c r="C23407" t="n">
        <v>1</v>
      </c>
      <c r="D23407" t="inlineStr">
        <is>
          <t>Pelle Fik; Amulette Voldelor; Anneau Volkorne; Alliance Gloursonne; Bouclier du Captain Amakna; Pagne du Rykaon; Kidibonnet; Cape de l'Œil Attentif; Bottes Voldelor; Dofus Turquoise; Dofus Pourpre; Vigoureux majeur; Chanceux majeur; Nomade; Remueur; Dehluge</t>
        </is>
      </c>
    </row>
    <row r="23408">
      <c r="A23408" t="inlineStr">
        <is>
          <t>terre os t2</t>
        </is>
      </c>
      <c r="B23408">
        <f>HYPERLINK("https://www.dofusbook.net/fr/equipement/3483569-terre-os-t2/objets", "link")</f>
        <v/>
      </c>
      <c r="C23408" t="n">
        <v>0</v>
      </c>
      <c r="D23408" t="inlineStr">
        <is>
          <t>Marteau R'ture; Amulette de Gein; Anneau Crustique; Anneau Crustique; Bouclier du Captain Amakna; Ceinture de Gein; Masque de Koutoulou; Dofusteuse; Bottes du Cœur Saignant; Dofus Turquoise; Dofus Vulbis; Dofus Ocre; Dofus Pourpre; Vigoureux majeur; Enragé majeur; Dragodinde Ivoire et Pourpre</t>
        </is>
      </c>
    </row>
    <row r="23409">
      <c r="A23409" t="inlineStr">
        <is>
          <t>terre</t>
        </is>
      </c>
      <c r="B23409">
        <f>HYPERLINK("https://www.dofusbook.net/fr/equipement/3472983-terre/objets", "link")</f>
        <v/>
      </c>
      <c r="C23409" t="n">
        <v>1</v>
      </c>
      <c r="D23409" t="inlineStr">
        <is>
          <t>Arc du Chalœil; Amulette Héroclite; Pikano; Anneau Volkorne; Bouclier de Solar; Ceinture Volkorne; Masque de Koutoulou; Cape au Logis; Bottes du Cœur Saignant; Dofus Abyssal; Dofus Ocre; Dofus Ivoire; Dofus des Glaces; Enragé majeur; Boune Poisseux</t>
        </is>
      </c>
    </row>
    <row r="23410">
      <c r="A23410" t="inlineStr">
        <is>
          <t>Iop M 200</t>
        </is>
      </c>
      <c r="B23410">
        <f>HYPERLINK("https://www.dofusbook.net/fr/equipement/3472962-iop-m-200/objets", "link")</f>
        <v/>
      </c>
      <c r="C23410" t="n">
        <v>0</v>
      </c>
      <c r="D23410" t="inlineStr">
        <is>
          <t>Arc corrompu; Amulette Volkorne; Anneau Volkorne; Anneauræus; Quatre-feuilles; Ceinture Séculaire; Coiffe Séculaire; Voile d'encre; Bottes Innommables; Dofus Turquoise; Dofus Ivoire; Dofus Vulbis; Dofus Ocre; Dofus Pourpre; Dofus Abyssal; Volkorne Emeraude et Orchidée</t>
        </is>
      </c>
    </row>
    <row r="23411">
      <c r="A23411" t="inlineStr">
        <is>
          <t>feu eau</t>
        </is>
      </c>
      <c r="B23411">
        <f>HYPERLINK("https://www.dofusbook.net/fr/equipement/3442528-feu-eau/objets", "link")</f>
        <v/>
      </c>
      <c r="C23411" t="n">
        <v>1</v>
      </c>
      <c r="D23411" t="inlineStr">
        <is>
          <t>Arc Nécrotique; Amulette Volkorne; Alliance Gloursonne; Anneau Volkorne; Quatre-feuilles; Ceintacé; Casquette de Meno; Cape de la Dame du Hasard; Bottes de la Dame du Hasard; Dofus Turquoise; Dofus Abyssal; Dofus Ocre; Dofus Ivoire; Dofus Pourpre; Dofus des Glaces; Muldo Prune et Emeraude</t>
        </is>
      </c>
    </row>
    <row r="23412">
      <c r="A23412" t="inlineStr">
        <is>
          <t>eau air volkrone</t>
        </is>
      </c>
      <c r="B23412">
        <f>HYPERLINK("https://www.dofusbook.net/fr/equipement/3442472-eau-air-volkrone/objets", "link")</f>
        <v/>
      </c>
      <c r="C23412" t="n">
        <v>5</v>
      </c>
      <c r="D23412" t="inlineStr">
        <is>
          <t>Arc de Koutoulou; Collier du Valet Veinard; Anneau Volkorne; Gant du Valet Veinard; Bouclier du Stalak; Ceinture de la Reine des Voleurs; Casque Volkorne; Cape du Valet Veinard; Bottes de la Reine des Voleurs; Dofus Ocre; Dofus Ivoire; Dofus Vulbis; Dofus des Glaces; Dofus Pourpre; Dofus Abyssal; Volkorne Indigo et Ebène</t>
        </is>
      </c>
    </row>
    <row r="23413">
      <c r="A23413" t="inlineStr">
        <is>
          <t>air terre</t>
        </is>
      </c>
      <c r="B23413">
        <f>HYPERLINK("https://www.dofusbook.net/fr/equipement/3381360-air-terre/objets", "link")</f>
        <v/>
      </c>
      <c r="C23413" t="n">
        <v>0</v>
      </c>
      <c r="D23413" t="inlineStr">
        <is>
          <t>Lance corrompue; Amulette de Nevark; Alliance Gloursonne; Anneau des égarés; Bouclier du Stalak; Ceinture de l'Esprit Salvateur; Masque de l'Esprit Salvateur; Cape de Nevark; Bottes de l'Esprit Salvateur; Dofus Pourpre; Dofus Abyssal; Dofus Ocre; Dofus Ivoire; Dofus Émeraude; Dofus des Glaces; Muldo Ebène</t>
        </is>
      </c>
    </row>
    <row r="23414">
      <c r="A23414" t="inlineStr">
        <is>
          <t>air poison</t>
        </is>
      </c>
      <c r="B23414">
        <f>HYPERLINK("https://www.dofusbook.net/fr/equipement/3352878-air-poison/objets", "link")</f>
        <v/>
      </c>
      <c r="C23414" t="n">
        <v>2</v>
      </c>
      <c r="D23414" t="inlineStr">
        <is>
          <t>Manthache; Collier du Valet Veinard; Gant du Valet Veinard; Alliance Gloursonne; Bouclier du Stalak; Menoture; Chapibou; Cape de Crânonier; Palmes Trithons; Dofus Abyssal; Dofus des Glaces; Dofus Nébuleux; Dévastateur Air majeur; Remueur; Cascadeur majeur; Muldo Ebène</t>
        </is>
      </c>
    </row>
    <row r="23415">
      <c r="A23415" t="inlineStr">
        <is>
          <t>do pou</t>
        </is>
      </c>
      <c r="B23415">
        <f>HYPERLINK("https://www.dofusbook.net/fr/equipement/1512581-do-pou/objets", "link")</f>
        <v/>
      </c>
      <c r="C23415" t="n">
        <v>1</v>
      </c>
      <c r="D23415" t="inlineStr">
        <is>
          <t>Massier; Torquistik; Anneauræus; Anneauræus; Cadran de Terre; Ceintrigue; Masque Ardent; Cape de Diondin; Bottistik; Bousculeur majeur; Remueur; Culbuteur majeur; Érudit majeur; Muldo Orchidée</t>
        </is>
      </c>
    </row>
    <row r="23416">
      <c r="A23416" t="inlineStr">
        <is>
          <t>do pou</t>
        </is>
      </c>
      <c r="B23416">
        <f>HYPERLINK("https://www.dofusbook.net/fr/equipement/3282435-do-pou/objets", "link")</f>
        <v/>
      </c>
      <c r="C23416" t="n">
        <v>0</v>
      </c>
      <c r="D23416" t="inlineStr">
        <is>
          <t>Lav'Hache; Amulette Luminescente; Alliance Gloursonne; Bague Instable; Bouclier précieux; Sangle Ouare; Masque d'Anerice; Cape d'Anerice; Bottes Trithon; Dofus Ivoire; Dofus Ocre; Dofus Abyssal; Culbuteur majeur; Remueur; Bousculeur majeur</t>
        </is>
      </c>
    </row>
    <row r="23417">
      <c r="A23417" t="inlineStr">
        <is>
          <t>poison</t>
        </is>
      </c>
      <c r="B23417">
        <f>HYPERLINK("https://www.dofusbook.net/fr/equipement/338747-poison/objets", "link")</f>
        <v/>
      </c>
      <c r="C23417" t="n">
        <v>0</v>
      </c>
      <c r="D23417" t="inlineStr">
        <is>
          <t>Manthache; Amibou; Anneau d'Allister; Alliance Gloursonne; Bouclier du Stalak; Menoture; Casque Dragoeuf; Capibou; Palmes Trithons; Dofus des Glaces; Nomade; Remueur; Dévastateur Air majeur; Carapace Air majeur; Cascadeur majeur; Kramkram</t>
        </is>
      </c>
    </row>
    <row r="23418">
      <c r="A23418" t="inlineStr">
        <is>
          <t>air feu</t>
        </is>
      </c>
      <c r="B23418">
        <f>HYPERLINK("https://www.dofusbook.net/fr/equipement/3275117-air-feu/objets", "link")</f>
        <v/>
      </c>
      <c r="C23418" t="n">
        <v>0</v>
      </c>
      <c r="D23418" t="inlineStr">
        <is>
          <t>Baguette Range; Pendentif mignon de Koutoulou; Alliance Gloursonne; Anneau Rifique; Bouclier du Stalak; Ceinture de Vortex; Masque de l'Esprit Salvateur; Cape de l'Œil Putride; Pantoufles Émar; Dofus des Glaces; Dofus Abyssal; Dofus Pourpre; Dofus Ivoire; Remueur; Nomade; Kramkram</t>
        </is>
      </c>
    </row>
    <row r="23419">
      <c r="A23419" t="inlineStr">
        <is>
          <t>air crit</t>
        </is>
      </c>
      <c r="B23419">
        <f>HYPERLINK("https://www.dofusbook.net/fr/equipement/3267503-air-crit/objets", "link")</f>
        <v/>
      </c>
      <c r="C23419" t="n">
        <v>0</v>
      </c>
      <c r="D23419" t="inlineStr">
        <is>
          <t>Lance Horselé; Amulette du Strigide; Alliance Gloursonne; Bracelet du Piloztère; Quatre-feuilles; Menoture; Dorabysses; Cape de Crânonier; Bottes du Strigide; Dofus Ivoire; Dofus Pourpre; Dofus Turquoise; Cascadeur majeur; Remueur; Nomade; Kramkram</t>
        </is>
      </c>
    </row>
    <row r="23420">
      <c r="A23420" t="inlineStr">
        <is>
          <t>Enutrof F 200</t>
        </is>
      </c>
      <c r="B23420">
        <f>HYPERLINK("https://www.dofusbook.net/fr/equipement/3256984-enutrof-f-200/objets", "link")</f>
        <v/>
      </c>
      <c r="C23420" t="n">
        <v>2</v>
      </c>
      <c r="D23420" t="inlineStr">
        <is>
          <t>Arc Nécrotique; Amulette du Strigide; Lavanneau; Alliance Gloursonne; Quatre-feuilles; Ceintacé; Masque de l'Esprit Malsain; Cape de la Dame du Hasard; Bottes du Strigide; Dofus Pourpre; Dofus Ivoire; Dofus Turquoise; Remueur; Vigoureux majeur; Muldo Indigo et Orchidée</t>
        </is>
      </c>
    </row>
    <row r="23421">
      <c r="A23421" t="inlineStr">
        <is>
          <t>eau do pou</t>
        </is>
      </c>
      <c r="B23421">
        <f>HYPERLINK("https://www.dofusbook.net/fr/equipement/3247835-eau-do-pou/objets", "link")</f>
        <v/>
      </c>
      <c r="C23421" t="n">
        <v>0</v>
      </c>
      <c r="D23421" t="inlineStr">
        <is>
          <t>Dagoulinantes; Amulette Luminescente; Alliance Gloursonne; Bague Trithon; Bouclier d'Ilyzaelle; Sangle Ouare; Kidibonnet; Cape Solution; Bottes Trithon; Dofus Abyssal; Dofus Ivoire; Carapace Air majeur; Évasif majeur; Chanceux majeur; Culbuteur majeur; Kramkram</t>
        </is>
      </c>
    </row>
    <row r="23422">
      <c r="A23422" t="inlineStr">
        <is>
          <t>eau air</t>
        </is>
      </c>
      <c r="B23422">
        <f>HYPERLINK("https://www.dofusbook.net/fr/equipement/3230261-eau-air/objets", "link")</f>
        <v/>
      </c>
      <c r="C23422" t="n">
        <v>3</v>
      </c>
      <c r="D23422" t="inlineStr">
        <is>
          <t>Arc de Koutoulou; Amulette du Strigide; Grésilanneau; Alliance Gloursonne; Quatre-feuilles; Ceinture du Barbétoal; Capuche de l'Œil Attentif; Cape de l'Œil Attentif; Sandales de Tal Kasha; Dofus Pourpre; Dofus Ivoire; Dofus Turquoise; Dofus Ocre; Chanceux majeur; Remueur; Muldo Ebène et Indigo</t>
        </is>
      </c>
    </row>
    <row r="23423">
      <c r="A23423" t="inlineStr">
        <is>
          <t>air ret</t>
        </is>
      </c>
      <c r="B23423">
        <f>HYPERLINK("https://www.dofusbook.net/fr/equipement/3230180-air-ret/objets", "link")</f>
        <v/>
      </c>
      <c r="C23423" t="n">
        <v>0</v>
      </c>
      <c r="D23423" t="inlineStr"/>
    </row>
    <row r="23424">
      <c r="A23424" t="inlineStr">
        <is>
          <t>feu boum boum</t>
        </is>
      </c>
      <c r="B23424">
        <f>HYPERLINK("https://www.dofusbook.net/fr/equipement/3227216-feu-boum-boum/objets", "link")</f>
        <v/>
      </c>
      <c r="C23424" t="n">
        <v>0</v>
      </c>
      <c r="D23424" t="inlineStr">
        <is>
          <t>Arc corrompu; Amulette Séculaire; Anneauræus; Anneauræus; Quatre-feuilles; Ceinture Séculaire; Heaume Oplate; Voile d'encre; Bottes Innommables; Dofus Turquoise; Dofus Abyssal; Dofus Pourpre; Dofus Ivoire; Remueur; Érudit majeur</t>
        </is>
      </c>
    </row>
    <row r="23425">
      <c r="A23425" t="inlineStr">
        <is>
          <t>full feu</t>
        </is>
      </c>
      <c r="B23425">
        <f>HYPERLINK("https://www.dofusbook.net/fr/equipement/3201138-full-feu/objets", "link")</f>
        <v/>
      </c>
      <c r="C23425" t="n">
        <v>0</v>
      </c>
      <c r="D23425" t="inlineStr">
        <is>
          <t>Arc Hétype; Amulette Séculaire; Anneauræus; Anneauræus; Bouclier du Stalak; Ceinture Séculaire; Heaume Oplate; Voile d'encre; Bottes Innommables; Dofus des Glaces; Dofus Ivoire; Dofus Nébuleux; Érudit majeur; Remueur; Muldo Pourpre</t>
        </is>
      </c>
    </row>
    <row r="23426">
      <c r="A23426" t="inlineStr">
        <is>
          <t>air soin</t>
        </is>
      </c>
      <c r="B23426">
        <f>HYPERLINK("https://www.dofusbook.net/fr/equipement/3198682-air-soin/objets", "link")</f>
        <v/>
      </c>
      <c r="C23426" t="n">
        <v>0</v>
      </c>
      <c r="D23426" t="inlineStr">
        <is>
          <t>Baguette de Malléfisk; Amulette d'Ilyzaelle; Anneau Rifique; Alliance Gloursonne; Bouclier d'Ilyzaelle; Menoture; Dorabysses; Cape Hiculteur; Palmes Trithons; Remueur; Guérisseur majeur; Cascadeur majeur; Miraculé majeur; Muldo Ebène et Pourpre</t>
        </is>
      </c>
    </row>
    <row r="23427">
      <c r="A23427" t="inlineStr">
        <is>
          <t>terre soin</t>
        </is>
      </c>
      <c r="B23427">
        <f>HYPERLINK("https://www.dofusbook.net/fr/equipement/3198542-terre-soin/objets", "link")</f>
        <v/>
      </c>
      <c r="C23427" t="n">
        <v>0</v>
      </c>
      <c r="D23427" t="inlineStr">
        <is>
          <t>Baguette de Malléfisk; Torquistik; Chevalière du Roi Joueur; Baguistik; Carapar; Ceinture Gence; Chapeau de Gein; Voile d'encre; Sabots Volcaniques; Dofus Pourpre; Dofus Ivoire; Dofus des Glaces; Guérisseur majeur; Enragé majeur; Remueur; Muldo Orchidée et Pourpre</t>
        </is>
      </c>
    </row>
    <row r="23428">
      <c r="A23428" t="inlineStr">
        <is>
          <t>eau dégats distance</t>
        </is>
      </c>
      <c r="B23428">
        <f>HYPERLINK("https://www.dofusbook.net/fr/equipement/3197874-eau-degats-distance/objets", "link")</f>
        <v/>
      </c>
      <c r="C23428" t="n">
        <v>3</v>
      </c>
      <c r="D23428" t="inlineStr">
        <is>
          <t>Sceptre du Roi Joueur; Amulette du Strigide; Pikano; Alliance Gloursonne; Quatre-feuilles; Pagne du Rykaon; Kidibonnet; Cape de la Dame du Hasard; Bottes de la Dame du Hasard; Dofus Pourpre; Dofus Ivoire; Dofus Turquoise; Remueur; Vigoureux majeur; Chanceux majeur; Muldo Indigo</t>
        </is>
      </c>
    </row>
    <row r="23429">
      <c r="A23429" t="inlineStr">
        <is>
          <t>feu soin</t>
        </is>
      </c>
      <c r="B23429">
        <f>HYPERLINK("https://www.dofusbook.net/fr/equipement/3187840-feu-soin/objets", "link")</f>
        <v/>
      </c>
      <c r="C23429" t="n">
        <v>0</v>
      </c>
      <c r="D23429" t="inlineStr">
        <is>
          <t>Amulette Séculaire; Anneauræus; Anneauræus; Bouclier du Stalak; Ceinture Séculaire; Heaume Oplate; Voile d'encre; Bottes Innommables; Remueur; Érudit majeur; Muldo Orchidée et Pourpre</t>
        </is>
      </c>
    </row>
    <row r="23430">
      <c r="A23430" t="inlineStr">
        <is>
          <t>eau ini</t>
        </is>
      </c>
      <c r="B23430">
        <f>HYPERLINK("https://www.dofusbook.net/fr/equipement/3179656-eau-ini/objets", "link")</f>
        <v/>
      </c>
      <c r="C23430" t="n">
        <v>0</v>
      </c>
      <c r="D23430" t="inlineStr">
        <is>
          <t>Dagoulinantes; Amulette du Strigide; Bracelet des Fonds marins; Alliance Gloursonne; Quatre-feuilles; Pagne du Rykaon; Capuche de l'Œil Attentif; Cape de l'Œil Attentif; Bottes de la Dame du Hasard; Dofus Ocre; Dofus Ivoire; Dofus Pourpre; Vigoureux majeur; Chanceux majeur; Remueur; Muldo Indigo</t>
        </is>
      </c>
    </row>
    <row r="23431">
      <c r="A23431" t="inlineStr">
        <is>
          <t>do pou tank</t>
        </is>
      </c>
      <c r="B23431">
        <f>HYPERLINK("https://www.dofusbook.net/fr/equipement/3178817-do-pou-tank/objets", "link")</f>
        <v/>
      </c>
      <c r="C23431" t="n">
        <v>1</v>
      </c>
      <c r="D23431" t="inlineStr">
        <is>
          <t>Héqache; Torquistik; Bague Instable; Baguistik; Bouclier précieux; Ceinture Gence; Masque d'Anerice; Cape d'Anerice; Bottistik; Dofus Ivoire; Bousculeur majeur; Bousculeur; Pousseur majeur; Muldo Pourpre</t>
        </is>
      </c>
    </row>
    <row r="23432">
      <c r="A23432" t="inlineStr">
        <is>
          <t>agi</t>
        </is>
      </c>
      <c r="B23432">
        <f>HYPERLINK("https://www.dofusbook.net/fr/equipement/3175595-agi/objets", "link")</f>
        <v/>
      </c>
      <c r="C23432" t="n">
        <v>0</v>
      </c>
      <c r="D23432" t="inlineStr">
        <is>
          <t>Lance Horselé; Collier du Valet Veinard; Anneau d'Allister; Gant du Valet Veinard; Cadran d'Eau; Menoture; Masque d'Anerice; Cape d'Anerice; Bottes d'Allister; Dolmanax; Dofus Émeraude; Dofus Turquoise; Dofus Ocre; Dofus Pourpre; Dofus Ivoire; Muldo Ebène</t>
        </is>
      </c>
    </row>
    <row r="23433">
      <c r="A23433" t="inlineStr">
        <is>
          <t>do pou 2</t>
        </is>
      </c>
      <c r="B23433">
        <f>HYPERLINK("https://www.dofusbook.net/fr/equipement/3169057-do-pou-2/objets", "link")</f>
        <v/>
      </c>
      <c r="C23433" t="n">
        <v>0</v>
      </c>
      <c r="D23433" t="inlineStr">
        <is>
          <t>Hache Euvale; Amulette Luminescente; Anneau de Pol Ouatnos; Bague Instable; Bouclier Taverne; Ceinture Luminescente; Casque Dragoeuf; Cape Solution; Bottes Owesli; Remueur; Bousculeur majeur; Bousculeur; Culbuteur majeur; Pousseur majeur; Culbuteur; Kafarce</t>
        </is>
      </c>
    </row>
    <row r="23434">
      <c r="A23434" t="inlineStr">
        <is>
          <t>eau</t>
        </is>
      </c>
      <c r="B23434">
        <f>HYPERLINK("https://www.dofusbook.net/fr/equipement/3156033-eau/objets", "link")</f>
        <v/>
      </c>
      <c r="C23434" t="n">
        <v>0</v>
      </c>
      <c r="D23434" t="inlineStr">
        <is>
          <t>Sceptre du Roi Joueur; Amulette de l'Œil Attentif; Bracelet des Fonds marins; Alliance Gloursonne; Quatre-feuilles; Pagne du Rykaon; Kidibonnet; Cape de la Dame du Hasard; Bottes de la Dame du Hasard; Dofus Pourpre; Dofus Turquoise; Dofus Nébuleux; Remueur; Chanceux majeur; Muldo Ebène et Indigo</t>
        </is>
      </c>
    </row>
    <row r="23435">
      <c r="A23435" t="inlineStr">
        <is>
          <t>air</t>
        </is>
      </c>
      <c r="B23435">
        <f>HYPERLINK("https://www.dofusbook.net/fr/equipement/3035741-air/objets", "link")</f>
        <v/>
      </c>
      <c r="C23435" t="n">
        <v>0</v>
      </c>
      <c r="D23435" t="inlineStr">
        <is>
          <t>Amulette d'Ilyzaelle; Casque d'Ilyzaelle</t>
        </is>
      </c>
    </row>
    <row r="23436">
      <c r="A23436" t="inlineStr">
        <is>
          <t>feu boum boum</t>
        </is>
      </c>
      <c r="B23436">
        <f>HYPERLINK("https://www.dofusbook.net/fr/equipement/2987148-feu-boum-boum/objets", "link")</f>
        <v/>
      </c>
      <c r="C23436" t="n">
        <v>1</v>
      </c>
      <c r="D23436" t="inlineStr">
        <is>
          <t>Massier; Amulette Séculaire; Anneauræus; Anneauræus; Bouclier du Stalak; Ceinture Séculaire; Heaume Oplate; Voile d'encre; Bottes Innommables; Dofus Turquoise; Dofus Abyssal; Dofus Ivoire; Remueur; Érudit majeur; Carapace Feu majeur; Muldo Pourpre</t>
        </is>
      </c>
    </row>
    <row r="23437">
      <c r="A23437" t="inlineStr">
        <is>
          <t>arc ahique</t>
        </is>
      </c>
      <c r="B23437">
        <f>HYPERLINK("https://www.dofusbook.net/fr/equipement/2647685-arc-ahique/objets", "link")</f>
        <v/>
      </c>
      <c r="C23437" t="n">
        <v>0</v>
      </c>
      <c r="D23437" t="inlineStr">
        <is>
          <t>Sceptre du Roi Joueur; Collier de la Dame du Hasard; Alliance Gloursonne; Anneau Toriété; Bouclier d'Ilyzaelle; Pagne du Rykaon; Casque Dragoeuf; Cape de l'Œil Attentif; Bottes de la Dame du Hasard; Dofus Pourpre; Dofus Ivoire; Dofus Ocre; Chanceux majeur; Vigoureux majeur; Remueur; Kramkram</t>
        </is>
      </c>
    </row>
    <row r="23438">
      <c r="A23438" t="inlineStr">
        <is>
          <t>test</t>
        </is>
      </c>
      <c r="B23438">
        <f>HYPERLINK("https://www.dofusbook.net/fr/equipement/2965174-test/objets", "link")</f>
        <v/>
      </c>
      <c r="C23438" t="n">
        <v>1</v>
      </c>
      <c r="D23438" t="inlineStr"/>
    </row>
    <row r="23439">
      <c r="A23439" t="inlineStr">
        <is>
          <t>feu ret PM 2</t>
        </is>
      </c>
      <c r="B23439">
        <f>HYPERLINK("https://www.dofusbook.net/fr/equipement/2954023-feu-ret-pm-2/objets", "link")</f>
        <v/>
      </c>
      <c r="C23439" t="n">
        <v>0</v>
      </c>
      <c r="D23439" t="inlineStr">
        <is>
          <t>Arc Hétype; Amulette Séculaire; Anneau de Nidas; Anneau Tique; Bouclier cubiste; Ceinture Séculaire; Casque Dragoeuf; Cape de Diondin; Bottes Innommables; Dofus Ivoire; Dofus Forgelave; Miraculé majeur; Temporiseur majeur; Remueur; Érudit majeur; Muldo Indigo et Pourpre</t>
        </is>
      </c>
    </row>
    <row r="23440">
      <c r="A23440" t="inlineStr">
        <is>
          <t>feu ret PM</t>
        </is>
      </c>
      <c r="B23440">
        <f>HYPERLINK("https://www.dofusbook.net/fr/equipement/2950360-feu-ret-pm/objets", "link")</f>
        <v/>
      </c>
      <c r="C23440" t="n">
        <v>0</v>
      </c>
      <c r="D23440" t="inlineStr">
        <is>
          <t>Arc Hétype; Amulette Séculaire; Anneau Tique; Anneau de Nidas; Bouclier cubiste; Ceinture Séculaire; Heaume Oplate; Voile d'encre; Bottes Innommables; Dofus Abyssal; Dofus Ivoire; Dofus Forgelave; Temporiseur majeur; Érudit majeur; Remueur; Muldo Indigo et Pourpre</t>
        </is>
      </c>
    </row>
    <row r="23441">
      <c r="A23441" t="inlineStr">
        <is>
          <t>terre do crit</t>
        </is>
      </c>
      <c r="B23441">
        <f>HYPERLINK("https://www.dofusbook.net/fr/equipement/2752527-terre-do-crit/objets", "link")</f>
        <v/>
      </c>
      <c r="C23441" t="n">
        <v>0</v>
      </c>
      <c r="D23441" t="inlineStr">
        <is>
          <t>Bêche Asse; Amulette de Gein; Bague Gloursonne; Bracelet du Piloztère; Bouclier du Stalak; Ceinture de Gein; Masque de Koutoulou; Voile d'encre; Bottes du Cœur Saignant; Dofus Pourpre; Dofus Turquoise; Dofus Ivoire; Remueur; Muldo Pourpre</t>
        </is>
      </c>
    </row>
    <row r="23442">
      <c r="A23442" t="inlineStr">
        <is>
          <t>terre eau</t>
        </is>
      </c>
      <c r="B23442">
        <f>HYPERLINK("https://www.dofusbook.net/fr/equipement/2938707-terre-eau/objets", "link")</f>
        <v/>
      </c>
      <c r="C23442" t="n">
        <v>0</v>
      </c>
      <c r="D23442" t="inlineStr">
        <is>
          <t>Amulette du Strigide; Ceinture Luminescente; Cape Luminescente</t>
        </is>
      </c>
    </row>
    <row r="23443">
      <c r="A23443" t="inlineStr">
        <is>
          <t>res pou</t>
        </is>
      </c>
      <c r="B23443">
        <f>HYPERLINK("https://www.dofusbook.net/fr/equipement/2933092-res-pou/objets", "link")</f>
        <v/>
      </c>
      <c r="C23443" t="n">
        <v>0</v>
      </c>
      <c r="D23443" t="inlineStr">
        <is>
          <t>Pelle de la Cour Sombre; Collier du Valet Veinard; Alliance Gloursonne; Gant du Valet Veinard; Cadran d'Air; Menoture; Dorabysses; Cape de Crânonier; Palmes Trithons; Dofus Forgelave; Dofus Abyssal; Dofus Ivoire; Cascadeur majeur; Remueur; Miraculé majeur; Muldo Ebène et Orchidée</t>
        </is>
      </c>
    </row>
    <row r="23444">
      <c r="A23444" t="inlineStr">
        <is>
          <t>feu</t>
        </is>
      </c>
      <c r="B23444">
        <f>HYPERLINK("https://www.dofusbook.net/fr/equipement/2649485-feu/objets", "link")</f>
        <v/>
      </c>
      <c r="C23444" t="n">
        <v>1</v>
      </c>
      <c r="D23444" t="inlineStr">
        <is>
          <t>Arc corrompu; Pendentif mignon de Koutoulou; Anneauræus; Anneau Rifique; Bouclier du Stalak; Ceinture de Vortex; Heaume Oplate; Voile d'encre; Bottes Innommables; Dofus Ivoire; Dofus Pourpre; Dofus Abyssal; Remueur; Érudit majeur; Carapace Feu majeur; Muldo Pourpre</t>
        </is>
      </c>
    </row>
    <row r="23445">
      <c r="A23445" t="inlineStr">
        <is>
          <t>multi</t>
        </is>
      </c>
      <c r="B23445">
        <f>HYPERLINK("https://www.dofusbook.net/fr/equipement/2902290-multi/objets", "link")</f>
        <v/>
      </c>
      <c r="C23445" t="n">
        <v>0</v>
      </c>
      <c r="D23445" t="inlineStr">
        <is>
          <t>Hache du Chalœil; Amulette du Strigide; Bracelet du Piloztère; Anneau Toriété; Bouclier du Stalak; Ceintacé; Masque d'Anerice; Cape d'Anerice; Bottes du Strigide; Dofus Pourpre; Dofus Turquoise; Dolmanax; Dofus Abyssal; Dofus Ocre; Dofus Ivoire; Kramkram</t>
        </is>
      </c>
    </row>
    <row r="23446">
      <c r="A23446" t="inlineStr">
        <is>
          <t>full do pou</t>
        </is>
      </c>
      <c r="B23446">
        <f>HYPERLINK("https://www.dofusbook.net/fr/equipement/2896362-full-do-pou/objets", "link")</f>
        <v/>
      </c>
      <c r="C23446" t="n">
        <v>0</v>
      </c>
      <c r="D23446" t="inlineStr">
        <is>
          <t>Hache Euvale; Amulette Luminescente; Pikano; Bague Instable; Bouclier Taverne; Ceinture Luminescente; Casque Dragoeuf; Cape Solution; Bottes Owesli; Dofus Abyssal; Dofus Ivoire; Remueur; Culbuteur majeur; Pousseur majeur; Bousculeur majeur; Muldo Indigo</t>
        </is>
      </c>
    </row>
    <row r="23447">
      <c r="A23447" t="inlineStr">
        <is>
          <t>Air esq PA</t>
        </is>
      </c>
      <c r="B23447">
        <f>HYPERLINK("https://www.dofusbook.net/fr/equipement/2893083-air-esq-pa/objets", "link")</f>
        <v/>
      </c>
      <c r="C23447" t="n">
        <v>0</v>
      </c>
      <c r="D23447" t="inlineStr">
        <is>
          <t>Lance Horselé; Amibou; Alliance Gloursonne; Anneau Toriété; Cadran d'Air; Menoture; Chapeau de Tournoyé; Cape de Crânonier; Palmes Trithons; Dofus Turquoise; Dofus Ivoire; Cascadeur majeur; Remueur; Muldo Ebène</t>
        </is>
      </c>
    </row>
    <row r="23448">
      <c r="A23448" t="inlineStr">
        <is>
          <t>air ret PM</t>
        </is>
      </c>
      <c r="B23448">
        <f>HYPERLINK("https://www.dofusbook.net/fr/equipement/2842670-air-ret-pm/objets", "link")</f>
        <v/>
      </c>
      <c r="C23448" t="n">
        <v>0</v>
      </c>
      <c r="D23448" t="inlineStr">
        <is>
          <t>Manthache; Amibou; Alliance Gloursonne; Gant du Valet Veinard; Cadran d'Air; Menoture; Dorabysses; Capibou; Palmes Trithons; Dofus Ivoire; Dofus Abyssal; Cascadeur majeur; Temporiseur majeur; Remueur; Muldo Ebène</t>
        </is>
      </c>
    </row>
    <row r="23449">
      <c r="A23449" t="inlineStr">
        <is>
          <t>egare</t>
        </is>
      </c>
      <c r="B23449">
        <f>HYPERLINK("https://www.dofusbook.net/fr/equipement/2826002-egare/objets", "link")</f>
        <v/>
      </c>
      <c r="C23449" t="n">
        <v>0</v>
      </c>
      <c r="D23449" t="inlineStr">
        <is>
          <t>Marteau des égarés; Amulette de Gein; Alliance Gloursonne; Anneau de Padgref; Bouclier Taverne; Ceinture de Gein; Casque Dragoeuf; Chevelure de Tal Kasha; Pataugastrique; Dofus Pourpre; Dofus Abyssal; Dolmanax; Remueur; Nomade; Kramkram</t>
        </is>
      </c>
    </row>
    <row r="23450">
      <c r="A23450" t="inlineStr">
        <is>
          <t>terre do pou</t>
        </is>
      </c>
      <c r="B23450">
        <f>HYPERLINK("https://www.dofusbook.net/fr/equipement/2825839-terre-do-pou/objets", "link")</f>
        <v/>
      </c>
      <c r="C23450" t="n">
        <v>0</v>
      </c>
      <c r="D23450" t="inlineStr">
        <is>
          <t>Lav'Hache; Amulette Luminescente; Bague Trithon; Anneau Chevelu; Bouclier Taverne; Ceinture Gence; Casque Dragoeuf; Cape du Cœur Vaillant; Bottes Trithon; Dofus Abyssal; Dofus Ivoire; Dofus Pourpre; Remueur; Bousculeur majeur; Culbuteur majeur; Muldo Ebène et Orchidée</t>
        </is>
      </c>
    </row>
    <row r="23451">
      <c r="A23451" t="inlineStr">
        <is>
          <t>do crit</t>
        </is>
      </c>
      <c r="B23451">
        <f>HYPERLINK("https://www.dofusbook.net/fr/equipement/2723225-do-crit/objets", "link")</f>
        <v/>
      </c>
      <c r="C23451" t="n">
        <v>0</v>
      </c>
      <c r="D23451" t="inlineStr">
        <is>
          <t>Amulette de Gein; Bracelet du Piloztère; Alliance de Missiz Frizz; Bouclier du Stalak; Ceinture de Gein; Casquette de Meno; Chevelure de Tal Kasha; Pataugastrique; Dofus des Glaces; Dofus Nébuleux; Dofus Abyssal; Dofus Pourpre; Nomade; Remueur; Kramkram</t>
        </is>
      </c>
    </row>
    <row r="23452">
      <c r="A23452" t="inlineStr">
        <is>
          <t>eau air bourrin</t>
        </is>
      </c>
      <c r="B23452">
        <f>HYPERLINK("https://www.dofusbook.net/fr/equipement/2752344-eau-air-bourrin/objets", "link")</f>
        <v/>
      </c>
      <c r="C23452" t="n">
        <v>0</v>
      </c>
      <c r="D23452" t="inlineStr">
        <is>
          <t>Arc de Koutoulou; Amulette d'Ilyzaelle; Grésilanneau; Alliance Gloursonne; Bouclier du Stalak; Ceinture de la Reine des Voleurs; Casque d'Ilyzaelle; Cape Solution; Bottes de la Reine des Voleurs; Dofus Pourpre; Dofus Ivoire; Dofus Ocre; Dofus Abyssal; Dolmanax; Dofus des Glaces; Muldo Ebène</t>
        </is>
      </c>
    </row>
    <row r="23453">
      <c r="A23453" t="inlineStr">
        <is>
          <t>terre</t>
        </is>
      </c>
      <c r="B23453">
        <f>HYPERLINK("https://www.dofusbook.net/fr/equipement/2729771-terre/objets", "link")</f>
        <v/>
      </c>
      <c r="C23453" t="n">
        <v>0</v>
      </c>
      <c r="D23453" t="inlineStr">
        <is>
          <t>Marteau R'ture; Collier de Tourthon; Bracelet du Piloztère; Anneau de Brouce; Bouclier du Stalak; Ceinture de la Reine des Voleurs; Coiffe de la Reine des Voleurs; Ankhape; Bottes de la Cour Sombre; Dofus Ocre; Dofus des Glaces; Enragé majeur; Nomade; Dévastateur Terre majeur; Remueur; Kompost</t>
        </is>
      </c>
    </row>
    <row r="23454">
      <c r="A23454" t="inlineStr">
        <is>
          <t>arc ahique</t>
        </is>
      </c>
      <c r="B23454">
        <f>HYPERLINK("https://www.dofusbook.net/fr/equipement/2647758-arc-ahique/objets", "link")</f>
        <v/>
      </c>
      <c r="C23454" t="n">
        <v>0</v>
      </c>
      <c r="D23454" t="inlineStr">
        <is>
          <t>Arc de Koutoulou; Amulette d'Ilyzaelle; Bracelet des Fonds marins; Alliance Gloursonne; Bouclier du Stalak; Ceinture de la Reine des Voleurs; Casque d'Ilyzaelle; Cape Solution; Bottes de la Reine des Voleurs; Dolmanax; Dofus des Glaces; Dofus Pourpre; Dofus Abyssal; Dofus Émeraude; Dofus Ocre; Muldo Ebène</t>
        </is>
      </c>
    </row>
    <row r="23455">
      <c r="A23455" t="inlineStr">
        <is>
          <t>air feu</t>
        </is>
      </c>
      <c r="B23455">
        <f>HYPERLINK("https://www.dofusbook.net/fr/equipement/2587854-air-feu/objets", "link")</f>
        <v/>
      </c>
      <c r="C23455" t="n">
        <v>0</v>
      </c>
      <c r="D23455" t="inlineStr"/>
    </row>
    <row r="23456">
      <c r="A23456" t="inlineStr">
        <is>
          <t>feu</t>
        </is>
      </c>
      <c r="B23456">
        <f>HYPERLINK("https://www.dofusbook.net/fr/equipement/2230626-feu/objets", "link")</f>
        <v/>
      </c>
      <c r="C23456" t="n">
        <v>0</v>
      </c>
      <c r="D23456" t="inlineStr">
        <is>
          <t>Baguette de Malléfisk; Pendentif mignon de Koutoulou; Anneau Tique; Anneau Rifique; Bouclier du Stalak; Ceinture de Gein; Casque Dragoeuf; Cape de Diondin; Bottes Innommables; Astucieux majeur; Remueur; Miraculé majeur; Carapace Terre majeur; Érudit majeur; Muldo Orchidée</t>
        </is>
      </c>
    </row>
    <row r="23457">
      <c r="A23457" t="inlineStr">
        <is>
          <t>feu</t>
        </is>
      </c>
      <c r="B23457">
        <f>HYPERLINK("https://www.dofusbook.net/fr/equipement/2121369-feu/objets", "link")</f>
        <v/>
      </c>
      <c r="C23457" t="n">
        <v>0</v>
      </c>
      <c r="D23457" t="inlineStr">
        <is>
          <t>Arc Hétype; Talisman Igans; Anneauræus; Anneauræus; Bouclier du Stalak; Ceinture de Vortex; Coiffe Séculaire; Cape de Diondin; Bottes Owesli; Dolmanax; Dofus des Glaces; Dofus Pourpre; Dofus Abyssal; Dofus Ocre; Érudit majeur; Muldo Ebène et Orchidée</t>
        </is>
      </c>
    </row>
    <row r="23458">
      <c r="A23458" t="inlineStr">
        <is>
          <t>do pou</t>
        </is>
      </c>
      <c r="B23458">
        <f>HYPERLINK("https://www.dofusbook.net/fr/equipement/2104619-do-pou/objets", "link")</f>
        <v/>
      </c>
      <c r="C23458" t="n">
        <v>0</v>
      </c>
      <c r="D23458" t="inlineStr">
        <is>
          <t>Héqache; Torquistik; Bague Instable; Anneau de Pol Ouatnos; Bouclier précieux; Ceinture Gence; Casque Dragoeuf; Cape du Cœur Vaillant; Bottistik; Bousculeur; Bousculeur majeur; Culbuteur majeur; Remueur; Pousseur majeur; Culbuteur; Kafarce</t>
        </is>
      </c>
    </row>
    <row r="23459">
      <c r="A23459" t="inlineStr">
        <is>
          <t>eau / feu</t>
        </is>
      </c>
      <c r="B23459">
        <f>HYPERLINK("https://www.dofusbook.net/fr/equipement/508185-eau---feu/objets", "link")</f>
        <v/>
      </c>
      <c r="C23459" t="n">
        <v>0</v>
      </c>
      <c r="D23459" t="inlineStr">
        <is>
          <t>Pyraguette; Amulette d'Ilyzaelle; Anneauræus; Alliance Gloursonne; Cadran de Terre; Ceintrigue; Casque d'Ilyzaelle; Cape de l'Œil Putride; Pataugastrique; Dolmanax; Dofus Pourpre; Dofus des Glaces; Nomade; Étourdisseur majeur; Remueur; Kramkram</t>
        </is>
      </c>
    </row>
    <row r="23460">
      <c r="A23460" t="inlineStr">
        <is>
          <t>AIR / eau</t>
        </is>
      </c>
      <c r="B23460">
        <f>HYPERLINK("https://www.dofusbook.net/fr/equipement/2063973-air---eau/objets", "link")</f>
        <v/>
      </c>
      <c r="C23460" t="n">
        <v>0</v>
      </c>
      <c r="D23460" t="inlineStr">
        <is>
          <t>Arc de Koutoulou; Amulette d'Ilyzaelle; Alliance Gloursonne; Grésilanneau; Bouclier d'Ilyzaelle; Ceinture de la Reine des Voleurs; Casque d'Ilyzaelle; Cape Indescriptible; Bottes de la Reine des Voleurs; Dofus Ocre; Dofus Ivoire; Dolmanax; Dofus des Glaces; Dofus Pourpre; Dofus Abyssal; Muldo Ebène</t>
        </is>
      </c>
    </row>
    <row r="23461">
      <c r="A23461" t="inlineStr">
        <is>
          <t>EAU / air</t>
        </is>
      </c>
      <c r="B23461">
        <f>HYPERLINK("https://www.dofusbook.net/fr/equipement/1888166-eau---air/objets", "link")</f>
        <v/>
      </c>
      <c r="C23461" t="n">
        <v>0</v>
      </c>
      <c r="D23461" t="inlineStr">
        <is>
          <t>Arc de Koutoulou; Amulette d'Ilyzaelle; Grésilanneau; Alliance Gloursonne; Bouclier d'Ilyzaelle; Ceinture de la Reine des Voleurs; Casque d'Ilyzaelle; Cape de l'Œil Attentif; Bottes de la Reine des Voleurs; Dolmanax; Dofus des Glaces; Dofus Pourpre; Dofus Abyssal; Dofus Ocre; Dofus Ivoire; Muldo Ebène</t>
        </is>
      </c>
    </row>
    <row r="23462">
      <c r="A23462" t="inlineStr">
        <is>
          <t>eau</t>
        </is>
      </c>
      <c r="B23462">
        <f>HYPERLINK("https://www.dofusbook.net/fr/equipement/2032703-eau/objets", "link")</f>
        <v/>
      </c>
      <c r="C23462" t="n">
        <v>0</v>
      </c>
      <c r="D23462" t="inlineStr">
        <is>
          <t>Amulette d'Ilyzaelle; Bracelet des Fonds marins; Alliance Gloursonne; Casque d'Ilyzaelle; Cape du Sinistrofu</t>
        </is>
      </c>
    </row>
    <row r="23463">
      <c r="A23463" t="inlineStr">
        <is>
          <t>terre air 2</t>
        </is>
      </c>
      <c r="B23463">
        <f>HYPERLINK("https://www.dofusbook.net/fr/equipement/1954024-terre-air-2/objets", "link")</f>
        <v/>
      </c>
      <c r="C23463" t="n">
        <v>0</v>
      </c>
      <c r="D23463" t="inlineStr">
        <is>
          <t>Marteau de Katrepat; Amulette de Pol Ouatnos; Alliance Brûlâme; Alliance Gloursonne; Ceinture de l'Esprit Salvateur; Masque de l'Esprit Salvateur; Voile d'encre; Bottes de l'Esprit Salvateur; Dofus Pourpre; Dofus Ocre; Dofus Abyssal; Dofus des Glaces; Kramkram</t>
        </is>
      </c>
    </row>
    <row r="23464">
      <c r="A23464" t="inlineStr">
        <is>
          <t>air soin</t>
        </is>
      </c>
      <c r="B23464">
        <f>HYPERLINK("https://www.dofusbook.net/fr/equipement/1953019-air-soin/objets", "link")</f>
        <v/>
      </c>
      <c r="C23464" t="n">
        <v>0</v>
      </c>
      <c r="D23464" t="inlineStr">
        <is>
          <t>Baguette de Malléfisk; Amulette d'Ilyzaelle; Alliance Gloursonne; Anneau Rifique; Bouclier d'Ilyzaelle; Menoture; Dorabysses; Cape Hiculteur; Palmes Trithons; Remueur; Guérisseur majeur; Cascadeur majeur; Miraculé majeur; Muldo Ebène et Pourpre</t>
        </is>
      </c>
    </row>
    <row r="23465">
      <c r="A23465" t="inlineStr">
        <is>
          <t>zob do pou</t>
        </is>
      </c>
      <c r="B23465">
        <f>HYPERLINK("https://www.dofusbook.net/fr/equipement/1939891-zob-do-pou/objets", "link")</f>
        <v/>
      </c>
      <c r="C23465" t="n">
        <v>0</v>
      </c>
      <c r="D23465" t="inlineStr">
        <is>
          <t>Amulette Luminescente; Alliance Gloursonne; Bague Trithon; Bouclier précieux; Masque Trithon; Cape d'Anerice; Bottes Trithon; Dofus Émeraude; Dolmanax; Dofus Ocre; Eliôme</t>
        </is>
      </c>
    </row>
    <row r="23466">
      <c r="A23466" t="inlineStr">
        <is>
          <t>Air eni</t>
        </is>
      </c>
      <c r="B23466">
        <f>HYPERLINK("https://www.dofusbook.net/fr/equipement/1884927-air-eni/objets", "link")</f>
        <v/>
      </c>
      <c r="C23466" t="n">
        <v>0</v>
      </c>
      <c r="D23466" t="inlineStr">
        <is>
          <t>Manthache; Pendentif mignon de Koutoulou; Alliance Gloursonne; Anneau Rifique; Cadran d'Air; Menoture; Casque Dragoeuf; Cape du Kamasterisk; Palmes Trithons; Dofus Pourpre; Dolmanax</t>
        </is>
      </c>
    </row>
    <row r="23467">
      <c r="A23467" t="inlineStr">
        <is>
          <t>Eqache</t>
        </is>
      </c>
      <c r="B23467">
        <f>HYPERLINK("https://www.dofusbook.net/fr/equipement/1873139-eqache/objets", "link")</f>
        <v/>
      </c>
      <c r="C23467" t="n">
        <v>0</v>
      </c>
      <c r="D23467" t="inlineStr">
        <is>
          <t>Héqache; Amulette du Strigide; Alliance Gloursonne; Anneau des égarés; Quatre-feuilles; Ceinture du Strigide; Masque d'Anerice; Cape d'Anerice; Baleinabottes; Dofus Pourpre; Dofus Abyssal; Dofus Turquoise; Dolmanax; Dofus Ocre; Imprenable majeur; Muldo Ebène et Pourpre</t>
        </is>
      </c>
    </row>
    <row r="23468">
      <c r="A23468" t="inlineStr">
        <is>
          <t>terre sans esquive</t>
        </is>
      </c>
      <c r="B23468">
        <f>HYPERLINK("https://www.dofusbook.net/fr/equipement/1827256-terre-sans-esquive/objets", "link")</f>
        <v/>
      </c>
      <c r="C23468" t="n">
        <v>0</v>
      </c>
      <c r="D23468" t="inlineStr">
        <is>
          <t>Bêche Asse; Amulette du Strigide; Bracelet du Piloztère; Anneau Chevelu; Quatre-feuilles; Ceinture de la Cour Sombre; Masque de Koutoulou; Voile d'encre; Bottes de la Cour Sombre; Dolmanax; Dofus Ocre; Dofus Pourpre; Dofus Abyssal; Dofus Turquoise; Vigoureux majeur; Muldo Indigo</t>
        </is>
      </c>
    </row>
    <row r="23469">
      <c r="A23469" t="inlineStr">
        <is>
          <t>eau 2</t>
        </is>
      </c>
      <c r="B23469">
        <f>HYPERLINK("https://www.dofusbook.net/fr/equipement/1807516-eau-2/objets", "link")</f>
        <v/>
      </c>
      <c r="C23469" t="n">
        <v>0</v>
      </c>
      <c r="D23469" t="inlineStr">
        <is>
          <t>Dagoulinantes; Amulette de Pol Ouatnos; Bracelet des Fonds marins; Alliance Gloursonne; Cadran de Terre; Ceinture de la Reine des Voleurs; Kidibonnet; Chevelure de Tal Kasha; Bottes de la Reine des Voleurs; Dofus Pourpre; Dolmanax; Dofus Turquoise; Étourdisseur majeur; Évasif majeur; Remueur; Kramkram</t>
        </is>
      </c>
    </row>
    <row r="23470">
      <c r="A23470" t="inlineStr">
        <is>
          <t>eau bourrin</t>
        </is>
      </c>
      <c r="B23470">
        <f>HYPERLINK("https://www.dofusbook.net/fr/equipement/1807227-eau-bourrin/objets", "link")</f>
        <v/>
      </c>
      <c r="C23470" t="n">
        <v>0</v>
      </c>
      <c r="D23470" t="inlineStr">
        <is>
          <t>Dagoulinantes; Amulette Cryochrone; Alliance Gloursonne; Bracelet des Fonds marins; Cadran de Terre; Poulpagne; Capuche de l'Œil Attentif; Chevelure de Tal Kasha; Sandales de Tal Kasha; Dofus Pourpre; Dofus Turquoise; Miraculé majeur; Remueur; Étourdisseur majeur; Chanceux majeur</t>
        </is>
      </c>
    </row>
    <row r="23471">
      <c r="A23471" t="inlineStr">
        <is>
          <t>terre esq PA</t>
        </is>
      </c>
      <c r="B23471">
        <f>HYPERLINK("https://www.dofusbook.net/fr/equipement/1779532-terre-esq-pa/objets", "link")</f>
        <v/>
      </c>
      <c r="C23471" t="n">
        <v>0</v>
      </c>
      <c r="D23471" t="inlineStr">
        <is>
          <t>Marteau R'ture; Amulette du Strigide; Anneau Crustique; Anneau de Brouce; Bouclier du Stalak; Ceinture de Brouce; Masque d'Anerice; Cape d'Anerice; Bottes de Brouce; Dofus Ocre; Dofus Pourpre; Dolmanax; Dofus Turquoise; Dofus Abyssal; Imprenable majeur; Muldo Pourpre et Amande</t>
        </is>
      </c>
    </row>
    <row r="23472">
      <c r="A23472" t="inlineStr">
        <is>
          <t>terre vita</t>
        </is>
      </c>
      <c r="B23472">
        <f>HYPERLINK("https://www.dofusbook.net/fr/equipement/1739357-terre-vita/objets", "link")</f>
        <v/>
      </c>
      <c r="C23472" t="n">
        <v>0</v>
      </c>
      <c r="D23472" t="inlineStr">
        <is>
          <t>Marteau R'ture; Amulette du Strigide; Anneau de Brouce; Anneau Chevelu; Quatre-feuilles; Ceinture de la Reine des Voleurs; Masque d'Anerice; Cape d'Anerice; Sabots Minables; Dofus Ocre; Dofus Pourpre; Dolmanax; Dofus Turquoise; Dofus Abyssal; Nomade; Kramkram</t>
        </is>
      </c>
    </row>
    <row r="23473">
      <c r="A23473" t="inlineStr">
        <is>
          <t>terre</t>
        </is>
      </c>
      <c r="B23473">
        <f>HYPERLINK("https://www.dofusbook.net/fr/equipement/568866-terre/objets", "link")</f>
        <v/>
      </c>
      <c r="C23473" t="n">
        <v>0</v>
      </c>
      <c r="D23473" t="inlineStr">
        <is>
          <t>Marteau R'ture; Amulette du Strigide; Bague Gloursonne; Anneau Chevelu; Quatre-feuilles; Ceinture de Gein; Chapeau de Gein; Cape au Logis; Sabots Minables; Dofus Turquoise; Dolmanax; Dofus Ocre; Dofus Pourpre; Dofus Abyssal; Kramkram</t>
        </is>
      </c>
    </row>
    <row r="23474">
      <c r="A23474" t="inlineStr">
        <is>
          <t>do crit</t>
        </is>
      </c>
      <c r="B23474">
        <f>HYPERLINK("https://www.dofusbook.net/fr/equipement/1710768-do-crit/objets", "link")</f>
        <v/>
      </c>
      <c r="C23474" t="n">
        <v>0</v>
      </c>
      <c r="D23474" t="inlineStr">
        <is>
          <t>Baguette Range; Amulette du Strigide; Bracelet du Piloztère; Anneau de Padgref; Bouclier d'Anerice; Ceinture du Strigide; Coiffe de Padgref; Cape d'Anerice; Bottes du Strigide; Dofus Turquoise; Dofus des Glaces; Dofus Ocre; Dofus Pourpre; Dolmanax; Muldo Prune et Emeraude</t>
        </is>
      </c>
    </row>
    <row r="23475">
      <c r="A23475" t="inlineStr">
        <is>
          <t>goule</t>
        </is>
      </c>
      <c r="B23475">
        <f>HYPERLINK("https://www.dofusbook.net/fr/equipement/1678108-goule/objets", "link")</f>
        <v/>
      </c>
      <c r="C23475" t="n">
        <v>0</v>
      </c>
      <c r="D23475" t="inlineStr">
        <is>
          <t>Hache du Chalœil; Amulette du Strigide; Goulano; Alliance Gloursonne; Quatre-feuilles; Ceintacé; Casque de Missiz Frizz; Cape de la Dame du Hasard; Goulbottes; Dofus Pourpre; Dofus Turquoise; Dofus Ocre; Nomade; Kramkram</t>
        </is>
      </c>
    </row>
    <row r="23476">
      <c r="A23476" t="inlineStr">
        <is>
          <t>necro</t>
        </is>
      </c>
      <c r="B23476">
        <f>HYPERLINK("https://www.dofusbook.net/fr/equipement/1618299-necro/objets", "link")</f>
        <v/>
      </c>
      <c r="C23476" t="n">
        <v>0</v>
      </c>
      <c r="D23476" t="inlineStr">
        <is>
          <t>Arc Nécrotique; Amulette du Strigide; Alliance Gloursonne; Bracelet des Fonds marins; Quatre-feuilles; Ceinture du Strigide; Casquette de Meno; Cape de la Dame du Hasard; Pataugastrique; Dofus Turquoise; Dofus Ocre; Dofus Pourpre; Nomade; Vigoureux majeur; Kramkram</t>
        </is>
      </c>
    </row>
    <row r="23477">
      <c r="A23477" t="inlineStr">
        <is>
          <t>necro</t>
        </is>
      </c>
      <c r="B23477">
        <f>HYPERLINK("https://www.dofusbook.net/fr/equipement/1618228-necro/objets", "link")</f>
        <v/>
      </c>
      <c r="C23477" t="n">
        <v>0</v>
      </c>
      <c r="D23477" t="inlineStr">
        <is>
          <t>Arc Nécrotique; Amulette du Strigide; Alliance Gloursonne; Bracelet des Fonds marins; Quatre-feuilles; Ceinture du Strigide; Casquette de Meno; Cape de la Dame du Hasard; Pataugastrique; Dofus Turquoise; Dofus Ocre; Dofus Pourpre; Nomade; Vigoureux majeur; Kramkram</t>
        </is>
      </c>
    </row>
    <row r="23478">
      <c r="A23478" t="inlineStr">
        <is>
          <t>res crit</t>
        </is>
      </c>
      <c r="B23478">
        <f>HYPERLINK("https://www.dofusbook.net/fr/equipement/1529507-res-crit/objets", "link")</f>
        <v/>
      </c>
      <c r="C23478" t="n">
        <v>0</v>
      </c>
      <c r="D23478" t="inlineStr">
        <is>
          <t>Ceinture de la Reine des Voleurs; Bottes de la Reine des Voleurs</t>
        </is>
      </c>
    </row>
    <row r="23479">
      <c r="A23479" t="inlineStr">
        <is>
          <t>bourrin</t>
        </is>
      </c>
      <c r="B23479">
        <f>HYPERLINK("https://www.dofusbook.net/fr/equipement/1442733-bourrin/objets", "link")</f>
        <v/>
      </c>
      <c r="C23479" t="n">
        <v>0</v>
      </c>
      <c r="D23479" t="inlineStr">
        <is>
          <t>Manthache; Amulette du Granduk; Gant du Valet Veinard; Alliance Gloursonne; Bouclier du Stalak; Menoture; Masque du Granduk; Cape Indescriptible; Palmes Trithons; Dolmanax; Dofus Pourpre; Dofus Émeraude; Dofus Ocre; Equilibriste majeur; Cascadeur majeur; Muldo Ebène</t>
        </is>
      </c>
    </row>
    <row r="23480">
      <c r="A23480" t="inlineStr">
        <is>
          <t>terre</t>
        </is>
      </c>
      <c r="B23480">
        <f>HYPERLINK("https://www.dofusbook.net/fr/equipement/1438101-terre/objets", "link")</f>
        <v/>
      </c>
      <c r="C23480" t="n">
        <v>0</v>
      </c>
      <c r="D23480" t="inlineStr">
        <is>
          <t>Bâthon; Amulette Héroclite; Alliance Gloursonne; Goulano; Slip du Roi de Bonta; Kidibonnet; Voile d'encre; Goulbottes; Dofus Pourpre; Dofus Ocre; Dofus Émeraude; Temporiseur majeur; Kramkram</t>
        </is>
      </c>
    </row>
    <row r="23481">
      <c r="A23481" t="inlineStr">
        <is>
          <t>res crit</t>
        </is>
      </c>
      <c r="B23481">
        <f>HYPERLINK("https://www.dofusbook.net/fr/equipement/1430737-res-crit/objets", "link")</f>
        <v/>
      </c>
      <c r="C23481" t="n">
        <v>0</v>
      </c>
      <c r="D23481" t="inlineStr">
        <is>
          <t>Baguette de Malléfisk; Torquistik; Goulano; Baguistik; Goulclier; Ceinture du Comte Razof; Casque Dragoeuf; Voile d'encre; Goulbottes</t>
        </is>
      </c>
    </row>
    <row r="23482">
      <c r="A23482" t="inlineStr">
        <is>
          <t>res crit 2</t>
        </is>
      </c>
      <c r="B23482">
        <f>HYPERLINK("https://www.dofusbook.net/fr/equipement/1407005-res-crit-2/objets", "link")</f>
        <v/>
      </c>
      <c r="C23482" t="n">
        <v>0</v>
      </c>
      <c r="D23482" t="inlineStr">
        <is>
          <t>Manthache; Amulette Ikête; Alliance Gloursonne; Anneau Rifique; Bouclier du Stalak; Menoture; Coiffe de la Reine des Voleurs; Cape Parition; Bottes de la Reine des Voleurs; Dofus Pourpre; Dolmanax; Dofus Émeraude; Dofus des Glaces; Dofus Ocre; Dofus Abyssal; Muldo Ebène et Orchidée</t>
        </is>
      </c>
    </row>
    <row r="23483">
      <c r="A23483" t="inlineStr">
        <is>
          <t>bob</t>
        </is>
      </c>
      <c r="B23483">
        <f>HYPERLINK("https://www.dofusbook.net/fr/equipement/1358602-bob/objets", "link")</f>
        <v/>
      </c>
      <c r="C23483" t="n">
        <v>0</v>
      </c>
      <c r="D23483" t="inlineStr">
        <is>
          <t>Héqache; Amulette du Strigide; Bracelet du Piloztère; Alliance Gloursonne; Bouclier du Captain Amakna; Ceinture du Strigide; Coiffe de la Fuji Givrefoux; Cape du Kamasterisk; Baleinabottes; Dofus Turquoise; Dofus Émeraude; Dofus Ocre; Dofus Pourpre; Nomade; Kramkram</t>
        </is>
      </c>
    </row>
    <row r="23484">
      <c r="A23484" t="inlineStr">
        <is>
          <t>res crit</t>
        </is>
      </c>
      <c r="B23484">
        <f>HYPERLINK("https://www.dofusbook.net/fr/equipement/1367534-res-crit/objets", "link")</f>
        <v/>
      </c>
      <c r="C23484" t="n">
        <v>0</v>
      </c>
      <c r="D23484" t="inlineStr">
        <is>
          <t>Manthache; Pendentif mignon de Koutoulou; Alliance Gloursonne; Anneau Rifique; Bouclier du Stalak; Protopagne; Casque Cyclopéen; Cape Tif; Chaussures Face; Dofus des Glaces; Dofus Ocre; Dofus Abyssal; Dofus Émeraude; Dolmanax; Dofus Pourpre; Kramkram</t>
        </is>
      </c>
    </row>
    <row r="23485">
      <c r="A23485" t="inlineStr">
        <is>
          <t>Stuff 3</t>
        </is>
      </c>
      <c r="B23485">
        <f>HYPERLINK("https://www.dofusbook.net/fr/equipement/338430-stuff-3/objets", "link")</f>
        <v/>
      </c>
      <c r="C23485" t="n">
        <v>0</v>
      </c>
      <c r="D23485" t="inlineStr">
        <is>
          <t>Baguette de Malléfisk; Torquistik; Goulano; Anneauræus; Carapar; Ceinture de Vortex; Chapeau du Comte Razof; Voile d'encre; Goulbottes; Dofus Ocre; Dolmanax; Remueur; Enragé majeur; Érudit majeur; Muldo Pourpre et Amande</t>
        </is>
      </c>
    </row>
    <row r="23486">
      <c r="A23486" t="inlineStr">
        <is>
          <t>terre air</t>
        </is>
      </c>
      <c r="B23486">
        <f>HYPERLINK("https://www.dofusbook.net/fr/equipement/1348525-terre-air/objets", "link")</f>
        <v/>
      </c>
      <c r="C23486" t="n">
        <v>0</v>
      </c>
      <c r="D23486" t="inlineStr">
        <is>
          <t>Lance corrompue; Amulette du Kamasterisk; Alliance Gloursonne; Bague Gloursonne; Bouclier Taverne; Ceinture de l'Esprit Salvateur; Masque de l'Esprit Salvateur; Cape du Kamasterisk; Bottes de l'Esprit Salvateur; Dofus Pourpre; Dofus Abyssal; Dofus Émeraude; Dofus Ocre; Dolmanax; Dofus des Glaces; Muldo Orchidée</t>
        </is>
      </c>
    </row>
    <row r="23487">
      <c r="A23487" t="inlineStr">
        <is>
          <t>ret pm</t>
        </is>
      </c>
      <c r="B23487">
        <f>HYPERLINK("https://www.dofusbook.net/fr/equipement/909871-ret-pm/objets", "link")</f>
        <v/>
      </c>
      <c r="C23487" t="n">
        <v>0</v>
      </c>
      <c r="D23487" t="inlineStr">
        <is>
          <t>Arc Hétype; Amulette du Glourséleste; Anneau de Nidas; Pikano; Bouclier cubiste; Ceinture de Kongoku; Coiffe d'Ogivol; Cape des Justiciers; Pikottes; Dofus Ocre; Entraveur; Entraveur majeur; Temporiseur majeur; Ralentisseur majeur; Temporiseur; Minikrone</t>
        </is>
      </c>
    </row>
    <row r="23488">
      <c r="A23488" t="inlineStr">
        <is>
          <t>ret</t>
        </is>
      </c>
      <c r="B23488">
        <f>HYPERLINK("https://www.dofusbook.net/fr/equipement/967532-ret/objets", "link")</f>
        <v/>
      </c>
      <c r="C23488" t="n">
        <v>0</v>
      </c>
      <c r="D23488" t="inlineStr">
        <is>
          <t>Pelle Dorado; Amulette du Glourséleste; Anneau Tamie; Pikano; Bouclier cubiste; Ceinture Instable; Casquipik; Cape Tif; Pantoufles Émar; Dofus Ocre; Dofus Cawotte; Temporiseur majeur; Entraveur; Entraveur majeur; Ralentisseur majeur; Minikrone</t>
        </is>
      </c>
    </row>
    <row r="23489">
      <c r="A23489" t="inlineStr">
        <is>
          <t>ret pm 125</t>
        </is>
      </c>
      <c r="B23489">
        <f>HYPERLINK("https://www.dofusbook.net/fr/equipement/918861-ret-pm-125/objets", "link")</f>
        <v/>
      </c>
      <c r="C23489" t="n">
        <v>0</v>
      </c>
      <c r="D23489" t="inlineStr">
        <is>
          <t>Clef à Molette; Plimclik; Anneau Xélomorphe; Anneau Truche; Ceintruche; Chapeau Truche; Cape Xélomorphe; Bottes Xélomorphes; Dofus Cawotte; Dofus Ocre; Dofus Abyssal; Entraveur; Ralentisseur</t>
        </is>
      </c>
    </row>
    <row r="23490">
      <c r="A23490" t="inlineStr">
        <is>
          <t>reseau</t>
        </is>
      </c>
      <c r="B23490">
        <f>HYPERLINK("https://www.dofusbook.net/fr/equipement/887616-reseau/objets", "link")</f>
        <v/>
      </c>
      <c r="C23490" t="n">
        <v>0</v>
      </c>
      <c r="D23490" t="inlineStr">
        <is>
          <t>Hache Téroïde; Amulette du Strigide; Bague Gloursonne; Chevalière du Roi Joueur; Bouclier du Stalak; Ceintacé; Chapeau de Gein; Voile d'encre; Bottes du Roi Joueur; Dofus Pourpre; Dofus Abyssal; Dofus Émeraude; Dofus Ocre; Muldo Orchidée et Pourpre</t>
        </is>
      </c>
    </row>
    <row r="23491">
      <c r="A23491" t="inlineStr">
        <is>
          <t>bourrin</t>
        </is>
      </c>
      <c r="B23491">
        <f>HYPERLINK("https://www.dofusbook.net/fr/equipement/881391-bourrin/objets", "link")</f>
        <v/>
      </c>
      <c r="C23491" t="n">
        <v>0</v>
      </c>
      <c r="D23491" t="inlineStr">
        <is>
          <t>Epée Kari; Amulette du Strigide; Anneau de Padgref; Bracelet du Piloztère; Ceintacé; Casque de Missiz Frizz; Cape Reski; Bottes du Strigide; Dofus Ocre; Dofus Pourpre; Dofus Turquoise; Nomade; Vigoureux majeur; Muldo Doré</t>
        </is>
      </c>
    </row>
    <row r="23492">
      <c r="A23492" t="inlineStr">
        <is>
          <t>eau /air crit</t>
        </is>
      </c>
      <c r="B23492">
        <f>HYPERLINK("https://www.dofusbook.net/fr/equipement/669576-eau--air-crit/objets", "link")</f>
        <v/>
      </c>
      <c r="C23492" t="n">
        <v>0</v>
      </c>
      <c r="D23492" t="inlineStr">
        <is>
          <t>Marteau des Anciens Steamers; Amulette Voldelor; Alliance Gloursonne; Ceinture Voldelor; Masque d'Anerice; Cape d'Anerice; Bottes Voldelor</t>
        </is>
      </c>
    </row>
    <row r="23493">
      <c r="A23493" t="inlineStr">
        <is>
          <t>intel</t>
        </is>
      </c>
      <c r="B23493">
        <f>HYPERLINK("https://www.dofusbook.net/fr/equipement/453961-intel/objets", "link")</f>
        <v/>
      </c>
      <c r="C23493" t="n">
        <v>0</v>
      </c>
      <c r="D23493" t="inlineStr">
        <is>
          <t>Harpelle; Pendentif affamé; Anneau Rifique; Anneau Tique; Ceinture de Vortex; Cagoule de Vortex; Voile d'encre; Pataugastrique; Étourdisseur majeur; Remueur; Érudit majeur; Muldo Orchidée et Pourpre</t>
        </is>
      </c>
    </row>
    <row r="23494">
      <c r="A23494" t="inlineStr">
        <is>
          <t>Stuff 1</t>
        </is>
      </c>
      <c r="B23494">
        <f>HYPERLINK("https://www.dofusbook.net/fr/equipement/338417-stuff-1/objets", "link")</f>
        <v/>
      </c>
      <c r="C23494" t="n">
        <v>0</v>
      </c>
      <c r="D23494" t="inlineStr">
        <is>
          <t>Arc Hétype; Pendentif mignon de Koutoulou; Anneau Tique; Anneau Rifique; Sangle Aise; Casque Dragoeuf; Cape de Diondin; Bottes Innommables; Dolmanax; Carapace Feu majeur; Érudit majeur; Fonceur majeur; Remueur; Muldo Orchidée et Pourpre</t>
        </is>
      </c>
    </row>
    <row r="23495">
      <c r="A23495" t="inlineStr">
        <is>
          <t>feu cheat</t>
        </is>
      </c>
      <c r="B23495">
        <f>HYPERLINK("https://www.dofusbook.net/fr/equipement/356603-feu-cheat/objets", "link")</f>
        <v/>
      </c>
      <c r="C23495" t="n">
        <v>0</v>
      </c>
      <c r="D23495" t="inlineStr">
        <is>
          <t>Arc Hétype; Pendentif mignon de Koutoulou; Anneau Tique; Anneau Rifique; Ceinture de Vortex; Casque Dragoeuf; Cape de Diondin; Bottes Innommables; Remueur; Érudit majeur; Carapace Feu majeur</t>
        </is>
      </c>
    </row>
    <row r="23496">
      <c r="A23496" t="inlineStr">
        <is>
          <t>Stuff 3</t>
        </is>
      </c>
      <c r="B23496">
        <f>HYPERLINK("https://www.dofusbook.net/fr/equipement/338456-stuff-3/objets", "link")</f>
        <v/>
      </c>
      <c r="C23496" t="n">
        <v>0</v>
      </c>
      <c r="D23496" t="inlineStr"/>
    </row>
    <row r="23497">
      <c r="A23497" t="inlineStr">
        <is>
          <t>Stuff 1</t>
        </is>
      </c>
      <c r="B23497">
        <f>HYPERLINK("https://www.dofusbook.net/fr/equipement/338467-stuff-1/objets", "link")</f>
        <v/>
      </c>
      <c r="C23497" t="n">
        <v>0</v>
      </c>
      <c r="D23497" t="inlineStr">
        <is>
          <t>Marteau des Anciens Steamers; Amulette du Strigide; Anneau de Padgref; Alliance Gloursonne; Ceinture du Strigide; Le Dorado; Voile d'encre; Pataugastrique; Dofus Turquoise; Dofus Pourpre; Vigoureux majeur; Nomade; Kramkram</t>
        </is>
      </c>
    </row>
    <row r="23498">
      <c r="A23498" t="inlineStr">
        <is>
          <t>Stuff 2</t>
        </is>
      </c>
      <c r="B23498">
        <f>HYPERLINK("https://www.dofusbook.net/fr/equipement/338458-stuff-2/objets", "link")</f>
        <v/>
      </c>
      <c r="C23498" t="n">
        <v>0</v>
      </c>
      <c r="D23498" t="inlineStr">
        <is>
          <t>Hache du Chalœil; Amulette du Strigide; Alliance Gloursonne; Bague Trithon; Ceinture du Strigide; Masque Trithon; Cape de Meno; Bottes Trithon; Dofus Abyssal; Dofus Turquoise; Dofus Vulbis; Dofus Pourpre; Dofus Ocre; Dolmanax; Kramkram</t>
        </is>
      </c>
    </row>
    <row r="23499">
      <c r="A23499" t="inlineStr">
        <is>
          <t>Stuff 2</t>
        </is>
      </c>
      <c r="B23499">
        <f>HYPERLINK("https://www.dofusbook.net/fr/equipement/338460-stuff-2/objets", "link")</f>
        <v/>
      </c>
      <c r="C23499" t="n">
        <v>0</v>
      </c>
      <c r="D23499" t="inlineStr">
        <is>
          <t>Marteau des Anciens Steamers; Amulette Voldelor; Alliance Gloursonne; Bracelet du Piloztère; Ceinture Voldelor; Kidibonnet; Cape de Mantaze; Bottes de la Reine des Voleurs; Dofus Turquoise; Dolmanax; Remueur; Carapace Eau majeur; Nomade; El Scarador</t>
        </is>
      </c>
    </row>
    <row r="23500">
      <c r="A23500" t="inlineStr">
        <is>
          <t>Stuff 1</t>
        </is>
      </c>
      <c r="B23500">
        <f>HYPERLINK("https://www.dofusbook.net/fr/equipement/338462-stuff-1/objets", "link")</f>
        <v/>
      </c>
      <c r="C23500" t="n">
        <v>0</v>
      </c>
      <c r="D23500" t="inlineStr">
        <is>
          <t>Sceptre du Roi Joueur; Amulette Voldelor; Alliance Gloursonne; Bracelet des Fonds marins; Poulpagne; Chapeau Lisson; Cape d'Atcham; Sandales  d'Atcham; Remueur; Étourdisseur majeur; Nomade; Carapace Eau majeur; Croum</t>
        </is>
      </c>
    </row>
    <row r="23501">
      <c r="A23501" t="inlineStr">
        <is>
          <t>Stuff 1</t>
        </is>
      </c>
      <c r="B23501">
        <f>HYPERLINK("https://www.dofusbook.net/fr/equipement/338457-stuff-1/objets", "link")</f>
        <v/>
      </c>
      <c r="C23501" t="n">
        <v>0</v>
      </c>
      <c r="D23501" t="inlineStr">
        <is>
          <t>Baguette de Malléfisk; Pendentif mignon de Koutoulou; Alliance Boletée; Anneauræus; Ceinture de Gein; Chapeau de Gein; Voile d'encre; Bottes Innommables; Dofus Nébuleux; Dofus Ocre; Déserteur majeur; Remueur; Temporiseur majeur; Érudit majeur; Muldo Orchidée et Pourpre</t>
        </is>
      </c>
    </row>
    <row r="23502">
      <c r="A23502" t="inlineStr">
        <is>
          <t>Stuff 2</t>
        </is>
      </c>
      <c r="B23502">
        <f>HYPERLINK("https://www.dofusbook.net/fr/equipement/338468-stuff-2/objets", "link")</f>
        <v/>
      </c>
      <c r="C23502" t="n">
        <v>0</v>
      </c>
      <c r="D23502" t="inlineStr">
        <is>
          <t>Harpelle; Amulette du Strigide; Anneau Tique; Anneau Rifique; Menoture; Cagoule de Vortex; Cape d'Atcham; Sandales  d'Atcham; Dofus Turquoise; Dofus Pourpre; Nomade; Remueur; El Scarador</t>
        </is>
      </c>
    </row>
    <row r="23503">
      <c r="A23503" t="inlineStr">
        <is>
          <t>Stuff 3</t>
        </is>
      </c>
      <c r="B23503">
        <f>HYPERLINK("https://www.dofusbook.net/fr/equipement/338459-stuff-3/objets", "link")</f>
        <v/>
      </c>
      <c r="C23503" t="n">
        <v>0</v>
      </c>
      <c r="D23503" t="inlineStr">
        <is>
          <t>Dagues Érhy; Amulette Ementaire Deluxe; Anneau Chevelu; Chevalière du Roi Joueur; Slip du Roi de Bonta; Chapeau de Gein; Voile d'encre; Bottes du Roi Joueur; Dolmanax; Dofus Émeraude; Dofus Ocre; Vigoureux majeur; Remueur; Temporiseur majeur; Muldo Ebène et Pourpre</t>
        </is>
      </c>
    </row>
    <row r="23504">
      <c r="A23504" t="inlineStr">
        <is>
          <t>Stuff 3</t>
        </is>
      </c>
      <c r="B23504">
        <f>HYPERLINK("https://www.dofusbook.net/fr/equipement/338461-stuff-3/objets", "link")</f>
        <v/>
      </c>
      <c r="C23504" t="n">
        <v>0</v>
      </c>
      <c r="D23504" t="inlineStr">
        <is>
          <t>Marteau des Anciens Steamers; Amulette Voldelor; Gant du Valet Veinard; Alliance Gloursonne; Ceinture du Barbétoal; Masque du Barbétoal; Cape Matelassée; Bottes de la Reine des Voleurs; Dolmanax; Carapace Eau majeur; Nomade; Remueur; Croum</t>
        </is>
      </c>
    </row>
    <row r="23505">
      <c r="A23505" t="inlineStr">
        <is>
          <t>Stuff 3</t>
        </is>
      </c>
      <c r="B23505">
        <f>HYPERLINK("https://www.dofusbook.net/fr/equipement/338453-stuff-3/objets", "link")</f>
        <v/>
      </c>
      <c r="C23505" t="n">
        <v>0</v>
      </c>
      <c r="D23505" t="inlineStr">
        <is>
          <t>Lame Assacre; Amulette Ripage; Bracelet Ventré; Ceinture de la Reine des Voleurs; Coiffe de la Reine des Voleurs; Cape Erforée; Bottes de la Reine des Voleurs</t>
        </is>
      </c>
    </row>
    <row r="23506">
      <c r="A23506" t="inlineStr">
        <is>
          <t>Stuff 1</t>
        </is>
      </c>
      <c r="B23506">
        <f>HYPERLINK("https://www.dofusbook.net/fr/equipement/338444-stuff-1/objets", "link")</f>
        <v/>
      </c>
      <c r="C23506" t="n">
        <v>1</v>
      </c>
      <c r="D23506" t="inlineStr">
        <is>
          <t>Héqache; Amulette du Strigide; Bague Trithon; Alliance Gloursonne; Ceinture du Strigide; Masque Trithon; Voile d'encre; Bottes du Cœur Saignant; Dofus des Glaces; Dofus Turquoise; Dolmanax; Dofus Pourpre; Dofus Ocre; Muldo Ebène et Pourpre</t>
        </is>
      </c>
    </row>
    <row r="23507">
      <c r="A23507" t="inlineStr">
        <is>
          <t>Stuff 1</t>
        </is>
      </c>
      <c r="B23507">
        <f>HYPERLINK("https://www.dofusbook.net/fr/equipement/338423-stuff-1/objets", "link")</f>
        <v/>
      </c>
      <c r="C23507" t="n">
        <v>0</v>
      </c>
      <c r="D23507" t="inlineStr">
        <is>
          <t>Rapière aux Glyphes; Amulette de Shokkoth; Alliance Gloursonne; Bracelet des Fonds marins; Poulpagne; Casque Dragoeuf; Cape de Mantaze; Sandales des Fonds marins; Dolmanax; Dofus des Glaces; Remueur; Chanceux majeur; Muldo Indigo</t>
        </is>
      </c>
    </row>
    <row r="23508">
      <c r="A23508" t="inlineStr">
        <is>
          <t>Stuff 2</t>
        </is>
      </c>
      <c r="B23508">
        <f>HYPERLINK("https://www.dofusbook.net/fr/equipement/338418-stuff-2/objets", "link")</f>
        <v/>
      </c>
      <c r="C23508" t="n">
        <v>0</v>
      </c>
      <c r="D23508" t="inlineStr">
        <is>
          <t>Rapière aux Glyphes; Amulette de Shokkoth; Alliance Gloursonne; Bracelet des Fonds marins; Poulpagne; Masque des Fonds marins; Cape de Mantaze; Sandales Circulaires du Kimbo; Dofus Pourpre; Dofus Turquoise; Carapace Neutre majeur; Évasif majeur; Nomade; Remueur; Croum</t>
        </is>
      </c>
    </row>
    <row r="23509">
      <c r="A23509" t="inlineStr">
        <is>
          <t>Stuff 2</t>
        </is>
      </c>
      <c r="B23509">
        <f>HYPERLINK("https://www.dofusbook.net/fr/equipement/338455-stuff-2/objets", "link")</f>
        <v/>
      </c>
      <c r="C23509" t="n">
        <v>0</v>
      </c>
      <c r="D23509" t="inlineStr">
        <is>
          <t>Arc Hétype; Amulule; Anneau Tique; Anneau Cryochrone; Protopagne; Casque Dragoeuf; Cape de Diondin; Chaussures Hau; Érudit majeur; Miraculé majeur; Carapace Eau majeur; Déserteur majeur; Remueur; El Scarador</t>
        </is>
      </c>
    </row>
    <row r="23510">
      <c r="A23510" t="inlineStr">
        <is>
          <t>Stuff 3</t>
        </is>
      </c>
      <c r="B23510">
        <f>HYPERLINK("https://www.dofusbook.net/fr/equipement/338446-stuff-3/objets", "link")</f>
        <v/>
      </c>
      <c r="C23510" t="n">
        <v>1</v>
      </c>
      <c r="D23510" t="inlineStr">
        <is>
          <t>Arc de Koutoulou; Amulette Voldelor; Gant du Valet Veinard; Alliance Gloursonne; Menoture; Némès de Tal Kasha; Chevelure de Tal Kasha; Palmes Trithons; Dofus des Glaces; Remueur; Chanceux majeur; Cascadeur majeur; Nomade; El Scarador</t>
        </is>
      </c>
    </row>
    <row r="23511">
      <c r="A23511" t="inlineStr">
        <is>
          <t>Stuff 1</t>
        </is>
      </c>
      <c r="B23511">
        <f>HYPERLINK("https://www.dofusbook.net/fr/equipement/338428-stuff-1/objets", "link")</f>
        <v/>
      </c>
      <c r="C23511" t="n">
        <v>0</v>
      </c>
      <c r="D23511" t="inlineStr">
        <is>
          <t>Arc Nécrotique; Amulette du Strigide; Bracelet du Piloztère; Alliance Gloursonne; Ceinture du Strigide; Kidibonnet; Cape de la Dame du Hasard; Bottes de la Dame du Hasard; Dofus des Glaces; Dofus Pourpre; Dolmanax; Dofus Turquoise; Dofus Ocre; Muldo Indigo et Orchidée</t>
        </is>
      </c>
    </row>
    <row r="23512">
      <c r="A23512" t="inlineStr">
        <is>
          <t>Stuff 1</t>
        </is>
      </c>
      <c r="B23512">
        <f>HYPERLINK("https://www.dofusbook.net/fr/equipement/338420-stuff-1/objets", "link")</f>
        <v/>
      </c>
      <c r="C23512" t="n">
        <v>0</v>
      </c>
      <c r="D23512" t="inlineStr">
        <is>
          <t>Baguette de Malléfisk; Talisman Igans; Anneau Tique; Alliance Gloursonne; Protopagne; Kidibonnet; Voile d'encre; Bottes Owesli; Dofus Turquoise; Dofus Émeraude; Guérisseur majeur; Remueur; Miraculé majeur; Culbuteur majeur; Péki</t>
        </is>
      </c>
    </row>
    <row r="23513">
      <c r="A23513" t="inlineStr">
        <is>
          <t>Stuff 2</t>
        </is>
      </c>
      <c r="B23513">
        <f>HYPERLINK("https://www.dofusbook.net/fr/equipement/338452-stuff-2/objets", "link")</f>
        <v/>
      </c>
      <c r="C23513" t="n">
        <v>0</v>
      </c>
      <c r="D23513" t="inlineStr">
        <is>
          <t>Héqache; Amulette du Strigide; Anneau Chevelu; Bague Gloursonne; Ceinture du Strigide; Casque Dragoeuf; Cape du Kamasterisk; Baleinabottes; Dofus Pourpre; Dofus Abyssal; Dofus Ocre; Dofus Turquoise; Nomade; Vigoureux majeur; Kramkram</t>
        </is>
      </c>
    </row>
    <row r="23514">
      <c r="A23514" t="inlineStr">
        <is>
          <t>Stuff 3</t>
        </is>
      </c>
      <c r="B23514">
        <f>HYPERLINK("https://www.dofusbook.net/fr/equipement/338422-stuff-3/objets", "link")</f>
        <v/>
      </c>
      <c r="C23514" t="n">
        <v>0</v>
      </c>
      <c r="D23514" t="inlineStr">
        <is>
          <t>Baguette de Malléfisk; Talisman Igans; Alliance Gloursonne; Anneau Tique; Protopagne; Chapeau des Malveilleurs; Cape des Malveilleurs; Pataugastrique; Dofus Émeraude; Dofus Turquoise; Remueur; Guérisseur majeur; Culbuteur majeur; Miraculé majeur; El Scarador</t>
        </is>
      </c>
    </row>
    <row r="23515">
      <c r="A23515" t="inlineStr">
        <is>
          <t>Stuff 1</t>
        </is>
      </c>
      <c r="B23515">
        <f>HYPERLINK("https://www.dofusbook.net/fr/equipement/338454-stuff-1/objets", "link")</f>
        <v/>
      </c>
      <c r="C23515" t="n">
        <v>2</v>
      </c>
      <c r="D23515" t="inlineStr">
        <is>
          <t>Manthache; Collier du Valet Veinard; Alliance Gloursonne; Gant du Valet Veinard; Ceinture du Barbétoal; Capuche de Moum-Ra; Cape Matelassée; Palmes Trithons; Carapace Air majeur; Nomade; Cascadeur majeur; Remueur; Croum</t>
        </is>
      </c>
    </row>
    <row r="23516">
      <c r="A23516" t="inlineStr">
        <is>
          <t>Stuff 2</t>
        </is>
      </c>
      <c r="B23516">
        <f>HYPERLINK("https://www.dofusbook.net/fr/equipement/338445-stuff-2/objets", "link")</f>
        <v/>
      </c>
      <c r="C23516" t="n">
        <v>1</v>
      </c>
      <c r="D23516" t="inlineStr">
        <is>
          <t>Sabres d'Atcham; Amulette du Strigide; Alliance Gloursonne; Anneau de Padgref; Ceintacé; Masque Trithon; Cape de la Dame du Hasard; Bottes Trithon; Dofus Turquoise; Dofus Pourpre; Dolmanax; Remueur; Nomade; Carapace Air majeur; Kramkram</t>
        </is>
      </c>
    </row>
    <row r="23517">
      <c r="A23517" t="inlineStr">
        <is>
          <t>Stuff 3</t>
        </is>
      </c>
      <c r="B23517">
        <f>HYPERLINK("https://www.dofusbook.net/fr/equipement/338424-stuff-3/objets", "link")</f>
        <v/>
      </c>
      <c r="C23517" t="n">
        <v>0</v>
      </c>
      <c r="D23517" t="inlineStr">
        <is>
          <t>Baguette de Malléfisk; Talisman Igans; Anneau Tique; Alliance Gloursonne; Pagne du Rykaon; Casquette de Meno; Bottes Owesli; Dofus des Glaces; Chanceux majeur; Nomade; Guérisseur majeur; Remueur; Brâkarien</t>
        </is>
      </c>
    </row>
    <row r="23518">
      <c r="A23518" t="inlineStr">
        <is>
          <t>Stuff 3</t>
        </is>
      </c>
      <c r="B23518">
        <f>HYPERLINK("https://www.dofusbook.net/fr/equipement/338419-stuff-3/objets", "link")</f>
        <v/>
      </c>
      <c r="C23518" t="n">
        <v>2</v>
      </c>
      <c r="D23518" t="inlineStr">
        <is>
          <t>Sabres d'Atcham; Amulette du Strigide; Alliance Gloursonne; Anneau Tique; Ceinture du Strigide; Chapeau des Malveilleurs; Voile d'encre; Pataugastrique; Dofus Pourpre; Dofus Turquoise; Carapace Eau majeur; Remueur; Évasif majeur; Nomade; Kramkram</t>
        </is>
      </c>
    </row>
    <row r="23519">
      <c r="A23519" t="inlineStr">
        <is>
          <t>Stuff 1</t>
        </is>
      </c>
      <c r="B23519">
        <f>HYPERLINK("https://www.dofusbook.net/fr/equipement/338451-stuff-1/objets", "link")</f>
        <v/>
      </c>
      <c r="C23519" t="n">
        <v>0</v>
      </c>
      <c r="D23519" t="inlineStr">
        <is>
          <t>Epée Toche; Amulette du Strigide; Bague Gloursonne; Anneau Chevelu; Ceinture du Strigide; Casque de Missiz Frizz; Voile d'encre; Dofus Turquoise; Dofus Pourpre; Dofus Ocre; Vigoureux majeur; Remueur; Nomade; Kramkram</t>
        </is>
      </c>
    </row>
    <row r="23520">
      <c r="A23520" t="inlineStr">
        <is>
          <t>Stuff 2</t>
        </is>
      </c>
      <c r="B23520">
        <f>HYPERLINK("https://www.dofusbook.net/fr/equipement/338429-stuff-2/objets", "link")</f>
        <v/>
      </c>
      <c r="C23520" t="n">
        <v>0</v>
      </c>
      <c r="D23520" t="inlineStr">
        <is>
          <t>Dagues de Srambad; Amulette du Piloztère; Pikano; Alliance Gloursonne; Poulpagne; Kidibonnet; Cape Luminescente; Pantoufles du Piloztère; Dofus des Glaces; Dofus Pourpre; Carapace Terre majeur; Remueur; Nomade; Kramkram</t>
        </is>
      </c>
    </row>
    <row r="23521">
      <c r="A23521" t="inlineStr">
        <is>
          <t>Stuff 2</t>
        </is>
      </c>
      <c r="B23521">
        <f>HYPERLINK("https://www.dofusbook.net/fr/equipement/338421-stuff-2/objets", "link")</f>
        <v/>
      </c>
      <c r="C23521" t="n">
        <v>0</v>
      </c>
      <c r="D23521" t="inlineStr">
        <is>
          <t>Arc du Chalœil; Amulette Luminescente; Bague Trithon; Alliance Gloursonne; Ceinture Luminescente; Masque Trithon; Cape Luminescente; Bottes Trithon; Dofus Ocre; Dofus des Glaces; Dofus Turquoise; Dolmanax; Dofus Pourpre; Bousculeur majeur; Muldo Ebène et Pourpre</t>
        </is>
      </c>
    </row>
    <row r="23522">
      <c r="A23522" t="inlineStr">
        <is>
          <t>Stuff 2</t>
        </is>
      </c>
      <c r="B23522">
        <f>HYPERLINK("https://www.dofusbook.net/fr/equipement/338394-stuff-2/objets", "link")</f>
        <v/>
      </c>
      <c r="C23522" t="n">
        <v>0</v>
      </c>
      <c r="D23522" t="inlineStr">
        <is>
          <t>Manthache; Amulette Hale; Kralano; Alliance Gloursonne; Bouclier du Stalak; Menoture; Capuche de Moum-Ra; Cape Tif; Palmes Trithons; Dofus Abyssal; Remueur; Carapace Air majeur; Nomade; Cascadeur majeur; El Scarador</t>
        </is>
      </c>
    </row>
    <row r="23523">
      <c r="A23523" t="inlineStr">
        <is>
          <t>Stuff 3</t>
        </is>
      </c>
      <c r="B23523">
        <f>HYPERLINK("https://www.dofusbook.net/fr/equipement/338404-stuff-3/objets", "link")</f>
        <v/>
      </c>
      <c r="C23523" t="n">
        <v>1</v>
      </c>
      <c r="D23523" t="inlineStr">
        <is>
          <t>Dagues de Srambad; Amulette du Piloztère; Alliance Gloursonne; Pikano; Ceinture Luminescente; Kidibonnet; Cape des Justiciers; Pantoufles du Piloztère; Dofus Pourpre; Vigoureux majeur; Remueur; Nomade; Carapace Terre majeur; Kramkram</t>
        </is>
      </c>
    </row>
    <row r="23524">
      <c r="A23524" t="inlineStr">
        <is>
          <t>Stuff 2</t>
        </is>
      </c>
      <c r="B23524">
        <f>HYPERLINK("https://www.dofusbook.net/fr/equipement/338391-stuff-2/objets", "link")</f>
        <v/>
      </c>
      <c r="C23524" t="n">
        <v>0</v>
      </c>
      <c r="D23524" t="inlineStr">
        <is>
          <t>Héqache; Amulette du Strigide; Bracelet du Piloztère; Alliance Gloursonne; Menoture; Casque des égarés; Cape du Kamasterisk; Bottes des égarés; Dofus Turquoise; Dofus Pourpre; Vigoureux majeur; Nomade; Carapace Eau majeur; Remueur; Muldo Orchidée</t>
        </is>
      </c>
    </row>
    <row r="23525">
      <c r="A23525" t="inlineStr">
        <is>
          <t>Stuff 3</t>
        </is>
      </c>
      <c r="B23525">
        <f>HYPERLINK("https://www.dofusbook.net/fr/equipement/338410-stuff-3/objets", "link")</f>
        <v/>
      </c>
      <c r="C23525" t="n">
        <v>0</v>
      </c>
      <c r="D23525" t="inlineStr">
        <is>
          <t>Ceinture Instable; Casquette de Meno; Cape de Meno; Bottes de Meno</t>
        </is>
      </c>
    </row>
    <row r="23526">
      <c r="A23526" t="inlineStr">
        <is>
          <t>Stuff 1</t>
        </is>
      </c>
      <c r="B23526">
        <f>HYPERLINK("https://www.dofusbook.net/fr/equipement/338402-stuff-1/objets", "link")</f>
        <v/>
      </c>
      <c r="C23526" t="n">
        <v>0</v>
      </c>
      <c r="D23526" t="inlineStr">
        <is>
          <t>Sabres d'Atcham; Amulette du Strigide; Bracelet du Piloztère; Anneau de Padgref; Ceinture du Strigide; Coiffe de Padgref; Cape d'Atcham; Bottes du Strigide; Dofus Nébuleux; Dofus Pourpre; Dolmanax; Dofus Turquoise; Dofus des Glaces; Dofus Ocre; Muldo Emeraude</t>
        </is>
      </c>
    </row>
    <row r="23527">
      <c r="A23527" t="inlineStr">
        <is>
          <t>Stuff 2</t>
        </is>
      </c>
      <c r="B23527">
        <f>HYPERLINK("https://www.dofusbook.net/fr/equipement/338394-stuff-2/objets", "link")</f>
        <v/>
      </c>
      <c r="C23527" t="n">
        <v>0</v>
      </c>
      <c r="D23527" t="inlineStr">
        <is>
          <t>Manthache; Amulette Hale; Alliance Gloursonne; Kralano; Bouclier du Stalak; Menoture; Capuche de Moum-Ra; Cape Tif; Palmes Trithons; Dofus Abyssal; Carapace Air majeur; Nomade; Cascadeur majeur; Remueur; El Scarador</t>
        </is>
      </c>
    </row>
    <row r="23528">
      <c r="A23528" t="inlineStr">
        <is>
          <t>Stuff 3</t>
        </is>
      </c>
      <c r="B23528">
        <f>HYPERLINK("https://www.dofusbook.net/fr/equipement/338404-stuff-3/objets", "link")</f>
        <v/>
      </c>
      <c r="C23528" t="n">
        <v>1</v>
      </c>
      <c r="D23528" t="inlineStr">
        <is>
          <t>Dagues de Srambad; Amulette du Piloztère; Pikano; Alliance Gloursonne; Ceinture Luminescente; Kidibonnet; Cape des Justiciers; Pantoufles du Piloztère; Dofus Pourpre; Carapace Terre majeur; Vigoureux majeur; Remueur; Nomade; Kramkram</t>
        </is>
      </c>
    </row>
    <row r="23529">
      <c r="A23529" t="inlineStr">
        <is>
          <t>Stuff 2</t>
        </is>
      </c>
      <c r="B23529">
        <f>HYPERLINK("https://www.dofusbook.net/fr/equipement/338391-stuff-2/objets", "link")</f>
        <v/>
      </c>
      <c r="C23529" t="n">
        <v>0</v>
      </c>
      <c r="D23529" t="inlineStr">
        <is>
          <t>Héqache; Amulette du Strigide; Alliance Gloursonne; Bracelet du Piloztère; Menoture; Casque des égarés; Cape du Kamasterisk; Bottes des égarés; Dofus Pourpre; Dofus Turquoise; Nomade; Carapace Eau majeur; Remueur; Vigoureux majeur; Muldo Orchidée</t>
        </is>
      </c>
    </row>
    <row r="23530">
      <c r="A23530" t="inlineStr">
        <is>
          <t>Stuff 2</t>
        </is>
      </c>
      <c r="B23530">
        <f>HYPERLINK("https://www.dofusbook.net/fr/equipement/338409-stuff-2/objets", "link")</f>
        <v/>
      </c>
      <c r="C23530" t="n">
        <v>0</v>
      </c>
      <c r="D23530" t="inlineStr">
        <is>
          <t>Arc Hétype; Pendentif affamé; Anneau Tique; Anneau de Nidas; Ceinture de Vortex; Couronne de Nidas; Voile d'encre; Bottes Innommables; Dofus Ocre; Érudit majeur; Remueur; Temporiseur majeur; Muldo Orchidée et Amande</t>
        </is>
      </c>
    </row>
    <row r="23531">
      <c r="A23531" t="inlineStr">
        <is>
          <t>Stuff 3</t>
        </is>
      </c>
      <c r="B23531">
        <f>HYPERLINK("https://www.dofusbook.net/fr/equipement/338401-stuff-3/objets", "link")</f>
        <v/>
      </c>
      <c r="C23531" t="n">
        <v>0</v>
      </c>
      <c r="D23531" t="inlineStr">
        <is>
          <t>Sabres d'Atcham; Amulette de l'Indicible; Alliance Gloursonne; Bracelet du Piloztère; Poulpagne; Chapeau des Malveilleurs; Chevelure de Tal Kasha; Sandales de Tal Kasha; Dolmanax; Dofus Turquoise; Étourdisseur majeur; Nomade; Remueur; Croum</t>
        </is>
      </c>
    </row>
    <row r="23532">
      <c r="A23532" t="inlineStr">
        <is>
          <t>Stuff 1</t>
        </is>
      </c>
      <c r="B23532">
        <f>HYPERLINK("https://www.dofusbook.net/fr/equipement/338393-stuff-1/objets", "link")</f>
        <v/>
      </c>
      <c r="C23532" t="n">
        <v>0</v>
      </c>
      <c r="D23532" t="inlineStr">
        <is>
          <t>Rapière aux Glyphes; Amulette de Shokkoth; Alliance Gloursonne; Bracelet des Fonds marins; Pagne du Rykaon; Casque Dragoeuf; Cape Matelassée; Sandales des Fonds marins; Dofus Abyssal; Carapace Eau majeur; Remueur; Déserteur majeur; Chanceux majeur; Muldo Ebène et Indigo</t>
        </is>
      </c>
    </row>
    <row r="23533">
      <c r="A23533" t="inlineStr">
        <is>
          <t>Stuff 2</t>
        </is>
      </c>
      <c r="B23533">
        <f>HYPERLINK("https://www.dofusbook.net/fr/equipement/338403-stuff-2/objets", "link")</f>
        <v/>
      </c>
      <c r="C23533" t="n">
        <v>0</v>
      </c>
      <c r="D23533" t="inlineStr">
        <is>
          <t>Canne Harr; Frimamulette; Anneau de Padgref; Gelano; Ougature; Coiffe de Padgref; Cape de Nileza; Pantoufles Émar; Nomade; Remueur; Muldo Doré</t>
        </is>
      </c>
    </row>
    <row r="23534">
      <c r="A23534" t="inlineStr">
        <is>
          <t>Stuff 3</t>
        </is>
      </c>
      <c r="B23534">
        <f>HYPERLINK("https://www.dofusbook.net/fr/equipement/338395-stuff-3/objets", "link")</f>
        <v/>
      </c>
      <c r="C23534" t="n">
        <v>0</v>
      </c>
      <c r="D23534" t="inlineStr">
        <is>
          <t>Baguette de Malléfisk; Pendentif mignon de Koutoulou; Anneau Rifique; Anneauræus; Ceinture de Vortex; Casque Dragoeuf; Cape de Diondin; Bottes Innommables; Dofus Émeraude; Dofus Abyssal; Dofus Ocre; Érudit majeur; Déserteur majeur; Muldo Pourpre et Amande</t>
        </is>
      </c>
    </row>
    <row r="23535">
      <c r="A23535" t="inlineStr">
        <is>
          <t>Stuff 1</t>
        </is>
      </c>
      <c r="B23535">
        <f>HYPERLINK("https://www.dofusbook.net/fr/equipement/338390-stuff-1/objets", "link")</f>
        <v/>
      </c>
      <c r="C23535" t="n">
        <v>0</v>
      </c>
      <c r="D23535" t="inlineStr">
        <is>
          <t>Héqache; Amulette du Strigide; Alliance Gloursonne; Bracelet du Piloztère; Ceintacé; Chapoulpe; Cape du Kamasterisk; Bottes du Strigide; Dofus Turquoise; Dofus Pourpre; Nomade; Vigoureux majeur; Remueur; Muldo Ebène et Indigo</t>
        </is>
      </c>
    </row>
    <row r="23536">
      <c r="A23536" t="inlineStr">
        <is>
          <t>Sacrieur M 200</t>
        </is>
      </c>
      <c r="B23536">
        <f>HYPERLINK("https://www.dofusbook.net/fr/equipement/6002197-sacrieur-m-200/objets", "link")</f>
        <v/>
      </c>
      <c r="C23536" t="n">
        <v>0</v>
      </c>
      <c r="D23536" t="inlineStr"/>
    </row>
    <row r="23537">
      <c r="A23537" t="inlineStr">
        <is>
          <t>Steamer M 200</t>
        </is>
      </c>
      <c r="B23537">
        <f>HYPERLINK("https://www.dofusbook.net/fr/equipement/5706365-steamer-m-200/objets", "link")</f>
        <v/>
      </c>
      <c r="C23537" t="n">
        <v>2</v>
      </c>
      <c r="D23537" t="inlineStr"/>
    </row>
    <row r="23538">
      <c r="A23538" t="inlineStr">
        <is>
          <t>Sacrieur F 200</t>
        </is>
      </c>
      <c r="B23538">
        <f>HYPERLINK("https://www.dofusbook.net/fr/equipement/5831959-sacrieur-f-200/objets", "link")</f>
        <v/>
      </c>
      <c r="C23538" t="n">
        <v>0</v>
      </c>
      <c r="D23538" t="inlineStr">
        <is>
          <t>Baguette de Torkélonia; Amulette Volkorne; Anneau Volkorne; Anneau de XLII; Quatre-feuilles; Ceinture de XLII; Corne de Torkélonia; Carapace de Torkélonia; Bottes de XLII; Dofus Pourpre; Dofus Ocre; Dofus Turquoise; Dofus des Glaces; Dofus Abyssal; Dofus Ivoire; Kokulte</t>
        </is>
      </c>
    </row>
    <row r="23539">
      <c r="A23539" t="inlineStr">
        <is>
          <t>Pandawa M 200</t>
        </is>
      </c>
      <c r="B23539">
        <f>HYPERLINK("https://www.dofusbook.net/fr/equipement/5348524-pandawa-m-200/objets", "link")</f>
        <v/>
      </c>
      <c r="C23539" t="n">
        <v>1</v>
      </c>
      <c r="D23539" t="inlineStr"/>
    </row>
    <row r="23540">
      <c r="A23540" t="inlineStr">
        <is>
          <t>Huppermage M 200</t>
        </is>
      </c>
      <c r="B23540">
        <f>HYPERLINK("https://www.dofusbook.net/fr/equipement/5284439-huppermage-m-200/objets", "link")</f>
        <v/>
      </c>
      <c r="C23540" t="n">
        <v>0</v>
      </c>
      <c r="D23540" t="inlineStr"/>
    </row>
    <row r="23541">
      <c r="A23541" t="inlineStr">
        <is>
          <t>Iop M 200</t>
        </is>
      </c>
      <c r="B23541">
        <f>HYPERLINK("https://www.dofusbook.net/fr/equipement/5145059-iop-m-200/objets", "link")</f>
        <v/>
      </c>
      <c r="C23541" t="n">
        <v>0</v>
      </c>
      <c r="D23541" t="inlineStr"/>
    </row>
    <row r="23542">
      <c r="A23542" t="inlineStr">
        <is>
          <t>Huppermage M 200</t>
        </is>
      </c>
      <c r="B23542">
        <f>HYPERLINK("https://www.dofusbook.net/fr/equipement/5243904-huppermage-m-200/objets", "link")</f>
        <v/>
      </c>
      <c r="C23542" t="n">
        <v>0</v>
      </c>
      <c r="D23542" t="inlineStr">
        <is>
          <t>Rouleau à Pâtisserie d'Aermyne; Talisman Glouti; Anneau de XLII; Anneau Tique; Bouclier Bontarien; Ceinture de XLII; Coiffe d'Aermyne; Cape d'Aermyne; Bottes de XLII; Dofus Vulbis; Dofus Abyssal; Dofus Cawotte; Dofus Ocre; Dofus Émeraude; Dofus Ivoire; Platypus</t>
        </is>
      </c>
    </row>
    <row r="23543">
      <c r="A23543" t="inlineStr">
        <is>
          <t>Crâ M 200</t>
        </is>
      </c>
      <c r="B23543">
        <f>HYPERLINK("https://www.dofusbook.net/fr/equipement/5182428-cra-m-200/objets", "link")</f>
        <v/>
      </c>
      <c r="C23543" t="n">
        <v>0</v>
      </c>
      <c r="D23543" t="inlineStr">
        <is>
          <t>L'Épée Nice; Collier du Valet Veinard; Alliance Gloursonne; Gant du Valet Veinard; Bouclier d'Ilyzaelle; Ceintouse; Casque Dragoeuf; Cape de Crânonier; Pantoufles Émar; Dofus Émeraude; Dofus des Glaces; Dofus Ocre; Dofus Abyssal; Dofus Pourpre; Dofus Ivoire; Blérodoudou</t>
        </is>
      </c>
    </row>
    <row r="23544">
      <c r="A23544" t="inlineStr">
        <is>
          <t>Iop M 200</t>
        </is>
      </c>
      <c r="B23544">
        <f>HYPERLINK("https://www.dofusbook.net/fr/equipement/5103813-iop-m-200/objets", "link")</f>
        <v/>
      </c>
      <c r="C23544" t="n">
        <v>0</v>
      </c>
      <c r="D23544" t="inlineStr">
        <is>
          <t>Lav'Hache; Amulette Luminescente; Baguistik; Anneau Chevelu; Bouclier Taverne; Ceinture Gence; Casque Dragoeuf; Cape au Logis; Bottistik; Dofus Ivoire; Dofus Abyssal; Dofus Pourpre; Dofus Ocre; Enragé majeur; Culbuteur majeur; Black Tiwabbit</t>
        </is>
      </c>
    </row>
    <row r="23545">
      <c r="A23545" t="inlineStr">
        <is>
          <t>Eniripsa F 200</t>
        </is>
      </c>
      <c r="B23545">
        <f>HYPERLINK("https://www.dofusbook.net/fr/equipement/5103562-eniripsa-f-200/objets", "link")</f>
        <v/>
      </c>
      <c r="C23545" t="n">
        <v>1</v>
      </c>
      <c r="D23545" t="inlineStr">
        <is>
          <t>Dagoulinantes; Amulette de l'Œil Attentif; Anneau Volkorne; Alliance Gloursonne; Bouclier du Stalak; Sangle Ouare; Némès de Tal Kasha; Chevelure de Tal Kasha; Pataugastrique; Dofus Pourpre; Dofus Ébène; Dofus Ocre; Dofus Abyssal; Dofus Ivoire; Chanceux majeur; Dragoune Rose</t>
        </is>
      </c>
    </row>
    <row r="23546">
      <c r="A23546" t="inlineStr">
        <is>
          <t>Huppermage F 200</t>
        </is>
      </c>
      <c r="B23546">
        <f>HYPERLINK("https://www.dofusbook.net/fr/equipement/4764993-huppermage-f-200/objets", "link")</f>
        <v/>
      </c>
      <c r="C23546" t="n">
        <v>2</v>
      </c>
      <c r="D23546" t="inlineStr">
        <is>
          <t>Epée Toche; Amulette Volkorne; Anneau Volkorne; Chevalière du Roi Joueur; Bouclier du Captain Amakna; Ceinture Volkorne; Couronne du Roi Joueur; Bravoure de Rykke Errel; Bottes du Roi Joueur; Dofus Turquoise; Dofus Ivoire; Dofus Pourpre; Dofus Ocre; Dofus des Glaces; Dofus Abyssal; Kokulte</t>
        </is>
      </c>
    </row>
    <row r="23547">
      <c r="A23547" t="inlineStr">
        <is>
          <t>Iop M 200</t>
        </is>
      </c>
      <c r="B23547">
        <f>HYPERLINK("https://www.dofusbook.net/fr/equipement/4976808-iop-m-200/objets", "link")</f>
        <v/>
      </c>
      <c r="C23547" t="n">
        <v>0</v>
      </c>
      <c r="D23547" t="inlineStr">
        <is>
          <t>Manthache; Amulette Martegel; Alliance Gloursonne; Anneau des égarés; Bouclier du Stalak; Menoture; Casque Dragoeuf; Cape Martegel; Palmes Trithons; Dofus Abyssal; Dofus Ivoire; Dofus Ocre; Dofus Ébène; Nomade; Cascadeur majeur; Blérodoudou</t>
        </is>
      </c>
    </row>
    <row r="23548">
      <c r="A23548" t="inlineStr">
        <is>
          <t>Eliotrope M 200</t>
        </is>
      </c>
      <c r="B23548">
        <f>HYPERLINK("https://www.dofusbook.net/fr/equipement/4955783-eliotrope-m-200/objets", "link")</f>
        <v/>
      </c>
      <c r="C23548" t="n">
        <v>1</v>
      </c>
      <c r="D23548" t="inlineStr">
        <is>
          <t>Epée Gloursonne; Amulette Volkorne; Bague Gloursonne; Alliance Gloursonne; Bouclier du Stalak; Ceinture Volkorne; Casque Volkorne; Cape du Chalœil; Bottes du Chalœil; Dofus Ocre; Dofus des Glaces; Dofus Pourpre; Dofus Abyssal; Dolmanax; Dofus Ivoire; Kramkram</t>
        </is>
      </c>
    </row>
    <row r="23549">
      <c r="A23549" t="inlineStr">
        <is>
          <t>Eliotrope M 200</t>
        </is>
      </c>
      <c r="B23549">
        <f>HYPERLINK("https://www.dofusbook.net/fr/equipement/4955729-eliotrope-m-200/objets", "link")</f>
        <v/>
      </c>
      <c r="C23549" t="n">
        <v>0</v>
      </c>
      <c r="D23549" t="inlineStr">
        <is>
          <t>L'Épée Nice; Collier du Valet Veinard; Gant du Valet Veinard; Alliance Gloursonne; Bouclier du Stalak; Menoture; Dorabysses; Cape du Kamasterisk; Palmes Trithons; Dofus des Glaces; Dofus Abyssal; Dofus Pourpre; Dofus Ocre; Dofus Ivoire; Cascadeur majeur; Blérodoudou</t>
        </is>
      </c>
    </row>
    <row r="23550">
      <c r="A23550" t="inlineStr">
        <is>
          <t>Eliotrope M 200</t>
        </is>
      </c>
      <c r="B23550">
        <f>HYPERLINK("https://www.dofusbook.net/fr/equipement/4943916-eliotrope-m-200/objets", "link")</f>
        <v/>
      </c>
      <c r="C23550" t="n">
        <v>0</v>
      </c>
      <c r="D23550" t="inlineStr">
        <is>
          <t>Lance corrompue; Amulette du Kamasterisk; Anneau des égarés; Anneau Volkorne; Bouclier du Stalak; Ceinture Volkorne; Casque Volkorne; Cape du Kamasterisk; Bottes du Kamasterisk; Dofus Pourpre; Dofus des Glaces; Dofus Ocre; Dofus Abyssal; Dolmanax; Dofus Ivoire; Kramkram</t>
        </is>
      </c>
    </row>
    <row r="23551">
      <c r="A23551" t="inlineStr">
        <is>
          <t>Eliotrope M 200</t>
        </is>
      </c>
      <c r="B23551">
        <f>HYPERLINK("https://www.dofusbook.net/fr/equipement/4834427-eliotrope-m-200/objets", "link")</f>
        <v/>
      </c>
      <c r="C23551" t="n">
        <v>0</v>
      </c>
      <c r="D23551" t="inlineStr">
        <is>
          <t>Arc corrompu; Amulette Séculaire; Anneauræus; Anneauræus; Bouclier du Stalak; Ceinture Séculaire; Heaume Oplate; Cape de Diondin; Bottes Innommables; Dofus des Glaces; Dofus Pourpre; Nomade; Vigoureux majeur; Érudit majeur; Astucieux majeur</t>
        </is>
      </c>
    </row>
    <row r="23552">
      <c r="A23552" t="inlineStr">
        <is>
          <t>Steamer M 200</t>
        </is>
      </c>
      <c r="B23552">
        <f>HYPERLINK("https://www.dofusbook.net/fr/equipement/5530991-steamer-m-200/objets", "link")</f>
        <v/>
      </c>
      <c r="C23552" t="n">
        <v>0</v>
      </c>
      <c r="D23552" t="inlineStr">
        <is>
          <t>Arc corrompu; Amulette Séculaire; Anneauræus; Anneauræus; Quatre-feuilles; Ceinture Séculaire; Heaume Oplate; Voile d'encre; Bottes Innommables; Dofus Émeraude; Dofus Abyssal; Dofus Turquoise; Dofus Ivoire; Remueur; Érudit majeur; Muldo Orchidée et Pourpre</t>
        </is>
      </c>
    </row>
    <row r="23553">
      <c r="A23553" t="inlineStr">
        <is>
          <t>pandeluko</t>
        </is>
      </c>
      <c r="B23553">
        <f>HYPERLINK("https://www.dofusbook.net/fr/equipement/2890527-pandeluko/objets", "link")</f>
        <v/>
      </c>
      <c r="C23553" t="n">
        <v>1</v>
      </c>
      <c r="D23553" t="inlineStr">
        <is>
          <t>Arc Hétype; Amulette de Nileza; Anneau Tamie; Anneau Tamie; Carapar; Sangle Aise; Coiffe Séculaire; Cape de Nileza; Pantoufles Émar; Dokoko; Savant majeur; Remueur; Érudit majeur; Miraculé majeur; Nomade; Muldo Indigo et Orchidée</t>
        </is>
      </c>
    </row>
    <row r="23554">
      <c r="A23554" t="inlineStr">
        <is>
          <t>omaigad</t>
        </is>
      </c>
      <c r="B23554">
        <f>HYPERLINK("https://www.dofusbook.net/fr/equipement/2599798-omaigad/objets", "link")</f>
        <v/>
      </c>
      <c r="C23554" t="n">
        <v>8</v>
      </c>
      <c r="D23554" t="inlineStr">
        <is>
          <t>Epée Kari; Amulette du Strigide; Anneau Chevelu; Bracelet du Piloztère; Quatre-feuilles; Ceintacé; Bonnet Ko; Cape Peupret; Bottes du Strigide; Enragé majeur; Sanguinaire majeur; Remueur; Vigoureux majeur; Voyageur; Nomade; Muldo Prune et Doré</t>
        </is>
      </c>
    </row>
    <row r="23555">
      <c r="A23555" t="inlineStr">
        <is>
          <t>Sadida F 200</t>
        </is>
      </c>
      <c r="B23555">
        <f>HYPERLINK("https://www.dofusbook.net/fr/equipement/3981755-sadida-f-200/objets", "link")</f>
        <v/>
      </c>
      <c r="C23555" t="n">
        <v>0</v>
      </c>
      <c r="D23555" t="inlineStr">
        <is>
          <t>Lav'Hache; Amulette Héroclite; Pikano; Anneau Chevelu; Bouclier du Stalak; Ceinture de la Reine des Voleurs; Coiffe de la Reine des Voleurs; Ankhape; Baleinabottes; Dofus Pourpre; Nomade; Vigoureux majeur; Robuste majeur; Remueur; Enragé majeur; Bulbisou</t>
        </is>
      </c>
    </row>
    <row r="23556">
      <c r="A23556" t="inlineStr">
        <is>
          <t>duropapu</t>
        </is>
      </c>
      <c r="B23556">
        <f>HYPERLINK("https://www.dofusbook.net/fr/equipement/2847910-duropapu/objets", "link")</f>
        <v/>
      </c>
      <c r="C23556" t="n">
        <v>1</v>
      </c>
      <c r="D23556" t="inlineStr">
        <is>
          <t>Arc Hétype; Amulette Séculaire; Anneauræus; Anneauræus; Quatre-feuilles; Ceinture Séculaire; Heaume Oplate; Voile d'encre; Bottes Innommables; Dofus Turquoise; Dofus Pourpre; Savant majeur; Érudit majeur; Nomade; Remueur; Bisouglours</t>
        </is>
      </c>
    </row>
    <row r="23557">
      <c r="A23557" t="inlineStr">
        <is>
          <t>suerteparalaloteria</t>
        </is>
      </c>
      <c r="B23557">
        <f>HYPERLINK("https://www.dofusbook.net/fr/equipement/2607785-suerteparalaloteria/objets", "link")</f>
        <v/>
      </c>
      <c r="C23557" t="n">
        <v>5</v>
      </c>
      <c r="D23557" t="inlineStr">
        <is>
          <t>Lance Horselé; Collier du Valet Veinard; Gant du Valet Veinard; Alliance Gloursonne; Cadran de Terre; Menoture; Casque Volkorne; Cape de Crânonier; Palmes Trithons; Dofus Ivoire; Dofus Abyssal; Étourdisseur majeur; Remueur; Cascadeur majeur; Nomade; Dragoune Rose</t>
        </is>
      </c>
    </row>
    <row r="23558">
      <c r="A23558" t="inlineStr">
        <is>
          <t>Roublard M 200</t>
        </is>
      </c>
      <c r="B23558">
        <f>HYPERLINK("https://www.dofusbook.net/fr/equipement/4078737-roublard-m-200/objets", "link")</f>
        <v/>
      </c>
      <c r="C23558" t="n">
        <v>0</v>
      </c>
      <c r="D23558" t="inlineStr">
        <is>
          <t>Arc Hétype; Amulette Volkorne; Anneau Tamie; Anneau Tamie; Bouclier du Stalak; Ceinture Hyolite; Calotte Spot; Cape de Diondin; Bottes Innommables; Dofus des Glaces; Dofus Pourpre; Érudit majeur; Remueur; Dévastateur Feu majeur; Nomade; Bisouglours</t>
        </is>
      </c>
    </row>
    <row r="23559">
      <c r="A23559" t="inlineStr">
        <is>
          <t>inte</t>
        </is>
      </c>
      <c r="B23559">
        <f>HYPERLINK("https://www.dofusbook.net/fr/equipement/2886199-inte/objets", "link")</f>
        <v/>
      </c>
      <c r="C23559" t="n">
        <v>2</v>
      </c>
      <c r="D23559" t="inlineStr">
        <is>
          <t>Manthache; Collier du Valet Veinard; Alliance Gloursonne; Gant du Valet Veinard; Bouclier du Stalak; Menoture; Casque d'Ilyzaelle; Cape Indescriptible; Palmes Trithons; Dofus Pourpre; Dofus des Glaces; Cascadeur majeur; Remueur; Dévastateur Air majeur; Nomade; Blérodoudou</t>
        </is>
      </c>
    </row>
    <row r="23560">
      <c r="A23560" t="inlineStr">
        <is>
          <t>neoxino</t>
        </is>
      </c>
      <c r="B23560">
        <f>HYPERLINK("https://www.dofusbook.net/fr/equipement/2894723-neoxino/objets", "link")</f>
        <v/>
      </c>
      <c r="C23560" t="n">
        <v>2</v>
      </c>
      <c r="D23560" t="inlineStr">
        <is>
          <t>Marteau R'ture; Amulette du Strigide; Anneau de Brouce; Bague Gloursonne; Bouclier du Captain Amakna; Ceinture du Strigide; Masque de Koutoulou; Cape au Logis; Sabots Minables; Dofus Pourpre; Dofus Turquoise; Enragé majeur; Remueur; Vigoureux majeur; Nomade; Pioute vert</t>
        </is>
      </c>
    </row>
    <row r="23561">
      <c r="A23561" t="inlineStr">
        <is>
          <t>Sram M 200</t>
        </is>
      </c>
      <c r="B23561">
        <f>HYPERLINK("https://www.dofusbook.net/fr/equipement/4010262-sram-m-200/objets", "link")</f>
        <v/>
      </c>
      <c r="C23561" t="n">
        <v>0</v>
      </c>
      <c r="D23561" t="inlineStr">
        <is>
          <t>Hache Ériphe; Amulette du Strigide; Anneau des égarés; Bracelet du Piloztère; Bouclier du Captain Amakna; Ceintacé; Coiffe de la Fuji Givrefoux; Cape du Kamasterisk; Bottes du Strigide; Dofus Turquoise; Dofus Pourpre; Dolmanax; Nomade; Vigoureux majeur; Remueur; Dragodinde Prune et Ivoire</t>
        </is>
      </c>
    </row>
    <row r="23562">
      <c r="A23562" t="inlineStr">
        <is>
          <t>Double</t>
        </is>
      </c>
      <c r="B23562">
        <f>HYPERLINK("https://www.dofusbook.net/fr/equipement/2599669-double/objets", "link")</f>
        <v/>
      </c>
      <c r="C23562" t="n">
        <v>1</v>
      </c>
      <c r="D23562" t="inlineStr">
        <is>
          <t>Hache Ériphe; Amulette du Strigide; Bracelet du Piloztère; Anneau des égarés; Quatre-feuilles; Ceintacé; Coiffe de la Fuji Givrefoux; Cape du Kamasterisk; Bottes du Strigide; Dofus Pourpre; Dolmanax; Dofus Turquoise; Vigoureux majeur; Remueur; Nomade; Dragodinde Prune et Ivoire</t>
        </is>
      </c>
    </row>
    <row r="23563">
      <c r="A23563" t="inlineStr">
        <is>
          <t>dosmilquinientosini</t>
        </is>
      </c>
      <c r="B23563">
        <f>HYPERLINK("https://www.dofusbook.net/fr/equipement/2895268-dosmilquinientosini/objets", "link")</f>
        <v/>
      </c>
      <c r="C23563" t="n">
        <v>1</v>
      </c>
      <c r="D23563" t="inlineStr">
        <is>
          <t>Epée Loponèze; Amulette de Shokkoth; Alliance Gloursonne; Bracelet des Fonds marins; Bouclier d'Ilyzaelle; Sangle Ouare; Kidibonnet; Cape de Mantaze; Sandales des Fonds marins; Dofus Émeraude; Dofus Pourpre; Obstructeur majeur; Chanceux majeur; Vigoureux majeur; Remueur; Platypus</t>
        </is>
      </c>
    </row>
    <row r="23564">
      <c r="A23564" t="inlineStr">
        <is>
          <t>robertino</t>
        </is>
      </c>
      <c r="B23564">
        <f>HYPERLINK("https://www.dofusbook.net/fr/equipement/2971172-robertino/objets", "link")</f>
        <v/>
      </c>
      <c r="C23564" t="n">
        <v>2</v>
      </c>
      <c r="D23564" t="inlineStr">
        <is>
          <t>Epée Loponèze; Amulette du Strigide; Alliance Gloursonne; Bracelet du Piloztère; Bouclier du Stalak; Ceinture du Strigide; Masque Trithon; Cape des Justiciers; Bottes Trithon; Dofus Pourpre; Dofus Abyssal; Dofus Vulbis; Dofus Ivoire; Dofus des Glaces; Dofus Ocre; Kramkram</t>
        </is>
      </c>
    </row>
    <row r="23565">
      <c r="A23565" t="inlineStr">
        <is>
          <t>kukito</t>
        </is>
      </c>
      <c r="B23565">
        <f>HYPERLINK("https://www.dofusbook.net/fr/equipement/2550482-kukito/objets", "link")</f>
        <v/>
      </c>
      <c r="C23565" t="n">
        <v>3</v>
      </c>
      <c r="D23565" t="inlineStr">
        <is>
          <t>Epée Gloursonne; Amulette du Strigide; Alliance Gloursonne; Bague Gloursonne; Bouclier du Stalak; Ceinture du Strigide; Casque du Chalœil; Cape du Chalœil; Bottes du Strigide; Dofus des Glaces; Dofus Ivoire; Dofus Vulbis; Dofus Ocre; Dofus Pourpre; Dofus Abyssal; Kramkram</t>
        </is>
      </c>
    </row>
    <row r="23566">
      <c r="A23566" t="inlineStr">
        <is>
          <t>topkek</t>
        </is>
      </c>
      <c r="B23566">
        <f>HYPERLINK("https://www.dofusbook.net/fr/equipement/2584042-topkek/objets", "link")</f>
        <v/>
      </c>
      <c r="C23566" t="n">
        <v>6</v>
      </c>
      <c r="D23566" t="inlineStr">
        <is>
          <t>Sabres d'Atcham; Amulette du Strigide; Alliance Gloursonne; Bague Trithon; Bouclier du Stalak; Ceinture du Strigide; Masque Trithon; Cape d'Atcham; Bottes du Strigide; Dofus Vulbis; Dofus Abyssal; Dofus Pourpre; Dofus Ivoire; Dolmanax; Dofus Ocre; Kramkram</t>
        </is>
      </c>
    </row>
    <row r="23567">
      <c r="A23567" t="inlineStr">
        <is>
          <t>Ecaflip M 200</t>
        </is>
      </c>
      <c r="B23567">
        <f>HYPERLINK("https://www.dofusbook.net/fr/equipement/3361207-ecaflip-m-200/objets", "link")</f>
        <v/>
      </c>
      <c r="C23567" t="n">
        <v>29</v>
      </c>
      <c r="D23567" t="inlineStr">
        <is>
          <t>Arc Volkorne; Amulette du Strigide; Alliance Gloursonne; Anneau Volkorne; Bouclier du Stalak; Ceinture Volkorne; Casque Volkorne; Cape des Justiciers; Bottes du Strigide; Dofus Pourpre; Dofus Abyssal; Dofus des Glaces; Dofus Ivoire; Dolmanax; Dofus Ocre; Dragodinde en armure</t>
        </is>
      </c>
    </row>
    <row r="23568">
      <c r="A23568" t="inlineStr">
        <is>
          <t>Féca M 200</t>
        </is>
      </c>
      <c r="B23568">
        <f>HYPERLINK("https://www.dofusbook.net/fr/equipement/4009284-feca-m-200/objets", "link")</f>
        <v/>
      </c>
      <c r="C23568" t="n">
        <v>2</v>
      </c>
      <c r="D23568" t="inlineStr">
        <is>
          <t>Dagoulinantes; Talisman Glouti; Alliance Gloursonne; Anneau Volkorne; Quatre-feuilles; Pagne du Rykaon; Kidibonnet; Cape du Sinistrofu; Bottes du Sinistrofu; Dofus Ivoire; Dofus Abyssal; Remueur; Muldo Ebène</t>
        </is>
      </c>
    </row>
    <row r="23569">
      <c r="A23569" t="inlineStr">
        <is>
          <t>Féca M 200</t>
        </is>
      </c>
      <c r="B23569">
        <f>HYPERLINK("https://www.dofusbook.net/fr/equipement/4009233-feca-m-200/objets", "link")</f>
        <v/>
      </c>
      <c r="C23569" t="n">
        <v>5</v>
      </c>
      <c r="D23569" t="inlineStr">
        <is>
          <t>Lav'Hache; Amulette du Strigide; Alliance Gloursonne; Anneau Crustique; Bouclier d'Ilyzaelle; Menoture; Chapoulpe; Voile d'encre; Tentassons; Dofus Ivoire; Dofus Abyssal; Étourdisseur majeur; Enragé majeur; Remueur; Muldo Ebène</t>
        </is>
      </c>
    </row>
    <row r="23570">
      <c r="A23570" t="inlineStr">
        <is>
          <t>intel</t>
        </is>
      </c>
      <c r="B23570">
        <f>HYPERLINK("https://www.dofusbook.net/fr/equipement/2865169-intel/objets", "link")</f>
        <v/>
      </c>
      <c r="C23570" t="n">
        <v>8</v>
      </c>
      <c r="D23570" t="inlineStr"/>
    </row>
    <row r="23571">
      <c r="A23571" t="inlineStr">
        <is>
          <t>pousse</t>
        </is>
      </c>
      <c r="B23571">
        <f>HYPERLINK("https://www.dofusbook.net/fr/equipement/2887536-pousse/objets", "link")</f>
        <v/>
      </c>
      <c r="C23571" t="n">
        <v>24</v>
      </c>
      <c r="D23571" t="inlineStr">
        <is>
          <t>Dagoulinantes; Amulette de l'Œil Attentif; Anneau Volkorne; Bracelet des Fonds marins; Bouclier Taverne; Sangle Ouare; Capuche de l'Œil Attentif; Cape de l'Œil Attentif; Sandales des Fonds marins; Dolmanax; Dofus Ocre; Dofus Turquoise; Dofus Abyssal; Dofus Pourpre; Dofus Ivoire; Pioute bleu</t>
        </is>
      </c>
    </row>
    <row r="23572">
      <c r="A23572" t="inlineStr">
        <is>
          <t>newgod</t>
        </is>
      </c>
      <c r="B23572">
        <f>HYPERLINK("https://www.dofusbook.net/fr/equipement/2981522-newgod/objets", "link")</f>
        <v/>
      </c>
      <c r="C23572" t="n">
        <v>10</v>
      </c>
      <c r="D23572" t="inlineStr">
        <is>
          <t>Dagoulinantes; Amulette de l'Œil Attentif; Anneau Volkorne; Bracelet des Fonds marins; Quatre-feuilles; Sangle Ouare; Capuche de l'Œil Attentif; Cape de l'Œil Attentif; Sandales des Fonds marins; Dolmanax; Dofus Abyssal; Dofus Pourpre; Dofus Ocre; Dofus Turquoise; Dofus Ivoire; Pioute bleu</t>
        </is>
      </c>
    </row>
    <row r="23573">
      <c r="A23573" t="inlineStr">
        <is>
          <t>Osamodas M 200</t>
        </is>
      </c>
      <c r="B23573">
        <f>HYPERLINK("https://www.dofusbook.net/fr/equipement/3851530-osamodas-m-200/objets", "link")</f>
        <v/>
      </c>
      <c r="C23573" t="n">
        <v>0</v>
      </c>
      <c r="D23573" t="inlineStr">
        <is>
          <t>Amulette Héroclite; Pikano; Ceinture de la Reine des Voleurs; Coiffe de la Reine des Voleurs; Cape du Kamasterisk; Sabots Minables</t>
        </is>
      </c>
    </row>
    <row r="23574">
      <c r="A23574" t="inlineStr">
        <is>
          <t>hellomoto</t>
        </is>
      </c>
      <c r="B23574">
        <f>HYPERLINK("https://www.dofusbook.net/fr/equipement/2955438-hellomoto/objets", "link")</f>
        <v/>
      </c>
      <c r="C23574" t="n">
        <v>11</v>
      </c>
      <c r="D23574" t="inlineStr">
        <is>
          <t>Dagues Érhy; Collier de Tourthon; Pikano; Alliance Gloursonne; Cadran de Feu; Ceinture de la Reine des Voleurs; Coiffe de la Reine des Voleurs; Cape du Kamasterisk; Baleinabottes; Dofus Ivoire; Remueur; Nomade; Enragé majeur; Dragodinde en armure</t>
        </is>
      </c>
    </row>
    <row r="23575">
      <c r="A23575" t="inlineStr">
        <is>
          <t>Osamodas F 200</t>
        </is>
      </c>
      <c r="B23575">
        <f>HYPERLINK("https://www.dofusbook.net/fr/equipement/3851507-osamodas-f-200/objets", "link")</f>
        <v/>
      </c>
      <c r="C23575" t="n">
        <v>1</v>
      </c>
      <c r="D23575" t="inlineStr">
        <is>
          <t>Dagues Érhy; Amulette du Strigide; Alliance Gloursonne; Pikano; Ceinture Gence; Chapeau de Gein; Cape du Kamasterisk; Bottes du Strigide</t>
        </is>
      </c>
    </row>
    <row r="23576">
      <c r="A23576" t="inlineStr">
        <is>
          <t>Sacrieur M 200</t>
        </is>
      </c>
      <c r="B23576">
        <f>HYPERLINK("https://www.dofusbook.net/fr/equipement/3377047-sacrieur-m-200/objets", "link")</f>
        <v/>
      </c>
      <c r="C23576" t="n">
        <v>5</v>
      </c>
      <c r="D23576" t="inlineStr">
        <is>
          <t>Pelle de la Cour Sombre; Collier du Valet Veinard; Gant du Valet Veinard; Alliance Gloursonne; Bouclier d'Ilyzaelle; Menoture; Chapeau de Tournoyé; Cape Indescriptible; Palmes Trithons; Remueur; Cascadeur majeur; Muldo Ebène</t>
        </is>
      </c>
    </row>
    <row r="23577">
      <c r="A23577" t="inlineStr">
        <is>
          <t>fullfuerxa</t>
        </is>
      </c>
      <c r="B23577">
        <f>HYPERLINK("https://www.dofusbook.net/fr/equipement/2953417-fullfuerxa/objets", "link")</f>
        <v/>
      </c>
      <c r="C23577" t="n">
        <v>1</v>
      </c>
      <c r="D23577" t="inlineStr">
        <is>
          <t>Marteau R'ture; Amulette du Strigide; Anneau Chevelu; Bouclier Taverne; Ceinture Gence; Masque de Koutoulou; Cape au Logis; Bottes du Strigide; Dragodinde Emeraude et Pourpre</t>
        </is>
      </c>
    </row>
    <row r="23578">
      <c r="A23578" t="inlineStr">
        <is>
          <t>olio</t>
        </is>
      </c>
      <c r="B23578">
        <f>HYPERLINK("https://www.dofusbook.net/fr/equipement/2429093-olio/objets", "link")</f>
        <v/>
      </c>
      <c r="C23578" t="n">
        <v>19</v>
      </c>
      <c r="D23578" t="inlineStr">
        <is>
          <t>Arc du Chalœil; Collier de Tourthon; Anneau Chevelu; Anneau de Brouce; Bouclier du Stalak; Ceinture de la Reine des Voleurs; Coiffe de la Reine des Voleurs; Cape au Logis; Sabots Minables; Dofus Pourpre; Dofus des Glaces; Dofus Ivoire; Dofus Turquoise; Enragé majeur; Remueur; Bulbisou</t>
        </is>
      </c>
    </row>
    <row r="23579">
      <c r="A23579" t="inlineStr">
        <is>
          <t>fuckthat</t>
        </is>
      </c>
      <c r="B23579">
        <f>HYPERLINK("https://www.dofusbook.net/fr/equipement/2911738-fuckthat/objets", "link")</f>
        <v/>
      </c>
      <c r="C23579" t="n">
        <v>2</v>
      </c>
      <c r="D23579" t="inlineStr">
        <is>
          <t>Pelle de la Cour Sombre; Collier du Valet Veinard; Alliance Gloursonne; Gant du Valet Veinard; Bouclier d'Ilyzaelle; Ceinture de l'Esprit Salvateur; Masque de l'Esprit Salvateur; Cape du Valet Veinard; Bottes de l'Esprit Salvateur; Dofus des Glaces; Dofus Ocre; Dolmanax; Dofus Abyssal; Dofus Pourpre; Dofus Ivoire; Muldo Ebène</t>
        </is>
      </c>
    </row>
    <row r="23580">
      <c r="A23580" t="inlineStr">
        <is>
          <t>pvm</t>
        </is>
      </c>
      <c r="B23580">
        <f>HYPERLINK("https://www.dofusbook.net/fr/equipement/2862031-pvm/objets", "link")</f>
        <v/>
      </c>
      <c r="C23580" t="n">
        <v>2</v>
      </c>
      <c r="D23580" t="inlineStr">
        <is>
          <t>Lance Horselé; Amibou; Gant du Valet Veinard; Alliance Gloursonne; Quatre-feuilles; Menoture; Chapoulpe; Chevelure de Tal Kasha; Tentassons; Dofus Pourpre; Dofus Ivoire; Dofus Turquoise; Remueur; Cascadeur majeur; Muldo Ebène</t>
        </is>
      </c>
    </row>
    <row r="23581">
      <c r="A23581" t="inlineStr">
        <is>
          <t>klkom</t>
        </is>
      </c>
      <c r="B23581">
        <f>HYPERLINK("https://www.dofusbook.net/fr/equipement/2959143-klkom/objets", "link")</f>
        <v/>
      </c>
      <c r="C23581" t="n">
        <v>9</v>
      </c>
      <c r="D23581" t="inlineStr">
        <is>
          <t>Lance corrompue; Collier de Tourthon; Anneau Chevelu; Anneau de Brouce; Bouclier du Stalak; Ceinture de la Reine des Voleurs; Coiffe de la Reine des Voleurs; Ankhape; Baleinabottes; Dofus des Glaces; Dofus Ivoire; Dofus Pourpre; Nomade; Enragé majeur; Remueur; Dragodinde Amande et Pourpre</t>
        </is>
      </c>
    </row>
    <row r="23582">
      <c r="A23582" t="inlineStr">
        <is>
          <t>klkmate</t>
        </is>
      </c>
      <c r="B23582">
        <f>HYPERLINK("https://www.dofusbook.net/fr/equipement/2903662-klkmate/objets", "link")</f>
        <v/>
      </c>
      <c r="C23582" t="n">
        <v>3</v>
      </c>
      <c r="D23582" t="inlineStr">
        <is>
          <t>Dagoulinantes; Amulette de l'Œil Attentif; Bracelet des Fonds marins; Alliance Gloursonne; Bouclier d'Ilyzaelle; Ceinture Glaciale; Capuche de l'Œil Attentif; Cape Solution; Bottes du Sinistrofu; Dofus Ivoire; Dofus Pourpre; Dofus Abyssal; Chanceux majeur; Remueur; Nomade; Dragodinde Amande et Indigo</t>
        </is>
      </c>
    </row>
    <row r="23583">
      <c r="A23583" t="inlineStr">
        <is>
          <t>mdrdos</t>
        </is>
      </c>
      <c r="B23583">
        <f>HYPERLINK("https://www.dofusbook.net/fr/equipement/2950089-mdrdos/objets", "link")</f>
        <v/>
      </c>
      <c r="C23583" t="n">
        <v>2</v>
      </c>
      <c r="D23583" t="inlineStr">
        <is>
          <t>Lav'Hache; Collier de Tourthon; Anneau Crustique; Alliance Gloursonne; Bouclier d'Ilyzaelle; Menoture; Chapoulpe; Cape de la Cour Sombre; Tentassons; Dofus Ivoire; Dofus Abyssal; Nomade; Étourdisseur majeur; Remueur; Enragé majeur; Kramkram</t>
        </is>
      </c>
    </row>
    <row r="23584">
      <c r="A23584" t="inlineStr">
        <is>
          <t>wendolin</t>
        </is>
      </c>
      <c r="B23584">
        <f>HYPERLINK("https://www.dofusbook.net/fr/equipement/2955134-wendolin/objets", "link")</f>
        <v/>
      </c>
      <c r="C23584" t="n">
        <v>2</v>
      </c>
      <c r="D23584" t="inlineStr">
        <is>
          <t>Lav'Hache; Amulette du Strigide; Anneau Crustique; Anneau Chevelu; Bouclier d'Ilyzaelle; Ceinture de la Cour Sombre; Chapoulpe; Cape de la Cour Sombre; Tentassons; Dofus Pourpre; Dofus Ivoire; Dofus Vulbis; Dofus Ocre; Dolmanax; Dofus Abyssal; Volkorne Ivoire</t>
        </is>
      </c>
    </row>
    <row r="23585">
      <c r="A23585" t="inlineStr">
        <is>
          <t>reitop</t>
        </is>
      </c>
      <c r="B23585">
        <f>HYPERLINK("https://www.dofusbook.net/fr/equipement/2585441-reitop/objets", "link")</f>
        <v/>
      </c>
      <c r="C23585" t="n">
        <v>10</v>
      </c>
      <c r="D23585" t="inlineStr">
        <is>
          <t>Lav'Hache; Collier de Tourthon; Anneau Chevelu; Anneau Crustique; Bouclier d'Ilyzaelle; Ceinture Volkorne; Chapoulpe; Voile d'encre; Tentassons; Nomade; Étourdisseur majeur; Remueur; Enragé majeur; Volkorne Ivoire</t>
        </is>
      </c>
    </row>
    <row r="23586">
      <c r="A23586" t="inlineStr">
        <is>
          <t>shitdick</t>
        </is>
      </c>
      <c r="B23586">
        <f>HYPERLINK("https://www.dofusbook.net/fr/equipement/2876381-shitdick/objets", "link")</f>
        <v/>
      </c>
      <c r="C23586" t="n">
        <v>3</v>
      </c>
      <c r="D23586" t="inlineStr">
        <is>
          <t>Rapière aux Glyphes; Amulette de l'Œil Attentif; Alliance Gloursonne; Bracelet des Fonds marins; Quatre-feuilles; Pagne du Rykaon; Capuche de l'Œil Attentif; Cape de l'Œil Attentif; Sandales des Fonds marins; Dolmanax; Dofus Ocre; Dofus Pourpre; Dofus des Glaces; Dofus Turquoise; Dofus Abyssal; Muldo Indigo</t>
        </is>
      </c>
    </row>
    <row r="23587">
      <c r="A23587" t="inlineStr">
        <is>
          <t>riperonipizza</t>
        </is>
      </c>
      <c r="B23587">
        <f>HYPERLINK("https://www.dofusbook.net/fr/equipement/1852902-riperonipizza/objets", "link")</f>
        <v/>
      </c>
      <c r="C23587" t="n">
        <v>2</v>
      </c>
      <c r="D23587" t="inlineStr">
        <is>
          <t>Arc corrompu; Pendentif affamé; Anneauræus; Anneau Rifique; Bouclier du Stalak; Ceinture de Vortex; Casque Cyclopéen; Cape Ardente; Pataugastrique; Dofus Ocre; Érudit majeur; Étourdisseur majeur; Nomade; Dragodinde Prune et Orchidée</t>
        </is>
      </c>
    </row>
    <row r="23588">
      <c r="A23588" t="inlineStr">
        <is>
          <t>chambeacosmos</t>
        </is>
      </c>
      <c r="B23588">
        <f>HYPERLINK("https://www.dofusbook.net/fr/equipement/2900645-chambeacosmos/objets", "link")</f>
        <v/>
      </c>
      <c r="C23588" t="n">
        <v>7</v>
      </c>
      <c r="D23588" t="inlineStr">
        <is>
          <t>Arc corrompu; Amulette Séculaire; Anneau Tique; Anneauræus; Bouclier du Stalak; Ceinture Séculaire; Masque Ardent; Cape Ardente; Chaussures Ardentes; Dofus Ocre; Dofus Ivoire; Dolmanax; Muldo Orchidée et Amande</t>
        </is>
      </c>
    </row>
    <row r="23589">
      <c r="A23589" t="inlineStr">
        <is>
          <t>Eniripsa M 200</t>
        </is>
      </c>
      <c r="B23589">
        <f>HYPERLINK("https://www.dofusbook.net/fr/equipement/3683230-eniripsa-m-200/objets", "link")</f>
        <v/>
      </c>
      <c r="C23589" t="n">
        <v>1</v>
      </c>
      <c r="D23589" t="inlineStr">
        <is>
          <t>Arc corrompu; Pendentif affamé; Anneau de Nidas; Anneauræus; Bouclier du Stalak; Ceinture de Vortex; Masque Ardent; Cape Ardente; Pataugastrique; Remueur; Érudit majeur; Nomade; Étourdisseur majeur; Dragodinde Prune et Orchidée</t>
        </is>
      </c>
    </row>
    <row r="23590">
      <c r="A23590" t="inlineStr">
        <is>
          <t>jplus</t>
        </is>
      </c>
      <c r="B23590">
        <f>HYPERLINK("https://www.dofusbook.net/fr/equipement/2990213-jplus/objets", "link")</f>
        <v/>
      </c>
      <c r="C23590" t="n">
        <v>2</v>
      </c>
      <c r="D23590" t="inlineStr">
        <is>
          <t>Lance Horselé; Collier du Valet Veinard; Alliance Gloursonne; Gant du Valet Veinard; Bouclier d'Ilyzaelle; Menoture; Capuche de Moum-Ra; Cape de Crânonier; Palmes Trithons; Dofus Turquoise; Dofus Pourpre; Acrobate majeur; Equilibriste majeur; Remueur; Cascadeur majeur; Muldo Ebène</t>
        </is>
      </c>
    </row>
    <row r="23591">
      <c r="A23591" t="inlineStr">
        <is>
          <t>okman</t>
        </is>
      </c>
      <c r="B23591">
        <f>HYPERLINK("https://www.dofusbook.net/fr/equipement/2967992-okman/objets", "link")</f>
        <v/>
      </c>
      <c r="C23591" t="n">
        <v>4</v>
      </c>
      <c r="D23591" t="inlineStr">
        <is>
          <t>Marteau R'ture; Amulette du Strigide; Bague Trithon; Bracelet du Piloztère; Ceinture Gence; Chapeau de Gein; Voile d'encre; Bottes du Strigide; Remueur; Nomade; Kramkram</t>
        </is>
      </c>
    </row>
    <row r="23592">
      <c r="A23592" t="inlineStr">
        <is>
          <t>durocac</t>
        </is>
      </c>
      <c r="B23592">
        <f>HYPERLINK("https://www.dofusbook.net/fr/equipement/2825437-durocac/objets", "link")</f>
        <v/>
      </c>
      <c r="C23592" t="n">
        <v>1</v>
      </c>
      <c r="D23592" t="inlineStr">
        <is>
          <t>Marteau R'ture; Amulette du Strigide; Anneau Chevelu; Bague Trithon; Bouclier d'Ilyzaelle; Ceinture Gence; Chapeau de Gein; Cape au Logis; Bottes du Strigide; Dolmanax; Dofus Pourpre; Dofus Ivoire; Remueur; Enragé majeur; Vigoureux majeur; Kramkram</t>
        </is>
      </c>
    </row>
    <row r="23593">
      <c r="A23593" t="inlineStr">
        <is>
          <t>klkman</t>
        </is>
      </c>
      <c r="B23593">
        <f>HYPERLINK("https://www.dofusbook.net/fr/equipement/2958432-klkman/objets", "link")</f>
        <v/>
      </c>
      <c r="C23593" t="n">
        <v>0</v>
      </c>
      <c r="D23593" t="inlineStr">
        <is>
          <t>Arc Hétype; Pendentif affamé; Alliance du Lévitrof; Anneau de Nidas; Bouclier du Stalak; Ceinture Séculaire; Couronne de Nidas; Voile d'encre; Bottes Innommables; Dofus Ocre; Dofus Pourpre; Dolmanax; Remueur; Érudit majeur; Muldo Indigo et Orchidée</t>
        </is>
      </c>
    </row>
    <row r="23594">
      <c r="A23594" t="inlineStr">
        <is>
          <t>klkm</t>
        </is>
      </c>
      <c r="B23594">
        <f>HYPERLINK("https://www.dofusbook.net/fr/equipement/2954162-klkm/objets", "link")</f>
        <v/>
      </c>
      <c r="C23594" t="n">
        <v>0</v>
      </c>
      <c r="D23594" t="inlineStr">
        <is>
          <t>Pelle de Katrepat; Collier de la Dame du Hasard; Alliance Gloursonne; Alliance du Lévitrof; Bouclier du Stalak; Ceintacé; Coiffe du Lévitrof; Cape de l'Œil Putride; Bottes de Meno; Dolmanax; Dofus Pourpre; Remueur; Muldo Indigo et Pourpre</t>
        </is>
      </c>
    </row>
    <row r="23595">
      <c r="A23595" t="inlineStr">
        <is>
          <t>mdr</t>
        </is>
      </c>
      <c r="B23595">
        <f>HYPERLINK("https://www.dofusbook.net/fr/equipement/2950034-mdr/objets", "link")</f>
        <v/>
      </c>
      <c r="C23595" t="n">
        <v>1</v>
      </c>
      <c r="D23595" t="inlineStr">
        <is>
          <t>Baguette Héroclite; Amulette de l'Œil Attentif; Alliance Gloursonne; Bracelet des Fonds marins; Bouclier du Stalak; Sangle Ouare; Capuche de l'Œil Attentif; Cape de l'Œil Attentif; Sandales des Fonds marins; Dofus Abyssal; Dofus Émeraude; Dofus Pourpre; Dokoko; Dofus Ocre; Dolmanax; Kramkram</t>
        </is>
      </c>
    </row>
    <row r="23596">
      <c r="A23596" t="inlineStr">
        <is>
          <t>newfuerxo</t>
        </is>
      </c>
      <c r="B23596">
        <f>HYPERLINK("https://www.dofusbook.net/fr/equipement/2911677-newfuerxo/objets", "link")</f>
        <v/>
      </c>
      <c r="C23596" t="n">
        <v>0</v>
      </c>
      <c r="D23596" t="inlineStr">
        <is>
          <t>Arc du Chalœil; Amulette du Strigide; Bague Trithon; Anneau Chevelu; Quatre-feuilles; Ceinture Gence; Masque Trithon; Cape au Logis; Bottes du Strigide; Dofus Pourpre; Dofus des Glaces; Dofus Turquoise; Dolmanax; Dofus Ocre; Bousculeur majeur; Kramkram</t>
        </is>
      </c>
    </row>
    <row r="23597">
      <c r="A23597" t="inlineStr">
        <is>
          <t>hiphop</t>
        </is>
      </c>
      <c r="B23597">
        <f>HYPERLINK("https://www.dofusbook.net/fr/equipement/2911637-hiphop/objets", "link")</f>
        <v/>
      </c>
      <c r="C23597" t="n">
        <v>0</v>
      </c>
      <c r="D23597" t="inlineStr">
        <is>
          <t>Arc du Chalœil; Amulette du Strigide; Bague Trithon; Anneau Chevelu; Quatre-feuilles; Ceinture Gence; Chapeau de Gein; Cape au Logis; Bottes du Strigide; Dofus Pourpre; Dofus Turquoise; Dofus des Glaces; Dolmanax; Enragé majeur; Remueur; Kramkram</t>
        </is>
      </c>
    </row>
    <row r="23598">
      <c r="A23598" t="inlineStr">
        <is>
          <t>iniciativafuerza</t>
        </is>
      </c>
      <c r="B23598">
        <f>HYPERLINK("https://www.dofusbook.net/fr/equipement/2908966-iniciativafuerza/objets", "link")</f>
        <v/>
      </c>
      <c r="C23598" t="n">
        <v>1</v>
      </c>
      <c r="D23598" t="inlineStr">
        <is>
          <t>Arc du Chalœil; Amulette du Cœur Saignant; Bague Trithon; Anneau Chevelu; Quatre-feuilles; Ceinture Gence; Chapeau de Gein; Voile d'encre; Bottes du Cœur Saignant; Dofus Turquoise; Dolmanax; Dofus Pourpre; Vigoureux majeur; Remueur; Enragé majeur; Kramkram</t>
        </is>
      </c>
    </row>
    <row r="23599">
      <c r="A23599" t="inlineStr">
        <is>
          <t>klkchambeo</t>
        </is>
      </c>
      <c r="B23599">
        <f>HYPERLINK("https://www.dofusbook.net/fr/equipement/2908807-klkchambeo/objets", "link")</f>
        <v/>
      </c>
      <c r="C23599" t="n">
        <v>1</v>
      </c>
      <c r="D23599" t="inlineStr">
        <is>
          <t>Lance Horselé; Collier du Valet Veinard; Alliance Gloursonne; Gant du Valet Veinard; Bouclier d'Ilyzaelle; Menoture; Capuche de Moum-Ra; Cape de Crânonier; Palmes Trithons; Cascadeur majeur; Remueur; Muldo Ebène</t>
        </is>
      </c>
    </row>
    <row r="23600">
      <c r="A23600" t="inlineStr">
        <is>
          <t>agihuida</t>
        </is>
      </c>
      <c r="B23600">
        <f>HYPERLINK("https://www.dofusbook.net/fr/equipement/2905388-agihuida/objets", "link")</f>
        <v/>
      </c>
      <c r="C23600" t="n">
        <v>1</v>
      </c>
      <c r="D23600" t="inlineStr">
        <is>
          <t>Manthache; Amibou; Alliance Gloursonne; Gant du Valet Veinard; Quatre-feuilles; Menoture; Chapibou; Cape de Crânonier; Palmes Trithons; Dofus Turquoise; Dofus Pourpre; Dolmanax; Remueur; Cascadeur majeur; Muldo Ebène</t>
        </is>
      </c>
    </row>
    <row r="23601">
      <c r="A23601" t="inlineStr">
        <is>
          <t>chambelino</t>
        </is>
      </c>
      <c r="B23601">
        <f>HYPERLINK("https://www.dofusbook.net/fr/equipement/2900743-chambelino/objets", "link")</f>
        <v/>
      </c>
      <c r="C23601" t="n">
        <v>1</v>
      </c>
      <c r="D23601" t="inlineStr">
        <is>
          <t>Lance Horselé; Collier du Valet Veinard; Gant du Valet Veinard; Alliance Gloursonne; Bouclier d'Ilyzaelle; Menoture; Capuche de Moum-Ra; Cape de Crânonier; Palmes Trithons; Dolmanax; Dofus Pourpre; Robuste majeur; Remueur; Cascadeur majeur; Vigoureux majeur; Muldo Ebène</t>
        </is>
      </c>
    </row>
    <row r="23602">
      <c r="A23602" t="inlineStr">
        <is>
          <t>chambea</t>
        </is>
      </c>
      <c r="B23602">
        <f>HYPERLINK("https://www.dofusbook.net/fr/equipement/2900115-chambea/objets", "link")</f>
        <v/>
      </c>
      <c r="C23602" t="n">
        <v>1</v>
      </c>
      <c r="D23602" t="inlineStr">
        <is>
          <t>Lance Horselé; Amulette du Strigide; Anneau des égarés; Alliance Gloursonne; Bouclier d'Ilyzaelle; Sangle Oriole; Chapeau de Tournoyé; Cape de Crânonier; Bottes du Strigide; Dolmanax; Dofus Ocre; Dofus Pourpre; Dofus des Glaces; Dofus Turquoise; Dofus Abyssal; Muldo Ebène</t>
        </is>
      </c>
    </row>
    <row r="23603">
      <c r="A23603" t="inlineStr">
        <is>
          <t>age</t>
        </is>
      </c>
      <c r="B23603">
        <f>HYPERLINK("https://www.dofusbook.net/fr/equipement/2898962-age/objets", "link")</f>
        <v/>
      </c>
      <c r="C23603" t="n">
        <v>1</v>
      </c>
      <c r="D23603" t="inlineStr">
        <is>
          <t>Manthache; Collier du Valet Veinard; Anneau d'Allister; Gant du Valet Veinard; Cadran de Feu; Sangle Oriole; Couronne d'Allister; Cape du Valet Veinard; Bottes d'Allister; Dofus des Glaces; Dofus Pourpre; Dofus Ocre; Dolmanax; Dofus Abyssal; Robuste majeur; Muldo Ebène et Pourpre</t>
        </is>
      </c>
    </row>
    <row r="23604">
      <c r="A23604" t="inlineStr">
        <is>
          <t>fullfuersa</t>
        </is>
      </c>
      <c r="B23604">
        <f>HYPERLINK("https://www.dofusbook.net/fr/equipement/2898226-fullfuersa/objets", "link")</f>
        <v/>
      </c>
      <c r="C23604" t="n">
        <v>0</v>
      </c>
      <c r="D23604" t="inlineStr">
        <is>
          <t>Arc du Chalœil; Amulette du Strigide; Anneau Chevelu; Anneau de Brouce; Quatre-feuilles; Ceinture Gence; Chapeau de Gein; Cape au Logis; Bottes du Strigide; Dofus Turquoise; Dolmanax; Dofus Pourpre; Nomade; Enragé majeur; Remueur</t>
        </is>
      </c>
    </row>
    <row r="23605">
      <c r="A23605" t="inlineStr">
        <is>
          <t>klkji</t>
        </is>
      </c>
      <c r="B23605">
        <f>HYPERLINK("https://www.dofusbook.net/fr/equipement/2893606-klkji/objets", "link")</f>
        <v/>
      </c>
      <c r="C23605" t="n">
        <v>2</v>
      </c>
      <c r="D23605" t="inlineStr">
        <is>
          <t>Epée Loponèze; Amulette d'Ilyzaelle; Bague Trithon; Alliance Gloursonne; Bouclier du Stalak; Ceintacé; Casque d'Ilyzaelle; Cape Tif; Bottes de la Reine des Voleurs; Dolmanax; Dofus Pourpre; Remueur; Vigoureux majeur; Muldo Ebène</t>
        </is>
      </c>
    </row>
    <row r="23606">
      <c r="A23606" t="inlineStr">
        <is>
          <t>seafelizmen</t>
        </is>
      </c>
      <c r="B23606">
        <f>HYPERLINK("https://www.dofusbook.net/fr/equipement/2887473-seafelizmen/objets", "link")</f>
        <v/>
      </c>
      <c r="C23606" t="n">
        <v>2</v>
      </c>
      <c r="D23606" t="inlineStr">
        <is>
          <t>Baguette Héroclite; Amulette de l'Œil Attentif; Alliance Gloursonne; Bracelet des Fonds marins; Cadran d'Air; Pagne du Rykaon; Masque des Fonds marins; Cape Solution; Bottes du Sinistrofu; Dofus Pourpre; Dolmanax; Dofus Abyssal; Remueur; Chanceux majeur; Muldo Indigo</t>
        </is>
      </c>
    </row>
    <row r="23607">
      <c r="A23607" t="inlineStr">
        <is>
          <t>papidecosmos</t>
        </is>
      </c>
      <c r="B23607">
        <f>HYPERLINK("https://www.dofusbook.net/fr/equipement/2885211-papidecosmos/objets", "link")</f>
        <v/>
      </c>
      <c r="C23607" t="n">
        <v>0</v>
      </c>
      <c r="D23607" t="inlineStr">
        <is>
          <t>Baguette de Malléfisk; Amulette Séculaire; Alliance du Lévitrof; Anneauræus; Carapar; Ceinture Séculaire; Heaume Oplate; Voile d'encre; Bottes Innommables; Dolmanax; Dofus Turquoise; Dofus Pourpre; Érudit majeur; Remueur; Muldo Pourpre</t>
        </is>
      </c>
    </row>
    <row r="23608">
      <c r="A23608" t="inlineStr">
        <is>
          <t>pegamierda</t>
        </is>
      </c>
      <c r="B23608">
        <f>HYPERLINK("https://www.dofusbook.net/fr/equipement/2884756-pegamierda/objets", "link")</f>
        <v/>
      </c>
      <c r="C23608" t="n">
        <v>0</v>
      </c>
      <c r="D23608" t="inlineStr">
        <is>
          <t>Marteau R'ture; Amulette du Strigide; Anneau Chevelu; Bague Gloursonne; Bouclier d'Ilyzaelle; Ceintacé; Chapeau de Gein; Voile d'encre; Bottes du Strigide; Dolmanax; Dofus Turquoise; Dofus Pourpre; Vigoureux majeur; Remueur; Nomade; Kramkram</t>
        </is>
      </c>
    </row>
    <row r="23609">
      <c r="A23609" t="inlineStr">
        <is>
          <t>agipousse</t>
        </is>
      </c>
      <c r="B23609">
        <f>HYPERLINK("https://www.dofusbook.net/fr/equipement/2884028-agipousse/objets", "link")</f>
        <v/>
      </c>
      <c r="C23609" t="n">
        <v>0</v>
      </c>
      <c r="D23609" t="inlineStr">
        <is>
          <t>Hachoirs de Viandargh; Amibou; Alliance Gloursonne; Gant du Valet Veinard; Bivalve; Menoture; Capuche de Moum-Ra; Capibou; Palmes Trithons; Muldo Ebène</t>
        </is>
      </c>
    </row>
    <row r="23610">
      <c r="A23610" t="inlineStr">
        <is>
          <t>purodaokme</t>
        </is>
      </c>
      <c r="B23610">
        <f>HYPERLINK("https://www.dofusbook.net/fr/equipement/2045638-purodaokme/objets", "link")</f>
        <v/>
      </c>
      <c r="C23610" t="n">
        <v>1</v>
      </c>
      <c r="D23610" t="inlineStr">
        <is>
          <t>Sabres d'Atcham; Amulette du Strigide; Anneau de Padgref; Bracelet du Piloztère; Quatre-feuilles; Ceinture du Strigide; Coiffe de Padgref; Cape d'Atcham; Getas de Padgref; Dofus Émeraude; Dolmanax; Dofus des Glaces; Dofus Pourpre; Dofus Ocre; Dofus Turquoise; Muldo Doré et Emeraude</t>
        </is>
      </c>
    </row>
    <row r="23611">
      <c r="A23611" t="inlineStr">
        <is>
          <t>juegodemierda</t>
        </is>
      </c>
      <c r="B23611">
        <f>HYPERLINK("https://www.dofusbook.net/fr/equipement/2822705-juegodemierda/objets", "link")</f>
        <v/>
      </c>
      <c r="C23611" t="n">
        <v>0</v>
      </c>
      <c r="D23611" t="inlineStr">
        <is>
          <t>Hache du Chalœil; Amulette du Strigide; Alliance Gloursonne; Bague Trithon; Quatre-feuilles; Ceintacé; Casque de Missiz Frizz; Voile d'encre; Bottes du Strigide; Dofus des Glaces; Dolmanax; Dofus Pourpre; Dofus Turquoise; Nomade; Remueur; Kramkram</t>
        </is>
      </c>
    </row>
    <row r="23612">
      <c r="A23612" t="inlineStr">
        <is>
          <t>miauvizorarc</t>
        </is>
      </c>
      <c r="B23612">
        <f>HYPERLINK("https://www.dofusbook.net/fr/equipement/2857415-miauvizorarc/objets", "link")</f>
        <v/>
      </c>
      <c r="C23612" t="n">
        <v>0</v>
      </c>
      <c r="D23612" t="inlineStr">
        <is>
          <t>Arc du Chalœil; Amulette du Strigide; Bague Trithon; Anneau Chevelu; Quatre-feuilles; Ceinture Gence; Chapeau de Gein; Voile d'encre; Bottes Trithon; Dofus Pourpre; Dofus Turquoise; Remueur; Culbuteur majeur; Nomade; Enragé majeur; Kramkram</t>
        </is>
      </c>
    </row>
    <row r="23613">
      <c r="A23613" t="inlineStr">
        <is>
          <t>agicha</t>
        </is>
      </c>
      <c r="B23613">
        <f>HYPERLINK("https://www.dofusbook.net/fr/equipement/2702810-agicha/objets", "link")</f>
        <v/>
      </c>
      <c r="C23613" t="n">
        <v>2</v>
      </c>
      <c r="D23613" t="inlineStr">
        <is>
          <t>Arc de Koutoulou; Amulette du Strigide; Bracelet du Piloztère; Alliance Gloursonne; Cadran d'Air; Ceintacé; Némès de Tal Kasha; Chevelure de Tal Kasha; Bottes de la Reine des Voleurs; Dofus Pourpre; Dolmanax; Dofus Turquoise; Remueur; Nomade; Vigoureux majeur; Kramkram</t>
        </is>
      </c>
    </row>
    <row r="23614">
      <c r="A23614" t="inlineStr">
        <is>
          <t>entucaraputo</t>
        </is>
      </c>
      <c r="B23614">
        <f>HYPERLINK("https://www.dofusbook.net/fr/equipement/2851714-entucaraputo/objets", "link")</f>
        <v/>
      </c>
      <c r="C23614" t="n">
        <v>2</v>
      </c>
      <c r="D23614" t="inlineStr">
        <is>
          <t>Baguette Range; Amulette du Strigide; Alliance Gloursonne; Anneau de Padgref; Quatre-feuilles; Ceintacé; Casque Cyclopéen; Voile d'encre; Bottes du Strigide; Dofus Turquoise; Dofus Pourpre; Dolmanax; Nomade; Vigoureux majeur; Remueur; Kramkram</t>
        </is>
      </c>
    </row>
    <row r="23615">
      <c r="A23615" t="inlineStr">
        <is>
          <t>moarcamionero</t>
        </is>
      </c>
      <c r="B23615">
        <f>HYPERLINK("https://www.dofusbook.net/fr/equipement/2703074-moarcamionero/objets", "link")</f>
        <v/>
      </c>
      <c r="C23615" t="n">
        <v>1</v>
      </c>
      <c r="D23615" t="inlineStr">
        <is>
          <t>Lance corrompue; Collier de Tourthon; Alliance Gloursonne; Anneau des égarés; Goulclier; Ceinture de la Reine des Voleurs; Coiffe de la Reine des Voleurs; Cape du Kamasterisk; Baleinabottes; Dolmanax; Dofus Pourpre; Robuste majeur; Vigoureux majeur; Remueur; Nomade; Kramkram</t>
        </is>
      </c>
    </row>
    <row r="23616">
      <c r="A23616" t="inlineStr">
        <is>
          <t>fullage</t>
        </is>
      </c>
      <c r="B23616">
        <f>HYPERLINK("https://www.dofusbook.net/fr/equipement/2851293-fullage/objets", "link")</f>
        <v/>
      </c>
      <c r="C23616" t="n">
        <v>1</v>
      </c>
      <c r="D23616" t="inlineStr">
        <is>
          <t>Lance Horselé; Amibou; Gant du Valet Veinard; Alliance Gloursonne; Cadran d'Air; Menoture; Masque du Barbétoal; Capibou; Sandales de Tal Kasha; Dofus Pourpre; Dofus Turquoise; Remueur; Temporiseur majeur; Cascadeur majeur; Étourdisseur majeur; Muldo Ebène et Indigo</t>
        </is>
      </c>
    </row>
    <row r="23617">
      <c r="A23617" t="inlineStr">
        <is>
          <t>neoxej</t>
        </is>
      </c>
      <c r="B23617">
        <f>HYPERLINK("https://www.dofusbook.net/fr/equipement/2841473-neoxej/objets", "link")</f>
        <v/>
      </c>
      <c r="C23617" t="n">
        <v>0</v>
      </c>
      <c r="D23617" t="inlineStr">
        <is>
          <t>Rapière aux Glyphes; Amulette de l'Œil Attentif; Bracelet des Fonds marins; Alliance Gloursonne; Bouclier du Captain Amakna; Pagne du Rykaon; Masque des Fonds marins; Cape Solution; Bottes du Sinistrofu; Dofus Pourpre; Dofus Ivoire; Dofus Turquoise; Chanceux majeur; Remueur; Muldo Indigo</t>
        </is>
      </c>
    </row>
    <row r="23618">
      <c r="A23618" t="inlineStr">
        <is>
          <t>full age</t>
        </is>
      </c>
      <c r="B23618">
        <f>HYPERLINK("https://www.dofusbook.net/fr/equipement/2823590-full-age/objets", "link")</f>
        <v/>
      </c>
      <c r="C23618" t="n">
        <v>0</v>
      </c>
      <c r="D23618" t="inlineStr">
        <is>
          <t>Manthache; Amibou; Alliance Gloursonne; Gant du Valet Veinard; Quatre-feuilles; Menoture; Capuche de Moum-Ra; Capibou; Palmes Trithons; Dofus Pourpre; Dofus Turquoise; Culbuteur majeur; Cascadeur majeur; Vigoureux majeur; Remueur; Muldo Ebène</t>
        </is>
      </c>
    </row>
    <row r="23619">
      <c r="A23619" t="inlineStr">
        <is>
          <t>dospartesdepa</t>
        </is>
      </c>
      <c r="B23619">
        <f>HYPERLINK("https://www.dofusbook.net/fr/equipement/2812308-dospartesdepa/objets", "link")</f>
        <v/>
      </c>
      <c r="C23619" t="n">
        <v>1</v>
      </c>
      <c r="D23619" t="inlineStr">
        <is>
          <t>Lav'Hache; Collier de Tourthon; Anneau de Brouce; Anneau Chevelu; Goulclier; Ceinture Gence; Chapeau de Gein; Ankhape; Bottes de Brouce; Dofus Pourpre; Dofus Abyssal; Dofus Ivoire; Remueur; Nomade; Enragé majeur; Kramkram</t>
        </is>
      </c>
    </row>
    <row r="23620">
      <c r="A23620" t="inlineStr">
        <is>
          <t>neoxxed</t>
        </is>
      </c>
      <c r="B23620">
        <f>HYPERLINK("https://www.dofusbook.net/fr/equipement/2812098-neoxxed/objets", "link")</f>
        <v/>
      </c>
      <c r="C23620" t="n">
        <v>1</v>
      </c>
      <c r="D23620" t="inlineStr">
        <is>
          <t>Marteau R'ture; Amulette du Strigide; Anneau Toriété; Anneau Chevelu; Bouclier du Captain Amakna; Ceinture Gence; Chapeau de Gein; Cape du Cœur Saignant; Bottes du Strigide; Dofus Pourpre; Dofus Abyssal; Dofus Ivoire; Dofus Turquoise; Remueur; Enragé majeur; Kramkram</t>
        </is>
      </c>
    </row>
    <row r="23621">
      <c r="A23621" t="inlineStr">
        <is>
          <t>singc</t>
        </is>
      </c>
      <c r="B23621">
        <f>HYPERLINK("https://www.dofusbook.net/fr/equipement/2727952-singc/objets", "link")</f>
        <v/>
      </c>
      <c r="C23621" t="n">
        <v>1</v>
      </c>
      <c r="D23621" t="inlineStr">
        <is>
          <t>Arc Ahique; Amulette d'Ilyzaelle; Anneau Toriété; Alliance Gloursonne; Bouclier du Stalak; Ceintacé; Casque d'Ilyzaelle; Cape du Chalœil; Bottes de la Reine des Voleurs; Dofus des Glaces; Dofus Pourpre; Dolmanax; Remueur; Robuste majeur; Vigoureux majeur; Kramkram</t>
        </is>
      </c>
    </row>
    <row r="23622">
      <c r="A23622" t="inlineStr">
        <is>
          <t>kewl</t>
        </is>
      </c>
      <c r="B23622">
        <f>HYPERLINK("https://www.dofusbook.net/fr/equipement/2727937-kewl/objets", "link")</f>
        <v/>
      </c>
      <c r="C23622" t="n">
        <v>0</v>
      </c>
      <c r="D23622" t="inlineStr">
        <is>
          <t>Arc de Koutoulou; Amulette du Strigide; Bracelet des Fonds marins; Alliance Gloursonne; Quatre-feuilles; Ceintacé; Némès de Tal Kasha; Chevelure de Tal Kasha; Bottes de la Reine des Voleurs; Dofus Pourpre; Dolmanax; Dofus Turquoise; Vigoureux majeur; Remueur; Nomade; Kramkram</t>
        </is>
      </c>
    </row>
    <row r="23623">
      <c r="A23623" t="inlineStr">
        <is>
          <t>esquivando pa</t>
        </is>
      </c>
      <c r="B23623">
        <f>HYPERLINK("https://www.dofusbook.net/fr/equipement/2619421-esquivando-pa/objets", "link")</f>
        <v/>
      </c>
      <c r="C23623" t="n">
        <v>0</v>
      </c>
      <c r="D23623" t="inlineStr">
        <is>
          <t>Héqache; Amulette du Strigide; Alliance Gloursonne; Bague Trithon; Goulclier; Ceinture Gence; Chapeau de Gein; Cape du Kamasterisk; Bottes du Strigide; Dofus Turquoise; Dolmanax; Dofus Ivoire; Dofus Pourpre; Nomade; Remueur; Kramkram</t>
        </is>
      </c>
    </row>
    <row r="23624">
      <c r="A23624" t="inlineStr">
        <is>
          <t>narcotimard</t>
        </is>
      </c>
      <c r="B23624">
        <f>HYPERLINK("https://www.dofusbook.net/fr/equipement/2600691-narcotimard/objets", "link")</f>
        <v/>
      </c>
      <c r="C23624" t="n">
        <v>0</v>
      </c>
      <c r="D23624" t="inlineStr">
        <is>
          <t>Hache du Guerrier Zoth; Amulette Héroclite; Anneau du Chêne Mou; Anneau Chevelu; Slip Iholo; Bonnet Ko; Cape Erforée; Chaussons Pignons; Nomade; Vigoureux majeur; Furibond majeur; Robuste majeur; Remueur; Enragé majeur; Muldo Doré</t>
        </is>
      </c>
    </row>
    <row r="23625">
      <c r="A23625" t="inlineStr">
        <is>
          <t>momotaro</t>
        </is>
      </c>
      <c r="B23625">
        <f>HYPERLINK("https://www.dofusbook.net/fr/equipement/2552482-momotaro/objets", "link")</f>
        <v/>
      </c>
      <c r="C23625" t="n">
        <v>0</v>
      </c>
      <c r="D23625" t="inlineStr">
        <is>
          <t>Héqache; Amulette du Strigide; Alliance Gloursonne; Bague Trithon; Quatre-feuilles; Ceinture Gence; Casque des égarés; Cape du Kamasterisk; Bottes Trithon; Dofus Pourpre; Dolmanax; Dofus Turquoise; Nomade; Vigoureux majeur; Remueur; Kramkram</t>
        </is>
      </c>
    </row>
    <row r="23626">
      <c r="A23626" t="inlineStr">
        <is>
          <t>cuandosearico</t>
        </is>
      </c>
      <c r="B23626">
        <f>HYPERLINK("https://www.dofusbook.net/fr/equipement/2595074-cuandosearico/objets", "link")</f>
        <v/>
      </c>
      <c r="C23626" t="n">
        <v>0</v>
      </c>
      <c r="D23626" t="inlineStr">
        <is>
          <t>Manthache; Collier du Valet Veinard; Alliance Gloursonne; Gant du Valet Veinard; Bouclier du Stalak; Menoture; Dorabysses; Cape Indescriptible; Palmes Trithons</t>
        </is>
      </c>
    </row>
    <row r="23627">
      <c r="A23627" t="inlineStr">
        <is>
          <t>fullop</t>
        </is>
      </c>
      <c r="B23627">
        <f>HYPERLINK("https://www.dofusbook.net/fr/equipement/2594674-fullop/objets", "link")</f>
        <v/>
      </c>
      <c r="C23627" t="n">
        <v>0</v>
      </c>
      <c r="D23627" t="inlineStr">
        <is>
          <t>Héqache; Amulette du Strigide; Anneau Chevelu; Bague Trithon; Bouclier Taverne; Ceinture Gence; Casque des égarés; Cape du Cœur Saignant; Bottes du Strigide; Dofus Turquoise; Dolmanax; Dofus Pourpre; Remueur; Vigoureux majeur; Enragé majeur; Muldo Indigo et Orchidée</t>
        </is>
      </c>
    </row>
    <row r="23628">
      <c r="A23628" t="inlineStr">
        <is>
          <t>botasyamu</t>
        </is>
      </c>
      <c r="B23628">
        <f>HYPERLINK("https://www.dofusbook.net/fr/equipement/2593973-botasyamu/objets", "link")</f>
        <v/>
      </c>
      <c r="C23628" t="n">
        <v>0</v>
      </c>
      <c r="D23628" t="inlineStr">
        <is>
          <t>Héqache; Amulette du Cœur Vaillant; Alliance Gloursonne; Bague Trithon; Bouclier Taverne; Ceinture Gence; Casque des égarés; Cape du Kamasterisk; Bottes Trithon; Dofus Pourpre; Dofus Ivoire; Dokoko; Remueur; Culbuteur majeur; Muldo Orchidée et Pourpre</t>
        </is>
      </c>
    </row>
    <row r="23629">
      <c r="A23629" t="inlineStr">
        <is>
          <t>durito</t>
        </is>
      </c>
      <c r="B23629">
        <f>HYPERLINK("https://www.dofusbook.net/fr/equipement/2591657-durito/objets", "link")</f>
        <v/>
      </c>
      <c r="C23629" t="n">
        <v>0</v>
      </c>
      <c r="D23629" t="inlineStr">
        <is>
          <t>Hache du Chalœil; Amulette du Strigide; Bague Trithon; Alliance Gloursonne; Quatre-feuilles; Ceintacé; Casque de Missiz Frizz; Voile d'encre; Bottes du Strigide; Dofus des Glaces; Dolmanax; Dofus Turquoise; Dofus Pourpre; Remueur; Nomade; Kramkram</t>
        </is>
      </c>
    </row>
    <row r="23630">
      <c r="A23630" t="inlineStr">
        <is>
          <t>socorrismoacuatico</t>
        </is>
      </c>
      <c r="B23630">
        <f>HYPERLINK("https://www.dofusbook.net/fr/equipement/2588631-socorrismoacuatico/objets", "link")</f>
        <v/>
      </c>
      <c r="C23630" t="n">
        <v>1</v>
      </c>
      <c r="D23630" t="inlineStr">
        <is>
          <t>Arc du Chalœil; Torquistik; Anneau Chevelu; Bague Trithon; Bouclier Taverne; Ceinture Gence; Masque Trithon; Voile d'encre; Bottes du Cœur Vaillant; Dokoko; Dofus Turquoise; Dofus Ivoire; Dolmanax; Culbuteur majeur; Remueur; Muldo Indigo et Pourpre</t>
        </is>
      </c>
    </row>
    <row r="23631">
      <c r="A23631" t="inlineStr">
        <is>
          <t>cosmonauta</t>
        </is>
      </c>
      <c r="B23631">
        <f>HYPERLINK("https://www.dofusbook.net/fr/equipement/2588402-cosmonauta/objets", "link")</f>
        <v/>
      </c>
      <c r="C23631" t="n">
        <v>1</v>
      </c>
      <c r="D23631" t="inlineStr">
        <is>
          <t>Arc de Koutoulou; Amulette du Strigide; Alliance Gloursonne; Gant du Valet Veinard; Quatre-feuilles; Ceintacé; Némès de Tal Kasha; Chevelure de Tal Kasha; Bottes de la Reine des Voleurs; Dofus Turquoise; Dofus Nébuleux; Dolmanax; Dofus Pourpre; Vigoureux majeur; Remueur; Muldo Ebène et Orchidée</t>
        </is>
      </c>
    </row>
    <row r="23632">
      <c r="A23632" t="inlineStr">
        <is>
          <t>jeremia</t>
        </is>
      </c>
      <c r="B23632">
        <f>HYPERLINK("https://www.dofusbook.net/fr/equipement/2585017-jeremia/objets", "link")</f>
        <v/>
      </c>
      <c r="C23632" t="n">
        <v>0</v>
      </c>
      <c r="D23632" t="inlineStr">
        <is>
          <t>Marteau de Katrepat; Amulette du Strigide; Alliance Gloursonne; Anneau des égarés; Bouclier Taverne; Ceintacé; Masque Brûlâme; Voile d'encre; Bottes du Strigide; Dofus Pourpre; Dofus des Glaces; Dofus Turquoise; Dolmanax; Nomade; Remueur; Kramkram</t>
        </is>
      </c>
    </row>
    <row r="23633">
      <c r="A23633" t="inlineStr">
        <is>
          <t>fullfo</t>
        </is>
      </c>
      <c r="B23633">
        <f>HYPERLINK("https://www.dofusbook.net/fr/equipement/2584324-fullfo/objets", "link")</f>
        <v/>
      </c>
      <c r="C23633" t="n">
        <v>0</v>
      </c>
      <c r="D23633" t="inlineStr">
        <is>
          <t>Marteau R'ture; Amulette du Strigide; Anneau Chevelu; Anneau Toriété; Bouclier Taverne; Ceinture Gence; Chapeau de Gein; Voile d'encre; Bottes du Strigide; Dofus Ivoire; Dolmanax; Dofus Turquoise; Dofus Pourpre; Enragé majeur; Remueur; Kramkram</t>
        </is>
      </c>
    </row>
    <row r="23634">
      <c r="A23634" t="inlineStr">
        <is>
          <t>combaso</t>
        </is>
      </c>
      <c r="B23634">
        <f>HYPERLINK("https://www.dofusbook.net/fr/equipement/2570244-combaso/objets", "link")</f>
        <v/>
      </c>
      <c r="C23634" t="n">
        <v>0</v>
      </c>
      <c r="D23634" t="inlineStr">
        <is>
          <t>Arc de Koutoulou; Amulette du Strigide; Bague Trithon; Alliance Gloursonne; Cadran d'Air; Ceintacé; Némès de Tal Kasha; Chevelure de Tal Kasha; Bottes de la Reine des Voleurs; Dofus Pourpre; Dofus des Glaces; Dolmanax; Dofus Turquoise; Remueur; Vigoureux majeur; Muldo Prune et Orchidée</t>
        </is>
      </c>
    </row>
    <row r="23635">
      <c r="A23635" t="inlineStr">
        <is>
          <t>klkermano</t>
        </is>
      </c>
      <c r="B23635">
        <f>HYPERLINK("https://www.dofusbook.net/fr/equipement/2563437-klkermano/objets", "link")</f>
        <v/>
      </c>
      <c r="C23635" t="n">
        <v>0</v>
      </c>
      <c r="D23635" t="inlineStr">
        <is>
          <t>Pelle de Katrepat; Talisman Igans; Alliance Gloursonne; Alliance du Lévitrof; Bouclier du Stalak; Ceintacé; Masque de l'Esprit Malsain; Cape des Malveilleurs; Bottes de l'Esprit Malsain; Dokoko; Dofus Pourpre; Nomade; Vigoureux majeur; Remueur; Robuste majeur; Muldo Indigo et Pourpre</t>
        </is>
      </c>
    </row>
    <row r="23636">
      <c r="A23636" t="inlineStr">
        <is>
          <t>acrobaratoutil</t>
        </is>
      </c>
      <c r="B23636">
        <f>HYPERLINK("https://www.dofusbook.net/fr/equipement/2561883-acrobaratoutil/objets", "link")</f>
        <v/>
      </c>
      <c r="C23636" t="n">
        <v>0</v>
      </c>
      <c r="D23636" t="inlineStr">
        <is>
          <t>Lance corrompue; Amulette du Strigide; Anneau des égarés; Alliance Gloursonne; Goulclier; Ceintacé; Coiffe de la Reine des Voleurs; Cape du Kamasterisk; Bottes du Kamasterisk; Dofus Pourpre; Dolmanax; Robuste majeur; Remueur; Vigoureux majeur; Nomade; Muldo Ebène et Indigo</t>
        </is>
      </c>
    </row>
    <row r="23637">
      <c r="A23637" t="inlineStr">
        <is>
          <t>daleduro</t>
        </is>
      </c>
      <c r="B23637">
        <f>HYPERLINK("https://www.dofusbook.net/fr/equipement/2560605-daleduro/objets", "link")</f>
        <v/>
      </c>
      <c r="C23637" t="n">
        <v>0</v>
      </c>
      <c r="D23637" t="inlineStr">
        <is>
          <t>Héqache; Amulette du Strigide; Alliance Gloursonne; Bague Trithon; Quatre-feuilles; Ceintacé; Casque des égarés; Cape du Kamasterisk; Bottes du Kamasterisk; Dolmanax; Dofus Turquoise; Dofus Pourpre; Remueur; Vigoureux majeur; Nomade; Kramkram</t>
        </is>
      </c>
    </row>
    <row r="23638">
      <c r="A23638" t="inlineStr">
        <is>
          <t>jeremia</t>
        </is>
      </c>
      <c r="B23638">
        <f>HYPERLINK("https://www.dofusbook.net/fr/equipement/2557693-jeremia/objets", "link")</f>
        <v/>
      </c>
      <c r="C23638" t="n">
        <v>0</v>
      </c>
      <c r="D23638" t="inlineStr">
        <is>
          <t>Marteau de Katrepat; Amulette du Strigide; Alliance Gloursonne; Anneau des égarés; Bouclier du Captain Amakna; Ceintacé; Masque Brûlâme; Voile d'encre; Bottes du Strigide; Dofus Pourpre; Dofus des Glaces; Dofus Turquoise; Dolmanax; Vigoureux majeur; Remueur; Muldo Ebène et Pourpre</t>
        </is>
      </c>
    </row>
    <row r="23639">
      <c r="A23639" t="inlineStr">
        <is>
          <t>pvmm</t>
        </is>
      </c>
      <c r="B23639">
        <f>HYPERLINK("https://www.dofusbook.net/fr/equipement/2556686-pvmm/objets", "link")</f>
        <v/>
      </c>
      <c r="C23639" t="n">
        <v>0</v>
      </c>
      <c r="D23639" t="inlineStr">
        <is>
          <t>Ares; Amulette de Danathor; Alliance Gloursonne; Anneau Glacial; Cadran d'Air; Slip du Roi de Bonta; Coiffe de Danathor; Cape Matelassée; Sandales Circulaires du Kimbo; Remueur; Vigoureux majeur; Robuste majeur; Nomade; Observateur; Chanceux majeur; Muldo Doré</t>
        </is>
      </c>
    </row>
    <row r="23640">
      <c r="A23640" t="inlineStr">
        <is>
          <t>omaigad</t>
        </is>
      </c>
      <c r="B23640">
        <f>HYPERLINK("https://www.dofusbook.net/fr/equipement/2550526-omaigad/objets", "link")</f>
        <v/>
      </c>
      <c r="C23640" t="n">
        <v>1</v>
      </c>
      <c r="D23640" t="inlineStr">
        <is>
          <t>Lance Horselé; Collier du Valet Veinard; Gant du Valet Veinard; Alliance Gloursonne; Sept ans de malheur; Ceintouse; Chapoulpe; Cape du Valet Veinard; Tentassons; Dofus Ivoire; Dolmanax; Dofus Abyssal; Dofus Ocre; Dofus Pourpre; Paralyseur majeur; Muldo Ebène et Indigo</t>
        </is>
      </c>
    </row>
    <row r="23641">
      <c r="A23641" t="inlineStr">
        <is>
          <t>pasitoperron</t>
        </is>
      </c>
      <c r="B23641">
        <f>HYPERLINK("https://www.dofusbook.net/fr/equipement/2547853-pasitoperron/objets", "link")</f>
        <v/>
      </c>
      <c r="C23641" t="n">
        <v>0</v>
      </c>
      <c r="D23641" t="inlineStr">
        <is>
          <t>Manthache; Amulette du Strigide; Alliance Gloursonne; Gant du Valet Veinard; Cadran d'Air; Sangle Oriole; Chapeau de Tournoyé; Cape de Crânonier; Bottes du Strigide; Dofus des Glaces; Dofus Pourpre; Dofus Ocre; Dolmanax; Dofus Ivoire; Dofus Turquoise; Muldo Ebène et Orchidée</t>
        </is>
      </c>
    </row>
    <row r="23642">
      <c r="A23642" t="inlineStr">
        <is>
          <t>yopomarco</t>
        </is>
      </c>
      <c r="B23642">
        <f>HYPERLINK("https://www.dofusbook.net/fr/equipement/2201312-yopomarco/objets", "link")</f>
        <v/>
      </c>
      <c r="C23642" t="n">
        <v>1</v>
      </c>
      <c r="D23642" t="inlineStr">
        <is>
          <t>Hache Téroïde; Amulette du Strigide; Alliance de Missiz Frizz; Bague Gloursonne; Bouclier du Captain Amakna; Ceinture du Strigide; Casque de Missiz Frizz; Cape du Professeur Xa; Bottes du Strigide; Dofus des Glaces; Dolmanax; Dofus Nébuleux; Dofus Turquoise; Dofus Ocre; Dofus Pourpre; Muldo Prune et Doré</t>
        </is>
      </c>
    </row>
    <row r="23643">
      <c r="A23643" t="inlineStr">
        <is>
          <t>fullinteestavezsi</t>
        </is>
      </c>
      <c r="B23643">
        <f>HYPERLINK("https://www.dofusbook.net/fr/equipement/2136221-fullinteestavezsi/objets", "link")</f>
        <v/>
      </c>
      <c r="C23643" t="n">
        <v>0</v>
      </c>
      <c r="D23643" t="inlineStr">
        <is>
          <t>Baguette de Malléfisk; Pendentif affamé; Anneau Rifique; Anneauræus; Carapar; Ceinture Séculaire; Casque Cyclopéen; Cape de Diondin; Tongues de Nidas; Dofus Pourpre; Dolmanax; Dofus Turquoise; Remueur; Érudit majeur; Astucieux majeur; Muldo Orchidée et Pourpre</t>
        </is>
      </c>
    </row>
    <row r="23644">
      <c r="A23644" t="inlineStr">
        <is>
          <t>inteliigenssia</t>
        </is>
      </c>
      <c r="B23644">
        <f>HYPERLINK("https://www.dofusbook.net/fr/equipement/2136137-inteliigenssia/objets", "link")</f>
        <v/>
      </c>
      <c r="C23644" t="n">
        <v>2</v>
      </c>
      <c r="D23644" t="inlineStr">
        <is>
          <t>Arc Hétype; Amulette de Gein; Alliance du Lévitrof; Bague Gloursonne; Cadran d'Air; Ceinture de Gein; Chapeau de Gein; Voile d'encre; Bottes du Lévitrof; Dofus Ocre; Dolmanax; Dofus Nébuleux; Dofus Turquoise; Dofus Émeraude; Dofus Pourpre; Muldo Pourpre et Ivoire</t>
        </is>
      </c>
    </row>
    <row r="23645">
      <c r="A23645" t="inlineStr">
        <is>
          <t>leportugues</t>
        </is>
      </c>
      <c r="B23645">
        <f>HYPERLINK("https://www.dofusbook.net/fr/equipement/2135984-leportugues/objets", "link")</f>
        <v/>
      </c>
      <c r="C23645" t="n">
        <v>1</v>
      </c>
      <c r="D23645" t="inlineStr">
        <is>
          <t>Hache du Chalœil; Amulette du Strigide; Alliance Gloursonne; Alliance du Lévitrof; Goulclier; Ceintacé; Coiffe du Lévitrof; Voile d'encre; Bottes du Chalœil; Dofus Nébuleux; Dofus Pourpre; Dofus des Glaces; Dolmanax; Dofus Turquoise; Remueur; Muldo Turquoise et Pourpre</t>
        </is>
      </c>
    </row>
    <row r="23646">
      <c r="A23646" t="inlineStr">
        <is>
          <t>koliklk</t>
        </is>
      </c>
      <c r="B23646">
        <f>HYPERLINK("https://www.dofusbook.net/fr/equipement/2067540-koliklk/objets", "link")</f>
        <v/>
      </c>
      <c r="C23646" t="n">
        <v>1</v>
      </c>
      <c r="D23646" t="inlineStr">
        <is>
          <t>Lance corrompue; Amulette du Kamasterisk; Anneau des égarés; Alliance Gloursonne; Goulclier; Ceinture de la Reine des Voleurs; Coiffe de la Reine des Voleurs; Cape du Kamasterisk; Bottes du Kamasterisk; Dolmanax; Dofus des Glaces; Dofus Pourpre; Dofus Ocre; Robuste majeur; Féroce majeur; Muldo Ebène et Indigo</t>
        </is>
      </c>
    </row>
    <row r="23647">
      <c r="A23647" t="inlineStr">
        <is>
          <t>hardcorkj</t>
        </is>
      </c>
      <c r="B23647">
        <f>HYPERLINK("https://www.dofusbook.net/fr/equipement/2067433-hardcorkj/objets", "link")</f>
        <v/>
      </c>
      <c r="C23647" t="n">
        <v>0</v>
      </c>
      <c r="D23647" t="inlineStr">
        <is>
          <t>Héqache; Amulette du Strigide; Alliance Gloursonne; Anneau des égarés; Goulclier; Ceintacé; Casque des égarés; Cape du Kamasterisk; Bottes du Cœur Vaillant; Dofus Pourpre; Dofus des Glaces; Dolmanax; Dofus Turquoise; Vigoureux majeur; Remueur; Muldo Prune et Doré</t>
        </is>
      </c>
    </row>
    <row r="23648">
      <c r="A23648" t="inlineStr">
        <is>
          <t>aserejek</t>
        </is>
      </c>
      <c r="B23648">
        <f>HYPERLINK("https://www.dofusbook.net/fr/equipement/2045536-aserejek/objets", "link")</f>
        <v/>
      </c>
      <c r="C23648" t="n">
        <v>4</v>
      </c>
      <c r="D23648" t="inlineStr">
        <is>
          <t>Baguette Range; Amulette du Strigide; Alliance Gloursonne; Bracelet du Piloztère; Quatre-feuilles; Ceintacé; Casque Cyclopéen; Voile d'encre; Bottes du Strigide; Dofus Pourpre; Dofus Nébuleux; Dofus Turquoise; Dolmanax; Dofus des Glaces; Remueur; Muldo Prune et Doré</t>
        </is>
      </c>
    </row>
    <row r="23649">
      <c r="A23649" t="inlineStr">
        <is>
          <t>ktra</t>
        </is>
      </c>
      <c r="B23649">
        <f>HYPERLINK("https://www.dofusbook.net/fr/equipement/1883346-ktra/objets", "link")</f>
        <v/>
      </c>
      <c r="C23649" t="n">
        <v>0</v>
      </c>
      <c r="D23649" t="inlineStr">
        <is>
          <t>Marteau R'ture; Amulette du Strigide; Bague Gloursonne; Anneau Chevelu; Bouclier du Captain Amakna; Ceintacé; Casque de Missiz Frizz; Voile d'encre; Bottes du Strigide; Dofus Turquoise; Dofus des Glaces; Dofus Pourpre; Dolmanax; Vigoureux majeur; Remueur; Muldo Pourpre et Amande</t>
        </is>
      </c>
    </row>
    <row r="23650">
      <c r="A23650" t="inlineStr">
        <is>
          <t>1/1 Crit</t>
        </is>
      </c>
      <c r="B23650">
        <f>HYPERLINK("https://www.dofusbook.net/fr/equipement/5345460-1-1-crit/objets", "link")</f>
        <v/>
      </c>
      <c r="C23650" t="n">
        <v>21</v>
      </c>
      <c r="D23650" t="inlineStr">
        <is>
          <t>Baguette de Torkélonia; Amulette du Strigide; Anneau de Padgref; Bracelet du Piloztère; Quatre-feuilles; Ceinture du Strigide; Coiffe de Padgref; Carapace de Torkélonia; Getas de Padgref; Dolmanax; Dofus Ocre; Dofus des Glaces; Dofus Pourpre; Dofus Vulbis; Dofus Turquoise; Kokulte</t>
        </is>
      </c>
    </row>
    <row r="23651">
      <c r="A23651" t="inlineStr">
        <is>
          <t>Multi no crit 2</t>
        </is>
      </c>
      <c r="B23651">
        <f>HYPERLINK("https://www.dofusbook.net/fr/equipement/5450380-multi-no-crit-2/objets", "link")</f>
        <v/>
      </c>
      <c r="C23651" t="n">
        <v>8</v>
      </c>
      <c r="D23651" t="inlineStr">
        <is>
          <t>Pelle de Nidas; Kralamansion; Anneau Volkorne; Anneau Pwal; Bouclier du Stalak; Ceinture Volkorne; Le Dorado; Voilamibe; Bottes Honyme; Dolmanax; Dofus des Glaces; Dofus Pourpre; Robuste majeur; Vigoureux majeur; Remueur; Dragodinde Ebène et Ivoire</t>
        </is>
      </c>
    </row>
    <row r="23652">
      <c r="A23652" t="inlineStr">
        <is>
          <t>PvPM -</t>
        </is>
      </c>
      <c r="B23652">
        <f>HYPERLINK("https://www.dofusbook.net/fr/equipement/5608571-pvpm--/objets", "link")</f>
        <v/>
      </c>
      <c r="C23652" t="n">
        <v>0</v>
      </c>
      <c r="D23652" t="inlineStr">
        <is>
          <t>Hache du Chalœil; Amulette Volkorne; Bracelet du Piloztère; Anneau Volkorne; Quatre-feuilles; Ceinture Volkorne; Casque du Chalœil; Cape du Chalœil; Bottes du Chalœil; Dofus Ocre; Dofus Pourpre; Dofus des Glaces; Dofus Turquoise</t>
        </is>
      </c>
    </row>
    <row r="23653">
      <c r="A23653" t="inlineStr">
        <is>
          <t>Aermyne.XLII.tank</t>
        </is>
      </c>
      <c r="B23653">
        <f>HYPERLINK("https://www.dofusbook.net/fr/equipement/92219-aermyne-xlii-tank/objets", "link")</f>
        <v/>
      </c>
      <c r="C23653" t="n">
        <v>1</v>
      </c>
      <c r="D23653" t="inlineStr">
        <is>
          <t>Rouleau à Pâtisserie d'Aermyne; Collier Rophante; Alliance Gloursonne; Anneau de XLII; Bouclier des Chocomanciens; Ceinture de XLII; Coiffe d'Aermyne; Cape d'Aermyne; Bottes de XLII; Dofus Ocre; Dofus Émeraude; Bloqueur majeur; Tacleur majeur; Muldo Roux</t>
        </is>
      </c>
    </row>
    <row r="23654">
      <c r="A23654" t="inlineStr">
        <is>
          <t>Tankatalepsie</t>
        </is>
      </c>
      <c r="B23654">
        <f>HYPERLINK("https://www.dofusbook.net/fr/equipement/5523541-tankatalepsie/objets", "link")</f>
        <v/>
      </c>
      <c r="C23654" t="n">
        <v>15</v>
      </c>
      <c r="D23654" t="inlineStr">
        <is>
          <t>L'Épée Nice; Amulette du Strigide; Anneau Chevelu; Bracelet du Piloztère; Sept ans de malheur; Ceinture de XLII; Masque de Koutoulou; Cape au Logis; Bottes de XLII; Dofus Émeraude; Dofus Pourpre; Remueur; Bloqueur majeur; Enragé majeur; Obstructeur majeur</t>
        </is>
      </c>
    </row>
    <row r="23655">
      <c r="A23655" t="inlineStr">
        <is>
          <t>Multi nocrit</t>
        </is>
      </c>
      <c r="B23655">
        <f>HYPERLINK("https://www.dofusbook.net/fr/equipement/5449887-multi-nocrit/objets", "link")</f>
        <v/>
      </c>
      <c r="C23655" t="n">
        <v>24</v>
      </c>
      <c r="D23655" t="inlineStr">
        <is>
          <t>Dagues Érhy; Amulette Volkorne; Anneau Pwal; Anneau Volkorne; Bouclier du Stalak; Ceinture Volkorne; Le Dorado; Cape du Chalœil; Bottes du Chalœil; Dofus Pourpre; Dofus Ocre; Dofus Vulbis; Dofus des Glaces; Féroce majeur; Robuste majeur; Gwo Tofu Ventripotent</t>
        </is>
      </c>
    </row>
    <row r="23656">
      <c r="A23656" t="inlineStr">
        <is>
          <t>Pwal Terre Feu</t>
        </is>
      </c>
      <c r="B23656">
        <f>HYPERLINK("https://www.dofusbook.net/fr/equipement/5004633-pwal-terre-feu/objets", "link")</f>
        <v/>
      </c>
      <c r="C23656" t="n">
        <v>42</v>
      </c>
      <c r="D23656" t="inlineStr">
        <is>
          <t>Dagues Érhy; Amulette Volkorne; Bague Gloursonne; Anneau Pwal; Quatre-feuilles; Ceinture Volkorne; Le Dorado; Voilamibe; Bottes du Cycloïde; Dolmanax; Dofus des Glaces; Dofus Pourpre; Nomade; Vigoureux majeur; Remueur; Cromeugnon</t>
        </is>
      </c>
    </row>
    <row r="23657">
      <c r="A23657" t="inlineStr">
        <is>
          <t>PvE Air 200</t>
        </is>
      </c>
      <c r="B23657">
        <f>HYPERLINK("https://www.dofusbook.net/fr/equipement/5091841-pve-air-200/objets", "link")</f>
        <v/>
      </c>
      <c r="C23657" t="n">
        <v>19</v>
      </c>
      <c r="D23657" t="inlineStr">
        <is>
          <t>Manthache; Collier du Valet Veinard; Alliance Gloursonne; Gant du Valet Veinard; Bouclier du Stalak; Menoture; Couronne d'Allister; Cape Indescriptible; Baleinabottes; Dofus Pourpre; Cascadeur majeur; Vigoureux majeur; Nomade; Equilibriste majeur; Remueur; Blérodoudou</t>
        </is>
      </c>
    </row>
    <row r="23658">
      <c r="A23658" t="inlineStr">
        <is>
          <t>Multi Crit 200</t>
        </is>
      </c>
      <c r="B23658">
        <f>HYPERLINK("https://www.dofusbook.net/fr/equipement/5332802-multi-crit-200/objets", "link")</f>
        <v/>
      </c>
      <c r="C23658" t="n">
        <v>12</v>
      </c>
      <c r="D23658" t="inlineStr">
        <is>
          <t>Sabres d'Atcham; Amulette du Strigide; Anneau de Padgref; Bracelet du Piloztère; Bouclier du Captain Amakna; Ceinture du Strigide; Coiffe de Padgref; Cape d'Atcham; Getas de Padgref; Dolmanax; Dofus Ocre; Dofus des Glaces; Dofus Pourpre; Dofus Turquoise; Voyageur; Kokulte</t>
        </is>
      </c>
    </row>
    <row r="23659">
      <c r="A23659" t="inlineStr">
        <is>
          <t>Volk Pad</t>
        </is>
      </c>
      <c r="B23659">
        <f>HYPERLINK("https://www.dofusbook.net/fr/equipement/5349193-volk-pad/objets", "link")</f>
        <v/>
      </c>
      <c r="C23659" t="n">
        <v>0</v>
      </c>
      <c r="D23659" t="inlineStr">
        <is>
          <t>Hache du Chalœil; Amulette Volkorne; Anneau de Padgref; Anneau Volkorne; Quatre-feuilles; Ceinture Volkorne; Coiffe de Padgref; Cape des Justiciers; Getas de Padgref; Dofus Turquoise; Dofus des Glaces; Dofus Pourpre; Puissant majeur; Kokulte</t>
        </is>
      </c>
    </row>
    <row r="23660">
      <c r="A23660" t="inlineStr">
        <is>
          <t>Multi 200</t>
        </is>
      </c>
      <c r="B23660">
        <f>HYPERLINK("https://www.dofusbook.net/fr/equipement/5340835-multi-200/objets", "link")</f>
        <v/>
      </c>
      <c r="C23660" t="n">
        <v>5</v>
      </c>
      <c r="D23660" t="inlineStr">
        <is>
          <t>Bâton Beau; Amulette du Strigide; Anneau Volkorne; Bracelet du Piloztère; Quatre-feuilles; Ceinture Volkorne; Maskrobe; Cape des Justiciers; Bottes du Chalœil; Dofus Turquoise; Dofus des Glaces; Dofus Pourpre; Remueur; Vigoureux majeur; Nomade; Kokulte</t>
        </is>
      </c>
    </row>
    <row r="23661">
      <c r="A23661" t="inlineStr">
        <is>
          <t>Stri plus plus</t>
        </is>
      </c>
      <c r="B23661">
        <f>HYPERLINK("https://www.dofusbook.net/fr/equipement/5340669-stri-plus-plus/objets", "link")</f>
        <v/>
      </c>
      <c r="C23661" t="n">
        <v>1</v>
      </c>
      <c r="D23661" t="inlineStr">
        <is>
          <t>Marteau des égarés; Amulette du Strigide; Bracelet du Piloztère; Grésilanneau; Quatre-feuilles; Ceinture du Strigide; Casque du Chalœil; Cape du Chalœil; Bottes du Strigide; Dofus Pourpre; Dofus des Glaces; Dolmanax; Dofus Turquoise; Dofus Ocre; Voyageur; Kokulte</t>
        </is>
      </c>
    </row>
    <row r="23662">
      <c r="A23662" t="inlineStr">
        <is>
          <t>Multi Crit 200 c</t>
        </is>
      </c>
      <c r="B23662">
        <f>HYPERLINK("https://www.dofusbook.net/fr/equipement/5337004-multi-crit-200-c/objets", "link")</f>
        <v/>
      </c>
      <c r="C23662" t="n">
        <v>3</v>
      </c>
      <c r="D23662" t="inlineStr">
        <is>
          <t>Sabres d'Atcham; Amulette du Strigide; Bracelet du Piloztère; Anneau de Padgref; Quatre-feuilles; Ceintacé; Casque du Chalœil; Cape d'Ogivol; Bottes du Strigide; Dofus Turquoise; Dofus des Glaces; Dofus Pourpre; Nomade; Remueur; Vigoureux majeur; Kokulte</t>
        </is>
      </c>
    </row>
    <row r="23663">
      <c r="A23663" t="inlineStr">
        <is>
          <t>Eau Feu Crit</t>
        </is>
      </c>
      <c r="B23663">
        <f>HYPERLINK("https://www.dofusbook.net/fr/equipement/5304890-eau-feu-crit/objets", "link")</f>
        <v/>
      </c>
      <c r="C23663" t="n">
        <v>5</v>
      </c>
      <c r="D23663" t="inlineStr">
        <is>
          <t>Arc Nécrotique; Amulette Volkorne; Anneau Tique; Anneau Volkorne; Quatre-feuilles; Ceinture Volkorne; Kidibonnet; Cape de la Dame du Hasard; Bottes de la Dame du Hasard; Dofus des Glaces; Dofus Turquoise; Dofus Ocre; Dofus Pourpre; Kokulte</t>
        </is>
      </c>
    </row>
    <row r="23664">
      <c r="A23664" t="inlineStr">
        <is>
          <t>Multi Crit 200</t>
        </is>
      </c>
      <c r="B23664">
        <f>HYPERLINK("https://www.dofusbook.net/fr/equipement/5070446-multi-crit-200/objets", "link")</f>
        <v/>
      </c>
      <c r="C23664" t="n">
        <v>32</v>
      </c>
      <c r="D23664" t="inlineStr">
        <is>
          <t>Hache du Chalœil; Amulette du Strigide; Anneau de Padgref; Bracelet du Piloztère; Quatre-feuilles; Ceintacé; Casque du Chalœil; Cape des Malveilleurs; Bottes du Strigide; Dofus Turquoise; Dofus des Glaces; Dofus Pourpre; Vigoureux majeur; Remueur; Nomade; Kokulte</t>
        </is>
      </c>
    </row>
    <row r="23665">
      <c r="A23665" t="inlineStr">
        <is>
          <t>Pwal Terre Air</t>
        </is>
      </c>
      <c r="B23665">
        <f>HYPERLINK("https://www.dofusbook.net/fr/equipement/5075972-pwal-terre-air/objets", "link")</f>
        <v/>
      </c>
      <c r="C23665" t="n">
        <v>37</v>
      </c>
      <c r="D23665" t="inlineStr">
        <is>
          <t>Hache Ériphe; Kralamansion; Bracelet du Piloztère; Anneau Pwal; Quatre-feuilles; Ceinture Volkorne; Casque Volkorne; Cape au Logis; Baleinabottes; Dofus Pourpre; Dofus Turquoise; Vigoureux majeur; Remueur; Cascadeur majeur; Enragé majeur; Mékrabe</t>
        </is>
      </c>
    </row>
    <row r="23666">
      <c r="A23666" t="inlineStr">
        <is>
          <t>Terre 200</t>
        </is>
      </c>
      <c r="B23666">
        <f>HYPERLINK("https://www.dofusbook.net/fr/equipement/5102681-terre-200/objets", "link")</f>
        <v/>
      </c>
      <c r="C23666" t="n">
        <v>0</v>
      </c>
      <c r="D23666" t="inlineStr">
        <is>
          <t>Arc du Chalœil; Amulette Héroclite; Anneau de Brouce; Anneau du Comte Harebourg; Quatre-feuilles; Ceinture de Brouce; Coiffe du Comte Harebourg; Cape au Logis; Bottes de Brouce; Dofus des Glaces; Dofus Ocre; Dofus Turquoise; Dofus Pourpre; Forcené majeur; Furibond majeur; Bulbisou</t>
        </is>
      </c>
    </row>
    <row r="23667">
      <c r="A23667" t="inlineStr">
        <is>
          <t>Terre 200</t>
        </is>
      </c>
      <c r="B23667">
        <f>HYPERLINK("https://www.dofusbook.net/fr/equipement/5102666-terre-200/objets", "link")</f>
        <v/>
      </c>
      <c r="C23667" t="n">
        <v>2</v>
      </c>
      <c r="D23667" t="inlineStr">
        <is>
          <t>Arc du Chalœil; Amulette du Cœur Saignant; Anneau de Brouce; Anneau du Comte Harebourg; Bouclier du Captain Amakna; Ceinture de Brouce; Coiffe du Comte Harebourg; Cape au Logis; Bottes de Brouce; Dofus Pourpre; Dofus des Glaces; Dofus Ocre; Dofus Turquoise; Furibond majeur; Forcené majeur; Bulbisou</t>
        </is>
      </c>
    </row>
    <row r="23668">
      <c r="A23668" t="inlineStr">
        <is>
          <t>Sadida F 200</t>
        </is>
      </c>
      <c r="B23668">
        <f>HYPERLINK("https://www.dofusbook.net/fr/equipement/5102624-sadida-f-200/objets", "link")</f>
        <v/>
      </c>
      <c r="C23668" t="n">
        <v>0</v>
      </c>
      <c r="D23668" t="inlineStr">
        <is>
          <t>Arc du Chalœil; Kralamansion; Anneau Pwal; Bracelet du Piloztère; Quatre-feuilles; Ceinture Volkorne; Masque de Koutoulou; Cape au Logis; Bottes de Brouce; Dofus Pourpre; Dofus Turquoise; Enragé majeur; Remueur; Vigoureux majeur; Bulbisou</t>
        </is>
      </c>
    </row>
    <row r="23669">
      <c r="A23669" t="inlineStr">
        <is>
          <t>Sadida F 200</t>
        </is>
      </c>
      <c r="B23669">
        <f>HYPERLINK("https://www.dofusbook.net/fr/equipement/5102552-sadida-f-200/objets", "link")</f>
        <v/>
      </c>
      <c r="C23669" t="n">
        <v>0</v>
      </c>
      <c r="D23669" t="inlineStr">
        <is>
          <t>Arc du Chalœil; Collier de Tourthon; Anneau du Comte Harebourg; Anneau Pwal; Quatre-feuilles; Ceinture Volkorne; Coiffe du Comte Harebourg; Cape au Logis; Bottes de Brouce; Dofus Pourpre; Dofus Turquoise; Enragé majeur; Nomade; Remueur; Vigoureux majeur; Bulbisou</t>
        </is>
      </c>
    </row>
    <row r="23670">
      <c r="A23670" t="inlineStr">
        <is>
          <t>Sadida F 200</t>
        </is>
      </c>
      <c r="B23670">
        <f>HYPERLINK("https://www.dofusbook.net/fr/equipement/5102180-sadida-f-200/objets", "link")</f>
        <v/>
      </c>
      <c r="C23670" t="n">
        <v>4</v>
      </c>
      <c r="D23670" t="inlineStr">
        <is>
          <t>Épée Brûlâme; Amulette Volkorne; Bracelet du Piloztère; Anneau Volkorne; Quatre-feuilles; Ceinture Volkorne; Casquette de Meno; Cape de Meno; Bottes de Meno; Dofus Pourpre; Dolmanax; Dofus Turquoise; Dofus Ocre; Dofus des Glaces; Muldo Prune et Emeraude</t>
        </is>
      </c>
    </row>
    <row r="23671">
      <c r="A23671" t="inlineStr">
        <is>
          <t>Stuff 2</t>
        </is>
      </c>
      <c r="B23671">
        <f>HYPERLINK("https://www.dofusbook.net/fr/equipement/92236-stuff-2/objets", "link")</f>
        <v/>
      </c>
      <c r="C23671" t="n">
        <v>2</v>
      </c>
      <c r="D23671" t="inlineStr">
        <is>
          <t>Hache du Chalœil; Amulette du Strigide; Alliance Gloursonne; Anneau Tique; Ceintacé; Casque du Chalœil; Voile d'encre; Bottes du Chalœil; Dofus Pourpre; Dofus des Glaces; Dofus Turquoise; Nomade; Remueur; Vigoureux majeur; Kramkram</t>
        </is>
      </c>
    </row>
    <row r="23672">
      <c r="A23672" t="inlineStr">
        <is>
          <t>Terre Air Pwal PvP</t>
        </is>
      </c>
      <c r="B23672">
        <f>HYPERLINK("https://www.dofusbook.net/fr/equipement/5064321-terre-air-pwal-pvp/objets", "link")</f>
        <v/>
      </c>
      <c r="C23672" t="n">
        <v>3</v>
      </c>
      <c r="D23672" t="inlineStr">
        <is>
          <t>Dagues Érhy; Amulette Ementaire Deluxe; Anneau des égarés; Anneau Pwal; Bouclier du Stalak; Ceinture Volkorne; Casque Volkorne; Cape du Kamasterisk; Baleinabottes; Dofus Pourpre; Vigoureux majeur; Remueur; Robuste majeur; Nomade; Enragé majeur; Dragodinde Ivoire et Pourpre</t>
        </is>
      </c>
    </row>
    <row r="23673">
      <c r="A23673" t="inlineStr">
        <is>
          <t>Nulti DoCrit 200</t>
        </is>
      </c>
      <c r="B23673">
        <f>HYPERLINK("https://www.dofusbook.net/fr/equipement/5069196-nulti-docrit-200/objets", "link")</f>
        <v/>
      </c>
      <c r="C23673" t="n">
        <v>13</v>
      </c>
      <c r="D23673" t="inlineStr">
        <is>
          <t>Amulette du Strigide; Bracelet du Piloztère; Alliance de Missiz Frizz; Quatre-feuilles; Ceintacé; Maskrobe; Cape des Justiciers; Bottes du Strigide; Dofus Turquoise; Dofus Pourpre; Nomade; Vigoureux majeur; Kokulte</t>
        </is>
      </c>
    </row>
    <row r="23674">
      <c r="A23674" t="inlineStr">
        <is>
          <t>striglourfuji</t>
        </is>
      </c>
      <c r="B23674">
        <f>HYPERLINK("https://www.dofusbook.net/fr/equipement/5051040-striglourfuji/objets", "link")</f>
        <v/>
      </c>
      <c r="C23674" t="n">
        <v>0</v>
      </c>
      <c r="D23674" t="inlineStr">
        <is>
          <t>Epée Gloursonne; Amulette du Strigide; Bague Gloursonne; Alliance Gloursonne; Ceinture du Strigide; Coiffe de la Fuji Givrefoux; Cape de la Fuji Givrefoux; Bottes du Strigide; Dofus Ocre; Dofus Pourpre; Dofus Turquoise</t>
        </is>
      </c>
    </row>
    <row r="23675">
      <c r="A23675" t="inlineStr">
        <is>
          <t>Stuff 3</t>
        </is>
      </c>
      <c r="B23675">
        <f>HYPERLINK("https://www.dofusbook.net/fr/equipement/92240-stuff-3/objets", "link")</f>
        <v/>
      </c>
      <c r="C23675" t="n">
        <v>0</v>
      </c>
      <c r="D23675" t="inlineStr">
        <is>
          <t>Pelle de la Cour Sombre; Amibou; Anneau d'Allister; Alliance Gloursonne; Ceinture de Klime; Couronne d'Allister; Voilamibe; Baleinabottes; Dofus des Glaces; Equilibriste majeur; Remueur; Cascadeur majeur; Dévastateur Air majeur; Nomade; Siroko</t>
        </is>
      </c>
    </row>
    <row r="23676">
      <c r="A23676" t="inlineStr">
        <is>
          <t>Stuff 2</t>
        </is>
      </c>
      <c r="B23676">
        <f>HYPERLINK("https://www.dofusbook.net/fr/equipement/92239-stuff-2/objets", "link")</f>
        <v/>
      </c>
      <c r="C23676" t="n">
        <v>1</v>
      </c>
      <c r="D23676" t="inlineStr">
        <is>
          <t>Arc Hétype; Amulette d'Otomaï; Gelano; Anneau Tamie; Sangle Aise; Masque du Glourséleste; Cape de Nileza; Bottes d'Otomaï; Érudit majeur; Remueur; Saccageur Feu majeur; Dévastateur Feu majeur; Miraculé majeur; Nomade; Brûlih</t>
        </is>
      </c>
    </row>
    <row r="23677">
      <c r="A23677" t="inlineStr">
        <is>
          <t>Stuff 1</t>
        </is>
      </c>
      <c r="B23677">
        <f>HYPERLINK("https://www.dofusbook.net/fr/equipement/92238-stuff-1/objets", "link")</f>
        <v/>
      </c>
      <c r="C23677" t="n">
        <v>0</v>
      </c>
      <c r="D23677" t="inlineStr">
        <is>
          <t>Arc Hétype; Amulette d'Otomaï; Bague Gloursonne; Anneau Tamie; Sangle Aise; Coiffe Séculaire; Cape de Nileza; Bottes d'Otomaï; Saccageur Feu majeur; Dévastateur Feu majeur; Remueur; Nomade; Savant majeur; Érudit majeur; Brûlih</t>
        </is>
      </c>
    </row>
    <row r="23678">
      <c r="A23678" t="inlineStr">
        <is>
          <t>Stuff 3</t>
        </is>
      </c>
      <c r="B23678">
        <f>HYPERLINK("https://www.dofusbook.net/fr/equipement/92234-stuff-3/objets", "link")</f>
        <v/>
      </c>
      <c r="C23678" t="n">
        <v>3</v>
      </c>
      <c r="D23678" t="inlineStr">
        <is>
          <t>Epée Loponèze; Amulette Cryochrone; Bracelet du Piloztère; Alliance Gloursonne; Sangle Ouare; Kidibonnet; Cape Matelassée; Bottes du Sinistrofu; Fonceur majeur; Chanceux majeur; Miraculé majeur; Vigoureux majeur; Remueur</t>
        </is>
      </c>
    </row>
    <row r="23679">
      <c r="A23679" t="inlineStr">
        <is>
          <t>Stuff 1</t>
        </is>
      </c>
      <c r="B23679">
        <f>HYPERLINK("https://www.dofusbook.net/fr/equipement/92232-stuff-1/objets", "link")</f>
        <v/>
      </c>
      <c r="C23679" t="n">
        <v>2</v>
      </c>
      <c r="D23679" t="inlineStr">
        <is>
          <t>Bêche Asse; Amulette du Nocturlabe; Bracelet du Piloztère; Anneau de Brouce; Ceinture de la Reine des Voleurs; Coiffe de la Reine des Voleurs; Cape au Logis; Baleinabottes; Dofus Pourpre; Dévastateur Terre majeur; Vigoureux majeur; Nomade; Enragé majeur; Remueur; Kompost</t>
        </is>
      </c>
    </row>
    <row r="23680">
      <c r="A23680" t="inlineStr">
        <is>
          <t>Stuff 2</t>
        </is>
      </c>
      <c r="B23680">
        <f>HYPERLINK("https://www.dofusbook.net/fr/equipement/92233-stuff-2/objets", "link")</f>
        <v/>
      </c>
      <c r="C23680" t="n">
        <v>2</v>
      </c>
      <c r="D23680" t="inlineStr">
        <is>
          <t>Arc Hétype; Amulette Cryochrone; Anneau Tamie; Anneau Tique; Ceinture Hyolite; Calotte Spot; Voile d'encre; Pataugastrique; Érudit majeur; Fonceur majeur; Nomade; Obstructeur majeur; Remueur; Croum</t>
        </is>
      </c>
    </row>
    <row r="23681">
      <c r="A23681" t="inlineStr">
        <is>
          <t>Stuff 1</t>
        </is>
      </c>
      <c r="B23681">
        <f>HYPERLINK("https://www.dofusbook.net/fr/equipement/92199-stuff-1/objets", "link")</f>
        <v/>
      </c>
      <c r="C23681" t="n">
        <v>0</v>
      </c>
      <c r="D23681" t="inlineStr">
        <is>
          <t>Dagues Érhy; Amulette du Strigide; Anneau de Nidas; Bracelet du Piloztère; Ceintacé; Couronne du Roi Joueur; Voile d'encre; Bottes du Strigide; Dofus Pourpre; Temporiseur majeur; Remueur; Nomade; Kramkram</t>
        </is>
      </c>
    </row>
    <row r="23682">
      <c r="A23682" t="inlineStr">
        <is>
          <t>Stuff 3</t>
        </is>
      </c>
      <c r="B23682">
        <f>HYPERLINK("https://www.dofusbook.net/fr/equipement/92201-stuff-3/objets", "link")</f>
        <v/>
      </c>
      <c r="C23682" t="n">
        <v>0</v>
      </c>
      <c r="D23682" t="inlineStr">
        <is>
          <t>Dagues Érhy; Amulette du Strigide; Anneau de Pol Ouatnos; Alliance Gloursonne; Ceinture de Gein; Chapeau de Gein; Voile d'encre; Baleinabottes; Dofus Pourpre; Vigoureux majeur; Remueur; Sanguinaire majeur; Temporiseur majeur; Nomade; Kramkram</t>
        </is>
      </c>
    </row>
    <row r="23683">
      <c r="A23683" t="inlineStr">
        <is>
          <t>Stuff 3</t>
        </is>
      </c>
      <c r="B23683">
        <f>HYPERLINK("https://www.dofusbook.net/fr/equipement/92259-stuff-3/objets", "link")</f>
        <v/>
      </c>
      <c r="C23683" t="n">
        <v>1</v>
      </c>
      <c r="D23683" t="inlineStr">
        <is>
          <t>Dagues Érhy; Amulette du Strigide; Bague Gloursonne; Anneau du Comte Harebourg; Ceinture du Strigide; Casque de Missiz Frizz; Cape du Professeur Xa; Bottes du Cycloïde; Dofus Pourpre; Dofus Turquoise; Nomade; Remueur; Vigoureux majeur; Turbulent</t>
        </is>
      </c>
    </row>
    <row r="23684">
      <c r="A23684" t="inlineStr">
        <is>
          <t>Stuff 2</t>
        </is>
      </c>
      <c r="B23684">
        <f>HYPERLINK("https://www.dofusbook.net/fr/equipement/92258-stuff-2/objets", "link")</f>
        <v/>
      </c>
      <c r="C23684" t="n">
        <v>1</v>
      </c>
      <c r="D23684" t="inlineStr">
        <is>
          <t>Dagues Érhy; Amulette du Strigide; Chevalière du Roi Joueur; Bague Gloursonne; Ceinture du Strigide; Casque de Missiz Frizz; Cape du Professeur Xa; Bottes du Katcheur; Dofus Ocre; Dofus Pourpre; Dofus Turquoise; Vigoureux majeur; Nomade; Remueur; Kramkram</t>
        </is>
      </c>
    </row>
    <row r="23685">
      <c r="A23685" t="inlineStr">
        <is>
          <t>Stuff 1</t>
        </is>
      </c>
      <c r="B23685">
        <f>HYPERLINK("https://www.dofusbook.net/fr/equipement/92257-stuff-1/objets", "link")</f>
        <v/>
      </c>
      <c r="C23685" t="n">
        <v>2</v>
      </c>
      <c r="D23685" t="inlineStr">
        <is>
          <t>Dagues Érhy; Amulette du Strigide; Chevalière du Roi Joueur; Bague Gloursonne; Ceinture du Strigide; Bonnet Ko; Cape de la Fuji Givrefoux; Bottes du Katcheur; Dofus Ocre; Dofus Pourpre; Dofus Turquoise; Vigoureux majeur; Nomade; Remueur; Kramkram</t>
        </is>
      </c>
    </row>
    <row r="23686">
      <c r="A23686" t="inlineStr">
        <is>
          <t>Stuff 1</t>
        </is>
      </c>
      <c r="B23686">
        <f>HYPERLINK("https://www.dofusbook.net/fr/equipement/92196-stuff-1/objets", "link")</f>
        <v/>
      </c>
      <c r="C23686" t="n">
        <v>0</v>
      </c>
      <c r="D23686" t="inlineStr">
        <is>
          <t>Baguette Hernelle; Amulette Séculaire; Kralano; Anneau de Padgref; Ceinture Séculaire; Coiffe de Padgref; Cape Lati; Getas de Padgref; Dofus Turquoise; Dofus Cawotte; Soigneur majeur; Savant majeur; Voyageur; Docteur majeur</t>
        </is>
      </c>
    </row>
    <row r="23687">
      <c r="A23687" t="inlineStr">
        <is>
          <t>Stuff 2</t>
        </is>
      </c>
      <c r="B23687">
        <f>HYPERLINK("https://www.dofusbook.net/fr/equipement/92197-stuff-2/objets", "link")</f>
        <v/>
      </c>
      <c r="C23687" t="n">
        <v>0</v>
      </c>
      <c r="D23687" t="inlineStr">
        <is>
          <t>Baguette Hernelle; Amulette d'Otomaï; Anneau de Padgref; Kralano; Ceinture Séculaire; Coiffe Séculaire; Cape de Nileza; Pantoufles Émar; Dofus Turquoise; Érudit majeur; Nomade; Remueur; Guérisseur majeur</t>
        </is>
      </c>
    </row>
    <row r="23688">
      <c r="A23688" t="inlineStr">
        <is>
          <t>Stuff 3</t>
        </is>
      </c>
      <c r="B23688">
        <f>HYPERLINK("https://www.dofusbook.net/fr/equipement/92198-stuff-3/objets", "link")</f>
        <v/>
      </c>
      <c r="C23688" t="n">
        <v>0</v>
      </c>
      <c r="D23688" t="inlineStr">
        <is>
          <t>Sabres d'Atcham; Talisman Igans; Anneau Tique; Alliance Gloursonne; Ceinture de Vortex; Couronne de Nidas; Cape d'Atcham; Pataugastrique; Dolmanax; Dofus Pourpre; Remueur; Vigoureux majeur; Nomade; Kramkram</t>
        </is>
      </c>
    </row>
    <row r="23689">
      <c r="A23689" t="inlineStr">
        <is>
          <t>Feu Air</t>
        </is>
      </c>
      <c r="B23689">
        <f>HYPERLINK("https://www.dofusbook.net/fr/equipement/5049802-feu-air/objets", "link")</f>
        <v/>
      </c>
      <c r="C23689" t="n">
        <v>0</v>
      </c>
      <c r="D23689" t="inlineStr">
        <is>
          <t>Marteau Phossile; Pendentif mignon de Koutoulou; Kralano; Anneau de Padgref; Ceinture Séculaire; Casque Cyclopéen; Cape de Diondin; Pantoufles Émar; Dofus Pourpre; Guérisseur majeur; Nomade; Érudit majeur; Remueur; Brûlih</t>
        </is>
      </c>
    </row>
    <row r="23690">
      <c r="A23690" t="inlineStr">
        <is>
          <t>erfe</t>
        </is>
      </c>
      <c r="B23690">
        <f>HYPERLINK("https://www.dofusbook.net/fr/equipement/5036146-erfe/objets", "link")</f>
        <v/>
      </c>
      <c r="C23690" t="n">
        <v>1</v>
      </c>
      <c r="D23690" t="inlineStr">
        <is>
          <t>Arc Honte; Anneau de Nidas; Anneau de Padgref; Bouclier cubiste; Couronne de Nidas; Pantoufles Émar; Dofus Ocre; Dofus Pourpre; Dofus des Glaces; Gwo Tofu Ventripotent</t>
        </is>
      </c>
    </row>
    <row r="23691">
      <c r="A23691" t="inlineStr">
        <is>
          <t>Stri.Chal.Dorado.cri</t>
        </is>
      </c>
      <c r="B23691">
        <f>HYPERLINK("https://www.dofusbook.net/fr/equipement/785222-stri-chal-dorado-cri/objets", "link")</f>
        <v/>
      </c>
      <c r="C23691" t="n">
        <v>5</v>
      </c>
      <c r="D23691" t="inlineStr">
        <is>
          <t>Hache du Chalœil; Kralamansion; Pikano; Bracelet du Piloztère; Quatre-feuilles; Ceinture du Strigide; Le Dorado; Cape de Meno; Bottes du Strigide; Dofus des Glaces; Dofus Pourpre; Dofus Turquoise; Vigoureux majeur; Nomade; Remueur; Dragodinde Emeraude et Ivoire</t>
        </is>
      </c>
    </row>
    <row r="23692">
      <c r="A23692" t="inlineStr">
        <is>
          <t>Malé</t>
        </is>
      </c>
      <c r="B23692">
        <f>HYPERLINK("https://www.dofusbook.net/fr/equipement/5022296-male/objets", "link")</f>
        <v/>
      </c>
      <c r="C23692" t="n">
        <v>0</v>
      </c>
      <c r="D23692" t="inlineStr">
        <is>
          <t>Arc Honte; Amulette de l'Indicible; Alliance Gloursonne; Bague Gloursonne; Bouclier du Stalak; Ceinture de l'Indicible; Capuche de l'Œil Putride; Cape de l'Œil Putride; Bottes de l'Indicible; Dofus Ocre; Dolmanax; Dofus Ébène; Dofus des Glaces; Dofus Pourpre; Voyageur</t>
        </is>
      </c>
    </row>
    <row r="23693">
      <c r="A23693" t="inlineStr">
        <is>
          <t>Volk Lévi Hachal</t>
        </is>
      </c>
      <c r="B23693">
        <f>HYPERLINK("https://www.dofusbook.net/fr/equipement/5020570-volk-levi-hachal/objets", "link")</f>
        <v/>
      </c>
      <c r="C23693" t="n">
        <v>0</v>
      </c>
      <c r="D23693" t="inlineStr">
        <is>
          <t>Hache du Chalœil; Amulette Volkorne; Anneau Volkorne; Alliance du Lévitrof; Quatre-feuilles; Ceinture Volkorne; Coiffe du Lévitrof; Cape Peupret; Bottes du Lévitrof; Dofus Ocre; Dofus des Glaces; Dofus Turquoise; Dolmanax; Dofus Pourpre; Sakochère</t>
        </is>
      </c>
    </row>
    <row r="23694">
      <c r="A23694" t="inlineStr">
        <is>
          <t>Pwaal</t>
        </is>
      </c>
      <c r="B23694">
        <f>HYPERLINK("https://www.dofusbook.net/fr/equipement/5005313-pwaal/objets", "link")</f>
        <v/>
      </c>
      <c r="C23694" t="n">
        <v>0</v>
      </c>
      <c r="D23694" t="inlineStr">
        <is>
          <t>Dagues Érhy; Kralamansion; Bague Gloursonne; Anneau Pwal; Quatre-feuilles; Ceinture du Strigide; Le Dorado; Voile d'encre; Bottes du Strigide; Dolmanax; Dofus des Glaces; Dofus Pourpre; Vigoureux majeur</t>
        </is>
      </c>
    </row>
    <row r="23695">
      <c r="A23695" t="inlineStr">
        <is>
          <t>Aurore</t>
        </is>
      </c>
      <c r="B23695">
        <f>HYPERLINK("https://www.dofusbook.net/fr/equipement/2236780-aurore/objets", "link")</f>
        <v/>
      </c>
      <c r="C23695" t="n">
        <v>0</v>
      </c>
      <c r="D23695" t="inlineStr">
        <is>
          <t>Dagues Érhy; Amulette du Strigide; Alliance de Missiz Frizz; Bague Gloursonne; Bouclier Taverne; Ceinture du Strigide; Casque de Missiz Frizz; Cape du Professeur Xa; Bottes du Strigide; Dofus des Glaces; Dofus Pourpre; Dofus Ocre; Dofus Turquoise; Muldo Doré</t>
        </is>
      </c>
    </row>
    <row r="23696">
      <c r="A23696" t="inlineStr">
        <is>
          <t>Full rall</t>
        </is>
      </c>
      <c r="B23696">
        <f>HYPERLINK("https://www.dofusbook.net/fr/equipement/2111804-full-rall/objets", "link")</f>
        <v/>
      </c>
      <c r="C23696" t="n">
        <v>0</v>
      </c>
      <c r="D23696" t="inlineStr">
        <is>
          <t>Arc Hétype; Amulette du Glourséleste; Pikano; Anneau Tamie; Bouclier cubiste; Ceinture Instable; Casquipik; Cape de Léthaline; Pantoufles Émar; Entraveur; Entraveur majeur; Temporiseur; Temporiseur majeur; Ralentisseur majeur; Remueur; Kwaltess</t>
        </is>
      </c>
    </row>
    <row r="23697">
      <c r="A23697" t="inlineStr">
        <is>
          <t>RdV.Glour_</t>
        </is>
      </c>
      <c r="B23697">
        <f>HYPERLINK("https://www.dofusbook.net/fr/equipement/1406212-rdv-glour-/objets", "link")</f>
        <v/>
      </c>
      <c r="C23697" t="n">
        <v>0</v>
      </c>
      <c r="D23697" t="inlineStr">
        <is>
          <t>Epée Gloursonne; Bague Gloursonne; Alliance Gloursonne; Ceinture de la Reine des Voleurs; Coiffe de la Reine des Voleurs; Bottes de la Reine des Voleurs; Dofus Émeraude; Dofus Pourpre; Dofus Ocre; Dofus Turquoise</t>
        </is>
      </c>
    </row>
    <row r="23698">
      <c r="A23698" t="inlineStr">
        <is>
          <t>Stri.Glour.Anerice</t>
        </is>
      </c>
      <c r="B23698">
        <f>HYPERLINK("https://www.dofusbook.net/fr/equipement/1399694-stri-glour-anerice/objets", "link")</f>
        <v/>
      </c>
      <c r="C23698" t="n">
        <v>0</v>
      </c>
      <c r="D23698" t="inlineStr">
        <is>
          <t>Epée Gloursonne; Amulette du Strigide; Alliance Gloursonne; Bague Gloursonne; Bouclier Taverne; Ceinture du Strigide; Masque d'Anerice; Cape d'Anerice; Bottes du Strigide; Dofus Ocre; Dofus Turquoise; Dofus Pourpre; Dofus Émeraude; Puissant majeur; Survivant majeur; Muldo Roux et Emeraude</t>
        </is>
      </c>
    </row>
    <row r="23699">
      <c r="A23699" t="inlineStr">
        <is>
          <t>Trithon.Lumi_</t>
        </is>
      </c>
      <c r="B23699">
        <f>HYPERLINK("https://www.dofusbook.net/fr/equipement/1403867-trithon-lumi-/objets", "link")</f>
        <v/>
      </c>
      <c r="C23699" t="n">
        <v>0</v>
      </c>
      <c r="D23699" t="inlineStr">
        <is>
          <t>Épouvante; Amulette Luminescente; Bague Trithon; Bracelet du Piloztère; Ceinture Luminescente; Masque Trithon; Cape Luminescente; Bottes Trithon; Dofus Émeraude; Dofus Turquoise; Dofus Pourpre</t>
        </is>
      </c>
    </row>
    <row r="23700">
      <c r="A23700" t="inlineStr">
        <is>
          <t>Stri.Glour.Noctu</t>
        </is>
      </c>
      <c r="B23700">
        <f>HYPERLINK("https://www.dofusbook.net/fr/equipement/1403806-stri-glour-noctu/objets", "link")</f>
        <v/>
      </c>
      <c r="C23700" t="n">
        <v>0</v>
      </c>
      <c r="D23700" t="inlineStr">
        <is>
          <t>Epée Gloursonne; Amulette du Nocturlabe; Bague Gloursonne; Alliance Gloursonne; Bouclier d'Anerice; Ceinture du Nocturlabe; Masque d'Anerice; Cape d'Anerice; Bottes du Nocturlabe; Dofus Émeraude; Dofus Turquoise; Dofus Pourpre; Muldo Roux et Doré</t>
        </is>
      </c>
    </row>
    <row r="23701">
      <c r="A23701" t="inlineStr">
        <is>
          <t>Anerice_</t>
        </is>
      </c>
      <c r="B23701">
        <f>HYPERLINK("https://www.dofusbook.net/fr/equipement/1369254-anerice-/objets", "link")</f>
        <v/>
      </c>
      <c r="C23701" t="n">
        <v>0</v>
      </c>
      <c r="D23701" t="inlineStr">
        <is>
          <t>Bague Trithon; Alliance Gloursonne; Bouclier d'Anerice; Ceintacé; Boucle d'oreille de Kongoku; Cape d'Anerice; Bottes des Malveilleurs; Dofus Émeraude; Dofus Turquoise; Remueur; Nomade</t>
        </is>
      </c>
    </row>
    <row r="23702">
      <c r="A23702" t="inlineStr">
        <is>
          <t>Anerice.XLII_</t>
        </is>
      </c>
      <c r="B23702">
        <f>HYPERLINK("https://www.dofusbook.net/fr/equipement/1369243-anerice-xlii-/objets", "link")</f>
        <v/>
      </c>
      <c r="C23702" t="n">
        <v>0</v>
      </c>
      <c r="D23702" t="inlineStr">
        <is>
          <t>Anneau de XLII; Bouclier d'Anerice; Ceinture de XLII; Masque d'Anerice; Cape d'Anerice; Bottes de XLII; Dofus Émeraude; Dofus Turquoise</t>
        </is>
      </c>
    </row>
    <row r="23703">
      <c r="A23703" t="inlineStr">
        <is>
          <t>Malve</t>
        </is>
      </c>
      <c r="B23703">
        <f>HYPERLINK("https://www.dofusbook.net/fr/equipement/1366527-malve/objets", "link")</f>
        <v/>
      </c>
      <c r="C23703" t="n">
        <v>0</v>
      </c>
      <c r="D23703" t="inlineStr">
        <is>
          <t>Amulette du Strigide; Bague Trithon; Alliance Gloursonne; Bouclier Taverne; Ceintacé; Chapeau des Malveilleurs; Cape des Malveilleurs; Bottes des Malveilleurs; Dofus Émeraude; Dofus Turquoise; Miraculé majeur; Nomade; Remueur</t>
        </is>
      </c>
    </row>
    <row r="23704">
      <c r="A23704" t="inlineStr">
        <is>
          <t>Oere Daupoux</t>
        </is>
      </c>
      <c r="B23704">
        <f>HYPERLINK("https://www.dofusbook.net/fr/equipement/1366495-oere-daupoux/objets", "link")</f>
        <v/>
      </c>
      <c r="C23704" t="n">
        <v>0</v>
      </c>
      <c r="D23704" t="inlineStr">
        <is>
          <t>Marteau des Anciens Steamers; Talisman Glouti; Alliance Gloursonne; Bague Trithon; Bouclier Taverne; Ceintacé; Kidibonnet; Cape des Malveilleurs; Bottes Trithon; Dofus Turquoise; Dofus Émeraude; Remueur; Culbuteur majeur; Miraculé majeur; Nomade</t>
        </is>
      </c>
    </row>
    <row r="23705">
      <c r="A23705" t="inlineStr">
        <is>
          <t>Tank Abys.XLII</t>
        </is>
      </c>
      <c r="B23705">
        <f>HYPERLINK("https://www.dofusbook.net/fr/equipement/1278212-tank-abys-xlii/objets", "link")</f>
        <v/>
      </c>
      <c r="C23705" t="n">
        <v>0</v>
      </c>
      <c r="D23705" t="inlineStr">
        <is>
          <t>Manthache; Talisman Glouti; Anneau de XLII; Anneau Tique; Bouclier précieux; Ceinture de XLII; Dorabysses; Cape Indescriptible; Bottes de XLII; Dofus Émeraude; Dofus Turquoise; Dofus Ocre; Dofus Pourpre; Survivant majeur; Dragodinde Emeraude et Rousse</t>
        </is>
      </c>
    </row>
    <row r="23706">
      <c r="A23706" t="inlineStr">
        <is>
          <t>Tank Aermyne.Stri</t>
        </is>
      </c>
      <c r="B23706">
        <f>HYPERLINK("https://www.dofusbook.net/fr/equipement/92218-tank-aermyne-stri/objets", "link")</f>
        <v/>
      </c>
      <c r="C23706" t="n">
        <v>0</v>
      </c>
      <c r="D23706" t="inlineStr">
        <is>
          <t>Rouleau à Pâtisserie d'Aermyne; Amulette du Strigide; Anneau de Pol Ouatnos; Bague Trithon; Bouclier précieux; Ceinture du Strigide; Coiffe d'Aermyne; Cape d'Aermyne; Bottes du Strigide; Dofus Ocre; Dofus Pourpre; Dofus Émeraude; Dofus Turquoise; Survivant majeur; Muldo Roux et Doré</t>
        </is>
      </c>
    </row>
    <row r="23707">
      <c r="A23707" t="inlineStr">
        <is>
          <t>Tank Abys.AS</t>
        </is>
      </c>
      <c r="B23707">
        <f>HYPERLINK("https://www.dofusbook.net/fr/equipement/784076-tank-abys-as/objets", "link")</f>
        <v/>
      </c>
      <c r="C23707" t="n">
        <v>0</v>
      </c>
      <c r="D23707" t="inlineStr">
        <is>
          <t>Marteau des Anciens Steamers; Talisman Glouti; Bague Trithon; Alliance Gloursonne; Ceinture du Barbétoal; Dorabysses; Cape d'Hel Munster; Pataugastrique; Dofus Pourpre; Dofus Émeraude; Miraculé majeur; Nomade; Remueur</t>
        </is>
      </c>
    </row>
    <row r="23708">
      <c r="A23708" t="inlineStr">
        <is>
          <t>Aermyne.Nocturlabe_</t>
        </is>
      </c>
      <c r="B23708">
        <f>HYPERLINK("https://www.dofusbook.net/fr/equipement/1267539-aermyne-nocturlabe-/objets", "link")</f>
        <v/>
      </c>
      <c r="C23708" t="n">
        <v>1</v>
      </c>
      <c r="D23708" t="inlineStr">
        <is>
          <t>Rouleau à Pâtisserie d'Aermyne; Amulette du Nocturlabe; Bracelet du Piloztère; Bague Trithon; Carapar; Ceinture du Nocturlabe; Coiffe d'Aermyne; Cape d'Aermyne; Bottes du Nocturlabe; Dofus des Veilleurs; Dofus Turquoise; Dofus Pourpre; Dofus Ocre; Dofus Émeraude; Muldo Roux et Doré</t>
        </is>
      </c>
    </row>
    <row r="23709">
      <c r="A23709" t="inlineStr">
        <is>
          <t>Aermyne.XLII.tnk.200</t>
        </is>
      </c>
      <c r="B23709">
        <f>HYPERLINK("https://www.dofusbook.net/fr/equipement/1267472-aermyne-xlii-tnk-200/objets", "link")</f>
        <v/>
      </c>
      <c r="C23709" t="n">
        <v>0</v>
      </c>
      <c r="D23709" t="inlineStr">
        <is>
          <t>Rouleau à Pâtisserie d'Aermyne; Amulette du Strigide; Anneau de XLII; Bague Trithon; Bouclier précieux; Ceinture de XLII; Coiffe d'Aermyne; Cape d'Aermyne; Bottes de XLII; Dofus Pourpre; Dofus des Veilleurs; Dofus Turquoise; Dofus Ocre; Dofus Émeraude; Survivant majeur; Muldo Roux et Doré</t>
        </is>
      </c>
    </row>
    <row r="23710">
      <c r="A23710" t="inlineStr">
        <is>
          <t>Stri.TalK.Korri_</t>
        </is>
      </c>
      <c r="B23710">
        <f>HYPERLINK("https://www.dofusbook.net/fr/equipement/1267058-stri-talk-korri-/objets", "link")</f>
        <v/>
      </c>
      <c r="C23710" t="n">
        <v>0</v>
      </c>
      <c r="D23710" t="inlineStr">
        <is>
          <t>Dague Adou; Amulette du Strigide; Bracelet du Piloztère; Anneau de Pol Ouatnos; Bouclier d'Asse; Ceinture du Strigide; Némès de Tal Kasha; Chevelure de Tal Kasha; Sandales de Tal Kasha; Dofus Ocre; Dofus Pourpre; Dofus Turquoise; Dofus Émeraude; Muldo Roux et Doré</t>
        </is>
      </c>
    </row>
    <row r="23711">
      <c r="A23711" t="inlineStr">
        <is>
          <t>Terreau Solo Meno</t>
        </is>
      </c>
      <c r="B23711">
        <f>HYPERLINK("https://www.dofusbook.net/fr/equipement/1249204-terreau-solo-meno/objets", "link")</f>
        <v/>
      </c>
      <c r="C23711" t="n">
        <v>0</v>
      </c>
      <c r="D23711" t="inlineStr">
        <is>
          <t>Dagues de Srambad; Amulette Luminescente; Bracelet du Piloztère; Alliance Gloursonne; Bouclier cubiste; Ceinture Luminescente; Kidibonnet; Cape Matelassée; Bottes du Strigide; Dofus Émeraude; Dofus Pourpre; Dofus des Glaces; Nomade; Entraveur majeur; Temporiseur majeur</t>
        </is>
      </c>
    </row>
    <row r="23712">
      <c r="A23712" t="inlineStr">
        <is>
          <t>Fat Pv Pool Cheap</t>
        </is>
      </c>
      <c r="B23712">
        <f>HYPERLINK("https://www.dofusbook.net/fr/equipement/1157888-fat-pv-pool-cheap/objets", "link")</f>
        <v/>
      </c>
      <c r="C23712" t="n">
        <v>0</v>
      </c>
      <c r="D23712" t="inlineStr">
        <is>
          <t>Epée Kari; Amulette du Strigide; Bracelet du Piloztère; Anneau de Pol Ouatnos; Carapar; Ceintacé; Coiffe Ranshi; Voilamibe; Bottes du Strigide; Dofus Pourpre; Dofus des Veilleurs; Dofus Turquoise; Dofus Émeraude; Miraculé majeur; Remueur; Homlett</t>
        </is>
      </c>
    </row>
    <row r="23713">
      <c r="A23713" t="inlineStr">
        <is>
          <t>Fat Pv Pool Air</t>
        </is>
      </c>
      <c r="B23713">
        <f>HYPERLINK("https://www.dofusbook.net/fr/equipement/1156955-fat-pv-pool-air/objets", "link")</f>
        <v/>
      </c>
      <c r="C23713" t="n">
        <v>0</v>
      </c>
      <c r="D23713" t="inlineStr">
        <is>
          <t>Manthache; Amulette du Strigide; Anneau Tique; Anneau Rifique; Carapar; Menoture; Dorabysses; Cape Indescriptible; Palmes Trithons; Dofus Émeraude; Dofus des Veilleurs; Dokoko; Miraculé majeur; Nomade; Remueur; Homlett</t>
        </is>
      </c>
    </row>
    <row r="23714">
      <c r="A23714" t="inlineStr">
        <is>
          <t>Fat Pv Pool Terre_</t>
        </is>
      </c>
      <c r="B23714">
        <f>HYPERLINK("https://www.dofusbook.net/fr/equipement/1155538-fat-pv-pool-terre-/objets", "link")</f>
        <v/>
      </c>
      <c r="C23714" t="n">
        <v>0</v>
      </c>
      <c r="D23714" t="inlineStr">
        <is>
          <t>Marteau R'ture; Collier de Tourthon; Bague Trithon; Anneau Crustique; Ceinture du Strigide; Masque de Koutoulou; Ankhape; Bottes du Strigide; Dofus Émeraude; Miraculé majeur; Remueur</t>
        </is>
      </c>
    </row>
    <row r="23715">
      <c r="A23715" t="inlineStr">
        <is>
          <t>Tri.Tank_</t>
        </is>
      </c>
      <c r="B23715">
        <f>HYPERLINK("https://www.dofusbook.net/fr/equipement/1109012-tri-tank-/objets", "link")</f>
        <v/>
      </c>
      <c r="C23715" t="n">
        <v>0</v>
      </c>
      <c r="D23715" t="inlineStr">
        <is>
          <t>Amulette du Strigide; Bracelet du Piloztère; Ceinture du Strigide; Cape Luminescente; Dofus Turquoise; Dofus Émeraude</t>
        </is>
      </c>
    </row>
    <row r="23716">
      <c r="A23716" t="inlineStr">
        <is>
          <t>Abys.TalK_</t>
        </is>
      </c>
      <c r="B23716">
        <f>HYPERLINK("https://www.dofusbook.net/fr/equipement/1108848-abys-talk-/objets", "link")</f>
        <v/>
      </c>
      <c r="C23716" t="n">
        <v>0</v>
      </c>
      <c r="D23716" t="inlineStr">
        <is>
          <t>Talisman Glouti; Bracelet du Piloztère; Alliance Gloursonne; Ceintacé; Dorabysses; Chevelure de Tal Kasha; Bottes Trithon; Dokoko; Dofus Pourpre; Dofus Émeraude; Dofus Turquoise</t>
        </is>
      </c>
    </row>
    <row r="23717">
      <c r="A23717" t="inlineStr">
        <is>
          <t>Nidas.Mallefisk.Drag</t>
        </is>
      </c>
      <c r="B23717">
        <f>HYPERLINK("https://www.dofusbook.net/fr/equipement/972701-nidas-mallefisk-drag/objets", "link")</f>
        <v/>
      </c>
      <c r="C23717" t="n">
        <v>0</v>
      </c>
      <c r="D23717" t="inlineStr">
        <is>
          <t>Baguette de Malléfisk; Amulette d'Otomaï; Anneau de Nidas; Anneau Tique; Bouclier cubiste; Ceinture de Gein; Casque Dragoeuf; Cape de Diondin; Tongues de Nidas; Temporiseur majeur; Érudit majeur; Carapace Neutre majeur; Guérisseur majeur; Remueur; Muldo Pourpre</t>
        </is>
      </c>
    </row>
    <row r="23718">
      <c r="A23718" t="inlineStr">
        <is>
          <t>Tyron Solo Meno</t>
        </is>
      </c>
      <c r="B23718">
        <f>HYPERLINK("https://www.dofusbook.net/fr/equipement/785250-tyron-solo-meno/objets", "link")</f>
        <v/>
      </c>
      <c r="C23718" t="n">
        <v>7</v>
      </c>
      <c r="D23718" t="inlineStr">
        <is>
          <t>Rapière aux Glyphes; Kralamansion; Alliance Gloursonne; Bracelet du Piloztère; Bouclier cubiste; Ceinture du Strigide; Chapeau Tyron; Cape Matelassée; Bottes du Strigide; Dofus Émeraude; Dofus des Glaces; Entraveur majeur; Remueur; Chanceux majeur; Temporiseur majeur; Muldo Orchidée</t>
        </is>
      </c>
    </row>
    <row r="23719">
      <c r="A23719" t="inlineStr">
        <is>
          <t>Kidibonnet Solo Meno</t>
        </is>
      </c>
      <c r="B23719">
        <f>HYPERLINK("https://www.dofusbook.net/fr/equipement/918555-kidibonnet-solo-meno/objets", "link")</f>
        <v/>
      </c>
      <c r="C23719" t="n">
        <v>0</v>
      </c>
      <c r="D23719" t="inlineStr">
        <is>
          <t>Rapière aux Glyphes; Kralamansion; Pikano; Alliance Gloursonne; Bouclier cubiste; Ceinture Glaciale; Kidibonnet; Cape de Meno; Bottes de Meno; Dofus des Glaces; Dofus Pourpre; Dofus Émeraude; Temporiseur majeur; Remueur; Chanceux majeur; Muldo Orchidée</t>
        </is>
      </c>
    </row>
    <row r="23720">
      <c r="A23720" t="inlineStr">
        <is>
          <t>Test Quartz Chassou</t>
        </is>
      </c>
      <c r="B23720">
        <f>HYPERLINK("https://www.dofusbook.net/fr/equipement/865832-test-quartz-chassou/objets", "link")</f>
        <v/>
      </c>
      <c r="C23720" t="n">
        <v>3</v>
      </c>
      <c r="D23720" t="inlineStr">
        <is>
          <t>Bâtonnet Ronien; Amulette Hale; Alliance Gloursonne; Anneau de la Fuji Givrefoux; Bouclier cubiste; Ceinture Glaciale; Binocle Airvoyant; Cape Tif; Chaussures Face; Dofus Pourpre; Dofus Ocre; Vagabond majeur; Ralentisseur majeur; Joueur majeur; Examinateur; Muldo Doré et Indigo</t>
        </is>
      </c>
    </row>
    <row r="23721">
      <c r="A23721" t="inlineStr">
        <is>
          <t>Quartz</t>
        </is>
      </c>
      <c r="B23721">
        <f>HYPERLINK("https://www.dofusbook.net/fr/equipement/799061-quartz/objets", "link")</f>
        <v/>
      </c>
      <c r="C23721" t="n">
        <v>4</v>
      </c>
      <c r="D23721" t="inlineStr">
        <is>
          <t>Bâtonnet Ronien; Racine Hueuse; Alliance Gloursonne; Anneau du Professeur Xa; Ceinture Glaciale; Binocle Airvoyant; Cape Matelassée; Pantoufles Émar; Dofus Pourpre; Vigoureux majeur; Nomade; Miraculé majeur; Remueur; Chanceux majeur; Kramkram</t>
        </is>
      </c>
    </row>
    <row r="23722">
      <c r="A23722" t="inlineStr">
        <is>
          <t>TalK.crido.ret.po</t>
        </is>
      </c>
      <c r="B23722">
        <f>HYPERLINK("https://www.dofusbook.net/fr/equipement/799179-talk-crido-ret-po/objets", "link")</f>
        <v/>
      </c>
      <c r="C23722" t="n">
        <v>4</v>
      </c>
      <c r="D23722" t="inlineStr">
        <is>
          <t>Sceptre du Roi Joueur; Amulette de Shokkoth; Alliance Gloursonne; Anneau de Padgref; Sangle Ouare; Capuche de Moum-Ra; Chevelure de Tal Kasha; Sandales de Tal Kasha; Dofus des Glaces; Dofus Turquoise; Dofus Ocre; Dofus Pourpre; Remueur; Étourdisseur majeur; Kramkram</t>
        </is>
      </c>
    </row>
    <row r="23723">
      <c r="A23723" t="inlineStr">
        <is>
          <t>Stri.degats.cri.-exo</t>
        </is>
      </c>
      <c r="B23723">
        <f>HYPERLINK("https://www.dofusbook.net/fr/equipement/798947-stri-degats-cri--exo/objets", "link")</f>
        <v/>
      </c>
      <c r="C23723" t="n">
        <v>0</v>
      </c>
      <c r="D23723" t="inlineStr">
        <is>
          <t>Dagues Érhy; Amulette du Strigide; Anneau de Padgref; Bracelet du Piloztère; Ceinture du Strigide; Solomonk; Cape au Logis; Baleinabottes; Dofus Turquoise; Dofus Ocre; Dofus Pourpre; Vigoureux majeur; Nomade; Remueur; Kramkram</t>
        </is>
      </c>
    </row>
    <row r="23724">
      <c r="A23724" t="inlineStr">
        <is>
          <t>Stri.crit.res.-po</t>
        </is>
      </c>
      <c r="B23724">
        <f>HYPERLINK("https://www.dofusbook.net/fr/equipement/799018-stri-crit-res--po/objets", "link")</f>
        <v/>
      </c>
      <c r="C23724" t="n">
        <v>0</v>
      </c>
      <c r="D23724" t="inlineStr">
        <is>
          <t>Poolache; Amulette du Strigide; Bague Gloursonne; Bracelet du Piloztère; Ceinture du Strigide; Solomonk; Voile d'encre; Sabots Minables; Dofus Pourpre; Dofus Turquoise; Enragé majeur; Carapace Terre majeur; Nomade; Remueur; Kramkram</t>
        </is>
      </c>
    </row>
    <row r="23725">
      <c r="A23725" t="inlineStr">
        <is>
          <t>Stri.crit.-exoPM</t>
        </is>
      </c>
      <c r="B23725">
        <f>HYPERLINK("https://www.dofusbook.net/fr/equipement/798945-stri-crit--exopm/objets", "link")</f>
        <v/>
      </c>
      <c r="C23725" t="n">
        <v>0</v>
      </c>
      <c r="D23725" t="inlineStr">
        <is>
          <t>Dagues Érhy; Amulette du Strigide; Bracelet du Piloztère; Bague Gloursonne; Bouclier Taverne; Ceinture du Strigide; Solomonk; Voile d'encre; Baleinabottes; Dofus Pourpre; Dofus Turquoise; Vigoureux majeur; Remueur; Enragé majeur; Nomade; Muldo Prune</t>
        </is>
      </c>
    </row>
    <row r="23726">
      <c r="A23726" t="inlineStr">
        <is>
          <t>Poulpe.ret.tac</t>
        </is>
      </c>
      <c r="B23726">
        <f>HYPERLINK("https://www.dofusbook.net/fr/equipement/799013-poulpe-ret-tac/objets", "link")</f>
        <v/>
      </c>
      <c r="C23726" t="n">
        <v>1</v>
      </c>
      <c r="D23726" t="inlineStr">
        <is>
          <t>Pelle de la Cour Sombre; Amulette de Pol Ouatnos; Anneau Crustique; Alliance Gloursonne; Ceintouse; Chapoulpe; Cape de la Cour Sombre; Baleinabottes; Dofus Pourpre; Dofus Turquoise; Enragé majeur; Étourdisseur majeur; Remueur; Vigoureux majeur; Kramkram</t>
        </is>
      </c>
    </row>
    <row r="23727">
      <c r="A23727" t="inlineStr">
        <is>
          <t>Pad.crit.po.-exo</t>
        </is>
      </c>
      <c r="B23727">
        <f>HYPERLINK("https://www.dofusbook.net/fr/equipement/798941-pad-crit-po--exo/objets", "link")</f>
        <v/>
      </c>
      <c r="C23727" t="n">
        <v>0</v>
      </c>
      <c r="D23727" t="inlineStr">
        <is>
          <t>Dagues Érhy; Amulette du Strigide; Bracelet du Piloztère; Anneau de Padgref; Ceinture Séculaire; Coiffe de Padgref; Cape au Logis; Baleinabottes; Dofus Ocre; Dofus Pourpre; Dofus Turquoise; Nomade; Remueur; Vigoureux majeur</t>
        </is>
      </c>
    </row>
    <row r="23728">
      <c r="A23728" t="inlineStr">
        <is>
          <t>Nileza.Malle.-po_</t>
        </is>
      </c>
      <c r="B23728">
        <f>HYPERLINK("https://www.dofusbook.net/fr/equipement/798955-nileza-malle--po-/objets", "link")</f>
        <v/>
      </c>
      <c r="C23728" t="n">
        <v>0</v>
      </c>
      <c r="D23728" t="inlineStr">
        <is>
          <t>Baguette de Malléfisk; Amulette de Nileza; Bague Gloursonne; Anneau de Nidas; Ceinture Séculaire; Chapeau Lochon; Cape de Nileza; Pataugastrique; Dofus Ocre; Dofus Turquoise; Érudit majeur; Remueur; Carapace Feu majeur</t>
        </is>
      </c>
    </row>
    <row r="23729">
      <c r="A23729" t="inlineStr">
        <is>
          <t>CourSo.ACha.crit.ret</t>
        </is>
      </c>
      <c r="B23729">
        <f>HYPERLINK("https://www.dofusbook.net/fr/equipement/799139-courso-acha-crit-ret/objets", "link")</f>
        <v/>
      </c>
      <c r="C23729" t="n">
        <v>0</v>
      </c>
      <c r="D23729" t="inlineStr">
        <is>
          <t>Arc du Chalœil; Amulette de Pol Ouatnos; Anneau Chevelu; Anneau de Brouce; Ceinture de la Cour Sombre; Chapeau de Gein; Cape de la Cour Sombre; Baleinabottes; Dofus Pourpre; Dofus Turquoise; Remueur; Vigoureux majeur; Étourdisseur majeur; Enragé majeur; Kramkram</t>
        </is>
      </c>
    </row>
    <row r="23730">
      <c r="A23730" t="inlineStr">
        <is>
          <t>Chal.Egar.cri.res.po</t>
        </is>
      </c>
      <c r="B23730">
        <f>HYPERLINK("https://www.dofusbook.net/fr/equipement/799133-chal-egar-cri-res-po/objets", "link")</f>
        <v/>
      </c>
      <c r="C23730" t="n">
        <v>0</v>
      </c>
      <c r="D23730" t="inlineStr">
        <is>
          <t>Marteau des égarés; Amulette du Strigide; Bracelet du Piloztère; Alliance Gloursonne; Ceintacé; Casque du Chalœil; Voile d'encre; Bottes du Chalœil; Dofus Pourpre; Dofus Turquoise; Dofus des Glaces; Nomade; Vigoureux majeur; Remueur; Kramkram</t>
        </is>
      </c>
    </row>
    <row r="23731">
      <c r="A23731" t="inlineStr">
        <is>
          <t>XLII.res.-po</t>
        </is>
      </c>
      <c r="B23731">
        <f>HYPERLINK("https://www.dofusbook.net/fr/equipement/798756-xlii-res--po/objets", "link")</f>
        <v/>
      </c>
      <c r="C23731" t="n">
        <v>0</v>
      </c>
      <c r="D23731" t="inlineStr">
        <is>
          <t>Dagues Eudin; Amulette Héroclite; Gelano; Anneau Chevelu; Ceinture de XLII; Chapeau de Crocodaille Dandi; Cape Surde; Bottes de XLII; Dofus Émeraude; Dofus des Veilleurs; Dokoko; Dofus Ocre; Remueur; Enragé majeur</t>
        </is>
      </c>
    </row>
    <row r="23732">
      <c r="A23732" t="inlineStr">
        <is>
          <t>RdV.PNidas-exoPM</t>
        </is>
      </c>
      <c r="B23732">
        <f>HYPERLINK("https://www.dofusbook.net/fr/equipement/798753-rdv-pnidas-exopm/objets", "link")</f>
        <v/>
      </c>
      <c r="C23732" t="n">
        <v>0</v>
      </c>
      <c r="D23732" t="inlineStr">
        <is>
          <t>Pelle de Nidas; Amulette du Strigide; Bracelet du Piloztère; Alliance Gloursonne; Ceinture de la Reine des Voleurs; Coiffe de la Reine des Voleurs; Voilamibe; Baleinabottes; Dofus Pourpre; Fonceur majeur; Nomade; Miraculé majeur; Remueur; Vigoureux majeur; Kramkram</t>
        </is>
      </c>
    </row>
    <row r="23733">
      <c r="A23733" t="inlineStr">
        <is>
          <t>Drag.tank_</t>
        </is>
      </c>
      <c r="B23733">
        <f>HYPERLINK("https://www.dofusbook.net/fr/equipement/798746-drag-tank-/objets", "link")</f>
        <v/>
      </c>
      <c r="C23733" t="n">
        <v>0</v>
      </c>
      <c r="D23733" t="inlineStr">
        <is>
          <t>Pelle de Nidas; Amulette du Strigide; Anneau de Pol Ouatnos; Alliance Gloursonne; Ceinture Rasboulaire du Rasboul; Casque Dragoeuf; Voile d'encre; Baleinabottes; Remueur; Chanceux majeur; Nomade; Miraculé majeur</t>
        </is>
      </c>
    </row>
    <row r="23734">
      <c r="A23734" t="inlineStr">
        <is>
          <t>Fuji.res.-exo</t>
        </is>
      </c>
      <c r="B23734">
        <f>HYPERLINK("https://www.dofusbook.net/fr/equipement/92207-fuji-res--exo/objets", "link")</f>
        <v/>
      </c>
      <c r="C23734" t="n">
        <v>0</v>
      </c>
      <c r="D23734" t="inlineStr">
        <is>
          <t>Dague Hirr; Racine Hueuse; Grésilanneau; Gelano; Ougature; Coiffe de la Fuji Givrefoux; Cape de la Fuji Givrefoux; Pantoufles Émar; Dofus Pourpre; Remueur; Enragé majeur; Cascadeur majeur; Miraculé majeur; Vigoureux majeur; Kramkram</t>
        </is>
      </c>
    </row>
    <row r="23735">
      <c r="A23735" t="inlineStr">
        <is>
          <t>Brouce.Logis.degats</t>
        </is>
      </c>
      <c r="B23735">
        <f>HYPERLINK("https://www.dofusbook.net/fr/equipement/92206-brouce-logis-degats/objets", "link")</f>
        <v/>
      </c>
      <c r="C23735" t="n">
        <v>0</v>
      </c>
      <c r="D23735" t="inlineStr">
        <is>
          <t>Dague Hirr; Racine Hueuse; Anneau de Brouce; Gelano; Ceinture de Brouce; Coiffe de la Fuji Givrefoux; Cape au Logis; Sabots Minables; Dofus Turquoise; Dofus Pourpre; Vigoureux majeur; Remueur; Enragé majeur; Miraculé majeur; Kompost</t>
        </is>
      </c>
    </row>
    <row r="23736">
      <c r="A23736" t="inlineStr">
        <is>
          <t>Pad.Harr.ret.po.-exo</t>
        </is>
      </c>
      <c r="B23736">
        <f>HYPERLINK("https://www.dofusbook.net/fr/equipement/92205-pad-harr-ret-po--exo/objets", "link")</f>
        <v/>
      </c>
      <c r="C23736" t="n">
        <v>0</v>
      </c>
      <c r="D23736" t="inlineStr">
        <is>
          <t>Canne Harr; Amulette de Nileza; Anneau du Professeur Xa; Anneau de Padgref; Ceinture du Glourséleste; Coiffe de Padgref; Cape Matelassée; Pantoufles Émar; Dofus Pourpre; Vigoureux majeur; Remueur; Miraculé majeur; Étourdisseur majeur; Nomade; Kramkram</t>
        </is>
      </c>
    </row>
    <row r="23737">
      <c r="A23737" t="inlineStr">
        <is>
          <t>XLII.tank_</t>
        </is>
      </c>
      <c r="B23737">
        <f>HYPERLINK("https://www.dofusbook.net/fr/equipement/92217-xlii-tank-/objets", "link")</f>
        <v/>
      </c>
      <c r="C23737" t="n">
        <v>0</v>
      </c>
      <c r="D23737" t="inlineStr">
        <is>
          <t>Kralamansion; Alliance Gloursonne; Anneau de XLII; Ceinture Rasboulaire du Rasboul; Coiffe de la Fuji Givrefoux; Cape Matelassée; Bottes de XLII; Dofus Ocre; Dofus Émeraude; Miraculé majeur; Remueur; Nomade; Cascadeur majeur; Siroko</t>
        </is>
      </c>
    </row>
    <row r="23738">
      <c r="A23738" t="inlineStr">
        <is>
          <t>Trithon.AS.tank.crit</t>
        </is>
      </c>
      <c r="B23738">
        <f>HYPERLINK("https://www.dofusbook.net/fr/equipement/784096-trithon-as-tank-crit/objets", "link")</f>
        <v/>
      </c>
      <c r="C23738" t="n">
        <v>0</v>
      </c>
      <c r="D23738" t="inlineStr">
        <is>
          <t>Marteau des Anciens Steamers; Amulette du Strigide; Alliance Gloursonne; Bague Trithon; Pagne du Rykaon; Kidibonnet; Chevelure de Tal Kasha; Bottes Trithon; Dofus Pourpre; Dofus Émeraude; Dofus Turquoise; Remueur; Miraculé majeur; Vigoureux majeur</t>
        </is>
      </c>
    </row>
    <row r="23739">
      <c r="A23739" t="inlineStr">
        <is>
          <t>Tyron.Sinis.res_</t>
        </is>
      </c>
      <c r="B23739">
        <f>HYPERLINK("https://www.dofusbook.net/fr/equipement/785037-tyron-sinis-res-/objets", "link")</f>
        <v/>
      </c>
      <c r="C23739" t="n">
        <v>0</v>
      </c>
      <c r="D23739" t="inlineStr">
        <is>
          <t>Rapière aux Glyphes; Amulette du Sinistrofu; Bracelet du Piloztère; Alliance Gloursonne; Sangle Ouare; Chapeau Tyron; Cape du Sinistrofu; Pataugastrique; Dofus Turquoise; Dofus Pourpre; Dofus des Glaces; Dofus Ocre; Vigoureux majeur; Remueur</t>
        </is>
      </c>
    </row>
    <row r="23740">
      <c r="A23740" t="inlineStr">
        <is>
          <t>RdV.Glour.Deluxe.do</t>
        </is>
      </c>
      <c r="B23740">
        <f>HYPERLINK("https://www.dofusbook.net/fr/equipement/92174-rdv-glour-deluxe-do/objets", "link")</f>
        <v/>
      </c>
      <c r="C23740" t="n">
        <v>0</v>
      </c>
      <c r="D23740" t="inlineStr">
        <is>
          <t>Epée Gloursonne; Amulette Ementaire Deluxe; Bague Gloursonne; Alliance Gloursonne; Ceinture de la Reine des Voleurs; Coiffe de la Reine des Voleurs; Voile d'encre; Bottes de la Reine des Voleurs; Dolmanax; Dofus Émeraude; Dofus Pourpre; Dofus Ocre; Dofus des Glaces; Dofus Turquoise</t>
        </is>
      </c>
    </row>
    <row r="23741">
      <c r="A23741" t="inlineStr">
        <is>
          <t>Levi.Sb.Deluxe</t>
        </is>
      </c>
      <c r="B23741">
        <f>HYPERLINK("https://www.dofusbook.net/fr/equipement/785122-levi-sb-deluxe/objets", "link")</f>
        <v/>
      </c>
      <c r="C23741" t="n">
        <v>0</v>
      </c>
      <c r="D23741" t="inlineStr">
        <is>
          <t>Dagues de Srambad; Amulette Ementaire Deluxe; Bracelet du Piloztère; Bague Gloursonne; Ceintacé; Coiffe du Lévitrof; Cape du Chalœil; Bottes du Lévitrof; Dofus des Glaces; Dolmanax; Nomade; Vigoureux majeur; Remueur; Miraculé majeur; Kramkram</t>
        </is>
      </c>
    </row>
    <row r="23742">
      <c r="A23742" t="inlineStr">
        <is>
          <t>Meno.res40.ret.-crit</t>
        </is>
      </c>
      <c r="B23742">
        <f>HYPERLINK("https://www.dofusbook.net/fr/equipement/785140-meno-res40-ret--crit/objets", "link")</f>
        <v/>
      </c>
      <c r="C23742" t="n">
        <v>2</v>
      </c>
      <c r="D23742" t="inlineStr">
        <is>
          <t>Arc Honte; Amulette Ementaire Deluxe; Alliance Gloursonne; Anneau de Nidas; Bouclier Aerdala; Slip du Roi de Bonta; Casquette de Meno; Capchalot; Bottes de Meno; Dolmanax; Remueur; Miraculé majeur; Temporiseur majeur; Nomade; Kramkram</t>
        </is>
      </c>
    </row>
    <row r="23743">
      <c r="A23743" t="inlineStr">
        <is>
          <t>Levi.Lumi.ret_</t>
        </is>
      </c>
      <c r="B23743">
        <f>HYPERLINK("https://www.dofusbook.net/fr/equipement/785039-levi-lumi-ret-/objets", "link")</f>
        <v/>
      </c>
      <c r="C23743" t="n">
        <v>0</v>
      </c>
      <c r="D23743" t="inlineStr">
        <is>
          <t>Hache du Chalœil; Amulette Luminescente; Alliance du Lévitrof; Bracelet du Piloztère; Ceinture Luminescente; Coiffe du Lévitrof; Cape Luminescente; Bottes du Lévitrof; Dofus Turquoise; Dofus Pourpre; Dofus des Glaces</t>
        </is>
      </c>
    </row>
    <row r="23744">
      <c r="A23744" t="inlineStr">
        <is>
          <t>Nidas.res40.ret.-cri</t>
        </is>
      </c>
      <c r="B23744">
        <f>HYPERLINK("https://www.dofusbook.net/fr/equipement/785139-nidas-res40-ret--cri/objets", "link")</f>
        <v/>
      </c>
      <c r="C23744" t="n">
        <v>0</v>
      </c>
      <c r="D23744" t="inlineStr">
        <is>
          <t>Arc Honte; Amulette Ementaire Deluxe; Alliance Gloursonne; Anneau de Nidas; Slip du Roi de Bonta; Couronne de Nidas; Voile d'encre; Baleinabottes; Dofus Pourpre; Miraculé majeur; Nomade; Temporiseur majeur; Remueur; Kramkram</t>
        </is>
      </c>
    </row>
    <row r="23745">
      <c r="A23745" t="inlineStr">
        <is>
          <t>Indicible.ret.fui</t>
        </is>
      </c>
      <c r="B23745">
        <f>HYPERLINK("https://www.dofusbook.net/fr/equipement/785248-indicible-ret-fui/objets", "link")</f>
        <v/>
      </c>
      <c r="C23745" t="n">
        <v>0</v>
      </c>
      <c r="D23745" t="inlineStr">
        <is>
          <t>Dagues Érhy; Amulette de l'Indicible; Anneau de Nidas; Alliance Gloursonne; Ceinture de l'Indicible; Boucle d'oreille de Kongoku; Voile d'encre; Bottes du Roi Joueur; Dofus Ocre; Dofus Pourpre; Dofus des Glaces; Nomade; Remueur; Temporiseur majeur; Kramkram</t>
        </is>
      </c>
    </row>
    <row r="23746">
      <c r="A23746" t="inlineStr">
        <is>
          <t>Hetype.ret_</t>
        </is>
      </c>
      <c r="B23746">
        <f>HYPERLINK("https://www.dofusbook.net/fr/equipement/785258-hetype-ret-/objets", "link")</f>
        <v/>
      </c>
      <c r="C23746" t="n">
        <v>0</v>
      </c>
      <c r="D23746" t="inlineStr">
        <is>
          <t>Arc Hétype; Amulette de Nileza; Anneau de Nidas; Anneau Tique; Ceinture de Vortex; Couronne de Nidas; Voile d'encre; Pantoufles Émar; Dofus Turquoise; Nomade; Temporiseur majeur; Remueur; Érudit majeur</t>
        </is>
      </c>
    </row>
    <row r="23747">
      <c r="A23747" t="inlineStr">
        <is>
          <t>Nidas.Pwal.Malle.ret</t>
        </is>
      </c>
      <c r="B23747">
        <f>HYPERLINK("https://www.dofusbook.net/fr/equipement/785253-nidas-pwal-malle-ret/objets", "link")</f>
        <v/>
      </c>
      <c r="C23747" t="n">
        <v>0</v>
      </c>
      <c r="D23747" t="inlineStr">
        <is>
          <t>Baguette de Malléfisk; Kralamansion; Anneau de Nidas; Ceinture du Glourséleste; Couronne de Nidas; Voile d'encre; Pantoufles Émar; Miraculé majeur; Carapace Feu majeur; Carapace Terre majeur; Nomade; Temporiseur majeur; Remueur; El Scarador</t>
        </is>
      </c>
    </row>
    <row r="23748">
      <c r="A23748" t="inlineStr">
        <is>
          <t>RJ.Pwal.Malle.ret</t>
        </is>
      </c>
      <c r="B23748">
        <f>HYPERLINK("https://www.dofusbook.net/fr/equipement/785256-rj-pwal-malle-ret/objets", "link")</f>
        <v/>
      </c>
      <c r="C23748" t="n">
        <v>0</v>
      </c>
      <c r="D23748" t="inlineStr">
        <is>
          <t>Baguette de Malléfisk; Kralamansion; Chevalière du Roi Joueur; Anneau Pwal; Ceinture de Kongoku; Chapeau de Gein; Voile d'encre; Bottes du Roi Joueur; Dolmanax; Dofus Pourpre; Dofus Ocre; Vigoureux majeur; Nomade; Remueur; Kramkram</t>
        </is>
      </c>
    </row>
    <row r="23749">
      <c r="A23749" t="inlineStr">
        <is>
          <t>Piko.Drag.degats_</t>
        </is>
      </c>
      <c r="B23749">
        <f>HYPERLINK("https://www.dofusbook.net/fr/equipement/785244-piko-drag-degats-/objets", "link")</f>
        <v/>
      </c>
      <c r="C23749" t="n">
        <v>0</v>
      </c>
      <c r="D23749" t="inlineStr">
        <is>
          <t>Hache du Chalœil; Amulette du Strigide; Pikano; Alliance Gloursonne; Ceinture du Barbétoal; Casque Dragoeuf; Voile d'encre; Pikottes; Dofus Ocre; Dofus Turquoise; Dolmanax; Dofus Pourpre; Nomade; Remueur</t>
        </is>
      </c>
    </row>
    <row r="23750">
      <c r="A23750" t="inlineStr">
        <is>
          <t>Meno.Chaloeil.ret_</t>
        </is>
      </c>
      <c r="B23750">
        <f>HYPERLINK("https://www.dofusbook.net/fr/equipement/785144-meno-chaloeil-ret-/objets", "link")</f>
        <v/>
      </c>
      <c r="C23750" t="n">
        <v>0</v>
      </c>
      <c r="D23750" t="inlineStr">
        <is>
          <t>Hache du Chalœil; Amulette Ementaire Deluxe; Anneau de Nidas; Alliance Gloursonne; Ceintacé; Casquette de Meno; Voile d'encre; Bottes de Meno; Dofus des Glaces; Dolmanax; Dofus Turquoise; Dofus Pourpre; Remueur; Kramkram</t>
        </is>
      </c>
    </row>
    <row r="23751">
      <c r="A23751" t="inlineStr">
        <is>
          <t>Levi.res.-exoPM</t>
        </is>
      </c>
      <c r="B23751">
        <f>HYPERLINK("https://www.dofusbook.net/fr/equipement/785220-levi-res--exopm/objets", "link")</f>
        <v/>
      </c>
      <c r="C23751" t="n">
        <v>0</v>
      </c>
      <c r="D23751" t="inlineStr">
        <is>
          <t>Dagues Érhy; Amulette de Pol Ouatnos; Bracelet du Piloztère; Alliance Gloursonne; Ceinture de la Reine des Voleurs; Coiffe du Lévitrof; Voile d'encre; Bottes du Lévitrof; Dofus Pourpre; Dolmanax; Dofus Ocre; Vigoureux majeur; Remueur; Nomade; Kramkram</t>
        </is>
      </c>
    </row>
    <row r="23752">
      <c r="A23752" t="inlineStr">
        <is>
          <t>Levi.Stri.do95.-po_</t>
        </is>
      </c>
      <c r="B23752">
        <f>HYPERLINK("https://www.dofusbook.net/fr/equipement/92172-levi-stri-do95--po-/objets", "link")</f>
        <v/>
      </c>
      <c r="C23752" t="n">
        <v>0</v>
      </c>
      <c r="D23752" t="inlineStr">
        <is>
          <t>Dagues Érhy; Amulette du Strigide; Alliance du Lévitrof; Bracelet du Piloztère; Ceinture du Strigide; Coiffe du Lévitrof; Cape des Justiciers; Bottes du Lévitrof; Dolmanax; Dofus Pourpre; Dofus des Glaces; Dofus Ocre; Dofus Turquoise</t>
        </is>
      </c>
    </row>
    <row r="23753">
      <c r="A23753" t="inlineStr">
        <is>
          <t>Levi.Chaloeil.do110</t>
        </is>
      </c>
      <c r="B23753">
        <f>HYPERLINK("https://www.dofusbook.net/fr/equipement/785097-levi-chaloeil-do110/objets", "link")</f>
        <v/>
      </c>
      <c r="C23753" t="n">
        <v>4</v>
      </c>
      <c r="D23753" t="inlineStr">
        <is>
          <t>Hache du Chalœil; Kralamansion; Grésilanneau; Alliance Gloursonne; Ougature; Coiffe du Lévitrof; Cape des Justiciers; Bottes du Lévitrof; Dofus des Glaces; Dofus Turquoise; Dofus Pourpre; Vigoureux majeur; Nomade; Remueur; Kramkram</t>
        </is>
      </c>
    </row>
    <row r="23754">
      <c r="A23754" t="inlineStr">
        <is>
          <t>Levi.Stri.Logis.-po</t>
        </is>
      </c>
      <c r="B23754">
        <f>HYPERLINK("https://www.dofusbook.net/fr/equipement/785100-levi-stri-logis--po/objets", "link")</f>
        <v/>
      </c>
      <c r="C23754" t="n">
        <v>0</v>
      </c>
      <c r="D23754" t="inlineStr">
        <is>
          <t>Dagues Érhy; Amulette du Strigide; Bracelet du Piloztère; Alliance du Lévitrof; Ceinture du Strigide; Coiffe du Lévitrof; Cape au Logis; Bottes du Lévitrof; Dofus Ocre; Dofus des Glaces; Dolmanax; Dofus Pourpre; Dofus Turquoise; Kramkram</t>
        </is>
      </c>
    </row>
    <row r="23755">
      <c r="A23755" t="inlineStr">
        <is>
          <t>Hetype.Pwal.ret_</t>
        </is>
      </c>
      <c r="B23755">
        <f>HYPERLINK("https://www.dofusbook.net/fr/equipement/785038-hetype-pwal-ret-/objets", "link")</f>
        <v/>
      </c>
      <c r="C23755" t="n">
        <v>0</v>
      </c>
      <c r="D23755" t="inlineStr">
        <is>
          <t>Arc Hétype; Amulette de Nileza; Anneau de Nidas; Anneau Pwal; Ceinture Séculaire; Couronne de Nidas; Voile d'encre; Pantoufles Émar; Dofus Ocre; Temporiseur majeur; Remueur; Érudit majeur; Nomade</t>
        </is>
      </c>
    </row>
    <row r="23756">
      <c r="A23756" t="inlineStr">
        <is>
          <t>Stri.Rture.ret.crit_</t>
        </is>
      </c>
      <c r="B23756">
        <f>HYPERLINK("https://www.dofusbook.net/fr/equipement/785138-stri-rture-ret-crit-/objets", "link")</f>
        <v/>
      </c>
      <c r="C23756" t="n">
        <v>0</v>
      </c>
      <c r="D23756" t="inlineStr">
        <is>
          <t>Marteau R'ture; Amulette du Strigide; Anneau de Nidas; Ceinture du Strigide; Boucle d'oreille de Kongoku; Voile d'encre; Baleinabottes; Remueur; Nomade; Kramkram</t>
        </is>
      </c>
    </row>
    <row r="23757">
      <c r="A23757" t="inlineStr">
        <is>
          <t>Levi.res.invo9.-crit</t>
        </is>
      </c>
      <c r="B23757">
        <f>HYPERLINK("https://www.dofusbook.net/fr/equipement/92173-levi-res-invo9--crit/objets", "link")</f>
        <v/>
      </c>
      <c r="C23757" t="n">
        <v>0</v>
      </c>
      <c r="D23757" t="inlineStr">
        <is>
          <t>Dagues Érhy; Kralamansion; Alliance Gloursonne; Alliance du Lévitrof; Sangle Ouare; Coiffe du Lévitrof; Voile d'encre; Bottes du Lévitrof; Dolmanax; Dofus Pourpre; Dofus Ocre; Dofus Émeraude; Puissant majeur; Robuste majeur; Kramkram</t>
        </is>
      </c>
    </row>
    <row r="23758">
      <c r="A23758" t="inlineStr">
        <is>
          <t>Levi.res</t>
        </is>
      </c>
      <c r="B23758">
        <f>HYPERLINK("https://www.dofusbook.net/fr/equipement/785143-levi-res/objets", "link")</f>
        <v/>
      </c>
      <c r="C23758" t="n">
        <v>0</v>
      </c>
      <c r="D23758" t="inlineStr">
        <is>
          <t>Dagues Érhy; Amulette du Strigide; Bracelet du Piloztère; Alliance Gloursonne; Ceinture du Barbétoal; Coiffe du Lévitrof; Voile d'encre; Bottes du Lévitrof; Dolmanax; Dofus Pourpre; Dofus Ocre; Remueur; Nomade; Vigoureux majeur; Kramkram</t>
        </is>
      </c>
    </row>
    <row r="23759">
      <c r="A23759" t="inlineStr">
        <is>
          <t>Stuff 3</t>
        </is>
      </c>
      <c r="B23759">
        <f>HYPERLINK("https://www.dofusbook.net/fr/equipement/92248-stuff-3/objets", "link")</f>
        <v/>
      </c>
      <c r="C23759" t="n">
        <v>0</v>
      </c>
      <c r="D23759" t="inlineStr">
        <is>
          <t>Karnak; Amulette de Nevark; Anneau d'Allister; Alliance Gloursonne; Ceinture Rasboulaire du Rasboul; Couronne d'Allister; Cape Matelassée; Pantoufles Émar; Dofus Pourpre; Vigoureux majeur; Remueur; Cascadeur majeur; Nomade; Siroko</t>
        </is>
      </c>
    </row>
    <row r="23760">
      <c r="A23760" t="inlineStr">
        <is>
          <t>Stuff 2</t>
        </is>
      </c>
      <c r="B23760">
        <f>HYPERLINK("https://www.dofusbook.net/fr/equipement/92188-stuff-2/objets", "link")</f>
        <v/>
      </c>
      <c r="C23760" t="n">
        <v>2</v>
      </c>
      <c r="D23760" t="inlineStr">
        <is>
          <t>Dagues Érhy; Amulette du Cycloïde; Alliance Gloursonne; Bracelet du Piloztère; Ceintacé; Masque du Katcheur; Voile d'encre; Bottes du Cycloïde; Dofus des Glaces; Dofus Turquoise; Dofus Pourpre; Remueur; Carapace Terre majeur; Nomade</t>
        </is>
      </c>
    </row>
    <row r="23761">
      <c r="A23761" t="inlineStr">
        <is>
          <t>Stuff 3</t>
        </is>
      </c>
      <c r="B23761">
        <f>HYPERLINK("https://www.dofusbook.net/fr/equipement/92180-stuff-3/objets", "link")</f>
        <v/>
      </c>
      <c r="C23761" t="n">
        <v>2</v>
      </c>
      <c r="D23761" t="inlineStr">
        <is>
          <t>Dagues Érhy; Amulette du Strigide; Alliance de Missiz Frizz; Bague Gloursonne; Ceinture du Strigide; Couronne du Roi Joueur; Cape du Professeur Xa; Bottes du Cycloïde; Dofus Pourpre; Dofus Ocre; Dofus des Glaces; Dofus Turquoise; Vigoureux majeur; Remueur</t>
        </is>
      </c>
    </row>
    <row r="23762">
      <c r="A23762" t="inlineStr">
        <is>
          <t>Stuff 1</t>
        </is>
      </c>
      <c r="B23762">
        <f>HYPERLINK("https://www.dofusbook.net/fr/equipement/92175-stuff-1/objets", "link")</f>
        <v/>
      </c>
      <c r="C23762" t="n">
        <v>0</v>
      </c>
      <c r="D23762" t="inlineStr">
        <is>
          <t>Bâtonnet Ronien; Amulette du Glourséleste; Anneau Kturne; Alliance Gloursonne; Ceinture Rasboulaire du Rasboul; Binocle Airvoyant; Cape Matelassée; Bottes du Père Fwetar; Dofus Pourpre; Miraculé majeur; Nomade; Vigoureux majeur; Remueur; Kramkram</t>
        </is>
      </c>
    </row>
    <row r="23763">
      <c r="A23763" t="inlineStr">
        <is>
          <t>Stuff 3</t>
        </is>
      </c>
      <c r="B23763">
        <f>HYPERLINK("https://www.dofusbook.net/fr/equipement/92248-stuff-3/objets", "link")</f>
        <v/>
      </c>
      <c r="C23763" t="n">
        <v>0</v>
      </c>
      <c r="D23763" t="inlineStr">
        <is>
          <t>Karnak; Amulette de Nevark; Anneau d'Allister; Alliance Gloursonne; Ceinture Rasboulaire du Rasboul; Couronne d'Allister; Cape Matelassée; Pantoufles Émar; Dofus Pourpre; Vigoureux majeur; Remueur; Cascadeur majeur; Nomade; Siroko</t>
        </is>
      </c>
    </row>
    <row r="23764">
      <c r="A23764" t="inlineStr">
        <is>
          <t>Stuff 2</t>
        </is>
      </c>
      <c r="B23764">
        <f>HYPERLINK("https://www.dofusbook.net/fr/equipement/92188-stuff-2/objets", "link")</f>
        <v/>
      </c>
      <c r="C23764" t="n">
        <v>2</v>
      </c>
      <c r="D23764" t="inlineStr">
        <is>
          <t>Dagues Érhy; Amulette du Cycloïde; Alliance Gloursonne; Bracelet du Piloztère; Ceintacé; Masque du Katcheur; Voile d'encre; Bottes du Cycloïde; Dofus Turquoise; Dofus Pourpre; Dofus des Glaces; Carapace Terre majeur; Nomade; Remueur</t>
        </is>
      </c>
    </row>
    <row r="23765">
      <c r="A23765" t="inlineStr">
        <is>
          <t>Stuff 3</t>
        </is>
      </c>
      <c r="B23765">
        <f>HYPERLINK("https://www.dofusbook.net/fr/equipement/92180-stuff-3/objets", "link")</f>
        <v/>
      </c>
      <c r="C23765" t="n">
        <v>2</v>
      </c>
      <c r="D23765" t="inlineStr">
        <is>
          <t>Dagues Érhy; Amulette du Strigide; Alliance de Missiz Frizz; Bague Gloursonne; Ceinture du Strigide; Couronne du Roi Joueur; Cape du Professeur Xa; Bottes du Cycloïde; Dofus Ocre; Dofus des Glaces; Dofus Turquoise; Dofus Pourpre; Remueur; Vigoureux majeur</t>
        </is>
      </c>
    </row>
    <row r="23766">
      <c r="A23766" t="inlineStr">
        <is>
          <t>Stuff 3</t>
        </is>
      </c>
      <c r="B23766">
        <f>HYPERLINK("https://www.dofusbook.net/fr/equipement/92222-stuff-3/objets", "link")</f>
        <v/>
      </c>
      <c r="C23766" t="n">
        <v>0</v>
      </c>
      <c r="D23766" t="inlineStr">
        <is>
          <t>Baguette Hernelle; Frimamulette; Anneau de Padgref; Kralano; Ceinture de Vortex; Cagoule de Vortex; Cape Hiculteur; Pantoufles Émar; Dofus Turquoise; Nomade; Guérisseur majeur; Remueur; Miraculé majeur; Érudit majeur; Brûlih</t>
        </is>
      </c>
    </row>
    <row r="23767">
      <c r="A23767" t="inlineStr">
        <is>
          <t>Stuff 1</t>
        </is>
      </c>
      <c r="B23767">
        <f>HYPERLINK("https://www.dofusbook.net/fr/equipement/92273-stuff-1/objets", "link")</f>
        <v/>
      </c>
      <c r="C23767" t="n">
        <v>1</v>
      </c>
      <c r="D23767" t="inlineStr">
        <is>
          <t>Baguette Hique; Amulette du Glourséleste; Anneau Tamie; Pikano; Ceinture Instable; Casquipik; Cape de Léthaline; Pantoufles Émar; Entraveur; Entraveur majeur; Temporiseur; Temporiseur majeur; Ralentisseur majeur; Remueur; Dragoune Noire</t>
        </is>
      </c>
    </row>
    <row r="23768">
      <c r="A23768" t="inlineStr">
        <is>
          <t>Stuff 1</t>
        </is>
      </c>
      <c r="B23768">
        <f>HYPERLINK("https://www.dofusbook.net/fr/equipement/92175-stuff-1/objets", "link")</f>
        <v/>
      </c>
      <c r="C23768" t="n">
        <v>0</v>
      </c>
      <c r="D23768" t="inlineStr">
        <is>
          <t>Bâtonnet Ronien; Amulette du Glourséleste; Anneau Kturne; Alliance Gloursonne; Ceinture Rasboulaire du Rasboul; Binocle Airvoyant; Cape Matelassée; Bottes du Père Fwetar; Dofus Pourpre; Miraculé majeur; Nomade; Vigoureux majeur; Remueur; Kramkram</t>
        </is>
      </c>
    </row>
    <row r="23769">
      <c r="A23769" t="inlineStr">
        <is>
          <t>Stuff 2</t>
        </is>
      </c>
      <c r="B23769">
        <f>HYPERLINK("https://www.dofusbook.net/fr/equipement/92253-stuff-2/objets", "link")</f>
        <v/>
      </c>
      <c r="C23769" t="n">
        <v>0</v>
      </c>
      <c r="D23769" t="inlineStr">
        <is>
          <t>Pelle Vice; Amulette Cryochrone; Bague Nostik; Alliance du Lévitrof; Sangle Ouare; Coiffe Cryochrone; Cape des Justiciers; Pataugastrique; Dofus Pourpre; Vigoureux majeur; Remueur; Obstructeur majeur; Miraculé majeur; Nomade; Kramkram</t>
        </is>
      </c>
    </row>
    <row r="23770">
      <c r="A23770" t="inlineStr">
        <is>
          <t>Stuff 2</t>
        </is>
      </c>
      <c r="B23770">
        <f>HYPERLINK("https://www.dofusbook.net/fr/equipement/92212-stuff-2/objets", "link")</f>
        <v/>
      </c>
      <c r="C23770" t="n">
        <v>0</v>
      </c>
      <c r="D23770" t="inlineStr">
        <is>
          <t>Pelle de la Cour Sombre; Amulette du Strigide; Anneau de Pol Ouatnos; Alliance Gloursonne; Ceintouse; Chapoulpe; Voile d'encre; Baleinabottes; Dofus Pourpre; Nomade; Remueur; Kramkram</t>
        </is>
      </c>
    </row>
    <row r="23771">
      <c r="A23771" t="inlineStr">
        <is>
          <t>Stuff 2</t>
        </is>
      </c>
      <c r="B23771">
        <f>HYPERLINK("https://www.dofusbook.net/fr/equipement/92242-stuff-2/objets", "link")</f>
        <v/>
      </c>
      <c r="C23771" t="n">
        <v>2</v>
      </c>
      <c r="D23771" t="inlineStr">
        <is>
          <t>Baguette de Malléfisk; Amulette de Nileza; Anneau de Nidas; Bague Gloursonne; Ceinture de Vortex; Casque Dragoeuf; Voile d'encre; Pataugastrique; Érudit majeur; Nomade; Carapace Terre majeur; Déserteur majeur; Miraculé majeur; Remueur; Péki</t>
        </is>
      </c>
    </row>
    <row r="23772">
      <c r="A23772" t="inlineStr">
        <is>
          <t>Stuff 2</t>
        </is>
      </c>
      <c r="B23772">
        <f>HYPERLINK("https://www.dofusbook.net/fr/equipement/92224-stuff-2/objets", "link")</f>
        <v/>
      </c>
      <c r="C23772" t="n">
        <v>0</v>
      </c>
      <c r="D23772" t="inlineStr">
        <is>
          <t>Dagues de Srambad; Amulette Ementaire Deluxe; Alliance Gloursonne; Anneau du Cycloïde; Ceinture de la Reine des Voleurs; Coiffe de la Reine des Voleurs; Voile d'encre; Pataugastrique; Dofus Pourpre; Miraculé majeur; Remueur; Nomade; Vigoureux majeur; Étourdisseur majeur; Kramkram</t>
        </is>
      </c>
    </row>
    <row r="23773">
      <c r="A23773" t="inlineStr">
        <is>
          <t>Stuff 3</t>
        </is>
      </c>
      <c r="B23773">
        <f>HYPERLINK("https://www.dofusbook.net/fr/equipement/92275-stuff-3/objets", "link")</f>
        <v/>
      </c>
      <c r="C23773" t="n">
        <v>0</v>
      </c>
      <c r="D23773" t="inlineStr">
        <is>
          <t>Amulette de Danathor; Pikano; Anneau Glacial; Ceinture Glaciale; Casquipik; Cape Glaciale; Pikottes; Dofus Ocre; Dofus Cawotte; Dofus Pourpre; Entraveur majeur; Entraveur; Ralentisseur majeur; Dragoune Rose</t>
        </is>
      </c>
    </row>
    <row r="23774">
      <c r="A23774" t="inlineStr">
        <is>
          <t>Stuff 3</t>
        </is>
      </c>
      <c r="B23774">
        <f>HYPERLINK("https://www.dofusbook.net/fr/equipement/92177-stuff-3/objets", "link")</f>
        <v/>
      </c>
      <c r="C23774" t="n">
        <v>0</v>
      </c>
      <c r="D23774" t="inlineStr">
        <is>
          <t>Rod Gerse; Col de Ush; Ceinture Rasboulaire du Rasboul; Coiffe de Tengu Givrefoux; Cape de Tengu Givrefoux; Bottes de Dremoan</t>
        </is>
      </c>
    </row>
    <row r="23775">
      <c r="A23775" t="inlineStr">
        <is>
          <t>Stuff 2</t>
        </is>
      </c>
      <c r="B23775">
        <f>HYPERLINK("https://www.dofusbook.net/fr/equipement/92264-stuff-2/objets", "link")</f>
        <v/>
      </c>
      <c r="C23775" t="n">
        <v>0</v>
      </c>
      <c r="D23775" t="inlineStr">
        <is>
          <t>Manthache; Collier du Valet Veinard; Alliance Gloursonne; Gant du Valet Veinard; Menoture; Couronne d'Allister; Cape Indescriptible; Palmes Trithons; Dofus des Glaces; Remueur; Cascadeur majeur; Dévastateur Air majeur; Carapace Air majeur; Nomade; Kramkram</t>
        </is>
      </c>
    </row>
    <row r="23776">
      <c r="A23776" t="inlineStr">
        <is>
          <t>Stuff 2</t>
        </is>
      </c>
      <c r="B23776">
        <f>HYPERLINK("https://www.dofusbook.net/fr/equipement/92247-stuff-2/objets", "link")</f>
        <v/>
      </c>
      <c r="C23776" t="n">
        <v>0</v>
      </c>
      <c r="D23776" t="inlineStr">
        <is>
          <t>Épée du Granduk; Amulette du Granduk; Anneau de Padgref; Alliance Gloursonne; Ceinture du Nocturlabe; Couronne d'Allister; Cape Matelassée; Pantoufles Émar; Dofus Turquoise; Dofus Pourpre; Cascadeur majeur; Remueur; Nomade; Siroko</t>
        </is>
      </c>
    </row>
    <row r="23777">
      <c r="A23777" t="inlineStr">
        <is>
          <t>Stuff 1</t>
        </is>
      </c>
      <c r="B23777">
        <f>HYPERLINK("https://www.dofusbook.net/fr/equipement/92187-stuff-1/objets", "link")</f>
        <v/>
      </c>
      <c r="C23777" t="n">
        <v>0</v>
      </c>
      <c r="D23777" t="inlineStr">
        <is>
          <t>Dagues Érhy; Amulette du Strigide; Kralano; Bracelet du Piloztère; Ceintacé; Coiffe de la Reine des Voleurs; Cape de la Fuji Givrefoux; Bottes du Strigide; Dofus Pourpre; Dofus Turquoise; Carapace Feu majeur; Vigoureux majeur; Nomade; Remueur; Kramkram</t>
        </is>
      </c>
    </row>
    <row r="23778">
      <c r="A23778" t="inlineStr">
        <is>
          <t>Stuff 2</t>
        </is>
      </c>
      <c r="B23778">
        <f>HYPERLINK("https://www.dofusbook.net/fr/equipement/92277-stuff-2/objets", "link")</f>
        <v/>
      </c>
      <c r="C23778" t="n">
        <v>0</v>
      </c>
      <c r="D23778" t="inlineStr">
        <is>
          <t>Dagoulinantes; Talisman Glouti; Alliance Gloursonne; Anneau Tique; Ceintacé; Masque des Fonds marins; Cape Matelassée; Bottes Owesli; Dofus Pourpre; Dofus Turquoise; Remueur; Carapace Terre majeur; Chanceux majeur; Nomade; El Scarador</t>
        </is>
      </c>
    </row>
    <row r="23779">
      <c r="A23779" t="inlineStr">
        <is>
          <t>Stuff 2</t>
        </is>
      </c>
      <c r="B23779">
        <f>HYPERLINK("https://www.dofusbook.net/fr/equipement/92179-stuff-2/objets", "link")</f>
        <v/>
      </c>
      <c r="C23779" t="n">
        <v>0</v>
      </c>
      <c r="D23779" t="inlineStr">
        <is>
          <t>Dagues du Dragoeuf; Amulette du K.O.; Gelano; Anneau Chevelu; Ceinture du K.O.; Chapeau Lisson; Cape Surde; Pantoufles de Soissanth; Dofus Pourpre; Turbulent; Vigoureux majeur; Nomade; Carapace Air majeur; Remueur; Kramkram</t>
        </is>
      </c>
    </row>
    <row r="23780">
      <c r="A23780" t="inlineStr">
        <is>
          <t>Stuff 3</t>
        </is>
      </c>
      <c r="B23780">
        <f>HYPERLINK("https://www.dofusbook.net/fr/equipement/92225-stuff-3/objets", "link")</f>
        <v/>
      </c>
      <c r="C23780" t="n">
        <v>0</v>
      </c>
      <c r="D23780" t="inlineStr">
        <is>
          <t>Dagues Érhy; Amulette du Cycloïde; Anneau du Cycloïde; Anneau de Nidas; Sangle Aise; Maskrobe; Voile d'encre; Pantoufles Émar; Dofus Pourpre; Vigoureux majeur; Nomade; Temporiseur majeur; Remueur; Kramkram</t>
        </is>
      </c>
    </row>
    <row r="23781">
      <c r="A23781" t="inlineStr">
        <is>
          <t>Stuff 1</t>
        </is>
      </c>
      <c r="B23781">
        <f>HYPERLINK("https://www.dofusbook.net/fr/equipement/92276-stuff-1/objets", "link")</f>
        <v/>
      </c>
      <c r="C23781" t="n">
        <v>4</v>
      </c>
      <c r="D23781" t="inlineStr">
        <is>
          <t>Arc Hétype; Amulette Séculaire; Anneau de Pol Ouatnos; Anneau Tique; Ceintacé; Coiffe Séculaire; Voile d'encre; Pataugastrique; Remueur; Érudit majeur; Nomade; Déserteur majeur; El Scarador</t>
        </is>
      </c>
    </row>
    <row r="23782">
      <c r="A23782" t="inlineStr">
        <is>
          <t>Stuff 1</t>
        </is>
      </c>
      <c r="B23782">
        <f>HYPERLINK("https://www.dofusbook.net/fr/equipement/92178-stuff-1/objets", "link")</f>
        <v/>
      </c>
      <c r="C23782" t="n">
        <v>0</v>
      </c>
      <c r="D23782" t="inlineStr">
        <is>
          <t>Dagues Érhy; Amulette du Strigide; Bracelet du Piloztère; Bague Gloursonne; Ceinture du Strigide; Bonnet Ko; Cape de la Fuji Givrefoux; Bottes de la Cour Sombre; Dofus Turquoise; Dofus Ocre; Dofus Pourpre; Nomade; Remueur; Vigoureux majeur; Kramkram</t>
        </is>
      </c>
    </row>
    <row r="23783">
      <c r="A23783" t="inlineStr">
        <is>
          <t>Stuff 1</t>
        </is>
      </c>
      <c r="B23783">
        <f>HYPERLINK("https://www.dofusbook.net/fr/equipement/92220-stuff-1/objets", "link")</f>
        <v/>
      </c>
      <c r="C23783" t="n">
        <v>0</v>
      </c>
      <c r="D23783" t="inlineStr">
        <is>
          <t>Sabres d'Atcham; Amulette Séculaire; Anneau Tique; Anneau de Nidas; Ceinture de Vortex; Cagoule de Vortex; Cape Matelassée; Pataugastrique; Dolmanax; Dofus Pourpre; Nomade; Érudit majeur; Kramkram</t>
        </is>
      </c>
    </row>
    <row r="23784">
      <c r="A23784" t="inlineStr">
        <is>
          <t>Stuff 3</t>
        </is>
      </c>
      <c r="B23784">
        <f>HYPERLINK("https://www.dofusbook.net/fr/equipement/92265-stuff-3/objets", "link")</f>
        <v/>
      </c>
      <c r="C23784" t="n">
        <v>0</v>
      </c>
      <c r="D23784" t="inlineStr">
        <is>
          <t>Dagoulinantes; Amulette de Shokkoth; Anneau Glacial; Alliance Gloursonne; Poulpagne; Masque des Fonds marins; Cape de Mantaze; Sandales des Fonds marins; Dofus des Glaces; Nomade; Remueur; Dévastateur Eau majeur; Kramkram</t>
        </is>
      </c>
    </row>
    <row r="23785">
      <c r="A23785" t="inlineStr">
        <is>
          <t>Stuff 3</t>
        </is>
      </c>
      <c r="B23785">
        <f>HYPERLINK("https://www.dofusbook.net/fr/equipement/92248-stuff-3/objets", "link")</f>
        <v/>
      </c>
      <c r="C23785" t="n">
        <v>0</v>
      </c>
      <c r="D23785" t="inlineStr">
        <is>
          <t>Karnak; Amulette de Nevark; Alliance Gloursonne; Anneau d'Allister; Ceinture Rasboulaire du Rasboul; Couronne d'Allister; Cape Matelassée; Pantoufles Émar; Dofus Pourpre; Cascadeur majeur; Nomade; Vigoureux majeur; Remueur; Siroko</t>
        </is>
      </c>
    </row>
    <row r="23786">
      <c r="A23786" t="inlineStr">
        <is>
          <t>Stuff 2</t>
        </is>
      </c>
      <c r="B23786">
        <f>HYPERLINK("https://www.dofusbook.net/fr/equipement/92188-stuff-2/objets", "link")</f>
        <v/>
      </c>
      <c r="C23786" t="n">
        <v>2</v>
      </c>
      <c r="D23786" t="inlineStr">
        <is>
          <t>Dagues Érhy; Amulette du Cycloïde; Alliance Gloursonne; Bracelet du Piloztère; Ceintacé; Masque du Katcheur; Voile d'encre; Bottes du Cycloïde; Dofus Turquoise; Dofus Pourpre; Dofus des Glaces; Nomade; Remueur; Carapace Terre majeur</t>
        </is>
      </c>
    </row>
    <row r="23787">
      <c r="A23787" t="inlineStr">
        <is>
          <t>Stuff 3</t>
        </is>
      </c>
      <c r="B23787">
        <f>HYPERLINK("https://www.dofusbook.net/fr/equipement/92180-stuff-3/objets", "link")</f>
        <v/>
      </c>
      <c r="C23787" t="n">
        <v>2</v>
      </c>
      <c r="D23787" t="inlineStr">
        <is>
          <t>Dagues Érhy; Amulette du Strigide; Bague Gloursonne; Alliance de Missiz Frizz; Ceinture du Strigide; Couronne du Roi Joueur; Cape du Professeur Xa; Bottes du Cycloïde; Dofus Ocre; Dofus des Glaces; Dofus Turquoise; Dofus Pourpre; Remueur; Vigoureux majeur</t>
        </is>
      </c>
    </row>
    <row r="23788">
      <c r="A23788" t="inlineStr">
        <is>
          <t>Stuff 3</t>
        </is>
      </c>
      <c r="B23788">
        <f>HYPERLINK("https://www.dofusbook.net/fr/equipement/92222-stuff-3/objets", "link")</f>
        <v/>
      </c>
      <c r="C23788" t="n">
        <v>0</v>
      </c>
      <c r="D23788" t="inlineStr">
        <is>
          <t>Baguette Hernelle; Frimamulette; Anneau de Padgref; Kralano; Ceinture de Vortex; Cagoule de Vortex; Cape Hiculteur; Pantoufles Émar; Dofus Turquoise; Nomade; Guérisseur majeur; Remueur; Miraculé majeur; Érudit majeur; Brûlih</t>
        </is>
      </c>
    </row>
    <row r="23789">
      <c r="A23789" t="inlineStr">
        <is>
          <t>Stuff 1</t>
        </is>
      </c>
      <c r="B23789">
        <f>HYPERLINK("https://www.dofusbook.net/fr/equipement/92273-stuff-1/objets", "link")</f>
        <v/>
      </c>
      <c r="C23789" t="n">
        <v>1</v>
      </c>
      <c r="D23789" t="inlineStr">
        <is>
          <t>Baguette Hique; Amulette du Glourséleste; Anneau Tamie; Pikano; Ceinture Instable; Casquipik; Cape de Léthaline; Pantoufles Émar; Ralentisseur majeur; Remueur; Entraveur; Entraveur majeur; Temporiseur; Temporiseur majeur; Dragoune Noire</t>
        </is>
      </c>
    </row>
    <row r="23790">
      <c r="A23790" t="inlineStr">
        <is>
          <t>Stuff 1</t>
        </is>
      </c>
      <c r="B23790">
        <f>HYPERLINK("https://www.dofusbook.net/fr/equipement/92175-stuff-1/objets", "link")</f>
        <v/>
      </c>
      <c r="C23790" t="n">
        <v>0</v>
      </c>
      <c r="D23790" t="inlineStr">
        <is>
          <t>Bâtonnet Ronien; Amulette du Glourséleste; Alliance Gloursonne; Anneau Kturne; Ceinture Rasboulaire du Rasboul; Binocle Airvoyant; Cape Matelassée; Bottes du Père Fwetar; Dofus Pourpre; Miraculé majeur; Nomade; Vigoureux majeur; Remueur; Kramkram</t>
        </is>
      </c>
    </row>
    <row r="23791">
      <c r="A23791" t="inlineStr">
        <is>
          <t>Zobal M 200</t>
        </is>
      </c>
      <c r="B23791">
        <f>HYPERLINK("https://www.dofusbook.net/fr/equipement/5414125-zobal-m-200/objets", "link")</f>
        <v/>
      </c>
      <c r="C23791" t="n">
        <v>0</v>
      </c>
      <c r="D23791" t="inlineStr">
        <is>
          <t>Épée Brûlâme; Talisman Igans; Bague Instable; Crocanneau; Bouclier précieux; Ceintrigue; Masque Paztek; Cape Paztek; Sandales Paztek; Dofus Argenté; Dofus Ébène; Dofus Ocre; Dofus Ivoire; Pousseur majeur; Bousculeur majeur; Balafreux</t>
        </is>
      </c>
    </row>
    <row r="23792">
      <c r="A23792" t="inlineStr">
        <is>
          <t>Iop M 200</t>
        </is>
      </c>
      <c r="B23792">
        <f>HYPERLINK("https://www.dofusbook.net/fr/equipement/3446758-iop-m-200/objets", "link")</f>
        <v/>
      </c>
      <c r="C23792" t="n">
        <v>0</v>
      </c>
      <c r="D23792" t="inlineStr">
        <is>
          <t>Lav'Hache; Amulette du Cœur Saignant; Anneau Crustique; Anneau en Grithril; Goulclier; Ceinture en Grithril; Casque en Grithril; Cape du Cœur Saignant; Bottes du Cœur Saignant; Dofus des Glaces; Dofus Émeraude; Dofus Ocre; Dofus Turquoise; Dofus Pourpre; Forcené majeur; Muldo Orchidée et Pourpre</t>
        </is>
      </c>
    </row>
    <row r="23793">
      <c r="A23793" t="inlineStr">
        <is>
          <t>zaza</t>
        </is>
      </c>
      <c r="B23793">
        <f>HYPERLINK("https://www.dofusbook.net/fr/equipement/2548560-zaza/objets", "link")</f>
        <v/>
      </c>
      <c r="C23793" t="n">
        <v>0</v>
      </c>
      <c r="D23793" t="inlineStr">
        <is>
          <t>Marteau d'Henual; Amulette de Gein; Chevalière du Roi Joueur; Bague Gloursonne; Bouclier du Stalak; Ceinture de l'Esprit Salvateur; Chapeau de Gein; Voilamibe; Bottes du Strigide; Dofus des Glaces; Dofus Pourpre; Dofus Ocre; Sanguinaire majeur; Remueur; Féroce majeur; Muldo Ebène et Pourpre</t>
        </is>
      </c>
    </row>
    <row r="23794">
      <c r="A23794" t="inlineStr">
        <is>
          <t>feu1k5</t>
        </is>
      </c>
      <c r="B23794">
        <f>HYPERLINK("https://www.dofusbook.net/fr/equipement/2547489-feu1k5/objets", "link")</f>
        <v/>
      </c>
      <c r="C23794" t="n">
        <v>3</v>
      </c>
      <c r="D23794" t="inlineStr">
        <is>
          <t>Arc corrompu; Pendentif mignon de Koutoulou; Anneauræus; Anneauræus; Ceinture Séculaire; Coiffe Séculaire; Cape de Diondin; Bottes Innommables; Dolmanax; Remueur; Érudit; Savant majeur; Érudit majeur; Astucieux majeur; Muldo Orchidée</t>
        </is>
      </c>
    </row>
    <row r="23795">
      <c r="A23795" t="inlineStr">
        <is>
          <t>air 2.45</t>
        </is>
      </c>
      <c r="B23795">
        <f>HYPERLINK("https://www.dofusbook.net/fr/equipement/2525703-air-2-45/objets", "link")</f>
        <v/>
      </c>
      <c r="C23795" t="n">
        <v>0</v>
      </c>
      <c r="D23795" t="inlineStr">
        <is>
          <t>Manthache; Collier du Valet Veinard; Anneau des égarés; Gant du Valet Veinard; Bouclier du Cycloïde; Sangle Oriole; Bonnet Ko; Cape du Chalœil; Palmes Trithons; Dofus Pourpre; Dofus Ocre; Cascadeur majeur; Vigoureux majeur; Remueur; Nomade; Muldo Ebène</t>
        </is>
      </c>
    </row>
    <row r="23796">
      <c r="A23796" t="inlineStr">
        <is>
          <t>terre-eau 2.45</t>
        </is>
      </c>
      <c r="B23796">
        <f>HYPERLINK("https://www.dofusbook.net/fr/equipement/2491422-terre-eau-2-45/objets", "link")</f>
        <v/>
      </c>
      <c r="C23796" t="n">
        <v>0</v>
      </c>
      <c r="D23796" t="inlineStr">
        <is>
          <t>Épouvante; Amulette Luminescente; Goulano; Bracelet du Piloztère; Ambrouclier; Ceinture de la Reine des Voleurs; Masque de Funespadon; Cape Ovri; Chaussons de Macrab; Dofus Pourpre; Dofus Ocre; Dofus des Glaces; Nomade; Vigoureux majeur; Remueur; Muldo Ebène et Indigo</t>
        </is>
      </c>
    </row>
    <row r="23797">
      <c r="A23797" t="inlineStr">
        <is>
          <t>feu-terre 2.45</t>
        </is>
      </c>
      <c r="B23797">
        <f>HYPERLINK("https://www.dofusbook.net/fr/equipement/2491308-feu-terre-2-45/objets", "link")</f>
        <v/>
      </c>
      <c r="C23797" t="n">
        <v>0</v>
      </c>
      <c r="D23797" t="inlineStr">
        <is>
          <t>Marteau d'Henual; Amulette Volcanique; Chevalière du Roi Joueur; Anneau d'Henual; Goulclier; Ceinture d'Henual; Couronne du Roi Joueur; Sac Volcanique; Sabots Volcaniques; Dolmanax; Dofus Pourpre; Dofus Ocre; Dofus Émeraude; Dofus des Glaces; Robuste majeur; Muldo Orchidée et Pourpre</t>
        </is>
      </c>
    </row>
    <row r="23798">
      <c r="A23798" t="inlineStr">
        <is>
          <t>terre-air-dopou</t>
        </is>
      </c>
      <c r="B23798">
        <f>HYPERLINK("https://www.dofusbook.net/fr/equipement/2490394-terre-air-dopou/objets", "link")</f>
        <v/>
      </c>
      <c r="C23798" t="n">
        <v>0</v>
      </c>
      <c r="D23798" t="inlineStr">
        <is>
          <t>Héqache; Amulette du Cœur Vaillant; Alliance Brûlâme; Anneau des égarés; Bouclier précieux; Ceinture de l'Esprit Salvateur; Masque de l'Esprit Salvateur; Cape du Cœur Vaillant; Bottes du Cœur Vaillant; Dofus Émeraude; Dofus des Glaces; Dofus Pourpre; Dofus Ocre; Robuste majeur; Bousculeur majeur; Muldo Ebène</t>
        </is>
      </c>
    </row>
    <row r="23799">
      <c r="A23799" t="inlineStr">
        <is>
          <t>iop</t>
        </is>
      </c>
      <c r="B23799">
        <f>HYPERLINK("https://www.dofusbook.net/fr/equipement/2175189-iop/objets", "link")</f>
        <v/>
      </c>
      <c r="C23799" t="n">
        <v>0</v>
      </c>
      <c r="D23799" t="inlineStr">
        <is>
          <t>Marteau d'Henual; Amulette de Gein; Bague Gloursonne; Chevalière du Roi Joueur; Bouclier du Captain Amakna; Sangle Hynère; Couronne du Roi Joueur; Voile d'encre; Pompes Funèbres; Dofus Pourpre; Dofus Ocre; Dofus Émeraude; Remueur; Vigoureux majeur; Muldo Pourpre</t>
        </is>
      </c>
    </row>
    <row r="23800">
      <c r="A23800" t="inlineStr">
        <is>
          <t>force-agi-dopou</t>
        </is>
      </c>
      <c r="B23800">
        <f>HYPERLINK("https://www.dofusbook.net/fr/equipement/1987956-force-agi-dopou/objets", "link")</f>
        <v/>
      </c>
      <c r="C23800" t="n">
        <v>0</v>
      </c>
      <c r="D23800" t="inlineStr">
        <is>
          <t>Lance corrompue; Amulette du Cœur Vaillant; Alliance Brûlâme; Gant du Valet Veinard; Ceinture Luminescente; Bonnet Ko; Cape du Cœur Vaillant; Bottes du Cœur Vaillant; Muldo Ebène</t>
        </is>
      </c>
    </row>
    <row r="23801">
      <c r="A23801" t="inlineStr">
        <is>
          <t>Ilyzaelle</t>
        </is>
      </c>
      <c r="B23801">
        <f>HYPERLINK("https://www.dofusbook.net/fr/equipement/1857188-ilyzaelle/objets", "link")</f>
        <v/>
      </c>
      <c r="C23801" t="n">
        <v>0</v>
      </c>
      <c r="D23801" t="inlineStr">
        <is>
          <t>Marteau d'Henual; Amulette de Gein; Bague Gloursonne; Goulano; Goulclier; Ceinture de Gein; Chapeau de Gein; Voile d'encre; Goulbottes; Dofus Émeraude; Dofus des Glaces; Dofus Pourpre; Dofus Ocre; Muldo Indigo et Pourpre</t>
        </is>
      </c>
    </row>
    <row r="23802">
      <c r="A23802" t="inlineStr">
        <is>
          <t>gfvhjvjh</t>
        </is>
      </c>
      <c r="B23802">
        <f>HYPERLINK("https://www.dofusbook.net/fr/equipement/1616706-gfvhjvjh-/objets", "link")</f>
        <v/>
      </c>
      <c r="C23802" t="n">
        <v>0</v>
      </c>
      <c r="D23802" t="inlineStr"/>
    </row>
    <row r="23803">
      <c r="A23803" t="inlineStr">
        <is>
          <t>kjfg kwj</t>
        </is>
      </c>
      <c r="B23803">
        <f>HYPERLINK("https://www.dofusbook.net/fr/equipement/1616623-kjfg-kwj/objets", "link")</f>
        <v/>
      </c>
      <c r="C23803" t="n">
        <v>0</v>
      </c>
      <c r="D23803" t="inlineStr">
        <is>
          <t>Epée Gloursonne; Amulette de l'Indicible; Bague Gloursonne; Alliance Gloursonne; Bouclier d'Anerice; Ceinture de l'Indicible; Masque d'Anerice; Cape d'Anerice; Bottes de l'Indicible; Dolmanax; Dofus Émeraude; Dofus des Glaces; Dofus Cawotte; Dofus Pourpre; Dofus Turquoise; Muldo Doré et Indigo</t>
        </is>
      </c>
    </row>
    <row r="23804">
      <c r="A23804" t="inlineStr">
        <is>
          <t>critAM</t>
        </is>
      </c>
      <c r="B23804">
        <f>HYPERLINK("https://www.dofusbook.net/fr/equipement/1278283-critam/objets", "link")</f>
        <v/>
      </c>
      <c r="C23804" t="n">
        <v>0</v>
      </c>
      <c r="D23804" t="inlineStr">
        <is>
          <t>L'Épée Nice; La Meulette; Bracelet Ventré; Anneau Chevelu; Ceinture Chafeuse; Le Kim; Voile d'encre; Chaussons Pignons; Dofus Turquoise; Dofus Pourpre; Dofus Cawotte; Dofus Émeraude; Dofus Ocre; Dragodinde Prune et Emeraude</t>
        </is>
      </c>
    </row>
    <row r="23805">
      <c r="A23805" t="inlineStr">
        <is>
          <t>test</t>
        </is>
      </c>
      <c r="B23805">
        <f>HYPERLINK("https://www.dofusbook.net/fr/equipement/365561-test/objets", "link")</f>
        <v/>
      </c>
      <c r="C23805" t="n">
        <v>0</v>
      </c>
      <c r="D23805" t="inlineStr"/>
    </row>
    <row r="23806">
      <c r="A23806" t="inlineStr">
        <is>
          <t>Stuff 3</t>
        </is>
      </c>
      <c r="B23806">
        <f>HYPERLINK("https://www.dofusbook.net/fr/equipement/365525-stuff-3/objets", "link")</f>
        <v/>
      </c>
      <c r="C23806" t="n">
        <v>0</v>
      </c>
      <c r="D23806" t="inlineStr">
        <is>
          <t>Arc du Chalœil; Amulette Luminescente; Grésilanneau; Chevalière du Roi Joueur; Ceintouse; Couronne du Roi Joueur; Cape du Kamasterisk; Bottes de la Cour Sombre; Dofus Ocre; Temporiseur majeur; Enragé majeur; Carapace Eau majeur; Entraveur majeur; Remueur; Muldo Indigo et Pourpre</t>
        </is>
      </c>
    </row>
    <row r="23807">
      <c r="A23807" t="inlineStr">
        <is>
          <t>Stuff 1</t>
        </is>
      </c>
      <c r="B23807">
        <f>HYPERLINK("https://www.dofusbook.net/fr/equipement/365520-stuff-1/objets", "link")</f>
        <v/>
      </c>
      <c r="C23807" t="n">
        <v>0</v>
      </c>
      <c r="D23807" t="inlineStr">
        <is>
          <t>Le Thanos; Amulette de Nileza; Anneau Tique; Kralano; Ceinture de Vortex; Bonnet Ko; Cape de Nileza; Bottes Innommables; Dofus Ocre; Miraculé majeur; Nomade; Guérisseur majeur; Remueur; Érudit majeur; Muldo Indigo et Pourpre</t>
        </is>
      </c>
    </row>
    <row r="23808">
      <c r="A23808" t="inlineStr">
        <is>
          <t>Stuff 2</t>
        </is>
      </c>
      <c r="B23808">
        <f>HYPERLINK("https://www.dofusbook.net/fr/equipement/365542-stuff-2/objets", "link")</f>
        <v/>
      </c>
      <c r="C23808" t="n">
        <v>0</v>
      </c>
      <c r="D23808" t="inlineStr">
        <is>
          <t>Pelle de la Cour Sombre; Collier du Valet Veinard; Alliance Gloursonne; Anneau des égarés; Menoture; Capuche Apin; Cape du Valet Veinard; Palmes Trithons; Dofus Pourpre; Dofus Ocre; Cascadeur majeur; Miraculé majeur; Observateur; Fonceur majeur; Muldo Ebène</t>
        </is>
      </c>
    </row>
    <row r="23809">
      <c r="A23809" t="inlineStr">
        <is>
          <t>Stuff 3</t>
        </is>
      </c>
      <c r="B23809">
        <f>HYPERLINK("https://www.dofusbook.net/fr/equipement/365537-stuff-3/objets", "link")</f>
        <v/>
      </c>
      <c r="C23809" t="n">
        <v>0</v>
      </c>
      <c r="D23809" t="inlineStr">
        <is>
          <t>Le Thanos; Amulette d'Otomaï; Anneau de Nidas; Anneauræus; Ceinture de Vortex; Couronne de Nidas; Cape de Diondin; Bottes Innommables; Érudit majeur; Remueur; Observateur; Docteur majeur; Astucieux majeur; Guérisseur majeur; Muldo Ebène et Orchidée</t>
        </is>
      </c>
    </row>
    <row r="23810">
      <c r="A23810" t="inlineStr">
        <is>
          <t>Stuff 1</t>
        </is>
      </c>
      <c r="B23810">
        <f>HYPERLINK("https://www.dofusbook.net/fr/equipement/365532-stuff-1/objets", "link")</f>
        <v/>
      </c>
      <c r="C23810" t="n">
        <v>0</v>
      </c>
      <c r="D23810" t="inlineStr">
        <is>
          <t>Le Thanos; Pendentif mignon de Koutoulou; Anneauræus; Anneauræus; Ceinture Séculaire; Casque Cyclopéen; Cape de Diondin; Bottes Innommables; Carapace Feu majeur; Remueur; Guérisseur majeur; Érudit majeur; Astucieux majeur; Docteur majeur; Muldo Indigo et Orchidée</t>
        </is>
      </c>
    </row>
    <row r="23811">
      <c r="A23811" t="inlineStr">
        <is>
          <t>Stuff 3</t>
        </is>
      </c>
      <c r="B23811">
        <f>HYPERLINK("https://www.dofusbook.net/fr/equipement/365519-stuff-3/objets", "link")</f>
        <v/>
      </c>
      <c r="C23811" t="n">
        <v>0</v>
      </c>
      <c r="D23811" t="inlineStr">
        <is>
          <t>Manthache; Collier du Valet Veinard; Alliance Gloursonne; Gant du Valet Veinard; Ceinture du Barbétoal; Bonnet Ko; Cape du Kamasterisk; Palmes Trithons; Dofus Ocre; Cascadeur majeur; Observateur; Nomade; Carapace Air majeur; Remueur; Muldo Ebène et Indigo</t>
        </is>
      </c>
    </row>
    <row r="23812">
      <c r="A23812" t="inlineStr">
        <is>
          <t>Stuff 1</t>
        </is>
      </c>
      <c r="B23812">
        <f>HYPERLINK("https://www.dofusbook.net/fr/equipement/365541-stuff-1/objets", "link")</f>
        <v/>
      </c>
      <c r="C23812" t="n">
        <v>0</v>
      </c>
      <c r="D23812" t="inlineStr">
        <is>
          <t>Manthache; Collier du Valet Veinard; Alliance Gloursonne; Gant du Valet Veinard; Menoture; Couronne d'Allister; Cape Indescriptible; Palmes Trithons; Dofus Abyssal; Dofus Pourpre; Dofus des Glaces; Fonceur majeur; Cascadeur majeur; Remueur; Muldo Doré et Ebène</t>
        </is>
      </c>
    </row>
    <row r="23813">
      <c r="A23813" t="inlineStr">
        <is>
          <t>Stuff 2</t>
        </is>
      </c>
      <c r="B23813">
        <f>HYPERLINK("https://www.dofusbook.net/fr/equipement/365536-stuff-2/objets", "link")</f>
        <v/>
      </c>
      <c r="C23813" t="n">
        <v>0</v>
      </c>
      <c r="D23813" t="inlineStr">
        <is>
          <t>Le Thanos; Amulette d'Otomaï; Anneauræus; Anneauræus; Ceinture Séculaire; Casquette de Meno; Cape de Diondin; Bottes de Meno; Carapace Feu majeur; Remueur; Guérisseur majeur; Érudit majeur; Astucieux majeur; Fonceur majeur; Muldo Ebène et Orchidée</t>
        </is>
      </c>
    </row>
    <row r="23814">
      <c r="A23814" t="inlineStr">
        <is>
          <t>Stuff 3</t>
        </is>
      </c>
      <c r="B23814">
        <f>HYPERLINK("https://www.dofusbook.net/fr/equipement/365531-stuff-3/objets", "link")</f>
        <v/>
      </c>
      <c r="C23814" t="n">
        <v>0</v>
      </c>
      <c r="D23814" t="inlineStr">
        <is>
          <t>Le Thanos; Pendentif mignon de Koutoulou; Anneauræus; Anneauræus; Ceinture Séculaire; Casque Cyclopéen; Cape de Diondin; Bottes Innommables; Astucieux majeur; Docteur majeur; Carapace Feu majeur; Remueur; Guérisseur majeur; Érudit majeur; Muldo Indigo et Orchidée</t>
        </is>
      </c>
    </row>
    <row r="23815">
      <c r="A23815" t="inlineStr">
        <is>
          <t>Stuff 1</t>
        </is>
      </c>
      <c r="B23815">
        <f>HYPERLINK("https://www.dofusbook.net/fr/equipement/365526-stuff-1/objets", "link")</f>
        <v/>
      </c>
      <c r="C23815" t="n">
        <v>0</v>
      </c>
      <c r="D23815" t="inlineStr">
        <is>
          <t>Plumeau Bil; Pendentif affamé; Anneau Rifique; Anneau Tique; Ceinture de Vortex; Casque Cyclopéen; Cape de Diondin; Bottes Innommables; Dofus Pourpre; Miraculé majeur; Érudit majeur; Remueur; Vigoureux majeur; Carapace Feu majeur; Muldo Orchidée</t>
        </is>
      </c>
    </row>
    <row r="23816">
      <c r="A23816" t="inlineStr">
        <is>
          <t>Stuff 2</t>
        </is>
      </c>
      <c r="B23816">
        <f>HYPERLINK("https://www.dofusbook.net/fr/equipement/365521-stuff-2/objets", "link")</f>
        <v/>
      </c>
      <c r="C23816" t="n">
        <v>0</v>
      </c>
      <c r="D23816" t="inlineStr">
        <is>
          <t>Le Thanos; Pendentif affamé; Chevalière du Roi Joueur; Anneau Tique; Ceinture Séculaire; Bonnet Ko; Voile d'encre; Bottes Innommables; Dofus Ocre; Soigneur majeur; Remueur; Guérisseur majeur; Nomade; Érudit majeur; Muldo Indigo et Pourpre</t>
        </is>
      </c>
    </row>
    <row r="23817">
      <c r="A23817" t="inlineStr">
        <is>
          <t>Stuff 3</t>
        </is>
      </c>
      <c r="B23817">
        <f>HYPERLINK("https://www.dofusbook.net/fr/equipement/365516-stuff-3/objets", "link")</f>
        <v/>
      </c>
      <c r="C23817" t="n">
        <v>0</v>
      </c>
      <c r="D23817" t="inlineStr">
        <is>
          <t>Dagoulinantes; Talisman Igans; Alliance Gloursonne; Bracelet des Fonds marins; Ceinture Glaciale; Casqnoar; Cape de Mantaze; Bottes Owesli; Dofus des Glaces; Dofus Ocre; Miraculé majeur; Remueur; Vigoureux majeur; Chanceux majeur; Muldo Ebène et Indigo</t>
        </is>
      </c>
    </row>
    <row r="23818">
      <c r="A23818" t="inlineStr">
        <is>
          <t>Stuff 3</t>
        </is>
      </c>
      <c r="B23818">
        <f>HYPERLINK("https://www.dofusbook.net/fr/equipement/365543-stuff-3/objets", "link")</f>
        <v/>
      </c>
      <c r="C23818" t="n">
        <v>0</v>
      </c>
      <c r="D23818" t="inlineStr">
        <is>
          <t>Manthache; Collier du Valet Veinard; Gant du Valet Veinard; Alliance Gloursonne; Menoture; Capuche Apin; Cape Indescriptible; Palmes Trithons; Dofus Pourpre; Dofus Abyssal; Vigoureux majeur; Cascadeur majeur; Fonceur majeur; Remueur; Muldo Ebène</t>
        </is>
      </c>
    </row>
    <row r="23819">
      <c r="A23819" t="inlineStr">
        <is>
          <t>Stuff 1</t>
        </is>
      </c>
      <c r="B23819">
        <f>HYPERLINK("https://www.dofusbook.net/fr/equipement/365538-stuff-1/objets", "link")</f>
        <v/>
      </c>
      <c r="C23819" t="n">
        <v>0</v>
      </c>
      <c r="D23819" t="inlineStr">
        <is>
          <t>Manthache; Collier du Valet Veinard; Gant du Valet Veinard; Anneau d'Allister; Ceinture du Barbétoal; Couronne d'Allister; Cape du Valet Veinard; Bottes d'Allister; Dolmanax; Dofus Ocre; Dofus Pourpre; Dofus des Glaces; Acrobate majeur; Robuste majeur; Muldo Ebène</t>
        </is>
      </c>
    </row>
    <row r="23820">
      <c r="A23820" t="inlineStr">
        <is>
          <t>Stuff 2</t>
        </is>
      </c>
      <c r="B23820">
        <f>HYPERLINK("https://www.dofusbook.net/fr/equipement/365533-stuff-2/objets", "link")</f>
        <v/>
      </c>
      <c r="C23820" t="n">
        <v>0</v>
      </c>
      <c r="D23820" t="inlineStr">
        <is>
          <t>Le Thanos; Pendentif affamé; Anneauræus; Anneauræus; Ceinture de Vortex; Cagoule de Vortex; Cape de Diondin; Bottes Innommables; Astucieux majeur; Guérisseur majeur; Carapace Feu majeur; Remueur; Observateur; Érudit majeur; Muldo Indigo et Orchidée</t>
        </is>
      </c>
    </row>
    <row r="23821">
      <c r="A23821" t="inlineStr">
        <is>
          <t>Stuff 3</t>
        </is>
      </c>
      <c r="B23821">
        <f>HYPERLINK("https://www.dofusbook.net/fr/equipement/365528-stuff-3/objets", "link")</f>
        <v/>
      </c>
      <c r="C23821" t="n">
        <v>0</v>
      </c>
      <c r="D23821" t="inlineStr">
        <is>
          <t>Plumeau Bil; Pendentif affamé; Anneau Tique; Anneau de Nidas; Ceinture de Vortex; Bonnet Ko; Voile d'encre; Bottes Innommables; Dofus Ocre; Érudit majeur; Miraculé majeur; Nomade; Carapace Feu majeur; Remueur; Muldo Ebène et Orchidée</t>
        </is>
      </c>
    </row>
    <row r="23822">
      <c r="A23822" t="inlineStr">
        <is>
          <t>Stuff 1</t>
        </is>
      </c>
      <c r="B23822">
        <f>HYPERLINK("https://www.dofusbook.net/fr/equipement/365523-stuff-1/objets", "link")</f>
        <v/>
      </c>
      <c r="C23822" t="n">
        <v>0</v>
      </c>
      <c r="D23822" t="inlineStr">
        <is>
          <t>Le Thanos; Pendentif affamé; Anneau Tique; Anneau Rifique; Ceinture de Gein; Casque Cyclopéen; Voile d'encre; Bottes Innommables; Dofus Ocre; Carapace Terre majeur; Guérisseur majeur; Nomade; Érudit majeur; Remueur; Kwaltess</t>
        </is>
      </c>
    </row>
    <row r="23823">
      <c r="A23823" t="inlineStr">
        <is>
          <t>Stuff 2</t>
        </is>
      </c>
      <c r="B23823">
        <f>HYPERLINK("https://www.dofusbook.net/fr/equipement/365518-stuff-2/objets", "link")</f>
        <v/>
      </c>
      <c r="C23823" t="n">
        <v>0</v>
      </c>
      <c r="D23823" t="inlineStr">
        <is>
          <t>Bâthon; Pendentif affamé; Chevalière du Roi Joueur; Bague Gloursonne; Ceinture de Gein; Couronne du Roi Joueur; Voile d'encre; Baleinabottes; Vigoureux majeur; Érudit majeur; Temporiseur majeur; Observateur; Remueur; Enragé majeur; Muldo Pourpre</t>
        </is>
      </c>
    </row>
    <row r="23824">
      <c r="A23824" t="inlineStr">
        <is>
          <t>Stuff 3</t>
        </is>
      </c>
      <c r="B23824">
        <f>HYPERLINK("https://www.dofusbook.net/fr/equipement/365540-stuff-3/objets", "link")</f>
        <v/>
      </c>
      <c r="C23824" t="n">
        <v>0</v>
      </c>
      <c r="D23824" t="inlineStr">
        <is>
          <t>Hache Euvale; Amulette Luminescente; Bague Trithon; Pikano; Sangle Ouare; Chapeau des Malveilleurs; Cape d'Anerice; Bottes Owesli; Dofus Ocre; Carapace Feu majeur; Culbuteur majeur; Carapace Air majeur; Remueur; Enragé majeur; Kramkram</t>
        </is>
      </c>
    </row>
    <row r="23825">
      <c r="A23825" t="inlineStr">
        <is>
          <t>Stuff 1</t>
        </is>
      </c>
      <c r="B23825">
        <f>HYPERLINK("https://www.dofusbook.net/fr/equipement/365535-stuff-1/objets", "link")</f>
        <v/>
      </c>
      <c r="C23825" t="n">
        <v>0</v>
      </c>
      <c r="D23825" t="inlineStr">
        <is>
          <t>Le Thanos; Pendentif mignon de Koutoulou; Anneauræus; Anneauræus; Ceinture Séculaire; Casque Cyclopéen; Cape de Diondin; Sabots de Vortex; Carapace Feu majeur; Remueur; Guérisseur majeur; Érudit majeur; Astucieux majeur; Docteur majeur; Muldo Ebène et Orchidée</t>
        </is>
      </c>
    </row>
    <row r="23826">
      <c r="A23826" t="inlineStr">
        <is>
          <t>Stuff 2</t>
        </is>
      </c>
      <c r="B23826">
        <f>HYPERLINK("https://www.dofusbook.net/fr/equipement/365530-stuff-2/objets", "link")</f>
        <v/>
      </c>
      <c r="C23826" t="n">
        <v>0</v>
      </c>
      <c r="D23826" t="inlineStr">
        <is>
          <t>Arc Hétype; Torquistik; Bague Gloursonne; Chevalière du Roi Joueur; Ceinture Luminescente; Chapeau des Malveilleurs; Voile d'encre; Bottistik; Dofus Ocre; Bousculeur majeur; Culbuteur majeur; Érudit majeur; Remueur; Enragé majeur; Muldo Indigo et Pourpre</t>
        </is>
      </c>
    </row>
    <row r="23827">
      <c r="A23827" t="inlineStr">
        <is>
          <t>Stuff 3</t>
        </is>
      </c>
      <c r="B23827">
        <f>HYPERLINK("https://www.dofusbook.net/fr/equipement/365525-stuff-3/objets", "link")</f>
        <v/>
      </c>
      <c r="C23827" t="n">
        <v>0</v>
      </c>
      <c r="D23827" t="inlineStr">
        <is>
          <t>Arc du Chalœil; Amulette Luminescente; Chevalière du Roi Joueur; Grésilanneau; Ceintouse; Couronne du Roi Joueur; Cape du Kamasterisk; Bottes de la Cour Sombre; Dofus Ocre; Temporiseur majeur; Enragé majeur; Carapace Eau majeur; Entraveur majeur; Remueur; Muldo Indigo et Pourpre</t>
        </is>
      </c>
    </row>
    <row r="23828">
      <c r="A23828" t="inlineStr">
        <is>
          <t>Stuff 1</t>
        </is>
      </c>
      <c r="B23828">
        <f>HYPERLINK("https://www.dofusbook.net/fr/equipement/365520-stuff-1/objets", "link")</f>
        <v/>
      </c>
      <c r="C23828" t="n">
        <v>0</v>
      </c>
      <c r="D23828" t="inlineStr">
        <is>
          <t>Le Thanos; Amulette de Nileza; Anneau Tique; Kralano; Ceinture de Vortex; Bonnet Ko; Cape de Nileza; Bottes Innommables; Dofus Ocre; Érudit majeur; Miraculé majeur; Nomade; Guérisseur majeur; Remueur; Muldo Indigo et Pourpre</t>
        </is>
      </c>
    </row>
    <row r="23829">
      <c r="A23829" t="inlineStr">
        <is>
          <t>Stuff 2</t>
        </is>
      </c>
      <c r="B23829">
        <f>HYPERLINK("https://www.dofusbook.net/fr/equipement/365542-stuff-2/objets", "link")</f>
        <v/>
      </c>
      <c r="C23829" t="n">
        <v>0</v>
      </c>
      <c r="D23829" t="inlineStr">
        <is>
          <t>Pelle de la Cour Sombre; Collier du Valet Veinard; Alliance Gloursonne; Anneau des égarés; Menoture; Capuche Apin; Cape du Valet Veinard; Palmes Trithons; Dofus Ocre; Dofus Pourpre; Observateur; Fonceur majeur; Cascadeur majeur; Miraculé majeur; Muldo Ebène</t>
        </is>
      </c>
    </row>
    <row r="23830">
      <c r="A23830" t="inlineStr">
        <is>
          <t>Stuff 3</t>
        </is>
      </c>
      <c r="B23830">
        <f>HYPERLINK("https://www.dofusbook.net/fr/equipement/365537-stuff-3/objets", "link")</f>
        <v/>
      </c>
      <c r="C23830" t="n">
        <v>0</v>
      </c>
      <c r="D23830" t="inlineStr">
        <is>
          <t>Le Thanos; Amulette d'Otomaï; Anneau de Nidas; Anneauræus; Ceinture de Vortex; Couronne de Nidas; Cape de Diondin; Bottes Innommables; Érudit majeur; Remueur; Observateur; Docteur majeur; Astucieux majeur; Guérisseur majeur; Muldo Ebène et Orchidée</t>
        </is>
      </c>
    </row>
    <row r="23831">
      <c r="A23831" t="inlineStr">
        <is>
          <t>Stuff 3</t>
        </is>
      </c>
      <c r="B23831">
        <f>HYPERLINK("https://www.dofusbook.net/fr/equipement/365516-stuff-3/objets", "link")</f>
        <v/>
      </c>
      <c r="C23831" t="n">
        <v>0</v>
      </c>
      <c r="D23831" t="inlineStr">
        <is>
          <t>Dagoulinantes; Talisman Igans; Alliance Gloursonne; Bracelet des Fonds marins; Ceinture Glaciale; Casqnoar; Cape de Mantaze; Bottes Owesli; Dofus des Glaces; Dofus Ocre; Remueur; Vigoureux majeur; Chanceux majeur; Miraculé majeur; Muldo Ebène et Indigo</t>
        </is>
      </c>
    </row>
    <row r="23832">
      <c r="A23832" t="inlineStr">
        <is>
          <t>Stuff 3</t>
        </is>
      </c>
      <c r="B23832">
        <f>HYPERLINK("https://www.dofusbook.net/fr/equipement/365543-stuff-3/objets", "link")</f>
        <v/>
      </c>
      <c r="C23832" t="n">
        <v>0</v>
      </c>
      <c r="D23832" t="inlineStr">
        <is>
          <t>Manthache; Collier du Valet Veinard; Alliance Gloursonne; Gant du Valet Veinard; Menoture; Capuche Apin; Cape Indescriptible; Palmes Trithons; Dofus Abyssal; Dofus Pourpre; Cascadeur majeur; Fonceur majeur; Remueur; Vigoureux majeur; Muldo Ebène</t>
        </is>
      </c>
    </row>
    <row r="23833">
      <c r="A23833" t="inlineStr">
        <is>
          <t>Stuff 1</t>
        </is>
      </c>
      <c r="B23833">
        <f>HYPERLINK("https://www.dofusbook.net/fr/equipement/365538-stuff-1/objets", "link")</f>
        <v/>
      </c>
      <c r="C23833" t="n">
        <v>0</v>
      </c>
      <c r="D23833" t="inlineStr">
        <is>
          <t>Manthache; Collier du Valet Veinard; Gant du Valet Veinard; Anneau d'Allister; Ceinture du Barbétoal; Couronne d'Allister; Cape du Valet Veinard; Bottes d'Allister; Dolmanax; Dofus Ocre; Dofus Pourpre; Dofus des Glaces; Acrobate majeur; Robuste majeur; Muldo Ebène</t>
        </is>
      </c>
    </row>
    <row r="23834">
      <c r="A23834" t="inlineStr">
        <is>
          <t>Stuff 1</t>
        </is>
      </c>
      <c r="B23834">
        <f>HYPERLINK("https://www.dofusbook.net/fr/equipement/365469-stuff-1/objets", "link")</f>
        <v/>
      </c>
      <c r="C23834" t="n">
        <v>0</v>
      </c>
      <c r="D23834" t="inlineStr">
        <is>
          <t>Arc Hétype; Amulette Séculaire; Anneau de Padgref; Anneau Tique; Ceinture de Vortex; Coiffe de Padgref; Voile d'encre; Bottes Owesli; Dofus Ocre; Érudit majeur; Savant majeur; Nomade; Astucieux majeur; Remueur; Kwaltess</t>
        </is>
      </c>
    </row>
    <row r="23835">
      <c r="A23835" t="inlineStr">
        <is>
          <t>Stuff 3</t>
        </is>
      </c>
      <c r="B23835">
        <f>HYPERLINK("https://www.dofusbook.net/fr/equipement/365501-stuff-3/objets", "link")</f>
        <v/>
      </c>
      <c r="C23835" t="n">
        <v>0</v>
      </c>
      <c r="D23835" t="inlineStr">
        <is>
          <t>Sabres d'Atcham; Amulette de l'Indicible; Alliance Gloursonne; Anneau Rifique; Ceinture de l'Indicible; Kidibonnet; Voilamibe; Bottes du Chalœil; Dofus Pourpre; Dofus des Glaces; Remueur; Miraculé majeur; Sanguinaire majeur; Vigoureux majeur; Kramkram</t>
        </is>
      </c>
    </row>
    <row r="23836">
      <c r="A23836" t="inlineStr">
        <is>
          <t>Stuff 2</t>
        </is>
      </c>
      <c r="B23836">
        <f>HYPERLINK("https://www.dofusbook.net/fr/equipement/365464-stuff-2/objets", "link")</f>
        <v/>
      </c>
      <c r="C23836" t="n">
        <v>0</v>
      </c>
      <c r="D23836" t="inlineStr">
        <is>
          <t>Marteau R'ture; Collier de Tourthon; Anneau Chevelu; Anneau Crustique; Ceintacé; Casque Dragoeuf; Cape au Logis; Bottes de la Cour Sombre; Dofus Abyssal; Nomade; Enragé majeur; Remueur; Miraculé majeur; Vigoureux majeur; Kramkram</t>
        </is>
      </c>
    </row>
    <row r="23837">
      <c r="A23837" t="inlineStr">
        <is>
          <t>Stuff 1</t>
        </is>
      </c>
      <c r="B23837">
        <f>HYPERLINK("https://www.dofusbook.net/fr/equipement/365496-stuff-1/objets", "link")</f>
        <v/>
      </c>
      <c r="C23837" t="n">
        <v>0</v>
      </c>
      <c r="D23837" t="inlineStr">
        <is>
          <t>Dagoulinantes; Amulette Voldelor; Alliance Gloursonne; Anneau de Pol Ouatnos; Poulpagne; Masque des Fonds marins; Cape de Mantaze; Sandales des Fonds marins; Miraculé majeur; Remueur; Carapace Eau majeur; Dévastateur Eau majeur; Étourdisseur majeur; Chanceux majeur; Kramkram</t>
        </is>
      </c>
    </row>
    <row r="23838">
      <c r="A23838" t="inlineStr">
        <is>
          <t>Stuff 3</t>
        </is>
      </c>
      <c r="B23838">
        <f>HYPERLINK("https://www.dofusbook.net/fr/equipement/365459-stuff-3/objets", "link")</f>
        <v/>
      </c>
      <c r="C23838" t="n">
        <v>0</v>
      </c>
      <c r="D23838" t="inlineStr">
        <is>
          <t>Sceptre du Roi Joueur; Amulette Voldelor; Alliance Gloursonne; Pikano; Ceinture Voldelor; Coiffe du Lévitrof; Cape de la Dame du Hasard; Sandales des Fonds marins; Dofus Ocre; Nomade; Observateur; Remueur; Chanceux majeur; Miraculé majeur; Kwaltess</t>
        </is>
      </c>
    </row>
    <row r="23839">
      <c r="A23839" t="inlineStr">
        <is>
          <t>Stuff 2</t>
        </is>
      </c>
      <c r="B23839">
        <f>HYPERLINK("https://www.dofusbook.net/fr/equipement/365491-stuff-2/objets", "link")</f>
        <v/>
      </c>
      <c r="C23839" t="n">
        <v>0</v>
      </c>
      <c r="D23839" t="inlineStr">
        <is>
          <t>Plumeau Bil; Amulette de Nileza; Bague Gloursonne; Anneau Tique; Ceinture de Vortex; Chapeau de Gein; Cape de Nileza; Bottes Owesli; Dofus Ocre; Remueur; Nomade; Érudit majeur; Miraculé majeur; Carapace Feu majeur; Kwaltess</t>
        </is>
      </c>
    </row>
    <row r="23840">
      <c r="A23840" t="inlineStr">
        <is>
          <t>Stuff 1</t>
        </is>
      </c>
      <c r="B23840">
        <f>HYPERLINK("https://www.dofusbook.net/fr/equipement/365454-stuff-1/objets", "link")</f>
        <v/>
      </c>
      <c r="C23840" t="n">
        <v>0</v>
      </c>
      <c r="D23840" t="inlineStr">
        <is>
          <t>Pelle de la Cour Sombre; Amulette du Granduk; Anneau des égarés; Alliance Gloursonne; Ceinture de Vortex; Couronne d'Allister; Cape du Kamasterisk; Bottes d'Allister; Dofus Ocre; Nomade; Remueur; Cascadeur majeur; Equilibriste majeur; Vigoureux majeur; Kwaltess</t>
        </is>
      </c>
    </row>
    <row r="23841">
      <c r="A23841" t="inlineStr">
        <is>
          <t>Stuff 3</t>
        </is>
      </c>
      <c r="B23841">
        <f>HYPERLINK("https://www.dofusbook.net/fr/equipement/365486-stuff-3/objets", "link")</f>
        <v/>
      </c>
      <c r="C23841" t="n">
        <v>1</v>
      </c>
      <c r="D23841" t="inlineStr">
        <is>
          <t>Epée Gloursonne; Amulette du Strigide; Bague Gloursonne; Alliance Gloursonne; Ceinture du Strigide; Casque du Chalœil; Cape du Chalœil; Bottes du Chalœil; Dofus des Glaces; Dofus Turquoise; Dolmanax; Dofus Pourpre; Dofus Ocre; Examinateur; Phortiche</t>
        </is>
      </c>
    </row>
    <row r="23842">
      <c r="A23842" t="inlineStr">
        <is>
          <t>Stuff 1</t>
        </is>
      </c>
      <c r="B23842">
        <f>HYPERLINK("https://www.dofusbook.net/fr/equipement/365481-stuff-1/objets", "link")</f>
        <v/>
      </c>
      <c r="C23842" t="n">
        <v>0</v>
      </c>
      <c r="D23842" t="inlineStr">
        <is>
          <t>Le Thanos; Amulette de Nileza; Anneau Tique; Chevalière du Roi Joueur; Ceinture de Vortex; Couronne de Nidas; Cape de Nileza; Bottes de Dremoan; Dofus Ocre; Miraculé majeur; Érudit majeur; Remueur; Nomade; Guérisseur majeur; Kwaltess</t>
        </is>
      </c>
    </row>
    <row r="23843">
      <c r="A23843" t="inlineStr">
        <is>
          <t>Stuff 3</t>
        </is>
      </c>
      <c r="B23843">
        <f>HYPERLINK("https://www.dofusbook.net/fr/equipement/365513-stuff-3/objets", "link")</f>
        <v/>
      </c>
      <c r="C23843" t="n">
        <v>0</v>
      </c>
      <c r="D23843" t="inlineStr">
        <is>
          <t>Bêche Asse; Collier de Tourthon; Anneau des égarés; Anneau Crustique; Sangle Hynère; Masque de Koutoulou; Cape au Logis; Bottes des égarés; Dofus Pourpre; Miraculé majeur; Vigoureux majeur; Remueur; Évasif majeur; Enragé majeur; Muldo Pourpre</t>
        </is>
      </c>
    </row>
    <row r="23844">
      <c r="A23844" t="inlineStr">
        <is>
          <t>Stuff 2</t>
        </is>
      </c>
      <c r="B23844">
        <f>HYPERLINK("https://www.dofusbook.net/fr/equipement/365449-stuff-2/objets", "link")</f>
        <v/>
      </c>
      <c r="C23844" t="n">
        <v>0</v>
      </c>
      <c r="D23844" t="inlineStr">
        <is>
          <t>Arc Hétype; Amulette Cryochrone; Anneau Kturne; Alliance Gloursonne; Poulpagne; Chapeau des Malveilleurs; Cape des Malveilleurs; Bottes Owesli; Remueur; Érudit majeur; Culbuteur majeur; Chanceux majeur; Miraculé majeur; Bousculeur majeur; Muldo Orchidée</t>
        </is>
      </c>
    </row>
    <row r="23845">
      <c r="A23845" t="inlineStr">
        <is>
          <t>Stuff 2</t>
        </is>
      </c>
      <c r="B23845">
        <f>HYPERLINK("https://www.dofusbook.net/fr/equipement/365476-stuff-2/objets", "link")</f>
        <v/>
      </c>
      <c r="C23845" t="n">
        <v>0</v>
      </c>
      <c r="D23845" t="inlineStr">
        <is>
          <t>Arc Ontanporin; Amulette Voldelor; Bracelet des Fonds marins; Anneau Glacial; Ceinture Glaciale; Masque des Fonds marins; Cape Glaciale; Sandales des Fonds marins; Dokoko; Dofus Ocre; Dofus Pourpre; Examinateur; Taquin majeur; Joueur majeur; Kwaltess</t>
        </is>
      </c>
    </row>
    <row r="23846">
      <c r="A23846" t="inlineStr">
        <is>
          <t>Stuff 1</t>
        </is>
      </c>
      <c r="B23846">
        <f>HYPERLINK("https://www.dofusbook.net/fr/equipement/365508-stuff-1/objets", "link")</f>
        <v/>
      </c>
      <c r="C23846" t="n">
        <v>0</v>
      </c>
      <c r="D23846" t="inlineStr">
        <is>
          <t>Faux Maudite du Saigneur Guerrier; Amulette Ementaire Deluxe; Bracelet du Piloztère; Grésilanneau; Ceinture du Strigide; Bonnet Ko; Dofusteuse; Bottes du Strigide; Dofus Pourpre; Dofus Ocre; Robuste majeur; Nomade; Vigoureux majeur; Remueur; Muldo Ebène et Pourpre</t>
        </is>
      </c>
    </row>
    <row r="23847">
      <c r="A23847" t="inlineStr">
        <is>
          <t>Stuff 3</t>
        </is>
      </c>
      <c r="B23847">
        <f>HYPERLINK("https://www.dofusbook.net/fr/equipement/365471-stuff-3/objets", "link")</f>
        <v/>
      </c>
      <c r="C23847" t="n">
        <v>0</v>
      </c>
      <c r="D23847" t="inlineStr">
        <is>
          <t>Arc Ontanporin; Amulette Voldelor; Bracelet du Piloztère; Alliance Gloursonne; Ceinture du Barbétoal; Masque des Fonds marins; Cape du Barbétoal; Sandales Circulaires du Kimbo; Dofus Ocre; Chanceux majeur; Observateur; Nomade; Taquin majeur; Remueur; Kwaltess</t>
        </is>
      </c>
    </row>
    <row r="23848">
      <c r="A23848" t="inlineStr">
        <is>
          <t>Stuff 2</t>
        </is>
      </c>
      <c r="B23848">
        <f>HYPERLINK("https://www.dofusbook.net/fr/equipement/365503-stuff-2/objets", "link")</f>
        <v/>
      </c>
      <c r="C23848" t="n">
        <v>0</v>
      </c>
      <c r="D23848" t="inlineStr">
        <is>
          <t>Le Thanos; Pendentif affamé; Anneau Tique; Anneau Rifique; Ceinture de Vortex; Casque Cyclopéen; Cape de Diondin; Bottes Innommables; Dofus Abyssal; Nomade; Carapace Terre majeur; Remueur; Guérisseur majeur; Carapace Neutre majeur; Brâkarien</t>
        </is>
      </c>
    </row>
    <row r="23849">
      <c r="A23849" t="inlineStr">
        <is>
          <t>Stuff 1</t>
        </is>
      </c>
      <c r="B23849">
        <f>HYPERLINK("https://www.dofusbook.net/fr/equipement/365466-stuff-1/objets", "link")</f>
        <v/>
      </c>
      <c r="C23849" t="n">
        <v>0</v>
      </c>
      <c r="D23849" t="inlineStr">
        <is>
          <t>Rapière aux Glyphes; Amulette Voldelor; Alliance Gloursonne; Pikano; Ceinture Voldelor; Boucle d'oreille de Kongoku; Corbacape Mastralis; Pataugastrique; Entraveur majeur; Nomade; Temporiseur; Remueur; Ralentisseur majeur; Temporiseur majeur; Dragodinde en armure</t>
        </is>
      </c>
    </row>
    <row r="23850">
      <c r="A23850" t="inlineStr">
        <is>
          <t>Stuff 3</t>
        </is>
      </c>
      <c r="B23850">
        <f>HYPERLINK("https://www.dofusbook.net/fr/equipement/365498-stuff-3/objets", "link")</f>
        <v/>
      </c>
      <c r="C23850" t="n">
        <v>0</v>
      </c>
      <c r="D23850" t="inlineStr">
        <is>
          <t>Arc de Koutoulou; Collier du Valet Veinard; Alliance Gloursonne; Anneau de Pol Ouatnos; Poulpagne; Casque des égarés; Cape d'Hel Munster; Palmes Trithons; Dofus des Glaces; Sanguinaire majeur; Chanceux majeur; Vigoureux majeur; Dévastateur Eau majeur; Remueur; Kramkram</t>
        </is>
      </c>
    </row>
    <row r="23851">
      <c r="A23851" t="inlineStr">
        <is>
          <t>Stuff 2</t>
        </is>
      </c>
      <c r="B23851">
        <f>HYPERLINK("https://www.dofusbook.net/fr/equipement/365500-stuff-2/objets", "link")</f>
        <v/>
      </c>
      <c r="C23851" t="n">
        <v>0</v>
      </c>
      <c r="D23851" t="inlineStr">
        <is>
          <t>Arc de Koutoulou; Amulette de l'Indicible; Alliance Gloursonne; Anneau de Pol Ouatnos; Ceinture de XLII; Masque des Fonds marins; Cape d'Hel Munster; Bottes de XLII; Dofus des Glaces; Dofus Pourpre; Dofus Ocre; Remueur; Vigoureux majeur; Sanguinaire majeur; Dragodinde en armure</t>
        </is>
      </c>
    </row>
    <row r="23852">
      <c r="A23852" t="inlineStr">
        <is>
          <t>Stuff 1</t>
        </is>
      </c>
      <c r="B23852">
        <f>HYPERLINK("https://www.dofusbook.net/fr/equipement/365463-stuff-1/objets", "link")</f>
        <v/>
      </c>
      <c r="C23852" t="n">
        <v>0</v>
      </c>
      <c r="D23852" t="inlineStr">
        <is>
          <t>Arc du Chalœil; Collier de Tourthon; Bague Trithon; Anneau de Brouce; Ceinture du K.O.; Bonnet Ko; Cape Luminescente; Bottes Trithon; Dofus Ocre; Nomade; Bousculeur majeur; Remueur; Culbuteur majeur; Enragé majeur; Muldo Ebène et Pourpre</t>
        </is>
      </c>
    </row>
    <row r="23853">
      <c r="A23853" t="inlineStr">
        <is>
          <t>Stuff 3</t>
        </is>
      </c>
      <c r="B23853">
        <f>HYPERLINK("https://www.dofusbook.net/fr/equipement/365495-stuff-3/objets", "link")</f>
        <v/>
      </c>
      <c r="C23853" t="n">
        <v>0</v>
      </c>
      <c r="D23853" t="inlineStr">
        <is>
          <t>Arc Honte; Amulette de l'Indicible; Alliance Gloursonne; Bague Gloursonne; Ceinture de l'Indicible; Dorabysses; Voilamibe; Bottes de l'Indicible; Dofus Ocre; Dofus des Glaces; Dofus Pourpre; Dolmanax; Robuste majeur; Féroce majeur; Dragodinde en armure</t>
        </is>
      </c>
    </row>
    <row r="23854">
      <c r="A23854" t="inlineStr">
        <is>
          <t>Stuff 2</t>
        </is>
      </c>
      <c r="B23854">
        <f>HYPERLINK("https://www.dofusbook.net/fr/equipement/365458-stuff-2/objets", "link")</f>
        <v/>
      </c>
      <c r="C23854" t="n">
        <v>0</v>
      </c>
      <c r="D23854" t="inlineStr">
        <is>
          <t>Hache Ériphe; Amulette de Pol Ouatnos; Anneau des égarés; Bracelet du Piloztère; Ceinture de Kongoku; Coiffe de la Reine des Voleurs; Cape de Kongoku; Baleinabottes; Dofus Turquoise; Dokoko; Dofus Pourpre; Carapace Air majeur; Remueur; Vigoureux majeur; Kramkram</t>
        </is>
      </c>
    </row>
    <row r="23855">
      <c r="A23855" t="inlineStr">
        <is>
          <t>Stuff 1</t>
        </is>
      </c>
      <c r="B23855">
        <f>HYPERLINK("https://www.dofusbook.net/fr/equipement/365490-stuff-1/objets", "link")</f>
        <v/>
      </c>
      <c r="C23855" t="n">
        <v>0</v>
      </c>
      <c r="D23855" t="inlineStr">
        <is>
          <t>Arc Hétype; Amulette de Nileza; Anneau Tique; Bague Gloursonne; Ceinture de Vortex; Chapeau de Gein; Cape de Nileza; Pataugastrique; Miraculé majeur; Carapace Feu majeur; Remueur; Cavaleur majeur; Nomade; Evanescent majeur; Dragodinde Amande et Orchidée</t>
        </is>
      </c>
    </row>
    <row r="23856">
      <c r="A23856" t="inlineStr">
        <is>
          <t>Stuff 3</t>
        </is>
      </c>
      <c r="B23856">
        <f>HYPERLINK("https://www.dofusbook.net/fr/equipement/365453-stuff-3/objets", "link")</f>
        <v/>
      </c>
      <c r="C23856" t="n">
        <v>0</v>
      </c>
      <c r="D23856" t="inlineStr">
        <is>
          <t>Marteau d'Henual; Amulette de l'Indicible; Chevalière du Roi Joueur; Bague Gloursonne; Ceinture de l'Indicible; Chapeau Grave; Voile d'encre; Chaussures Hau; Dofus Ocre; Dofus des Glaces; Dofus Pourpre; Miraculé majeur; Nomade; Remueur; Kramkram</t>
        </is>
      </c>
    </row>
    <row r="23857">
      <c r="A23857" t="inlineStr">
        <is>
          <t>Stuff 2</t>
        </is>
      </c>
      <c r="B23857">
        <f>HYPERLINK("https://www.dofusbook.net/fr/equipement/365485-stuff-2/objets", "link")</f>
        <v/>
      </c>
      <c r="C23857" t="n">
        <v>0</v>
      </c>
      <c r="D23857" t="inlineStr">
        <is>
          <t>Arc Hétype; Amulette du Cycloïde; Chevalière du Roi Joueur; Bague Gloursonne; Ceinture Hanium; Couronne du Roi Joueur; Voile d'encre; Bottes du Lévitrof; Dofus Ocre; Nomade; Temporiseur majeur; Érudit majeur; Remueur; Enragé majeur; Dragodinde en armure</t>
        </is>
      </c>
    </row>
    <row r="23858">
      <c r="A23858" t="inlineStr">
        <is>
          <t>Stuff 1</t>
        </is>
      </c>
      <c r="B23858">
        <f>HYPERLINK("https://www.dofusbook.net/fr/equipement/365448-stuff-1/objets", "link")</f>
        <v/>
      </c>
      <c r="C23858" t="n">
        <v>0</v>
      </c>
      <c r="D23858" t="inlineStr">
        <is>
          <t>Pelle de la Cour Sombre; Amulette Voldelor; Anneau d'Allister; Alliance Gloursonne; Ceinture du Barbétoal; Dorabysses; Cape de Klime; Bottes Voldelor; Dofus Ocre; Dofus Turquoise; Miraculé majeur; Remueur; Cascadeur majeur; Nomade; Kwaltess</t>
        </is>
      </c>
    </row>
    <row r="23859">
      <c r="A23859" t="inlineStr">
        <is>
          <t>Stuff 3</t>
        </is>
      </c>
      <c r="B23859">
        <f>HYPERLINK("https://www.dofusbook.net/fr/equipement/365480-stuff-3/objets", "link")</f>
        <v/>
      </c>
      <c r="C23859" t="n">
        <v>0</v>
      </c>
      <c r="D23859" t="inlineStr">
        <is>
          <t>Marteau d'Henual; Amulette Héroclite; Chevalière du Roi Joueur; Bague Gloursonne; String Tue-Mouche; Chapeau Grave; Voile d'encre; Bottes du Roi Joueur; Dofus Ocre; Dofus Pourpre; Miraculé majeur; Remueur; Carapace Terre majeur; Vigoureux majeur; Muldo Ebène et Pourpre</t>
        </is>
      </c>
    </row>
    <row r="23860">
      <c r="A23860" t="inlineStr">
        <is>
          <t>Stuff 2</t>
        </is>
      </c>
      <c r="B23860">
        <f>HYPERLINK("https://www.dofusbook.net/fr/equipement/365512-stuff-2/objets", "link")</f>
        <v/>
      </c>
      <c r="C23860" t="n">
        <v>0</v>
      </c>
      <c r="D23860" t="inlineStr">
        <is>
          <t>Arc du Chalœil; Collier de Tourthon; Alliance du Lévitrof; Anneau Crustique; Sangle Hynère; Masque de Koutoulou; Cape au Logis; Bottes du Lévitrof; Dofus Pourpre; Carapace Terre majeur; Vigoureux majeur; Miraculé majeur; Enragé majeur; Remueur; Muldo Indigo et Pourpre</t>
        </is>
      </c>
    </row>
    <row r="23861">
      <c r="A23861" t="inlineStr">
        <is>
          <t>Stuff 1</t>
        </is>
      </c>
      <c r="B23861">
        <f>HYPERLINK("https://www.dofusbook.net/fr/equipement/365475-stuff-1/objets", "link")</f>
        <v/>
      </c>
      <c r="C23861" t="n">
        <v>0</v>
      </c>
      <c r="D23861" t="inlineStr">
        <is>
          <t>Épée du Granduk; Amulette du Granduk; Anneau d'Allister; Alliance Gloursonne; Ceinture Voldelor; Couronne d'Allister; Cape de la Fuji Givrefoux; Bottes d'Allister; Dofus Ocre; Dofus Émeraude; Dofus Pourpre; Dokoko; Acrobate majeur; Equilibriste majeur; Kwaltess</t>
        </is>
      </c>
    </row>
    <row r="23862">
      <c r="A23862" t="inlineStr">
        <is>
          <t>Stuff 3</t>
        </is>
      </c>
      <c r="B23862">
        <f>HYPERLINK("https://www.dofusbook.net/fr/equipement/365507-stuff-3/objets", "link")</f>
        <v/>
      </c>
      <c r="C23862" t="n">
        <v>0</v>
      </c>
      <c r="D23862" t="inlineStr">
        <is>
          <t>Manthache; Amibou; Gant du Valet Veinard; Alliance Gloursonne; Ceinture du Nocturlabe; Casque Dragoeuf; Capibou; Palmes Trithons; Dofus Ocre; Culbuteur majeur; Remueur; Bousculeur majeur; Cascadeur majeur; Nomade; Kwaltess</t>
        </is>
      </c>
    </row>
    <row r="23863">
      <c r="A23863" t="inlineStr">
        <is>
          <t>Stuff 2</t>
        </is>
      </c>
      <c r="B23863">
        <f>HYPERLINK("https://www.dofusbook.net/fr/equipement/365470-stuff-2/objets", "link")</f>
        <v/>
      </c>
      <c r="C23863" t="n">
        <v>0</v>
      </c>
      <c r="D23863" t="inlineStr">
        <is>
          <t>Épée du Granduk; Amulette du Strigide; Anneau d'Allister; Alliance Gloursonne; Ceinture Voldelor; Dorabysses; Cape du Kamasterisk; Bottes Voldelor; Dofus Ocre; Observateur; Nomade; Equilibriste majeur; Remueur; Cascadeur majeur; Kwaltess</t>
        </is>
      </c>
    </row>
    <row r="23864">
      <c r="A23864" t="inlineStr">
        <is>
          <t>Stuff 1</t>
        </is>
      </c>
      <c r="B23864">
        <f>HYPERLINK("https://www.dofusbook.net/fr/equipement/365502-stuff-1/objets", "link")</f>
        <v/>
      </c>
      <c r="C23864" t="n">
        <v>0</v>
      </c>
      <c r="D23864" t="inlineStr">
        <is>
          <t>Arc de Koutoulou; Amulette Voldelor; Alliance Gloursonne; Gant du Valet Veinard; Ceinture Voldelor; Kidibonnet; Cape d'Hel Munster; Pataugastrique; Dofus Pourpre; Dofus des Glaces; Nomade; Miraculé majeur; Carapace Air majeur; Vigoureux majeur; Kramkram</t>
        </is>
      </c>
    </row>
    <row r="23865">
      <c r="A23865" t="inlineStr">
        <is>
          <t>Stuff 3</t>
        </is>
      </c>
      <c r="B23865">
        <f>HYPERLINK("https://www.dofusbook.net/fr/equipement/365465-stuff-3/objets", "link")</f>
        <v/>
      </c>
      <c r="C23865" t="n">
        <v>0</v>
      </c>
      <c r="D23865" t="inlineStr">
        <is>
          <t>Marteau des Anciens Steamers; Amulette Voldelor; Grésilanneau; Alliance Gloursonne; Ceinture du Barbétoal; Masque des Fonds marins; Cape d'Hel Munster; Pataugastrique; Dofus Pourpre; Observateur; Remueur; Cascadeur majeur; Nomade; Vigoureux majeur; Kramkram</t>
        </is>
      </c>
    </row>
    <row r="23866">
      <c r="A23866" t="inlineStr">
        <is>
          <t>Stuff 2</t>
        </is>
      </c>
      <c r="B23866">
        <f>HYPERLINK("https://www.dofusbook.net/fr/equipement/365497-stuff-2/objets", "link")</f>
        <v/>
      </c>
      <c r="C23866" t="n">
        <v>0</v>
      </c>
      <c r="D23866" t="inlineStr">
        <is>
          <t>Arc de Koutoulou; Amulette de Shokkoth; Anneau Rifique; Anneau des égarés; Menoture; Masque des Fonds marins; Corbacape Mastralis; Sandales des Fonds marins; Dofus des Glaces; Nomade; Vigoureux majeur; Sanguinaire majeur; Carapace Eau majeur; Remueur; Kramkram</t>
        </is>
      </c>
    </row>
    <row r="23867">
      <c r="A23867" t="inlineStr">
        <is>
          <t>Stuff 1</t>
        </is>
      </c>
      <c r="B23867">
        <f>HYPERLINK("https://www.dofusbook.net/fr/equipement/365460-stuff-1/objets", "link")</f>
        <v/>
      </c>
      <c r="C23867" t="n">
        <v>0</v>
      </c>
      <c r="D23867" t="inlineStr">
        <is>
          <t>Epée Gloursonne; Amulette du Strigide; Bague Gloursonne; Alliance Gloursonne; Ceinture de Kongoku; Boucle d'oreille de Kongoku; Cape de Kongoku; Bottes du Strigide; Dofus Ocre; Dofus Pourpre; Dofus des Glaces; Dolmanax; Dofus Turquoise; Puissant majeur; Dragodinde Prune et Emeraude</t>
        </is>
      </c>
    </row>
    <row r="23868">
      <c r="A23868" t="inlineStr">
        <is>
          <t>Stuff 3</t>
        </is>
      </c>
      <c r="B23868">
        <f>HYPERLINK("https://www.dofusbook.net/fr/equipement/365492-stuff-3/objets", "link")</f>
        <v/>
      </c>
      <c r="C23868" t="n">
        <v>0</v>
      </c>
      <c r="D23868" t="inlineStr">
        <is>
          <t>Harpelle; Pendentif mignon de Koutoulou; Anneau Tique; Anneau Rifique; Ceinture de Vortex; Chapeau de Gein; Cape de Diondin; Bottes Innommables; Dofus des Glaces; Observateur; Dévastateur Feu majeur; Nomade; Carapace Feu majeur; Remueur; Kramkram</t>
        </is>
      </c>
    </row>
    <row r="23869">
      <c r="A23869" t="inlineStr">
        <is>
          <t>Stuff 2</t>
        </is>
      </c>
      <c r="B23869">
        <f>HYPERLINK("https://www.dofusbook.net/fr/equipement/365455-stuff-2/objets", "link")</f>
        <v/>
      </c>
      <c r="C23869" t="n">
        <v>0</v>
      </c>
      <c r="D23869" t="inlineStr">
        <is>
          <t>Sceptre du Roi Joueur; Talisman Igans; Bracelet des Fonds marins; Alliance Gloursonne; Ceinture Glaciale; Bonnet Ko; Cape des Malveilleurs; Bottes Owesli; Dofus Ocre; Culbuteur majeur; Miraculé majeur; Nomade; Bousculeur majeur; Remueur; Dragodinde Emeraude et Rousse</t>
        </is>
      </c>
    </row>
    <row r="23870">
      <c r="A23870" t="inlineStr">
        <is>
          <t>Stuff 1</t>
        </is>
      </c>
      <c r="B23870">
        <f>HYPERLINK("https://www.dofusbook.net/fr/equipement/365487-stuff-1/objets", "link")</f>
        <v/>
      </c>
      <c r="C23870" t="n">
        <v>0</v>
      </c>
      <c r="D23870" t="inlineStr">
        <is>
          <t>Sabres d'Atcham; Amulette d'Otomaï; Anneau Tique; Gelano; Ceinture du Barbétoal; Masque du Barbétoal; Cape d'Atcham; Sandales  d'Atcham; Dofus des Glaces; Dofus Pourpre; Dofus Turquoise; Dofus Émeraude; Dofus Ocre; Paralyseur majeur; Phortiche</t>
        </is>
      </c>
    </row>
    <row r="23871">
      <c r="A23871" t="inlineStr">
        <is>
          <t>Stuff 3</t>
        </is>
      </c>
      <c r="B23871">
        <f>HYPERLINK("https://www.dofusbook.net/fr/equipement/365480-stuff-3/objets", "link")</f>
        <v/>
      </c>
      <c r="C23871" t="n">
        <v>0</v>
      </c>
      <c r="D23871" t="inlineStr">
        <is>
          <t>Marteau d'Henual; Amulette Héroclite; Chevalière du Roi Joueur; Bague Gloursonne; String Tue-Mouche; Chapeau Grave; Voile d'encre; Bottes du Roi Joueur; Dofus Ocre; Dofus Pourpre; Miraculé majeur; Remueur; Carapace Terre majeur; Vigoureux majeur; Muldo Ebène et Pourpre</t>
        </is>
      </c>
    </row>
    <row r="23872">
      <c r="A23872" t="inlineStr">
        <is>
          <t>Stuff 2</t>
        </is>
      </c>
      <c r="B23872">
        <f>HYPERLINK("https://www.dofusbook.net/fr/equipement/365512-stuff-2/objets", "link")</f>
        <v/>
      </c>
      <c r="C23872" t="n">
        <v>0</v>
      </c>
      <c r="D23872" t="inlineStr">
        <is>
          <t>Arc du Chalœil; Collier de Tourthon; Alliance du Lévitrof; Anneau Crustique; Sangle Hynère; Masque de Koutoulou; Cape au Logis; Bottes du Lévitrof; Dofus Pourpre; Remueur; Carapace Terre majeur; Vigoureux majeur; Miraculé majeur; Enragé majeur; Muldo Indigo et Pourpre</t>
        </is>
      </c>
    </row>
    <row r="23873">
      <c r="A23873" t="inlineStr">
        <is>
          <t>Stuff 1</t>
        </is>
      </c>
      <c r="B23873">
        <f>HYPERLINK("https://www.dofusbook.net/fr/equipement/365448-stuff-1/objets", "link")</f>
        <v/>
      </c>
      <c r="C23873" t="n">
        <v>0</v>
      </c>
      <c r="D23873" t="inlineStr">
        <is>
          <t>Pelle de la Cour Sombre; Amulette Voldelor; Anneau d'Allister; Alliance Gloursonne; Ceinture du Barbétoal; Dorabysses; Cape de Klime; Bottes Voldelor; Dofus Ocre; Dofus Turquoise; Miraculé majeur; Remueur; Cascadeur majeur; Nomade; Kwaltess</t>
        </is>
      </c>
    </row>
    <row r="23874">
      <c r="A23874" t="inlineStr">
        <is>
          <t>Stuff 1</t>
        </is>
      </c>
      <c r="B23874">
        <f>HYPERLINK("https://www.dofusbook.net/fr/equipement/365475-stuff-1/objets", "link")</f>
        <v/>
      </c>
      <c r="C23874" t="n">
        <v>0</v>
      </c>
      <c r="D23874" t="inlineStr">
        <is>
          <t>Épée du Granduk; Amulette du Granduk; Alliance Gloursonne; Anneau d'Allister; Ceinture Voldelor; Couronne d'Allister; Cape de la Fuji Givrefoux; Bottes d'Allister; Dokoko; Dofus Ocre; Dofus Émeraude; Dofus Pourpre; Equilibriste majeur; Acrobate majeur; Kwaltess</t>
        </is>
      </c>
    </row>
    <row r="23875">
      <c r="A23875" t="inlineStr">
        <is>
          <t>Stuff 3</t>
        </is>
      </c>
      <c r="B23875">
        <f>HYPERLINK("https://www.dofusbook.net/fr/equipement/365507-stuff-3/objets", "link")</f>
        <v/>
      </c>
      <c r="C23875" t="n">
        <v>0</v>
      </c>
      <c r="D23875" t="inlineStr">
        <is>
          <t>Manthache; Amibou; Alliance Gloursonne; Gant du Valet Veinard; Ceinture du Nocturlabe; Casque Dragoeuf; Capibou; Palmes Trithons; Dofus Ocre; Bousculeur majeur; Cascadeur majeur; Nomade; Culbuteur majeur; Remueur; Kwaltess</t>
        </is>
      </c>
    </row>
    <row r="23876">
      <c r="A23876" t="inlineStr">
        <is>
          <t>Stuff 2</t>
        </is>
      </c>
      <c r="B23876">
        <f>HYPERLINK("https://www.dofusbook.net/fr/equipement/365470-stuff-2/objets", "link")</f>
        <v/>
      </c>
      <c r="C23876" t="n">
        <v>0</v>
      </c>
      <c r="D23876" t="inlineStr">
        <is>
          <t>Épée du Granduk; Amulette du Strigide; Anneau d'Allister; Alliance Gloursonne; Ceinture Voldelor; Dorabysses; Cape du Kamasterisk; Bottes Voldelor; Dofus Ocre; Cascadeur majeur; Observateur; Nomade; Equilibriste majeur; Remueur; Kwaltess</t>
        </is>
      </c>
    </row>
    <row r="23877">
      <c r="A23877" t="inlineStr">
        <is>
          <t>Stuff 1</t>
        </is>
      </c>
      <c r="B23877">
        <f>HYPERLINK("https://www.dofusbook.net/fr/equipement/365502-stuff-1/objets", "link")</f>
        <v/>
      </c>
      <c r="C23877" t="n">
        <v>0</v>
      </c>
      <c r="D23877" t="inlineStr">
        <is>
          <t>Arc de Koutoulou; Amulette Voldelor; Alliance Gloursonne; Gant du Valet Veinard; Ceinture Voldelor; Kidibonnet; Cape d'Hel Munster; Pataugastrique; Dofus des Glaces; Dofus Pourpre; Vigoureux majeur; Nomade; Miraculé majeur; Carapace Air majeur; Kramkram</t>
        </is>
      </c>
    </row>
    <row r="23878">
      <c r="A23878" t="inlineStr">
        <is>
          <t>Stuff 3</t>
        </is>
      </c>
      <c r="B23878">
        <f>HYPERLINK("https://www.dofusbook.net/fr/equipement/365465-stuff-3/objets", "link")</f>
        <v/>
      </c>
      <c r="C23878" t="n">
        <v>0</v>
      </c>
      <c r="D23878" t="inlineStr">
        <is>
          <t>Marteau des Anciens Steamers; Amulette Voldelor; Grésilanneau; Alliance Gloursonne; Ceinture du Barbétoal; Masque des Fonds marins; Cape d'Hel Munster; Pataugastrique; Dofus Pourpre; Nomade; Vigoureux majeur; Observateur; Remueur; Cascadeur majeur; Kramkram</t>
        </is>
      </c>
    </row>
    <row r="23879">
      <c r="A23879" t="inlineStr">
        <is>
          <t>Stuff 2</t>
        </is>
      </c>
      <c r="B23879">
        <f>HYPERLINK("https://www.dofusbook.net/fr/equipement/365497-stuff-2/objets", "link")</f>
        <v/>
      </c>
      <c r="C23879" t="n">
        <v>0</v>
      </c>
      <c r="D23879" t="inlineStr">
        <is>
          <t>Arc de Koutoulou; Amulette de Shokkoth; Anneau des égarés; Anneau Rifique; Menoture; Masque des Fonds marins; Corbacape Mastralis; Sandales des Fonds marins; Dofus des Glaces; Remueur; Nomade; Vigoureux majeur; Sanguinaire majeur; Carapace Eau majeur; Kramkram</t>
        </is>
      </c>
    </row>
    <row r="23880">
      <c r="A23880" t="inlineStr">
        <is>
          <t>Stuff 1</t>
        </is>
      </c>
      <c r="B23880">
        <f>HYPERLINK("https://www.dofusbook.net/fr/equipement/365460-stuff-1/objets", "link")</f>
        <v/>
      </c>
      <c r="C23880" t="n">
        <v>0</v>
      </c>
      <c r="D23880" t="inlineStr">
        <is>
          <t>Epée Gloursonne; Amulette du Strigide; Alliance Gloursonne; Bague Gloursonne; Ceinture de Kongoku; Boucle d'oreille de Kongoku; Cape de Kongoku; Bottes du Strigide; Dofus Turquoise; Dofus Ocre; Dofus Pourpre; Dofus des Glaces; Dolmanax; Puissant majeur; Dragodinde Prune et Emeraude</t>
        </is>
      </c>
    </row>
    <row r="23881">
      <c r="A23881" t="inlineStr">
        <is>
          <t>Stuff 3</t>
        </is>
      </c>
      <c r="B23881">
        <f>HYPERLINK("https://www.dofusbook.net/fr/equipement/365492-stuff-3/objets", "link")</f>
        <v/>
      </c>
      <c r="C23881" t="n">
        <v>0</v>
      </c>
      <c r="D23881" t="inlineStr">
        <is>
          <t>Harpelle; Pendentif mignon de Koutoulou; Anneau Tique; Anneau Rifique; Ceinture de Vortex; Chapeau de Gein; Cape de Diondin; Bottes Innommables; Dofus des Glaces; Observateur; Dévastateur Feu majeur; Nomade; Carapace Feu majeur; Remueur; Kramkram</t>
        </is>
      </c>
    </row>
    <row r="23882">
      <c r="A23882" t="inlineStr">
        <is>
          <t>Stuff 2</t>
        </is>
      </c>
      <c r="B23882">
        <f>HYPERLINK("https://www.dofusbook.net/fr/equipement/365455-stuff-2/objets", "link")</f>
        <v/>
      </c>
      <c r="C23882" t="n">
        <v>0</v>
      </c>
      <c r="D23882" t="inlineStr">
        <is>
          <t>Sceptre du Roi Joueur; Talisman Igans; Bracelet des Fonds marins; Alliance Gloursonne; Ceinture Glaciale; Bonnet Ko; Cape des Malveilleurs; Bottes Owesli; Dofus Ocre; Culbuteur majeur; Miraculé majeur; Nomade; Bousculeur majeur; Remueur; Dragodinde Emeraude et Rousse</t>
        </is>
      </c>
    </row>
    <row r="23883">
      <c r="A23883" t="inlineStr">
        <is>
          <t>Stuff 1</t>
        </is>
      </c>
      <c r="B23883">
        <f>HYPERLINK("https://www.dofusbook.net/fr/equipement/365487-stuff-1/objets", "link")</f>
        <v/>
      </c>
      <c r="C23883" t="n">
        <v>0</v>
      </c>
      <c r="D23883" t="inlineStr">
        <is>
          <t>Sabres d'Atcham; Amulette d'Otomaï; Anneau Tique; Gelano; Ceinture du Barbétoal; Masque du Barbétoal; Cape d'Atcham; Sandales  d'Atcham; Dofus des Glaces; Dofus Pourpre; Dofus Turquoise; Dofus Émeraude; Dofus Ocre; Paralyseur majeur; Phortiche</t>
        </is>
      </c>
    </row>
    <row r="23884">
      <c r="A23884" t="inlineStr">
        <is>
          <t>Stuff 2</t>
        </is>
      </c>
      <c r="B23884">
        <f>HYPERLINK("https://www.dofusbook.net/fr/equipement/365482-stuff-2/objets", "link")</f>
        <v/>
      </c>
      <c r="C23884" t="n">
        <v>0</v>
      </c>
      <c r="D23884" t="inlineStr">
        <is>
          <t>Dagues de Srambad; Amulette du Strigide; Alliance Gloursonne; Bracelet du Piloztère; Ceinture de la Reine des Voleurs; Bonnet Ko; Grésilocape; Bottes du Strigide; Dofus Pourpre; Dolmanax; Dofus Ocre; Remueur; Nomade; Vigoureux majeur; Phortiche</t>
        </is>
      </c>
    </row>
    <row r="23885">
      <c r="A23885" t="inlineStr">
        <is>
          <t>Stuff 1</t>
        </is>
      </c>
      <c r="B23885">
        <f>HYPERLINK("https://www.dofusbook.net/fr/equipement/365514-stuff-1/objets", "link")</f>
        <v/>
      </c>
      <c r="C23885" t="n">
        <v>0</v>
      </c>
      <c r="D23885" t="inlineStr">
        <is>
          <t>Arc du Chalœil; Collier de Tourthon; Anneau Crustique; Anneau de Brouce; Sangle Hynère; Masque de Koutoulou; Cape au Logis; Sabots Minables; Carapace Air majeur; Vigoureux majeur; Carapace Eau majeur; Miraculé majeur; Carapace Terre majeur; Enragé majeur; Muldo Pourpre</t>
        </is>
      </c>
    </row>
    <row r="23886">
      <c r="A23886" t="inlineStr">
        <is>
          <t>Stuff 3</t>
        </is>
      </c>
      <c r="B23886">
        <f>HYPERLINK("https://www.dofusbook.net/fr/equipement/365450-stuff-3/objets", "link")</f>
        <v/>
      </c>
      <c r="C23886" t="n">
        <v>0</v>
      </c>
      <c r="D23886" t="inlineStr">
        <is>
          <t>Hache Euvale; Amulette Luminescente; Bracelet du Piloztère; Pikano; Ceinture Luminescente; Casquipik; Cape Luminescente; Pikottes; Dofus Pourpre; Dolmanax; Dofus Émeraude; Dofus Turquoise; Dofus Ocre; Dofus Cawotte; Muldo Pourpre</t>
        </is>
      </c>
    </row>
    <row r="23887">
      <c r="A23887" t="inlineStr">
        <is>
          <t>Stuff 3</t>
        </is>
      </c>
      <c r="B23887">
        <f>HYPERLINK("https://www.dofusbook.net/fr/equipement/365477-stuff-3/objets", "link")</f>
        <v/>
      </c>
      <c r="C23887" t="n">
        <v>0</v>
      </c>
      <c r="D23887" t="inlineStr">
        <is>
          <t>Arc Hétype; Amulette Séculaire; Gelano; Anneau Tique; Ceinture de Vortex; Cagoule de Vortex; Voile d'encre; Bottes d'Otomaï; Dofus Ocre; Dokoko; Érudit majeur; Astucieux majeur; Nomade; Remueur; Brûlih</t>
        </is>
      </c>
    </row>
    <row r="23888">
      <c r="A23888" t="inlineStr">
        <is>
          <t>Stuff 2</t>
        </is>
      </c>
      <c r="B23888">
        <f>HYPERLINK("https://www.dofusbook.net/fr/equipement/365509-stuff-2/objets", "link")</f>
        <v/>
      </c>
      <c r="C23888" t="n">
        <v>0</v>
      </c>
      <c r="D23888" t="inlineStr">
        <is>
          <t>Marteau des égarés; Amulette Ementaire Deluxe; Anneau Tique; Alliance Gloursonne; Ceinture du Strigide; Bonnet Ko; Dofusteuse; Bottes du Strigide; Dolmanax; Dofus Ocre; Dofus Pourpre; Nomade; Vigoureux majeur; Remueur; Muldo Ebène et Pourpre</t>
        </is>
      </c>
    </row>
    <row r="23889">
      <c r="A23889" t="inlineStr">
        <is>
          <t>Stuff 1</t>
        </is>
      </c>
      <c r="B23889">
        <f>HYPERLINK("https://www.dofusbook.net/fr/equipement/365445-stuff-1/objets", "link")</f>
        <v/>
      </c>
      <c r="C23889" t="n">
        <v>0</v>
      </c>
      <c r="D23889" t="inlineStr">
        <is>
          <t>Epée Maudite du Saigneur Guerrier; Amulette Ementaire Deluxe; Grésilanneau; Anneau du Père Fwetar; Ceinture du Strigide; Maskrobe; Cape du Chalœil; Bottes du Chalœil; Dofus Ocre; Dofus des Glaces; Dofus Pourpre; Vigoureux majeur; Remueur; Sanguinaire majeur; Kramkram</t>
        </is>
      </c>
    </row>
    <row r="23890">
      <c r="A23890" t="inlineStr">
        <is>
          <t>Stuff 1</t>
        </is>
      </c>
      <c r="B23890">
        <f>HYPERLINK("https://www.dofusbook.net/fr/equipement/365472-stuff-1/objets", "link")</f>
        <v/>
      </c>
      <c r="C23890" t="n">
        <v>0</v>
      </c>
      <c r="D23890" t="inlineStr">
        <is>
          <t>Pelle de la Cour Sombre; Amulette du Strigide; Alliance Gloursonne; Anneau de Pol Ouatnos; Ceinture de Klime; Casque Dragoeuf; Cape de Klime; Baleinabottes; Dofus Pourpre; Carapace Feu majeur; Cascadeur majeur; Miraculé majeur; Vigoureux majeur; Remueur; Kramkram</t>
        </is>
      </c>
    </row>
    <row r="23891">
      <c r="A23891" t="inlineStr">
        <is>
          <t>Stuff 3</t>
        </is>
      </c>
      <c r="B23891">
        <f>HYPERLINK("https://www.dofusbook.net/fr/equipement/365504-stuff-3/objets", "link")</f>
        <v/>
      </c>
      <c r="C23891" t="n">
        <v>0</v>
      </c>
      <c r="D23891" t="inlineStr">
        <is>
          <t>Hache Euvale; Amulette Luminescente; Bague Trithon; Anneau de Guten Tak; Ceinture Luminescente; Masque Trithon; Cape Luminescente; Bottes Trithon; Dolmanax; Dofus Pourpre; Dofus des Glaces; Dofus Émeraude; Dofus Ocre; Bousculeur majeur; Dragodinde Emeraude et Rousse</t>
        </is>
      </c>
    </row>
    <row r="23892">
      <c r="A23892" t="inlineStr">
        <is>
          <t>Stuff 2</t>
        </is>
      </c>
      <c r="B23892">
        <f>HYPERLINK("https://www.dofusbook.net/fr/equipement/365467-stuff-2/objets", "link")</f>
        <v/>
      </c>
      <c r="C23892" t="n">
        <v>0</v>
      </c>
      <c r="D23892" t="inlineStr">
        <is>
          <t>Arc Hétype; Collier de la Dame du Hasard; Anneau Tamie; Chevalière du Roi Joueur; Ceinture Hanium; Couronne du Roi Joueur; Cape de la Dame du Hasard; Bottes du Roi Joueur; Dofus Émeraude; Dofus Ocre; Entraveur majeur; Ralentisseur majeur; Astucieux majeur; Savant majeur; Dragodinde Emeraude et Rousse</t>
        </is>
      </c>
    </row>
    <row r="23893">
      <c r="A23893" t="inlineStr">
        <is>
          <t>Stuff 1</t>
        </is>
      </c>
      <c r="B23893">
        <f>HYPERLINK("https://www.dofusbook.net/fr/equipement/365499-stuff-1/objets", "link")</f>
        <v/>
      </c>
      <c r="C23893" t="n">
        <v>1</v>
      </c>
      <c r="D23893" t="inlineStr">
        <is>
          <t>Baguette de Malléfisk; Pendentif affamé; Anneau Rifique; Anneau de Nidas; Ceinture de Vortex; Casque Cyclopéen; Cape de Diondin; Bottes Innommables; Dofus des Glaces; Remueur; Dévastateur Feu majeur; Observateur; Carapace Eau majeur; Nomade; Dragodinde en armure</t>
        </is>
      </c>
    </row>
    <row r="23894">
      <c r="A23894" t="inlineStr">
        <is>
          <t>Stuff 3</t>
        </is>
      </c>
      <c r="B23894">
        <f>HYPERLINK("https://www.dofusbook.net/fr/equipement/365462-stuff-3/objets", "link")</f>
        <v/>
      </c>
      <c r="C23894" t="n">
        <v>0</v>
      </c>
      <c r="D23894" t="inlineStr">
        <is>
          <t>Marteau des Anciens Steamers; Amulette du Strigide; Alliance Gloursonne; Bracelet du Piloztère; Ceinture du Barbétoal; Boucle d'oreille de Kongoku; Cape de Kongoku; Bottes Voldelor; Dofus Turquoise; Dofus Pourpre; Dofus Ocre; Nomade; Remueur; Vigoureux majeur; Kramkram</t>
        </is>
      </c>
    </row>
    <row r="23895">
      <c r="A23895" t="inlineStr">
        <is>
          <t>Stuff 2</t>
        </is>
      </c>
      <c r="B23895">
        <f>HYPERLINK("https://www.dofusbook.net/fr/equipement/365494-stuff-2/objets", "link")</f>
        <v/>
      </c>
      <c r="C23895" t="n">
        <v>0</v>
      </c>
      <c r="D23895" t="inlineStr">
        <is>
          <t>Hache du Chalœil; Collier de la Dame du Hasard; Chevalière du Roi Joueur; Bracelet du Piloztère; Ceintacé; Chapeau de Gein; Voile d'encre; Bottes du Lévitrof; Dofus Ocre; Dofus Pourpre; Temporiseur majeur; Nomade; Entraveur majeur; Vigoureux majeur; Kramkram</t>
        </is>
      </c>
    </row>
    <row r="23896">
      <c r="A23896" t="inlineStr">
        <is>
          <t>Stuff 1</t>
        </is>
      </c>
      <c r="B23896">
        <f>HYPERLINK("https://www.dofusbook.net/fr/equipement/365457-stuff-1/objets", "link")</f>
        <v/>
      </c>
      <c r="C23896" t="n">
        <v>0</v>
      </c>
      <c r="D23896" t="inlineStr">
        <is>
          <t>Marteau d'Henual; Amulette du Cycloïde; Chevalière du Roi Joueur; Anneau d'Henual; Ceinture d'Henual; Couronne du Roi Joueur; Voile d'encre; Bottes du Roi Joueur; Dofus Ocre; Dofus des Glaces; Dolmanax; Dofus Pourpre; Robuste majeur; Féroce majeur; Kramkram</t>
        </is>
      </c>
    </row>
    <row r="23897">
      <c r="A23897" t="inlineStr">
        <is>
          <t>Stuff 3</t>
        </is>
      </c>
      <c r="B23897">
        <f>HYPERLINK("https://www.dofusbook.net/fr/equipement/365489-stuff-3/objets", "link")</f>
        <v/>
      </c>
      <c r="C23897" t="n">
        <v>0</v>
      </c>
      <c r="D23897" t="inlineStr">
        <is>
          <t>Arc Honte; Talisman Igans; Alliance du Lévitrof; Alliance Gloursonne; Ceinture Instable; Chapeau Lochon; Capille; Bottes Owesli; Dofus Pourpre; Dofus Ocre; Carapace Air majeur; Remueur; Vigoureux majeur; Nomade; Kwaltess</t>
        </is>
      </c>
    </row>
    <row r="23898">
      <c r="A23898" t="inlineStr">
        <is>
          <t>Stuff 2</t>
        </is>
      </c>
      <c r="B23898">
        <f>HYPERLINK("https://www.dofusbook.net/fr/equipement/365452-stuff-2/objets", "link")</f>
        <v/>
      </c>
      <c r="C23898" t="n">
        <v>0</v>
      </c>
      <c r="D23898" t="inlineStr">
        <is>
          <t>Épée du Granduk; Collier du Valet Veinard; Alliance Gloursonne; Gant du Valet Veinard; Ceinture du Barbétoal; Couronne d'Allister; Cape Routh; Bottes du Cycloïde; Dofus Ocre; Miraculé majeur; Nomade; Vigoureux majeur; Remueur; Cascadeur majeur; Kwaltess</t>
        </is>
      </c>
    </row>
    <row r="23899">
      <c r="A23899" t="inlineStr">
        <is>
          <t>Stuff 1</t>
        </is>
      </c>
      <c r="B23899">
        <f>HYPERLINK("https://www.dofusbook.net/fr/equipement/365484-stuff-1/objets", "link")</f>
        <v/>
      </c>
      <c r="C23899" t="n">
        <v>0</v>
      </c>
      <c r="D23899" t="inlineStr">
        <is>
          <t>Baguette de Malléfisk; Talisman Igans; Anneau Tique; Alliance Gloursonne; Ceinture du Barbétoal; Casqnoar; Voile d'encre; Bottes Owesli; Dolmanax; Dofus Ocre; Carapace Feu majeur; Remueur; Carapace Neutre majeur; Guérisseur majeur; Dragodinde Prune et Emeraude</t>
        </is>
      </c>
    </row>
    <row r="23900">
      <c r="A23900" t="inlineStr">
        <is>
          <t>Stuff 3</t>
        </is>
      </c>
      <c r="B23900">
        <f>HYPERLINK("https://www.dofusbook.net/fr/equipement/365447-stuff-3/objets", "link")</f>
        <v/>
      </c>
      <c r="C23900" t="n">
        <v>0</v>
      </c>
      <c r="D23900" t="inlineStr">
        <is>
          <t>Pelle de la Cour Sombre; Amulette Voldelor; Gant du Valet Veinard; Alliance Gloursonne; Ceinture du Barbétoal; Casque des égarés; Cape du Valet Veinard; Bottes du Cycloïde; Dofus Ocre; Dévastateur Air majeur; Nomade; Miraculé majeur; Remueur; Cascadeur majeur; Kwaltess</t>
        </is>
      </c>
    </row>
    <row r="23901">
      <c r="A23901" t="inlineStr">
        <is>
          <t>Stuff 2</t>
        </is>
      </c>
      <c r="B23901">
        <f>HYPERLINK("https://www.dofusbook.net/fr/equipement/365479-stuff-2/objets", "link")</f>
        <v/>
      </c>
      <c r="C23901" t="n">
        <v>0</v>
      </c>
      <c r="D23901" t="inlineStr">
        <is>
          <t>Bêche Asse; Amulette du Strigide; Bracelet du Piloztère; Anneau Chevelu; Ceinture de Kongoku; Coiffe d'Ogivol; Voile d'encre; Bottes du Strigide; Dofus Ocre; Temporiseur majeur; Entraveur majeur; Remueur; Enragé majeur; Nomade; Kwaltess</t>
        </is>
      </c>
    </row>
    <row r="23902">
      <c r="A23902" t="inlineStr">
        <is>
          <t>Stuff 1</t>
        </is>
      </c>
      <c r="B23902">
        <f>HYPERLINK("https://www.dofusbook.net/fr/equipement/365511-stuff-1/objets", "link")</f>
        <v/>
      </c>
      <c r="C23902" t="n">
        <v>0</v>
      </c>
      <c r="D23902" t="inlineStr">
        <is>
          <t>Arc du Chalœil; Amulette du Kamasterisk; Anneau des égarés; Anneau de Pol Ouatnos; Sangle Hynère; Coiffe de la Reine des Voleurs; Cape du Kamasterisk; Sabots Minables; Dofus des Glaces; Dofus Pourpre; Carapace Terre majeur; Vigoureux majeur; Enragé majeur; Remueur; Muldo Indigo et Orchidée</t>
        </is>
      </c>
    </row>
    <row r="23903">
      <c r="A23903" t="inlineStr">
        <is>
          <t>Stuff 3</t>
        </is>
      </c>
      <c r="B23903">
        <f>HYPERLINK("https://www.dofusbook.net/fr/equipement/365474-stuff-3/objets", "link")</f>
        <v/>
      </c>
      <c r="C23903" t="n">
        <v>0</v>
      </c>
      <c r="D23903" t="inlineStr">
        <is>
          <t>Arc Ontanporin; Amulette Voldelor; Bracelet des Fonds marins; Anneau Glacial; Ceinture Glaciale; Masque des Fonds marins; Cape Glaciale; Sandales des Fonds marins; Dofus Pourpre; Dokoko; Dofus Ocre; Joueur majeur; Examinateur; Taquin majeur; Kwaltess</t>
        </is>
      </c>
    </row>
    <row r="23904">
      <c r="A23904" t="inlineStr">
        <is>
          <t>Stuff 2</t>
        </is>
      </c>
      <c r="B23904">
        <f>HYPERLINK("https://www.dofusbook.net/fr/equipement/365506-stuff-2/objets", "link")</f>
        <v/>
      </c>
      <c r="C23904" t="n">
        <v>0</v>
      </c>
      <c r="D23904" t="inlineStr">
        <is>
          <t>Pelle de la Cour Sombre; Collier du Valet Veinard; Alliance Gloursonne; Gant du Valet Veinard; Ceinture du Nocturlabe; Couronne d'Allister; Cape des Malveilleurs; Palmes Trithons; Dofus Ocre; Nomade; Bousculeur majeur; Remueur; Culbuteur majeur; Cascadeur majeur; Kwaltess</t>
        </is>
      </c>
    </row>
    <row r="23905">
      <c r="A23905" t="inlineStr">
        <is>
          <t>Pvm full FORCE Cac</t>
        </is>
      </c>
      <c r="B23905">
        <f>HYPERLINK("https://www.dofusbook.net/fr/equipement/4240783-pvm-full-force-cac/objets", "link")</f>
        <v/>
      </c>
      <c r="C23905" t="n">
        <v>0</v>
      </c>
      <c r="D23905" t="inlineStr">
        <is>
          <t>Marteau R'ture; Amulette du Cœur Saignant; Anneau du Comte Harebourg; Anneau de Brouce; Bouclier du Captain Amakna; Ceinture de Brouce; Coiffe du Comte Harebourg; Cape au Logis; Bottes de Brouce; Dofus des Glaces; Dofus Ocre; Dofus Nébuleux; Dofus Pourpre; Dofus Turquoise; Forcené majeur; Kompost</t>
        </is>
      </c>
    </row>
    <row r="23906">
      <c r="A23906" t="inlineStr">
        <is>
          <t>Pvm full FORCE Arc</t>
        </is>
      </c>
      <c r="B23906">
        <f>HYPERLINK("https://www.dofusbook.net/fr/equipement/4238023-pvm-full-force-arc/objets", "link")</f>
        <v/>
      </c>
      <c r="C23906" t="n">
        <v>0</v>
      </c>
      <c r="D23906" t="inlineStr">
        <is>
          <t>Arc du Chalœil; Amulette du Cœur Saignant; Anneau de Brouce; Anneau du Comte Harebourg; Quatre-feuilles; Ceinture de Brouce; Coiffe du Comte Harebourg; Cape au Logis; Bottes de Brouce; Dofus Pourpre; Dofus Turquoise; Dofus des Glaces; Dofus Ocre; Dofus Nébuleux; Forcené majeur; Kompost</t>
        </is>
      </c>
    </row>
    <row r="23907">
      <c r="A23907" t="inlineStr">
        <is>
          <t>Babidi</t>
        </is>
      </c>
      <c r="B23907">
        <f>HYPERLINK("https://www.dofusbook.net/fr/equipement/3975460-babidi/objets", "link")</f>
        <v/>
      </c>
      <c r="C23907" t="n">
        <v>0</v>
      </c>
      <c r="D23907" t="inlineStr">
        <is>
          <t>Arc corrompu; Pendentif affamé; Anneauræus; Anneau Tique; Cadran de Terre; Ceinture de Vortex; Heaume Oplate; Cape Ardente; Chaussures Ardentes; Dofus Ivoire; Dofus Vulbis; Dofus Pourpre; Dofus Abyssal; Étourdisseur majeur; Érudit majeur; Chienchien Tigré</t>
        </is>
      </c>
    </row>
    <row r="23908">
      <c r="A23908" t="inlineStr">
        <is>
          <t>Sacridou</t>
        </is>
      </c>
      <c r="B23908">
        <f>HYPERLINK("https://www.dofusbook.net/fr/equipement/3941833-sacridou/objets", "link")</f>
        <v/>
      </c>
      <c r="C23908" t="n">
        <v>0</v>
      </c>
      <c r="D23908" t="inlineStr">
        <is>
          <t>Manthache; Collier du Valet Veinard; Alliance Gloursonne; Gant du Valet Veinard; Bouclier d'Ilyzaelle; Menoture; Casque Dragoeuf; Cape Indescriptible; Palmes Trithons; Dofus Ivoire; Dofus Émeraude; Dofus Ocre; Dofus Abyssal; Cascadeur majeur; Miraculé majeur; Muldo Ebène</t>
        </is>
      </c>
    </row>
    <row r="23909">
      <c r="A23909" t="inlineStr">
        <is>
          <t>Yop</t>
        </is>
      </c>
      <c r="B23909">
        <f>HYPERLINK("https://www.dofusbook.net/fr/equipement/3938797-yop/objets", "link")</f>
        <v/>
      </c>
      <c r="C23909" t="n">
        <v>0</v>
      </c>
      <c r="D23909" t="inlineStr">
        <is>
          <t>Arc du Chalœil; Amulette du Strigide; Bague Gloursonne; Anneau Chevelu; Quatre-feuilles; Ceinture du Strigide; Masque de Koutoulou; Cape au Logis; Bottes du Cœur Saignant; Dofus Pourpre; Dofus Ocre; Dofus Abyssal; Dofus Émeraude; Dofus Ivoire; Carapace Terre majeur</t>
        </is>
      </c>
    </row>
    <row r="23910">
      <c r="A23910" t="inlineStr">
        <is>
          <t>PvP Koli Intell</t>
        </is>
      </c>
      <c r="B23910">
        <f>HYPERLINK("https://www.dofusbook.net/fr/equipement/3883577-pvp-koli-intell/objets", "link")</f>
        <v/>
      </c>
      <c r="C23910" t="n">
        <v>6</v>
      </c>
      <c r="D23910" t="inlineStr">
        <is>
          <t>Arc corrompu; Pendentif affamé; Anneau Tique; Anneauræus; Cadran de Terre; Ceinture de Vortex; Heaume Oplate; Cape Ardente; Chaussures Ardentes; Dofus Pourpre; Dofus Ocre; Dofus Abyssal; Dofus Ivoire; Érudit majeur; Étourdisseur majeur; Muldo Orchidée</t>
        </is>
      </c>
    </row>
    <row r="23911">
      <c r="A23911" t="inlineStr">
        <is>
          <t>Ouginak M 200</t>
        </is>
      </c>
      <c r="B23911">
        <f>HYPERLINK("https://www.dofusbook.net/fr/equipement/3259695-ouginak-m-200/objets", "link")</f>
        <v/>
      </c>
      <c r="C23911" t="n">
        <v>1</v>
      </c>
      <c r="D23911" t="inlineStr">
        <is>
          <t>Manthache; Collier du Valet Veinard; Gant du Valet Veinard; Alliance Gloursonne; Bouclier d'Ilyzaelle; Menoture; Casque Dragoeuf; Cape Indescriptible; Palmes Trithons; Dofus Émeraude; Dofus Abyssal; Dofus Pourpre; Dofus Ivoire; Dofus Ocre; Cascadeur majeur</t>
        </is>
      </c>
    </row>
    <row r="23912">
      <c r="A23912" t="inlineStr">
        <is>
          <t>Pandidou</t>
        </is>
      </c>
      <c r="B23912">
        <f>HYPERLINK("https://www.dofusbook.net/fr/equipement/3938316-pandidou/objets", "link")</f>
        <v/>
      </c>
      <c r="C23912" t="n">
        <v>0</v>
      </c>
      <c r="D23912" t="inlineStr">
        <is>
          <t>Sceptre du Roi Joueur; Amulette de Shokkoth; Alliance Gloursonne; Bracelet des Fonds marins; Bouclier du Stalak; Poulpagne; Capuche de l'Œil Attentif; Cape de l'Œil Attentif; Bottes du Sinistrofu; Dofus Pourpre; Dofus Ocre; Dofus Abyssal; Dofus Émeraude; Dofus Ivoire; Carapace Eau majeur; Muldo Indigo</t>
        </is>
      </c>
    </row>
    <row r="23913">
      <c r="A23913" t="inlineStr">
        <is>
          <t>Ouginak M 200</t>
        </is>
      </c>
      <c r="B23913">
        <f>HYPERLINK("https://www.dofusbook.net/fr/equipement/3259698-ouginak-m-200/objets", "link")</f>
        <v/>
      </c>
      <c r="C23913" t="n">
        <v>0</v>
      </c>
      <c r="D23913" t="inlineStr">
        <is>
          <t>Karnak; Collier du Valet Veinard; Alliance Gloursonne; Gant du Valet Veinard; Bouclier d'Ilyzaelle; Menoture; Dorabysses; Cape du Kamasterisk; Palmes Trithons; Dofus Pourpre; Dofus Ivoire; Dofus Ocre; Dofus Émeraude; Dofus Abyssal; Cascadeur majeur; Dragodinde Ebène et Ivoire</t>
        </is>
      </c>
    </row>
    <row r="23914">
      <c r="A23914" t="inlineStr">
        <is>
          <t>fdzedezr</t>
        </is>
      </c>
      <c r="B23914">
        <f>HYPERLINK("https://www.dofusbook.net/fr/equipement/3094864-fdzedezr/objets", "link")</f>
        <v/>
      </c>
      <c r="C23914" t="n">
        <v>0</v>
      </c>
      <c r="D23914" t="inlineStr"/>
    </row>
    <row r="23915">
      <c r="A23915" t="inlineStr">
        <is>
          <t>Multi</t>
        </is>
      </c>
      <c r="B23915">
        <f>HYPERLINK("https://www.dofusbook.net/fr/equipement/3051999-multi-/objets", "link")</f>
        <v/>
      </c>
      <c r="C23915" t="n">
        <v>0</v>
      </c>
      <c r="D23915" t="inlineStr">
        <is>
          <t>Bâton Beau; Amulette du Strigide; Alliance Gloursonne; Bracelet du Piloztère; Bouclier cubiste; Ceintacé; Maskrobe; Cape des Justiciers; Bottes du Strigide; Dofus Pourpre; Dofus Turquoise; Nomade; Vigoureux majeur; Remueur; Enragé majeur; Kramkram</t>
        </is>
      </c>
    </row>
    <row r="23916">
      <c r="A23916" t="inlineStr">
        <is>
          <t>Multi</t>
        </is>
      </c>
      <c r="B23916">
        <f>HYPERLINK("https://www.dofusbook.net/fr/equipement/3051607-multi/objets", "link")</f>
        <v/>
      </c>
      <c r="C23916" t="n">
        <v>0</v>
      </c>
      <c r="D23916" t="inlineStr">
        <is>
          <t>Epée Gloursonne; Amulette du Strigide; Bague Gloursonne; Alliance Gloursonne; Bouclier cubiste; Ceinture du Strigide; Maskrobe; Cape des Justiciers; Bottes du Strigide; Dofus Pourpre; Dofus Turquoise; Ravageur Neutre majeur; Puissant majeur; Examinateur; Muldo Prune et Emeraude</t>
        </is>
      </c>
    </row>
    <row r="23917">
      <c r="A23917" t="inlineStr">
        <is>
          <t>aaa</t>
        </is>
      </c>
      <c r="B23917">
        <f>HYPERLINK("https://www.dofusbook.net/fr/equipement/3001041-aaa/objets", "link")</f>
        <v/>
      </c>
      <c r="C23917" t="n">
        <v>0</v>
      </c>
      <c r="D23917" t="inlineStr">
        <is>
          <t>La Baguette des Limbes; Ougamulette; Mitaine Aibre; Gelano; Tranche des Sous-bois; Dora Bora; Capignon; Chaussons Pignons; Dofus Cawotte; Observateur; Remueur; Nomade; Tifoux</t>
        </is>
      </c>
    </row>
    <row r="23918">
      <c r="A23918" t="inlineStr">
        <is>
          <t>Multi 2.45</t>
        </is>
      </c>
      <c r="B23918">
        <f>HYPERLINK("https://www.dofusbook.net/fr/equipement/2826078-multi-2-45/objets", "link")</f>
        <v/>
      </c>
      <c r="C23918" t="n">
        <v>0</v>
      </c>
      <c r="D23918" t="inlineStr">
        <is>
          <t>Marteau des égarés; Amulette du Strigide; Alliance Gloursonne; Bracelet du Piloztère; Bouclier cubiste; Ceinture du Strigide; Maskrobe; Cape des Justiciers; Bottes du Chalœil; Dofus Pourpre; Dofus Ocre; Dofus Turquoise; Nomade; Remueur; Vigoureux majeur; Kramkram</t>
        </is>
      </c>
    </row>
    <row r="23919">
      <c r="A23919" t="inlineStr">
        <is>
          <t>Full Feu</t>
        </is>
      </c>
      <c r="B23919">
        <f>HYPERLINK("https://www.dofusbook.net/fr/equipement/2655290-full-feu/objets", "link")</f>
        <v/>
      </c>
      <c r="C23919" t="n">
        <v>0</v>
      </c>
      <c r="D23919" t="inlineStr">
        <is>
          <t>Arc corrompu; Pendentif affamé; Anneau de Padgref; Anneau Cryochrone; Bouclier du Cycloïde; Ceinture Séculaire; Coiffe Séculaire; Cape de Diondin; Bottes Innommables; Dofus Turquoise; Guérisseur majeur; Remueur; Érudit majeur; Astucieux majeur; Nomade; Dragodinde Prune et Orchidée</t>
        </is>
      </c>
    </row>
    <row r="23920">
      <c r="A23920" t="inlineStr">
        <is>
          <t>Sagesse</t>
        </is>
      </c>
      <c r="B23920">
        <f>HYPERLINK("https://www.dofusbook.net/fr/equipement/2944439-sagesse/objets", "link")</f>
        <v/>
      </c>
      <c r="C23920" t="n">
        <v>0</v>
      </c>
      <c r="D23920" t="inlineStr">
        <is>
          <t>Epée Kari; Ougamulette; Annolamour; Anneau Colerette; Ougature; Dora Bora; Capignon; Chaussons Pignons; Dofus Cawotte; Miraculé majeur; Tifoux</t>
        </is>
      </c>
    </row>
    <row r="23921">
      <c r="A23921" t="inlineStr">
        <is>
          <t>Ret PM</t>
        </is>
      </c>
      <c r="B23921">
        <f>HYPERLINK("https://www.dofusbook.net/fr/equipement/2825901-ret-pm/objets", "link")</f>
        <v/>
      </c>
      <c r="C23921" t="n">
        <v>0</v>
      </c>
      <c r="D23921" t="inlineStr">
        <is>
          <t>Arc Hétype; Amulette du Glourséleste; Pikano; Anneau Tamie; Bouclier cubiste; Ceinture Instable; Casquipik; Cape de Léthaline; Pantoufles Émar; Temporiseur majeur; Remueur; Miraculé majeur; Entraveur; Temporiseur; Entraveur majeur; Kwaltess</t>
        </is>
      </c>
    </row>
    <row r="23922">
      <c r="A23922" t="inlineStr">
        <is>
          <t>Air Feu Res</t>
        </is>
      </c>
      <c r="B23922">
        <f>HYPERLINK("https://www.dofusbook.net/fr/equipement/2888828-air-feu-res/objets", "link")</f>
        <v/>
      </c>
      <c r="C23922" t="n">
        <v>0</v>
      </c>
      <c r="D23922" t="inlineStr">
        <is>
          <t>Baguette Hernelle; Amulette Séculaire; Kralano; Anneau Tique; Bouclier du Cycloïde; Ceinture de Vortex; Cagoule de Vortex; Cape Hiculteur; Pantoufles Émar; Guérisseur majeur; Cascadeur majeur; Vigoureux majeur; Remueur; Érudit majeur; Nomade; Kramkram</t>
        </is>
      </c>
    </row>
    <row r="23923">
      <c r="A23923" t="inlineStr">
        <is>
          <t>Multi Do Cri</t>
        </is>
      </c>
      <c r="B23923">
        <f>HYPERLINK("https://www.dofusbook.net/fr/equipement/2856036-multi-do-cri/objets", "link")</f>
        <v/>
      </c>
      <c r="C23923" t="n">
        <v>1</v>
      </c>
      <c r="D23923" t="inlineStr">
        <is>
          <t>Sabres d'Atcham; Amulette du Strigide; Bague Trithon; Bracelet du Piloztère; Cadran d'Air; Ceinture du Strigide; Masque Trithon; Cape d'Atcham; Bottes Trithon; Dofus Ocre; Dofus Ivoire; Dofus Pourpre; Dofus des Glaces; Dofus Turquoise; Dofus Nébuleux; Muldo Prune et Emeraude</t>
        </is>
      </c>
    </row>
    <row r="23924">
      <c r="A23924" t="inlineStr">
        <is>
          <t>ouaich</t>
        </is>
      </c>
      <c r="B23924">
        <f>HYPERLINK("https://www.dofusbook.net/fr/equipement/2849796-ouaich/objets", "link")</f>
        <v/>
      </c>
      <c r="C23924" t="n">
        <v>0</v>
      </c>
      <c r="D23924" t="inlineStr">
        <is>
          <t>Manthache; Collier du Valet Veinard; Alliance Gloursonne; Gant du Valet Veinard; Bouclier du Stalak; Menoture; Couronne d'Allister; Cape Indescriptible; Palmes Trithons; Dofus des Glaces; Cascadeur majeur; Nomade; Equilibriste majeur; Remueur; Dévastateur Air majeur; Siroko</t>
        </is>
      </c>
    </row>
    <row r="23925">
      <c r="A23925" t="inlineStr">
        <is>
          <t>PVPM</t>
        </is>
      </c>
      <c r="B23925">
        <f>HYPERLINK("https://www.dofusbook.net/fr/equipement/2826001-pvpm/objets", "link")</f>
        <v/>
      </c>
      <c r="C23925" t="n">
        <v>0</v>
      </c>
      <c r="D23925" t="inlineStr">
        <is>
          <t>Rapière aux Glyphes; Amulette du Sinistrofu; Alliance Gloursonne; Bracelet du Piloztère; Bouclier du Stalak; Sangle Ouare; Kidibonnet; Cape Matelassée; Bottes du Sinistrofu; Taquin majeur; Chanceux majeur; Précurseur majeur; Nomade; Fonceur majeur; Remueur; Kramkram</t>
        </is>
      </c>
    </row>
    <row r="23926">
      <c r="A23926" t="inlineStr">
        <is>
          <t>PVM</t>
        </is>
      </c>
      <c r="B23926">
        <f>HYPERLINK("https://www.dofusbook.net/fr/equipement/2733793-pvm/objets", "link")</f>
        <v/>
      </c>
      <c r="C23926" t="n">
        <v>0</v>
      </c>
      <c r="D23926" t="inlineStr">
        <is>
          <t>Epée Gloursonne; Amulette du Strigide; Alliance Gloursonne; Bague Gloursonne; Bouclier du Captain Amakna; Ceinture du Strigide; Némès de Tal Kasha; Chevelure de Tal Kasha; Sandales de Tal Kasha; Dofus Émeraude; Dofus Ocre; Dofus Nébuleux; Dofus Pourpre; Dofus des Glaces; Dofus Turquoise; Muldo Prune et Emeraude</t>
        </is>
      </c>
    </row>
    <row r="23927">
      <c r="A23927" t="inlineStr">
        <is>
          <t>Stuff 1</t>
        </is>
      </c>
      <c r="B23927">
        <f>HYPERLINK("https://www.dofusbook.net/fr/equipement/2826047-stuff-1/objets", "link")</f>
        <v/>
      </c>
      <c r="C23927" t="n">
        <v>0</v>
      </c>
      <c r="D23927" t="inlineStr">
        <is>
          <t>Arc Nécrotique; Collier de la Dame du Hasard; Anneau Tamie; Pikano; Bouclier cubiste; Ceinture Glaciale; Capuche de l'Œil Putride; Cape de Meno; Bottes de Meno; Érudit majeur; Remueur; Entraveur majeur; Chanceux majeur; Temporiseur majeur; Observateur; Muldo Orchidée et Pourpre</t>
        </is>
      </c>
    </row>
    <row r="23928">
      <c r="A23928" t="inlineStr">
        <is>
          <t>RetPM</t>
        </is>
      </c>
      <c r="B23928">
        <f>HYPERLINK("https://www.dofusbook.net/fr/equipement/2739394-retpm/objets", "link")</f>
        <v/>
      </c>
      <c r="C23928" t="n">
        <v>0</v>
      </c>
      <c r="D23928" t="inlineStr">
        <is>
          <t>Marteau R'ture; Amulette du Glourséleste; Pikano; Anneau Tamie; Bouclier cubiste; Ceinture Instable; Casquipik; Cape de Kongoku; Pantoufles Émar; Nomade; Entraveur majeur; Temporiseur; Temporiseur majeur; Remueur; Ralentisseur majeur; Kwaltess</t>
        </is>
      </c>
    </row>
    <row r="23929">
      <c r="A23929" t="inlineStr">
        <is>
          <t>PVM</t>
        </is>
      </c>
      <c r="B23929">
        <f>HYPERLINK("https://www.dofusbook.net/fr/equipement/2729351-pvm/objets", "link")</f>
        <v/>
      </c>
      <c r="C23929" t="n">
        <v>0</v>
      </c>
      <c r="D23929" t="inlineStr">
        <is>
          <t>Dagoulinantes; Collier de la Dame du Hasard; Alliance Gloursonne; Pikano; Bouclier cubiste; Ceinture Glaciale; Kidibonnet; Cape de Léthaline; Pikottes; Remueur; Temporiseur majeur; Ralentisseur majeur; Chanceux majeur; Entraveur majeur; Temporiseur; Muldo Indigo et Pourpre</t>
        </is>
      </c>
    </row>
    <row r="23930">
      <c r="A23930" t="inlineStr">
        <is>
          <t>Multi Do Cri</t>
        </is>
      </c>
      <c r="B23930">
        <f>HYPERLINK("https://www.dofusbook.net/fr/equipement/2676651-multi-do-cri/objets", "link")</f>
        <v/>
      </c>
      <c r="C23930" t="n">
        <v>0</v>
      </c>
      <c r="D23930" t="inlineStr">
        <is>
          <t>Dagoulinantes; Amulette du Strigide; Bracelet du Piloztère; Anneau de Padgref; Bouclier du Captain Amakna; Pagne du Rykaon; Némès de Tal Kasha; Chevelure de Tal Kasha; Pataugastrique; Dofus Pourpre; Dofus des Glaces; Dofus Turquoise; Dofus Ocre; Nomade; Vigoureux majeur; Kramkram</t>
        </is>
      </c>
    </row>
    <row r="23931">
      <c r="A23931" t="inlineStr">
        <is>
          <t>PadTchamStri</t>
        </is>
      </c>
      <c r="B23931">
        <f>HYPERLINK("https://www.dofusbook.net/fr/equipement/2676854-padtchamstri/objets", "link")</f>
        <v/>
      </c>
      <c r="C23931" t="n">
        <v>0</v>
      </c>
      <c r="D23931" t="inlineStr">
        <is>
          <t>Sabres d'Atcham; Amulette du Strigide; Anneau de Padgref; Bouclier du Captain Amakna; Ceinture du Strigide; Coiffe de Padgref; Sandales  d'Atcham; Dofus Turquoise; Dofus Ocre; Dofus Pourpre; Dofus des Glaces; Kramkram</t>
        </is>
      </c>
    </row>
    <row r="23932">
      <c r="A23932" t="inlineStr">
        <is>
          <t>Terre eau</t>
        </is>
      </c>
      <c r="B23932">
        <f>HYPERLINK("https://www.dofusbook.net/fr/equipement/2676644-terre-eau/objets", "link")</f>
        <v/>
      </c>
      <c r="C23932" t="n">
        <v>0</v>
      </c>
      <c r="D23932" t="inlineStr">
        <is>
          <t>Arc Ahique; Amulette de l'Indicible; Bague Gloursonne; Bracelet du Piloztère; Bouclier du Stalak; Ceinture de la Reine des Voleurs; Masque de Koutoulou; Voile d'encre; Bottes de la Reine des Voleurs; Dofus des Glaces; Dofus Pourpre; Remueur; Robuste majeur; Vigoureux majeur; Nomade; Kramkram</t>
        </is>
      </c>
    </row>
    <row r="23933">
      <c r="A23933" t="inlineStr">
        <is>
          <t>Full Feu</t>
        </is>
      </c>
      <c r="B23933">
        <f>HYPERLINK("https://www.dofusbook.net/fr/equipement/2655291-full-feu/objets", "link")</f>
        <v/>
      </c>
      <c r="C23933" t="n">
        <v>0</v>
      </c>
      <c r="D23933" t="inlineStr">
        <is>
          <t>Arc corrompu; Pendentif affamé; Anneau de Padgref; Kralano; Bouclier du Cycloïde; Ceinture Séculaire; Coiffe Séculaire; Cape de Diondin; Bottes Innommables; Guérisseur majeur; Remueur; Érudit majeur; Astucieux majeur; Nomade; Guérisseur; Muldo Orchidée et Amande</t>
        </is>
      </c>
    </row>
    <row r="23934">
      <c r="A23934" t="inlineStr">
        <is>
          <t>Multi Res 2.45</t>
        </is>
      </c>
      <c r="B23934">
        <f>HYPERLINK("https://www.dofusbook.net/fr/equipement/2655153-multi-res-2-45/objets", "link")</f>
        <v/>
      </c>
      <c r="C23934" t="n">
        <v>0</v>
      </c>
      <c r="D23934" t="inlineStr">
        <is>
          <t>Baguette Héroclite; Amulette du Strigide; Bracelet du Piloztère; Alliance Gloursonne; Quatre-feuilles; Ceintacé; Le Dorado; Voile d'encre; Bottes du Strigide; Dolmanax; Dofus des Glaces; Dofus Pourpre; Dofus Turquoise; Vigoureux majeur; Nomade; Kramkram</t>
        </is>
      </c>
    </row>
    <row r="23935">
      <c r="A23935" t="inlineStr">
        <is>
          <t>Eni feu</t>
        </is>
      </c>
      <c r="B23935">
        <f>HYPERLINK("https://www.dofusbook.net/fr/equipement/2654802-eni-feu/objets", "link")</f>
        <v/>
      </c>
      <c r="C23935" t="n">
        <v>0</v>
      </c>
      <c r="D23935" t="inlineStr">
        <is>
          <t>Harpelle; Amulette d'Otomaï; Anneauræus; Lavanneau; Bouclier du Cycloïde; Ceinture Séculaire; Coiffe Séculaire; Cape de Diondin; Bottes Innommables; Dofus Pourpre; Docteur majeur; Nomade; Érudit majeur; Remueur; Guérisseur majeur; Muldo Doré et Orchidée</t>
        </is>
      </c>
    </row>
    <row r="23936">
      <c r="A23936" t="inlineStr">
        <is>
          <t>Stuff feu</t>
        </is>
      </c>
      <c r="B23936">
        <f>HYPERLINK("https://www.dofusbook.net/fr/equipement/2654305-stuff-feu/objets", "link")</f>
        <v/>
      </c>
      <c r="C23936" t="n">
        <v>0</v>
      </c>
      <c r="D23936" t="inlineStr">
        <is>
          <t>Dagues Imauve; Amulette d'Otomaï; Lavanneau; Anneauræus; Carapar; Ceinture Séculaire; Coiffe Séculaire; Cape de Diondin; Bottes d'Otomaï; Dofus des Glaces; Dofus Pourpre; Dofus Turquoise; Dofus des Veilleurs; Dofus Ocre; Soigneur majeur; Dragodinde Prune et Emeraude</t>
        </is>
      </c>
    </row>
    <row r="23937">
      <c r="A23937" t="inlineStr">
        <is>
          <t>Stuff 2</t>
        </is>
      </c>
      <c r="B23937">
        <f>HYPERLINK("https://www.dofusbook.net/fr/equipement/2654280-stuff-2/objets", "link")</f>
        <v/>
      </c>
      <c r="C23937" t="n">
        <v>0</v>
      </c>
      <c r="D23937" t="inlineStr">
        <is>
          <t>Épée d'Otomaï; Amulette d'Otomaï; Kralano; Bague Gloursonne; Ceinture d'Ogivol; Coiffe d'Ogivol; Cape d'Ogivol; Bottes d'Otomaï; Dofus Turquoise; Dofus Ocre; Dragodinde Prune et Emeraude</t>
        </is>
      </c>
    </row>
    <row r="23938">
      <c r="A23938" t="inlineStr">
        <is>
          <t>Stuff 3</t>
        </is>
      </c>
      <c r="B23938">
        <f>HYPERLINK("https://www.dofusbook.net/fr/equipement/2654286-stuff-3/objets", "link")</f>
        <v/>
      </c>
      <c r="C23938" t="n">
        <v>0</v>
      </c>
      <c r="D23938" t="inlineStr">
        <is>
          <t>Baguette Hernelle; Amulette d'Otomaï; Anneau Aimgéroks; Anneau de Padgref; Ceinture de Léthaline; Coiffe de Padgref; Voile d'encre; Getas de Padgref; Dofus Kaliptus; Dofus Cawotte; Savant majeur; Fuyard majeur; Soigneur majeur; Ravageur Feu majeur; Dragodinde Prune et Emeraude</t>
        </is>
      </c>
    </row>
    <row r="23939">
      <c r="A23939" t="inlineStr">
        <is>
          <t>Stuff 1</t>
        </is>
      </c>
      <c r="B23939">
        <f>HYPERLINK("https://www.dofusbook.net/fr/equipement/2654279-stuff-1/objets", "link")</f>
        <v/>
      </c>
      <c r="C23939" t="n">
        <v>0</v>
      </c>
      <c r="D23939" t="inlineStr">
        <is>
          <t>Rouleau à Pâtisserie d'Aermyne; Racine Hueuse; Bracelet Ming; Bracelet Ming; Ceinture de Léthaline; Coiffe d'Aermyne; Cape d'Aermyne; Bottes de Léthaline; Dofus Ocre; Dofus Turquoise; Dofus Vulbis; Dofus Cawotte; Fuyard majeur; Engourdisseur majeur; Dragodinde Emeraude et Rousse</t>
        </is>
      </c>
    </row>
    <row r="23940">
      <c r="A23940" t="inlineStr">
        <is>
          <t>Stuff 3</t>
        </is>
      </c>
      <c r="B23940">
        <f>HYPERLINK("https://www.dofusbook.net/fr/equipement/2654281-stuff-3/objets", "link")</f>
        <v/>
      </c>
      <c r="C23940" t="n">
        <v>0</v>
      </c>
      <c r="D23940" t="inlineStr">
        <is>
          <t>Epée Toche; Amulette du Glourséleste; Bague Gloursonne; Anneau de Brouce; Ceinture de Brouce; Coiffe du Glourséleste; Voile d'encre; Bottes de Brouce; Dofus Turquoise; Dofus Cawotte; Dofus Ocre; Engourdisseur majeur; Savant majeur; Ravageur Feu majeur; Dragodinde Emeraude et Rousse</t>
        </is>
      </c>
    </row>
    <row r="23941">
      <c r="A23941" t="inlineStr">
        <is>
          <t>Terre</t>
        </is>
      </c>
      <c r="B23941">
        <f>HYPERLINK("https://www.dofusbook.net/fr/equipement/5862069-terre/objets", "link")</f>
        <v/>
      </c>
      <c r="C23941" t="n">
        <v>1</v>
      </c>
      <c r="D23941" t="inlineStr">
        <is>
          <t>Dagues Érhy; Amulette du Strigide; Anneau de Brouce; Anneau Chevelu; Carapar; Ceinture de Brouce; Masque de Koutoulou; Cape au Logis; Baleinabottes; Dolmanax; Dofus Abyssal; Dofus Émeraude; Dofus Pourpre; Remueur; Nomade; Givrefoux</t>
        </is>
      </c>
    </row>
    <row r="23942">
      <c r="A23942" t="inlineStr">
        <is>
          <t>Mere eau</t>
        </is>
      </c>
      <c r="B23942">
        <f>HYPERLINK("https://www.dofusbook.net/fr/equipement/5966773-mere-eau/objets", "link")</f>
        <v/>
      </c>
      <c r="C23942" t="n">
        <v>1</v>
      </c>
      <c r="D23942" t="inlineStr">
        <is>
          <t>Pelle Gicque; Amulette de Shokkoth; Anneau de Pol Ouatnos; Alliance Gloursonne; Bouclier précieux; Ceintacé; Casque Dragoeuf; Cape du Sinistrofu; Bottes du Sinistrofu; Dofus Abyssal; Dofus Pourpre; Dofus Émeraude; Remueur; Miraculé majeur; Chanceux majeur; Muldo Indigo et Pourpre</t>
        </is>
      </c>
    </row>
    <row r="23943">
      <c r="A23943" t="inlineStr">
        <is>
          <t>Mere air</t>
        </is>
      </c>
      <c r="B23943">
        <f>HYPERLINK("https://www.dofusbook.net/fr/equipement/5966694-mere-air/objets", "link")</f>
        <v/>
      </c>
      <c r="C23943" t="n">
        <v>0</v>
      </c>
      <c r="D23943" t="inlineStr">
        <is>
          <t>Manthache; Collier du Valet Veinard; Alliance Gloursonne; Gant du Valet Veinard; Bouclier précieux; Ceinture Rasboulaire du Rasboul; Casque Dragoeuf; Cape Matelassée; Baleinabottes; Dofus Émeraude; Dofus Abyssal; Dofus Pourpre; Dokoko; Cascadeur majeur; Miraculé majeur; Dragodinde Ebène et Ivoire</t>
        </is>
      </c>
    </row>
    <row r="23944">
      <c r="A23944" t="inlineStr">
        <is>
          <t>Mere terre</t>
        </is>
      </c>
      <c r="B23944">
        <f>HYPERLINK("https://www.dofusbook.net/fr/equipement/5966745-mere-terre/objets", "link")</f>
        <v/>
      </c>
      <c r="C23944" t="n">
        <v>1</v>
      </c>
      <c r="D23944" t="inlineStr">
        <is>
          <t>Arc du Chalœil; Collier de Tourthon; Anneau Chevelu; Bague Gloursonne; Quatre-feuilles; Ceinture Volkorne; Masque de Koutoulou; Cape au Logis; Baleinabottes; Dokoko; Dofus Émeraude; Dofus Abyssal; Dofus Pourpre; Dofus Turquoise; Enragé majeur; Dragodinde Ivoire et Pourpre</t>
        </is>
      </c>
    </row>
    <row r="23945">
      <c r="A23945" t="inlineStr">
        <is>
          <t>Air</t>
        </is>
      </c>
      <c r="B23945">
        <f>HYPERLINK("https://www.dofusbook.net/fr/equipement/5859050-air/objets", "link")</f>
        <v/>
      </c>
      <c r="C23945" t="n">
        <v>0</v>
      </c>
      <c r="D23945" t="inlineStr">
        <is>
          <t>Manthache; Collier du Valet Veinard; Gant du Valet Veinard; Anneau d'Allister; Bouclier du Stalak; Ceinture Rasboulaire du Rasboul; Couronne d'Allister; Cape du Valet Veinard; Bottes d'Allister; Dofus Abyssal; Dofus Pourpre; Dolmanax; Dofus Émeraude; Dofus des Glaces; Voyageur; Givrefoux</t>
        </is>
      </c>
    </row>
    <row r="23946">
      <c r="A23946" t="inlineStr">
        <is>
          <t>Retrait 0 degat</t>
        </is>
      </c>
      <c r="B23946">
        <f>HYPERLINK("https://www.dofusbook.net/fr/equipement/4067221-retrait-0-degat/objets", "link")</f>
        <v/>
      </c>
      <c r="C23946" t="n">
        <v>3</v>
      </c>
      <c r="D23946" t="inlineStr">
        <is>
          <t>Bâton du Koulosse; Amulette du Glourséleste; Anneau Tamie; Anneau Tamie; Bouclier du serrurier; Sangle Cible; Coiffe d'Aermyne; Cape d'Aermyne; Pantoufles Émar; Nomade; Temporiseur majeur; Ralentisseur majeur; Remueur; Temporiseur; Entraveur majeur; Volkorne Turquoise</t>
        </is>
      </c>
    </row>
    <row r="23947">
      <c r="A23947" t="inlineStr">
        <is>
          <t>Terre crit</t>
        </is>
      </c>
      <c r="B23947">
        <f>HYPERLINK("https://www.dofusbook.net/fr/equipement/5930143-terre-crit/objets", "link")</f>
        <v/>
      </c>
      <c r="C23947" t="n">
        <v>0</v>
      </c>
      <c r="D23947" t="inlineStr">
        <is>
          <t>Dagues d'Ilyzaelle; Amulette du Strigide; Anneau Chevelu; Bague Gloursonne; Bouclier Taverne; Ceinture du Strigide; Masque de Koutoulou; Cape au Logis; Sabots Minables; Dofus Pourpre; Dofus Abyssal; Dofus Turquoise; Enragé majeur; Remueur; Kokulte</t>
        </is>
      </c>
    </row>
    <row r="23948">
      <c r="A23948" t="inlineStr">
        <is>
          <t>Tank</t>
        </is>
      </c>
      <c r="B23948">
        <f>HYPERLINK("https://www.dofusbook.net/fr/equipement/2808934-tank/objets", "link")</f>
        <v/>
      </c>
      <c r="C23948" t="n">
        <v>5</v>
      </c>
      <c r="D23948" t="inlineStr">
        <is>
          <t>Rouleau à Pâtisserie d'Aermyne; Collier Rophante; Alliance Gloursonne; Anneau de Pol Ouatnos; Bouclier précieux; Ceintacé; Casque Dragoeuf; Cape d'Aermyne; Pataugastrique; Dokoko; Dofus Abyssal; Dofus Émeraude; Remueur; Obstructeur majeur; Bloqueur majeur; Givrefoux</t>
        </is>
      </c>
    </row>
    <row r="23949">
      <c r="A23949" t="inlineStr">
        <is>
          <t>Terre crit</t>
        </is>
      </c>
      <c r="B23949">
        <f>HYPERLINK("https://www.dofusbook.net/fr/equipement/5922888-terre-crit/objets", "link")</f>
        <v/>
      </c>
      <c r="C23949" t="n">
        <v>1</v>
      </c>
      <c r="D23949" t="inlineStr">
        <is>
          <t>Dagues d'Ilyzaelle; Amulette du Strigide; Bague Gloursonne; Anneau Chevelu; Bivalve; Ceintacé; Masque de Koutoulou; Cape au Logis; Bottes du Strigide; Dofus Turquoise; Dofus Pourpre; Nomade; Vigoureux majeur; Remueur; Enragé majeur; Kokulte</t>
        </is>
      </c>
    </row>
    <row r="23950">
      <c r="A23950" t="inlineStr">
        <is>
          <t>Pvp Nileza</t>
        </is>
      </c>
      <c r="B23950">
        <f>HYPERLINK("https://www.dofusbook.net/fr/equipement/5909742-pvp-nileza/objets", "link")</f>
        <v/>
      </c>
      <c r="C23950" t="n">
        <v>1</v>
      </c>
      <c r="D23950" t="inlineStr">
        <is>
          <t>Arc corrompu; Amulette de Nileza; Anneauræus; Anneauræus; Bouclier du Stalak; Croture; Heaume Oplate; Cape de Nileza; Bottes Innommables; Érudit majeur; Nomade; Remueur; Bwak de Feu</t>
        </is>
      </c>
    </row>
    <row r="23951">
      <c r="A23951" t="inlineStr">
        <is>
          <t>Pvp</t>
        </is>
      </c>
      <c r="B23951">
        <f>HYPERLINK("https://www.dofusbook.net/fr/equipement/5909719-pvp/objets", "link")</f>
        <v/>
      </c>
      <c r="C23951" t="n">
        <v>1</v>
      </c>
      <c r="D23951" t="inlineStr">
        <is>
          <t>Arc corrompu; Amulette Volkorne; Anneauræus; Anneauræus; Bouclier du Stalak; Ceinture Volkorne; Heaume Oplate; Voile d'encre; Bottes Innommables; Remueur; Érudit majeur; Nomade</t>
        </is>
      </c>
    </row>
    <row r="23952">
      <c r="A23952" t="inlineStr">
        <is>
          <t>Full force</t>
        </is>
      </c>
      <c r="B23952">
        <f>HYPERLINK("https://www.dofusbook.net/fr/equipement/1305370-full-force/objets", "link")</f>
        <v/>
      </c>
      <c r="C23952" t="n">
        <v>11</v>
      </c>
      <c r="D23952" t="inlineStr">
        <is>
          <t>Marteau R'ture; Collier de Tourthon; Anneau de Brouce; Anneau Volkorne; Bivalve; Ceinture Volkorne; Masque de Koutoulou; Cape au Logis; Sabots Minables; Dofus Turquoise; Dofus Pourpre; Dofus Abyssal; Vigoureux majeur; Remueur; Enragé majeur; Bulbisou</t>
        </is>
      </c>
    </row>
    <row r="23953">
      <c r="A23953" t="inlineStr">
        <is>
          <t>Arc chaloeil full fo</t>
        </is>
      </c>
      <c r="B23953">
        <f>HYPERLINK("https://www.dofusbook.net/fr/equipement/1633263-arc-chaloeil-full-fo/objets", "link")</f>
        <v/>
      </c>
      <c r="C23953" t="n">
        <v>9</v>
      </c>
      <c r="D23953" t="inlineStr">
        <is>
          <t>Marteau R'ture; Collier de Tourthon; Anneau de Brouce; Bague Gloursonne; Bivalve; Ceinture Volkorne; Masque de Koutoulou; Cape au Logis; Bottes de Brouce; Dofus Pourpre; Dofus Turquoise; Dofus Abyssal; Vigoureux majeur; Remueur; Enragé majeur; Bulbisou</t>
        </is>
      </c>
    </row>
    <row r="23954">
      <c r="A23954" t="inlineStr">
        <is>
          <t>Air</t>
        </is>
      </c>
      <c r="B23954">
        <f>HYPERLINK("https://www.dofusbook.net/fr/equipement/2476013-air/objets", "link")</f>
        <v/>
      </c>
      <c r="C23954" t="n">
        <v>4</v>
      </c>
      <c r="D23954" t="inlineStr">
        <is>
          <t>Manthache; Collier du Valet Veinard; Gant du Valet Veinard; Alliance Gloursonne; Cadran d'Air; Menoture; Couronne d'Allister; Cape Martegel; Palmes Trithons; Dofus Pourpre; Dofus Abyssal; Carapace Feu majeur; Remueur; Cascadeur majeur; Nomade; Blérodoudou</t>
        </is>
      </c>
    </row>
    <row r="23955">
      <c r="A23955" t="inlineStr">
        <is>
          <t>Do cri</t>
        </is>
      </c>
      <c r="B23955">
        <f>HYPERLINK("https://www.dofusbook.net/fr/equipement/1344505-do-cri/objets", "link")</f>
        <v/>
      </c>
      <c r="C23955" t="n">
        <v>13</v>
      </c>
      <c r="D23955" t="inlineStr">
        <is>
          <t>Hache du Chalœil; Amulette du Strigide; Alliance Gloursonne; Bracelet du Piloztère; Quatre-feuilles; Ceintacé; Le Dorado; Voile d'encre; Bottes du Strigide; Dofus des Glaces; Dolmanax; Dofus Turquoise; Dofus Pourpre; Vigoureux majeur; Nomade; Kokulte</t>
        </is>
      </c>
    </row>
    <row r="23956">
      <c r="A23956" t="inlineStr">
        <is>
          <t>Test</t>
        </is>
      </c>
      <c r="B23956">
        <f>HYPERLINK("https://www.dofusbook.net/fr/equipement/5883825-test/objets", "link")</f>
        <v/>
      </c>
      <c r="C23956" t="n">
        <v>1</v>
      </c>
      <c r="D23956" t="inlineStr">
        <is>
          <t>Hache du Chalœil; Amulette du Strigide; Bracelet du Piloztère; Alliance Gloursonne; Quatre-feuilles; Ceintacé; Coiffe de Padgref; Voile d'encre; Getas de Padgref; Dofus Pourpre; Dolmanax; Dofus Turquoise; Nomade; Remueur; Vigoureux majeur; Kokulte</t>
        </is>
      </c>
    </row>
    <row r="23957">
      <c r="A23957" t="inlineStr">
        <is>
          <t>Res</t>
        </is>
      </c>
      <c r="B23957">
        <f>HYPERLINK("https://www.dofusbook.net/fr/equipement/5804836-res/objets", "link")</f>
        <v/>
      </c>
      <c r="C23957" t="n">
        <v>2</v>
      </c>
      <c r="D23957" t="inlineStr">
        <is>
          <t>Sceptre du Roi Joueur; Amulette de Pol Ouatnos; Alliance Gloursonne; Anneau de Pol Ouatnos; Bouclier précieux; Poulpagne; Masque d'Anerice; Cape d'Anerice; Pataugastrique; Dofus Abyssal; Dofus Émeraude; Obstructeur majeur; Carapace Eau majeur; Miraculé majeur; Bloqueur majeur; Kougnard</t>
        </is>
      </c>
    </row>
    <row r="23958">
      <c r="A23958" t="inlineStr">
        <is>
          <t>Terre feu pvm</t>
        </is>
      </c>
      <c r="B23958">
        <f>HYPERLINK("https://www.dofusbook.net/fr/equipement/4053977-terre-feu-pvm/objets", "link")</f>
        <v/>
      </c>
      <c r="C23958" t="n">
        <v>4</v>
      </c>
      <c r="D23958" t="inlineStr">
        <is>
          <t>Dagues du Dragoeuf; Amulette Volkorne; Bague Gloursonne; Anneau de Brouce; Bivalve; Ceinture Volkorne; Chapeau de Gein; Voile d'encre; Bottes du Strigide; Dofus Vulbis; Dofus Pourpre; Vigoureux majeur; Érudit majeur; Remueur; Enragé majeur; Cromeugnon</t>
        </is>
      </c>
    </row>
    <row r="23959">
      <c r="A23959" t="inlineStr">
        <is>
          <t>Full feu</t>
        </is>
      </c>
      <c r="B23959">
        <f>HYPERLINK("https://www.dofusbook.net/fr/equipement/3957156-full-feu/objets", "link")</f>
        <v/>
      </c>
      <c r="C23959" t="n">
        <v>15</v>
      </c>
      <c r="D23959" t="inlineStr">
        <is>
          <t>Plumeau Bil; Amulette Volkorne; Anneauræus; Bague Gloursonne; Bouclier du Stalak; Ceinture Volkorne; Heaume Oplate; Voile d'encre; Bottes du Strigide; Dofus Abyssal; Dofus Pourpre; Nomade; Remueur; Astucieux majeur; Érudit majeur; Brûlih</t>
        </is>
      </c>
    </row>
    <row r="23960">
      <c r="A23960" t="inlineStr">
        <is>
          <t>Tacle</t>
        </is>
      </c>
      <c r="B23960">
        <f>HYPERLINK("https://www.dofusbook.net/fr/equipement/5822270-tacle/objets", "link")</f>
        <v/>
      </c>
      <c r="C23960" t="n">
        <v>0</v>
      </c>
      <c r="D23960" t="inlineStr">
        <is>
          <t>Épée du Granduk; Amulette du Granduk; Alliance Gloursonne; Anneau Tamie; Sept ans de malheur; Menoture; Couronne d'Allister; Cape de Mantaze; Pataugastrique; Dofus Émeraude; Tacleur majeur; Obstructeur; Obstructeur majeur; Bloqueur; Bloqueur majeur; Blokus</t>
        </is>
      </c>
    </row>
    <row r="23961">
      <c r="A23961" t="inlineStr">
        <is>
          <t>Stuff ret PM</t>
        </is>
      </c>
      <c r="B23961">
        <f>HYPERLINK("https://www.dofusbook.net/fr/equipement/676612-stuff-ret-pm/objets", "link")</f>
        <v/>
      </c>
      <c r="C23961" t="n">
        <v>1</v>
      </c>
      <c r="D23961" t="inlineStr">
        <is>
          <t>Marteau R'ture; Amulette du Glourséleste; Anneau Instable; Anneau Tamie; Bouclier du serrurier; Ceinture Instable; Casquipik; Cape de Léthaline; Pantoufles Émar; Entraveur majeur; Remueur; Temporiseur; Temporiseur majeur; Entraveur; Ralentisseur majeur; Blokus</t>
        </is>
      </c>
    </row>
    <row r="23962">
      <c r="A23962" t="inlineStr">
        <is>
          <t>Terre pvm</t>
        </is>
      </c>
      <c r="B23962">
        <f>HYPERLINK("https://www.dofusbook.net/fr/equipement/5820584-terre-pvm/objets", "link")</f>
        <v/>
      </c>
      <c r="C23962" t="n">
        <v>0</v>
      </c>
      <c r="D23962" t="inlineStr">
        <is>
          <t>Arc du Chalœil; Amulette du Strigide; Anneau de Brouce; Annolamour; Quatre-feuilles; Ceinture du Strigide; Masque de Koutoulou; Cape au Logis; Baleinabottes; Dofus Abyssal; Dofus Pourpre; Remueur; Enragé majeur; Nomade; Bulbisou</t>
        </is>
      </c>
    </row>
    <row r="23963">
      <c r="A23963" t="inlineStr">
        <is>
          <t>Cape de classe</t>
        </is>
      </c>
      <c r="B23963">
        <f>HYPERLINK("https://www.dofusbook.net/fr/equipement/4445599-cape-de-classe/objets", "link")</f>
        <v/>
      </c>
      <c r="C23963" t="n">
        <v>0</v>
      </c>
      <c r="D23963" t="inlineStr">
        <is>
          <t>Arc corrompu; Amulette Volkorne; Anneauræus; Bague Gloursonne; Bouclier du Cycloïde; Ceinture Volkorne; Heaume Oplate; Cape Sulhit; Bottes Innommables; Dofus Pourpre; Dofus Abyssal; Remueur; Érudit majeur; Nomade; Brûlih</t>
        </is>
      </c>
    </row>
    <row r="23964">
      <c r="A23964" t="inlineStr">
        <is>
          <t>Volkorne</t>
        </is>
      </c>
      <c r="B23964">
        <f>HYPERLINK("https://www.dofusbook.net/fr/equipement/4254424-volkorne/objets", "link")</f>
        <v/>
      </c>
      <c r="C23964" t="n">
        <v>2</v>
      </c>
      <c r="D23964" t="inlineStr">
        <is>
          <t>Arc corrompu; Amulette Volkorne; Anneauræus; Anneauræus; Bouclier du Cycloïde; Ceinture Volkorne; Heaume Oplate; Cape de Diondin; Bottes Innommables; Dofus Pourpre; Dofus Abyssal; Dofus Ivoire; Dofus Vulbis; Astucieux majeur; Érudit majeur; Brûlih</t>
        </is>
      </c>
    </row>
    <row r="23965">
      <c r="A23965" t="inlineStr">
        <is>
          <t>Full feu</t>
        </is>
      </c>
      <c r="B23965">
        <f>HYPERLINK("https://www.dofusbook.net/fr/equipement/4230442-full-feu/objets", "link")</f>
        <v/>
      </c>
      <c r="C23965" t="n">
        <v>4</v>
      </c>
      <c r="D23965" t="inlineStr">
        <is>
          <t>Arc corrompu; Pendentif affamé; Anneauræus; Bague Gloursonne; Bouclier du Cycloïde; Ceinture Séculaire; Coiffe Séculaire; Cape de Diondin; Bottes Innommables; Dofus Ivoire; Dofus Vulbis; Dofus Pourpre; Astucieux majeur; Remueur; Érudit majeur; Brûlih</t>
        </is>
      </c>
    </row>
    <row r="23966">
      <c r="A23966" t="inlineStr">
        <is>
          <t>12 6</t>
        </is>
      </c>
      <c r="B23966">
        <f>HYPERLINK("https://www.dofusbook.net/fr/equipement/4445534-12-6/objets", "link")</f>
        <v/>
      </c>
      <c r="C23966" t="n">
        <v>2</v>
      </c>
      <c r="D23966" t="inlineStr">
        <is>
          <t>Epée Gloursonne; Amulette du Strigide; Alliance Gloursonne; Bague Gloursonne; Quatre-feuilles; Ceinture du Strigide; Chapeau Lisson; Cape de Jahash Jurgen; Bottes du Strigide; Dofus des Glaces; Dofus Pourpre; Dofus Ocre; Dolmanax; Dofus Vulbis; Dofus Turquoise; Kokulte</t>
        </is>
      </c>
    </row>
    <row r="23967">
      <c r="A23967" t="inlineStr">
        <is>
          <t>Stuff eau 2</t>
        </is>
      </c>
      <c r="B23967">
        <f>HYPERLINK("https://www.dofusbook.net/fr/equipement/2596695-stuff-eau-2/objets", "link")</f>
        <v/>
      </c>
      <c r="C23967" t="n">
        <v>8</v>
      </c>
      <c r="D23967" t="inlineStr">
        <is>
          <t>Baguette Hique; Amulette de Shokkoth; Pikano; Alliance Gloursonne; Bouclier cubiste; Poulpagne; Kidibonnet; Cape de la Dame du Hasard; Bottes de la Dame du Hasard; Dofus des Glaces; Dofus Pourpre; Chanceux majeur; Remueur; Nomade; Temporiseur majeur; Muldo Indigo et Pourpre</t>
        </is>
      </c>
    </row>
    <row r="23968">
      <c r="A23968" t="inlineStr">
        <is>
          <t>Necro</t>
        </is>
      </c>
      <c r="B23968">
        <f>HYPERLINK("https://www.dofusbook.net/fr/equipement/5811896-necro/objets", "link")</f>
        <v/>
      </c>
      <c r="C23968" t="n">
        <v>0</v>
      </c>
      <c r="D23968" t="inlineStr">
        <is>
          <t>Arc Nécrotique; Amulette Volkorne; Alliance Gloursonne; Anneau Volkorne; Quatre-feuilles; Ceintacé; Maskrobe; Cape de la Dame du Hasard; Pataugastrique; Dofus Turquoise; Dofus Abyssal; Dofus Pourpre; Dofus des Glaces; Vigoureux majeur; Nomade; Kokulte</t>
        </is>
      </c>
    </row>
    <row r="23969">
      <c r="A23969" t="inlineStr">
        <is>
          <t>Mule</t>
        </is>
      </c>
      <c r="B23969">
        <f>HYPERLINK("https://www.dofusbook.net/fr/equipement/2419395-mule/objets", "link")</f>
        <v/>
      </c>
      <c r="C23969" t="n">
        <v>0</v>
      </c>
      <c r="D23969" t="inlineStr">
        <is>
          <t>Rouleau à Pâtisserie d'Aermyne; Collier Rophante; Alliance Gloursonne; Anneau de XLII; Bouclier précieux; Ceinture de XLII; Coiffe d'Aermyne; Cape d'Aermyne; Bottes de XLII; Dofus des Veilleurs; Dofus Abyssal; Dokoko; Dofus Émeraude; Initiateur majeur; Précurseur majeur; Muldo Roux et Amande</t>
        </is>
      </c>
    </row>
    <row r="23970">
      <c r="A23970" t="inlineStr">
        <is>
          <t>Hache chaloeil bis</t>
        </is>
      </c>
      <c r="B23970">
        <f>HYPERLINK("https://www.dofusbook.net/fr/equipement/4202139-hache-chaloeil-bis/objets", "link")</f>
        <v/>
      </c>
      <c r="C23970" t="n">
        <v>11</v>
      </c>
      <c r="D23970" t="inlineStr">
        <is>
          <t>Hache du Chalœil; Amulette du Strigide; Bracelet du Piloztère; Alliance Gloursonne; Quatre-feuilles; Ceinture du Strigide; Maskrobe; Voile d'encre; Bottes du Chalœil; Dofus Pourpre; Dofus Turquoise; Dolmanax; Dofus des Glaces; Vigoureux majeur; Remueur; Fëanor</t>
        </is>
      </c>
    </row>
    <row r="23971">
      <c r="A23971" t="inlineStr">
        <is>
          <t>Eau</t>
        </is>
      </c>
      <c r="B23971">
        <f>HYPERLINK("https://www.dofusbook.net/fr/equipement/5804788-eau/objets", "link")</f>
        <v/>
      </c>
      <c r="C23971" t="n">
        <v>4</v>
      </c>
      <c r="D23971" t="inlineStr">
        <is>
          <t>Sceptre du Roi Joueur; Amulette de Shokkoth; Alliance Gloursonne; Anneau de Pol Ouatnos; Bouclier d'Anerice; Ceinture Voldelor; Kidibonnet; Cape de Mantaze; Pataugastrique; Dofus Émeraude; Remueur; Miraculé majeur; Carapace Eau majeur; Nomade; Chanceux majeur; Givrefoux</t>
        </is>
      </c>
    </row>
    <row r="23972">
      <c r="A23972" t="inlineStr">
        <is>
          <t>Multi pvm</t>
        </is>
      </c>
      <c r="B23972">
        <f>HYPERLINK("https://www.dofusbook.net/fr/equipement/2581898-multi-pvm/objets", "link")</f>
        <v/>
      </c>
      <c r="C23972" t="n">
        <v>4</v>
      </c>
      <c r="D23972" t="inlineStr">
        <is>
          <t>Epée Kari; Amulette du Strigide; Bracelet du Piloztère; Grésilanneau; Bivalve; Ceintacé; Le Dorado; Cape au Logis; Bottes du Strigide; Dofus Turquoise; Dofus Pourpre; Dofus Vulbis; Remueur; Robuste majeur; Vigoureux majeur; Chacha Angora</t>
        </is>
      </c>
    </row>
    <row r="23973">
      <c r="A23973" t="inlineStr">
        <is>
          <t>Feu</t>
        </is>
      </c>
      <c r="B23973">
        <f>HYPERLINK("https://www.dofusbook.net/fr/equipement/5180142-feu/objets", "link")</f>
        <v/>
      </c>
      <c r="C23973" t="n">
        <v>2</v>
      </c>
      <c r="D23973" t="inlineStr">
        <is>
          <t>Arc corrompu; Amulette Volkorne; Anneauræus; Anneauræus; Bouclier du Stalak; Ceinture Volkorne; Heaume Oplate; Cape de Nileza; Pataugastrique; Dofus Vulbis; Dofus Abyssal; Dofus Pourpre; Érudit majeur; Vigoureux majeur; Remueur; Bisouglours</t>
        </is>
      </c>
    </row>
    <row r="23974">
      <c r="A23974" t="inlineStr">
        <is>
          <t>Terre do crit</t>
        </is>
      </c>
      <c r="B23974">
        <f>HYPERLINK("https://www.dofusbook.net/fr/equipement/5182363-terre-do-crit/objets", "link")</f>
        <v/>
      </c>
      <c r="C23974" t="n">
        <v>0</v>
      </c>
      <c r="D23974" t="inlineStr">
        <is>
          <t>Arc du Chalœil; Amulette du Cœur Saignant; Anneau Volkorne; Alliance de Missiz Frizz; Quatre-feuilles; Ceinture Volkorne; Casque de Missiz Frizz; Cape du Cœur Saignant; Bottes du Cœur Saignant; Dofus Ivoire; Dofus Turquoise; Dofus Vulbis; Dofus Pourpre; Dofus Abyssal; Dofus Ocre; Pioute vert</t>
        </is>
      </c>
    </row>
    <row r="23975">
      <c r="A23975" t="inlineStr">
        <is>
          <t>Stuff hache chaloeil</t>
        </is>
      </c>
      <c r="B23975">
        <f>HYPERLINK("https://www.dofusbook.net/fr/equipement/676608-stuff-hache-chaloeil/objets", "link")</f>
        <v/>
      </c>
      <c r="C23975" t="n">
        <v>6</v>
      </c>
      <c r="D23975" t="inlineStr">
        <is>
          <t>Hache du Chalœil; Amulette du Strigide; Alliance Gloursonne; Bracelet du Piloztère; Quatre-feuilles; Ceintacé; Chapeau Lisson; Voile d'encre; Bottes du Strigide; Dolmanax; Dofus Vulbis; Dofus Pourpre; Dofus Turquoise; Vigoureux majeur; Remueur; Kramkram</t>
        </is>
      </c>
    </row>
    <row r="23976">
      <c r="A23976" t="inlineStr">
        <is>
          <t>Terre pvp</t>
        </is>
      </c>
      <c r="B23976">
        <f>HYPERLINK("https://www.dofusbook.net/fr/equipement/4259049-terre-pvp/objets", "link")</f>
        <v/>
      </c>
      <c r="C23976" t="n">
        <v>3</v>
      </c>
      <c r="D23976" t="inlineStr">
        <is>
          <t>Arc du Chalœil; Collier de Tourthon; Bracelet du Piloztère; Anneau de Brouce; Cadran de Terre; Ceinture de la Reine des Voleurs; Coiffe de la Reine des Voleurs; Cape au Logis; Bottes Honyme; Dofus des Glaces; Dévastateur Terre majeur; Remueur; Carapace Eau majeur; Enragé majeur; Nomade; Bulbisou</t>
        </is>
      </c>
    </row>
    <row r="23977">
      <c r="A23977" t="inlineStr">
        <is>
          <t>Multi volkorne</t>
        </is>
      </c>
      <c r="B23977">
        <f>HYPERLINK("https://www.dofusbook.net/fr/equipement/4255459-multi-volkorne/objets", "link")</f>
        <v/>
      </c>
      <c r="C23977" t="n">
        <v>0</v>
      </c>
      <c r="D23977" t="inlineStr">
        <is>
          <t>Bâton Beau; Amulette de Pol Ouatnos; Bracelet du Piloztère; Anneau Volkorne; Bivalve; Ceinture Volkorne; Le Dorado; Voile d'encre; Bottes du Strigide; Dofus Turquoise; Dofus Abyssal; Dofus Pourpre; Robuste majeur; Vigoureux majeur; Remueur; Chacha Angora</t>
        </is>
      </c>
    </row>
    <row r="23978">
      <c r="A23978" t="inlineStr">
        <is>
          <t>Terre res</t>
        </is>
      </c>
      <c r="B23978">
        <f>HYPERLINK("https://www.dofusbook.net/fr/equipement/4238206-terre-res/objets", "link")</f>
        <v/>
      </c>
      <c r="C23978" t="n">
        <v>3</v>
      </c>
      <c r="D23978" t="inlineStr">
        <is>
          <t>Arc du Chalœil; Collier de Tourthon; Bague Gloursonne; Anneau Volkorne; Quatre-feuilles; Ceinture Volkorne; Masque de Koutoulou; Cape au Logis; Bottes de la Cour Sombre; Dofus Abyssal; Dofus Turquoise; Dofus Pourpre; Remueur; Forcené majeur; Enragé majeur; Bulbisou</t>
        </is>
      </c>
    </row>
    <row r="23979">
      <c r="A23979" t="inlineStr">
        <is>
          <t>Terre/feu</t>
        </is>
      </c>
      <c r="B23979">
        <f>HYPERLINK("https://www.dofusbook.net/fr/equipement/1509396-terre-feu/objets", "link")</f>
        <v/>
      </c>
      <c r="C23979" t="n">
        <v>1</v>
      </c>
      <c r="D23979" t="inlineStr">
        <is>
          <t>Dagues du Dragoeuf; Amulette Volkorne; Chevalière du Roi Joueur; Anneau Volkorne; Bivalve; Ceinture Volkorne; Couronne du Roi Joueur; Voile d'encre; Bottes du Roi Joueur; Dofus Nébuleux; Dofus Turquoise; Dofus des Glaces; Dofus Ocre; Dofus Abyssal; Dofus Pourpre; Cromeugnon</t>
        </is>
      </c>
    </row>
    <row r="23980">
      <c r="A23980" t="inlineStr">
        <is>
          <t>Full intel dodge</t>
        </is>
      </c>
      <c r="B23980">
        <f>HYPERLINK("https://www.dofusbook.net/fr/equipement/1281275-full-intel-dodge/objets", "link")</f>
        <v/>
      </c>
      <c r="C23980" t="n">
        <v>2</v>
      </c>
      <c r="D23980" t="inlineStr">
        <is>
          <t>Arc corrompu; Amulette Séculaire; Bague Gloursonne; Anneauræus; Bouclier du Cycloïde; Audace de Dodge; Coiffe Séculaire; Cape de Diondin; Bottes Innommables; Dofus Pourpre; Dofus Ivoire; Érudit majeur; Nomade; Astucieux majeur; Remueur; Brûlih</t>
        </is>
      </c>
    </row>
    <row r="23981">
      <c r="A23981" t="inlineStr">
        <is>
          <t>Dagues</t>
        </is>
      </c>
      <c r="B23981">
        <f>HYPERLINK("https://www.dofusbook.net/fr/equipement/2383231-dagues/objets", "link")</f>
        <v/>
      </c>
      <c r="C23981" t="n">
        <v>1</v>
      </c>
      <c r="D23981" t="inlineStr">
        <is>
          <t>Dagues d'Ilyzaelle; Amulette du Strigide; Anneau de Brouce; Bague Gloursonne; Bouclier du Captain Amakna; Ceinture du Strigide; Masque de Koutoulou; Cape au Logis; Baleinabottes; Dofus Pourpre; Dofus Turquoise; Dofus Abyssal; Vigoureux majeur; Forcené majeur; Enragé majeur; Bulbisou</t>
        </is>
      </c>
    </row>
    <row r="23982">
      <c r="A23982" t="inlineStr">
        <is>
          <t>Eau</t>
        </is>
      </c>
      <c r="B23982">
        <f>HYPERLINK("https://www.dofusbook.net/fr/equipement/4185839-eau/objets", "link")</f>
        <v/>
      </c>
      <c r="C23982" t="n">
        <v>1</v>
      </c>
      <c r="D23982" t="inlineStr">
        <is>
          <t>Dagoulinantes; Amulette de Shokkoth; Anneau Toriété; Alliance Gloursonne; Bivalve; Ceinture Glaciale; Kidibonnet; Chevelure de Tal Kasha; Pataugastrique; Dofus Abyssal; Dofus Pourpre; Dofus Turquoise; Nomade; Chanceux majeur; Remueur; Pioute bleu</t>
        </is>
      </c>
    </row>
    <row r="23983">
      <c r="A23983" t="inlineStr">
        <is>
          <t>Terre koli</t>
        </is>
      </c>
      <c r="B23983">
        <f>HYPERLINK("https://www.dofusbook.net/fr/equipement/3972434-terre-koli/objets", "link")</f>
        <v/>
      </c>
      <c r="C23983" t="n">
        <v>7</v>
      </c>
      <c r="D23983" t="inlineStr">
        <is>
          <t>Arc du Chalœil; Amulette du Strigide; Anneau Chevelu; Bague Gloursonne; Bouclier du Stalak; Ceinture de la Cour Sombre; Masque de Koutoulou; Cape au Logis; Bottes de la Cour Sombre; Dofus Abyssal; Dofus Pourpre; Dofus Nébuleux; Dofus Turquoise; Remueur; Enragé majeur</t>
        </is>
      </c>
    </row>
    <row r="23984">
      <c r="A23984" t="inlineStr">
        <is>
          <t>Stuff eau</t>
        </is>
      </c>
      <c r="B23984">
        <f>HYPERLINK("https://www.dofusbook.net/fr/equipement/676627-stuff-eau/objets", "link")</f>
        <v/>
      </c>
      <c r="C23984" t="n">
        <v>1</v>
      </c>
      <c r="D23984" t="inlineStr">
        <is>
          <t>Dagoulinantes; Amulette de Shokkoth; Alliance Gloursonne; Anneau Toriété; Cadran de Terre; Culotte de Bethel; Masque de Funespadon; Cape de l'Œil Attentif; Pataugastrique; Dofus Pourpre; Étourdisseur majeur; Nomade; Paralyseur majeur; Remueur; Chanceux majeur; Kanigloups</t>
        </is>
      </c>
    </row>
    <row r="23985">
      <c r="A23985" t="inlineStr">
        <is>
          <t>Pvp</t>
        </is>
      </c>
      <c r="B23985">
        <f>HYPERLINK("https://www.dofusbook.net/fr/equipement/2422162-pvp/objets", "link")</f>
        <v/>
      </c>
      <c r="C23985" t="n">
        <v>0</v>
      </c>
      <c r="D23985" t="inlineStr">
        <is>
          <t>Hache du Chalœil; Amulette Luminescente; Bague Trithon; Anneau de Padgref; Quatre-feuilles; Ceinture Luminescente; Coiffe de Padgref; Cape Luminescente; Getas de Padgref; Dolmanax; Dofus Pourpre; Dofus des Glaces; Dofus Ocre; Dofus Abyssal; Dofus Turquoise; Muldo Prune et Emeraude</t>
        </is>
      </c>
    </row>
    <row r="23986">
      <c r="A23986" t="inlineStr">
        <is>
          <t>Air 200</t>
        </is>
      </c>
      <c r="B23986">
        <f>HYPERLINK("https://www.dofusbook.net/fr/equipement/1223107-air-200/objets", "link")</f>
        <v/>
      </c>
      <c r="C23986" t="n">
        <v>2</v>
      </c>
      <c r="D23986" t="inlineStr">
        <is>
          <t>Karnak; Collier du Valet Veinard; Gant du Valet Veinard; Alliance Gloursonne; Bouclier du Stalak; Menoture; Couronne d'Allister; Cape Indescriptible; Baleinabottes; Dofus des Glaces; Dévastateur Air majeur; Nomade; Cascadeur majeur; Remueur; Saccageur Air majeur; Blérodoudou</t>
        </is>
      </c>
    </row>
    <row r="23987">
      <c r="A23987" t="inlineStr">
        <is>
          <t>Stuff pvm</t>
        </is>
      </c>
      <c r="B23987">
        <f>HYPERLINK("https://www.dofusbook.net/fr/equipement/676617-stuff-pvm/objets", "link")</f>
        <v/>
      </c>
      <c r="C23987" t="n">
        <v>1</v>
      </c>
      <c r="D23987" t="inlineStr">
        <is>
          <t>Hachoirs de Viandargh; Amulette Hendart; Anneau d'Allister; Alliance Gloursonne; Quatre-feuilles; Ceinture de Klime; Couronne d'Allister; Cape Matelassée; Bottes du Glourséleste; Dofus Pourpre; Dofus des Veilleurs; Miraculé majeur; Nomade; Cascadeur majeur; Remueur; Muldo Doré et Ebène</t>
        </is>
      </c>
    </row>
    <row r="23988">
      <c r="A23988" t="inlineStr">
        <is>
          <t>Stuff 1</t>
        </is>
      </c>
      <c r="B23988">
        <f>HYPERLINK("https://www.dofusbook.net/fr/equipement/676606-stuff-1/objets", "link")</f>
        <v/>
      </c>
      <c r="C23988" t="n">
        <v>0</v>
      </c>
      <c r="D23988" t="inlineStr">
        <is>
          <t>Dagues de Srambad; Amulette de Pol Ouatnos; Bracelet du Piloztère; Alliance Gloursonne; Quatre-feuilles; Ceinture de la Reine des Voleurs; Coiffe de la Reine des Voleurs; Cape Ovri; Pataugastrique; Dofus des Glaces; Dofus Pourpre; Dofus Turquoise; Remueur; Vigoureux majeur; Kramkram</t>
        </is>
      </c>
    </row>
    <row r="23989">
      <c r="A23989" t="inlineStr">
        <is>
          <t>Stuff 200 sans exo</t>
        </is>
      </c>
      <c r="B23989">
        <f>HYPERLINK("https://www.dofusbook.net/fr/equipement/750513-stuff-200-sans-exo/objets", "link")</f>
        <v/>
      </c>
      <c r="C23989" t="n">
        <v>3</v>
      </c>
      <c r="D23989" t="inlineStr">
        <is>
          <t>Manthache; Collier du Valet Veinard; Gant du Valet Veinard; Alliance Gloursonne; Cadran d'Air; Ceinture de Klime; Couronne d'Allister; Cape Indescriptible; Baleinabottes; Dolmanax; Dofus Abyssal; Equilibriste majeur; Nomade; Cascadeur majeur; Remueur; Muldo Ebène et Amande</t>
        </is>
      </c>
    </row>
    <row r="23990">
      <c r="A23990" t="inlineStr">
        <is>
          <t>Docritdupauvre duo tk</t>
        </is>
      </c>
      <c r="B23990">
        <f>HYPERLINK("https://www.dofusbook.net/fr/equipement/1736594-docritdupauvre-duo-tk/objets", "link")</f>
        <v/>
      </c>
      <c r="C23990" t="n">
        <v>7</v>
      </c>
      <c r="D23990" t="inlineStr">
        <is>
          <t>Harpelle; Amulette du Strigide; Bracelet du Piloztère; Alliance Gloursonne; Quatre-feuilles; Ceintacé; Coiffe de Padgref; Chevelure de Tal Kasha; Getas de Padgref; Dofus Turquoise; Dofus Abyssal; Dofus Pourpre; Dofus des Glaces; Vigoureux majeur; Remueur; Muldo Prune et Emeraude</t>
        </is>
      </c>
    </row>
    <row r="23991">
      <c r="A23991" t="inlineStr">
        <is>
          <t>Necro</t>
        </is>
      </c>
      <c r="B23991">
        <f>HYPERLINK("https://www.dofusbook.net/fr/equipement/2631172-necro/objets", "link")</f>
        <v/>
      </c>
      <c r="C23991" t="n">
        <v>0</v>
      </c>
      <c r="D23991" t="inlineStr">
        <is>
          <t>Arc Nécrotique; Amulette du Strigide; Alliance Gloursonne; Bague Gloursonne; Quatre-feuilles; Ceinture du Strigide; Kidibonnet; Cape de la Dame du Hasard; Bottes de la Dame du Hasard; Dolmanax; Dofus Émeraude; Dofus des Glaces; Dofus Pourpre; Dofus Turquoise; Dofus Ocre; Muldo Prune et Emeraude</t>
        </is>
      </c>
    </row>
    <row r="23992">
      <c r="A23992" t="inlineStr">
        <is>
          <t>Stuff eau</t>
        </is>
      </c>
      <c r="B23992">
        <f>HYPERLINK("https://www.dofusbook.net/fr/equipement/819423-stuff-eau/objets", "link")</f>
        <v/>
      </c>
      <c r="C23992" t="n">
        <v>0</v>
      </c>
      <c r="D23992" t="inlineStr">
        <is>
          <t>Rapière aux Glyphes; Amulette de Shokkoth; Alliance Gloursonne; Anneau de Pol Ouatnos; Bouclier cubiste; Poulpagne; Kidibonnet; Cape du Sinistrofu; Bottes du Sinistrofu; Dofus des Glaces; Dofus Pourpre; Nomade; Temporiseur majeur; Remueur; Chanceux majeur; Kanigloups</t>
        </is>
      </c>
    </row>
    <row r="23993">
      <c r="A23993" t="inlineStr">
        <is>
          <t>Sram pvm</t>
        </is>
      </c>
      <c r="B23993">
        <f>HYPERLINK("https://www.dofusbook.net/fr/equipement/2417761-sram-pvm/objets", "link")</f>
        <v/>
      </c>
      <c r="C23993" t="n">
        <v>1</v>
      </c>
      <c r="D23993" t="inlineStr">
        <is>
          <t>Dagues Lassay; Amulette de l'Indicible; Bracelet du Piloztère; Alliance Gloursonne; Bouclier du Stalak; Ceinture de la Reine des Voleurs; Coiffe de la Reine des Voleurs; Cape Routh; Baleinabottes; Dofus des Glaces; Dofus Abyssal; Dofus Pourpre; Vigoureux majeur; Nomade; Remueur; Dragodinde en armure</t>
        </is>
      </c>
    </row>
    <row r="23994">
      <c r="A23994" t="inlineStr">
        <is>
          <t>Puissance</t>
        </is>
      </c>
      <c r="B23994">
        <f>HYPERLINK("https://www.dofusbook.net/fr/equipement/1024852-puissance/objets", "link")</f>
        <v/>
      </c>
      <c r="C23994" t="n">
        <v>4</v>
      </c>
      <c r="D23994" t="inlineStr">
        <is>
          <t>Epée Kari; Amulette du Strigide; Alliance Gloursonne; Bracelet du Piloztère; Quatre-feuilles; Ceintacé; Chapeau Lisson; Cape Reski; Bottes du Strigide; Dofus Turquoise; Dofus Nébuleux; Dofus des Glaces; Dofus Pourpre; Vigoureux majeur; Remueur; Muldo Prune et Doré</t>
        </is>
      </c>
    </row>
    <row r="23995">
      <c r="A23995" t="inlineStr">
        <is>
          <t>Hache terroide</t>
        </is>
      </c>
      <c r="B23995">
        <f>HYPERLINK("https://www.dofusbook.net/fr/equipement/3896040-hache-terroide/objets", "link")</f>
        <v/>
      </c>
      <c r="C23995" t="n">
        <v>1</v>
      </c>
      <c r="D23995" t="inlineStr">
        <is>
          <t>Hache Téroïde; Amulette du Strigide; Bague Gloursonne; Anneau Chevelu; Bouclier Taverne; Ceintacé; Casque de Missiz Frizz; Cape des Justiciers; Bottes du Strigide; Dofus Abyssal; Dofus des Glaces; Dofus Turquoise; Dofus Pourpre; Remueur; Nomade; Kokulte</t>
        </is>
      </c>
    </row>
    <row r="23996">
      <c r="A23996" t="inlineStr">
        <is>
          <t>Eau/air crit</t>
        </is>
      </c>
      <c r="B23996">
        <f>HYPERLINK("https://www.dofusbook.net/fr/equipement/3885080-eau-air-crit/objets", "link")</f>
        <v/>
      </c>
      <c r="C23996" t="n">
        <v>2</v>
      </c>
      <c r="D23996" t="inlineStr">
        <is>
          <t>Arc de Koutoulou; Amulette du Strigide; Pikano; Alliance Gloursonne; Quatre-feuilles; Ceintacé; Kidibonnet; Chevelure de Tal Kasha; Sandales de Tal Kasha; Dofus des Glaces; Dofus Abyssal; Dofus Turquoise; Dofus Pourpre; Chanceux majeur; Nomade; Kokulte</t>
        </is>
      </c>
    </row>
    <row r="23997">
      <c r="A23997" t="inlineStr">
        <is>
          <t>Terre ret PM</t>
        </is>
      </c>
      <c r="B23997">
        <f>HYPERLINK("https://www.dofusbook.net/fr/equipement/4046543-terre-ret-pm/objets", "link")</f>
        <v/>
      </c>
      <c r="C23997" t="n">
        <v>0</v>
      </c>
      <c r="D23997" t="inlineStr">
        <is>
          <t>Marteau R'ture; Amulette du Kamasterisk; Anneau de Brouce; Pikano; Bouclier cubiste; Sangle Cible; Casquipik; Cape des Justiciers; Baleinabottes; Dofus Abyssal; Temporiseur majeur; Remueur; Enragé majeur; Entraveur majeur; Nomade; Blokus</t>
        </is>
      </c>
    </row>
    <row r="23998">
      <c r="A23998" t="inlineStr">
        <is>
          <t>Terre pvm</t>
        </is>
      </c>
      <c r="B23998">
        <f>HYPERLINK("https://www.dofusbook.net/fr/equipement/3996679-terre-pvm/objets", "link")</f>
        <v/>
      </c>
      <c r="C23998" t="n">
        <v>6</v>
      </c>
      <c r="D23998" t="inlineStr">
        <is>
          <t>Bêche Asse; Amulette du Strigide; Anneau de Brouce; Bracelet du Piloztère; Bivalve; Ceintacé; Le Dorado; Cape au Logis; Bottes du Strigide; Dofus Turquoise; Dofus Pourpre; Vigoureux majeur; Nomade; Remueur; Enragé majeur; Pioute vert</t>
        </is>
      </c>
    </row>
    <row r="23999">
      <c r="A23999" t="inlineStr">
        <is>
          <t>Opti multi</t>
        </is>
      </c>
      <c r="B23999">
        <f>HYPERLINK("https://www.dofusbook.net/fr/equipement/4016076-opti-multi/objets", "link")</f>
        <v/>
      </c>
      <c r="C23999" t="n">
        <v>3</v>
      </c>
      <c r="D23999" t="inlineStr">
        <is>
          <t>Hache du Chalœil; Amulette du Strigide; Anneau Volkorne; Grésilanneau; Bouclier du Stalak; Ceinture Volkorne; Le Dorado; Voile d'encre; Bottes du Strigide; Dofus Pourpre; Dofus Vulbis; Dofus Abyssal; Dofus Ivoire; Dofus Ocre; Robuste majeur; Chacha Angora</t>
        </is>
      </c>
    </row>
    <row r="24000">
      <c r="A24000" t="inlineStr">
        <is>
          <t>test</t>
        </is>
      </c>
      <c r="B24000">
        <f>HYPERLINK("https://www.dofusbook.net/fr/equipement/2592383-test/objets", "link")</f>
        <v/>
      </c>
      <c r="C24000" t="n">
        <v>0</v>
      </c>
      <c r="D24000" t="inlineStr">
        <is>
          <t>Dagues de Srambad; Amulette de Pol Ouatnos; Grésilanneau; Bracelet du Piloztère; Bivalve; Ceinture de la Reine des Voleurs; Coiffe de la Reine des Voleurs; Cape des Justiciers; Pataugastrique; Dofus Turquoise; Dofus Abyssal; Dofus Pourpre; Vigoureux majeur; Nomade; Remueur; Chacha Angora</t>
        </is>
      </c>
    </row>
    <row r="24001">
      <c r="A24001" t="inlineStr">
        <is>
          <t>Terre/feu</t>
        </is>
      </c>
      <c r="B24001">
        <f>HYPERLINK("https://www.dofusbook.net/fr/equipement/3895966-terre-feu/objets", "link")</f>
        <v/>
      </c>
      <c r="C24001" t="n">
        <v>5</v>
      </c>
      <c r="D24001" t="inlineStr">
        <is>
          <t>Hache Téroïde; Amulette du Strigide; Anneau Chevelu; Bague Gloursonne; Bouclier alvéolé; Ceintacé; Chapeau de Gein; Voile d'encre; Bottes du Strigide; Dofus Turquoise; Dofus des Glaces; Dofus Pourpre; Dofus Abyssal; Remueur; Nomade; Kokulte</t>
        </is>
      </c>
    </row>
    <row r="24002">
      <c r="A24002" t="inlineStr">
        <is>
          <t>Best air</t>
        </is>
      </c>
      <c r="B24002">
        <f>HYPERLINK("https://www.dofusbook.net/fr/equipement/3950730-best-air/objets", "link")</f>
        <v/>
      </c>
      <c r="C24002" t="n">
        <v>3</v>
      </c>
      <c r="D24002" t="inlineStr">
        <is>
          <t>Manthache; Collier du Valet Veinard; Alliance Gloursonne; Gant du Valet Veinard; Cadran d'Air; Menoture; Couronne d'Allister; Cape Indescriptible; Baleinabottes; Dofus Abyssal; Cascadeur majeur; Remueur; Étourdisseur majeur; Paralyseur majeur; Nomade; Muldo Ebène</t>
        </is>
      </c>
    </row>
    <row r="24003">
      <c r="A24003" t="inlineStr">
        <is>
          <t>Eau air retrait</t>
        </is>
      </c>
      <c r="B24003">
        <f>HYPERLINK("https://www.dofusbook.net/fr/equipement/3950768-eau-air-retrait/objets", "link")</f>
        <v/>
      </c>
      <c r="C24003" t="n">
        <v>1</v>
      </c>
      <c r="D24003" t="inlineStr">
        <is>
          <t>Sceptre du Roi Joueur; Amulette Voldelor; Anneau du Kaniblou; Alliance Gloursonne; Sept ans de malheur; Menoture; Masque d'Anerice; Chevelure de Tal Kasha; Sandales de Tal Kasha; Dokoko; Dofus des Glaces; Paralyseur majeur; Étourdisseur majeur; Remueur; Nomade; Muldo Ebène et Indigo</t>
        </is>
      </c>
    </row>
    <row r="24004">
      <c r="A24004" t="inlineStr">
        <is>
          <t>Eau</t>
        </is>
      </c>
      <c r="B24004">
        <f>HYPERLINK("https://www.dofusbook.net/fr/equipement/3986595-eau/objets", "link")</f>
        <v/>
      </c>
      <c r="C24004" t="n">
        <v>4</v>
      </c>
      <c r="D24004" t="inlineStr">
        <is>
          <t>Rapière aux Glyphes; Amulette de Shokkoth; Alliance Gloursonne; Pikano; Bouclier du Mont Kipou; Sangle Ouare; Kidibonnet; Cape du Sinistrofu; Bottes du Sinistrofu; Dofus Abyssal; Dofus des Glaces; Dofus Pourpre; Miraculé majeur; Chanceux majeur; Remueur; Muldo Indigo et Pourpre</t>
        </is>
      </c>
    </row>
    <row r="24005">
      <c r="A24005" t="inlineStr">
        <is>
          <t>Do pou eau</t>
        </is>
      </c>
      <c r="B24005">
        <f>HYPERLINK("https://www.dofusbook.net/fr/equipement/3911709-do-pou-eau/objets", "link")</f>
        <v/>
      </c>
      <c r="C24005" t="n">
        <v>2</v>
      </c>
      <c r="D24005" t="inlineStr">
        <is>
          <t>Rapière aux Glyphes; Amulette du Sinistrofu; Alliance Gloursonne; Pikano; Bouclier Taverne; Sangle Ouare; Kidibonnet; Cape Solution; Bottes du Sinistrofu; Dofus Abyssal; Dofus Pourpre; Culbuteur majeur; Carapace Eau majeur; Chanceux majeur; Bousculeur majeur; Péki</t>
        </is>
      </c>
    </row>
    <row r="24006">
      <c r="A24006" t="inlineStr">
        <is>
          <t>Force</t>
        </is>
      </c>
      <c r="B24006">
        <f>HYPERLINK("https://www.dofusbook.net/fr/equipement/1981845-force/objets", "link")</f>
        <v/>
      </c>
      <c r="C24006" t="n">
        <v>2</v>
      </c>
      <c r="D24006" t="inlineStr">
        <is>
          <t>Arc du Chalœil; Amulette du Kamasterisk; Anneau Chevelu; Bague Gloursonne; Bouclier du Stalak; Ceintacé; Masque de Koutoulou; Cape au Logis; Bottes du Kamasterisk; Dofus Nébuleux; Dofus Turquoise; Dofus Abyssal; Dofus Pourpre; Enragé majeur; Bwak de Terre</t>
        </is>
      </c>
    </row>
    <row r="24007">
      <c r="A24007" t="inlineStr">
        <is>
          <t>Full feu koli</t>
        </is>
      </c>
      <c r="B24007">
        <f>HYPERLINK("https://www.dofusbook.net/fr/equipement/3957293-full-feu-koli/objets", "link")</f>
        <v/>
      </c>
      <c r="C24007" t="n">
        <v>0</v>
      </c>
      <c r="D24007" t="inlineStr">
        <is>
          <t>Arc corrompu; Pendentif affamé; Bague Gloursonne; Anneauræus; Bouclier du Stalak; Ceinture de Gein; Chapeau de Gein; Voile d'encre; Pataugastrique; Dofus Pourpre; Dofus Abyssal; Dofus Nébuleux; Érudit majeur; Remueur; Nomade; Muldo Pourpre et Amande</t>
        </is>
      </c>
    </row>
    <row r="24008">
      <c r="A24008" t="inlineStr">
        <is>
          <t>Retrait</t>
        </is>
      </c>
      <c r="B24008">
        <f>HYPERLINK("https://www.dofusbook.net/fr/equipement/2631395-retrait/objets", "link")</f>
        <v/>
      </c>
      <c r="C24008" t="n">
        <v>0</v>
      </c>
      <c r="D24008" t="inlineStr">
        <is>
          <t>Manthache; Collier du Valet Veinard; Anneau Crustique; Alliance Gloursonne; Cadran de Terre; Menoture; Masque d'Anerice; Cape d'Anerice; Sandales de Tal Kasha; Dofus Ocre; Dofus Émeraude; Dofus Abyssal; Paralyseur majeur; Engourdisseur majeur; Étourdisseur majeur; Muldo Ebène</t>
        </is>
      </c>
    </row>
    <row r="24009">
      <c r="A24009" t="inlineStr">
        <is>
          <t>Eau retrait</t>
        </is>
      </c>
      <c r="B24009">
        <f>HYPERLINK("https://www.dofusbook.net/fr/equipement/3950469-eau-retrait/objets", "link")</f>
        <v/>
      </c>
      <c r="C24009" t="n">
        <v>0</v>
      </c>
      <c r="D24009" t="inlineStr">
        <is>
          <t>Dagoulinantes; Amulette de Shokkoth; Alliance Gloursonne; Lavanneau; Sept ans de malheur; Culotte de Bethel; Masque de Funespadon; Cape Solution; Pataugastrique; Dofus Abyssal; Dofus Ivoire; Carapace Eau majeur; Nomade; Étourdisseur majeur; Koalak Sanguin</t>
        </is>
      </c>
    </row>
    <row r="24010">
      <c r="A24010" t="inlineStr">
        <is>
          <t>Terre</t>
        </is>
      </c>
      <c r="B24010">
        <f>HYPERLINK("https://www.dofusbook.net/fr/equipement/3860003-terre/objets", "link")</f>
        <v/>
      </c>
      <c r="C24010" t="n">
        <v>1</v>
      </c>
      <c r="D24010" t="inlineStr">
        <is>
          <t>Arc du Chalœil; Kralamansion; Anneau de Brouce; Anneau Pwal; Bouclier du Stalak; Ceinture de Brouce; Masque de Koutoulou; Cape au Logis; Baleinabottes; Dofus Abyssal; Dofus Pourpre; Vigoureux majeur; Remueur; Enragé majeur; Nomade; Kompost</t>
        </is>
      </c>
    </row>
    <row r="24011">
      <c r="A24011" t="inlineStr">
        <is>
          <t>Air</t>
        </is>
      </c>
      <c r="B24011">
        <f>HYPERLINK("https://www.dofusbook.net/fr/equipement/3859973-air/objets", "link")</f>
        <v/>
      </c>
      <c r="C24011" t="n">
        <v>0</v>
      </c>
      <c r="D24011" t="inlineStr">
        <is>
          <t>Hachoirs de Viandargh; Collier du Valet Veinard; Anneau d'Allister; Anneau Pwal; Bouclier du Stalak; Menoture; Couronne d'Allister; Cape Indescriptible; Baleinabottes; Dofus Abyssal; Dofus Pourpre; Cascadeur majeur; Nomade; Voyageur; Remueur; Siroko</t>
        </is>
      </c>
    </row>
    <row r="24012">
      <c r="A24012" t="inlineStr">
        <is>
          <t>Air 2</t>
        </is>
      </c>
      <c r="B24012">
        <f>HYPERLINK("https://www.dofusbook.net/fr/equipement/3859992-air-2/objets", "link")</f>
        <v/>
      </c>
      <c r="C24012" t="n">
        <v>0</v>
      </c>
      <c r="D24012" t="inlineStr">
        <is>
          <t>Hachoirs de Viandargh; Amibou; Alliance Gloursonne; Gant du Valet Veinard; Bouclier du Stalak; Menoture; Masque de Klime; Cape de Klime; Baleinabottes; Dofus Abyssal; Dofus Pourpre; Voyageur; Remueur; Cascadeur majeur; Nomade; Siroko</t>
        </is>
      </c>
    </row>
    <row r="24013">
      <c r="A24013" t="inlineStr">
        <is>
          <t>Air 199</t>
        </is>
      </c>
      <c r="B24013">
        <f>HYPERLINK("https://www.dofusbook.net/fr/equipement/3922714-air-199/objets", "link")</f>
        <v/>
      </c>
      <c r="C24013" t="n">
        <v>0</v>
      </c>
      <c r="D24013" t="inlineStr">
        <is>
          <t>Hachoirs de Viandargh; Kralamansion; Anneau d'Allister; Alliance Gloursonne; Bivalve; Ceinture Rasboulaire du Rasboul; Couronne d'Allister; Cape Matelassée; Pantoufles Émar; Dofus Abyssal; Dofus Pourpre; Cascadeur majeur; Remueur; Voyageur; Nomade; Siroko</t>
        </is>
      </c>
    </row>
    <row r="24014">
      <c r="A24014" t="inlineStr">
        <is>
          <t>Arc full feu 0 feu</t>
        </is>
      </c>
      <c r="B24014">
        <f>HYPERLINK("https://www.dofusbook.net/fr/equipement/676604-arc-full-feu-0-feu/objets", "link")</f>
        <v/>
      </c>
      <c r="C24014" t="n">
        <v>0</v>
      </c>
      <c r="D24014" t="inlineStr">
        <is>
          <t>Arc corrompu; Pendentif affamé; Bague Gloursonne; Anneauræus; Bouclier du Cycloïde; Ceinture Séculaire; Coiffe Séculaire; Cape de Diondin; Bottes Innommables; Dofus Pourpre; Dofus Turquoise; Érudit majeur; Nomade; Astucieux majeur; Remueur; Muldo Orchidée et Amande</t>
        </is>
      </c>
    </row>
    <row r="24015">
      <c r="A24015" t="inlineStr">
        <is>
          <t>Terre 12/6</t>
        </is>
      </c>
      <c r="B24015">
        <f>HYPERLINK("https://www.dofusbook.net/fr/equipement/3919675-terre-12-6/objets", "link")</f>
        <v/>
      </c>
      <c r="C24015" t="n">
        <v>0</v>
      </c>
      <c r="D24015" t="inlineStr">
        <is>
          <t>Marteau R'ture; Amulette Luminescente; Anneau de Brouce; Chevalière du Roi Joueur; Quatre-feuilles; Ceinture Luminescente; Couronne du Roi Joueur; Cape Luminescente; Bottes du Roi Joueur; Dofus Pourpre; Dofus Ocre; Dofus Abyssal; Forcené majeur; Voyageur; Entraveur majeur; Kompost</t>
        </is>
      </c>
    </row>
    <row r="24016">
      <c r="A24016" t="inlineStr">
        <is>
          <t>Air 3</t>
        </is>
      </c>
      <c r="B24016">
        <f>HYPERLINK("https://www.dofusbook.net/fr/equipement/3919636-air-3/objets", "link")</f>
        <v/>
      </c>
      <c r="C24016" t="n">
        <v>0</v>
      </c>
      <c r="D24016" t="inlineStr">
        <is>
          <t>Hachoirs de Viandargh; Collier du Valet Veinard; Gant du Valet Veinard; Anneau d'Allister; Bouclier du Stalak; Sangle Oriole; Couronne d'Allister; Cape du Valet Veinard; Bottes d'Allister; Dofus Pourpre; Dofus Ocre; Dofus Abyssal; Voyageur; Entraveur majeur; Equilibriste majeur; Siroko</t>
        </is>
      </c>
    </row>
    <row r="24017">
      <c r="A24017" t="inlineStr">
        <is>
          <t>Terre 199</t>
        </is>
      </c>
      <c r="B24017">
        <f>HYPERLINK("https://www.dofusbook.net/fr/equipement/3916852-terre-199/objets", "link")</f>
        <v/>
      </c>
      <c r="C24017" t="n">
        <v>0</v>
      </c>
      <c r="D24017" t="inlineStr">
        <is>
          <t>Bêche Asse; Kralamansion; Anneau Pwal; Anneau de Brouce; Bivalve; Ceinture de Brouce; Chapeau Potin; Cape au Logis; Sabots Minables; Dofus Abyssal; Dofus Pourpre; Enragé majeur; Nomade; Vigoureux majeur; Remueur; Kompost</t>
        </is>
      </c>
    </row>
    <row r="24018">
      <c r="A24018" t="inlineStr">
        <is>
          <t>arc chaloeil</t>
        </is>
      </c>
      <c r="B24018">
        <f>HYPERLINK("https://www.dofusbook.net/fr/equipement/1638823-arc-chaloeil/objets", "link")</f>
        <v/>
      </c>
      <c r="C24018" t="n">
        <v>1</v>
      </c>
      <c r="D24018" t="inlineStr">
        <is>
          <t>Arc du Chalœil; Amulette du Strigide; Anneau Chevelu; Bague Gloursonne; Quatre-feuilles; Ceinture du Strigide; Masque de Koutoulou; Voile d'encre; Sabots Minables; Dofus Abyssal; Dofus Pourpre; Dofus des Glaces; Dofus Émeraude; Dofus Turquoise; Nomade; Dragodinde Emeraude et Ivoire</t>
        </is>
      </c>
    </row>
    <row r="24019">
      <c r="A24019" t="inlineStr">
        <is>
          <t>Stuff srambad pvm 2</t>
        </is>
      </c>
      <c r="B24019">
        <f>HYPERLINK("https://www.dofusbook.net/fr/equipement/750524-stuff-srambad-pvm-2/objets", "link")</f>
        <v/>
      </c>
      <c r="C24019" t="n">
        <v>2</v>
      </c>
      <c r="D24019" t="inlineStr">
        <is>
          <t>Dagues de Srambad; Amulette de Pol Ouatnos; Alliance Gloursonne; Pikano; Bouclier alvéolé; Ceinture de la Reine des Voleurs; Coiffe de la Reine des Voleurs; Cape Ovri; Sabots Minables; Dofus des Glaces; Dofus Abyssal; Dofus Pourpre; Dofus Émeraude; Remueur; Vigoureux majeur; Kramkram</t>
        </is>
      </c>
    </row>
    <row r="24020">
      <c r="A24020" t="inlineStr">
        <is>
          <t>Mode air</t>
        </is>
      </c>
      <c r="B24020">
        <f>HYPERLINK("https://www.dofusbook.net/fr/equipement/1734177-mode-air/objets", "link")</f>
        <v/>
      </c>
      <c r="C24020" t="n">
        <v>1</v>
      </c>
      <c r="D24020" t="inlineStr">
        <is>
          <t>Manthache; Collier du Valet Veinard; Alliance Gloursonne; Gant du Valet Veinard; Bouclier alvéolé; Menoture; Couronne d'Allister; Cape Indescriptible; Palmes Trithons; Dofus des Glaces; Dofus Pourpre; Dofus Abyssal; Remueur; Cascadeur majeur; Nomade; Muldo Ebène</t>
        </is>
      </c>
    </row>
    <row r="24021">
      <c r="A24021" t="inlineStr">
        <is>
          <t>Hequache 2</t>
        </is>
      </c>
      <c r="B24021">
        <f>HYPERLINK("https://www.dofusbook.net/fr/equipement/1225855-hequache-2/objets", "link")</f>
        <v/>
      </c>
      <c r="C24021" t="n">
        <v>1</v>
      </c>
      <c r="D24021" t="inlineStr">
        <is>
          <t>Héqache; Amulette du Strigide; Anneau des égarés; Alliance Gloursonne; Bouclier alvéolé; Ceintacé; Casque des égarés; Voile d'encre; Bottes de la Cour Sombre; Dofus Abyssal; Dofus Turquoise; Dofus des Glaces; Dofus Pourpre; Remueur; Vigoureux majeur; Muldo Prune et Pourpre</t>
        </is>
      </c>
    </row>
    <row r="24022">
      <c r="A24022" t="inlineStr">
        <is>
          <t>Stuff marteau crit</t>
        </is>
      </c>
      <c r="B24022">
        <f>HYPERLINK("https://www.dofusbook.net/fr/equipement/676611-stuff-marteau-crit/objets", "link")</f>
        <v/>
      </c>
      <c r="C24022" t="n">
        <v>0</v>
      </c>
      <c r="D24022" t="inlineStr">
        <is>
          <t>Marteau Reine; Amulette du Strigide; Alliance Gloursonne; Anneau Chevelu; Bouclier Taverne; Ceinture du Strigide; Casque des égarés; Cape au Logis; Sabots Minables; Dofus Pourpre; Dofus des Glaces; Dofus Turquoise; Dofus Abyssal; Vigoureux majeur; Remueur; Kramkram</t>
        </is>
      </c>
    </row>
    <row r="24023">
      <c r="A24023" t="inlineStr">
        <is>
          <t>kwaltess</t>
        </is>
      </c>
      <c r="B24023">
        <f>HYPERLINK("https://www.dofusbook.net/fr/equipement/1374786-kwaltess/objets", "link")</f>
        <v/>
      </c>
      <c r="C24023" t="n">
        <v>2</v>
      </c>
      <c r="D24023" t="inlineStr">
        <is>
          <t>Dagues Érhy; Amulette du Strigide; Bague Gloursonne; Anneau de Brouce; Bouclier Taverne; Ceinture du Strigide; Chapeau de Gein; Voile d'encre; Bottes de la Cour Sombre; Dofus Turquoise; Dofus Ocre; Dofus Pourpre; Dofus Nébuleux; Remueur; Nomade; Fëanor</t>
        </is>
      </c>
    </row>
    <row r="24024">
      <c r="A24024" t="inlineStr">
        <is>
          <t>Feu 200</t>
        </is>
      </c>
      <c r="B24024">
        <f>HYPERLINK("https://www.dofusbook.net/fr/equipement/1208751-feu-200/objets", "link")</f>
        <v/>
      </c>
      <c r="C24024" t="n">
        <v>0</v>
      </c>
      <c r="D24024" t="inlineStr">
        <is>
          <t>La Baguette des Limbes; Amulette de Nileza; Anneau Tamie; Anneau Tamie; Bouclier du Stalak; Sangle Aise; Casque Cyclopéen; Cape de Nileza; Pataugastrique; Dofus Pourpre; Dofus des Glaces; Dévastateur Feu majeur; Saccageur Feu majeur; Érudit majeur; Nomade; Bisouglours</t>
        </is>
      </c>
    </row>
    <row r="24025">
      <c r="A24025" t="inlineStr">
        <is>
          <t>Air</t>
        </is>
      </c>
      <c r="B24025">
        <f>HYPERLINK("https://www.dofusbook.net/fr/equipement/2422200-air/objets", "link")</f>
        <v/>
      </c>
      <c r="C24025" t="n">
        <v>1</v>
      </c>
      <c r="D24025" t="inlineStr">
        <is>
          <t>Manthache; Collier du Valet Veinard; Alliance Gloursonne; Gant du Valet Veinard; Bouclier du Stalak; Menoture; Couronne d'Allister; Cape Indescriptible; Palmes Trithons; Dofus Abyssal; Dofus Pourpre; Nomade; Vigoureux majeur; Remueur; Cascadeur majeur; Muldo Ebène et Orchidée</t>
        </is>
      </c>
    </row>
    <row r="24026">
      <c r="A24026" t="inlineStr">
        <is>
          <t>Stuff srambad pvm</t>
        </is>
      </c>
      <c r="B24026">
        <f>HYPERLINK("https://www.dofusbook.net/fr/equipement/676610-stuff-srambad-pvm/objets", "link")</f>
        <v/>
      </c>
      <c r="C24026" t="n">
        <v>0</v>
      </c>
      <c r="D24026" t="inlineStr">
        <is>
          <t>Dagues de Srambad; Amulette de l'Indicible; Alliance Gloursonne; Pikano; Bouclier alvéolé; Ceinture de la Reine des Voleurs; Coiffe de la Reine des Voleurs; Voile d'encre; Pantoufles du Piloztère; Dofus Pourpre; Dofus des Glaces; Dofus Abyssal; Remueur; Vigoureux majeur; Nomade; Kwaltess</t>
        </is>
      </c>
    </row>
    <row r="24027">
      <c r="A24027" t="inlineStr">
        <is>
          <t>Stuff pvp 11/6 2</t>
        </is>
      </c>
      <c r="B24027">
        <f>HYPERLINK("https://www.dofusbook.net/fr/equipement/751225-stuff-pvp-11-6-2/objets", "link")</f>
        <v/>
      </c>
      <c r="C24027" t="n">
        <v>1</v>
      </c>
      <c r="D24027" t="inlineStr">
        <is>
          <t>Epée Toche; Amulette du Strigide; Bague Gloursonne; Anneau Chevelu; Bouclier Taverne; Ceintacé; Chapeau de Gein; Voile d'encre; Bottes du Strigide; Dofus Nébuleux; Dofus Pourpre; Dofus Turquoise; Enragé majeur; Remueur; Vigoureux majeur; Muldo Doré et Orchidée</t>
        </is>
      </c>
    </row>
    <row r="24028">
      <c r="A24028" t="inlineStr">
        <is>
          <t>Stuff gelano</t>
        </is>
      </c>
      <c r="B24028">
        <f>HYPERLINK("https://www.dofusbook.net/fr/equipement/676621-stuff-gelano/objets", "link")</f>
        <v/>
      </c>
      <c r="C24028" t="n">
        <v>1</v>
      </c>
      <c r="D24028" t="inlineStr">
        <is>
          <t>Dagues Érhy; Amulette du Strigide; Bague Gloursonne; Gelano; Bouclier Taverne; Ceinture du Strigide; Chapeau de Gein; Voile d'encre; Bottes de la Cour Sombre; Dofus Pourpre; Dofus Ocre; Dofus Nébuleux; Dofus Turquoise; Remueur; Nomade; Kramkram</t>
        </is>
      </c>
    </row>
    <row r="24029">
      <c r="A24029" t="inlineStr">
        <is>
          <t>Masque koutoulou</t>
        </is>
      </c>
      <c r="B24029">
        <f>HYPERLINK("https://www.dofusbook.net/fr/equipement/1678207-masque-koutoulou/objets", "link")</f>
        <v/>
      </c>
      <c r="C24029" t="n">
        <v>3</v>
      </c>
      <c r="D24029" t="inlineStr">
        <is>
          <t>Epée Toche; Amulette du Strigide; Anneau Chevelu; Bague Gloursonne; Bouclier Taverne; Ceintacé; Masque de Koutoulou; Cape au Logis; Bottes du Strigide; Dofus Turquoise; Dofus Nébuleux; Dofus Abyssal; Dofus Pourpre; Dolmanax; Vigoureux majeur; Kramkram</t>
        </is>
      </c>
    </row>
    <row r="24030">
      <c r="A24030" t="inlineStr">
        <is>
          <t>Pvm muldo</t>
        </is>
      </c>
      <c r="B24030">
        <f>HYPERLINK("https://www.dofusbook.net/fr/equipement/1633553-pvm-muldo/objets", "link")</f>
        <v/>
      </c>
      <c r="C24030" t="n">
        <v>0</v>
      </c>
      <c r="D24030" t="inlineStr">
        <is>
          <t>Arc corrompu; Amulette Séculaire; Anneauræus; Bague Gloursonne; Bouclier du Cycloïde; Ceinture Séculaire; Casque Cyclopéen; Cape de Diondin; Bottes Innommables; Dofus Turquoise; Dofus Pourpre; Nomade; Astucieux majeur; Érudit majeur; Remueur; Muldo Orchidée et Pourpre</t>
        </is>
      </c>
    </row>
    <row r="24031">
      <c r="A24031" t="inlineStr">
        <is>
          <t>Stuff 1</t>
        </is>
      </c>
      <c r="B24031">
        <f>HYPERLINK("https://www.dofusbook.net/fr/equipement/676618-stuff-1/objets", "link")</f>
        <v/>
      </c>
      <c r="C24031" t="n">
        <v>0</v>
      </c>
      <c r="D24031" t="inlineStr">
        <is>
          <t>Bâtonnet Ronien; Amulette du Strigide; Anneau de Padgref; Alliance Gloursonne; Quatre-feuilles; Ceintacé; Némès de Tal Kasha; Chevelure de Tal Kasha; Pataugastrique; Dofus des Glaces; Dofus Turquoise; Dofus Pourpre; Nomade; Remueur; Vigoureux majeur; Muldo Doré et Emeraude</t>
        </is>
      </c>
    </row>
    <row r="24032">
      <c r="A24032" t="inlineStr">
        <is>
          <t>Stuff bonnet ko</t>
        </is>
      </c>
      <c r="B24032">
        <f>HYPERLINK("https://www.dofusbook.net/fr/equipement/817412-stuff-bonnet-ko/objets", "link")</f>
        <v/>
      </c>
      <c r="C24032" t="n">
        <v>3</v>
      </c>
      <c r="D24032" t="inlineStr">
        <is>
          <t>Dagues Érhy; Amulette du Strigide; Anneau Chevelu; Bague Gloursonne; Bouclier Taverne; Ceinture du Strigide; Bonnet Ko; Voile d'encre; Bottes de la Cour Sombre; Dofus Pourpre; Dofus Turquoise; Dofus Nébuleux; Dofus Ocre; Nomade; Remueur; Muldo Prune et Doré</t>
        </is>
      </c>
    </row>
    <row r="24033">
      <c r="A24033" t="inlineStr">
        <is>
          <t>pvp air</t>
        </is>
      </c>
      <c r="B24033">
        <f>HYPERLINK("https://www.dofusbook.net/fr/equipement/2793531-pvp-air/objets", "link")</f>
        <v/>
      </c>
      <c r="C24033" t="n">
        <v>0</v>
      </c>
      <c r="D24033" t="inlineStr">
        <is>
          <t>Karnak; Amulette de l'Orfélin; Gelano; Nageanneau; Bouclier Taverne; Ceinture de l'Orfélin; Bonnet Ko; Cape Souveraine du Roissingue; Sandales Gorithme; Dokoko; Dofus Pourpre; Dofus Émeraude; Miraculé majeur; Nomade; Remueur; Muldo Ebène et Indigo</t>
        </is>
      </c>
    </row>
    <row r="24034">
      <c r="A24034" t="inlineStr">
        <is>
          <t>Multi 199</t>
        </is>
      </c>
      <c r="B24034">
        <f>HYPERLINK("https://www.dofusbook.net/fr/equipement/2623924-multi-199/objets", "link")</f>
        <v/>
      </c>
      <c r="C24034" t="n">
        <v>0</v>
      </c>
      <c r="D24034" t="inlineStr">
        <is>
          <t>Bâton Beau; Amulette Cætera; Bague Gloursonne; Alliance Gloursonne; Quatre-feuilles; Obscture; Chapeau Potin; Cape Reski; Pantoufles Émar; Dofus Turquoise; Dofus Pourpre; Dofus des Glaces; Remueur; Vigoureux majeur; Nomade; Muldo Prune et Doré</t>
        </is>
      </c>
    </row>
    <row r="24035">
      <c r="A24035" t="inlineStr">
        <is>
          <t>Stuff eau 2</t>
        </is>
      </c>
      <c r="B24035">
        <f>HYPERLINK("https://www.dofusbook.net/fr/equipement/2596694-stuff-eau-2/objets", "link")</f>
        <v/>
      </c>
      <c r="C24035" t="n">
        <v>0</v>
      </c>
      <c r="D24035" t="inlineStr">
        <is>
          <t>Amulette de Shokkoth; Cape de la Dame du Hasard; Bottes de la Dame du Hasard</t>
        </is>
      </c>
    </row>
    <row r="24036">
      <c r="A24036" t="inlineStr">
        <is>
          <t>Terre/air</t>
        </is>
      </c>
      <c r="B24036">
        <f>HYPERLINK("https://www.dofusbook.net/fr/equipement/2574086-terre-air/objets", "link")</f>
        <v/>
      </c>
      <c r="C24036" t="n">
        <v>2</v>
      </c>
      <c r="D24036" t="inlineStr">
        <is>
          <t>Héqache; Amulette du Strigide; Alliance Gloursonne; Gant du Valet Veinard; Bouclier Taverne; Ceinture du Strigide; Masque de Koutoulou; Cape au Logis; Baleinabottes; Dofus Turquoise; Dofus Nébuleux; Dofus Pourpre; Remueur; Vigoureux majeur; Nomade; Kramkram</t>
        </is>
      </c>
    </row>
    <row r="24037">
      <c r="A24037" t="inlineStr">
        <is>
          <t>do pou</t>
        </is>
      </c>
      <c r="B24037">
        <f>HYPERLINK("https://www.dofusbook.net/fr/equipement/2422196-do-pou/objets", "link")</f>
        <v/>
      </c>
      <c r="C24037" t="n">
        <v>1</v>
      </c>
      <c r="D24037" t="inlineStr">
        <is>
          <t>Arc du Chalœil; Torquistik; Bague Trithon; Bague Instable; Bouclier précieux; Sangle Ouare; Casque Dragoeuf; Cape Luminescente; Bottistik; Dofus Abyssal; Dofus Émeraude; Dofus Ocre; Pousseur majeur; Remueur; Culbuteur majeur; Muldo Roux et Pourpre</t>
        </is>
      </c>
    </row>
    <row r="24038">
      <c r="A24038" t="inlineStr">
        <is>
          <t>Ahique</t>
        </is>
      </c>
      <c r="B24038">
        <f>HYPERLINK("https://www.dofusbook.net/fr/equipement/2383348-ahique/objets", "link")</f>
        <v/>
      </c>
      <c r="C24038" t="n">
        <v>0</v>
      </c>
      <c r="D24038" t="inlineStr">
        <is>
          <t>Arc Ahique; Collier du Valet Veinard; Gant du Valet Veinard; Alliance Gloursonne; Bouclier du Stalak; Ceinture de la Reine des Voleurs; Coiffe de la Reine des Voleurs; Cape du Valet Veinard; Bottes de la Reine des Voleurs; Dofus Abyssal; Dofus Ocre; Dolmanax; Dofus des Glaces; Dofus Émeraude; Dofus Pourpre; Muldo Ebène</t>
        </is>
      </c>
    </row>
    <row r="24039">
      <c r="A24039" t="inlineStr">
        <is>
          <t>Ilyzaelle</t>
        </is>
      </c>
      <c r="B24039">
        <f>HYPERLINK("https://www.dofusbook.net/fr/equipement/1974608-ilyzaelle/objets", "link")</f>
        <v/>
      </c>
      <c r="C24039" t="n">
        <v>0</v>
      </c>
      <c r="D24039" t="inlineStr">
        <is>
          <t>Arc de Koutoulou; Amulette d'Ilyzaelle; Gant du Valet Veinard; Alliance Gloursonne; Quatre-feuilles; Ceintacé; Casque d'Ilyzaelle; Chevelure de Tal Kasha; Pataugastrique; Dofus Pourpre; Dofus des Glaces; Dofus Abyssal; Vigoureux majeur; Nomade; Remueur; Muldo Ebène et Indigo</t>
        </is>
      </c>
    </row>
    <row r="24040">
      <c r="A24040" t="inlineStr">
        <is>
          <t>Tal Kasha koutoulou</t>
        </is>
      </c>
      <c r="B24040">
        <f>HYPERLINK("https://www.dofusbook.net/fr/equipement/1096622-tal-kasha-koutoulou/objets", "link")</f>
        <v/>
      </c>
      <c r="C24040" t="n">
        <v>0</v>
      </c>
      <c r="D24040" t="inlineStr">
        <is>
          <t>Bâtonnet Ronien; Amulette du Strigide; Alliance Gloursonne; Anneau de Pol Ouatnos; Quatre-feuilles; Ceintacé; Kidibonnet; Chevelure de Tal Kasha; Sandales de Tal Kasha; Dofus des Glaces; Dofus Pourpre; Dofus Abyssal; Dofus Turquoise; Vigoureux majeur; Remueur; Muldo Ebène et Indigo</t>
        </is>
      </c>
    </row>
    <row r="24041">
      <c r="A24041" t="inlineStr">
        <is>
          <t>arc chaloeil</t>
        </is>
      </c>
      <c r="B24041">
        <f>HYPERLINK("https://www.dofusbook.net/fr/equipement/1683695-arc-chaloeil/objets", "link")</f>
        <v/>
      </c>
      <c r="C24041" t="n">
        <v>2</v>
      </c>
      <c r="D24041" t="inlineStr">
        <is>
          <t>Arc du Chalœil; Amulette du Strigide; Anneau Chevelu; Bague Gloursonne; Bivalve; Ceintacé; Masque de Koutoulou; Cape au Logis; Bottes du Strigide; Dofus Nébuleux; Dofus Turquoise; Dofus Pourpre; Enragé majeur; Nomade; Carapace Terre majeur; Kramkram</t>
        </is>
      </c>
    </row>
    <row r="24042">
      <c r="A24042" t="inlineStr">
        <is>
          <t>Neo</t>
        </is>
      </c>
      <c r="B24042">
        <f>HYPERLINK("https://www.dofusbook.net/fr/equipement/1527372-neo/objets", "link")</f>
        <v/>
      </c>
      <c r="C24042" t="n">
        <v>5</v>
      </c>
      <c r="D24042" t="inlineStr">
        <is>
          <t>Dagues du Dragoeuf; Frimamulette; Gelano; Kralano; Ceinture du Tengu Givrefoux; Masque du Glourséleste; Cape Hiculteur; Bottes du Tengu Givrefoux; Dofus Émeraude; Dofus Pourpre; Remueur; Miraculé majeur; Vigoureux majeur; Nomade; Muldo Doré et Pourpre</t>
        </is>
      </c>
    </row>
    <row r="24043">
      <c r="A24043" t="inlineStr">
        <is>
          <t>Mode eau/air</t>
        </is>
      </c>
      <c r="B24043">
        <f>HYPERLINK("https://www.dofusbook.net/fr/equipement/1479377-mode-eau-air/objets", "link")</f>
        <v/>
      </c>
      <c r="C24043" t="n">
        <v>0</v>
      </c>
      <c r="D24043" t="inlineStr">
        <is>
          <t>Bâtonnet Ronien; Amulette du Strigide; Anneau de Padgref; Alliance Gloursonne; Quatre-feuilles; Ceintacé; Némès de Tal Kasha; Chevelure de Tal Kasha; Pataugastrique; Dofus Turquoise; Dolmanax; Dofus Pourpre; Nomade; Remueur; Fonceur majeur; Muldo Prune et Emeraude</t>
        </is>
      </c>
    </row>
    <row r="24044">
      <c r="A24044" t="inlineStr">
        <is>
          <t>Stuff pvp 11/6</t>
        </is>
      </c>
      <c r="B24044">
        <f>HYPERLINK("https://www.dofusbook.net/fr/equipement/676623-stuff-pvp-11-6/objets", "link")</f>
        <v/>
      </c>
      <c r="C24044" t="n">
        <v>2</v>
      </c>
      <c r="D24044" t="inlineStr">
        <is>
          <t>Epée Toche; Amulette du Strigide; Bague Gloursonne; Anneau de Brouce; Bouclier Taverne; Ceintacé; Chapeau de Gein; Voile d'encre; Bottes du Strigide; Dofus Nébuleux; Dofus Turquoise; Dofus Pourpre; Vigoureux majeur; Nomade; Remueur; Kramkram</t>
        </is>
      </c>
    </row>
    <row r="24045">
      <c r="A24045" t="inlineStr">
        <is>
          <t>Dagues dragoeuf</t>
        </is>
      </c>
      <c r="B24045">
        <f>HYPERLINK("https://www.dofusbook.net/fr/equipement/1374656-dagues-dragoeuf/objets", "link")</f>
        <v/>
      </c>
      <c r="C24045" t="n">
        <v>1</v>
      </c>
      <c r="D24045" t="inlineStr">
        <is>
          <t>Dagues du Dragoeuf; Amulette du Strigide; Bague Gloursonne; Anneau de Brouce; Bouclier Taverne; Ceinture du Strigide; Chapeau de Gein; Voile d'encre; Bottes de la Cour Sombre; Dofus Turquoise; Dofus Pourpre; Dofus Ocre; Dofus Nébuleux; Remueur; Vigoureux majeur; Muldo Prune et Doré</t>
        </is>
      </c>
    </row>
    <row r="24046">
      <c r="A24046" t="inlineStr">
        <is>
          <t>Stuff feu hetype</t>
        </is>
      </c>
      <c r="B24046">
        <f>HYPERLINK("https://www.dofusbook.net/fr/equipement/676614-stuff-feu-hetype/objets", "link")</f>
        <v/>
      </c>
      <c r="C24046" t="n">
        <v>0</v>
      </c>
      <c r="D24046" t="inlineStr">
        <is>
          <t>Arc Hétype; Amulette de Nileza; Anneau de Nidas; Anneau Tique; Bouclier cubiste; Ceinture Séculaire; Couronne de Nidas; Voile d'encre; Pantoufles Émar; Miraculé majeur; Remueur; Entraveur majeur; Érudit majeur; Temporiseur majeur; Nomade; Kramkram</t>
        </is>
      </c>
    </row>
    <row r="24047">
      <c r="A24047" t="inlineStr">
        <is>
          <t>Stuff feu/eau</t>
        </is>
      </c>
      <c r="B24047">
        <f>HYPERLINK("https://www.dofusbook.net/fr/equipement/1024602-stuff-feu-eau/objets", "link")</f>
        <v/>
      </c>
      <c r="C24047" t="n">
        <v>1</v>
      </c>
      <c r="D24047" t="inlineStr">
        <is>
          <t>Arc Nécrotique; Talisman Igans; Anneau Tique; Alliance Gloursonne; Bouclier du Cycloïde; Poulpagne; Coiffe Cryochrone; Voile d'encre; Bottes Owesli; Dolmanax; Dofus Pourpre; Dofus Turquoise; Dofus Émeraude; Vigoureux majeur; Remueur; Muldo Indigo et Pourpre</t>
        </is>
      </c>
    </row>
    <row r="24048">
      <c r="A24048" t="inlineStr">
        <is>
          <t>Stuff terre ret pm</t>
        </is>
      </c>
      <c r="B24048">
        <f>HYPERLINK("https://www.dofusbook.net/fr/equipement/902317-stuff-terre-ret-pm/objets", "link")</f>
        <v/>
      </c>
      <c r="C24048" t="n">
        <v>0</v>
      </c>
      <c r="D24048" t="inlineStr">
        <is>
          <t>Hache du Guerrier Zoth; Amulette du Kamasterisk; Anneau Vicieux; Pikano; Bouclier cubiste; Ceinture de Brouce; Casquipik; Cape Ovri; Baleinabottes; Dofus Pourpre; Enragé majeur; Temporiseur majeur; Nomade; Entraveur majeur; Remueur; Muldo Pourpre</t>
        </is>
      </c>
    </row>
    <row r="24049">
      <c r="A24049" t="inlineStr">
        <is>
          <t>hache</t>
        </is>
      </c>
      <c r="B24049">
        <f>HYPERLINK("https://www.dofusbook.net/fr/equipement/778810-hache/objets", "link")</f>
        <v/>
      </c>
      <c r="C24049" t="n">
        <v>2</v>
      </c>
      <c r="D24049" t="inlineStr">
        <is>
          <t>Héqache; Amulette du Strigide; Bague Gloursonne; Anneau Chevelu; Bouclier du Captain Amakna; Ceinture du Strigide; Bonnet Ko; Voile d'encre; Tentassons; Dofus Pourpre; Dofus Abyssal; Dofus Ocre; Dofus Turquoise; Remueur; Nomade; Muldo Indigo et Pourpre</t>
        </is>
      </c>
    </row>
    <row r="24050">
      <c r="A24050" t="inlineStr">
        <is>
          <t>Stuff eau pvm</t>
        </is>
      </c>
      <c r="B24050">
        <f>HYPERLINK("https://www.dofusbook.net/fr/equipement/676613-stuff-eau-pvm/objets", "link")</f>
        <v/>
      </c>
      <c r="C24050" t="n">
        <v>0</v>
      </c>
      <c r="D24050" t="inlineStr">
        <is>
          <t>Rapière aux Glyphes; Amulette de Shokkoth; Anneau Toriété; Alliance Gloursonne; Bouclier cubiste; Poulpagne; Kidibonnet; Cape de Mantaze; Pataugastrique; Dofus Pourpre; Entraveur majeur; Temporiseur; Chanceux majeur; Ralentisseur majeur; Temporiseur majeur; Muldo Indigo et Pourpre</t>
        </is>
      </c>
    </row>
    <row r="24051">
      <c r="A24051" t="inlineStr">
        <is>
          <t>Stuff 1</t>
        </is>
      </c>
      <c r="B24051">
        <f>HYPERLINK("https://www.dofusbook.net/fr/equipement/676630-stuff-1/objets", "link")</f>
        <v/>
      </c>
      <c r="C24051" t="n">
        <v>0</v>
      </c>
      <c r="D24051" t="inlineStr">
        <is>
          <t>Arc Hétype; Amulette Hendart; Alliance Gloursonne; Bague Gloursonne; Carapar; Slip Iholo; Chapeau du Comte Razof; Voile d'encre; Pantoufles Émar; Dofus Turquoise; Dofus Pourpre; Dofus Émeraude; Remueur; Érudit majeur; Nomade; Kramkram</t>
        </is>
      </c>
    </row>
    <row r="24052">
      <c r="A24052" t="inlineStr">
        <is>
          <t>Stuff 3</t>
        </is>
      </c>
      <c r="B24052">
        <f>HYPERLINK("https://www.dofusbook.net/fr/equipement/676620-stuff-3/objets", "link")</f>
        <v/>
      </c>
      <c r="C24052" t="n">
        <v>0</v>
      </c>
      <c r="D24052" t="inlineStr">
        <is>
          <t>Dagues Érhy; Amulette du Strigide; Bague Gloursonne; Chevalière du Roi Joueur; Bouclier du Captain Amakna; Ceintacé; Chapeau de Gein; Voile d'encre; Bottes du Strigide; Dofus Pourpre; Dofus Nébuleux; Dofus des Glaces; Dofus Turquoise; Remueur; Nomade; Kramkram</t>
        </is>
      </c>
    </row>
    <row r="24053">
      <c r="A24053" t="inlineStr">
        <is>
          <t>Stuff 2</t>
        </is>
      </c>
      <c r="B24053">
        <f>HYPERLINK("https://www.dofusbook.net/fr/equipement/676619-stuff-2/objets", "link")</f>
        <v/>
      </c>
      <c r="C24053" t="n">
        <v>0</v>
      </c>
      <c r="D24053" t="inlineStr">
        <is>
          <t>Marteau des Anciens Steamers; Amulette du Strigide; Alliance Gloursonne; Anneau d'Allister; Bouclier Taverne; Ceintacé; Kidibonnet; Cape du Barbétoal; Bottes du Strigide; Dofus Pourpre; Dofus des Glaces; Dofus Turquoise; Vigoureux majeur; Nomade; Remueur; Muldo Ebène et Indigo</t>
        </is>
      </c>
    </row>
    <row r="24054">
      <c r="A24054" t="inlineStr">
        <is>
          <t>Stuff 2</t>
        </is>
      </c>
      <c r="B24054">
        <f>HYPERLINK("https://www.dofusbook.net/fr/equipement/676631-stuff-2/objets", "link")</f>
        <v/>
      </c>
      <c r="C24054" t="n">
        <v>0</v>
      </c>
      <c r="D24054" t="inlineStr">
        <is>
          <t>Epée Gloursonne; Amulette Ementaire Deluxe; Bague Gloursonne; Alliance Gloursonne; Ceinture de la Cour Sombre; Chapeau de Gein; Cape de la Cour Sombre; Bottes de la Cour Sombre; Dofus Turquoise; Dofus des Glaces; Dofus Nébuleux; Dofus Vulbis; Dokoko; Dofus Ocre; Kramkram</t>
        </is>
      </c>
    </row>
    <row r="24055">
      <c r="A24055" t="inlineStr">
        <is>
          <t>Stuff 3</t>
        </is>
      </c>
      <c r="B24055">
        <f>HYPERLINK("https://www.dofusbook.net/fr/equipement/465432-stuff-3/objets", "link")</f>
        <v/>
      </c>
      <c r="C24055" t="n">
        <v>0</v>
      </c>
      <c r="D24055" t="inlineStr">
        <is>
          <t>Épouvante; Amulette du Strigide; Anneau de Pol Ouatnos; Alliance Gloursonne; Ceinture du Strigide; Kidibonnet; Cape de Kongoku; Bottes du Roi Joueur; Dofus Turquoise; Dofus Pourpre; Miraculé majeur; Vigoureux majeur; Remueur; Muldo Ebène et Indigo</t>
        </is>
      </c>
    </row>
    <row r="24056">
      <c r="A24056" t="inlineStr">
        <is>
          <t>Stuff 3</t>
        </is>
      </c>
      <c r="B24056">
        <f>HYPERLINK("https://www.dofusbook.net/fr/equipement/465464-stuff-3/objets", "link")</f>
        <v/>
      </c>
      <c r="C24056" t="n">
        <v>0</v>
      </c>
      <c r="D24056" t="inlineStr">
        <is>
          <t>Pelle de la Cour Sombre; Collier du Valet Veinard; Alliance Gloursonne; Gant du Valet Veinard; Menoture; Capuche de Moum-Ra; Cape Indescriptible; Palmes Trithons; Dofus Pourpre; Dofus Émeraude; Cascadeur majeur; Remueur; Miraculé majeur; Carapace Air majeur; Muldo Ebène</t>
        </is>
      </c>
    </row>
    <row r="24057">
      <c r="A24057" t="inlineStr">
        <is>
          <t>Stuff 3</t>
        </is>
      </c>
      <c r="B24057">
        <f>HYPERLINK("https://www.dofusbook.net/fr/equipement/465459-stuff-3/objets", "link")</f>
        <v/>
      </c>
      <c r="C24057" t="n">
        <v>0</v>
      </c>
      <c r="D24057" t="inlineStr">
        <is>
          <t>Manthache; Collier du Valet Veinard; Alliance Gloursonne; Gant du Valet Veinard; Menoture; Dorabysses; Cape Indescriptible; Palmes Trithons; Dolmanax; Dofus Émeraude; Dofus Pourpre; Cascadeur majeur; Remueur; Carapace Air majeur; Muldo Ebène et Pourpre</t>
        </is>
      </c>
    </row>
    <row r="24058">
      <c r="A24058" t="inlineStr">
        <is>
          <t>Stuff 3</t>
        </is>
      </c>
      <c r="B24058">
        <f>HYPERLINK("https://www.dofusbook.net/fr/equipement/465454-stuff-3/objets", "link")</f>
        <v/>
      </c>
      <c r="C24058" t="n">
        <v>0</v>
      </c>
      <c r="D24058" t="inlineStr">
        <is>
          <t>Sabres d'Atcham; Amulette du Strigide; Anneau Tique; Alliance Gloursonne; Ceintacé; Cagoule de Vortex; Chevelure de Tal Kasha; Sandales  d'Atcham; Dolmanax; Dofus Pourpre; Dofus Turquoise; Remueur; Miraculé majeur; Carapace Feu majeur; Muldo Ebène et Pourpre</t>
        </is>
      </c>
    </row>
    <row r="24059">
      <c r="A24059" t="inlineStr">
        <is>
          <t>Stuff 2</t>
        </is>
      </c>
      <c r="B24059">
        <f>HYPERLINK("https://www.dofusbook.net/fr/equipement/465449-stuff-2/objets", "link")</f>
        <v/>
      </c>
      <c r="C24059" t="n">
        <v>0</v>
      </c>
      <c r="D24059" t="inlineStr">
        <is>
          <t>Dagoulinantes; Amulette du Strigide; Bracelet des Fonds marins; Alliance Gloursonne; Ceintrigue; Kidibonnet; Chevelure de Tal Kasha; Sandales de Tal Kasha; Dofus Turquoise; Dolmanax; Dofus Émeraude; Remueur; Carapace Eau majeur; Étourdisseur majeur; Muldo Indigo et Pourpre</t>
        </is>
      </c>
    </row>
    <row r="24060">
      <c r="A24060" t="inlineStr">
        <is>
          <t>Stuff 3</t>
        </is>
      </c>
      <c r="B24060">
        <f>HYPERLINK("https://www.dofusbook.net/fr/equipement/465444-stuff-3/objets", "link")</f>
        <v/>
      </c>
      <c r="C24060" t="n">
        <v>0</v>
      </c>
      <c r="D24060" t="inlineStr">
        <is>
          <t>Arc Nécrotique; Amulette du Strigide; Bracelet des Fonds marins; Bague Gloursonne; Ceinture du Strigide; Casquette de Meno; Cape de Meno; Bottes de Meno; Dofus des Glaces; Dofus Pourpre; Dolmanax; Dofus Turquoise; Dofus Ocre; Dofus Émeraude; Muldo Orchidée et Pourpre</t>
        </is>
      </c>
    </row>
    <row r="24061">
      <c r="A24061" t="inlineStr">
        <is>
          <t>Stuff 1</t>
        </is>
      </c>
      <c r="B24061">
        <f>HYPERLINK("https://www.dofusbook.net/fr/equipement/465439-stuff-1/objets", "link")</f>
        <v/>
      </c>
      <c r="C24061" t="n">
        <v>0</v>
      </c>
      <c r="D24061" t="inlineStr">
        <is>
          <t>Hache du Chalœil; Amulette du Strigide; Chevalière du Roi Joueur; Bague Gloursonne; Ceintacé; Masque de Koutoulou; Cape de la Dame du Hasard; Bottes de la Dame du Hasard; Dofus Émeraude; Dofus Turquoise; Dofus Pourpre; Dolmanax; Miraculé majeur; Carapace Eau majeur; Muldo Orchidée et Pourpre</t>
        </is>
      </c>
    </row>
    <row r="24062">
      <c r="A24062" t="inlineStr">
        <is>
          <t>Stuff 2</t>
        </is>
      </c>
      <c r="B24062">
        <f>HYPERLINK("https://www.dofusbook.net/fr/equipement/465434-stuff-2/objets", "link")</f>
        <v/>
      </c>
      <c r="C24062" t="n">
        <v>0</v>
      </c>
      <c r="D24062" t="inlineStr">
        <is>
          <t>Arc Hétype; Collier de la Dame du Hasard; Chevalière du Roi Joueur; Anneau de Nidas; Ceinture de Vortex; Cagoule de Vortex; Voile d'encre; Pantoufles Émar; Dofus Émeraude; Érudit majeur; Carapace Eau majeur; Étourdisseur majeur; Nomade; Remueur</t>
        </is>
      </c>
    </row>
    <row r="24063">
      <c r="A24063" t="inlineStr">
        <is>
          <t>Stuff 2</t>
        </is>
      </c>
      <c r="B24063">
        <f>HYPERLINK("https://www.dofusbook.net/fr/equipement/465466-stuff-2/objets", "link")</f>
        <v/>
      </c>
      <c r="C24063" t="n">
        <v>0</v>
      </c>
      <c r="D24063" t="inlineStr">
        <is>
          <t>Héqache; Collier du Valet Veinard; Gant du Valet Veinard; Anneau Crustique; Ceintouse; Chapoulpe; Cape du Valet Veinard; Tentassons; Dofus Ocre; Dofus des Glaces; Dofus Pourpre; Dolmanax; Dofus Émeraude; Robuste majeur; Muldo Ebène et Pourpre</t>
        </is>
      </c>
    </row>
    <row r="24064">
      <c r="A24064" t="inlineStr">
        <is>
          <t>Stuff 3</t>
        </is>
      </c>
      <c r="B24064">
        <f>HYPERLINK("https://www.dofusbook.net/fr/equipement/465429-stuff-3/objets", "link")</f>
        <v/>
      </c>
      <c r="C24064" t="n">
        <v>0</v>
      </c>
      <c r="D24064" t="inlineStr">
        <is>
          <t>Bêche Asse; Amulette Luminescente; Pikano; Chevalière du Roi Joueur; Ceintacé; Coiffe d'Ogivol; Voile d'encre; Bottes du Roi Joueur; Dofus Turquoise; Dofus Ocre; Déserteur majeur; Miraculé majeur; Temporiseur majeur; Enragé majeur; Muldo Pourpre et Amande</t>
        </is>
      </c>
    </row>
    <row r="24065">
      <c r="A24065" t="inlineStr">
        <is>
          <t>Stuff 2</t>
        </is>
      </c>
      <c r="B24065">
        <f>HYPERLINK("https://www.dofusbook.net/fr/equipement/465461-stuff-2/objets", "link")</f>
        <v/>
      </c>
      <c r="C24065" t="n">
        <v>0</v>
      </c>
      <c r="D24065" t="inlineStr">
        <is>
          <t>Bâthon; Amulette du Cycloïde; Chevalière du Roi Joueur; Bague Gloursonne; Ceinture Luminescente; Chapeau de Gein; Cape de Diondin; Bottes du Roi Joueur; Dolmanax; Dofus Pourpre; Temporiseur majeur; Miraculé majeur; Remueur; Carapace Terre majeur; Muldo Indigo et Orchidée</t>
        </is>
      </c>
    </row>
    <row r="24066">
      <c r="A24066" t="inlineStr">
        <is>
          <t>Stuff 2</t>
        </is>
      </c>
      <c r="B24066">
        <f>HYPERLINK("https://www.dofusbook.net/fr/equipement/465456-stuff-2/objets", "link")</f>
        <v/>
      </c>
      <c r="C24066" t="n">
        <v>0</v>
      </c>
      <c r="D24066" t="inlineStr">
        <is>
          <t>Epée Toche; Amulette Luminescente; Bague Gloursonne; Chevalière du Roi Joueur; Ceinture Luminescente; Couronne du Roi Joueur; Cape Luminescente; Bottes du Roi Joueur; Dofus Pourpre; Dolmanax; Dofus Turquoise; Dofus Émeraude; Dofus Ocre; Entraveur majeur; Muldo Orchidée et Pourpre</t>
        </is>
      </c>
    </row>
    <row r="24067">
      <c r="A24067" t="inlineStr">
        <is>
          <t>Stuff 2</t>
        </is>
      </c>
      <c r="B24067">
        <f>HYPERLINK("https://www.dofusbook.net/fr/equipement/465451-stuff-2/objets", "link")</f>
        <v/>
      </c>
      <c r="C24067" t="n">
        <v>0</v>
      </c>
      <c r="D24067" t="inlineStr">
        <is>
          <t>Héqache; Amulette du Strigide; Bracelet du Piloztère; Chevalière du Roi Joueur; Menoture; Casque des égarés; Cape du Kamasterisk; Bottes des égarés; Dofus Turquoise; Dofus Pourpre; Remueur; Miraculé majeur; Nomade; Muldo Indigo et Orchidée</t>
        </is>
      </c>
    </row>
    <row r="24068">
      <c r="A24068" t="inlineStr">
        <is>
          <t>Stuff 2</t>
        </is>
      </c>
      <c r="B24068">
        <f>HYPERLINK("https://www.dofusbook.net/fr/equipement/465446-stuff-2/objets", "link")</f>
        <v/>
      </c>
      <c r="C24068" t="n">
        <v>0</v>
      </c>
      <c r="D24068" t="inlineStr">
        <is>
          <t>Dagues Érhy; Collier du Valet Veinard; Gant du Valet Veinard; Anneau de la Fuji Givrefoux; Ceinture du Barbétoal; Dorabysses; Cape du Kamasterisk; Baleinabottes; Dolmanax; Miraculé majeur; Carapace Terre majeur; Cascadeur majeur; Remueur; Carapace Neutre majeur; Muldo Ebène et Orchidée</t>
        </is>
      </c>
    </row>
    <row r="24069">
      <c r="A24069" t="inlineStr">
        <is>
          <t>Stuff 3</t>
        </is>
      </c>
      <c r="B24069">
        <f>HYPERLINK("https://www.dofusbook.net/fr/equipement/465441-stuff-3/objets", "link")</f>
        <v/>
      </c>
      <c r="C24069" t="n">
        <v>0</v>
      </c>
      <c r="D24069" t="inlineStr">
        <is>
          <t>Hache du Chalœil; Amulette du Strigide; Chevalière du Roi Joueur; Bague Gloursonne; Ceintacé; Casque du Chalœil; Cape de la Dame du Hasard; Bottes de la Dame du Hasard; Dolmanax; Dofus Turquoise; Dofus Émeraude; Carapace Feu majeur; Remueur; Carapace Terre majeur; Muldo Indigo et Orchidée</t>
        </is>
      </c>
    </row>
    <row r="24070">
      <c r="A24070" t="inlineStr">
        <is>
          <t>Stuff 1</t>
        </is>
      </c>
      <c r="B24070">
        <f>HYPERLINK("https://www.dofusbook.net/fr/equipement/465436-stuff-1/objets", "link")</f>
        <v/>
      </c>
      <c r="C24070" t="n">
        <v>0</v>
      </c>
      <c r="D24070" t="inlineStr">
        <is>
          <t>Rapière aux Glyphes; Amulette de Shokkoth; Bracelet des Fonds marins; Alliance Gloursonne; Poulpagne; Kidibonnet; Cape de Mantaze; Sandales des Fonds marins; Dolmanax; Dofus Pourpre; Miraculé majeur; Vigoureux majeur; Carapace Eau majeur; Chanceux majeur; Muldo Indigo et Pourpre</t>
        </is>
      </c>
    </row>
    <row r="24071">
      <c r="A24071" t="inlineStr">
        <is>
          <t>Stuff 2</t>
        </is>
      </c>
      <c r="B24071">
        <f>HYPERLINK("https://www.dofusbook.net/fr/equipement/465431-stuff-2/objets", "link")</f>
        <v/>
      </c>
      <c r="C24071" t="n">
        <v>0</v>
      </c>
      <c r="D24071" t="inlineStr">
        <is>
          <t>Marteau des Anciens Steamers; Amulette du Strigide; Alliance Gloursonne; Anneau de Padgref; Ceinture du Strigide; Némès de Tal Kasha; Chevelure de Tal Kasha; Sandales de Tal Kasha; Dofus des Glaces; Dofus Turquoise; Dolmanax; Dofus Émeraude; Dofus Pourpre; Dofus Ocre; Muldo Ebène et Indigo</t>
        </is>
      </c>
    </row>
    <row r="24072">
      <c r="A24072" t="inlineStr">
        <is>
          <t>Stuff 2</t>
        </is>
      </c>
      <c r="B24072">
        <f>HYPERLINK("https://www.dofusbook.net/fr/equipement/465463-stuff-2/objets", "link")</f>
        <v/>
      </c>
      <c r="C24072" t="n">
        <v>0</v>
      </c>
      <c r="D24072" t="inlineStr">
        <is>
          <t>L'Épée Nice; Amulule; Alliance Gloursonne; Bague Gloursonne; Obscture; Chapeau Lisson; Voile d'encre; Chaussures Hau; Dolmanax; Dofus Turquoise; Dofus Abyssal; Dofus Émeraude; Dofus Ocre; Dofus Pourpre; Muldo Roux et Pourpre</t>
        </is>
      </c>
    </row>
    <row r="24073">
      <c r="A24073" t="inlineStr">
        <is>
          <t>Stuff 2</t>
        </is>
      </c>
      <c r="B24073">
        <f>HYPERLINK("https://www.dofusbook.net/fr/equipement/465458-stuff-2/objets", "link")</f>
        <v/>
      </c>
      <c r="C24073" t="n">
        <v>0</v>
      </c>
      <c r="D24073" t="inlineStr">
        <is>
          <t>Manthache; Collier du Valet Veinard; Alliance Gloursonne; Gant du Valet Veinard; Ceintouse; Chapoulpe; Cape du Valet Veinard; Tentassons; Dofus des Glaces; Dofus Émeraude; Dofus Pourpre; Dolmanax; Dofus Ocre; Survivant majeur; Muldo Ebène et Pourpre</t>
        </is>
      </c>
    </row>
    <row r="24074">
      <c r="A24074" t="inlineStr">
        <is>
          <t>Stuff 2</t>
        </is>
      </c>
      <c r="B24074">
        <f>HYPERLINK("https://www.dofusbook.net/fr/equipement/465453-stuff-2/objets", "link")</f>
        <v/>
      </c>
      <c r="C24074" t="n">
        <v>0</v>
      </c>
      <c r="D24074" t="inlineStr">
        <is>
          <t>Arc Nécrotique; Amulette Cryochrone; Bracelet des Fonds marins; Anneau Tique; Ceintacé; Kidibonnet; Cape de la Dame du Hasard; Bottes de la Dame du Hasard; Dolmanax; Dofus Turquoise; Dofus Pourpre; Carapace Feu majeur; Vigoureux majeur; Miraculé majeur; Muldo Orchidée et Pourpre</t>
        </is>
      </c>
    </row>
    <row r="24075">
      <c r="A24075" t="inlineStr">
        <is>
          <t>Stuff 1</t>
        </is>
      </c>
      <c r="B24075">
        <f>HYPERLINK("https://www.dofusbook.net/fr/equipement/465455-stuff-1/objets", "link")</f>
        <v/>
      </c>
      <c r="C24075" t="n">
        <v>0</v>
      </c>
      <c r="D24075" t="inlineStr">
        <is>
          <t>Dagues de Srambad; Amulette Luminescente; Chevalière du Roi Joueur; Bague Gloursonne; Ceintacé; Coiffe d'Ogivol; Cape Luminescente; Bottes de Meno; Dofus Pourpre; Dofus Turquoise; Dofus Ocre; Temporiseur majeur; Vigoureux majeur; Entraveur majeur; Muldo Ebène et Pourpre</t>
        </is>
      </c>
    </row>
    <row r="24076">
      <c r="A24076" t="inlineStr">
        <is>
          <t>Stuff 1</t>
        </is>
      </c>
      <c r="B24076">
        <f>HYPERLINK("https://www.dofusbook.net/fr/equipement/465450-stuff-1/objets", "link")</f>
        <v/>
      </c>
      <c r="C24076" t="n">
        <v>0</v>
      </c>
      <c r="D24076" t="inlineStr">
        <is>
          <t>Dagues Érhy; Amulette du Strigide; Bague Gloursonne; Chevalière du Roi Joueur; Menoture; Casque du Chalœil; Voile d'encre; Bottes du Chalœil; Dofus Turquoise; Dofus Pourpre; Vigoureux majeur; Miraculé majeur; Nomade; Remueur; Kramkram</t>
        </is>
      </c>
    </row>
    <row r="24077">
      <c r="A24077" t="inlineStr">
        <is>
          <t>Stuff 1</t>
        </is>
      </c>
      <c r="B24077">
        <f>HYPERLINK("https://www.dofusbook.net/fr/equipement/465445-stuff-1/objets", "link")</f>
        <v/>
      </c>
      <c r="C24077" t="n">
        <v>0</v>
      </c>
      <c r="D24077" t="inlineStr">
        <is>
          <t>Dagues Érhy; Amulette du Cycloïde; Chevalière du Roi Joueur; Bague Gloursonne; Ceintacé; Couronne du Roi Joueur; Cape du Kamasterisk; Bottes Dogues; Dofus Pourpre; Vigoureux majeur; Remueur; Carapace Terre majeur; Miraculé majeur; Nomade; Kramkram</t>
        </is>
      </c>
    </row>
    <row r="24078">
      <c r="A24078" t="inlineStr">
        <is>
          <t>Stuff 2</t>
        </is>
      </c>
      <c r="B24078">
        <f>HYPERLINK("https://www.dofusbook.net/fr/equipement/465440-stuff-2/objets", "link")</f>
        <v/>
      </c>
      <c r="C24078" t="n">
        <v>0</v>
      </c>
      <c r="D24078" t="inlineStr">
        <is>
          <t>Arc Hétype; Amulette d'Otomaï; Chevalière du Roi Joueur; Anneauræus; Ceinture Séculaire; Coiffe Séculaire; Voile d'encre; Pataugastrique; Dofus Turquoise; Dolmanax; Savant majeur; Remueur; Miraculé majeur; Érudit majeur; Muldo Orchidée et Pourpre</t>
        </is>
      </c>
    </row>
    <row r="24079">
      <c r="A24079" t="inlineStr">
        <is>
          <t>Stuff 3</t>
        </is>
      </c>
      <c r="B24079">
        <f>HYPERLINK("https://www.dofusbook.net/fr/equipement/465435-stuff-3/objets", "link")</f>
        <v/>
      </c>
      <c r="C24079" t="n">
        <v>0</v>
      </c>
      <c r="D24079" t="inlineStr">
        <is>
          <t>Héqache; Collier de Tourthon; Anneau Crustique; Bague Gloursonne; Menoture; Chapoulpe; Cape de la Cour Sombre; Tentassons; Nomade; Étourdisseur majeur; Remueur; Miraculé majeur; Carapace Eau majeur; Muldo Orchidée et Pourpre</t>
        </is>
      </c>
    </row>
    <row r="24080">
      <c r="A24080" t="inlineStr">
        <is>
          <t>Stuff 3</t>
        </is>
      </c>
      <c r="B24080">
        <f>HYPERLINK("https://www.dofusbook.net/fr/equipement/465467-stuff-3/objets", "link")</f>
        <v/>
      </c>
      <c r="C24080" t="n">
        <v>0</v>
      </c>
      <c r="D24080" t="inlineStr">
        <is>
          <t>Marteau Reine; Amulette Hendart; Anneau de la Fuji Givrefoux; Anneau de XLII; Ceinture de XLII; Coiffe de la Fuji Givrefoux; Cape de la Fuji Givrefoux; Bottes de XLII; Dofus Turquoise; Dofus Pourpre; Dofus des Glaces; Dofus Émeraude; Dolmanax; Dofus Ocre; Muldo Ebène et Pourpre</t>
        </is>
      </c>
    </row>
    <row r="24081">
      <c r="A24081" t="inlineStr">
        <is>
          <t>Stuff 1</t>
        </is>
      </c>
      <c r="B24081">
        <f>HYPERLINK("https://www.dofusbook.net/fr/equipement/465462-stuff-1/objets", "link")</f>
        <v/>
      </c>
      <c r="C24081" t="n">
        <v>0</v>
      </c>
      <c r="D24081" t="inlineStr">
        <is>
          <t>Poolache; Amulette du Strigide; Bague Gloursonne; Chevalière du Roi Joueur; Ceinture du Strigide; Couronne du Roi Joueur; Voile d'encre; Bottes du Roi Joueur; Dofus Turquoise; Dofus Abyssal; Dofus Émeraude; Dofus Pourpre; Dolmanax; Dofus Ocre; Muldo Roux et Pourpre</t>
        </is>
      </c>
    </row>
    <row r="24082">
      <c r="A24082" t="inlineStr">
        <is>
          <t>Stuff 1</t>
        </is>
      </c>
      <c r="B24082">
        <f>HYPERLINK("https://www.dofusbook.net/fr/equipement/465430-stuff-1/objets", "link")</f>
        <v/>
      </c>
      <c r="C24082" t="n">
        <v>1</v>
      </c>
      <c r="D24082" t="inlineStr">
        <is>
          <t>Épouvante; Amulette Luminescente; Bracelet du Piloztère; Bague Gloursonne; Ceinture de la Reine des Voleurs; Kidibonnet; Cape Luminescente; Bottes Trithon; Dofus Turquoise; Dofus Pourpre; Miraculé majeur; Vigoureux majeur; Nomade; Remueur; Kramkram</t>
        </is>
      </c>
    </row>
    <row r="24083">
      <c r="A24083" t="inlineStr">
        <is>
          <t>Stuff 1</t>
        </is>
      </c>
      <c r="B24083">
        <f>HYPERLINK("https://www.dofusbook.net/fr/equipement/465457-stuff-1/objets", "link")</f>
        <v/>
      </c>
      <c r="C24083" t="n">
        <v>0</v>
      </c>
      <c r="D24083" t="inlineStr">
        <is>
          <t>Hache du Chalœil; Amulette du Strigide; Bague Gloursonne; Chevalière du Roi Joueur; Ceintacé; Casque du Chalœil; Cape de la Dame du Hasard; Bottes du Chalœil; Dofus Émeraude; Dofus Pourpre; Dolmanax; Dofus Turquoise; Carapace Eau majeur; Remueur; Muldo Orchidée et Pourpre</t>
        </is>
      </c>
    </row>
    <row r="24084">
      <c r="A24084" t="inlineStr">
        <is>
          <t>Stuff 1</t>
        </is>
      </c>
      <c r="B24084">
        <f>HYPERLINK("https://www.dofusbook.net/fr/equipement/465452-stuff-1/objets", "link")</f>
        <v/>
      </c>
      <c r="C24084" t="n">
        <v>0</v>
      </c>
      <c r="D24084" t="inlineStr">
        <is>
          <t>Baguette Hique; Amulette du Strigide; Alliance Gloursonne; Anneau Tique; Ceintacé; Casquette de Meno; Cape de la Dame du Hasard; Bottes de la Dame du Hasard; Dofus Turquoise; Dofus Émeraude; Dofus Pourpre; Miraculé majeur; Carapace Feu majeur; Muldo Orchidée et Pourpre</t>
        </is>
      </c>
    </row>
    <row r="24085">
      <c r="A24085" t="inlineStr">
        <is>
          <t>Stuff 3</t>
        </is>
      </c>
      <c r="B24085">
        <f>HYPERLINK("https://www.dofusbook.net/fr/equipement/465447-stuff-3/objets", "link")</f>
        <v/>
      </c>
      <c r="C24085" t="n">
        <v>0</v>
      </c>
      <c r="D24085" t="inlineStr">
        <is>
          <t>Dagues Érhy; Amulette du Cycloïde; Chevalière du Roi Joueur; Pikano; Menoture; Boucle d'oreille de Kongoku; Cape de Kongoku; Bottes des égarés; Dolmanax; Dofus Turquoise; Nomade; Carapace Terre majeur; Miraculé majeur; Remueur; Muldo Ebène et Pourpre</t>
        </is>
      </c>
    </row>
    <row r="24086">
      <c r="A24086" t="inlineStr">
        <is>
          <t>Stuff 1</t>
        </is>
      </c>
      <c r="B24086">
        <f>HYPERLINK("https://www.dofusbook.net/fr/equipement/465442-stuff-1/objets", "link")</f>
        <v/>
      </c>
      <c r="C24086" t="n">
        <v>0</v>
      </c>
      <c r="D24086" t="inlineStr">
        <is>
          <t>Arc Nécrotique; Talisman Igans; Bracelet des Fonds marins; Bague Gloursonne; Ceinture du Strigide; Chapeau Lisson; Cape de la Dame du Hasard; Bottes de la Dame du Hasard; Dofus Pourpre; Dolmanax; Dofus Turquoise; Dofus Ocre; Dofus des Glaces; Remueur; Muldo Indigo et Orchidée</t>
        </is>
      </c>
    </row>
    <row r="24087">
      <c r="A24087" t="inlineStr">
        <is>
          <t>Stuff 2</t>
        </is>
      </c>
      <c r="B24087">
        <f>HYPERLINK("https://www.dofusbook.net/fr/equipement/465437-stuff-2/objets", "link")</f>
        <v/>
      </c>
      <c r="C24087" t="n">
        <v>0</v>
      </c>
      <c r="D24087" t="inlineStr">
        <is>
          <t>Hache du Chalœil; Amulette du Strigide; Bracelet du Piloztère; Bague Gloursonne; Ceinture du Strigide; Kidibonnet; Voile d'encre; Bottes du Lévitrof; Dofus Turquoise; Dofus Pourpre; Miraculé majeur; Vigoureux majeur; Nomade; Remueur; Kramkram</t>
        </is>
      </c>
    </row>
    <row r="24088">
      <c r="A24088" t="inlineStr">
        <is>
          <t>Stuff 3</t>
        </is>
      </c>
      <c r="B24088">
        <f>HYPERLINK("https://www.dofusbook.net/fr/equipement/465464-stuff-3/objets", "link")</f>
        <v/>
      </c>
      <c r="C24088" t="n">
        <v>0</v>
      </c>
      <c r="D24088" t="inlineStr">
        <is>
          <t>Pelle de la Cour Sombre; Collier du Valet Veinard; Alliance Gloursonne; Gant du Valet Veinard; Menoture; Capuche de Moum-Ra; Cape Indescriptible; Palmes Trithons; Dofus Pourpre; Dofus Émeraude; Miraculé majeur; Carapace Air majeur; Cascadeur majeur; Remueur; Muldo Ebène</t>
        </is>
      </c>
    </row>
    <row r="24089">
      <c r="A24089" t="inlineStr">
        <is>
          <t>Stuff 3</t>
        </is>
      </c>
      <c r="B24089">
        <f>HYPERLINK("https://www.dofusbook.net/fr/equipement/465432-stuff-3/objets", "link")</f>
        <v/>
      </c>
      <c r="C24089" t="n">
        <v>0</v>
      </c>
      <c r="D24089" t="inlineStr">
        <is>
          <t>Épouvante; Amulette du Strigide; Anneau de Pol Ouatnos; Alliance Gloursonne; Ceinture du Strigide; Kidibonnet; Cape de Kongoku; Bottes du Roi Joueur; Dofus Turquoise; Dofus Pourpre; Miraculé majeur; Vigoureux majeur; Remueur; Muldo Ebène et Indigo</t>
        </is>
      </c>
    </row>
    <row r="24090">
      <c r="A24090" t="inlineStr">
        <is>
          <t>Stuff 3</t>
        </is>
      </c>
      <c r="B24090">
        <f>HYPERLINK("https://www.dofusbook.net/fr/equipement/465459-stuff-3/objets", "link")</f>
        <v/>
      </c>
      <c r="C24090" t="n">
        <v>0</v>
      </c>
      <c r="D24090" t="inlineStr">
        <is>
          <t>Manthache; Collier du Valet Veinard; Gant du Valet Veinard; Alliance Gloursonne; Menoture; Dorabysses; Cape Indescriptible; Palmes Trithons; Dofus Pourpre; Dolmanax; Dofus Émeraude; Cascadeur majeur; Remueur; Carapace Air majeur; Muldo Ebène et Pourpre</t>
        </is>
      </c>
    </row>
    <row r="24091">
      <c r="A24091" t="inlineStr">
        <is>
          <t>Stuff 3</t>
        </is>
      </c>
      <c r="B24091">
        <f>HYPERLINK("https://www.dofusbook.net/fr/equipement/465454-stuff-3/objets", "link")</f>
        <v/>
      </c>
      <c r="C24091" t="n">
        <v>0</v>
      </c>
      <c r="D24091" t="inlineStr">
        <is>
          <t>Sabres d'Atcham; Amulette du Strigide; Anneau Tique; Alliance Gloursonne; Ceintacé; Cagoule de Vortex; Chevelure de Tal Kasha; Sandales  d'Atcham; Dofus Pourpre; Dofus Turquoise; Dolmanax; Miraculé majeur; Carapace Feu majeur; Remueur; Muldo Ebène et Pourpre</t>
        </is>
      </c>
    </row>
    <row r="24092">
      <c r="A24092" t="inlineStr">
        <is>
          <t>Stuff 2</t>
        </is>
      </c>
      <c r="B24092">
        <f>HYPERLINK("https://www.dofusbook.net/fr/equipement/465449-stuff-2/objets", "link")</f>
        <v/>
      </c>
      <c r="C24092" t="n">
        <v>0</v>
      </c>
      <c r="D24092" t="inlineStr">
        <is>
          <t>Dagoulinantes; Amulette du Strigide; Bracelet des Fonds marins; Alliance Gloursonne; Ceintrigue; Kidibonnet; Chevelure de Tal Kasha; Sandales de Tal Kasha; Dolmanax; Dofus Émeraude; Dofus Turquoise; Carapace Eau majeur; Étourdisseur majeur; Remueur; Muldo Indigo et Pourpre</t>
        </is>
      </c>
    </row>
    <row r="24093">
      <c r="A24093" t="inlineStr">
        <is>
          <t>Stuff 3</t>
        </is>
      </c>
      <c r="B24093">
        <f>HYPERLINK("https://www.dofusbook.net/fr/equipement/465444-stuff-3/objets", "link")</f>
        <v/>
      </c>
      <c r="C24093" t="n">
        <v>0</v>
      </c>
      <c r="D24093" t="inlineStr">
        <is>
          <t>Arc Nécrotique; Amulette du Strigide; Bracelet des Fonds marins; Bague Gloursonne; Ceinture du Strigide; Casquette de Meno; Cape de Meno; Bottes de Meno; Dofus Pourpre; Dolmanax; Dofus Turquoise; Dofus Ocre; Dofus Émeraude; Dofus des Glaces; Muldo Orchidée et Pourpre</t>
        </is>
      </c>
    </row>
    <row r="24094">
      <c r="A24094" t="inlineStr">
        <is>
          <t>Stuff 1</t>
        </is>
      </c>
      <c r="B24094">
        <f>HYPERLINK("https://www.dofusbook.net/fr/equipement/465439-stuff-1/objets", "link")</f>
        <v/>
      </c>
      <c r="C24094" t="n">
        <v>0</v>
      </c>
      <c r="D24094" t="inlineStr">
        <is>
          <t>Hache du Chalœil; Amulette du Strigide; Chevalière du Roi Joueur; Bague Gloursonne; Ceintacé; Masque de Koutoulou; Cape de la Dame du Hasard; Bottes de la Dame du Hasard; Dofus Émeraude; Dofus Turquoise; Dofus Pourpre; Dolmanax; Miraculé majeur; Carapace Eau majeur; Muldo Orchidée et Pourpre</t>
        </is>
      </c>
    </row>
    <row r="24095">
      <c r="A24095" t="inlineStr">
        <is>
          <t>Stuff 2</t>
        </is>
      </c>
      <c r="B24095">
        <f>HYPERLINK("https://www.dofusbook.net/fr/equipement/465422-stuff-2/objets", "link")</f>
        <v/>
      </c>
      <c r="C24095" t="n">
        <v>0</v>
      </c>
      <c r="D24095" t="inlineStr">
        <is>
          <t>Sabres d'Atcham; Amulette du Strigide; Alliance Gloursonne; Anneau Tique; Ceintacé; Cagoule de Vortex; Chevelure de Tal Kasha; Sandales  d'Atcham; Dolmanax; Dofus Émeraude; Dofus Pourpre; Dofus Turquoise; Remueur; Carapace Feu majeur; Muldo Ebène et Pourpre</t>
        </is>
      </c>
    </row>
    <row r="24096">
      <c r="A24096" t="inlineStr">
        <is>
          <t>Stuff 1</t>
        </is>
      </c>
      <c r="B24096">
        <f>HYPERLINK("https://www.dofusbook.net/fr/equipement/465424-stuff-1/objets", "link")</f>
        <v/>
      </c>
      <c r="C24096" t="n">
        <v>0</v>
      </c>
      <c r="D24096" t="inlineStr">
        <is>
          <t>Marteau des Anciens Steamers; Amulette du Strigide; Anneau de Padgref; Alliance Gloursonne; Ceinture du Strigide; Némès de Tal Kasha; Chevelure de Tal Kasha; Sandales de Tal Kasha; Dofus des Glaces; Dolmanax; Dofus Ocre; Dofus Pourpre; Dofus Émeraude; Dofus Turquoise; Muldo Ebène et Indigo</t>
        </is>
      </c>
    </row>
    <row r="24097">
      <c r="A24097" t="inlineStr">
        <is>
          <t>Stuff 2</t>
        </is>
      </c>
      <c r="B24097">
        <f>HYPERLINK("https://www.dofusbook.net/fr/equipement/465419-stuff-2/objets", "link")</f>
        <v/>
      </c>
      <c r="C24097" t="n">
        <v>0</v>
      </c>
      <c r="D24097" t="inlineStr">
        <is>
          <t>Epée Toche; Amulette du Strigide; Bague Gloursonne; Chevalière du Roi Joueur; Ceinture du Strigide; Couronne du Roi Joueur; Voile d'encre; Bottes du Roi Joueur; Dofus Émeraude; Dofus Nébuleux; Dofus Pourpre; Dolmanax; Dofus Turquoise; Dofus Ocre; Muldo Orchidée et Pourpre</t>
        </is>
      </c>
    </row>
    <row r="24098">
      <c r="A24098" t="inlineStr">
        <is>
          <t>Stuff 3</t>
        </is>
      </c>
      <c r="B24098">
        <f>HYPERLINK("https://www.dofusbook.net/fr/equipement/465426-stuff-3/objets", "link")</f>
        <v/>
      </c>
      <c r="C24098" t="n">
        <v>0</v>
      </c>
      <c r="D24098" t="inlineStr">
        <is>
          <t>Arc Nécrotique; Amulette Cryochrone; Chevalière du Roi Joueur; Anneau Cryochrone; Ceinture de Vortex; Coiffe Cryochrone; Cape de la Dame du Hasard; Bottes de la Dame du Hasard; Dofus Émeraude; Dofus Turquoise; Dofus Ocre; Dolmanax; Dofus des Glaces; Dofus Pourpre; Muldo Indigo et Orchidée</t>
        </is>
      </c>
    </row>
    <row r="24099">
      <c r="A24099" t="inlineStr">
        <is>
          <t>Stuff 1</t>
        </is>
      </c>
      <c r="B24099">
        <f>HYPERLINK("https://www.dofusbook.net/fr/equipement/465421-stuff-1/objets", "link")</f>
        <v/>
      </c>
      <c r="C24099" t="n">
        <v>0</v>
      </c>
      <c r="D24099" t="inlineStr">
        <is>
          <t>Marteau des Anciens Steamers; Amulette du Strigide; Anneau de Padgref; Alliance Gloursonne; Ceinture du Barbétoal; Kidibonnet; Chevelure de Tal Kasha; Sandales de Tal Kasha; Dofus Pourpre; Dofus Turquoise; Miraculé majeur; Remueur; Vigoureux majeur; Nomade; Muldo Ebène et Indigo</t>
        </is>
      </c>
    </row>
    <row r="24100">
      <c r="A24100" t="inlineStr">
        <is>
          <t>Stuff 3</t>
        </is>
      </c>
      <c r="B24100">
        <f>HYPERLINK("https://www.dofusbook.net/fr/equipement/465423-stuff-3/objets", "link")</f>
        <v/>
      </c>
      <c r="C24100" t="n">
        <v>0</v>
      </c>
      <c r="D24100" t="inlineStr">
        <is>
          <t>Hache du Chalœil; Amulette du Strigide; Bracelet du Piloztère; Bague Gloursonne; Ceintacé; Casque du Chalœil; Cape de la Dame du Hasard; Bottes du Chalœil; Dofus Turquoise; Dofus Pourpre; Nomade; Miraculé majeur; Remueur; Vigoureux majeur; Kramkram</t>
        </is>
      </c>
    </row>
    <row r="24101">
      <c r="A24101" t="inlineStr">
        <is>
          <t>Stuff 1</t>
        </is>
      </c>
      <c r="B24101">
        <f>HYPERLINK("https://www.dofusbook.net/fr/equipement/465418-stuff-1/objets", "link")</f>
        <v/>
      </c>
      <c r="C24101" t="n">
        <v>1</v>
      </c>
      <c r="D24101" t="inlineStr">
        <is>
          <t>Épée d'Otomaï; Amulette d'Otomaï; Chevalière du Roi Joueur; Bague Gloursonne; Ceinture Séculaire; Coiffe Séculaire; Voile d'encre; Bottes d'Otomaï; Dofus Nébuleux; Dofus Pourpre; Dofus Turquoise; Dolmanax; Dofus Émeraude; Dofus Ocre; Muldo Orchidée et Pourpre</t>
        </is>
      </c>
    </row>
    <row r="24102">
      <c r="A24102" t="inlineStr">
        <is>
          <t>Stuff 2</t>
        </is>
      </c>
      <c r="B24102">
        <f>HYPERLINK("https://www.dofusbook.net/fr/equipement/465425-stuff-2/objets", "link")</f>
        <v/>
      </c>
      <c r="C24102" t="n">
        <v>0</v>
      </c>
      <c r="D24102" t="inlineStr">
        <is>
          <t>Talisman Igans; Ceintrigue; Casquette de Meno; Cape de Meno; Bottes Owesli</t>
        </is>
      </c>
    </row>
    <row r="24103">
      <c r="A24103" t="inlineStr">
        <is>
          <t>Stuff 3</t>
        </is>
      </c>
      <c r="B24103">
        <f>HYPERLINK("https://www.dofusbook.net/fr/equipement/465420-stuff-3/objets", "link")</f>
        <v/>
      </c>
      <c r="C24103" t="n">
        <v>0</v>
      </c>
      <c r="D24103" t="inlineStr">
        <is>
          <t>Epée Maudite du Saigneur Guerrier; Amulette Luminescente; Chevalière du Roi Joueur; Bague Gloursonne; Ceinture Luminescente; Couronne du Roi Joueur; Cape Luminescente; Bottes du Roi Joueur; Dolmanax; Dofus Émeraude; Dofus Ocre; Dofus Pourpre; Dofus Abyssal; Dofus Turquoise; Muldo Orchidée et Pourpre</t>
        </is>
      </c>
    </row>
    <row r="24104">
      <c r="A24104" t="inlineStr">
        <is>
          <t>Stuff 1</t>
        </is>
      </c>
      <c r="B24104">
        <f>HYPERLINK("https://www.dofusbook.net/fr/equipement/465427-stuff-1/objets", "link")</f>
        <v/>
      </c>
      <c r="C24104" t="n">
        <v>0</v>
      </c>
      <c r="D24104" t="inlineStr">
        <is>
          <t>Baguette Hique; Amulette de Shokkoth; Pikano; Alliance Gloursonne; Poulpagne; Coiffe d'Ogivol; Cape de la Dame du Hasard; Bottes de la Dame du Hasard; Dofus Émeraude; Dofus Turquoise; Dofus Ocre; Carapace Eau majeur; Temporiseur majeur; Chanceux majeur; Muldo Orchidée et Pourpre</t>
        </is>
      </c>
    </row>
    <row r="24105">
      <c r="A24105" t="inlineStr">
        <is>
          <t>Sadida F 200</t>
        </is>
      </c>
      <c r="B24105">
        <f>HYPERLINK("https://www.dofusbook.net/fr/equipement/5963790-sadida-f-200/objets", "link")</f>
        <v/>
      </c>
      <c r="C24105" t="n">
        <v>1</v>
      </c>
      <c r="D24105" t="inlineStr">
        <is>
          <t>Arc Nécrotique; Talisman Igans; Alliance Gloursonne; Anneau Tique; Quatre-feuilles; Ceintrigue; Kidibonnet; Cape de la Dame du Hasard; Bottes Owesli; Dofus Ébène; Dofus Ocre; Dofus Turquoise; Dofus Nébuleux; Dofus Pourpre; Dofus des Glaces; Kokulte</t>
        </is>
      </c>
    </row>
    <row r="24106">
      <c r="A24106" t="inlineStr">
        <is>
          <t>Eniripsa F 200</t>
        </is>
      </c>
      <c r="B24106">
        <f>HYPERLINK("https://www.dofusbook.net/fr/equipement/5980822-eniripsa-f-200/objets", "link")</f>
        <v/>
      </c>
      <c r="C24106" t="n">
        <v>1</v>
      </c>
      <c r="D24106" t="inlineStr">
        <is>
          <t>Arc Nécrotique; Talisman Igans; Alliance Gloursonne; Anneau Tique; Ceintrigue; Casquette de Meno; Cape de la Dame du Hasard; Bottes Owesli</t>
        </is>
      </c>
    </row>
    <row r="24107">
      <c r="A24107" t="inlineStr">
        <is>
          <t>Huppermage M 200</t>
        </is>
      </c>
      <c r="B24107">
        <f>HYPERLINK("https://www.dofusbook.net/fr/equipement/6012256-huppermage-m-200/objets", "link")</f>
        <v/>
      </c>
      <c r="C24107" t="n">
        <v>0</v>
      </c>
      <c r="D24107" t="inlineStr">
        <is>
          <t>Pelle de la Cour Sombre; Collier du Valet Veinard; Alliance Gloursonne; Anneau Vicieux; Bouclier du Stalak; Ceinture de Klime; Dorabysses; Cape de Klime; Palmes Trithons; Dofus Vulbis; Dofus Abyssal; Dofus Ivoire; Dofus Ocre; Dofus Ébène; Fonceur majeur; Dragodinde Amande et Ebène</t>
        </is>
      </c>
    </row>
    <row r="24108">
      <c r="A24108" t="inlineStr">
        <is>
          <t>Stuff 3</t>
        </is>
      </c>
      <c r="B24108">
        <f>HYPERLINK("https://www.dofusbook.net/fr/equipement/429881-stuff-3/objets", "link")</f>
        <v/>
      </c>
      <c r="C24108" t="n">
        <v>2</v>
      </c>
      <c r="D24108" t="inlineStr">
        <is>
          <t>Manthache; Collier du Valet Veinard; Alliance Gloursonne; Gant du Valet Veinard; Bouclier du Stalak; Menoture; Couronne d'Allister; Cape Indescriptible; Palmes Trithons; Dofus Abyssal; Dofus Ocre; Dofus Ivoire; Dofus Vulbis; Dofus Ébène; Cascadeur majeur; Blérodoudou</t>
        </is>
      </c>
    </row>
    <row r="24109">
      <c r="A24109" t="inlineStr">
        <is>
          <t>Iop M 200</t>
        </is>
      </c>
      <c r="B24109">
        <f>HYPERLINK("https://www.dofusbook.net/fr/equipement/5982506-iop-m-200/objets", "link")</f>
        <v/>
      </c>
      <c r="C24109" t="n">
        <v>1</v>
      </c>
      <c r="D24109" t="inlineStr">
        <is>
          <t>Hache du Chalœil; Amulette Volkorne; Anneau Volkorne; Anneau de Padgref; Cadran d'Eau; Ceinture Volkorne; Coiffe de Padgref; Chevelure de Tal Kasha; Getas de Padgref; Dofus Ocre; Dofus Nébuleux; Dofus Turquoise; Dofus Ébène; Dofus Ivoire; Dofus Pourpre; Kokulte</t>
        </is>
      </c>
    </row>
    <row r="24110">
      <c r="A24110" t="inlineStr">
        <is>
          <t>Huppermage M 200</t>
        </is>
      </c>
      <c r="B24110">
        <f>HYPERLINK("https://www.dofusbook.net/fr/equipement/5504843-huppermage-m-200/objets", "link")</f>
        <v/>
      </c>
      <c r="C24110" t="n">
        <v>1</v>
      </c>
      <c r="D24110" t="inlineStr">
        <is>
          <t>Dagues Érhy; Amulette du Strigide; Bague Gloursonne; Anneau de Padgref; Cadran d'Eau; Ceinture du Strigide; Coiffe de Padgref; Carapace de Torkélonia; Getas de Padgref; Dofus Turquoise; Dofus Vulbis; Dofus Ébène; Dofus Nébuleux; Dofus Ocre; Dofus Ivoire; Kokulte</t>
        </is>
      </c>
    </row>
    <row r="24111">
      <c r="A24111" t="inlineStr">
        <is>
          <t>Iop M 200</t>
        </is>
      </c>
      <c r="B24111">
        <f>HYPERLINK("https://www.dofusbook.net/fr/equipement/5871434-iop-m-200/objets", "link")</f>
        <v/>
      </c>
      <c r="C24111" t="n">
        <v>6</v>
      </c>
      <c r="D24111" t="inlineStr">
        <is>
          <t>Canne Harr; Amulette du Strigide; Anneau Rifique; Anneau de Padgref; Cadran d'Eau; Ceinture du Strigide; Coiffe de Padgref; Cape Lati; Getas de Padgref; Dofus Turquoise; Dofus Ivoire; Dofus Ocre; Dofus Ébène; Dofus Nébuleux; Dofus Vulbis; Kokulte</t>
        </is>
      </c>
    </row>
    <row r="24112">
      <c r="A24112" t="inlineStr">
        <is>
          <t>Sacrieur M 200</t>
        </is>
      </c>
      <c r="B24112">
        <f>HYPERLINK("https://www.dofusbook.net/fr/equipement/5953215-sacrieur-m-200/objets", "link")</f>
        <v/>
      </c>
      <c r="C24112" t="n">
        <v>2</v>
      </c>
      <c r="D24112" t="inlineStr">
        <is>
          <t>Marteau R'ture; Amulette du Cœur Saignant; Chevalière du Roi Joueur; Anneau Volkorne; Cadran d'Eau; Ceinture Volkorne; Corne de Torkélonia; Cape du Cœur Saignant; Bottes du Cœur Saignant; Dofus Turquoise; Dofus Ébène; Dofus Pourpre; Dofus Vulbis; Dofus Ocre; Dofus Ivoire; Kokulte</t>
        </is>
      </c>
    </row>
    <row r="24113">
      <c r="A24113" t="inlineStr">
        <is>
          <t>Iop M 200</t>
        </is>
      </c>
      <c r="B24113">
        <f>HYPERLINK("https://www.dofusbook.net/fr/equipement/5382188-iop-m-200/objets", "link")</f>
        <v/>
      </c>
      <c r="C24113" t="n">
        <v>3</v>
      </c>
      <c r="D24113" t="inlineStr">
        <is>
          <t>Marteau R'ture; Amulette du Strigide; Anneau de Padgref; Bague Gloursonne; Cadran d'Eau; Ceinture du Strigide; Corne de Torkélonia; Carapace de Torkélonia; Bottes du Strigide; Dofus Pourpre; Dofus Nébuleux; Dofus Ivoire; Dofus Turquoise; Dofus Abyssal; Dofus Ocre; Kokulte</t>
        </is>
      </c>
    </row>
    <row r="24114">
      <c r="A24114" t="inlineStr">
        <is>
          <t>Iop M 200</t>
        </is>
      </c>
      <c r="B24114">
        <f>HYPERLINK("https://www.dofusbook.net/fr/equipement/5951348-iop-m-200/objets", "link")</f>
        <v/>
      </c>
      <c r="C24114" t="n">
        <v>0</v>
      </c>
      <c r="D24114" t="inlineStr">
        <is>
          <t>Arc du Chalœil; Amulette du Strigide; Anneau Chevelu; Anneau Volkorne; Quatre-feuilles; Ceinture Volkorne; Masque de Koutoulou; Cape au Logis; Baleinabottes; Dofus Pourpre; Dofus Ivoire; Dofus Turquoise; Dofus Ébène; Dofus Nébuleux; Dofus Abyssal; Kokulte</t>
        </is>
      </c>
    </row>
    <row r="24115">
      <c r="A24115" t="inlineStr">
        <is>
          <t>Iop M 200</t>
        </is>
      </c>
      <c r="B24115">
        <f>HYPERLINK("https://www.dofusbook.net/fr/equipement/5895815-iop-m-200/objets", "link")</f>
        <v/>
      </c>
      <c r="C24115" t="n">
        <v>3</v>
      </c>
      <c r="D24115" t="inlineStr">
        <is>
          <t>Marteau R'ture; Amulette du Strigide; Anneau Volkorne; Anneau Chevelu; Cadran d'Eau; Ceinture Volkorne; Masque de Koutoulou; Cape au Logis; Baleinabottes; Dofus Nébuleux; Dofus Abyssal; Dofus Ivoire; Dofus Pourpre; Dofus Ébène; Dofus Turquoise; Kokulte</t>
        </is>
      </c>
    </row>
    <row r="24116">
      <c r="A24116" t="inlineStr">
        <is>
          <t>Pot fo gc</t>
        </is>
      </c>
      <c r="B24116">
        <f>HYPERLINK("https://www.dofusbook.net/fr/equipement/5416575-pot-fo-gc/objets", "link")</f>
        <v/>
      </c>
      <c r="C24116" t="n">
        <v>6</v>
      </c>
      <c r="D24116" t="inlineStr">
        <is>
          <t>Héqache; Amulette du Strigide; Bague Gloursonne; Anneau Crustique; Cadran d'Eau; Ceinture du Strigide; Corne de Torkélonia; Carapace de Torkélonia; Bottes du Strigide; Dofus Turquoise; Dofus Vulbis; Dofus Ocre; Dofus Nébuleux; Dofus Abyssal; Dofus Ivoire; Kokulte</t>
        </is>
      </c>
    </row>
    <row r="24117">
      <c r="A24117" t="inlineStr">
        <is>
          <t>Iop M 200</t>
        </is>
      </c>
      <c r="B24117">
        <f>HYPERLINK("https://www.dofusbook.net/fr/equipement/5932628-iop-m-200/objets", "link")</f>
        <v/>
      </c>
      <c r="C24117" t="n">
        <v>2</v>
      </c>
      <c r="D24117" t="inlineStr">
        <is>
          <t>Épée Brûlâme; Amulette Volkorne; Bague Trithon; Anneau Volkorne; Cadran d'Eau; Ceintacé; Masque Trithon; Cape de la Dame du Hasard; Bottes de la Dame du Hasard; Dofus Vulbis; Dofus Turquoise; Dofus Ivoire; Dofus Ocre; Dofus Ébène; Kokulte</t>
        </is>
      </c>
    </row>
    <row r="24118">
      <c r="A24118" t="inlineStr">
        <is>
          <t>Iop M 200</t>
        </is>
      </c>
      <c r="B24118">
        <f>HYPERLINK("https://www.dofusbook.net/fr/equipement/5927723-iop-m-200/objets", "link")</f>
        <v/>
      </c>
      <c r="C24118" t="n">
        <v>0</v>
      </c>
      <c r="D24118" t="inlineStr">
        <is>
          <t>Épée du Granduk; Amulette du Strigide; Anneau des égarés; Anneau de Padgref; Cadran d'Eau; Ceinture du Strigide; Coiffe de Padgref; Chevelure de Tal Kasha; Getas de Padgref; Dofus Turquoise; Dofus Ébène; Dofus Vulbis; Dofus Abyssal; Dofus Ocre; Dofus Ivoire; Kokulte</t>
        </is>
      </c>
    </row>
    <row r="24119">
      <c r="A24119" t="inlineStr">
        <is>
          <t>Agi gc</t>
        </is>
      </c>
      <c r="B24119">
        <f>HYPERLINK("https://www.dofusbook.net/fr/equipement/5447103-agi-gc-/objets", "link")</f>
        <v/>
      </c>
      <c r="C24119" t="n">
        <v>2</v>
      </c>
      <c r="D24119" t="inlineStr">
        <is>
          <t>Épée du Granduk; Amulette du Strigide; Alliance Gloursonne; Anneau de Padgref; Cadran d'Eau; Menoture; Corne de Torkélonia; Carapace de Torkélonia; Baleinabottes; Dofus Ivoire; Dofus Abyssal; Dofus Ébène; Dofus Vulbis; Dofus Turquoise; Cascadeur majeur; Pioute jaune</t>
        </is>
      </c>
    </row>
    <row r="24120">
      <c r="A24120" t="inlineStr">
        <is>
          <t>Iop M 200</t>
        </is>
      </c>
      <c r="B24120">
        <f>HYPERLINK("https://www.dofusbook.net/fr/equipement/5923938-iop-m-200/objets", "link")</f>
        <v/>
      </c>
      <c r="C24120" t="n">
        <v>0</v>
      </c>
      <c r="D24120" t="inlineStr">
        <is>
          <t>Marteau R'ture; Collier de Tourthon; Anneau Crustique; Anneau Chevelu; Cadran d'Eau; Ceinture de la Cour Sombre; Masque de Koutoulou; Cape au Logis; Bottes de la Cour Sombre; Dofus Ivoire; Dofus Pourpre; Dofus Ébène; Dofus Ocre; Dofus Abyssal; Enragé majeur; Bulbisou</t>
        </is>
      </c>
    </row>
    <row r="24121">
      <c r="A24121" t="inlineStr">
        <is>
          <t>Iop M 200</t>
        </is>
      </c>
      <c r="B24121">
        <f>HYPERLINK("https://www.dofusbook.net/fr/equipement/5859235-iop-m-200/objets", "link")</f>
        <v/>
      </c>
      <c r="C24121" t="n">
        <v>0</v>
      </c>
      <c r="D24121" t="inlineStr">
        <is>
          <t>Marteau R'ture; Amulette Volkorne; Bague Gloursonne; Anneau Chevelu; Cadran d'Eau; Ceinture Volkorne; Masque de Koutoulou; Cape au Logis; Baleinabottes; Dofus Turquoise; Dofus Abyssal; Dofus Ivoire; Dofus Pourpre; Dofus Ébène; Enragé majeur; Kokulte</t>
        </is>
      </c>
    </row>
    <row r="24122">
      <c r="A24122" t="inlineStr">
        <is>
          <t>Iop M 200</t>
        </is>
      </c>
      <c r="B24122">
        <f>HYPERLINK("https://www.dofusbook.net/fr/equipement/5919474-iop-m-200/objets", "link")</f>
        <v/>
      </c>
      <c r="C24122" t="n">
        <v>1</v>
      </c>
      <c r="D24122" t="inlineStr">
        <is>
          <t>Rapière aux Glyphes; Amulette de l'Œil Putride; Anneau Volkorne; Bracelet des Fonds marins; Cadran d'Eau; Sangle Ouare; Capuche de l'Œil Putride; Cape de la Dame du Hasard; Bottes de la Dame du Hasard</t>
        </is>
      </c>
    </row>
    <row r="24123">
      <c r="A24123" t="inlineStr">
        <is>
          <t>Crâ M 200</t>
        </is>
      </c>
      <c r="B24123">
        <f>HYPERLINK("https://www.dofusbook.net/fr/equipement/5894762-cra-m-200/objets", "link")</f>
        <v/>
      </c>
      <c r="C24123" t="n">
        <v>2</v>
      </c>
      <c r="D24123" t="inlineStr">
        <is>
          <t>Rapière aux Glyphes; Amulette de Shokkoth; Bracelet des Fonds marins; Anneau Volkorne; Cadran d'Eau; Ceinture Volkorne; Masque des Fonds marins; Cape de Mantaze; Sandales des Fonds marins; Dofus Vulbis; Dofus Abyssal; Dofus Pourpre; Dofus Ivoire; Dofus Ocre; Dofus Ébène</t>
        </is>
      </c>
    </row>
    <row r="24124">
      <c r="A24124" t="inlineStr">
        <is>
          <t>full cha</t>
        </is>
      </c>
      <c r="B24124">
        <f>HYPERLINK("https://www.dofusbook.net/fr/equipement/5342128-full-cha/objets", "link")</f>
        <v/>
      </c>
      <c r="C24124" t="n">
        <v>7</v>
      </c>
      <c r="D24124" t="inlineStr">
        <is>
          <t>Rapière aux Glyphes; Amulette du Sinistrofu; Bracelet des Fonds marins; Anneau Volkorne; Cadran d'Eau; Sangle Ouare; Kidibonnet; Cape Solution; Bottes du Sinistrofu; Dofus Turquoise; Dofus Ébène; Dofus Pourpre; Dofus Abyssal; Dofus Ivoire; Chanceux majeur; Kokulte</t>
        </is>
      </c>
    </row>
    <row r="24125">
      <c r="A24125" t="inlineStr">
        <is>
          <t>Iop M 200</t>
        </is>
      </c>
      <c r="B24125">
        <f>HYPERLINK("https://www.dofusbook.net/fr/equipement/5916353-iop-m-200/objets", "link")</f>
        <v/>
      </c>
      <c r="C24125" t="n">
        <v>1</v>
      </c>
      <c r="D24125" t="inlineStr">
        <is>
          <t>Marteau R'ture; Amulette du Cœur Saignant; Anneau Chevelu; Anneau Volkorne; Cadran d'Eau; Ceinture Volkorne; Masque de Koutoulou; Cape au Logis; Sabots Minables; Dofus Argenté; Dofus Ébène; Dofus Pourpre; Dofus Abyssal; Dofus Ivoire; Enragé majeur; Bulbisou</t>
        </is>
      </c>
    </row>
    <row r="24126">
      <c r="A24126" t="inlineStr">
        <is>
          <t>Iop M 200</t>
        </is>
      </c>
      <c r="B24126">
        <f>HYPERLINK("https://www.dofusbook.net/fr/equipement/5100737-iop-m-200/objets", "link")</f>
        <v/>
      </c>
      <c r="C24126" t="n">
        <v>10</v>
      </c>
      <c r="D24126" t="inlineStr">
        <is>
          <t>Arc corrompu; Amulette Volkorne; Anneauræus; Anneauræus; Quatre-feuilles; Ceinture Volkorne; Heaume Oplate; Voile d'encre; Pataugastrique; Dofus Pourpre; Dofus Abyssal; Dofus Vulbis; Dofus Ivoire; Dofus Ébène; Érudit majeur; Brûlih</t>
        </is>
      </c>
    </row>
    <row r="24127">
      <c r="A24127" t="inlineStr">
        <is>
          <t>Iop M 200</t>
        </is>
      </c>
      <c r="B24127">
        <f>HYPERLINK("https://www.dofusbook.net/fr/equipement/5871433-iop-m-200/objets", "link")</f>
        <v/>
      </c>
      <c r="C24127" t="n">
        <v>2</v>
      </c>
      <c r="D24127" t="inlineStr">
        <is>
          <t>Arc du Chalœil; Amulette du Cœur Saignant; Anneau Chevelu; Bague Gloursonne; Quatre-feuilles; Ceinture Volkorne; Masque de Koutoulou; Cape au Logis; Bottes du Cœur Saignant; Dofus Turquoise; Dofus Ébène; Dofus Pourpre; Dofus Ocre; Dofus Ivoire; Enragé majeur; Pioute vert</t>
        </is>
      </c>
    </row>
    <row r="24128">
      <c r="A24128" t="inlineStr">
        <is>
          <t>Crâ M 200</t>
        </is>
      </c>
      <c r="B24128">
        <f>HYPERLINK("https://www.dofusbook.net/fr/equipement/5877290-cra-m-200/objets", "link")</f>
        <v/>
      </c>
      <c r="C24128" t="n">
        <v>0</v>
      </c>
      <c r="D24128" t="inlineStr">
        <is>
          <t>Arc du Chalœil; Amulette du Cœur Saignant; Anneau Volkorne; Chevalière du Roi Joueur; Quatre-feuilles; Ceinture Volkorne; Couronne du Roi Joueur; Cape du Cœur Saignant; Bottes du Cœur Saignant; Dofus Pourpre; Dofus Vulbis; Dofus Turquoise; Dofus Ivoire; Dofus Ocre; Dofus Ébène; Pioute vert</t>
        </is>
      </c>
    </row>
    <row r="24129">
      <c r="A24129" t="inlineStr">
        <is>
          <t>Iop M 200</t>
        </is>
      </c>
      <c r="B24129">
        <f>HYPERLINK("https://www.dofusbook.net/fr/equipement/5882257-iop-m-200/objets", "link")</f>
        <v/>
      </c>
      <c r="C24129" t="n">
        <v>3</v>
      </c>
      <c r="D24129" t="inlineStr">
        <is>
          <t>Arc du Chalœil; Amulette du Strigide; Anneau Volkorne; Chevalière du Roi Joueur; Quatre-feuilles; Ceinture Volkorne; Couronne du Roi Joueur; Cape au Logis; Bottes du Roi Joueur; Dofus Ivoire; Dofus Abyssal; Dofus Turquoise; Dofus Nébuleux; Dofus Ocre; Dofus Ébène; Pioute vert</t>
        </is>
      </c>
    </row>
    <row r="24130">
      <c r="A24130" t="inlineStr">
        <is>
          <t>Iop M 200</t>
        </is>
      </c>
      <c r="B24130">
        <f>HYPERLINK("https://www.dofusbook.net/fr/equipement/5860766-iop-m-200/objets", "link")</f>
        <v/>
      </c>
      <c r="C24130" t="n">
        <v>0</v>
      </c>
      <c r="D24130" t="inlineStr">
        <is>
          <t>Dagues d'Ilyzaelle; Amulette du Cœur Saignant; Alliance de Missiz Frizz; Anneau Volkorne; Cadran d'Eau; Ceinture Volkorne; Casque de Missiz Frizz; Cape du Cœur Saignant; Bottes du Cœur Saignant; Dofus Turquoise; Dofus Vulbis; Dofus Abyssal; Dofus Ivoire; Dofus Ocre; Dofus Ébène; Kokulte</t>
        </is>
      </c>
    </row>
    <row r="24131">
      <c r="A24131" t="inlineStr">
        <is>
          <t>int resis</t>
        </is>
      </c>
      <c r="B24131">
        <f>HYPERLINK("https://www.dofusbook.net/fr/equipement/5859120-int-resis/objets", "link")</f>
        <v/>
      </c>
      <c r="C24131" t="n">
        <v>0</v>
      </c>
      <c r="D24131" t="inlineStr">
        <is>
          <t>Arc corrompu; Amulette Volkorne; Anneau Tique; Anneauræus; Bouclier du Stalak; Ceinture Volkorne; Couronne de Nidas; Voile d'encre; Pataugastrique; Dofus Ocre; Dofus Abyssal; Dofus Ivoire; Dofus Vulbis; Dofus Ébène; Érudit majeur; Brûlih</t>
        </is>
      </c>
    </row>
    <row r="24132">
      <c r="A24132" t="inlineStr">
        <is>
          <t>Stuff 1</t>
        </is>
      </c>
      <c r="B24132">
        <f>HYPERLINK("https://www.dofusbook.net/fr/equipement/429903-stuff-1/objets", "link")</f>
        <v/>
      </c>
      <c r="C24132" t="n">
        <v>1</v>
      </c>
      <c r="D24132" t="inlineStr">
        <is>
          <t>Arc Hétype; Amulette de Nileza; Anneau Tique; Anneau de Nidas; Ceinture Séculaire; Coiffe Séculaire; Voile d'encre; Dofus Pourpre; Nomade; Miraculé majeur; Remueur; Temporiseur majeur; Érudit majeur</t>
        </is>
      </c>
    </row>
    <row r="24133">
      <c r="A24133" t="inlineStr">
        <is>
          <t>12/6 agi</t>
        </is>
      </c>
      <c r="B24133">
        <f>HYPERLINK("https://www.dofusbook.net/fr/equipement/5848233-12-6-agi/objets", "link")</f>
        <v/>
      </c>
      <c r="C24133" t="n">
        <v>1</v>
      </c>
      <c r="D24133" t="inlineStr">
        <is>
          <t>Épée du Granduk; Amulette du Granduk; Alliance Gloursonne; Anneau de XLII; Quatre-feuilles; Ceinture de XLII; Masque du Granduk; Cape d'Atcham; Bottes de XLII</t>
        </is>
      </c>
    </row>
    <row r="24134">
      <c r="A24134" t="inlineStr">
        <is>
          <t>Int gc</t>
        </is>
      </c>
      <c r="B24134">
        <f>HYPERLINK("https://www.dofusbook.net/fr/equipement/5728480-int-gc/objets", "link")</f>
        <v/>
      </c>
      <c r="C24134" t="n">
        <v>1</v>
      </c>
      <c r="D24134" t="inlineStr">
        <is>
          <t>Dagues Ricol; Amulette Volkorne; Bague Gloursonne; Anneau de Padgref; Cadran d'Eau; Ceinture Volkorne; Coiffe de Padgref; Cape de Diondin; Getas de Padgref; Dofus Nébuleux; Dofus Vulbis; Dofus Pourpre; Dofus Ivoire; Dofus Turquoise; Dofus Ébène; Kokulte</t>
        </is>
      </c>
    </row>
    <row r="24135">
      <c r="A24135" t="inlineStr">
        <is>
          <t>Coco nebu</t>
        </is>
      </c>
      <c r="B24135">
        <f>HYPERLINK("https://www.dofusbook.net/fr/equipement/5814155-coco-nebu/objets", "link")</f>
        <v/>
      </c>
      <c r="C24135" t="n">
        <v>1</v>
      </c>
      <c r="D24135" t="inlineStr">
        <is>
          <t>Crocobur; Amulette du Strigide; Bague Gloursonne; Anneau Chevelu; Cadran d'Eau; Ceinture du Strigide; Masque de Koutoulou; Cape au Logis; Bottes du Cœur Saignant; Dofus Turquoise; Dofus Ivoire; Dofus Ocre; Dofus Ébène; Dofus Nébuleux; Dofus Abyssal; Kokulte</t>
        </is>
      </c>
    </row>
    <row r="24136">
      <c r="A24136" t="inlineStr">
        <is>
          <t>Stuff 1</t>
        </is>
      </c>
      <c r="B24136">
        <f>HYPERLINK("https://www.dofusbook.net/fr/equipement/429870-stuff-1/objets", "link")</f>
        <v/>
      </c>
      <c r="C24136" t="n">
        <v>2</v>
      </c>
      <c r="D24136" t="inlineStr">
        <is>
          <t>Sabres d'Atcham; Amulette Volkorne; Anneau Tique; Alliance Gloursonne; Ceinture Séculaire; Casque Volkorne; Cape de la Dame du Hasard; Pataugastrique; Dolmanax; Dofus Turquoise; Remueur; Miraculé majeur; Érudit majeur; Nomade; Kokulte</t>
        </is>
      </c>
    </row>
    <row r="24137">
      <c r="A24137" t="inlineStr">
        <is>
          <t>cha resis</t>
        </is>
      </c>
      <c r="B24137">
        <f>HYPERLINK("https://www.dofusbook.net/fr/equipement/5332899-cha-resis/objets", "link")</f>
        <v/>
      </c>
      <c r="C24137" t="n">
        <v>2</v>
      </c>
      <c r="D24137" t="inlineStr">
        <is>
          <t>Dagoulinantes; Amulette de Shokkoth; Anneau Volkorne; Alliance Gloursonne; Bouclier d'Ilyzaelle; Sangle Ouare; Casque Dragoeuf; Cape Solution; Bottes du Sinistrofu; Dokoko; Dofus Abyssal; Dofus Ébène; Dofus Ocre; Dofus Pourpre; Dofus Ivoire; Eliôme</t>
        </is>
      </c>
    </row>
    <row r="24138">
      <c r="A24138" t="inlineStr">
        <is>
          <t>cha fo</t>
        </is>
      </c>
      <c r="B24138">
        <f>HYPERLINK("https://www.dofusbook.net/fr/equipement/429889-cha-fo-/objets", "link")</f>
        <v/>
      </c>
      <c r="C24138" t="n">
        <v>3</v>
      </c>
      <c r="D24138" t="inlineStr">
        <is>
          <t>Dagues de Srambad; Amulette de Pol Ouatnos; Anneau Volkorne; Alliance Gloursonne; Bouclier d'Ilyzaelle; Ceinture Volkorne; Masque de Funespadon; Cape Solution; Bottes Honyme; Dofus Ébène; Dofus Abyssal; Dokoko; Dofus Pourpre; Dofus Ivoire; Dofus Émeraude; Bébé Pandawa</t>
        </is>
      </c>
    </row>
    <row r="24139">
      <c r="A24139" t="inlineStr">
        <is>
          <t>Empujes</t>
        </is>
      </c>
      <c r="B24139">
        <f>HYPERLINK("https://www.dofusbook.net/fr/equipement/5482082-empujes/objets", "link")</f>
        <v/>
      </c>
      <c r="C24139" t="n">
        <v>4</v>
      </c>
      <c r="D24139" t="inlineStr">
        <is>
          <t>Arc du Chalœil; Torquistik; Bague Trithon; Bague Instable; Bouclier précieux; Ceinture Gence; Casque Dragoeuf; Cape Solution; Bottistik; Dofus Ivoire; Dofus Abyssal; Dofus Ocre; Culbuteur majeur; Bousculeur majeur; Pousseur majeur; Balafreux</t>
        </is>
      </c>
    </row>
    <row r="24140">
      <c r="A24140" t="inlineStr">
        <is>
          <t>Fo int nebu</t>
        </is>
      </c>
      <c r="B24140">
        <f>HYPERLINK("https://www.dofusbook.net/fr/equipement/5779095-fo-int-nebu/objets", "link")</f>
        <v/>
      </c>
      <c r="C24140" t="n">
        <v>3</v>
      </c>
      <c r="D24140" t="inlineStr">
        <is>
          <t>Hache Téroïde; Amulette Volkorne; Bague Trithon; Anneau Volkorne; Cadran d'Eau; Ceinture Volkorne; Masque Trithon; Voile d'encre; Pataugastrique; Dofus des Glaces; Dofus Ocre; Dofus Pourpre; Dofus Ivoire; Dofus Turquoise; Dofus Nébuleux; Kokulte</t>
        </is>
      </c>
    </row>
    <row r="24141">
      <c r="A24141" t="inlineStr">
        <is>
          <t>Cha Agi</t>
        </is>
      </c>
      <c r="B24141">
        <f>HYPERLINK("https://www.dofusbook.net/fr/equipement/5769870-cha-agi/objets", "link")</f>
        <v/>
      </c>
      <c r="C24141" t="n">
        <v>0</v>
      </c>
      <c r="D24141" t="inlineStr">
        <is>
          <t>Arc de Koutoulou; Amulette d'Ilyzaelle; Alliance Gloursonne; Anneau Volkorne; Bouclier d'Ilyzaelle; Ceinture Volkorne; Casque d'Ilyzaelle; Dofusteuse; Baleinabottes; Dofus Pourpre; Dofus Ébène; Dofus Vulbis; Dofus Abyssal; Dokoko; Dofus Ivoire; Mini Wa</t>
        </is>
      </c>
    </row>
    <row r="24142">
      <c r="A24142" t="inlineStr">
        <is>
          <t>Full int</t>
        </is>
      </c>
      <c r="B24142">
        <f>HYPERLINK("https://www.dofusbook.net/fr/equipement/5096019-full-int/objets", "link")</f>
        <v/>
      </c>
      <c r="C24142" t="n">
        <v>6</v>
      </c>
      <c r="D24142" t="inlineStr">
        <is>
          <t>Arc corrompu; Amulette Volkorne; Anneauræus; Anneauræus; Bouclier du Stalak; Ceinture Volkorne; Heaume Oplate; Cape de Diondin; Bottes Dogues; Dofus Ivoire; Dofus Pourpre; Dofus Abyssal; Dokoko; Dofus Ébène; Érudit majeur; Bisouglours</t>
        </is>
      </c>
    </row>
    <row r="24143">
      <c r="A24143" t="inlineStr">
        <is>
          <t>Cha empujes</t>
        </is>
      </c>
      <c r="B24143">
        <f>HYPERLINK("https://www.dofusbook.net/fr/equipement/5707345-cha-empujes/objets", "link")</f>
        <v/>
      </c>
      <c r="C24143" t="n">
        <v>1</v>
      </c>
      <c r="D24143" t="inlineStr">
        <is>
          <t>Masse Ossiale; Amulette du Sinistrofu; Anneau Volkorne; Alliance Gloursonne; Bouclier précieux; Sangle Ouare; Masque Paztek; Cape Solution; Sandales Paztek; Dokoko; Dofus Ocre; Dofus Ivoire; Bousculeur majeur; Pousseur majeur; Culbuteur majeur; Écumouth</t>
        </is>
      </c>
    </row>
    <row r="24144">
      <c r="A24144" t="inlineStr">
        <is>
          <t>Huppermage M 200</t>
        </is>
      </c>
      <c r="B24144">
        <f>HYPERLINK("https://www.dofusbook.net/fr/equipement/5519647-huppermage-m-200/objets", "link")</f>
        <v/>
      </c>
      <c r="C24144" t="n">
        <v>0</v>
      </c>
      <c r="D24144" t="inlineStr">
        <is>
          <t>Crocobur; Amulette du Strigide; Bague Trithon; Anneau Chevelu; Ceinture du Strigide; Masque Trithon; Cape au Logis; Bottes du Strigide; Dofus Ocre; Dofus des Glaces; Dofus Nébuleux; Dofus Abyssal; Dofus Turquoise; Dofus Ivoire; Kokulte</t>
        </is>
      </c>
    </row>
    <row r="24145">
      <c r="A24145" t="inlineStr">
        <is>
          <t>Crâ M 200</t>
        </is>
      </c>
      <c r="B24145">
        <f>HYPERLINK("https://www.dofusbook.net/fr/equipement/5534094-cra-m-200/objets", "link")</f>
        <v/>
      </c>
      <c r="C24145" t="n">
        <v>0</v>
      </c>
      <c r="D24145" t="inlineStr">
        <is>
          <t>Arc du Chalœil; Amulette du Cœur Saignant; Bracelet du Piloztère; Anneau Volkorne; Quatre-feuilles; Ceinture Volkorne; Masque de Koutoulou; Cape du Cœur Saignant; Bottes du Cœur Saignant; Dofus Pourpre; Dofus Ébène; Dofus Vulbis; Dofus Turquoise; Dofus Ivoire; Dofus Abyssal; Pioute vert</t>
        </is>
      </c>
    </row>
    <row r="24146">
      <c r="A24146" t="inlineStr">
        <is>
          <t>Iop M 200</t>
        </is>
      </c>
      <c r="B24146">
        <f>HYPERLINK("https://www.dofusbook.net/fr/equipement/5791546-iop-m-200/objets", "link")</f>
        <v/>
      </c>
      <c r="C24146" t="n">
        <v>0</v>
      </c>
      <c r="D24146" t="inlineStr">
        <is>
          <t>Marteau R'ture; Collier de Tourthon; Anneau de Brouce; Anneau Chevelu; Cadran d'Eau; Ceinture Volkorne; Masque de Koutoulou; Cape au Logis; Bottes de Brouce; Dofus Ivoire; Dofus Pourpre; Dofus Ébène; Dofus Ocre; Enragé majeur; Vigoureux majeur; Dragodinde Ivoire et Pourpre</t>
        </is>
      </c>
    </row>
    <row r="24147">
      <c r="A24147" t="inlineStr">
        <is>
          <t>Iop M 200</t>
        </is>
      </c>
      <c r="B24147">
        <f>HYPERLINK("https://www.dofusbook.net/fr/equipement/5799082-iop-m-200/objets", "link")</f>
        <v/>
      </c>
      <c r="C24147" t="n">
        <v>0</v>
      </c>
      <c r="D24147" t="inlineStr">
        <is>
          <t>Marteau R'ture; Collier de Tourthon; Anneau Chevelu; Anneau Crustique; Cadran d'Eau; Ceinture Gence; Masque de Koutoulou; Cape au Logis; Tentassons; Dofus Ivoire; Dofus Pourpre; Dofus Ébène; Vigoureux majeur; Forcené majeur; Enragé majeur; Dragodinde Ivoire et Pourpre</t>
        </is>
      </c>
    </row>
    <row r="24148">
      <c r="A24148" t="inlineStr">
        <is>
          <t>Iop M 200</t>
        </is>
      </c>
      <c r="B24148">
        <f>HYPERLINK("https://www.dofusbook.net/fr/equipement/5755045-iop-m-200/objets", "link")</f>
        <v/>
      </c>
      <c r="C24148" t="n">
        <v>0</v>
      </c>
      <c r="D24148" t="inlineStr">
        <is>
          <t>Marteau R'ture; Amulette du Strigide; Anneau Chevelu; Bague Gloursonne; Cadran d'Eau; Ceinture du Strigide; Masque de Koutoulou; Cape au Logis; Bottes du Cœur Saignant; Dofus Ocre; Dofus Turquoise; Dofus Ivoire; Dofus Pourpre; Dofus Ébène; Enragé majeur; Kokulte</t>
        </is>
      </c>
    </row>
    <row r="24149">
      <c r="A24149" t="inlineStr">
        <is>
          <t>Iop M 200</t>
        </is>
      </c>
      <c r="B24149">
        <f>HYPERLINK("https://www.dofusbook.net/fr/equipement/5771617-iop-m-200/objets", "link")</f>
        <v/>
      </c>
      <c r="C24149" t="n">
        <v>0</v>
      </c>
      <c r="D24149" t="inlineStr">
        <is>
          <t>Marteau R'ture; Amulette du Cœur Saignant; Anneau Chevelu; Anneau Crustique; Cadran d'Eau; Ceinture Volkorne; Masque de Koutoulou; Cape au Logis; Bottes du Cœur Saignant; Dofus Pourpre; Dofus Turquoise; Dofus Ivoire; Dofus Ocre; Dofus Ébène; Enragé majeur; Pioute vert</t>
        </is>
      </c>
    </row>
    <row r="24150">
      <c r="A24150" t="inlineStr">
        <is>
          <t>Eliotrope M 200</t>
        </is>
      </c>
      <c r="B24150">
        <f>HYPERLINK("https://www.dofusbook.net/fr/equipement/5285105-eliotrope-m-200/objets", "link")</f>
        <v/>
      </c>
      <c r="C24150" t="n">
        <v>3</v>
      </c>
      <c r="D24150" t="inlineStr">
        <is>
          <t>Marteau R'ture; Amulette du Cœur Saignant; Anneau Volkorne; Anneau Chevelu; Cadran d'Eau; Ceinture Volkorne; Masque de Koutoulou; Cape au Logis; Bottes du Cœur Saignant; Dofus Ocre; Dofus Ébène; Dofus Pourpre; Dofus Ivoire; Dofus Turquoise; Dofus Abyssal; Pioute vert</t>
        </is>
      </c>
    </row>
    <row r="24151">
      <c r="A24151" t="inlineStr">
        <is>
          <t>Zobal M 200</t>
        </is>
      </c>
      <c r="B24151">
        <f>HYPERLINK("https://www.dofusbook.net/fr/equipement/5786272-zobal-m-200/objets", "link")</f>
        <v/>
      </c>
      <c r="C24151" t="n">
        <v>1</v>
      </c>
      <c r="D24151" t="inlineStr">
        <is>
          <t>Marteau Reine; Amulette du Strigide; Bague Gloursonne; Alliance Gloursonne; Cadran d'Eau; Ceinture du Strigide; Corne de Torkélonia; Carapace de Torkélonia; Baleinabottes; Dofus Vulbis; Dofus Ébène; Dofus Pourpre; Dofus Ocre; Dofus Turquoise; Dofus Ivoire; Kokulte</t>
        </is>
      </c>
    </row>
    <row r="24152">
      <c r="A24152" t="inlineStr">
        <is>
          <t>Crâ F 200</t>
        </is>
      </c>
      <c r="B24152">
        <f>HYPERLINK("https://www.dofusbook.net/fr/equipement/5489859-cra-f-200/objets", "link")</f>
        <v/>
      </c>
      <c r="C24152" t="n">
        <v>5</v>
      </c>
      <c r="D24152" t="inlineStr">
        <is>
          <t>Marteau R'ture; Amulette du Cœur Saignant; Bracelet du Piloztère; Anneau Volkorne; Cadran d'Eau; Ceinture Volkorne; Masque de Koutoulou; Cape du Cœur Saignant; Bottes du Cœur Saignant; Dofus Vulbis; Dofus Turquoise; Dofus Ivoire; Dofus Abyssal; Dofus Pourpre; Dofus Ébène; Pioute vert</t>
        </is>
      </c>
    </row>
    <row r="24153">
      <c r="A24153" t="inlineStr">
        <is>
          <t>Xélor F 200</t>
        </is>
      </c>
      <c r="B24153">
        <f>HYPERLINK("https://www.dofusbook.net/fr/equipement/5668153-xelor-f-200/objets", "link")</f>
        <v/>
      </c>
      <c r="C24153" t="n">
        <v>1</v>
      </c>
      <c r="D24153" t="inlineStr">
        <is>
          <t>Amulette de Pol Ouatnos; Alliance Gloursonne; Anneau Volkorne; Sept ans de malheur; Culotte de Bethel; Masque Paztek; Cape Solution; Chaussons de Macrab; Dofus Ivoire; Paralyseur majeur; Étourdisseur majeur; Remueur; Chanceux majeur; Givrefoux</t>
        </is>
      </c>
    </row>
    <row r="24154">
      <c r="A24154" t="inlineStr">
        <is>
          <t>Iop M 200</t>
        </is>
      </c>
      <c r="B24154">
        <f>HYPERLINK("https://www.dofusbook.net/fr/equipement/5534982-iop-m-200/objets", "link")</f>
        <v/>
      </c>
      <c r="C24154" t="n">
        <v>0</v>
      </c>
      <c r="D24154" t="inlineStr">
        <is>
          <t>Amulette Volkorne; Anneau de Padgref; Anneau Volkorne; Quatre-feuilles; Ceinture Volkorne; Coiffe de Padgref; Chevelure de Tal Kasha; Getas de Padgref; Dofus Pourpre; Dofus Abyssal; Dofus Ocre; Dofus Ivoire; Dofus Turquoise; Dofus des Glaces</t>
        </is>
      </c>
    </row>
    <row r="24155">
      <c r="A24155" t="inlineStr">
        <is>
          <t>Huppermage M 200</t>
        </is>
      </c>
      <c r="B24155">
        <f>HYPERLINK("https://www.dofusbook.net/fr/equipement/5519048-huppermage-m-200/objets", "link")</f>
        <v/>
      </c>
      <c r="C24155" t="n">
        <v>5</v>
      </c>
      <c r="D24155" t="inlineStr">
        <is>
          <t>Hache Téroïde; Amulette Volkorne; Chevalière du Roi Joueur; Anneau Volkorne; Quatre-feuilles; Ceinture Volkorne; Couronne du Roi Joueur; Cape du Chalœil; Bottes du Roi Joueur; Dofus Turquoise; Dofus des Glaces; Dofus Ocre; Dofus Abyssal; Dofus Pourpre; Dofus Ivoire; Kokulte</t>
        </is>
      </c>
    </row>
    <row r="24156">
      <c r="A24156" t="inlineStr">
        <is>
          <t>Iop M 200</t>
        </is>
      </c>
      <c r="B24156">
        <f>HYPERLINK("https://www.dofusbook.net/fr/equipement/5498061-iop-m-200/objets", "link")</f>
        <v/>
      </c>
      <c r="C24156" t="n">
        <v>1</v>
      </c>
      <c r="D24156" t="inlineStr">
        <is>
          <t>Rapière aux Glyphes; Amulette de Shokkoth; Anneau Volkorne; Alliance Gloursonne; Stasili; Ceinture de Danathor; Casque d'Ilyzaelle; Cape du Sinistrofu; Bottes du Sinistrofu; Dofus Kaliptus; Taquin; Joueur majeur; Chanceux; Chanceux majeur; Taquin majeur; Pykur</t>
        </is>
      </c>
    </row>
    <row r="24157">
      <c r="A24157" t="inlineStr">
        <is>
          <t>Huppermage F 200</t>
        </is>
      </c>
      <c r="B24157">
        <f>HYPERLINK("https://www.dofusbook.net/fr/equipement/5498001-huppermage-f-200/objets", "link")</f>
        <v/>
      </c>
      <c r="C24157" t="n">
        <v>0</v>
      </c>
      <c r="D24157" t="inlineStr">
        <is>
          <t>Baguette Range; Amulette du Strigide; Alliance Gloursonne; Anneau de Padgref; Quatre-feuilles; Ceinture du Strigide; Coiffe de Padgref; Cape de l'Œil Putride; Getas de Padgref; Dofus Turquoise; Dofus des Glaces; Dofus Ocre; Dofus Abyssal; Dofus Pourpre; Dofus Ivoire; Muldo Prune et Emeraude</t>
        </is>
      </c>
    </row>
    <row r="24158">
      <c r="A24158" t="inlineStr">
        <is>
          <t>Huppermage M 200</t>
        </is>
      </c>
      <c r="B24158">
        <f>HYPERLINK("https://www.dofusbook.net/fr/equipement/5494992-huppermage-m-200/objets", "link")</f>
        <v/>
      </c>
      <c r="C24158" t="n">
        <v>1</v>
      </c>
      <c r="D24158" t="inlineStr">
        <is>
          <t>Pelle de la Cour Sombre; Collier du Valet Veinard; Gant du Valet Veinard; Alliance Gloursonne; Bouclier du Stalak; Menoture; Dorabysses; Cape Indescriptible; Palmes Trithons; Dofus Ocre; Dofus Ivoire; Dofus Ébène; Dofus Abyssal; Cascadeur majeur; Nomade; Bwak d'Air</t>
        </is>
      </c>
    </row>
    <row r="24159">
      <c r="A24159" t="inlineStr">
        <is>
          <t>Huppermage F 200</t>
        </is>
      </c>
      <c r="B24159">
        <f>HYPERLINK("https://www.dofusbook.net/fr/equipement/5482856-huppermage-f-200/objets", "link")</f>
        <v/>
      </c>
      <c r="C24159" t="n">
        <v>0</v>
      </c>
      <c r="D24159" t="inlineStr">
        <is>
          <t>Marteau des Anciens Steamers; Amulette Cryochrone; Anneau Volkorne; Alliance Gloursonne; Bouclier d'Ilyzaelle; Ceinture Voldelor; Casque Volkorne; Cape Matelassée; Pataugastrique; Dofus Ivoire; Dokoko; Dofus Émeraude; Dofus Abyssal; Miraculé majeur; Nomade; Kramkram</t>
        </is>
      </c>
    </row>
    <row r="24160">
      <c r="A24160" t="inlineStr">
        <is>
          <t>Iop M 200</t>
        </is>
      </c>
      <c r="B24160">
        <f>HYPERLINK("https://www.dofusbook.net/fr/equipement/5309283-iop-m-200/objets", "link")</f>
        <v/>
      </c>
      <c r="C24160" t="n">
        <v>10</v>
      </c>
      <c r="D24160" t="inlineStr">
        <is>
          <t>Hache du Korriandre; Amulette Volkorne; Alliance Gloursonne; Anneau Volkorne; Cadran d'Eau; Ceinture de la Reine des Voleurs; Casque Volkorne; Cape Solution; Bottes de la Reine des Voleurs; Dofus Pourpre; Dofus Ivoire; Dofus Turquoise; Dofus Ébène; Dofus Ocre; Dofus Abyssal; Kokulte</t>
        </is>
      </c>
    </row>
    <row r="24161">
      <c r="A24161" t="inlineStr">
        <is>
          <t>Huppermage M 200</t>
        </is>
      </c>
      <c r="B24161">
        <f>HYPERLINK("https://www.dofusbook.net/fr/equipement/5467367-huppermage-m-200/objets", "link")</f>
        <v/>
      </c>
      <c r="C24161" t="n">
        <v>6</v>
      </c>
      <c r="D24161" t="inlineStr">
        <is>
          <t>Sabres d'Atcham; Amulette Volkorne; Anneau Volkorne; Anneau Tique; Sept ans de malheur; Menoture; Casque Volkorne; Cape d'Atcham; Sandales  d'Atcham; Dofus Pourpre; Dofus Ivoire; Dokoko; Dofus Abyssal; Précurseur majeur; Paralyseur majeur; Dragoune Rose</t>
        </is>
      </c>
    </row>
    <row r="24162">
      <c r="A24162" t="inlineStr">
        <is>
          <t>Huppermage M 200</t>
        </is>
      </c>
      <c r="B24162">
        <f>HYPERLINK("https://www.dofusbook.net/fr/equipement/5471728-huppermage-m-200/objets", "link")</f>
        <v/>
      </c>
      <c r="C24162" t="n">
        <v>2</v>
      </c>
      <c r="D24162" t="inlineStr">
        <is>
          <t>Lance Horselé; Amulette de Pol Ouatnos; Anneau Rifique; Anneau Tique; Sept ans de malheur; Ceinture de Vortex; Cagoule de Vortex; Cape du Cœur Vaillant; Pataugastrique; Dofus Pourpre; Dofus Abyssal; Dofus Ocre; Dofus Ivoire; Fonceur majeur; Étourdisseur majeur; Dragoune Rose</t>
        </is>
      </c>
    </row>
    <row r="24163">
      <c r="A24163" t="inlineStr">
        <is>
          <t>Huppermage M 200</t>
        </is>
      </c>
      <c r="B24163">
        <f>HYPERLINK("https://www.dofusbook.net/fr/equipement/5467157-huppermage-m-200/objets", "link")</f>
        <v/>
      </c>
      <c r="C24163" t="n">
        <v>2</v>
      </c>
      <c r="D24163" t="inlineStr">
        <is>
          <t>Épée Brûlâme; Amulette du Strigide; Anneau Tique; Alliance de Missiz Frizz; Cadran d'Eau; Ceinture du Strigide; Casque de Missiz Frizz; Cape de la Dame du Hasard; Bottes du Strigide; Dofus Pourpre; Dofus Ivoire; Dofus Turquoise; Dofus des Glaces; Dofus Vulbis; Dofus Ocre; Kokulte</t>
        </is>
      </c>
    </row>
    <row r="24164">
      <c r="A24164" t="inlineStr">
        <is>
          <t>Huppermage M 200</t>
        </is>
      </c>
      <c r="B24164">
        <f>HYPERLINK("https://www.dofusbook.net/fr/equipement/5467100-huppermage-m-200/objets", "link")</f>
        <v/>
      </c>
      <c r="C24164" t="n">
        <v>0</v>
      </c>
      <c r="D24164" t="inlineStr">
        <is>
          <t>Épée Brûlâme; Amulette de l'Œil Attentif; Alliance Gloursonne; Anneau Tique; Cadran d'Eau; Pagne du Rykaon; Kidibonnet; Cape de la Dame du Hasard; Bottes de la Dame du Hasard; Dofus Ocre; Dofus Pourpre; Dofus Ivoire; Dofus Turquoise; Nomade; Kokulte</t>
        </is>
      </c>
    </row>
    <row r="24165">
      <c r="A24165" t="inlineStr">
        <is>
          <t>Iop M 200</t>
        </is>
      </c>
      <c r="B24165">
        <f>HYPERLINK("https://www.dofusbook.net/fr/equipement/5365900-iop-m-200/objets", "link")</f>
        <v/>
      </c>
      <c r="C24165" t="n">
        <v>1</v>
      </c>
      <c r="D24165" t="inlineStr">
        <is>
          <t>Arc corrompu; Amulette Volkorne; Anneau de Padgref; Anneauræus; Quatre-feuilles; Ceinture de l'Esprit Malsain; Heaume Oplate; Cape de Diondin; Getas de Padgref; Dofus Turquoise; Dofus Ébène; Dofus Abyssal; Dofus Ivoire; Nomade; Érudit majeur; Kokulte</t>
        </is>
      </c>
    </row>
    <row r="24166">
      <c r="A24166" t="inlineStr">
        <is>
          <t>Féca M 200</t>
        </is>
      </c>
      <c r="B24166">
        <f>HYPERLINK("https://www.dofusbook.net/fr/equipement/5345070-feca-m-200/objets", "link")</f>
        <v/>
      </c>
      <c r="C24166" t="n">
        <v>2</v>
      </c>
      <c r="D24166" t="inlineStr">
        <is>
          <t>Hachoirs de Viandargh; Amulette du Strigide; Alliance Gloursonne; Anneau de Padgref; Bouclier du Captain Amakna; Menoture; Dorabysses; Chevelure de Tal Kasha; Getas de Padgref; Dofus des Glaces; Dofus Turquoise; Dofus Pourpre; Dofus Ocre; Cascadeur majeur; Nomade</t>
        </is>
      </c>
    </row>
    <row r="24167">
      <c r="A24167" t="inlineStr">
        <is>
          <t>Iop M 200</t>
        </is>
      </c>
      <c r="B24167">
        <f>HYPERLINK("https://www.dofusbook.net/fr/equipement/5446105-iop-m-200/objets", "link")</f>
        <v/>
      </c>
      <c r="C24167" t="n">
        <v>0</v>
      </c>
      <c r="D24167" t="inlineStr">
        <is>
          <t>Baguette du Dragoeuf; Amulette du Strigide; Anneau Toriété; Anneau de Padgref; Quatre-feuilles; Ceinture du Strigide; Corne de Torkélonia; Carapace de Torkélonia; Bottes du Strigide; Dofus Turquoise; Dofus Ivoire; Dofus Ocre; Dofus Abyssal; Dofus Pourpre; Dofus Vulbis; Kokulte</t>
        </is>
      </c>
    </row>
    <row r="24168">
      <c r="A24168" t="inlineStr">
        <is>
          <t>Sacrieur M 200</t>
        </is>
      </c>
      <c r="B24168">
        <f>HYPERLINK("https://www.dofusbook.net/fr/equipement/5383613-sacrieur-m-200/objets", "link")</f>
        <v/>
      </c>
      <c r="C24168" t="n">
        <v>2</v>
      </c>
      <c r="D24168" t="inlineStr">
        <is>
          <t>Dagues du Dragoeuf; Amulette du Strigide; Anneau de Padgref; Bouclier Taverne; Ceinture du Strigide; Corne de Torkélonia; Carapace de Torkélonia; Getas de Padgref; Dofus Abyssal; Dofus Turquoise; Dofus des Glaces; Dofus Ocre; Dofus Pourpre; Dofus Vulbis; Kokulte</t>
        </is>
      </c>
    </row>
    <row r="24169">
      <c r="A24169" t="inlineStr">
        <is>
          <t>Iop M 200</t>
        </is>
      </c>
      <c r="B24169">
        <f>HYPERLINK("https://www.dofusbook.net/fr/equipement/5419406-iop-m-200/objets", "link")</f>
        <v/>
      </c>
      <c r="C24169" t="n">
        <v>1</v>
      </c>
      <c r="D24169" t="inlineStr">
        <is>
          <t>Baguette de Torkélonia; Amulette du Strigide; Anneau de Padgref; Anneau Crustique; Quatre-feuilles; Ceinture du Strigide; Coiffe de Padgref; Carapace de Torkélonia; Getas de Padgref; Dofus Ocre; Dofus Abyssal; Dofus Pourpre; Dofus Vulbis; Dofus Turquoise; Dofus Ivoire; Pioute jaune</t>
        </is>
      </c>
    </row>
    <row r="24170">
      <c r="A24170" t="inlineStr">
        <is>
          <t>Iop M 200</t>
        </is>
      </c>
      <c r="B24170">
        <f>HYPERLINK("https://www.dofusbook.net/fr/equipement/5419565-iop-m-200/objets", "link")</f>
        <v/>
      </c>
      <c r="C24170" t="n">
        <v>1</v>
      </c>
      <c r="D24170" t="inlineStr">
        <is>
          <t>Dagues du Dragoeuf; Amulette du Strigide; Bague Gloursonne; Bague Trithon; Ceinture du Strigide; Corne de Torkélonia; Carapace de Torkélonia; Bottes Trithon; Dofus Turquoise; Dofus Vulbis; Dofus Pourpre; Dofus Ivoire; Dofus Ocre; Dofus Abyssal; Kokulte</t>
        </is>
      </c>
    </row>
    <row r="24171">
      <c r="A24171" t="inlineStr">
        <is>
          <t>Sacrieur M 200</t>
        </is>
      </c>
      <c r="B24171">
        <f>HYPERLINK("https://www.dofusbook.net/fr/equipement/5383620-sacrieur-m-200/objets", "link")</f>
        <v/>
      </c>
      <c r="C24171" t="n">
        <v>3</v>
      </c>
      <c r="D24171" t="inlineStr">
        <is>
          <t>Arc Nécrotique; Amulette du Strigide; Alliance de Missiz Frizz; Alliance Gloursonne; Quatre-feuilles; Ceinture du Strigide; Casque de Missiz Frizz; Cape de Diondin; Bottes du Strigide; Dofus des Glaces; Dofus Pourpre; Dofus Turquoise; Astucieux majeur; Taquin majeur; Kokulte</t>
        </is>
      </c>
    </row>
    <row r="24172">
      <c r="A24172" t="inlineStr">
        <is>
          <t>Enutrof M 200</t>
        </is>
      </c>
      <c r="B24172">
        <f>HYPERLINK("https://www.dofusbook.net/fr/equipement/5093486-enutrof-m-200/objets", "link")</f>
        <v/>
      </c>
      <c r="C24172" t="n">
        <v>6</v>
      </c>
      <c r="D24172" t="inlineStr">
        <is>
          <t>Baguette Hique; Amulette du Strigide; Bracelet du Piloztère; Bracelet des Fonds marins; Quatre-feuilles; Ceinture du Strigide; Casquette de Meno; Cape de la Dame du Hasard; Pataugastrique; Dofus Pourpre; Dofus Turquoise; Dolmanax; Remueur; Nomade; Chanceux majeur; Kokulte</t>
        </is>
      </c>
    </row>
    <row r="24173">
      <c r="A24173" t="inlineStr">
        <is>
          <t>Enutrof M 200</t>
        </is>
      </c>
      <c r="B24173">
        <f>HYPERLINK("https://www.dofusbook.net/fr/equipement/5411364-enutrof-m-200/objets", "link")</f>
        <v/>
      </c>
      <c r="C24173" t="n">
        <v>1</v>
      </c>
      <c r="D24173" t="inlineStr"/>
    </row>
    <row r="24174">
      <c r="A24174" t="inlineStr">
        <is>
          <t>Zobal M 200</t>
        </is>
      </c>
      <c r="B24174">
        <f>HYPERLINK("https://www.dofusbook.net/fr/equipement/5393759-zobal-m-200/objets", "link")</f>
        <v/>
      </c>
      <c r="C24174" t="n">
        <v>5</v>
      </c>
      <c r="D24174" t="inlineStr">
        <is>
          <t>Hache Téroïde; Amulette du Strigide; Anneau de Padgref; Bague Gloursonne; Bouclier du Captain Amakna; Ceinture du Strigide; Corne de Torkélonia; Carapace de Torkélonia; Bottes du Strigide; Dolmanax; Dofus Ocre; Dofus Pourpre; Dofus des Glaces; Dofus Vulbis; Dofus Turquoise; Kokulte</t>
        </is>
      </c>
    </row>
    <row r="24175">
      <c r="A24175" t="inlineStr">
        <is>
          <t>Iop M 200</t>
        </is>
      </c>
      <c r="B24175">
        <f>HYPERLINK("https://www.dofusbook.net/fr/equipement/5389523-iop-m-200/objets", "link")</f>
        <v/>
      </c>
      <c r="C24175" t="n">
        <v>1</v>
      </c>
      <c r="D24175" t="inlineStr">
        <is>
          <t>Dagues du Dragoeuf; Amulette du Strigide; Anneau de Padgref; Bague Gloursonne; Bouclier Taverne; Ceinture du Strigide; Corne de Torkélonia; Carapace de Torkélonia; Bottes du Strigide; Dofus Turquoise; Dofus des Glaces; Dofus Ivoire; Dofus Ébène; Dofus Pourpre; Dofus Vulbis; Kokulte</t>
        </is>
      </c>
    </row>
    <row r="24176">
      <c r="A24176" t="inlineStr">
        <is>
          <t>Iop M 200</t>
        </is>
      </c>
      <c r="B24176">
        <f>HYPERLINK("https://www.dofusbook.net/fr/equipement/5377237-iop-m-200/objets", "link")</f>
        <v/>
      </c>
      <c r="C24176" t="n">
        <v>1</v>
      </c>
      <c r="D24176" t="inlineStr">
        <is>
          <t>Héqache; Amulette du Strigide; Anneau Crustique; Anneau Crustique; Croclier; Ceinture du Strigide; Corne de Torkélonia; Carapace de Torkélonia; Bottes du Strigide; Dofus Ivoire; Dofus Abyssal; Dofus Vulbis; Dofus Turquoise; Dofus Ébène; Dofus Ocre; Kokulte</t>
        </is>
      </c>
    </row>
    <row r="24177">
      <c r="A24177" t="inlineStr">
        <is>
          <t>Iop M 200</t>
        </is>
      </c>
      <c r="B24177">
        <f>HYPERLINK("https://www.dofusbook.net/fr/equipement/5380635-iop-m-200/objets", "link")</f>
        <v/>
      </c>
      <c r="C24177" t="n">
        <v>1</v>
      </c>
      <c r="D24177" t="inlineStr">
        <is>
          <t>Héqache; Amulette du Strigide; Anneau d'Allister; Anneau de Padgref; Quatre-feuilles; Menoture; Corne de Torkélonia; Carapace de Torkélonia; Getas de Padgref; Dofus Turquoise; Dofus Vulbis; Dofus Pourpre; Dofus Ocre; Dofus des Glaces; Acrobate majeur; Kokulte</t>
        </is>
      </c>
    </row>
    <row r="24178">
      <c r="A24178" t="inlineStr">
        <is>
          <t>Iop M 200</t>
        </is>
      </c>
      <c r="B24178">
        <f>HYPERLINK("https://www.dofusbook.net/fr/equipement/5377335-iop-m-200/objets", "link")</f>
        <v/>
      </c>
      <c r="C24178" t="n">
        <v>1</v>
      </c>
      <c r="D24178" t="inlineStr">
        <is>
          <t>Marteau R'ture; Amulette de Pol Ouatnos; Chevalière du Roi Joueur; Anneau Volkorne; Bouclier du Captain Amakna; Ceinture Volkorne; Corne de Torkélonia; Carapace de Torkélonia; Baleinabottes; Dofus Turquoise; Dofus Ocre; Dofus des Glaces; Dofus Pourpre; Furibond majeur; Forcené majeur; Kokulte</t>
        </is>
      </c>
    </row>
    <row r="24179">
      <c r="A24179" t="inlineStr">
        <is>
          <t>Eliotrope M 200</t>
        </is>
      </c>
      <c r="B24179">
        <f>HYPERLINK("https://www.dofusbook.net/fr/equipement/5236079-eliotrope-m-200/objets", "link")</f>
        <v/>
      </c>
      <c r="C24179" t="n">
        <v>3</v>
      </c>
      <c r="D24179" t="inlineStr">
        <is>
          <t>Marteau R'ture; Amulette du Cœur Saignant; Anneau Crustique; Anneau Chevelu; Croclier; Ceinture Volkorne; Masque de Koutoulou; Cape au Logis; Bottes du Cœur Saignant; Dofus Abyssal; Dofus Ivoire; Dofus Turquoise; Dofus Ocre; Dofus Ébène; Enragé majeur; Kokulte</t>
        </is>
      </c>
    </row>
    <row r="24180">
      <c r="A24180" t="inlineStr">
        <is>
          <t>Iop M 200</t>
        </is>
      </c>
      <c r="B24180">
        <f>HYPERLINK("https://www.dofusbook.net/fr/equipement/5369595-iop-m-200/objets", "link")</f>
        <v/>
      </c>
      <c r="C24180" t="n">
        <v>1</v>
      </c>
      <c r="D24180" t="inlineStr">
        <is>
          <t>Arc du Chalœil; Amulette Luminescente; Bracelet du Piloztère; Alliance Brûlâme; Quatre-feuilles; Ceinture Luminescente; Masque Brûlâme; Cape Luminescente; Pompes Funèbres; Dofus Abyssal; Dofus Turquoise; Dofus Vulbis; Dofus Ivoire; Dofus Ocre; Dofus Ébène; Kokulte</t>
        </is>
      </c>
    </row>
    <row r="24181">
      <c r="A24181" t="inlineStr">
        <is>
          <t>Iop M 200</t>
        </is>
      </c>
      <c r="B24181">
        <f>HYPERLINK("https://www.dofusbook.net/fr/equipement/5319485-iop-m-200/objets", "link")</f>
        <v/>
      </c>
      <c r="C24181" t="n">
        <v>2</v>
      </c>
      <c r="D24181" t="inlineStr">
        <is>
          <t>Baguette Hique; Amulette de l'Œil Attentif; Anneau Volkorne; Alliance Gloursonne; Quatre-feuilles; Ceinture Volkorne; Capuche de l'Œil Attentif; Cape de l'Œil Attentif; Bottes de la Dame du Hasard; Dofus Vulbis; Dofus Ivoire; Dofus Turquoise; Dofus Ébène; Dofus Ocre; Dofus Abyssal; Kokulte</t>
        </is>
      </c>
    </row>
    <row r="24182">
      <c r="A24182" t="inlineStr">
        <is>
          <t>Iop M 200</t>
        </is>
      </c>
      <c r="B24182">
        <f>HYPERLINK("https://www.dofusbook.net/fr/equipement/5342023-iop-m-200/objets", "link")</f>
        <v/>
      </c>
      <c r="C24182" t="n">
        <v>1</v>
      </c>
      <c r="D24182" t="inlineStr">
        <is>
          <t>Hachoirs de Viandargh; Frimamulette; Alliance Gloursonne; Anneau de Padgref; Cadran d'Eau; Menoture; Dorabysses; Chevelure de Tal Kasha; Sandales de Tal Kasha; Dofus Ébène; Dofus Ocre; Dofus Vulbis; Dofus Ivoire; Dofus Turquoise; Dofus Abyssal; Kokulte</t>
        </is>
      </c>
    </row>
    <row r="24183">
      <c r="A24183" t="inlineStr">
        <is>
          <t>Iop M 200</t>
        </is>
      </c>
      <c r="B24183">
        <f>HYPERLINK("https://www.dofusbook.net/fr/equipement/5201346-iop-m-200/objets", "link")</f>
        <v/>
      </c>
      <c r="C24183" t="n">
        <v>3</v>
      </c>
      <c r="D24183" t="inlineStr">
        <is>
          <t>Hache Téroïde; Amulette du Strigide; Bague Gloursonne; Alliance Gloursonne; Bouclier Taverne; Ceinture du Strigide; Masque de Koutoulou; Cape au Logis; Bottes du Roi Joueur; Dofus Nébuleux; Dofus Ivoire; Dofus Turquoise; Dofus Abyssal; Dofus Ocre; Dofus Ébène; Kokulte</t>
        </is>
      </c>
    </row>
    <row r="24184">
      <c r="A24184" t="inlineStr">
        <is>
          <t>Féca M 200</t>
        </is>
      </c>
      <c r="B24184">
        <f>HYPERLINK("https://www.dofusbook.net/fr/equipement/5296280-feca-m-200/objets", "link")</f>
        <v/>
      </c>
      <c r="C24184" t="n">
        <v>3</v>
      </c>
      <c r="D24184" t="inlineStr">
        <is>
          <t>Hachoirs de Viandargh; Amulette du Strigide; Anneau de Padgref; Cadran d'Eau; Ceinture du Strigide; Némès de Tal Kasha; Chevelure de Tal Kasha; Sandales de Tal Kasha; Dofus Turquoise; Dofus Vulbis; Dofus Ivoire; Dofus Abyssal; Dofus Ocre; Dofus Ébène; Kokulte</t>
        </is>
      </c>
    </row>
    <row r="24185">
      <c r="A24185" t="inlineStr">
        <is>
          <t>Iop M 200</t>
        </is>
      </c>
      <c r="B24185">
        <f>HYPERLINK("https://www.dofusbook.net/fr/equipement/5339427-iop-m-200/objets", "link")</f>
        <v/>
      </c>
      <c r="C24185" t="n">
        <v>0</v>
      </c>
      <c r="D24185" t="inlineStr">
        <is>
          <t>Dagues de Srambad; Amulette du Strigide; Anneau Volkorne; Ceinture Volkorne; Masque de Funespadon; Cape Solution; Bottes du Strigide</t>
        </is>
      </c>
    </row>
    <row r="24186">
      <c r="A24186" t="inlineStr">
        <is>
          <t>Iop M 200</t>
        </is>
      </c>
      <c r="B24186">
        <f>HYPERLINK("https://www.dofusbook.net/fr/equipement/5328775-iop-m-200/objets", "link")</f>
        <v/>
      </c>
      <c r="C24186" t="n">
        <v>3</v>
      </c>
      <c r="D24186" t="inlineStr">
        <is>
          <t>Dagoulinantes; Amulette de Pol Ouatnos; Bracelet des Fonds marins; Anneau Volkorne; Bouclier d'Ilyzaelle; Ceinture Volkorne; Capuche de l'Œil Attentif; Cape de l'Œil Attentif; Pataugastrique; Dofus Ocre; Dofus Ébène; Dofus Émeraude; Dofus Abyssal; Dofus Pourpre; Dofus Ivoire</t>
        </is>
      </c>
    </row>
    <row r="24187">
      <c r="A24187" t="inlineStr">
        <is>
          <t>Eliotrope M 200</t>
        </is>
      </c>
      <c r="B24187">
        <f>HYPERLINK("https://www.dofusbook.net/fr/equipement/5158712-eliotrope-m-200/objets", "link")</f>
        <v/>
      </c>
      <c r="C24187" t="n">
        <v>4</v>
      </c>
      <c r="D24187" t="inlineStr">
        <is>
          <t>Sceptre du Roi Joueur; Amulette de Shokkoth; Alliance Gloursonne; Anneau Volkorne; Bouclier d'Ilyzaelle; Ceinture Glaciale; Capuche de l'Œil Attentif; Cape de l'Œil Attentif; Pataugastrique; Dofus Ébène; Dofus Ocre; Dofus Ivoire; Dofus Abyssal; Nomade; Chanceux majeur; Kanigloups</t>
        </is>
      </c>
    </row>
    <row r="24188">
      <c r="A24188" t="inlineStr">
        <is>
          <t>Iop M 200</t>
        </is>
      </c>
      <c r="B24188">
        <f>HYPERLINK("https://www.dofusbook.net/fr/equipement/5295402-iop-m-200/objets", "link")</f>
        <v/>
      </c>
      <c r="C24188" t="n">
        <v>4</v>
      </c>
      <c r="D24188" t="inlineStr">
        <is>
          <t>Pelle Fik; Amulette du Strigide; Bracelet des Fonds marins; Anneau Volkorne; Cadran d'Eau; Ceinture du Strigide; Némès de Tal Kasha; Chevelure de Tal Kasha; Sandales de Tal Kasha; Dofus Ocre; Dofus Ébène; Dofus Turquoise; Dofus Abyssal; Dofus Vulbis; Dofus Ivoire; Kokulte</t>
        </is>
      </c>
    </row>
    <row r="24189">
      <c r="A24189" t="inlineStr">
        <is>
          <t>Iop M 200</t>
        </is>
      </c>
      <c r="B24189">
        <f>HYPERLINK("https://www.dofusbook.net/fr/equipement/5309394-iop-m-200/objets", "link")</f>
        <v/>
      </c>
      <c r="C24189" t="n">
        <v>5</v>
      </c>
      <c r="D24189" t="inlineStr">
        <is>
          <t>Hache du Korriandre; Amulette du Strigide; Anneau Volkorne; Alliance Gloursonne; Cadran d'Eau; Ceinture du Strigide; Némès de Tal Kasha; Chevelure de Tal Kasha; Sandales de Tal Kasha; Dofus Turquoise; Dofus Ébène; Dofus Ocre; Dofus Abyssal; Dofus Vulbis; Dofus Ivoire; Kokulte</t>
        </is>
      </c>
    </row>
    <row r="24190">
      <c r="A24190" t="inlineStr">
        <is>
          <t>Pandawa M 200</t>
        </is>
      </c>
      <c r="B24190">
        <f>HYPERLINK("https://www.dofusbook.net/fr/equipement/5306686-pandawa-m-200/objets", "link")</f>
        <v/>
      </c>
      <c r="C24190" t="n">
        <v>0</v>
      </c>
      <c r="D24190" t="inlineStr">
        <is>
          <t>Rouleau à Pâtisserie d'Aermyne; Amulette de Pol Ouatnos; Alliance Gloursonne; Anneau Tique; Sept ans de malheur; Ceinture de Kongoku; Masque d'Anerice; Cape d'Anerice; Pataugastrique; Dofus Émeraude; Miraculé majeur; Miraculé; Remueur; Bloqueur majeur; Obstructeur majeur; Givrefoux</t>
        </is>
      </c>
    </row>
    <row r="24191">
      <c r="A24191" t="inlineStr">
        <is>
          <t>resis placaje</t>
        </is>
      </c>
      <c r="B24191">
        <f>HYPERLINK("https://www.dofusbook.net/fr/equipement/1522342-resis-placaje/objets", "link")</f>
        <v/>
      </c>
      <c r="C24191" t="n">
        <v>2</v>
      </c>
      <c r="D24191" t="inlineStr">
        <is>
          <t>Rouleau à Pâtisserie d'Aermyne; Amulette de Pol Ouatnos; Alliance Gloursonne; Anneau de XLII; Sept ans de malheur; Ceinture de XLII; Coiffe d'Aermyne; Cape d'Aermyne; Bottes de XLII; Dofus Émeraude; Dofus Abyssal; Dofus Ocre; Dokoko; Bloqueur majeur; Tacleur majeur; Blokus</t>
        </is>
      </c>
    </row>
    <row r="24192">
      <c r="A24192" t="inlineStr">
        <is>
          <t>Zobal M 200</t>
        </is>
      </c>
      <c r="B24192">
        <f>HYPERLINK("https://www.dofusbook.net/fr/equipement/5184515-zobal-m-200/objets", "link")</f>
        <v/>
      </c>
      <c r="C24192" t="n">
        <v>3</v>
      </c>
      <c r="D24192" t="inlineStr">
        <is>
          <t>Hache Téroïde; Amulette Volkorne; Bague Gloursonne; Bague Trithon; Bouclier Taverne; Ceinture Volkorne; Masque Trithon; Cape au Logis; Bottes Trithon; Dofus Turquoise; Dofus des Glaces; Dofus Pourpre; Dofus Ocre; Forcené majeur; Puissant majeur; Kokulte</t>
        </is>
      </c>
    </row>
    <row r="24193">
      <c r="A24193" t="inlineStr">
        <is>
          <t>Iop M 200</t>
        </is>
      </c>
      <c r="B24193">
        <f>HYPERLINK("https://www.dofusbook.net/fr/equipement/5105457-iop-m-200/objets", "link")</f>
        <v/>
      </c>
      <c r="C24193" t="n">
        <v>9</v>
      </c>
      <c r="D24193" t="inlineStr">
        <is>
          <t>Arc corrompu; Amulette Volkorne; Anneauræus; Anneauræus; Bouclier du Stalak; Ceinture Volkorne; Heaume Oplate; Voile d'encre; Bottes du Katcheur; Dofus Ébène; Dofus Abyssal; Dofus Nébuleux; Dofus Ivoire; Nomade; Érudit majeur; Kougnard</t>
        </is>
      </c>
    </row>
    <row r="24194">
      <c r="A24194" t="inlineStr">
        <is>
          <t>Iop M 200</t>
        </is>
      </c>
      <c r="B24194">
        <f>HYPERLINK("https://www.dofusbook.net/fr/equipement/5295293-iop-m-200/objets", "link")</f>
        <v/>
      </c>
      <c r="C24194" t="n">
        <v>2</v>
      </c>
      <c r="D24194" t="inlineStr">
        <is>
          <t>Dagues Ricol; Amulette Volkorne; Anneauræus; Anneauræus; Cadran d'Eau; Ceinture Volkorne; Heaume Oplate; Voile d'encre; Pataugastrique; Dofus Turquoise; Dofus Abyssal; Dofus Vulbis; Dofus Ivoire; Dofus Pourpre; Dofus Ébène; Kokulte</t>
        </is>
      </c>
    </row>
    <row r="24195">
      <c r="A24195" t="inlineStr">
        <is>
          <t>Enutrof M 200</t>
        </is>
      </c>
      <c r="B24195">
        <f>HYPERLINK("https://www.dofusbook.net/fr/equipement/5228179-enutrof-m-200/objets", "link")</f>
        <v/>
      </c>
      <c r="C24195" t="n">
        <v>3</v>
      </c>
      <c r="D24195" t="inlineStr">
        <is>
          <t>Baguette Hique; Amulette de Shokkoth; Alliance Gloursonne; Anneau Volkorne; Quatre-feuilles; Sangle Ouare; Kidibonnet; Cape de la Dame du Hasard; Bottes de la Dame du Hasard; Dofus Pourpre; Dofus des Glaces; Dofus Turquoise; Dofus Ocre; Vigoureux majeur; Chanceux majeur; Kokulte</t>
        </is>
      </c>
    </row>
    <row r="24196">
      <c r="A24196" t="inlineStr">
        <is>
          <t>Stuff 2</t>
        </is>
      </c>
      <c r="B24196">
        <f>HYPERLINK("https://www.dofusbook.net/fr/equipement/429880-stuff-2/objets", "link")</f>
        <v/>
      </c>
      <c r="C24196" t="n">
        <v>1</v>
      </c>
      <c r="D24196" t="inlineStr">
        <is>
          <t>Pelle de la Cour Sombre; Collier du Valet Veinard; Gant du Valet Veinard; Alliance Gloursonne; Bouclier d'Anerice; Menoture; Dorabysses; Cape Indescriptible; Palmes Trithons; Dofus Ivoire; Dofus Émeraude; Carapace Neutre majeur; Miraculé majeur; Cascadeur majeur; Obstructeur majeur; Muldo Ebène et Pourpre</t>
        </is>
      </c>
    </row>
    <row r="24197">
      <c r="A24197" t="inlineStr">
        <is>
          <t>Zobal M 200</t>
        </is>
      </c>
      <c r="B24197">
        <f>HYPERLINK("https://www.dofusbook.net/fr/equipement/5136172-zobal-m-200/objets", "link")</f>
        <v/>
      </c>
      <c r="C24197" t="n">
        <v>2</v>
      </c>
      <c r="D24197" t="inlineStr">
        <is>
          <t>Arc Nécrotique; Amulette du Strigide; Alliance de Missiz Frizz; Bague Gloursonne; Quatre-feuilles; Ceinture du Strigide; Casque de Missiz Frizz; Cape au Logis; Pataugastrique; Dofus Ocre; Dofus Abyssal; Dofus Pourpre; Dofus Ivoire; Dofus Turquoise; Dofus Ébène; Kokulte</t>
        </is>
      </c>
    </row>
    <row r="24198">
      <c r="A24198" t="inlineStr">
        <is>
          <t>terre</t>
        </is>
      </c>
      <c r="B24198">
        <f>HYPERLINK("https://www.dofusbook.net/fr/equipement/1438321-terre/objets", "link")</f>
        <v/>
      </c>
      <c r="C24198" t="n">
        <v>1</v>
      </c>
      <c r="D24198" t="inlineStr">
        <is>
          <t>Arc du Chalœil; Amulette de Pol Ouatnos; Bracelet du Piloztère; Anneau Chevelu; Quatre-feuilles; Ceinture de la Cour Sombre; Masque de Koutoulou; Cape de la Cour Sombre; Bottes du Cœur Saignant; Dofus Abyssal; Dofus Turquoise; Dofus Ivoire; Dofus des Glaces; Enragé majeur; Remueur; Dragodinde Amande et Emeraude</t>
        </is>
      </c>
    </row>
    <row r="24199">
      <c r="A24199" t="inlineStr">
        <is>
          <t>Stuff 2</t>
        </is>
      </c>
      <c r="B24199">
        <f>HYPERLINK("https://www.dofusbook.net/fr/equipement/429898-stuff-2/objets", "link")</f>
        <v/>
      </c>
      <c r="C24199" t="n">
        <v>1</v>
      </c>
      <c r="D24199" t="inlineStr">
        <is>
          <t>Harpelle; Amulette Volkorne; Anneauræus; Anneau Toriété; Bouclier d'Ilyzaelle; Ceinture Volkorne; Heaume Oplate; Cape de Diondin; Bottes d'Otomaï; Dofus Ivoire; Dofus Ébène; Dofus Abyssal; Dofus Nébuleux; Dofus des Glaces; Érudit majeur; Brûlih</t>
        </is>
      </c>
    </row>
    <row r="24200">
      <c r="A24200" t="inlineStr">
        <is>
          <t>Iop M 200</t>
        </is>
      </c>
      <c r="B24200">
        <f>HYPERLINK("https://www.dofusbook.net/fr/equipement/5143004-iop-m-200/objets", "link")</f>
        <v/>
      </c>
      <c r="C24200" t="n">
        <v>2</v>
      </c>
      <c r="D24200" t="inlineStr">
        <is>
          <t>Arc du Chalœil; Amulette du Strigide; Anneau de Brouce; Bague Gloursonne; Quatre-feuilles; Ceinture du Strigide; Masque de Koutoulou; Cape au Logis; Baleinabottes; Dofus Turquoise; Dofus des Glaces; Dofus Ébène; Dofus Pourpre; Dofus Ivoire; Enragé majeur; Bwak de Terre</t>
        </is>
      </c>
    </row>
    <row r="24201">
      <c r="A24201" t="inlineStr">
        <is>
          <t>Iop M 200</t>
        </is>
      </c>
      <c r="B24201">
        <f>HYPERLINK("https://www.dofusbook.net/fr/equipement/5140772-iop-m-200/objets", "link")</f>
        <v/>
      </c>
      <c r="C24201" t="n">
        <v>2</v>
      </c>
      <c r="D24201" t="inlineStr">
        <is>
          <t>Marteau R'ture; Collier de Tourthon; Anneau Chevelu; Anneau Volkorne; Bouclier d'Ilyzaelle; Ceinture Volkorne; Masque de Koutoulou; Cape au Logis; Bottes du Cœur Saignant; Dofus Turquoise; Dofus Ébène; Dofus Ocre; Dofus Abyssal; Dofus Ivoire; Enragé majeur; Pioute vert</t>
        </is>
      </c>
    </row>
    <row r="24202">
      <c r="A24202" t="inlineStr">
        <is>
          <t>Stuff 3</t>
        </is>
      </c>
      <c r="B24202">
        <f>HYPERLINK("https://www.dofusbook.net/fr/equipement/429890-stuff-3/objets", "link")</f>
        <v/>
      </c>
      <c r="C24202" t="n">
        <v>2</v>
      </c>
      <c r="D24202" t="inlineStr">
        <is>
          <t>Arc du Chalœil; Amulette du Strigide; Anneau Crustique; Anneau Chevelu; Quatre-feuilles; Ceinture du Strigide; Chapeau de Gein; Cape au Logis; Baleinabottes; Dofus Turquoise; Dofus Ivoire; Dofus Ébène; Dofus Abyssal; Dofus Ocre; Enragé majeur; Kokulte</t>
        </is>
      </c>
    </row>
    <row r="24203">
      <c r="A24203" t="inlineStr">
        <is>
          <t>Stuff 3</t>
        </is>
      </c>
      <c r="B24203">
        <f>HYPERLINK("https://www.dofusbook.net/fr/equipement/429896-stuff-3/objets", "link")</f>
        <v/>
      </c>
      <c r="C24203" t="n">
        <v>5</v>
      </c>
      <c r="D24203" t="inlineStr">
        <is>
          <t>Hache Téroïde; Amulette du Strigide; Chevalière du Roi Joueur; Anneau Chevelu; Bouclier alvéolé; Ceinture du Strigide; Couronne du Roi Joueur; Cape au Logis; Bottes du Strigide; Dofus Ocre; Dofus Abyssal; Dofus Pourpre; Dofus Ivoire; Dofus Turquoise; Dofus Ébène; Kokulte</t>
        </is>
      </c>
    </row>
    <row r="24204">
      <c r="A24204" t="inlineStr">
        <is>
          <t>Iop M 200</t>
        </is>
      </c>
      <c r="B24204">
        <f>HYPERLINK("https://www.dofusbook.net/fr/equipement/5055330-iop-m-200/objets", "link")</f>
        <v/>
      </c>
      <c r="C24204" t="n">
        <v>2</v>
      </c>
      <c r="D24204" t="inlineStr">
        <is>
          <t>Marteau R'ture; Amulette du Strigide; Anneau Crustique; Anneau Chevelu; Bouclier d'Ilyzaelle; Ceinture du Strigide; Masque de Koutoulou; Cape au Logis; Bottes de la Cour Sombre; Dofus Turquoise; Dofus des Glaces; Dofus Abyssal; Dofus Ocre; Dofus Ivoire; Enragé majeur; Kokulte</t>
        </is>
      </c>
    </row>
    <row r="24205">
      <c r="A24205" t="inlineStr">
        <is>
          <t>Iop M 200</t>
        </is>
      </c>
      <c r="B24205">
        <f>HYPERLINK("https://www.dofusbook.net/fr/equipement/5061564-iop-m-200/objets", "link")</f>
        <v/>
      </c>
      <c r="C24205" t="n">
        <v>2</v>
      </c>
      <c r="D24205" t="inlineStr">
        <is>
          <t>Sceptre du Roi Joueur; Amulette de Shokkoth; Anneau Volkorne; Bracelet des Fonds marins; Bouclier d'Ilyzaelle; Poulpagne; Capuche de l'Œil Attentif; Cape de l'Œil Attentif; Bottes du Sinistrofu; Dofus Ocre; Dofus Abyssal; Dofus Ivoire; Dofus Émeraude; Dofus Ébène; Nomade; Kanigloups</t>
        </is>
      </c>
    </row>
    <row r="24206">
      <c r="A24206" t="inlineStr">
        <is>
          <t>Iop M 200</t>
        </is>
      </c>
      <c r="B24206">
        <f>HYPERLINK("https://www.dofusbook.net/fr/equipement/5061488-iop-m-200/objets", "link")</f>
        <v/>
      </c>
      <c r="C24206" t="n">
        <v>1</v>
      </c>
      <c r="D24206" t="inlineStr">
        <is>
          <t>Marteau R'ture; Amulette du Cœur Saignant; Bague Gloursonne; Anneau Crustique; Bouclier du Captain Amakna; Ceinture Gence; Coiffe du Comte Harebourg; Cape au Logis; Bottes du Comte Harebourg; Dofus Turquoise; Dofus Ocre; Dofus Pourpre; Enragé majeur; Forcené majeur; Dévastateur Terre majeur; Pioute vert</t>
        </is>
      </c>
    </row>
    <row r="24207">
      <c r="A24207" t="inlineStr">
        <is>
          <t>Iop M 200</t>
        </is>
      </c>
      <c r="B24207">
        <f>HYPERLINK("https://www.dofusbook.net/fr/equipement/5052111-iop-m-200/objets", "link")</f>
        <v/>
      </c>
      <c r="C24207" t="n">
        <v>4</v>
      </c>
      <c r="D24207" t="inlineStr">
        <is>
          <t>Marteau R'ture; Amulette du Strigide; Anneau Crustique; Anneau Chevelu; Bouclier d'Ilyzaelle; Ceinture du Strigide; Masque de Koutoulou; Cape au Logis; Tentassons; Dofus Ocre; Dofus Ivoire; Dofus Turquoise; Dofus des Glaces; Dofus Pourpre; Enragé majeur; Pioute vert</t>
        </is>
      </c>
    </row>
    <row r="24208">
      <c r="A24208" t="inlineStr">
        <is>
          <t>int resis</t>
        </is>
      </c>
      <c r="B24208">
        <f>HYPERLINK("https://www.dofusbook.net/fr/equipement/1447901-int-resis/objets", "link")</f>
        <v/>
      </c>
      <c r="C24208" t="n">
        <v>3</v>
      </c>
      <c r="D24208" t="inlineStr">
        <is>
          <t>Plumeau Bil; Amulette de Nileza; Anneau Tamie; Anneau Tamie; Bouclier du Stalak; Ceinture Séculaire; Coiffe Séculaire; Voile d'encre; Pataugastrique; Dokoko; Dofus Ocre; Dofus Abyssal; Dofus des Glaces; Érudit majeur; Nomade; Kramkram</t>
        </is>
      </c>
    </row>
    <row r="24209">
      <c r="A24209" t="inlineStr">
        <is>
          <t>Pvm</t>
        </is>
      </c>
      <c r="B24209">
        <f>HYPERLINK("https://www.dofusbook.net/fr/equipement/1565243-pvm/objets", "link")</f>
        <v/>
      </c>
      <c r="C24209" t="n">
        <v>4</v>
      </c>
      <c r="D24209" t="inlineStr">
        <is>
          <t>Amulette du Strigide; Bracelet du Piloztère; Alliance Gloursonne; Quatre-feuilles; Ceinture du Strigide; Chapeau des Malveilleurs; Voile d'encre; Bottes du Chalœil; Dofus Ocre; Dolmanax; Dofus Pourpre; Dofus Turquoise; Dofus des Glaces; Remueur; Muldo Prune et Doré</t>
        </is>
      </c>
    </row>
    <row r="24210">
      <c r="A24210" t="inlineStr">
        <is>
          <t>Koli</t>
        </is>
      </c>
      <c r="B24210">
        <f>HYPERLINK("https://www.dofusbook.net/fr/equipement/1383592-koli/objets", "link")</f>
        <v/>
      </c>
      <c r="C24210" t="n">
        <v>0</v>
      </c>
      <c r="D24210" t="inlineStr">
        <is>
          <t>Arc Hétype; Pendentif affamé; Chevalière du Roi Joueur; Anneau Tique; Bouclier d'Anerice; Ceinture Séculaire; Masque d'Anerice; Cape d'Anerice; Pataugastrique</t>
        </is>
      </c>
    </row>
    <row r="24211">
      <c r="A24211" t="inlineStr">
        <is>
          <t>agi cha</t>
        </is>
      </c>
      <c r="B24211">
        <f>HYPERLINK("https://www.dofusbook.net/fr/equipement/1315964-agi-cha/objets", "link")</f>
        <v/>
      </c>
      <c r="C24211" t="n">
        <v>2</v>
      </c>
      <c r="D24211" t="inlineStr">
        <is>
          <t>Hache du Korriandre; Amulette Voldelor; Bracelet du Piloztère; Alliance Gloursonne; Quatre-feuilles; Ceinture Voldelor; Némès de Tal Kasha; Chevelure de Tal Kasha; Sandales de Tal Kasha; Dofus Pourpre; Dofus Ocre; Dofus Émeraude; Dolmanax; Dofus Turquoise; Dofus des Glaces</t>
        </is>
      </c>
    </row>
    <row r="24212">
      <c r="A24212" t="inlineStr">
        <is>
          <t>fghgfhf</t>
        </is>
      </c>
      <c r="B24212">
        <f>HYPERLINK("https://www.dofusbook.net/fr/equipement/1297437-fghgfhf/objets", "link")</f>
        <v/>
      </c>
      <c r="C24212" t="n">
        <v>0</v>
      </c>
      <c r="D24212" t="inlineStr">
        <is>
          <t>Epée Gloursonne; Amulette du Kamasterisk; Bague Gloursonne; Alliance Gloursonne; Bouclier du Stalak; Ceinture de la Reine des Voleurs; Coiffe de la Reine des Voleurs; Cape du Kamasterisk; Bottes du Kamasterisk; Dofus Ocre; Dofus Abyssal; Dokoko; Dolmanax; Dofus Émeraude; Dofus des Glaces; Muldo Roux</t>
        </is>
      </c>
    </row>
    <row r="24213">
      <c r="A24213" t="inlineStr">
        <is>
          <t>agi</t>
        </is>
      </c>
      <c r="B24213">
        <f>HYPERLINK("https://www.dofusbook.net/fr/equipement/1060509-agi/objets", "link")</f>
        <v/>
      </c>
      <c r="C24213" t="n">
        <v>4</v>
      </c>
      <c r="D24213" t="inlineStr">
        <is>
          <t>Manthache; Collier du Valet Veinard; Alliance Gloursonne; Gant du Valet Veinard; Bouclier du Stalak; Menoture; Couronne d'Allister; Cape Indescriptible; Palmes Trithons; Dofus Ocre; Dofus des Glaces; Dofus Abyssal; Dokoko; Cascadeur majeur; Nomade; Pioute jaune</t>
        </is>
      </c>
    </row>
    <row r="24214">
      <c r="A24214" t="inlineStr">
        <is>
          <t>Stuff 1</t>
        </is>
      </c>
      <c r="B24214">
        <f>HYPERLINK("https://www.dofusbook.net/fr/equipement/429928-stuff-1/objets", "link")</f>
        <v/>
      </c>
      <c r="C24214" t="n">
        <v>0</v>
      </c>
      <c r="D24214" t="inlineStr">
        <is>
          <t>Pelle de la Cour Sombre; Amulette du Strigide; Alliance Gloursonne; Anneau de Pol Ouatnos; Ceintacé; Dorabysses; Voile d'encre; Bottes du Strigide; Dokoko; Dofus Émeraude; Dofus Pourpre; Remueur; Miraculé majeur; Nomade; Dragodinde en armure</t>
        </is>
      </c>
    </row>
    <row r="24215">
      <c r="A24215" t="inlineStr">
        <is>
          <t>Stuff 3</t>
        </is>
      </c>
      <c r="B24215">
        <f>HYPERLINK("https://www.dofusbook.net/fr/equipement/429875-stuff-3/objets", "link")</f>
        <v/>
      </c>
      <c r="C24215" t="n">
        <v>0</v>
      </c>
      <c r="D24215" t="inlineStr">
        <is>
          <t>Marteau des égarés; Amulette du Strigide; Bracelet du Piloztère; Alliance Gloursonne; Ceinture du Strigide; Casque de Missiz Frizz; Voile d'encre; Bottes du Chalœil; Dofus Turquoise; Dofus Pourpre; Dofus Ocre; Vigoureux majeur; Nomade; Remueur; Kwaltess</t>
        </is>
      </c>
    </row>
    <row r="24216">
      <c r="A24216" t="inlineStr">
        <is>
          <t>Stuff 2</t>
        </is>
      </c>
      <c r="B24216">
        <f>HYPERLINK("https://www.dofusbook.net/fr/equipement/429920-stuff-2/objets", "link")</f>
        <v/>
      </c>
      <c r="C24216" t="n">
        <v>0</v>
      </c>
      <c r="D24216" t="inlineStr">
        <is>
          <t>Dagues Érhy; Amulette du Strigide; Anneau Tilus; Anneau de Pol Ouatnos; Ceintacé; Chapoulpe; Voile d'encre; Tentassons; Dofus Pourpre; Dofus Turquoise; Dolmanax; Remueur; Enragé majeur; Étourdisseur majeur; Dragodinde en armure</t>
        </is>
      </c>
    </row>
    <row r="24217">
      <c r="A24217" t="inlineStr">
        <is>
          <t>Stuff 3</t>
        </is>
      </c>
      <c r="B24217">
        <f>HYPERLINK("https://www.dofusbook.net/fr/equipement/429869-stuff-3/objets", "link")</f>
        <v/>
      </c>
      <c r="C24217" t="n">
        <v>0</v>
      </c>
      <c r="D24217" t="inlineStr">
        <is>
          <t>La Baguette des Limbes; Amulette du Strigide; Bracelet du Piloztère; Alliance Gloursonne; Ceinture du Strigide; Bonnet Ko; Cape de Léthaline; Bottes du Cycloïde; Chanceux majeur; Nomade; Savant majeur; Vigoureux majeur; Carapace Eau majeur; Remueur; Kwaltess</t>
        </is>
      </c>
    </row>
    <row r="24218">
      <c r="A24218" t="inlineStr">
        <is>
          <t>Stuff 2</t>
        </is>
      </c>
      <c r="B24218">
        <f>HYPERLINK("https://www.dofusbook.net/fr/equipement/429911-stuff-2/objets", "link")</f>
        <v/>
      </c>
      <c r="C24218" t="n">
        <v>0</v>
      </c>
      <c r="D24218" t="inlineStr">
        <is>
          <t>Dagoulinantes; Amulette de Shokkoth; Bracelet des Fonds marins; Alliance Gloursonne; Ceintacé; Masque des Fonds marins; Cape Luminescente; Bottes du Sinistrofu; Dofus Pourpre; Dofus Turquoise; Taquin majeur; Remueur; Vigoureux majeur; Chanceux majeur; Muldo Indigo et Pourpre; Bouclier Hispanique</t>
        </is>
      </c>
    </row>
    <row r="24219">
      <c r="A24219" t="inlineStr">
        <is>
          <t>Stuff 3</t>
        </is>
      </c>
      <c r="B24219">
        <f>HYPERLINK("https://www.dofusbook.net/fr/equipement/429857-stuff-3/objets", "link")</f>
        <v/>
      </c>
      <c r="C24219" t="n">
        <v>1</v>
      </c>
      <c r="D24219" t="inlineStr">
        <is>
          <t>Dagues Érhy; Amulette du Cycloïde; Anneau Tique; Anneau de Nidas; Ceinture de Gein; Chapeau de Gein; Voile d'encre; Pataugastrique; Dofus Émeraude; Carapace Neutre majeur; Miraculé majeur; Déserteur majeur; Remueur; Érudit majeur; Muldo Pourpre et Amande</t>
        </is>
      </c>
    </row>
    <row r="24220">
      <c r="A24220" t="inlineStr">
        <is>
          <t>Stuff 3</t>
        </is>
      </c>
      <c r="B24220">
        <f>HYPERLINK("https://www.dofusbook.net/fr/equipement/429905-stuff-3/objets", "link")</f>
        <v/>
      </c>
      <c r="C24220" t="n">
        <v>0</v>
      </c>
      <c r="D24220" t="inlineStr">
        <is>
          <t>Harpelle; Amulette d'Otomaï; Kralano; Anneau de Nidas; Ceinture Séculaire; Coiffe Séculaire; Voile d'encre; Pataugastrique; Dofus Turquoise; Miraculé majeur; Érudit majeur; Remueur; Vigoureux majeur; Muldo Orchidée et Pourpre</t>
        </is>
      </c>
    </row>
    <row r="24221">
      <c r="A24221" t="inlineStr">
        <is>
          <t>Stuff 1</t>
        </is>
      </c>
      <c r="B24221">
        <f>HYPERLINK("https://www.dofusbook.net/fr/equipement/429891-stuff-1/objets", "link")</f>
        <v/>
      </c>
      <c r="C24221" t="n">
        <v>0</v>
      </c>
      <c r="D24221" t="inlineStr">
        <is>
          <t>Epée Gloursonne; Talisman Igans; Alliance Gloursonne; Bague Gloursonne; Ceintrigue; Chapeau des Malveilleurs; Cape des Malveilleurs; Bottes des Malveilleurs; Dofus Turquoise; Dofus Pourpre; Dolmanax; Dofus Ocre; Voyageur; Examinateur; Muldo Indigo et Orchidée</t>
        </is>
      </c>
    </row>
    <row r="24222">
      <c r="A24222" t="inlineStr">
        <is>
          <t>Stuff 3</t>
        </is>
      </c>
      <c r="B24222">
        <f>HYPERLINK("https://www.dofusbook.net/fr/equipement/429930-stuff-3/objets", "link")</f>
        <v/>
      </c>
      <c r="C24222" t="n">
        <v>39</v>
      </c>
      <c r="D24222" t="inlineStr">
        <is>
          <t>Hache du Chalœil; Amulette du Strigide; Bracelet du Piloztère; Anneau de Padgref; Quatre-feuilles; Ceinture du Strigide; Coiffe de Padgref; Cape Indescriptible; Getas de Padgref; Dofus Pourpre; Dofus des Glaces; Dofus Ocre; Dolmanax; Dofus Turquoise; Turbulent; Muldo Prune et Doré</t>
        </is>
      </c>
    </row>
    <row r="24223">
      <c r="A24223" t="inlineStr">
        <is>
          <t>Stuff 3</t>
        </is>
      </c>
      <c r="B24223">
        <f>HYPERLINK("https://www.dofusbook.net/fr/equipement/429884-stuff-3/objets", "link")</f>
        <v/>
      </c>
      <c r="C24223" t="n">
        <v>0</v>
      </c>
      <c r="D24223" t="inlineStr">
        <is>
          <t>Sabres d'Atcham; Amulette de Pol Ouatnos; Anneau Tilus; Alliance Gloursonne; Ceintacé; Coiffe du Lévitrof; Cape d'Atcham; Pataugastrique; Vigoureux majeur; Nomade; Étourdisseur majeur; Remueur; Miraculé majeur; Fonceur majeur; Dragodinde en armure</t>
        </is>
      </c>
    </row>
    <row r="24224">
      <c r="A24224" t="inlineStr">
        <is>
          <t>Stuff 2</t>
        </is>
      </c>
      <c r="B24224">
        <f>HYPERLINK("https://www.dofusbook.net/fr/equipement/429877-stuff-2/objets", "link")</f>
        <v/>
      </c>
      <c r="C24224" t="n">
        <v>4</v>
      </c>
      <c r="D24224" t="inlineStr">
        <is>
          <t>Hache du Chalœil; Amulette du Strigide; Bracelet du Piloztère; Alliance Gloursonne; Ceintacé; Masque de Koutoulou; Voile d'encre; Bottes du Strigide; Dofus Turquoise; Dolmanax; Chanceux majeur; Nomade; Érudit majeur; Remueur; Dragodinde en armure</t>
        </is>
      </c>
    </row>
    <row r="24225">
      <c r="A24225" t="inlineStr">
        <is>
          <t>Stuff 2</t>
        </is>
      </c>
      <c r="B24225">
        <f>HYPERLINK("https://www.dofusbook.net/fr/equipement/429923-stuff-2/objets", "link")</f>
        <v/>
      </c>
      <c r="C24225" t="n">
        <v>0</v>
      </c>
      <c r="D24225" t="inlineStr">
        <is>
          <t>Arc Hétype; Talisman Igans; Anneau de Nidas; Kralano; Ceinture Séculaire; Coiffe Séculaire; Voile d'encre; Pataugastrique; Dofus Pourpre; Dofus Turquoise; Érudit majeur; Dévastateur Feu majeur; Remueur; Muldo Indigo et Orchidée</t>
        </is>
      </c>
    </row>
    <row r="24226">
      <c r="A24226" t="inlineStr">
        <is>
          <t>Stuff 2</t>
        </is>
      </c>
      <c r="B24226">
        <f>HYPERLINK("https://www.dofusbook.net/fr/equipement/429871-stuff-2/objets", "link")</f>
        <v/>
      </c>
      <c r="C24226" t="n">
        <v>3</v>
      </c>
      <c r="D24226" t="inlineStr">
        <is>
          <t>Plumeau Bil; Amulette d'Otomaï; Anneau de Padgref; Kralano; Ceinture Séculaire; Coiffe Séculaire; Voile d'encre; Pataugastrique; Miraculé majeur; Astucieux majeur; Remueur; Érudit majeur; Guérisseur majeur; Nomade; Kramkram</t>
        </is>
      </c>
    </row>
    <row r="24227">
      <c r="A24227" t="inlineStr">
        <is>
          <t>Stuff 1</t>
        </is>
      </c>
      <c r="B24227">
        <f>HYPERLINK("https://www.dofusbook.net/fr/equipement/429906-stuff-1/objets", "link")</f>
        <v/>
      </c>
      <c r="C24227" t="n">
        <v>0</v>
      </c>
      <c r="D24227" t="inlineStr">
        <is>
          <t>Epée Gloursonne; Talisman Glouti; Alliance Gloursonne; Bracelet du Piloztère; Sangle Ouare; Kidibonnet; Cape des Malveilleurs; Pataugastrique; Bloqueur majeur; Remueur; Miraculé majeur; Obstructeur majeur; Tacleur majeur; Nomade; Blokus</t>
        </is>
      </c>
    </row>
    <row r="24228">
      <c r="A24228" t="inlineStr">
        <is>
          <t>Stuff 1</t>
        </is>
      </c>
      <c r="B24228">
        <f>HYPERLINK("https://www.dofusbook.net/fr/equipement/429900-stuff-1/objets", "link")</f>
        <v/>
      </c>
      <c r="C24228" t="n">
        <v>0</v>
      </c>
      <c r="D24228" t="inlineStr">
        <is>
          <t>Sabres d'Atcham; Amulette de Pol Ouatnos; Anneau Tilus; Alliance Gloursonne; Menoture; Coiffe du Lévitrof; Cape de Klime; Sandales  d'Atcham; Dolmanax; Dofus Turquoise; Remueur; Étourdisseur majeur; Miraculé majeur; Nomade; Dragodinde en armure</t>
        </is>
      </c>
    </row>
    <row r="24229">
      <c r="A24229" t="inlineStr">
        <is>
          <t>Stuff 2</t>
        </is>
      </c>
      <c r="B24229">
        <f>HYPERLINK("https://www.dofusbook.net/fr/equipement/429892-stuff-2/objets", "link")</f>
        <v/>
      </c>
      <c r="C24229" t="n">
        <v>0</v>
      </c>
      <c r="D24229" t="inlineStr">
        <is>
          <t>La Baguette des Limbes; Amulette d'Otomaï; Anneau Tamie; Anneau Tamie; Ceinture Séculaire; Coiffe Séculaire; Cape de Nileza; Pantoufles Émar; Dofus Pourpre; Savant majeur; Nomade; Vigoureux majeur; Remueur; Érudit majeur; Brûlih</t>
        </is>
      </c>
    </row>
    <row r="24230">
      <c r="A24230" t="inlineStr">
        <is>
          <t>Stuff 2</t>
        </is>
      </c>
      <c r="B24230">
        <f>HYPERLINK("https://www.dofusbook.net/fr/equipement/429886-stuff-2/objets", "link")</f>
        <v/>
      </c>
      <c r="C24230" t="n">
        <v>0</v>
      </c>
      <c r="D24230" t="inlineStr">
        <is>
          <t>Dagues Érhy; Amulette du Strigide; Bracelet du Piloztère; Anneau Chevelu; Ceinture du Strigide; Masque de Koutoulou; Cape au Logis; Baleinabottes; Dofus Turquoise; Dofus Pourpre; Nomade; Vigoureux majeur; Remueur; Enragé majeur; Pioute vert</t>
        </is>
      </c>
    </row>
    <row r="24231">
      <c r="A24231" t="inlineStr">
        <is>
          <t>Stuff 1</t>
        </is>
      </c>
      <c r="B24231">
        <f>HYPERLINK("https://www.dofusbook.net/fr/equipement/429879-stuff-1/objets", "link")</f>
        <v/>
      </c>
      <c r="C24231" t="n">
        <v>2</v>
      </c>
      <c r="D24231" t="inlineStr">
        <is>
          <t>Pelle de la Cour Sombre; Collier du Valet Veinard; Gant du Valet Veinard; Alliance Gloursonne; Ftalmo; Menoture; Dorabysses; Cape Indescriptible; Palmes Trithons; Dofus Ocre; Carapace Air majeur; Carapace Neutre majeur; Carapace Eau majeur; Carapace Terre majeur; Cascadeur majeur; Muldo Ebène et Orchidée</t>
        </is>
      </c>
    </row>
    <row r="24232">
      <c r="A24232" t="inlineStr">
        <is>
          <t>Stuff 3</t>
        </is>
      </c>
      <c r="B24232">
        <f>HYPERLINK("https://www.dofusbook.net/fr/equipement/429924-stuff-3/objets", "link")</f>
        <v/>
      </c>
      <c r="C24232" t="n">
        <v>0</v>
      </c>
      <c r="D24232" t="inlineStr">
        <is>
          <t>Hache du Chalœil; Amulette du Strigide; Alliance Gloursonne; Bracelet du Piloztère; Ceintacé; Casque du Chalœil; Voile d'encre; Bottes du Chalœil; Dofus Turquoise; Dolmanax; Dofus Pourpre; Nomade; Remueur; Vigoureux majeur; Dragodinde en armure</t>
        </is>
      </c>
    </row>
    <row r="24233">
      <c r="A24233" t="inlineStr">
        <is>
          <t>Stuff 3</t>
        </is>
      </c>
      <c r="B24233">
        <f>HYPERLINK("https://www.dofusbook.net/fr/equipement/429872-stuff-3/objets", "link")</f>
        <v/>
      </c>
      <c r="C24233" t="n">
        <v>0</v>
      </c>
      <c r="D24233" t="inlineStr">
        <is>
          <t>Arc Hétype; Amulette Séculaire; Anneau Rifique; Anneau Tique; Ceinture de Vortex; Cagoule de Vortex; Cape de Diondin; Pataugastrique; Dolmanax; Dofus Turquoise; Savant majeur; Érudit majeur; Étourdisseur majeur; Nomade; Dragodinde en armure</t>
        </is>
      </c>
    </row>
    <row r="24234">
      <c r="A24234" t="inlineStr">
        <is>
          <t>Stuff 3</t>
        </is>
      </c>
      <c r="B24234">
        <f>HYPERLINK("https://www.dofusbook.net/fr/equipement/429915-stuff-3/objets", "link")</f>
        <v/>
      </c>
      <c r="C24234" t="n">
        <v>2</v>
      </c>
      <c r="D24234" t="inlineStr">
        <is>
          <t>Dagues Érhy; Amulette de Nileza; Anneau Rifique; Anneau Tique; Ceinture de Vortex; Cagoule de Vortex; Cape des Malveilleurs; Pataugastrique; Dofus Turquoise; Dolmanax; Érudit majeur; Étourdisseur majeur; Déserteur majeur; Remueur; Muldo Orchidée et Pourpre</t>
        </is>
      </c>
    </row>
    <row r="24235">
      <c r="A24235" t="inlineStr">
        <is>
          <t>Stuff 2</t>
        </is>
      </c>
      <c r="B24235">
        <f>HYPERLINK("https://www.dofusbook.net/fr/equipement/429865-stuff-2/objets", "link")</f>
        <v/>
      </c>
      <c r="C24235" t="n">
        <v>0</v>
      </c>
      <c r="D24235" t="inlineStr">
        <is>
          <t>Arc Honte; Collier de la Dame du Hasard; Anneau Tamie; Alliance Gloursonne; Bouclier cubiste; Ceinture de Kongoku; Chapeau des Malveilleurs; Cape des Malveilleurs; Pataugastrique; Chanceux majeur; Remueur; Temporiseur majeur; Érudit majeur; Entraveur majeur; Nomade; Givrefoux</t>
        </is>
      </c>
    </row>
    <row r="24236">
      <c r="A24236" t="inlineStr">
        <is>
          <t>Stuff 1</t>
        </is>
      </c>
      <c r="B24236">
        <f>HYPERLINK("https://www.dofusbook.net/fr/equipement/429909-stuff-1/objets", "link")</f>
        <v/>
      </c>
      <c r="C24236" t="n">
        <v>0</v>
      </c>
      <c r="D24236" t="inlineStr">
        <is>
          <t>Arc Hétype; Amulette de Nileza; Anneau de Nidas; Ceinture Séculaire; Coiffe Séculaire; Cape de Diondin; Bottes Dogues; Dolmanax; Miraculé majeur; Nomade; Érudit majeur; Savant majeur; Remueur; Kramkram</t>
        </is>
      </c>
    </row>
    <row r="24237">
      <c r="A24237" t="inlineStr">
        <is>
          <t>Stuff 1</t>
        </is>
      </c>
      <c r="B24237">
        <f>HYPERLINK("https://www.dofusbook.net/fr/equipement/429855-stuff-1/objets", "link")</f>
        <v/>
      </c>
      <c r="C24237" t="n">
        <v>4</v>
      </c>
      <c r="D24237" t="inlineStr">
        <is>
          <t>Arc Hétype; Amulette de Nileza; Anneau Tique; Anneau de Nidas; Protopagne; Couronne de Nidas; Voile d'encre; Pataugastrique; Carapace Eau majeur; Carapace Air majeur; Érudit majeur; Carapace Neutre majeur; Carapace Feu majeur; Remueur; Croum</t>
        </is>
      </c>
    </row>
    <row r="24238">
      <c r="A24238" t="inlineStr">
        <is>
          <t>Stuff 2</t>
        </is>
      </c>
      <c r="B24238">
        <f>HYPERLINK("https://www.dofusbook.net/fr/equipement/429895-stuff-2/objets", "link")</f>
        <v/>
      </c>
      <c r="C24238" t="n">
        <v>1</v>
      </c>
      <c r="D24238" t="inlineStr">
        <is>
          <t>Baguette Héroclite; Amulette du Sinistrofu; Bague Trithon; Alliance Gloursonne; Bouclier précieux; Sangle Ouare; Chapeau des Malveilleurs; Cape Solution; Bottes des Malveilleurs; Dofus Émeraude; Culbuteur majeur; Chanceux majeur; Bousculeur majeur; Miraculé majeur; Remueur; Muldo Indigo et Orchidée</t>
        </is>
      </c>
    </row>
    <row r="24239">
      <c r="A24239" t="inlineStr">
        <is>
          <t>Stuff 1</t>
        </is>
      </c>
      <c r="B24239">
        <f>HYPERLINK("https://www.dofusbook.net/fr/equipement/429928-stuff-1/objets", "link")</f>
        <v/>
      </c>
      <c r="C24239" t="n">
        <v>0</v>
      </c>
      <c r="D24239" t="inlineStr">
        <is>
          <t>Pelle de la Cour Sombre; Amulette du Strigide; Alliance Gloursonne; Anneau de Pol Ouatnos; Ceintacé; Dorabysses; Voile d'encre; Bottes du Strigide; Dofus Pourpre; Dokoko; Dofus Émeraude; Nomade; Remueur; Miraculé majeur; Dragodinde en armure</t>
        </is>
      </c>
    </row>
    <row r="24240">
      <c r="A24240" t="inlineStr">
        <is>
          <t>Stuff 3</t>
        </is>
      </c>
      <c r="B24240">
        <f>HYPERLINK("https://www.dofusbook.net/fr/equipement/429875-stuff-3/objets", "link")</f>
        <v/>
      </c>
      <c r="C24240" t="n">
        <v>0</v>
      </c>
      <c r="D24240" t="inlineStr">
        <is>
          <t>Marteau des égarés; Amulette du Strigide; Bracelet du Piloztère; Alliance Gloursonne; Ceinture du Strigide; Casque de Missiz Frizz; Voile d'encre; Bottes du Chalœil; Dofus Turquoise; Dofus Pourpre; Dofus Ocre; Remueur; Vigoureux majeur; Nomade; Kwaltess</t>
        </is>
      </c>
    </row>
    <row r="24241">
      <c r="A24241" t="inlineStr">
        <is>
          <t>Stuff 2</t>
        </is>
      </c>
      <c r="B24241">
        <f>HYPERLINK("https://www.dofusbook.net/fr/equipement/429920-stuff-2/objets", "link")</f>
        <v/>
      </c>
      <c r="C24241" t="n">
        <v>0</v>
      </c>
      <c r="D24241" t="inlineStr">
        <is>
          <t>Dagues Érhy; Amulette du Strigide; Anneau de Pol Ouatnos; Anneau Tilus; Ceintacé; Chapoulpe; Voile d'encre; Tentassons; Dofus Turquoise; Dolmanax; Dofus Pourpre; Enragé majeur; Étourdisseur majeur; Remueur; Dragodinde en armure</t>
        </is>
      </c>
    </row>
    <row r="24242">
      <c r="A24242" t="inlineStr">
        <is>
          <t>Stuff 3</t>
        </is>
      </c>
      <c r="B24242">
        <f>HYPERLINK("https://www.dofusbook.net/fr/equipement/429869-stuff-3/objets", "link")</f>
        <v/>
      </c>
      <c r="C24242" t="n">
        <v>0</v>
      </c>
      <c r="D24242" t="inlineStr">
        <is>
          <t>La Baguette des Limbes; Amulette du Strigide; Bracelet du Piloztère; Alliance Gloursonne; Ceinture du Strigide; Bonnet Ko; Cape de Léthaline; Bottes du Cycloïde; Savant majeur; Vigoureux majeur; Carapace Eau majeur; Remueur; Chanceux majeur; Nomade; Kwaltess</t>
        </is>
      </c>
    </row>
    <row r="24243">
      <c r="A24243" t="inlineStr">
        <is>
          <t>Stuff 2</t>
        </is>
      </c>
      <c r="B24243">
        <f>HYPERLINK("https://www.dofusbook.net/fr/equipement/429911-stuff-2/objets", "link")</f>
        <v/>
      </c>
      <c r="C24243" t="n">
        <v>0</v>
      </c>
      <c r="D24243" t="inlineStr">
        <is>
          <t>Dagoulinantes; Amulette de Shokkoth; Alliance Gloursonne; Bracelet des Fonds marins; Ceintacé; Masque des Fonds marins; Cape Luminescente; Bottes du Sinistrofu; Dofus Pourpre; Dofus Turquoise; Taquin majeur; Remueur; Vigoureux majeur; Chanceux majeur; Muldo Indigo et Pourpre; Bouclier Hispanique</t>
        </is>
      </c>
    </row>
    <row r="24244">
      <c r="A24244" t="inlineStr">
        <is>
          <t>Stuff 3</t>
        </is>
      </c>
      <c r="B24244">
        <f>HYPERLINK("https://www.dofusbook.net/fr/equipement/429857-stuff-3/objets", "link")</f>
        <v/>
      </c>
      <c r="C24244" t="n">
        <v>1</v>
      </c>
      <c r="D24244" t="inlineStr">
        <is>
          <t>Dagues Érhy; Amulette du Cycloïde; Anneau Tique; Anneau de Nidas; Ceinture de Gein; Chapeau de Gein; Voile d'encre; Pataugastrique; Dofus Émeraude; Érudit majeur; Carapace Neutre majeur; Miraculé majeur; Déserteur majeur; Remueur; Muldo Pourpre et Amande</t>
        </is>
      </c>
    </row>
    <row r="24245">
      <c r="A24245" t="inlineStr">
        <is>
          <t>Stuff 3</t>
        </is>
      </c>
      <c r="B24245">
        <f>HYPERLINK("https://www.dofusbook.net/fr/equipement/429905-stuff-3/objets", "link")</f>
        <v/>
      </c>
      <c r="C24245" t="n">
        <v>0</v>
      </c>
      <c r="D24245" t="inlineStr">
        <is>
          <t>Harpelle; Amulette d'Otomaï; Kralano; Anneau de Nidas; Ceinture Séculaire; Coiffe Séculaire; Voile d'encre; Pataugastrique; Dofus Turquoise; Érudit majeur; Remueur; Vigoureux majeur; Miraculé majeur; Muldo Orchidée et Pourpre</t>
        </is>
      </c>
    </row>
    <row r="24246">
      <c r="A24246" t="inlineStr">
        <is>
          <t>Stuff 1</t>
        </is>
      </c>
      <c r="B24246">
        <f>HYPERLINK("https://www.dofusbook.net/fr/equipement/429891-stuff-1/objets", "link")</f>
        <v/>
      </c>
      <c r="C24246" t="n">
        <v>0</v>
      </c>
      <c r="D24246" t="inlineStr">
        <is>
          <t>Epée Gloursonne; Talisman Igans; Bague Gloursonne; Alliance Gloursonne; Ceintrigue; Chapeau des Malveilleurs; Cape des Malveilleurs; Bottes des Malveilleurs; Dolmanax; Dofus Ocre; Dofus Turquoise; Dofus Pourpre; Voyageur; Examinateur; Muldo Indigo et Orchidée</t>
        </is>
      </c>
    </row>
    <row r="24247">
      <c r="A24247" t="inlineStr">
        <is>
          <t>Stuff 1</t>
        </is>
      </c>
      <c r="B24247">
        <f>HYPERLINK("https://www.dofusbook.net/fr/equipement/429910-stuff-1/objets", "link")</f>
        <v/>
      </c>
      <c r="C24247" t="n">
        <v>0</v>
      </c>
      <c r="D24247" t="inlineStr">
        <is>
          <t>Dagoulinantes; Amulette de Shokkoth; Alliance Gloursonne; Bracelet des Fonds marins; Ceintacé; Masque des Fonds marins; Cape Luminescente; Bottes du Sinistrofu; Dofus Turquoise; Remueur; Carapace Feu majeur; Carapace Air majeur; Carapace Terre majeur; Carapace Eau majeur; Muldo Indigo et Pourpre; Bouclier Hispanique</t>
        </is>
      </c>
    </row>
    <row r="24248">
      <c r="A24248" t="inlineStr">
        <is>
          <t>Stuff 1</t>
        </is>
      </c>
      <c r="B24248">
        <f>HYPERLINK("https://www.dofusbook.net/fr/equipement/429867-stuff-1/objets", "link")</f>
        <v/>
      </c>
      <c r="C24248" t="n">
        <v>0</v>
      </c>
      <c r="D24248" t="inlineStr">
        <is>
          <t>Amulette de Pol Ouatnos; Alliance Gloursonne; Anneau Tique; Dorabysses; Cape d'Aermyne; Pataugastrique; Obstructeur majeur; Remueur; Nomade</t>
        </is>
      </c>
    </row>
    <row r="24249">
      <c r="A24249" t="inlineStr">
        <is>
          <t>Stuff 2</t>
        </is>
      </c>
      <c r="B24249">
        <f>HYPERLINK("https://www.dofusbook.net/fr/equipement/429904-stuff-2/objets", "link")</f>
        <v/>
      </c>
      <c r="C24249" t="n">
        <v>1</v>
      </c>
      <c r="D24249" t="inlineStr">
        <is>
          <t>Arc Hétype; Amulette de Nileza; Bague Gloursonne; Kralano; Ceinture de Vortex; Coiffe Séculaire; Cape de Nileza; Pataugastrique; Dofus Turquoise; Érudit majeur; Miraculé majeur; Nomade; Astucieux majeur; Remueur; Kramkram</t>
        </is>
      </c>
    </row>
    <row r="24250">
      <c r="A24250" t="inlineStr">
        <is>
          <t>Stuff 2</t>
        </is>
      </c>
      <c r="B24250">
        <f>HYPERLINK("https://www.dofusbook.net/fr/equipement/429856-stuff-2/objets", "link")</f>
        <v/>
      </c>
      <c r="C24250" t="n">
        <v>2</v>
      </c>
      <c r="D24250" t="inlineStr">
        <is>
          <t>Dagues Érhy; Amulette Ementaire Deluxe; Bague Gloursonne; Anneau Tique; Ceinture de Gein; Chapeau de Gein; Voile d'encre; Pataugastrique; Dolmanax; Carapace Terre majeur; Carapace Neutre majeur; Remueur; Carapace Neutre; Miraculé majeur; Muldo Orchidée et Pourpre</t>
        </is>
      </c>
    </row>
    <row r="24251">
      <c r="A24251" t="inlineStr">
        <is>
          <t>Stuff 1</t>
        </is>
      </c>
      <c r="B24251">
        <f>HYPERLINK("https://www.dofusbook.net/fr/equipement/429882-stuff-1/objets", "link")</f>
        <v/>
      </c>
      <c r="C24251" t="n">
        <v>0</v>
      </c>
      <c r="D24251" t="inlineStr">
        <is>
          <t>Manthache; Amulette de Pol Ouatnos; Anneau Tilus; Alliance Gloursonne; Menoture; Chapoulpe; Cape du Kamasterisk; Tentassons; Cascadeur majeur; Miraculé majeur; Nomade; Étourdisseur majeur; Remueur; Kramkram</t>
        </is>
      </c>
    </row>
    <row r="24252">
      <c r="A24252" t="inlineStr">
        <is>
          <t>Stuff 2</t>
        </is>
      </c>
      <c r="B24252">
        <f>HYPERLINK("https://www.dofusbook.net/fr/equipement/429929-stuff-2/objets", "link")</f>
        <v/>
      </c>
      <c r="C24252" t="n">
        <v>0</v>
      </c>
      <c r="D24252" t="inlineStr">
        <is>
          <t>L'Épée Nice; Amulette du Strigide; Bracelet du Piloztère; Bague Gloursonne; Ceintacé; Coiffe de la Reine des Voleurs; Voile d'encre; Bottes du Strigide; Dofus Pourpre; Dofus Émeraude; Enragé majeur; Remueur; Miraculé majeur; Carapace Terre majeur; Dragodinde en armure</t>
        </is>
      </c>
    </row>
    <row r="24253">
      <c r="A24253" t="inlineStr">
        <is>
          <t>Stuff 1</t>
        </is>
      </c>
      <c r="B24253">
        <f>HYPERLINK("https://www.dofusbook.net/fr/equipement/429876-stuff-1/objets", "link")</f>
        <v/>
      </c>
      <c r="C24253" t="n">
        <v>3</v>
      </c>
      <c r="D24253" t="inlineStr">
        <is>
          <t>La Baguette des Limbes; Amulette Ementaire Deluxe; Alliance de Guten Tak; Alliance du Lévitrof; Ceinture du Barbétoal; Coiffe du Lévitrof; Voile d'encre; Bottes du Katcheur; Dokoko; Dofus Ocre; Remueur; Fonceur majeur; Miraculé majeur; Brâkarien</t>
        </is>
      </c>
    </row>
    <row r="24254">
      <c r="A24254" t="inlineStr">
        <is>
          <t>Stuff 3</t>
        </is>
      </c>
      <c r="B24254">
        <f>HYPERLINK("https://www.dofusbook.net/fr/equipement/429921-stuff-3/objets", "link")</f>
        <v/>
      </c>
      <c r="C24254" t="n">
        <v>0</v>
      </c>
      <c r="D24254" t="inlineStr">
        <is>
          <t>Arc Hétype; Amulette d'Otomaï; Bague Gloursonne; Anneau Instable; Ceinture Instable; Couronne de Nidas; Voile d'encre; Pataugastrique; Dofus Turquoise; Nomade; Savant majeur; Remueur; Érudit majeur; Étourdisseur majeur; Croum</t>
        </is>
      </c>
    </row>
    <row r="24255">
      <c r="A24255" t="inlineStr">
        <is>
          <t>Stuff 1</t>
        </is>
      </c>
      <c r="B24255">
        <f>HYPERLINK("https://www.dofusbook.net/fr/equipement/429913-stuff-1/objets", "link")</f>
        <v/>
      </c>
      <c r="C24255" t="n">
        <v>0</v>
      </c>
      <c r="D24255" t="inlineStr">
        <is>
          <t>Plumeau Bil; Amulette de Nileza; Anneau Rifique; Anneau Tique; Bouclier du Cycloïde; Ceinture Séculaire; Coiffe Séculaire; Voile d'encre; Pataugastrique; Dofus Turquoise; Érudit majeur; Remueur; Carapace Terre majeur; Nomade; Carapace Feu majeur; Dragodinde en armure</t>
        </is>
      </c>
    </row>
    <row r="24256">
      <c r="A24256" t="inlineStr">
        <is>
          <t>Stuff 1</t>
        </is>
      </c>
      <c r="B24256">
        <f>HYPERLINK("https://www.dofusbook.net/fr/equipement/429906-stuff-1/objets", "link")</f>
        <v/>
      </c>
      <c r="C24256" t="n">
        <v>0</v>
      </c>
      <c r="D24256" t="inlineStr">
        <is>
          <t>Epée Gloursonne; Talisman Glouti; Alliance Gloursonne; Bracelet du Piloztère; Sangle Ouare; Kidibonnet; Cape des Malveilleurs; Pataugastrique; Miraculé majeur; Obstructeur majeur; Tacleur majeur; Nomade; Bloqueur majeur; Remueur; Blokus</t>
        </is>
      </c>
    </row>
    <row r="24257">
      <c r="A24257" t="inlineStr">
        <is>
          <t>Stuff 3</t>
        </is>
      </c>
      <c r="B24257">
        <f>HYPERLINK("https://www.dofusbook.net/fr/equipement/429863-stuff-3/objets", "link")</f>
        <v/>
      </c>
      <c r="C24257" t="n">
        <v>0</v>
      </c>
      <c r="D24257" t="inlineStr">
        <is>
          <t>Epée Gloursonne; Amulette Luminescente; Alliance Gloursonne; Bague Gloursonne; Bouclier cubiste; Ceinture Luminescente; Casquipik; Cape Luminescente; Pikottes; Dofus Turquoise; Dofus Ocre; Dolmanax; Dofus des Glaces; Dofus Pourpre; Ralentisseur majeur; Muldo Indigo et Pourpre</t>
        </is>
      </c>
    </row>
    <row r="24258">
      <c r="A24258" t="inlineStr">
        <is>
          <t>Crâ M 200</t>
        </is>
      </c>
      <c r="B24258">
        <f>HYPERLINK("https://www.dofusbook.net/fr/equipement/5950448-cra-m-200/objets", "link")</f>
        <v/>
      </c>
      <c r="C24258" t="n">
        <v>0</v>
      </c>
      <c r="D24258" t="inlineStr"/>
    </row>
    <row r="24259">
      <c r="A24259" t="inlineStr">
        <is>
          <t>Iop M 200</t>
        </is>
      </c>
      <c r="B24259">
        <f>HYPERLINK("https://www.dofusbook.net/fr/equipement/3434725-iop-m-200/objets", "link")</f>
        <v/>
      </c>
      <c r="C24259" t="n">
        <v>2</v>
      </c>
      <c r="D24259" t="inlineStr">
        <is>
          <t>Couteaux à Champignons; Anneau Colerette; Chapignon; Caprin</t>
        </is>
      </c>
    </row>
    <row r="24260">
      <c r="A24260" t="inlineStr">
        <is>
          <t>Sacrieur F 200</t>
        </is>
      </c>
      <c r="B24260">
        <f>HYPERLINK("https://www.dofusbook.net/fr/equipement/3480106-sacrieur-f-200/objets", "link")</f>
        <v/>
      </c>
      <c r="C24260" t="n">
        <v>0</v>
      </c>
      <c r="D24260" t="inlineStr">
        <is>
          <t>Epée Loponèze; Kralamansion; Annolamour; Kralano; Ceinture Rasboulaire du Rasboul; Chapignon; Cape Souveraine du Roissingue; Bottes Harry; Dragodinde Amande et Emeraude</t>
        </is>
      </c>
    </row>
    <row r="24261">
      <c r="A24261" t="inlineStr">
        <is>
          <t>Iop M 200</t>
        </is>
      </c>
      <c r="B24261">
        <f>HYPERLINK("https://www.dofusbook.net/fr/equipement/3505555-iop-m-200/objets", "link")</f>
        <v/>
      </c>
      <c r="C24261" t="n">
        <v>0</v>
      </c>
      <c r="D24261" t="inlineStr">
        <is>
          <t>Couteaux à Champignons; Amulette Ripage; Anneau Colerette; Ceinture Rasboulaire du Rasboul; Chapignon; Caprin; Bottes Harry; Dofus Turquoise</t>
        </is>
      </c>
    </row>
    <row r="24262">
      <c r="A24262" t="inlineStr">
        <is>
          <t>Pandawa F 200</t>
        </is>
      </c>
      <c r="B24262">
        <f>HYPERLINK("https://www.dofusbook.net/fr/equipement/3434718-pandawa-f-200/objets", "link")</f>
        <v/>
      </c>
      <c r="C24262" t="n">
        <v>0</v>
      </c>
      <c r="D24262" t="inlineStr">
        <is>
          <t>Collier Cérémonial du Seigneur des Rats; Anneau Cérémonial du Seigneur des Rats; Ceinture Cérémoniale du Seigneur des Rats; Coiffe Cérémoniale du Seigneur des Rats; Cape Cérémoniale du Seigneur des Rats; Bottes Cérémoniales du Seigneur des Rats</t>
        </is>
      </c>
    </row>
    <row r="24263">
      <c r="A24263" t="inlineStr">
        <is>
          <t>Iop M 200</t>
        </is>
      </c>
      <c r="B24263">
        <f>HYPERLINK("https://www.dofusbook.net/fr/equipement/3420137-iop-m-200/objets", "link")</f>
        <v/>
      </c>
      <c r="C24263" t="n">
        <v>0</v>
      </c>
      <c r="D24263" t="inlineStr">
        <is>
          <t>Marteau de la Gamine Zoth; Amulette du Dragoeuf; Anneau Cérémonial du Seigneur des Rats; Ceinture Cérémoniale du Seigneur des Rats; Bandeau Kaliptus; Puissante Cape Fulgurante; Bottes Harry; Dofus Turquoise</t>
        </is>
      </c>
    </row>
    <row r="24264">
      <c r="A24264" t="inlineStr">
        <is>
          <t>Sacrieur M 200</t>
        </is>
      </c>
      <c r="B24264">
        <f>HYPERLINK("https://www.dofusbook.net/fr/equipement/3431027-sacrieur-m-200/objets", "link")</f>
        <v/>
      </c>
      <c r="C24264" t="n">
        <v>0</v>
      </c>
      <c r="D24264" t="inlineStr">
        <is>
          <t>Marteau de la Gamine Zoth; La Feuille de Printemps; Anneau Cérémonial du Seigneur des Rats; Ceinture Cérémoniale du Seigneur des Rats; Bandeau Kaliptus; Cape Cérémoniale du Seigneur des Rats; Bottes Harry; Dofus Turquoise</t>
        </is>
      </c>
    </row>
    <row r="24265">
      <c r="A24265" t="inlineStr">
        <is>
          <t>Enutrof M 200</t>
        </is>
      </c>
      <c r="B24265">
        <f>HYPERLINK("https://www.dofusbook.net/fr/equipement/3419889-enutrof-m-200/objets", "link")</f>
        <v/>
      </c>
      <c r="C24265" t="n">
        <v>0</v>
      </c>
      <c r="D24265" t="inlineStr">
        <is>
          <t>Marteau de la Gamine Zoth; La Feuille de Printemps; Anneau Cérémonial du Seigneur des Rats; Ceinture Cérémoniale du Seigneur des Rats; Bandeau Kaliptus; Cape Cérémoniale du Seigneur des Rats; Bottes Harry</t>
        </is>
      </c>
    </row>
    <row r="24266">
      <c r="A24266" t="inlineStr">
        <is>
          <t>Eniripsa F 200</t>
        </is>
      </c>
      <c r="B24266">
        <f>HYPERLINK("https://www.dofusbook.net/fr/equipement/3424199-eniripsa-f-200/objets", "link")</f>
        <v/>
      </c>
      <c r="C24266" t="n">
        <v>0</v>
      </c>
      <c r="D24266" t="inlineStr">
        <is>
          <t>Marteau de la Gamine Zoth; Amulette du Dragoeuf; Anneau Cérémonial du Seigneur des Rats; Ceinture Cérémoniale du Seigneur des Rats; Bandeau Kaliptus; Cape Cérémoniale du Seigneur des Rats; Bottes Harry; Dofus Turquoise</t>
        </is>
      </c>
    </row>
    <row r="24267">
      <c r="A24267" t="inlineStr">
        <is>
          <t>Eniripsa F 200</t>
        </is>
      </c>
      <c r="B24267">
        <f>HYPERLINK("https://www.dofusbook.net/fr/equipement/3431013-eniripsa-f-200/objets", "link")</f>
        <v/>
      </c>
      <c r="C24267" t="n">
        <v>0</v>
      </c>
      <c r="D24267" t="inlineStr">
        <is>
          <t>Collier Cérémonial du Seigneur des Rats; Anneau Cérémonial du Seigneur des Rats; Ceinture Cérémoniale du Seigneur des Rats; Coiffe Cérémoniale du Seigneur des Rats; Cape Cérémoniale du Seigneur des Rats; Bottes Cérémoniales du Seigneur des Rats</t>
        </is>
      </c>
    </row>
    <row r="24268">
      <c r="A24268" t="inlineStr">
        <is>
          <t>Eniripsa F 200</t>
        </is>
      </c>
      <c r="B24268">
        <f>HYPERLINK("https://www.dofusbook.net/fr/equipement/3425085-eniripsa-f-200/objets", "link")</f>
        <v/>
      </c>
      <c r="C24268" t="n">
        <v>0</v>
      </c>
      <c r="D24268" t="inlineStr">
        <is>
          <t>Marteau de la Gamine Zoth; Kralamansion; Bracelet Ventré; Ceinture Rasboulaire du Rasboul; Masque Vaudou Sarbak; Caprin; Bottes Harry; Dofus Turquoise</t>
        </is>
      </c>
    </row>
    <row r="24269">
      <c r="A24269" t="inlineStr">
        <is>
          <t>Iop M 200</t>
        </is>
      </c>
      <c r="B24269">
        <f>HYPERLINK("https://www.dofusbook.net/fr/equipement/3419776-iop-m-200/objets", "link")</f>
        <v/>
      </c>
      <c r="C24269" t="n">
        <v>0</v>
      </c>
      <c r="D24269" t="inlineStr">
        <is>
          <t>L'Épée Nice; Amulette Ripage; Gelano; Anneau Cérémonial du Seigneur des Rats; Ceinture Rasboulaire du Rasboul; Masque Vaudou Sarbak; Puissante Cape Fulgurante; Bottes Harry; Dofus Turquoise</t>
        </is>
      </c>
    </row>
    <row r="24270">
      <c r="A24270" t="inlineStr">
        <is>
          <t>Iop M 200</t>
        </is>
      </c>
      <c r="B24270">
        <f>HYPERLINK("https://www.dofusbook.net/fr/equipement/3418151-iop-m-200/objets", "link")</f>
        <v/>
      </c>
      <c r="C24270" t="n">
        <v>3</v>
      </c>
      <c r="D24270" t="inlineStr">
        <is>
          <t>Dagues du Rat Noir; Collier du Rat Noir; Gelano; Anneau du Rat Noir; Ceinture du Rat Noir; Masque du Rat Noir; Cape du Rat Noir; Bottes du Rat Noir</t>
        </is>
      </c>
    </row>
    <row r="24271">
      <c r="A24271" t="inlineStr">
        <is>
          <t>Iop M 200</t>
        </is>
      </c>
      <c r="B24271">
        <f>HYPERLINK("https://www.dofusbook.net/fr/equipement/3418177-iop-m-200/objets", "link")</f>
        <v/>
      </c>
      <c r="C24271" t="n">
        <v>2</v>
      </c>
      <c r="D24271" t="inlineStr">
        <is>
          <t>Marteau de la Gamine Zoth; Kralamansion; Annolamour; Kralano; Ceinture Rasboulaire du Rasboul; Masque Vaudou Sarbak; Caprin; Bottes Harry; Dofus Turquoise</t>
        </is>
      </c>
    </row>
    <row r="24272">
      <c r="A24272" t="inlineStr">
        <is>
          <t>Iop M 200</t>
        </is>
      </c>
      <c r="B24272">
        <f>HYPERLINK("https://www.dofusbook.net/fr/equipement/3418141-iop-m-200/objets", "link")</f>
        <v/>
      </c>
      <c r="C24272" t="n">
        <v>3</v>
      </c>
      <c r="D24272" t="inlineStr">
        <is>
          <t>Marteau de la Gamine Zoth; Collier Cérémonial du Seigneur des Rats; Anneau Cérémonial du Seigneur des Rats; Gelano; Ceinture Cérémoniale du Seigneur des Rats; Coiffe Cérémoniale du Seigneur des Rats; Puissante Cape Fulgurante; Bottes Cérémoniales du Seigneur des Rats</t>
        </is>
      </c>
    </row>
    <row r="24273">
      <c r="A24273" t="inlineStr">
        <is>
          <t>rhyz</t>
        </is>
      </c>
      <c r="B24273">
        <f>HYPERLINK("https://www.dofusbook.net/fr/equipement/2754046-rhyz/objets", "link")</f>
        <v/>
      </c>
      <c r="C24273" t="n">
        <v>0</v>
      </c>
      <c r="D24273" t="inlineStr">
        <is>
          <t>L'Épée Nice; Kralamansion; Kralano; Annolamour; Ceinture Rasboulaire du Rasboul; Le Kim; Voile d'encre</t>
        </is>
      </c>
    </row>
    <row r="24274">
      <c r="A24274" t="inlineStr">
        <is>
          <t>Iop M 200</t>
        </is>
      </c>
      <c r="B24274">
        <f>HYPERLINK("https://www.dofusbook.net/fr/equipement/3263459-iop-m-200/objets", "link")</f>
        <v/>
      </c>
      <c r="C24274" t="n">
        <v>0</v>
      </c>
      <c r="D24274" t="inlineStr">
        <is>
          <t>Kralamansion; Bracelet Ventré; Ceinture Rasboulaire du Rasboul; Masque Vaudou Sarbak; Caprin; Bottes Harry; Dofus Turquoise</t>
        </is>
      </c>
    </row>
    <row r="24275">
      <c r="A24275" t="inlineStr">
        <is>
          <t>Iop M 200</t>
        </is>
      </c>
      <c r="B24275">
        <f>HYPERLINK("https://www.dofusbook.net/fr/equipement/3263473-iop-m-200/objets", "link")</f>
        <v/>
      </c>
      <c r="C24275" t="n">
        <v>0</v>
      </c>
      <c r="D24275" t="inlineStr">
        <is>
          <t>Marteau M'Pouce; Collier du Minotot; Anneau Bliteré; Ceinture Toré; Casque Harnage; Cape du Minotot; Bottes Répané</t>
        </is>
      </c>
    </row>
    <row r="24276">
      <c r="A24276" t="inlineStr">
        <is>
          <t>Ecaflip M 200</t>
        </is>
      </c>
      <c r="B24276">
        <f>HYPERLINK("https://www.dofusbook.net/fr/equipement/3255109-ecaflip-m-200/objets", "link")</f>
        <v/>
      </c>
      <c r="C24276" t="n">
        <v>2</v>
      </c>
      <c r="D24276" t="inlineStr">
        <is>
          <t>Epée Loponèze; Kralamansion; Annolamour; Kralano; Ceinture Rasboulaire du Rasboul; Chapignon; Cape Souveraine du Roissingue; Bottines des sous-bois</t>
        </is>
      </c>
    </row>
    <row r="24277">
      <c r="A24277" t="inlineStr">
        <is>
          <t>Iop M 200</t>
        </is>
      </c>
      <c r="B24277">
        <f>HYPERLINK("https://www.dofusbook.net/fr/equipement/3263466-iop-m-200/objets", "link")</f>
        <v/>
      </c>
      <c r="C24277" t="n">
        <v>0</v>
      </c>
      <c r="D24277" t="inlineStr">
        <is>
          <t>Marteau M'Pouce; Kralamansion; Kralano; Annolamour; String Automnal du Chêne Mou; Masque Vaudou Ark; Cape du Minotot; Bottes du Dragoeuf</t>
        </is>
      </c>
    </row>
    <row r="24278">
      <c r="A24278" t="inlineStr">
        <is>
          <t>Iop M 200</t>
        </is>
      </c>
      <c r="B24278">
        <f>HYPERLINK("https://www.dofusbook.net/fr/equipement/3263422-iop-m-200/objets", "link")</f>
        <v/>
      </c>
      <c r="C24278" t="n">
        <v>0</v>
      </c>
      <c r="D24278" t="inlineStr">
        <is>
          <t>Marteau de la Gamine Zoth; Kralamansion; Bracelet Ventré; Kralano; Ceinture Rasboulaire du Rasboul; Masque Vaudou Sarbak; Caprin; Bottes Harry; Dofus Turquoise; Pioute jaune</t>
        </is>
      </c>
    </row>
    <row r="24279">
      <c r="A24279" t="inlineStr">
        <is>
          <t>Xyi</t>
        </is>
      </c>
      <c r="B24279">
        <f>HYPERLINK("https://www.dofusbook.net/fr/equipement/3237793-xyi/objets", "link")</f>
        <v/>
      </c>
      <c r="C24279" t="n">
        <v>0</v>
      </c>
      <c r="D24279" t="inlineStr">
        <is>
          <t>La Xyothine; Collier du Minotot; Gelano; Anneau Cérémonial du Seigneur des Rats; Puissante Ceinture Fulgurante; Coiffe du Chêne Mou; Cape du Minotot; Bottes du Dragoeuf</t>
        </is>
      </c>
    </row>
    <row r="24280">
      <c r="A24280" t="inlineStr">
        <is>
          <t>reine feu</t>
        </is>
      </c>
      <c r="B24280">
        <f>HYPERLINK("https://www.dofusbook.net/fr/equipement/2754004-reine-feu/objets", "link")</f>
        <v/>
      </c>
      <c r="C24280" t="n">
        <v>0</v>
      </c>
      <c r="D24280" t="inlineStr">
        <is>
          <t>Marteau Reine; Amulette Séculaire; Bague Gloursonne; Anneau de Padgref; Ceinture Séculaire; Coiffe de Padgref; Voile d'encre; Getas de Padgref; Dofus Turquoise</t>
        </is>
      </c>
    </row>
    <row r="24281">
      <c r="A24281" t="inlineStr">
        <is>
          <t>amo</t>
        </is>
      </c>
      <c r="B24281">
        <f>HYPERLINK("https://www.dofusbook.net/fr/equipement/2753625-amo/objets", "link")</f>
        <v/>
      </c>
      <c r="C24281" t="n">
        <v>0</v>
      </c>
      <c r="D24281" t="inlineStr">
        <is>
          <t>Epée Gloursonne; Amulette du Strigide; Anneau du Comte Harebourg; Anneau de Padgref; Ceinture de Léthaline; Le Kim; Cape au Logis; Bottes des égarés; Dofus Turquoise</t>
        </is>
      </c>
    </row>
    <row r="24282">
      <c r="A24282" t="inlineStr">
        <is>
          <t>reine terre</t>
        </is>
      </c>
      <c r="B24282">
        <f>HYPERLINK("https://www.dofusbook.net/fr/equipement/2753623-reine-terre/objets", "link")</f>
        <v/>
      </c>
      <c r="C24282" t="n">
        <v>0</v>
      </c>
      <c r="D24282" t="inlineStr">
        <is>
          <t>Marteau Reine; Amulette du Strigide; Bague Gloursonne; Anneau des égarés; Ceinture du Strigide; Casque des égarés; Cape au Logis; Bottes des égarés; Dofus Turquoise</t>
        </is>
      </c>
    </row>
    <row r="24283">
      <c r="A24283" t="inlineStr">
        <is>
          <t>reine</t>
        </is>
      </c>
      <c r="B24283">
        <f>HYPERLINK("https://www.dofusbook.net/fr/equipement/2753522-reine/objets", "link")</f>
        <v/>
      </c>
      <c r="C24283" t="n">
        <v>0</v>
      </c>
      <c r="D24283" t="inlineStr">
        <is>
          <t>Marteau Reine; Amulette du Granduk; Anneau d'Allister; Anneau de Padgref; Ceinture du Nocturlabe; Coiffe de Padgref; Cape de Klime; Bottes d'Allister; Dofus Turquoise</t>
        </is>
      </c>
    </row>
    <row r="24284">
      <c r="A24284" t="inlineStr">
        <is>
          <t>dague</t>
        </is>
      </c>
      <c r="B24284">
        <f>HYPERLINK("https://www.dofusbook.net/fr/equipement/2753203-dague/objets", "link")</f>
        <v/>
      </c>
      <c r="C24284" t="n">
        <v>0</v>
      </c>
      <c r="D24284" t="inlineStr">
        <is>
          <t>Dagues de Srambad; Amulette du Piloztère; Alliance Gloursonne; Bracelet du Piloztère; Ceinture de la Reine des Voleurs; Coiffe du Lévitrof; Cape Ovri; Pantoufles du Piloztère</t>
        </is>
      </c>
    </row>
    <row r="24285">
      <c r="A24285" t="inlineStr">
        <is>
          <t>multi</t>
        </is>
      </c>
      <c r="B24285">
        <f>HYPERLINK("https://www.dofusbook.net/fr/equipement/2256808-multi/objets", "link")</f>
        <v/>
      </c>
      <c r="C24285" t="n">
        <v>1</v>
      </c>
      <c r="D24285" t="inlineStr">
        <is>
          <t>Dagues du Dragoeuf; Amulette Ementaire; Anneau Xélomorphe; Alliance d'Elya Wood; Bouclier du Sadida; Xénature; Casque Dragoeuf; Caracape Minotoris; Bottes du Dragoeuf; Dolmanax; Dokoko; Dofus Pourpre; Dofus Émeraude; Remueur; Nomade; Muldo Ebène et Indigo</t>
        </is>
      </c>
    </row>
    <row r="24286">
      <c r="A24286" t="inlineStr">
        <is>
          <t>cinquante res</t>
        </is>
      </c>
      <c r="B24286">
        <f>HYPERLINK("https://www.dofusbook.net/fr/equipement/2256806-cinquante-res/objets", "link")</f>
        <v/>
      </c>
      <c r="C24286" t="n">
        <v>0</v>
      </c>
      <c r="D24286" t="inlineStr">
        <is>
          <t>Dagues du Dragoeuf; Médaille Kido; Alliance d'Elya Wood; Bracelet du Chef Bwork; Bouclier du Sadida; Ceinture de Fraktale; Casque Dragoeuf; Caracape Minotoris; Bottes du Dragoeuf; Dokoko; Dofus Pourpre; Dofus Émeraude; Dolmanax; Nomade; Remueur; Kramkram</t>
        </is>
      </c>
    </row>
    <row r="24287">
      <c r="A24287" t="inlineStr">
        <is>
          <t>centcinquante</t>
        </is>
      </c>
      <c r="B24287">
        <f>HYPERLINK("https://www.dofusbook.net/fr/equipement/2109693-centcinquante/objets", "link")</f>
        <v/>
      </c>
      <c r="C24287" t="n">
        <v>0</v>
      </c>
      <c r="D24287" t="inlineStr">
        <is>
          <t>La Baguette des Limbes; Amulette Ementaire; Anneau du Chêne Mou; Alliance d'Elya Wood; Bouclier Ventaille; Ceinture Phossile; Casque Dragoeuf; Cape Souveraine du Roissingue; Bottes du Dragoeuf; Dolmanax; Dokoko; Dofus Pourpre; Dofus Émeraude; Vigoureux majeur; Remueur; Muldo Ebène et Indigo</t>
        </is>
      </c>
    </row>
    <row r="24288">
      <c r="A24288" t="inlineStr">
        <is>
          <t>air feu</t>
        </is>
      </c>
      <c r="B24288">
        <f>HYPERLINK("https://www.dofusbook.net/fr/equipement/2195827-air-feu/objets", "link")</f>
        <v/>
      </c>
      <c r="C24288" t="n">
        <v>0</v>
      </c>
      <c r="D24288" t="inlineStr">
        <is>
          <t>La Baguette des Limbes; Amulette Ementaire Deluxe; Alliance d'Elya Wood; Anneau du Meulou; Xénature; Krokop; Corbacape Mastralis; Bottes du Dragoeuf; Dokoko; Dofus Pourpre; Dolmanax; Temporiseur; Remueur; Nomade; Kramkram</t>
        </is>
      </c>
    </row>
    <row r="24289">
      <c r="A24289" t="inlineStr">
        <is>
          <t>res</t>
        </is>
      </c>
      <c r="B24289">
        <f>HYPERLINK("https://www.dofusbook.net/fr/equipement/2098806-res/objets", "link")</f>
        <v/>
      </c>
      <c r="C24289" t="n">
        <v>0</v>
      </c>
      <c r="D24289" t="inlineStr">
        <is>
          <t>La Baguette des Limbes; Médaille Kido; Anneau Xélomorphe; Alliance d'Elya Wood; Bouclier du Sadida; Ceinture de Fraktale; Casque Dragoeuf; Caracape Minotoris; Bottes du Dragoeuf; Dofus Émeraude; Dolmanax; Dokoko; Dofus Pourpre; Nomade; Remueur; Kramkram</t>
        </is>
      </c>
    </row>
    <row r="24290">
      <c r="A24290" t="inlineStr">
        <is>
          <t>feu houffe</t>
        </is>
      </c>
      <c r="B24290">
        <f>HYPERLINK("https://www.dofusbook.net/fr/equipement/2109040-feu-houffe/objets", "link")</f>
        <v/>
      </c>
      <c r="C24290" t="n">
        <v>0</v>
      </c>
      <c r="D24290" t="inlineStr">
        <is>
          <t>Baguette Houffe-Craitien; Amulette de Moon; Gelano; Alliance des Forestiers; Bouclier de Choudini; Ceinture des Vents; La Bekille; Puissante Cape Fulgurante; Fourbabottes; Dolmanax; Dofus Pourpre; Érudit; Remueur; Dévastateur Feu; Nomade; Muldo Emeraude</t>
        </is>
      </c>
    </row>
    <row r="24291">
      <c r="A24291" t="inlineStr">
        <is>
          <t>eau</t>
        </is>
      </c>
      <c r="B24291">
        <f>HYPERLINK("https://www.dofusbook.net/fr/equipement/2108959-eau/objets", "link")</f>
        <v/>
      </c>
      <c r="C24291" t="n">
        <v>0</v>
      </c>
      <c r="D24291" t="inlineStr">
        <is>
          <t>La Baguette des Limbes; Médaille Kido; Anneau Xélomorphe; Alliance d'Elya Wood; Bouclier du Sadida; Ceintruche; Holoune; Corbacape Mastralis; Bottes du Dragoeuf; Dolmanax; Dofus Pourpre; Guérisseur; Observateur; Remueur; Étourdisseur; Muldo Ebène et Indigo</t>
        </is>
      </c>
    </row>
    <row r="24292">
      <c r="A24292" t="inlineStr">
        <is>
          <t>multi</t>
        </is>
      </c>
      <c r="B24292">
        <f>HYPERLINK("https://www.dofusbook.net/fr/equipement/2097051-multi/objets", "link")</f>
        <v/>
      </c>
      <c r="C24292" t="n">
        <v>0</v>
      </c>
      <c r="D24292" t="inlineStr">
        <is>
          <t>Dagues du Dragoeuf; Amulette du Renouveau; Bracelet du Chef Bwork; Anneau du Meulou; Bouclier du Sadida; Ceinture du Capitaine Ekarlatte; Solomonk; Caracape Minotoris; Bottes du Capitaine Ekarlatte; Dokoko; Dofus Pourpre; Vigoureux; Observateur; Remueur; Nomade; Muldo Prune et Doré</t>
        </is>
      </c>
    </row>
    <row r="24293">
      <c r="A24293" t="inlineStr">
        <is>
          <t>cri</t>
        </is>
      </c>
      <c r="B24293">
        <f>HYPERLINK("https://www.dofusbook.net/fr/equipement/2097040-cri/objets", "link")</f>
        <v/>
      </c>
      <c r="C24293" t="n">
        <v>0</v>
      </c>
      <c r="D24293" t="inlineStr">
        <is>
          <t>Amulette du Renouveau; Bracelet du Chef Bwork; Anneau du Meulou; Cacture; Solomonk; Capterre; Bottes Harry</t>
        </is>
      </c>
    </row>
    <row r="24294">
      <c r="A24294" t="inlineStr">
        <is>
          <t>terrepoiu</t>
        </is>
      </c>
      <c r="B24294">
        <f>HYPERLINK("https://www.dofusbook.net/fr/equipement/2096905-terrepoiu/objets", "link")</f>
        <v/>
      </c>
      <c r="C24294" t="n">
        <v>0</v>
      </c>
      <c r="D24294" t="inlineStr">
        <is>
          <t>Clef à Molette; Amulette du Gorgouille; Gelano; Gantelet du Gorgouille; Pagne du Muloubar; Coiffe du Muloubar; Cape du Muloubar; Bottes du Gorgouille; Dokoko; Dofus Pourpre; Dofus Émeraude; Dolmanax; Pousseur; Bousculeur; Muldo Doré et Amande</t>
        </is>
      </c>
    </row>
    <row r="24295">
      <c r="A24295" t="inlineStr">
        <is>
          <t>reaseau</t>
        </is>
      </c>
      <c r="B24295">
        <f>HYPERLINK("https://www.dofusbook.net/fr/equipement/2088538-reaseau/objets", "link")</f>
        <v/>
      </c>
      <c r="C24295" t="n">
        <v>0</v>
      </c>
      <c r="D24295" t="inlineStr">
        <is>
          <t>La Baguette des Limbes; Amulette du Renouveau; Anneau du Meulou; Anneau de Fraktale; Le Karde Cœur; Ceinture de Fraktale; Solomonk; Cape Cérémoniale du Seigneur des Rats; Tongues du dimanche du Chêne Mou; Dofus Pourpre; Dokoko; Dolmanax; Vigoureux; Remueur; Nomade</t>
        </is>
      </c>
    </row>
    <row r="24296">
      <c r="A24296" t="inlineStr">
        <is>
          <t>multi</t>
        </is>
      </c>
      <c r="B24296">
        <f>HYPERLINK("https://www.dofusbook.net/fr/equipement/2092714-multi/objets", "link")</f>
        <v/>
      </c>
      <c r="C24296" t="n">
        <v>0</v>
      </c>
      <c r="D24296" t="inlineStr">
        <is>
          <t>Dagues du Dragoeuf; Amulette du Renouveau; Bracelet du Chef Bwork; Anneau du Meulou; Bouclier du Sadida; Ceinture du Capitaine Ekarlatte; Solomonk; Caracape Minotoris; Bottes du Capitaine Ekarlatte; Dokoko; Dofus Pourpre; Observateur; Remueur; Nomade; Vigoureux; Muldo Prune et Doré</t>
        </is>
      </c>
    </row>
    <row r="24297">
      <c r="A24297" t="inlineStr">
        <is>
          <t>cac</t>
        </is>
      </c>
      <c r="B24297">
        <f>HYPERLINK("https://www.dofusbook.net/fr/equipement/2092702-cac/objets", "link")</f>
        <v/>
      </c>
      <c r="C24297" t="n">
        <v>0</v>
      </c>
      <c r="D24297" t="inlineStr">
        <is>
          <t>Epée du Dragoeuf; Amulette du Dragoeuf; Anneau du Meulou; Bracelet du Chef Bwork; Bouclier du Sadida; Cacture; Solomonk; Capterre; Bottes Harry; Dolmanax; Dofus Pourpre; Remueur; Nomade; Observateur; Vigoureux</t>
        </is>
      </c>
    </row>
    <row r="24298">
      <c r="A24298" t="inlineStr">
        <is>
          <t>xdj</t>
        </is>
      </c>
      <c r="B24298">
        <f>HYPERLINK("https://www.dofusbook.net/fr/equipement/2052668-xdj/objets", "link")</f>
        <v/>
      </c>
      <c r="C24298" t="n">
        <v>0</v>
      </c>
      <c r="D24298" t="inlineStr">
        <is>
          <t>Marteau du Juge Lou; Porte-Malheur du Nowel Cauchemardesque; Alliance d'Elya Wood; Gelano; Bouclier du Mont Kipou; Puissante Ceinture Fulgurante; Casque Dragoeuf; Caracape Minotoris; Bottes du Minotoror; Dokoko; Dofus Émeraude; Miraculé majeur; Remueur; Carapace Eau majeur; Carapace Air majeur; Brâkarien</t>
        </is>
      </c>
    </row>
    <row r="24299">
      <c r="A24299" t="inlineStr">
        <is>
          <t>xdezsd</t>
        </is>
      </c>
      <c r="B24299">
        <f>HYPERLINK("https://www.dofusbook.net/fr/equipement/2061613-xdezsd/objets", "link")</f>
        <v/>
      </c>
      <c r="C24299" t="n">
        <v>0</v>
      </c>
      <c r="D24299" t="inlineStr">
        <is>
          <t>Les Dagues du Bouwin; Collier Cérémonial du Seigneur des Rats; Anneau du Meulou; Gelano; Coupe de Dragokart; Ceinture Claire en Abrakleur; Solomonk; Cape Cérémoniale du Seigneur des Rats; Gruchaussures; Dolmanax; Dofus Émeraude; Dofus Pourpre; Remueur; Nomade; Vigoureux; Muldo Roux et Doré</t>
        </is>
      </c>
    </row>
    <row r="24300">
      <c r="A24300" t="inlineStr">
        <is>
          <t>cc3</t>
        </is>
      </c>
      <c r="B24300">
        <f>HYPERLINK("https://www.dofusbook.net/fr/equipement/1987126-cc3/objets", "link")</f>
        <v/>
      </c>
      <c r="C24300" t="n">
        <v>0</v>
      </c>
      <c r="D24300" t="inlineStr"/>
    </row>
    <row r="24301">
      <c r="A24301" t="inlineStr">
        <is>
          <t>air</t>
        </is>
      </c>
      <c r="B24301">
        <f>HYPERLINK("https://www.dofusbook.net/fr/equipement/1484181-air/objets", "link")</f>
        <v/>
      </c>
      <c r="C24301" t="n">
        <v>0</v>
      </c>
      <c r="D24301" t="inlineStr">
        <is>
          <t>Bâton Beau; Kralamansion; Gelano; Anneau de Padgref; Quatre-feuilles; Ceinture Hanium; Coiffe d'Ogivol; Cape du Glourséleste; Getas de Padgref; Dofus Pourpre; Dofus Turquoise; Dofus Ocre; Nomade; Remueur; Vigoureux majeur; Muldo Prune et Doré</t>
        </is>
      </c>
    </row>
    <row r="24302">
      <c r="A24302" t="inlineStr">
        <is>
          <t>testogi</t>
        </is>
      </c>
      <c r="B24302">
        <f>HYPERLINK("https://www.dofusbook.net/fr/equipement/1909387-testogi/objets", "link")</f>
        <v/>
      </c>
      <c r="C24302" t="n">
        <v>0</v>
      </c>
      <c r="D24302" t="inlineStr">
        <is>
          <t>Bâton Beau; Kralamansion; Bague Gloursonne; Alliance de Missiz Frizz; Ceinture Hanium; Coiffe de Padgref; Voile d'encre; Getas de Padgref; Dofus Turquoise; Dofus Ocre; Dofus Pourpre; Vigoureux majeur; Nomade; Muldo Prune et Doré</t>
        </is>
      </c>
    </row>
    <row r="24303">
      <c r="A24303" t="inlineStr">
        <is>
          <t>centnontent</t>
        </is>
      </c>
      <c r="B24303">
        <f>HYPERLINK("https://www.dofusbook.net/fr/equipement/1864356-centnontent/objets", "link")</f>
        <v/>
      </c>
      <c r="C24303" t="n">
        <v>0</v>
      </c>
      <c r="D24303" t="inlineStr">
        <is>
          <t>Epée Gloursonne; Kralamansion; Alliance Gloursonne; Bague Gloursonne; Quatre-feuilles; Ceinture d'Ogivol; Coiffe d'Ogivol; Cape d'Ogivol; Bottines Hodore; Dofus Turquoise; Dofus Ocre; Dofus Pourpre; Initiateur majeur; Puissant majeur; Voyageur; Dragodinde Prune et Emeraude</t>
        </is>
      </c>
    </row>
    <row r="24304">
      <c r="A24304" t="inlineStr">
        <is>
          <t>fulleau</t>
        </is>
      </c>
      <c r="B24304">
        <f>HYPERLINK("https://www.dofusbook.net/fr/equipement/1893007-fulleau/objets", "link")</f>
        <v/>
      </c>
      <c r="C24304" t="n">
        <v>0</v>
      </c>
      <c r="D24304" t="inlineStr">
        <is>
          <t>Amulette de Grozilla; Anneau Nobstant; Bague Moutheuze; Ceinture Phossile; Couronne du Mansot Royal; Cape Phossile; Bottes Hoktone; Dévastateur Eau majeur; Vigoureux majeur; Joueur majeur; Nomade; Chanceux majeur; Remueur</t>
        </is>
      </c>
    </row>
    <row r="24305">
      <c r="A24305" t="inlineStr">
        <is>
          <t>pui</t>
        </is>
      </c>
      <c r="B24305">
        <f>HYPERLINK("https://www.dofusbook.net/fr/equipement/1881414-pui/objets", "link")</f>
        <v/>
      </c>
      <c r="C24305" t="n">
        <v>0</v>
      </c>
      <c r="D24305" t="inlineStr">
        <is>
          <t>Marteau de Katrepat; Amulette du Strigide; Bracelet du Piloztère; Alliance Gloursonne; Ceinture de l'Indicible; Coiffe du Lévitrof; Voile d'encre; Bottes du Strigide; Dofus Pourpre; Dofus Ocre; Dolmanax; Nomade; Remueur; Vigoureux majeur</t>
        </is>
      </c>
    </row>
    <row r="24306">
      <c r="A24306" t="inlineStr">
        <is>
          <t>ccccc</t>
        </is>
      </c>
      <c r="B24306">
        <f>HYPERLINK("https://www.dofusbook.net/fr/equipement/1881371-ccccc/objets", "link")</f>
        <v/>
      </c>
      <c r="C24306" t="n">
        <v>0</v>
      </c>
      <c r="D24306" t="inlineStr"/>
    </row>
    <row r="24307">
      <c r="A24307" t="inlineStr">
        <is>
          <t>nul</t>
        </is>
      </c>
      <c r="B24307">
        <f>HYPERLINK("https://www.dofusbook.net/fr/equipement/1878594-nul/objets", "link")</f>
        <v/>
      </c>
      <c r="C24307" t="n">
        <v>0</v>
      </c>
      <c r="D24307" t="inlineStr">
        <is>
          <t>Amulette de l'Orfélin; Bague Moutheuze; Anneau des Prophètes; Bouclier Aerdala; Ceinture de Grozilla; Coiffe de l'Orfélin; Cape des Matougarous; Bottes du Nowel Cauchemardesque; Dofus Cawotte; Temporiseur; Temporiseur majeur; Ralentisseur majeur; Remueur; Entraveur majeur</t>
        </is>
      </c>
    </row>
    <row r="24308">
      <c r="A24308" t="inlineStr">
        <is>
          <t>deuxcent</t>
        </is>
      </c>
      <c r="B24308">
        <f>HYPERLINK("https://www.dofusbook.net/fr/equipement/1877636-deuxcent/objets", "link")</f>
        <v/>
      </c>
      <c r="C24308" t="n">
        <v>0</v>
      </c>
      <c r="D24308" t="inlineStr">
        <is>
          <t>Marteau R'ture; Collier de la Dame du Hasard; Pikano; Anneau Tamie; Bouclier cubiste; Ceinture Instable; Couronne de Nidas; Cape de Léthaline; Pikottes; Dofus Ocre; Temporiseur; Temporiseur majeur; Ralentisseur majeur; Remueur; Entraveur majeur; Drakopin</t>
        </is>
      </c>
    </row>
    <row r="24309">
      <c r="A24309" t="inlineStr">
        <is>
          <t>vita</t>
        </is>
      </c>
      <c r="B24309">
        <f>HYPERLINK("https://www.dofusbook.net/fr/equipement/1874182-vita/objets", "link")</f>
        <v/>
      </c>
      <c r="C24309" t="n">
        <v>0</v>
      </c>
      <c r="D24309" t="inlineStr">
        <is>
          <t>Héqache; Amulette du Strigide; Anneau Crustique; Bracelet du Piloztère; Roncier; Ceintacé; Casque Dragoeuf; Cape d'Anerice; Bottes du Strigide; Dofus Émeraude; Carapace Terre majeur; Miraculé majeur; Carapace Neutre majeur; Carapace Feu majeur; Remueur; Muldo Ebène et Pourpre</t>
        </is>
      </c>
    </row>
    <row r="24310">
      <c r="A24310" t="inlineStr">
        <is>
          <t>dagues</t>
        </is>
      </c>
      <c r="B24310">
        <f>HYPERLINK("https://www.dofusbook.net/fr/equipement/1867715-dagues/objets", "link")</f>
        <v/>
      </c>
      <c r="C24310" t="n">
        <v>0</v>
      </c>
      <c r="D24310" t="inlineStr">
        <is>
          <t>Dagues Érhy; Amulette du Strigide; Bracelet du Piloztère; Bague Gloursonne; Ceinture du Strigide; Chapeau de Gein; Voile d'encre; Bottes du Cycloïde</t>
        </is>
      </c>
    </row>
    <row r="24311">
      <c r="A24311" t="inlineStr">
        <is>
          <t>dorabora</t>
        </is>
      </c>
      <c r="B24311">
        <f>HYPERLINK("https://www.dofusbook.net/fr/equipement/1864626-dorabora/objets", "link")</f>
        <v/>
      </c>
      <c r="C24311" t="n">
        <v>0</v>
      </c>
      <c r="D24311" t="inlineStr">
        <is>
          <t>La Baguette des Limbes; Amulette du Krokilleur; Bague Moutheuze; Anneau Xélomorphe; Ceintruche; Coiffe du Royalmouth; Cape Xélomorphe; Bottes du Wabbit Céphale</t>
        </is>
      </c>
    </row>
    <row r="24312">
      <c r="A24312" t="inlineStr">
        <is>
          <t>centnonte</t>
        </is>
      </c>
      <c r="B24312">
        <f>HYPERLINK("https://www.dofusbook.net/fr/equipement/1864388-centnonte/objets", "link")</f>
        <v/>
      </c>
      <c r="C24312" t="n">
        <v>0</v>
      </c>
      <c r="D24312" t="inlineStr">
        <is>
          <t>Bâton Beau; Kralamansion; Bague Gloursonne; Anneau de Padgref; Ceinture Hanium; Casque de Missiz Frizz; Voile d'encre; Getas de Padgref; Dofus Ocre; Dofus Pourpre; Dofus Turquoise; Remueur; Vigoureux majeur; Nomade; Muldo Prune et Doré</t>
        </is>
      </c>
    </row>
    <row r="24313">
      <c r="A24313" t="inlineStr">
        <is>
          <t>cent nonente</t>
        </is>
      </c>
      <c r="B24313">
        <f>HYPERLINK("https://www.dofusbook.net/fr/equipement/1864335-cent-nonente/objets", "link")</f>
        <v/>
      </c>
      <c r="C24313" t="n">
        <v>0</v>
      </c>
      <c r="D24313" t="inlineStr">
        <is>
          <t>Baguette Hernelle; Amulette d'Otomaï; Bague Gloursonne; Anneau de Padgref; Bivalve; Ceinture du Comte Razof; Coiffe de Padgref; Cape de Nileza; Getas de Padgref; Dofus Pourpre; Dofus Turquoise; Soigneur majeur; Saccageur Feu majeur; Docteur majeur; Savant majeur; Muldo Prune et Emeraude</t>
        </is>
      </c>
    </row>
    <row r="24314">
      <c r="A24314" t="inlineStr">
        <is>
          <t>retttt</t>
        </is>
      </c>
      <c r="B24314">
        <f>HYPERLINK("https://www.dofusbook.net/fr/equipement/1864226-retttt/objets", "link")</f>
        <v/>
      </c>
      <c r="C24314" t="n">
        <v>0</v>
      </c>
      <c r="D24314" t="inlineStr">
        <is>
          <t>La Baguette des Limbes; Amulette du Glourséleste; Pikano; Anneau Vicieux; Bouclier cubiste; Ceinture Glaciale; Casquipik; Cape Tif; Pantoufles Émar; Dofus Cawotte; Temporiseur; Temporiseur majeur; Ralentisseur majeur; Remueur; Entraveur majeur; Dragodinde Amande</t>
        </is>
      </c>
    </row>
    <row r="24315">
      <c r="A24315" t="inlineStr">
        <is>
          <t>ret pm</t>
        </is>
      </c>
      <c r="B24315">
        <f>HYPERLINK("https://www.dofusbook.net/fr/equipement/1726784-ret-pm/objets", "link")</f>
        <v/>
      </c>
      <c r="C24315" t="n">
        <v>0</v>
      </c>
      <c r="D24315" t="inlineStr">
        <is>
          <t>Hachoirs de Viandargh; Amulette du Glourséleste; Gelano; Anneau Instable; Bouclier cubiste; Ceinture Instable; Coiffe d'Ogivol; Cape Tif; Pantoufles Émar; Dofus Cawotte; Entraveur majeur; Temporiseur; Ralentisseur majeur; Remueur; Temporiseur majeur; Dragodinde Prune et Emeraude</t>
        </is>
      </c>
    </row>
    <row r="24316">
      <c r="A24316" t="inlineStr">
        <is>
          <t>Stuff 1</t>
        </is>
      </c>
      <c r="B24316">
        <f>HYPERLINK("https://www.dofusbook.net/fr/equipement/659776-stuff-1/objets", "link")</f>
        <v/>
      </c>
      <c r="C24316" t="n">
        <v>0</v>
      </c>
      <c r="D24316" t="inlineStr">
        <is>
          <t>Griffe Pourpre; Col de Ush; Anneau Nobstant; Gelano; Bouclier Taverne; Ceinture de XLII; Masque Vaudou Tam; Cape Phossile; Bottes Phossiles; Dofus Ocre; Dofus Pourpre; Dofus Turquoise; Nomade; Remueur; Vigoureux majeur; Muldo Prune et Doré</t>
        </is>
      </c>
    </row>
    <row r="24317">
      <c r="A24317" t="inlineStr">
        <is>
          <t>sans pano</t>
        </is>
      </c>
      <c r="B24317">
        <f>HYPERLINK("https://www.dofusbook.net/fr/equipement/1777961-sans-pano/objets", "link")</f>
        <v/>
      </c>
      <c r="C24317" t="n">
        <v>0</v>
      </c>
      <c r="D24317" t="inlineStr">
        <is>
          <t>Baguette Hernelle; Amulette du Strigide; Bracelet du Piloztère; Bague Gloursonne; Ceinture du Strigide; Coiffe Séculaire; Cape d'Atcham; Getas de Padgref; Dofus Pourpre; Dofus Turquoise; Érudit majeur; Vigoureux majeur; Dévastateur Feu majeur; Remueur</t>
        </is>
      </c>
    </row>
    <row r="24318">
      <c r="A24318" t="inlineStr">
        <is>
          <t>pano</t>
        </is>
      </c>
      <c r="B24318">
        <f>HYPERLINK("https://www.dofusbook.net/fr/equipement/1777955-pano/objets", "link")</f>
        <v/>
      </c>
      <c r="C24318" t="n">
        <v>0</v>
      </c>
      <c r="D24318" t="inlineStr">
        <is>
          <t>Baguette Hernelle; Amulette du Strigide; Anneau de Padgref; Bague Gloursonne; Ceinture du Strigide; Coiffe de Padgref; Cape Hiculteur; Getas de Padgref; Dofus Turquoise; Dofus Ocre; Dofus Pourpre; Saccageur Feu majeur; Savant majeur</t>
        </is>
      </c>
    </row>
    <row r="24319">
      <c r="A24319" t="inlineStr">
        <is>
          <t>cent 150</t>
        </is>
      </c>
      <c r="B24319">
        <f>HYPERLINK("https://www.dofusbook.net/fr/equipement/1774597-cent-150/objets", "link")</f>
        <v/>
      </c>
      <c r="C24319" t="n">
        <v>0</v>
      </c>
      <c r="D24319" t="inlineStr">
        <is>
          <t>Hache du Guerrier Zoth; Collier du Minotot; Anneau Tabéné; Gelano; String Automnal du Chêne Mou; Koinkoiffe Rose; Puissante Cape Fulgurante; Bottes du Nowel Cauchemardesque; Dofus Pourpre; Nomade; Vigoureux majeur; Miraculé majeur; Remueur; Dragodinde Prune et Emeraude</t>
        </is>
      </c>
    </row>
    <row r="24320">
      <c r="A24320" t="inlineStr">
        <is>
          <t>vomimule</t>
        </is>
      </c>
      <c r="B24320">
        <f>HYPERLINK("https://www.dofusbook.net/fr/equipement/1454068-vomimule/objets", "link")</f>
        <v/>
      </c>
      <c r="C24320" t="n">
        <v>0</v>
      </c>
      <c r="D24320" t="inlineStr">
        <is>
          <t>Torque Ancestral; Anneau Ancestral; Abrature Ancestrale; Abracaska Ancestral; Abracapa Ancestrale; Protège-Tibias Ancestraux</t>
        </is>
      </c>
    </row>
    <row r="24321">
      <c r="A24321" t="inlineStr">
        <is>
          <t>Stuff 1</t>
        </is>
      </c>
      <c r="B24321">
        <f>HYPERLINK("https://www.dofusbook.net/fr/equipement/659782-stuff-1/objets", "link")</f>
        <v/>
      </c>
      <c r="C24321" t="n">
        <v>0</v>
      </c>
      <c r="D24321" t="inlineStr">
        <is>
          <t>Dagues de Srambad; Amulette du Piloztère; Alliance Gloursonne; Bracelet du Piloztère; Ceinture de la Reine des Voleurs; Coiffe de la Reine des Voleurs; Cape des Justiciers; Pantoufles du Piloztère; Dofus Ocre; Dofus Émeraude; Dofus des Glaces; Survivant majeur; Fortification majeure; Bastion majeur; Dragodinde Emeraude et Rousse</t>
        </is>
      </c>
    </row>
    <row r="24322">
      <c r="A24322" t="inlineStr">
        <is>
          <t>Stuff 3</t>
        </is>
      </c>
      <c r="B24322">
        <f>HYPERLINK("https://www.dofusbook.net/fr/equipement/659790-stuff-3/objets", "link")</f>
        <v/>
      </c>
      <c r="C24322" t="n">
        <v>0</v>
      </c>
      <c r="D24322" t="inlineStr">
        <is>
          <t>Couteaux à Champignons; Kralamansion; Annolamour; Kralano; Bouclier de Solar; Ceinture Rasboulaire du Rasboul; Chapignon; Voile d'encre; Sandales Circulaires du Kimbo</t>
        </is>
      </c>
    </row>
    <row r="24323">
      <c r="A24323" t="inlineStr">
        <is>
          <t>Stuff 3</t>
        </is>
      </c>
      <c r="B24323">
        <f>HYPERLINK("https://www.dofusbook.net/fr/equipement/659784-stuff-3/objets", "link")</f>
        <v/>
      </c>
      <c r="C24323" t="n">
        <v>1</v>
      </c>
      <c r="D24323" t="inlineStr">
        <is>
          <t>Marteau des Anciens Steamers; Talisman Glouti; Alliance Gloursonne; Anneau Tique; Ceinture du Barbétoal; Casque Dragoeuf; Voile d'encre; Baleinabottes; Dolmanax; Dofus Vulbis; Dofus des Glaces; Dofus Émeraude; Dofus Ocre; Survivant majeur; Cromeugnon</t>
        </is>
      </c>
    </row>
    <row r="24324">
      <c r="A24324" t="inlineStr">
        <is>
          <t>Stuff 2</t>
        </is>
      </c>
      <c r="B24324">
        <f>HYPERLINK("https://www.dofusbook.net/fr/equipement/659789-stuff-2/objets", "link")</f>
        <v/>
      </c>
      <c r="C24324" t="n">
        <v>0</v>
      </c>
      <c r="D24324" t="inlineStr">
        <is>
          <t>Ougarteau; Kralamansion; Gelano; Anneau Bliteré; Ceinture Toré; Casque Harnage; Cape du Minotot; Bottes Répané</t>
        </is>
      </c>
    </row>
    <row r="24325">
      <c r="A24325" t="inlineStr">
        <is>
          <t>Stuff 2</t>
        </is>
      </c>
      <c r="B24325">
        <f>HYPERLINK("https://www.dofusbook.net/fr/equipement/659783-stuff-2/objets", "link")</f>
        <v/>
      </c>
      <c r="C24325" t="n">
        <v>0</v>
      </c>
      <c r="D24325" t="inlineStr">
        <is>
          <t>Marteau des Anciens Steamers; Amulette du Strigide; Alliance Gloursonne; Bracelet du Piloztère; Ceinture du Barbétoal; Casque Dragoeuf; Voile d'encre; Baleinabottes; Dofus Émeraude; Carapace Air majeur; Miraculé majeur; Remueur; Carapace Eau majeur; Nomade; Péki</t>
        </is>
      </c>
    </row>
    <row r="24326">
      <c r="A24326" t="inlineStr">
        <is>
          <t>12/6 DameGloursSécu</t>
        </is>
      </c>
      <c r="B24326">
        <f>HYPERLINK("https://www.dofusbook.net/fr/equipement/3291141-12-6-dameglourssecu/objets", "link")</f>
        <v/>
      </c>
      <c r="C24326" t="n">
        <v>7</v>
      </c>
      <c r="D24326" t="inlineStr">
        <is>
          <t>Baguette Hique; Collier de la Dame du Hasard; Alliance Gloursonne; Bague Gloursonne; Bouclier cubiste; Ceinture Séculaire; Coiffe Séculaire; Cape de la Dame du Hasard; Bottes de la Dame du Hasard; Dofus Turquoise; Dofus Ivoire; Dofus Vulbis; Dofus Ocre; Dofus des Glaces; Dofus Abyssal; Volkorne Emeraude et Turquoise</t>
        </is>
      </c>
    </row>
    <row r="24327">
      <c r="A24327" t="inlineStr">
        <is>
          <t>Agi PvM</t>
        </is>
      </c>
      <c r="B24327">
        <f>HYPERLINK("https://www.dofusbook.net/fr/equipement/3062821-agi-pvm/objets", "link")</f>
        <v/>
      </c>
      <c r="C24327" t="n">
        <v>1</v>
      </c>
      <c r="D24327" t="inlineStr">
        <is>
          <t>Manthache; Collier du Valet Veinard; Gant du Valet Veinard; Alliance Gloursonne; Bouclier du Stalak; Menoture; Couronne d'Allister; Cape Indescriptible; Palmes Trithons; Dofus Abyssal; Dofus Ivoire; Dofus Ébène; Cascadeur majeur; Remueur; Nomade; Blérodoudou</t>
        </is>
      </c>
    </row>
    <row r="24328">
      <c r="A24328" t="inlineStr">
        <is>
          <t>Force</t>
        </is>
      </c>
      <c r="B24328">
        <f>HYPERLINK("https://www.dofusbook.net/fr/equipement/5957311-force/objets", "link")</f>
        <v/>
      </c>
      <c r="C24328" t="n">
        <v>0</v>
      </c>
      <c r="D24328" t="inlineStr">
        <is>
          <t>Marteau R'ture; Collier de Tourthon; Bracelet du Piloztère; Anneau Crustique; Quatre-feuilles; Ceinture Volkorne; Masque de Koutoulou; Cape au Logis; Baleinabottes; Dofus des Glaces; Dofus Ivoire; Dofus Ébène; Dofus Abyssal; Étourdisseur majeur; Enragé majeur; Bulbisou</t>
        </is>
      </c>
    </row>
    <row r="24329">
      <c r="A24329" t="inlineStr">
        <is>
          <t>Multi PvM</t>
        </is>
      </c>
      <c r="B24329">
        <f>HYPERLINK("https://www.dofusbook.net/fr/equipement/575858-multi-pvm/objets", "link")</f>
        <v/>
      </c>
      <c r="C24329" t="n">
        <v>1</v>
      </c>
      <c r="D24329" t="inlineStr">
        <is>
          <t>Marteau des égarés; Amulette Ementaire Deluxe; Bague Gloursonne; Alliance Gloursonne; Quatre-feuilles; Ceinture de la Reine des Voleurs; Coiffe de la Reine des Voleurs; Voile d'encre; Bottes de la Reine des Voleurs; Dofus Abyssal; Dofus Turquoise; Dofus Ivoire; Dofus Ébène; Dofus Ocre; Dofus Vulbis; Volkorne Emeraude et Turquoise</t>
        </is>
      </c>
    </row>
    <row r="24330">
      <c r="A24330" t="inlineStr">
        <is>
          <t>Agi Tank</t>
        </is>
      </c>
      <c r="B24330">
        <f>HYPERLINK("https://www.dofusbook.net/fr/equipement/3062780-agi-tank/objets", "link")</f>
        <v/>
      </c>
      <c r="C24330" t="n">
        <v>0</v>
      </c>
      <c r="D24330" t="inlineStr">
        <is>
          <t>Manthache; Collier du Valet Veinard; Alliance Gloursonne; Gant du Valet Veinard; Bouclier du Stalak; Menoture; Casque Dragoeuf; Cape Indescriptible; Palmes Trithons; Dofus Ivoire; Dofus Émeraude; Dofus Abyssal; Remueur; Obstructeur majeur; Cascadeur majeur; Muldo Ebène</t>
        </is>
      </c>
    </row>
    <row r="24331">
      <c r="A24331" t="inlineStr">
        <is>
          <t>Ret PM V2</t>
        </is>
      </c>
      <c r="B24331">
        <f>HYPERLINK("https://www.dofusbook.net/fr/equipement/5812691-ret-pm-v2/objets", "link")</f>
        <v/>
      </c>
      <c r="C24331" t="n">
        <v>1</v>
      </c>
      <c r="D24331" t="inlineStr">
        <is>
          <t>Baguette Hique; Amulette des Chocomanciens; Alliance Gloursonne; Anneau Tamie; Bouclier cubiste; Ceinture des Chocomanciens; Boucle d'oreille de Kongoku; Cape de l'Œil Putride; Bottes Lunaires; Dofus Ocre; Dofus Abyssal; Dofus Vulbis; Entraveur majeur; Ralentisseur majeur; Temporiseur majeur; Volkorne Turquoise</t>
        </is>
      </c>
    </row>
    <row r="24332">
      <c r="A24332" t="inlineStr">
        <is>
          <t>Do pou bis</t>
        </is>
      </c>
      <c r="B24332">
        <f>HYPERLINK("https://www.dofusbook.net/fr/equipement/3653164-do-pou-bis/objets", "link")</f>
        <v/>
      </c>
      <c r="C24332" t="n">
        <v>1</v>
      </c>
      <c r="D24332" t="inlineStr">
        <is>
          <t>Hachoirs de Viandargh; Torquistik; Baguistik; Bague Trithon; Bivalve; Ceinture Luminescente; Masque du Barbétoal; Cape Luminescente; Bottistik; Dofus Ivoire; Dofus Ocre; Dofus Vulbis; Bousculeur; Bousculeur majeur; Pousseur majeur; Volkorne Emeraude et Roux</t>
        </is>
      </c>
    </row>
    <row r="24333">
      <c r="A24333" t="inlineStr">
        <is>
          <t>Do pou</t>
        </is>
      </c>
      <c r="B24333">
        <f>HYPERLINK("https://www.dofusbook.net/fr/equipement/1320714-do-pou/objets", "link")</f>
        <v/>
      </c>
      <c r="C24333" t="n">
        <v>2</v>
      </c>
      <c r="D24333" t="inlineStr">
        <is>
          <t>Hachoirs de Viandargh; Torquistik; Bague Trithon; Bague Instable; Bouclier précieux; Ceinture Gence; Casque Dragoeuf; Cape du Cœur Vaillant; Bottistik; Dofus Vulbis; Pousseur majeur; Bousculeur majeur; Bousculeur; Culbuteur; Culbuteur majeur; Volkorne Emeraude et Roux</t>
        </is>
      </c>
    </row>
    <row r="24334">
      <c r="A24334" t="inlineStr">
        <is>
          <t>Rox Multi</t>
        </is>
      </c>
      <c r="B24334">
        <f>HYPERLINK("https://www.dofusbook.net/fr/equipement/2305289-rox-multi/objets", "link")</f>
        <v/>
      </c>
      <c r="C24334" t="n">
        <v>0</v>
      </c>
      <c r="D24334" t="inlineStr">
        <is>
          <t>Arc Volkorne; Amulette du Strigide; Bracelet du Piloztère; Anneau Volkorne; Quatre-feuilles; Ceinture du Strigide; Casque Volkorne; Dofusteuse; Bottes du Strigide; Dofus Ivoire; Dofus Turquoise; Dofus Abyssal; Dofus Ébène; Dofus Vulbis; Dofus Ocre; Volkorne Emeraude et Roux</t>
        </is>
      </c>
    </row>
    <row r="24335">
      <c r="A24335" t="inlineStr">
        <is>
          <t>Intel Crit PvM</t>
        </is>
      </c>
      <c r="B24335">
        <f>HYPERLINK("https://www.dofusbook.net/fr/equipement/4117951-intel-crit-pvm/objets", "link")</f>
        <v/>
      </c>
      <c r="C24335" t="n">
        <v>1</v>
      </c>
      <c r="D24335" t="inlineStr">
        <is>
          <t>Marteau Phossile; Amulette Séculaire; Anneau de Padgref; Anneauræus; Quatre-feuilles; Ceinture Séculaire; Coiffe de Padgref; Cape de Diondin; Getas de Padgref; Dofus Turquoise; Dofus des Glaces; Dofus Pourpre; Dofus Abyssal; Dofus Vulbis; Dofus Nébuleux; Pioute rouge</t>
        </is>
      </c>
    </row>
    <row r="24336">
      <c r="A24336" t="inlineStr">
        <is>
          <t>Tank</t>
        </is>
      </c>
      <c r="B24336">
        <f>HYPERLINK("https://www.dofusbook.net/fr/equipement/3487996-tank/objets", "link")</f>
        <v/>
      </c>
      <c r="C24336" t="n">
        <v>2</v>
      </c>
      <c r="D24336" t="inlineStr">
        <is>
          <t>Lav'Hache; Amulette Ementaire Deluxe; Anneau de Pol Ouatnos; Alliance Gloursonne; Droiture de Fallanster; Ceinture Gence; Casque Dragoeuf; Voile d'encre; Baleinabottes; Dofus Émeraude; Dofus Abyssal; Dofus Forgelave; Dofus Ivoire; Dofus Ébène; Miraculé majeur; Titard</t>
        </is>
      </c>
    </row>
    <row r="24337">
      <c r="A24337" t="inlineStr">
        <is>
          <t>Nouveau RetMax</t>
        </is>
      </c>
      <c r="B24337">
        <f>HYPERLINK("https://www.dofusbook.net/fr/equipement/5556490-nouveau-retmax/objets", "link")</f>
        <v/>
      </c>
      <c r="C24337" t="n">
        <v>4</v>
      </c>
      <c r="D24337" t="inlineStr">
        <is>
          <t>Marteau R'ture; Amulette des Chocomanciens; Anneau Tamie; Anneau Tamie; Bouclier cubiste; Ceinture des Chocomanciens; Boucle d'oreille de Kongoku; Cape de l'Œil Putride; Bottes Lunaires; Remueur; Temporiseur majeur; Entraveur; Entraveur majeur; Nomade; Ralentisseur majeur; Volkorne Turquoise</t>
        </is>
      </c>
    </row>
    <row r="24338">
      <c r="A24338" t="inlineStr">
        <is>
          <t>Crocobur pvm</t>
        </is>
      </c>
      <c r="B24338">
        <f>HYPERLINK("https://www.dofusbook.net/fr/equipement/4236018-crocobur-pvm/objets", "link")</f>
        <v/>
      </c>
      <c r="C24338" t="n">
        <v>5</v>
      </c>
      <c r="D24338" t="inlineStr">
        <is>
          <t>Crocobur; Amulette du Cœur Saignant; Alliance Gloursonne; Anneau Volkorne; Droiture de Fallanster; Ceinture Volkorne; Casque Volkorne; Cape du Cœur Saignant; Bottes du Cœur Saignant; Dofus Ocre; Dofus Ébène; Dofus des Glaces; Dofus Abyssal; Dofus Turquoise; Dofus Ivoire; Fëanor</t>
        </is>
      </c>
    </row>
    <row r="24339">
      <c r="A24339" t="inlineStr">
        <is>
          <t>iop</t>
        </is>
      </c>
      <c r="B24339">
        <f>HYPERLINK("https://www.dofusbook.net/fr/equipement/5535642-iop/objets", "link")</f>
        <v/>
      </c>
      <c r="C24339" t="n">
        <v>1</v>
      </c>
      <c r="D24339" t="inlineStr">
        <is>
          <t>Crocobur; Amulette du Cœur Saignant; Alliance Gloursonne; Anneau Volkorne; Droiture de Fallanster; Ceinture Volkorne; Casque Volkorne; Cape du Cœur Saignant; Bottes du Cœur Saignant; Dofus Ocre; Dofus Ivoire; Dofus Émeraude; Dofus Abyssal; Dofus Turquoise; Dofus Ébène; Volkorne Emeraude et Pourpre</t>
        </is>
      </c>
    </row>
    <row r="24340">
      <c r="A24340" t="inlineStr">
        <is>
          <t>Crocobur Saignant</t>
        </is>
      </c>
      <c r="B24340">
        <f>HYPERLINK("https://www.dofusbook.net/fr/equipement/4260903-crocobur-saignant/objets", "link")</f>
        <v/>
      </c>
      <c r="C24340" t="n">
        <v>8</v>
      </c>
      <c r="D24340" t="inlineStr">
        <is>
          <t>Crocobur; Amulette du Cœur Saignant; Anneau Volkorne; Alliance Gloursonne; Bouclier cubiste; Ceinture Volkorne; Casque Volkorne; Cape du Cœur Saignant; Bottes du Cœur Saignant; Dofus Turquoise; Dofus Ébène; Dofus Ocre; Dofus Ivoire; Dofus Émeraude; Dofus Abyssal; Volkorne Emeraude et Turquoise</t>
        </is>
      </c>
    </row>
    <row r="24341">
      <c r="A24341" t="inlineStr">
        <is>
          <t>Multi Ré Cri BR</t>
        </is>
      </c>
      <c r="B24341">
        <f>HYPERLINK("https://www.dofusbook.net/fr/equipement/2339537-multi-re-cri-br/objets", "link")</f>
        <v/>
      </c>
      <c r="C24341" t="n">
        <v>3</v>
      </c>
      <c r="D24341" t="inlineStr">
        <is>
          <t>Lance corrompue; Amulette Ementaire Deluxe; Goulano; Alliance Gloursonne; Goulclier; Ceinture de la Reine des Voleurs; Coiffe de la Reine des Voleurs; Voile d'encre; Bottes de la Reine des Voleurs; Dofus Vulbis; Dofus Ivoire; Dofus des Glaces; Dofus Abyssal; Dofus Ébène; Dofus Ocre; Kougnard</t>
        </is>
      </c>
    </row>
    <row r="24342">
      <c r="A24342" t="inlineStr">
        <is>
          <t>Multi</t>
        </is>
      </c>
      <c r="B24342">
        <f>HYPERLINK("https://www.dofusbook.net/fr/equipement/5287591-multi/objets", "link")</f>
        <v/>
      </c>
      <c r="C24342" t="n">
        <v>4</v>
      </c>
      <c r="D24342" t="inlineStr">
        <is>
          <t>Canne Harr; Amulette Volkorne; Anneau Volkorne; Anneau de Padgref; Quatre-feuilles; Ceinture Volkorne; Coiffe de Padgref; Chevelure de Tal Kasha; Getas de Padgref; Dofus Ocre; Dofus Ivoire; Dofus Turquoise; Dofus Ébène; Dofus des Glaces; Dofus Nébuleux; Volkorne Emeraude et Turquoise</t>
        </is>
      </c>
    </row>
    <row r="24343">
      <c r="A24343" t="inlineStr">
        <is>
          <t>Chance Fuite</t>
        </is>
      </c>
      <c r="B24343">
        <f>HYPERLINK("https://www.dofusbook.net/fr/equipement/1011476-chance-fuite/objets", "link")</f>
        <v/>
      </c>
      <c r="C24343" t="n">
        <v>10</v>
      </c>
      <c r="D24343" t="inlineStr">
        <is>
          <t>Sceptre du Roi Joueur; Amulette de l'Œil Attentif; Anneau du Kaniblou; Alliance Gloursonne; Cadran d'Air; Ceinture de l'Esprit Salvateur; Capuche de l'Œil Attentif; Cape de l'Œil Attentif; Bottes de l'Esprit Salvateur; Dofus Ocre; Dofus Ivoire; Dofus Abyssal; Dofus Vulbis; Dofus Ébène; Vagabond majeur; Volkorne Turquoise</t>
        </is>
      </c>
    </row>
    <row r="24344">
      <c r="A24344" t="inlineStr">
        <is>
          <t>Agi Crit</t>
        </is>
      </c>
      <c r="B24344">
        <f>HYPERLINK("https://www.dofusbook.net/fr/equipement/5248718-agi-crit/objets", "link")</f>
        <v/>
      </c>
      <c r="C24344" t="n">
        <v>12</v>
      </c>
      <c r="D24344" t="inlineStr">
        <is>
          <t>Lance Horselé; Amulette du Strigide; Anneau de Padgref; Alliance Gloursonne; Quatre-feuilles; Menoture; Coiffe de Padgref; Cape Indescriptible; Getas de Padgref; Dofus des Glaces; Dofus Ébène; Dofus Turquoise; Dofus Nébuleux; Dofus Vulbis; Dofus Ivoire; Pioute jaune</t>
        </is>
      </c>
    </row>
    <row r="24345">
      <c r="A24345" t="inlineStr">
        <is>
          <t>Force 12/6</t>
        </is>
      </c>
      <c r="B24345">
        <f>HYPERLINK("https://www.dofusbook.net/fr/equipement/3726019-force-12-6/objets", "link")</f>
        <v/>
      </c>
      <c r="C24345" t="n">
        <v>2</v>
      </c>
      <c r="D24345" t="inlineStr">
        <is>
          <t>Arc du Chalœil; Amulette du Kamasterisk; Bague Gloursonne; Anneau de Brouce; Bouclier du Stalak; Ceinture de la Reine des Voleurs; Coiffe de la Reine des Voleurs; Cape du Kamasterisk; Bottes du Kamasterisk; Dofus des Glaces; Dofus Abyssal; Dofus Vulbis; Dofus Ivoire; Dofus Pourpre; Dofus Ocre; Kougnard</t>
        </is>
      </c>
    </row>
    <row r="24346">
      <c r="A24346" t="inlineStr">
        <is>
          <t>Force</t>
        </is>
      </c>
      <c r="B24346">
        <f>HYPERLINK("https://www.dofusbook.net/fr/equipement/3583558-force-/objets", "link")</f>
        <v/>
      </c>
      <c r="C24346" t="n">
        <v>2</v>
      </c>
      <c r="D24346" t="inlineStr">
        <is>
          <t>Arc du Chalœil; Collier de Tourthon; Anneau de Brouce; Bracelet du Piloztère; Bouclier du Stalak; Ceinture de la Reine des Voleurs; Coiffe de la Reine des Voleurs; Cape au Logis; Baleinabottes; Dofus Ivoire; Dofus Ocre; Dofus des Glaces; Dofus Abyssal; Dévastateur Terre majeur; Enragé majeur; Bulbisou</t>
        </is>
      </c>
    </row>
    <row r="24347">
      <c r="A24347" t="inlineStr">
        <is>
          <t>Full retrait</t>
        </is>
      </c>
      <c r="B24347">
        <f>HYPERLINK("https://www.dofusbook.net/fr/equipement/3954229-full-retrait/objets", "link")</f>
        <v/>
      </c>
      <c r="C24347" t="n">
        <v>2</v>
      </c>
      <c r="D24347" t="inlineStr">
        <is>
          <t>Dagoulinantes; Collier Rophante; Anneau Crustique; Anneau Crustique; Sept ans de malheur; Menoture; Masque Ardent; Cape d'Anerice; Chaussures Ardentes; Dofus Émeraude; Dofus Abyssal; Dofus Ivoire; Étourdisseur majeur; Engourdisseur majeur; Paralyseur majeur; Volkorne Ivoire</t>
        </is>
      </c>
    </row>
    <row r="24348">
      <c r="A24348" t="inlineStr">
        <is>
          <t>Crocobur</t>
        </is>
      </c>
      <c r="B24348">
        <f>HYPERLINK("https://www.dofusbook.net/fr/equipement/4165107-crocobur/objets", "link")</f>
        <v/>
      </c>
      <c r="C24348" t="n">
        <v>0</v>
      </c>
      <c r="D24348" t="inlineStr">
        <is>
          <t>Crocobur; Amulette du Cœur Saignant; Anneau Volkorne; Alliance Brûlâme; Bouclier cubiste; Ceinture Volkorne; Masque Brûlâme; Cape du Cœur Saignant; Bottes du Cœur Saignant; Dofus Ocre; Dofus Ivoire; Dofus des Glaces; Dofus Abyssal; Dofus Vulbis; Dofus Ébène; Kougnard</t>
        </is>
      </c>
    </row>
    <row r="24349">
      <c r="A24349" t="inlineStr">
        <is>
          <t>Chance Agi Tal K</t>
        </is>
      </c>
      <c r="B24349">
        <f>HYPERLINK("https://www.dofusbook.net/fr/equipement/2477629-chance-agi-tal-k/objets", "link")</f>
        <v/>
      </c>
      <c r="C24349" t="n">
        <v>2</v>
      </c>
      <c r="D24349" t="inlineStr">
        <is>
          <t>Arc de Koutoulou; Amulette du Strigide; Alliance Gloursonne; Bracelet du Piloztère; Quatre-feuilles; Ceinture du Strigide; Némès de Tal Kasha; Chevelure de Tal Kasha; Sandales de Tal Kasha; Dofus Ocre; Dofus Vulbis; Dofus Nébuleux; Dofus Ébène; Dofus Turquoise; Dofus Abyssal; Volkorne Emeraude et Turquoise</t>
        </is>
      </c>
    </row>
    <row r="24350">
      <c r="A24350" t="inlineStr">
        <is>
          <t>Intel fuite</t>
        </is>
      </c>
      <c r="B24350">
        <f>HYPERLINK("https://www.dofusbook.net/fr/equipement/2054796-intel-fuite/objets", "link")</f>
        <v/>
      </c>
      <c r="C24350" t="n">
        <v>3</v>
      </c>
      <c r="D24350" t="inlineStr">
        <is>
          <t>Arc corrompu; Amulette Martegel; Anneau de Nidas; Anneauræus; Bouclier cubiste; Ceinture Séculaire; Masquegel; Cape Martegel; Tongues de Nidas; Dofus Ébène; Dofus Ivoire; Dofus Ocre; Dofus Vulbis; Dofus Abyssal; Vagabond majeur; Kougnard</t>
        </is>
      </c>
    </row>
    <row r="24351">
      <c r="A24351" t="inlineStr">
        <is>
          <t>Agi valet poulpe</t>
        </is>
      </c>
      <c r="B24351">
        <f>HYPERLINK("https://www.dofusbook.net/fr/equipement/2473985-agi-valet-poulpe/objets", "link")</f>
        <v/>
      </c>
      <c r="C24351" t="n">
        <v>8</v>
      </c>
      <c r="D24351" t="inlineStr">
        <is>
          <t>Lance Horselé; Collier du Valet Veinard; Gant du Valet Veinard; Alliance Gloursonne; Sept ans de malheur; Ceintouse; Chapoulpe; Cape du Valet Veinard; Tentassons; Dofus Nébuleux; Dofus Ocre; Dofus Émeraude; Dofus Abyssal; Dofus Vulbis; Dofus Ivoire; Blérodoudou</t>
        </is>
      </c>
    </row>
    <row r="24352">
      <c r="A24352" t="inlineStr">
        <is>
          <t>Enutrof F 200</t>
        </is>
      </c>
      <c r="B24352">
        <f>HYPERLINK("https://www.dofusbook.net/fr/equipement/4147318-enutrof-f-200/objets", "link")</f>
        <v/>
      </c>
      <c r="C24352" t="n">
        <v>0</v>
      </c>
      <c r="D24352" t="inlineStr">
        <is>
          <t>Epée Gloursonne; Amulette du Strigide; Bague Gloursonne; Alliance Gloursonne; Quatre-feuilles; Ceinture du Strigide; Némès de Tal Kasha; Chevelure de Tal Kasha; Bottes du Strigide; Dofus Vulbis; Dofus des Glaces; Dofus Turquoise; Dofus Abyssal; Dofus Ocre; Dofus Ivoire; Kokulte</t>
        </is>
      </c>
    </row>
    <row r="24353">
      <c r="A24353" t="inlineStr">
        <is>
          <t>Intel Full Rox</t>
        </is>
      </c>
      <c r="B24353">
        <f>HYPERLINK("https://www.dofusbook.net/fr/equipement/4117837-intel-full-rox/objets", "link")</f>
        <v/>
      </c>
      <c r="C24353" t="n">
        <v>1</v>
      </c>
      <c r="D24353" t="inlineStr">
        <is>
          <t>Baguette Hernelle; Amulette Séculaire; Anneau Tamie; Anneau de Padgref; Quatre-feuilles; Ceinture Séculaire; Coiffe de Padgref; Cape de Diondin; Getas de Padgref; Dofus Pourpre; Dofus Abyssal; Dofus Vulbis; Dofus Nébuleux; Dofus Turquoise; Dofus des Glaces; Bisouglours</t>
        </is>
      </c>
    </row>
    <row r="24354">
      <c r="A24354" t="inlineStr">
        <is>
          <t>Intel Resis</t>
        </is>
      </c>
      <c r="B24354">
        <f>HYPERLINK("https://www.dofusbook.net/fr/equipement/1048272-intel-resis/objets", "link")</f>
        <v/>
      </c>
      <c r="C24354" t="n">
        <v>4</v>
      </c>
      <c r="D24354" t="inlineStr">
        <is>
          <t>Arc corrompu; Amulette de Nileza; Anneau Tique; Anneauræus; Bouclier du Stalak; Ceinture de Vortex; Casque Dragoeuf; Cape de Nileza; Chaussures Ardentes; Dofus Ivoire; Dofus Ocre; Dofus Abyssal; Dofus des Glaces; Dofus Vulbis; Remueur; Kougnard</t>
        </is>
      </c>
    </row>
    <row r="24355">
      <c r="A24355" t="inlineStr">
        <is>
          <t>Chance Ret</t>
        </is>
      </c>
      <c r="B24355">
        <f>HYPERLINK("https://www.dofusbook.net/fr/equipement/1048259-chance-ret/objets", "link")</f>
        <v/>
      </c>
      <c r="C24355" t="n">
        <v>5</v>
      </c>
      <c r="D24355" t="inlineStr">
        <is>
          <t>Sceptre du Roi Joueur; Amulette de Shokkoth; Bracelet des Fonds marins; Alliance Gloursonne; Bouclier du Stalak; Poulpagne; Némès de Tal Kasha; Chevelure de Tal Kasha; Pataugastrique; Dofus Abyssal; Dofus Ivoire; Dofus des Glaces; Dofus Vulbis; Chanceux majeur; Étourdisseur majeur; Kanigloups</t>
        </is>
      </c>
    </row>
    <row r="24356">
      <c r="A24356" t="inlineStr">
        <is>
          <t>Chance</t>
        </is>
      </c>
      <c r="B24356">
        <f>HYPERLINK("https://www.dofusbook.net/fr/equipement/4099392-chance/objets", "link")</f>
        <v/>
      </c>
      <c r="C24356" t="n">
        <v>2</v>
      </c>
      <c r="D24356" t="inlineStr">
        <is>
          <t>Sceptre du Roi Joueur; Amulette de Shokkoth; Alliance Gloursonne; Anneau Volkorne; Quatre-feuilles; Sangle Ouare; Némès de Tal Kasha; Chevelure de Tal Kasha; Pataugastrique; Dofus Ocre; Dofus des Glaces; Dofus Abyssal; Dofus Turquoise; Dofus Ivoire; Étourdisseur majeur; Kokulte</t>
        </is>
      </c>
    </row>
    <row r="24357">
      <c r="A24357" t="inlineStr">
        <is>
          <t>Agi valet poulpe</t>
        </is>
      </c>
      <c r="B24357">
        <f>HYPERLINK("https://www.dofusbook.net/fr/equipement/3918979-agi-valet-poulpe/objets", "link")</f>
        <v/>
      </c>
      <c r="C24357" t="n">
        <v>0</v>
      </c>
      <c r="D24357" t="inlineStr">
        <is>
          <t>Héqache; Collier du Valet Veinard; Gant du Valet Veinard; Alliance Gloursonne; Bouclier du Stalak; Ceintouse; Chapoulpe; Cape du Valet Veinard; Tentassons; Dofus des Glaces; Dofus Ivoire; Dofus Émeraude; Dofus Ocre; Dofus Vulbis; Dofus Abyssal; Volkorne Ivoire et Ebène</t>
        </is>
      </c>
    </row>
    <row r="24358">
      <c r="A24358" t="inlineStr">
        <is>
          <t>Full Agi</t>
        </is>
      </c>
      <c r="B24358">
        <f>HYPERLINK("https://www.dofusbook.net/fr/equipement/1196725-full-agi/objets", "link")</f>
        <v/>
      </c>
      <c r="C24358" t="n">
        <v>2</v>
      </c>
      <c r="D24358" t="inlineStr">
        <is>
          <t>Manthache; Collier du Valet Veinard; Alliance Gloursonne; Gant du Valet Veinard; Cadran d'Air; Menoture; Couronne d'Allister; Cape Martegel; Palmes Trithons; Dofus Ocre; Dofus Ivoire; Dofus Pourpre; Dofus Abyssal; Dofus Vulbis; Cascadeur majeur; Blérodoudou</t>
        </is>
      </c>
    </row>
    <row r="24359">
      <c r="A24359" t="inlineStr">
        <is>
          <t>Force Kamastérisk</t>
        </is>
      </c>
      <c r="B24359">
        <f>HYPERLINK("https://www.dofusbook.net/fr/equipement/4086312-force-kamasterisk/objets", "link")</f>
        <v/>
      </c>
      <c r="C24359" t="n">
        <v>2</v>
      </c>
      <c r="D24359" t="inlineStr">
        <is>
          <t>Marteau R'ture; Amulette du Kamasterisk; Anneau de Brouce; Bague Gloursonne; Bouclier du Stalak; Ceinture de la Reine des Voleurs; Coiffe de la Reine des Voleurs; Cape du Kamasterisk; Bottes du Kamasterisk; Dofus Vulbis; Dofus Ivoire; Dofus Pourpre; Dofus Ocre; Dofus des Glaces; Dofus Abyssal; Kougnard</t>
        </is>
      </c>
    </row>
    <row r="24360">
      <c r="A24360" t="inlineStr">
        <is>
          <t>12 / 6 Goule Putride</t>
        </is>
      </c>
      <c r="B24360">
        <f>HYPERLINK("https://www.dofusbook.net/fr/equipement/3290718-12---6-goule-putride/objets", "link")</f>
        <v/>
      </c>
      <c r="C24360" t="n">
        <v>2</v>
      </c>
      <c r="D24360" t="inlineStr">
        <is>
          <t>Marteau des égarés; Amulette de l'Œil Putride; Alliance Gloursonne; Goulano; Goulclier; Ceinture de l'Esprit Salvateur; Capuche de l'Œil Putride; Cape de l'Œil Putride; Goulbottes; Dofus Vulbis; Dofus Ocre; Dofus des Glaces; Dofus Abyssal; Dofus Nébuleux; Dofus Ivoire; Léopardo</t>
        </is>
      </c>
    </row>
    <row r="24361">
      <c r="A24361" t="inlineStr">
        <is>
          <t>Force</t>
        </is>
      </c>
      <c r="B24361">
        <f>HYPERLINK("https://www.dofusbook.net/fr/equipement/3438701-force/objets", "link")</f>
        <v/>
      </c>
      <c r="C24361" t="n">
        <v>1</v>
      </c>
      <c r="D24361" t="inlineStr">
        <is>
          <t>Marteau R'ture; Amulette du Cœur Saignant; Anneau de Brouce; Bracelet du Piloztère; Bouclier cubiste; Ceinture de la Reine des Voleurs; Coiffe de la Reine des Voleurs; Cape du Cœur Saignant; Bottes du Cœur Saignant; Dofus Abyssal; Dofus Ivoire; Dofus Ocre; Dofus Vulbis; Dofus Turquoise; Dofus Nébuleux; Volkorne Emeraude et Turquoise</t>
        </is>
      </c>
    </row>
    <row r="24362">
      <c r="A24362" t="inlineStr">
        <is>
          <t>Intel</t>
        </is>
      </c>
      <c r="B24362">
        <f>HYPERLINK("https://www.dofusbook.net/fr/equipement/1889156-intel/objets", "link")</f>
        <v/>
      </c>
      <c r="C24362" t="n">
        <v>5</v>
      </c>
      <c r="D24362" t="inlineStr">
        <is>
          <t>Arc corrompu; Amulette Séculaire; Anneau Tique; Anneau de Nidas; Bouclier cubiste; Ceinture Séculaire; Couronne de Nidas; Voile d'encre; Tongues de Nidas; Dofus Abyssal; Dofus Ocre; Dofus Vulbis; Dofus des Glaces; Dofus Ivoire; Vagabond majeur; Kougnard</t>
        </is>
      </c>
    </row>
    <row r="24363">
      <c r="A24363" t="inlineStr">
        <is>
          <t>Chance</t>
        </is>
      </c>
      <c r="B24363">
        <f>HYPERLINK("https://www.dofusbook.net/fr/equipement/4083108-chance/objets", "link")</f>
        <v/>
      </c>
      <c r="C24363" t="n">
        <v>1</v>
      </c>
      <c r="D24363" t="inlineStr">
        <is>
          <t>Sceptre du Roi Joueur; Amulette de l'Œil Attentif; Alliance Gloursonne; Anneau Volkorne; Quatre-feuilles; Sangle Cible; Capuche de l'Œil Attentif; Cape de l'Œil Attentif; Sandales de Tal Kasha; Dofus Abyssal; Dofus Ocre; Dofus Ivoire; Dofus Vulbis; Dofus des Glaces; Dofus Turquoise; Volkorne Ivoire et Turquoise</t>
        </is>
      </c>
    </row>
    <row r="24364">
      <c r="A24364" t="inlineStr">
        <is>
          <t>Crit</t>
        </is>
      </c>
      <c r="B24364">
        <f>HYPERLINK("https://www.dofusbook.net/fr/equipement/4075341-crit/objets", "link")</f>
        <v/>
      </c>
      <c r="C24364" t="n">
        <v>0</v>
      </c>
      <c r="D24364" t="inlineStr">
        <is>
          <t>Arc Nécrotique; Amulette Volkorne; Anneau Volkorne; Bague Trithon; Quatre-feuilles; Ceintacé; Masque Trithon; Cape de la Dame du Hasard; Bottes de la Dame du Hasard; Dofus des Glaces; Dofus Ocre; Dofus Vulbis; Dofus Abyssal; Dofus Turquoise; Dofus Ivoire; Kokulte</t>
        </is>
      </c>
    </row>
    <row r="24365">
      <c r="A24365" t="inlineStr">
        <is>
          <t>Agi</t>
        </is>
      </c>
      <c r="B24365">
        <f>HYPERLINK("https://www.dofusbook.net/fr/equipement/4042617-agi/objets", "link")</f>
        <v/>
      </c>
      <c r="C24365" t="n">
        <v>5</v>
      </c>
      <c r="D24365" t="inlineStr">
        <is>
          <t>Lance Horselé; Collier du Valet Veinard; Gant du Valet Veinard; Alliance Gloursonne; Bouclier du Stalak; Sangle Oriole; Couronne d'Allister; Cape du Valet Veinard; Palmes Trithons; Dofus Abyssal; Dofus Vulbis; Dofus Ivoire; Dofus Nébuleux; Dofus Ocre; Dofus des Glaces; Kougnard</t>
        </is>
      </c>
    </row>
    <row r="24366">
      <c r="A24366" t="inlineStr">
        <is>
          <t>Intel 12/6</t>
        </is>
      </c>
      <c r="B24366">
        <f>HYPERLINK("https://www.dofusbook.net/fr/equipement/1048265-intel-12-6/objets", "link")</f>
        <v/>
      </c>
      <c r="C24366" t="n">
        <v>6</v>
      </c>
      <c r="D24366" t="inlineStr">
        <is>
          <t>Arc corrompu; Amulette Séculaire; Anneau Tamie; Anneauræus; Bouclier du Stalak; Ceinture Séculaire; Coiffe Séculaire; Voile d'encre; Bottes Innommables; Dofus Abyssal; Dofus Pourpre; Dofus des Glaces; Dofus Vulbis; Dofus Ivoire; Dofus Ocre; Volkorne Jade et Améthyste</t>
        </is>
      </c>
    </row>
    <row r="24367">
      <c r="A24367" t="inlineStr">
        <is>
          <t>Tank Agi - Chance</t>
        </is>
      </c>
      <c r="B24367">
        <f>HYPERLINK("https://www.dofusbook.net/fr/equipement/2471189-tank-agi---chance/objets", "link")</f>
        <v/>
      </c>
      <c r="C24367" t="n">
        <v>0</v>
      </c>
      <c r="D24367" t="inlineStr">
        <is>
          <t>Arc de Koutoulou; Amulette Ementaire Deluxe; Alliance du Lévitrof; Alliance Gloursonne; Bouclier à hélice; Sangle Ouare; Masque d'Anerice; Cape d'Anerice; Palmes Trithons; Dofus Abyssal; Dofus Émeraude; Dofus Ivoire; Dofus Ocre; Dolmanax; Remueur; Muldo Ebène et Pourpre</t>
        </is>
      </c>
    </row>
    <row r="24368">
      <c r="A24368" t="inlineStr">
        <is>
          <t>Multi Do Cri</t>
        </is>
      </c>
      <c r="B24368">
        <f>HYPERLINK("https://www.dofusbook.net/fr/equipement/4000755-multi-do-cri/objets", "link")</f>
        <v/>
      </c>
      <c r="C24368" t="n">
        <v>2</v>
      </c>
      <c r="D24368" t="inlineStr">
        <is>
          <t>Marteau du Glouragan; Amulette du Strigide; Bague Trithon; Anneau de Padgref; Quatre-feuilles; Ceinture du Strigide; Coiffe de Padgref; Cape d'Atcham; Getas de Padgref; Dofus Turquoise; Dofus Nébuleux; Dofus Ocre; Dofus Abyssal; Dofus Vulbis; Dofus Ivoire; Volkorne Emeraude et Roux</t>
        </is>
      </c>
    </row>
    <row r="24369">
      <c r="A24369" t="inlineStr">
        <is>
          <t>Do Pou 12/6</t>
        </is>
      </c>
      <c r="B24369">
        <f>HYPERLINK("https://www.dofusbook.net/fr/equipement/3998086-do-pou-12-6/objets", "link")</f>
        <v/>
      </c>
      <c r="C24369" t="n">
        <v>0</v>
      </c>
      <c r="D24369" t="inlineStr">
        <is>
          <t>Hachoirs de Viandargh; Amulette du Cœur Vaillant; Bague Trithon; Bague Instable; Bouclier précieux; Ceinture Glaciale; Masque Trithon; Cape du Cœur Vaillant; Bottes du Cœur Vaillant; Dofus Ocre; Dofus Ivoire; Dofus Vulbis; Dofus Abyssal; Pousseur majeur; Bousculeur majeur; Volkorne Emeraude et Roux</t>
        </is>
      </c>
    </row>
    <row r="24370">
      <c r="A24370" t="inlineStr">
        <is>
          <t>Dou Pou 11/6</t>
        </is>
      </c>
      <c r="B24370">
        <f>HYPERLINK("https://www.dofusbook.net/fr/equipement/3998150-dou-pou-11-6/objets", "link")</f>
        <v/>
      </c>
      <c r="C24370" t="n">
        <v>0</v>
      </c>
      <c r="D24370" t="inlineStr">
        <is>
          <t>Hachoirs de Viandargh; Amulette du Cœur Vaillant; Bague Trithon; Bague Instable; Bouclier précieux; Ceinture Gence; Masque de Koutoulou; Cape de la Fuji Givrefoux; Bottes Trithon; Dofus Ivoire; Dofus Abyssal; Culbuteur majeur; Pousseur majeur; Culbuteur; Bousculeur majeur; Péki</t>
        </is>
      </c>
    </row>
    <row r="24371">
      <c r="A24371" t="inlineStr">
        <is>
          <t>Force</t>
        </is>
      </c>
      <c r="B24371">
        <f>HYPERLINK("https://www.dofusbook.net/fr/equipement/3137202-force-/objets", "link")</f>
        <v/>
      </c>
      <c r="C24371" t="n">
        <v>1</v>
      </c>
      <c r="D24371" t="inlineStr">
        <is>
          <t>Dagues d'Ilyzaelle; Amulette du Cœur Saignant; Anneau de Brouce; Anneau Crustique; Quatre-feuilles; Ceinture de la Reine des Voleurs; Coiffe de la Reine des Voleurs; Cape du Cœur Saignant; Bottes du Cœur Saignant; Dofus Abyssal; Dofus Ocre; Dofus Turquoise; Dofus Nébuleux; Dofus Ivoire; Dofus Vulbis; Volkorne Emeraude et Roux</t>
        </is>
      </c>
    </row>
    <row r="24372">
      <c r="A24372" t="inlineStr">
        <is>
          <t>Chance</t>
        </is>
      </c>
      <c r="B24372">
        <f>HYPERLINK("https://www.dofusbook.net/fr/equipement/2217949-chance/objets", "link")</f>
        <v/>
      </c>
      <c r="C24372" t="n">
        <v>10</v>
      </c>
      <c r="D24372" t="inlineStr">
        <is>
          <t>Sceptre du Roi Joueur; Amulette de l'Œil Attentif; Bracelet des Fonds marins; Alliance Gloursonne; Bouclier cubiste; Ceinture de la Reine des Voleurs; Capuche de l'Œil Attentif; Cape de l'Œil Attentif; Bottes de la Reine des Voleurs; Dofus Turquoise; Dofus Ocre; Dofus Ivoire; Dofus Nébuleux; Dofus Vulbis; Dofus Abyssal; Volkorne Turquoise</t>
        </is>
      </c>
    </row>
    <row r="24373">
      <c r="A24373" t="inlineStr">
        <is>
          <t>Force Bis</t>
        </is>
      </c>
      <c r="B24373">
        <f>HYPERLINK("https://www.dofusbook.net/fr/equipement/3759335-force-bis/objets", "link")</f>
        <v/>
      </c>
      <c r="C24373" t="n">
        <v>2</v>
      </c>
      <c r="D24373" t="inlineStr">
        <is>
          <t>Arc du Chalœil; Collier de Tourthon; Bracelet du Piloztère; Anneau de Brouce; Bouclier du Stalak; Ceinture de la Reine des Voleurs; Coiffe de la Reine des Voleurs; Cape au Logis; Baleinabottes; Dofus Abyssal; Dofus Pourpre; Dofus Ivoire; Dofus Ocre; Dofus des Glaces; Enragé majeur; Bulbisou</t>
        </is>
      </c>
    </row>
    <row r="24374">
      <c r="A24374" t="inlineStr">
        <is>
          <t>12 / 6 Atcham Sécu</t>
        </is>
      </c>
      <c r="B24374">
        <f>HYPERLINK("https://www.dofusbook.net/fr/equipement/3319215-12---6-atcham-secu/objets", "link")</f>
        <v/>
      </c>
      <c r="C24374" t="n">
        <v>4</v>
      </c>
      <c r="D24374" t="inlineStr">
        <is>
          <t>Sabres d'Atcham; Amulette Séculaire; Alliance Gloursonne; Bague Gloursonne; Bouclier cubiste; Ceinture Séculaire; Coiffe Séculaire; Cape d'Atcham; Sandales  d'Atcham; Dofus Abyssal; Dofus Turquoise; Dofus Ivoire; Dofus Ocre; Dofus Vulbis; Entraveur majeur; Kokulte</t>
        </is>
      </c>
    </row>
    <row r="24375">
      <c r="A24375" t="inlineStr">
        <is>
          <t>Agi</t>
        </is>
      </c>
      <c r="B24375">
        <f>HYPERLINK("https://www.dofusbook.net/fr/equipement/2470295-agi/objets", "link")</f>
        <v/>
      </c>
      <c r="C24375" t="n">
        <v>1</v>
      </c>
      <c r="D24375" t="inlineStr">
        <is>
          <t>Lance Horselé; Collier du Valet Veinard; Alliance Gloursonne; Gant du Valet Veinard; Bouclier Bontarien; Ceinture du Barbétoal; Couronne d'Allister; Cape du Valet Veinard; Palmes Trithons; Dofus Vulbis; Dofus Ivoire; Dokoko; Dofus Ocre; Dofus Émeraude; Dofus Abyssal; Volkorne Jade et Améthyste</t>
        </is>
      </c>
    </row>
    <row r="24376">
      <c r="A24376" t="inlineStr">
        <is>
          <t>Force 11/6</t>
        </is>
      </c>
      <c r="B24376">
        <f>HYPERLINK("https://www.dofusbook.net/fr/equipement/3595193-force-11-6/objets", "link")</f>
        <v/>
      </c>
      <c r="C24376" t="n">
        <v>0</v>
      </c>
      <c r="D24376" t="inlineStr">
        <is>
          <t>Lance corrompue; Amulette Ementaire Deluxe; Bracelet du Piloztère; Alliance Brûlâme; Bouclier du Stalak; Ceinture de la Reine des Voleurs; Coiffe de la Reine des Voleurs; Cape au Logis; Baleinabottes; Dofus Abyssal; Dofus des Glaces; Dofus Ivoire; Dofus Ocre; Dofus Pourpre; Vigoureux majeur; Kramkram</t>
        </is>
      </c>
    </row>
    <row r="24377">
      <c r="A24377" t="inlineStr">
        <is>
          <t>Rési Entrave</t>
        </is>
      </c>
      <c r="B24377">
        <f>HYPERLINK("https://www.dofusbook.net/fr/equipement/3062911-resi-entrave/objets", "link")</f>
        <v/>
      </c>
      <c r="C24377" t="n">
        <v>0</v>
      </c>
      <c r="D24377" t="inlineStr">
        <is>
          <t>Héqache; Amulette Ementaire Deluxe; Anneau Crustique; Alliance Gloursonne; Sept ans de malheur; Ceinture Instable; Masque d'Anerice; Cape d'Anerice; Pataugastrique; Dofus Abyssal; Dofus Ivoire; Dofus Émeraude; Remueur; Obstructeur majeur; Étourdisseur majeur; Muldo Ebène et Pourpre</t>
        </is>
      </c>
    </row>
    <row r="24378">
      <c r="A24378" t="inlineStr">
        <is>
          <t>Sadida M 200</t>
        </is>
      </c>
      <c r="B24378">
        <f>HYPERLINK("https://www.dofusbook.net/fr/equipement/3592963-sadida-m-200/objets", "link")</f>
        <v/>
      </c>
      <c r="C24378" t="n">
        <v>7</v>
      </c>
      <c r="D24378" t="inlineStr">
        <is>
          <t>Arc corrompu; Amulette Volcanique; Bague Gloursonne; Anneau de Nidas; Bouclier cubiste; Ceinture de Gein; Chapeau de Gein; Cape de Diondin; Bottes Dogues; Dolmanax; Dofus Pourpre; Nomade; Vigoureux majeur; Temporiseur majeur; Remueur; Kramkram</t>
        </is>
      </c>
    </row>
    <row r="24379">
      <c r="A24379" t="inlineStr">
        <is>
          <t>Agi 12/6 résis</t>
        </is>
      </c>
      <c r="B24379">
        <f>HYPERLINK("https://www.dofusbook.net/fr/equipement/3725950-agi-12-6-resis/objets", "link")</f>
        <v/>
      </c>
      <c r="C24379" t="n">
        <v>4</v>
      </c>
      <c r="D24379" t="inlineStr">
        <is>
          <t>Manthache; Collier du Valet Veinard; Alliance Gloursonne; Gant du Valet Veinard; Bouclier cubiste; Ceintouse; Casque Dragoeuf; Cape du Valet Veinard; Tentassons; Dofus des Glaces; Dolmanax; Dofus Vulbis; Dofus Ivoire; Dofus Abyssal; Dofus Ocre; Volkorne Jade et Améthyste</t>
        </is>
      </c>
    </row>
    <row r="24380">
      <c r="A24380" t="inlineStr">
        <is>
          <t>Fooorce 12/6</t>
        </is>
      </c>
      <c r="B24380">
        <f>HYPERLINK("https://www.dofusbook.net/fr/equipement/3725978-fooorce-12-6-/objets", "link")</f>
        <v/>
      </c>
      <c r="C24380" t="n">
        <v>0</v>
      </c>
      <c r="D24380" t="inlineStr">
        <is>
          <t>Arc du Chalœil; Collier de Tourthon; Anneau Crustique; Anneau du Comte Harebourg; Quatre-feuilles; Ceinture Volkorne; Coiffe du Comte Harebourg; Ankhape; Bottes du Comte Harebourg; Dofus Vulbis; Dofus Ivoire; Dofus Nébuleux; Dofus Ocre; Dofus des Glaces; Dofus Turquoise; Volkorne Emeraude et Pourpre</t>
        </is>
      </c>
    </row>
    <row r="24381">
      <c r="A24381" t="inlineStr">
        <is>
          <t>Chance 12/6</t>
        </is>
      </c>
      <c r="B24381">
        <f>HYPERLINK("https://www.dofusbook.net/fr/equipement/3752861-chance-12-6/objets", "link")</f>
        <v/>
      </c>
      <c r="C24381" t="n">
        <v>0</v>
      </c>
      <c r="D24381" t="inlineStr">
        <is>
          <t>Dagoulinantes; Amulette de l'Œil Attentif; Alliance Gloursonne; Anneau Volkorne; Bouclier du Stalak; Ceinture de la Reine des Voleurs; Capuche de l'Œil Attentif; Cape de l'Œil Attentif; Bottes de la Reine des Voleurs; Dofus Pourpre; Dofus Ocre; Dofus des Glaces; Dofus Abyssal; Dofus Vulbis; Dofus Ivoire; Volkorne Jade et Améthyste</t>
        </is>
      </c>
    </row>
    <row r="24382">
      <c r="A24382" t="inlineStr">
        <is>
          <t>Multi</t>
        </is>
      </c>
      <c r="B24382">
        <f>HYPERLINK("https://www.dofusbook.net/fr/equipement/2519562-multi/objets", "link")</f>
        <v/>
      </c>
      <c r="C24382" t="n">
        <v>10</v>
      </c>
      <c r="D24382" t="inlineStr">
        <is>
          <t>Sabres d'Atcham; Amulette du Strigide; Anneau de Padgref; Bracelet du Piloztère; Quatre-feuilles; Ceinture du Strigide; Coiffe de Padgref; Cape d'Atcham; Sandales  d'Atcham; Dofus Pourpre; Dofus Nébuleux; Dofus Turquoise; Dofus Abyssal; Dofus Vulbis; Dofus Ocre; Volkorne Emeraude et Turquoise</t>
        </is>
      </c>
    </row>
    <row r="24383">
      <c r="A24383" t="inlineStr">
        <is>
          <t>Tacle Force Agi</t>
        </is>
      </c>
      <c r="B24383">
        <f>HYPERLINK("https://www.dofusbook.net/fr/equipement/1809714-tacle-force-agi/objets", "link")</f>
        <v/>
      </c>
      <c r="C24383" t="n">
        <v>0</v>
      </c>
      <c r="D24383" t="inlineStr">
        <is>
          <t>Héqache; Amulette Ementaire Deluxe; Anneau Crustique; Bracelet du Piloztère; Sept ans de malheur; Ceintouse; Chapoulpe; Cape d'Atcham; Tentassons; Dofus Ocre; Dofus Vulbis; Dofus Émeraude; Dolmanax; Dofus Ivoire; Dofus Abyssal; Volkorne Saphir et Améthyste</t>
        </is>
      </c>
    </row>
    <row r="24384">
      <c r="A24384" t="inlineStr">
        <is>
          <t>ForceRes CourSombre</t>
        </is>
      </c>
      <c r="B24384">
        <f>HYPERLINK("https://www.dofusbook.net/fr/equipement/1868133-forceres-coursombre/objets", "link")</f>
        <v/>
      </c>
      <c r="C24384" t="n">
        <v>3</v>
      </c>
      <c r="D24384" t="inlineStr">
        <is>
          <t>Lav'Hache; Collier de Tourthon; Anneau de Brouce; Bracelet du Piloztère; Bouclier du Stalak; Ceinture de la Cour Sombre; Casque Dragoeuf; Cape de la Cour Sombre; Bottes de la Cour Sombre; Dofus Vulbis; Dofus Nébuleux; Dofus Ivoire; Dofus Abyssal; Dofus Émeraude; Dofus Ocre; Volkorne Jade et Améthyste</t>
        </is>
      </c>
    </row>
    <row r="24385">
      <c r="A24385" t="inlineStr">
        <is>
          <t>Intel Chance</t>
        </is>
      </c>
      <c r="B24385">
        <f>HYPERLINK("https://www.dofusbook.net/fr/equipement/575868-intel-chance/objets", "link")</f>
        <v/>
      </c>
      <c r="C24385" t="n">
        <v>0</v>
      </c>
      <c r="D24385" t="inlineStr">
        <is>
          <t>Pyraguette; Amulette Ementaire Deluxe; Bague Gloursonne; Alliance Gloursonne; Bouclier du Stalak; Ceintrigue; Kidibonnet; Voilamibe; Pataugastrique; Dofus des Glaces; Dolmanax; Dofus Ivoire; Dofus Abyssal; Dofus Pourpre; Vigoureux majeur; Kramkram</t>
        </is>
      </c>
    </row>
    <row r="24386">
      <c r="A24386" t="inlineStr">
        <is>
          <t>Marteau Phossile</t>
        </is>
      </c>
      <c r="B24386">
        <f>HYPERLINK("https://www.dofusbook.net/fr/equipement/575869-marteau-phossile/objets", "link")</f>
        <v/>
      </c>
      <c r="C24386" t="n">
        <v>0</v>
      </c>
      <c r="D24386" t="inlineStr">
        <is>
          <t>Marteau Phossile; Amulette Ementaire Deluxe; Anneau de Nidas; Anneau Rifique; Bouclier du Stalak; Ceinture Séculaire; Casque Cyclopéen; Voile d'encre; Pataugastrique; Dofus Abyssal; Dolmanax; Dofus Ivoire; Nomade; Remueur; Érudit majeur; Kramkram</t>
        </is>
      </c>
    </row>
    <row r="24387">
      <c r="A24387" t="inlineStr">
        <is>
          <t>Force Intel</t>
        </is>
      </c>
      <c r="B24387">
        <f>HYPERLINK("https://www.dofusbook.net/fr/equipement/3516919-force-intel/objets", "link")</f>
        <v/>
      </c>
      <c r="C24387" t="n">
        <v>0</v>
      </c>
      <c r="D24387" t="inlineStr">
        <is>
          <t>Dagues Érhy; Amulette Volcanique; Chevalière du Roi Joueur; Bracelet du Piloztère; Bouclier du Stalak; Ceinture de Gein; Chapeau de Gein; Sac Volcanique; Sabots Volcaniques; Dofus Pourpre; Dofus Nébuleux; Dofus Vulbis; Dofus Ivoire; Dofus Turquoise; Dofus Ocre; Volkorne Emeraude et Turquoise</t>
        </is>
      </c>
    </row>
    <row r="24388">
      <c r="A24388" t="inlineStr">
        <is>
          <t>Chance Ret PVM</t>
        </is>
      </c>
      <c r="B24388">
        <f>HYPERLINK("https://www.dofusbook.net/fr/equipement/2696464-chance-ret-pvm/objets", "link")</f>
        <v/>
      </c>
      <c r="C24388" t="n">
        <v>5</v>
      </c>
      <c r="D24388" t="inlineStr">
        <is>
          <t>Sceptre du Roi Joueur; Amulette de Shokkoth; Alliance Gloursonne; Bracelet des Fonds marins; Bouclier cubiste; Ceinture Glaciale; Casquette de Meno; Cape de Meno; Bottes de Meno; Dofus Nébuleux; Dofus Abyssal; Dofus Vulbis; Dofus des Glaces; Dofus Ocre; Entraveur majeur; Volkorne Turquoise</t>
        </is>
      </c>
    </row>
    <row r="24389">
      <c r="A24389" t="inlineStr">
        <is>
          <t>Eau / Feu Low Cost</t>
        </is>
      </c>
      <c r="B24389">
        <f>HYPERLINK("https://www.dofusbook.net/fr/equipement/3330053-eau---feu-low-cost/objets", "link")</f>
        <v/>
      </c>
      <c r="C24389" t="n">
        <v>21</v>
      </c>
      <c r="D24389" t="inlineStr">
        <is>
          <t>Arc Nécrotique; Collier de la Dame du Hasard; Anneau de Padgref; Bracelet du Piloztère; Bouclier cubiste; Ceinture du Strigide; Capuche de l'Œil Putride; Cape de la Dame du Hasard; Pataugastrique; Dofus Pourpre; Dofus Turquoise; Vigoureux majeur; Remueur; Nomade; Temporiseur majeur; Muldo Prune et Emeraude</t>
        </is>
      </c>
    </row>
    <row r="24390">
      <c r="A24390" t="inlineStr">
        <is>
          <t>lvl 129</t>
        </is>
      </c>
      <c r="B24390">
        <f>HYPERLINK("https://www.dofusbook.net/fr/equipement/3195322-lvl-129/objets", "link")</f>
        <v/>
      </c>
      <c r="C24390" t="n">
        <v>0</v>
      </c>
      <c r="D24390" t="inlineStr">
        <is>
          <t>La Baguette des Limbes; Amulette Ementaire; Anneau Ancestral; Anneau du Meulou; Bouclier du Chouque; Xénature; Casque Dragoeuf; Corbacape Mastralis; Bottes du Dragoeuf; Dofus Émeraude; Dolmanax; Dokoko; Dofus Pourpre; Nomade; Remueur; Kramkram</t>
        </is>
      </c>
    </row>
    <row r="24391">
      <c r="A24391" t="inlineStr">
        <is>
          <t>Hydride Force Chance</t>
        </is>
      </c>
      <c r="B24391">
        <f>HYPERLINK("https://www.dofusbook.net/fr/equipement/2676017-hydride-force-chance/objets", "link")</f>
        <v/>
      </c>
      <c r="C24391" t="n">
        <v>2</v>
      </c>
      <c r="D24391" t="inlineStr">
        <is>
          <t>Dagoulinantes; Amulette de Shokkoth; Alliance Gloursonne; Anneau Crustique; Sept ans de malheur; Culotte de Bethel; Masque de Funespadon; Cape Solution; Baleinabottes; Dofus Émeraude; Dofus Abyssal; Dofus Ivoire; Obstructeur majeur; Paralyseur majeur; Étourdisseur majeur; Muldo Ebène et Pourpre</t>
        </is>
      </c>
    </row>
    <row r="24392">
      <c r="A24392" t="inlineStr">
        <is>
          <t>lvl 105</t>
        </is>
      </c>
      <c r="B24392">
        <f>HYPERLINK("https://www.dofusbook.net/fr/equipement/1175201-lvl-105/objets", "link")</f>
        <v/>
      </c>
      <c r="C24392" t="n">
        <v>0</v>
      </c>
      <c r="D24392" t="inlineStr">
        <is>
          <t>La Baguette des Limbes; Collier du Dragon Cochon; Bracelet du Chef Bwork; Gelano; Bouclier du Chouque; Ceinture du Rat Noir; Billréole; Cape du Rat Blanc; Bottes Horchons; Dofus Pourpre; Dokoko; Dofus Émeraude; Dolmanax; Remueur; Étourdisseur; Kramkram</t>
        </is>
      </c>
    </row>
    <row r="24393">
      <c r="A24393" t="inlineStr">
        <is>
          <t>Chance</t>
        </is>
      </c>
      <c r="B24393">
        <f>HYPERLINK("https://www.dofusbook.net/fr/equipement/3062839-chance/objets", "link")</f>
        <v/>
      </c>
      <c r="C24393" t="n">
        <v>5</v>
      </c>
      <c r="D24393" t="inlineStr">
        <is>
          <t>Sceptre du Roi Joueur; Amulette du Sinistrofu; Alliance Gloursonne; Bracelet des Fonds marins; Bouclier du Stalak; Poulpagne; Capuche de l'Œil Attentif; Cape Solution; Bottes du Sinistrofu; Dofus des Glaces; Dofus Nébuleux; Dofus Pourpre; Dofus Abyssal; Dofus Ivoire; Chanceux majeur; Muldo Ebène et Indigo</t>
        </is>
      </c>
    </row>
    <row r="24394">
      <c r="A24394" t="inlineStr">
        <is>
          <t>Intel / Chance</t>
        </is>
      </c>
      <c r="B24394">
        <f>HYPERLINK("https://www.dofusbook.net/fr/equipement/2470761-intel---chance/objets", "link")</f>
        <v/>
      </c>
      <c r="C24394" t="n">
        <v>0</v>
      </c>
      <c r="D24394" t="inlineStr">
        <is>
          <t>Pyraguette; Amulette Ementaire Deluxe; Bracelet des Fonds marins; Alliance du Lévitrof; Bouclier du Cycloïde; Ceinture Séculaire; Capuche de l'Œil Putride; Cape de l'Œil Putride; Pataugastrique; Dofus des Glaces; Dofus Abyssal; Dolmanax; Dofus Ivoire; Dofus Pourpre; Dofus Ocre; Muldo Pourpre</t>
        </is>
      </c>
    </row>
    <row r="24395">
      <c r="A24395" t="inlineStr">
        <is>
          <t>Chance</t>
        </is>
      </c>
      <c r="B24395">
        <f>HYPERLINK("https://www.dofusbook.net/fr/equipement/2470442-chance-/objets", "link")</f>
        <v/>
      </c>
      <c r="C24395" t="n">
        <v>0</v>
      </c>
      <c r="D24395" t="inlineStr">
        <is>
          <t>Sceptre du Roi Joueur; Amulette de Shokkoth; Alliance Gloursonne; Bracelet des Fonds marins; Bouclier du Stalak; Ceinture du Barbétoal; Masque des Fonds marins; Cape du Sinistrofu; Pataugastrique; Dofus Pourpre; Dofus Ivoire; Dofus Ocre; Dofus Émeraude; Dofus Abyssal; Chanceux majeur; Muldo Indigo et Pourpre</t>
        </is>
      </c>
    </row>
    <row r="24396">
      <c r="A24396" t="inlineStr">
        <is>
          <t>Intel classique</t>
        </is>
      </c>
      <c r="B24396">
        <f>HYPERLINK("https://www.dofusbook.net/fr/equipement/2466467-intel-classique/objets", "link")</f>
        <v/>
      </c>
      <c r="C24396" t="n">
        <v>1</v>
      </c>
      <c r="D24396" t="inlineStr">
        <is>
          <t>Baguette de Malléfisk; Amulette Ementaire Deluxe; Anneau Tique; Anneau de Nidas; Bouclier du Cycloïde; Ceinture de Vortex; Couronne de Nidas; Voile d'encre; Bottes Dogues; Dolmanax; Dofus Ocre; Dofus Abyssal; Dofus Ivoire; Érudit majeur; Remueur; Muldo Ebène et Pourpre</t>
        </is>
      </c>
    </row>
    <row r="24397">
      <c r="A24397" t="inlineStr">
        <is>
          <t>Intel PvM</t>
        </is>
      </c>
      <c r="B24397">
        <f>HYPERLINK("https://www.dofusbook.net/fr/equipement/2465647-intel-pvm/objets", "link")</f>
        <v/>
      </c>
      <c r="C24397" t="n">
        <v>0</v>
      </c>
      <c r="D24397" t="inlineStr">
        <is>
          <t>Baguette de Malléfisk; Amulette de Nileza; Anneau de Nidas; Anneauræus; Bouclier du Cycloïde; Ceinture Séculaire; Couronne de Nidas; Cape de Diondin; Bottes Innommables; Dofus Émeraude; Dofus Ivoire; Dofus Ocre; Dofus Abyssal; Érudit majeur; Guérisseur majeur; Muldo Indigo et Orchidée</t>
        </is>
      </c>
    </row>
    <row r="24398">
      <c r="A24398" t="inlineStr">
        <is>
          <t>Tank Force</t>
        </is>
      </c>
      <c r="B24398">
        <f>HYPERLINK("https://www.dofusbook.net/fr/equipement/1964116-tank-force/objets", "link")</f>
        <v/>
      </c>
      <c r="C24398" t="n">
        <v>0</v>
      </c>
      <c r="D24398" t="inlineStr">
        <is>
          <t>Marteau R'ture; Amulette Ementaire Deluxe; Goulano; Bracelet du Piloztère; Goulclier; Ceinture de la Reine des Voleurs; Masque de Koutoulou; Voile d'encre; Pompes Funèbres; Dofus Abyssal; Dofus Émeraude; Dofus Ivoire; Dofus Ocre; Étourdisseur majeur; Enragé majeur; Muldo Indigo et Pourpre</t>
        </is>
      </c>
    </row>
    <row r="24399">
      <c r="A24399" t="inlineStr">
        <is>
          <t>Mite</t>
        </is>
      </c>
      <c r="B24399">
        <f>HYPERLINK("https://www.dofusbook.net/fr/equipement/2363912-mite/objets", "link")</f>
        <v/>
      </c>
      <c r="C24399" t="n">
        <v>0</v>
      </c>
      <c r="D24399" t="inlineStr">
        <is>
          <t>Ares; Epis de Farle; Gantelet du Gorgouille; Gelano; Le Karde Cœur; Ceinture Précieuse; Billréole; Cape Précieuse; Bottes Précieuses; Dofus Cawotte; Entraveur; Joueur; Vagabond; Puissant; Furibond; Bwak de Terre</t>
        </is>
      </c>
    </row>
    <row r="24400">
      <c r="A24400" t="inlineStr">
        <is>
          <t>Force / Intel</t>
        </is>
      </c>
      <c r="B24400">
        <f>HYPERLINK("https://www.dofusbook.net/fr/equipement/2345037-force---intel/objets", "link")</f>
        <v/>
      </c>
      <c r="C24400" t="n">
        <v>1</v>
      </c>
      <c r="D24400" t="inlineStr">
        <is>
          <t>Amulette du Cycloïde; Bracelet du Piloztère; Alliance du Lévitrof; Bouclier cubiste; Ceintacé; Coiffe du Lévitrof; Voile d'encre; Pataugastrique; Dofus Pourpre; Vigoureux majeur; Temporiseur majeur; Remueur; Déserteur majeur; Nomade; Muldo Pourpre</t>
        </is>
      </c>
    </row>
    <row r="24401">
      <c r="A24401" t="inlineStr">
        <is>
          <t>Rox Force</t>
        </is>
      </c>
      <c r="B24401">
        <f>HYPERLINK("https://www.dofusbook.net/fr/equipement/1834379-rox-force/objets", "link")</f>
        <v/>
      </c>
      <c r="C24401" t="n">
        <v>0</v>
      </c>
      <c r="D24401" t="inlineStr">
        <is>
          <t>Dagues du Dragoeuf; Amulette du Renouveau; Anneau du Meulou; Gelano; Bouclier du Sadida; Ceinture du Wabbit Garou; Kaskargo; Cape Ricieuse; Bottes du Meulou; Dofus Émeraude; Dokoko; Dofus Pourpre; Dolmanax; Nomade; Remueur; Kramkram</t>
        </is>
      </c>
    </row>
    <row r="24402">
      <c r="A24402" t="inlineStr">
        <is>
          <t>Arc koutoulou 2</t>
        </is>
      </c>
      <c r="B24402">
        <f>HYPERLINK("https://www.dofusbook.net/fr/equipement/1199352-arc-koutoulou-2/objets", "link")</f>
        <v/>
      </c>
      <c r="C24402" t="n">
        <v>0</v>
      </c>
      <c r="D24402" t="inlineStr">
        <is>
          <t>Arc de Koutoulou; Amulette Ementaire Deluxe; Bracelet du Piloztère; Alliance Gloursonne; Bouclier du Stalak; Ceinture Glaciale; Némès de Tal Kasha; Cape des Justiciers; Sandales de Tal Kasha; Dofus Ocre; Dofus Pourpre; Dofus Abyssal; Dofus Émeraude; Dolmanax; Nomade; Kramkram</t>
        </is>
      </c>
    </row>
    <row r="24403">
      <c r="A24403" t="inlineStr">
        <is>
          <t>Steamer F 200</t>
        </is>
      </c>
      <c r="B24403">
        <f>HYPERLINK("https://www.dofusbook.net/fr/equipement/4840617-steamer-f-200/objets", "link")</f>
        <v/>
      </c>
      <c r="C24403" t="n">
        <v>5</v>
      </c>
      <c r="D24403" t="inlineStr">
        <is>
          <t>Le Kikoularc; Amublop Multicolore Royale; Blopanneau Multicolore Royal; Blopture Multicolore Royale; Coiffe de Redolphe; Sacoche de Redolphe; Bloptes Multicolores Royales</t>
        </is>
      </c>
    </row>
    <row r="24404">
      <c r="A24404" t="inlineStr">
        <is>
          <t>Ecaflip F 200</t>
        </is>
      </c>
      <c r="B24404">
        <f>HYPERLINK("https://www.dofusbook.net/fr/equipement/4850916-ecaflip-f-200/objets", "link")</f>
        <v/>
      </c>
      <c r="C24404" t="n">
        <v>1</v>
      </c>
      <c r="D24404" t="inlineStr">
        <is>
          <t>Pioute bleu</t>
        </is>
      </c>
    </row>
    <row r="24405">
      <c r="A24405" t="inlineStr">
        <is>
          <t>Roublard F 200</t>
        </is>
      </c>
      <c r="B24405">
        <f>HYPERLINK("https://www.dofusbook.net/fr/equipement/4844771-roublard-f-200/objets", "link")</f>
        <v/>
      </c>
      <c r="C24405" t="n">
        <v>1</v>
      </c>
      <c r="D24405" t="inlineStr">
        <is>
          <t>Amulette Volkorne; Anneau Volkorne; Ceinture de la Reine des Voleurs; Masque de Kao; Cape Martegel</t>
        </is>
      </c>
    </row>
    <row r="24406">
      <c r="A24406" t="inlineStr">
        <is>
          <t>Pandawa F 200</t>
        </is>
      </c>
      <c r="B24406">
        <f>HYPERLINK("https://www.dofusbook.net/fr/equipement/4844763-pandawa-f-200/objets", "link")</f>
        <v/>
      </c>
      <c r="C24406" t="n">
        <v>1</v>
      </c>
      <c r="D24406" t="inlineStr"/>
    </row>
    <row r="24407">
      <c r="A24407" t="inlineStr">
        <is>
          <t>Stuff 1</t>
        </is>
      </c>
      <c r="B24407">
        <f>HYPERLINK("https://www.dofusbook.net/fr/equipement/603061-stuff-1/objets", "link")</f>
        <v/>
      </c>
      <c r="C24407" t="n">
        <v>1</v>
      </c>
      <c r="D24407" t="inlineStr">
        <is>
          <t>Épée d'Otomaï; Amulette d'Otomaï; Anneau Tamie; Anneau Tamie; Bivalve; Sangle Aise; Frimacoiffe; Cape de Nileza; Pantoufles Émar; Dofus Nébuleux; Dofus Cawotte; Érudit majeur; Savant majeur; Vigoureux majeur; Astucieux majeur</t>
        </is>
      </c>
    </row>
    <row r="24408">
      <c r="A24408" t="inlineStr">
        <is>
          <t>Steamer M 200</t>
        </is>
      </c>
      <c r="B24408">
        <f>HYPERLINK("https://www.dofusbook.net/fr/equipement/3883861-steamer-m-200/objets", "link")</f>
        <v/>
      </c>
      <c r="C24408" t="n">
        <v>0</v>
      </c>
      <c r="D24408" t="inlineStr">
        <is>
          <t>Cape de l'Œil Attentif; Kanigloups</t>
        </is>
      </c>
    </row>
    <row r="24409">
      <c r="A24409" t="inlineStr">
        <is>
          <t>test</t>
        </is>
      </c>
      <c r="B24409">
        <f>HYPERLINK("https://www.dofusbook.net/fr/equipement/2520121-test/objets", "link")</f>
        <v/>
      </c>
      <c r="C24409" t="n">
        <v>0</v>
      </c>
      <c r="D24409" t="inlineStr">
        <is>
          <t>Plumeau Bil; Amulette Séculaire; Chevalière du Roi Joueur; Bague Gloursonne; Bouclier Feudala; Ceinture Séculaire; Masque Ardent; Cape Ardente; Chaussures Ardentes; Dolmanax; Dofus Abyssal; Dofus Ocre; Dofus Ivoire; Dofus Émeraude; Dofus des Glaces; Muldo Indigo</t>
        </is>
      </c>
    </row>
    <row r="24410">
      <c r="A24410" t="inlineStr">
        <is>
          <t>Stuff 2</t>
        </is>
      </c>
      <c r="B24410">
        <f>HYPERLINK("https://www.dofusbook.net/fr/equipement/603065-stuff-2/objets", "link")</f>
        <v/>
      </c>
      <c r="C24410" t="n">
        <v>0</v>
      </c>
      <c r="D24410" t="inlineStr">
        <is>
          <t>Lav'Hache; Amulette Volcanique; Sangle Oriole; Chapeau de Tournoyé; Sac Volcanique; Sabots Volcaniques; Remueur; Bousculeur; Culbuteur; Bousculeur majeur; Pousseur majeur; Kafarce</t>
        </is>
      </c>
    </row>
    <row r="24411">
      <c r="A24411" t="inlineStr">
        <is>
          <t>intelle2.45</t>
        </is>
      </c>
      <c r="B24411">
        <f>HYPERLINK("https://www.dofusbook.net/fr/equipement/2511386-intelle2-45/objets", "link")</f>
        <v/>
      </c>
      <c r="C24411" t="n">
        <v>0</v>
      </c>
      <c r="D24411" t="inlineStr">
        <is>
          <t>Arc corrompu; Phylactère Mic; Anneauræus; Bague Gloursonne; Ceinture Hyolite; Masque Ardent; Cape Ardente; Chaussures Ardentes</t>
        </is>
      </c>
    </row>
    <row r="24412">
      <c r="A24412" t="inlineStr">
        <is>
          <t>Stuff 1</t>
        </is>
      </c>
      <c r="B24412">
        <f>HYPERLINK("https://www.dofusbook.net/fr/equipement/603079-stuff-1/objets", "link")</f>
        <v/>
      </c>
      <c r="C24412" t="n">
        <v>0</v>
      </c>
      <c r="D24412" t="inlineStr">
        <is>
          <t>Rouleau à Pâtisserie d'Aermyne; Amulette du Sinistrofu; Bague Trithon; Alliance Gloursonne; Sangle Ouare; Casque Dragoeuf; Cape des Malveilleurs; Bottes des Malveilleurs; Dofus Ocre; Chanceux majeur; Cavaleur majeur; Bousculeur majeur; Miraculé majeur; Culbuteur majeur; Titard</t>
        </is>
      </c>
    </row>
    <row r="24413">
      <c r="A24413" t="inlineStr">
        <is>
          <t>Stuff 1</t>
        </is>
      </c>
      <c r="B24413">
        <f>HYPERLINK("https://www.dofusbook.net/fr/equipement/603074-stuff-1/objets", "link")</f>
        <v/>
      </c>
      <c r="C24413" t="n">
        <v>0</v>
      </c>
      <c r="D24413" t="inlineStr">
        <is>
          <t>Arc Hétype; Amulette de Nileza; Bague Gloursonne; Anneau Tique; Ceinture Séculaire; Chapeau Lithique; Voile d'encre; Bottes d'Otomaï; Dofus Ocre; Érudit majeur; Cavaleur majeur; Remueur; Évasif majeur; Nomade</t>
        </is>
      </c>
    </row>
    <row r="24414">
      <c r="A24414" t="inlineStr">
        <is>
          <t>Stuff 1</t>
        </is>
      </c>
      <c r="B24414">
        <f>HYPERLINK("https://www.dofusbook.net/fr/equipement/603069-stuff-1/objets", "link")</f>
        <v/>
      </c>
      <c r="C24414" t="n">
        <v>0</v>
      </c>
      <c r="D24414" t="inlineStr">
        <is>
          <t>Arc Hétype; Amulette Cryochrone; Bracelet des Fonds marins; Alliance Gloursonne; Ceintrigue; Kidibonnet; Voile d'encre; Bottes Owesli; Miraculé majeur; Nomade; Chanceux majeur; Remueur; Carapace Eau majeur; Érudit majeur; Kramkram</t>
        </is>
      </c>
    </row>
    <row r="24415">
      <c r="A24415" t="inlineStr">
        <is>
          <t>Stuff 1</t>
        </is>
      </c>
      <c r="B24415">
        <f>HYPERLINK("https://www.dofusbook.net/fr/equipement/603064-stuff-1/objets", "link")</f>
        <v/>
      </c>
      <c r="C24415" t="n">
        <v>0</v>
      </c>
      <c r="D24415" t="inlineStr">
        <is>
          <t>Dagues Érhy; Amulette du Strigide; Anneau Chevelu; Bague Gloursonne; Ceintacé; Casque de Missiz Frizz; Voile d'encre; Bottes du Strigide; Dofus Turquoise; Dofus Pourpre; Remueur; Vigoureux majeur; Nomade; Enragé majeur</t>
        </is>
      </c>
    </row>
    <row r="24416">
      <c r="A24416" t="inlineStr">
        <is>
          <t>Stuff 2</t>
        </is>
      </c>
      <c r="B24416">
        <f>HYPERLINK("https://www.dofusbook.net/fr/equipement/603059-stuff-2/objets", "link")</f>
        <v/>
      </c>
      <c r="C24416" t="n">
        <v>0</v>
      </c>
      <c r="D24416" t="inlineStr">
        <is>
          <t>Le Thanos; Talisman Igans; Bracelet des Fonds marins; Alliance Gloursonne; Ceintrigue; Binocle Airvoyant; Cape du Sinistrofu; Pataugastrique; Bousculeur majeur; Guérisseur majeur; Culbuteur majeur; Nomade; Soigneur majeur; Remueur; Kramkram</t>
        </is>
      </c>
    </row>
    <row r="24417">
      <c r="A24417" t="inlineStr">
        <is>
          <t>Stuff 1</t>
        </is>
      </c>
      <c r="B24417">
        <f>HYPERLINK("https://www.dofusbook.net/fr/equipement/603054-stuff-1/objets", "link")</f>
        <v/>
      </c>
      <c r="C24417" t="n">
        <v>2</v>
      </c>
      <c r="D24417" t="inlineStr">
        <is>
          <t>Rouleau à Pâtisserie d'Aermyne; Amulette de Pol Ouatnos; Alliance Gloursonne; Anneau Tilus; Protopagne; Bonnet Nufar; Capchalot; Bottes d'Oshimo; Déserteur majeur; Étourdisseur; Étourdisseur majeur; Remueur; Miraculé majeur; Engourdisseur majeur</t>
        </is>
      </c>
    </row>
    <row r="24418">
      <c r="A24418" t="inlineStr">
        <is>
          <t>Stuff 1</t>
        </is>
      </c>
      <c r="B24418">
        <f>HYPERLINK("https://www.dofusbook.net/fr/equipement/603049-stuff-1/objets", "link")</f>
        <v/>
      </c>
      <c r="C24418" t="n">
        <v>0</v>
      </c>
      <c r="D24418" t="inlineStr">
        <is>
          <t>Dagues Érhy; Amulette du Strigide; Anneau Chevelu; Bague Gloursonne; Ceinture du Strigide; Casque de Missiz Frizz; Voile d'encre; Bottes de la Cour Sombre; Dofus des Glaces; Dofus Ocre; Dofus Turquoise; Dofus Pourpre; Remueur; Nomade</t>
        </is>
      </c>
    </row>
    <row r="24419">
      <c r="A24419" t="inlineStr">
        <is>
          <t>Stuff 3</t>
        </is>
      </c>
      <c r="B24419">
        <f>HYPERLINK("https://www.dofusbook.net/fr/equipement/603081-stuff-3/objets", "link")</f>
        <v/>
      </c>
      <c r="C24419" t="n">
        <v>0</v>
      </c>
      <c r="D24419" t="inlineStr">
        <is>
          <t>Baguette de Malléfisk; Talisman Glouti; Bracelet des Fonds marins; Alliance Gloursonne; Sangle Ouare; Kidibonnet; Cape du Sinistrofu; Sandales des Fonds marins; Culbuteur majeur; Guérisseur majeur; Bousculeur majeur; Remueur; Évasif majeur; Docteur majeur; Brâkarien</t>
        </is>
      </c>
    </row>
    <row r="24420">
      <c r="A24420" t="inlineStr">
        <is>
          <t>Stuff 1</t>
        </is>
      </c>
      <c r="B24420">
        <f>HYPERLINK("https://www.dofusbook.net/fr/equipement/603076-stuff-1/objets", "link")</f>
        <v/>
      </c>
      <c r="C24420" t="n">
        <v>0</v>
      </c>
      <c r="D24420" t="inlineStr">
        <is>
          <t>Marteau R'ture; Amulette du Strigide; Anneau Crustique; Bague Gloursonne; Ceinture du Strigide; Chapeau de Gein; Cape au Logis; Bottes de la Cour Sombre; Dofus des Glaces; Dofus Ocre; Remueur; Carapace Feu majeur; Cavaleur majeur; Enragé majeur; El Scarador</t>
        </is>
      </c>
    </row>
    <row r="24421">
      <c r="A24421" t="inlineStr">
        <is>
          <t>Stuff 1</t>
        </is>
      </c>
      <c r="B24421">
        <f>HYPERLINK("https://www.dofusbook.net/fr/equipement/603071-stuff-1/objets", "link")</f>
        <v/>
      </c>
      <c r="C24421" t="n">
        <v>0</v>
      </c>
      <c r="D24421" t="inlineStr">
        <is>
          <t>L'Épée Nice; Amulette Ementaire Deluxe; Bague Gloursonne; Alliance Gloursonne; Bouclier du Sadida cassé; Ceinture de la Reine des Voleurs; Bonnet Ko; Voile d'encre; Pantoufles du Piloztère; Dofus Pourpre; Dofus Ocre; Dofus des Glaces; Nomade; Miraculé majeur; Remueur; Chacha Angora</t>
        </is>
      </c>
    </row>
    <row r="24422">
      <c r="A24422" t="inlineStr">
        <is>
          <t>Stuff 3</t>
        </is>
      </c>
      <c r="B24422">
        <f>HYPERLINK("https://www.dofusbook.net/fr/equipement/603066-stuff-3/objets", "link")</f>
        <v/>
      </c>
      <c r="C24422" t="n">
        <v>0</v>
      </c>
      <c r="D24422" t="inlineStr">
        <is>
          <t>Rouleau à Pâtisserie d'Aermyne; Amulette Luminescente; Bague Instable; Bague Trithon; Sangle Ouare; Masque de Koutoulou; Cape des Malveilleurs; Bottes des Malveilleurs; Culbuteur; Remueur; Pousseur majeur; Culbuteur majeur; Bousculeur; Bousculeur majeur; El Scarador</t>
        </is>
      </c>
    </row>
    <row r="24423">
      <c r="A24423" t="inlineStr">
        <is>
          <t>Stuff 2</t>
        </is>
      </c>
      <c r="B24423">
        <f>HYPERLINK("https://www.dofusbook.net/fr/equipement/603052-stuff-2/objets", "link")</f>
        <v/>
      </c>
      <c r="C24423" t="n">
        <v>0</v>
      </c>
      <c r="D24423" t="inlineStr">
        <is>
          <t>Arc Hétype; Amulette du K.O.; Anneau de Brouce; Bague Gloursonne; Ceinture du K.O.; Chapeau de Gein; Voile d'encre; Sabots Minables; Dofus des Glaces; Nomade; Évasif majeur; Remueur; Cavaleur majeur; Déserteur majeur</t>
        </is>
      </c>
    </row>
    <row r="24424">
      <c r="A24424" t="inlineStr">
        <is>
          <t>Stuff 1</t>
        </is>
      </c>
      <c r="B24424">
        <f>HYPERLINK("https://www.dofusbook.net/fr/equipement/603079-stuff-1/objets", "link")</f>
        <v/>
      </c>
      <c r="C24424" t="n">
        <v>0</v>
      </c>
      <c r="D24424" t="inlineStr">
        <is>
          <t>Rouleau à Pâtisserie d'Aermyne; Amulette du Sinistrofu; Bague Trithon; Alliance Gloursonne; Sangle Ouare; Casque Dragoeuf; Cape des Malveilleurs; Bottes des Malveilleurs; Dofus Ocre; Chanceux majeur; Cavaleur majeur; Bousculeur majeur; Miraculé majeur; Culbuteur majeur; Titard</t>
        </is>
      </c>
    </row>
    <row r="24425">
      <c r="A24425" t="inlineStr">
        <is>
          <t>Stuff 1</t>
        </is>
      </c>
      <c r="B24425">
        <f>HYPERLINK("https://www.dofusbook.net/fr/equipement/603074-stuff-1/objets", "link")</f>
        <v/>
      </c>
      <c r="C24425" t="n">
        <v>0</v>
      </c>
      <c r="D24425" t="inlineStr">
        <is>
          <t>Arc Hétype; Amulette de Nileza; Bague Gloursonne; Anneau Tique; Ceinture Séculaire; Chapeau Lithique; Voile d'encre; Bottes d'Otomaï; Dofus Ocre; Érudit majeur; Cavaleur majeur; Remueur; Évasif majeur; Nomade</t>
        </is>
      </c>
    </row>
    <row r="24426">
      <c r="A24426" t="inlineStr">
        <is>
          <t>Stuff 1</t>
        </is>
      </c>
      <c r="B24426">
        <f>HYPERLINK("https://www.dofusbook.net/fr/equipement/603069-stuff-1/objets", "link")</f>
        <v/>
      </c>
      <c r="C24426" t="n">
        <v>0</v>
      </c>
      <c r="D24426" t="inlineStr">
        <is>
          <t>Arc Hétype; Amulette Cryochrone; Bracelet des Fonds marins; Alliance Gloursonne; Ceintrigue; Kidibonnet; Voile d'encre; Bottes Owesli; Miraculé majeur; Nomade; Chanceux majeur; Remueur; Carapace Eau majeur; Érudit majeur; Kramkram</t>
        </is>
      </c>
    </row>
    <row r="24427">
      <c r="A24427" t="inlineStr">
        <is>
          <t>Stuff 1</t>
        </is>
      </c>
      <c r="B24427">
        <f>HYPERLINK("https://www.dofusbook.net/fr/equipement/603064-stuff-1/objets", "link")</f>
        <v/>
      </c>
      <c r="C24427" t="n">
        <v>0</v>
      </c>
      <c r="D24427" t="inlineStr">
        <is>
          <t>Dagues Érhy; Amulette du Strigide; Anneau Chevelu; Bague Gloursonne; Ceintacé; Casque de Missiz Frizz; Voile d'encre; Bottes du Strigide; Dofus Turquoise; Dofus Pourpre; Remueur; Vigoureux majeur; Nomade; Enragé majeur</t>
        </is>
      </c>
    </row>
    <row r="24428">
      <c r="A24428" t="inlineStr">
        <is>
          <t>Stuff 2</t>
        </is>
      </c>
      <c r="B24428">
        <f>HYPERLINK("https://www.dofusbook.net/fr/equipement/603059-stuff-2/objets", "link")</f>
        <v/>
      </c>
      <c r="C24428" t="n">
        <v>0</v>
      </c>
      <c r="D24428" t="inlineStr">
        <is>
          <t>Le Thanos; Talisman Igans; Alliance Gloursonne; Bracelet des Fonds marins; Ceintrigue; Binocle Airvoyant; Cape du Sinistrofu; Pataugastrique; Culbuteur majeur; Nomade; Soigneur majeur; Remueur; Bousculeur majeur; Guérisseur majeur; Kramkram</t>
        </is>
      </c>
    </row>
    <row r="24429">
      <c r="A24429" t="inlineStr">
        <is>
          <t>Stuff 1</t>
        </is>
      </c>
      <c r="B24429">
        <f>HYPERLINK("https://www.dofusbook.net/fr/equipement/603054-stuff-1/objets", "link")</f>
        <v/>
      </c>
      <c r="C24429" t="n">
        <v>2</v>
      </c>
      <c r="D24429" t="inlineStr">
        <is>
          <t>Rouleau à Pâtisserie d'Aermyne; Amulette de Pol Ouatnos; Anneau Tilus; Alliance Gloursonne; Protopagne; Bonnet Nufar; Capchalot; Bottes d'Oshimo; Étourdisseur majeur; Remueur; Miraculé majeur; Engourdisseur majeur; Déserteur majeur; Étourdisseur</t>
        </is>
      </c>
    </row>
    <row r="24430">
      <c r="A24430" t="inlineStr">
        <is>
          <t>Stuff 1</t>
        </is>
      </c>
      <c r="B24430">
        <f>HYPERLINK("https://www.dofusbook.net/fr/equipement/603049-stuff-1/objets", "link")</f>
        <v/>
      </c>
      <c r="C24430" t="n">
        <v>0</v>
      </c>
      <c r="D24430" t="inlineStr">
        <is>
          <t>Dagues Érhy; Amulette du Strigide; Bague Gloursonne; Anneau Chevelu; Ceinture du Strigide; Casque de Missiz Frizz; Voile d'encre; Bottes de la Cour Sombre; Dofus Turquoise; Dofus Pourpre; Dofus des Glaces; Dofus Ocre; Remueur; Nomade</t>
        </is>
      </c>
    </row>
    <row r="24431">
      <c r="A24431" t="inlineStr">
        <is>
          <t>Stuff 3</t>
        </is>
      </c>
      <c r="B24431">
        <f>HYPERLINK("https://www.dofusbook.net/fr/equipement/603081-stuff-3/objets", "link")</f>
        <v/>
      </c>
      <c r="C24431" t="n">
        <v>0</v>
      </c>
      <c r="D24431" t="inlineStr">
        <is>
          <t>Baguette de Malléfisk; Talisman Glouti; Bracelet des Fonds marins; Alliance Gloursonne; Sangle Ouare; Kidibonnet; Cape du Sinistrofu; Sandales des Fonds marins; Culbuteur majeur; Guérisseur majeur; Bousculeur majeur; Remueur; Évasif majeur; Docteur majeur; Brâkarien</t>
        </is>
      </c>
    </row>
    <row r="24432">
      <c r="A24432" t="inlineStr">
        <is>
          <t>Stuff 1</t>
        </is>
      </c>
      <c r="B24432">
        <f>HYPERLINK("https://www.dofusbook.net/fr/equipement/603076-stuff-1/objets", "link")</f>
        <v/>
      </c>
      <c r="C24432" t="n">
        <v>0</v>
      </c>
      <c r="D24432" t="inlineStr">
        <is>
          <t>Marteau R'ture; Amulette du Strigide; Anneau Crustique; Bague Gloursonne; Ceinture du Strigide; Chapeau de Gein; Cape au Logis; Bottes de la Cour Sombre; Dofus Ocre; Dofus des Glaces; Enragé majeur; Remueur; Carapace Feu majeur; Cavaleur majeur; El Scarador</t>
        </is>
      </c>
    </row>
    <row r="24433">
      <c r="A24433" t="inlineStr">
        <is>
          <t>Stuff 1</t>
        </is>
      </c>
      <c r="B24433">
        <f>HYPERLINK("https://www.dofusbook.net/fr/equipement/603071-stuff-1/objets", "link")</f>
        <v/>
      </c>
      <c r="C24433" t="n">
        <v>0</v>
      </c>
      <c r="D24433" t="inlineStr">
        <is>
          <t>L'Épée Nice; Amulette Ementaire Deluxe; Bague Gloursonne; Alliance Gloursonne; Bouclier du Sadida cassé; Ceinture de la Reine des Voleurs; Bonnet Ko; Voile d'encre; Pantoufles du Piloztère; Dofus Pourpre; Dofus Ocre; Dofus des Glaces; Nomade; Miraculé majeur; Remueur; Chacha Angora</t>
        </is>
      </c>
    </row>
    <row r="24434">
      <c r="A24434" t="inlineStr">
        <is>
          <t>Stuff 3</t>
        </is>
      </c>
      <c r="B24434">
        <f>HYPERLINK("https://www.dofusbook.net/fr/equipement/603066-stuff-3/objets", "link")</f>
        <v/>
      </c>
      <c r="C24434" t="n">
        <v>0</v>
      </c>
      <c r="D24434" t="inlineStr">
        <is>
          <t>Rouleau à Pâtisserie d'Aermyne; Amulette Luminescente; Bague Trithon; Bague Instable; Sangle Ouare; Masque de Koutoulou; Cape des Malveilleurs; Bottes des Malveilleurs; Bousculeur; Bousculeur majeur; Culbuteur; Remueur; Pousseur majeur; Culbuteur majeur; El Scarador</t>
        </is>
      </c>
    </row>
    <row r="24435">
      <c r="A24435" t="inlineStr">
        <is>
          <t>Stuff 3</t>
        </is>
      </c>
      <c r="B24435">
        <f>HYPERLINK("https://www.dofusbook.net/fr/equipement/603056-stuff-3/objets", "link")</f>
        <v/>
      </c>
      <c r="C24435" t="n">
        <v>0</v>
      </c>
      <c r="D24435" t="inlineStr">
        <is>
          <t>Rouleau à Pâtisserie d'Aermyne; Amulette de Pol Ouatnos; Alliance Gloursonne; Anneau Chevelu; Ceinture Instable; Chapeau Lochon; Cape Matelassée; Bottes d'Oshimo; Dofus Cawotte; Étourdisseur majeur; Étourdisseur; Remueur; Miraculé majeur; Engourdisseur majeur</t>
        </is>
      </c>
    </row>
    <row r="24436">
      <c r="A24436" t="inlineStr">
        <is>
          <t>Stuff 1</t>
        </is>
      </c>
      <c r="B24436">
        <f>HYPERLINK("https://www.dofusbook.net/fr/equipement/603051-stuff-1/objets", "link")</f>
        <v/>
      </c>
      <c r="C24436" t="n">
        <v>0</v>
      </c>
      <c r="D24436" t="inlineStr">
        <is>
          <t>Bêche Asse; Amulette du Strigide; Anneau des égarés; Anneau de Brouce; Ceintacé; Casque des égarés; Voile d'encre; Bottes de la Cour Sombre; Dofus Turquoise; Dofus des Glaces; Remueur; Évasif majeur; Nomade; Déserteur majeur; El Scarador</t>
        </is>
      </c>
    </row>
    <row r="24437">
      <c r="A24437" t="inlineStr">
        <is>
          <t>Stuff 3</t>
        </is>
      </c>
      <c r="B24437">
        <f>HYPERLINK("https://www.dofusbook.net/fr/equipement/603078-stuff-3/objets", "link")</f>
        <v/>
      </c>
      <c r="C24437" t="n">
        <v>0</v>
      </c>
      <c r="D24437" t="inlineStr">
        <is>
          <t>Épouvante; Amulette Luminescente; Pikano; Bague Trithon; Ceinture Luminescente; Masque Trithon; Cape Luminescente; Bottes Trithon; Dofus Ocre; Dofus Pourpre; Dofus des Glaces; Dofus Turquoise; Dofus Vulbis; Bousculeur majeur; Kramkram</t>
        </is>
      </c>
    </row>
    <row r="24438">
      <c r="A24438" t="inlineStr">
        <is>
          <t>Stuff 1</t>
        </is>
      </c>
      <c r="B24438">
        <f>HYPERLINK("https://www.dofusbook.net/fr/equipement/603073-stuff-1/objets", "link")</f>
        <v/>
      </c>
      <c r="C24438" t="n">
        <v>0</v>
      </c>
      <c r="D24438" t="inlineStr">
        <is>
          <t>Rapière aux Glyphes; Talisman Glouti; Alliance Gloursonne; Bracelet des Fonds marins; Sangle Ouare; Kidibonnet; Cape du Sinistrofu; Sandales des Fonds marins; Dofus Turquoise; Chanceux majeur; Carapace Air majeur; Remueur; Obstructeur majeur; Nomade</t>
        </is>
      </c>
    </row>
    <row r="24439">
      <c r="A24439" t="inlineStr">
        <is>
          <t>Stuff 1</t>
        </is>
      </c>
      <c r="B24439">
        <f>HYPERLINK("https://www.dofusbook.net/fr/equipement/603068-stuff-1/objets", "link")</f>
        <v/>
      </c>
      <c r="C24439" t="n">
        <v>2</v>
      </c>
      <c r="D24439" t="inlineStr">
        <is>
          <t>Pelle de la Cour Sombre; Amibou; Alliance Gloursonne; Anneau des égarés; Ceinture Rasboulaire du Rasboul; Casque des égarés; Cape du Kamasterisk; Baleinabottes; Dofus des Glaces; Dofus Pourpre; Nomade; Remueur; Vigoureux majeur; Cascadeur majeur; Kramkram</t>
        </is>
      </c>
    </row>
    <row r="24440">
      <c r="A24440" t="inlineStr">
        <is>
          <t>Stuff 2</t>
        </is>
      </c>
      <c r="B24440">
        <f>HYPERLINK("https://www.dofusbook.net/fr/equipement/603063-stuff-2/objets", "link")</f>
        <v/>
      </c>
      <c r="C24440" t="n">
        <v>0</v>
      </c>
      <c r="D24440" t="inlineStr">
        <is>
          <t>Arc Hétype; Amulette Séculaire; Anneau de Nidas; Bague Gloursonne; Ceinture Glaciale; Couronne de Nidas; Cape de Kongoku; Pataugastrique; Remueur; Ralentisseur majeur; Nomade; Déserteur majeur; Temporiseur majeur; Temporiseur</t>
        </is>
      </c>
    </row>
    <row r="24441">
      <c r="A24441" t="inlineStr">
        <is>
          <t>Stuff 1</t>
        </is>
      </c>
      <c r="B24441">
        <f>HYPERLINK("https://www.dofusbook.net/fr/equipement/603058-stuff-1/objets", "link")</f>
        <v/>
      </c>
      <c r="C24441" t="n">
        <v>0</v>
      </c>
      <c r="D24441" t="inlineStr">
        <is>
          <t>Rapière aux Glyphes; Amulette Cryochrone; Alliance Gloursonne; Bracelet des Fonds marins; Sangle Ouare; Kidibonnet; Cape du Sinistrofu; Sandales des Fonds marins; Pousseur majeur; Évasif majeur; Bousculeur majeur; Remueur; Miraculé majeur; Culbuteur majeur; El Scarador</t>
        </is>
      </c>
    </row>
    <row r="24442">
      <c r="A24442" t="inlineStr">
        <is>
          <t>Stuff 3</t>
        </is>
      </c>
      <c r="B24442">
        <f>HYPERLINK("https://www.dofusbook.net/fr/equipement/603053-stuff-3/objets", "link")</f>
        <v/>
      </c>
      <c r="C24442" t="n">
        <v>0</v>
      </c>
      <c r="D24442" t="inlineStr">
        <is>
          <t>Hache du Chalœil; Amulette de Gein; Bague Gloursonne; Bague Trithon; Ceinture de Gein; Masque Trithon; Cape Luminescente; Bottes Trithon</t>
        </is>
      </c>
    </row>
    <row r="24443">
      <c r="A24443" t="inlineStr">
        <is>
          <t>Stuff 3</t>
        </is>
      </c>
      <c r="B24443">
        <f>HYPERLINK("https://www.dofusbook.net/fr/equipement/603078-stuff-3/objets", "link")</f>
        <v/>
      </c>
      <c r="C24443" t="n">
        <v>0</v>
      </c>
      <c r="D24443" t="inlineStr">
        <is>
          <t>Épouvante; Amulette Luminescente; Pikano; Bague Trithon; Ceinture Luminescente; Masque Trithon; Cape Luminescente; Bottes Trithon; Dofus Vulbis; Dofus Ocre; Dofus Pourpre; Dofus des Glaces; Dofus Turquoise; Bousculeur majeur; Kramkram</t>
        </is>
      </c>
    </row>
    <row r="24444">
      <c r="A24444" t="inlineStr">
        <is>
          <t>Iop M 200</t>
        </is>
      </c>
      <c r="B24444">
        <f>HYPERLINK("https://www.dofusbook.net/fr/equipement/5262703-iop-m-200/objets", "link")</f>
        <v/>
      </c>
      <c r="C24444" t="n">
        <v>4</v>
      </c>
      <c r="D24444" t="inlineStr">
        <is>
          <t>Dagues Érhy; Amulette Volkorne; Bague Gloursonne; Anneau Crustique; Bivalve; Ceinture Volkorne; Masque de Koutoulou; Cape au Logis; Bottes du Roi Joueur; Dofus Turquoise; Dofus Pourpre; Vigoureux majeur; Remueur; Enragé majeur; Nomade; Chacha Angora</t>
        </is>
      </c>
    </row>
    <row r="24445">
      <c r="A24445" t="inlineStr">
        <is>
          <t>Crâ 130</t>
        </is>
      </c>
      <c r="B24445">
        <f>HYPERLINK("https://www.dofusbook.net/fr/equipement/3827512-cra-130/objets", "link")</f>
        <v/>
      </c>
      <c r="C24445" t="n">
        <v>14</v>
      </c>
      <c r="D24445" t="inlineStr">
        <is>
          <t>Dagues Cacterre; Amulette du Royalmouth; Anneau Xélomorphe; Gelano; Puissante Ceinture Fulgurante; Coiffe du Royalmouth; Bottes du Dragoeuf; Remueur; Nomade; Muldo Doré</t>
        </is>
      </c>
    </row>
    <row r="24446">
      <c r="A24446" t="inlineStr">
        <is>
          <t>Eliotrope M 200</t>
        </is>
      </c>
      <c r="B24446">
        <f>HYPERLINK("https://www.dofusbook.net/fr/equipement/5026395-eliotrope-m-200/objets", "link")</f>
        <v/>
      </c>
      <c r="C24446" t="n">
        <v>0</v>
      </c>
      <c r="D24446" t="inlineStr"/>
    </row>
    <row r="24447">
      <c r="A24447" t="inlineStr">
        <is>
          <t>Eliotrope M 200</t>
        </is>
      </c>
      <c r="B24447">
        <f>HYPERLINK("https://www.dofusbook.net/fr/equipement/5026371-eliotrope-m-200/objets", "link")</f>
        <v/>
      </c>
      <c r="C24447" t="n">
        <v>0</v>
      </c>
      <c r="D24447" t="inlineStr"/>
    </row>
    <row r="24448">
      <c r="A24448" t="inlineStr">
        <is>
          <t>Eliotrope M 200</t>
        </is>
      </c>
      <c r="B24448">
        <f>HYPERLINK("https://www.dofusbook.net/fr/equipement/5026357-eliotrope-m-200/objets", "link")</f>
        <v/>
      </c>
      <c r="C24448" t="n">
        <v>0</v>
      </c>
      <c r="D24448" t="inlineStr"/>
    </row>
    <row r="24449">
      <c r="A24449" t="inlineStr">
        <is>
          <t>Walaroo</t>
        </is>
      </c>
      <c r="B24449">
        <f>HYPERLINK("https://www.dofusbook.net/fr/equipement/2324207-walaroo/objets", "link")</f>
        <v/>
      </c>
      <c r="C24449" t="n">
        <v>5</v>
      </c>
      <c r="D24449" t="inlineStr">
        <is>
          <t>Plume de Buhorado; Collier du Valet Veinard; Alliance Gloursonne; Gant du Valet Veinard; Bouclier du Stalak; Menoture; Couronne d'Allister; Cape Indescriptible; Palmes Trithons; Dofus Ébène; Dofus Ocre; Dofus Pourpre; Dofus des Glaces; Dofus Abyssal; Cascadeur majeur; Blérodoudou</t>
        </is>
      </c>
    </row>
    <row r="24450">
      <c r="A24450" t="inlineStr">
        <is>
          <t>Roublard M 200</t>
        </is>
      </c>
      <c r="B24450">
        <f>HYPERLINK("https://www.dofusbook.net/fr/equipement/3940502-roublard-m-200/objets", "link")</f>
        <v/>
      </c>
      <c r="C24450" t="n">
        <v>0</v>
      </c>
      <c r="D24450" t="inlineStr">
        <is>
          <t>Plume de Buhorado; Amulette Volkorne; Anneauræus; Chevalière du Roi Joueur; Bouclier du Stalak; Ceinture Séculaire; Capuche de l'Œil Putride; Cape de Diondin; Bottes Innommables; Dofus Pourpre; Dofus Ocre; Dofus des Glaces; Nomade; Érudit majeur; Dévastateur Feu majeur; Bisouglours</t>
        </is>
      </c>
    </row>
    <row r="24451">
      <c r="A24451" t="inlineStr">
        <is>
          <t>Zobal M 200</t>
        </is>
      </c>
      <c r="B24451">
        <f>HYPERLINK("https://www.dofusbook.net/fr/equipement/3819937-zobal-m-200/objets", "link")</f>
        <v/>
      </c>
      <c r="C24451" t="n">
        <v>10</v>
      </c>
      <c r="D24451" t="inlineStr">
        <is>
          <t>Arc du Chalœil; Amulette du Cœur Saignant; Bague Gloursonne; Anneau Crustique; Bouclier du Stalak; Ceinture Volkorne; Masque de Koutoulou; Cape au Logis; Baleinabottes; Dofus Turquoise; Dofus Pourpre; Vigoureux majeur; Enragé majeur; Nomade; Remueur; Kokulte</t>
        </is>
      </c>
    </row>
    <row r="24452">
      <c r="A24452" t="inlineStr">
        <is>
          <t>Enutrof F 200</t>
        </is>
      </c>
      <c r="B24452">
        <f>HYPERLINK("https://www.dofusbook.net/fr/equipement/3944288-enutrof-f-200/objets", "link")</f>
        <v/>
      </c>
      <c r="C24452" t="n">
        <v>5</v>
      </c>
      <c r="D24452" t="inlineStr">
        <is>
          <t>Baguette Hique; Amulette de Shokkoth; Bracelet des Fonds marins; Anneau de Pol Ouatnos; Bouclier cubiste; Poulpagne; Casquette de Meno; Cape Solution; Bottes de Meno; Ralentisseur majeur; Temporiseur majeur; Dévastateur Eau majeur; Remueur; Entraveur majeur; Nomade; Gwo Tofu Ventripotent</t>
        </is>
      </c>
    </row>
    <row r="24453">
      <c r="A24453" t="inlineStr">
        <is>
          <t>Enutrof F 200</t>
        </is>
      </c>
      <c r="B24453">
        <f>HYPERLINK("https://www.dofusbook.net/fr/equipement/3944162-enutrof-f-200/objets", "link")</f>
        <v/>
      </c>
      <c r="C24453" t="n">
        <v>1</v>
      </c>
      <c r="D24453" t="inlineStr">
        <is>
          <t>Bâthon; Amulette Volcanique; Chevalière du Roi Joueur; Bracelet du Piloztère; Bouclier cubiste; Ceintacé; Couronne du Roi Joueur; Cape du Cœur Saignant; Bottes du Roi Joueur; Ralentisseur majeur; Remueur; Entraveur majeur; Nomade; Vigoureux majeur; Temporiseur majeur; Gwo Tofu Ventripotent</t>
        </is>
      </c>
    </row>
    <row r="24454">
      <c r="A24454" t="inlineStr">
        <is>
          <t>Stuff 1</t>
        </is>
      </c>
      <c r="B24454">
        <f>HYPERLINK("https://www.dofusbook.net/fr/equipement/1335985-stuff-1/objets", "link")</f>
        <v/>
      </c>
      <c r="C24454" t="n">
        <v>5</v>
      </c>
      <c r="D24454" t="inlineStr">
        <is>
          <t>Manthache; Collier du Valet Veinard; Alliance Gloursonne; Gant du Valet Veinard; Bouclier du Stalak; Menoture; Couronne d'Allister; Cape Matelassée; Palmes Trithons; Equilibriste majeur; Dévastateur Air majeur; Vigoureux majeur; Remueur; Cascadeur majeur; Nomade; Muldo Doré et Ebène</t>
        </is>
      </c>
    </row>
    <row r="24455">
      <c r="A24455" t="inlineStr">
        <is>
          <t>Terre/Air/CC</t>
        </is>
      </c>
      <c r="B24455">
        <f>HYPERLINK("https://www.dofusbook.net/fr/equipement/5579590-terre-air-cc/objets", "link")</f>
        <v/>
      </c>
      <c r="C24455" t="n">
        <v>12</v>
      </c>
      <c r="D24455" t="inlineStr">
        <is>
          <t>Baguette de Torkélonia; Amulette du Strigide; Bague Gloursonne; Alliance Gloursonne; Bouclier d'Asse; Ceinture du Strigide; Corne de Torkélonia; Carapace de Torkélonia; Bottes du Strigide; Dofus Pourpre; Dofus des Glaces; Dofus Émeraude; Dofus Ocre; Dolmanax; Dofus Turquoise; Kokulte</t>
        </is>
      </c>
    </row>
    <row r="24456">
      <c r="A24456" t="inlineStr">
        <is>
          <t>Crâ M 200</t>
        </is>
      </c>
      <c r="B24456">
        <f>HYPERLINK("https://www.dofusbook.net/fr/equipement/5988949-cra-m-200/objets", "link")</f>
        <v/>
      </c>
      <c r="C24456" t="n">
        <v>0</v>
      </c>
      <c r="D24456" t="inlineStr">
        <is>
          <t>Sabres d'Atcham; Amulette du Strigide; Bracelet du Piloztère; Bague Trithon; Quatre-feuilles; Ceinture du Strigide; Masque Trithon; Cape d'Atcham; Bottes Trithon; Dofus Pourpre; Dofus Vulbis; Dofus des Glaces; Dofus Ocre; Dolmanax; Dofus Turquoise; Kokulte</t>
        </is>
      </c>
    </row>
    <row r="24457">
      <c r="A24457" t="inlineStr">
        <is>
          <t>Air/Resi 200 V2</t>
        </is>
      </c>
      <c r="B24457">
        <f>HYPERLINK("https://www.dofusbook.net/fr/equipement/3694761-air-resi-200-v2/objets", "link")</f>
        <v/>
      </c>
      <c r="C24457" t="n">
        <v>0</v>
      </c>
      <c r="D24457" t="inlineStr">
        <is>
          <t>Manthache; Collier du Valet Veinard; Gant du Valet Veinard; Alliance Gloursonne; Bivalve; Menoture; Couronne d'Allister; Cape Indescriptible; Palmes Trithons; Dolmanax; Dofus Vulbis; Dofus des Glaces; Dofus Ocre; Dofus Ivoire; Cascadeur majeur; Kramkram</t>
        </is>
      </c>
    </row>
    <row r="24458">
      <c r="A24458" t="inlineStr">
        <is>
          <t>Cra multi 200</t>
        </is>
      </c>
      <c r="B24458">
        <f>HYPERLINK("https://www.dofusbook.net/fr/equipement/5853396-cra-multi-200/objets", "link")</f>
        <v/>
      </c>
      <c r="C24458" t="n">
        <v>0</v>
      </c>
      <c r="D24458" t="inlineStr">
        <is>
          <t>Sabres d'Atcham; Amulette Volkorne; Anneau Volkorne; Bracelet du Piloztère; Quatre-feuilles; Ceinture du Strigide; Capuche de l'Œil Putride; Cape d'Atcham; Sandales  d'Atcham; Dofus Pourpre; Dofus des Glaces; Dofus Émeraude; Dofus Turquoise; Dofus Vulbis; Dofus Ocre; Sakochère</t>
        </is>
      </c>
    </row>
    <row r="24459">
      <c r="A24459" t="inlineStr">
        <is>
          <t>Full air 200</t>
        </is>
      </c>
      <c r="B24459">
        <f>HYPERLINK("https://www.dofusbook.net/fr/equipement/5868636-full-air-200/objets", "link")</f>
        <v/>
      </c>
      <c r="C24459" t="n">
        <v>0</v>
      </c>
      <c r="D24459" t="inlineStr">
        <is>
          <t>Manthache; Collier du Valet Veinard; Gant du Valet Veinard; Anneau d'Allister; Bivalve; Sangle Oriole; Couronne d'Allister; Cape du Valet Veinard; Bottes d'Allister; Dofus Émeraude; Dofus Ocre; Dofus Pourpre; Dofus des Glaces; Dofus Ébène; Dofus Vulbis; Blérodoudou</t>
        </is>
      </c>
    </row>
    <row r="24460">
      <c r="A24460" t="inlineStr">
        <is>
          <t>Terre 12PA</t>
        </is>
      </c>
      <c r="B24460">
        <f>HYPERLINK("https://www.dofusbook.net/fr/equipement/5890631-terre-12pa/objets", "link")</f>
        <v/>
      </c>
      <c r="C24460" t="n">
        <v>0</v>
      </c>
      <c r="D24460" t="inlineStr">
        <is>
          <t>Marteau R'ture; Amulette de Gein; Anneau de Brouce; Anneau d'Henual; Bivalve; Ceinture de Gein; Chapeau de Gein; Cape de la Cour Sombre; Bottes de Brouce; Dofus Vulbis; Dofus des Glaces; Dofus Émeraude; Dofus Ocre; Dofus Pourpre; Dofus Ébène; Volkorne Doré et Pourpre</t>
        </is>
      </c>
    </row>
    <row r="24461">
      <c r="A24461" t="inlineStr">
        <is>
          <t>Féca M 200</t>
        </is>
      </c>
      <c r="B24461">
        <f>HYPERLINK("https://www.dofusbook.net/fr/equipement/5810565-feca-m-200/objets", "link")</f>
        <v/>
      </c>
      <c r="C24461" t="n">
        <v>0</v>
      </c>
      <c r="D24461" t="inlineStr">
        <is>
          <t>Marteau R'ture; Collier de Tourthon; Anneau de Brouce; Anneau Crustique; Bivalve; Culotte de Bethel; Masque de Funespadon; Sac Volcanique; Bottes de la Cour Sombre; Dofus Vulbis; Dofus Ocre; Dofus des Glaces; Remueur; Enragé majeur; Déserteur majeur; Volkorne Jade et Pourpre</t>
        </is>
      </c>
    </row>
    <row r="24462">
      <c r="A24462" t="inlineStr">
        <is>
          <t>Cra Multi 200</t>
        </is>
      </c>
      <c r="B24462">
        <f>HYPERLINK("https://www.dofusbook.net/fr/equipement/5795108-cra-multi-200/objets", "link")</f>
        <v/>
      </c>
      <c r="C24462" t="n">
        <v>1</v>
      </c>
      <c r="D24462" t="inlineStr">
        <is>
          <t>Epée Gloursonne; Amulette du Strigide; Alliance Gloursonne; Bague Gloursonne; Quatre-feuilles; Ceinture du Strigide; Masque Trithon; Cape d'Atcham; Bottes du Strigide; Dofus Vulbis; Dofus Ocre; Dofus Turquoise; Dofus des Glaces; Dolmanax; Dofus Pourpre; Kokulte</t>
        </is>
      </c>
    </row>
    <row r="24463">
      <c r="A24463" t="inlineStr">
        <is>
          <t>Terre/Feu 200</t>
        </is>
      </c>
      <c r="B24463">
        <f>HYPERLINK("https://www.dofusbook.net/fr/equipement/3759682-terre-feu-200/objets", "link")</f>
        <v/>
      </c>
      <c r="C24463" t="n">
        <v>15</v>
      </c>
      <c r="D24463" t="inlineStr">
        <is>
          <t>Dagues Érhy; Amulette Volkorne; Chevalière du Roi Joueur; Bague Gloursonne; Bivalve; Ceinture Volkorne; Couronne du Roi Joueur; Sac Volcanique; Bottes du Roi Joueur; Dokoko; Dofus Ocre; Dofus Émeraude; Dofus des Glaces; Dofus Pourpre; Muldo Doré et Ebène</t>
        </is>
      </c>
    </row>
    <row r="24464">
      <c r="A24464" t="inlineStr">
        <is>
          <t>Air/Feu Final 200</t>
        </is>
      </c>
      <c r="B24464">
        <f>HYPERLINK("https://www.dofusbook.net/fr/equipement/4412414-air-feu-final-200/objets", "link")</f>
        <v/>
      </c>
      <c r="C24464" t="n">
        <v>11</v>
      </c>
      <c r="D24464" t="inlineStr">
        <is>
          <t>Marteau Phossile; Pendentif mignon de Koutoulou; Alliance Brûlâme; Anneau Rifique; Bivalve; Ceinture de l'Esprit Salvateur; Masquegel; Voilamibe; Pantoufles Émar; Dofus Pourpre; Dofus des Glaces; Vigoureux majeur; Dévastateur Feu majeur; Remueur; Dévastateur Air majeur; Dragodinde Ebène et Orchidée</t>
        </is>
      </c>
    </row>
    <row r="24465">
      <c r="A24465" t="inlineStr">
        <is>
          <t>Air/Resi 200</t>
        </is>
      </c>
      <c r="B24465">
        <f>HYPERLINK("https://www.dofusbook.net/fr/equipement/3666595-air-resi-200/objets", "link")</f>
        <v/>
      </c>
      <c r="C24465" t="n">
        <v>2</v>
      </c>
      <c r="D24465" t="inlineStr">
        <is>
          <t>Pelle de la Cour Sombre; Amulette Martegel; Alliance Gloursonne; Alliance Brûlâme; Cadran d'Air; Ceinture Voldelor; Casque d'Ilyzaelle; Cape Martegel; Baleinabottes; Dofus Ivoire; Dofus des Glaces; Dévastateur Air majeur; Remueur; Miraculé majeur; Cascadeur majeur; Muldo Ebène et Orchidée</t>
        </is>
      </c>
    </row>
    <row r="24466">
      <c r="A24466" t="inlineStr">
        <is>
          <t>Eau/Do Pou 200</t>
        </is>
      </c>
      <c r="B24466">
        <f>HYPERLINK("https://www.dofusbook.net/fr/equipement/4258055-eau-do-pou-200/objets", "link")</f>
        <v/>
      </c>
      <c r="C24466" t="n">
        <v>2</v>
      </c>
      <c r="D24466" t="inlineStr">
        <is>
          <t>Dagoulinantes; Amulette du Sinistrofu; Anneau Volkorne; Alliance Gloursonne; Bivalve; Poulpagne; Masque Paztek; Cape Paztek; Bottes Owesli; Dofus des Glaces; Culbuteur majeur; Miraculé majeur; Chanceux majeur; Dévastateur Eau majeur; Nomade; Volkorne Roux et Indigo</t>
        </is>
      </c>
    </row>
    <row r="24467">
      <c r="A24467" t="inlineStr">
        <is>
          <t>Air/Resi Final</t>
        </is>
      </c>
      <c r="B24467">
        <f>HYPERLINK("https://www.dofusbook.net/fr/equipement/4330618-air-resi-final/objets", "link")</f>
        <v/>
      </c>
      <c r="C24467" t="n">
        <v>0</v>
      </c>
      <c r="D24467" t="inlineStr">
        <is>
          <t>Lance Horselé; Collier du Valet Veinard; Gant du Valet Veinard; Alliance Gloursonne; Bivalve; Menoture; Dorabysses; Cape de Crânonier; Palmes Trithons; Dofus des Glaces; Dofus Pourpre; Remueur; Dévastateur Air majeur; Miraculé majeur; Cascadeur majeur; Muldo Doré et Ebène</t>
        </is>
      </c>
    </row>
    <row r="24468">
      <c r="A24468" t="inlineStr">
        <is>
          <t>New Feu</t>
        </is>
      </c>
      <c r="B24468">
        <f>HYPERLINK("https://www.dofusbook.net/fr/equipement/4437569-new-feu/objets", "link")</f>
        <v/>
      </c>
      <c r="C24468" t="n">
        <v>0</v>
      </c>
      <c r="D24468" t="inlineStr">
        <is>
          <t>Arc corrompu; Amulette Volkorne; Anneauræus; Anneauræus; Bivalve; Ceintrigue; Heaume Oplate; Cape de Diondin; Bottes Innommables; Dofus des Glaces; Dofus Pourpre; Dévastateur Feu majeur; Nomade; Érudit majeur; Vigoureux majeur; Bisouglours</t>
        </is>
      </c>
    </row>
    <row r="24469">
      <c r="A24469" t="inlineStr">
        <is>
          <t>Feu/Soin 200</t>
        </is>
      </c>
      <c r="B24469">
        <f>HYPERLINK("https://www.dofusbook.net/fr/equipement/3664506-feu-soin-200/objets", "link")</f>
        <v/>
      </c>
      <c r="C24469" t="n">
        <v>0</v>
      </c>
      <c r="D24469" t="inlineStr">
        <is>
          <t>Massier; Pendentif affamé; Anneauræus; Anneau Rifique; Bouclier du Cycloïde; Ceinture de Vortex; Masque Ardent; Cape de Diondin; Bottes Innommables; Nomade; Érudit majeur; Remueur; Guérisseur majeur; Dévastateur Feu majeur; Soigneur majeur; Dragodinde Prune et Rousse</t>
        </is>
      </c>
    </row>
    <row r="24470">
      <c r="A24470" t="inlineStr">
        <is>
          <t>Terre 200</t>
        </is>
      </c>
      <c r="B24470">
        <f>HYPERLINK("https://www.dofusbook.net/fr/equipement/4272881-terre-200/objets", "link")</f>
        <v/>
      </c>
      <c r="C24470" t="n">
        <v>2</v>
      </c>
      <c r="D24470" t="inlineStr">
        <is>
          <t>Dagues Érhy; Collier de Tourthon; Anneau de Brouce; Anneau Crustique; Bivalve; Ceinture Volkorne; Masque de Koutoulou; Cape au Logis; Bottes de Brouce; Dofus Pourpre; Dofus des Glaces; Remueur; Enragé majeur; Dévastateur Terre majeur; Vigoureux majeur; Muldo Doré et Pourpre</t>
        </is>
      </c>
    </row>
    <row r="24471">
      <c r="A24471" t="inlineStr">
        <is>
          <t>Feu/Soin/Resi 200</t>
        </is>
      </c>
      <c r="B24471">
        <f>HYPERLINK("https://www.dofusbook.net/fr/equipement/3727535-feu-soin-resi-200/objets", "link")</f>
        <v/>
      </c>
      <c r="C24471" t="n">
        <v>2</v>
      </c>
      <c r="D24471" t="inlineStr">
        <is>
          <t>Baguette de Malléfisk; Amulette Volkorne; Alliance Brûlâme; Anneauræus; Bouclier du Cycloïde; Ceinture de Gein; Heaume Oplate; Cape de la Dame du Hasard; Chaussures Ardentes; Dofus des Glaces; Guérisseur majeur; Dévastateur Feu majeur; Observateur; Miraculé majeur; Érudit majeur; Volkorne Jade et Orchidée</t>
        </is>
      </c>
    </row>
    <row r="24472">
      <c r="A24472" t="inlineStr">
        <is>
          <t>Terre/Air 200</t>
        </is>
      </c>
      <c r="B24472">
        <f>HYPERLINK("https://www.dofusbook.net/fr/equipement/4201599-terre-air-200/objets", "link")</f>
        <v/>
      </c>
      <c r="C24472" t="n">
        <v>1</v>
      </c>
      <c r="D24472" t="inlineStr">
        <is>
          <t>Lance corrompue; Amulette du Cœur Vaillant; Anneau du Cycloïde; Anneau des égarés; Bivalve; Ceintouse; Casque des égarés; Cape du Kamasterisk; Baleinabottes; Dofus Émeraude; Dofus Pourpre; Dofus des Glaces; Vigoureux majeur; Robuste majeur; Remueur; Muldo Doré et Pourpre</t>
        </is>
      </c>
    </row>
    <row r="24473">
      <c r="A24473" t="inlineStr">
        <is>
          <t>Terre/Feu 200</t>
        </is>
      </c>
      <c r="B24473">
        <f>HYPERLINK("https://www.dofusbook.net/fr/equipement/4228574-terre-feu-200/objets", "link")</f>
        <v/>
      </c>
      <c r="C24473" t="n">
        <v>0</v>
      </c>
      <c r="D24473" t="inlineStr">
        <is>
          <t>Dagues Érhy; Amulette Volkorne; Goulano; Bague Gloursonne; Bivalve; Ceinture Volkorne; Chapeau de Gein; Voile d'encre; Sabots Volcaniques; Dofus des Glaces; Dofus Pourpre; Miraculé majeur; Remueur; Vigoureux majeur; Nomade; Volkorne Rubis et Améthyste</t>
        </is>
      </c>
    </row>
    <row r="24474">
      <c r="A24474" t="inlineStr">
        <is>
          <t>Iop M 200</t>
        </is>
      </c>
      <c r="B24474">
        <f>HYPERLINK("https://www.dofusbook.net/fr/equipement/4274464-iop-m-200/objets", "link")</f>
        <v/>
      </c>
      <c r="C24474" t="n">
        <v>0</v>
      </c>
      <c r="D24474" t="inlineStr">
        <is>
          <t>Arc Volkorne; Amulette Volkorne; Bague Gloursonne; Alliance Gloursonne; Bivalve; Ceinture Volkorne; Casque Volkorne; Cape du Chalœil; Bottes de l'Esprit Salvateur; Dofus Ivoire; Dofus Pourpre; Dofus Émeraude; Dofus Ocre; Dolmanax; Dofus des Glaces; Volkorne Saphir</t>
        </is>
      </c>
    </row>
    <row r="24475">
      <c r="A24475" t="inlineStr">
        <is>
          <t>Feu/Soin 200 V2</t>
        </is>
      </c>
      <c r="B24475">
        <f>HYPERLINK("https://www.dofusbook.net/fr/equipement/1180011-feu-soin-200-v2/objets", "link")</f>
        <v/>
      </c>
      <c r="C24475" t="n">
        <v>12</v>
      </c>
      <c r="D24475" t="inlineStr">
        <is>
          <t>Arc corrompu; Pendentif affamé; Anneau Tamie; Anneau Rifique; Bouclier du Cycloïde; Ceinture Séculaire; Casque Cyclopéen; Cape de Diondin; Bottes Innommables; Dofus des Glaces; Érudit majeur; Remueur; Guérisseur majeur; Miraculé majeur; Dévastateur Feu majeur; Muldo Indigo et Orchidée</t>
        </is>
      </c>
    </row>
    <row r="24476">
      <c r="A24476" t="inlineStr">
        <is>
          <t>Air/Resi 200</t>
        </is>
      </c>
      <c r="B24476">
        <f>HYPERLINK("https://www.dofusbook.net/fr/equipement/3692764-air-resi-200/objets", "link")</f>
        <v/>
      </c>
      <c r="C24476" t="n">
        <v>1</v>
      </c>
      <c r="D24476" t="inlineStr">
        <is>
          <t>Pelle de la Cour Sombre; Amulette Martegel; Alliance Brûlâme; Alliance Gloursonne; Bouclier du Cycloïde; Ceinture Voldelor; Casque d'Ilyzaelle; Cape Martegel; Baleinabottes; Dofus Émeraude; Dofus des Glaces; Dofus Ocre; Miraculé majeur; Cascadeur majeur; Dévastateur Air majeur; Muldo Ebène et Orchidée</t>
        </is>
      </c>
    </row>
    <row r="24477">
      <c r="A24477" t="inlineStr">
        <is>
          <t>Eau/Invo 200</t>
        </is>
      </c>
      <c r="B24477">
        <f>HYPERLINK("https://www.dofusbook.net/fr/equipement/4265162-eau-invo-200/objets", "link")</f>
        <v/>
      </c>
      <c r="C24477" t="n">
        <v>0</v>
      </c>
      <c r="D24477" t="inlineStr">
        <is>
          <t>Sceptre du Roi Joueur; Amulette de Shokkoth; Alliance Gloursonne; Bracelet des Fonds marins; Bivalve; Sangle Ouare; Masque des Fonds marins; Cape Solution; Bottes du Sinistrofu; Dofus des Glaces; Dofus Ébène; Dofus Pourpre; Chanceux majeur; Miraculé majeur; Dévastateur Eau majeur; Volkorne Saphir</t>
        </is>
      </c>
    </row>
    <row r="24478">
      <c r="A24478" t="inlineStr">
        <is>
          <t>Iop M 200</t>
        </is>
      </c>
      <c r="B24478">
        <f>HYPERLINK("https://www.dofusbook.net/fr/equipement/4232605-iop-m-200/objets", "link")</f>
        <v/>
      </c>
      <c r="C24478" t="n">
        <v>0</v>
      </c>
      <c r="D24478" t="inlineStr">
        <is>
          <t>Arc du Chalœil; Collier de Tourthon; Anneau Crustique; Anneau Crustique; Bouclier du Cycloïde; Ceinture Gence; Coiffe de la Reine des Voleurs; Cape au Logis; Pompes Funèbres; Dofus Ébène; Dofus Pourpre; Dofus des Glaces; Miraculé majeur; Vigoureux majeur; Enragé majeur; Volkorne Jade</t>
        </is>
      </c>
    </row>
    <row r="24479">
      <c r="A24479" t="inlineStr">
        <is>
          <t>Pods</t>
        </is>
      </c>
      <c r="B24479">
        <f>HYPERLINK("https://www.dofusbook.net/fr/equipement/1896827-pods/objets", "link")</f>
        <v/>
      </c>
      <c r="C24479" t="n">
        <v>0</v>
      </c>
      <c r="D24479" t="inlineStr">
        <is>
          <t>Marteau R'ture; Collier de Tourthon; Anneau Crustique; Anneau Crustique; Bouclier du tournesol sauvage; Ceinture de Brouce; Coiffe du Comte Harebourg; Sac du Staca Noviste; Bottes de Brouce; Furibond majeur; Porteur majeur; Porteur mineur; Forcené majeur; Porteur; Enragé majeur; Bulbouture</t>
        </is>
      </c>
    </row>
    <row r="24480">
      <c r="A24480" t="inlineStr">
        <is>
          <t>Feu/Air 200</t>
        </is>
      </c>
      <c r="B24480">
        <f>HYPERLINK("https://www.dofusbook.net/fr/equipement/3676478-feu-air-200/objets", "link")</f>
        <v/>
      </c>
      <c r="C24480" t="n">
        <v>0</v>
      </c>
      <c r="D24480" t="inlineStr">
        <is>
          <t>Dagues Érhy; Amulette du Cycloïde; Anneau du Katcheur; Anneau Rifique; Bouclier du Cycloïde; Ceinture de Vortex; Casque Cyclopéen; Cape Martegel; Pantoufles Émar; Dofus des Glaces; Dofus Pourpre; Miraculé majeur; Sanguinaire majeur; Nomade; Carapace Terre majeur; Volkorne Jade et Saphir</t>
        </is>
      </c>
    </row>
    <row r="24481">
      <c r="A24481" t="inlineStr">
        <is>
          <t>Feu/Air/Soin 200</t>
        </is>
      </c>
      <c r="B24481">
        <f>HYPERLINK("https://www.dofusbook.net/fr/equipement/3664542-feu-air-soin-200/objets", "link")</f>
        <v/>
      </c>
      <c r="C24481" t="n">
        <v>0</v>
      </c>
      <c r="D24481" t="inlineStr">
        <is>
          <t>Baguette Range; Pendentif mignon de Koutoulou; Kralano; Anneau Rifique; Bouclier du Cycloïde; Ceinture de Vortex; Masque du Katcheur; Cape Martegel; Pantoufles Émar; Dofus des Glaces; Carapace Feu majeur; Remueur; Guérisseur majeur; Nomade; Dragodinde Prune et Rousse</t>
        </is>
      </c>
    </row>
    <row r="24482">
      <c r="A24482" t="inlineStr">
        <is>
          <t>Grizou 200</t>
        </is>
      </c>
      <c r="B24482">
        <f>HYPERLINK("https://www.dofusbook.net/fr/equipement/4164405-grizou-200/objets", "link")</f>
        <v/>
      </c>
      <c r="C24482" t="n">
        <v>0</v>
      </c>
      <c r="D24482" t="inlineStr">
        <is>
          <t>Pioche de Grizou; Amulette de l'Œil Attentif; Anneau Toriété; Anneau Volkorne; Culotte de Bethel; Masque de Funespadon; Cape Solution; Bottes Owesli; Dofus des Glaces; Chanceux majeur; Dévastateur Eau majeur; Sanguinaire majeur; Muldo Doré et Indigo</t>
        </is>
      </c>
    </row>
    <row r="24483">
      <c r="A24483" t="inlineStr">
        <is>
          <t>Féca 200</t>
        </is>
      </c>
      <c r="B24483">
        <f>HYPERLINK("https://www.dofusbook.net/fr/equipement/4154862-feca--200/objets", "link")</f>
        <v/>
      </c>
      <c r="C24483" t="n">
        <v>1</v>
      </c>
      <c r="D24483" t="inlineStr">
        <is>
          <t>Pyraguette; Talisman Igans; Lavanneau; Lavanneau; Bouclier du Cycloïde; Ceintrigue; Coiffe d'Ogivol; Cape de Meno; Pataugastrique; Dofus Émeraude; Dofus Pourpre; Dofus des Glaces; Robuste majeur; Nomade; Vigoureux majeur; Bwak d'Eau</t>
        </is>
      </c>
    </row>
    <row r="24484">
      <c r="A24484" t="inlineStr">
        <is>
          <t>Féca PP 200</t>
        </is>
      </c>
      <c r="B24484">
        <f>HYPERLINK("https://www.dofusbook.net/fr/equipement/4154154-feca-pp-200/objets", "link")</f>
        <v/>
      </c>
      <c r="C24484" t="n">
        <v>0</v>
      </c>
      <c r="D24484" t="inlineStr">
        <is>
          <t>Sceptre du Roi Joueur; Amulette de l'Œil Attentif; Grésilanneau; Anneau Glacial; Pagne du Rykaon; Kidibonnet; Cape du Sinistrofu; Bottes du Sinistrofu; Dofus Kaliptus; Chanceux; Examinateur; Joueur majeur; Observateur; Chanceux majeur; Vilain Petit Corbac</t>
        </is>
      </c>
    </row>
    <row r="24485">
      <c r="A24485" t="inlineStr">
        <is>
          <t>Terre/Air 200 V2</t>
        </is>
      </c>
      <c r="B24485">
        <f>HYPERLINK("https://www.dofusbook.net/fr/equipement/1252209-terre-air-200-v2/objets", "link")</f>
        <v/>
      </c>
      <c r="C24485" t="n">
        <v>1</v>
      </c>
      <c r="D24485" t="inlineStr">
        <is>
          <t>Hache Ériphe; Amulette de Nevark; Anneau des égarés; Anneau du Cycloïde; Bouclier du Cycloïde; Ceintouse; Coiffe de la Reine des Voleurs; Cape du Kamasterisk; Baleinabottes; Dofus des Glaces; Dofus Émeraude; Dofus Pourpre; Remueur; Observateur; Vigoureux majeur</t>
        </is>
      </c>
    </row>
    <row r="24486">
      <c r="A24486" t="inlineStr">
        <is>
          <t>Feu/Ini 200</t>
        </is>
      </c>
      <c r="B24486">
        <f>HYPERLINK("https://www.dofusbook.net/fr/equipement/3677391-feu-ini-200/objets", "link")</f>
        <v/>
      </c>
      <c r="C24486" t="n">
        <v>26</v>
      </c>
      <c r="D24486" t="inlineStr">
        <is>
          <t>Arc corrompu; Amulette de l'Œil Putride; Anneau du Katcheur; Anneauræus; Bouclier du Stalak; Ceinture de Gein; Heaume Oplate; Cape de l'Œil Putride; Chaussures Ardentes; Dévastateur Feu majeur; Nomade; Remueur; Érudit majeur; Miraculé majeur; Fonceur majeur; Dragodinde Amande et Orchidée</t>
        </is>
      </c>
    </row>
    <row r="24487">
      <c r="A24487" t="inlineStr">
        <is>
          <t>Terre/Air 200 V2</t>
        </is>
      </c>
      <c r="B24487">
        <f>HYPERLINK("https://www.dofusbook.net/fr/equipement/3721938-terre-air-200-v2/objets", "link")</f>
        <v/>
      </c>
      <c r="C24487" t="n">
        <v>0</v>
      </c>
      <c r="D24487" t="inlineStr">
        <is>
          <t>Epée Gloursonne; Amulette du Kamasterisk; Alliance Gloursonne; Bague Gloursonne; Bouclier du Cycloïde; Ceinture de la Reine des Voleurs; Coiffe de la Reine des Voleurs; Cape du Kamasterisk; Bottes du Kamasterisk; Dofus Pourpre; Dofus Ivoire; Dofus Émeraude; Dofus Ocre; Dolmanax; Dofus des Glaces; Muldo Ebène et Orchidée</t>
        </is>
      </c>
    </row>
    <row r="24488">
      <c r="A24488" t="inlineStr">
        <is>
          <t>Iop M 200</t>
        </is>
      </c>
      <c r="B24488">
        <f>HYPERLINK("https://www.dofusbook.net/fr/equipement/3740315-iop-m-200/objets", "link")</f>
        <v/>
      </c>
      <c r="C24488" t="n">
        <v>0</v>
      </c>
      <c r="D24488" t="inlineStr">
        <is>
          <t>Arc corrompu; Amulette Martegel; Chevalière du Roi Joueur; Anneauræus; Bouclier du Stalak; Ceinture de Kongoku; Heaume Oplate; Cape de Nileza; Chaussures Ardentes; Dofus des Glaces; Érudit majeur; Miraculé majeur; Dévastateur Feu majeur; Muldo Indigo et Orchidée</t>
        </is>
      </c>
    </row>
    <row r="24489">
      <c r="A24489" t="inlineStr">
        <is>
          <t>Air/Ret PM 200</t>
        </is>
      </c>
      <c r="B24489">
        <f>HYPERLINK("https://www.dofusbook.net/fr/equipement/3672384-air-ret-pm-200/objets", "link")</f>
        <v/>
      </c>
      <c r="C24489" t="n">
        <v>0</v>
      </c>
      <c r="D24489" t="inlineStr">
        <is>
          <t>Hachoirs de Viandargh; Amibou; Gant du Valet Veinard; Alliance Gloursonne; Bouclier cubiste; Menoture; Chapeau de Tournoyé; Capibou; Bottes du Cycloïde; Miraculé majeur; Carapace Eau majeur; Cascadeur majeur; Temporiseur majeur; Nomade; Carapace Air majeur; Volkorne Améthyste et Turquoise</t>
        </is>
      </c>
    </row>
    <row r="24490">
      <c r="A24490" t="inlineStr">
        <is>
          <t>Equipé</t>
        </is>
      </c>
      <c r="B24490">
        <f>HYPERLINK("https://www.dofusbook.net/fr/equipement/4852924-equipe/objets", "link")</f>
        <v/>
      </c>
      <c r="C24490" t="n">
        <v>3</v>
      </c>
      <c r="D24490" t="inlineStr">
        <is>
          <t>Arc corrompu; Amulette d'Otomaï; Anneau Rifique; Anneauræus; Bivalve; Ceinture Séculaire; Heaume Oplate; Cape de Diondin; Bottes d'Otomaï; Guérisseur majeur; Fonceur majeur; Savant majeur; Érudit majeur; Astucieux majeur; Nomade; Dragodinde Orchidée et Rousse</t>
        </is>
      </c>
    </row>
    <row r="24491">
      <c r="A24491" t="inlineStr">
        <is>
          <t>Futur stuff steamer</t>
        </is>
      </c>
      <c r="B24491">
        <f>HYPERLINK("https://www.dofusbook.net/fr/equipement/5904115-futur-stuff-steamer/objets", "link")</f>
        <v/>
      </c>
      <c r="C24491" t="n">
        <v>0</v>
      </c>
      <c r="D24491" t="inlineStr">
        <is>
          <t>Baguette de Torkélonia; Amulette du Strigide; Anneau de Padgref; Bracelet du Piloztère; Quatre-feuilles; Ceinture du Strigide; Coiffe de Padgref; Carapace de Torkélonia; Getas de Padgref; Dofus Turquoise; Dofus Ocre; Dofus des Glaces; Dofus Ébène; Dofus Ivoire; Dofus Vulbis; Kokulte</t>
        </is>
      </c>
    </row>
    <row r="24492">
      <c r="A24492" t="inlineStr">
        <is>
          <t>cra cac</t>
        </is>
      </c>
      <c r="B24492">
        <f>HYPERLINK("https://www.dofusbook.net/fr/equipement/6012063-cra-cac/objets", "link")</f>
        <v/>
      </c>
      <c r="C24492" t="n">
        <v>0</v>
      </c>
      <c r="D24492" t="inlineStr">
        <is>
          <t>Epée Maudite du Saigneur Guerrier; Amulette du Strigide; Bracelet du Piloztère; Anneau de Padgref; Bouclier du Captain Amakna; Ceinture du Strigide; Coiffe de Padgref; Chevelure de Tal Kasha; Getas de Padgref; Dofus Vulbis; Dofus Ocre; Dofus Turquoise; Dofus des Glaces; Dofus Abyssal; Dofus Ébène; Kokulte</t>
        </is>
      </c>
    </row>
    <row r="24493">
      <c r="A24493" t="inlineStr">
        <is>
          <t>Equipé</t>
        </is>
      </c>
      <c r="B24493">
        <f>HYPERLINK("https://www.dofusbook.net/fr/equipement/583517-equipe/objets", "link")</f>
        <v/>
      </c>
      <c r="C24493" t="n">
        <v>26</v>
      </c>
      <c r="D24493" t="inlineStr">
        <is>
          <t>Sabres d'Atcham; Amulette du Strigide; Bracelet du Piloztère; Anneau de Padgref; Quatre-feuilles; Ceinture du Strigide; Coiffe de Padgref; Cape d'Atcham; Getas de Padgref; Dofus des Glaces; Dofus Nébuleux; Dofus Ocre; Dofus Pourpre; Dolmanax; Dofus Turquoise; Muldo Indigo et Emeraude</t>
        </is>
      </c>
    </row>
    <row r="24494">
      <c r="A24494" t="inlineStr">
        <is>
          <t>Futur stuff cra</t>
        </is>
      </c>
      <c r="B24494">
        <f>HYPERLINK("https://www.dofusbook.net/fr/equipement/5822178-futur-stuff-cra/objets", "link")</f>
        <v/>
      </c>
      <c r="C24494" t="n">
        <v>0</v>
      </c>
      <c r="D24494" t="inlineStr">
        <is>
          <t>Arc Volkorne; Amulette du Strigide; Anneau de Padgref; Bracelet du Piloztère; Quatre-feuilles; Ceinture du Strigide; Coiffe de Padgref; Chevelure de Tal Kasha; Getas de Padgref; Dofus Turquoise; Dofus des Glaces; Dolmanax; Dofus Ébène; Dofus Vulbis; Dofus Ocre; Kokulte</t>
        </is>
      </c>
    </row>
    <row r="24495">
      <c r="A24495" t="inlineStr">
        <is>
          <t>Futur stuff hupper</t>
        </is>
      </c>
      <c r="B24495">
        <f>HYPERLINK("https://www.dofusbook.net/fr/equipement/5847564-futur-stuff-hupper/objets", "link")</f>
        <v/>
      </c>
      <c r="C24495" t="n">
        <v>0</v>
      </c>
      <c r="D24495" t="inlineStr">
        <is>
          <t>Crocobur; Amulette Ementaire Deluxe; Alliance Gloursonne; Bague Gloursonne; Carapar; Ceinture de Kongoku; Corne de Torkélonia; Voilamibe; Pataugastrique; Dofus des Glaces; Dofus Abyssal; Dofus Émeraude; Dofus Ébène; Dofus Ivoire; Remueur; Marcassin</t>
        </is>
      </c>
    </row>
    <row r="24496">
      <c r="A24496" t="inlineStr">
        <is>
          <t>Equipé</t>
        </is>
      </c>
      <c r="B24496">
        <f>HYPERLINK("https://www.dofusbook.net/fr/equipement/449184-equipe/objets", "link")</f>
        <v/>
      </c>
      <c r="C24496" t="n">
        <v>784</v>
      </c>
      <c r="D24496" t="inlineStr">
        <is>
          <t>Hache du Chalœil; Talisman Igans; Bracelet du Piloztère; Grésilanneau; Quatre-feuilles; Ceinture du Strigide; Coiffe de Padgref; Voile d'encre; Bottes du Strigide; Dofus Nébuleux; Dofus Ocre; Dofus Vulbis; Dofus des Glaces; Dofus Turquoise; Remueur; Kokulte</t>
        </is>
      </c>
    </row>
    <row r="24497">
      <c r="A24497" t="inlineStr">
        <is>
          <t>Equipé</t>
        </is>
      </c>
      <c r="B24497">
        <f>HYPERLINK("https://www.dofusbook.net/fr/equipement/3030150-equipe/objets", "link")</f>
        <v/>
      </c>
      <c r="C24497" t="n">
        <v>172</v>
      </c>
      <c r="D24497" t="inlineStr">
        <is>
          <t>Epée Gloursonne; Amulette du Strigide; Bague Gloursonne; Alliance Gloursonne; Carapar; Ceinture de Kongoku; Boucle d'oreille de Kongoku; Cape de Kongoku; Bottes du Strigide; Dofus Turquoise; Dofus Ébène; Dofus Ocre; Dofus Ivoire; Dofus Émeraude; Dofus Pourpre; Muldo Roux et Doré</t>
        </is>
      </c>
    </row>
    <row r="24498">
      <c r="A24498" t="inlineStr">
        <is>
          <t>Variante retrait</t>
        </is>
      </c>
      <c r="B24498">
        <f>HYPERLINK("https://www.dofusbook.net/fr/equipement/5590602-variante-retrait/objets", "link")</f>
        <v/>
      </c>
      <c r="C24498" t="n">
        <v>0</v>
      </c>
      <c r="D24498" t="inlineStr">
        <is>
          <t>Marteau R'ture; Amulette Luminescente; Alliance Gloursonne; Pikano; Bouclier cubiste; Ceinture Glaciale; Chapeau Lisson; Cape de Kongoku; Pikottes; Dofus Ocre; Ralentisseur majeur; Nomade; Entraveur majeur; Remueur; Temporiseur majeur; Gwo Tofu Ventripotent</t>
        </is>
      </c>
    </row>
    <row r="24499">
      <c r="A24499" t="inlineStr">
        <is>
          <t>Variante multi</t>
        </is>
      </c>
      <c r="B24499">
        <f>HYPERLINK("https://www.dofusbook.net/fr/equipement/2828966-variante-multi/objets", "link")</f>
        <v/>
      </c>
      <c r="C24499" t="n">
        <v>39</v>
      </c>
      <c r="D24499" t="inlineStr">
        <is>
          <t>Épée Brûlâme; Pendentif mignon de Koutoulou; Anneauræus; Anneau Rifique; Bivalve; Ceinture Voldelor; Capuche de l'Œil Putride; Cape des Malveilleurs; Pataugastrique; Dofus des Glaces; Érudit majeur; Guérisseur majeur; Fonceur majeur; Remueur; Nomade; Kramkram</t>
        </is>
      </c>
    </row>
    <row r="24500">
      <c r="A24500" t="inlineStr">
        <is>
          <t>Equipé</t>
        </is>
      </c>
      <c r="B24500">
        <f>HYPERLINK("https://www.dofusbook.net/fr/equipement/1562812-equipe/objets", "link")</f>
        <v/>
      </c>
      <c r="C24500" t="n">
        <v>20</v>
      </c>
      <c r="D24500" t="inlineStr">
        <is>
          <t>Marteau R'ture; Amulette Luminescente; Alliance Gloursonne; Pikano; Bouclier cubiste; Ceinture Glaciale; Capuche de l'Œil Attentif; Cape de Kongoku; Pikottes; Ralentisseur majeur; Nomade; Entraveur majeur; Remueur; Temporiseur; Temporiseur majeur; Volkorne Turquoise</t>
        </is>
      </c>
    </row>
    <row r="24501">
      <c r="A24501" t="inlineStr">
        <is>
          <t>Full air</t>
        </is>
      </c>
      <c r="B24501">
        <f>HYPERLINK("https://www.dofusbook.net/fr/equipement/4271755-full-air/objets", "link")</f>
        <v/>
      </c>
      <c r="C24501" t="n">
        <v>5</v>
      </c>
      <c r="D24501" t="inlineStr">
        <is>
          <t>Manthache; Collier du Valet Veinard; Alliance Gloursonne; Gant du Valet Veinard; Bouclier du Stalak; Menoture; Couronne d'Allister; Cape Indescriptible; Palmes Trithons; Dofus Ivoire; Dofus Pourpre; Dofus Abyssal; Dofus Ocre; Cascadeur majeur; Nomade; Blérodoudou</t>
        </is>
      </c>
    </row>
    <row r="24502">
      <c r="A24502" t="inlineStr">
        <is>
          <t>Equipé</t>
        </is>
      </c>
      <c r="B24502">
        <f>HYPERLINK("https://www.dofusbook.net/fr/equipement/4194029-equipe/objets", "link")</f>
        <v/>
      </c>
      <c r="C24502" t="n">
        <v>7</v>
      </c>
      <c r="D24502" t="inlineStr">
        <is>
          <t>Manthache; Collier du Valet Veinard; Alliance Gloursonne; Gant du Valet Veinard; Bouclier du Stalak; Menoture; Masque du Granduk; Cape Indescriptible; Palmes Trithons; Dofus Ivoire; Dofus Pourpre; Cascadeur majeur; Carapace Air majeur; Remueur; Nomade; Blérodoudou</t>
        </is>
      </c>
    </row>
    <row r="24503">
      <c r="A24503" t="inlineStr">
        <is>
          <t>Full air classe</t>
        </is>
      </c>
      <c r="B24503">
        <f>HYPERLINK("https://www.dofusbook.net/fr/equipement/4194425-full-air-classe/objets", "link")</f>
        <v/>
      </c>
      <c r="C24503" t="n">
        <v>0</v>
      </c>
      <c r="D24503" t="inlineStr">
        <is>
          <t>Manthache; Collier du Valet Veinard; Gant du Valet Veinard; Alliance Gloursonne; Bouclier du Stalak; Ceinture Billonnante; Masque du Granduk; Cape Indescriptible; Baleinabottes; Dofus Ivoire; Dofus Pourpre; Cascadeur majeur; Carapace Air majeur; Remueur; Nomade; Blérodoudou</t>
        </is>
      </c>
    </row>
    <row r="24504">
      <c r="A24504" t="inlineStr">
        <is>
          <t>Variante offensive</t>
        </is>
      </c>
      <c r="B24504">
        <f>HYPERLINK("https://www.dofusbook.net/fr/equipement/3459159-variante-offensive/objets", "link")</f>
        <v/>
      </c>
      <c r="C24504" t="n">
        <v>1</v>
      </c>
      <c r="D24504" t="inlineStr">
        <is>
          <t>Marteau d'Henual; Amulette du Strigide; Alliance Gloursonne; Bague Gloursonne; Quatre-feuilles; Ceinture du Strigide; Le Dorado; Voile d'encre; Bottes du Strigide; Dofus Turquoise; Dofus Ivoire; Dokoko; Dofus des Glaces; Dofus Pourpre; Dofus Nébuleux; Muldo Doré et Emeraude</t>
        </is>
      </c>
    </row>
    <row r="24505">
      <c r="A24505" t="inlineStr">
        <is>
          <t>Terre retrait PM</t>
        </is>
      </c>
      <c r="B24505">
        <f>HYPERLINK("https://www.dofusbook.net/fr/equipement/1524037-terre-retrait-pm/objets", "link")</f>
        <v/>
      </c>
      <c r="C24505" t="n">
        <v>1</v>
      </c>
      <c r="D24505" t="inlineStr">
        <is>
          <t>Marteau R'ture; Amulette Luminescente; Chevalière du Roi Joueur; Pikano; Ambrouclier; Ceinture Luminescente; Couronne du Roi Joueur; Cape Luminescente; Bottes du Roi Joueur; Dofus Ocre; Ralentisseur majeur; Ralentisseur; Entraveur majeur; Entraveur; Entraveur mineur; Dragodinde Prune et Emeraude</t>
        </is>
      </c>
    </row>
    <row r="24506">
      <c r="A24506" t="inlineStr">
        <is>
          <t>Iop F 200</t>
        </is>
      </c>
      <c r="B24506">
        <f>HYPERLINK("https://www.dofusbook.net/fr/equipement/5331961-iop-f-200/objets", "link")</f>
        <v/>
      </c>
      <c r="C24506" t="n">
        <v>0</v>
      </c>
      <c r="D24506" t="inlineStr">
        <is>
          <t>Rapière aux Glyphes; Amulette de Pol Ouatnos; Alliance Gloursonne; Anneau Toriété; Bouclier d'Ilyzaelle; Poulpagne; Kidibonnet; Cape du Sinistrofu; Bottes du Sinistrofu; Dofus Pourpre; Dokoko; Dofus Émeraude; Vigoureux majeur; Chanceux majeur; Remueur; Dragodinde Indigo et Ivoire</t>
        </is>
      </c>
    </row>
    <row r="24507">
      <c r="A24507" t="inlineStr">
        <is>
          <t>Agride 2</t>
        </is>
      </c>
      <c r="B24507">
        <f>HYPERLINK("https://www.dofusbook.net/fr/equipement/5212247-agride-2/objets", "link")</f>
        <v/>
      </c>
      <c r="C24507" t="n">
        <v>1</v>
      </c>
      <c r="D24507" t="inlineStr">
        <is>
          <t>Héqache; Collier de Tourthon; Bague Gloursonne; Anneau de Brouce; Bouclier Taverne; Ceinture Gence; Masque de Koutoulou; Cape au Logis; Bottes de Brouce; Dofus Pourpre; Remueur; Enragé majeur; Vigoureux majeur; Forcené majeur; Nomade; Dragodinde Ivoire et Pourpre</t>
        </is>
      </c>
    </row>
    <row r="24508">
      <c r="A24508" t="inlineStr">
        <is>
          <t>Eniripsa F 200</t>
        </is>
      </c>
      <c r="B24508">
        <f>HYPERLINK("https://www.dofusbook.net/fr/equipement/4290464-eniripsa-f-200/objets", "link")</f>
        <v/>
      </c>
      <c r="C24508" t="n">
        <v>0</v>
      </c>
      <c r="D24508" t="inlineStr">
        <is>
          <t>Arc corrompu; Pendentif affamé; Anneauræus; Anneauræus; Quatre-feuilles; Ceinture Séculaire; Coiffe Séculaire; Cape Sulhit; Pataugastrique; Dofus Pourpre; Dofus Abyssal; Érudit majeur; Savant majeur; Nomade; Remueur; Dragodinde Ivoire et Orchidée</t>
        </is>
      </c>
    </row>
    <row r="24509">
      <c r="A24509" t="inlineStr">
        <is>
          <t>Enutrof M 200</t>
        </is>
      </c>
      <c r="B24509">
        <f>HYPERLINK("https://www.dofusbook.net/fr/equipement/4222250-enutrof-m-200/objets", "link")</f>
        <v/>
      </c>
      <c r="C24509" t="n">
        <v>0</v>
      </c>
      <c r="D24509" t="inlineStr">
        <is>
          <t>Baguette Hique; Collier de la Dame du Hasard; Bague Trithon; Anneau Toriété; Quatre-feuilles; Ceinture du Strigide; Kidibonnet; Cape de la Dame du Hasard; Bottes de la Dame du Hasard; Dofus des Glaces; Dofus Ocre; Dofus Pourpre; Dofus Turquoise; Dofus Ivoire; Dofus Abyssal; Kokulte</t>
        </is>
      </c>
    </row>
    <row r="24510">
      <c r="A24510" t="inlineStr">
        <is>
          <t>Iop F 200</t>
        </is>
      </c>
      <c r="B24510">
        <f>HYPERLINK("https://www.dofusbook.net/fr/equipement/3980551-iop-f-200/objets", "link")</f>
        <v/>
      </c>
      <c r="C24510" t="n">
        <v>0</v>
      </c>
      <c r="D24510" t="inlineStr">
        <is>
          <t>Marteau R'ture; Amulette du Strigide; Bague Gloursonne; Anneau Chevelu; Bouclier Taverne; Ceinture Gence; Chapeau de Gein; Cape au Logis; Bottes du Strigide; Dofus des Glaces; Dofus Turquoise; Dofus Abyssal; Dofus Pourpre; Dofus Ivoire; Enragé majeur; Volkorne Pourpre</t>
        </is>
      </c>
    </row>
    <row r="24511">
      <c r="A24511" t="inlineStr">
        <is>
          <t>Do Fixe Terre</t>
        </is>
      </c>
      <c r="B24511">
        <f>HYPERLINK("https://www.dofusbook.net/fr/equipement/2872035-do-fixe-terre/objets", "link")</f>
        <v/>
      </c>
      <c r="C24511" t="n">
        <v>1</v>
      </c>
      <c r="D24511" t="inlineStr">
        <is>
          <t>Lav'Hache; Collier de Tourthon; Anneau Chevelu; Bague Gloursonne; Bouclier alvéolé; Ceinture de la Reine des Voleurs; Coiffe de la Reine des Voleurs; Cape au Logis; Sabots Minables; Dofus des Glaces; Dofus Abyssal; Dofus Pourpre; Enragé majeur; Dévastateur Terre majeur; Remueur; Kramkram</t>
        </is>
      </c>
    </row>
    <row r="24512">
      <c r="A24512" t="inlineStr">
        <is>
          <t>Terre Ini</t>
        </is>
      </c>
      <c r="B24512">
        <f>HYPERLINK("https://www.dofusbook.net/fr/equipement/2871992-terre-ini/objets", "link")</f>
        <v/>
      </c>
      <c r="C24512" t="n">
        <v>0</v>
      </c>
      <c r="D24512" t="inlineStr">
        <is>
          <t>Lav'Hache; Collier de Tourthon; Bague Gloursonne; Anneau Chevelu; Bouclier alvéolé; Ceinture de la Cour Sombre; Masque de Koutoulou; Cape au Logis; Bottes de la Cour Sombre; Dofus Pourpre; Dofus des Glaces; Dofus Abyssal; Enragé majeur; Vigoureux majeur; Remueur; Kramkram</t>
        </is>
      </c>
    </row>
    <row r="24513">
      <c r="A24513" t="inlineStr">
        <is>
          <t>Crit</t>
        </is>
      </c>
      <c r="B24513">
        <f>HYPERLINK("https://www.dofusbook.net/fr/equipement/2849501-crit/objets", "link")</f>
        <v/>
      </c>
      <c r="C24513" t="n">
        <v>2</v>
      </c>
      <c r="D24513" t="inlineStr">
        <is>
          <t>Héqache; Amulette du Strigide; Anneau Chevelu; Bague Gloursonne; Bouclier Taverne; Ceinture du Strigide; Masque de Koutoulou; Cape au Logis; Bottes du Cœur Saignant; Dofus Abyssal; Dofus Turquoise; Dofus Ocre; Dofus Pourpre; Enragé majeur; Vigoureux majeur; Kramkram</t>
        </is>
      </c>
    </row>
    <row r="24514">
      <c r="A24514" t="inlineStr">
        <is>
          <t>Air</t>
        </is>
      </c>
      <c r="B24514">
        <f>HYPERLINK("https://www.dofusbook.net/fr/equipement/2844305-air/objets", "link")</f>
        <v/>
      </c>
      <c r="C24514" t="n">
        <v>0</v>
      </c>
      <c r="D24514" t="inlineStr">
        <is>
          <t>Manthache; Collier du Valet Veinard; Gant du Valet Veinard; Alliance Gloursonne; Bouclier Taverne; Menoture; Chapeau de Tournoyé; Cape Indescriptible; Palmes Trithons; Dofus Pourpre; Dofus Abyssal; Dofus Ocre; Dofus Ivoire; Vigoureux majeur; Cascadeur majeur; Muldo Ebène</t>
        </is>
      </c>
    </row>
    <row r="24515">
      <c r="A24515" t="inlineStr">
        <is>
          <t>Do Pou</t>
        </is>
      </c>
      <c r="B24515">
        <f>HYPERLINK("https://www.dofusbook.net/fr/equipement/2628697-do-pou/objets", "link")</f>
        <v/>
      </c>
      <c r="C24515" t="n">
        <v>0</v>
      </c>
      <c r="D24515" t="inlineStr">
        <is>
          <t>Lav'Hache; Torquistik; Bague Instable; Bague Trithon; Bouclier précieux; Ceinture Gence; Masque d'Anerice; Cape d'Anerice; Bottes du Cœur Vaillant; Dofus Abyssal; Dofus Émeraude; Dofus Ivoire; Carapace Terre majeur; Remueur; Culbuteur majeur; Muldo Ebène et Orchidée</t>
        </is>
      </c>
    </row>
    <row r="24516">
      <c r="A24516" t="inlineStr">
        <is>
          <t>Do pou Eau</t>
        </is>
      </c>
      <c r="B24516">
        <f>HYPERLINK("https://www.dofusbook.net/fr/equipement/2396872-do-pou-eau/objets", "link")</f>
        <v/>
      </c>
      <c r="C24516" t="n">
        <v>0</v>
      </c>
      <c r="D24516" t="inlineStr">
        <is>
          <t>Sceptre du Roi Joueur; Amulette du Sinistrofu; Alliance Gloursonne; Bague Trithon; Bouclier précieux; Poulpagne; Capuche de l'Œil Attentif; Bottes Owesli; Dofus Émeraude; Dofus Abyssal; Évasif majeur; Remueur; Culbuteur majeur; Bousculeur majeur; Muldo Indigo</t>
        </is>
      </c>
    </row>
    <row r="24517">
      <c r="A24517" t="inlineStr">
        <is>
          <t>Steamer Foene</t>
        </is>
      </c>
      <c r="B24517">
        <f>HYPERLINK("https://www.dofusbook.net/fr/equipement/2207347-steamer-foene/objets", "link")</f>
        <v/>
      </c>
      <c r="C24517" t="n">
        <v>0</v>
      </c>
      <c r="D24517" t="inlineStr">
        <is>
          <t>Héqache; Collier de Tourthon; Bague Trithon; Anneau Chevelu; Bouclier du Stalak; Ceinture de la Reine des Voleurs; Coiffe de la Reine des Voleurs; Voile d'encre; Sabots Minables; Dofus des Glaces; Dofus Abyssal; Dolmanax; Évasif majeur; Dévastateur Terre majeur; Remueur; Muldo Indigo et Ivoire</t>
        </is>
      </c>
    </row>
    <row r="24518">
      <c r="A24518" t="inlineStr">
        <is>
          <t>Dague Srambad</t>
        </is>
      </c>
      <c r="B24518">
        <f>HYPERLINK("https://www.dofusbook.net/fr/equipement/2176218-dague-srambad/objets", "link")</f>
        <v/>
      </c>
      <c r="C24518" t="n">
        <v>0</v>
      </c>
      <c r="D24518" t="inlineStr">
        <is>
          <t>Arc Ahique; Collier de Tourthon; Pikano; Anneau Chevelu; Ceinture de la Reine des Voleurs; Coiffe de la Reine des Voleurs; Voile d'encre; Sabots Minables; Dofus Abyssal; Dolmanax; Dofus des Glaces; Dofus Pourpre; Remueur; Muldo Indigo</t>
        </is>
      </c>
    </row>
    <row r="24519">
      <c r="A24519" t="inlineStr">
        <is>
          <t>Héquache</t>
        </is>
      </c>
      <c r="B24519">
        <f>HYPERLINK("https://www.dofusbook.net/fr/equipement/2231897-hequache/objets", "link")</f>
        <v/>
      </c>
      <c r="C24519" t="n">
        <v>0</v>
      </c>
      <c r="D24519" t="inlineStr">
        <is>
          <t>Héqache; Amulette du Strigide; Anneau des égarés; Anneau Chevelu; Bouclier d'Ilyzaelle; Ceintacé; Casque des égarés; Bottes de la Cour Sombre; Dofus Turquoise; Dofus Abyssal; Dolmanax; Dofus Pourpre; Enragé majeur; Vigoureux majeur; Muldo Pourpre</t>
        </is>
      </c>
    </row>
    <row r="24520">
      <c r="A24520" t="inlineStr">
        <is>
          <t>Air</t>
        </is>
      </c>
      <c r="B24520">
        <f>HYPERLINK("https://www.dofusbook.net/fr/equipement/2223359-air/objets", "link")</f>
        <v/>
      </c>
      <c r="C24520" t="n">
        <v>0</v>
      </c>
      <c r="D24520" t="inlineStr">
        <is>
          <t>Manthache; Collier du Valet Veinard; Gant du Valet Veinard; Alliance Gloursonne; Bouclier du Stalak; Menoture; Casque Dragoeuf; Cape Indescriptible; Palmes Trithons; Dofus Abyssal; Dofus Émeraude; Dofus Pourpre; Cascadeur majeur; Remueur; Muldo Indigo et Orchidée</t>
        </is>
      </c>
    </row>
    <row r="24521">
      <c r="A24521" t="inlineStr">
        <is>
          <t>Arc Koutou</t>
        </is>
      </c>
      <c r="B24521">
        <f>HYPERLINK("https://www.dofusbook.net/fr/equipement/2222879-arc-koutou/objets", "link")</f>
        <v/>
      </c>
      <c r="C24521" t="n">
        <v>0</v>
      </c>
      <c r="D24521" t="inlineStr">
        <is>
          <t>Arc de Koutoulou; Amulette du Strigide; Bague Gloursonne; Alliance Gloursonne; Quatre-feuilles; Ceinture du Strigide; Némès de Tal Kasha; Chevelure de Tal Kasha; Sandales de Tal Kasha; Dofus Émeraude; Dofus Turquoise; Dofus Ocre; Dofus Abyssal; Dofus des Glaces; Dofus Pourpre; Muldo Ebène et Orchidée</t>
        </is>
      </c>
    </row>
    <row r="24522">
      <c r="A24522" t="inlineStr">
        <is>
          <t>PvpM Arc</t>
        </is>
      </c>
      <c r="B24522">
        <f>HYPERLINK("https://www.dofusbook.net/fr/equipement/2198317-pvpm-arc-/objets", "link")</f>
        <v/>
      </c>
      <c r="C24522" t="n">
        <v>0</v>
      </c>
      <c r="D24522" t="inlineStr">
        <is>
          <t>Arc Ahique; Amulette d'Ilyzaelle; Bague Gloursonne; Alliance Gloursonne; Bouclier du Stalak; Menoture; Coiffe de la Reine des Voleurs; Voile d'encre; Bottes de la Reine des Voleurs; Dofus Émeraude; Dofus des Glaces; Dofus Ocre; Dofus Pourpre; Muldo Ebène</t>
        </is>
      </c>
    </row>
    <row r="24523">
      <c r="A24523" t="inlineStr">
        <is>
          <t>Koutou No Cc</t>
        </is>
      </c>
      <c r="B24523">
        <f>HYPERLINK("https://www.dofusbook.net/fr/equipement/2217429-koutou-no-cc/objets", "link")</f>
        <v/>
      </c>
      <c r="C24523" t="n">
        <v>0</v>
      </c>
      <c r="D24523" t="inlineStr">
        <is>
          <t>Arc Ahique; Collier du Valet Veinard; Gant du Valet Veinard; Alliance Gloursonne; Bouclier du Stalak; Ceinture de la Reine des Voleurs; Coiffe de la Reine des Voleurs; Cape du Valet Veinard; Bottes de la Reine des Voleurs; Dofus des Glaces; Dolmanax; Dofus Abyssal; Dofus Pourpre; Dofus Émeraude; Dofus Ocre; Muldo Ebène</t>
        </is>
      </c>
    </row>
    <row r="24524">
      <c r="A24524" t="inlineStr">
        <is>
          <t>Do Pou Ré cri</t>
        </is>
      </c>
      <c r="B24524">
        <f>HYPERLINK("https://www.dofusbook.net/fr/equipement/2216261-do-pou-re-cri/objets", "link")</f>
        <v/>
      </c>
      <c r="C24524" t="n">
        <v>0</v>
      </c>
      <c r="D24524" t="inlineStr">
        <is>
          <t>Arc du Chalœil; Torquistik; Bague Trithon; Alliance Gloursonne; Bouclier Bontarien; Poulpagne; Masque de Koutoulou; Cape d'Anerice; Bottistik; Dofus Émeraude; Dofus Abyssal; Culbuteur majeur; Remueur; Bousculeur majeur; Muldo Ebène</t>
        </is>
      </c>
    </row>
    <row r="24525">
      <c r="A24525" t="inlineStr">
        <is>
          <t>Do Pou Koli</t>
        </is>
      </c>
      <c r="B24525">
        <f>HYPERLINK("https://www.dofusbook.net/fr/equipement/2176360-do-pou-koli/objets", "link")</f>
        <v/>
      </c>
      <c r="C24525" t="n">
        <v>0</v>
      </c>
      <c r="D24525" t="inlineStr">
        <is>
          <t>Sceptre du Roi Joueur; Amulette du Sinistrofu; Bague Trithon; Alliance Gloursonne; Bouclier précieux; Poulpagne; Masque d'Anerice; Cape d'Anerice; Bottes Owesli; Dofus Émeraude; Dofus Abyssal; Bousculeur majeur; Évasif majeur; Culbuteur majeur; Remueur; Muldo Indigo</t>
        </is>
      </c>
    </row>
    <row r="24526">
      <c r="A24526" t="inlineStr">
        <is>
          <t>Eau Air</t>
        </is>
      </c>
      <c r="B24526">
        <f>HYPERLINK("https://www.dofusbook.net/fr/equipement/2212501-eau-air/objets", "link")</f>
        <v/>
      </c>
      <c r="C24526" t="n">
        <v>0</v>
      </c>
      <c r="D24526" t="inlineStr">
        <is>
          <t>Arc de Koutoulou; Amulette du Strigide; Alliance Gloursonne; Bague Trithon; Quatre-feuilles; Poulpagne; Masque Trithon; Voile d'encre; Bottes du Strigide; Dofus Turquoise; Dofus Abyssal; Dolmanax; Dofus Ocre; Dofus Pourpre; Dofus des Glaces; Muldo Ebène et Indigo</t>
        </is>
      </c>
    </row>
    <row r="24527">
      <c r="A24527" t="inlineStr">
        <is>
          <t>Feu Eau</t>
        </is>
      </c>
      <c r="B24527">
        <f>HYPERLINK("https://www.dofusbook.net/fr/equipement/2212402-feu-eau/objets", "link")</f>
        <v/>
      </c>
      <c r="C24527" t="n">
        <v>0</v>
      </c>
      <c r="D24527" t="inlineStr">
        <is>
          <t>Arc Nécrotique; Amulette du Strigide; Anneau Tique; Alliance Gloursonne; Quatre-feuilles; Poulpagne; Kidibonnet; Cape de la Dame du Hasard; Bottes de la Dame du Hasard; Dofus Émeraude; Dofus Turquoise; Dofus Pourpre; Dofus Vulbis; Dofus Abyssal; Dolmanax; Kramkram</t>
        </is>
      </c>
    </row>
    <row r="24528">
      <c r="A24528" t="inlineStr">
        <is>
          <t>Eau Air</t>
        </is>
      </c>
      <c r="B24528">
        <f>HYPERLINK("https://www.dofusbook.net/fr/equipement/2207250-eau-air/objets", "link")</f>
        <v/>
      </c>
      <c r="C24528" t="n">
        <v>0</v>
      </c>
      <c r="D24528" t="inlineStr">
        <is>
          <t>Arc de Koutoulou; Amulette d'Ilyzaelle; Gant du Valet Veinard; Alliance Gloursonne; Bouclier d'Ilyzaelle; Ceinture de la Reine des Voleurs; Casque d'Ilyzaelle; Cape du Valet Veinard; Bottes de la Reine des Voleurs; Dofus Émeraude; Dofus Ocre; Dofus des Glaces; Dolmanax; Dofus Abyssal; Dofus Pourpre; Muldo Ebène</t>
        </is>
      </c>
    </row>
    <row r="24529">
      <c r="A24529" t="inlineStr">
        <is>
          <t>arc Necrotique</t>
        </is>
      </c>
      <c r="B24529">
        <f>HYPERLINK("https://www.dofusbook.net/fr/equipement/2206357-arc-necrotique/objets", "link")</f>
        <v/>
      </c>
      <c r="C24529" t="n">
        <v>0</v>
      </c>
      <c r="D24529" t="inlineStr">
        <is>
          <t>Arc Nécrotique; Alliance Gloursonne; Anneau Tique; Bouclier cubiste; Kidibonnet; Cape de la Dame du Hasard; Bottes de la Dame du Hasard; Dofus Émeraude; Dofus Ocre; Dofus Pourpre; Dofus des Glaces; Dofus Turquoise; Muldo Indigo et Orchidée</t>
        </is>
      </c>
    </row>
    <row r="24530">
      <c r="A24530" t="inlineStr">
        <is>
          <t>Full Vita</t>
        </is>
      </c>
      <c r="B24530">
        <f>HYPERLINK("https://www.dofusbook.net/fr/equipement/2205874-full-vita/objets", "link")</f>
        <v/>
      </c>
      <c r="C24530" t="n">
        <v>0</v>
      </c>
      <c r="D24530" t="inlineStr">
        <is>
          <t>Sceptre du Roi Joueur; Amulette de Pol Ouatnos; Bague Trithon; Anneau de Pol Ouatnos; Bouclier précieux; Poulpagne; Masque d'Anerice; Cape d'Anerice; Pataugastrique; Dofus Émeraude; Bousculeur majeur; Culbuteur majeur; Miraculé majeur; Cube</t>
        </is>
      </c>
    </row>
    <row r="24531">
      <c r="A24531" t="inlineStr">
        <is>
          <t>Mall Soin Ré cri</t>
        </is>
      </c>
      <c r="B24531">
        <f>HYPERLINK("https://www.dofusbook.net/fr/equipement/2204689-mall-soin-re-cri/objets", "link")</f>
        <v/>
      </c>
      <c r="C24531" t="n">
        <v>0</v>
      </c>
      <c r="D24531" t="inlineStr">
        <is>
          <t>Baguette de Malléfisk; Torquistik; Anneau de Pol Ouatnos; Baguistik; Carapar; Poulpagne; Casque Dragoeuf; Voile d'encre; Bottes Owesli; Dofus Émeraude; Guérisseur majeur; Remueur; Miraculé majeur; Culbuteur majeur; Bousculeur majeur; Cube</t>
        </is>
      </c>
    </row>
    <row r="24532">
      <c r="A24532" t="inlineStr">
        <is>
          <t>Do Pou Ré cri</t>
        </is>
      </c>
      <c r="B24532">
        <f>HYPERLINK("https://www.dofusbook.net/fr/equipement/2204654-do-pou-re-cri/objets", "link")</f>
        <v/>
      </c>
      <c r="C24532" t="n">
        <v>0</v>
      </c>
      <c r="D24532" t="inlineStr">
        <is>
          <t>Baguette de Malléfisk; Torquistik; Bague Trithon; Alliance Gloursonne; Bouclier Bontarien; Poulpagne; Masque d'Anerice; Bottistik; Dofus Émeraude; Dofus Abyssal; Miraculé majeur; Culbuteur majeur; Remueur; Bousculeur majeur; Muldo Indigo</t>
        </is>
      </c>
    </row>
    <row r="24533">
      <c r="A24533" t="inlineStr">
        <is>
          <t>Air</t>
        </is>
      </c>
      <c r="B24533">
        <f>HYPERLINK("https://www.dofusbook.net/fr/equipement/2204346-air/objets", "link")</f>
        <v/>
      </c>
      <c r="C24533" t="n">
        <v>0</v>
      </c>
      <c r="D24533" t="inlineStr">
        <is>
          <t>Lance Horselé; Collier du Valet Veinard; Gant du Valet Veinard; Alliance Gloursonne; Bouclier d'Ilyzaelle; Menoture; Chapeau de Tournoyé; Cape Indescriptible; Palmes Trithons; Dofus Émeraude; Dofus Pourpre; Dofus Abyssal; Cascadeur majeur; Remueur; Muldo Ebène</t>
        </is>
      </c>
    </row>
    <row r="24534">
      <c r="A24534" t="inlineStr">
        <is>
          <t>Do crit</t>
        </is>
      </c>
      <c r="B24534">
        <f>HYPERLINK("https://www.dofusbook.net/fr/equipement/2191802-do-crit/objets", "link")</f>
        <v/>
      </c>
      <c r="C24534" t="n">
        <v>0</v>
      </c>
      <c r="D24534" t="inlineStr">
        <is>
          <t>Sabres d'Atcham; Amulette du Strigide; Alliance Gloursonne; Anneau de Padgref; Quatre-feuilles; Ceinture du Strigide; Coiffe de Padgref; Cape d'Atcham; Getas de Padgref; Dofus Turquoise; Dofus Nébuleux; Dofus des Glaces; Dofus Pourpre; Dolmanax; Dofus Ocre; Muldo Prune et Emeraude</t>
        </is>
      </c>
    </row>
    <row r="24535">
      <c r="A24535" t="inlineStr">
        <is>
          <t>arc Necrotique</t>
        </is>
      </c>
      <c r="B24535">
        <f>HYPERLINK("https://www.dofusbook.net/fr/equipement/2201449-arc-necrotique/objets", "link")</f>
        <v/>
      </c>
      <c r="C24535" t="n">
        <v>0</v>
      </c>
      <c r="D24535" t="inlineStr">
        <is>
          <t>Arc Nécrotique; Amulette du Strigide; Alliance Gloursonne; Anneau Tique; Quatre-feuilles; Ceinture du Strigide; Kidibonnet; Cape de la Dame du Hasard; Bottes de la Dame du Hasard; Dofus Émeraude; Dofus Ocre; Dofus Pourpre; Dofus des Glaces; Dofus Turquoise; Dofus Nébuleux; Muldo Indigo et Orchidée</t>
        </is>
      </c>
    </row>
    <row r="24536">
      <c r="A24536" t="inlineStr">
        <is>
          <t>TerreIni</t>
        </is>
      </c>
      <c r="B24536">
        <f>HYPERLINK("https://www.dofusbook.net/fr/equipement/2200144-terreini/objets", "link")</f>
        <v/>
      </c>
      <c r="C24536" t="n">
        <v>0</v>
      </c>
      <c r="D24536" t="inlineStr">
        <is>
          <t>Arc du Chalœil; Amulette du Strigide; Bracelet du Piloztère; Bague Gloursonne; Quatre-feuilles; Ceinture de la Cour Sombre; Masque de Koutoulou; Voile d'encre; Bottes de la Cour Sombre; Dofus Vulbis; Dofus Pourpre; Dofus Turquoise; Vigoureux majeur; Remueur; Enragé majeur; Kramkram</t>
        </is>
      </c>
    </row>
    <row r="24537">
      <c r="A24537" t="inlineStr">
        <is>
          <t>PvpM</t>
        </is>
      </c>
      <c r="B24537">
        <f>HYPERLINK("https://www.dofusbook.net/fr/equipement/2198454-pvpm/objets", "link")</f>
        <v/>
      </c>
      <c r="C24537" t="n">
        <v>0</v>
      </c>
      <c r="D24537" t="inlineStr"/>
    </row>
    <row r="24538">
      <c r="A24538" t="inlineStr">
        <is>
          <t>Cra Multi</t>
        </is>
      </c>
      <c r="B24538">
        <f>HYPERLINK("https://www.dofusbook.net/fr/equipement/2192050-cra-multi/objets", "link")</f>
        <v/>
      </c>
      <c r="C24538" t="n">
        <v>1</v>
      </c>
      <c r="D24538" t="inlineStr">
        <is>
          <t>Epée Gloursonne; Amulette du Strigide; Bague Gloursonne; Alliance Gloursonne; Quatre-feuilles; Ceinture du Strigide; Masque Trithon; Voile d'encre; Bottes du Strigide; Dofus Pourpre; Dofus des Glaces; Dofus Vulbis; Dofus Nébuleux; Dofus Ocre; Dofus Abyssal; Kramkram</t>
        </is>
      </c>
    </row>
    <row r="24539">
      <c r="A24539" t="inlineStr">
        <is>
          <t>Agi</t>
        </is>
      </c>
      <c r="B24539">
        <f>HYPERLINK("https://www.dofusbook.net/fr/equipement/2192042-agi/objets", "link")</f>
        <v/>
      </c>
      <c r="C24539" t="n">
        <v>0</v>
      </c>
      <c r="D24539" t="inlineStr">
        <is>
          <t>Manthache; Collier du Valet Veinard; Alliance Gloursonne; Gant du Valet Veinard; Bouclier du Stalak; Menoture; Casque Dragoeuf; Cape Indescriptible; Palmes Trithons; Dolmanax; Dofus Abyssal; Dofus Émeraude; Dofus Pourpre; Remueur; Cascadeur majeur; Muldo Ebène</t>
        </is>
      </c>
    </row>
    <row r="24540">
      <c r="A24540" t="inlineStr">
        <is>
          <t>Eau Ret PA</t>
        </is>
      </c>
      <c r="B24540">
        <f>HYPERLINK("https://www.dofusbook.net/fr/equipement/2191993-eau-ret-pa/objets", "link")</f>
        <v/>
      </c>
      <c r="C24540" t="n">
        <v>0</v>
      </c>
      <c r="D24540" t="inlineStr">
        <is>
          <t>Sceptre du Roi Joueur; Amulette de Shokkoth; Bracelet des Fonds marins; Alliance Gloursonne; Cadran de Terre; Poulpagne; Capuche de l'Œil Attentif; Cape de l'Œil Attentif; Bottes du Sinistrofu; Dofus Turquoise; Dofus Abyssal; Dolmanax; Dofus Pourpre; Remueur; Étourdisseur majeur; Muldo Indigo</t>
        </is>
      </c>
    </row>
    <row r="24541">
      <c r="A24541" t="inlineStr">
        <is>
          <t>Vita</t>
        </is>
      </c>
      <c r="B24541">
        <f>HYPERLINK("https://www.dofusbook.net/fr/equipement/2191943-vita/objets", "link")</f>
        <v/>
      </c>
      <c r="C24541" t="n">
        <v>0</v>
      </c>
      <c r="D24541" t="inlineStr">
        <is>
          <t>Sceptre du Roi Joueur; Amulette du Sinistrofu; Bague Trithon; Bouclier précieux; Poulpagne; Masque d'Anerice; Cape d'Anerice; Pataugastrique; Dofus Émeraude; Dofus Abyssal; Bousculeur majeur; Culbuteur majeur; Remueur; Miraculé majeur; Péki</t>
        </is>
      </c>
    </row>
    <row r="24542">
      <c r="A24542" t="inlineStr">
        <is>
          <t>Full Feu</t>
        </is>
      </c>
      <c r="B24542">
        <f>HYPERLINK("https://www.dofusbook.net/fr/equipement/2107331-full-feu/objets", "link")</f>
        <v/>
      </c>
      <c r="C24542" t="n">
        <v>0</v>
      </c>
      <c r="D24542" t="inlineStr">
        <is>
          <t>Arc corrompu; Amulette Séculaire; Anneauræus; Bague Gloursonne; Sept ans de malheur; Ceinture Séculaire; Couronne de Nidas; Voile d'encre; Bottes Innommables; Dofus Émeraude; Dofus Abyssal; Dofus Ocre; Remueur; Étourdisseur majeur; Érudit majeur; Muldo Orchidée</t>
        </is>
      </c>
    </row>
    <row r="24543">
      <c r="A24543" t="inlineStr">
        <is>
          <t>Do Pou Anerice</t>
        </is>
      </c>
      <c r="B24543">
        <f>HYPERLINK("https://www.dofusbook.net/fr/equipement/2106341-do-pou-anerice/objets", "link")</f>
        <v/>
      </c>
      <c r="C24543" t="n">
        <v>0</v>
      </c>
      <c r="D24543" t="inlineStr">
        <is>
          <t>Héqache; Torquistik; Bague Instable; Bague Trithon; Bouclier précieux; Sangle Ouare; Masque d'Anerice; Cape d'Anerice; Sabots Minables; Dofus Abyssal; Dofus des Veilleurs; Dofus Émeraude; Bousculeur majeur; Culbuteur majeur; Remueur; Muldo Ebène et Pourpre</t>
        </is>
      </c>
    </row>
    <row r="24544">
      <c r="A24544" t="inlineStr">
        <is>
          <t>Mallefisk</t>
        </is>
      </c>
      <c r="B24544">
        <f>HYPERLINK("https://www.dofusbook.net/fr/equipement/2176949-mallefisk/objets", "link")</f>
        <v/>
      </c>
      <c r="C24544" t="n">
        <v>0</v>
      </c>
      <c r="D24544" t="inlineStr">
        <is>
          <t>Baguette de Malléfisk; Talisman Igans; Anneau Tique; Alliance Gloursonne; Carapar; Protopagne; Kidibonnet; Voile d'encre; Bottes Owesli; Dofus Émeraude; Dofus Abyssal; Miraculé majeur; Guérisseur majeur; Culbuteur majeur; Remueur; Péki</t>
        </is>
      </c>
    </row>
    <row r="24545">
      <c r="A24545" t="inlineStr">
        <is>
          <t>Srambad</t>
        </is>
      </c>
      <c r="B24545">
        <f>HYPERLINK("https://www.dofusbook.net/fr/equipement/2176388-srambad/objets", "link")</f>
        <v/>
      </c>
      <c r="C24545" t="n">
        <v>0</v>
      </c>
      <c r="D24545" t="inlineStr">
        <is>
          <t>Dagues de Srambad; Amulette de Pol Ouatnos; Alliance Gloursonne; Anneau Chevelu; Bouclier précieux; Ceinture de la Reine des Voleurs; Coiffe de la Reine des Voleurs; Voile d'encre; Sabots Minables; Dofus Émeraude; Dofus Abyssal; Dolmanax; Dofus des Glaces; Remueur; Miraculé majeur; Muldo Ebène et Orchidée</t>
        </is>
      </c>
    </row>
    <row r="24546">
      <c r="A24546" t="inlineStr">
        <is>
          <t>Koli</t>
        </is>
      </c>
      <c r="B24546">
        <f>HYPERLINK("https://www.dofusbook.net/fr/equipement/2176381-koli/objets", "link")</f>
        <v/>
      </c>
      <c r="C24546" t="n">
        <v>0</v>
      </c>
      <c r="D24546" t="inlineStr">
        <is>
          <t>Manthache; Collier du Valet Veinard; Alliance Gloursonne; Gant du Valet Veinard; Bouclier d'Ilyzaelle; Menoture; Casque Dragoeuf; Cape Indescriptible; Palmes Trithons; Dofus des Glaces; Dofus Abyssal; Dofus Émeraude; Remueur; Cascadeur majeur; Miraculé majeur; Muldo Ebène</t>
        </is>
      </c>
    </row>
    <row r="24547">
      <c r="A24547" t="inlineStr">
        <is>
          <t>Do Pou Koli</t>
        </is>
      </c>
      <c r="B24547">
        <f>HYPERLINK("https://www.dofusbook.net/fr/equipement/2039526-do-pou-koli/objets", "link")</f>
        <v/>
      </c>
      <c r="C24547" t="n">
        <v>0</v>
      </c>
      <c r="D24547" t="inlineStr">
        <is>
          <t>Sceptre du Roi Joueur; Amulette du Sinistrofu; Alliance Gloursonne; Bague Trithon; Bouclier précieux; Poulpagne; Masque d'Anerice; Cape d'Anerice; Bottes Owesli; Dofus Émeraude; Dofus Abyssal; Culbuteur majeur; Évasif majeur; Bousculeur majeur; Muldo Indigo</t>
        </is>
      </c>
    </row>
    <row r="24548">
      <c r="A24548" t="inlineStr">
        <is>
          <t>Koli</t>
        </is>
      </c>
      <c r="B24548">
        <f>HYPERLINK("https://www.dofusbook.net/fr/equipement/88982-koli/objets", "link")</f>
        <v/>
      </c>
      <c r="C24548" t="n">
        <v>0</v>
      </c>
      <c r="D24548" t="inlineStr">
        <is>
          <t>Manthache; Collier du Valet Veinard; Alliance Gloursonne; Gant du Valet Veinard; Bouclier d'Ilyzaelle; Menoture; Casque Dragoeuf; Cape Indescriptible; Palmes Trithons; Dofus Abyssal; Dofus Émeraude; Dofus des Glaces; Cascadeur majeur; Miraculé majeur; Remueur; Muldo Ebène</t>
        </is>
      </c>
    </row>
    <row r="24549">
      <c r="A24549" t="inlineStr">
        <is>
          <t>Srambad</t>
        </is>
      </c>
      <c r="B24549">
        <f>HYPERLINK("https://www.dofusbook.net/fr/equipement/2176284-srambad/objets", "link")</f>
        <v/>
      </c>
      <c r="C24549" t="n">
        <v>0</v>
      </c>
      <c r="D24549" t="inlineStr">
        <is>
          <t>Torquistik; Goulano; Alliance Gloursonne; Goulclier; Ceinture de la Reine des Voleurs; Coiffe de la Reine des Voleurs; Voile d'encre; Goulbottes; Dofus Émeraude; Dofus Abyssal; Dolmanax; Dofus Ocre; Dofus des Glaces; Muldo Ebène et Orchidée</t>
        </is>
      </c>
    </row>
    <row r="24550">
      <c r="A24550" t="inlineStr">
        <is>
          <t>Arc Nerco</t>
        </is>
      </c>
      <c r="B24550">
        <f>HYPERLINK("https://www.dofusbook.net/fr/equipement/2176140-arc-nerco/objets", "link")</f>
        <v/>
      </c>
      <c r="C24550" t="n">
        <v>0</v>
      </c>
      <c r="D24550" t="inlineStr">
        <is>
          <t>Arc Nécrotique; Collier de la Dame du Hasard; Bracelet des Fonds marins; Anneau Tique; Quatre-feuilles; Ceintacé; Casquette de Meno; Voile d'encre; Bottes de la Dame du Hasard; Dofus Pourpre; Dofus Abyssal; Dofus Turquoise; Dofus Émeraude; Remueur; Muldo Orchidée</t>
        </is>
      </c>
    </row>
    <row r="24551">
      <c r="A24551" t="inlineStr">
        <is>
          <t>Arc Cha</t>
        </is>
      </c>
      <c r="B24551">
        <f>HYPERLINK("https://www.dofusbook.net/fr/equipement/2176019-arc-cha/objets", "link")</f>
        <v/>
      </c>
      <c r="C24551" t="n">
        <v>0</v>
      </c>
      <c r="D24551" t="inlineStr">
        <is>
          <t>Héqache; Amulette du Strigide; Anneau Chevelu; Bague Gloursonne; Quatre-feuilles; Ceinture de l'Esprit Malsain; Chapeau de Gein; Voile d'encre; Bottes du Strigide; Dofus Turquoise; Dofus Pourpre; Dofus Abyssal; Remueur; Enragé majeur; Vigoureux majeur; Muldo Orchidée et Pourpre</t>
        </is>
      </c>
    </row>
    <row r="24552">
      <c r="A24552" t="inlineStr">
        <is>
          <t>Hache Chaloeil</t>
        </is>
      </c>
      <c r="B24552">
        <f>HYPERLINK("https://www.dofusbook.net/fr/equipement/2172434-hache-chaloeil/objets", "link")</f>
        <v/>
      </c>
      <c r="C24552" t="n">
        <v>0</v>
      </c>
      <c r="D24552" t="inlineStr">
        <is>
          <t>Hache du Chalœil; Amulette du Strigide; Bague Trithon; Alliance Gloursonne; Quatre-feuilles; Ceintacé; Masque Trithon; Voile d'encre; Bottes du Strigide; Dofus Ocre; Dofus Pourpre; Dofus Abyssal; Dofus Émeraude; Dofus Turquoise; Dofus des Glaces</t>
        </is>
      </c>
    </row>
    <row r="24553">
      <c r="A24553" t="inlineStr">
        <is>
          <t>Hache Chaloeil</t>
        </is>
      </c>
      <c r="B24553">
        <f>HYPERLINK("https://www.dofusbook.net/fr/equipement/2172297-hache-chaloeil/objets", "link")</f>
        <v/>
      </c>
      <c r="C24553" t="n">
        <v>0</v>
      </c>
      <c r="D24553" t="inlineStr">
        <is>
          <t>Hache du Chalœil; Amulette du Strigide; Alliance Gloursonne; Bague Trithon; Quatre-feuilles; Ceinture du Strigide; Masque Trithon; Voile d'encre; Bottes du Strigide; Dofus Abyssal; Dofus Émeraude; Dofus Turquoise; Dolmanax; Dofus Ocre; Dofus Pourpre; Muldo Indigo et Pourpre</t>
        </is>
      </c>
    </row>
    <row r="24554">
      <c r="A24554" t="inlineStr">
        <is>
          <t>Range</t>
        </is>
      </c>
      <c r="B24554">
        <f>HYPERLINK("https://www.dofusbook.net/fr/equipement/2164346-range/objets", "link")</f>
        <v/>
      </c>
      <c r="C24554" t="n">
        <v>0</v>
      </c>
      <c r="D24554" t="inlineStr">
        <is>
          <t>Baguette Range; Amulette du Strigide; Anneau de Padgref; Alliance Gloursonne; Quatre-feuilles; Ceinture du Strigide; Coiffe de Padgref; Voile d'encre; Getas de Padgref; Dofus Pourpre; Dofus des Glaces; Dofus Turquoise; Dofus Nébuleux; Dofus Ocre; Dofus Vulbis; Kramkram</t>
        </is>
      </c>
    </row>
    <row r="24555">
      <c r="A24555" t="inlineStr">
        <is>
          <t>Agi</t>
        </is>
      </c>
      <c r="B24555">
        <f>HYPERLINK("https://www.dofusbook.net/fr/equipement/2162813-agi/objets", "link")</f>
        <v/>
      </c>
      <c r="C24555" t="n">
        <v>0</v>
      </c>
      <c r="D24555" t="inlineStr">
        <is>
          <t>Manthache; Collier du Valet Veinard; Alliance Gloursonne; Gant du Valet Veinard; Bouclier du Stalak; Menoture; Capuche de Moum-Ra; Cape Indescriptible; Palmes Trithons; Dolmanax; Dofus Abyssal; Dofus Émeraude; Dofus Pourpre; Remueur; Cascadeur majeur; Muldo Ebène</t>
        </is>
      </c>
    </row>
    <row r="24556">
      <c r="A24556" t="inlineStr">
        <is>
          <t>Stuff 2</t>
        </is>
      </c>
      <c r="B24556">
        <f>HYPERLINK("https://www.dofusbook.net/fr/equipement/88934-stuff-2/objets", "link")</f>
        <v/>
      </c>
      <c r="C24556" t="n">
        <v>0</v>
      </c>
      <c r="D24556" t="inlineStr">
        <is>
          <t>Héqache; Amulette du Strigide; Bague Gloursonne; Bracelet du Piloztère; Quatre-feuilles; Ceintacé; Coiffe de la Fuji Givrefoux; Voile d'encre; Bottes du Strigide; Dofus Pourpre; Dofus Turquoise; Dofus Abyssal; Remueur; Vigoureux majeur; Enragé majeur; Muldo Pourpre</t>
        </is>
      </c>
    </row>
    <row r="24557">
      <c r="A24557" t="inlineStr">
        <is>
          <t>Intel Fui</t>
        </is>
      </c>
      <c r="B24557">
        <f>HYPERLINK("https://www.dofusbook.net/fr/equipement/2158598-intel-fui/objets", "link")</f>
        <v/>
      </c>
      <c r="C24557" t="n">
        <v>0</v>
      </c>
      <c r="D24557" t="inlineStr">
        <is>
          <t>Arc corrompu; Amulette Séculaire; Bague Gloursonne; Anneauræus; Bouclier cubiste; Ceinture Séculaire; Couronne de Nidas; Voile d'encre; Pataugastrique; Dolmanax; Déserteur majeur; Vagabond majeur; Érudit majeur; Remueur; Muldo Orchidée et Pourpre</t>
        </is>
      </c>
    </row>
    <row r="24558">
      <c r="A24558" t="inlineStr">
        <is>
          <t>Eau No Fui</t>
        </is>
      </c>
      <c r="B24558">
        <f>HYPERLINK("https://www.dofusbook.net/fr/equipement/88966-eau-no-fui/objets", "link")</f>
        <v/>
      </c>
      <c r="C24558" t="n">
        <v>0</v>
      </c>
      <c r="D24558" t="inlineStr">
        <is>
          <t>Sceptre du Roi Joueur; Amulette de Shokkoth; Alliance Gloursonne; Bracelet des Fonds marins; Sept ans de malheur; Poulpagne; Capuche de l'Œil Attentif; Cape de l'Œil Attentif; Pataugastrique; Dofus Pourpre; Dofus Turquoise; Dofus Abyssal; Dofus Émeraude; Dofus Ivoire; Étourdisseur majeur; Muldo Indigo</t>
        </is>
      </c>
    </row>
    <row r="24559">
      <c r="A24559" t="inlineStr">
        <is>
          <t>Do Pou</t>
        </is>
      </c>
      <c r="B24559">
        <f>HYPERLINK("https://www.dofusbook.net/fr/equipement/2124260-do-pou/objets", "link")</f>
        <v/>
      </c>
      <c r="C24559" t="n">
        <v>0</v>
      </c>
      <c r="D24559" t="inlineStr">
        <is>
          <t>Sceptre du Roi Joueur; Amulette du Sinistrofu; Alliance Gloursonne; Bague Trithon; Bouclier précieux; Sangle Ouare; Masque d'Anerice; Cape d'Anerice; Pataugastrique; Dofus Émeraude; Dofus Ivoire; Remueur; Culbuteur majeur; Bousculeur majeur; Miraculé majeur; Péki</t>
        </is>
      </c>
    </row>
    <row r="24560">
      <c r="A24560" t="inlineStr">
        <is>
          <t>Eau Air</t>
        </is>
      </c>
      <c r="B24560">
        <f>HYPERLINK("https://www.dofusbook.net/fr/equipement/2119614-eau-air/objets", "link")</f>
        <v/>
      </c>
      <c r="C24560" t="n">
        <v>0</v>
      </c>
      <c r="D24560" t="inlineStr">
        <is>
          <t>Arc de Koutoulou; Amulette du Strigide; Bracelet des Fonds marins; Alliance Gloursonne; Bouclier du Stalak; Ceinture du Strigide; Némès de Tal Kasha; Chevelure de Tal Kasha; Sandales de Tal Kasha; Dofus Ocre; Dofus Abyssal; Dofus Émeraude; Dofus Ivoire; Dofus des Glaces; Dofus Pourpre; Muldo Indigo</t>
        </is>
      </c>
    </row>
    <row r="24561">
      <c r="A24561" t="inlineStr">
        <is>
          <t>Eau Ret PA</t>
        </is>
      </c>
      <c r="B24561">
        <f>HYPERLINK("https://www.dofusbook.net/fr/equipement/2107261-eau-ret-pa/objets", "link")</f>
        <v/>
      </c>
      <c r="C24561" t="n">
        <v>0</v>
      </c>
      <c r="D24561" t="inlineStr">
        <is>
          <t>Sceptre du Roi Joueur; Amulette de Shokkoth; Bracelet des Fonds marins; Alliance Gloursonne; Bouclier du Stalak; Poulpagne; Casque Dragoeuf; Chevelure de Tal Kasha; Sandales de Tal Kasha; Dofus Ivoire; Dofus Pourpre; Dofus Émeraude; Dofus Abyssal; Étourdisseur majeur; Remueur; Muldo Ebène et Pourpre</t>
        </is>
      </c>
    </row>
    <row r="24562">
      <c r="A24562" t="inlineStr">
        <is>
          <t>Eau 2.43</t>
        </is>
      </c>
      <c r="B24562">
        <f>HYPERLINK("https://www.dofusbook.net/fr/equipement/2052881-eau-2-43/objets", "link")</f>
        <v/>
      </c>
      <c r="C24562" t="n">
        <v>0</v>
      </c>
      <c r="D24562" t="inlineStr">
        <is>
          <t>Rapière aux Glyphes; Amulette de Shokkoth; Bracelet des Fonds marins; Alliance Gloursonne; Bouclier du Stalak; Poulpagne; Capuche de l'Œil Attentif; Cape de l'Œil Attentif; Bottes du Sinistrofu; Dofus Abyssal; Dofus Ivoire; Dofus Pourpre; Chanceux majeur; Remueur; Carapace Eau majeur; Muldo Indigo</t>
        </is>
      </c>
    </row>
    <row r="24563">
      <c r="A24563" t="inlineStr">
        <is>
          <t>Dague Ily</t>
        </is>
      </c>
      <c r="B24563">
        <f>HYPERLINK("https://www.dofusbook.net/fr/equipement/2052825-dague-ily/objets", "link")</f>
        <v/>
      </c>
      <c r="C24563" t="n">
        <v>0</v>
      </c>
      <c r="D24563" t="inlineStr">
        <is>
          <t>Dagues d'Ilyzaelle; Amulette du Strigide; Bague Gloursonne; Anneau Chevelu; Bouclier Taverne; Ceintacé; Chapeau de Gein; Cape au Logis; Bottes du Strigide; Dofus Pourpre; Dofus Ivoire; Dofus Turquoise; Dofus Ocre; Dofus des Glaces; Enragé majeur; Kramkram</t>
        </is>
      </c>
    </row>
    <row r="24564">
      <c r="A24564" t="inlineStr">
        <is>
          <t>Basique</t>
        </is>
      </c>
      <c r="B24564">
        <f>HYPERLINK("https://www.dofusbook.net/fr/equipement/2052779-basique/objets", "link")</f>
        <v/>
      </c>
      <c r="C24564" t="n">
        <v>3</v>
      </c>
      <c r="D24564" t="inlineStr">
        <is>
          <t>Héqache; Amulette du Strigide; Anneau Chevelu; Bague Gloursonne; Bouclier Taverne; Ceintacé; Masque de Koutoulou; Voile d'encre; Bottes du Strigide; Dofus Pourpre; Dofus des Glaces; Dofus Ivoire; Dofus Turquoise; Enragé majeur; Carapace Terre majeur; Muldo Prune et Emeraude</t>
        </is>
      </c>
    </row>
    <row r="24565">
      <c r="A24565" t="inlineStr">
        <is>
          <t>Lance Corompue</t>
        </is>
      </c>
      <c r="B24565">
        <f>HYPERLINK("https://www.dofusbook.net/fr/equipement/2046520-lance-corompue/objets", "link")</f>
        <v/>
      </c>
      <c r="C24565" t="n">
        <v>0</v>
      </c>
      <c r="D24565" t="inlineStr">
        <is>
          <t>Lance corrompue; Collier de Tourthon; Alliance Gloursonne; Anneau des égarés; Bouclier alvéolé; Ceinture de la Reine des Voleurs; Coiffe de la Reine des Voleurs; Ankhape; Baleinabottes; Dolmanax; Dofus des Glaces; Dofus Émeraude; Dofus Abyssal; Remueur; Nomade; Kramkram</t>
        </is>
      </c>
    </row>
    <row r="24566">
      <c r="A24566" t="inlineStr">
        <is>
          <t>Do Pou Stat</t>
        </is>
      </c>
      <c r="B24566">
        <f>HYPERLINK("https://www.dofusbook.net/fr/equipement/2043466-do-pou-stat/objets", "link")</f>
        <v/>
      </c>
      <c r="C24566" t="n">
        <v>0</v>
      </c>
      <c r="D24566" t="inlineStr">
        <is>
          <t>Héqache; Amulette du Cœur Vaillant; Bague Trithon; Baguistik; Bouclier précieux; Ceintacé; Masque de Koutoulou; Voile d'encre; Bottistik; Dofus Émeraude; Dofus Pourpre; Dofus Abyssal; Enragé majeur; Culbuteur majeur; Bousculeur majeur; Muldo Pourpre</t>
        </is>
      </c>
    </row>
    <row r="24567">
      <c r="A24567" t="inlineStr">
        <is>
          <t>Crit</t>
        </is>
      </c>
      <c r="B24567">
        <f>HYPERLINK("https://www.dofusbook.net/fr/equipement/1739352-crit/objets", "link")</f>
        <v/>
      </c>
      <c r="C24567" t="n">
        <v>0</v>
      </c>
      <c r="D24567" t="inlineStr">
        <is>
          <t>Dagues d'Ilyzaelle; Amulette du Strigide; Anneau de Padgref; Bague Gloursonne; Bouclier Taverne; Ceinture du Strigide; Coiffe de Padgref; Voile d'encre; Dofus Pourpre; Dofus des Glaces; Dofus Turquoise; Dofus Abyssal; Dofus Émeraude; Dofus Ocre; Muldo Pourpre</t>
        </is>
      </c>
    </row>
    <row r="24568">
      <c r="A24568" t="inlineStr">
        <is>
          <t>Do Pou Eau</t>
        </is>
      </c>
      <c r="B24568">
        <f>HYPERLINK("https://www.dofusbook.net/fr/equipement/1982284-do-pou-eau/objets", "link")</f>
        <v/>
      </c>
      <c r="C24568" t="n">
        <v>0</v>
      </c>
      <c r="D24568" t="inlineStr">
        <is>
          <t>Sceptre du Roi Joueur; Amulette du Sinistrofu; Alliance Gloursonne; Bague Trithon; Bouclier précieux; Poulpagne; Masque d'Anerice; Cape d'Anerice; Pataugastrique; Dofus Émeraude; Dofus Abyssal; Culbuteur majeur; Nomade; Miraculé majeur; Bousculeur majeur; Péki</t>
        </is>
      </c>
    </row>
    <row r="24569">
      <c r="A24569" t="inlineStr">
        <is>
          <t>Do pou 2</t>
        </is>
      </c>
      <c r="B24569">
        <f>HYPERLINK("https://www.dofusbook.net/fr/equipement/1963063-do-pou-2/objets", "link")</f>
        <v/>
      </c>
      <c r="C24569" t="n">
        <v>0</v>
      </c>
      <c r="D24569" t="inlineStr">
        <is>
          <t>Arc du Chalœil; Torquistik; Bague Instable; Bague Trithon; Bouclier précieux; Ceinture Luminescente; Casque Dragoeuf; Cape Luminescente; Sabots Minables; Dofus Abyssal; Dofus Émeraude; Remueur; Bousculeur majeur; Culbuteur majeur</t>
        </is>
      </c>
    </row>
    <row r="24570">
      <c r="A24570" t="inlineStr">
        <is>
          <t>Do Pou</t>
        </is>
      </c>
      <c r="B24570">
        <f>HYPERLINK("https://www.dofusbook.net/fr/equipement/1962903-do-pou/objets", "link")</f>
        <v/>
      </c>
      <c r="C24570" t="n">
        <v>0</v>
      </c>
      <c r="D24570" t="inlineStr">
        <is>
          <t>Héqache; Amulette du Strigide; Bague Trithon; Anneau Chevelu; Bouclier précieux; Ceinture Luminescente; Masque Trithon; Voile d'encre; Sabots Minables; Dofus Abyssal; Dofus Pourpre; Dofus Ivoire; Remueur; Bousculeur majeur; Culbuteur majeur; Muldo Pourpre</t>
        </is>
      </c>
    </row>
    <row r="24571">
      <c r="A24571" t="inlineStr">
        <is>
          <t>Srambad</t>
        </is>
      </c>
      <c r="B24571">
        <f>HYPERLINK("https://www.dofusbook.net/fr/equipement/1765941-srambad/objets", "link")</f>
        <v/>
      </c>
      <c r="C24571" t="n">
        <v>0</v>
      </c>
      <c r="D24571" t="inlineStr">
        <is>
          <t>Dagues de Srambad; Torquistik; Alliance Gloursonne; Goulano; Goulclier; Ceinture de la Reine des Voleurs; Coiffe de la Reine des Voleurs; Voile d'encre; Goulbottes; Dofus Vulbis; Dofus des Glaces; Dofus Émeraude; Dofus Abyssal; Dolmanax; Dofus Ocre; Kramkram</t>
        </is>
      </c>
    </row>
    <row r="24572">
      <c r="A24572" t="inlineStr">
        <is>
          <t>Koli</t>
        </is>
      </c>
      <c r="B24572">
        <f>HYPERLINK("https://www.dofusbook.net/fr/equipement/1740723-koli/objets", "link")</f>
        <v/>
      </c>
      <c r="C24572" t="n">
        <v>0</v>
      </c>
      <c r="D24572" t="inlineStr">
        <is>
          <t>Rapière aux Glyphes; Amulette de Shokkoth; Alliance Gloursonne; Bracelet des Fonds marins; Écorce de Brouce; Poulpagne; Kidibonnet; Cape du Sinistrofu; Bottes du Sinistrofu; Dofus Abyssal; Dofus Pourpre; Chanceux majeur; Nomade; Fonceur majeur; Kramkram</t>
        </is>
      </c>
    </row>
    <row r="24573">
      <c r="A24573" t="inlineStr">
        <is>
          <t>Feu/Hetype</t>
        </is>
      </c>
      <c r="B24573">
        <f>HYPERLINK("https://www.dofusbook.net/fr/equipement/1630486-feu-hetype/objets", "link")</f>
        <v/>
      </c>
      <c r="C24573" t="n">
        <v>0</v>
      </c>
      <c r="D24573" t="inlineStr">
        <is>
          <t>Arc Hétype; Pendentif affamé; Bague Gloursonne; Anneauræus; Quatre-feuilles; Ceinture Séculaire; Coiffe Séculaire; Cape de Diondin; Bottes Innommables; Dofus Pourpre; Dofus Abyssal; Dokoko; Érudit majeur; Remueur; Nomade; Brûlih</t>
        </is>
      </c>
    </row>
    <row r="24574">
      <c r="A24574" t="inlineStr">
        <is>
          <t>Perco</t>
        </is>
      </c>
      <c r="B24574">
        <f>HYPERLINK("https://www.dofusbook.net/fr/equipement/1604902-perco/objets", "link")</f>
        <v/>
      </c>
      <c r="C24574" t="n">
        <v>1</v>
      </c>
      <c r="D24574" t="inlineStr">
        <is>
          <t>Hache Téroïde; Amulette du Strigide; Alliance Gloursonne; Bague Gloursonne; Bouclier du Captain Amakna; Ceinture du Strigide; Casque Dragoeuf; Voile d'encre; Bottes du Strigide; Dofus Ocre; Dofus Nébuleux; Dofus Turquoise; Dolmanax; Dofus Pourpre; Dofus des Glaces; Muldo Prune et Emeraude</t>
        </is>
      </c>
    </row>
    <row r="24575">
      <c r="A24575" t="inlineStr">
        <is>
          <t>Heqache</t>
        </is>
      </c>
      <c r="B24575">
        <f>HYPERLINK("https://www.dofusbook.net/fr/equipement/1585228-heqache/objets", "link")</f>
        <v/>
      </c>
      <c r="C24575" t="n">
        <v>0</v>
      </c>
      <c r="D24575" t="inlineStr">
        <is>
          <t>Héqache; Amulette du Strigide; Chevalière du Roi Joueur; Bague Trithon; Bouclier du Captain Amakna; Ceinture du Strigide; Casque Dragoeuf; Voile d'encre; Bottes du Cycloïde; Dofus Ocre; Dofus Turquoise; Dolmanax; Dofus Vulbis; Dofus Nébuleux; Dofus Pourpre; Muldo Prune et Emeraude</t>
        </is>
      </c>
    </row>
    <row r="24576">
      <c r="A24576" t="inlineStr">
        <is>
          <t>Hequache</t>
        </is>
      </c>
      <c r="B24576">
        <f>HYPERLINK("https://www.dofusbook.net/fr/equipement/1486714-hequache/objets", "link")</f>
        <v/>
      </c>
      <c r="C24576" t="n">
        <v>0</v>
      </c>
      <c r="D24576" t="inlineStr">
        <is>
          <t>Héqache; Amulette du Strigide; Bracelet du Piloztère; Bague Gloursonne; Quatre-feuilles; Ceintacé; Masque du Katcheur; Voile d'encre; Bottes du Strigide; Dofus Pourpre; Dofus Nébuleux; Dofus Ocre; Dofus Turquoise; Dofus Vulbis; Enragé majeur; Kramkram</t>
        </is>
      </c>
    </row>
    <row r="24577">
      <c r="A24577" t="inlineStr">
        <is>
          <t>Force</t>
        </is>
      </c>
      <c r="B24577">
        <f>HYPERLINK("https://www.dofusbook.net/fr/equipement/1486677-force/objets", "link")</f>
        <v/>
      </c>
      <c r="C24577" t="n">
        <v>0</v>
      </c>
      <c r="D24577" t="inlineStr">
        <is>
          <t>Arc du Chalœil; Amulette du Strigide; Bague Gloursonne; Bracelet du Piloztère; Quatre-feuilles; Ceinture du Strigide; Masque de Koutoulou; Voile d'encre; Bottes de la Cour Sombre; Dofus Turquoise; Dofus Ocre; Dofus Pourpre; Vigoureux majeur; Enragé majeur</t>
        </is>
      </c>
    </row>
    <row r="24578">
      <c r="A24578" t="inlineStr">
        <is>
          <t>Stuff 1</t>
        </is>
      </c>
      <c r="B24578">
        <f>HYPERLINK("https://www.dofusbook.net/fr/equipement/88933-stuff-1/objets", "link")</f>
        <v/>
      </c>
      <c r="C24578" t="n">
        <v>0</v>
      </c>
      <c r="D24578" t="inlineStr">
        <is>
          <t>Dagues Érhy; Amulette du Strigide; Bague Gloursonne; Bracelet du Piloztère; Quatre-feuilles; Ceintacé; Masque du Katcheur; Cape au Logis; Bottes du Strigide; Dofus Turquoise; Dofus Nébuleux; Dofus Pourpre; Vigoureux majeur; Remueur; Enragé majeur; Kompost</t>
        </is>
      </c>
    </row>
    <row r="24579">
      <c r="A24579" t="inlineStr">
        <is>
          <t>Hache Teroide</t>
        </is>
      </c>
      <c r="B24579">
        <f>HYPERLINK("https://www.dofusbook.net/fr/equipement/1243281-hache-teroide/objets", "link")</f>
        <v/>
      </c>
      <c r="C24579" t="n">
        <v>0</v>
      </c>
      <c r="D24579" t="inlineStr">
        <is>
          <t>Hache Téroïde; Amulette du Strigide; Bague Gloursonne; Chevalière du Roi Joueur; Bouclier du Captain Amakna; Ceinture du Strigide; Couronne du Roi Joueur; Voile d'encre; Bottes du Roi Joueur; Dofus Pourpre; Dolmanax; Dofus Turquoise; Dofus des Glaces; Dofus Nébuleux; Dofus Ocre; Muldo Pourpre</t>
        </is>
      </c>
    </row>
    <row r="24580">
      <c r="A24580" t="inlineStr">
        <is>
          <t>Rox</t>
        </is>
      </c>
      <c r="B24580">
        <f>HYPERLINK("https://www.dofusbook.net/fr/equipement/1140307-rox/objets", "link")</f>
        <v/>
      </c>
      <c r="C24580" t="n">
        <v>0</v>
      </c>
      <c r="D24580" t="inlineStr">
        <is>
          <t>Héqache; Amulette du Strigide; Anneau Chevelu; Bague Gloursonne; Bouclier Taverne; Ceinture de Brouce; Masque de Koutoulou; Cape au Logis; Bottes du Strigide; Dofus Turquoise; Dofus des Glaces; Dofus Pourpre; Dolmanax; Vigoureux majeur; Remueur; Kramkram</t>
        </is>
      </c>
    </row>
    <row r="24581">
      <c r="A24581" t="inlineStr">
        <is>
          <t>Heqache Cc</t>
        </is>
      </c>
      <c r="B24581">
        <f>HYPERLINK("https://www.dofusbook.net/fr/equipement/1110951-heqache-cc/objets", "link")</f>
        <v/>
      </c>
      <c r="C24581" t="n">
        <v>0</v>
      </c>
      <c r="D24581" t="inlineStr">
        <is>
          <t>Amulette du Strigide; Anneau Chevelu; Bague Gloursonne; Bouclier du Captain Amakna; Ceinture du Strigide; Masque de Koutoulou; Voile d'encre; Bottes du Cœur Saignant; Dofus Ocre; Dofus Turquoise; Dofus Pourpre; Vigoureux majeur; Nomade; Kramkram</t>
        </is>
      </c>
    </row>
    <row r="24582">
      <c r="A24582" t="inlineStr">
        <is>
          <t>Iop</t>
        </is>
      </c>
      <c r="B24582">
        <f>HYPERLINK("https://www.dofusbook.net/fr/equipement/1070450-iop/objets", "link")</f>
        <v/>
      </c>
      <c r="C24582" t="n">
        <v>0</v>
      </c>
      <c r="D24582" t="inlineStr">
        <is>
          <t>Dagues d'Ilyzaelle; Amulette du Strigide; Anneau Chevelu; Bague Gloursonne; Bouclier du Captain Amakna; Ceinture de Brouce; Masque de Koutoulou; Cape au Logis; Bottes du Strigide; Dofus Turquoise; Dofus Abyssal; Dofus Pourpre; Dolmanax; Dofus Émeraude; Dofus des Glaces; Kramkram</t>
        </is>
      </c>
    </row>
    <row r="24583">
      <c r="A24583" t="inlineStr">
        <is>
          <t>Do Pou</t>
        </is>
      </c>
      <c r="B24583">
        <f>HYPERLINK("https://www.dofusbook.net/fr/equipement/828958-do-pou/objets", "link")</f>
        <v/>
      </c>
      <c r="C24583" t="n">
        <v>0</v>
      </c>
      <c r="D24583" t="inlineStr">
        <is>
          <t>Arc du Chalœil; Torquistik; Bague Instable; Bague Trithon; Bouclier précieux; Ceintacé; Casque Dragoeuf; Voile d'encre; Bottistik; Dofus Émeraude; Dofus Abyssal; Miraculé majeur; Bousculeur majeur; Culbuteur majeur; Remueur; Muldo Pourpre</t>
        </is>
      </c>
    </row>
    <row r="24584">
      <c r="A24584" t="inlineStr">
        <is>
          <t>Crit</t>
        </is>
      </c>
      <c r="B24584">
        <f>HYPERLINK("https://www.dofusbook.net/fr/equipement/801160-crit/objets", "link")</f>
        <v/>
      </c>
      <c r="C24584" t="n">
        <v>0</v>
      </c>
      <c r="D24584" t="inlineStr">
        <is>
          <t>Dagues d'Ilyzaelle; Amulette du Strigide; Bague Gloursonne; Anneau de Padgref; Bouclier du Captain Amakna; Ceinture du Strigide; Coiffe de Padgref; Voile d'encre; Getas de Padgref; Dofus Turquoise; Dofus des Glaces; Dofus Pourpre; Dofus Ocre; Dofus Émeraude; Dolmanax; Muldo Prune et Emeraude</t>
        </is>
      </c>
    </row>
    <row r="24585">
      <c r="A24585" t="inlineStr">
        <is>
          <t>Stuff 1</t>
        </is>
      </c>
      <c r="B24585">
        <f>HYPERLINK("https://www.dofusbook.net/fr/equipement/88930-stuff-1/objets", "link")</f>
        <v/>
      </c>
      <c r="C24585" t="n">
        <v>0</v>
      </c>
      <c r="D24585" t="inlineStr">
        <is>
          <t>Hache du Chalœil; Amulette du Strigide; Alliance Gloursonne; Bracelet du Piloztère; Ceintacé; Coiffe du Lévitrof; Voile d'encre; Bottes du Strigide; Dofus Pourpre; Dofus Turquoise; Vigoureux majeur; Remueur; Observateur; Nomade; Kramkram</t>
        </is>
      </c>
    </row>
    <row r="24586">
      <c r="A24586" t="inlineStr">
        <is>
          <t>Stuff 2</t>
        </is>
      </c>
      <c r="B24586">
        <f>HYPERLINK("https://www.dofusbook.net/fr/equipement/88943-stuff-2/objets", "link")</f>
        <v/>
      </c>
      <c r="C24586" t="n">
        <v>0</v>
      </c>
      <c r="D24586" t="inlineStr">
        <is>
          <t>Poolache; Amulette du Strigide; Bague Gloursonne; Bracelet du Piloztère; Ceintacé; Casque de Missiz Frizz; Voile d'encre; Bottes du Strigide; Dofus Turquoise; Dokoko; Dofus Pourpre; Dofus Nébuleux; Remueur; Nomade; Kramkram</t>
        </is>
      </c>
    </row>
    <row r="24587">
      <c r="A24587" t="inlineStr">
        <is>
          <t>Stuff 1</t>
        </is>
      </c>
      <c r="B24587">
        <f>HYPERLINK("https://www.dofusbook.net/fr/equipement/88930-stuff-1/objets", "link")</f>
        <v/>
      </c>
      <c r="C24587" t="n">
        <v>0</v>
      </c>
      <c r="D24587" t="inlineStr">
        <is>
          <t>Hache du Chalœil; Amulette du Strigide; Alliance Gloursonne; Bracelet du Piloztère; Ceintacé; Coiffe du Lévitrof; Voile d'encre; Bottes du Strigide; Dofus Turquoise; Dofus Pourpre; Nomade; Vigoureux majeur; Remueur; Observateur; Kramkram</t>
        </is>
      </c>
    </row>
    <row r="24588">
      <c r="A24588" t="inlineStr">
        <is>
          <t>Stuff 3</t>
        </is>
      </c>
      <c r="B24588">
        <f>HYPERLINK("https://www.dofusbook.net/fr/equipement/88963-stuff-3/objets", "link")</f>
        <v/>
      </c>
      <c r="C24588" t="n">
        <v>0</v>
      </c>
      <c r="D24588" t="inlineStr">
        <is>
          <t>Dagues Érhy; Amulette du Strigide; Bague Gloursonne; Anneau Chevelu; Ceinture du Strigide; Casque de Missiz Frizz; Cape au Logis; Sabots Minables; Dofus Pourpre; Dofus Turquoise; Dofus des Glaces; Vigoureux majeur; Enragé majeur; Remueur; Kramkram</t>
        </is>
      </c>
    </row>
    <row r="24589">
      <c r="A24589" t="inlineStr">
        <is>
          <t>Stuff 1</t>
        </is>
      </c>
      <c r="B24589">
        <f>HYPERLINK("https://www.dofusbook.net/fr/equipement/88958-stuff-1/objets", "link")</f>
        <v/>
      </c>
      <c r="C24589" t="n">
        <v>0</v>
      </c>
      <c r="D24589" t="inlineStr">
        <is>
          <t>Dagues d'Ilyzaelle; Amulette du Strigide; Anneau Chevelu; Bague Gloursonne; Bouclier Taverne; Ceintacé; Masque de Koutoulou; Cape au Logis; Bottes du Strigide; Dofus Pourpre; Dofus des Glaces; Dolmanax; Dofus Turquoise; Enragé majeur; Kramkram</t>
        </is>
      </c>
    </row>
    <row r="24590">
      <c r="A24590" t="inlineStr">
        <is>
          <t>Stuff 3</t>
        </is>
      </c>
      <c r="B24590">
        <f>HYPERLINK("https://www.dofusbook.net/fr/equipement/88960-stuff-3/objets", "link")</f>
        <v/>
      </c>
      <c r="C24590" t="n">
        <v>0</v>
      </c>
      <c r="D24590" t="inlineStr">
        <is>
          <t>Dagues Érhy; Amulette du Strigide; Bague Gloursonne; Chevalière du Roi Joueur; Ceintacé; Chapeau de Gein; Voile d'encre; Bottes du Strigide; Dofus des Glaces; Dofus Turquoise; Enragé majeur; Nomade; Vigoureux majeur; Remueur; Kramkram</t>
        </is>
      </c>
    </row>
    <row r="24591">
      <c r="A24591" t="inlineStr">
        <is>
          <t>Stuff 3</t>
        </is>
      </c>
      <c r="B24591">
        <f>HYPERLINK("https://www.dofusbook.net/fr/equipement/88935-stuff-3/objets", "link")</f>
        <v/>
      </c>
      <c r="C24591" t="n">
        <v>0</v>
      </c>
      <c r="D24591" t="inlineStr">
        <is>
          <t>Dagues du Dragoeuf; Kralamansion; Anneau de Brouce; Anneau du Comte Harebourg; Ceinture de Brouce; Coiffe du Comte Harebourg; Cape Routh; Bottes de Brouce; Dofus Pourpre; Dofus Ocre; Furibond majeur; Voyageur; Forcené majeur; Précurseur majeur; Kompost</t>
        </is>
      </c>
    </row>
    <row r="24592">
      <c r="A24592" t="inlineStr">
        <is>
          <t>Stuff 2</t>
        </is>
      </c>
      <c r="B24592">
        <f>HYPERLINK("https://www.dofusbook.net/fr/equipement/88962-stuff-2/objets", "link")</f>
        <v/>
      </c>
      <c r="C24592" t="n">
        <v>0</v>
      </c>
      <c r="D24592" t="inlineStr">
        <is>
          <t>Dagues Érhy; Amulette du Strigide; Bague Gloursonne; Anneau Chevelu; Ceinture du Strigide; Bonnet Ko; Voile d'encre; Bottes du Cycloïde; Dofus Ocre; Dofus Turquoise; Dofus Pourpre; Nomade; Enragé majeur; Remueur; Kramkram</t>
        </is>
      </c>
    </row>
    <row r="24593">
      <c r="A24593" t="inlineStr">
        <is>
          <t>Stuff 3</t>
        </is>
      </c>
      <c r="B24593">
        <f>HYPERLINK("https://www.dofusbook.net/fr/equipement/88944-stuff-3/objets", "link")</f>
        <v/>
      </c>
      <c r="C24593" t="n">
        <v>0</v>
      </c>
      <c r="D24593" t="inlineStr">
        <is>
          <t>Arc à Lamelles; Amulette du Strigide; Bracelet du Piloztère; Bague Gloursonne; Ceintacé; Masque du Katcheur; Cape au Logis; Bottes du Strigide; Dofus Nébuleux; Dofus Pourpre; Dofus Turquoise; Remueur; Enragé majeur; Vigoureux majeur; Kramkram</t>
        </is>
      </c>
    </row>
    <row r="24594">
      <c r="A24594" t="inlineStr">
        <is>
          <t>Stuff 3</t>
        </is>
      </c>
      <c r="B24594">
        <f>HYPERLINK("https://www.dofusbook.net/fr/equipement/88932-stuff-3/objets", "link")</f>
        <v/>
      </c>
      <c r="C24594" t="n">
        <v>0</v>
      </c>
      <c r="D24594" t="inlineStr">
        <is>
          <t>Dagoulinantes; Amulette de Shokkoth; Alliance Gloursonne; Bracelet des Fonds marins; Bouclier précieux; Poulpagne; Casque Dragoeuf; Cape du Sinistrofu; Bottes du Sinistrofu; Obstructeur; Chanceux majeur; Obstructeur majeur; Bloqueur majeur; Nomade; Remueur; Blokus</t>
        </is>
      </c>
    </row>
    <row r="24595">
      <c r="A24595" t="inlineStr">
        <is>
          <t>Stuff 2</t>
        </is>
      </c>
      <c r="B24595">
        <f>HYPERLINK("https://www.dofusbook.net/fr/equipement/88965-stuff-2/objets", "link")</f>
        <v/>
      </c>
      <c r="C24595" t="n">
        <v>0</v>
      </c>
      <c r="D24595" t="inlineStr">
        <is>
          <t>Harpelle; Amulette Séculaire; Anneauræus; Anneau Rifique; Sept ans de malheur; Ceinture Séculaire; Casque Dragoeuf; Voile d'encre; Pataugastrique; Dofus Abyssal; Dolmanax; Dofus Émeraude; Remueur; Étourdisseur majeur; Érudit majeur; Muldo Orchidée et Amande</t>
        </is>
      </c>
    </row>
    <row r="24596">
      <c r="A24596" t="inlineStr">
        <is>
          <t>Stuff 2</t>
        </is>
      </c>
      <c r="B24596">
        <f>HYPERLINK("https://www.dofusbook.net/fr/equipement/88959-stuff-2/objets", "link")</f>
        <v/>
      </c>
      <c r="C24596" t="n">
        <v>0</v>
      </c>
      <c r="D24596" t="inlineStr">
        <is>
          <t>Dagues Érhy; Amulette du Strigide; Bague Gloursonne; Anneau Chevelu; Ceinture du Strigide; Chapeau de Gein; Cape au Logis; Sabots Minables; Dofus des Glaces; Dofus Pourpre; Dofus Turquoise; Remueur; Enragé majeur; Vigoureux majeur; Kramkram</t>
        </is>
      </c>
    </row>
    <row r="24597">
      <c r="A24597" t="inlineStr">
        <is>
          <t>12/6 Variante</t>
        </is>
      </c>
      <c r="B24597">
        <f>HYPERLINK("https://www.dofusbook.net/fr/equipement/5393463-12-6-variante-/objets", "link")</f>
        <v/>
      </c>
      <c r="C24597" t="n">
        <v>0</v>
      </c>
      <c r="D24597" t="inlineStr">
        <is>
          <t>Dagues du Dragoeuf; Amulette du Strigide; Anneau de Padgref; Bracelet du Piloztère; Bouclier du Captain Amakna; Ceinture du Strigide; Corne de Torkélonia; Carapace de Torkélonia; Bottes du Strigide; Dofus Ocre; Dofus Ivoire; Dofus Turquoise; Dofus des Glaces; Dofus Vulbis; Dofus Nébuleux; Kokulte</t>
        </is>
      </c>
    </row>
    <row r="24598">
      <c r="A24598" t="inlineStr">
        <is>
          <t>Ouginak M 200</t>
        </is>
      </c>
      <c r="B24598">
        <f>HYPERLINK("https://www.dofusbook.net/fr/equipement/5045819-ouginak-m-200/objets", "link")</f>
        <v/>
      </c>
      <c r="C24598" t="n">
        <v>1</v>
      </c>
      <c r="D24598" t="inlineStr">
        <is>
          <t>Lance Horselé; Collier du Valet Veinard; Gant du Valet Veinard; Alliance Gloursonne; Bouclier d'Ilyzaelle; Menoture; Capuche de Moum-Ra; Chevelure de Tal Kasha; Palmes Trithons; Dofus Abyssal; Dofus Ocre; Dofus Émeraude; Dofus Ivoire; Nomade; Cascadeur majeur; Blérodoudou</t>
        </is>
      </c>
    </row>
    <row r="24599">
      <c r="A24599" t="inlineStr">
        <is>
          <t>Buldo</t>
        </is>
      </c>
      <c r="B24599">
        <f>HYPERLINK("https://www.dofusbook.net/fr/equipement/5303606-buldo/objets", "link")</f>
        <v/>
      </c>
      <c r="C24599" t="n">
        <v>0</v>
      </c>
      <c r="D24599" t="inlineStr">
        <is>
          <t>Couteaux Sacrificiels; Collier Rophante; Bague Trithon; Alliance Gloursonne; Sept ans de malheur; Ceinture de Kongoku; Masque d'Anerice; Cape d'Anerice; Pataugastrique; Dofus Ivoire; Dofus Abyssal; Dofus Émeraude; Obstructeur majeur; Miraculé majeur; Carapace Eau majeur; Kougnard</t>
        </is>
      </c>
    </row>
    <row r="24600">
      <c r="A24600" t="inlineStr">
        <is>
          <t>Pandawa M 200 12/6</t>
        </is>
      </c>
      <c r="B24600">
        <f>HYPERLINK("https://www.dofusbook.net/fr/equipement/5045577-pandawa-m-200-12-6/objets", "link")</f>
        <v/>
      </c>
      <c r="C24600" t="n">
        <v>1</v>
      </c>
      <c r="D24600" t="inlineStr">
        <is>
          <t>Rapière aux Glyphes; Amulette de l'Œil Attentif; Pikano; Alliance Gloursonne; Droiture de Fallanster; Ceinture Glaciale; Capuche de l'Œil Attentif; Cape de l'Œil Attentif; Getas Bernacle; Dolmanax; Dofus Ivoire; Dofus Vulbis; Dofus Abyssal; Dofus Émeraude; Dofus Ocre; Fëanor</t>
        </is>
      </c>
    </row>
    <row r="24601">
      <c r="A24601" t="inlineStr">
        <is>
          <t>Féca M 200 12/6</t>
        </is>
      </c>
      <c r="B24601">
        <f>HYPERLINK("https://www.dofusbook.net/fr/equipement/5278227-feca-m-200-12-6/objets", "link")</f>
        <v/>
      </c>
      <c r="C24601" t="n">
        <v>0</v>
      </c>
      <c r="D24601" t="inlineStr">
        <is>
          <t>Couteaux Sacrificiels; Amulette Volkorne; Alliance Gloursonne; Anneau Volkorne; Bouclier alvéolé; Ceintrigue; Chapeau des Malveilleurs; Cape des Malveilleurs; Bottes des Malveilleurs; Dofus Abyssal; Dofus Ivoire; Dofus Vulbis; Dofus des Glaces; Dolmanax; Dofus Ocre; Fëanor</t>
        </is>
      </c>
    </row>
    <row r="24602">
      <c r="A24602" t="inlineStr">
        <is>
          <t>Féca M 200</t>
        </is>
      </c>
      <c r="B24602">
        <f>HYPERLINK("https://www.dofusbook.net/fr/equipement/5020796-feca-m-200/objets", "link")</f>
        <v/>
      </c>
      <c r="C24602" t="n">
        <v>1</v>
      </c>
      <c r="D24602" t="inlineStr">
        <is>
          <t>Couteaux Sacrificiels; Amulette Volkorne; Alliance Gloursonne; Anneau Volkorne; Bouclier alvéolé; Ceinture Volkorne; Masque Paztek; Cape Paztek; Pataugastrique; Dofus Abyssal; Dofus Ivoire; Dofus Émeraude; Dofus des Glaces; Dolmanax; Dofus Ocre; Fëanor</t>
        </is>
      </c>
    </row>
    <row r="24603">
      <c r="A24603" t="inlineStr">
        <is>
          <t>Eniripsa M 200 12/6</t>
        </is>
      </c>
      <c r="B24603">
        <f>HYPERLINK("https://www.dofusbook.net/fr/equipement/5274825-eniripsa-m-200-12-6/objets", "link")</f>
        <v/>
      </c>
      <c r="C24603" t="n">
        <v>0</v>
      </c>
      <c r="D24603" t="inlineStr">
        <is>
          <t>Arc corrompu; Amulette Séculaire; Anneau de Padgref; Anneauræus; Quatre-feuilles; Ceinture Séculaire; Coiffe de Padgref; Cape de Nileza; Getas de Padgref; Dofus Vulbis; Dofus Ocre; Dolmanax; Dofus Ivoire; Dofus Turquoise; Dofus Abyssal; Fëanor</t>
        </is>
      </c>
    </row>
    <row r="24604">
      <c r="A24604" t="inlineStr">
        <is>
          <t>Enutrof M 200 12/6</t>
        </is>
      </c>
      <c r="B24604">
        <f>HYPERLINK("https://www.dofusbook.net/fr/equipement/5274738-enutrof-m-200-12-6/objets", "link")</f>
        <v/>
      </c>
      <c r="C24604" t="n">
        <v>2</v>
      </c>
      <c r="D24604" t="inlineStr">
        <is>
          <t>Rapière aux Glyphes; Amulette Luminescente; Anneau Volkorne; Pikano; Bouclier cubiste; Ceinture Luminescente; Casquipik; Cape Luminescente; Pikottes; Dofus Vulbis; Dofus Ivoire; Dofus Nébuleux; Dofus Abyssal; Dofus Turquoise; Dofus Ocre; Gwo Tofu Ventripotent</t>
        </is>
      </c>
    </row>
    <row r="24605">
      <c r="A24605" t="inlineStr">
        <is>
          <t>Zobal M 200 12/6</t>
        </is>
      </c>
      <c r="B24605">
        <f>HYPERLINK("https://www.dofusbook.net/fr/equipement/5273891-zobal-m-200-12-6/objets", "link")</f>
        <v/>
      </c>
      <c r="C24605" t="n">
        <v>1</v>
      </c>
      <c r="D24605" t="inlineStr">
        <is>
          <t>Hache du Chalœil; Amulette du Strigide; Anneau Volkorne; Anneau de Padgref; Bouclier du Captain Amakna; Ceinture du Strigide; Coiffe de Padgref; Dofusteuse; Getas de Padgref; Dofus Vulbis; Dofus Nébuleux; Dofus Turquoise; Dofus Ivoire; Dofus Ocre; Dofus Abyssal; Fëanor</t>
        </is>
      </c>
    </row>
    <row r="24606">
      <c r="A24606" t="inlineStr">
        <is>
          <t>Iop M 200 12/6</t>
        </is>
      </c>
      <c r="B24606">
        <f>HYPERLINK("https://www.dofusbook.net/fr/equipement/4018725-iop-m-200-12-6/objets", "link")</f>
        <v/>
      </c>
      <c r="C24606" t="n">
        <v>3</v>
      </c>
      <c r="D24606" t="inlineStr">
        <is>
          <t>Marteau R'ture; Amulette du Cœur Saignant; Anneau de Brouce; Alliance de Missiz Frizz; Bouclier du Captain Amakna; Ceinture de Brouce; Casque de Missiz Frizz; Cape du Cœur Saignant; Bottes de Brouce; Dofus Abyssal; Dofus Turquoise; Dofus Nébuleux; Dofus Ocre; Dofus Vulbis; Dofus Ivoire; Fëanor</t>
        </is>
      </c>
    </row>
    <row r="24607">
      <c r="A24607" t="inlineStr">
        <is>
          <t>Cra M 200 12/6</t>
        </is>
      </c>
      <c r="B24607">
        <f>HYPERLINK("https://www.dofusbook.net/fr/equipement/5268895-cra-m-200-12-6/objets", "link")</f>
        <v/>
      </c>
      <c r="C24607" t="n">
        <v>1</v>
      </c>
      <c r="D24607" t="inlineStr">
        <is>
          <t>Sabres d'Atcham; Amulette du Strigide; Bracelet du Piloztère; Anneau de Padgref; Quatre-feuilles; Ceinture du Strigide; Coiffe de Padgref; Cape d'Atcham; Getas de Padgref; Dofus Turquoise; Dofus Nébuleux; Dofus Ocre; Dofus des Glaces; Dofus Vulbis; Dofus Ivoire; Fëanor</t>
        </is>
      </c>
    </row>
    <row r="24608">
      <c r="A24608" t="inlineStr">
        <is>
          <t>Ouginak M 200 12/6</t>
        </is>
      </c>
      <c r="B24608">
        <f>HYPERLINK("https://www.dofusbook.net/fr/equipement/5045533-ouginak-m-200-12-6/objets", "link")</f>
        <v/>
      </c>
      <c r="C24608" t="n">
        <v>3</v>
      </c>
      <c r="D24608" t="inlineStr">
        <is>
          <t>Lance Horselé; Collier du Valet Veinard; Anneau d'Allister; Gant du Valet Veinard; Bouclier d'Ilyzaelle; Sangle Oriole; Couronne d'Allister; Cape du Valet Veinard; Bottes d'Allister; Dofus Nébuleux; Dofus Ivoire; Dofus Turquoise; Dofus Abyssal; Dofus Ocre; Dofus Vulbis; Blérodoudou</t>
        </is>
      </c>
    </row>
    <row r="24609">
      <c r="A24609" t="inlineStr">
        <is>
          <t>Terre</t>
        </is>
      </c>
      <c r="B24609">
        <f>HYPERLINK("https://www.dofusbook.net/fr/equipement/2062203-terre/objets", "link")</f>
        <v/>
      </c>
      <c r="C24609" t="n">
        <v>0</v>
      </c>
      <c r="D24609" t="inlineStr">
        <is>
          <t>Arc du Chalœil; Amulette du Cœur Saignant; Anneau de Brouce; Alliance de Missiz Frizz; Quatre-feuilles; Ceinture de Brouce; Casque de Missiz Frizz; Cape du Cœur Saignant; Bottes de Brouce; Dofus Vulbis; Dofus Ivoire; Dofus Abyssal; Dofus Turquoise; Dofus Nébuleux; Dofus Ocre; Fëanor</t>
        </is>
      </c>
    </row>
    <row r="24610">
      <c r="A24610" t="inlineStr">
        <is>
          <t>Pandawa M 200</t>
        </is>
      </c>
      <c r="B24610">
        <f>HYPERLINK("https://www.dofusbook.net/fr/equipement/3729394-pandawa-m-200/objets", "link")</f>
        <v/>
      </c>
      <c r="C24610" t="n">
        <v>2</v>
      </c>
      <c r="D24610" t="inlineStr">
        <is>
          <t>Collier Rophante; Anneau de Pol Ouatnos; Alliance Gloursonne; Bouclier Bontarien; Ceinture de Dame Jhessica; Masque Paztek; Cape Paztek; Baleinabottes; Dofus Argenté; Dofus Ocre; Dofus Ivoire; Dofus Émeraude; Dofus Abyssal; Miraculé majeur; Dauge</t>
        </is>
      </c>
    </row>
    <row r="24611">
      <c r="A24611" t="inlineStr">
        <is>
          <t>EQM4</t>
        </is>
      </c>
      <c r="B24611">
        <f>HYPERLINK("https://www.dofusbook.net/fr/equipement/1416959-eqm4/objets", "link")</f>
        <v/>
      </c>
      <c r="C24611" t="n">
        <v>4</v>
      </c>
      <c r="D24611" t="inlineStr">
        <is>
          <t>Dagues d'Ilyzaelle; Amulette du Strigide; Anneau de Brouce; Alliance de Missiz Frizz; Bouclier du Captain Amakna; Ceinture de Brouce; Casque de Missiz Frizz; Cape au Logis; Bottes de Brouce; Dofus Nébuleux; Dofus Turquoise; Dofus Ivoire; Dofus Pourpre; Dofus Ocre; Forcené majeur; Kokulte</t>
        </is>
      </c>
    </row>
    <row r="24612">
      <c r="A24612" t="inlineStr">
        <is>
          <t>EQM3</t>
        </is>
      </c>
      <c r="B24612">
        <f>HYPERLINK("https://www.dofusbook.net/fr/equipement/1412916-eqm3/objets", "link")</f>
        <v/>
      </c>
      <c r="C24612" t="n">
        <v>3</v>
      </c>
      <c r="D24612" t="inlineStr">
        <is>
          <t>Arc du Chalœil; Amulette du Strigide; Anneau Chevelu; Anneau de Brouce; Quatre-feuilles; Ceinture Volkorne; Masque de Koutoulou; Cape au Logis; Bottes de Brouce; Dofus Turquoise; Dofus Ivoire; Dofus Pourpre; Dofus Ocre; Évasif majeur; Enragé majeur; Rauleur</t>
        </is>
      </c>
    </row>
    <row r="24613">
      <c r="A24613" t="inlineStr">
        <is>
          <t>Terre</t>
        </is>
      </c>
      <c r="B24613">
        <f>HYPERLINK("https://www.dofusbook.net/fr/equipement/3089031-terre/objets", "link")</f>
        <v/>
      </c>
      <c r="C24613" t="n">
        <v>1</v>
      </c>
      <c r="D24613" t="inlineStr">
        <is>
          <t>Marteau R'ture; Amulette du Cœur Saignant; Anneau de Brouce; Alliance de Missiz Frizz; Bouclier du Captain Amakna; Ceinture de Brouce; Casque de Missiz Frizz; Cape du Cœur Saignant; Bottes de Brouce; Dofus Ocre; Dofus Pourpre; Dofus Nébuleux; Dofus Vulbis; Dofus Turquoise; Forcené majeur; Volkorne Emeraude et Pourpre</t>
        </is>
      </c>
    </row>
    <row r="24614">
      <c r="A24614" t="inlineStr">
        <is>
          <t>Sadida M 200</t>
        </is>
      </c>
      <c r="B24614">
        <f>HYPERLINK("https://www.dofusbook.net/fr/equipement/3705420-sadida-m-200/objets", "link")</f>
        <v/>
      </c>
      <c r="C24614" t="n">
        <v>0</v>
      </c>
      <c r="D24614" t="inlineStr">
        <is>
          <t>Dagoulinantes; Amulette de Shokkoth; Anneau Glacial; Anneau Volkorne; Bouclier du Stalak; Ceinture Glaciale; Coiffe de Danathor; Cape de l'Œil Attentif; Bottes du Nocturlabe; Dofus Ocre; Dofus Nébuleux; Dofus Pourpre; Taquin majeur; Chanceux majeur; Remueur; Volkorne Indigo</t>
        </is>
      </c>
    </row>
    <row r="24615">
      <c r="A24615" t="inlineStr">
        <is>
          <t>Sadida M 200</t>
        </is>
      </c>
      <c r="B24615">
        <f>HYPERLINK("https://www.dofusbook.net/fr/equipement/3705371-sadida-m-200/objets", "link")</f>
        <v/>
      </c>
      <c r="C24615" t="n">
        <v>2</v>
      </c>
      <c r="D24615" t="inlineStr">
        <is>
          <t>Hachoirs de Viandargh; Amulette du Granduk; Anneau d'Allister; Gant du Valet Veinard; Bouclier du Stalak; Menoture; Couronne d'Allister; Cape Indescriptible; Palmes Trithons; Dofus Pourpre; Dofus des Glaces; Dofus Nébuleux; Dofus Ocre; Equilibriste majeur; Cascadeur majeur; Dragodinde Ebène et Ivoire</t>
        </is>
      </c>
    </row>
    <row r="24616">
      <c r="A24616" t="inlineStr">
        <is>
          <t>Eau</t>
        </is>
      </c>
      <c r="B24616">
        <f>HYPERLINK("https://www.dofusbook.net/fr/equipement/922551-eau/objets", "link")</f>
        <v/>
      </c>
      <c r="C24616" t="n">
        <v>4</v>
      </c>
      <c r="D24616" t="inlineStr">
        <is>
          <t>Rapière aux Glyphes; Amulette de Danathor; Alliance Gloursonne; Anneau Glacial; Quatre-feuilles; Poulpagne; Coiffe de Danathor; Cape Solution; Getas Bernacle; Dofus Pourpre; Dofus Turquoise; Dofus Ivoire; Nomade; Chanceux majeur; Fonceur majeur</t>
        </is>
      </c>
    </row>
    <row r="24617">
      <c r="A24617" t="inlineStr">
        <is>
          <t>Féca M 200</t>
        </is>
      </c>
      <c r="B24617">
        <f>HYPERLINK("https://www.dofusbook.net/fr/equipement/5114060-feca-m-200/objets", "link")</f>
        <v/>
      </c>
      <c r="C24617" t="n">
        <v>0</v>
      </c>
      <c r="D24617" t="inlineStr">
        <is>
          <t>Couteaux Sacrificiels; Amulette Volkorne; Anneau Volkorne; Alliance Gloursonne; Bouclier alvéolé; Ceinture Volkorne; Masque Paztek; Cape Paztek; Pataugastrique; Dofus des Glaces; Dofus Abyssal; Dofus Ocre; Dolmanax; Dofus Émeraude; Eliôme</t>
        </is>
      </c>
    </row>
    <row r="24618">
      <c r="A24618" t="inlineStr">
        <is>
          <t>Pandawa M 200</t>
        </is>
      </c>
      <c r="B24618">
        <f>HYPERLINK("https://www.dofusbook.net/fr/equipement/5114002-pandawa-m-200/objets", "link")</f>
        <v/>
      </c>
      <c r="C24618" t="n">
        <v>0</v>
      </c>
      <c r="D24618" t="inlineStr">
        <is>
          <t>Lav'Hache; Collier de Tourthon; Anneau de Pol Ouatnos; Anneau de XLII; Droiture de Fallanster; Ceinture de XLII; Casque Dragoeuf; Bravoure de Rykke Errel; Baleinabottes; Dofus Abyssal; Dofus Ocre; Dofus Émeraude; Dofus Ivoire; Miraculé majeur; Platypus</t>
        </is>
      </c>
    </row>
    <row r="24619">
      <c r="A24619" t="inlineStr">
        <is>
          <t>Iop F 200</t>
        </is>
      </c>
      <c r="B24619">
        <f>HYPERLINK("https://www.dofusbook.net/fr/equipement/5002143-iop-f-200/objets", "link")</f>
        <v/>
      </c>
      <c r="C24619" t="n">
        <v>0</v>
      </c>
      <c r="D24619" t="inlineStr">
        <is>
          <t>Dagues du Dragoeuf; Amulette Volkorne; Chevalière du Roi Joueur; Bague Gloursonne; Bivalve; Ceinture Volkorne; Couronne du Roi Joueur; Cape de Jahash Jurgen; Bottes du Roi Joueur; Dofus Pourpre; Dofus Vulbis; Dofus Turquoise; Dofus des Glaces; Dofus Ocre; Dofus Abyssal; Cromeugnon</t>
        </is>
      </c>
    </row>
    <row r="24620">
      <c r="A24620" t="inlineStr">
        <is>
          <t>Iop F 200</t>
        </is>
      </c>
      <c r="B24620">
        <f>HYPERLINK("https://www.dofusbook.net/fr/equipement/5104105-iop-f-200/objets", "link")</f>
        <v/>
      </c>
      <c r="C24620" t="n">
        <v>0</v>
      </c>
      <c r="D24620" t="inlineStr">
        <is>
          <t>Pendentif affamé; Bague Gloursonne; Anneauræus; Bivalve; Ceinture Séculaire; Coiffe Séculaire; Cape de Diondin; Bottes Innommables; Dofus Ivoire; Dofus Abyssal; Dofus Vulbis; Dofus Nébuleux; Érudit majeur; Remueur; Bisouglours</t>
        </is>
      </c>
    </row>
    <row r="24621">
      <c r="A24621" t="inlineStr">
        <is>
          <t>Pandawa M 200</t>
        </is>
      </c>
      <c r="B24621">
        <f>HYPERLINK("https://www.dofusbook.net/fr/equipement/5088614-pandawa-m-200/objets", "link")</f>
        <v/>
      </c>
      <c r="C24621" t="n">
        <v>1</v>
      </c>
      <c r="D24621" t="inlineStr">
        <is>
          <t>Couteaux Sacrificiels; Collier Rophante; Anneau de Pol Ouatnos; Alliance Gloursonne; Droiture de Fallanster; Ceinture de Dame Jhessica; Masque d'Anerice; Cape d'Anerice; Baleinabottes; Dofus Argenté; Dofus Abyssal; Dofus Émeraude; Dofus Ivoire; Miraculé majeur; Remueur; Dauge</t>
        </is>
      </c>
    </row>
    <row r="24622">
      <c r="A24622" t="inlineStr">
        <is>
          <t>Iop F 200</t>
        </is>
      </c>
      <c r="B24622">
        <f>HYPERLINK("https://www.dofusbook.net/fr/equipement/5002155-iop-f-200/objets", "link")</f>
        <v/>
      </c>
      <c r="C24622" t="n">
        <v>0</v>
      </c>
      <c r="D24622" t="inlineStr">
        <is>
          <t>Hachoirs de Viandargh; Amulette du Strigide; Bague Gloursonne; Alliance Gloursonne; Bouclier du Captain Amakna; Ceinture du Strigide; Coiffe de la Fuji Givrefoux; Cape de la Fuji Givrefoux; Bottes du Strigide; Dofus Vulbis; Dofus des Glaces; Dofus Pourpre; Dofus Abyssal; Dofus Turquoise; Dofus Ocre; Kokulte</t>
        </is>
      </c>
    </row>
    <row r="24623">
      <c r="A24623" t="inlineStr">
        <is>
          <t>Arc crit</t>
        </is>
      </c>
      <c r="B24623">
        <f>HYPERLINK("https://www.dofusbook.net/fr/equipement/3577438-arc-crit/objets", "link")</f>
        <v/>
      </c>
      <c r="C24623" t="n">
        <v>1</v>
      </c>
      <c r="D24623" t="inlineStr">
        <is>
          <t>Sabres d'Atcham; Amulette du Strigide; Alliance de Missiz Frizz; Bague Trithon; Quatre-feuilles; Ceinture du Strigide; Masque Trithon; Cape d'Atcham; Bottes Trithon; Dofus Pourpre; Dofus des Glaces; Dofus Turquoise; Dolmanax; Dofus Ocre; Voyageur; Sakochère</t>
        </is>
      </c>
    </row>
    <row r="24624">
      <c r="A24624" t="inlineStr">
        <is>
          <t>100 crit</t>
        </is>
      </c>
      <c r="B24624">
        <f>HYPERLINK("https://www.dofusbook.net/fr/equipement/5410531-100-crit/objets", "link")</f>
        <v/>
      </c>
      <c r="C24624" t="n">
        <v>9</v>
      </c>
      <c r="D24624" t="inlineStr">
        <is>
          <t>Baguette de Torkélonia; Amulette du Strigide; Bracelet du Piloztère; Anneau de Padgref; Quatre-feuilles; Ceinture du Strigide; Coiffe de Padgref; Carapace de Torkélonia; Getas de Padgref; Dofus Vulbis; Dofus Turquoise; Dolmanax; Dofus Ocre; Dofus Pourpre; Dofus des Glaces; Kokulte</t>
        </is>
      </c>
    </row>
    <row r="24625">
      <c r="A24625" t="inlineStr">
        <is>
          <t>Test act</t>
        </is>
      </c>
      <c r="B24625">
        <f>HYPERLINK("https://www.dofusbook.net/fr/equipement/5410619-test-act/objets", "link")</f>
        <v/>
      </c>
      <c r="C24625" t="n">
        <v>3</v>
      </c>
      <c r="D24625" t="inlineStr">
        <is>
          <t>Baguette de Torkélonia; Amulette du Strigide; Bracelet du Piloztère; Crocanneau; Quatre-feuilles; Ceinture du Strigide; Corne de Torkélonia; Carapace de Torkélonia; Bottes du Strigide; Dofus Pourpre; Dofus des Glaces; Dofus Vulbis; Dofus Turquoise; Dolmanax; Dofus Ocre; Kokulte</t>
        </is>
      </c>
    </row>
    <row r="24626">
      <c r="A24626" t="inlineStr">
        <is>
          <t>Multi 12 PA trith</t>
        </is>
      </c>
      <c r="B24626">
        <f>HYPERLINK("https://www.dofusbook.net/fr/equipement/5410497-multi-12-pa-trith/objets", "link")</f>
        <v/>
      </c>
      <c r="C24626" t="n">
        <v>2</v>
      </c>
      <c r="D24626" t="inlineStr">
        <is>
          <t>Baguette de Torkélonia; Amulette du Strigide; Bracelet du Piloztère; Bague Trithon; Quatre-feuilles; Ceinture du Strigide; Masque Trithon; Carapace de Torkélonia; Bottes Trithon; Dofus Pourpre; Dofus des Glaces; Dofus Vulbis; Dofus Turquoise; Dolmanax; Dofus Ocre; Sakochère</t>
        </is>
      </c>
    </row>
    <row r="24627">
      <c r="A24627" t="inlineStr">
        <is>
          <t>Multi12PA</t>
        </is>
      </c>
      <c r="B24627">
        <f>HYPERLINK("https://www.dofusbook.net/fr/equipement/2808183-multi12pa/objets", "link")</f>
        <v/>
      </c>
      <c r="C24627" t="n">
        <v>12</v>
      </c>
      <c r="D24627" t="inlineStr">
        <is>
          <t>Baguette de Torkélonia; Amulette du Strigide; Bracelet du Piloztère; Anneau de Padgref; Quatre-feuilles; Ceinture du Strigide; Coiffe de Padgref; Carapace de Torkélonia; Getas de Padgref; Dofus Vulbis; Dofus Turquoise; Dolmanax; Dofus Ocre; Dofus Pourpre; Dofus des Glaces; Sakochère</t>
        </is>
      </c>
    </row>
    <row r="24628">
      <c r="A24628" t="inlineStr">
        <is>
          <t>Stuff 2</t>
        </is>
      </c>
      <c r="B24628">
        <f>HYPERLINK("https://www.dofusbook.net/fr/equipement/542087-stuff-2/objets", "link")</f>
        <v/>
      </c>
      <c r="C24628" t="n">
        <v>11</v>
      </c>
      <c r="D24628" t="inlineStr">
        <is>
          <t>Bâton Beau; Amulette du Strigide; Alliance Gloursonne; Bracelet du Piloztère; Bouclier du Stalak; Ceintacé; Maskrobe; Voile d'encre; Bottes du Strigide; Dolmanax; Dofus Pourpre; Dofus Ocre; Dofus Turquoise; Vigoureux majeur; Nomade; Chacha Angora</t>
        </is>
      </c>
    </row>
    <row r="24629">
      <c r="A24629" t="inlineStr">
        <is>
          <t>Stuff 3</t>
        </is>
      </c>
      <c r="B24629">
        <f>HYPERLINK("https://www.dofusbook.net/fr/equipement/542106-stuff-3/objets", "link")</f>
        <v/>
      </c>
      <c r="C24629" t="n">
        <v>0</v>
      </c>
      <c r="D24629" t="inlineStr">
        <is>
          <t>Manthache; Collier du Valet Veinard; Gant du Valet Veinard; Alliance Gloursonne; Bouclier du Stalak; Menoture; Couronne d'Allister; Cape Indescriptible; Palmes Trithons; Dofus Pourpre; Dofus des Glaces; Remueur; Nomade; Cascadeur majeur; Dévastateur Air majeur; Blérodoudou</t>
        </is>
      </c>
    </row>
    <row r="24630">
      <c r="A24630" t="inlineStr">
        <is>
          <t>Féca F 200</t>
        </is>
      </c>
      <c r="B24630">
        <f>HYPERLINK("https://www.dofusbook.net/fr/equipement/4315414-feca-f-200/objets", "link")</f>
        <v/>
      </c>
      <c r="C24630" t="n">
        <v>22</v>
      </c>
      <c r="D24630" t="inlineStr">
        <is>
          <t>Hache du Chalœil; Amulette du Strigide; Alliance Gloursonne; Bracelet du Piloztère; Quatre-feuilles; Ceintacé; Le Dorado; Voile d'encre; Bottes du Strigide; Dolmanax; Dofus Pourpre; Dofus des Glaces; Dofus Turquoise; Nomade; Vigoureux majeur; Kokulte</t>
        </is>
      </c>
    </row>
    <row r="24631">
      <c r="A24631" t="inlineStr">
        <is>
          <t>Stuff 2</t>
        </is>
      </c>
      <c r="B24631">
        <f>HYPERLINK("https://www.dofusbook.net/fr/equipement/542125-stuff-2/objets", "link")</f>
        <v/>
      </c>
      <c r="C24631" t="n">
        <v>1</v>
      </c>
      <c r="D24631" t="inlineStr">
        <is>
          <t>Hache du Chalœil; Amulette du Strigide; Alliance Gloursonne; Bracelet du Piloztère; Quatre-feuilles; Ceintacé; Le Dorado; Voile d'encre; Bottes du Strigide; Dofus des Glaces; Dofus Turquoise; Dolmanax; Dofus Pourpre; Nomade; Vigoureux majeur; Kokulte</t>
        </is>
      </c>
    </row>
    <row r="24632">
      <c r="A24632" t="inlineStr">
        <is>
          <t>Test FEU AIR PVP</t>
        </is>
      </c>
      <c r="B24632">
        <f>HYPERLINK("https://www.dofusbook.net/fr/equipement/3822466-test-feu-air-pvp/objets", "link")</f>
        <v/>
      </c>
      <c r="C24632" t="n">
        <v>2</v>
      </c>
      <c r="D24632" t="inlineStr">
        <is>
          <t>Hache Téroïde; Amulette du Strigide; Bague Gloursonne; Bracelet du Piloztère; Bouclier du Captain Amakna; Ceintacé; Coiffe de Padgref; Chevelure de Tal Kasha; Getas de Padgref; Dofus Turquoise; Dofus des Glaces; Dofus Pourpre; Remueur; Nomade; Vigoureux majeur; Kokulte</t>
        </is>
      </c>
    </row>
    <row r="24633">
      <c r="A24633" t="inlineStr">
        <is>
          <t>Ecaflip M 200</t>
        </is>
      </c>
      <c r="B24633">
        <f>HYPERLINK("https://www.dofusbook.net/fr/equipement/3947376-ecaflip-m-200/objets", "link")</f>
        <v/>
      </c>
      <c r="C24633" t="n">
        <v>8</v>
      </c>
      <c r="D24633" t="inlineStr">
        <is>
          <t>Sceptre du Roi Joueur; Amulette de Shokkoth; Alliance Gloursonne; Anneau Volkorne; Bouclier du Stalak; Sangle Ouare; Némès de Tal Kasha; Chevelure de Tal Kasha; Pataugastrique; Dofus Turquoise; Dofus Ocre; Dofus Pourpre; Chanceux majeur; Robuste majeur; Vigoureux majeur; Pioute bleu</t>
        </is>
      </c>
    </row>
    <row r="24634">
      <c r="A24634" t="inlineStr">
        <is>
          <t>test PVP2</t>
        </is>
      </c>
      <c r="B24634">
        <f>HYPERLINK("https://www.dofusbook.net/fr/equipement/3843311-test-pvp2/objets", "link")</f>
        <v/>
      </c>
      <c r="C24634" t="n">
        <v>7</v>
      </c>
      <c r="D24634" t="inlineStr">
        <is>
          <t>Sceptre du Roi Joueur; Amulette de Shokkoth; Alliance Gloursonne; Anneau Volkorne; Bouclier du Stalak; Pagne du Rykaon; Kidibonnet; Cape de la Dame du Hasard; Bottes de la Dame du Hasard; Dofus Turquoise; Dofus Ocre; Dofus Pourpre; Chanceux majeur; Voyageur; Vigoureux majeur; Pioute bleu</t>
        </is>
      </c>
    </row>
    <row r="24635">
      <c r="A24635" t="inlineStr">
        <is>
          <t>Pandawa M 200</t>
        </is>
      </c>
      <c r="B24635">
        <f>HYPERLINK("https://www.dofusbook.net/fr/equipement/3843447-pandawa-m-200/objets", "link")</f>
        <v/>
      </c>
      <c r="C24635" t="n">
        <v>3</v>
      </c>
      <c r="D24635" t="inlineStr">
        <is>
          <t>Arc Volkorne; Amulette Volkorne; Anneau de Padgref; Anneau Volkorne; Quatre-feuilles; Ceinture Volkorne; Coiffe de Padgref; Chevelure de Tal Kasha; Getas de Padgref; Dofus des Glaces; Dofus Turquoise; Dofus Ocre; Dofus Pourpre; Dofus Abyssal; Voyageur; Kokulte</t>
        </is>
      </c>
    </row>
    <row r="24636">
      <c r="A24636" t="inlineStr">
        <is>
          <t>sadi roxx</t>
        </is>
      </c>
      <c r="B24636">
        <f>HYPERLINK("https://www.dofusbook.net/fr/equipement/4157948-sadi-roxx/objets", "link")</f>
        <v/>
      </c>
      <c r="C24636" t="n">
        <v>2</v>
      </c>
      <c r="D24636" t="inlineStr">
        <is>
          <t>Dagues Érhy; Amulette du Strigide; Grésilanneau; Bracelet du Piloztère; Bouclier cubiste; Ceintacé; Casque des égarés; Cape du Cœur Saignant; Bottes du Strigide; Dofus Pourpre; Dofus Turquoise; Dofus des Glaces; Nomade; Vigoureux majeur; Remueur; Bulbisou</t>
        </is>
      </c>
    </row>
    <row r="24637">
      <c r="A24637" t="inlineStr">
        <is>
          <t>Sadida M 200</t>
        </is>
      </c>
      <c r="B24637">
        <f>HYPERLINK("https://www.dofusbook.net/fr/equipement/4143182-sadida-m-200/objets", "link")</f>
        <v/>
      </c>
      <c r="C24637" t="n">
        <v>5</v>
      </c>
      <c r="D24637" t="inlineStr">
        <is>
          <t>Dagues Érhy; Amulette du Strigide; Grésilanneau; Bracelet du Piloztère; Bouclier cubiste; Ceintacé; Casque des égarés; Cape du Cœur Saignant; Bottes du Strigide; Dofus Pourpre; Dofus Turquoise; Remueur; Entraveur majeur; Nomade; Temporiseur majeur; Léopardo</t>
        </is>
      </c>
    </row>
    <row r="24638">
      <c r="A24638" t="inlineStr">
        <is>
          <t>bistouille</t>
        </is>
      </c>
      <c r="B24638">
        <f>HYPERLINK("https://www.dofusbook.net/fr/equipement/4118205-bistouille/objets", "link")</f>
        <v/>
      </c>
      <c r="C24638" t="n">
        <v>1</v>
      </c>
      <c r="D24638" t="inlineStr">
        <is>
          <t>Lav'Hache; Collier de Tourthon; Anneau Chevelu; Alliance Brûlâme; Bouclier d'Asse; Ceinture Volkorne; Casque Dragoeuf; Voile d'encre; Pompes Funèbres; Dofus Émeraude; Dofus Turquoise; Dofus Ocre; Remueur; Nomade; Obstructeur majeur; Bulbisou</t>
        </is>
      </c>
    </row>
    <row r="24639">
      <c r="A24639" t="inlineStr">
        <is>
          <t>Stuff 1</t>
        </is>
      </c>
      <c r="B24639">
        <f>HYPERLINK("https://www.dofusbook.net/fr/equipement/1034255-stuff-1/objets", "link")</f>
        <v/>
      </c>
      <c r="C24639" t="n">
        <v>0</v>
      </c>
      <c r="D24639" t="inlineStr">
        <is>
          <t>Arc Volkorne; Amulette Volkorne; Bague Trithon; Anneau Volkorne; Quatre-feuilles; Ceinture Volkorne; Masque Trithon; Voile d'encre; Bottes Trithon; Dofus des Glaces; Dofus Turquoise; Dofus Ocre; Dofus Pourpre; Dofus Abyssal; Fëanor</t>
        </is>
      </c>
    </row>
    <row r="24640">
      <c r="A24640" t="inlineStr">
        <is>
          <t>Iop M 200</t>
        </is>
      </c>
      <c r="B24640">
        <f>HYPERLINK("https://www.dofusbook.net/fr/equipement/3963992-iop-m-200/objets", "link")</f>
        <v/>
      </c>
      <c r="C24640" t="n">
        <v>2</v>
      </c>
      <c r="D24640" t="inlineStr">
        <is>
          <t>Hache Téroïde; Amulette Volkorne; Anneau Volkorne; Alliance Brûlâme; Bouclier Taverne; Ceinture Volkorne; Masque Brûlâme; Voile d'encre; Pompes Funèbres; Dolmanax; Dofus Ocre; Dofus Pourpre; Dofus des Glaces; Dofus Turquoise; Dofus Ivoire; Kokulte</t>
        </is>
      </c>
    </row>
    <row r="24641">
      <c r="A24641" t="inlineStr">
        <is>
          <t>soin multi</t>
        </is>
      </c>
      <c r="B24641">
        <f>HYPERLINK("https://www.dofusbook.net/fr/equipement/3941267-soin-multi/objets", "link")</f>
        <v/>
      </c>
      <c r="C24641" t="n">
        <v>3</v>
      </c>
      <c r="D24641" t="inlineStr">
        <is>
          <t>Arc Volkorne; Amulette Volkorne; Anneau Volkorne; Bague Trithon; Bouclier du Stalak; Ceinture Volkorne; Masque Trithon; Voile d'encre; Bottes Honyme; Dolmanax; Dofus des Glaces; Dofus Ocre; Dofus Pourpre; Dofus Abyssal; Robuste majeur; Kougnard Albâtre</t>
        </is>
      </c>
    </row>
    <row r="24642">
      <c r="A24642" t="inlineStr">
        <is>
          <t>Pandawa feu</t>
        </is>
      </c>
      <c r="B24642">
        <f>HYPERLINK("https://www.dofusbook.net/fr/equipement/3873851-pandawa-feu/objets", "link")</f>
        <v/>
      </c>
      <c r="C24642" t="n">
        <v>0</v>
      </c>
      <c r="D24642" t="inlineStr">
        <is>
          <t>Arc Hétype; Torquistik; Goulano; Baguistik; Bouclier du Stalak; Ceinture de Vortex; Heaume Oplate; Voile d'encre; Pataugastrique; Dofus Pourpre; Remueur; Érudit majeur; Nomade; Carapace Terre majeur; Vigoureux majeur; Wabbit</t>
        </is>
      </c>
    </row>
    <row r="24643">
      <c r="A24643" t="inlineStr">
        <is>
          <t>Pandawa feu terre</t>
        </is>
      </c>
      <c r="B24643">
        <f>HYPERLINK("https://www.dofusbook.net/fr/equipement/3873733-pandawa-feu-terre/objets", "link")</f>
        <v/>
      </c>
      <c r="C24643" t="n">
        <v>0</v>
      </c>
      <c r="D24643" t="inlineStr">
        <is>
          <t>Arc Hétype; Amulette Volkorne; Goulano; Baguistik; Bouclier du Stalak; Ceinture Volkorne; Masque de Koutoulou; Voile d'encre; Bottes Honyme; Dolmanax; Dofus Pourpre; Érudit majeur; Nomade; Vigoureux majeur; Remueur; Wabbit</t>
        </is>
      </c>
    </row>
    <row r="24644">
      <c r="A24644" t="inlineStr">
        <is>
          <t>Stuff 1</t>
        </is>
      </c>
      <c r="B24644">
        <f>HYPERLINK("https://www.dofusbook.net/fr/equipement/542118-stuff-1/objets", "link")</f>
        <v/>
      </c>
      <c r="C24644" t="n">
        <v>5</v>
      </c>
      <c r="D24644" t="inlineStr">
        <is>
          <t>Hache Téroïde; Amulette du Strigide; Anneau de Padgref; Bague Gloursonne; Bouclier du Captain Amakna; Ceinture du Strigide; Coiffe de Padgref; Chevelure de Tal Kasha; Getas de Padgref; Dofus Abyssal; Dofus Pourpre; Dofus Turquoise; Dofus Émeraude; Dofus des Glaces; Dofus Ocre; Wabbit</t>
        </is>
      </c>
    </row>
    <row r="24645">
      <c r="A24645" t="inlineStr">
        <is>
          <t>Stuff 3</t>
        </is>
      </c>
      <c r="B24645">
        <f>HYPERLINK("https://www.dofusbook.net/fr/equipement/542120-stuff-3/objets", "link")</f>
        <v/>
      </c>
      <c r="C24645" t="n">
        <v>5</v>
      </c>
      <c r="D24645" t="inlineStr">
        <is>
          <t>Sabres d'Atcham; Amulette du Strigide; Anneau de Padgref; Bague Gloursonne; Bouclier du Captain Amakna; Ceinture du Strigide; Coiffe de Padgref; Cape d'Atcham; Getas de Padgref; Dofus Abyssal; Dofus Pourpre; Dofus Turquoise; Dofus Émeraude; Dofus des Glaces; Dofus Ocre; Kokulte</t>
        </is>
      </c>
    </row>
    <row r="24646">
      <c r="A24646" t="inlineStr">
        <is>
          <t>Stuff 1</t>
        </is>
      </c>
      <c r="B24646">
        <f>HYPERLINK("https://www.dofusbook.net/fr/equipement/542110-stuff-1/objets", "link")</f>
        <v/>
      </c>
      <c r="C24646" t="n">
        <v>8</v>
      </c>
      <c r="D24646" t="inlineStr">
        <is>
          <t>Arc Volkorne; Amulette du Strigide; Anneau de Padgref; Alliance de Missiz Frizz; Quatre-feuilles; Ceinture du Strigide; Coiffe de Padgref; Chevelure de Tal Kasha; Getas de Padgref; Dofus Turquoise; Dofus Pourpre; Dolmanax; Dofus des Glaces; Dofus Ocre; Voyageur; Sakochère</t>
        </is>
      </c>
    </row>
    <row r="24647">
      <c r="A24647" t="inlineStr">
        <is>
          <t>Testz</t>
        </is>
      </c>
      <c r="B24647">
        <f>HYPERLINK("https://www.dofusbook.net/fr/equipement/3814312-testz/objets", "link")</f>
        <v/>
      </c>
      <c r="C24647" t="n">
        <v>2</v>
      </c>
      <c r="D24647" t="inlineStr">
        <is>
          <t>Sabres d'Atcham; Amulette du Strigide; Bracelet du Piloztère; Bague Trithon; Bouclier du Captain Amakna; Ceinture du Strigide; Le Dorado; Cape d'Atcham; Bottes Trithon; Dolmanax; Dofus Ocre; Dofus Pourpre; Dofus des Glaces; Dofus Turquoise; Voyageur; Kokulte</t>
        </is>
      </c>
    </row>
    <row r="24648">
      <c r="A24648" t="inlineStr">
        <is>
          <t>Stuff 2</t>
        </is>
      </c>
      <c r="B24648">
        <f>HYPERLINK("https://www.dofusbook.net/fr/equipement/542119-stuff-2/objets", "link")</f>
        <v/>
      </c>
      <c r="C24648" t="n">
        <v>9</v>
      </c>
      <c r="D24648" t="inlineStr">
        <is>
          <t>Hache Téroïde; Amulette du Strigide; Anneau Chevelu; Chevalière du Roi Joueur; Bouclier du Captain Amakna; Ceintacé; Heaume Oplate; Cape au Logis; Bottes du Strigide; Dofus des Glaces; Dofus Pourpre; Dofus Turquoise; Vigoureux majeur; Érudit majeur; Enragé majeur; Kokulte</t>
        </is>
      </c>
    </row>
    <row r="24649">
      <c r="A24649" t="inlineStr">
        <is>
          <t>test pvp</t>
        </is>
      </c>
      <c r="B24649">
        <f>HYPERLINK("https://www.dofusbook.net/fr/equipement/3843288-test-pvp/objets", "link")</f>
        <v/>
      </c>
      <c r="C24649" t="n">
        <v>3</v>
      </c>
      <c r="D24649" t="inlineStr">
        <is>
          <t>Baguette Hique; Amulette du Strigide; Bague Trithon; Alliance Gloursonne; Bouclier du Stalak; Ceinture du Strigide; Le Dorado; Voile d'encre; Bottes Trithon; Dofus Ocre; Dofus des Glaces; Dolmanax; Dofus Pourpre; Voyageur; Robuste majeur; Kougnard Albâtre</t>
        </is>
      </c>
    </row>
    <row r="24650">
      <c r="A24650" t="inlineStr">
        <is>
          <t>Stuff 2</t>
        </is>
      </c>
      <c r="B24650">
        <f>HYPERLINK("https://www.dofusbook.net/fr/equipement/542129-stuff-2/objets", "link")</f>
        <v/>
      </c>
      <c r="C24650" t="n">
        <v>6</v>
      </c>
      <c r="D24650" t="inlineStr">
        <is>
          <t>Arc de Koutoulou; Amulette de l'Œil Putride; Alliance Gloursonne; Bracelet du Piloztère; Quatre-feuilles; Ceintacé; Némès de Tal Kasha; Chevelure de Tal Kasha; Bottes Voldelor; Dofus Pourpre; Dofus Turquoise; Nomade; Chanceux majeur; Remueur; Vigoureux majeur; Kokulte</t>
        </is>
      </c>
    </row>
    <row r="24651">
      <c r="A24651" t="inlineStr">
        <is>
          <t>Zobal M 200</t>
        </is>
      </c>
      <c r="B24651">
        <f>HYPERLINK("https://www.dofusbook.net/fr/equipement/3814266-zobal-m-200/objets", "link")</f>
        <v/>
      </c>
      <c r="C24651" t="n">
        <v>4</v>
      </c>
      <c r="D24651" t="inlineStr">
        <is>
          <t>Sceptre du Roi Joueur; Amulette du Sinistrofu; Bague Trithon; Anneau Volkorne; Bouclier Taverne; Sangle Ouare; Casque Dragoeuf; Cape Solution; Bottes Trithon; Dofus Pourpre; Dofus Ocre; Culbuteur majeur; Chanceux majeur; Vigoureux majeur; Bousculeur majeur; Écumouth</t>
        </is>
      </c>
    </row>
    <row r="24652">
      <c r="A24652" t="inlineStr">
        <is>
          <t>test</t>
        </is>
      </c>
      <c r="B24652">
        <f>HYPERLINK("https://www.dofusbook.net/fr/equipement/3813858-test/objets", "link")</f>
        <v/>
      </c>
      <c r="C24652" t="n">
        <v>2</v>
      </c>
      <c r="D24652" t="inlineStr">
        <is>
          <t>Sabres d'Atcham; Amulette du Strigide; Bague Trithon; Alliance de Missiz Frizz; Bouclier du Captain Amakna; Ceintacé; Masque Trithon; Cape d'Atcham; Bottes du Strigide; Dofus Ocre; Dolmanax; Dofus Pourpre; Dofus Turquoise; Robuste majeur; Voyageur; Chacha Angora</t>
        </is>
      </c>
    </row>
    <row r="24653">
      <c r="A24653" t="inlineStr">
        <is>
          <t>Stuff 3</t>
        </is>
      </c>
      <c r="B24653">
        <f>HYPERLINK("https://www.dofusbook.net/fr/equipement/542088-stuff-3/objets", "link")</f>
        <v/>
      </c>
      <c r="C24653" t="n">
        <v>2</v>
      </c>
      <c r="D24653" t="inlineStr">
        <is>
          <t>Arc Volkorne; Amulette du Strigide; Bague Trithon; Alliance de Missiz Frizz; Bouclier du Stalak; Ceinture du Strigide; Masque Trithon; Cape d'Atcham; Sandales  d'Atcham; Dofus Ocre; Dolmanax; Dofus Pourpre; Dofus Turquoise; Robuste majeur; Voyageur; Sakochère</t>
        </is>
      </c>
    </row>
    <row r="24654">
      <c r="A24654" t="inlineStr">
        <is>
          <t>Stuff 1</t>
        </is>
      </c>
      <c r="B24654">
        <f>HYPERLINK("https://www.dofusbook.net/fr/equipement/542086-stuff-1/objets", "link")</f>
        <v/>
      </c>
      <c r="C24654" t="n">
        <v>0</v>
      </c>
      <c r="D24654" t="inlineStr">
        <is>
          <t>Arc Volkorne; Amulette du Strigide; Alliance de Missiz Frizz; Bague Trithon; Bouclier du Stalak; Ceintacé; Masque Trithon; Cape d'Atcham; Bottes du Strigide; Dolmanax; Dofus Pourpre; Dofus Turquoise; Dofus Ocre; Voyageur; Robuste majeur; Chacha Angora</t>
        </is>
      </c>
    </row>
    <row r="24655">
      <c r="A24655" t="inlineStr">
        <is>
          <t>Arc multi</t>
        </is>
      </c>
      <c r="B24655">
        <f>HYPERLINK("https://www.dofusbook.net/fr/equipement/3455440-arc-multi/objets", "link")</f>
        <v/>
      </c>
      <c r="C24655" t="n">
        <v>0</v>
      </c>
      <c r="D24655" t="inlineStr">
        <is>
          <t>Arc Volkorne; Amulette du Strigide; Bague Trithon; Bracelet du Piloztère; Quatre-feuilles; Ceinture du Strigide; Masque Trithon; Cape d'Atcham; Bottes du Strigide; Dofus Pourpre; Dofus des Glaces; Dofus Turquoise; Dolmanax; Dofus Ocre; Voyageur; Sakochère</t>
        </is>
      </c>
    </row>
    <row r="24656">
      <c r="A24656" t="inlineStr">
        <is>
          <t>Steamer M 200</t>
        </is>
      </c>
      <c r="B24656">
        <f>HYPERLINK("https://www.dofusbook.net/fr/equipement/3460344-steamer-m-200/objets", "link")</f>
        <v/>
      </c>
      <c r="C24656" t="n">
        <v>0</v>
      </c>
      <c r="D24656" t="inlineStr">
        <is>
          <t>Arc Volkorne; Amulette du Strigide; Alliance de Missiz Frizz; Anneau de Padgref; Quatre-feuilles; Ceinture du Strigide; Coiffe de Padgref; Chevelure de Tal Kasha; Getas de Padgref; Dofus des Glaces; Dofus Ocre; Dofus Pourpre; Dofus Turquoise; Dolmanax; Voyageur; Kokulte</t>
        </is>
      </c>
    </row>
    <row r="24657">
      <c r="A24657" t="inlineStr">
        <is>
          <t>Test crit</t>
        </is>
      </c>
      <c r="B24657">
        <f>HYPERLINK("https://www.dofusbook.net/fr/equipement/3494211-test-crit/objets", "link")</f>
        <v/>
      </c>
      <c r="C24657" t="n">
        <v>0</v>
      </c>
      <c r="D24657" t="inlineStr">
        <is>
          <t>Sabres d'Atcham; Amulette Volkorne; Anneau Volkorne; Anneau de Padgref; Quatre-feuilles; Ceinture Volkorne; Coiffe de Padgref; Cape d'Atcham; Getas de Padgref; Dofus Pourpre; Dofus des Glaces; Dofus Turquoise; Dolmanax; Dofus Ocre; Voyageur; Kwaltess</t>
        </is>
      </c>
    </row>
    <row r="24658">
      <c r="A24658" t="inlineStr">
        <is>
          <t>Multi</t>
        </is>
      </c>
      <c r="B24658">
        <f>HYPERLINK("https://www.dofusbook.net/fr/equipement/3439099-multi/objets", "link")</f>
        <v/>
      </c>
      <c r="C24658" t="n">
        <v>5</v>
      </c>
      <c r="D24658" t="inlineStr">
        <is>
          <t>Arc Volkorne; Amulette Volkorne; Anneau Volkorne; Bracelet du Piloztère; Quatre-feuilles; Ceinture du Strigide; Casque Volkorne; Cape d'Atcham; Bottes du Strigide; Dofus Pourpre; Dofus des Glaces; Dofus Turquoise; Dolmanax; Dofus Ocre; Voyageur; Kwaltess</t>
        </is>
      </c>
    </row>
    <row r="24659">
      <c r="A24659" t="inlineStr">
        <is>
          <t>Test volk</t>
        </is>
      </c>
      <c r="B24659">
        <f>HYPERLINK("https://www.dofusbook.net/fr/equipement/3444999-test-volk/objets", "link")</f>
        <v/>
      </c>
      <c r="C24659" t="n">
        <v>0</v>
      </c>
      <c r="D24659" t="inlineStr">
        <is>
          <t>Arc Volkorne; Amulette du Strigide; Anneau Volkorne; Bracelet du Piloztère; Quatre-feuilles; Ceinture Volkorne; Casque Volkorne; Cape d'Atcham; Bottes du Strigide; Dolmanax; Dofus Ocre; Dofus Pourpre; Dofus des Glaces; Dofus Turquoise; Voyageur; Kwaltess</t>
        </is>
      </c>
    </row>
    <row r="24660">
      <c r="A24660" t="inlineStr">
        <is>
          <t>Stuff 3</t>
        </is>
      </c>
      <c r="B24660">
        <f>HYPERLINK("https://www.dofusbook.net/fr/equipement/542112-stuff-3/objets", "link")</f>
        <v/>
      </c>
      <c r="C24660" t="n">
        <v>4</v>
      </c>
      <c r="D24660" t="inlineStr">
        <is>
          <t>Arc Volkorne; Amulette du Strigide; Alliance Gloursonne; Bracelet du Piloztère; Quatre-feuilles; Ceintacé; Le Dorado; Dofusteuse; Bottes du Strigide; Dolmanax; Dofus Nébuleux; Dofus des Glaces; Dofus Pourpre; Dofus Turquoise; Vigoureux majeur; Muldo Prune et Doré</t>
        </is>
      </c>
    </row>
    <row r="24661">
      <c r="A24661" t="inlineStr">
        <is>
          <t>steam trophus</t>
        </is>
      </c>
      <c r="B24661">
        <f>HYPERLINK("https://www.dofusbook.net/fr/equipement/3437701-steam-trophus/objets", "link")</f>
        <v/>
      </c>
      <c r="C24661" t="n">
        <v>0</v>
      </c>
      <c r="D24661" t="inlineStr">
        <is>
          <t>Arc Volkorne; Amulette du Strigide; Bracelet du Piloztère; Alliance de Missiz Frizz; Quatre-feuilles; Ceinture du Strigide; Casque du Chalœil; Dofusteuse; Bottes du Père Fwetar; Dofus Ocre; Dofus Pourpre; Dofus des Glaces; Dofus Turquoise; Remueur; Nomade; Kwaltess</t>
        </is>
      </c>
    </row>
    <row r="24662">
      <c r="A24662" t="inlineStr">
        <is>
          <t>FEU EAU</t>
        </is>
      </c>
      <c r="B24662">
        <f>HYPERLINK("https://www.dofusbook.net/fr/equipement/1908014-feu-eau/objets", "link")</f>
        <v/>
      </c>
      <c r="C24662" t="n">
        <v>0</v>
      </c>
      <c r="D24662" t="inlineStr">
        <is>
          <t>Arc Nécrotique; Amulette du Strigide; Anneau Tique; Alliance Gloursonne; Bouclier du Stalak; Ceinture du Strigide; Chapeau des Malveilleurs; Cape de la Dame du Hasard; Pataugastrique; Dofus Turquoise; Dofus Émeraude; Dofus Pourpre; Carapace Feu majeur; Remueur; Nomade; Muldo Indigo et Orchidée</t>
        </is>
      </c>
    </row>
    <row r="24663">
      <c r="A24663" t="inlineStr">
        <is>
          <t>FEU EAU</t>
        </is>
      </c>
      <c r="B24663">
        <f>HYPERLINK("https://www.dofusbook.net/fr/equipement/1813777-feu-eau/objets", "link")</f>
        <v/>
      </c>
      <c r="C24663" t="n">
        <v>1</v>
      </c>
      <c r="D24663" t="inlineStr">
        <is>
          <t>Arc Nécrotique; Talisman Igans; Alliance Gloursonne; Bracelet du Piloztère; Bouclier du Stalak; Ceintrigue; Chapeau des Malveilleurs; Cape de la Dame du Hasard; Pataugastrique; Dofus Émeraude; Dofus Pourpre; Dofus Turquoise; Remueur; Nomade; Carapace Feu majeur; Muldo Indigo et Orchidée</t>
        </is>
      </c>
    </row>
    <row r="24664">
      <c r="A24664" t="inlineStr">
        <is>
          <t>INT FO</t>
        </is>
      </c>
      <c r="B24664">
        <f>HYPERLINK("https://www.dofusbook.net/fr/equipement/1725437-int-fo/objets", "link")</f>
        <v/>
      </c>
      <c r="C24664" t="n">
        <v>1</v>
      </c>
      <c r="D24664" t="inlineStr">
        <is>
          <t>Epée Toche; Amulette du Strigide; Bracelet du Piloztère; Bague Gloursonne; Bouclier du Captain Amakna; Ceinture du Strigide; Masque de Koutoulou; Voile d'encre; Bottes du Roi Joueur; Dofus Pourpre; Dofus Turquoise; Enragé majeur; Remueur; Vigoureux majeur; Nomade; Kramkram</t>
        </is>
      </c>
    </row>
    <row r="24665">
      <c r="A24665" t="inlineStr">
        <is>
          <t>Res tacle</t>
        </is>
      </c>
      <c r="B24665">
        <f>HYPERLINK("https://www.dofusbook.net/fr/equipement/1302367-res-tacle/objets", "link")</f>
        <v/>
      </c>
      <c r="C24665" t="n">
        <v>0</v>
      </c>
      <c r="D24665" t="inlineStr"/>
    </row>
    <row r="24666">
      <c r="A24666" t="inlineStr">
        <is>
          <t>test 126</t>
        </is>
      </c>
      <c r="B24666">
        <f>HYPERLINK("https://www.dofusbook.net/fr/equipement/1205361-test-126/objets", "link")</f>
        <v/>
      </c>
      <c r="C24666" t="n">
        <v>0</v>
      </c>
      <c r="D24666" t="inlineStr">
        <is>
          <t>Hache Téroïde; Amulette du Strigide; Bague Gloursonne; Bracelet du Piloztère; Bouclier du Captain Amakna; Ceinture du Strigide; Bonnet Ko; Voile d'encre; Bottes du Roi Joueur; Dofus Pourpre; Dolmanax; Dofus Turquoise; Dofus Ocre; Remueur; Nomade; Muldo Prune et Emeraude</t>
        </is>
      </c>
    </row>
    <row r="24667">
      <c r="A24667" t="inlineStr">
        <is>
          <t>Test 1</t>
        </is>
      </c>
      <c r="B24667">
        <f>HYPERLINK("https://www.dofusbook.net/fr/equipement/1143844-test-1/objets", "link")</f>
        <v/>
      </c>
      <c r="C24667" t="n">
        <v>1</v>
      </c>
      <c r="D24667" t="inlineStr">
        <is>
          <t>Epée Toche; Amulette du Strigide; Grésilanneau; Bracelet du Piloztère; Bouclier Taverne; Ceintacé; Casque de Missiz Frizz; Cape au Logis; Bottes du Strigide; Dofus Turquoise; Dolmanax; Dofus Pourpre; Vigoureux majeur; Nomade; Remueur; Kramkram</t>
        </is>
      </c>
    </row>
    <row r="24668">
      <c r="A24668" t="inlineStr">
        <is>
          <t>stuff 126</t>
        </is>
      </c>
      <c r="B24668">
        <f>HYPERLINK("https://www.dofusbook.net/fr/equipement/1093549-stuff-126/objets", "link")</f>
        <v/>
      </c>
      <c r="C24668" t="n">
        <v>0</v>
      </c>
      <c r="D24668" t="inlineStr">
        <is>
          <t>Dagoulinantes; Amulette du Strigide; Anneau Tique; Alliance Gloursonne; Sept ans de malheur; Ceinture du Strigide; Bonnet Ko; Cape des Malveilleurs; Sandales des Fonds marins; Dofus Ocre; Dofus Émeraude; Dofus Pourpre; Dofus Turquoise; Nomade; Remueur; Muldo Roux et Orchidée</t>
        </is>
      </c>
    </row>
    <row r="24669">
      <c r="A24669" t="inlineStr">
        <is>
          <t>Tank</t>
        </is>
      </c>
      <c r="B24669">
        <f>HYPERLINK("https://www.dofusbook.net/fr/equipement/1044183-tank/objets", "link")</f>
        <v/>
      </c>
      <c r="C24669" t="n">
        <v>0</v>
      </c>
      <c r="D24669" t="inlineStr">
        <is>
          <t>Epée Gloursonne; Amulette du Strigide; Bague Gloursonne; Alliance Gloursonne; Sept ans de malheur; Ceinture du Strigide; Casque Dragoeuf; Voile d'encre; Bottes du Strigide; Dofus Turquoise; Dofus Pourpre; Dofus Ocre; Dofus Émeraude; Dofus Abyssal; Bloqueur majeur; Muldo Roux et Indigo</t>
        </is>
      </c>
    </row>
    <row r="24670">
      <c r="A24670" t="inlineStr">
        <is>
          <t>Tank multi</t>
        </is>
      </c>
      <c r="B24670">
        <f>HYPERLINK("https://www.dofusbook.net/fr/equipement/882305-tank-multi/objets", "link")</f>
        <v/>
      </c>
      <c r="C24670" t="n">
        <v>1</v>
      </c>
      <c r="D24670" t="inlineStr">
        <is>
          <t>Sabres d'Atcham; Talisman Glouti; Alliance Gloursonne; Anneau Tique; Jadis; Ceinture de Kongoku; Dorabysses; Cape d'Atcham; Sandales  d'Atcham; Dolmanax; Dofus Émeraude; Dofus Turquoise; Dofus Pourpre; Dofus Ocre; Bloqueur majeur; Muldo Ebène et Pourpre</t>
        </is>
      </c>
    </row>
    <row r="24671">
      <c r="A24671" t="inlineStr">
        <is>
          <t>Ouginaka</t>
        </is>
      </c>
      <c r="B24671">
        <f>HYPERLINK("https://www.dofusbook.net/fr/equipement/659604-ouginaka/objets", "link")</f>
        <v/>
      </c>
      <c r="C24671" t="n">
        <v>1</v>
      </c>
      <c r="D24671" t="inlineStr">
        <is>
          <t>Marteau des Anciens Steamers; Amulette Voldelor; Pikano; Alliance Gloursonne; Ceinture du Barbétoal; Coiffe de la Reine des Voleurs; Cape du Chalœil; Bottes de la Reine des Voleurs; Dofus Pourpre; Dofus Émeraude; Nomade; Carapace Air majeur; Remueur; Kramkram</t>
        </is>
      </c>
    </row>
    <row r="24672">
      <c r="A24672" t="inlineStr">
        <is>
          <t>Stuff 1</t>
        </is>
      </c>
      <c r="B24672">
        <f>HYPERLINK("https://www.dofusbook.net/fr/equipement/542128-stuff-1/objets", "link")</f>
        <v/>
      </c>
      <c r="C24672" t="n">
        <v>0</v>
      </c>
      <c r="D24672" t="inlineStr">
        <is>
          <t>Sabres d'Atcham; Amulette du Strigide; Anneau de Padgref; Alliance Gloursonne; Ceinture du Strigide; Coiffe de Padgref; Cape d'Atcham; Getas de Padgref; Dofus Ocre; Dofus Pourpre; Dofus Turquoise; Savant majeur; Puissant majeur; Joueur majeur; Muldo Prune et Emeraude</t>
        </is>
      </c>
    </row>
    <row r="24673">
      <c r="A24673" t="inlineStr">
        <is>
          <t>Stuff 1</t>
        </is>
      </c>
      <c r="B24673">
        <f>HYPERLINK("https://www.dofusbook.net/fr/equipement/542121-stuff-1/objets", "link")</f>
        <v/>
      </c>
      <c r="C24673" t="n">
        <v>0</v>
      </c>
      <c r="D24673" t="inlineStr">
        <is>
          <t>Bâton Beau; Amulette du Strigide; Grésilanneau; Bracelet du Piloztère; Ceintacé; Maskrobe; Cape Reski; Bottes du Strigide; Dofus Pourpre; Dolmanax; Remueur; Vigoureux majeur; Nomade; Érudit majeur; Dragodinde en armure</t>
        </is>
      </c>
    </row>
    <row r="24674">
      <c r="A24674" t="inlineStr">
        <is>
          <t>Stuff 2</t>
        </is>
      </c>
      <c r="B24674">
        <f>HYPERLINK("https://www.dofusbook.net/fr/equipement/542111-stuff-2/objets", "link")</f>
        <v/>
      </c>
      <c r="C24674" t="n">
        <v>0</v>
      </c>
      <c r="D24674" t="inlineStr">
        <is>
          <t>Epée Toche; Kralamansion; Grésilanneau; Alliance de Missiz Frizz; Obscture; Casque de Missiz Frizz; Cape Peupret; Pantoufles Émar; Dofus Pourpre; Érudit majeur; Enragé majeur; Nomade; Vigoureux majeur; Remueur; Dragodinde en armure</t>
        </is>
      </c>
    </row>
    <row r="24675">
      <c r="A24675" t="inlineStr">
        <is>
          <t>Stuff 3</t>
        </is>
      </c>
      <c r="B24675">
        <f>HYPERLINK("https://www.dofusbook.net/fr/equipement/542103-stuff-3/objets", "link")</f>
        <v/>
      </c>
      <c r="C24675" t="n">
        <v>0</v>
      </c>
      <c r="D24675" t="inlineStr">
        <is>
          <t>Plumeau Bil; Amulette du Strigide; Alliance Gloursonne; Anneau Tique; Sangle Ouare; Chapeau des Malveilleurs; Cape des Malveilleurs; Pataugastrique; Dofus Pourpre; Carapace Feu majeur; Remueur; Fonceur majeur; Obstructeur majeur; Vigoureux majeur; Muldo Roux et Orchidée</t>
        </is>
      </c>
    </row>
    <row r="24676">
      <c r="A24676" t="inlineStr">
        <is>
          <t>Stuff 1</t>
        </is>
      </c>
      <c r="B24676">
        <f>HYPERLINK("https://www.dofusbook.net/fr/equipement/542098-stuff-1/objets", "link")</f>
        <v/>
      </c>
      <c r="C24676" t="n">
        <v>0</v>
      </c>
      <c r="D24676" t="inlineStr">
        <is>
          <t>Hache du Guerrier Zoth; Talisman Glouti; Alliance Gloursonne; Anneau Tique; Sept ans de malheur; Ceinture de Kongoku; Casque Dragoeuf; Voile d'encre; Sandales des Fonds marins; Dofus Ocre; Dofus Pourpre; Fonceur majeur; Nomade; Remueur; Obstructeur majeur; Muldo Roux et Ebène</t>
        </is>
      </c>
    </row>
    <row r="24677">
      <c r="A24677" t="inlineStr">
        <is>
          <t>Stuff 2</t>
        </is>
      </c>
      <c r="B24677">
        <f>HYPERLINK("https://www.dofusbook.net/fr/equipement/542090-stuff-2/objets", "link")</f>
        <v/>
      </c>
      <c r="C24677" t="n">
        <v>0</v>
      </c>
      <c r="D24677" t="inlineStr">
        <is>
          <t>Dagues Érhy; Amulette du Strigide; Bracelet du Piloztère; Alliance Gloursonne; Ceinture du Strigide; Bonnet Ko; Voile d'encre; Bottes du Chalœil; Dofus Pourpre; Dofus Ocre; Dolmanax; Nomade; Vigoureux majeur; Remueur; Muldo Ebène et Pourpre</t>
        </is>
      </c>
    </row>
    <row r="24678">
      <c r="A24678" t="inlineStr">
        <is>
          <t>Stuff 1</t>
        </is>
      </c>
      <c r="B24678">
        <f>HYPERLINK("https://www.dofusbook.net/fr/equipement/542130-stuff-1/objets", "link")</f>
        <v/>
      </c>
      <c r="C24678" t="n">
        <v>0</v>
      </c>
      <c r="D24678" t="inlineStr">
        <is>
          <t>Hache du Chalœil; Amulette du Strigide; Bracelet du Piloztère; Alliance Gloursonne; Ceintacé; Casque du Chalœil; Voile d'encre; Bottes du Strigide; Dolmanax; Dofus Turquoise; Dofus Pourpre; Remueur; Vigoureux majeur; Nomade; Kramkram</t>
        </is>
      </c>
    </row>
    <row r="24679">
      <c r="A24679" t="inlineStr">
        <is>
          <t>Stuff 3</t>
        </is>
      </c>
      <c r="B24679">
        <f>HYPERLINK("https://www.dofusbook.net/fr/equipement/542123-stuff-3/objets", "link")</f>
        <v/>
      </c>
      <c r="C24679" t="n">
        <v>4</v>
      </c>
      <c r="D24679" t="inlineStr">
        <is>
          <t>Sabres d'Atcham; Amulette du Strigide; Anneau de Padgref; Bracelet du Piloztère; Ceinture du Strigide; Coiffe de Padgref; Cape d'Atcham; Getas de Padgref; Dofus Turquoise; Dofus Pourpre; Dolmanax; Dofus Nébuleux; Dofus des Glaces; Dofus Ocre; Muldo Ebène et Indigo</t>
        </is>
      </c>
    </row>
    <row r="24680">
      <c r="A24680" t="inlineStr">
        <is>
          <t>Stuff 3</t>
        </is>
      </c>
      <c r="B24680">
        <f>HYPERLINK("https://www.dofusbook.net/fr/equipement/542100-stuff-3/objets", "link")</f>
        <v/>
      </c>
      <c r="C24680" t="n">
        <v>0</v>
      </c>
      <c r="D24680" t="inlineStr">
        <is>
          <t>Epée Gloursonne; Amulette du Strigide; Alliance Gloursonne; Bague Gloursonne; Ceinture de Kongoku; Boucle d'oreille de Kongoku; Cape de Kongoku; Bottes du Strigide; Dofus Pourpre; Dolmanax; Dofus Ocre; Bloqueur majeur; Acrobate majeur; Puissant majeur; Muldo Prune et Roux</t>
        </is>
      </c>
    </row>
    <row r="24681">
      <c r="A24681" t="inlineStr">
        <is>
          <t>Stuff 1</t>
        </is>
      </c>
      <c r="B24681">
        <f>HYPERLINK("https://www.dofusbook.net/fr/equipement/542130-stuff-1/objets", "link")</f>
        <v/>
      </c>
      <c r="C24681" t="n">
        <v>0</v>
      </c>
      <c r="D24681" t="inlineStr">
        <is>
          <t>Hache du Chalœil; Amulette du Strigide; Alliance Gloursonne; Bracelet du Piloztère; Ceintacé; Casque du Chalœil; Voile d'encre; Bottes du Strigide; Dolmanax; Dofus Turquoise; Dofus Pourpre; Vigoureux majeur; Nomade; Remueur; Kramkram</t>
        </is>
      </c>
    </row>
    <row r="24682">
      <c r="A24682" t="inlineStr">
        <is>
          <t>Stuff 3</t>
        </is>
      </c>
      <c r="B24682">
        <f>HYPERLINK("https://www.dofusbook.net/fr/equipement/542123-stuff-3/objets", "link")</f>
        <v/>
      </c>
      <c r="C24682" t="n">
        <v>4</v>
      </c>
      <c r="D24682" t="inlineStr">
        <is>
          <t>Sabres d'Atcham; Amulette du Strigide; Bracelet du Piloztère; Anneau de Padgref; Ceinture du Strigide; Coiffe de Padgref; Cape d'Atcham; Getas de Padgref; Dofus des Glaces; Dofus Ocre; Dofus Turquoise; Dofus Pourpre; Dolmanax; Dofus Nébuleux; Muldo Ebène et Indigo</t>
        </is>
      </c>
    </row>
    <row r="24683">
      <c r="A24683" t="inlineStr">
        <is>
          <t>Stuff 3</t>
        </is>
      </c>
      <c r="B24683">
        <f>HYPERLINK("https://www.dofusbook.net/fr/equipement/542100-stuff-3/objets", "link")</f>
        <v/>
      </c>
      <c r="C24683" t="n">
        <v>0</v>
      </c>
      <c r="D24683" t="inlineStr">
        <is>
          <t>Epée Gloursonne; Amulette du Strigide; Bague Gloursonne; Alliance Gloursonne; Ceinture de Kongoku; Boucle d'oreille de Kongoku; Cape de Kongoku; Bottes du Strigide; Dolmanax; Dofus Ocre; Dofus Pourpre; Acrobate majeur; Puissant majeur; Bloqueur majeur; Muldo Prune et Roux</t>
        </is>
      </c>
    </row>
    <row r="24684">
      <c r="A24684" t="inlineStr">
        <is>
          <t>Stuff 3</t>
        </is>
      </c>
      <c r="B24684">
        <f>HYPERLINK("https://www.dofusbook.net/fr/equipement/542132-stuff-3/objets", "link")</f>
        <v/>
      </c>
      <c r="C24684" t="n">
        <v>0</v>
      </c>
      <c r="D24684" t="inlineStr">
        <is>
          <t>Hache du Chalœil; Amulette du Strigide; Bracelet du Piloztère; Alliance Gloursonne; Ceintacé; Casque du Chalœil; Voile d'encre; Bottes du Strigide; Dofus Pourpre; Dofus Émeraude; Dofus Turquoise; Dolmanax; Remueur; Nomade; Kramkram</t>
        </is>
      </c>
    </row>
    <row r="24685">
      <c r="A24685" t="inlineStr">
        <is>
          <t>Stuff 3</t>
        </is>
      </c>
      <c r="B24685">
        <f>HYPERLINK("https://www.dofusbook.net/fr/equipement/542126-stuff-3/objets", "link")</f>
        <v/>
      </c>
      <c r="C24685" t="n">
        <v>0</v>
      </c>
      <c r="D24685" t="inlineStr">
        <is>
          <t>Marteau des égarés; Amulette du Strigide; Kralano; Bracelet du Piloztère; Ceinture du Strigide; Casque de Missiz Frizz; Cape Reski; Bottes du Chalœil; Dofus Ocre; Dofus Turquoise; Dolmanax; Dofus Pourpre; Nomade; Remueur; Kwaltess</t>
        </is>
      </c>
    </row>
    <row r="24686">
      <c r="A24686" t="inlineStr">
        <is>
          <t>Stuff 2</t>
        </is>
      </c>
      <c r="B24686">
        <f>HYPERLINK("https://www.dofusbook.net/fr/equipement/542102-stuff-2/objets", "link")</f>
        <v/>
      </c>
      <c r="C24686" t="n">
        <v>0</v>
      </c>
      <c r="D24686" t="inlineStr">
        <is>
          <t>Plumeau Bil; Amulette du Strigide; Alliance Gloursonne; Anneau Tique; Sangle Ouare; Dorabysses; Voile d'encre; Pataugastrique; Dofus Pourpre; Fonceur majeur; Obstructeur majeur; Nomade; Carapace Feu majeur; Remueur; Blokus</t>
        </is>
      </c>
    </row>
    <row r="24687">
      <c r="A24687" t="inlineStr">
        <is>
          <t>Stuff 1</t>
        </is>
      </c>
      <c r="B24687">
        <f>HYPERLINK("https://www.dofusbook.net/fr/equipement/542089-stuff-1/objets", "link")</f>
        <v/>
      </c>
      <c r="C24687" t="n">
        <v>2</v>
      </c>
      <c r="D24687" t="inlineStr">
        <is>
          <t>Dagues Érhy; Amulette du Strigide; Bracelet du Piloztère; Alliance Gloursonne; Ceintacé; Chapeau Lisson; Voile d'encre; Bottes du Strigide; Dofus Turquoise; Dofus Pourpre; Dolmanax; Nomade; Vigoureux majeur; Remueur; Muldo Ebène et Pourpre</t>
        </is>
      </c>
    </row>
    <row r="24688">
      <c r="A24688" t="inlineStr">
        <is>
          <t>Stuff 2</t>
        </is>
      </c>
      <c r="B24688">
        <f>HYPERLINK("https://www.dofusbook.net/fr/equipement/542122-stuff-2/objets", "link")</f>
        <v/>
      </c>
      <c r="C24688" t="n">
        <v>1</v>
      </c>
      <c r="D24688" t="inlineStr">
        <is>
          <t>Bâton Beau; Amulette du Strigide; Kralano; Bracelet du Piloztère; Ceinture du Strigide; Maskrobe; Bottes du Chalœil; Dofus Pourpre; Sanguinaire majeur; Nomade; Vigoureux majeur; Remueur; Kwaltess</t>
        </is>
      </c>
    </row>
    <row r="24689">
      <c r="A24689" t="inlineStr">
        <is>
          <t>Eau feu</t>
        </is>
      </c>
      <c r="B24689">
        <f>HYPERLINK("https://www.dofusbook.net/fr/equipement/5677311-eau-feu/objets", "link")</f>
        <v/>
      </c>
      <c r="C24689" t="n">
        <v>1</v>
      </c>
      <c r="D24689" t="inlineStr">
        <is>
          <t>Baguette Hique; Amulette de Shokkoth; Alliance Gloursonne; Bracelet des Fonds marins; Quatre-feuilles; Sangle Ouare; Kidibonnet; Cape de la Dame du Hasard; Bottes de la Dame du Hasard; Dofus Ocre; Dofus des Glaces; Dofus Pourpre; Dofus Ivoire; Dofus Turquoise; Dofus Ébène; Kanigloups</t>
        </is>
      </c>
    </row>
    <row r="24690">
      <c r="A24690" t="inlineStr">
        <is>
          <t>Ret pa tac terre agi</t>
        </is>
      </c>
      <c r="B24690">
        <f>HYPERLINK("https://www.dofusbook.net/fr/equipement/5745604-ret-pa-tac-terre-agi/objets", "link")</f>
        <v/>
      </c>
      <c r="C24690" t="n">
        <v>1</v>
      </c>
      <c r="D24690" t="inlineStr">
        <is>
          <t>Marteau R'ture; Amulette du Cœur Vaillant; Anneau Chevelu; Anneau Crustique; Bouclier d'Ilyzaelle; Ceintouse; Chapoulpe; Cape au Logis; Baleinabottes; Dofus Émeraude; Dofus Ivoire; Dofus Ocre; Dofus Ébène; Dofus Pourpre; Dofus Abyssal</t>
        </is>
      </c>
    </row>
    <row r="24691">
      <c r="A24691" t="inlineStr">
        <is>
          <t>Ret pa tac atcham</t>
        </is>
      </c>
      <c r="B24691">
        <f>HYPERLINK("https://www.dofusbook.net/fr/equipement/4584006-ret-pa-tac-atcham/objets", "link")</f>
        <v/>
      </c>
      <c r="C24691" t="n">
        <v>4</v>
      </c>
      <c r="D24691" t="inlineStr">
        <is>
          <t>Sabres d'Atcham; Amulette du Strigide; Anneau Tique; Alliance Gloursonne; Cadran d'Eau; Ceinture de Vortex; Cagoule de Vortex; Voile d'encre; Pataugastrique; Dofus Ocre; Dofus Ivoire; Dofus Ébène; Dofus Émeraude; Nomade; Étourdisseur majeur; El Scarador</t>
        </is>
      </c>
    </row>
    <row r="24692">
      <c r="A24692" t="inlineStr">
        <is>
          <t>Eau ini</t>
        </is>
      </c>
      <c r="B24692">
        <f>HYPERLINK("https://www.dofusbook.net/fr/equipement/5615364-eau-ini/objets", "link")</f>
        <v/>
      </c>
      <c r="C24692" t="n">
        <v>1</v>
      </c>
      <c r="D24692" t="inlineStr">
        <is>
          <t>Baguette Hique; Amulette Volkorne; Alliance Gloursonne; Anneau Volkorne; Quatre-feuilles; Ceinture Volkorne; Kidibonnet; Cape de la Dame du Hasard; Bottes de la Dame du Hasard; Dofus Pourpre; Dofus Ivoire; Dofus Turquoise; Dofus Ébène; Dofus Abyssal; Dofus Ocre; Kanigloups</t>
        </is>
      </c>
    </row>
    <row r="24693">
      <c r="A24693" t="inlineStr">
        <is>
          <t>terre air</t>
        </is>
      </c>
      <c r="B24693">
        <f>HYPERLINK("https://www.dofusbook.net/fr/equipement/5179881-terre-air/objets", "link")</f>
        <v/>
      </c>
      <c r="C24693" t="n">
        <v>3</v>
      </c>
      <c r="D24693" t="inlineStr">
        <is>
          <t>Héqache; Amulette du Kamasterisk; Anneau Volkorne; Alliance Gloursonne; Bouclier Taverne; Ceinture Volkorne; Casque Volkorne; Cape du Kamasterisk; Bottes du Kamasterisk; Dofus Ébène; Dofus Ocre; Dofus des Glaces; Dofus Abyssal; Dofus Ivoire; Dofus Pourpre; El Scarador</t>
        </is>
      </c>
    </row>
    <row r="24694">
      <c r="A24694" t="inlineStr">
        <is>
          <t>do cri</t>
        </is>
      </c>
      <c r="B24694">
        <f>HYPERLINK("https://www.dofusbook.net/fr/equipement/5160631-do-cri/objets", "link")</f>
        <v/>
      </c>
      <c r="C24694" t="n">
        <v>3</v>
      </c>
      <c r="D24694" t="inlineStr">
        <is>
          <t>Sabres d'Atcham; Amulette Volkorne; Anneau Volkorne; Alliance Gloursonne; Bouclier du Captain Amakna; Sangle Ouare; Némès de Tal Kasha; Chevelure de Tal Kasha; Sandales de Tal Kasha; Dofus Ocre; Dofus Ébène; Dofus Turquoise; Dofus des Glaces; Dofus Pourpre; Dofus Ivoire; Kokulte</t>
        </is>
      </c>
    </row>
    <row r="24695">
      <c r="A24695" t="inlineStr">
        <is>
          <t>terre agi cac</t>
        </is>
      </c>
      <c r="B24695">
        <f>HYPERLINK("https://www.dofusbook.net/fr/equipement/5003565-terre-agi-cac/objets", "link")</f>
        <v/>
      </c>
      <c r="C24695" t="n">
        <v>4</v>
      </c>
      <c r="D24695" t="inlineStr">
        <is>
          <t>Héqache; Amulette du Strigide; Cadran d'Eau; Ceinture Volkorne; Casque Volkorne; Cape au Logis; Baleinabottes; Dofus Ocre; Dofus Ébène; Dofus Turquoise; Dofus Ivoire; Dofus des Glaces; Dofus Pourpre; El Scarador</t>
        </is>
      </c>
    </row>
    <row r="24696">
      <c r="A24696" t="inlineStr">
        <is>
          <t>Terre dommage</t>
        </is>
      </c>
      <c r="B24696">
        <f>HYPERLINK("https://www.dofusbook.net/fr/equipement/5292052-terre-dommage/objets", "link")</f>
        <v/>
      </c>
      <c r="C24696" t="n">
        <v>5</v>
      </c>
      <c r="D24696" t="inlineStr">
        <is>
          <t>Arc du Chalœil; Amulette du Cœur Saignant; Anneau Chevelu; Anneau Crustique; Bouclier du Stalak; Ceinture Volkorne; Masque de Koutoulou; Cape au Logis; Bottes du Cœur Saignant; Dofus Turquoise; Dofus Ébène; Dofus Ocre; Dofus Abyssal; Dofus Pourpre; Dofus Ivoire; Bulbisou</t>
        </is>
      </c>
    </row>
    <row r="24697">
      <c r="A24697" t="inlineStr">
        <is>
          <t>terre eau</t>
        </is>
      </c>
      <c r="B24697">
        <f>HYPERLINK("https://www.dofusbook.net/fr/equipement/5531961-terre-eau/objets", "link")</f>
        <v/>
      </c>
      <c r="C24697" t="n">
        <v>4</v>
      </c>
      <c r="D24697" t="inlineStr">
        <is>
          <t>Baguette des égarés; Amulette Luminescente; Anneau Volkorne; Bague Gloursonne; Quatre-feuilles; Ceinture Volkorne; Masque de Funespadon; Cape Luminescente; Bottes Honyme; Dofus Vulbis; Dofus des Glaces; Dofus Pourpre; Dofus Ocre; Dofus Turquoise; Dofus Ébène; Bébé Pandawa</t>
        </is>
      </c>
    </row>
    <row r="24698">
      <c r="A24698" t="inlineStr">
        <is>
          <t>feu roxx</t>
        </is>
      </c>
      <c r="B24698">
        <f>HYPERLINK("https://www.dofusbook.net/fr/equipement/4778208-feu-roxx/objets", "link")</f>
        <v/>
      </c>
      <c r="C24698" t="n">
        <v>1</v>
      </c>
      <c r="D24698" t="inlineStr">
        <is>
          <t>Amulette de Nileza; Anneauræus; Anneauræus; Cadran d'Eau; Ceinture de Vortex; Heaume Oplate; Cape de Nileza; Bottes Innommables; Dofus Vulbis; Dofus Ocre; Dofus Abyssal; Dofus Pourpre; Dofus Ivoire; Érudit majeur; Bisouglours</t>
        </is>
      </c>
    </row>
    <row r="24699">
      <c r="A24699" t="inlineStr">
        <is>
          <t>terre rture</t>
        </is>
      </c>
      <c r="B24699">
        <f>HYPERLINK("https://www.dofusbook.net/fr/equipement/5119096-terre-rture/objets", "link")</f>
        <v/>
      </c>
      <c r="C24699" t="n">
        <v>7</v>
      </c>
      <c r="D24699" t="inlineStr">
        <is>
          <t>Marteau R'ture; Amulette du Strigide; Anneau Chevelu; Anneau de Brouce; Bouclier du Captain Amakna; Ceinture Gence; Chapeau de Gein; Cape au Logis; Bottes de Brouce; Dofus Pourpre; Dofus Ébène; Dofus Turquoise; Dofus Ivoire; Remueur; Enragé majeur; Bulbisou</t>
        </is>
      </c>
    </row>
    <row r="24700">
      <c r="A24700" t="inlineStr">
        <is>
          <t>Eau feu brulame</t>
        </is>
      </c>
      <c r="B24700">
        <f>HYPERLINK("https://www.dofusbook.net/fr/equipement/5124803-eau-feu-brulame/objets", "link")</f>
        <v/>
      </c>
      <c r="C24700" t="n">
        <v>5</v>
      </c>
      <c r="D24700" t="inlineStr">
        <is>
          <t>Épée Brûlâme; Amulette Volkorne; Anneau Volkorne; Alliance Gloursonne; Bouclier du Captain Amakna; Ceintrigue; Casquette de Meno; Cape de la Dame du Hasard; Pataugastrique; Dofus Ébène; Dofus Turquoise; Dofus Ivoire; Dofus des Glaces; Remueur; Nomade; Kokulte</t>
        </is>
      </c>
    </row>
    <row r="24701">
      <c r="A24701" t="inlineStr">
        <is>
          <t>terre chaloeil</t>
        </is>
      </c>
      <c r="B24701">
        <f>HYPERLINK("https://www.dofusbook.net/fr/equipement/4497869-terre-chaloeil/objets", "link")</f>
        <v/>
      </c>
      <c r="C24701" t="n">
        <v>1</v>
      </c>
      <c r="D24701" t="inlineStr">
        <is>
          <t>Arc du Chalœil; Amulette du Strigide; Anneau de Brouce; Anneau Chevelu; Quatre-feuilles; Ceinture Gence; Chapeau de Gein; Cape au Logis; Bottes de Brouce; Dofus Ivoire; Dofus Ébène; Dofus Pourpre; Dofus Turquoise; Remueur; Enragé majeur; Bulbisou</t>
        </is>
      </c>
    </row>
    <row r="24702">
      <c r="A24702" t="inlineStr">
        <is>
          <t>3.0 air ROX</t>
        </is>
      </c>
      <c r="B24702">
        <f>HYPERLINK("https://www.dofusbook.net/fr/equipement/2277689-3-0-air-rox/objets", "link")</f>
        <v/>
      </c>
      <c r="C24702" t="n">
        <v>16</v>
      </c>
      <c r="D24702" t="inlineStr">
        <is>
          <t>Manthache; Collier du Valet Veinard; Alliance Gloursonne; Gant du Valet Veinard; Bouclier du Stalak; Menoture; Dorabysses; Cape du Kamasterisk; Palmes Trithons; Dofus Abyssal; Nomade; Acrobate majeur; Remueur; Dévastateur Air majeur; Cascadeur majeur; Blérodoudou</t>
        </is>
      </c>
    </row>
    <row r="24703">
      <c r="A24703" t="inlineStr">
        <is>
          <t>Multi rés</t>
        </is>
      </c>
      <c r="B24703">
        <f>HYPERLINK("https://www.dofusbook.net/fr/equipement/4896654-multi-res/objets", "link")</f>
        <v/>
      </c>
      <c r="C24703" t="n">
        <v>5</v>
      </c>
      <c r="D24703" t="inlineStr">
        <is>
          <t>Hache du Chalœil; Amulette Volkorne; Goulano; Anneau Volkorne; Goulclier; Ceinture Volkorne; Casque du Chalœil; Voile d'encre; Goulbottes; Dofus Abyssal; Dofus Ébène; Dofus Ocre; Dofus des Glaces; Dofus Pourpre; Dofus Ivoire; Wabbit</t>
        </is>
      </c>
    </row>
    <row r="24704">
      <c r="A24704" t="inlineStr">
        <is>
          <t>do cri</t>
        </is>
      </c>
      <c r="B24704">
        <f>HYPERLINK("https://www.dofusbook.net/fr/equipement/4881686-do-cri/objets", "link")</f>
        <v/>
      </c>
      <c r="C24704" t="n">
        <v>3</v>
      </c>
      <c r="D24704" t="inlineStr">
        <is>
          <t>Sabres d'Atcham; Amulette Volkorne; Anneau Volkorne; Anneau de Padgref; Bouclier Taverne; Ceinture Volkorne; Coiffe de Padgref; Cape d'Atcham; Getas de Padgref; Dofus Pourpre; Dofus Abyssal; Dofus Turquoise; Dofus des Glaces; Dofus Ocre; Dofus Ébène; Kokulte</t>
        </is>
      </c>
    </row>
    <row r="24705">
      <c r="A24705" t="inlineStr">
        <is>
          <t>terre air pa ret</t>
        </is>
      </c>
      <c r="B24705">
        <f>HYPERLINK("https://www.dofusbook.net/fr/equipement/4603983-terre-air-pa-ret/objets", "link")</f>
        <v/>
      </c>
      <c r="C24705" t="n">
        <v>11</v>
      </c>
      <c r="D24705" t="inlineStr">
        <is>
          <t>Héqache; Amulette du Kamasterisk; Alliance Gloursonne; Anneau de Pol Ouatnos; Cadran d'Eau; Ceintouse; Chapoulpe; Cape du Kamasterisk; Tentassons; Dofus Ébène; Dofus Ivoire; Dofus Émeraude; Dofus Pourpre; Dofus Ocre; Dofus Abyssal; Boskito</t>
        </is>
      </c>
    </row>
    <row r="24706">
      <c r="A24706" t="inlineStr">
        <is>
          <t>terre pas chere</t>
        </is>
      </c>
      <c r="B24706">
        <f>HYPERLINK("https://www.dofusbook.net/fr/equipement/4831778-terre-pas-chere/objets", "link")</f>
        <v/>
      </c>
      <c r="C24706" t="n">
        <v>4</v>
      </c>
      <c r="D24706" t="inlineStr">
        <is>
          <t>Arc du Chalœil; Amulette du Strigide; Anneau Chevelu; Bracelet du Piloztère; Bouclier du Stalak; Ceintacé; Masque de Koutoulou; Cape au Logis; Bottes du Strigide; Dokoko; Vigoureux majeur; Dévastateur Terre majeur; Nomade; Enragé majeur; Remueur; Dragodinde Prune et Pourpre</t>
        </is>
      </c>
    </row>
    <row r="24707">
      <c r="A24707" t="inlineStr">
        <is>
          <t>terre ret adapte</t>
        </is>
      </c>
      <c r="B24707">
        <f>HYPERLINK("https://www.dofusbook.net/fr/equipement/4829566-terre-ret-adapte/objets", "link")</f>
        <v/>
      </c>
      <c r="C24707" t="n">
        <v>3</v>
      </c>
      <c r="D24707" t="inlineStr">
        <is>
          <t>Marteau R'ture; Amulette du Strigide; Anneau Crustique; Anneau Chevelu; Cadran d'Eau; Ceinture de la Cour Sombre; Masque de Koutoulou; Cape au Logis; Bottes de la Cour Sombre; Dofus Ivoire; Dofus Ocre; Dofus Ébène; Dofus Pourpre; Dofus Abyssal; Étourdisseur majeur; Drakopin</t>
        </is>
      </c>
    </row>
    <row r="24708">
      <c r="A24708" t="inlineStr">
        <is>
          <t>Pas chere</t>
        </is>
      </c>
      <c r="B24708">
        <f>HYPERLINK("https://www.dofusbook.net/fr/equipement/1637200-pas-chere/objets", "link")</f>
        <v/>
      </c>
      <c r="C24708" t="n">
        <v>3</v>
      </c>
      <c r="D24708" t="inlineStr">
        <is>
          <t>Marteau R'ture; Amulette du Strigide; Anneau Chevelu; Anneau de Brouce; Cadran d'Eau; Ceintacé; Masque de Koutoulou; Cape au Logis; Bottes de Brouce; Dofus Ocre; Dofus Turquoise; Dofus Ébène; Dofus Pourpre; Enragé majeur; Nomade; Bulbisou</t>
        </is>
      </c>
    </row>
    <row r="24709">
      <c r="A24709" t="inlineStr">
        <is>
          <t>air po</t>
        </is>
      </c>
      <c r="B24709">
        <f>HYPERLINK("https://www.dofusbook.net/fr/equipement/2840062-air-po/objets", "link")</f>
        <v/>
      </c>
      <c r="C24709" t="n">
        <v>3</v>
      </c>
      <c r="D24709" t="inlineStr">
        <is>
          <t>Plume de Buhorado; Collier du Valet Veinard; Alliance Gloursonne; Gant du Valet Veinard; Bouclier du Stalak; Menoture; Dorabysses; Cape du Kamasterisk; Palmes Trithons; Dofus Pourpre; Dofus Ébène; Dofus Abyssal; Dofus Ivoire; Cascadeur majeur; Remueur; Blérodoudou</t>
        </is>
      </c>
    </row>
    <row r="24710">
      <c r="A24710" t="inlineStr">
        <is>
          <t>2.0 Eau air</t>
        </is>
      </c>
      <c r="B24710">
        <f>HYPERLINK("https://www.dofusbook.net/fr/equipement/2985485-2-0-eau-air-/objets", "link")</f>
        <v/>
      </c>
      <c r="C24710" t="n">
        <v>2</v>
      </c>
      <c r="D24710" t="inlineStr">
        <is>
          <t>Epée Loponèze; Amulette de Shokkoth; Alliance Gloursonne; Anneau de Pol Ouatnos; Sept ans de malheur; Ceinture de l'Esprit Salvateur; Casque d'Ilyzaelle; Cape Matelassée; Bottes de l'Esprit Salvateur; Dofus Émeraude; Cascadeur majeur; Vigoureux majeur; Carapace Eau majeur; Nomade; Remueur; El Scarador</t>
        </is>
      </c>
    </row>
    <row r="24711">
      <c r="A24711" t="inlineStr">
        <is>
          <t>terre ret pa</t>
        </is>
      </c>
      <c r="B24711">
        <f>HYPERLINK("https://www.dofusbook.net/fr/equipement/4778234-terre-ret-pa/objets", "link")</f>
        <v/>
      </c>
      <c r="C24711" t="n">
        <v>1</v>
      </c>
      <c r="D24711" t="inlineStr">
        <is>
          <t>Lav'Hache; Amulette du Strigide; Anneau Crustique; Anneau Crustique; Cadran d'Eau; Ceinture Volkorne; Masque de Koutoulou; Cape de la Cour Sombre; Bottes de la Cour Sombre; Dofus Émeraude; Dofus Abyssal; Dofus Vulbis; Dofus Ivoire; Dofus Ocre; Étourdisseur majeur; Drakopin</t>
        </is>
      </c>
    </row>
    <row r="24712">
      <c r="A24712" t="inlineStr">
        <is>
          <t>Full terre</t>
        </is>
      </c>
      <c r="B24712">
        <f>HYPERLINK("https://www.dofusbook.net/fr/equipement/4123894-full-terre/objets", "link")</f>
        <v/>
      </c>
      <c r="C24712" t="n">
        <v>2</v>
      </c>
      <c r="D24712" t="inlineStr">
        <is>
          <t>Arc du Chalœil; Amulette Volkorne; Anneau Crustique; Anneau Chevelu; Quatre-feuilles; Ceinture Volkorne; Masque de Koutoulou; Cape au Logis; Bottes du Cœur Saignant; Dofus Ocre; Dofus Ivoire; Dofus Pourpre; Dofus Nébuleux; Enragé majeur; Fonceur majeur; Pioute vert</t>
        </is>
      </c>
    </row>
    <row r="24713">
      <c r="A24713" t="inlineStr">
        <is>
          <t>Feu mallé</t>
        </is>
      </c>
      <c r="B24713">
        <f>HYPERLINK("https://www.dofusbook.net/fr/equipement/4778028-feu-malle/objets", "link")</f>
        <v/>
      </c>
      <c r="C24713" t="n">
        <v>0</v>
      </c>
      <c r="D24713" t="inlineStr">
        <is>
          <t>Baguette de Malléfisk; Pendentif affamé; Anneauræus; Chevalière du Roi Joueur; Carapar; Ceinture de Vortex; Heaume Oplate; Cape de Nileza; Bottes Innommables; Dofus Vulbis; Dofus Ocre; Dofus Abyssal; Dofus Ivoire; Érudit majeur; Guérisseur majeur; Atouin</t>
        </is>
      </c>
    </row>
    <row r="24714">
      <c r="A24714" t="inlineStr">
        <is>
          <t>Air do pou</t>
        </is>
      </c>
      <c r="B24714">
        <f>HYPERLINK("https://www.dofusbook.net/fr/equipement/4644574-air-do-pou/objets", "link")</f>
        <v/>
      </c>
      <c r="C24714" t="n">
        <v>3</v>
      </c>
      <c r="D24714" t="inlineStr">
        <is>
          <t>Plume de Buhorado; Amibou; Alliance Gloursonne; Bague Trithon; Droiture de Fallanster; Ceinture du Barbétoal; Dorabysses; Capibou; Pantoufles Émar; Dofus Ocre; Dofus Abyssal; Dofus Émeraude; Dofus Ivoire; Bousculeur majeur; Culbuteur majeur; Tofoudre</t>
        </is>
      </c>
    </row>
    <row r="24715">
      <c r="A24715" t="inlineStr">
        <is>
          <t>full eau</t>
        </is>
      </c>
      <c r="B24715">
        <f>HYPERLINK("https://www.dofusbook.net/fr/equipement/4693453-full-eau/objets", "link")</f>
        <v/>
      </c>
      <c r="C24715" t="n">
        <v>1</v>
      </c>
      <c r="D24715" t="inlineStr">
        <is>
          <t>Baguette Hique; Amulette de Shokkoth; Bracelet des Fonds marins; Alliance Gloursonne; Quatre-feuilles; Poulpagne; Casquette de Meno; Cape de la Dame du Hasard; Bottes de la Dame du Hasard; Dofus Turquoise; Dofus Ébène; Dofus Pourpre; Dofus Ivoire; Dofus Ocre; Nomade; Kanigloups</t>
        </is>
      </c>
    </row>
    <row r="24716">
      <c r="A24716" t="inlineStr">
        <is>
          <t>2.0 terre</t>
        </is>
      </c>
      <c r="B24716">
        <f>HYPERLINK("https://www.dofusbook.net/fr/equipement/2957321-2-0-terre/objets", "link")</f>
        <v/>
      </c>
      <c r="C24716" t="n">
        <v>18</v>
      </c>
      <c r="D24716" t="inlineStr">
        <is>
          <t>Arc du Chalœil; Amulette du Strigide; Anneau Chevelu; Anneau de Brouce; Quatre-feuilles; Ceinture Gence; Chapeau de Gein; Cape au Logis; Bottes de Brouce; Dofus Turquoise; Dofus Ivoire; Dofus Ébène; Dofus Pourpre; Enragé majeur; Remueur; Pioute vert</t>
        </is>
      </c>
    </row>
    <row r="24717">
      <c r="A24717" t="inlineStr">
        <is>
          <t>2.0 multi</t>
        </is>
      </c>
      <c r="B24717">
        <f>HYPERLINK("https://www.dofusbook.net/fr/equipement/197504-2-0-multi/objets", "link")</f>
        <v/>
      </c>
      <c r="C24717" t="n">
        <v>15</v>
      </c>
      <c r="D24717" t="inlineStr">
        <is>
          <t>Arc Volkorne; Amulette Volkorne; Bracelet du Piloztère; Anneau Volkorne; Quatre-feuilles; Ceinture du Strigide; Le Dorado; Cape de Jahash Jurgen; Bottes du Strigide; Dofus Ivoire; Dofus Turquoise; Dofus Ébène; Dofus des Glaces; Dofus Pourpre; Dofus Ocre; Chacha Angora</t>
        </is>
      </c>
    </row>
    <row r="24718">
      <c r="A24718" t="inlineStr">
        <is>
          <t>Regen rox 200</t>
        </is>
      </c>
      <c r="B24718">
        <f>HYPERLINK("https://www.dofusbook.net/fr/equipement/4544468-regen-rox-200/objets", "link")</f>
        <v/>
      </c>
      <c r="C24718" t="n">
        <v>3</v>
      </c>
      <c r="D24718" t="inlineStr">
        <is>
          <t>Arc Nécrotique; Amulette Volkorne; Anneau Volkorne; Alliance Gloursonne; Quatre-feuilles; Ceintrigue; Le Dorado; Cape de la Dame du Hasard; Pataugastrique; Dofus Pourpre; Érudit majeur; Nomade; Remueur; Chanceux majeur; Vigoureux majeur; Walk</t>
        </is>
      </c>
    </row>
    <row r="24719">
      <c r="A24719" t="inlineStr">
        <is>
          <t>roxx</t>
        </is>
      </c>
      <c r="B24719">
        <f>HYPERLINK("https://www.dofusbook.net/fr/equipement/4631933-roxx/objets", "link")</f>
        <v/>
      </c>
      <c r="C24719" t="n">
        <v>4</v>
      </c>
      <c r="D24719" t="inlineStr">
        <is>
          <t>Rapière aux Glyphes; Amulette de Shokkoth; Bracelet des Fonds marins; Alliance Gloursonne; Bouclier d'Ilyzaelle; Poulpagne; Capuche de l'Œil Attentif; Cape de l'Œil Attentif; Bottes de la Reine des Voleurs; Dofus Ocre; Dofus Pourpre; Dofus Ivoire; Dofus Abyssal; Nomade; Évasif majeur; El Scarador</t>
        </is>
      </c>
    </row>
    <row r="24720">
      <c r="A24720" t="inlineStr">
        <is>
          <t>terre-air esq pa</t>
        </is>
      </c>
      <c r="B24720">
        <f>HYPERLINK("https://www.dofusbook.net/fr/equipement/197496-terre-air-esq-pa/objets", "link")</f>
        <v/>
      </c>
      <c r="C24720" t="n">
        <v>6</v>
      </c>
      <c r="D24720" t="inlineStr">
        <is>
          <t>Bêche Asse; Amulette du Strigide; Anneau Chevelu; Anneau Crustique; Bouclier d'Ilyzaelle; Ceinture de la Cour Sombre; Masque de Koutoulou; Cape au Logis; Bottes de la Cour Sombre; Dofus Pourpre; Dofus Ocre; Dofus Ivoire; Dofus des Glaces; Dofus Abyssal; Évasif majeur; Rauleur</t>
        </is>
      </c>
    </row>
    <row r="24721">
      <c r="A24721" t="inlineStr">
        <is>
          <t>Tank terre</t>
        </is>
      </c>
      <c r="B24721">
        <f>HYPERLINK("https://www.dofusbook.net/fr/equipement/4631874-tank-terre/objets", "link")</f>
        <v/>
      </c>
      <c r="C24721" t="n">
        <v>6</v>
      </c>
      <c r="D24721" t="inlineStr">
        <is>
          <t>Bêche Asse; Amulette du Kamasterisk; Bague Gloursonne; Anneau Chevelu; Écorce de Brouce; Ceinture de la Cour Sombre; Casque Dragoeuf; Cape au Logis; Bottes de la Cour Sombre; Dofus Abyssal; Dofus Pourpre; Dofus Ébène; Dofus Ocre; Dofus Ivoire; Évasif majeur; Chienchien Tigré</t>
        </is>
      </c>
    </row>
    <row r="24722">
      <c r="A24722" t="inlineStr">
        <is>
          <t>Full terre</t>
        </is>
      </c>
      <c r="B24722">
        <f>HYPERLINK("https://www.dofusbook.net/fr/equipement/4588848-full-terre/objets", "link")</f>
        <v/>
      </c>
      <c r="C24722" t="n">
        <v>21</v>
      </c>
      <c r="D24722" t="inlineStr">
        <is>
          <t>Marteau R'ture; Amulette du Strigide; Anneau Chevelu; Anneau Crustique; Cadran d'Eau; Ceinture Volkorne; Masque de Koutoulou; Voile d'encre; Bottes du Strigide; Dofus Turquoise; Dofus Ocre; Dofus Pourpre; Dofus Nébuleux; Nomade; Évasif majeur; Rauleur</t>
        </is>
      </c>
    </row>
    <row r="24723">
      <c r="A24723" t="inlineStr">
        <is>
          <t>eau ret</t>
        </is>
      </c>
      <c r="B24723">
        <f>HYPERLINK("https://www.dofusbook.net/fr/equipement/4631809-eau-ret/objets", "link")</f>
        <v/>
      </c>
      <c r="C24723" t="n">
        <v>7</v>
      </c>
      <c r="D24723" t="inlineStr">
        <is>
          <t>Sceptre du Roi Joueur; Amulette de l'Œil Attentif; Bracelet des Fonds marins; Alliance Gloursonne; Sept ans de malheur; Ceinture de Vortex; Casque Dragoeuf; Cape de l'Œil Attentif; Pataugastrique; Dofus Ivoire; Dofus Pourpre; Évasif majeur; Chanceux majeur; Nomade; Étourdisseur majeur; Chienchien Tigré</t>
        </is>
      </c>
    </row>
    <row r="24724">
      <c r="A24724" t="inlineStr">
        <is>
          <t>eau feu</t>
        </is>
      </c>
      <c r="B24724">
        <f>HYPERLINK("https://www.dofusbook.net/fr/equipement/4631333-eau-feu/objets", "link")</f>
        <v/>
      </c>
      <c r="C24724" t="n">
        <v>6</v>
      </c>
      <c r="D24724" t="inlineStr">
        <is>
          <t>Pelle de Katrepat; Amulette de l'Indicible; Alliance du Lévitrof; Alliance Gloursonne; Quatre-feuilles; Poulpagne; Casquette de Meno; Cape de la Dame du Hasard; Bottes de Meno; Dofus Pourpre; Dofus Abyssal; Dofus Ocre; Dofus Ivoire; Évasif majeur; Nomade; Rauleur</t>
        </is>
      </c>
    </row>
    <row r="24725">
      <c r="A24725" t="inlineStr">
        <is>
          <t>terre roxx ret</t>
        </is>
      </c>
      <c r="B24725">
        <f>HYPERLINK("https://www.dofusbook.net/fr/equipement/4602619-terre-roxx-ret/objets", "link")</f>
        <v/>
      </c>
      <c r="C24725" t="n">
        <v>3</v>
      </c>
      <c r="D24725" t="inlineStr">
        <is>
          <t>Marteau R'ture; Amulette du Strigide; Anneau Chevelu; Anneau Crustique; Bouclier alvéolé; Ceinture de la Cour Sombre; Masque de Koutoulou; Cape au Logis; Bottes de la Cour Sombre; Dofus Pourpre; Dofus Ébène; Dofus Ocre; Dofus Ivoire; Dofus Turquoise; Étourdisseur majeur; El Scarador</t>
        </is>
      </c>
    </row>
    <row r="24726">
      <c r="A24726" t="inlineStr">
        <is>
          <t>Full ré cri MAGGLE</t>
        </is>
      </c>
      <c r="B24726">
        <f>HYPERLINK("https://www.dofusbook.net/fr/equipement/197494-full-re-cri-maggle/objets", "link")</f>
        <v/>
      </c>
      <c r="C24726" t="n">
        <v>2</v>
      </c>
      <c r="D24726" t="inlineStr">
        <is>
          <t>Arc du Chalœil; Amulette du Strigide; Alliance Gloursonne; Bracelet du Piloztère; Bouclier du Stalak; Ceinture de la Reine des Voleurs; Coiffe de la Reine des Voleurs; Cape au Logis; Bottes de la Reine des Voleurs; Dofus Abyssal; Dofus Pourpre; Dofus Ivoire; Dofus des Glaces; Dofus Ébène; Dofus Ocre; Wabbit</t>
        </is>
      </c>
    </row>
    <row r="24727">
      <c r="A24727" t="inlineStr">
        <is>
          <t>3.0 terre tank</t>
        </is>
      </c>
      <c r="B24727">
        <f>HYPERLINK("https://www.dofusbook.net/fr/equipement/197505-3-0-terre-tank/objets", "link")</f>
        <v/>
      </c>
      <c r="C24727" t="n">
        <v>1</v>
      </c>
      <c r="D24727" t="inlineStr">
        <is>
          <t>Bêche Asse; Amulette du Strigide; Bague Gloursonne; Anneau Chevelu; Bouclier du Stalak; Ceinture de la Cour Sombre; Masque de Koutoulou; Voile d'encre; Bottes de la Cour Sombre; Dofus Pourpre; Dofus des Glaces; Dofus Ocre; Dofus Ivoire; Nomade; Enragé majeur; Bwak d'Eau</t>
        </is>
      </c>
    </row>
    <row r="24728">
      <c r="A24728" t="inlineStr">
        <is>
          <t>2.0 Ret pm</t>
        </is>
      </c>
      <c r="B24728">
        <f>HYPERLINK("https://www.dofusbook.net/fr/equipement/4101427-2-0-ret-pm/objets", "link")</f>
        <v/>
      </c>
      <c r="C24728" t="n">
        <v>4</v>
      </c>
      <c r="D24728" t="inlineStr">
        <is>
          <t>Dagues Açantes; Amulette du Glourséleste; Alliance Gloursonne; Pikano; Bouclier cubiste; Ceinture Glaciale; Casquipik; Cape de Léthaline; Pantoufles Émar; Dofus Cawotte; Entraveur majeur; Temporiseur majeur; Initiateur; Ralentisseur majeur; Remueur; Chienchien Tigré</t>
        </is>
      </c>
    </row>
    <row r="24729">
      <c r="A24729" t="inlineStr">
        <is>
          <t>Full eau</t>
        </is>
      </c>
      <c r="B24729">
        <f>HYPERLINK("https://www.dofusbook.net/fr/equipement/2851877-full-eau/objets", "link")</f>
        <v/>
      </c>
      <c r="C24729" t="n">
        <v>14</v>
      </c>
      <c r="D24729" t="inlineStr">
        <is>
          <t>Rapière aux Glyphes; Amulette de Shokkoth; Bracelet des Fonds marins; Alliance Gloursonne; Quatre-feuilles; Ceinture Glaciale; Kidibonnet; Cape de la Dame du Hasard; Sandales des Fonds marins; Déserteur majeur; Chanceux majeur; Dévastateur Eau majeur; Nomade; Carapace Eau majeur; Remueur; El Scarador</t>
        </is>
      </c>
    </row>
    <row r="24730">
      <c r="A24730" t="inlineStr">
        <is>
          <t>full ret</t>
        </is>
      </c>
      <c r="B24730">
        <f>HYPERLINK("https://www.dofusbook.net/fr/equipement/4096638-full-ret/objets", "link")</f>
        <v/>
      </c>
      <c r="C24730" t="n">
        <v>5</v>
      </c>
      <c r="D24730" t="inlineStr">
        <is>
          <t>Dagues Açantes; Collier de la Dame du Hasard; Alliance Gloursonne; Pikano; Bouclier cubiste; Ceinture de Kongoku; Casquipik; Cape de Léthaline; Pataugastrique; Temporiseur majeur; Remueur; Miraculé majeur; Ralentisseur majeur; Entraveur majeur; Nomade; Blokus</t>
        </is>
      </c>
    </row>
    <row r="24731">
      <c r="A24731" t="inlineStr">
        <is>
          <t>Eniripsa F 200</t>
        </is>
      </c>
      <c r="B24731">
        <f>HYPERLINK("https://www.dofusbook.net/fr/equipement/4096560-eniripsa-f-200/objets", "link")</f>
        <v/>
      </c>
      <c r="C24731" t="n">
        <v>25</v>
      </c>
      <c r="D24731" t="inlineStr">
        <is>
          <t>Arc corrompu; Pendentif affamé; Chevalière du Roi Joueur; Anneau Tique; Bouclier du Cycloïde; Ceinture de Vortex; Cagoule de Vortex; Cape de Diondin; Bottes Innommables; Savant majeur; Érudit majeur; Guérisseur majeur; Nomade; Soigneur majeur; Remueur; Bisouglours</t>
        </is>
      </c>
    </row>
    <row r="24732">
      <c r="A24732" t="inlineStr">
        <is>
          <t>Eau-feu 200</t>
        </is>
      </c>
      <c r="B24732">
        <f>HYPERLINK("https://www.dofusbook.net/fr/equipement/2338306-eau-feu-200/objets", "link")</f>
        <v/>
      </c>
      <c r="C24732" t="n">
        <v>50</v>
      </c>
      <c r="D24732" t="inlineStr">
        <is>
          <t>Arc Nécrotique; Talisman Igans; Alliance Gloursonne; Lavanneau; Quatre-feuilles; Ceintrigue; Casquette de Meno; Cape de la Dame du Hasard; Pataugastrique; Dofus Pourpre; Dofus Turquoise; Dofus des Glaces; Nomade; Remueur; Érudit majeur; Muldo Indigo et Orchidée</t>
        </is>
      </c>
    </row>
    <row r="24733">
      <c r="A24733" t="inlineStr">
        <is>
          <t>Maj 2.48</t>
        </is>
      </c>
      <c r="B24733">
        <f>HYPERLINK("https://www.dofusbook.net/fr/equipement/3620276-maj-2-48/objets", "link")</f>
        <v/>
      </c>
      <c r="C24733" t="n">
        <v>7</v>
      </c>
      <c r="D24733" t="inlineStr">
        <is>
          <t>Sabres d'Atcham; Amulette d'Ilyzaelle; Alliance Brûlâme; Alliance Gloursonne; Bouclier d'Ilyzaelle; Ceinture de l'Esprit Salvateur; Casque d'Ilyzaelle; Cape d'Atcham; Sandales  d'Atcham; Dofus Abyssal; Dofus Ocre; Dofus Nébuleux; Dofus Ivoire; Dofus Pourpre; Dofus des Glaces; Muldo Ebène</t>
        </is>
      </c>
    </row>
    <row r="24734">
      <c r="A24734" t="inlineStr">
        <is>
          <t>Eau-air pas chère</t>
        </is>
      </c>
      <c r="B24734">
        <f>HYPERLINK("https://www.dofusbook.net/fr/equipement/3017288-eau-air-pas-chere/objets", "link")</f>
        <v/>
      </c>
      <c r="C24734" t="n">
        <v>0</v>
      </c>
      <c r="D24734" t="inlineStr">
        <is>
          <t>Epée Loponèze; Amulette de Shokkoth; Anneau de Pol Ouatnos; Alliance Gloursonne; Bouclier d'Anerice; Ceinture du Barbétoal; Kidibonnet; Cape Matelassée; Bottes de la Reine des Voleurs; Miraculé majeur; Chanceux majeur; Déserteur majeur; Nomade; Cascadeur majeur; Remueur; Kramkram</t>
        </is>
      </c>
    </row>
    <row r="24735">
      <c r="A24735" t="inlineStr">
        <is>
          <t>Multi-Puissance</t>
        </is>
      </c>
      <c r="B24735">
        <f>HYPERLINK("https://www.dofusbook.net/fr/equipement/2984969-multi-puissance/objets", "link")</f>
        <v/>
      </c>
      <c r="C24735" t="n">
        <v>0</v>
      </c>
      <c r="D24735" t="inlineStr">
        <is>
          <t>Marteau R'ture; Amulette du Strigide; Bracelet du Piloztère; Anneau de Brouce; Bouclier Taverne; Ceinture Gence; Chapeau de Gein; Cape au Logis; Bottes de Brouce; Dofus Turquoise; Dofus Pourpre; Vigoureux majeur; Remueur; Enragé majeur; Forcené majeur; Kramkram</t>
        </is>
      </c>
    </row>
    <row r="24736">
      <c r="A24736" t="inlineStr">
        <is>
          <t>Eau-ret</t>
        </is>
      </c>
      <c r="B24736">
        <f>HYPERLINK("https://www.dofusbook.net/fr/equipement/2915355-eau-ret/objets", "link")</f>
        <v/>
      </c>
      <c r="C24736" t="n">
        <v>1</v>
      </c>
      <c r="D24736" t="inlineStr">
        <is>
          <t>Sceptre du Roi Joueur; Collier de la Dame du Hasard; Pikano; Alliance Gloursonne; Bouclier cubiste; Ceinture Glaciale; Kidibonnet; Cape de la Dame du Hasard; Bottes de Meno; Entraveur majeur; Chanceux majeur; Nomade; Déserteur majeur; Temporiseur majeur; Remueur; Kramkram</t>
        </is>
      </c>
    </row>
    <row r="24737">
      <c r="A24737" t="inlineStr">
        <is>
          <t>Pas chere eau</t>
        </is>
      </c>
      <c r="B24737">
        <f>HYPERLINK("https://www.dofusbook.net/fr/equipement/2902353-pas-chere-eau/objets", "link")</f>
        <v/>
      </c>
      <c r="C24737" t="n">
        <v>0</v>
      </c>
      <c r="D24737" t="inlineStr">
        <is>
          <t>Arc Ontanporin; Collier de la Dame du Hasard; Bracelet des Fonds marins; Alliance Gloursonne; Bouclier cubiste; Ceinture Glaciale; Kidibonnet; Cape de la Dame du Hasard; Pataugastrique; Temporiseur majeur; Remueur; Entraveur majeur; Chanceux majeur; Nomade; Déserteur majeur; Kramkram</t>
        </is>
      </c>
    </row>
    <row r="24738">
      <c r="A24738" t="inlineStr">
        <is>
          <t>Tac/Agi/Eau/Rés</t>
        </is>
      </c>
      <c r="B24738">
        <f>HYPERLINK("https://www.dofusbook.net/fr/equipement/2902146-tac-agi-eau-res/objets", "link")</f>
        <v/>
      </c>
      <c r="C24738" t="n">
        <v>0</v>
      </c>
      <c r="D24738" t="inlineStr">
        <is>
          <t>Pelle de la Cour Sombre; Collier du Valet Veinard; Gant du Valet Veinard; Alliance Gloursonne; Bouclier alvéolé; Menoture; Casque Cyclopéen; Cape Matelassée; Palmes Trithons; Obstructeur majeur; Cascadeur majeur; Vigoureux majeur; Nomade; Acrobate majeur; Remueur; Muldo Ebène</t>
        </is>
      </c>
    </row>
    <row r="24739">
      <c r="A24739" t="inlineStr">
        <is>
          <t>Mode pano</t>
        </is>
      </c>
      <c r="B24739">
        <f>HYPERLINK("https://www.dofusbook.net/fr/equipement/197507-mode-pano/objets", "link")</f>
        <v/>
      </c>
      <c r="C24739" t="n">
        <v>0</v>
      </c>
      <c r="D24739" t="inlineStr">
        <is>
          <t>Lance corrompue; Collier du Valet Veinard; Gant du Valet Veinard; Alliance Brûlâme; Bouclier cubiste; Ceintouse; Masque Brûlâme; Cape du Valet Veinard; Pompes Funèbres; Dofus Émeraude; Dofus Turquoise; Dofus des Glaces; Dofus Ocre; Dofus Abyssal; Dofus Pourpre; Kramkram</t>
        </is>
      </c>
    </row>
    <row r="24740">
      <c r="A24740" t="inlineStr">
        <is>
          <t>Eau prio et feu</t>
        </is>
      </c>
      <c r="B24740">
        <f>HYPERLINK("https://www.dofusbook.net/fr/equipement/2852401-eau-prio-et-feu/objets", "link")</f>
        <v/>
      </c>
      <c r="C24740" t="n">
        <v>0</v>
      </c>
      <c r="D24740" t="inlineStr">
        <is>
          <t>Rapière aux Glyphes; Collier de la Dame du Hasard; Alliance Gloursonne; Bracelet des Fonds marins; Quatre-feuilles; Ceinture Glaciale; Capuche de l'Œil Attentif; Cape de la Dame du Hasard; Pataugastrique; Dofus Turquoise; Dofus Ocre; Dofus des Glaces; Dofus Pourpre; Vigoureux majeur; Nomade; Kramkram</t>
        </is>
      </c>
    </row>
    <row r="24741">
      <c r="A24741" t="inlineStr">
        <is>
          <t>Tank eau/feu</t>
        </is>
      </c>
      <c r="B24741">
        <f>HYPERLINK("https://www.dofusbook.net/fr/equipement/2828838-tank-eau-feu/objets", "link")</f>
        <v/>
      </c>
      <c r="C24741" t="n">
        <v>0</v>
      </c>
      <c r="D24741" t="inlineStr">
        <is>
          <t>Baguette Hique; Amulette de Shokkoth; Alliance Gloursonne; Bracelet des Fonds marins; Quatre-feuilles; Ceinture de l'Esprit Salvateur; Casqnoar; Cape de la Dame du Hasard; Pataugastrique; Dofus Turquoise; Dofus Ocre; Dofus des Glaces; Dofus Pourpre; Vigoureux majeur; Nomade; Kramkram</t>
        </is>
      </c>
    </row>
    <row r="24742">
      <c r="A24742" t="inlineStr">
        <is>
          <t>Eau-feu 200</t>
        </is>
      </c>
      <c r="B24742">
        <f>HYPERLINK("https://www.dofusbook.net/fr/equipement/2828571-eau-feu-200/objets", "link")</f>
        <v/>
      </c>
      <c r="C24742" t="n">
        <v>4</v>
      </c>
      <c r="D24742" t="inlineStr">
        <is>
          <t>Arc Nécrotique; Collier de la Dame du Hasard; Alliance Gloursonne; Bracelet des Fonds marins; Quatre-feuilles; Ceinture de l'Esprit Salvateur; Capuche de l'Œil Attentif; Cape de la Dame du Hasard; Pataugastrique; Dofus des Glaces; Dofus Pourpre; Dofus Turquoise; Dofus Ocre; Vigoureux majeur; Nomade; Kramkram</t>
        </is>
      </c>
    </row>
    <row r="24743">
      <c r="A24743" t="inlineStr">
        <is>
          <t>Eau-feu 200</t>
        </is>
      </c>
      <c r="B24743">
        <f>HYPERLINK("https://www.dofusbook.net/fr/equipement/2828542-eau-feu-200/objets", "link")</f>
        <v/>
      </c>
      <c r="C24743" t="n">
        <v>0</v>
      </c>
      <c r="D24743" t="inlineStr">
        <is>
          <t>Arc Nécrotique; Talisman Igans; Alliance Gloursonne; Alliance du Lévitrof; Bouclier cubiste; Sangle Ouare; Coiffe du Lévitrof; Cape de la Dame du Hasard; Pataugastrique; Dofus Turquoise; Dofus des Glaces; Dofus Ocre; Dofus Pourpre; Kramkram</t>
        </is>
      </c>
    </row>
    <row r="24744">
      <c r="A24744" t="inlineStr">
        <is>
          <t>Eau 200</t>
        </is>
      </c>
      <c r="B24744">
        <f>HYPERLINK("https://www.dofusbook.net/fr/equipement/2721934-eau-200/objets", "link")</f>
        <v/>
      </c>
      <c r="C24744" t="n">
        <v>4</v>
      </c>
      <c r="D24744" t="inlineStr">
        <is>
          <t>Rapière aux Glyphes; Collier de la Dame du Hasard; Alliance Gloursonne; Bracelet des Fonds marins; Quatre-feuilles; Ceinture Glaciale; Kidibonnet; Cape de la Dame du Hasard; Bottes du Nocturlabe; Dofus Pourpre; Dofus Turquoise; Dévastateur Eau majeur; Remueur; Chanceux majeur; Nomade; Kramkram</t>
        </is>
      </c>
    </row>
    <row r="24745">
      <c r="A24745" t="inlineStr">
        <is>
          <t>Feu 150</t>
        </is>
      </c>
      <c r="B24745">
        <f>HYPERLINK("https://www.dofusbook.net/fr/equipement/2318021-feu-150/objets", "link")</f>
        <v/>
      </c>
      <c r="C24745" t="n">
        <v>2</v>
      </c>
      <c r="D24745" t="inlineStr">
        <is>
          <t>La Baguette des Limbes; Talisman d'Elya Wood; Gelano; Anneau Frage; Bouclier du Mont Kipou; String Automnal du Chêne Mou; Coiffe du Chêne Mou; Cape du Nowel Cauchemardesque; Sandales du Minotot; Guérisseur majeur; Remueur; Miraculé majeur; Érudit majeur; Savant majeur; Nomade; Dragodinde Prune et Orchidée</t>
        </is>
      </c>
    </row>
    <row r="24746">
      <c r="A24746" t="inlineStr">
        <is>
          <t>Eau-feu 199</t>
        </is>
      </c>
      <c r="B24746">
        <f>HYPERLINK("https://www.dofusbook.net/fr/equipement/2338199-eau-feu-199/objets", "link")</f>
        <v/>
      </c>
      <c r="C24746" t="n">
        <v>0</v>
      </c>
      <c r="D24746" t="inlineStr">
        <is>
          <t>Baguette Hique; Amulette d'Otomaï; Gelano; Alliance Gloursonne; Bivalve; Ceinture du Glourséleste; Casqnoar; Cape de Théodoran Ax; Bottes de Théodoran Ax; Dofus Pourpre; Érudit majeur; Remueur; Vigoureux majeur; Chanceux majeur; Nomade; Kramkram</t>
        </is>
      </c>
    </row>
    <row r="24747">
      <c r="A24747" t="inlineStr">
        <is>
          <t>Eau-feu 170</t>
        </is>
      </c>
      <c r="B24747">
        <f>HYPERLINK("https://www.dofusbook.net/fr/equipement/2318120-eau-feu-170/objets", "link")</f>
        <v/>
      </c>
      <c r="C24747" t="n">
        <v>1</v>
      </c>
      <c r="D24747" t="inlineStr">
        <is>
          <t>Bâton des Prophètes; Collier du Minotot; Anneau des Prophètes; Gelano; Bouclier Taverne; Ceinture de Soissanth; Chapeau Stapokaliptik; Cape Souveraine du Roissingue; Bottes du Nowel Cauchemardesque; Dofus Pourpre; Dofus Cawotte; Nomade; Érudit majeur; Remueur; Chanceux majeur; Kramkram</t>
        </is>
      </c>
    </row>
    <row r="24748">
      <c r="A24748" t="inlineStr">
        <is>
          <t>Eau 80</t>
        </is>
      </c>
      <c r="B24748">
        <f>HYPERLINK("https://www.dofusbook.net/fr/equipement/2309340-eau-80/objets", "link")</f>
        <v/>
      </c>
      <c r="C24748" t="n">
        <v>0</v>
      </c>
      <c r="D24748" t="inlineStr">
        <is>
          <t>Ares; Amublop Indigo Royale; Blopanneau Indigo Royal; Gelano; Bouclier de Sidimote; Blopture Indigo Royale; Coiffe du Chef Crocodaille; Cape du Coq Hû; Bloptes Indigo Royales; Dragodinde Prune et Indigo</t>
        </is>
      </c>
    </row>
    <row r="24749">
      <c r="A24749" t="inlineStr">
        <is>
          <t>Eau 45</t>
        </is>
      </c>
      <c r="B24749">
        <f>HYPERLINK("https://www.dofusbook.net/fr/equipement/2303053-eau-45/objets", "link")</f>
        <v/>
      </c>
      <c r="C24749" t="n">
        <v>0</v>
      </c>
      <c r="D24749" t="inlineStr">
        <is>
          <t>Kwaklame de Glace; Peignentif; Souvenir d'Enutrof; Kwakanneau de Glace; Bouclier en Mousse; Kwakture de Glace; Mes Petits Sabots; Bwak d'Eau; Caprinière; Chaponey</t>
        </is>
      </c>
    </row>
    <row r="24750">
      <c r="A24750" t="inlineStr">
        <is>
          <t>Mode cheat</t>
        </is>
      </c>
      <c r="B24750">
        <f>HYPERLINK("https://www.dofusbook.net/fr/equipement/1528446-mode-cheat/objets", "link")</f>
        <v/>
      </c>
      <c r="C24750" t="n">
        <v>4</v>
      </c>
      <c r="D24750" t="inlineStr">
        <is>
          <t>Sabres d'Atcham; Amulette du Strigide; Bracelet du Piloztère; Alliance Gloursonne; Bouclier Taverne; Ceintacé; Capuche de l'Œil Putride; Cape des Malveilleurs; Sandales  d'Atcham; Dofus des Glaces; Dofus Pourpre; Dofus Turquoise; Vigoureux majeur; Nomade; Remueur; Kramkram</t>
        </is>
      </c>
    </row>
    <row r="24751">
      <c r="A24751" t="inlineStr">
        <is>
          <t>Tal Kasha CAC</t>
        </is>
      </c>
      <c r="B24751">
        <f>HYPERLINK("https://www.dofusbook.net/fr/equipement/2022488-tal-kasha-cac/objets", "link")</f>
        <v/>
      </c>
      <c r="C24751" t="n">
        <v>0</v>
      </c>
      <c r="D24751" t="inlineStr">
        <is>
          <t>Marteau des Anciens Steamers; Amulette du Strigide; Alliance Gloursonne; Bracelet du Piloztère; Bouclier Taverne; Ceintacé; Némès de Tal Kasha; Chevelure de Tal Kasha; Bottes de la Reine des Voleurs; Dofus Turquoise; Dokoko; Dofus des Glaces; Remueur; Nomade; Étourdisseur majeur; Kramkram</t>
        </is>
      </c>
    </row>
    <row r="24752">
      <c r="A24752" t="inlineStr">
        <is>
          <t>Tal Kasha</t>
        </is>
      </c>
      <c r="B24752">
        <f>HYPERLINK("https://www.dofusbook.net/fr/equipement/1985002-tal-kasha/objets", "link")</f>
        <v/>
      </c>
      <c r="C24752" t="n">
        <v>0</v>
      </c>
      <c r="D24752" t="inlineStr">
        <is>
          <t>Arc de Koutoulou; Amulette du Strigide; Alliance Gloursonne; Bracelet du Piloztère; Quatre-feuilles; Ceintacé; Némès de Tal Kasha; Chevelure de Tal Kasha; Bottes de la Reine des Voleurs; Dokoko; Dofus des Glaces; Dofus Turquoise; Dofus Ocre; Nomade; Vigoureux majeur; Kramkram</t>
        </is>
      </c>
    </row>
    <row r="24753">
      <c r="A24753" t="inlineStr">
        <is>
          <t>Tal Kasha</t>
        </is>
      </c>
      <c r="B24753">
        <f>HYPERLINK("https://www.dofusbook.net/fr/equipement/1984980-tal-kasha/objets", "link")</f>
        <v/>
      </c>
      <c r="C24753" t="n">
        <v>0</v>
      </c>
      <c r="D24753" t="inlineStr">
        <is>
          <t>Arc de Koutoulou; Amulette du Strigide; Alliance Gloursonne; Bracelet du Piloztère; Quatre-feuilles; Ceintacé; Némès de Tal Kasha; Chevelure de Tal Kasha; Bottes de la Reine des Voleurs; Dofus Turquoise; Dofus Ocre; Dokoko; Dofus des Glaces; Nomade; Vigoureux majeur; Kramkram</t>
        </is>
      </c>
    </row>
    <row r="24754">
      <c r="A24754" t="inlineStr">
        <is>
          <t>Stuff 1</t>
        </is>
      </c>
      <c r="B24754">
        <f>HYPERLINK("https://www.dofusbook.net/fr/equipement/197485-stuff-1/objets", "link")</f>
        <v/>
      </c>
      <c r="C24754" t="n">
        <v>7</v>
      </c>
      <c r="D24754" t="inlineStr">
        <is>
          <t>Arc de Koutoulou; Amulette du Strigide; Alliance Gloursonne; Bracelet du Piloztère; Quatre-feuilles; Ceintacé; Némès de Tal Kasha; Chevelure de Tal Kasha; Bottes de la Reine des Voleurs; Dokoko; Dofus des Glaces; Dofus Turquoise; Dofus Ocre; Nomade; Vigoureux majeur; Kramkram</t>
        </is>
      </c>
    </row>
    <row r="24755">
      <c r="A24755" t="inlineStr">
        <is>
          <t>Multi full crit</t>
        </is>
      </c>
      <c r="B24755">
        <f>HYPERLINK("https://www.dofusbook.net/fr/equipement/1857751-multi-full-crit/objets", "link")</f>
        <v/>
      </c>
      <c r="C24755" t="n">
        <v>1</v>
      </c>
      <c r="D24755" t="inlineStr">
        <is>
          <t>Epée Maudite du Saigneur Guerrier; Amulette du Strigide; Alliance Gloursonne; Bague Trithon; Quatre-feuilles; Ceintacé; Masque d'Anerice; Chevelure de Tal Kasha; Bottes Trithon; Dofus Turquoise; Dofus des Glaces; Dofus Pourpre; Dofus Ocre; Vigoureux majeur; Nomade; Kramkram</t>
        </is>
      </c>
    </row>
    <row r="24756">
      <c r="A24756" t="inlineStr">
        <is>
          <t>Thanos-exo</t>
        </is>
      </c>
      <c r="B24756">
        <f>HYPERLINK("https://www.dofusbook.net/fr/equipement/1652710-thanos-exo/objets", "link")</f>
        <v/>
      </c>
      <c r="C24756" t="n">
        <v>0</v>
      </c>
      <c r="D24756" t="inlineStr">
        <is>
          <t>Le Thanos; Collier de la Dame du Hasard; Anneau Tique; Anneau de Nidas; Bouclier cubiste; Ceinture de Vortex; Casquette de Meno; Cape de la Dame du Hasard; Pataugastrique; Temporiseur majeur; Remueur; Fonceur majeur; Érudit majeur; Guérisseur majeur; Nomade; Muldo Orchidée et Amande</t>
        </is>
      </c>
    </row>
    <row r="24757">
      <c r="A24757" t="inlineStr">
        <is>
          <t>thanos pas cher</t>
        </is>
      </c>
      <c r="B24757">
        <f>HYPERLINK("https://www.dofusbook.net/fr/equipement/1618353-thanos-pas-cher/objets", "link")</f>
        <v/>
      </c>
      <c r="C24757" t="n">
        <v>0</v>
      </c>
      <c r="D24757" t="inlineStr">
        <is>
          <t>Le Thanos; Amulette d'Otomaï; Anneau Tique; Anneau de Nidas; Bouclier cubiste; Sangle Aise; Couronne de Nidas; Cape de Nileza; Pataugastrique; Fonceur majeur; Érudit majeur; Guérisseur majeur; Nomade; Temporiseur majeur; Remueur; Muldo Indigo et Orchidée</t>
        </is>
      </c>
    </row>
    <row r="24758">
      <c r="A24758" t="inlineStr">
        <is>
          <t>Stuff 3</t>
        </is>
      </c>
      <c r="B24758">
        <f>HYPERLINK("https://www.dofusbook.net/fr/equipement/197487-stuff-3/objets", "link")</f>
        <v/>
      </c>
      <c r="C24758" t="n">
        <v>0</v>
      </c>
      <c r="D24758" t="inlineStr">
        <is>
          <t>Arc de Koutoulou; Amulette du Strigide; Alliance Gloursonne; Bracelet du Piloztère; Bouclier du Stalak; Ceintacé; Némès de Tal Kasha; Chevelure de Tal Kasha; Bottes de la Reine des Voleurs; Dofus Ocre; Dofus Pourpre; Dofus Turquoise; Dofus des Glaces; Vigoureux majeur; Nomade; Muldo Ebène et Orchidée</t>
        </is>
      </c>
    </row>
    <row r="24759">
      <c r="A24759" t="inlineStr">
        <is>
          <t>Stuff 3</t>
        </is>
      </c>
      <c r="B24759">
        <f>HYPERLINK("https://www.dofusbook.net/fr/equipement/197493-stuff-3/objets", "link")</f>
        <v/>
      </c>
      <c r="C24759" t="n">
        <v>0</v>
      </c>
      <c r="D24759" t="inlineStr">
        <is>
          <t>Arc de Koutoulou; Amulette du Strigide; Bracelet du Piloztère; Alliance Gloursonne; Bouclier Taverne; Ceintacé; Némès de Tal Kasha; Chevelure de Tal Kasha; Bottes de la Reine des Voleurs; Dofus des Glaces; Dofus Ocre; Dofus Pourpre; Dofus Turquoise; Nomade; Vigoureux majeur; Muldo Ebène et Orchidée</t>
        </is>
      </c>
    </row>
    <row r="24760">
      <c r="A24760" t="inlineStr">
        <is>
          <t>Sans exo</t>
        </is>
      </c>
      <c r="B24760">
        <f>HYPERLINK("https://www.dofusbook.net/fr/equipement/197506-sans-exo/objets", "link")</f>
        <v/>
      </c>
      <c r="C24760" t="n">
        <v>0</v>
      </c>
      <c r="D24760" t="inlineStr">
        <is>
          <t>Baguette Hique; Talisman Igans; Alliance du Lévitrof; Alliance Gloursonne; Ceintrigue; Kidibonnet; Cape des Malveilleurs; Pataugastrique; Vigoureux majeur; Chanceux majeur; Nomade; Érudit majeur; Remueur; Muldo Indigo</t>
        </is>
      </c>
    </row>
    <row r="24761">
      <c r="A24761" t="inlineStr">
        <is>
          <t>Eau-air</t>
        </is>
      </c>
      <c r="B24761">
        <f>HYPERLINK("https://www.dofusbook.net/fr/equipement/197498-eau-air/objets", "link")</f>
        <v/>
      </c>
      <c r="C24761" t="n">
        <v>0</v>
      </c>
      <c r="D24761" t="inlineStr">
        <is>
          <t>Arc de Koutoulou; Amulette du Strigide; Alliance Gloursonne; Bracelet du Piloztère; Bouclier Taverne; Ceintacé; Némès de Tal Kasha; Chevelure de Tal Kasha; Sandales  d'Atcham; Dokoko; Dofus des Glaces; Dofus Turquoise; Dofus Ocre; Nomade; Vigoureux majeur; Kramkram</t>
        </is>
      </c>
    </row>
    <row r="24762">
      <c r="A24762" t="inlineStr">
        <is>
          <t>Full eau</t>
        </is>
      </c>
      <c r="B24762">
        <f>HYPERLINK("https://www.dofusbook.net/fr/equipement/197499-full-eau/objets", "link")</f>
        <v/>
      </c>
      <c r="C24762" t="n">
        <v>0</v>
      </c>
      <c r="D24762" t="inlineStr">
        <is>
          <t>Rapière aux Glyphes; Amulette de Shokkoth; Alliance Gloursonne; Pikano; Bouclier précieux; Ceinture Glaciale; Kidibonnet; Cape du Sinistrofu; Bottes du Sinistrofu; Dofus Pourpre; Dévastateur Eau majeur; Remueur; Observateur; Chanceux majeur; Nomade; Muldo Indigo et Pourpre</t>
        </is>
      </c>
    </row>
    <row r="24763">
      <c r="A24763" t="inlineStr">
        <is>
          <t>Terre-air</t>
        </is>
      </c>
      <c r="B24763">
        <f>HYPERLINK("https://www.dofusbook.net/fr/equipement/197497-terre-air/objets", "link")</f>
        <v/>
      </c>
      <c r="C24763" t="n">
        <v>0</v>
      </c>
      <c r="D24763" t="inlineStr">
        <is>
          <t>Héqache; Amulette de Pol Ouatnos; Anneau des égarés; Alliance Gloursonne; Bouclier Taverne; Ceintouse; Chapoulpe; Cape du Kamasterisk; Baleinabottes; Dofus des Glaces; Dofus Émeraude; Dofus Turquoise; Dofus Pourpre; Remueur; Nomade; Dragodinde en armure</t>
        </is>
      </c>
    </row>
    <row r="24764">
      <c r="A24764" t="inlineStr">
        <is>
          <t>Sans exo</t>
        </is>
      </c>
      <c r="B24764">
        <f>HYPERLINK("https://www.dofusbook.net/fr/equipement/1492588-sans-exo/objets", "link")</f>
        <v/>
      </c>
      <c r="C24764" t="n">
        <v>0</v>
      </c>
      <c r="D24764" t="inlineStr">
        <is>
          <t>Marteau des Anciens Steamers; Amulette du Strigide; Anneau de Padgref; Alliance Gloursonne; Bouclier Taverne; Ceintacé; Coiffe d'Ogivol; Cape Matelassée; Bottes du Strigide; Dofus Turquoise; Dofus des Glaces; Cascadeur majeur; Nomade; Vigoureux majeur; Remueur; Muldo Ebène</t>
        </is>
      </c>
    </row>
    <row r="24765">
      <c r="A24765" t="inlineStr">
        <is>
          <t>Terre 200</t>
        </is>
      </c>
      <c r="B24765">
        <f>HYPERLINK("https://www.dofusbook.net/fr/equipement/1492571-terre-200/objets", "link")</f>
        <v/>
      </c>
      <c r="C24765" t="n">
        <v>0</v>
      </c>
      <c r="D24765" t="inlineStr">
        <is>
          <t>Dagues d'Ilyzaelle; Amulette du Strigide; Anneau de Brouce; Bracelet du Piloztère; Bouclier du Captain Amakna; Ceinture Gence; Chapeau de Gein; Voile d'encre; Bottes de Brouce; Dofus des Glaces; Dofus Pourpre; Dofus Ocre; Dofus Turquoise; Enragé majeur; Nomade; Kompost</t>
        </is>
      </c>
    </row>
    <row r="24766">
      <c r="A24766" t="inlineStr">
        <is>
          <t>Stuff 2</t>
        </is>
      </c>
      <c r="B24766">
        <f>HYPERLINK("https://www.dofusbook.net/fr/equipement/197501-stuff-2/objets", "link")</f>
        <v/>
      </c>
      <c r="C24766" t="n">
        <v>0</v>
      </c>
      <c r="D24766" t="inlineStr">
        <is>
          <t>Harpelle; Amulette de Nileza; Chevalière du Roi Joueur; Anneau Tique; Bouclier Terrdala; Ceinture de Vortex; Cagoule de Vortex; Voile d'encre; Pataugastrique; Dofus Émeraude; Dofus des Glaces; Érudit majeur; Nomade; Remueur; Étourdisseur majeur; Dragodinde en armure</t>
        </is>
      </c>
    </row>
    <row r="24767">
      <c r="A24767" t="inlineStr">
        <is>
          <t>Stuff 2</t>
        </is>
      </c>
      <c r="B24767">
        <f>HYPERLINK("https://www.dofusbook.net/fr/equipement/197492-stuff-2/objets", "link")</f>
        <v/>
      </c>
      <c r="C24767" t="n">
        <v>0</v>
      </c>
      <c r="D24767" t="inlineStr">
        <is>
          <t>Harpelle; Amulette de Nileza; Chevalière du Roi Joueur; Anneau Tique; Ceinture de Vortex; Coiffe Séculaire; Voile d'encre; Pataugastrique; Dofus des Glaces; Dofus Pourpre; Dofus Émeraude; Nomade; Érudit majeur; Remueur; El Scarador</t>
        </is>
      </c>
    </row>
    <row r="24768">
      <c r="A24768" t="inlineStr">
        <is>
          <t>Stuff 3</t>
        </is>
      </c>
      <c r="B24768">
        <f>HYPERLINK("https://www.dofusbook.net/fr/equipement/197502-stuff-3/objets", "link")</f>
        <v/>
      </c>
      <c r="C24768" t="n">
        <v>0</v>
      </c>
      <c r="D24768" t="inlineStr">
        <is>
          <t>Baguette de Malléfisk; Amulette de Nileza; Anneau de Nidas; Anneau Tique; Carapar; Ceinture de Vortex; Cagoule de Vortex; Voile d'encre; Pataugastrique; Dofus Émeraude; Étourdisseur majeur; Remueur; Érudit majeur; Savant majeur; Nomade; Croum</t>
        </is>
      </c>
    </row>
    <row r="24769">
      <c r="A24769" t="inlineStr">
        <is>
          <t>Stuff 3</t>
        </is>
      </c>
      <c r="B24769">
        <f>HYPERLINK("https://www.dofusbook.net/fr/equipement/197508-stuff-3/objets", "link")</f>
        <v/>
      </c>
      <c r="C24769" t="n">
        <v>0</v>
      </c>
      <c r="D24769" t="inlineStr">
        <is>
          <t>Hache du Chalœil; Amulette du Strigide; Bracelet du Piloztère; Alliance Gloursonne; Ceintacé; Casque du Chalœil; Voile d'encre; Bottes du Strigide; Dofus des Glaces; Dofus Turquoise; Dolmanax; Nomade; Miraculé majeur; Remueur; Kramkram</t>
        </is>
      </c>
    </row>
    <row r="24770">
      <c r="A24770" t="inlineStr">
        <is>
          <t>Stuff 1</t>
        </is>
      </c>
      <c r="B24770">
        <f>HYPERLINK("https://www.dofusbook.net/fr/equipement/197500-stuff-1/objets", "link")</f>
        <v/>
      </c>
      <c r="C24770" t="n">
        <v>0</v>
      </c>
      <c r="D24770" t="inlineStr">
        <is>
          <t>Héqache; Amulette du Strigide; Anneau Crustique; Alliance Gloursonne; Ceintouse; Chapoulpe; Cape du Kamasterisk; Baleinabottes; Dofus Pourpre; Dofus Émeraude; Dofus des Glaces; Dofus Turquoise; Remueur; Nomade; Dragodinde en armure</t>
        </is>
      </c>
    </row>
    <row r="24771">
      <c r="A24771" t="inlineStr">
        <is>
          <t>Stuff 2</t>
        </is>
      </c>
      <c r="B24771">
        <f>HYPERLINK("https://www.dofusbook.net/fr/equipement/197495-stuff-2/objets", "link")</f>
        <v/>
      </c>
      <c r="C24771" t="n">
        <v>0</v>
      </c>
      <c r="D24771" t="inlineStr">
        <is>
          <t>Manthache; Collier du Valet Veinard; Gant du Valet Veinard; Alliance Gloursonne; Menoture; Couronne d'Allister; Cape Indescriptible; Palmes Trithons; Dolmanax; Dofus Pourpre; Dévastateur Air majeur; Remueur; Cascadeur majeur; Nomade; Kramkram</t>
        </is>
      </c>
    </row>
    <row r="24772">
      <c r="A24772" t="inlineStr">
        <is>
          <t>Stuff 1</t>
        </is>
      </c>
      <c r="B24772">
        <f>HYPERLINK("https://www.dofusbook.net/fr/equipement/197491-stuff-1/objets", "link")</f>
        <v/>
      </c>
      <c r="C24772" t="n">
        <v>0</v>
      </c>
      <c r="D24772" t="inlineStr">
        <is>
          <t>Dagoulinantes; Collier de la Dame du Hasard; Bracelet des Fonds marins; Alliance Gloursonne; Bouclier précieux; Poulpagne; Casquette de Meno; Cape de la Dame du Hasard; Bottes du Sinistrofu; Dofus Abyssal; Dofus Ocre; Dofus Émeraude; Dofus Pourpre; Nomade; Chanceux majeur; Dragodinde en armure</t>
        </is>
      </c>
    </row>
    <row r="24773">
      <c r="A24773" t="inlineStr">
        <is>
          <t>Steamer M 200</t>
        </is>
      </c>
      <c r="B24773">
        <f>HYPERLINK("https://www.dofusbook.net/fr/equipement/5992515-steamer-m-200/objets", "link")</f>
        <v/>
      </c>
      <c r="C24773" t="n">
        <v>0</v>
      </c>
      <c r="D24773" t="inlineStr">
        <is>
          <t>Baguette de Torkélonia; Amulette du Strigide; Bague Gloursonne; Alliance Gloursonne; Quatre-feuilles; Ceinture du Strigide; Corne de Torkélonia; Carapace de Torkélonia; Bottes du Strigide; Dofus Ocre; Dofus Pourpre; Dofus Nébuleux; Dofus Turquoise; Dofus Vulbis; Kokulte</t>
        </is>
      </c>
    </row>
    <row r="24774">
      <c r="A24774" t="inlineStr">
        <is>
          <t>Sram M 200</t>
        </is>
      </c>
      <c r="B24774">
        <f>HYPERLINK("https://www.dofusbook.net/fr/equipement/5506140-sram-m-200/objets", "link")</f>
        <v/>
      </c>
      <c r="C24774" t="n">
        <v>3</v>
      </c>
      <c r="D24774" t="inlineStr">
        <is>
          <t>Arc de Koutoulou; Alliance Gloursonne; Anneau Volkorne; Bouclier du Stalak; Ceinture Voldelor; Némès de Tal Kasha; Chevelure de Tal Kasha; Sandales de Tal Kasha; Dofus Ivoire; Dofus Pourpre; Dofus Ébène; Dofus Nébuleux; Dofus Abyssal; Remueur; Dragodinde Amande et Ivoire</t>
        </is>
      </c>
    </row>
    <row r="24775">
      <c r="A24775" t="inlineStr">
        <is>
          <t>Terre Feu</t>
        </is>
      </c>
      <c r="B24775">
        <f>HYPERLINK("https://www.dofusbook.net/fr/equipement/5441850-terre-feu/objets", "link")</f>
        <v/>
      </c>
      <c r="C24775" t="n">
        <v>0</v>
      </c>
      <c r="D24775" t="inlineStr">
        <is>
          <t>Dagues Érhy; Amulette de Gein; Chevalière du Roi Joueur; Bague Gloursonne; Bouclier du Captain Amakna; Ceinture de Gein; Chapeau de Gein; Voile d'encre; Bottes du Roi Joueur; Dofus Nébuleux; Dofus Abyssal; Dofus Turquoise; Dofus Ivoire; Dofus Pourpre; Dofus Ébène; Cromeugnon</t>
        </is>
      </c>
    </row>
    <row r="24776">
      <c r="A24776" t="inlineStr">
        <is>
          <t>Sram M 200</t>
        </is>
      </c>
      <c r="B24776">
        <f>HYPERLINK("https://www.dofusbook.net/fr/equipement/5492413-sram-m-200/objets", "link")</f>
        <v/>
      </c>
      <c r="C24776" t="n">
        <v>1</v>
      </c>
      <c r="D24776" t="inlineStr">
        <is>
          <t>Amulette Volkorne; Anneau Volkorne; Bivalve; Masque Paztek; Cape Paztek; Sandales Paztek; Dofus Pourpre; Dofus Ébène; Dofus Nébuleux; Dofus Ivoire; Dofus Abyssal; Robuste majeur</t>
        </is>
      </c>
    </row>
    <row r="24777">
      <c r="A24777" t="inlineStr">
        <is>
          <t>TFA Rezo</t>
        </is>
      </c>
      <c r="B24777">
        <f>HYPERLINK("https://www.dofusbook.net/fr/equipement/5365118-tfa-rezo/objets", "link")</f>
        <v/>
      </c>
      <c r="C24777" t="n">
        <v>7</v>
      </c>
      <c r="D24777" t="inlineStr">
        <is>
          <t>Marteau de Katrepat; Amulette Volkorne; Anneau Volkorne; Alliance Brûlâme; Bouclier du Stalak; Ceinture Volkorne; Masque Brûlâme; Cape de Diondin; Pompes Funèbres; Dofus Ébène; Dofus Nébuleux; Dofus Abyssal; Dofus Pourpre; Dofus Ivoire; Dofus des Glaces; Dragodinde Ebène et Ivoire</t>
        </is>
      </c>
    </row>
    <row r="24778">
      <c r="A24778" t="inlineStr">
        <is>
          <t>Saigneur</t>
        </is>
      </c>
      <c r="B24778">
        <f>HYPERLINK("https://www.dofusbook.net/fr/equipement/5343445-saigneur/objets", "link")</f>
        <v/>
      </c>
      <c r="C24778" t="n">
        <v>2</v>
      </c>
      <c r="D24778" t="inlineStr">
        <is>
          <t>Epée Maudite du Saigneur Guerrier; Amulette du Strigide; Alliance de Missiz Frizz; Anneau Volkorne; Bouclier du Captain Amakna; Ceinture du Strigide; Casque Volkorne; Chevelure de Tal Kasha; Bottes du Strigide; Dofus Nébuleux; Dofus Pourpre; Dofus des Glaces; Dofus Vulbis; Dofus Turquoise; Dofus Ocre; Kokulte</t>
        </is>
      </c>
    </row>
    <row r="24779">
      <c r="A24779" t="inlineStr">
        <is>
          <t>Full Terre</t>
        </is>
      </c>
      <c r="B24779">
        <f>HYPERLINK("https://www.dofusbook.net/fr/equipement/5391481-full-terre/objets", "link")</f>
        <v/>
      </c>
      <c r="C24779" t="n">
        <v>7</v>
      </c>
      <c r="D24779" t="inlineStr">
        <is>
          <t>Dagues d'Ilyzaelle; Amulette du Strigide; Anneau Crustique; Anneau de Brouce; Bouclier du Captain Amakna; Ceinture de Brouce; Masque de Koutoulou; Cape au Logis; Bottes de Brouce; Dofus Ivoire; Dofus Turquoise; Dofus Ébène; Dofus Nébuleux; Dofus Abyssal; Dofus Pourpre; Pioute vert</t>
        </is>
      </c>
    </row>
    <row r="24780">
      <c r="A24780" t="inlineStr">
        <is>
          <t>Multi sans ocre</t>
        </is>
      </c>
      <c r="B24780">
        <f>HYPERLINK("https://www.dofusbook.net/fr/equipement/5161189-multi-sans-ocre/objets", "link")</f>
        <v/>
      </c>
      <c r="C24780" t="n">
        <v>8</v>
      </c>
      <c r="D24780" t="inlineStr">
        <is>
          <t>Amulette du Strigide; Bracelet du Piloztère; Anneau Volkorne; Bouclier du Captain Amakna; Ceinture du Strigide; Casque Volkorne; Cape des Justiciers; Bottes du Strigide; Dofus Ébène; Dofus Nébuleux; Dofus Ivoire; Dofus Turquoise; Dofus Pourpre; Dofus Abyssal; Muldo Doré et Emeraude</t>
        </is>
      </c>
    </row>
    <row r="24781">
      <c r="A24781" t="inlineStr">
        <is>
          <t>Terre Air Crit</t>
        </is>
      </c>
      <c r="B24781">
        <f>HYPERLINK("https://www.dofusbook.net/fr/equipement/5342607-terre-air-crit/objets", "link")</f>
        <v/>
      </c>
      <c r="C24781" t="n">
        <v>2</v>
      </c>
      <c r="D24781" t="inlineStr">
        <is>
          <t>Héqache; Amulette du Strigide; Bracelet du Piloztère; Alliance Brûlâme; Quatre-feuilles; Ceinture du Strigide; Corne de Torkélonia; Carapace de Torkélonia; Bottes du Strigide; Dofus Ocre; Dofus Nébuleux; Dofus Ébène; Dofus Turquoise; Dofus Vulbis; Dofus Ivoire; Kokulte</t>
        </is>
      </c>
    </row>
    <row r="24782">
      <c r="A24782" t="inlineStr">
        <is>
          <t>StuffPP</t>
        </is>
      </c>
      <c r="B24782">
        <f>HYPERLINK("https://www.dofusbook.net/fr/equipement/5375782-stuffpp/objets", "link")</f>
        <v/>
      </c>
      <c r="C24782" t="n">
        <v>0</v>
      </c>
      <c r="D24782" t="inlineStr">
        <is>
          <t>Pelle Fik; Amulette Cætera; Anneau Bliteré; Anneau Tique; Ceinture de Danathor; Casque Harnage; Cape du Minotot; Bottines des sous-bois; Dofus Kaliptus; Joueur majeur; Nomade; Taquin majeur; Remueur; Chanceux majeur; Nomoon</t>
        </is>
      </c>
    </row>
    <row r="24783">
      <c r="A24783" t="inlineStr">
        <is>
          <t>FullWater</t>
        </is>
      </c>
      <c r="B24783">
        <f>HYPERLINK("https://www.dofusbook.net/fr/equipement/5343029-fullwater/objets", "link")</f>
        <v/>
      </c>
      <c r="C24783" t="n">
        <v>5</v>
      </c>
      <c r="D24783" t="inlineStr">
        <is>
          <t>Amulette du Strigide; Bracelet des Fonds marins; Anneau Volkorne; Quatre-feuilles; Ceinture du Strigide; Kidibonnet; Cape Solution; Bottes Voldelor; Dofus Pourpre; Dofus Turquoise; Dofus Abyssal; Vigoureux majeur; Chanceux majeur; Nomade; Dehluge</t>
        </is>
      </c>
    </row>
    <row r="24784">
      <c r="A24784" t="inlineStr">
        <is>
          <t>Multi res</t>
        </is>
      </c>
      <c r="B24784">
        <f>HYPERLINK("https://www.dofusbook.net/fr/equipement/5179187-multi-res/objets", "link")</f>
        <v/>
      </c>
      <c r="C24784" t="n">
        <v>7</v>
      </c>
      <c r="D24784" t="inlineStr">
        <is>
          <t>Epée Maudite du Saigneur Guerrier; Amulette du Strigide; Anneau Volkorne; Bracelet du Piloztère; Bouclier du Captain Amakna; Ceinture du Strigide; Casque Volkorne; Voile d'encre; Bottes du Strigide; Dofus Vulbis; Dofus Nébuleux; Dofus Ivoire; Dofus Turquoise; Dofus Ébène; Dofus Ocre; El Scarador</t>
        </is>
      </c>
    </row>
    <row r="24785">
      <c r="A24785" t="inlineStr">
        <is>
          <t>Soutient</t>
        </is>
      </c>
      <c r="B24785">
        <f>HYPERLINK("https://www.dofusbook.net/fr/equipement/5345850-soutient/objets", "link")</f>
        <v/>
      </c>
      <c r="C24785" t="n">
        <v>1</v>
      </c>
      <c r="D24785" t="inlineStr">
        <is>
          <t>Baguette de Malléfisk; Amulette d'Otomaï; Anneauræus; Anneauræus; Carapar; Ceinture Séculaire; Coiffe Séculaire; Cape de Diondin; Bottes Honyme; Dofus Turquoise; Docteur majeur; Astucieux majeur; Nomade; Guérisseur majeur; Érudit majeur; Dragodinde Orchidée et Rousse</t>
        </is>
      </c>
    </row>
    <row r="24786">
      <c r="A24786" t="inlineStr">
        <is>
          <t>Overtank</t>
        </is>
      </c>
      <c r="B24786">
        <f>HYPERLINK("https://www.dofusbook.net/fr/equipement/5251005-overtank/objets", "link")</f>
        <v/>
      </c>
      <c r="C24786" t="n">
        <v>5</v>
      </c>
      <c r="D24786" t="inlineStr">
        <is>
          <t>Rouleau à Pâtisserie d'Aermyne; Collier Rophante; Bague Trithon; Anneau Tique; Trompe-la-Mort; Ceinture de Dame Jhessica; Casque Dragoeuf; Cape d'Aermyne; Pataugastrique; Dofus Ivoire; Dofus Émeraude; Dokoko; Dofus Argenté; Remueur; Carapace Feu majeur; Givrefoux</t>
        </is>
      </c>
    </row>
    <row r="24787">
      <c r="A24787" t="inlineStr">
        <is>
          <t>Multi tank</t>
        </is>
      </c>
      <c r="B24787">
        <f>HYPERLINK("https://www.dofusbook.net/fr/equipement/2101958-multi-tank/objets", "link")</f>
        <v/>
      </c>
      <c r="C24787" t="n">
        <v>13</v>
      </c>
      <c r="D24787" t="inlineStr">
        <is>
          <t>Marteau des égarés; Amulette du Strigide; Anneau Tique; Baguistik; Goulclier; Ceinture du Strigide; Casque du Chalœil; Cape du Chalœil; Bottes du Chalœil; Dofus Pourpre; Dokoko; Dofus Ivoire; Dofus Abyssal; Dofus Ébène; Dofus Ocre; Muldo Doré et Orchidée</t>
        </is>
      </c>
    </row>
    <row r="24788">
      <c r="A24788" t="inlineStr">
        <is>
          <t>stuff 41</t>
        </is>
      </c>
      <c r="B24788">
        <f>HYPERLINK("https://www.dofusbook.net/fr/equipement/1346233-stuff-41/objets", "link")</f>
        <v/>
      </c>
      <c r="C24788" t="n">
        <v>0</v>
      </c>
      <c r="D24788" t="inlineStr">
        <is>
          <t>Hache du Chalœil; Amulette du Strigide; Bracelet du Piloztère; Alliance de Missiz Frizz; Bouclier du Captain Amakna; Ceinture du Strigide; Coiffe du Lévitrof; Cape des Justiciers; Chaussures Hau; Dofus Turquoise; Dofus Pourpre; Remueur; Puissant majeur; Nomade; Vigoureux majeur; Muldo Prune et Emeraude</t>
        </is>
      </c>
    </row>
    <row r="24789">
      <c r="A24789" t="inlineStr">
        <is>
          <t>Stuff 3</t>
        </is>
      </c>
      <c r="B24789">
        <f>HYPERLINK("https://www.dofusbook.net/fr/equipement/214622-stuff-3/objets", "link")</f>
        <v/>
      </c>
      <c r="C24789" t="n">
        <v>0</v>
      </c>
      <c r="D24789" t="inlineStr">
        <is>
          <t>Sabres d'Atcham; Amulette du Strigide; Anneau de Padgref; Bracelet du Piloztère; Ceinture du Strigide; Masque du Glourséleste; Cape des Justiciers; Bottes des Malveilleurs; Dofus Turquoise; Dofus Pourpre; Dolmanax; Vigoureux majeur; Nomade; Remueur; Muldo Prune et Emeraude</t>
        </is>
      </c>
    </row>
    <row r="24790">
      <c r="A24790" t="inlineStr">
        <is>
          <t>Stuff 2</t>
        </is>
      </c>
      <c r="B24790">
        <f>HYPERLINK("https://www.dofusbook.net/fr/equipement/214621-stuff-2/objets", "link")</f>
        <v/>
      </c>
      <c r="C24790" t="n">
        <v>0</v>
      </c>
      <c r="D24790" t="inlineStr">
        <is>
          <t>Canne Harr; Amulette du Strigide; Bracelet du Piloztère; Anneau de Padgref; Bouclier du Captain Amakna; Ceinture du Strigide; Coiffe de Padgref; Cape des Justiciers; Getas de Padgref; Dofus Turquoise; Dofus Émeraude; Dofus Pourpre; Acrobate majeur; Puissant majeur; Voyageur; Phorror</t>
        </is>
      </c>
    </row>
    <row r="24791">
      <c r="A24791" t="inlineStr">
        <is>
          <t>Stuff 1</t>
        </is>
      </c>
      <c r="B24791">
        <f>HYPERLINK("https://www.dofusbook.net/fr/equipement/214620-stuff-1/objets", "link")</f>
        <v/>
      </c>
      <c r="C24791" t="n">
        <v>0</v>
      </c>
      <c r="D24791" t="inlineStr">
        <is>
          <t>Dagues Érhy; Amulette du Strigide; Bracelet du Piloztère; Anneau de Padgref; Ceinture du Strigide; Masque du Katcheur; Cape des Justiciers; Bottes du Cycloïde; Dofus Turquoise; Dolmanax; Dofus Pourpre; Remueur; Vigoureux majeur; Nomade; Muldo Prune et Emeraude</t>
        </is>
      </c>
    </row>
    <row r="24792">
      <c r="A24792" t="inlineStr">
        <is>
          <t>feu terre</t>
        </is>
      </c>
      <c r="B24792">
        <f>HYPERLINK("https://www.dofusbook.net/fr/equipement/1399588-feu-terre-/objets", "link")</f>
        <v/>
      </c>
      <c r="C24792" t="n">
        <v>23</v>
      </c>
      <c r="D24792" t="inlineStr">
        <is>
          <t>Arc Hétype; Amulette Volkorne; Chevalière du Roi Joueur; Bague Gloursonne; Quatre-feuilles; Ceinture Volkorne; Couronne du Roi Joueur; Voile d'encre; Bottes du Roi Joueur; Dofus Ébène; Dofus Ivoire; Dofus Ocre; Dofus Pourpre; Dofus Émeraude; Voyageur; Dragodinde Orchidée et Pourpre</t>
        </is>
      </c>
    </row>
    <row r="24793">
      <c r="A24793" t="inlineStr">
        <is>
          <t>ret tacle</t>
        </is>
      </c>
      <c r="B24793">
        <f>HYPERLINK("https://www.dofusbook.net/fr/equipement/4975006-ret-tacle/objets", "link")</f>
        <v/>
      </c>
      <c r="C24793" t="n">
        <v>8</v>
      </c>
      <c r="D24793" t="inlineStr">
        <is>
          <t>Marteau R'ture; Collier de Tourthon; Anneau Chevelu; Bague Gloursonne; Bouclier alvéolé; Ceintouse; Chapeau de Gein; Cape au Logis; Tentassons; Dofus Ocre; Dofus Ivoire; Dofus Émeraude; Dofus Ébène; Remueur; Nomade; Drakopin</t>
        </is>
      </c>
    </row>
    <row r="24794">
      <c r="A24794" t="inlineStr">
        <is>
          <t>full terre</t>
        </is>
      </c>
      <c r="B24794">
        <f>HYPERLINK("https://www.dofusbook.net/fr/equipement/4733168-full-terre/objets", "link")</f>
        <v/>
      </c>
      <c r="C24794" t="n">
        <v>13</v>
      </c>
      <c r="D24794" t="inlineStr">
        <is>
          <t>Marteau R'ture; Amulette du Cœur Saignant; Bague Gloursonne; Anneau Chevelu; Cadran d'Eau; Ceinture Volkorne; Masque de Koutoulou; Cape au Logis; Bottes du Cœur Saignant; Dofus Émeraude; Dofus Pourpre; Dofus Ivoire; Dofus Ébène; Remueur; Nomade; Dragodinde Ivoire et Pourpre</t>
        </is>
      </c>
    </row>
    <row r="24795">
      <c r="A24795" t="inlineStr">
        <is>
          <t>force</t>
        </is>
      </c>
      <c r="B24795">
        <f>HYPERLINK("https://www.dofusbook.net/fr/equipement/5835056-force/objets", "link")</f>
        <v/>
      </c>
      <c r="C24795" t="n">
        <v>3</v>
      </c>
      <c r="D24795" t="inlineStr">
        <is>
          <t>Marteau R'ture; Amulette du Cœur Saignant; Anneau Chevelu; Bague Gloursonne; Cadran d'Eau; Ceinture Volkorne; Masque de Koutoulou; Cape au Logis; Bottes du Cœur Saignant; Dofus Pourpre; Dofus Ivoire; Dofus Ébène; Dofus Émeraude; Nomade; Remueur; Dragodinde Ivoire et Pourpre</t>
        </is>
      </c>
    </row>
    <row r="24796">
      <c r="A24796" t="inlineStr">
        <is>
          <t>Steamer M 200</t>
        </is>
      </c>
      <c r="B24796">
        <f>HYPERLINK("https://www.dofusbook.net/fr/equipement/5996686-steamer-m-200/objets", "link")</f>
        <v/>
      </c>
      <c r="C24796" t="n">
        <v>0</v>
      </c>
      <c r="D24796" t="inlineStr">
        <is>
          <t>Baguette de Torkélonia; Amulette du Strigide; Bracelet du Piloztère; Bague Trithon; Quatre-feuilles; Ceinture du Strigide; Masque Trithon; Carapace de Torkélonia; Bottes Trithon; Dofus Turquoise; Dofus Ébène; Dofus Ocre; Dofus des Glaces; Dofus Ivoire; Voyageur; Muldo Prune et Emeraude</t>
        </is>
      </c>
    </row>
    <row r="24797">
      <c r="A24797" t="inlineStr">
        <is>
          <t>multi cc</t>
        </is>
      </c>
      <c r="B24797">
        <f>HYPERLINK("https://www.dofusbook.net/fr/equipement/5967284-multi-cc/objets", "link")</f>
        <v/>
      </c>
      <c r="C24797" t="n">
        <v>0</v>
      </c>
      <c r="D24797" t="inlineStr">
        <is>
          <t>Epée Maudite du Saigneur Guerrier; Amulette du Strigide; Bracelet du Piloztère; Bague Trithon; Quatre-feuilles; Ceinture du Strigide; Masque Trithon; Chevelure de Tal Kasha; Bottes Trithon; Dofus des Glaces; Dofus Ocre; Dofus Nébuleux; Dofus Pourpre; Dofus Ivoire; Dofus Turquoise; Muldo Prune et Emeraude</t>
        </is>
      </c>
    </row>
    <row r="24798">
      <c r="A24798" t="inlineStr">
        <is>
          <t>multi</t>
        </is>
      </c>
      <c r="B24798">
        <f>HYPERLINK("https://www.dofusbook.net/fr/equipement/5924740-multi-/objets", "link")</f>
        <v/>
      </c>
      <c r="C24798" t="n">
        <v>5</v>
      </c>
      <c r="D24798" t="inlineStr">
        <is>
          <t>Epée Maudite du Saigneur Guerrier; Amulette du Strigide; Bague Trithon; Bracelet du Piloztère; Quatre-feuilles; Ceinture du Strigide; Masque Trithon; Chevelure de Tal Kasha; Bottes Trithon; Dofus Pourpre; Dofus Ivoire; Dofus Turquoise; Dofus des Glaces; Dofus Ocre; Dofus Nébuleux; Muldo Prune et Emeraude</t>
        </is>
      </c>
    </row>
    <row r="24799">
      <c r="A24799" t="inlineStr">
        <is>
          <t>feu</t>
        </is>
      </c>
      <c r="B24799">
        <f>HYPERLINK("https://www.dofusbook.net/fr/equipement/5924581-feu/objets", "link")</f>
        <v/>
      </c>
      <c r="C24799" t="n">
        <v>0</v>
      </c>
      <c r="D24799" t="inlineStr">
        <is>
          <t>Plumeau Bil; Pendentif affamé; Anneauræus; Anneauræus; Bouclier du Stalak; Ceinture Séculaire; Coiffe Séculaire; Cape de Diondin; Pataugastrique; Voyageur; Remueur; Érudit majeur; Savant majeur; Nomade; Bisouglours</t>
        </is>
      </c>
    </row>
    <row r="24800">
      <c r="A24800" t="inlineStr">
        <is>
          <t>ret</t>
        </is>
      </c>
      <c r="B24800">
        <f>HYPERLINK("https://www.dofusbook.net/fr/equipement/1399585-ret/objets", "link")</f>
        <v/>
      </c>
      <c r="C24800" t="n">
        <v>3</v>
      </c>
      <c r="D24800" t="inlineStr">
        <is>
          <t>Hachoirs de Viandargh; Amulette des Chocomanciens; Alliance Gloursonne; Gant du Valet Veinard; Bouclier cubiste; Menoture; Chapibou; Capibou; Bottes du Kamasterisk; Remueur; Temporiseur majeur; Ralentisseur majeur; Entraveur majeur; Nomade; Voyageur; Blokus</t>
        </is>
      </c>
    </row>
    <row r="24801">
      <c r="A24801" t="inlineStr">
        <is>
          <t>feu</t>
        </is>
      </c>
      <c r="B24801">
        <f>HYPERLINK("https://www.dofusbook.net/fr/equipement/5122786-feu/objets", "link")</f>
        <v/>
      </c>
      <c r="C24801" t="n">
        <v>2</v>
      </c>
      <c r="D24801" t="inlineStr">
        <is>
          <t>Plumeau Bil; Pendentif affamé; Anneauræus; Anneauræus; Bouclier du Cycloïde; Ceinture Séculaire; Coiffe Séculaire; Cape de Diondin; Pataugastrique; Érudit majeur; Guérisseur majeur; Nomade; Savant majeur; Voyageur; Remueur; Bisouglours</t>
        </is>
      </c>
    </row>
    <row r="24802">
      <c r="A24802" t="inlineStr">
        <is>
          <t>Steamer M 200 do pou</t>
        </is>
      </c>
      <c r="B24802">
        <f>HYPERLINK("https://www.dofusbook.net/fr/equipement/3819199-steamer-m-200-do-pou/objets", "link")</f>
        <v/>
      </c>
      <c r="C24802" t="n">
        <v>1</v>
      </c>
      <c r="D24802" t="inlineStr">
        <is>
          <t>Arc du Chalœil; Torquistik; Bague Instable; Bague Trithon; Bouclier précieux; Sangle Ouare; Casque Dragoeuf; Cape Solution; Bottistik; Dofus Abyssal; Dofus Ivoire; Culbuteur; Bousculeur majeur; Remueur; Culbuteur majeur; Tatouf</t>
        </is>
      </c>
    </row>
    <row r="24803">
      <c r="A24803" t="inlineStr">
        <is>
          <t>Roublard terre eau</t>
        </is>
      </c>
      <c r="B24803">
        <f>HYPERLINK("https://www.dofusbook.net/fr/equipement/3996533-roublard-terre-eau/objets", "link")</f>
        <v/>
      </c>
      <c r="C24803" t="n">
        <v>1</v>
      </c>
      <c r="D24803" t="inlineStr">
        <is>
          <t>Baguette des égarés; Amulette du Nocturlabe; Bracelet du Piloztère; Anneau Volkorne; Bouclier du Stalak; Ceinture Volkorne; Masque de Funespadon; Cape des Justiciers; Bottes du Nocturlabe; Dofus Pourpre; Dofus Abyssal; Dofus Ocre; Dofus Ivoire; Dofus Vulbis; Dofus des Glaces; Dragodinde Indigo et Pourpre</t>
        </is>
      </c>
    </row>
    <row r="24804">
      <c r="A24804" t="inlineStr">
        <is>
          <t>roub eau air</t>
        </is>
      </c>
      <c r="B24804">
        <f>HYPERLINK("https://www.dofusbook.net/fr/equipement/199751-roub-eau-air/objets", "link")</f>
        <v/>
      </c>
      <c r="C24804" t="n">
        <v>0</v>
      </c>
      <c r="D24804" t="inlineStr">
        <is>
          <t>Arc de Koutoulou; Amulette d'Ilyzaelle; Alliance Gloursonne; Anneau Volkorne; Bouclier du Stalak; Ceinture de la Reine des Voleurs; Casque Volkorne; Voilamibe; Bottes de la Reine des Voleurs; Dofus Pourpre; Dofus Ivoire; Dokoko; Dofus Ocre; Dolmanax; Dofus des Glaces; Volkorne Indigo et Ebène</t>
        </is>
      </c>
    </row>
    <row r="24805">
      <c r="A24805" t="inlineStr">
        <is>
          <t>Huppermage do pou</t>
        </is>
      </c>
      <c r="B24805">
        <f>HYPERLINK("https://www.dofusbook.net/fr/equipement/3980823-huppermage-do-pou/objets", "link")</f>
        <v/>
      </c>
      <c r="C24805" t="n">
        <v>0</v>
      </c>
      <c r="D24805" t="inlineStr">
        <is>
          <t>Rouleau à Pâtisserie d'Aermyne; Torquistik; Bague Instable; Bouclier précieux; Ceinture Gence; Casque Dragoeuf; Cape Solution; Bottistik; Dofus Abyssal; Dofus Ivoire; Culbuteur majeur; Culbuteur; Bousculeur majeur; Remueur; Balafreux</t>
        </is>
      </c>
    </row>
    <row r="24806">
      <c r="A24806" t="inlineStr">
        <is>
          <t>Enutrof M 200</t>
        </is>
      </c>
      <c r="B24806">
        <f>HYPERLINK("https://www.dofusbook.net/fr/equipement/3948490-enutrof-m-200/objets", "link")</f>
        <v/>
      </c>
      <c r="C24806" t="n">
        <v>11</v>
      </c>
      <c r="D24806" t="inlineStr">
        <is>
          <t>Lance Horselé; Collier du Valet Veinard; Alliance Gloursonne; Gant du Valet Veinard; Cadran d'Air; Menoture; Dorabysses; Cape du Kamasterisk; Palmes Trithons; Dofus Ivoire; Dofus Ocre; Dofus Abyssal; Nomade; Cascadeur majeur; Étourdisseur majeur; Dragoune Rose</t>
        </is>
      </c>
    </row>
    <row r="24807">
      <c r="A24807" t="inlineStr">
        <is>
          <t>Stuff 3</t>
        </is>
      </c>
      <c r="B24807">
        <f>HYPERLINK("https://www.dofusbook.net/fr/equipement/199710-stuff-3/objets", "link")</f>
        <v/>
      </c>
      <c r="C24807" t="n">
        <v>3</v>
      </c>
      <c r="D24807" t="inlineStr">
        <is>
          <t>Arc du Chalœil; Collier de Tourthon; Anneau Crustique; Anneau de Brouce; Bouclier du Stalak; Ceinture de la Reine des Voleurs; Coiffe de la Reine des Voleurs; Voile d'encre; Bottes Honyme; Dokoko; Dofus Abyssal; Dofus Pourpre; Dofus des Glaces; Enragé majeur; Remueur; Muldo Indigo et Pourpre</t>
        </is>
      </c>
    </row>
    <row r="24808">
      <c r="A24808" t="inlineStr">
        <is>
          <t>Stuff 1</t>
        </is>
      </c>
      <c r="B24808">
        <f>HYPERLINK("https://www.dofusbook.net/fr/equipement/199729-stuff-1/objets", "link")</f>
        <v/>
      </c>
      <c r="C24808" t="n">
        <v>0</v>
      </c>
      <c r="D24808" t="inlineStr">
        <is>
          <t>Hachoirs de Viandargh; Amulette du Cœur Vaillant; Gant du Valet Veinard; Alliance Gloursonne; Bouclier Taverne; Ceinture du Nocturlabe; Chapibou; Cape du Cœur Vaillant; Bottes du Cœur Vaillant; Dofus Ocre; Dofus Pourpre; Dofus Abyssal; Dofus Turquoise; Dofus Ivoire; Bousculeur majeur; Muldo Ebène</t>
        </is>
      </c>
    </row>
    <row r="24809">
      <c r="A24809" t="inlineStr">
        <is>
          <t>terre air do pou</t>
        </is>
      </c>
      <c r="B24809">
        <f>HYPERLINK("https://www.dofusbook.net/fr/equipement/2574672-terre-air-do-pou/objets", "link")</f>
        <v/>
      </c>
      <c r="C24809" t="n">
        <v>0</v>
      </c>
      <c r="D24809" t="inlineStr">
        <is>
          <t>Lance corrompue; Amulette du Cœur Vaillant; Alliance Gloursonne; Bague Gloursonne; Bouclier Taverne; Ceinture de la Reine des Voleurs; Coiffe de la Reine des Voleurs; Cape du Cœur Vaillant; Bottes du Cœur Vaillant; Dofus Ocre; Dofus Ivoire; Dofus des Glaces; Dofus Pourpre; Dofus Abyssal; Bousculeur majeur; Muldo Ebène</t>
        </is>
      </c>
    </row>
    <row r="24810">
      <c r="A24810" t="inlineStr">
        <is>
          <t>Stuff 1</t>
        </is>
      </c>
      <c r="B24810">
        <f>HYPERLINK("https://www.dofusbook.net/fr/equipement/199783-stuff-1/objets", "link")</f>
        <v/>
      </c>
      <c r="C24810" t="n">
        <v>0</v>
      </c>
      <c r="D24810" t="inlineStr">
        <is>
          <t>Arc de Koutoulou; Amulette du Strigide; Bracelet des Fonds marins; Alliance Gloursonne; Ceinture du Strigide; Némès de Tal Kasha; Chevelure de Tal Kasha; Sandales de Tal Kasha; Dofus Turquoise; Dofus Ocre; Dofus Pourpre; Dolmanax; Muldo Ebène et Indigo</t>
        </is>
      </c>
    </row>
    <row r="24811">
      <c r="A24811" t="inlineStr">
        <is>
          <t>Stuff 2</t>
        </is>
      </c>
      <c r="B24811">
        <f>HYPERLINK("https://www.dofusbook.net/fr/equipement/199736-stuff-2/objets", "link")</f>
        <v/>
      </c>
      <c r="C24811" t="n">
        <v>0</v>
      </c>
      <c r="D24811" t="inlineStr">
        <is>
          <t>Hache du Chalœil; Amulette du Strigide; Alliance Gloursonne; Bague Trithon; Quatre-feuilles; Ceinture du Strigide; Masque Trithon; Voile d'encre; Bottes Trithon; Dofus Pourpre; Dofus des Glaces; Dofus Turquoise; Dolmanax; Dofus Ocre; Muldo Orchidée et Pourpre</t>
        </is>
      </c>
    </row>
    <row r="24812">
      <c r="A24812" t="inlineStr">
        <is>
          <t>Stuff 3</t>
        </is>
      </c>
      <c r="B24812">
        <f>HYPERLINK("https://www.dofusbook.net/fr/equipement/199785-stuff-3/objets", "link")</f>
        <v/>
      </c>
      <c r="C24812" t="n">
        <v>0</v>
      </c>
      <c r="D24812" t="inlineStr"/>
    </row>
    <row r="24813">
      <c r="A24813" t="inlineStr">
        <is>
          <t>Stuff 2</t>
        </is>
      </c>
      <c r="B24813">
        <f>HYPERLINK("https://www.dofusbook.net/fr/equipement/199784-stuff-2/objets", "link")</f>
        <v/>
      </c>
      <c r="C24813" t="n">
        <v>0</v>
      </c>
      <c r="D24813" t="inlineStr">
        <is>
          <t>Dagoulinantes; Amulette de Shokkoth; Bracelet des Fonds marins; Alliance Gloursonne; Poulpagne; Casque Dragoeuf; Cape du Sinistrofu; Bottes du Sinistrofu; Dofus Émeraude; Dolmanax; Dofus Turquoise; Dofus Pourpre; Chanceux majeur; Remueur; Muldo Indigo et Pourpre</t>
        </is>
      </c>
    </row>
    <row r="24814">
      <c r="A24814" t="inlineStr">
        <is>
          <t>Stuff 1</t>
        </is>
      </c>
      <c r="B24814">
        <f>HYPERLINK("https://www.dofusbook.net/fr/equipement/199786-stuff-1/objets", "link")</f>
        <v/>
      </c>
      <c r="C24814" t="n">
        <v>0</v>
      </c>
      <c r="D24814" t="inlineStr">
        <is>
          <t>Hache du Chalœil; Amulette du Strigide; Alliance Gloursonne; Anneau de Padgref; Ceintacé; Chapeau Lisson; Voile d'encre; Bottes du Strigide; Dofus Pourpre; Dolmanax; Dofus Turquoise; Vigoureux majeur; Remueur; Muldo Orchidée et Pourpre</t>
        </is>
      </c>
    </row>
    <row r="24815">
      <c r="A24815" t="inlineStr">
        <is>
          <t>Stuff 2</t>
        </is>
      </c>
      <c r="B24815">
        <f>HYPERLINK("https://www.dofusbook.net/fr/equipement/199758-stuff-2/objets", "link")</f>
        <v/>
      </c>
      <c r="C24815" t="n">
        <v>0</v>
      </c>
      <c r="D24815" t="inlineStr">
        <is>
          <t>Rapière aux Glyphes; Amulette Cryochrone; Alliance Gloursonne; Pikano; Ceinture Glaciale; Kidibonnet; Cape de Kongoku; Pikottes; Dofus Pourpre; Nomade; Temporiseur majeur; Chanceux majeur; Remueur; Entraveur majeur; Kramkram</t>
        </is>
      </c>
    </row>
    <row r="24816">
      <c r="A24816" t="inlineStr">
        <is>
          <t>Stuff 3</t>
        </is>
      </c>
      <c r="B24816">
        <f>HYPERLINK("https://www.dofusbook.net/fr/equipement/199725-stuff-3/objets", "link")</f>
        <v/>
      </c>
      <c r="C24816" t="n">
        <v>0</v>
      </c>
      <c r="D24816" t="inlineStr">
        <is>
          <t>Manthache; Collier du Valet Veinard; Alliance Gloursonne; Gant du Valet Veinard; Menoture; Casque Dragoeuf; Cape du Kamasterisk; Palmes Trithons; Carapace Neutre majeur; Remueur; Miraculé majeur; Cascadeur majeur; Muldo Ebène et Orchidée</t>
        </is>
      </c>
    </row>
    <row r="24817">
      <c r="A24817" t="inlineStr">
        <is>
          <t>Stuff 1</t>
        </is>
      </c>
      <c r="B24817">
        <f>HYPERLINK("https://www.dofusbook.net/fr/equipement/199720-stuff-1/objets", "link")</f>
        <v/>
      </c>
      <c r="C24817" t="n">
        <v>0</v>
      </c>
      <c r="D24817" t="inlineStr">
        <is>
          <t>Dagues de Srambad; Amulette du Piloztère; Bracelet du Piloztère; Alliance Gloursonne; Ceinture de la Reine des Voleurs; Kidibonnet; Voile d'encre; Sabots Minables; Dofus des Glaces; Dolmanax; Cavaleur majeur; Évasif majeur; Remueur; Nomade; El Scarador</t>
        </is>
      </c>
    </row>
    <row r="24818">
      <c r="A24818" t="inlineStr">
        <is>
          <t>Stuff 3</t>
        </is>
      </c>
      <c r="B24818">
        <f>HYPERLINK("https://www.dofusbook.net/fr/equipement/199747-stuff-3/objets", "link")</f>
        <v/>
      </c>
      <c r="C24818" t="n">
        <v>0</v>
      </c>
      <c r="D24818" t="inlineStr">
        <is>
          <t>Arc Hétype; Amulette de Nileza; Anneau de Nidas; Anneau Tique; Ceinture de Vortex; Coiffe Séculaire; Cape de Nileza; Pantoufles Émar; Remueur; Étourdisseur majeur; Nomade; Érudit majeur; Temporiseur majeur; Dragodinde Emeraude et Rousse</t>
        </is>
      </c>
    </row>
    <row r="24819">
      <c r="A24819" t="inlineStr">
        <is>
          <t>Stuff 1</t>
        </is>
      </c>
      <c r="B24819">
        <f>HYPERLINK("https://www.dofusbook.net/fr/equipement/199779-stuff-1/objets", "link")</f>
        <v/>
      </c>
      <c r="C24819" t="n">
        <v>0</v>
      </c>
      <c r="D24819" t="inlineStr">
        <is>
          <t>Sceptre du Roi Joueur; Amulette du Sinistrofu; Alliance Gloursonne; Bague Trithon; Poulpagne; Casque Dragoeuf; Cape de Mantaze; Bottes Trithon; Dofus Émeraude; Culbuteur majeur; Miraculé majeur; Bousculeur majeur; Remueur; Chanceux majeur; Muldo Ebène et Pourpre</t>
        </is>
      </c>
    </row>
    <row r="24820">
      <c r="A24820" t="inlineStr">
        <is>
          <t>Stuff 2</t>
        </is>
      </c>
      <c r="B24820">
        <f>HYPERLINK("https://www.dofusbook.net/fr/equipement/199709-stuff-2/objets", "link")</f>
        <v/>
      </c>
      <c r="C24820" t="n">
        <v>0</v>
      </c>
      <c r="D24820" t="inlineStr">
        <is>
          <t>Arc Honte; Talisman Igans; Alliance Gloursonne; Bracelet des Fonds marins; Ceintrigue; Casqnoar; Voilamibe; Pataugastrique; Dolmanax; Dofus des Glaces; Vigoureux majeur; Remueur; Miraculé majeur; Kramkram</t>
        </is>
      </c>
    </row>
    <row r="24821">
      <c r="A24821" t="inlineStr">
        <is>
          <t>Stuff 1</t>
        </is>
      </c>
      <c r="B24821">
        <f>HYPERLINK("https://www.dofusbook.net/fr/equipement/199741-stuff-1/objets", "link")</f>
        <v/>
      </c>
      <c r="C24821" t="n">
        <v>0</v>
      </c>
      <c r="D24821" t="inlineStr">
        <is>
          <t>Arc corrompu; Amulette Séculaire; Anneau Rifique; Anneauræus; Ceinture Séculaire; Heaume Oplate; Voile d'encre; Bottes Innommables</t>
        </is>
      </c>
    </row>
    <row r="24822">
      <c r="A24822" t="inlineStr">
        <is>
          <t>Stuff 2</t>
        </is>
      </c>
      <c r="B24822">
        <f>HYPERLINK("https://www.dofusbook.net/fr/equipement/199774-stuff-2/objets", "link")</f>
        <v/>
      </c>
      <c r="C24822" t="n">
        <v>0</v>
      </c>
      <c r="D24822" t="inlineStr">
        <is>
          <t>Pelle de la Cour Sombre; Amulette du Kamasterisk; Anneau du Père Fwetar; Alliance Gloursonne; Ceinture Rasboulaire du Rasboul; Dorabysses; Cape du Kamasterisk; Pantoufles Émar; Cavaleur majeur; Carapace Neutre majeur; Nomade; Carapace Feu majeur; Cascadeur majeur; Remueur; Kramkram</t>
        </is>
      </c>
    </row>
    <row r="24823">
      <c r="A24823" t="inlineStr">
        <is>
          <t>Stuff 1</t>
        </is>
      </c>
      <c r="B24823">
        <f>HYPERLINK("https://www.dofusbook.net/fr/equipement/199769-stuff-1/objets", "link")</f>
        <v/>
      </c>
      <c r="C24823" t="n">
        <v>0</v>
      </c>
      <c r="D24823" t="inlineStr">
        <is>
          <t>Dagues Érhy; Amulette de Gein; Bague Gloursonne; Chevalière du Roi Joueur; Ougature; Chapeau de Gein; Voile d'encre; Pataugastrique; Dolmanax; Dofus Pourpre; Temporiseur majeur; Remueur; Muldo Orchidée et Pourpre</t>
        </is>
      </c>
    </row>
    <row r="24824">
      <c r="A24824" t="inlineStr">
        <is>
          <t>Stuff 3</t>
        </is>
      </c>
      <c r="B24824">
        <f>HYPERLINK("https://www.dofusbook.net/fr/equipement/199731-stuff-3/objets", "link")</f>
        <v/>
      </c>
      <c r="C24824" t="n">
        <v>0</v>
      </c>
      <c r="D24824" t="inlineStr">
        <is>
          <t>Rapière aux Glyphes; Talisman Glouti; Alliance Gloursonne; Bracelet des Fonds marins; Sangle Ouare; Kidibonnet; Cape du Sinistrofu; Sandales des Fonds marins; Dofus des Glaces; Dolmanax; Cavaleur majeur; Évasif majeur; Miraculé majeur; Remueur; El Scarador</t>
        </is>
      </c>
    </row>
    <row r="24825">
      <c r="A24825" t="inlineStr">
        <is>
          <t>Stuff 1</t>
        </is>
      </c>
      <c r="B24825">
        <f>HYPERLINK("https://www.dofusbook.net/fr/equipement/199726-stuff-1/objets", "link")</f>
        <v/>
      </c>
      <c r="C24825" t="n">
        <v>0</v>
      </c>
      <c r="D24825" t="inlineStr">
        <is>
          <t>Dagues Érhy; Amulette du Strigide; Anneau Chevelu; Bracelet du Piloztère; Ceintacé; Masque de Koutoulou; Voile d'encre; Bottes du Strigide; Dofus Turquoise; Carapace Terre majeur; Nomade; Enragé majeur; Miraculé majeur; Kramkram</t>
        </is>
      </c>
    </row>
    <row r="24826">
      <c r="A24826" t="inlineStr">
        <is>
          <t>Stuff 3</t>
        </is>
      </c>
      <c r="B24826">
        <f>HYPERLINK("https://www.dofusbook.net/fr/equipement/199759-stuff-3/objets", "link")</f>
        <v/>
      </c>
      <c r="C24826" t="n">
        <v>1</v>
      </c>
      <c r="D24826" t="inlineStr">
        <is>
          <t>Arc Hétype; Collier de la Dame du Hasard; Anneau Tique; Chevalière du Roi Joueur; Ceinture de Gein; Couronne de Nidas; Cape de la Dame du Hasard; Pataugastrique; Érudit majeur; Temporiseur majeur; Kramkram</t>
        </is>
      </c>
    </row>
    <row r="24827">
      <c r="A24827" t="inlineStr">
        <is>
          <t>Stuff 2</t>
        </is>
      </c>
      <c r="B24827">
        <f>HYPERLINK("https://www.dofusbook.net/fr/equipement/199721-stuff-2/objets", "link")</f>
        <v/>
      </c>
      <c r="C24827" t="n">
        <v>0</v>
      </c>
      <c r="D24827" t="inlineStr">
        <is>
          <t>Hache du Chalœil; Amulette du Strigide; Bague Gloursonne; Alliance Gloursonne; Ceintacé; Chapeau de Gein; Voile d'encre; Bottes du Strigide; Dolmanax; Dofus Ocre; Dofus Abyssal; Dofus des Glaces; Dofus Turquoise; Dofus Pourpre; Muldo Indigo et Orchidée</t>
        </is>
      </c>
    </row>
    <row r="24828">
      <c r="A24828" t="inlineStr">
        <is>
          <t>Stuff 1</t>
        </is>
      </c>
      <c r="B24828">
        <f>HYPERLINK("https://www.dofusbook.net/fr/equipement/199754-stuff-1/objets", "link")</f>
        <v/>
      </c>
      <c r="C24828" t="n">
        <v>0</v>
      </c>
      <c r="D24828" t="inlineStr">
        <is>
          <t>Harpelle; Amulette du Strigide; Bague Gloursonne; Anneau de Padgref; Ceinture du Strigide; Coiffe de Padgref; Voile d'encre; Getas de Padgref; Dofus Ocre; Dofus Pourpre; Dofus Nébuleux; Dofus Turquoise; Dofus Abyssal; Dofus Émeraude; Muldo Orchidée et Pourpre</t>
        </is>
      </c>
    </row>
    <row r="24829">
      <c r="A24829" t="inlineStr">
        <is>
          <t>Stuff 3</t>
        </is>
      </c>
      <c r="B24829">
        <f>HYPERLINK("https://www.dofusbook.net/fr/equipement/199716-stuff-3/objets", "link")</f>
        <v/>
      </c>
      <c r="C24829" t="n">
        <v>0</v>
      </c>
      <c r="D24829" t="inlineStr">
        <is>
          <t>Dagues Érhy; Amulette du Strigide; Bague Gloursonne; Bracelet du Piloztère; Ceintacé; Chapeau de Gein; Voile d'encre; Bottes du Strigide; Dofus Pourpre; Dofus des Glaces; Dofus Turquoise; Remueur; Vigoureux majeur; Nomade; Kramkram</t>
        </is>
      </c>
    </row>
    <row r="24830">
      <c r="A24830" t="inlineStr">
        <is>
          <t>Stuff 2</t>
        </is>
      </c>
      <c r="B24830">
        <f>HYPERLINK("https://www.dofusbook.net/fr/equipement/199749-stuff-2/objets", "link")</f>
        <v/>
      </c>
      <c r="C24830" t="n">
        <v>0</v>
      </c>
      <c r="D24830" t="inlineStr">
        <is>
          <t>Sabres d'Atcham; Amulette du Strigide; Alliance Gloursonne; Anneau Tique; Ceinture de Vortex; Chapeau des Malveilleurs; Cape d'Atcham; Pataugastrique; Dofus des Glaces; Dofus Pourpre; Dofus Turquoise; Nomade; Étourdisseur majeur; Remueur; Kramkram</t>
        </is>
      </c>
    </row>
    <row r="24831">
      <c r="A24831" t="inlineStr">
        <is>
          <t>Stuff 2</t>
        </is>
      </c>
      <c r="B24831">
        <f>HYPERLINK("https://www.dofusbook.net/fr/equipement/199781-stuff-2/objets", "link")</f>
        <v/>
      </c>
      <c r="C24831" t="n">
        <v>1</v>
      </c>
      <c r="D24831" t="inlineStr">
        <is>
          <t>Baguette de Malléfisk; Pendentif affamé; Anneau de Nidas; Alliance Boletée; Ceinture de Vortex; Couronne de Nidas; Voile d'encre; Bottes Innommables; Dofus Ocre; Guérisseur majeur; Remueur; Érudit majeur; Déserteur majeur; Muldo Orchidée et Pourpre</t>
        </is>
      </c>
    </row>
    <row r="24832">
      <c r="A24832" t="inlineStr">
        <is>
          <t>Stuff 1</t>
        </is>
      </c>
      <c r="B24832">
        <f>HYPERLINK("https://www.dofusbook.net/fr/equipement/199711-stuff-1/objets", "link")</f>
        <v/>
      </c>
      <c r="C24832" t="n">
        <v>0</v>
      </c>
      <c r="D24832" t="inlineStr">
        <is>
          <t>Dagues Érhy; Amulette du Strigide; Bracelet du Piloztère; Bague Gloursonne; Ceinture du Strigide; Casque de Missiz Frizz; Cape au Logis; Sabots Minables; Dofus Turquoise; Dofus Pourpre; Remueur; Enragé majeur; Vigoureux majeur; Nomade; Kramkram</t>
        </is>
      </c>
    </row>
    <row r="24833">
      <c r="A24833" t="inlineStr">
        <is>
          <t>Stuff 3</t>
        </is>
      </c>
      <c r="B24833">
        <f>HYPERLINK("https://www.dofusbook.net/fr/equipement/199744-stuff-3/objets", "link")</f>
        <v/>
      </c>
      <c r="C24833" t="n">
        <v>0</v>
      </c>
      <c r="D24833" t="inlineStr">
        <is>
          <t>Hache du Chalœil; Amulette du Strigide; Alliance Gloursonne; Bague Trithon; Ceinture du Strigide; Masque Trithon; Voile d'encre; Bottes Trithon; Dofus des Glaces; Dofus Ocre; Dofus Turquoise; Dolmanax; Dofus Pourpre; Muldo Orchidée et Pourpre</t>
        </is>
      </c>
    </row>
    <row r="24834">
      <c r="A24834" t="inlineStr">
        <is>
          <t>Stuff 1</t>
        </is>
      </c>
      <c r="B24834">
        <f>HYPERLINK("https://www.dofusbook.net/fr/equipement/199776-stuff-1/objets", "link")</f>
        <v/>
      </c>
      <c r="C24834" t="n">
        <v>0</v>
      </c>
      <c r="D24834" t="inlineStr">
        <is>
          <t>Dagues de Srambad; Amulette du Piloztère; Alliance Gloursonne; Anneau Chevelu; Poulpagne; Masque de Koutoulou; Voile d'encre; Pantoufles du Piloztère; Dolmanax; Cavaleur majeur; Miraculé majeur; Remueur; Nomade; El Scarador</t>
        </is>
      </c>
    </row>
    <row r="24835">
      <c r="A24835" t="inlineStr">
        <is>
          <t>Stuff 2</t>
        </is>
      </c>
      <c r="B24835">
        <f>HYPERLINK("https://www.dofusbook.net/fr/equipement/199706-stuff-2/objets", "link")</f>
        <v/>
      </c>
      <c r="C24835" t="n">
        <v>0</v>
      </c>
      <c r="D24835" t="inlineStr">
        <is>
          <t>Arc Hétype; Talisman Igans; Anneau Tique; Anneau de Nidas; Ceinture Séculaire; Couronne de Nidas; Voile d'encre; Pataugastrique; Miraculé majeur; Nomade; Érudit majeur; Remueur; Carapace Feu majeur; Kramkram</t>
        </is>
      </c>
    </row>
    <row r="24836">
      <c r="A24836" t="inlineStr">
        <is>
          <t>Stuff 1</t>
        </is>
      </c>
      <c r="B24836">
        <f>HYPERLINK("https://www.dofusbook.net/fr/equipement/199738-stuff-1/objets", "link")</f>
        <v/>
      </c>
      <c r="C24836" t="n">
        <v>0</v>
      </c>
      <c r="D24836" t="inlineStr">
        <is>
          <t>Dagues Érhy; Amulette de Gein; Anneau Tique; Chevalière du Roi Joueur; Ceinture Blot; Chapeau de Gein; Voile d'encre; Pataugastrique; Dokoko; Dolmanax; Dofus Pourpre; Dofus des Glaces; Remueur; Nomade; El Scarador</t>
        </is>
      </c>
    </row>
    <row r="24837">
      <c r="A24837" t="inlineStr">
        <is>
          <t>Stuff 3</t>
        </is>
      </c>
      <c r="B24837">
        <f>HYPERLINK("https://www.dofusbook.net/fr/equipement/199782-stuff-3/objets", "link")</f>
        <v/>
      </c>
      <c r="C24837" t="n">
        <v>1</v>
      </c>
      <c r="D24837" t="inlineStr">
        <is>
          <t>Baguette de Malléfisk; Pendentif mignon de Koutoulou; Anneau Rifique; Anneau de Nidas; Ceinture de Vortex; Ruskauffe; Voile d'encre; Pataugastrique; Érudit majeur; Déserteur majeur; Remueur; Guérisseur majeur; Muldo Orchidée et Pourpre</t>
        </is>
      </c>
    </row>
    <row r="24838">
      <c r="A24838" t="inlineStr">
        <is>
          <t>Stuff 1</t>
        </is>
      </c>
      <c r="B24838">
        <f>HYPERLINK("https://www.dofusbook.net/fr/equipement/199717-stuff-1/objets", "link")</f>
        <v/>
      </c>
      <c r="C24838" t="n">
        <v>0</v>
      </c>
      <c r="D24838" t="inlineStr">
        <is>
          <t>Baguette Hernelle; Amulette Séculaire; Anneau Tique; Kralano; Ceinture Séculaire; Coiffe Séculaire; Cape de Nileza; Bottes de Nileza; Dofus Turquoise</t>
        </is>
      </c>
    </row>
    <row r="24839">
      <c r="A24839" t="inlineStr">
        <is>
          <t>Stuff 1</t>
        </is>
      </c>
      <c r="B24839">
        <f>HYPERLINK("https://www.dofusbook.net/fr/equipement/199745-stuff-1/objets", "link")</f>
        <v/>
      </c>
      <c r="C24839" t="n">
        <v>0</v>
      </c>
      <c r="D24839" t="inlineStr">
        <is>
          <t>Hache Ériphe; Amulette du Kamasterisk; Alliance Gloursonne; Anneau de Pol Ouatnos; Ceintacé; Dorabysses; Cape du Kamasterisk; Baleinabottes; Remueur; Obstructeur majeur; Étourdisseur majeur; Vigoureux majeur; Nomade; Temporiseur majeur; El Scarador</t>
        </is>
      </c>
    </row>
    <row r="24840">
      <c r="A24840" t="inlineStr">
        <is>
          <t>Stuff 2</t>
        </is>
      </c>
      <c r="B24840">
        <f>HYPERLINK("https://www.dofusbook.net/fr/equipement/199777-stuff-2/objets", "link")</f>
        <v/>
      </c>
      <c r="C24840" t="n">
        <v>0</v>
      </c>
      <c r="D24840" t="inlineStr">
        <is>
          <t>Dagues de Srambad; Amulette Luminescente; Anneau Chevelu; Alliance Gloursonne; Ceinture de la Reine des Voleurs; Coiffe de la Reine des Voleurs; Voile d'encre; Baleinabottes; Dolmanax; Carapace Air majeur; Remueur; Nomade; Miraculé majeur; Kramkram</t>
        </is>
      </c>
    </row>
    <row r="24841">
      <c r="A24841" t="inlineStr">
        <is>
          <t>Stuff 2</t>
        </is>
      </c>
      <c r="B24841">
        <f>HYPERLINK("https://www.dofusbook.net/fr/equipement/199712-stuff-2/objets", "link")</f>
        <v/>
      </c>
      <c r="C24841" t="n">
        <v>0</v>
      </c>
      <c r="D24841" t="inlineStr">
        <is>
          <t>Bêche Asse; Amulette Héroclite; Anneau de XLII; Anneau de Brouce; Ceinture de XLII; Coiffe de la Fuji Givrefoux; Cape au Logis; Sabots Minables; Cavaleur majeur; Nomade; Enragé majeur; Remueur; Carapace Terre majeur; Vigoureux majeur; Kramkram</t>
        </is>
      </c>
    </row>
    <row r="24842">
      <c r="A24842" t="inlineStr">
        <is>
          <t>Stuff 2</t>
        </is>
      </c>
      <c r="B24842">
        <f>HYPERLINK("https://www.dofusbook.net/fr/equipement/199739-stuff-2/objets", "link")</f>
        <v/>
      </c>
      <c r="C24842" t="n">
        <v>0</v>
      </c>
      <c r="D24842" t="inlineStr">
        <is>
          <t>Dagues Érhy; Amulette du Strigide; Chevalière du Roi Joueur; Bague Gloursonne; Ceintacé; Chapeau de Gein; Voile d'encre; Bottes du Strigide; Dofus des Glaces; Dolmanax; Dofus Pourpre; Dofus Turquoise; Nomade; Remueur; Kramkram</t>
        </is>
      </c>
    </row>
    <row r="24843">
      <c r="A24843" t="inlineStr">
        <is>
          <t>Stuff 3</t>
        </is>
      </c>
      <c r="B24843">
        <f>HYPERLINK("https://www.dofusbook.net/fr/equipement/199772-stuff-3/objets", "link")</f>
        <v/>
      </c>
      <c r="C24843" t="n">
        <v>0</v>
      </c>
      <c r="D24843" t="inlineStr">
        <is>
          <t>Pelle de la Cour Sombre; Collier du Valet Veinard; Alliance Gloursonne; Gant du Valet Veinard; Menoture; Couronne d'Allister; Cape Indescriptible; Palmes Trithons; Dofus des Glaces; Évasif majeur; Cascadeur majeur; Nomade; Dévastateur Air majeur; Remueur; El Scarador</t>
        </is>
      </c>
    </row>
    <row r="24844">
      <c r="A24844" t="inlineStr">
        <is>
          <t>Stuff 3</t>
        </is>
      </c>
      <c r="B24844">
        <f>HYPERLINK("https://www.dofusbook.net/fr/equipement/199707-stuff-3/objets", "link")</f>
        <v/>
      </c>
      <c r="C24844" t="n">
        <v>0</v>
      </c>
      <c r="D24844" t="inlineStr">
        <is>
          <t>Arc Hétype; Talisman Igans; Anneau Tique; Anneau de Nidas; Ceinture Séculaire; Coiffe Séculaire; Voile d'encre; Pataugastrique; Érudit majeur; Nomade; Carapace Feu majeur; Remueur; Cavaleur majeur; Miraculé majeur; Kramkram</t>
        </is>
      </c>
    </row>
    <row r="24845">
      <c r="A24845" t="inlineStr">
        <is>
          <t>Stuff 2</t>
        </is>
      </c>
      <c r="B24845">
        <f>HYPERLINK("https://www.dofusbook.net/fr/equipement/199767-stuff-2/objets", "link")</f>
        <v/>
      </c>
      <c r="C24845" t="n">
        <v>0</v>
      </c>
      <c r="D24845" t="inlineStr">
        <is>
          <t>Arc Hétype; Talisman Igans; Anneau de Nidas; Anneau Tique; Protopagne; Casqnoar; Voile d'encre; Bottes Refois; Dolmanax; Dofus Ocre; Évasif majeur; Érudit majeur; Remueur; Cavaleur majeur; El Scarador</t>
        </is>
      </c>
    </row>
    <row r="24846">
      <c r="A24846" t="inlineStr">
        <is>
          <t>Stuff 3</t>
        </is>
      </c>
      <c r="B24846">
        <f>HYPERLINK("https://www.dofusbook.net/fr/equipement/199734-stuff-3/objets", "link")</f>
        <v/>
      </c>
      <c r="C24846" t="n">
        <v>0</v>
      </c>
      <c r="D24846" t="inlineStr">
        <is>
          <t>Rapière aux Glyphes; Amulette de Shokkoth; Alliance Gloursonne; Bracelet des Fonds marins; Poulpagne; Casque Dragoeuf; Cape du Sinistrofu; Bottes du Sinistrofu; Remueur; Chanceux majeur; Nomade; El Scarador</t>
        </is>
      </c>
    </row>
    <row r="24847">
      <c r="A24847" t="inlineStr">
        <is>
          <t>Stuff 3</t>
        </is>
      </c>
      <c r="B24847">
        <f>HYPERLINK("https://www.dofusbook.net/fr/equipement/199762-stuff-3/objets", "link")</f>
        <v/>
      </c>
      <c r="C24847" t="n">
        <v>0</v>
      </c>
      <c r="D24847" t="inlineStr">
        <is>
          <t>Arc Hétype; Talisman Igans; Anneau de Nidas; Anneau Tique; Ceintrigue; Casqnoar; Cape de la Dame du Hasard; Pataugastrique; Dofus Pourpre; Dolmanax; Nomade; Remueur; Érudit majeur; Croum</t>
        </is>
      </c>
    </row>
    <row r="24848">
      <c r="A24848" t="inlineStr">
        <is>
          <t>Stuff 1</t>
        </is>
      </c>
      <c r="B24848">
        <f>HYPERLINK("https://www.dofusbook.net/fr/equipement/199757-stuff-1/objets", "link")</f>
        <v/>
      </c>
      <c r="C24848" t="n">
        <v>1</v>
      </c>
      <c r="D24848" t="inlineStr">
        <is>
          <t>Arc Hétype; Amulette Séculaire; Anneau Tique; Anneau de Nidas; Sangle Aise; Couronne de Nidas; Cape de Nileza; Pantoufles Émar; Carapace Feu majeur; Temporiseur majeur; Déserteur majeur; Nomade; Érudit majeur; Remueur; Dragodinde Prune et Emeraude</t>
        </is>
      </c>
    </row>
    <row r="24849">
      <c r="A24849" t="inlineStr">
        <is>
          <t>Stuff 2</t>
        </is>
      </c>
      <c r="B24849">
        <f>HYPERLINK("https://www.dofusbook.net/fr/equipement/199724-stuff-2/objets", "link")</f>
        <v/>
      </c>
      <c r="C24849" t="n">
        <v>0</v>
      </c>
      <c r="D24849" t="inlineStr">
        <is>
          <t>Rapière aux Glyphes; Amulette du Strigide; Bracelet des Fonds marins; Alliance Gloursonne; Poulpagne; Kidibonnet; Cape de Kongoku; Bottes du Strigide; Dofus Turquoise; Cavaleur majeur; Nomade; Miraculé majeur; Évasif majeur; Carapace Eau majeur; El Scarador</t>
        </is>
      </c>
    </row>
    <row r="24850">
      <c r="A24850" t="inlineStr">
        <is>
          <t>Stuff 2</t>
        </is>
      </c>
      <c r="B24850">
        <f>HYPERLINK("https://www.dofusbook.net/fr/equipement/199752-stuff-2/objets", "link")</f>
        <v/>
      </c>
      <c r="C24850" t="n">
        <v>0</v>
      </c>
      <c r="D24850" t="inlineStr">
        <is>
          <t>Arc Honte; Amulette Cryochrone; Bracelet des Fonds marins; Alliance Gloursonne; Ceintrigue; Coiffe Cryochrone; Voilamibe; Pataugastrique; Dofus des Glaces; Dolmanax; Dofus Pourpre; Cavaleur majeur; Remueur; Évasif majeur; Kramkram</t>
        </is>
      </c>
    </row>
    <row r="24851">
      <c r="A24851" t="inlineStr">
        <is>
          <t>Stuff 3</t>
        </is>
      </c>
      <c r="B24851">
        <f>HYPERLINK("https://www.dofusbook.net/fr/equipement/199719-stuff-3/objets", "link")</f>
        <v/>
      </c>
      <c r="C24851" t="n">
        <v>0</v>
      </c>
      <c r="D24851" t="inlineStr">
        <is>
          <t>Baguette Hernelle; Amulette Séculaire; Anneau de Padgref; Kralano; Sangle Aise; Coiffe de Padgref; Voile d'encre; Pantoufles Émar; Dofus Turquoise; Dofus Pourpre; Nomade; Érudit majeur; Remueur; Vigoureux majeur; Dragodinde Prune et Emeraude</t>
        </is>
      </c>
    </row>
    <row r="24852">
      <c r="A24852" t="inlineStr">
        <is>
          <t>Stuff 3</t>
        </is>
      </c>
      <c r="B24852">
        <f>HYPERLINK("https://www.dofusbook.net/fr/equipement/199747-stuff-3/objets", "link")</f>
        <v/>
      </c>
      <c r="C24852" t="n">
        <v>0</v>
      </c>
      <c r="D24852" t="inlineStr">
        <is>
          <t>Arc Hétype; Amulette de Nileza; Anneau de Nidas; Anneau Tique; Ceinture de Vortex; Coiffe Séculaire; Cape de Nileza; Pantoufles Émar; Nomade; Érudit majeur; Temporiseur majeur; Remueur; Étourdisseur majeur; Dragodinde Emeraude et Rousse</t>
        </is>
      </c>
    </row>
    <row r="24853">
      <c r="A24853" t="inlineStr">
        <is>
          <t>Stuff 1</t>
        </is>
      </c>
      <c r="B24853">
        <f>HYPERLINK("https://www.dofusbook.net/fr/equipement/199779-stuff-1/objets", "link")</f>
        <v/>
      </c>
      <c r="C24853" t="n">
        <v>0</v>
      </c>
      <c r="D24853" t="inlineStr">
        <is>
          <t>Sceptre du Roi Joueur; Amulette du Sinistrofu; Alliance Gloursonne; Bague Trithon; Poulpagne; Casque Dragoeuf; Cape de Mantaze; Bottes Trithon; Dofus Émeraude; Culbuteur majeur; Miraculé majeur; Bousculeur majeur; Remueur; Chanceux majeur; Muldo Ebène et Pourpre</t>
        </is>
      </c>
    </row>
    <row r="24854">
      <c r="A24854" t="inlineStr">
        <is>
          <t>Stuff 1</t>
        </is>
      </c>
      <c r="B24854">
        <f>HYPERLINK("https://www.dofusbook.net/fr/equipement/199714-stuff-1/objets", "link")</f>
        <v/>
      </c>
      <c r="C24854" t="n">
        <v>0</v>
      </c>
      <c r="D24854" t="inlineStr">
        <is>
          <t>Épée de la Reine des Voleurs; Amulette de Nevark; Anneau des égarés; Alliance Gloursonne; Ceinture de Nevark; Casque des égarés; Cape de Nevark; Bottes des égarés; Dofus des Glaces; Dofus Pourpre; Dolmanax; Dofus Ocre; Robuste majeur; Kramkram</t>
        </is>
      </c>
    </row>
    <row r="24855">
      <c r="A24855" t="inlineStr">
        <is>
          <t>Stuff 1</t>
        </is>
      </c>
      <c r="B24855">
        <f>HYPERLINK("https://www.dofusbook.net/fr/equipement/199741-stuff-1/objets", "link")</f>
        <v/>
      </c>
      <c r="C24855" t="n">
        <v>0</v>
      </c>
      <c r="D24855" t="inlineStr">
        <is>
          <t>Arc corrompu; Amulette Séculaire; Anneau Rifique; Anneauræus; Ceinture Séculaire; Heaume Oplate; Voile d'encre; Bottes Innommables</t>
        </is>
      </c>
    </row>
    <row r="24856">
      <c r="A24856" t="inlineStr">
        <is>
          <t>Stuff 2</t>
        </is>
      </c>
      <c r="B24856">
        <f>HYPERLINK("https://www.dofusbook.net/fr/equipement/199774-stuff-2/objets", "link")</f>
        <v/>
      </c>
      <c r="C24856" t="n">
        <v>0</v>
      </c>
      <c r="D24856" t="inlineStr">
        <is>
          <t>Pelle de la Cour Sombre; Amulette du Kamasterisk; Anneau du Père Fwetar; Alliance Gloursonne; Ceinture Rasboulaire du Rasboul; Dorabysses; Cape du Kamasterisk; Pantoufles Émar; Cavaleur majeur; Carapace Neutre majeur; Nomade; Carapace Feu majeur; Cascadeur majeur; Remueur; Kramkram</t>
        </is>
      </c>
    </row>
    <row r="24857">
      <c r="A24857" t="inlineStr">
        <is>
          <t>Stuff 1</t>
        </is>
      </c>
      <c r="B24857">
        <f>HYPERLINK("https://www.dofusbook.net/fr/equipement/199720-stuff-1/objets", "link")</f>
        <v/>
      </c>
      <c r="C24857" t="n">
        <v>0</v>
      </c>
      <c r="D24857" t="inlineStr">
        <is>
          <t>Dagues de Srambad; Amulette du Piloztère; Alliance Gloursonne; Bracelet du Piloztère; Ceinture de la Reine des Voleurs; Kidibonnet; Voile d'encre; Sabots Minables; Dolmanax; Dofus des Glaces; Évasif majeur; Remueur; Nomade; Cavaleur majeur; El Scarador</t>
        </is>
      </c>
    </row>
    <row r="24858">
      <c r="A24858" t="inlineStr">
        <is>
          <t>Stuff 3</t>
        </is>
      </c>
      <c r="B24858">
        <f>HYPERLINK("https://www.dofusbook.net/fr/equipement/199753-stuff-3/objets", "link")</f>
        <v/>
      </c>
      <c r="C24858" t="n">
        <v>0</v>
      </c>
      <c r="D24858" t="inlineStr">
        <is>
          <t>Rapière aux Glyphes; Amulette de Shokkoth; Bracelet des Fonds marins; Alliance Gloursonne; Poulpagne; Kidibonnet; Cape du Sinistrofu; Bottes du Sinistrofu; Dofus des Glaces; Chanceux majeur; Nomade; Dévastateur Eau majeur; El Scarador</t>
        </is>
      </c>
    </row>
    <row r="24859">
      <c r="A24859" t="inlineStr">
        <is>
          <t>Stuff 2</t>
        </is>
      </c>
      <c r="B24859">
        <f>HYPERLINK("https://www.dofusbook.net/fr/equipement/199715-stuff-2/objets", "link")</f>
        <v/>
      </c>
      <c r="C24859" t="n">
        <v>0</v>
      </c>
      <c r="D24859" t="inlineStr">
        <is>
          <t>Dague Hirr; Kralamansion; Anneau d'Allister; Anneau de la Fuji Givrefoux; Ceinture Rasboulaire du Rasboul; Coiffe de la Fuji Givrefoux; Cape de la Fuji Givrefoux; Bottes de la Fuji Givrefoux; Dofus Ocre; Dofus Turquoise; Dofus Pourpre; Furibond majeur; Puissant majeur; Acrobate majeur; Kramkram</t>
        </is>
      </c>
    </row>
    <row r="24860">
      <c r="A24860" t="inlineStr">
        <is>
          <t>Stuff 1</t>
        </is>
      </c>
      <c r="B24860">
        <f>HYPERLINK("https://www.dofusbook.net/fr/equipement/199748-stuff-1/objets", "link")</f>
        <v/>
      </c>
      <c r="C24860" t="n">
        <v>0</v>
      </c>
      <c r="D24860" t="inlineStr">
        <is>
          <t>Marteau Phossile; Amulette du Strigide; Alliance Gloursonne; Anneau de Padgref; Ceinture de Vortex; Cagoule de Vortex; Voile d'encre; Pataugastrique; Dofus Pourpre; Dolmanax; Dofus des Glaces; Étourdisseur majeur; Nomade; Remueur; Kramkram</t>
        </is>
      </c>
    </row>
    <row r="24861">
      <c r="A24861" t="inlineStr">
        <is>
          <t>Stuff 1</t>
        </is>
      </c>
      <c r="B24861">
        <f>HYPERLINK("https://www.dofusbook.net/fr/equipement/199780-stuff-1/objets", "link")</f>
        <v/>
      </c>
      <c r="C24861" t="n">
        <v>1</v>
      </c>
      <c r="D24861" t="inlineStr">
        <is>
          <t>Dagues Érhy; Amulette du Cycloïde; Anneau Rifique; Anneau de Nidas; Ceinture Séculaire; Casque Cyclopéen; Voile d'encre; Pataugastrique; Dolmanax; Carapace Feu majeur; Carapace Terre majeur; Érudit majeur; Remueur; Muldo Indigo et Pourpre</t>
        </is>
      </c>
    </row>
    <row r="24862">
      <c r="A24862" t="inlineStr">
        <is>
          <t>Stuff 2</t>
        </is>
      </c>
      <c r="B24862">
        <f>HYPERLINK("https://www.dofusbook.net/fr/equipement/199742-stuff-2/objets", "link")</f>
        <v/>
      </c>
      <c r="C24862" t="n">
        <v>0</v>
      </c>
      <c r="D24862" t="inlineStr">
        <is>
          <t>Baguette de Malléfisk; Pendentif affamé; Anneau Tique; Anneau de Nidas; Ceinture de Vortex; Couronne de Nidas; Cape de Diondin; Bottes Innommables; Cavaleur majeur; Nomade; Observateur; Guérisseur majeur; Érudit majeur; Remueur; El Scarador</t>
        </is>
      </c>
    </row>
    <row r="24863">
      <c r="A24863" t="inlineStr">
        <is>
          <t>Stuff 3</t>
        </is>
      </c>
      <c r="B24863">
        <f>HYPERLINK("https://www.dofusbook.net/fr/equipement/199775-stuff-3/objets", "link")</f>
        <v/>
      </c>
      <c r="C24863" t="n">
        <v>0</v>
      </c>
      <c r="D24863" t="inlineStr">
        <is>
          <t>Rapière aux Glyphes; Amulette du Sinistrofu; Anneau du Père Fwetar; Alliance Gloursonne; Ceinture Glaciale; Kidibonnet; Cape Matelassée; Bottes du Sinistrofu; Dofus Pourpre; Nomade; Carapace Eau majeur; Chanceux majeur; Remueur; Kramkram</t>
        </is>
      </c>
    </row>
    <row r="24864">
      <c r="A24864" t="inlineStr">
        <is>
          <t>Stuff 3</t>
        </is>
      </c>
      <c r="B24864">
        <f>HYPERLINK("https://www.dofusbook.net/fr/equipement/199737-stuff-3/objets", "link")</f>
        <v/>
      </c>
      <c r="C24864" t="n">
        <v>0</v>
      </c>
      <c r="D24864" t="inlineStr">
        <is>
          <t>Dagues de Srambad; Talisman Songe; Alliance Gloursonne; Bracelet du Piloztère; Ceinture de la Reine des Voleurs; Coiffe de la Reine des Voleurs; Voile d'encre; Sabots Minables; Dolmanax; Dofus des Glaces; Remueur; Évasif majeur; Nomade; Cavaleur majeur; El Scarador</t>
        </is>
      </c>
    </row>
    <row r="24865">
      <c r="A24865" t="inlineStr">
        <is>
          <t>Stuff 1</t>
        </is>
      </c>
      <c r="B24865">
        <f>HYPERLINK("https://www.dofusbook.net/fr/equipement/199770-stuff-1/objets", "link")</f>
        <v/>
      </c>
      <c r="C24865" t="n">
        <v>0</v>
      </c>
      <c r="D24865" t="inlineStr">
        <is>
          <t>Arc de Koutoulou; Amulette de l'Indicible; Gant du Valet Veinard; Alliance Gloursonne; Ceinture Voldelor; Coiffe de la Reine des Voleurs; Cape Matelassée; Bottes de la Reine des Voleurs; Dofus des Glaces; Dofus Pourpre; Nomade; Dévastateur Air majeur; Remueur; El Scarador</t>
        </is>
      </c>
    </row>
    <row r="24866">
      <c r="A24866" t="inlineStr">
        <is>
          <t>Stuff 1</t>
        </is>
      </c>
      <c r="B24866">
        <f>HYPERLINK("https://www.dofusbook.net/fr/equipement/199704-stuff-1/objets", "link")</f>
        <v/>
      </c>
      <c r="C24866" t="n">
        <v>0</v>
      </c>
      <c r="D24866" t="inlineStr">
        <is>
          <t>Arc Hétype; Amulette Séculaire; Anneau Tique; Anneau Tamie; Sangle Aise; Coiffe Séculaire; Cape de Nileza; Bottes d'Otomaï; Dofus des Glaces; Érudit majeur; Dévastateur Feu majeur; Remueur; Saccageur Feu majeur; Nomade; Brûlih</t>
        </is>
      </c>
    </row>
    <row r="24867">
      <c r="A24867" t="inlineStr">
        <is>
          <t>Stuff 1</t>
        </is>
      </c>
      <c r="B24867">
        <f>HYPERLINK("https://www.dofusbook.net/fr/equipement/199732-stuff-1/objets", "link")</f>
        <v/>
      </c>
      <c r="C24867" t="n">
        <v>0</v>
      </c>
      <c r="D24867" t="inlineStr">
        <is>
          <t>Arc de Guten Tak; Amulette du Strigide; Alliance Gloursonne; Bracelet des Fonds marins; Bouclier de Sidimote cassé; Ceinture du Barbétoal; Kidibonnet; Voile d'encre; Sandales des Fonds marins; Dolmanax; Dofus Turquoise; Carapace Eau majeur; Remueur; Nomade; Cavaleur majeur; El Scarador</t>
        </is>
      </c>
    </row>
    <row r="24868">
      <c r="A24868" t="inlineStr">
        <is>
          <t>Stuff 2</t>
        </is>
      </c>
      <c r="B24868">
        <f>HYPERLINK("https://www.dofusbook.net/fr/equipement/199727-stuff-2/objets", "link")</f>
        <v/>
      </c>
      <c r="C24868" t="n">
        <v>0</v>
      </c>
      <c r="D24868" t="inlineStr">
        <is>
          <t>Dagoulinantes; Amulette du Strigide; Alliance Gloursonne; Bague Trithon; Sangle Ouare; Kidibonnet; Cape Luminescente; Bottes Trithon; Dofus Turquoise; Carapace Air majeur; Miraculé majeur; Remueur; Muldo Orchidée et Pourpre</t>
        </is>
      </c>
    </row>
    <row r="24869">
      <c r="A24869" t="inlineStr">
        <is>
          <t>Stuff 1</t>
        </is>
      </c>
      <c r="B24869">
        <f>HYPERLINK("https://www.dofusbook.net/fr/equipement/199760-stuff-1/objets", "link")</f>
        <v/>
      </c>
      <c r="C24869" t="n">
        <v>0</v>
      </c>
      <c r="D24869" t="inlineStr">
        <is>
          <t>Rouleau à Pâtisserie d'Aermyne; Talisman Glouti; Anneau Tique; Anneau de XLII; Ceinture de XLII; Coiffe d'Aermyne; Cape d'Aermyne; Bottes de XLII; Dofus Ocre; Dofus Vulbis; Dokoko; Tacleur majeur; Bloqueur majeur; Bloqueur; Blokus</t>
        </is>
      </c>
    </row>
    <row r="24870">
      <c r="A24870" t="inlineStr">
        <is>
          <t>Stuff 3</t>
        </is>
      </c>
      <c r="B24870">
        <f>HYPERLINK("https://www.dofusbook.net/fr/equipement/199722-stuff-3/objets", "link")</f>
        <v/>
      </c>
      <c r="C24870" t="n">
        <v>0</v>
      </c>
      <c r="D24870" t="inlineStr">
        <is>
          <t>Dagues de Srambad; Amulette Ementaire Deluxe; Pikano; Alliance Gloursonne; Ceinture de la Reine des Voleurs; Coiffe de la Reine des Voleurs; Voile d'encre; Sabots Minables; Dofus Pourpre; Dofus des Glaces; Dofus Abyssal; Dofus Ocre; Dolmanax; Dofus Émeraude; Muldo Ebène et Indigo</t>
        </is>
      </c>
    </row>
    <row r="24871">
      <c r="A24871" t="inlineStr">
        <is>
          <t>Stuff 2</t>
        </is>
      </c>
      <c r="B24871">
        <f>HYPERLINK("https://www.dofusbook.net/fr/equipement/199755-stuff-2/objets", "link")</f>
        <v/>
      </c>
      <c r="C24871" t="n">
        <v>0</v>
      </c>
      <c r="D24871" t="inlineStr">
        <is>
          <t>Héqache; Torquistik; Anneau Crustique; Anneau Chevelu; Ceinture Luminescente; Masque de Koutoulou; Voile d'encre; Bottistik; Dofus Ocre; Dofus Pourpre; Dofus Émeraude; Culbuteur majeur; Bousculeur majeur; Muldo Indigo et Pourpre</t>
        </is>
      </c>
    </row>
    <row r="24872">
      <c r="A24872" t="inlineStr">
        <is>
          <t>Stuff 1</t>
        </is>
      </c>
      <c r="B24872">
        <f>HYPERLINK("https://www.dofusbook.net/fr/equipement/199717-stuff-1/objets", "link")</f>
        <v/>
      </c>
      <c r="C24872" t="n">
        <v>0</v>
      </c>
      <c r="D24872" t="inlineStr">
        <is>
          <t>Baguette Hernelle; Amulette Séculaire; Kralano; Anneau Tique; Ceinture Séculaire; Coiffe Séculaire; Cape de Nileza; Bottes de Nileza; Dofus Turquoise</t>
        </is>
      </c>
    </row>
    <row r="24873">
      <c r="A24873" t="inlineStr">
        <is>
          <t>Stuff 3</t>
        </is>
      </c>
      <c r="B24873">
        <f>HYPERLINK("https://www.dofusbook.net/fr/equipement/199750-stuff-3/objets", "link")</f>
        <v/>
      </c>
      <c r="C24873" t="n">
        <v>0</v>
      </c>
      <c r="D24873" t="inlineStr">
        <is>
          <t>Sabres d'Atcham; Amulette du Strigide; Anneau Tique; Alliance Gloursonne; Ceinture de Vortex; Masque du Barbétoal; Cape d'Atcham; Pataugastrique; Dofus Pourpre; Dofus Turquoise; Dofus des Glaces; Nomade; Étourdisseur majeur; Remueur; Kramkram</t>
        </is>
      </c>
    </row>
    <row r="24874">
      <c r="A24874" t="inlineStr">
        <is>
          <t>Stuff 3</t>
        </is>
      </c>
      <c r="B24874">
        <f>HYPERLINK("https://www.dofusbook.net/fr/equipement/199782-stuff-3/objets", "link")</f>
        <v/>
      </c>
      <c r="C24874" t="n">
        <v>1</v>
      </c>
      <c r="D24874" t="inlineStr">
        <is>
          <t>Baguette de Malléfisk; Pendentif mignon de Koutoulou; Anneau Rifique; Anneau de Nidas; Ceinture de Vortex; Ruskauffe; Voile d'encre; Pataugastrique; Érudit majeur; Déserteur majeur; Remueur; Guérisseur majeur; Muldo Orchidée et Pourpre</t>
        </is>
      </c>
    </row>
    <row r="24875">
      <c r="A24875" t="inlineStr">
        <is>
          <t>Stuff 1</t>
        </is>
      </c>
      <c r="B24875">
        <f>HYPERLINK("https://www.dofusbook.net/fr/equipement/199745-stuff-1/objets", "link")</f>
        <v/>
      </c>
      <c r="C24875" t="n">
        <v>0</v>
      </c>
      <c r="D24875" t="inlineStr">
        <is>
          <t>Hache Ériphe; Amulette du Kamasterisk; Alliance Gloursonne; Anneau de Pol Ouatnos; Ceintacé; Dorabysses; Cape du Kamasterisk; Baleinabottes; Obstructeur majeur; Étourdisseur majeur; Vigoureux majeur; Nomade; Temporiseur majeur; Remueur; El Scarador</t>
        </is>
      </c>
    </row>
    <row r="24876">
      <c r="A24876" t="inlineStr">
        <is>
          <t>Stuff 3</t>
        </is>
      </c>
      <c r="B24876">
        <f>HYPERLINK("https://www.dofusbook.net/fr/equipement/199775-stuff-3/objets", "link")</f>
        <v/>
      </c>
      <c r="C24876" t="n">
        <v>0</v>
      </c>
      <c r="D24876" t="inlineStr">
        <is>
          <t>Rapière aux Glyphes; Amulette du Sinistrofu; Anneau du Père Fwetar; Alliance Gloursonne; Ceinture Glaciale; Kidibonnet; Cape Matelassée; Bottes du Sinistrofu; Dofus Pourpre; Carapace Eau majeur; Chanceux majeur; Remueur; Nomade; Kramkram</t>
        </is>
      </c>
    </row>
    <row r="24877">
      <c r="A24877" t="inlineStr">
        <is>
          <t>Stuff 3</t>
        </is>
      </c>
      <c r="B24877">
        <f>HYPERLINK("https://www.dofusbook.net/fr/equipement/199737-stuff-3/objets", "link")</f>
        <v/>
      </c>
      <c r="C24877" t="n">
        <v>0</v>
      </c>
      <c r="D24877" t="inlineStr">
        <is>
          <t>Dagues de Srambad; Talisman Songe; Bracelet du Piloztère; Alliance Gloursonne; Ceinture de la Reine des Voleurs; Coiffe de la Reine des Voleurs; Voile d'encre; Sabots Minables; Dofus des Glaces; Dolmanax; Évasif majeur; Nomade; Cavaleur majeur; Remueur; El Scarador</t>
        </is>
      </c>
    </row>
    <row r="24878">
      <c r="A24878" t="inlineStr">
        <is>
          <t>Stuff 1</t>
        </is>
      </c>
      <c r="B24878">
        <f>HYPERLINK("https://www.dofusbook.net/fr/equipement/199770-stuff-1/objets", "link")</f>
        <v/>
      </c>
      <c r="C24878" t="n">
        <v>0</v>
      </c>
      <c r="D24878" t="inlineStr">
        <is>
          <t>Arc de Koutoulou; Amulette de l'Indicible; Alliance Gloursonne; Gant du Valet Veinard; Ceinture Voldelor; Coiffe de la Reine des Voleurs; Cape Matelassée; Bottes de la Reine des Voleurs; Dofus Pourpre; Dofus des Glaces; Nomade; Dévastateur Air majeur; Remueur; El Scarador</t>
        </is>
      </c>
    </row>
    <row r="24879">
      <c r="A24879" t="inlineStr">
        <is>
          <t>Stuff 1</t>
        </is>
      </c>
      <c r="B24879">
        <f>HYPERLINK("https://www.dofusbook.net/fr/equipement/199704-stuff-1/objets", "link")</f>
        <v/>
      </c>
      <c r="C24879" t="n">
        <v>0</v>
      </c>
      <c r="D24879" t="inlineStr">
        <is>
          <t>Arc Hétype; Amulette Séculaire; Anneau Tique; Anneau Tamie; Sangle Aise; Coiffe Séculaire; Cape de Nileza; Bottes d'Otomaï; Dofus des Glaces; Saccageur Feu majeur; Nomade; Érudit majeur; Dévastateur Feu majeur; Remueur; Brûlih</t>
        </is>
      </c>
    </row>
    <row r="24880">
      <c r="A24880" t="inlineStr">
        <is>
          <t>Stuff 1</t>
        </is>
      </c>
      <c r="B24880">
        <f>HYPERLINK("https://www.dofusbook.net/fr/equipement/199732-stuff-1/objets", "link")</f>
        <v/>
      </c>
      <c r="C24880" t="n">
        <v>0</v>
      </c>
      <c r="D24880" t="inlineStr">
        <is>
          <t>Arc de Guten Tak; Amulette du Strigide; Bracelet des Fonds marins; Alliance Gloursonne; Bouclier de Sidimote cassé; Ceinture du Barbétoal; Kidibonnet; Voile d'encre; Sandales des Fonds marins; Dolmanax; Dofus Turquoise; Cavaleur majeur; Carapace Eau majeur; Remueur; Nomade; El Scarador</t>
        </is>
      </c>
    </row>
    <row r="24881">
      <c r="A24881" t="inlineStr">
        <is>
          <t>Stuff 2</t>
        </is>
      </c>
      <c r="B24881">
        <f>HYPERLINK("https://www.dofusbook.net/fr/equipement/199727-stuff-2/objets", "link")</f>
        <v/>
      </c>
      <c r="C24881" t="n">
        <v>0</v>
      </c>
      <c r="D24881" t="inlineStr">
        <is>
          <t>Dagoulinantes; Amulette du Strigide; Alliance Gloursonne; Bague Trithon; Sangle Ouare; Kidibonnet; Cape Luminescente; Bottes Trithon; Dofus Turquoise; Remueur; Carapace Air majeur; Miraculé majeur; Muldo Orchidée et Pourpre</t>
        </is>
      </c>
    </row>
    <row r="24882">
      <c r="A24882" t="inlineStr">
        <is>
          <t>Stuff 1</t>
        </is>
      </c>
      <c r="B24882">
        <f>HYPERLINK("https://www.dofusbook.net/fr/equipement/199760-stuff-1/objets", "link")</f>
        <v/>
      </c>
      <c r="C24882" t="n">
        <v>0</v>
      </c>
      <c r="D24882" t="inlineStr">
        <is>
          <t>Rouleau à Pâtisserie d'Aermyne; Talisman Glouti; Anneau Tique; Anneau de XLII; Ceinture de XLII; Coiffe d'Aermyne; Cape d'Aermyne; Bottes de XLII; Dofus Vulbis; Dokoko; Dofus Ocre; Bloqueur majeur; Bloqueur; Tacleur majeur; Blokus</t>
        </is>
      </c>
    </row>
    <row r="24883">
      <c r="A24883" t="inlineStr">
        <is>
          <t>Stuff 3</t>
        </is>
      </c>
      <c r="B24883">
        <f>HYPERLINK("https://www.dofusbook.net/fr/equipement/199722-stuff-3/objets", "link")</f>
        <v/>
      </c>
      <c r="C24883" t="n">
        <v>0</v>
      </c>
      <c r="D24883" t="inlineStr">
        <is>
          <t>Dagues de Srambad; Amulette Ementaire Deluxe; Alliance Gloursonne; Pikano; Ceinture de la Reine des Voleurs; Coiffe de la Reine des Voleurs; Voile d'encre; Sabots Minables; Dolmanax; Dofus Émeraude; Dofus Pourpre; Dofus des Glaces; Dofus Abyssal; Dofus Ocre; Muldo Ebène et Indigo</t>
        </is>
      </c>
    </row>
    <row r="24884">
      <c r="A24884" t="inlineStr">
        <is>
          <t>Stuff 2</t>
        </is>
      </c>
      <c r="B24884">
        <f>HYPERLINK("https://www.dofusbook.net/fr/equipement/199755-stuff-2/objets", "link")</f>
        <v/>
      </c>
      <c r="C24884" t="n">
        <v>0</v>
      </c>
      <c r="D24884" t="inlineStr">
        <is>
          <t>Héqache; Torquistik; Anneau Crustique; Anneau Chevelu; Ceinture Luminescente; Masque de Koutoulou; Voile d'encre; Bottistik; Dofus Ocre; Dofus Pourpre; Dofus Émeraude; Bousculeur majeur; Culbuteur majeur; Muldo Indigo et Pourpre</t>
        </is>
      </c>
    </row>
    <row r="24885">
      <c r="A24885" t="inlineStr">
        <is>
          <t>1xxx200</t>
        </is>
      </c>
      <c r="B24885">
        <f>HYPERLINK("https://www.dofusbook.net/fr/equipement/5973627-1xxx200/objets", "link")</f>
        <v/>
      </c>
      <c r="C24885" t="n">
        <v>0</v>
      </c>
      <c r="D24885" t="inlineStr">
        <is>
          <t>Dagues Érhy; Collier de Tourthon; Anneau Volkorne; Anneau de Brouce; Cadran de Feu; Ceinture Volkorne; Coiffe de la Reine des Voleurs; Cape du Cœur Saignant; Bottes du Roi Joueur; Dofus Ocre; Dokoko; Dofus Ivoire; Dofus Argenté; Remueur; Nomade; Kougnard</t>
        </is>
      </c>
    </row>
    <row r="24886">
      <c r="A24886" t="inlineStr">
        <is>
          <t>doubleHUM200</t>
        </is>
      </c>
      <c r="B24886">
        <f>HYPERLINK("https://www.dofusbook.net/fr/equipement/5978061-doublehum200/objets", "link")</f>
        <v/>
      </c>
      <c r="C24886" t="n">
        <v>0</v>
      </c>
      <c r="D24886" t="inlineStr">
        <is>
          <t>L'Épée Nice; Amulette du Cœur Vaillant; Alliance du Lévitrof; Anneau en Grithril; Cadran de Feu; Ceinture en Grithril; Casque en Grithril; Cape du Cœur Vaillant; Bottes du Cœur Vaillant; Dofus Ivoire; Dofus Argenté; Dofus des Glaces; Dofus Émeraude; Dofus Ocre; Dokoko; Bulbisou</t>
        </is>
      </c>
    </row>
    <row r="24887">
      <c r="A24887" t="inlineStr">
        <is>
          <t>doublepasmalDIDI 200</t>
        </is>
      </c>
      <c r="B24887">
        <f>HYPERLINK("https://www.dofusbook.net/fr/equipement/5977972-doublepasmaldidi-200/objets", "link")</f>
        <v/>
      </c>
      <c r="C24887" t="n">
        <v>0</v>
      </c>
      <c r="D24887" t="inlineStr">
        <is>
          <t>L'Épée Nice; Amulette de Gein; Anneau Crustique; Goulano; Goulclier; Ceinture de Gein; Chapeau de Gein; Cape du Cœur Saignant; Goulbottes; Dofus Émeraude; Dofus Argenté; Dofus des Glaces; Dofus Ocre; Dokoko; Dofus Ivoire; Bulbisou</t>
        </is>
      </c>
    </row>
    <row r="24888">
      <c r="A24888" t="inlineStr">
        <is>
          <t>doubleBoffuite 200</t>
        </is>
      </c>
      <c r="B24888">
        <f>HYPERLINK("https://www.dofusbook.net/fr/equipement/5976514-doubleboffuite-200/objets", "link")</f>
        <v/>
      </c>
      <c r="C24888" t="n">
        <v>0</v>
      </c>
      <c r="D24888" t="inlineStr">
        <is>
          <t>Lav'Hache; Amulette du Cœur Saignant; Anneau en Grithril; Chevalière du Roi Joueur; Cadran de Feu; Ceinture en Grithril; Casque en Grithril; Cape du Cœur Saignant; Bottes du Cœur Saignant; Dofus des Glaces; Dofus Ocre; Dokoko; Dofus Ivoire; Dofus Argenté; Bulbisou</t>
        </is>
      </c>
    </row>
    <row r="24889">
      <c r="A24889" t="inlineStr">
        <is>
          <t>doublehum200</t>
        </is>
      </c>
      <c r="B24889">
        <f>HYPERLINK("https://www.dofusbook.net/fr/equipement/5976478-doublehum200/objets", "link")</f>
        <v/>
      </c>
      <c r="C24889" t="n">
        <v>0</v>
      </c>
      <c r="D24889" t="inlineStr">
        <is>
          <t>Dagues Érhy; Amulette Volcanique; Anneau en Grithril; Chevalière du Roi Joueur; Cadran de Feu; Ceinture en Grithril; Casque en Grithril; Sac Volcanique; Sabots Volcaniques; Dofus Argenté; Dofus Ivoire; Dokoko; Dofus des Glaces; Dofus Ocre; Bulbisou</t>
        </is>
      </c>
    </row>
    <row r="24890">
      <c r="A24890" t="inlineStr">
        <is>
          <t>Osamodas F 200</t>
        </is>
      </c>
      <c r="B24890">
        <f>HYPERLINK("https://www.dofusbook.net/fr/equipement/5970264-osamodas-f-200/objets", "link")</f>
        <v/>
      </c>
      <c r="C24890" t="n">
        <v>0</v>
      </c>
      <c r="D24890" t="inlineStr">
        <is>
          <t>Bêche Asse; Collier de Tourthon; Anneau Volkorne; Anneau de Brouce; Bouclier d'Ilyzaelle; Ceinture Volkorne; Masque de Koutoulou; Cape au Logis; Sabots Minables; Dofus Ivoire; Dofus Émeraude; Dokoko; Dofus des Glaces; Dofus Argenté; Enragé majeur; Bulbisou</t>
        </is>
      </c>
    </row>
    <row r="24891">
      <c r="A24891" t="inlineStr">
        <is>
          <t>Osammx200</t>
        </is>
      </c>
      <c r="B24891">
        <f>HYPERLINK("https://www.dofusbook.net/fr/equipement/5970171-osammx200/objets", "link")</f>
        <v/>
      </c>
      <c r="C24891" t="n">
        <v>0</v>
      </c>
      <c r="D24891" t="inlineStr">
        <is>
          <t>L'Épée Nice; Collier de Tourthon; Anneau de Guten Tak; Anneau Crustique; Cadran de Feu; Ceinture Volkorne; Bonnet Ko; Cape du Cœur Saignant; Bottes du Cœur Saignant; Dofus Argenté; Dofus Ivoire; Dokoko; Remueur; Enragé majeur; Nomade; Kougnard</t>
        </is>
      </c>
    </row>
    <row r="24892">
      <c r="A24892" t="inlineStr">
        <is>
          <t>OsamodaXoX200</t>
        </is>
      </c>
      <c r="B24892">
        <f>HYPERLINK("https://www.dofusbook.net/fr/equipement/5711501-osamodaxox200/objets", "link")</f>
        <v/>
      </c>
      <c r="C24892" t="n">
        <v>0</v>
      </c>
      <c r="D24892" t="inlineStr">
        <is>
          <t>L'Épée Nice; Collier de Tourthon; Anneau Crustique; Bague Gloursonne; Bouclier du Stalak; Ceinture de Gein; Chapeau de Gein; Cape du Cœur Saignant; Bottes de la Cour Sombre; Dofus Ocre; Dokoko; Dofus Ivoire; Dofus Argenté; Enragé majeur; Remueur; Kougnard</t>
        </is>
      </c>
    </row>
    <row r="24893">
      <c r="A24893" t="inlineStr">
        <is>
          <t>Zobal F 200</t>
        </is>
      </c>
      <c r="B24893">
        <f>HYPERLINK("https://www.dofusbook.net/fr/equipement/5526223-zobal-f-200/objets", "link")</f>
        <v/>
      </c>
      <c r="C24893" t="n">
        <v>1</v>
      </c>
      <c r="D24893" t="inlineStr">
        <is>
          <t>Arc Nécrotique; Amulette Volkorne; Bague Trithon; Anneau Volkorne; Quatre-feuilles; Ceintacé; Masque Trithon; Cape de la Dame du Hasard; Bottes de la Dame du Hasard; Dofus Vulbis; Dofus Ocre; Dofus Turquoise; Dofus Ivoire; Dofus Argenté; Dofus Abyssal; Kokulte</t>
        </is>
      </c>
    </row>
    <row r="24894">
      <c r="A24894" t="inlineStr">
        <is>
          <t>plof</t>
        </is>
      </c>
      <c r="B24894">
        <f>HYPERLINK("https://www.dofusbook.net/fr/equipement/5285064-plof/objets", "link")</f>
        <v/>
      </c>
      <c r="C24894" t="n">
        <v>2</v>
      </c>
      <c r="D24894" t="inlineStr">
        <is>
          <t>Rapière aux Glyphes; Amulette de l'Œil Attentif; Anneau Volkorne; Bracelet des Fonds marins; Cadran d'Eau; Ceinture Volkorne; Masque des Fonds marins; Cape de l'Œil Attentif; Sandales des Fonds marins; Dofus Pourpre; Dofus Abyssal; Dofus Turquoise; Dofus Ivoire; Dofus Ocre; Dofus des Glaces; Kougnard</t>
        </is>
      </c>
    </row>
    <row r="24895">
      <c r="A24895" t="inlineStr">
        <is>
          <t>ggg</t>
        </is>
      </c>
      <c r="B24895">
        <f>HYPERLINK("https://www.dofusbook.net/fr/equipement/5284980-ggg/objets", "link")</f>
        <v/>
      </c>
      <c r="C24895" t="n">
        <v>3</v>
      </c>
      <c r="D24895" t="inlineStr">
        <is>
          <t>Bêche Asse; Collier de Tourthon; Anneau de Brouce; Anneau Volkorne; Bouclier d'Ilyzaelle; Ceinture Volkorne; Masque de Koutoulou; Cape au Logis; Bottes de la Cour Sombre; Dofus Ivoire; Dofus Émeraude; Dofus Abyssal; Dofus Pourpre; Remueur; Enragé majeur; Dragodinde Ivoire et Pourpre</t>
        </is>
      </c>
    </row>
    <row r="24896">
      <c r="A24896" t="inlineStr">
        <is>
          <t>Ougg</t>
        </is>
      </c>
      <c r="B24896">
        <f>HYPERLINK("https://www.dofusbook.net/fr/equipement/5284826-ougg/objets", "link")</f>
        <v/>
      </c>
      <c r="C24896" t="n">
        <v>2</v>
      </c>
      <c r="D24896" t="inlineStr">
        <is>
          <t>Bêche Asse; Collier de Tourthon; Anneau de Brouce; Anneau Crustique; Bouclier d'Ilyzaelle; Ceinture Gence; Coiffe de la Reine des Voleurs; Cape au Logis; Bottes de Brouce; Dofus Pourpre; Dofus Ivoire; Dofus Émeraude; Dofus Abyssal; Enragé majeur; Remueur; Dragodinde Ivoire et Pourpre</t>
        </is>
      </c>
    </row>
    <row r="24897">
      <c r="A24897" t="inlineStr">
        <is>
          <t>sss</t>
        </is>
      </c>
      <c r="B24897">
        <f>HYPERLINK("https://www.dofusbook.net/fr/equipement/5253330-sss/objets", "link")</f>
        <v/>
      </c>
      <c r="C24897" t="n">
        <v>2</v>
      </c>
      <c r="D24897" t="inlineStr">
        <is>
          <t>Crocobur; Amulette Volkorne; Bague Gloursonne; Anneau Volkorne; Bouclier d'Ilyzaelle; Ceinture Volkorne; Casque Dragoeuf; Bravoure de Rykke Errel; Sabots Minables; Dofus Ivoire; Dofus Ocre; Dofus Argenté; Dofus Abyssal; Dofus Ébène; Dofus Émeraude; Dragodinde Amande et Pourpre</t>
        </is>
      </c>
    </row>
    <row r="24898">
      <c r="A24898" t="inlineStr">
        <is>
          <t>plouf</t>
        </is>
      </c>
      <c r="B24898">
        <f>HYPERLINK("https://www.dofusbook.net/fr/equipement/5253824-plouf/objets", "link")</f>
        <v/>
      </c>
      <c r="C24898" t="n">
        <v>2</v>
      </c>
      <c r="D24898" t="inlineStr">
        <is>
          <t>Arc Volkorne; Amulette Volkorne; Anneau Volkorne; Bague Trithon; Quatre-feuilles; Ceinture Volkorne; Masque Trithon; Chevelure de Tal Kasha; Bottes Trithon; Dolmanax; Dofus Turquoise; Dofus des Glaces; Dofus Pourpre; Dofus Ocre; Dofus Nébuleux; Kokulte</t>
        </is>
      </c>
    </row>
    <row r="24899">
      <c r="A24899" t="inlineStr">
        <is>
          <t>cacCri</t>
        </is>
      </c>
      <c r="B24899">
        <f>HYPERLINK("https://www.dofusbook.net/fr/equipement/4809551-caccri/objets", "link")</f>
        <v/>
      </c>
      <c r="C24899" t="n">
        <v>0</v>
      </c>
      <c r="D24899" t="inlineStr">
        <is>
          <t>Epée Maudite du Saigneur Guerrier; Amulette Volkorne; Bague Trithon; Anneau Volkorne; Bouclier Pandawa; Ceinture Volkorne; Masque Trithon; Chevelure de Tal Kasha; Bottes Trithon; Dofus Ivoire; Dofus Turquoise; Dofus Pourpre; Dofus Nébuleux; Dofus Ocre; Dofus des Glaces; Kokulte</t>
        </is>
      </c>
    </row>
    <row r="24900">
      <c r="A24900" t="inlineStr">
        <is>
          <t>bii</t>
        </is>
      </c>
      <c r="B24900">
        <f>HYPERLINK("https://www.dofusbook.net/fr/equipement/4736275-bii/objets", "link")</f>
        <v/>
      </c>
      <c r="C24900" t="n">
        <v>0</v>
      </c>
      <c r="D24900" t="inlineStr">
        <is>
          <t>Epée Toche; Amulette de Gein; Bague Gloursonne; Chevalière du Roi Joueur; Bouclier d'Ilyzaelle; Ceinture de Gein; Masque de Koutoulou; Bravoure de Rykke Errel; Bottes Honyme; Dofus Pourpre; Dofus Ivoire; Dofus Nébuleux; Dofus Turquoise; Dofus Abyssal; Nomade; Cromeugnon</t>
        </is>
      </c>
    </row>
    <row r="24901">
      <c r="A24901" t="inlineStr">
        <is>
          <t>0Dofus0Exo</t>
        </is>
      </c>
      <c r="B24901">
        <f>HYPERLINK("https://www.dofusbook.net/fr/equipement/4136361-0dofus0exo/objets", "link")</f>
        <v/>
      </c>
      <c r="C24901" t="n">
        <v>6</v>
      </c>
      <c r="D24901" t="inlineStr">
        <is>
          <t>Epée Gloursonne; Amulette du Strigide; Alliance Gloursonne; Bague Gloursonne; Quatre-feuilles; Ceinture du Strigide; Casque du Chalœil; Cape du Chalœil; Bottes du Strigide; Dolmanax; Voyageur; Furibond majeur; Joueur majeur; Puissant majeur; Savant majeur; Volkorne Orchidée</t>
        </is>
      </c>
    </row>
    <row r="24902">
      <c r="A24902" t="inlineStr">
        <is>
          <t>sekhii</t>
        </is>
      </c>
      <c r="B24902">
        <f>HYPERLINK("https://www.dofusbook.net/fr/equipement/4597430-sekhii/objets", "link")</f>
        <v/>
      </c>
      <c r="C24902" t="n">
        <v>1</v>
      </c>
      <c r="D24902" t="inlineStr">
        <is>
          <t>Sceptre du Roi Joueur; Amulette de Shokkoth; Bracelet des Fonds marins; Anneau Volkorne; Bouclier du Stalak; Poulpagne; Capuche de l'Œil Attentif; Cape de l'Œil Attentif; Bottes du Sinistrofu; Dofus Pourpre; Dofus Nébuleux; Dofus Ivoire; Nomade; Chanceux majeur; Remueur; Pioute bleu</t>
        </is>
      </c>
    </row>
    <row r="24903">
      <c r="A24903" t="inlineStr">
        <is>
          <t>force</t>
        </is>
      </c>
      <c r="B24903">
        <f>HYPERLINK("https://www.dofusbook.net/fr/equipement/3218468-force/objets", "link")</f>
        <v/>
      </c>
      <c r="C24903" t="n">
        <v>5</v>
      </c>
      <c r="D24903" t="inlineStr">
        <is>
          <t>Arc du Chalœil; Amulette du Cœur Saignant; Anneau Chevelu; Anneau Volkorne; Bouclier du Stalak; Ceinture Volkorne; Masque de Funespadon; Cape du Cœur Saignant; Bottes du Cœur Saignant; Dofus Pourpre; Dofus des Glaces; Dofus Ocre; Dofus Ivoire; Dolmanax; Dofus Abyssal; Pioute vert</t>
        </is>
      </c>
    </row>
    <row r="24904">
      <c r="A24904" t="inlineStr">
        <is>
          <t>3panobof</t>
        </is>
      </c>
      <c r="B24904">
        <f>HYPERLINK("https://www.dofusbook.net/fr/equipement/4568314-3panobof/objets", "link")</f>
        <v/>
      </c>
      <c r="C24904" t="n">
        <v>0</v>
      </c>
      <c r="D24904" t="inlineStr">
        <is>
          <t>Marteau d'Henual; Amulette Volcanique; Anneau d'Henual; Alliance Brûlâme; Cadran de Feu; Ceinture d'Henual; Masque Brûlâme; Sac Volcanique; Sabots Volcaniques; Dolmanax; Dofus Émeraude; Dofus Ocre; Dofus des Glaces; Dofus Ivoire; Cromeugnon</t>
        </is>
      </c>
    </row>
    <row r="24905">
      <c r="A24905" t="inlineStr">
        <is>
          <t>ressfull</t>
        </is>
      </c>
      <c r="B24905">
        <f>HYPERLINK("https://www.dofusbook.net/fr/equipement/4568046-ressfull/objets", "link")</f>
        <v/>
      </c>
      <c r="C24905" t="n">
        <v>1</v>
      </c>
      <c r="D24905" t="inlineStr">
        <is>
          <t>Dagues Érhy; Collier de Tourthon; Anneau Chevelu; Anneau Crustique; Cadran de Feu; Ceinture Gence; Coiffe de la Reine des Voleurs; Ankhape; Chaussons de Macrab; Dofus Ivoire; Dofus Ocre; Carapace Eau majeur; Carapace Feu majeur; Enragé majeur; Carapace Terre majeur; Muldo Indigo et Pourpre</t>
        </is>
      </c>
    </row>
    <row r="24906">
      <c r="A24906" t="inlineStr">
        <is>
          <t>ress</t>
        </is>
      </c>
      <c r="B24906">
        <f>HYPERLINK("https://www.dofusbook.net/fr/equipement/4567973-ress/objets", "link")</f>
        <v/>
      </c>
      <c r="C24906" t="n">
        <v>0</v>
      </c>
      <c r="D24906" t="inlineStr">
        <is>
          <t>Bâthon; Amulette Ementaire Deluxe; Anneau Volkorne; Chevalière du Roi Joueur; Cadran de Feu; Ceinture Volkorne; Couronne du Roi Joueur; Cape au Logis; Bottes du Roi Joueur; Dokoko; Dofus Émeraude; Dofus Ocre; Dolmanax; Dofus Ivoire; Survivant majeur; Bwak de Terre</t>
        </is>
      </c>
    </row>
    <row r="24907">
      <c r="A24907" t="inlineStr">
        <is>
          <t>than2</t>
        </is>
      </c>
      <c r="B24907">
        <f>HYPERLINK("https://www.dofusbook.net/fr/equipement/4567944-than2/objets", "link")</f>
        <v/>
      </c>
      <c r="C24907" t="n">
        <v>0</v>
      </c>
      <c r="D24907" t="inlineStr">
        <is>
          <t>Le Thanos; Amulette Volkorne; Bague Gloursonne; Baguistik; Cadran de Feu; Ceinture Volkorne; Ruskauffe; Voile d'encre; Sabots Minables; Dofus Ivoire; Remueur; Carapace Air majeur; Guérisseur majeur; Nomade; Enragé majeur; Dragodinde Pourpre et Rousse</t>
        </is>
      </c>
    </row>
    <row r="24908">
      <c r="A24908" t="inlineStr">
        <is>
          <t>than</t>
        </is>
      </c>
      <c r="B24908">
        <f>HYPERLINK("https://www.dofusbook.net/fr/equipement/4567869-than/objets", "link")</f>
        <v/>
      </c>
      <c r="C24908" t="n">
        <v>0</v>
      </c>
      <c r="D24908" t="inlineStr">
        <is>
          <t>Le Thanos; Amulette du Cycloïde; Baguistik; Bague Gloursonne; Cadran de Feu; Ceinture du Comte Razof; Chapeau du Comte Razof; Voile d'encre; Sabots Minables; Dofus Ivoire; Nomade; Enragé majeur; Remueur; Carapace Terre majeur; Guérisseur majeur; Dragodinde Pourpre et Rousse</t>
        </is>
      </c>
    </row>
    <row r="24909">
      <c r="A24909" t="inlineStr">
        <is>
          <t>bofsoin</t>
        </is>
      </c>
      <c r="B24909">
        <f>HYPERLINK("https://www.dofusbook.net/fr/equipement/4567296-bofsoin/objets", "link")</f>
        <v/>
      </c>
      <c r="C24909" t="n">
        <v>2</v>
      </c>
      <c r="D24909" t="inlineStr">
        <is>
          <t>Bâthon; Torquistik; Alliance du Lévitrof; Baguistik; Cadran de Terre; Ceinture du Comte Razof; Chapeau du Comte Razof; Voile d'encre; Bottistik; Dofus Émeraude; Dofus Abyssal; Dolmanax; Dofus Ivoire; Dofus Ocre; Bastion majeur; Muldo Pourpre</t>
        </is>
      </c>
    </row>
    <row r="24910">
      <c r="A24910" t="inlineStr">
        <is>
          <t>tfs</t>
        </is>
      </c>
      <c r="B24910">
        <f>HYPERLINK("https://www.dofusbook.net/fr/equipement/4566767-tfs/objets", "link")</f>
        <v/>
      </c>
      <c r="C24910" t="n">
        <v>0</v>
      </c>
      <c r="D24910" t="inlineStr">
        <is>
          <t>Lav'Hache; Amulette Volcanique; Anneau Chevelu; Alliance du Lévitrof; Cadran de Terre; Ceinture Gence; Chapeau de Gein; Voile d'encre; Sabots Volcaniques; Dofus Ivoire; Dofus Émeraude; Dofus Ocre; Carapace Feu majeur; Miraculé majeur; Enragé majeur; Muldo Indigo et Pourpre</t>
        </is>
      </c>
    </row>
    <row r="24911">
      <c r="A24911" t="inlineStr">
        <is>
          <t>testterrefeu</t>
        </is>
      </c>
      <c r="B24911">
        <f>HYPERLINK("https://www.dofusbook.net/fr/equipement/4566669-testterrefeu/objets", "link")</f>
        <v/>
      </c>
      <c r="C24911" t="n">
        <v>0</v>
      </c>
      <c r="D24911" t="inlineStr">
        <is>
          <t>Bâthon; Amulette Volkorne; Anneau Crustique; Bague Gloursonne; Cadran de Feu; Ceinture Volkorne; Chapeau de Gein; Cape du Cœur Saignant; Bottes Honyme; Dofus Émeraude; Dofus Ivoire; Nomade; Carapace Feu majeur; Remueur; Carapace Eau majeur; Dragodinde Dorée et Rousse</t>
        </is>
      </c>
    </row>
    <row r="24912">
      <c r="A24912" t="inlineStr">
        <is>
          <t>eaudocistri</t>
        </is>
      </c>
      <c r="B24912">
        <f>HYPERLINK("https://www.dofusbook.net/fr/equipement/3771588-eaudocistri/objets", "link")</f>
        <v/>
      </c>
      <c r="C24912" t="n">
        <v>0</v>
      </c>
      <c r="D24912" t="inlineStr">
        <is>
          <t>Sceptre du Roi Joueur; Amulette du Strigide; Alliance Gloursonne; Anneau Volkorne; Bouclier du Stalak; Ceinture du Strigide; Casque d'Ilyzaelle; Cape de l'Œil Attentif; Pataugastrique; Dofus Pourpre; Dofus Nébuleux; Remueur; Chanceux majeur; Nomade; Carapace Eau majeur; Pioute bleu</t>
        </is>
      </c>
    </row>
    <row r="24913">
      <c r="A24913" t="inlineStr">
        <is>
          <t>flotte</t>
        </is>
      </c>
      <c r="B24913">
        <f>HYPERLINK("https://www.dofusbook.net/fr/equipement/4450934-flotte/objets", "link")</f>
        <v/>
      </c>
      <c r="C24913" t="n">
        <v>0</v>
      </c>
      <c r="D24913" t="inlineStr">
        <is>
          <t>Sceptre du Roi Joueur; Amulette du Strigide; Alliance Gloursonne; Anneau Volkorne; Bouclier du Stalak; Sangle Ouare; Capuche de l'Œil Attentif; Cape Solution; Bottes du Strigide; Dofus Ivoire; Dofus Pourpre; Dofus Ocre; Dofus Nébuleux; Carapace Air majeur; Chanceux majeur; Pioute bleu</t>
        </is>
      </c>
    </row>
    <row r="24914">
      <c r="A24914" t="inlineStr">
        <is>
          <t>testflotteosa</t>
        </is>
      </c>
      <c r="B24914">
        <f>HYPERLINK("https://www.dofusbook.net/fr/equipement/4451076-testflotteosa/objets", "link")</f>
        <v/>
      </c>
      <c r="C24914" t="n">
        <v>0</v>
      </c>
      <c r="D24914" t="inlineStr">
        <is>
          <t>Sceptre du Roi Joueur; Amulette de Shokkoth; Alliance Gloursonne; Bracelet des Fonds marins; Bouclier du Stalak; Sangle Ouare; Masque des Fonds marins; Cape Solution; Bottes du Sinistrofu; Dofus Nébuleux; Dofus Pourpre; Dofus Ivoire; Chanceux majeur; Vigoureux majeur; Remueur; Pioute bleu</t>
        </is>
      </c>
    </row>
    <row r="24915">
      <c r="A24915" t="inlineStr">
        <is>
          <t>dpstest2</t>
        </is>
      </c>
      <c r="B24915">
        <f>HYPERLINK("https://www.dofusbook.net/fr/equipement/4476722-dpstest2/objets", "link")</f>
        <v/>
      </c>
      <c r="C24915" t="n">
        <v>2</v>
      </c>
      <c r="D24915" t="inlineStr">
        <is>
          <t>Sceptre du Roi Joueur; Amulette de Shokkoth; Anneau Volkorne; Alliance Gloursonne; Bouclier du Stalak; Sangle Ouare; Capuche de l'Œil Attentif; Cape de l'Œil Attentif; Pataugastrique; Dofus Nébuleux; Dofus Ivoire; Dofus Pourpre; Remueur; Chanceux majeur; Vigoureux majeur; Pioute bleu</t>
        </is>
      </c>
    </row>
    <row r="24916">
      <c r="A24916" t="inlineStr">
        <is>
          <t>flotest</t>
        </is>
      </c>
      <c r="B24916">
        <f>HYPERLINK("https://www.dofusbook.net/fr/equipement/4451027-flotest/objets", "link")</f>
        <v/>
      </c>
      <c r="C24916" t="n">
        <v>0</v>
      </c>
      <c r="D24916" t="inlineStr">
        <is>
          <t>Sceptre du Roi Joueur; Amulette de Shokkoth; Anneau Volkorne; Alliance Gloursonne; Bouclier du Stalak; Poulpagne; Capuche de l'Œil Attentif; Cape de l'Œil Attentif; Bottes du Sinistrofu; Dofus Ivoire; Dofus Pourpre; Dofus Nébuleux; Remueur; Nomade; Chanceux majeur; Pioute bleu</t>
        </is>
      </c>
    </row>
    <row r="24917">
      <c r="A24917" t="inlineStr">
        <is>
          <t>Iop F 200</t>
        </is>
      </c>
      <c r="B24917">
        <f>HYPERLINK("https://www.dofusbook.net/fr/equipement/4387346-iop-f-200/objets", "link")</f>
        <v/>
      </c>
      <c r="C24917" t="n">
        <v>1</v>
      </c>
      <c r="D24917" t="inlineStr">
        <is>
          <t>Epée Toche; Amulette Volkorne; Anneau Volkorne; Chevalière du Roi Joueur; Bouclier Taverne; Ceinture Volkorne; Couronne du Roi Joueur; Cape du Cœur Saignant; Bottes du Roi Joueur; Dofus Turquoise; Dofus Abyssal; Dofus Pourpre; Dofus des Glaces; Dofus Ocre; Dofus Nébuleux; Sakochère</t>
        </is>
      </c>
    </row>
    <row r="24918">
      <c r="A24918" t="inlineStr">
        <is>
          <t>airdopou</t>
        </is>
      </c>
      <c r="B24918">
        <f>HYPERLINK("https://www.dofusbook.net/fr/equipement/4336893-airdopou/objets", "link")</f>
        <v/>
      </c>
      <c r="C24918" t="n">
        <v>1</v>
      </c>
      <c r="D24918" t="inlineStr">
        <is>
          <t>Hachoirs de Viandargh; Amibou; Bague Instable; Bague Trithon; Bouclier précieux; Audace de Dodge; Chapibou; Cape des Malveilleurs; Bottes du Cœur Vaillant; Dofus Ivoire; Remueur; Pousseur majeur; Culbuteur; Bousculeur majeur; Culbuteur majeur; Balafreux</t>
        </is>
      </c>
    </row>
    <row r="24919">
      <c r="A24919" t="inlineStr">
        <is>
          <t>fulllTEST</t>
        </is>
      </c>
      <c r="B24919">
        <f>HYPERLINK("https://www.dofusbook.net/fr/equipement/4252512-fullltest/objets", "link")</f>
        <v/>
      </c>
      <c r="C24919" t="n">
        <v>1</v>
      </c>
      <c r="D24919" t="inlineStr">
        <is>
          <t>Hachoirs de Viandargh; Torquistik; Bague Trithon; Bague Instable; Bouclier précieux; Ceinture Gence; Casque Dragoeuf; Cape Solution; Bottistik; Dofus Ivoire; Pousseur majeur; Culbuteur majeur; Bousculeur; Culbuteur; Bousculeur majeur; Balafreux</t>
        </is>
      </c>
    </row>
    <row r="24920">
      <c r="A24920" t="inlineStr">
        <is>
          <t>full</t>
        </is>
      </c>
      <c r="B24920">
        <f>HYPERLINK("https://www.dofusbook.net/fr/equipement/4251382-full/objets", "link")</f>
        <v/>
      </c>
      <c r="C24920" t="n">
        <v>0</v>
      </c>
      <c r="D24920" t="inlineStr">
        <is>
          <t>Hachoirs de Viandargh; Torquistik; Bague Instable; Bague Trithon; Bouclier précieux; Ceinture Gence; Casque Dragoeuf; Cape des Malveilleurs; Bottistik; Dofus Ivoire; Bousculeur majeur; Pousseur majeur; Culbuteur majeur; Remueur; Culbuteur; Balafreux</t>
        </is>
      </c>
    </row>
    <row r="24921">
      <c r="A24921" t="inlineStr">
        <is>
          <t>airdopou</t>
        </is>
      </c>
      <c r="B24921">
        <f>HYPERLINK("https://www.dofusbook.net/fr/equipement/4251298-airdopou/objets", "link")</f>
        <v/>
      </c>
      <c r="C24921" t="n">
        <v>0</v>
      </c>
      <c r="D24921" t="inlineStr">
        <is>
          <t>Hachoirs de Viandargh; Amulette du Cœur Vaillant; Bague Trithon; Bague Instable; Bouclier précieux; Audace de Dodge; Casque Dragoeuf; Cape des Malveilleurs; Bottes des Malveilleurs; Pousseur majeur; Culbuteur majeur; Bousculeur; Remueur; Culbuteur; Bousculeur majeur; Balafreux</t>
        </is>
      </c>
    </row>
    <row r="24922">
      <c r="A24922" t="inlineStr">
        <is>
          <t>Huppermage F 200</t>
        </is>
      </c>
      <c r="B24922">
        <f>HYPERLINK("https://www.dofusbook.net/fr/equipement/4246983-huppermage-f-200/objets", "link")</f>
        <v/>
      </c>
      <c r="C24922" t="n">
        <v>0</v>
      </c>
      <c r="D24922" t="inlineStr">
        <is>
          <t>Arc du Chalœil; Amulette Luminescente; Bague Instable; Bague Trithon; Bouclier précieux; Ceinture Gence; Masque Paztek; Cape Luminescente; Bottes du Cœur Vaillant; Dofus Ivoire; Remueur; Bousculeur majeur; Carapace Feu majeur; Culbuteur majeur; Pousseur majeur; Balafreux</t>
        </is>
      </c>
    </row>
    <row r="24923">
      <c r="A24923" t="inlineStr">
        <is>
          <t>Huppermage soin/dopou</t>
        </is>
      </c>
      <c r="B24923">
        <f>HYPERLINK("https://www.dofusbook.net/fr/equipement/4246899-huppermage-soin-dopou/objets", "link")</f>
        <v/>
      </c>
      <c r="C24923" t="n">
        <v>0</v>
      </c>
      <c r="D24923" t="inlineStr">
        <is>
          <t>Arc Hétype; Torquistik; Anneau Toriété; Bague Trithon; Bouclier précieux; Audace de Dodge; Masque Paztek; Cape des Malveilleurs; Bottistik; Dofus Ivoire; Dofus Ocre; Bousculeur majeur; Remueur; Culbuteur majeur; Culbuteur; Scarakiri</t>
        </is>
      </c>
    </row>
    <row r="24924">
      <c r="A24924" t="inlineStr">
        <is>
          <t>Zobal M 200</t>
        </is>
      </c>
      <c r="B24924">
        <f>HYPERLINK("https://www.dofusbook.net/fr/equipement/4187203-zobal-m-200/objets", "link")</f>
        <v/>
      </c>
      <c r="C24924" t="n">
        <v>0</v>
      </c>
      <c r="D24924" t="inlineStr">
        <is>
          <t>Baguette Hique; Amulette Volkorne; Anneau Volkorne; Bracelet du Piloztère; Quatre-feuilles; Sangle Ouare; Némès de Tal Kasha; Chevelure de Tal Kasha; Sandales de Tal Kasha; Dofus Turquoise; Dofus Nébuleux; Dofus Pourpre; Dolmanax; Dofus des Glaces; Dofus Ocre; Kokulte</t>
        </is>
      </c>
    </row>
    <row r="24925">
      <c r="A24925" t="inlineStr">
        <is>
          <t>testfinal</t>
        </is>
      </c>
      <c r="B24925">
        <f>HYPERLINK("https://www.dofusbook.net/fr/equipement/4129832-testfinal/objets", "link")</f>
        <v/>
      </c>
      <c r="C24925" t="n">
        <v>0</v>
      </c>
      <c r="D24925" t="inlineStr">
        <is>
          <t>Arc corrompu; Pendentif mignon de Koutoulou; Anneau de Nidas; Anneau Tique; Cadran de Feu; Protopagne; Casque Cyclopéen; Cape de Diondin; Chaussures Ardentes; Dofus Ivoire; Érudit majeur; Carapace Neutre majeur; Carapace Eau majeur; Déserteur majeur; Évasif majeur; Chienchien Tigré</t>
        </is>
      </c>
    </row>
    <row r="24926">
      <c r="A24926" t="inlineStr">
        <is>
          <t>sans exo/dofus</t>
        </is>
      </c>
      <c r="B24926">
        <f>HYPERLINK("https://www.dofusbook.net/fr/equipement/4122873-sans-exo-dofus/objets", "link")</f>
        <v/>
      </c>
      <c r="C24926" t="n">
        <v>21</v>
      </c>
      <c r="D24926" t="inlineStr">
        <is>
          <t>Bâton Beau; Amulette du Strigide; Anneau de Padgref; Bracelet du Piloztère; Quatre-feuilles; Ceintacé; Le Dorado; Cape du Chalœil; Bottes du Strigide; Enragé majeur; Nomade; Érudit majeur; Remueur; Miraculé majeur; Vigoureux majeur; Muldo Doré et Emeraude</t>
        </is>
      </c>
    </row>
    <row r="24927">
      <c r="A24927" t="inlineStr">
        <is>
          <t>feu</t>
        </is>
      </c>
      <c r="B24927">
        <f>HYPERLINK("https://www.dofusbook.net/fr/equipement/4122173-feu/objets", "link")</f>
        <v/>
      </c>
      <c r="C24927" t="n">
        <v>4</v>
      </c>
      <c r="D24927" t="inlineStr">
        <is>
          <t>Arc corrompu; Amulette Volkorne; Anneau Tique; Anneauræus; Bouclier du Stalak; Ceinture Séculaire; Coiffe Séculaire; Cape de la Dame du Hasard; Pataugastrique; Dofus Turquoise; Dofus Pourpre; Dofus Ocre; Nomade; Érudit majeur; Carapace Feu majeur; Dragodinde Amande et Orchidée</t>
        </is>
      </c>
    </row>
    <row r="24928">
      <c r="A24928" t="inlineStr">
        <is>
          <t>feustri</t>
        </is>
      </c>
      <c r="B24928">
        <f>HYPERLINK("https://www.dofusbook.net/fr/equipement/4122361-feustri/objets", "link")</f>
        <v/>
      </c>
      <c r="C24928" t="n">
        <v>1</v>
      </c>
      <c r="D24928" t="inlineStr">
        <is>
          <t>Arc corrompu; Amulette du Strigide; Anneauræus; Anneauræus; Bouclier du Stalak; Ceinture du Strigide; Heaume Oplate; Cape de la Dame du Hasard; Bottes Innommables; Dofus Turquoise; Dofus Pourpre; Dofus Ocre; Carapace Feu majeur; Nomade; Érudit majeur; Dragodinde Amande et Orchidée</t>
        </is>
      </c>
    </row>
    <row r="24929">
      <c r="A24929" t="inlineStr">
        <is>
          <t>feu3</t>
        </is>
      </c>
      <c r="B24929">
        <f>HYPERLINK("https://www.dofusbook.net/fr/equipement/4122268-feu3/objets", "link")</f>
        <v/>
      </c>
      <c r="C24929" t="n">
        <v>2</v>
      </c>
      <c r="D24929" t="inlineStr">
        <is>
          <t>Arc corrompu; Amulette Volkorne; Anneauræus; Anneau Tique; Bouclier du Stalak; Ceinture de Gein; Chapeau de Gein; Cape de Diondin; Pataugastrique; Dofus Ocre; Dofus Turquoise; Carapace Feu majeur; Nomade; Carapace Terre majeur; Érudit majeur; Dragodinde Amande et Orchidée</t>
        </is>
      </c>
    </row>
    <row r="24930">
      <c r="A24930" t="inlineStr">
        <is>
          <t>feu2</t>
        </is>
      </c>
      <c r="B24930">
        <f>HYPERLINK("https://www.dofusbook.net/fr/equipement/4122237-feu2/objets", "link")</f>
        <v/>
      </c>
      <c r="C24930" t="n">
        <v>2</v>
      </c>
      <c r="D24930" t="inlineStr">
        <is>
          <t>Arc corrompu; Amulette de Nileza; Anneauræus; Anneauræus; Bouclier du Stalak; Ceinture Séculaire; Heaume Oplate; Cape de Nileza; Bottes Innommables; Dofus Ocre; Dofus Pourpre; Dofus Turquoise; Carapace Feu majeur; Nomade; Érudit majeur; Dragodinde Amande et Orchidée</t>
        </is>
      </c>
    </row>
    <row r="24931">
      <c r="A24931" t="inlineStr">
        <is>
          <t>marte</t>
        </is>
      </c>
      <c r="B24931">
        <f>HYPERLINK("https://www.dofusbook.net/fr/equipement/4042016-marte/objets", "link")</f>
        <v/>
      </c>
      <c r="C24931" t="n">
        <v>2</v>
      </c>
      <c r="D24931" t="inlineStr">
        <is>
          <t>Arc corrompu; Amulette Volkorne; Anneau Tique; Anneau de Nidas; Bouclier du Stalak; Protopagne; Masquegel; Cape Martegel; Pataugastrique; Dofus Ivoire; Remueur; Carapace Terre majeur; Carapace Feu majeur; Déserteur majeur; Érudit majeur; Meuch</t>
        </is>
      </c>
    </row>
    <row r="24932">
      <c r="A24932" t="inlineStr">
        <is>
          <t>nul</t>
        </is>
      </c>
      <c r="B24932">
        <f>HYPERLINK("https://www.dofusbook.net/fr/equipement/4073359-nul/objets", "link")</f>
        <v/>
      </c>
      <c r="C24932" t="n">
        <v>1</v>
      </c>
      <c r="D24932" t="inlineStr">
        <is>
          <t>Arc corrompu; Pendentif mignon de Koutoulou; Anneau Rifique; Anneau de Nidas; Bouclier du Stalak; Ceinture de Vortex; Couronne de Nidas; Cape Martegel; Tongues de Nidas; Dofus Ivoire; Dofus Émeraude; Dofus Ocre; Vagabond majeur; Bastion majeur; Savant majeur; Muldo Orchidée</t>
        </is>
      </c>
    </row>
    <row r="24933">
      <c r="A24933" t="inlineStr">
        <is>
          <t>CyphInnoProt</t>
        </is>
      </c>
      <c r="B24933">
        <f>HYPERLINK("https://www.dofusbook.net/fr/equipement/4072333-cyphinnoprot/objets", "link")</f>
        <v/>
      </c>
      <c r="C24933" t="n">
        <v>1</v>
      </c>
      <c r="D24933" t="inlineStr">
        <is>
          <t>Arc corrompu; Pendentif mignon de Koutoulou; Anneau de Nidas; Anneau Tique; Bouclier du Stalak; Protopagne; Casque Cyclopéen; Cape de Diondin; Bottes Innommables; Dofus Ivoire; Érudit majeur; Carapace Feu majeur; Carapace Eau majeur; Fortification majeure; Remueur; Meuch</t>
        </is>
      </c>
    </row>
    <row r="24934">
      <c r="A24934" t="inlineStr">
        <is>
          <t>nile</t>
        </is>
      </c>
      <c r="B24934">
        <f>HYPERLINK("https://www.dofusbook.net/fr/equipement/4072555-nile/objets", "link")</f>
        <v/>
      </c>
      <c r="C24934" t="n">
        <v>2</v>
      </c>
      <c r="D24934" t="inlineStr">
        <is>
          <t>Arc corrompu; Amulette de Nileza; Anneau Tique; Anneau de Nidas; Bouclier du Stalak; Protopagne; Masquegel; Cape de Nileza; Pataugastrique; Dofus Ivoire; Déserteur majeur; Miraculé majeur; Carapace Feu majeur; Remueur; Érudit majeur; Meuch</t>
        </is>
      </c>
    </row>
    <row r="24935">
      <c r="A24935" t="inlineStr">
        <is>
          <t>secuCarap</t>
        </is>
      </c>
      <c r="B24935">
        <f>HYPERLINK("https://www.dofusbook.net/fr/equipement/363460-secucarap/objets", "link")</f>
        <v/>
      </c>
      <c r="C24935" t="n">
        <v>3</v>
      </c>
      <c r="D24935" t="inlineStr">
        <is>
          <t>Arc Hétype; Amulette Volkorne; Anneau de Nidas; Anneau Tique; Carapar; Ceinture Séculaire; Coiffe Séculaire; Cape de Diondin; Bottes Innommables; Dofus Ivoire; Nomade; Remueur; Carapace Eau majeur; Carapace Terre majeur; Carapace Feu majeur; Meuch</t>
        </is>
      </c>
    </row>
    <row r="24936">
      <c r="A24936" t="inlineStr">
        <is>
          <t>nada2</t>
        </is>
      </c>
      <c r="B24936">
        <f>HYPERLINK("https://www.dofusbook.net/fr/equipement/4072344-nada2/objets", "link")</f>
        <v/>
      </c>
      <c r="C24936" t="n">
        <v>0</v>
      </c>
      <c r="D24936" t="inlineStr">
        <is>
          <t>Bouclier du Mont Kipou</t>
        </is>
      </c>
    </row>
    <row r="24937">
      <c r="A24937" t="inlineStr">
        <is>
          <t>nidardent</t>
        </is>
      </c>
      <c r="B24937">
        <f>HYPERLINK("https://www.dofusbook.net/fr/equipement/4073663-nidardent/objets", "link")</f>
        <v/>
      </c>
      <c r="C24937" t="n">
        <v>4</v>
      </c>
      <c r="D24937" t="inlineStr">
        <is>
          <t>Arc corrompu; Amulette Volkorne; Anneau Tique; Anneau de Nidas; Bouclier du Stalak; Protopagne; Couronne de Nidas; Cape de Diondin; Chaussures Ardentes; Dofus Ivoire; Remueur; Carapace Eau majeur; Carapace Feu majeur; Érudit majeur; Déserteur majeur; Meuch</t>
        </is>
      </c>
    </row>
    <row r="24938">
      <c r="A24938" t="inlineStr">
        <is>
          <t>nidold</t>
        </is>
      </c>
      <c r="B24938">
        <f>HYPERLINK("https://www.dofusbook.net/fr/equipement/363520-nidold/objets", "link")</f>
        <v/>
      </c>
      <c r="C24938" t="n">
        <v>1</v>
      </c>
      <c r="D24938" t="inlineStr">
        <is>
          <t>Arc corrompu; Amulette Volkorne; Anneau de Nidas; Anneau Tique; Bouclier du Stalak; Protopagne; Couronne de Nidas; Cape de Diondin; Bottes Innommables; Dofus Ivoire; Érudit majeur; Carapace Terre majeur; Remueur; Carapace Eau majeur; Déserteur majeur; Meuch</t>
        </is>
      </c>
    </row>
    <row r="24939">
      <c r="A24939" t="inlineStr">
        <is>
          <t>testest</t>
        </is>
      </c>
      <c r="B24939">
        <f>HYPERLINK("https://www.dofusbook.net/fr/equipement/4072513-testest/objets", "link")</f>
        <v/>
      </c>
      <c r="C24939" t="n">
        <v>0</v>
      </c>
      <c r="D24939" t="inlineStr">
        <is>
          <t>Arc corrompu; Amulette de Nileza; Anneau Tique; Anneau de Nidas; Bouclier du Stalak; Ceinture de Vortex; Masquegel; Cape de Nileza; Chaussures Ardentes; Dofus Ivoire; Remueur; Érudit majeur; Déserteur majeur; Nomade; Carapace Feu majeur; Volkorne Orchidée</t>
        </is>
      </c>
    </row>
    <row r="24940">
      <c r="A24940" t="inlineStr">
        <is>
          <t>feuuralll</t>
        </is>
      </c>
      <c r="B24940">
        <f>HYPERLINK("https://www.dofusbook.net/fr/equipement/4030589-feuuralll/objets", "link")</f>
        <v/>
      </c>
      <c r="C24940" t="n">
        <v>5</v>
      </c>
      <c r="D24940" t="inlineStr">
        <is>
          <t>Arc corrompu; Amulette Volkorne; Anneau de Nidas; Anneau Tique; Sept ans de malheur; Ceinture de Vortex; Couronne de Nidas; Cape de Diondin; Chaussures Ardentes; Dofus Ivoire; Nomade; Étourdisseur majeur; Remueur; Carapace Feu majeur; Érudit majeur; Kouin-Kouin Noir</t>
        </is>
      </c>
    </row>
    <row r="24941">
      <c r="A24941" t="inlineStr">
        <is>
          <t>feurall</t>
        </is>
      </c>
      <c r="B24941">
        <f>HYPERLINK("https://www.dofusbook.net/fr/equipement/4030422-feurall/objets", "link")</f>
        <v/>
      </c>
      <c r="C24941" t="n">
        <v>2</v>
      </c>
      <c r="D24941" t="inlineStr">
        <is>
          <t>Arc corrompu; Amulette Volkorne; Anneau de Nidas; Anneau Tique; Sept ans de malheur; Ceinture de Vortex; Masque Ardent; Cape de Diondin; Chaussures Ardentes; Dofus Ivoire; Dofus Abyssal; Érudit majeur; Remueur; Étourdisseur majeur; Carapace Neutre majeur; Kouin-Kouin Noir</t>
        </is>
      </c>
    </row>
    <row r="24942">
      <c r="A24942" t="inlineStr">
        <is>
          <t>fnew</t>
        </is>
      </c>
      <c r="B24942">
        <f>HYPERLINK("https://www.dofusbook.net/fr/equipement/4008323-fnew/objets", "link")</f>
        <v/>
      </c>
      <c r="C24942" t="n">
        <v>1</v>
      </c>
      <c r="D24942" t="inlineStr">
        <is>
          <t>Arc Hétype; Amulette Volkorne; Anneau Tique; Anneauræus; Carapar; Ceinture Séculaire; Coiffe Séculaire; Cape de Diondin; Bottes Innommables; Carapace Terre majeur; Nomade; Carapace Feu majeur; Remueur; Érudit majeur; Meuch</t>
        </is>
      </c>
    </row>
    <row r="24943">
      <c r="A24943" t="inlineStr">
        <is>
          <t>ildstuffress</t>
        </is>
      </c>
      <c r="B24943">
        <f>HYPERLINK("https://www.dofusbook.net/fr/equipement/2128392-ildstuffress/objets", "link")</f>
        <v/>
      </c>
      <c r="C24943" t="n">
        <v>0</v>
      </c>
      <c r="D24943" t="inlineStr">
        <is>
          <t>Baguette de Malléfisk; Amulette Cryochrone; Anneau Tique; Anneau de Nidas; Carapar; Ceinture de Vortex; Couronne de Nidas; Voile d'encre; Bottes Innommables; Dolmanax; Dofus Ocre; Érudit majeur; Carapace Feu majeur; Remueur; Guérisseur majeur; Muldo Orchidée et Pourpre</t>
        </is>
      </c>
    </row>
    <row r="24944">
      <c r="A24944" t="inlineStr">
        <is>
          <t>hmmmfeuvieu</t>
        </is>
      </c>
      <c r="B24944">
        <f>HYPERLINK("https://www.dofusbook.net/fr/equipement/2296155-hmmmfeuvieu/objets", "link")</f>
        <v/>
      </c>
      <c r="C24944" t="n">
        <v>0</v>
      </c>
      <c r="D24944" t="inlineStr">
        <is>
          <t>Arc Hétype; Pendentif affamé; Anneau Tique; Anneau Rifique; Carapar; Ceinture de Vortex; Casque Cyclopéen; Cape de Diondin; Bottes Innommables; Dolmanax; Carapace Eau majeur; Carapace Feu majeur; Érudit majeur; Guérisseur majeur; Remueur; Muldo Orchidée et Pourpre</t>
        </is>
      </c>
    </row>
    <row r="24945">
      <c r="A24945" t="inlineStr">
        <is>
          <t>terdis</t>
        </is>
      </c>
      <c r="B24945">
        <f>HYPERLINK("https://www.dofusbook.net/fr/equipement/3211871-terdis/objets", "link")</f>
        <v/>
      </c>
      <c r="C24945" t="n">
        <v>11</v>
      </c>
      <c r="D24945" t="inlineStr">
        <is>
          <t>Arc du Chalœil; Amulette du Strigide; Anneau Chevelu; Anneau Crustique; Bouclier du Stalak; Ceinture Volkorne; Masque de Koutoulou; Cape au Logis; Bottes du Strigide; Dofus Pourpre; Dofus Ivoire; Remueur; Enragé majeur; Vigoureux majeur; Dragodinde Ivoire et Pourpre</t>
        </is>
      </c>
    </row>
    <row r="24946">
      <c r="A24946" t="inlineStr">
        <is>
          <t>Xélor F 200</t>
        </is>
      </c>
      <c r="B24946">
        <f>HYPERLINK("https://www.dofusbook.net/fr/equipement/3816671-xelor-f-200/objets", "link")</f>
        <v/>
      </c>
      <c r="C24946" t="n">
        <v>5</v>
      </c>
      <c r="D24946" t="inlineStr">
        <is>
          <t>Lance Horselé; Amulette du Cœur Vaillant; Gant du Valet Veinard; Alliance Gloursonne; Sept ans de malheur; Menoture; Casque Volkorne; Cape du Cœur Vaillant; Sabots de Vortex; Engourdisseur majeur; Étourdisseur majeur; Étourdisseur; Paralyseur majeur; Remueur; Cascadeur majeur; Muldo Ebène</t>
        </is>
      </c>
    </row>
    <row r="24947">
      <c r="A24947" t="inlineStr">
        <is>
          <t>kili</t>
        </is>
      </c>
      <c r="B24947">
        <f>HYPERLINK("https://www.dofusbook.net/fr/equipement/3743417-kili/objets", "link")</f>
        <v/>
      </c>
      <c r="C24947" t="n">
        <v>0</v>
      </c>
      <c r="D24947" t="inlineStr">
        <is>
          <t>Arc corrompu; Amulette de Nileza; Anneauræus; Anneauræus; Quatre-feuilles; Ceinture de Vortex; Heaume Oplate; Cape de Nileza; Bottes Innommables; Dofus Pourpre; Dofus Ivoire; Dofus Turquoise; Dofus Abyssal; Érudit majeur; Dragodinde Ivoire et Orchidée</t>
        </is>
      </c>
    </row>
    <row r="24948">
      <c r="A24948" t="inlineStr">
        <is>
          <t>mrrTT</t>
        </is>
      </c>
      <c r="B24948">
        <f>HYPERLINK("https://www.dofusbook.net/fr/equipement/3735270-mrrtt/objets", "link")</f>
        <v/>
      </c>
      <c r="C24948" t="n">
        <v>0</v>
      </c>
      <c r="D24948" t="inlineStr">
        <is>
          <t>Arc du Chalœil; Amulette du Strigide; Chevalière du Roi Joueur; Anneau Crustique; Bouclier du Stalak; Ceinture du Strigide; Couronne du Roi Joueur; Cape au Logis; Bottes du Roi Joueur; Dofus Ivoire; Dofus des Glaces; Dolmanax; Dofus Ocre; Dofus Pourpre; Dofus Abyssal; Dragodinde Ivoire et Pourpre</t>
        </is>
      </c>
    </row>
    <row r="24949">
      <c r="A24949" t="inlineStr">
        <is>
          <t>Mr-T</t>
        </is>
      </c>
      <c r="B24949">
        <f>HYPERLINK("https://www.dofusbook.net/fr/equipement/3731589-mr-t/objets", "link")</f>
        <v/>
      </c>
      <c r="C24949" t="n">
        <v>0</v>
      </c>
      <c r="D24949" t="inlineStr">
        <is>
          <t>Marteau R'ture; Amulette du Strigide; Anneau Crustique; Anneau Crustique; Bouclier d'Ilyzaelle; Ceinture Gence; Masque de Koutoulou; Cape au Logis; Bottes du Strigide; Dofus Pourpre; Dofus Abyssal; Dofus Turquoise; Forcené majeur; Enragé majeur; Vigoureux majeur; Dragodinde Ivoire et Pourpre</t>
        </is>
      </c>
    </row>
    <row r="24950">
      <c r="A24950" t="inlineStr">
        <is>
          <t>airroxxx</t>
        </is>
      </c>
      <c r="B24950">
        <f>HYPERLINK("https://www.dofusbook.net/fr/equipement/3541378-airroxxx/objets", "link")</f>
        <v/>
      </c>
      <c r="C24950" t="n">
        <v>0</v>
      </c>
      <c r="D24950" t="inlineStr">
        <is>
          <t>Manthache; Collier du Valet Veinard; Gant du Valet Veinard; Anneau de Padgref; Ceinture du Barbétoal; Coiffe de Padgref; Cape Indescriptible; Getas de Padgref; Dofus Pourpre; Dofus des Glaces; Dofus Turquoise; Dofus Abyssal; Dofus Ocre; Dofus Ivoire; Muldo Ebène</t>
        </is>
      </c>
    </row>
    <row r="24951">
      <c r="A24951" t="inlineStr">
        <is>
          <t>aircri3</t>
        </is>
      </c>
      <c r="B24951">
        <f>HYPERLINK("https://www.dofusbook.net/fr/equipement/3543854-aircri3/objets", "link")</f>
        <v/>
      </c>
      <c r="C24951" t="n">
        <v>1</v>
      </c>
      <c r="D24951" t="inlineStr">
        <is>
          <t>Manthache; Amulette Voldelor; Anneau de Padgref; Alliance Gloursonne; Quatre-feuilles; Menoture; Coiffe de Padgref; Cape Indescriptible; Palmes Trithons; Dofus Ocre; Dofus Turquoise; Dofus Abyssal; Dofus Pourpre; Dofus Ivoire; Cascadeur majeur; Muldo Ebène</t>
        </is>
      </c>
    </row>
    <row r="24952">
      <c r="A24952" t="inlineStr">
        <is>
          <t>aircri2</t>
        </is>
      </c>
      <c r="B24952">
        <f>HYPERLINK("https://www.dofusbook.net/fr/equipement/3543390-aircri2/objets", "link")</f>
        <v/>
      </c>
      <c r="C24952" t="n">
        <v>0</v>
      </c>
      <c r="D24952" t="inlineStr">
        <is>
          <t>Manthache; Collier du Valet Veinard; Gant du Valet Veinard; Anneau de Padgref; Quatre-feuilles; Sangle Oriole; Coiffe de Padgref; Cape du Valet Veinard; Getas de Padgref; Dofus Pourpre; Dofus Abyssal; Dofus Turquoise; Dofus Ivoire; Dofus des Glaces; Dofus Ocre; Muldo Ebène</t>
        </is>
      </c>
    </row>
    <row r="24953">
      <c r="A24953" t="inlineStr">
        <is>
          <t>airdocri</t>
        </is>
      </c>
      <c r="B24953">
        <f>HYPERLINK("https://www.dofusbook.net/fr/equipement/3540869-airdocri/objets", "link")</f>
        <v/>
      </c>
      <c r="C24953" t="n">
        <v>0</v>
      </c>
      <c r="D24953" t="inlineStr">
        <is>
          <t>Baguette de Frigostine; Amulette du Strigide; Anneau de Padgref; Gant du Valet Veinard; Quatre-feuilles; Ceinture du Strigide; Coiffe de Padgref; Cape Indescriptible; Getas de Padgref; Dofus Pourpre; Dofus Ivoire; Dolmanax; Dofus Ocre; Dofus Turquoise; Dofus Abyssal; Muldo Indigo</t>
        </is>
      </c>
    </row>
    <row r="24954">
      <c r="A24954" t="inlineStr">
        <is>
          <t>testt</t>
        </is>
      </c>
      <c r="B24954">
        <f>HYPERLINK("https://www.dofusbook.net/fr/equipement/3530173-testt/objets", "link")</f>
        <v/>
      </c>
      <c r="C24954" t="n">
        <v>1</v>
      </c>
      <c r="D24954" t="inlineStr">
        <is>
          <t>Arc de Koutoulou; Amulette du Strigide; Alliance Gloursonne; Anneau Volkorne; Cadran de Terre; Ceinture du Strigide; Casque Volkorne; Chevelure de Tal Kasha; Sandales de Tal Kasha; Dofus Ocre; Dofus Abyssal; Dofus Pourpre; Dofus Ivoire; Dofus Turquoise; Dofus des Glaces; Volkorne Saphir</t>
        </is>
      </c>
    </row>
    <row r="24955">
      <c r="A24955" t="inlineStr">
        <is>
          <t>retry</t>
        </is>
      </c>
      <c r="B24955">
        <f>HYPERLINK("https://www.dofusbook.net/fr/equipement/3519481-retry/objets", "link")</f>
        <v/>
      </c>
      <c r="C24955" t="n">
        <v>1</v>
      </c>
      <c r="D24955" t="inlineStr">
        <is>
          <t>Arc de Koutoulou; Amulette du Strigide; Alliance Gloursonne; Anneau de Padgref; Quatre-feuilles; Ceinture du Strigide; Némès de Tal Kasha; Chevelure de Tal Kasha; Sandales de Tal Kasha; Dolmanax; Dofus Turquoise; Dofus Ocre; Dofus Abyssal; Dofus Pourpre; Dofus Ivoire</t>
        </is>
      </c>
    </row>
    <row r="24956">
      <c r="A24956" t="inlineStr">
        <is>
          <t>terini</t>
        </is>
      </c>
      <c r="B24956">
        <f>HYPERLINK("https://www.dofusbook.net/fr/equipement/3079423-terini/objets", "link")</f>
        <v/>
      </c>
      <c r="C24956" t="n">
        <v>0</v>
      </c>
      <c r="D24956" t="inlineStr">
        <is>
          <t>Arc du Chalœil; Amulette du Strigide; Anneau Crustique; Anneau du Katcheur; Quatre-feuilles; Ceinture du Strigide; Masque du Katcheur; Cape au Logis; Bottes du Katcheur; Dofus Émeraude; Dofus Turquoise; Dolmanax; Dofus Ocre; Dofus Pourpre; Dofus Nébuleux; Dragodinde Amande et Pourpre</t>
        </is>
      </c>
    </row>
    <row r="24957">
      <c r="A24957" t="inlineStr">
        <is>
          <t>Eniripsa F 200</t>
        </is>
      </c>
      <c r="B24957">
        <f>HYPERLINK("https://www.dofusbook.net/fr/equipement/3515428-eniripsa-f-200/objets", "link")</f>
        <v/>
      </c>
      <c r="C24957" t="n">
        <v>1</v>
      </c>
      <c r="D24957" t="inlineStr">
        <is>
          <t>Manthache; Collier du Valet Veinard; Alliance Gloursonne; Gant du Valet Veinard; Quatre-feuilles; Menoture; Casque Volkorne; Cape Indescriptible; Palmes Trithons; Dofus Ocre; Dofus Turquoise; Dofus des Glaces; Dofus Ivoire; Carapace Air majeur; Cascadeur majeur; Muldo Ebène et Orchidée</t>
        </is>
      </c>
    </row>
    <row r="24958">
      <c r="A24958" t="inlineStr">
        <is>
          <t>aire</t>
        </is>
      </c>
      <c r="B24958">
        <f>HYPERLINK("https://www.dofusbook.net/fr/equipement/3514622-aire/objets", "link")</f>
        <v/>
      </c>
      <c r="C24958" t="n">
        <v>1</v>
      </c>
      <c r="D24958" t="inlineStr">
        <is>
          <t>Pelle de la Cour Sombre; Frimamulette; Alliance Gloursonne; Gant du Valet Veinard; Quatre-feuilles; Sangle Oriole; Dorabysses; Cape de Crânonier; Palmes Trithons; Dofus Ocre; Dofus Abyssal; Dofus Ivoire; Carapace Feu majeur; Carapace Air majeur; Cascadeur majeur; Volkorne Rubis et Ebène</t>
        </is>
      </c>
    </row>
    <row r="24959">
      <c r="A24959" t="inlineStr">
        <is>
          <t>Eniri</t>
        </is>
      </c>
      <c r="B24959">
        <f>HYPERLINK("https://www.dofusbook.net/fr/equipement/3514579-eniri/objets", "link")</f>
        <v/>
      </c>
      <c r="C24959" t="n">
        <v>1</v>
      </c>
      <c r="D24959" t="inlineStr">
        <is>
          <t>Manthache; Collier du Valet Veinard; Gant du Valet Veinard; Alliance Gloursonne; Quatre-feuilles; Sangle Oriole; Casque Volkorne; Cape Indescriptible; Palmes Trithons; Dofus Ivoire; Dofus Ocre; Dofus Abyssal; Cascadeur majeur; Carapace Air majeur; Volkorne Améthyste et Ebène</t>
        </is>
      </c>
    </row>
    <row r="24960">
      <c r="A24960" t="inlineStr">
        <is>
          <t>Eniripsa F 200</t>
        </is>
      </c>
      <c r="B24960">
        <f>HYPERLINK("https://www.dofusbook.net/fr/equipement/3505606-eniripsa-f-200/objets", "link")</f>
        <v/>
      </c>
      <c r="C24960" t="n">
        <v>0</v>
      </c>
      <c r="D24960" t="inlineStr">
        <is>
          <t>Arc de Koutoulou; Amulette du Strigide; Anneau de Padgref; Alliance Gloursonne; Bouclier du Stalak; Ceinture du Strigide; Némès de Tal Kasha; Chevelure de Tal Kasha; Sandales de Tal Kasha; Dolmanax; Dofus Ocre; Dofus Pourpre; Dofus Ivoire; Dofus Turquoise; Dofus Abyssal; Muldo Ebène et Indigo</t>
        </is>
      </c>
    </row>
    <row r="24961">
      <c r="A24961" t="inlineStr">
        <is>
          <t>Eniripsa F 200</t>
        </is>
      </c>
      <c r="B24961">
        <f>HYPERLINK("https://www.dofusbook.net/fr/equipement/3503639-eniripsa-f-200/objets", "link")</f>
        <v/>
      </c>
      <c r="C24961" t="n">
        <v>0</v>
      </c>
      <c r="D24961" t="inlineStr">
        <is>
          <t>Arc de Koutoulou; Amulette Voldelor; Alliance Gloursonne; Anneau Volkorne; Bouclier du Stalak; Ceinture du Barbétoal; Casque Volkorne; Cape Matelassée; Sandales de Tal Kasha; Dofus Turquoise; Cascadeur majeur; Étourdisseur majeur; Chanceux majeur; Remueur; Carapace Air majeur; Muldo Ebène et Indigo</t>
        </is>
      </c>
    </row>
    <row r="24962">
      <c r="A24962" t="inlineStr">
        <is>
          <t>reseo</t>
        </is>
      </c>
      <c r="B24962">
        <f>HYPERLINK("https://www.dofusbook.net/fr/equipement/2971058-reseo/objets", "link")</f>
        <v/>
      </c>
      <c r="C24962" t="n">
        <v>0</v>
      </c>
      <c r="D24962" t="inlineStr">
        <is>
          <t>Dagues Eudin; Amulette de Nevark; Bracelet du Piloztère; Chevalière du Roi Joueur; Bouclier du Stalak; Ceinture de Nevark; Couronne du Roi Joueur; Cape de Nevark; Bottes du Roi Joueur; Dofus Ivoire; Dolmanax; Dofus Ocre; Dofus des Glaces; Dofus Pourpre; Robuste majeur; Dragodinde Ivoire et Pourpre</t>
        </is>
      </c>
    </row>
    <row r="24963">
      <c r="A24963" t="inlineStr">
        <is>
          <t>Sadida F 200</t>
        </is>
      </c>
      <c r="B24963">
        <f>HYPERLINK("https://www.dofusbook.net/fr/equipement/3469231-sadida-f-200/objets", "link")</f>
        <v/>
      </c>
      <c r="C24963" t="n">
        <v>2</v>
      </c>
      <c r="D24963" t="inlineStr">
        <is>
          <t>Arc Nécrotique; Collier de la Dame du Hasard; Anneau Volkorne; Alliance du Lévitrof; Bouclier cubiste; Ceinture de l'Esprit Malsain; Casquette de Meno; Cape de la Dame du Hasard; Pataugastrique; Dofus des Glaces; Dolmanax; Dofus Ivoire; Érudit majeur; Chanceux majeur; Remueur; Dragodinde Indigo et Orchidée</t>
        </is>
      </c>
    </row>
    <row r="24964">
      <c r="A24964" t="inlineStr">
        <is>
          <t>Stuff 1</t>
        </is>
      </c>
      <c r="B24964">
        <f>HYPERLINK("https://www.dofusbook.net/fr/equipement/363531-stuff-1/objets", "link")</f>
        <v/>
      </c>
      <c r="C24964" t="n">
        <v>0</v>
      </c>
      <c r="D24964" t="inlineStr">
        <is>
          <t>Sceptre du Roi Joueur; Amulette de Shokkoth; Alliance Gloursonne; Anneau Volkorne; Bouclier du Stalak; Ceinture Glaciale; Masque des Fonds marins; Cape Solution; Sandales des Fonds marins; Dofus Abyssal; Dofus Ivoire; Remueur; Chanceux majeur; Carapace Feu majeur; Nomade; Dragodinde Indigo et Ivoire</t>
        </is>
      </c>
    </row>
    <row r="24965">
      <c r="A24965" t="inlineStr">
        <is>
          <t>Stuff 2</t>
        </is>
      </c>
      <c r="B24965">
        <f>HYPERLINK("https://www.dofusbook.net/fr/equipement/363532-stuff-2/objets", "link")</f>
        <v/>
      </c>
      <c r="C24965" t="n">
        <v>1</v>
      </c>
      <c r="D24965" t="inlineStr">
        <is>
          <t>Arc du Chalœil; Torquistik; Anneau Chevelu; Alliance Gloursonne; Bouclier précieux; Ceinture Gence; Masque d'Anerice; Cape d'Anerice; Bottes Trithon; Dofus Ocre; Dofus Abyssal; Dofus Émeraude; Dofus Ivoire; Culbuteur majeur; Bousculeur majeur; Muldo Ebène et Pourpre</t>
        </is>
      </c>
    </row>
    <row r="24966">
      <c r="A24966" t="inlineStr">
        <is>
          <t>Stuff 2</t>
        </is>
      </c>
      <c r="B24966">
        <f>HYPERLINK("https://www.dofusbook.net/fr/equipement/363463-stuff-2/objets", "link")</f>
        <v/>
      </c>
      <c r="C24966" t="n">
        <v>1</v>
      </c>
      <c r="D24966" t="inlineStr">
        <is>
          <t>Sceptre du Roi Joueur; Amulette de Shokkoth; Anneau Volkorne; Bracelet des Fonds marins; Quatre-feuilles; Pagne du Rykaon; Masque des Fonds marins; Cape Solution; Bottes du Sinistrofu; Dofus Ivoire; Dofus Pourpre; Dofus Émeraude; Chanceux majeur; Remueur; Miraculé majeur</t>
        </is>
      </c>
    </row>
    <row r="24967">
      <c r="A24967" t="inlineStr">
        <is>
          <t>dfgvbn6m</t>
        </is>
      </c>
      <c r="B24967">
        <f>HYPERLINK("https://www.dofusbook.net/fr/equipement/2762636-dfgvbn6m/objets", "link")</f>
        <v/>
      </c>
      <c r="C24967" t="n">
        <v>1</v>
      </c>
      <c r="D24967" t="inlineStr">
        <is>
          <t>Sceptre du Roi Joueur; Amulette de Shokkoth; Bracelet des Fonds marins; Anneau Volkorne; Quatre-feuilles; Poulpagne; Capuche de l'Œil Attentif; Cape Solution; Sandales des Fonds marins; Dofus Abyssal; Dofus Pourpre; Dofus Ivoire; Remueur; Chanceux majeur</t>
        </is>
      </c>
    </row>
    <row r="24968">
      <c r="A24968" t="inlineStr">
        <is>
          <t>Ecaflip M 200</t>
        </is>
      </c>
      <c r="B24968">
        <f>HYPERLINK("https://www.dofusbook.net/fr/equipement/3340030-ecaflip-m-200/objets", "link")</f>
        <v/>
      </c>
      <c r="C24968" t="n">
        <v>0</v>
      </c>
      <c r="D24968" t="inlineStr">
        <is>
          <t>Arc du Chalœil; Amulette de Gein; Anneau Toriété; Anneau Crustique; Bouclier du Stalak; Ceinture de Gein; Chapeau de Gein; Cape du Cœur Saignant; Bottes du Cœur Saignant; Dofus Pourpre; Dofus Nébuleux; Dofus Turquoise; Dofus Abyssal; Dofus Ocre; Dofus Ivoire; Kramkram</t>
        </is>
      </c>
    </row>
    <row r="24969">
      <c r="A24969" t="inlineStr">
        <is>
          <t>Ecaflip M 200</t>
        </is>
      </c>
      <c r="B24969">
        <f>HYPERLINK("https://www.dofusbook.net/fr/equipement/3339439-ecaflip-m-200/objets", "link")</f>
        <v/>
      </c>
      <c r="C24969" t="n">
        <v>0</v>
      </c>
      <c r="D24969" t="inlineStr">
        <is>
          <t>Hache Téroïde; Amulette de Gein; Bague Gloursonne; Chevalière du Roi Joueur; Bouclier du Stalak; Ceinture de Gein; Couronne du Roi Joueur; Voile d'encre; Bottes du Roi Joueur; Dofus Pourpre; Dofus Abyssal; Dofus Ocre; Dofus Ivoire; Dofus Turquoise; Dofus Nébuleux; Muldo Pourpre</t>
        </is>
      </c>
    </row>
    <row r="24970">
      <c r="A24970" t="inlineStr">
        <is>
          <t>testerre</t>
        </is>
      </c>
      <c r="B24970">
        <f>HYPERLINK("https://www.dofusbook.net/fr/equipement/3245534-testerre/objets", "link")</f>
        <v/>
      </c>
      <c r="C24970" t="n">
        <v>0</v>
      </c>
      <c r="D24970" t="inlineStr">
        <is>
          <t>Arc du Chalœil; Collier de Tourthon; Anneau Crustique; Anneau Crustique; Bouclier du Stalak; Ceinture Gence; Coiffe de la Reine des Voleurs; Cape du Cœur Saignant; Bottes du Cœur Saignant; Dofus Pourpre; Dofus des Glaces; Dofus Ocre; Dofus Ivoire; Dofus Abyssal; Enragé majeur; Muldo Orchidée et Pourpre</t>
        </is>
      </c>
    </row>
    <row r="24971">
      <c r="A24971" t="inlineStr">
        <is>
          <t>Stuff 3</t>
        </is>
      </c>
      <c r="B24971">
        <f>HYPERLINK("https://www.dofusbook.net/fr/equipement/363518-stuff-3/objets", "link")</f>
        <v/>
      </c>
      <c r="C24971" t="n">
        <v>0</v>
      </c>
      <c r="D24971" t="inlineStr">
        <is>
          <t>Manthache; Collier du Valet Veinard; Gant du Valet Veinard; Anneau des égarés; Bouclier du Stalak; Ceinture de la Reine des Voleurs; Coiffe de la Reine des Voleurs; Cape du Valet Veinard; Bottes de la Reine des Voleurs; Dofus Pourpre; Dofus Ocre; Dofus Nébuleux; Dolmanax; Dofus des Glaces; Acrobate majeur; Muldo Ebène</t>
        </is>
      </c>
    </row>
    <row r="24972">
      <c r="A24972" t="inlineStr">
        <is>
          <t>hmm</t>
        </is>
      </c>
      <c r="B24972">
        <f>HYPERLINK("https://www.dofusbook.net/fr/equipement/3210138-hmm/objets", "link")</f>
        <v/>
      </c>
      <c r="C24972" t="n">
        <v>0</v>
      </c>
      <c r="D24972" t="inlineStr">
        <is>
          <t>Héqache; Amulette du Cœur Vaillant; Bague Trithon; Anneau des égarés; Bouclier précieux; Ceinture Gence; Coiffe de la Reine des Voleurs; Cape au Logis; Bottes du Cœur Vaillant; Bousculeur; Pousseur majeur; Remueur; Culbuteur majeur; Culbuteur; Bousculeur majeur; Kramkram</t>
        </is>
      </c>
    </row>
    <row r="24973">
      <c r="A24973" t="inlineStr">
        <is>
          <t>tercac</t>
        </is>
      </c>
      <c r="B24973">
        <f>HYPERLINK("https://www.dofusbook.net/fr/equipement/3211784-tercac/objets", "link")</f>
        <v/>
      </c>
      <c r="C24973" t="n">
        <v>3</v>
      </c>
      <c r="D24973" t="inlineStr">
        <is>
          <t>Dagues d'Ilyzaelle; Amulette du Strigide; Anneau Crustique; Anneau Crustique; Bouclier d'Ilyzaelle; Ceinture du Strigide; Masque de Koutoulou; Cape au Logis; Bottes du Cœur Saignant; Dofus Pourpre; Dofus Nébuleux; Dofus Émeraude; Dofus Abyssal; Remueur; Enragé majeur; Kramkram</t>
        </is>
      </c>
    </row>
    <row r="24974">
      <c r="A24974" t="inlineStr">
        <is>
          <t>roxxgne</t>
        </is>
      </c>
      <c r="B24974">
        <f>HYPERLINK("https://www.dofusbook.net/fr/equipement/3211359-roxxgne/objets", "link")</f>
        <v/>
      </c>
      <c r="C24974" t="n">
        <v>0</v>
      </c>
      <c r="D24974" t="inlineStr">
        <is>
          <t>Héqache; Amulette du Strigide; Anneau de Padgref; Bague Trithon; Bouclier du Stalak; Ceinture Gence; Masque Trithon; Cape du Cœur Saignant; Bottes du Strigide; Dofus Pourpre; Dofus Abyssal; Dofus Ocre; Dofus Nébuleux; Pousseur majeur; Bousculeur majeur; Muldo Pourpre et Emeraude</t>
        </is>
      </c>
    </row>
    <row r="24975">
      <c r="A24975" t="inlineStr">
        <is>
          <t>terrr</t>
        </is>
      </c>
      <c r="B24975">
        <f>HYPERLINK("https://www.dofusbook.net/fr/equipement/3210696-terrr/objets", "link")</f>
        <v/>
      </c>
      <c r="C24975" t="n">
        <v>0</v>
      </c>
      <c r="D24975" t="inlineStr">
        <is>
          <t>Lav'Hache; Collier de Tourthon; Goulano; Bague Trithon; Bouclier du Stalak; Ceinture Gence; Masque de Koutoulou; Cape du Cœur Saignant; Bottes Trithon; Dofus Nébuleux; Dofus Pourpre; Pousseur majeur; Enragé majeur; Remueur; Bousculeur majeur; Muldo Orchidée et Pourpre</t>
        </is>
      </c>
    </row>
    <row r="24976">
      <c r="A24976" t="inlineStr">
        <is>
          <t>terdopoumix</t>
        </is>
      </c>
      <c r="B24976">
        <f>HYPERLINK("https://www.dofusbook.net/fr/equipement/3210631-terdopoumix/objets", "link")</f>
        <v/>
      </c>
      <c r="C24976" t="n">
        <v>1</v>
      </c>
      <c r="D24976" t="inlineStr">
        <is>
          <t>Lav'Hache; Amulette du Strigide; Bague Trithon; Goulano; Bouclier du Stalak; Ceinture du Strigide; Masque Trithon; Voile d'encre; Bottes Trithon; Dofus Ocre; Dofus Abyssal; Dofus Pourpre; Dofus Nébuleux; Pousseur majeur; Bousculeur majeur; Muldo Ebène et Pourpre</t>
        </is>
      </c>
    </row>
    <row r="24977">
      <c r="A24977" t="inlineStr">
        <is>
          <t>terdopoumix</t>
        </is>
      </c>
      <c r="B24977">
        <f>HYPERLINK("https://www.dofusbook.net/fr/equipement/3210464-terdopoumix/objets", "link")</f>
        <v/>
      </c>
      <c r="C24977" t="n">
        <v>0</v>
      </c>
      <c r="D24977" t="inlineStr">
        <is>
          <t>Héqache; Amulette du Strigide; Goulano; Bague Trithon; Bouclier du Stalak; Ceinture du Strigide; Masque Trithon; Voile d'encre; Bottes du Strigide; Dofus Pourpre; Dofus Nébuleux; Dofus Ocre; Dofus Abyssal; Pousseur majeur; Bousculeur majeur; Muldo Ebène et Pourpre</t>
        </is>
      </c>
    </row>
    <row r="24978">
      <c r="A24978" t="inlineStr">
        <is>
          <t>feuuu</t>
        </is>
      </c>
      <c r="B24978">
        <f>HYPERLINK("https://www.dofusbook.net/fr/equipement/3182957-feuuu/objets", "link")</f>
        <v/>
      </c>
      <c r="C24978" t="n">
        <v>0</v>
      </c>
      <c r="D24978" t="inlineStr">
        <is>
          <t>Harpelle; Amulette de Nileza; Anneau de Padgref; Anneau Tique; Quatre-feuilles; Ceinture Séculaire; Coiffe Séculaire; Cape de Diondin; Bottes Innommables; Dofus Turquoise; Dofus Nébuleux; Dolmanax; Dofus des Glaces; Dofus Pourpre; Dofus Ocre</t>
        </is>
      </c>
    </row>
    <row r="24979">
      <c r="A24979" t="inlineStr">
        <is>
          <t>feuu</t>
        </is>
      </c>
      <c r="B24979">
        <f>HYPERLINK("https://www.dofusbook.net/fr/equipement/3177286-feuu/objets", "link")</f>
        <v/>
      </c>
      <c r="C24979" t="n">
        <v>0</v>
      </c>
      <c r="D24979" t="inlineStr">
        <is>
          <t>Sabres d'Atcham; Amulette du Strigide; Anneauræus; Anneau de Padgref; Quatre-feuilles; Ceinture du Strigide; Coiffe de Padgref; Cape d'Atcham; Getas de Padgref; Dolmanax; Dofus des Glaces; Dofus Pourpre; Dofus Turquoise; Dofus Ocre; Dofus Nébuleux; Muldo Prune et Emeraude</t>
        </is>
      </c>
    </row>
    <row r="24980">
      <c r="A24980" t="inlineStr">
        <is>
          <t>feu</t>
        </is>
      </c>
      <c r="B24980">
        <f>HYPERLINK("https://www.dofusbook.net/fr/equipement/3176578-feu/objets", "link")</f>
        <v/>
      </c>
      <c r="C24980" t="n">
        <v>0</v>
      </c>
      <c r="D24980" t="inlineStr">
        <is>
          <t>Harpelle; Pendentif affamé; Anneauræus; Anneau de Padgref; Quatre-feuilles; Ceintacé; Coiffe Séculaire; Cape de Diondin; Getas de Padgref; Dofus Nébuleux; Dofus Turquoise; Dofus Pourpre; Vigoureux majeur; Fonceur majeur; Érudit majeur; Muldo Ebène et Orchidée</t>
        </is>
      </c>
    </row>
    <row r="24981">
      <c r="A24981" t="inlineStr">
        <is>
          <t>terinii</t>
        </is>
      </c>
      <c r="B24981">
        <f>HYPERLINK("https://www.dofusbook.net/fr/equipement/3079531-terinii/objets", "link")</f>
        <v/>
      </c>
      <c r="C24981" t="n">
        <v>0</v>
      </c>
      <c r="D24981" t="inlineStr">
        <is>
          <t>Arc du Chalœil; Amulette du Strigide; Anneau Crustique; Anneau Crustique; Quatre-feuilles; Ceinture du Strigide; Masque du Katcheur; Cape au Logis; Bottes de la Cour Sombre; Dolmanax; Dofus Ocre; Dofus Pourpre; Dofus Nébuleux; Dofus Turquoise; Remueur; Kompost</t>
        </is>
      </c>
    </row>
    <row r="24982">
      <c r="A24982" t="inlineStr">
        <is>
          <t>cralent</t>
        </is>
      </c>
      <c r="B24982">
        <f>HYPERLINK("https://www.dofusbook.net/fr/equipement/3064922-cralent/objets", "link")</f>
        <v/>
      </c>
      <c r="C24982" t="n">
        <v>1</v>
      </c>
      <c r="D24982" t="inlineStr">
        <is>
          <t>Bâton Beau; Amulette du Strigide; Bracelet du Piloztère; Goulano; Quatre-feuilles; Sangle Cible; Coiffe du Lévitrof; Cape des Justiciers; Bottes du Strigide; Dofus des Glaces; Dofus Turquoise; Dofus Pourpre; Remueur; Muldo Indigo et Orchidée</t>
        </is>
      </c>
    </row>
    <row r="24983">
      <c r="A24983" t="inlineStr">
        <is>
          <t>dsdghxgfjxxyy</t>
        </is>
      </c>
      <c r="B24983">
        <f>HYPERLINK("https://www.dofusbook.net/fr/equipement/3008489-dsdghxgfjxxyy/objets", "link")</f>
        <v/>
      </c>
      <c r="C24983" t="n">
        <v>0</v>
      </c>
      <c r="D24983" t="inlineStr">
        <is>
          <t>Bâton Beau; Amulette du Strigide; Chevalière du Roi Joueur; Bracelet du Piloztère; Bouclier du Stalak; Ceintacé; Masque de l'Esprit Salvateur; Voilamibe; Bottes du Strigide; Dofus Abyssal; Dofus Pourpre; Dofus des Glaces; Robuste majeur; Vigoureux majeur; Kramkram</t>
        </is>
      </c>
    </row>
    <row r="24984">
      <c r="A24984" t="inlineStr">
        <is>
          <t>terr</t>
        </is>
      </c>
      <c r="B24984">
        <f>HYPERLINK("https://www.dofusbook.net/fr/equipement/2942353-terr/objets", "link")</f>
        <v/>
      </c>
      <c r="C24984" t="n">
        <v>0</v>
      </c>
      <c r="D24984" t="inlineStr">
        <is>
          <t>Dagues d'Ilyzaelle; Collier de Tourthon; Anneau Crustique; Goulano; Goulclier; Ceinture Gence; Masque de Koutoulou; Cape au Logis; Bottes du Cœur Saignant; Dofus Pourpre; Dofus Abyssal; Vigoureux majeur; Carapace Terre majeur; Fortification majeure; Enragé majeur; Kramkram</t>
        </is>
      </c>
    </row>
    <row r="24985">
      <c r="A24985" t="inlineStr">
        <is>
          <t>terre air eau pouu</t>
        </is>
      </c>
      <c r="B24985">
        <f>HYPERLINK("https://www.dofusbook.net/fr/equipement/2919504-terre-air-eau-pouu/objets", "link")</f>
        <v/>
      </c>
      <c r="C24985" t="n">
        <v>0</v>
      </c>
      <c r="D24985" t="inlineStr">
        <is>
          <t>L'Épée Nice; Amulette du Strigide; Alliance Gloursonne; Bague Trithon; Bouclier précieux; Ceinture du Strigide; Masque Trithon; Cape du Cœur Vaillant; Bottes Trithon; Dofus Émeraude; Dofus Pourpre; Dofus Ocre; Pousseur majeur; Bousculeur; Bousculeur majeur; Kramkram</t>
        </is>
      </c>
    </row>
    <row r="24986">
      <c r="A24986" t="inlineStr">
        <is>
          <t>eau terre air dopour</t>
        </is>
      </c>
      <c r="B24986">
        <f>HYPERLINK("https://www.dofusbook.net/fr/equipement/2919473-eau-terre-air-dopour/objets", "link")</f>
        <v/>
      </c>
      <c r="C24986" t="n">
        <v>0</v>
      </c>
      <c r="D24986" t="inlineStr">
        <is>
          <t>L'Épée Nice; Amulette Luminescente; Bague Trithon; Alliance Gloursonne; Bouclier précieux; Ceinture Luminescente; Masque Trithon; Cape Luminescente; Bottes Trithon; Dofus Émeraude; Dofus Pourpre; Dofus Ocre; Bousculeur majeur; Bousculeur; Pousseur majeur; Kramkram</t>
        </is>
      </c>
    </row>
    <row r="24987">
      <c r="A24987" t="inlineStr">
        <is>
          <t>dopou</t>
        </is>
      </c>
      <c r="B24987">
        <f>HYPERLINK("https://www.dofusbook.net/fr/equipement/2897029-dopou/objets", "link")</f>
        <v/>
      </c>
      <c r="C24987" t="n">
        <v>0</v>
      </c>
      <c r="D24987" t="inlineStr">
        <is>
          <t>Hachoirs de Viandargh; Amulette du Cœur Vaillant; Bague Instable; Bague Trithon; Bouclier précieux; Ceinture Gence; Masque Trithon; Cape du Cœur Vaillant; Bottes Trithon; Dofus des Glaces; Dofus Pourpre; Dofus Ocre; Bousculeur; Pousseur majeur; Bousculeur majeur; Muldo Ebène et Pourpre</t>
        </is>
      </c>
    </row>
    <row r="24988">
      <c r="A24988" t="inlineStr">
        <is>
          <t>flldocr</t>
        </is>
      </c>
      <c r="B24988">
        <f>HYPERLINK("https://www.dofusbook.net/fr/equipement/2845621-flldocr/objets", "link")</f>
        <v/>
      </c>
      <c r="C24988" t="n">
        <v>0</v>
      </c>
      <c r="D24988" t="inlineStr">
        <is>
          <t>Bâton Beau; Amulette du Strigide; Bague Trithon; Anneau de Padgref; Bouclier du Stalak; Ceinture du Strigide; Masque Trithon; Chevelure de Tal Kasha; Bottes Trithon; Dofus Pourpre; Dofus Abyssal; Dofus Ocre; Dolmanax; Dofus Nébuleux; Robuste majeur; Muldo Emeraude</t>
        </is>
      </c>
    </row>
    <row r="24989">
      <c r="A24989" t="inlineStr">
        <is>
          <t>new</t>
        </is>
      </c>
      <c r="B24989">
        <f>HYPERLINK("https://www.dofusbook.net/fr/equipement/2812055-new/objets", "link")</f>
        <v/>
      </c>
      <c r="C24989" t="n">
        <v>0</v>
      </c>
      <c r="D24989" t="inlineStr">
        <is>
          <t>Héqache; Amulette du Strigide; Alliance Brûlâme; Bracelet du Piloztère; Quatre-feuilles; Ceintacé; Coiffe de la Reine des Voleurs; Cape de la Fuji Givrefoux; Bottes du Strigide; Kramkram</t>
        </is>
      </c>
    </row>
    <row r="24990">
      <c r="A24990" t="inlineStr">
        <is>
          <t>haen</t>
        </is>
      </c>
      <c r="B24990">
        <f>HYPERLINK("https://www.dofusbook.net/fr/equipement/2811930-haen/objets", "link")</f>
        <v/>
      </c>
      <c r="C24990" t="n">
        <v>0</v>
      </c>
      <c r="D24990" t="inlineStr">
        <is>
          <t>Dague Hirr; Amulette du Strigide; Bracelet du Piloztère; Anneau des égarés; Cadran d'Eau; Ceinture du Strigide; Coiffe de la Fuji Givrefoux; Cape de la Fuji Givrefoux; Bottes du Strigide; Dofus des Glaces; Dofus Ocre; Dofus Abyssal; Dofus Émeraude; Dofus Pourpre; Turbulent; Kramkram</t>
        </is>
      </c>
    </row>
    <row r="24991">
      <c r="A24991" t="inlineStr">
        <is>
          <t>doocrii</t>
        </is>
      </c>
      <c r="B24991">
        <f>HYPERLINK("https://www.dofusbook.net/fr/equipement/2785867-doocrii/objets", "link")</f>
        <v/>
      </c>
      <c r="C24991" t="n">
        <v>0</v>
      </c>
      <c r="D24991" t="inlineStr">
        <is>
          <t>Epée Maudite du Saigneur Guerrier; Amulette du Strigide; Bague Trithon; Anneau de Padgref; Bouclier Pandawa; Ceinture du Strigide; Masque Trithon; Cape des Justiciers; Getas de Padgref; Dofus Pourpre; Dofus Ocre; Dolmanax; Dofus des Glaces; Robuste majeur; Muldo Emeraude</t>
        </is>
      </c>
    </row>
    <row r="24992">
      <c r="A24992" t="inlineStr">
        <is>
          <t>docrii</t>
        </is>
      </c>
      <c r="B24992">
        <f>HYPERLINK("https://www.dofusbook.net/fr/equipement/2783847-docrii/objets", "link")</f>
        <v/>
      </c>
      <c r="C24992" t="n">
        <v>0</v>
      </c>
      <c r="D24992" t="inlineStr">
        <is>
          <t>Hache du Chalœil; Amulette du Strigide; Bague Trithon; Gant du Capitaine Ekarlatte; Bouclier du Stalak; Ceintacé; Masque Trithon; Chevelure de Tal Kasha; Getas de Padgref; Dofus des Glaces; Dofus Pourpre; Carapace Feu majeur; Remueur; Vigoureux majeur; Carapace Terre majeur; Muldo Emeraude</t>
        </is>
      </c>
    </row>
    <row r="24993">
      <c r="A24993" t="inlineStr">
        <is>
          <t>panopano</t>
        </is>
      </c>
      <c r="B24993">
        <f>HYPERLINK("https://www.dofusbook.net/fr/equipement/2782058-panopano/objets", "link")</f>
        <v/>
      </c>
      <c r="C24993" t="n">
        <v>0</v>
      </c>
      <c r="D24993" t="inlineStr">
        <is>
          <t>Héqache; Amulette du Strigide; Bague Instable; Bague Trithon; Bouclier précieux; Ceinture du Strigide; Masque Trithon; Cape du Cœur Vaillant; Bottes Trithon; Dofus des Glaces; Dofus Pourpre; Dofus Ocre; Robuste majeur; Bousculeur majeur; Pousseur majeur; Muldo Ebène</t>
        </is>
      </c>
    </row>
    <row r="24994">
      <c r="A24994" t="inlineStr">
        <is>
          <t>docri</t>
        </is>
      </c>
      <c r="B24994">
        <f>HYPERLINK("https://www.dofusbook.net/fr/equipement/2781989-docri/objets", "link")</f>
        <v/>
      </c>
      <c r="C24994" t="n">
        <v>0</v>
      </c>
      <c r="D24994" t="inlineStr">
        <is>
          <t>Héqache; Amulette du Strigide; Bague Trithon; Bague Instable; Bouclier Taverne; Ceinture Gence; Masque Trithon; Capibou; Bottes du Cœur Vaillant; Dofus Pourpre; Carapace Terre majeur; Remueur; Bousculeur majeur; Vigoureux majeur; Culbuteur majeur; Muldo Ebène et Orchidée</t>
        </is>
      </c>
    </row>
    <row r="24995">
      <c r="A24995" t="inlineStr">
        <is>
          <t>randy</t>
        </is>
      </c>
      <c r="B24995">
        <f>HYPERLINK("https://www.dofusbook.net/fr/equipement/2781970-randy/objets", "link")</f>
        <v/>
      </c>
      <c r="C24995" t="n">
        <v>0</v>
      </c>
      <c r="D24995" t="inlineStr"/>
    </row>
    <row r="24996">
      <c r="A24996" t="inlineStr">
        <is>
          <t>troispano</t>
        </is>
      </c>
      <c r="B24996">
        <f>HYPERLINK("https://www.dofusbook.net/fr/equipement/2775898-troispano/objets", "link")</f>
        <v/>
      </c>
      <c r="C24996" t="n">
        <v>0</v>
      </c>
      <c r="D24996" t="inlineStr">
        <is>
          <t>Epée Gloursonne; Amulette du Strigide; Bague Gloursonne; Alliance Gloursonne; Bouclier Taverne; Ceinture du Strigide; Masque d'Anerice; Cape d'Anerice; Bottes du Strigide; Dofus Pourpre; Dofus Émeraude; Dofus Turquoise; Dolmanax; Dofus des Glaces; Dofus Ocre; Muldo Indigo et Emeraude</t>
        </is>
      </c>
    </row>
    <row r="24997">
      <c r="A24997" t="inlineStr">
        <is>
          <t>air</t>
        </is>
      </c>
      <c r="B24997">
        <f>HYPERLINK("https://www.dofusbook.net/fr/equipement/2775212-air/objets", "link")</f>
        <v/>
      </c>
      <c r="C24997" t="n">
        <v>0</v>
      </c>
      <c r="D24997" t="inlineStr">
        <is>
          <t>Manthache; Collier du Valet Veinard; Gant du Valet Veinard; Alliance Gloursonne; Bouclier d'Ilyzaelle; Menoture; Couronne d'Allister; Cape Indescriptible; Palmes Trithons; Dofus Émeraude; Dofus des Glaces; Remueur; Carapace Air majeur; Cascadeur majeur; Dévastateur Air majeur; Muldo Ebène et Pourpre</t>
        </is>
      </c>
    </row>
    <row r="24998">
      <c r="A24998" t="inlineStr">
        <is>
          <t>nneewweau</t>
        </is>
      </c>
      <c r="B24998">
        <f>HYPERLINK("https://www.dofusbook.net/fr/equipement/2643662-nneewweau/objets", "link")</f>
        <v/>
      </c>
      <c r="C24998" t="n">
        <v>0</v>
      </c>
      <c r="D24998" t="inlineStr">
        <is>
          <t>Sceptre du Roi Joueur; Amulette de Shokkoth; Alliance Gloursonne; Bracelet des Fonds marins; Cadran de Feu; Sangle Ouare; Masque des Fonds marins; Cape Solution; Bottes du Sinistrofu; Dofus Émeraude; Dofus des Glaces; Carapace Eau majeur; Remueur; Miraculé majeur; Chanceux majeur; Kramkram</t>
        </is>
      </c>
    </row>
    <row r="24999">
      <c r="A24999" t="inlineStr">
        <is>
          <t>neweauu</t>
        </is>
      </c>
      <c r="B24999">
        <f>HYPERLINK("https://www.dofusbook.net/fr/equipement/2643183-neweauu/objets", "link")</f>
        <v/>
      </c>
      <c r="C24999" t="n">
        <v>0</v>
      </c>
      <c r="D24999" t="inlineStr">
        <is>
          <t>Sceptre du Roi Joueur; Amulette de Shokkoth; Pikano; Alliance Gloursonne; Cadran de Feu; Ceinture du Barbétoal; Masque des Fonds marins; Cape Solution; Sandales des Fonds marins; Dofus Émeraude; Dofus des Glaces; Chanceux majeur; Carapace Eau majeur; Remueur; Carapace Air majeur; Muldo Indigo</t>
        </is>
      </c>
    </row>
    <row r="25000">
      <c r="A25000" t="inlineStr">
        <is>
          <t>neweau</t>
        </is>
      </c>
      <c r="B25000">
        <f>HYPERLINK("https://www.dofusbook.net/fr/equipement/2642577-neweau/objets", "link")</f>
        <v/>
      </c>
      <c r="C25000" t="n">
        <v>0</v>
      </c>
      <c r="D25000" t="inlineStr">
        <is>
          <t>Sceptre du Roi Joueur; Amulette de Shokkoth; Alliance Gloursonne; Bracelet des Fonds marins; Cadran de Feu; Sangle Ouare; Masque des Fonds marins; Cape Solution; Sandales Circulaires du Kimbo; Dofus Émeraude; Dofus des Glaces; Carapace Eau majeur; Remueur; Carapace Air majeur; Chanceux majeur; Kramkram</t>
        </is>
      </c>
    </row>
    <row r="25001">
      <c r="A25001" t="inlineStr">
        <is>
          <t>hid</t>
        </is>
      </c>
      <c r="B25001">
        <f>HYPERLINK("https://www.dofusbook.net/fr/equipement/2640835-hid/objets", "link")</f>
        <v/>
      </c>
      <c r="C25001" t="n">
        <v>0</v>
      </c>
      <c r="D25001" t="inlineStr">
        <is>
          <t>Arc de Koutoulou; Amulette du Strigide; Alliance Gloursonne; Bracelet du Piloztère; Bouclier du Stalak; Ceintacé; Casque d'Ilyzaelle; Chevelure de Tal Kasha; Bottes du Strigide; Dofus des Glaces; Dofus Nébuleux; Dofus Pourpre; Remueur; Vigoureux majeur; Carapace Air majeur; Muldo Ebène et Indigo</t>
        </is>
      </c>
    </row>
    <row r="25002">
      <c r="A25002" t="inlineStr">
        <is>
          <t>docri</t>
        </is>
      </c>
      <c r="B25002">
        <f>HYPERLINK("https://www.dofusbook.net/fr/equipement/2605653-docri/objets", "link")</f>
        <v/>
      </c>
      <c r="C25002" t="n">
        <v>0</v>
      </c>
      <c r="D25002" t="inlineStr">
        <is>
          <t>Epée Maudite du Saigneur Guerrier; Amulette du Strigide; Anneau de Padgref; Bague Trithon; Bouclier Pandawa; Ceinture du Strigide; Masque Trithon; Chevelure de Tal Kasha; Bottes Trithon; Dofus Pourpre; Dofus Turquoise; Dofus des Glaces; Dolmanax; Dofus Nébuleux; Dofus Ocre; Muldo Orchidée et Emeraude</t>
        </is>
      </c>
    </row>
    <row r="25003">
      <c r="A25003" t="inlineStr">
        <is>
          <t>chk</t>
        </is>
      </c>
      <c r="B25003">
        <f>HYPERLINK("https://www.dofusbook.net/fr/equipement/2602280-chk/objets", "link")</f>
        <v/>
      </c>
      <c r="C25003" t="n">
        <v>0</v>
      </c>
      <c r="D25003" t="inlineStr">
        <is>
          <t>Marteau Reine; Amulette du Strigide; Anneau Crustique; Alliance Brûlâme; Bouclier du Captain Amakna; Ceintacé; Coiffe de la Reine des Voleurs; Cape au Logis; Bottes du Strigide; Dofus Pourpre; Dofus des Glaces; Dofus Turquoise; Dolmanax; Dofus Nébuleux; Remueur; Kramkram</t>
        </is>
      </c>
    </row>
    <row r="25004">
      <c r="A25004" t="inlineStr">
        <is>
          <t>sdfhj</t>
        </is>
      </c>
      <c r="B25004">
        <f>HYPERLINK("https://www.dofusbook.net/fr/equipement/2601956-sdfhj/objets", "link")</f>
        <v/>
      </c>
      <c r="C25004" t="n">
        <v>0</v>
      </c>
      <c r="D25004" t="inlineStr">
        <is>
          <t>Dagues d'Ilyzaelle; Amulette de Gein; Anneau Chevelu; Anneau Crustique; Cadran d'Eau; Ceinture Gence; Masque de Funespadon; Cape du Cœur Saignant; Bottes du Cœur Saignant</t>
        </is>
      </c>
    </row>
    <row r="25005">
      <c r="A25005" t="inlineStr">
        <is>
          <t>test</t>
        </is>
      </c>
      <c r="B25005">
        <f>HYPERLINK("https://www.dofusbook.net/fr/equipement/2573081-test/objets", "link")</f>
        <v/>
      </c>
      <c r="C25005" t="n">
        <v>0</v>
      </c>
      <c r="D25005" t="inlineStr">
        <is>
          <t>Héqache; Amulette Luminescente; Anneau des égarés; Bague Trithon; Bouclier Taverne; Ceinture Luminescente; Masque Trithon; Cape Luminescente; Bottes Trithon; Dolmanax; Dofus Ocre; Dofus Émeraude; Dofus des Glaces; Pousseur majeur; Bousculeur majeur; Muldo Ebène et Pourpre</t>
        </is>
      </c>
    </row>
    <row r="25006">
      <c r="A25006" t="inlineStr">
        <is>
          <t>nes</t>
        </is>
      </c>
      <c r="B25006">
        <f>HYPERLINK("https://www.dofusbook.net/fr/equipement/2573026-nes/objets", "link")</f>
        <v/>
      </c>
      <c r="C25006" t="n">
        <v>0</v>
      </c>
      <c r="D25006" t="inlineStr">
        <is>
          <t>Héqache; Amulette du Cœur Vaillant; Alliance Gloursonne; Bague Trithon; Bouclier Taverne; Ceinture Luminescente; Masque Trithon; Cape Luminescente; Bottes Trithon; Dofus Émeraude; Dofus Ocre; Dolmanax; Dofus Turquoise; Dofus Pourpre; Bousculeur majeur; Muldo Ebène et Pourpre</t>
        </is>
      </c>
    </row>
    <row r="25007">
      <c r="A25007" t="inlineStr">
        <is>
          <t>eah</t>
        </is>
      </c>
      <c r="B25007">
        <f>HYPERLINK("https://www.dofusbook.net/fr/equipement/2572693-eah/objets", "link")</f>
        <v/>
      </c>
      <c r="C25007" t="n">
        <v>0</v>
      </c>
      <c r="D25007" t="inlineStr">
        <is>
          <t>Dagoulinantes; Amulette de Shokkoth; Alliance Gloursonne; Bracelet des Fonds marins; Ceinture Glaciale; Kidibonnet; Cape de l'Œil Attentif; Sandales des Fonds marins; Dolmanax; Dofus Pourpre; Dofus des Glaces; Remueur; Chanceux majeur; Dévastateur Eau majeur; Muldo Indigo et Pourpre</t>
        </is>
      </c>
    </row>
    <row r="25008">
      <c r="A25008" t="inlineStr">
        <is>
          <t>Stuff 1</t>
        </is>
      </c>
      <c r="B25008">
        <f>HYPERLINK("https://www.dofusbook.net/fr/equipement/363510-stuff-1/objets", "link")</f>
        <v/>
      </c>
      <c r="C25008" t="n">
        <v>0</v>
      </c>
      <c r="D25008" t="inlineStr">
        <is>
          <t>Arc de Koutoulou; Amulette d'Ilyzaelle; Bracelet du Piloztère; Alliance Gloursonne; Ceinture de l'Esprit Salvateur; Casque d'Ilyzaelle; Cape du Chalœil; Bottes de la Reine des Voleurs; Dolmanax; Dofus des Glaces; Dofus Pourpre; Cascadeur majeur; Chanceux majeur; Remueur; Muldo Ebène et Indigo</t>
        </is>
      </c>
    </row>
    <row r="25009">
      <c r="A25009" t="inlineStr">
        <is>
          <t>fghjkl</t>
        </is>
      </c>
      <c r="B25009">
        <f>HYPERLINK("https://www.dofusbook.net/fr/equipement/2544201-fghjkl/objets", "link")</f>
        <v/>
      </c>
      <c r="C25009" t="n">
        <v>0</v>
      </c>
      <c r="D25009" t="inlineStr">
        <is>
          <t>Baguette de Malléfisk; Torquistik; Baguistik; Anneau Tique; Carapar; Ceinture de Vortex; Ruskauffe; Cape de Diondin; Bottes Innommables; Remueur; Carapace Terre majeur; Bastion majeur; Fortification majeure; Érudit majeur; Carapace Feu majeur; Muldo Orchidée et Pourpre</t>
        </is>
      </c>
    </row>
    <row r="25010">
      <c r="A25010" t="inlineStr">
        <is>
          <t>hummm</t>
        </is>
      </c>
      <c r="B25010">
        <f>HYPERLINK("https://www.dofusbook.net/fr/equipement/2532789-hummm/objets", "link")</f>
        <v/>
      </c>
      <c r="C25010" t="n">
        <v>0</v>
      </c>
      <c r="D25010" t="inlineStr">
        <is>
          <t>Baguette de Malléfisk; Torquistik; Anneau de Nidas; Baguistik; Carapar; Ceinture de Vortex; Couronne de Nidas; Voile d'encre; Bottistik; Dofus Ocre; Dofus Abyssal; Dofus Émeraude; Dolmanax; Savant majeur; Bastion majeur; Muldo Orchidée et Pourpre</t>
        </is>
      </c>
    </row>
    <row r="25011">
      <c r="A25011" t="inlineStr">
        <is>
          <t>eauu</t>
        </is>
      </c>
      <c r="B25011">
        <f>HYPERLINK("https://www.dofusbook.net/fr/equipement/2473515-eauu/objets", "link")</f>
        <v/>
      </c>
      <c r="C25011" t="n">
        <v>0</v>
      </c>
      <c r="D25011" t="inlineStr">
        <is>
          <t>Pelle Fik; Amulette Ementaire Deluxe; Alliance Gloursonne; Alliance du Lévitrof; Cadran de Feu; Poulpagne; Masque des Fonds marins; Grésilocape; Sandales des Fonds marins; Dolmanax; Carapace Air majeur; Remueur; Carapace Eau majeur; Carapace Terre majeur; Muldo Ebène et Indigo</t>
        </is>
      </c>
    </row>
    <row r="25012">
      <c r="A25012" t="inlineStr">
        <is>
          <t>eau</t>
        </is>
      </c>
      <c r="B25012">
        <f>HYPERLINK("https://www.dofusbook.net/fr/equipement/2473361-eau/objets", "link")</f>
        <v/>
      </c>
      <c r="C25012" t="n">
        <v>1</v>
      </c>
      <c r="D25012" t="inlineStr">
        <is>
          <t>La Racine Hagogue; Amulette de Shokkoth; Pikano; Alliance Gloursonne; Bouclier du Stalak; Poulpagne; Masque des Fonds marins; Cape de Mantaze; Sandales des Fonds marins; Dolmanax; Remueur; Chanceux majeur; Carapace Terre majeur; Fortification majeure; Carapace Eau majeur; Muldo Indigo</t>
        </is>
      </c>
    </row>
    <row r="25013">
      <c r="A25013" t="inlineStr">
        <is>
          <t>hum</t>
        </is>
      </c>
      <c r="B25013">
        <f>HYPERLINK("https://www.dofusbook.net/fr/equipement/2431524-hum/objets", "link")</f>
        <v/>
      </c>
      <c r="C25013" t="n">
        <v>0</v>
      </c>
      <c r="D25013" t="inlineStr">
        <is>
          <t>Baguette de Malléfisk; Torquistik; Anneau Rifique; Baguistik; Bouclier d'Anerice; Ceinture de Vortex; Masque d'Anerice; Cape d'Anerice; Bottistik; Dolmanax; Dofus Ocre; Vagabond majeur; Savant majeur; Astucieux majeur; Bastion majeur; Muldo Pourpre</t>
        </is>
      </c>
    </row>
    <row r="25014">
      <c r="A25014" t="inlineStr">
        <is>
          <t>lkjhf</t>
        </is>
      </c>
      <c r="B25014">
        <f>HYPERLINK("https://www.dofusbook.net/fr/equipement/2257469-lkjhf/objets", "link")</f>
        <v/>
      </c>
      <c r="C25014" t="n">
        <v>0</v>
      </c>
      <c r="D25014" t="inlineStr">
        <is>
          <t>Marteau R'ture; Amulette du Strigide; Anneau Crustique; Anneau Chevelu; Ceinture du Strigide; Masque de Koutoulou; Cape au Logis; Bottes de la Cour Sombre; Dofus Turquoise; Dolmanax; Dofus Pourpre; Vigoureux majeur; Remueur; Enragé majeur; Kramkram</t>
        </is>
      </c>
    </row>
    <row r="25015">
      <c r="A25015" t="inlineStr">
        <is>
          <t>terrr</t>
        </is>
      </c>
      <c r="B25015">
        <f>HYPERLINK("https://www.dofusbook.net/fr/equipement/2265803-terrr/objets", "link")</f>
        <v/>
      </c>
      <c r="C25015" t="n">
        <v>0</v>
      </c>
      <c r="D25015" t="inlineStr">
        <is>
          <t>Marteau R'ture; Amulette du Strigide; Anneau Chevelu; Anneau Crustique; Bouclier Taverne; Ceinture de Brouce; Masque de Koutoulou; Cape au Logis; Bottes du Strigide; Dofus Turquoise; Dolmanax; Dofus Pourpre; Carapace Terre majeur; Remueur; Enragé majeur; Kompost</t>
        </is>
      </c>
    </row>
    <row r="25016">
      <c r="A25016" t="inlineStr">
        <is>
          <t>ter</t>
        </is>
      </c>
      <c r="B25016">
        <f>HYPERLINK("https://www.dofusbook.net/fr/equipement/2264866-ter/objets", "link")</f>
        <v/>
      </c>
      <c r="C25016" t="n">
        <v>0</v>
      </c>
      <c r="D25016" t="inlineStr">
        <is>
          <t>Marteau R'ture; Amulette du Cœur Saignant; Anneau Chevelu; Anneau Crustique; Bouclier Taverne; Ceinture de Brouce; Masque de Koutoulou; Cape au Logis; Bottes du Cœur Saignant; Dolmanax; Dofus Pourpre; Dofus Turquoise; Remueur; Enragé majeur; Carapace Terre majeur; Kompost</t>
        </is>
      </c>
    </row>
    <row r="25017">
      <c r="A25017" t="inlineStr">
        <is>
          <t>sdrgbhnb666666666666</t>
        </is>
      </c>
      <c r="B25017">
        <f>HYPERLINK("https://www.dofusbook.net/fr/equipement/2245844-sdrgbhnb666666666666/objets", "link")</f>
        <v/>
      </c>
      <c r="C25017" t="n">
        <v>0</v>
      </c>
      <c r="D25017" t="inlineStr">
        <is>
          <t>Arc du Chalœil; Amulette du Strigide; Alliance Brûlâme; Bague Gloursonne; Quatre-feuilles; Ceinture du Strigide; Masque Brûlâme; Cape au Logis; Pompes Funèbres; Dolmanax; Dofus Ocre; Dofus Pourpre; Dofus des Glaces; Dofus Turquoise; Dofus Abyssal; Kramkram</t>
        </is>
      </c>
    </row>
    <row r="25018">
      <c r="A25018" t="inlineStr">
        <is>
          <t>Stuff 1</t>
        </is>
      </c>
      <c r="B25018">
        <f>HYPERLINK("https://www.dofusbook.net/fr/equipement/363528-stuff-1/objets", "link")</f>
        <v/>
      </c>
      <c r="C25018" t="n">
        <v>0</v>
      </c>
      <c r="D25018" t="inlineStr">
        <is>
          <t>Marteau d'Henual; Amulette du Strigide; Anneau Chevelu; Bague Gloursonne; Bouclier Taverne; Ceinture du Strigide; Masque de Koutoulou; Cape au Logis; Bottes du Roi Joueur; Dolmanax; Dofus des Glaces; Dofus Turquoise; Remueur; Vigoureux majeur; Enragé majeur; Kramkram</t>
        </is>
      </c>
    </row>
    <row r="25019">
      <c r="A25019" t="inlineStr">
        <is>
          <t>dfnbm</t>
        </is>
      </c>
      <c r="B25019">
        <f>HYPERLINK("https://www.dofusbook.net/fr/equipement/2245898-dfnbm-/objets", "link")</f>
        <v/>
      </c>
      <c r="C25019" t="n">
        <v>0</v>
      </c>
      <c r="D25019" t="inlineStr">
        <is>
          <t>Marteau d'Henual; Amulette de Gein; Anneau d'Henual; Alliance Brûlâme; Bouclier du Captain Amakna; Ceinture d'Henual; Masque Brûlâme; Voile d'encre; Pompes Funèbres; Dofus Pourpre; Dofus des Glaces; Dofus Turquoise; Dofus Abyssal; Dolmanax; Dofus Ocre; Kramkram</t>
        </is>
      </c>
    </row>
    <row r="25020">
      <c r="A25020" t="inlineStr">
        <is>
          <t>kjhgfd</t>
        </is>
      </c>
      <c r="B25020">
        <f>HYPERLINK("https://www.dofusbook.net/fr/equipement/2209649-kjhgfd/objets", "link")</f>
        <v/>
      </c>
      <c r="C25020" t="n">
        <v>0</v>
      </c>
      <c r="D25020" t="inlineStr">
        <is>
          <t>Héqache; Amulette du Cœur Vaillant; Anneau de Guten Tak; Anneau Crustique; Bouclier Taverne; Ceinture Luminescente; Masque de Koutoulou; Cape du Cœur Vaillant; Bottistik; Culbuteur; Bousculeur majeur; Pousseur majeur; Culbuteur majeur; Remueur; Enragé majeur; Muldo Pourpre</t>
        </is>
      </c>
    </row>
    <row r="25021">
      <c r="A25021" t="inlineStr">
        <is>
          <t>hjkl</t>
        </is>
      </c>
      <c r="B25021">
        <f>HYPERLINK("https://www.dofusbook.net/fr/equipement/2089218-hjkl/objets", "link")</f>
        <v/>
      </c>
      <c r="C25021" t="n">
        <v>0</v>
      </c>
      <c r="D25021" t="inlineStr">
        <is>
          <t>Arc du Chalœil; Collier de Tourthon; Anneau Crustique; Bracelet du Piloztère; Quatre-feuilles; Ceintacé; Masque de Koutoulou; Cape du Cœur Saignant; Bottes du Cœur Saignant; Dofus Turquoise; Dolmanax; Dofus Pourpre; Dofus des Glaces; Vigoureux majeur; Enragé majeur; Muldo Pourpre</t>
        </is>
      </c>
    </row>
    <row r="25022">
      <c r="A25022" t="inlineStr">
        <is>
          <t>Stuff 2</t>
        </is>
      </c>
      <c r="B25022">
        <f>HYPERLINK("https://www.dofusbook.net/fr/equipement/363493-stuff-2/objets", "link")</f>
        <v/>
      </c>
      <c r="C25022" t="n">
        <v>1</v>
      </c>
      <c r="D25022" t="inlineStr">
        <is>
          <t>Marteau de Katrepat; Amulette du Strigide; Bracelet du Piloztère; Alliance Brûlâme; Bouclier du Captain Amakna; Ceinture du Strigide; Masque Brûlâme; Voile d'encre; Pompes Funèbres; Dofus Turquoise; Dofus Ocre; Dolmanax; Dofus des Glaces; Dofus Pourpre; Muldo Orchidée</t>
        </is>
      </c>
    </row>
    <row r="25023">
      <c r="A25023" t="inlineStr">
        <is>
          <t>Stuff 2</t>
        </is>
      </c>
      <c r="B25023">
        <f>HYPERLINK("https://www.dofusbook.net/fr/equipement/363508-stuff-2/objets", "link")</f>
        <v/>
      </c>
      <c r="C25023" t="n">
        <v>0</v>
      </c>
      <c r="D25023" t="inlineStr">
        <is>
          <t>Marteau R'ture; Amulette du Strigide; Anneau Crustique; Bracelet du Piloztère; Bouclier du Captain Amakna; Ceinture du Strigide; Masque de Koutoulou; Cape de la Cour Sombre; Bottes du Cœur Saignant; Dofus Turquoise; Dolmanax; Dofus Pourpre; Remueur; Vigoureux majeur; Enragé majeur; Muldo Orchidée</t>
        </is>
      </c>
    </row>
    <row r="25024">
      <c r="A25024" t="inlineStr">
        <is>
          <t>Stuff 1</t>
        </is>
      </c>
      <c r="B25024">
        <f>HYPERLINK("https://www.dofusbook.net/fr/equipement/363507-stuff-1/objets", "link")</f>
        <v/>
      </c>
      <c r="C25024" t="n">
        <v>0</v>
      </c>
      <c r="D25024" t="inlineStr">
        <is>
          <t>Marteau R'ture; Amulette du Cœur Saignant; Bracelet du Piloztère; Anneau Crustique; Bouclier du Captain Amakna; Ceinture de Brouce; Masque de Koutoulou; Cape au Logis; Bottes du Cœur Saignant; Dolmanax; Dofus des Glaces; Dofus Pourpre; Enragé majeur; Vigoureux majeur; Remueur; Kramkram</t>
        </is>
      </c>
    </row>
    <row r="25025">
      <c r="A25025" t="inlineStr">
        <is>
          <t>Stuff 1</t>
        </is>
      </c>
      <c r="B25025">
        <f>HYPERLINK("https://www.dofusbook.net/fr/equipement/363489-stuff-1/objets", "link")</f>
        <v/>
      </c>
      <c r="C25025" t="n">
        <v>0</v>
      </c>
      <c r="D25025" t="inlineStr">
        <is>
          <t>Dagues Eudin; Amulette de Pol Ouatnos; Bracelet du Piloztère; Alliance Brûlâme; Bouclier du Stalak; Ceinture de l'Esprit Salvateur; Masque de l'Esprit Salvateur; Voilamibe; Bottes de l'Esprit Salvateur; Dofus Pourpre; Dofus des Glaces; Dolmanax; Dofus Ocre; Furibond majeur; Kramkram</t>
        </is>
      </c>
    </row>
    <row r="25026">
      <c r="A25026" t="inlineStr">
        <is>
          <t>Stuff 2</t>
        </is>
      </c>
      <c r="B25026">
        <f>HYPERLINK("https://www.dofusbook.net/fr/equipement/363490-stuff-2/objets", "link")</f>
        <v/>
      </c>
      <c r="C25026" t="n">
        <v>0</v>
      </c>
      <c r="D25026" t="inlineStr">
        <is>
          <t>Marteau de Katrepat; Amulette du Strigide; Alliance Brûlâme; Bracelet du Piloztère; Bouclier Taverne; Ceinture du Strigide; Masque Brûlâme; Voile d'encre; Pompes Funèbres; Dofus Pourpre; Dofus Turquoise; Dofus des Glaces; Dolmanax; Dofus Ocre; Muldo Orchidée et Pourpre</t>
        </is>
      </c>
    </row>
    <row r="25027">
      <c r="A25027" t="inlineStr">
        <is>
          <t>Stuff 1</t>
        </is>
      </c>
      <c r="B25027">
        <f>HYPERLINK("https://www.dofusbook.net/fr/equipement/363492-stuff-1/objets", "link")</f>
        <v/>
      </c>
      <c r="C25027" t="n">
        <v>0</v>
      </c>
      <c r="D25027" t="inlineStr">
        <is>
          <t>Marteau de Katrepat; Amulette du Strigide; Bracelet du Piloztère; Alliance Brûlâme; Quatre-feuilles; Ceinture du Strigide; Masque Brûlâme; Cape du Chalœil; Pompes Funèbres; Dofus Turquoise; Dofus des Glaces; Dofus Pourpre; Dofus Ocre; Dolmanax; Muldo Orchidée</t>
        </is>
      </c>
    </row>
    <row r="25028">
      <c r="A25028" t="inlineStr">
        <is>
          <t>Stuff 2</t>
        </is>
      </c>
      <c r="B25028">
        <f>HYPERLINK("https://www.dofusbook.net/fr/equipement/363472-stuff-2/objets", "link")</f>
        <v/>
      </c>
      <c r="C25028" t="n">
        <v>0</v>
      </c>
      <c r="D25028" t="inlineStr">
        <is>
          <t>Arc de Koutoulou; Amulette du Strigide; Bracelet du Piloztère; Alliance Gloursonne; Quatre-feuilles; Ceintacé; Némès de Tal Kasha; Cape d'Hel Munster; Bottes du Strigide; Dofus des Glaces; Dofus Pourpre; Dofus Turquoise; Nomade; Carapace Air majeur; Remueur; Kramkram</t>
        </is>
      </c>
    </row>
    <row r="25029">
      <c r="A25029" t="inlineStr">
        <is>
          <t>Stuff 3</t>
        </is>
      </c>
      <c r="B25029">
        <f>HYPERLINK("https://www.dofusbook.net/fr/equipement/363473-stuff-3/objets", "link")</f>
        <v/>
      </c>
      <c r="C25029" t="n">
        <v>0</v>
      </c>
      <c r="D25029" t="inlineStr">
        <is>
          <t>Arc de Koutoulou; Amulette du Strigide; Anneau de Padgref; Alliance Gloursonne; Quatre-feuilles; Ceinture du Strigide; Némès de Tal Kasha; Chevelure de Tal Kasha; Sandales de Tal Kasha; Dofus des Glaces; Dofus Pourpre; Dolmanax; Dofus Turquoise; Dofus Émeraude; Dofus Ocre; Muldo Ebène et Indigo</t>
        </is>
      </c>
    </row>
    <row r="25030">
      <c r="A25030" t="inlineStr">
        <is>
          <t>Stuff 2</t>
        </is>
      </c>
      <c r="B25030">
        <f>HYPERLINK("https://www.dofusbook.net/fr/equipement/363529-stuff-2/objets", "link")</f>
        <v/>
      </c>
      <c r="C25030" t="n">
        <v>0</v>
      </c>
      <c r="D25030" t="inlineStr">
        <is>
          <t>Marteau d'Henual; Amulette de Gein; Bague Gloursonne; Chevalière du Roi Joueur; Bouclier Taverne; Ceinture de Gein; Chapeau de Gein; Cape au Logis; Bottes du Roi Joueur; Dofus Turquoise; Dolmanax; Dofus Émeraude; Dofus Ocre; Dofus Pourpre; Dofus des Glaces; Kramkram</t>
        </is>
      </c>
    </row>
    <row r="25031">
      <c r="A25031" t="inlineStr">
        <is>
          <t>Stuff 1</t>
        </is>
      </c>
      <c r="B25031">
        <f>HYPERLINK("https://www.dofusbook.net/fr/equipement/363525-stuff-1/objets", "link")</f>
        <v/>
      </c>
      <c r="C25031" t="n">
        <v>0</v>
      </c>
      <c r="D25031" t="inlineStr">
        <is>
          <t>Epée Toche; Amulette du Strigide; Bague Gloursonne; Goulano; Bouclier Taverne; Ceinture du Strigide; Bonnet Ko; Voile d'encre; Bottes du Cycloïde; Dolmanax; Dofus Turquoise; Dofus Ocre; Remueur; Nomade; Muldo Indigo et Orchidée</t>
        </is>
      </c>
    </row>
    <row r="25032">
      <c r="A25032" t="inlineStr">
        <is>
          <t>Stuff 3</t>
        </is>
      </c>
      <c r="B25032">
        <f>HYPERLINK("https://www.dofusbook.net/fr/equipement/363461-stuff-3/objets", "link")</f>
        <v/>
      </c>
      <c r="C25032" t="n">
        <v>0</v>
      </c>
      <c r="D25032" t="inlineStr">
        <is>
          <t>Baguette de Malléfisk; Pendentif affamé; Anneauræus; Anneau de Nidas; Carapar; Ceinture de Vortex; Couronne de Nidas; Cape de Diondin; Bottes Innommables; Dolmanax; Carapace Air majeur; Érudit majeur; Guérisseur majeur; Remueur; Carapace Feu majeur; Muldo Indigo et Orchidée</t>
        </is>
      </c>
    </row>
    <row r="25033">
      <c r="A25033" t="inlineStr">
        <is>
          <t>mix</t>
        </is>
      </c>
      <c r="B25033">
        <f>HYPERLINK("https://www.dofusbook.net/fr/equipement/1617176-mix/objets", "link")</f>
        <v/>
      </c>
      <c r="C25033" t="n">
        <v>0</v>
      </c>
      <c r="D25033" t="inlineStr">
        <is>
          <t>Arc Hétype; Pendentif affamé; Anneau Tique; Anneauræus; Carapar; Ceinture de Vortex; Masque d'Anerice; Cape d'Anerice; Bottes Innommables; Dolmanax; Carapace Air majeur; Érudit majeur; Guérisseur majeur; Remueur; Fortification majeure; Muldo Orchidée</t>
        </is>
      </c>
    </row>
    <row r="25034">
      <c r="A25034" t="inlineStr">
        <is>
          <t>Stuff 1</t>
        </is>
      </c>
      <c r="B25034">
        <f>HYPERLINK("https://www.dofusbook.net/fr/equipement/363459-stuff-1/objets", "link")</f>
        <v/>
      </c>
      <c r="C25034" t="n">
        <v>0</v>
      </c>
      <c r="D25034" t="inlineStr">
        <is>
          <t>Arc Hétype; Pendentif affamé; Anneau Tique; Anneauræus; Carapar; Ceinture de Vortex; Casque Dragoeuf; Cape de Diondin; Bottes Innommables; Dolmanax; Fortification majeure; Savant majeur; Érudit majeur; Guérisseur majeur; Remueur; Muldo Orchidée</t>
        </is>
      </c>
    </row>
    <row r="25035">
      <c r="A25035" t="inlineStr">
        <is>
          <t>Stuff 1</t>
        </is>
      </c>
      <c r="B25035">
        <f>HYPERLINK("https://www.dofusbook.net/fr/equipement/363522-stuff-1/objets", "link")</f>
        <v/>
      </c>
      <c r="C25035" t="n">
        <v>0</v>
      </c>
      <c r="D25035" t="inlineStr">
        <is>
          <t>Harpelle; Pendentif affamé; Anneau Tique; Baguistik; Bouclier Taverne; Ceinture Séculaire; Coiffe Séculaire; Cape de Diondin; Bottes Innommables; Dofus Turquoise; Dofus des Glaces; Érudit majeur; Carapace Terre majeur; Remueur; Carapace Feu majeur; Muldo Orchidée</t>
        </is>
      </c>
    </row>
    <row r="25036">
      <c r="A25036" t="inlineStr">
        <is>
          <t>Stuff 2</t>
        </is>
      </c>
      <c r="B25036">
        <f>HYPERLINK("https://www.dofusbook.net/fr/equipement/363523-stuff-2/objets", "link")</f>
        <v/>
      </c>
      <c r="C25036" t="n">
        <v>0</v>
      </c>
      <c r="D25036" t="inlineStr">
        <is>
          <t>Harpelle; Amulette de Nileza; Anneauræus; Anneau Tique; Ceinture de Vortex; Couronne de Nidas; Cape de Nileza; Bottes Innommables; Dofus Émeraude; Dofus Turquoise; Carapace Feu majeur; Miraculé majeur; Remueur; Survivant majeur; Muldo Orchidée et Pourpre</t>
        </is>
      </c>
    </row>
    <row r="25037">
      <c r="A25037" t="inlineStr">
        <is>
          <t>terr</t>
        </is>
      </c>
      <c r="B25037">
        <f>HYPERLINK("https://www.dofusbook.net/fr/equipement/1307259-terr/objets", "link")</f>
        <v/>
      </c>
      <c r="C25037" t="n">
        <v>0</v>
      </c>
      <c r="D25037" t="inlineStr">
        <is>
          <t>Hache Téroïde; Amulette de Gein; Bague Gloursonne; Baguistik; Quatre-feuilles; Ceinture de Gein; Masque de Koutoulou; Voile d'encre; Bottes du Lévitrof; Dolmanax; Dofus Turquoise; Carapace Terre majeur; Enragé majeur; Remueur; Carapace Neutre majeur; Muldo Pourpre</t>
        </is>
      </c>
    </row>
    <row r="25038">
      <c r="A25038" t="inlineStr">
        <is>
          <t>ter</t>
        </is>
      </c>
      <c r="B25038">
        <f>HYPERLINK("https://www.dofusbook.net/fr/equipement/1307116-ter/objets", "link")</f>
        <v/>
      </c>
      <c r="C25038" t="n">
        <v>0</v>
      </c>
      <c r="D25038" t="inlineStr">
        <is>
          <t>Héqache; Amulette du Kamasterisk; Anneau des égarés; Anneau de Brouce; Bouclier Pandawa; Ceinture de la Cour Sombre; Coiffe de la Reine des Voleurs; Cape du Kamasterisk; Baleinabottes; Dolmanax; Dofus Turquoise; Dofus des Glaces; Enragé majeur; Remueur; Carapace Air majeur; Muldo Ebène et Pourpre</t>
        </is>
      </c>
    </row>
    <row r="25039">
      <c r="A25039" t="inlineStr">
        <is>
          <t>Stuff 3</t>
        </is>
      </c>
      <c r="B25039">
        <f>HYPERLINK("https://www.dofusbook.net/fr/equipement/363491-stuff-3/objets", "link")</f>
        <v/>
      </c>
      <c r="C25039" t="n">
        <v>0</v>
      </c>
      <c r="D25039" t="inlineStr">
        <is>
          <t>Héqache; Amulette du Strigide; Bracelet du Piloztère; Quatre-feuilles; Ceinture du Strigide; Boucle d'oreille de Kongoku; Cape du Kamasterisk; Baleinabottes; Dofus des Glaces; Dofus Turquoise; Dofus Pourpre; Dolmanax; Dofus Émeraude; Remueur; Muldo Orchidée et Pourpre</t>
        </is>
      </c>
    </row>
    <row r="25040">
      <c r="A25040" t="inlineStr">
        <is>
          <t>Stuff 3</t>
        </is>
      </c>
      <c r="B25040">
        <f>HYPERLINK("https://www.dofusbook.net/fr/equipement/363524-stuff-3/objets", "link")</f>
        <v/>
      </c>
      <c r="C25040" t="n">
        <v>0</v>
      </c>
      <c r="D25040" t="inlineStr">
        <is>
          <t>Manthache; Amulette du Strigide; Gant du Valet Veinard; Bracelet du Piloztère; Bouclier du Captain Amakna; Menoture; Capuche de Moum-Ra; Cape Indescriptible; Palmes Trithons; Dofus Émeraude; Dofus des Glaces; Dofus Turquoise; Dofus Pourpre; Dolmanax; Remueur; Muldo Ebène</t>
        </is>
      </c>
    </row>
    <row r="25041">
      <c r="A25041" t="inlineStr">
        <is>
          <t>Stuff 1</t>
        </is>
      </c>
      <c r="B25041">
        <f>HYPERLINK("https://www.dofusbook.net/fr/equipement/363501-stuff-1/objets", "link")</f>
        <v/>
      </c>
      <c r="C25041" t="n">
        <v>0</v>
      </c>
      <c r="D25041" t="inlineStr">
        <is>
          <t>Pelle de la Cour Sombre; Collier du Valet Veinard; Gant du Valet Veinard; Alliance Gloursonne; Ceintouse; Chapoulpe; Cape du Valet Veinard; Tentassons; Dofus Abyssal; Dofus Ocre; Dolmanax; Dofus Émeraude; Dokoko; Dofus Pourpre; Muldo Ebène</t>
        </is>
      </c>
    </row>
    <row r="25042">
      <c r="A25042" t="inlineStr">
        <is>
          <t>Stuff 3</t>
        </is>
      </c>
      <c r="B25042">
        <f>HYPERLINK("https://www.dofusbook.net/fr/equipement/363506-stuff-3/objets", "link")</f>
        <v/>
      </c>
      <c r="C25042" t="n">
        <v>0</v>
      </c>
      <c r="D25042" t="inlineStr">
        <is>
          <t>Dagues Érhy; Amulette du Strigide; Anneau Chevelu; Bracelet du Piloztère; Ceinture de Gein; Chapeau de Gein; Voile d'encre; Bottes du Cycloïde; Dofus Pourpre; Dofus Turquoise; Dofus Ocre; Remueur; Enragé majeur; Nomade; Dragodinde en armure</t>
        </is>
      </c>
    </row>
    <row r="25043">
      <c r="A25043" t="inlineStr">
        <is>
          <t>Stuff 1</t>
        </is>
      </c>
      <c r="B25043">
        <f>HYPERLINK("https://www.dofusbook.net/fr/equipement/363474-stuff-1/objets", "link")</f>
        <v/>
      </c>
      <c r="C25043" t="n">
        <v>0</v>
      </c>
      <c r="D25043" t="inlineStr">
        <is>
          <t>Marteau R'ture; Collier de Tourthon; Anneau Crustique; Bracelet du Piloztère; Bouclier du Captain Amakna; Ceinture de Gein; Masque de Koutoulou; Cape au Logis; Bottes des égarés; Dofus Turquoise; Dofus Ocre; Dofus Pourpre; Enragé majeur; Vigoureux majeur; Remueur; Muldo Pourpre</t>
        </is>
      </c>
    </row>
    <row r="25044">
      <c r="A25044" t="inlineStr">
        <is>
          <t>Stuff 3</t>
        </is>
      </c>
      <c r="B25044">
        <f>HYPERLINK("https://www.dofusbook.net/fr/equipement/363533-stuff-3/objets", "link")</f>
        <v/>
      </c>
      <c r="C25044" t="n">
        <v>0</v>
      </c>
      <c r="D25044" t="inlineStr">
        <is>
          <t>Hache du Korriandre; Amulette du Strigide; Anneau de Padgref; Alliance Gloursonne; Bouclier du Captain Amakna; Ceinture du Strigide; Némès de Tal Kasha; Chevelure de Tal Kasha; Sandales de Tal Kasha; Dofus Abyssal; Dofus des Glaces; Dolmanax; Dofus Pourpre; Dofus Turquoise; Dofus Ocre; Muldo Ebène et Indigo</t>
        </is>
      </c>
    </row>
    <row r="25045">
      <c r="A25045" t="inlineStr">
        <is>
          <t>Stuff 2</t>
        </is>
      </c>
      <c r="B25045">
        <f>HYPERLINK("https://www.dofusbook.net/fr/equipement/363469-stuff-2/objets", "link")</f>
        <v/>
      </c>
      <c r="C25045" t="n">
        <v>0</v>
      </c>
      <c r="D25045" t="inlineStr">
        <is>
          <t>Harpelle; Pendentif affamé; Anneau Tique; Anneau Rifique; Ceinture de Vortex; Cagoule de Vortex; Cape de Diondin; Bottes Innommables; Dofus Turquoise; Carapace Feu majeur; Remueur; Carapace Terre majeur; Érudit majeur; Carapace Eau majeur; Muldo Orchidée et Pourpre</t>
        </is>
      </c>
    </row>
    <row r="25046">
      <c r="A25046" t="inlineStr">
        <is>
          <t>Stuff 2</t>
        </is>
      </c>
      <c r="B25046">
        <f>HYPERLINK("https://www.dofusbook.net/fr/equipement/363496-stuff-2/objets", "link")</f>
        <v/>
      </c>
      <c r="C25046" t="n">
        <v>1</v>
      </c>
      <c r="D25046" t="inlineStr">
        <is>
          <t>Epée Gloursonne; Amulette du Strigide; Alliance Gloursonne; Bague Gloursonne; Ceinture de Kongoku; Boucle d'oreille de Kongoku; Cape de Kongoku; Bottes du Strigide; Dofus Turquoise; Dofus des Glaces; Dofus Pourpre; Dofus Ocre; Voyageur; Entraveur majeur; Dragodinde en armure</t>
        </is>
      </c>
    </row>
    <row r="25047">
      <c r="A25047" t="inlineStr">
        <is>
          <t>Stuff 3</t>
        </is>
      </c>
      <c r="B25047">
        <f>HYPERLINK("https://www.dofusbook.net/fr/equipement/363464-stuff-3/objets", "link")</f>
        <v/>
      </c>
      <c r="C25047" t="n">
        <v>0</v>
      </c>
      <c r="D25047" t="inlineStr">
        <is>
          <t>Sabres d'Atcham; Talisman Glouti; Anneau Tique; Bracelet du Piloztère; Ceinture de l'Indicible; Dorabysses; Cape d'Atcham; Sandales  d'Atcham; Dofus des Glaces; Dofus Ocre; Dofus Turquoise; Dofus Émeraude; Dolmanax; Survivant majeur; Muldo Ebène</t>
        </is>
      </c>
    </row>
    <row r="25048">
      <c r="A25048" t="inlineStr">
        <is>
          <t>Stuff 1</t>
        </is>
      </c>
      <c r="B25048">
        <f>HYPERLINK("https://www.dofusbook.net/fr/equipement/363486-stuff-1/objets", "link")</f>
        <v/>
      </c>
      <c r="C25048" t="n">
        <v>0</v>
      </c>
      <c r="D25048" t="inlineStr">
        <is>
          <t>Sabres d'Atcham; Pendentif mignon de Koutoulou; Anneau Tique; Anneau Rifique; Ceinture de Vortex; Casque Cyclopéen; Cape d'Atcham; Sandales  d'Atcham; Dofus Émeraude; Dolmanax; Dofus des Glaces; Dofus Ocre; Dofus Turquoise; Dofus Pourpre; Muldo Ebène et Pourpre</t>
        </is>
      </c>
    </row>
    <row r="25049">
      <c r="A25049" t="inlineStr">
        <is>
          <t>Stuff 3</t>
        </is>
      </c>
      <c r="B25049">
        <f>HYPERLINK("https://www.dofusbook.net/fr/equipement/363488-stuff-3/objets", "link")</f>
        <v/>
      </c>
      <c r="C25049" t="n">
        <v>0</v>
      </c>
      <c r="D25049" t="inlineStr">
        <is>
          <t>Arc Hétype; Amulette Séculaire; Anneau Tique; Anneau de Nidas; Ceinture de Gein; Couronne de Nidas; Cape de Nileza; Pataugastrique; Dofus Turquoise; Guérisseur majeur; Érudit majeur; Carapace Feu majeur; Temporiseur majeur; Remueur; Muldo Indigo</t>
        </is>
      </c>
    </row>
    <row r="25050">
      <c r="A25050" t="inlineStr">
        <is>
          <t>Stuff 3</t>
        </is>
      </c>
      <c r="B25050">
        <f>HYPERLINK("https://www.dofusbook.net/fr/equipement/363515-stuff-3/objets", "link")</f>
        <v/>
      </c>
      <c r="C25050" t="n">
        <v>0</v>
      </c>
      <c r="D25050" t="inlineStr">
        <is>
          <t>Marteau des Anciens Steamers; Amulette du Strigide; Alliance Gloursonne; Bracelet du Piloztère; Ceintacé; Chapeau Lisson; Cape d'Hel Munster; Bottes de la Reine des Voleurs; Dofus Turquoise; Évasif majeur; Remueur; Cavaleur majeur; Nomade; Dragodinde en armure</t>
        </is>
      </c>
    </row>
    <row r="25051">
      <c r="A25051" t="inlineStr">
        <is>
          <t>Stuff 1</t>
        </is>
      </c>
      <c r="B25051">
        <f>HYPERLINK("https://www.dofusbook.net/fr/equipement/363483-stuff-1/objets", "link")</f>
        <v/>
      </c>
      <c r="C25051" t="n">
        <v>2</v>
      </c>
      <c r="D25051" t="inlineStr">
        <is>
          <t>Marteau des Anciens Steamers; Amulette du Strigide; Alliance Gloursonne; Bague Trithon; Ceinture du Strigide; Masque Trithon; Chevelure de Tal Kasha; Bottes Trithon; Dofus Ocre; Dolmanax; Dofus Turquoise; Dofus Émeraude; Dofus des Glaces; Survivant majeur; Muldo Ebène et Pourpre</t>
        </is>
      </c>
    </row>
    <row r="25052">
      <c r="A25052" t="inlineStr">
        <is>
          <t>Stuff 2</t>
        </is>
      </c>
      <c r="B25052">
        <f>HYPERLINK("https://www.dofusbook.net/fr/equipement/363478-stuff-2/objets", "link")</f>
        <v/>
      </c>
      <c r="C25052" t="n">
        <v>0</v>
      </c>
      <c r="D25052" t="inlineStr">
        <is>
          <t>Marteau Reine; Amulette du Strigide; Alliance Gloursonne; Bracelet du Piloztère; Ceinture du Strigide; Coiffe de la Reine des Voleurs; Cape au Logis; Baleinabottes; Dofus Pourpre; Dofus Turquoise; Cavaleur majeur; Remueur; Carapace Air majeur; Évasif majeur; Dragodinde en armure</t>
        </is>
      </c>
    </row>
    <row r="25053">
      <c r="A25053" t="inlineStr">
        <is>
          <t>Stuff 2</t>
        </is>
      </c>
      <c r="B25053">
        <f>HYPERLINK("https://www.dofusbook.net/fr/equipement/363505-stuff-2/objets", "link")</f>
        <v/>
      </c>
      <c r="C25053" t="n">
        <v>0</v>
      </c>
      <c r="D25053" t="inlineStr">
        <is>
          <t>Dagues Érhy; Amulette du Strigide; Anneau Chevelu; Bracelet du Piloztère; Ceinture de Gein; Chapeau de Gein; Voile d'encre; Baleinabottes; Dofus Turquoise; Dofus des Glaces; Dofus Pourpre; Remueur; Enragé majeur; Nomade; Dragodinde en armure</t>
        </is>
      </c>
    </row>
    <row r="25054">
      <c r="A25054" t="inlineStr">
        <is>
          <t>Stuff 3</t>
        </is>
      </c>
      <c r="B25054">
        <f>HYPERLINK("https://www.dofusbook.net/fr/equipement/363500-stuff-3/objets", "link")</f>
        <v/>
      </c>
      <c r="C25054" t="n">
        <v>1</v>
      </c>
      <c r="D25054" t="inlineStr">
        <is>
          <t>Manthache; Collier du Valet Veinard; Gant du Valet Veinard; Alliance Gloursonne; Menoture; Dorabysses; Cape Indescriptible; Palmes Trithons; Dofus des Glaces; Dofus Émeraude; Carapace Air majeur; Remueur; Dévastateur Air majeur; Miraculé majeur; Muldo Ebène et Pourpre</t>
        </is>
      </c>
    </row>
    <row r="25055">
      <c r="A25055" t="inlineStr">
        <is>
          <t>Stuff 1</t>
        </is>
      </c>
      <c r="B25055">
        <f>HYPERLINK("https://www.dofusbook.net/fr/equipement/363468-stuff-1/objets", "link")</f>
        <v/>
      </c>
      <c r="C25055" t="n">
        <v>1</v>
      </c>
      <c r="D25055" t="inlineStr">
        <is>
          <t>Harpelle; Collier de la Dame du Hasard; Anneau Tique; Anneau de Padgref; Ceinture de Gein; Couronne de Nidas; Cape de la Dame du Hasard; Pataugastrique; Dofus des Glaces; Dofus Turquoise; Carapace Terre majeur; Érudit majeur; Remueur; Carapace Feu majeur; Muldo Orchidée et Pourpre</t>
        </is>
      </c>
    </row>
    <row r="25056">
      <c r="A25056" t="inlineStr">
        <is>
          <t>Stuff 3</t>
        </is>
      </c>
      <c r="B25056">
        <f>HYPERLINK("https://www.dofusbook.net/fr/equipement/363527-stuff-3/objets", "link")</f>
        <v/>
      </c>
      <c r="C25056" t="n">
        <v>0</v>
      </c>
      <c r="D25056" t="inlineStr">
        <is>
          <t>Marteau R'ture; Collier de Tourthon; Goulano; Anneau Crustique; Bouclier Taverne; Ceinture de Gein; Masque de Koutoulou; Voile d'encre; Bottes du Roi Joueur; Dofus Turquoise; Nomade; Carapace Terre majeur; Enragé majeur; Remueur; Vigoureux majeur; Kramkram</t>
        </is>
      </c>
    </row>
    <row r="25057">
      <c r="A25057" t="inlineStr">
        <is>
          <t>Stuff 1</t>
        </is>
      </c>
      <c r="B25057">
        <f>HYPERLINK("https://www.dofusbook.net/fr/equipement/363495-stuff-1/objets", "link")</f>
        <v/>
      </c>
      <c r="C25057" t="n">
        <v>2</v>
      </c>
      <c r="D25057" t="inlineStr">
        <is>
          <t>Épouvante; Amulette Luminescente; Bracelet du Piloztère; Bague Trithon; Ceinture Luminescente; Masque Trithon; Cape Luminescente; Bottes Trithon; Dofus Ocre; Dofus Pourpre; Dofus Turquoise; Dofus des Glaces; Entraveur majeur; Voyageur; Dragodinde en armure</t>
        </is>
      </c>
    </row>
    <row r="25058">
      <c r="A25058" t="inlineStr">
        <is>
          <t>Stuff 2</t>
        </is>
      </c>
      <c r="B25058">
        <f>HYPERLINK("https://www.dofusbook.net/fr/equipement/363517-stuff-2/objets", "link")</f>
        <v/>
      </c>
      <c r="C25058" t="n">
        <v>0</v>
      </c>
      <c r="D25058" t="inlineStr">
        <is>
          <t>Sabres d'Atcham; Amulette du Strigide; Anneau de Padgref; Bague Trithon; Ceinture du Strigide; Masque Trithon; Cape d'Atcham; Sandales  d'Atcham; Dofus Pourpre; Dofus Ocre; Dofus Émeraude; Dolmanax; Dofus des Glaces; Dofus Turquoise; Muldo Ebène</t>
        </is>
      </c>
    </row>
    <row r="25059">
      <c r="A25059" t="inlineStr">
        <is>
          <t>Stuff 3</t>
        </is>
      </c>
      <c r="B25059">
        <f>HYPERLINK("https://www.dofusbook.net/fr/equipement/363485-stuff-3/objets", "link")</f>
        <v/>
      </c>
      <c r="C25059" t="n">
        <v>0</v>
      </c>
      <c r="D25059" t="inlineStr">
        <is>
          <t>Pelle de la Cour Sombre; Pendentif mignon de Koutoulou; Gant du Valet Veinard; Anneau des égarés; Menoture; Casque des égarés; Cape Indescriptible; Palmes Trithons; Dokoko; Carapace Neutre majeur; Carapace Feu majeur; Miraculé majeur; Remueur; Carapace Air majeur; Muldo Ebène et Indigo</t>
        </is>
      </c>
    </row>
    <row r="25060">
      <c r="A25060" t="inlineStr">
        <is>
          <t>Stuff 3</t>
        </is>
      </c>
      <c r="B25060">
        <f>HYPERLINK("https://www.dofusbook.net/fr/equipement/363512-stuff-3/objets", "link")</f>
        <v/>
      </c>
      <c r="C25060" t="n">
        <v>0</v>
      </c>
      <c r="D25060" t="inlineStr">
        <is>
          <t>Dagues Érhy; Amulette du Strigide; Anneau de Brouce; Bracelet du Piloztère; Ceinture du Strigide; Chapeau de Gein; Cape au Logis; Bottes du Cycloïde; Dofus Turquoise; Dofus Pourpre; Dofus Ocre; Enragé majeur; Temporiseur majeur; Remueur; Dragodinde en armure</t>
        </is>
      </c>
    </row>
    <row r="25061">
      <c r="A25061" t="inlineStr">
        <is>
          <t>Stuff 1</t>
        </is>
      </c>
      <c r="B25061">
        <f>HYPERLINK("https://www.dofusbook.net/fr/equipement/363480-stuff-1/objets", "link")</f>
        <v/>
      </c>
      <c r="C25061" t="n">
        <v>0</v>
      </c>
      <c r="D25061" t="inlineStr">
        <is>
          <t>L'Épée Nice; Amulette du Kamasterisk; Anneau des égarés; Bracelet du Piloztère; Ceintacé; Coiffe de la Reine des Voleurs; Cape du Kamasterisk; Baleinabottes; Dofus Turquoise; Carapace Air majeur; Miraculé majeur; Évasif majeur; Carapace Feu majeur; Cavaleur majeur; Croum</t>
        </is>
      </c>
    </row>
    <row r="25062">
      <c r="A25062" t="inlineStr">
        <is>
          <t>Stuff 2</t>
        </is>
      </c>
      <c r="B25062">
        <f>HYPERLINK("https://www.dofusbook.net/fr/equipement/363475-stuff-2/objets", "link")</f>
        <v/>
      </c>
      <c r="C25062" t="n">
        <v>0</v>
      </c>
      <c r="D25062" t="inlineStr">
        <is>
          <t>Dagues Érhy; Amulette du Strigide; Bague Gloursonne; Bracelet du Piloztère; Bouclier du Captain Amakna; Ceinture de Gein; Bonnet Ko; Voile d'encre; Bottes du Strigide; Dofus des Glaces; Dofus Ocre; Dofus Turquoise; Enragé majeur; Remueur; Nomade; Muldo Pourpre</t>
        </is>
      </c>
    </row>
    <row r="25063">
      <c r="A25063" t="inlineStr">
        <is>
          <t>Stuff 2</t>
        </is>
      </c>
      <c r="B25063">
        <f>HYPERLINK("https://www.dofusbook.net/fr/equipement/363502-stuff-2/objets", "link")</f>
        <v/>
      </c>
      <c r="C25063" t="n">
        <v>0</v>
      </c>
      <c r="D25063" t="inlineStr">
        <is>
          <t>Dagoulinantes; Collier de la Dame du Hasard; Bracelet du Piloztère; Anneauræus; Pagne du Rykaon; Casquette de Meno; Cape de la Dame du Hasard; Pataugastrique; Dofus Émeraude; Dofus Turquoise; Miraculé; Remueur; Survivant majeur; Miraculé majeur; Muldo Orchidée</t>
        </is>
      </c>
    </row>
    <row r="25064">
      <c r="A25064" t="inlineStr">
        <is>
          <t>Stuff 1</t>
        </is>
      </c>
      <c r="B25064">
        <f>HYPERLINK("https://www.dofusbook.net/fr/equipement/363534-stuff-1/objets", "link")</f>
        <v/>
      </c>
      <c r="C25064" t="n">
        <v>0</v>
      </c>
      <c r="D25064" t="inlineStr">
        <is>
          <t>Marteau des Anciens Steamers; Amulette Voldelor; Bague Trithon; Alliance Gloursonne; Ceinture Voldelor; Némès de Tal Kasha; Chevelure de Tal Kasha; Sandales de Tal Kasha; Dofus Émeraude; Dofus des Glaces; Dofus Pourpre; Dofus Ocre; Dolmanax; Dofus Turquoise; Muldo Ebène</t>
        </is>
      </c>
    </row>
    <row r="25065">
      <c r="A25065" t="inlineStr">
        <is>
          <t>Stuff 3</t>
        </is>
      </c>
      <c r="B25065">
        <f>HYPERLINK("https://www.dofusbook.net/fr/equipement/363470-stuff-3/objets", "link")</f>
        <v/>
      </c>
      <c r="C25065" t="n">
        <v>0</v>
      </c>
      <c r="D25065" t="inlineStr">
        <is>
          <t>Harpelle; Amulette Séculaire; Anneau Tique; Anneau de Nidas; Ceinture de Gein; Coiffe Séculaire; Cape de Nileza; Pataugastrique; Dofus Turquoise; Guérisseur majeur; Dévastateur Feu majeur; Remueur; Savant majeur; Érudit majeur; Muldo Indigo et Orchidée</t>
        </is>
      </c>
    </row>
    <row r="25066">
      <c r="A25066" t="inlineStr">
        <is>
          <t>Stuff 1</t>
        </is>
      </c>
      <c r="B25066">
        <f>HYPERLINK("https://www.dofusbook.net/fr/equipement/363465-stuff-1/objets", "link")</f>
        <v/>
      </c>
      <c r="C25066" t="n">
        <v>0</v>
      </c>
      <c r="D25066" t="inlineStr">
        <is>
          <t>Arc Hétype; Talisman Igans; Anneau Tique; Anneau de Nidas; Ceinture de Gein; Couronne de Nidas; Voile d'encre; Pataugastrique; Dofus Turquoise; Miraculé majeur; Remueur; Érudit majeur; Carapace Eau majeur; Nomade; Dragodinde en armure</t>
        </is>
      </c>
    </row>
    <row r="25067">
      <c r="A25067" t="inlineStr">
        <is>
          <t>Stuff 3</t>
        </is>
      </c>
      <c r="B25067">
        <f>HYPERLINK("https://www.dofusbook.net/fr/equipement/363497-stuff-3/objets", "link")</f>
        <v/>
      </c>
      <c r="C25067" t="n">
        <v>0</v>
      </c>
      <c r="D25067" t="inlineStr">
        <is>
          <t>Baguette Range; Amulette du Strigide; Anneau de Padgref; Bague Trithon; Ceinture du Strigide; Coiffe de Padgref; Cape Lati; Getas de Padgref; Dofus Émeraude; Dofus des Glaces; Dolmanax; Dofus Pourpre; Dofus Turquoise; Dofus Ocre; Muldo Emeraude</t>
        </is>
      </c>
    </row>
    <row r="25068">
      <c r="A25068" t="inlineStr">
        <is>
          <t>Stuff 1</t>
        </is>
      </c>
      <c r="B25068">
        <f>HYPERLINK("https://www.dofusbook.net/fr/equipement/363519-stuff-1/objets", "link")</f>
        <v/>
      </c>
      <c r="C25068" t="n">
        <v>0</v>
      </c>
      <c r="D25068" t="inlineStr">
        <is>
          <t>Baguette de Malléfisk; Amulette de Nileza; Anneau Tique; Anneau de Nidas; Carapar; Ceinture de Vortex; Couronne de Nidas; Cape de Nileza; Tongues de Nidas; Dofus Émeraude; Dofus Ocre; Dokoko; Dolmanax; Turbulent; Savant majeur; Muldo Orchidée et Pourpre</t>
        </is>
      </c>
    </row>
    <row r="25069">
      <c r="A25069" t="inlineStr">
        <is>
          <t>Stuff 2</t>
        </is>
      </c>
      <c r="B25069">
        <f>HYPERLINK("https://www.dofusbook.net/fr/equipement/363496-stuff-2/objets", "link")</f>
        <v/>
      </c>
      <c r="C25069" t="n">
        <v>1</v>
      </c>
      <c r="D25069" t="inlineStr">
        <is>
          <t>Epée Gloursonne; Amulette du Strigide; Bague Gloursonne; Alliance Gloursonne; Ceinture de Kongoku; Boucle d'oreille de Kongoku; Cape de Kongoku; Bottes du Strigide; Dofus Ocre; Dofus Turquoise; Dofus des Glaces; Dofus Pourpre; Voyageur; Entraveur majeur; Dragodinde en armure</t>
        </is>
      </c>
    </row>
    <row r="25070">
      <c r="A25070" t="inlineStr">
        <is>
          <t>Stuff 1</t>
        </is>
      </c>
      <c r="B25070">
        <f>HYPERLINK("https://www.dofusbook.net/fr/equipement/363486-stuff-1/objets", "link")</f>
        <v/>
      </c>
      <c r="C25070" t="n">
        <v>0</v>
      </c>
      <c r="D25070" t="inlineStr">
        <is>
          <t>Sabres d'Atcham; Pendentif mignon de Koutoulou; Anneau Tique; Anneau Rifique; Ceinture de Vortex; Casque Cyclopéen; Cape d'Atcham; Sandales  d'Atcham; Dofus Turquoise; Dofus Pourpre; Dofus Émeraude; Dolmanax; Dofus des Glaces; Dofus Ocre; Muldo Ebène et Pourpre</t>
        </is>
      </c>
    </row>
    <row r="25071">
      <c r="A25071" t="inlineStr">
        <is>
          <t>Stuff 2</t>
        </is>
      </c>
      <c r="B25071">
        <f>HYPERLINK("https://www.dofusbook.net/fr/equipement/363481-stuff-2/objets", "link")</f>
        <v/>
      </c>
      <c r="C25071" t="n">
        <v>0</v>
      </c>
      <c r="D25071" t="inlineStr">
        <is>
          <t>Dagues Érhy; Amulette du Strigide; Anneau de Brouce; Bracelet du Piloztère; Ceinture du Strigide; Chapeau de Gein; Voile d'encre; Bottes du Cycloïde; Dofus Turquoise; Dofus Ocre; Enragé majeur; Carapace Terre majeur; Remueur; Carapace Feu majeur; Muldo Ebène et Indigo</t>
        </is>
      </c>
    </row>
    <row r="25072">
      <c r="A25072" t="inlineStr">
        <is>
          <t>Stuff 1</t>
        </is>
      </c>
      <c r="B25072">
        <f>HYPERLINK("https://www.dofusbook.net/fr/equipement/363513-stuff-1/objets", "link")</f>
        <v/>
      </c>
      <c r="C25072" t="n">
        <v>0</v>
      </c>
      <c r="D25072" t="inlineStr">
        <is>
          <t>Pelle de la Cour Sombre; Amulette du Strigide; Alliance Gloursonne; Gant du Valet Veinard; Ceintacé; Chapibou; Cape Matelassée; Bottes du Strigide; Dofus Turquoise; Carapace Air majeur; Nomade; Évasif majeur; Carapace Eau majeur; Cavaleur majeur; Dragodinde en armure</t>
        </is>
      </c>
    </row>
    <row r="25073">
      <c r="A25073" t="inlineStr">
        <is>
          <t>Stuff 3</t>
        </is>
      </c>
      <c r="B25073">
        <f>HYPERLINK("https://www.dofusbook.net/fr/equipement/363476-stuff-3/objets", "link")</f>
        <v/>
      </c>
      <c r="C25073" t="n">
        <v>0</v>
      </c>
      <c r="D25073" t="inlineStr">
        <is>
          <t>Dagues Érhy; Torquistik; Chevalière du Roi Joueur; Baguistik; Ceinture de Kongoku; Boucle d'oreille de Kongoku; Cape de Kongoku; Bottistik; Dofus Pourpre; Dofus Émeraude; Dofus Turquoise; Dolmanax; Dofus Ocre; Ralentisseur majeur; Muldo Pourpre</t>
        </is>
      </c>
    </row>
    <row r="25074">
      <c r="A25074" t="inlineStr">
        <is>
          <t>Stuff 1</t>
        </is>
      </c>
      <c r="B25074">
        <f>HYPERLINK("https://www.dofusbook.net/fr/equipement/363471-stuff-1/objets", "link")</f>
        <v/>
      </c>
      <c r="C25074" t="n">
        <v>0</v>
      </c>
      <c r="D25074" t="inlineStr">
        <is>
          <t>Arc de Koutoulou; Amulette du Strigide; Alliance Gloursonne; Anneau de Padgref; Quatre-feuilles; Ceintacé; Dorabysses; Chevelure de Tal Kasha; Sandales de Tal Kasha; Dofus Pourpre; Dofus des Glaces; Dolmanax; Dofus Turquoise; Nomade; Remueur; Kramkram</t>
        </is>
      </c>
    </row>
    <row r="25075">
      <c r="A25075" t="inlineStr">
        <is>
          <t>Stuff 3</t>
        </is>
      </c>
      <c r="B25075">
        <f>HYPERLINK("https://www.dofusbook.net/fr/equipement/363503-stuff-3/objets", "link")</f>
        <v/>
      </c>
      <c r="C25075" t="n">
        <v>0</v>
      </c>
      <c r="D25075" t="inlineStr">
        <is>
          <t>Marteau des Anciens Steamers; Amulette Voldelor; Bracelet du Piloztère; Alliance Gloursonne; Ceintacé; Némès de Tal Kasha; Chevelure de Tal Kasha; Bottes de la Reine des Voleurs; Dofus Turquoise; Dofus Émeraude; Dolmanax; Carapace Air majeur; Remueur; Miraculé majeur; Muldo Ebène et Pourpre</t>
        </is>
      </c>
    </row>
    <row r="25076">
      <c r="A25076" t="inlineStr">
        <is>
          <t>Stuff 2</t>
        </is>
      </c>
      <c r="B25076">
        <f>HYPERLINK("https://www.dofusbook.net/fr/equipement/363535-stuff-2/objets", "link")</f>
        <v/>
      </c>
      <c r="C25076" t="n">
        <v>0</v>
      </c>
      <c r="D25076" t="inlineStr">
        <is>
          <t>Marteau des Anciens Steamers; Amulette du Strigide; Bague Trithon; Alliance Gloursonne; Ceinture du Strigide; Némès de Tal Kasha; Chevelure de Tal Kasha; Sandales de Tal Kasha; Dofus Émeraude; Dofus Ocre; Dofus Abyssal; Dofus Pourpre; Dofus des Glaces; Dofus Turquoise; Muldo Ebène et Indigo</t>
        </is>
      </c>
    </row>
    <row r="25077">
      <c r="A25077" t="inlineStr">
        <is>
          <t>Stuff 2</t>
        </is>
      </c>
      <c r="B25077">
        <f>HYPERLINK("https://www.dofusbook.net/fr/equipement/363466-stuff-2/objets", "link")</f>
        <v/>
      </c>
      <c r="C25077" t="n">
        <v>0</v>
      </c>
      <c r="D25077" t="inlineStr">
        <is>
          <t>Baguette de Malléfisk; Amunite; Alliance Boletée; Alliance du Lévitrof; Carapar; String Tue-Mouche; Coiffe du Lévitrof; Capignon; Bottes du Lévitrof; Dofus Émeraude; Dofus Abyssal; Dofus Ocre; Dolmanax; Savant majeur; Survivant majeur; Muldo Orchidée et Pourpre</t>
        </is>
      </c>
    </row>
    <row r="25078">
      <c r="A25078" t="inlineStr">
        <is>
          <t>Stuff 1</t>
        </is>
      </c>
      <c r="B25078">
        <f>HYPERLINK("https://www.dofusbook.net/fr/equipement/363498-stuff-1/objets", "link")</f>
        <v/>
      </c>
      <c r="C25078" t="n">
        <v>0</v>
      </c>
      <c r="D25078" t="inlineStr">
        <is>
          <t>Rapière aux Glyphes; Talisman Glouti; Bracelet du Piloztère; Alliance Gloursonne; Sangle Ouare; Masque des Fonds marins; Cape du Sinistrofu; Sandales des Fonds marins; Dofus Émeraude; Dofus Turquoise; Dofus Ocre; Remueur; Miraculé majeur; Survivant majeur; Dragodinde en armure</t>
        </is>
      </c>
    </row>
    <row r="25079">
      <c r="A25079" t="inlineStr">
        <is>
          <t>Stuff 3</t>
        </is>
      </c>
      <c r="B25079">
        <f>HYPERLINK("https://www.dofusbook.net/fr/equipement/363530-stuff-3/objets", "link")</f>
        <v/>
      </c>
      <c r="C25079" t="n">
        <v>0</v>
      </c>
      <c r="D25079" t="inlineStr">
        <is>
          <t>Marteau d'Henual; Amulette du Strigide; Alliance Brûlâme; Anneau d'Henual; Bouclier Taverne; Ceinture du Strigide; Masque Brûlâme; Cape au Logis; Pompes Funèbres; Dofus Turquoise; Dofus Abyssal; Dolmanax; Dofus Ocre; Dofus Pourpre; Dofus des Glaces; Kramkram</t>
        </is>
      </c>
    </row>
    <row r="25080">
      <c r="A25080" t="inlineStr">
        <is>
          <t>Stuff 3</t>
        </is>
      </c>
      <c r="B25080">
        <f>HYPERLINK("https://www.dofusbook.net/fr/equipement/363488-stuff-3/objets", "link")</f>
        <v/>
      </c>
      <c r="C25080" t="n">
        <v>0</v>
      </c>
      <c r="D25080" t="inlineStr">
        <is>
          <t>Arc Hétype; Amulette Séculaire; Anneau Tique; Anneau de Nidas; Ceinture de Gein; Couronne de Nidas; Cape de Nileza; Pataugastrique; Dofus Turquoise; Remueur; Guérisseur majeur; Érudit majeur; Carapace Feu majeur; Temporiseur majeur; Muldo Indigo</t>
        </is>
      </c>
    </row>
    <row r="25081">
      <c r="A25081" t="inlineStr">
        <is>
          <t>Stuff 1</t>
        </is>
      </c>
      <c r="B25081">
        <f>HYPERLINK("https://www.dofusbook.net/fr/equipement/363483-stuff-1/objets", "link")</f>
        <v/>
      </c>
      <c r="C25081" t="n">
        <v>2</v>
      </c>
      <c r="D25081" t="inlineStr">
        <is>
          <t>Marteau des Anciens Steamers; Amulette du Strigide; Bague Trithon; Alliance Gloursonne; Ceinture du Strigide; Masque Trithon; Chevelure de Tal Kasha; Bottes Trithon; Dofus Ocre; Dolmanax; Dofus Turquoise; Dofus Émeraude; Dofus des Glaces; Survivant majeur; Muldo Ebène et Pourpre</t>
        </is>
      </c>
    </row>
    <row r="25082">
      <c r="A25082" t="inlineStr">
        <is>
          <t>Stuff 3</t>
        </is>
      </c>
      <c r="B25082">
        <f>HYPERLINK("https://www.dofusbook.net/fr/equipement/363515-stuff-3/objets", "link")</f>
        <v/>
      </c>
      <c r="C25082" t="n">
        <v>0</v>
      </c>
      <c r="D25082" t="inlineStr">
        <is>
          <t>Marteau des Anciens Steamers; Amulette du Strigide; Alliance Gloursonne; Bracelet du Piloztère; Ceintacé; Chapeau Lisson; Cape d'Hel Munster; Bottes de la Reine des Voleurs; Dofus Turquoise; Évasif majeur; Remueur; Cavaleur majeur; Nomade; Dragodinde en armure</t>
        </is>
      </c>
    </row>
    <row r="25083">
      <c r="A25083" t="inlineStr">
        <is>
          <t>Stuff 2</t>
        </is>
      </c>
      <c r="B25083">
        <f>HYPERLINK("https://www.dofusbook.net/fr/equipement/363478-stuff-2/objets", "link")</f>
        <v/>
      </c>
      <c r="C25083" t="n">
        <v>0</v>
      </c>
      <c r="D25083" t="inlineStr">
        <is>
          <t>Marteau Reine; Amulette du Strigide; Bracelet du Piloztère; Alliance Gloursonne; Ceinture du Strigide; Coiffe de la Reine des Voleurs; Cape au Logis; Baleinabottes; Dofus Pourpre; Dofus Turquoise; Cavaleur majeur; Remueur; Carapace Air majeur; Évasif majeur; Dragodinde en armure</t>
        </is>
      </c>
    </row>
    <row r="25084">
      <c r="A25084" t="inlineStr">
        <is>
          <t>Stuff 2</t>
        </is>
      </c>
      <c r="B25084">
        <f>HYPERLINK("https://www.dofusbook.net/fr/equipement/363505-stuff-2/objets", "link")</f>
        <v/>
      </c>
      <c r="C25084" t="n">
        <v>0</v>
      </c>
      <c r="D25084" t="inlineStr">
        <is>
          <t>Dagues Érhy; Amulette du Strigide; Anneau Chevelu; Bracelet du Piloztère; Ceinture de Gein; Chapeau de Gein; Voile d'encre; Baleinabottes; Dofus Pourpre; Dofus Turquoise; Dofus des Glaces; Remueur; Enragé majeur; Nomade; Dragodinde en armure</t>
        </is>
      </c>
    </row>
    <row r="25085">
      <c r="A25085" t="inlineStr">
        <is>
          <t>Stuff 1</t>
        </is>
      </c>
      <c r="B25085">
        <f>HYPERLINK("https://www.dofusbook.net/fr/equipement/363468-stuff-1/objets", "link")</f>
        <v/>
      </c>
      <c r="C25085" t="n">
        <v>1</v>
      </c>
      <c r="D25085" t="inlineStr">
        <is>
          <t>Harpelle; Collier de la Dame du Hasard; Anneau de Padgref; Anneau Tique; Ceinture de Gein; Couronne de Nidas; Cape de la Dame du Hasard; Pataugastrique; Dofus Turquoise; Dofus des Glaces; Carapace Feu majeur; Carapace Terre majeur; Érudit majeur; Remueur; Muldo Orchidée et Pourpre</t>
        </is>
      </c>
    </row>
    <row r="25086">
      <c r="A25086" t="inlineStr">
        <is>
          <t>Stuff 3</t>
        </is>
      </c>
      <c r="B25086">
        <f>HYPERLINK("https://www.dofusbook.net/fr/equipement/363500-stuff-3/objets", "link")</f>
        <v/>
      </c>
      <c r="C25086" t="n">
        <v>1</v>
      </c>
      <c r="D25086" t="inlineStr">
        <is>
          <t>Manthache; Collier du Valet Veinard; Gant du Valet Veinard; Alliance Gloursonne; Menoture; Dorabysses; Cape Indescriptible; Palmes Trithons; Dofus Émeraude; Dofus des Glaces; Miraculé majeur; Carapace Air majeur; Remueur; Dévastateur Air majeur; Muldo Ebène et Pourpre</t>
        </is>
      </c>
    </row>
    <row r="25087">
      <c r="A25087" t="inlineStr">
        <is>
          <t>Stuff 1</t>
        </is>
      </c>
      <c r="B25087">
        <f>HYPERLINK("https://www.dofusbook.net/fr/equipement/363495-stuff-1/objets", "link")</f>
        <v/>
      </c>
      <c r="C25087" t="n">
        <v>2</v>
      </c>
      <c r="D25087" t="inlineStr">
        <is>
          <t>Épouvante; Amulette Luminescente; Bracelet du Piloztère; Bague Trithon; Ceinture Luminescente; Masque Trithon; Cape Luminescente; Bottes Trithon; Dofus des Glaces; Dofus Ocre; Dofus Pourpre; Dofus Turquoise; Voyageur; Entraveur majeur; Dragodinde en armure</t>
        </is>
      </c>
    </row>
    <row r="25088">
      <c r="A25088" t="inlineStr">
        <is>
          <t>Stuff 3</t>
        </is>
      </c>
      <c r="B25088">
        <f>HYPERLINK("https://www.dofusbook.net/fr/equipement/363527-stuff-3/objets", "link")</f>
        <v/>
      </c>
      <c r="C25088" t="n">
        <v>0</v>
      </c>
      <c r="D25088" t="inlineStr">
        <is>
          <t>Marteau R'ture; Collier de Tourthon; Goulano; Anneau Crustique; Bouclier Taverne; Ceinture de Gein; Masque de Koutoulou; Voile d'encre; Bottes du Roi Joueur; Dofus Turquoise; Carapace Terre majeur; Enragé majeur; Remueur; Vigoureux majeur; Nomade; Kramkram</t>
        </is>
      </c>
    </row>
    <row r="25089">
      <c r="A25089" t="inlineStr">
        <is>
          <t>Stuff 3</t>
        </is>
      </c>
      <c r="B25089">
        <f>HYPERLINK("https://www.dofusbook.net/fr/equipement/363500-stuff-3/objets", "link")</f>
        <v/>
      </c>
      <c r="C25089" t="n">
        <v>1</v>
      </c>
      <c r="D25089" t="inlineStr">
        <is>
          <t>Manthache; Collier du Valet Veinard; Alliance Gloursonne; Gant du Valet Veinard; Menoture; Dorabysses; Cape Indescriptible; Palmes Trithons; Dofus des Glaces; Dofus Émeraude; Dévastateur Air majeur; Miraculé majeur; Carapace Air majeur; Remueur; Muldo Ebène et Pourpre</t>
        </is>
      </c>
    </row>
    <row r="25090">
      <c r="A25090" t="inlineStr">
        <is>
          <t>Stuff 1</t>
        </is>
      </c>
      <c r="B25090">
        <f>HYPERLINK("https://www.dofusbook.net/fr/equipement/363495-stuff-1/objets", "link")</f>
        <v/>
      </c>
      <c r="C25090" t="n">
        <v>2</v>
      </c>
      <c r="D25090" t="inlineStr">
        <is>
          <t>Épouvante; Amulette Luminescente; Bracelet du Piloztère; Bague Trithon; Ceinture Luminescente; Masque Trithon; Cape Luminescente; Bottes Trithon; Dofus Pourpre; Dofus Turquoise; Dofus des Glaces; Dofus Ocre; Voyageur; Entraveur majeur; Dragodinde en armure</t>
        </is>
      </c>
    </row>
    <row r="25091">
      <c r="A25091" t="inlineStr">
        <is>
          <t>Stuff 3</t>
        </is>
      </c>
      <c r="B25091">
        <f>HYPERLINK("https://www.dofusbook.net/fr/equipement/363527-stuff-3/objets", "link")</f>
        <v/>
      </c>
      <c r="C25091" t="n">
        <v>0</v>
      </c>
      <c r="D25091" t="inlineStr">
        <is>
          <t>Marteau R'ture; Collier de Tourthon; Anneau Crustique; Goulano; Bouclier Taverne; Ceinture de Gein; Masque de Koutoulou; Voile d'encre; Bottes du Roi Joueur; Dofus Turquoise; Remueur; Vigoureux majeur; Nomade; Carapace Terre majeur; Enragé majeur; Kramkram</t>
        </is>
      </c>
    </row>
    <row r="25092">
      <c r="A25092" t="inlineStr">
        <is>
          <t>Stuff 3</t>
        </is>
      </c>
      <c r="B25092">
        <f>HYPERLINK("https://www.dofusbook.net/fr/equipement/363485-stuff-3/objets", "link")</f>
        <v/>
      </c>
      <c r="C25092" t="n">
        <v>0</v>
      </c>
      <c r="D25092" t="inlineStr">
        <is>
          <t>Pelle de la Cour Sombre; Pendentif mignon de Koutoulou; Gant du Valet Veinard; Anneau des égarés; Menoture; Casque des égarés; Cape Indescriptible; Palmes Trithons; Dokoko; Remueur; Carapace Air majeur; Carapace Neutre majeur; Carapace Feu majeur; Miraculé majeur; Muldo Ebène et Indigo</t>
        </is>
      </c>
    </row>
    <row r="25093">
      <c r="A25093" t="inlineStr">
        <is>
          <t>Stuff 2</t>
        </is>
      </c>
      <c r="B25093">
        <f>HYPERLINK("https://www.dofusbook.net/fr/equipement/363517-stuff-2/objets", "link")</f>
        <v/>
      </c>
      <c r="C25093" t="n">
        <v>0</v>
      </c>
      <c r="D25093" t="inlineStr">
        <is>
          <t>Sabres d'Atcham; Amulette du Strigide; Anneau de Padgref; Bague Trithon; Ceinture du Strigide; Masque Trithon; Cape d'Atcham; Sandales  d'Atcham; Dofus Pourpre; Dofus Ocre; Dofus Émeraude; Dolmanax; Dofus des Glaces; Dofus Turquoise; Muldo Ebène</t>
        </is>
      </c>
    </row>
    <row r="25094">
      <c r="A25094" t="inlineStr">
        <is>
          <t>Stuff 2</t>
        </is>
      </c>
      <c r="B25094">
        <f>HYPERLINK("https://www.dofusbook.net/fr/equipement/363457-stuff-2/objets", "link")</f>
        <v/>
      </c>
      <c r="C25094" t="n">
        <v>0</v>
      </c>
      <c r="D25094" t="inlineStr">
        <is>
          <t>Pelle Vice; Amulette du Strigide; Alliance du Lévitrof; Bracelet du Piloztère; Ceinture du Strigide; Casqnoar; Cape de Kongoku; Pataugastrique; Dofus Pourpre; Dofus Turquoise; Carapace Terre majeur; Nomade; Remueur; Temporiseur majeur; Dragodinde en armure</t>
        </is>
      </c>
    </row>
    <row r="25095">
      <c r="A25095" t="inlineStr">
        <is>
          <t>Stuff 1</t>
        </is>
      </c>
      <c r="B25095">
        <f>HYPERLINK("https://www.dofusbook.net/fr/equipement/363456-stuff-1/objets", "link")</f>
        <v/>
      </c>
      <c r="C25095" t="n">
        <v>0</v>
      </c>
      <c r="D25095" t="inlineStr">
        <is>
          <t>Épée Brûlâme; Amulette du Strigide; Alliance du Lévitrof; Bracelet du Piloztère; Bouclier cubiste; Ceinture du Strigide; Casquette de Meno; Cape de la Dame du Hasard; Pataugastrique; Dofus Turquoise; Dofus des Glaces; Temporiseur majeur; Remueur; Carapace Terre majeur; Carapace Air majeur; Muldo Indigo et Orchidée</t>
        </is>
      </c>
    </row>
    <row r="25096">
      <c r="A25096" t="inlineStr">
        <is>
          <t>Stuff 3</t>
        </is>
      </c>
      <c r="B25096">
        <f>HYPERLINK("https://www.dofusbook.net/fr/equipement/363458-stuff-3/objets", "link")</f>
        <v/>
      </c>
      <c r="C25096" t="n">
        <v>0</v>
      </c>
      <c r="D25096" t="inlineStr">
        <is>
          <t>Arc Nécrotique; Collier de la Dame du Hasard; Bracelet du Piloztère; Alliance du Lévitrof; Ceintrigue; Casquette de Meno; Cape de la Dame du Hasard; Pataugastrique; Dofus Turquoise; Carapace Terre majeur; Temporiseur majeur; Remueur; Carapace Feu majeur; Observateur; Muldo Indigo et Orchidée</t>
        </is>
      </c>
    </row>
    <row r="25097">
      <c r="A25097" t="inlineStr">
        <is>
          <t>Zobal M 200</t>
        </is>
      </c>
      <c r="B25097">
        <f>HYPERLINK("https://www.dofusbook.net/fr/equipement/5740501-zobal-m-200/objets", "link")</f>
        <v/>
      </c>
      <c r="C25097" t="n">
        <v>2</v>
      </c>
      <c r="D25097" t="inlineStr">
        <is>
          <t>Baguette de Torkélonia; Amulette du Strigide; Bague Gloursonne; Alliance Gloursonne; Quatre-feuilles; Ceinture du Strigide; Corne de Torkélonia; Carapace de Torkélonia; Bottes du Strigide; Dofus Ocre; Dofus Turquoise; Dofus Ivoire; Dofus Abyssal; Dofus des Glaces; Dofus Ébène; Kokulte</t>
        </is>
      </c>
    </row>
    <row r="25098">
      <c r="A25098" t="inlineStr">
        <is>
          <t>Zobal M 200</t>
        </is>
      </c>
      <c r="B25098">
        <f>HYPERLINK("https://www.dofusbook.net/fr/equipement/5740412-zobal-m-200/objets", "link")</f>
        <v/>
      </c>
      <c r="C25098" t="n">
        <v>2</v>
      </c>
      <c r="D25098" t="inlineStr">
        <is>
          <t>Massier; Amulette Volkorne; Anneauræus; Anneauræus; Cadran d'Eau; Croture; Heaume Oplate; Voile d'encre; Bottes Innommables; Dofus Vulbis; Dofus Abyssal; Dofus Ivoire; Dofus Ébène; Évasif majeur; Remueur; Dragodinde Ivoire et Orchidée</t>
        </is>
      </c>
    </row>
    <row r="25099">
      <c r="A25099" t="inlineStr">
        <is>
          <t>Enutrof M 200</t>
        </is>
      </c>
      <c r="B25099">
        <f>HYPERLINK("https://www.dofusbook.net/fr/equipement/5906176-enutrof-m-200/objets", "link")</f>
        <v/>
      </c>
      <c r="C25099" t="n">
        <v>0</v>
      </c>
      <c r="D25099" t="inlineStr">
        <is>
          <t>Baguette Hique; Amulette du Glourséleste; Annolamour; Anneau des Prophètes; Bouclier cubiste; Poulpagne; Casquipik; Cape de la Dame du Hasard; Pikottes; Entraveur majeur; Nomade; Entraveur; Temporiseur majeur; Ralentisseur majeur; Remueur; Gwo Tofu Ventripotent</t>
        </is>
      </c>
    </row>
    <row r="25100">
      <c r="A25100" t="inlineStr">
        <is>
          <t>Eniripsa F 200</t>
        </is>
      </c>
      <c r="B25100">
        <f>HYPERLINK("https://www.dofusbook.net/fr/equipement/5826190-eniripsa-f-200/objets", "link")</f>
        <v/>
      </c>
      <c r="C25100" t="n">
        <v>0</v>
      </c>
      <c r="D25100" t="inlineStr">
        <is>
          <t>Amulette Cryochrone; Bracelet du Piloztère; Anneau de Padgref; Quatre-feuilles; Sangle Aise; Chapeau des Malveilleurs; Cape des Malveilleurs; Getas de Padgref; Dofus Pourpre; Dofus des Glaces; Dofus Turquoise; Dofus Émeraude; Dofus Ocre; Dofus Abyssal</t>
        </is>
      </c>
    </row>
    <row r="25101">
      <c r="A25101" t="inlineStr">
        <is>
          <t>Crâ M 200</t>
        </is>
      </c>
      <c r="B25101">
        <f>HYPERLINK("https://www.dofusbook.net/fr/equipement/5789507-cra-m-200/objets", "link")</f>
        <v/>
      </c>
      <c r="C25101" t="n">
        <v>4</v>
      </c>
      <c r="D25101" t="inlineStr">
        <is>
          <t>Marteau des égarés; Amulette Volkorne; Bracelet du Piloztère; Anneau Volkorne; Quatre-feuilles; Ceinture Volkorne; Casque du Chalœil; Cape du Chalœil; Bottes du Chalœil; Dofus Turquoise; Dofus Abyssal; Dofus Ocre; Dolmanax; Dofus Pourpre; Dofus des Glaces; Kokulte</t>
        </is>
      </c>
    </row>
    <row r="25102">
      <c r="A25102" t="inlineStr">
        <is>
          <t>Crâ M 200</t>
        </is>
      </c>
      <c r="B25102">
        <f>HYPERLINK("https://www.dofusbook.net/fr/equipement/5841313-cra-m-200/objets", "link")</f>
        <v/>
      </c>
      <c r="C25102" t="n">
        <v>0</v>
      </c>
      <c r="D25102" t="inlineStr">
        <is>
          <t>Marteau des égarés; Amulette Volkorne; Bracelet du Piloztère; Anneau Volkorne; Quatre-feuilles; Ceinture Volkorne; Casque du Chalœil; Cape du Chalœil; Bottes du Chalœil; Dofus des Glaces; Dofus Turquoise; Dolmanax; Dofus Ocre; Dofus Ivoire; Dofus Pourpre; Kokulte</t>
        </is>
      </c>
    </row>
    <row r="25103">
      <c r="A25103" t="inlineStr">
        <is>
          <t>Huppermage F 200</t>
        </is>
      </c>
      <c r="B25103">
        <f>HYPERLINK("https://www.dofusbook.net/fr/equipement/5458685-huppermage-f-200/objets", "link")</f>
        <v/>
      </c>
      <c r="C25103" t="n">
        <v>5</v>
      </c>
      <c r="D25103" t="inlineStr">
        <is>
          <t>Épée Brûlâme; Amulette Volkorne; Anneau de Padgref; Anneau Volkorne; Bouclier du Captain Amakna; Ceinture Volkorne; Coiffe de Padgref; Cape de la Dame du Hasard; Getas de Padgref; Dofus Ivoire; Dofus Pourpre; Dofus Abyssal; Dofus Turquoise; Dofus Émeraude; Dofus Ocre; Muldo Prune et Doré</t>
        </is>
      </c>
    </row>
    <row r="25104">
      <c r="A25104" t="inlineStr">
        <is>
          <t>Pandawa F 200</t>
        </is>
      </c>
      <c r="B25104">
        <f>HYPERLINK("https://www.dofusbook.net/fr/equipement/5487897-pandawa-f-200/objets", "link")</f>
        <v/>
      </c>
      <c r="C25104" t="n">
        <v>1</v>
      </c>
      <c r="D25104" t="inlineStr">
        <is>
          <t>Rouleau à Pâtisserie d'Aermyne; Collier Rophante; Bague Trithon; Alliance Gloursonne; Sept ans de malheur; Ceinture de Kongoku; Masque d'Anerice; Cape d'Anerice; Pataugastrique; Dofus Abyssal; Dofus Ivoire; Dofus Émeraude; Dofus Ocre; Miraculé majeur; Obstructeur majeur; Givrefoux</t>
        </is>
      </c>
    </row>
    <row r="25105">
      <c r="A25105" t="inlineStr">
        <is>
          <t>Lyxar test</t>
        </is>
      </c>
      <c r="B25105">
        <f>HYPERLINK("https://www.dofusbook.net/fr/equipement/5759752-lyxar-test/objets", "link")</f>
        <v/>
      </c>
      <c r="C25105" t="n">
        <v>0</v>
      </c>
      <c r="D25105" t="inlineStr">
        <is>
          <t>Baguette de Torkélonia; Amulette du Strigide; Bracelet du Piloztère; Anneau Vicieux; Quatre-feuilles; Ceinture Volkorne; Casque Volkorne; Carapace de Torkélonia; Bottes du Strigide; Dofus des Glaces; Dofus Ocre; Dofus Pourpre; Dofus Turquoise; Kokulte</t>
        </is>
      </c>
    </row>
    <row r="25106">
      <c r="A25106" t="inlineStr">
        <is>
          <t>Roublard F 200 feu</t>
        </is>
      </c>
      <c r="B25106">
        <f>HYPERLINK("https://www.dofusbook.net/fr/equipement/5745541-roublard-f-200-feu/objets", "link")</f>
        <v/>
      </c>
      <c r="C25106" t="n">
        <v>0</v>
      </c>
      <c r="D25106" t="inlineStr">
        <is>
          <t>Arc corrompu; Amulette d'Otomaï; Anneau de Nidas; Bague Gloursonne; Quatre-feuilles; Ceinture de Vortex; Couronne de Nidas; Cape de Diondin; Bottes Innommables; Dofus Turquoise; Dofus Pourpre; Nomade; Dévastateur Feu majeur; Remueur; Érudit majeur; Bisouglours</t>
        </is>
      </c>
    </row>
    <row r="25107">
      <c r="A25107" t="inlineStr">
        <is>
          <t>Zobal M 200</t>
        </is>
      </c>
      <c r="B25107">
        <f>HYPERLINK("https://www.dofusbook.net/fr/equipement/5584695-zobal-m-200/objets", "link")</f>
        <v/>
      </c>
      <c r="C25107" t="n">
        <v>0</v>
      </c>
      <c r="D25107" t="inlineStr">
        <is>
          <t>Epée Toche; Amulette du Strigide; Bague Gloursonne; Chevalière du Roi Joueur; Bouclier du Captain Amakna; Ceinture du Strigide; Couronne du Roi Joueur; Bottes du Roi Joueur</t>
        </is>
      </c>
    </row>
    <row r="25108">
      <c r="A25108" t="inlineStr">
        <is>
          <t>Pandawa F 200</t>
        </is>
      </c>
      <c r="B25108">
        <f>HYPERLINK("https://www.dofusbook.net/fr/equipement/5516175-pandawa-f-200/objets", "link")</f>
        <v/>
      </c>
      <c r="C25108" t="n">
        <v>3</v>
      </c>
      <c r="D25108" t="inlineStr">
        <is>
          <t>Dagues d'Ilyzaelle; Amulette du Strigide; Bague Gloursonne; Anneau Chevelu; Bouclier du Captain Amakna; Ceinture de la Cour Sombre; Masque de Koutoulou; Cape au Logis; Bottes de la Cour Sombre; Dofus Turquoise; Dofus Émeraude; Dofus Pourpre; Enragé majeur; Nomade; Vigoureux majeur; Volkorne Emeraude et Pourpre</t>
        </is>
      </c>
    </row>
    <row r="25109">
      <c r="A25109" t="inlineStr">
        <is>
          <t>full force</t>
        </is>
      </c>
      <c r="B25109">
        <f>HYPERLINK("https://www.dofusbook.net/fr/equipement/3056377-full-force/objets", "link")</f>
        <v/>
      </c>
      <c r="C25109" t="n">
        <v>0</v>
      </c>
      <c r="D25109" t="inlineStr">
        <is>
          <t>Arc du Chalœil; Amulette du Strigide; Bague Gloursonne; Anneau Crustique; Ceinture du Strigide; Masque de Koutoulou; Cape au Logis; Bottes de la Cour Sombre; Dofus Turquoise; Dofus Émeraude; Dofus Ocre; Dofus Pourpre; Vigoureux majeur; Enragé majeur; Muldo Prune et Doré</t>
        </is>
      </c>
    </row>
    <row r="25110">
      <c r="A25110" t="inlineStr">
        <is>
          <t>égarés</t>
        </is>
      </c>
      <c r="B25110">
        <f>HYPERLINK("https://www.dofusbook.net/fr/equipement/2667499-egares/objets", "link")</f>
        <v/>
      </c>
      <c r="C25110" t="n">
        <v>1</v>
      </c>
      <c r="D25110" t="inlineStr">
        <is>
          <t>Marteau des égarés; Amulette du Strigide; Bracelet du Piloztère; Alliance de Missiz Frizz; Quatre-feuilles; Ceinture du Strigide; Cape des Justiciers; Bottes du Chalœil; Dofus Ocre; Dofus Pourpre; Dofus des Glaces; Dofus Turquoise; Vigoureux majeur; Nomade; Muldo Prune et Doré</t>
        </is>
      </c>
    </row>
    <row r="25111">
      <c r="A25111" t="inlineStr">
        <is>
          <t>para meme que shibro</t>
        </is>
      </c>
      <c r="B25111">
        <f>HYPERLINK("https://www.dofusbook.net/fr/equipement/6006490-para-meme-que-shibro/objets", "link")</f>
        <v/>
      </c>
      <c r="C25111" t="n">
        <v>1</v>
      </c>
      <c r="D25111" t="inlineStr">
        <is>
          <t>Baguette de Torkélonia; Amulette du Strigide; Bracelet du Piloztère; Bague Trithon; Quatre-feuilles; Ceinture du Strigide; Corne de Torkélonia; Voile d'encre; Bottes Trithon; Dofus Pourpre; Dofus des Glaces; Dofus Vulbis; Dofus Abyssal; Dofus Ocre; Dofus Turquoise; Sakochère</t>
        </is>
      </c>
    </row>
    <row r="25112">
      <c r="A25112" t="inlineStr">
        <is>
          <t>full multi no limite</t>
        </is>
      </c>
      <c r="B25112">
        <f>HYPERLINK("https://www.dofusbook.net/fr/equipement/6006460-full-multi-no-limite/objets", "link")</f>
        <v/>
      </c>
      <c r="C25112" t="n">
        <v>16</v>
      </c>
      <c r="D25112" t="inlineStr">
        <is>
          <t>Baguette de Torkélonia; Amulette du Strigide; Bague Trithon; Bracelet du Piloztère; Quatre-feuilles; Ceinture du Strigide; Corne de Torkélonia; Voile d'encre; Bottes Trithon; Dofus Vulbis; Dofus Abyssal; Dofus Ocre; Dofus Turquoise; Dofus Pourpre; Dofus des Glaces; Sakochère</t>
        </is>
      </c>
    </row>
    <row r="25113">
      <c r="A25113" t="inlineStr">
        <is>
          <t>air no limite</t>
        </is>
      </c>
      <c r="B25113">
        <f>HYPERLINK("https://www.dofusbook.net/fr/equipement/6006377-air-no-limite-/objets", "link")</f>
        <v/>
      </c>
      <c r="C25113" t="n">
        <v>4</v>
      </c>
      <c r="D25113" t="inlineStr">
        <is>
          <t>Baguette de Torkélonia; Amulette du Strigide; Bague Trithon; Anneau de Padgref; Quatre-feuilles; Ceinture du Strigide; Coiffe de Padgref; Carapace de Torkélonia; Bottes Trithon; Dofus Ocre; Dofus Abyssal; Dofus Vulbis; Dofus des Glaces; Dofus Pourpre; Dofus Turquoise; Sakochère</t>
        </is>
      </c>
    </row>
    <row r="25114">
      <c r="A25114" t="inlineStr">
        <is>
          <t>para 200 over cheat</t>
        </is>
      </c>
      <c r="B25114">
        <f>HYPERLINK("https://www.dofusbook.net/fr/equipement/6006328-para-200-over-cheat/objets", "link")</f>
        <v/>
      </c>
      <c r="C25114" t="n">
        <v>5</v>
      </c>
      <c r="D25114" t="inlineStr">
        <is>
          <t>Baguette de Torkélonia; Amibou; Alliance Gloursonne; Anneau des égarés; Quatre-feuilles; Menoture; Casque Volkorne; Carapace de Torkélonia; Palmes Trithons; Dofus Pourpre; Dofus Turquoise; Cascadeur majeur; Remueur; Acrobate majeur; Nomade; Pioute jaune</t>
        </is>
      </c>
    </row>
    <row r="25115">
      <c r="A25115" t="inlineStr">
        <is>
          <t>shibro plus de po</t>
        </is>
      </c>
      <c r="B25115">
        <f>HYPERLINK("https://www.dofusbook.net/fr/equipement/6002894-shibro-plus-de-po/objets", "link")</f>
        <v/>
      </c>
      <c r="C25115" t="n">
        <v>15</v>
      </c>
      <c r="D25115" t="inlineStr">
        <is>
          <t>Hache du Chalœil; Amulette du Strigide; Alliance de Missiz Frizz; Bracelet du Piloztère; Quatre-feuilles; Ceintacé; Coiffe du Glourséleste; Cape de la Dame du Hasard; Bottes du Strigide; Dofus des Glaces; Dofus Pourpre; Dofus Turquoise; Remueur; Vigoureux majeur; Nomade; Muldo Doré et Emeraude</t>
        </is>
      </c>
    </row>
    <row r="25116">
      <c r="A25116" t="inlineStr">
        <is>
          <t>a voir terre air</t>
        </is>
      </c>
      <c r="B25116">
        <f>HYPERLINK("https://www.dofusbook.net/fr/equipement/6000170-a-voir-terre-air/objets", "link")</f>
        <v/>
      </c>
      <c r="C25116" t="n">
        <v>3</v>
      </c>
      <c r="D25116" t="inlineStr">
        <is>
          <t>Baguette de Torkélonia; Amulette du Strigide; Anneau de Brouce; Bracelet du Piloztère; Quatre-feuilles; Ceinture du Strigide; Corne de Torkélonia; Carapace de Torkélonia; Bottes du Strigide; Dofus des Glaces; Dofus Abyssal; Dofus Pourpre; Dofus Turquoise; Voyageur; Puissant majeur; Volkorne Pourpre et Ebène</t>
        </is>
      </c>
    </row>
    <row r="25117">
      <c r="A25117" t="inlineStr">
        <is>
          <t>torke pas trop trop</t>
        </is>
      </c>
      <c r="B25117">
        <f>HYPERLINK("https://www.dofusbook.net/fr/equipement/5998292-torke-pas-trop--trop/objets", "link")</f>
        <v/>
      </c>
      <c r="C25117" t="n">
        <v>1</v>
      </c>
      <c r="D25117" t="inlineStr">
        <is>
          <t>Baguette de Torkélonia; Amulette du Cœur Saignant; Bracelet du Piloztère; Anneau de Brouce; Quatre-feuilles; Ceinture de Brouce; Corne de Torkélonia; Cape du Cœur Saignant; Baleinabottes; Dofus Pourpre; Dofus des Glaces; Dofus Turquoise; Dofus Abyssal; Voyageur; Furibond majeur; Volkorne Pourpre</t>
        </is>
      </c>
    </row>
    <row r="25118">
      <c r="A25118" t="inlineStr">
        <is>
          <t>torke pas trop cher</t>
        </is>
      </c>
      <c r="B25118">
        <f>HYPERLINK("https://www.dofusbook.net/fr/equipement/5988273-torke-pas-trop-cher/objets", "link")</f>
        <v/>
      </c>
      <c r="C25118" t="n">
        <v>5</v>
      </c>
      <c r="D25118" t="inlineStr">
        <is>
          <t>Baguette de Torkélonia; Amulette du Strigide; Bracelet du Piloztère; Anneau de Brouce; Quatre-feuilles; Ceinture de Brouce; Corne de Torkélonia; Carapace de Torkélonia; Bottes de Brouce; Dofus Turquoise; Dofus Abyssal; Dofus Pourpre; Dofus des Glaces; Furibond majeur; Voyageur; Sakochère</t>
        </is>
      </c>
    </row>
    <row r="25119">
      <c r="A25119" t="inlineStr">
        <is>
          <t>strig budjet reduit</t>
        </is>
      </c>
      <c r="B25119">
        <f>HYPERLINK("https://www.dofusbook.net/fr/equipement/5984270-strig-budjet-reduit/objets", "link")</f>
        <v/>
      </c>
      <c r="C25119" t="n">
        <v>1</v>
      </c>
      <c r="D25119" t="inlineStr">
        <is>
          <t>Arc du Chalœil; Amulette du Strigide; Anneau de Brouce; Bracelet du Piloztère; Quatre-feuilles; Ceinture de Brouce; Corne de Torkélonia; Cape au Logis; Sabots Minables; Dofus Abyssal; Dofus Pourpre; Dofus des Glaces; Dofus Turquoise; Nomade; Enragé majeur; Volkorne Pourpre</t>
        </is>
      </c>
    </row>
    <row r="25120">
      <c r="A25120" t="inlineStr">
        <is>
          <t>Torke budget</t>
        </is>
      </c>
      <c r="B25120">
        <f>HYPERLINK("https://www.dofusbook.net/fr/equipement/5964543-torke-budget/objets", "link")</f>
        <v/>
      </c>
      <c r="C25120" t="n">
        <v>1</v>
      </c>
      <c r="D25120" t="inlineStr">
        <is>
          <t>Baguette de Torkélonia; Amulette du Strigide; Anneau de Brouce; Bracelet du Piloztère; Quatre-feuilles; Ceinture Gence; Corne de Torkélonia; Cape au Logis; Bottes du Kamasterisk; Dofus des Glaces; Dofus Pourpre; Dofus Abyssal; Dofus Turquoise; Nomade; Enragé majeur; Sakochère</t>
        </is>
      </c>
    </row>
    <row r="25121">
      <c r="A25121" t="inlineStr">
        <is>
          <t>top sans ocre vuvu</t>
        </is>
      </c>
      <c r="B25121">
        <f>HYPERLINK("https://www.dofusbook.net/fr/equipement/5966973-top-sans-ocre-vuvu-/objets", "link")</f>
        <v/>
      </c>
      <c r="C25121" t="n">
        <v>3</v>
      </c>
      <c r="D25121" t="inlineStr">
        <is>
          <t>Baguette de Torkélonia; Amulette du Strigide; Crocanneau; Bracelet du Piloztère; Quatre-feuilles; Ceinture du Strigide; Corne de Torkélonia; Cape du Cœur Saignant; Bottes du Cœur Saignant; Dofus Turquoise; Dofus des Glaces; Dofus Pourpre; Dofus Abyssal; Voyageur; Furibond majeur; Sakochère</t>
        </is>
      </c>
    </row>
    <row r="25122">
      <c r="A25122" t="inlineStr">
        <is>
          <t>reroll para - cher</t>
        </is>
      </c>
      <c r="B25122">
        <f>HYPERLINK("https://www.dofusbook.net/fr/equipement/5980918-reroll-para---cher/objets", "link")</f>
        <v/>
      </c>
      <c r="C25122" t="n">
        <v>2</v>
      </c>
      <c r="D25122" t="inlineStr">
        <is>
          <t>Arc du Chalœil; Amulette du Strigide; Bracelet du Piloztère; Anneau de Brouce; Quatre-feuilles; Ceinture de Brouce; Masque de Koutoulou; Cape au Logis; Sabots Minables; Dofus Pourpre; Dofus des Glaces; Dofus Turquoise; Dofus Abyssal; Enragé majeur; Nomade; Bulbisou</t>
        </is>
      </c>
    </row>
    <row r="25123">
      <c r="A25123" t="inlineStr">
        <is>
          <t>Pvp terre</t>
        </is>
      </c>
      <c r="B25123">
        <f>HYPERLINK("https://www.dofusbook.net/fr/equipement/5971443-pvp-terre/objets", "link")</f>
        <v/>
      </c>
      <c r="C25123" t="n">
        <v>0</v>
      </c>
      <c r="D25123" t="inlineStr">
        <is>
          <t>Arc du Chalœil; Amulette du Strigide; Anneau Crustique; Anneau Chevelu; Cadran de Terre; Ceinture Gence; Casque Dragoeuf; Cape au Logis; Bottes du Strigide; Dofus Pourpre; Dofus Ivoire; Dofus Turquoise; Dofus Abyssal; Enragé majeur; Remueur; Bulbisou</t>
        </is>
      </c>
    </row>
    <row r="25124">
      <c r="A25124" t="inlineStr">
        <is>
          <t>Hane si il reprend</t>
        </is>
      </c>
      <c r="B25124">
        <f>HYPERLINK("https://www.dofusbook.net/fr/equipement/5970067-hane-si-il-reprend/objets", "link")</f>
        <v/>
      </c>
      <c r="C25124" t="n">
        <v>0</v>
      </c>
      <c r="D25124" t="inlineStr">
        <is>
          <t>Hache Téroïde; Amulette du Strigide; Alliance de Missiz Frizz; Bague Gloursonne; Quatre-feuilles; Ceinture du Strigide; Casque de Missiz Frizz; Cape au Logis; Bottes du Strigide; Dofus Pourpre; Dofus des Glaces; Dofus Turquoise; Dofus Abyssal; Savant majeur; Furibond majeur; Sakochère</t>
        </is>
      </c>
    </row>
    <row r="25125">
      <c r="A25125" t="inlineStr">
        <is>
          <t>Full ret roxx</t>
        </is>
      </c>
      <c r="B25125">
        <f>HYPERLINK("https://www.dofusbook.net/fr/equipement/5958921-full-ret-roxx/objets", "link")</f>
        <v/>
      </c>
      <c r="C25125" t="n">
        <v>1</v>
      </c>
      <c r="D25125" t="inlineStr">
        <is>
          <t>Dagues Açantes; Collier Lunaire; Pikano; Alliance Gloursonne; Bouclier cubiste; Ceinture Glaciale; Maskrobe; Cape de la Dame du Hasard; Bottes Lunaires; Dofus Abyssal; Remueur; Chanceux majeur; Temporiseur; Entraveur majeur; Temporiseur majeur; Volkorne Turquoise et Indigo</t>
        </is>
      </c>
    </row>
    <row r="25126">
      <c r="A25126" t="inlineStr">
        <is>
          <t>12/6</t>
        </is>
      </c>
      <c r="B25126">
        <f>HYPERLINK("https://www.dofusbook.net/fr/equipement/5969214-12-6/objets", "link")</f>
        <v/>
      </c>
      <c r="C25126" t="n">
        <v>1</v>
      </c>
      <c r="D25126" t="inlineStr">
        <is>
          <t>Baguette de Torkélonia; Amulette du Cœur Saignant; Anneau Crustique; Anneau de Brouce; Quatre-feuilles; Ceinture de Brouce; Corne de Torkélonia; Carapace de Torkélonia; Bottes de Brouce; Dofus Ocre; Dofus Pourpre; Dofus des Glaces; Dofus Turquoise; Dofus Abyssal; Dolmanax; Sakochère</t>
        </is>
      </c>
    </row>
    <row r="25127">
      <c r="A25127" t="inlineStr">
        <is>
          <t>Terre parfait</t>
        </is>
      </c>
      <c r="B25127">
        <f>HYPERLINK("https://www.dofusbook.net/fr/equipement/5969102-terre-parfait-/objets", "link")</f>
        <v/>
      </c>
      <c r="C25127" t="n">
        <v>0</v>
      </c>
      <c r="D25127" t="inlineStr">
        <is>
          <t>Baguette de Torkélonia; Amulette du Strigide; Bracelet du Piloztère; Anneau de Brouce; Quatre-feuilles; Ceinture du Strigide; Corne de Torkélonia; Cape du Cœur Saignant; Bottes du Cœur Saignant; Dofus Ocre; Dofus Abyssal; Dofus Pourpre; Dofus Vulbis; Dofus Turquoise; Dofus des Glaces; Sakochère</t>
        </is>
      </c>
    </row>
    <row r="25128">
      <c r="A25128" t="inlineStr">
        <is>
          <t>Et c Reparti</t>
        </is>
      </c>
      <c r="B25128">
        <f>HYPERLINK("https://www.dofusbook.net/fr/equipement/5968859-et-c-reparti-/objets", "link")</f>
        <v/>
      </c>
      <c r="C25128" t="n">
        <v>0</v>
      </c>
      <c r="D25128" t="inlineStr">
        <is>
          <t>Baguette de Torkélonia; Amulette du Strigide; Bracelet du Piloztère; Anneau de Brouce; Quatre-feuilles; Ceinture du Strigide; Corne de Torkélonia; Cape au Logis; Bottes du Strigide; Dofus des Glaces; Dofus Pourpre; Dofus Abyssal; Dofus Turquoise; Furibond majeur; Sakochère</t>
        </is>
      </c>
    </row>
    <row r="25129">
      <c r="A25129" t="inlineStr">
        <is>
          <t>Encore 1 de plus</t>
        </is>
      </c>
      <c r="B25129">
        <f>HYPERLINK("https://www.dofusbook.net/fr/equipement/5967876-encore-1-de-plus/objets", "link")</f>
        <v/>
      </c>
      <c r="C25129" t="n">
        <v>0</v>
      </c>
      <c r="D25129" t="inlineStr">
        <is>
          <t>Baguette de Torkélonia; Amulette du Strigide; Crocanneau; Bague Trithon; Quatre-feuilles; Ceinture du Strigide; Corne de Torkélonia; Carapace de Torkélonia; Bottes Trithon; Dofus des Glaces; Dofus Pourpre; Dofus Abyssal; Dofus Turquoise; Furibond majeur; Sakochère</t>
        </is>
      </c>
    </row>
    <row r="25130">
      <c r="A25130" t="inlineStr">
        <is>
          <t>Elio 200</t>
        </is>
      </c>
      <c r="B25130">
        <f>HYPERLINK("https://www.dofusbook.net/fr/equipement/5956182-elio-200/objets", "link")</f>
        <v/>
      </c>
      <c r="C25130" t="n">
        <v>7</v>
      </c>
      <c r="D25130" t="inlineStr">
        <is>
          <t>Baguette de Torkélonia; Amulette du Strigide; Anneau Volkorne; Crocanneau; Quatre-feuilles; Ceinture Volkorne; Corne de Torkélonia; Cape au Logis; Bottes du Strigide; Dofus Pourpre; Dofus Abyssal; Dofus Turquoise; Dofus des Glaces; Sakochère</t>
        </is>
      </c>
    </row>
    <row r="25131">
      <c r="A25131" t="inlineStr">
        <is>
          <t>Et c est reparti</t>
        </is>
      </c>
      <c r="B25131">
        <f>HYPERLINK("https://www.dofusbook.net/fr/equipement/5960480-et-c-est-reparti/objets", "link")</f>
        <v/>
      </c>
      <c r="C25131" t="n">
        <v>0</v>
      </c>
      <c r="D25131" t="inlineStr">
        <is>
          <t>Baguette de Torkélonia; Amulette du Strigide; Crocanneau; Anneau de Brouce; Quatre-feuilles; Ceinture du Strigide; Corne de Torkélonia; Cape du Cœur Saignant; Bottes du Cœur Saignant; Dofus Pourpre; Dofus Abyssal; Dofus Turquoise; Dofus des Glaces; Furibond majeur; Sakochère</t>
        </is>
      </c>
    </row>
    <row r="25132">
      <c r="A25132" t="inlineStr">
        <is>
          <t>Ken vrai stuff</t>
        </is>
      </c>
      <c r="B25132">
        <f>HYPERLINK("https://www.dofusbook.net/fr/equipement/5960510-ken-vrai-stuff/objets", "link")</f>
        <v/>
      </c>
      <c r="C25132" t="n">
        <v>1</v>
      </c>
      <c r="D25132" t="inlineStr">
        <is>
          <t>Baguette Hique; Amulette du Strigide; Anneau Cryochrone; Bracelet du Piloztère; Quatre-feuilles; Ceinture du Strigide; Maskrobe; Cape de la Dame du Hasard; Pataugastrique; Dofus Turquoise; Dofus Pourpre; Remueur; Nomade; Vigoureux majeur; Sanguinaire majeur; Sakochère</t>
        </is>
      </c>
    </row>
    <row r="25133">
      <c r="A25133" t="inlineStr">
        <is>
          <t>Feu eau</t>
        </is>
      </c>
      <c r="B25133">
        <f>HYPERLINK("https://www.dofusbook.net/fr/equipement/5958789-feu-eau/objets", "link")</f>
        <v/>
      </c>
      <c r="C25133" t="n">
        <v>0</v>
      </c>
      <c r="D25133" t="inlineStr">
        <is>
          <t>Baguette Hique; Amulette Volkorne; Bague Trithon; Anneau Volkorne; Quatre-feuilles; Ceintacé; Masque Trithon; Cape de la Dame du Hasard; Bottes de la Dame du Hasard; Dofus des Glaces; Dofus Pourpre; Dofus Abyssal; Dofus Turquoise; Sakochère</t>
        </is>
      </c>
    </row>
    <row r="25134">
      <c r="A25134" t="inlineStr">
        <is>
          <t>Aller encore un</t>
        </is>
      </c>
      <c r="B25134">
        <f>HYPERLINK("https://www.dofusbook.net/fr/equipement/5958216-aller-encore-un-/objets", "link")</f>
        <v/>
      </c>
      <c r="C25134" t="n">
        <v>0</v>
      </c>
      <c r="D25134" t="inlineStr">
        <is>
          <t>Baguette des égarés; Amulette du Strigide; Bracelet du Piloztère; Bague Trithon; Quatre-feuilles; Ceinture du Strigide; Masque Trithon; Cape Ovri; Pantoufles du Piloztère; Dofus Pourpre; Dofus Abyssal; Dofus Turquoise; Dofus des Glaces; Sakochère</t>
        </is>
      </c>
    </row>
    <row r="25135">
      <c r="A25135" t="inlineStr">
        <is>
          <t>Test encore</t>
        </is>
      </c>
      <c r="B25135">
        <f>HYPERLINK("https://www.dofusbook.net/fr/equipement/5958148-test-encore-/objets", "link")</f>
        <v/>
      </c>
      <c r="C25135" t="n">
        <v>0</v>
      </c>
      <c r="D25135" t="inlineStr">
        <is>
          <t>Baguette Hique; Amulette du Strigide; Crocanneau; Anneau Cryochrone; Quatre-feuilles; Ceinture du Strigide; Coiffe Cryochrone; Cape de la Dame du Hasard; Bottes de la Dame du Hasard; Dofus Turquoise; Dofus des Glaces; Dofus Pourpre; Dofus Abyssal; Joueur majeur; Voyageur; Sakochère</t>
        </is>
      </c>
    </row>
    <row r="25136">
      <c r="A25136" t="inlineStr">
        <is>
          <t>Dofus do crit</t>
        </is>
      </c>
      <c r="B25136">
        <f>HYPERLINK("https://www.dofusbook.net/fr/equipement/5956473-dofus-do-crit/objets", "link")</f>
        <v/>
      </c>
      <c r="C25136" t="n">
        <v>2</v>
      </c>
      <c r="D25136" t="inlineStr">
        <is>
          <t>Baguette de Torkélonia; Amulette du Strigide; Crocanneau; Bracelet du Piloztère; Quatre-feuilles; Ceinture du Strigide; Corne de Torkélonia; Cape du Cœur Saignant; Bottes du Cœur Saignant; Dofus Pourpre; Dofus Abyssal; Dofus Vulbis; Dofus Turquoise; Dofus Ocre; Dofus des Glaces; Pioute vert</t>
        </is>
      </c>
    </row>
    <row r="25137">
      <c r="A25137" t="inlineStr">
        <is>
          <t>Shibro dans la bouch</t>
        </is>
      </c>
      <c r="B25137">
        <f>HYPERLINK("https://www.dofusbook.net/fr/equipement/5955967-shibro-dans-la-bouch/objets", "link")</f>
        <v/>
      </c>
      <c r="C25137" t="n">
        <v>18</v>
      </c>
      <c r="D25137" t="inlineStr">
        <is>
          <t>Branche de l'Abrakleur clair; Amulette du Strigide; Bracelet du Piloztère; Alliance Brûlâme; Quatre-feuilles; Ceintacé; Masque du Katcheur; Cape au Logis; Bottes du Strigide; Dofus des Glaces; Dofus Turquoise; Dofus Pourpre; Remueur; Vigoureux majeur; Chacha Angora</t>
        </is>
      </c>
    </row>
    <row r="25138">
      <c r="A25138" t="inlineStr">
        <is>
          <t>Aller on sait jamais</t>
        </is>
      </c>
      <c r="B25138">
        <f>HYPERLINK("https://www.dofusbook.net/fr/equipement/5949151-aller-on-sait-jamais/objets", "link")</f>
        <v/>
      </c>
      <c r="C25138" t="n">
        <v>0</v>
      </c>
      <c r="D25138" t="inlineStr">
        <is>
          <t>Arc à Lamelles; Amulette du Strigide; Crocanneau; Bracelet du Piloztère; Quatre-feuilles; Ceinture de Gein; Chapeau de Gein; Cape au Logis; Bottes du Strigide; Dofus des Glaces; Dofus Turquoise; Dofus Abyssal; Dofus Pourpre; Sakochère</t>
        </is>
      </c>
    </row>
    <row r="25139">
      <c r="A25139" t="inlineStr">
        <is>
          <t>Air</t>
        </is>
      </c>
      <c r="B25139">
        <f>HYPERLINK("https://www.dofusbook.net/fr/equipement/5943749-air/objets", "link")</f>
        <v/>
      </c>
      <c r="C25139" t="n">
        <v>0</v>
      </c>
      <c r="D25139" t="inlineStr">
        <is>
          <t>Plume de Buhorado; Amulette du Strigide; Anneau d'Allister; Alliance Gloursonne; Quatre-feuilles; Menoture; Casque Volkorne; Cape de Crânonier; Bottes du Strigide; Dofus Turquoise; Dofus Pourpre; Dofus des Glaces; Dofus Abyssal; Cascadeur majeur; Blérodoudou</t>
        </is>
      </c>
    </row>
    <row r="25140">
      <c r="A25140" t="inlineStr">
        <is>
          <t>Pvm test multi</t>
        </is>
      </c>
      <c r="B25140">
        <f>HYPERLINK("https://www.dofusbook.net/fr/equipement/5931014-pvm-test-multi-/objets", "link")</f>
        <v/>
      </c>
      <c r="C25140" t="n">
        <v>2</v>
      </c>
      <c r="D25140" t="inlineStr">
        <is>
          <t>Baguette de Torkélonia; Amulette du Strigide; Bracelet du Piloztère; Crocanneau; Quatre-feuilles; Ceinture du Strigide; Corne de Torkélonia; Cape de la Dame du Hasard; Bottes de la Dame du Hasard; Dofus Pourpre; Dofus des Glaces; Dofus Ivoire; Dofus Turquoise; Dofus Ébène; Dofus Abyssal; Sakochère</t>
        </is>
      </c>
    </row>
    <row r="25141">
      <c r="A25141" t="inlineStr">
        <is>
          <t>stuff 200 ft shibro</t>
        </is>
      </c>
      <c r="B25141">
        <f>HYPERLINK("https://www.dofusbook.net/fr/equipement/5926900-stuff-200-ft-shibro/objets", "link")</f>
        <v/>
      </c>
      <c r="C25141" t="n">
        <v>5</v>
      </c>
      <c r="D25141" t="inlineStr">
        <is>
          <t>Bagdette Café; Amulette du Sinistrofu; Alliance Gloursonne; Bracelet des Fonds marins; Quatre-feuilles; Sangle Ouare; Coiffe de Danathor; Cape Solution; Bottes du Sinistrofu; Dofus Turquoise; Dofus des Glaces; Dofus Pourpre; Dofus Abyssal; Chanceux majeur; Kanigloups</t>
        </is>
      </c>
    </row>
    <row r="25142">
      <c r="A25142" t="inlineStr">
        <is>
          <t>200 pvm</t>
        </is>
      </c>
      <c r="B25142">
        <f>HYPERLINK("https://www.dofusbook.net/fr/equipement/5928102-200-pvm-/objets", "link")</f>
        <v/>
      </c>
      <c r="C25142" t="n">
        <v>2</v>
      </c>
      <c r="D25142" t="inlineStr">
        <is>
          <t>Arc du Chalœil; Amulette du Strigide; Bracelet du Piloztère; Crocanneau; Quatre-feuilles; Ceinture de Brouce; Masque de Koutoulou; Cape au Logis; Bottes du Strigide; Dofus Abyssal; Dofus Pourpre; Dofus des Glaces; Dofus Turquoise; Enragé majeur; Vigoureux majeur; Bulbisou</t>
        </is>
      </c>
    </row>
    <row r="25143">
      <c r="A25143" t="inlineStr">
        <is>
          <t>Test pvpm</t>
        </is>
      </c>
      <c r="B25143">
        <f>HYPERLINK("https://www.dofusbook.net/fr/equipement/5915642-test-pvpm/objets", "link")</f>
        <v/>
      </c>
      <c r="C25143" t="n">
        <v>0</v>
      </c>
      <c r="D25143" t="inlineStr">
        <is>
          <t>Baguette de Torkélonia; Amulette du Strigide; Bracelet du Piloztère; Anneau Crustique; Quatre-feuilles; Ceintacé; Corne de Torkélonia; Cape au Logis; Baleinabottes; Dofus Nébuleux; Dofus Abyssal; Dofus Pourpre; Dofus des Glaces; Dofus Turquoise; Vigoureux majeur; Chacha Angora</t>
        </is>
      </c>
    </row>
    <row r="25144">
      <c r="A25144" t="inlineStr">
        <is>
          <t>pvm ily</t>
        </is>
      </c>
      <c r="B25144">
        <f>HYPERLINK("https://www.dofusbook.net/fr/equipement/5916695-pvm-ily/objets", "link")</f>
        <v/>
      </c>
      <c r="C25144" t="n">
        <v>2</v>
      </c>
      <c r="D25144" t="inlineStr">
        <is>
          <t>Arc du Chalœil; Amulette du Cœur Saignant; Anneau Crustique; Anneau de Brouce; Quatre-feuilles; Ceinture Gence; Masque de Koutoulou; Cape au Logis; Bottes du Cœur Saignant; Dofus Turquoise; Dofus des Glaces; Dofus Pourpre; Dofus Abyssal; Enragé majeur; Vigoureux majeur; Bulbisou</t>
        </is>
      </c>
    </row>
    <row r="25145">
      <c r="A25145" t="inlineStr">
        <is>
          <t>ily pvm 200</t>
        </is>
      </c>
      <c r="B25145">
        <f>HYPERLINK("https://www.dofusbook.net/fr/equipement/5639892-ily-pvm-200/objets", "link")</f>
        <v/>
      </c>
      <c r="C25145" t="n">
        <v>1</v>
      </c>
      <c r="D25145" t="inlineStr">
        <is>
          <t>Arc du Chalœil; Amulette du Strigide; Bracelet du Piloztère; Anneau Crustique; Quatre-feuilles; Ceinture Gence; Masque de Koutoulou; Cape au Logis; Bottes du Strigide; Dofus des Glaces; Dofus Pourpre; Dofus Turquoise; Nomade; Enragé majeur; Bulbisou</t>
        </is>
      </c>
    </row>
    <row r="25146">
      <c r="A25146" t="inlineStr">
        <is>
          <t>Pvm ily</t>
        </is>
      </c>
      <c r="B25146">
        <f>HYPERLINK("https://www.dofusbook.net/fr/equipement/5882479-pvm-ily/objets", "link")</f>
        <v/>
      </c>
      <c r="C25146" t="n">
        <v>0</v>
      </c>
      <c r="D25146" t="inlineStr">
        <is>
          <t>Hache du Chalœil; Amulette Volkorne; Alliance de Missiz Frizz; Anneau Volkorne; Quatre-feuilles; Ceinture Volkorne; Casque de Missiz Frizz; Voile d'encre; Bottes de Missiz Frizz; Dofus Ocre; Dofus des Glaces; Dofus Pourpre; Dofus Abyssal; Dofus Nébuleux; Dofus Turquoise; Chacha Angora</t>
        </is>
      </c>
    </row>
    <row r="25147">
      <c r="A25147" t="inlineStr">
        <is>
          <t>Terre air</t>
        </is>
      </c>
      <c r="B25147">
        <f>HYPERLINK("https://www.dofusbook.net/fr/equipement/5826105-terre-air/objets", "link")</f>
        <v/>
      </c>
      <c r="C25147" t="n">
        <v>0</v>
      </c>
      <c r="D25147" t="inlineStr">
        <is>
          <t>Baguette des égarés; Amulette du Strigide; Anneau Volkorne; Bracelet du Piloztère; Quatre-feuilles; Ceinture Volkorne; Masque de Koutoulou; Cape au Logis; Bottes du Strigide; Dofus Turquoise; Dofus Abyssal; Dofus Vulbis; Dofus Nébuleux; Dofus Pourpre; Dofus des Glaces; Sakochère</t>
        </is>
      </c>
    </row>
    <row r="25148">
      <c r="A25148" t="inlineStr">
        <is>
          <t>Eau air</t>
        </is>
      </c>
      <c r="B25148">
        <f>HYPERLINK("https://www.dofusbook.net/fr/equipement/5826037-eau-air/objets", "link")</f>
        <v/>
      </c>
      <c r="C25148" t="n">
        <v>0</v>
      </c>
      <c r="D25148" t="inlineStr">
        <is>
          <t>Bagdette Café; Amulette du Strigide; Alliance Gloursonne; Anneau Volkorne; Quatre-feuilles; Ceinture du Strigide; Casque Volkorne; Chevelure de Tal Kasha; Bottes du Strigide; Dofus Vulbis; Dofus Nébuleux; Dofus Pourpre; Dofus des Glaces; Dofus Turquoise; Dofus Abyssal; Sakochère</t>
        </is>
      </c>
    </row>
    <row r="25149">
      <c r="A25149" t="inlineStr">
        <is>
          <t>200 pvm ily</t>
        </is>
      </c>
      <c r="B25149">
        <f>HYPERLINK("https://www.dofusbook.net/fr/equipement/5766796-200-pvm-ily/objets", "link")</f>
        <v/>
      </c>
      <c r="C25149" t="n">
        <v>0</v>
      </c>
      <c r="D25149" t="inlineStr">
        <is>
          <t>Baguette de Torkélonia; Amulette du Strigide; Anneau Volkorne; Alliance Gloursonne; Quatre-feuilles; Ceinture Volkorne; Casque Volkorne; Carapace de Torkélonia; Bottes du Strigide; Dofus Pourpre; Dofus des Glaces; Dofus Turquoise; Dofus Abyssal; Dofus Vulbis; Dofus Ocre; Sakochère</t>
        </is>
      </c>
    </row>
    <row r="25150">
      <c r="A25150" t="inlineStr">
        <is>
          <t>Pvm ily</t>
        </is>
      </c>
      <c r="B25150">
        <f>HYPERLINK("https://www.dofusbook.net/fr/equipement/5794912-pvm-ily/objets", "link")</f>
        <v/>
      </c>
      <c r="C25150" t="n">
        <v>0</v>
      </c>
      <c r="D25150" t="inlineStr">
        <is>
          <t>Arc du Chalœil; Amulette du Strigide; Anneau Crustique; Anneau Crustique; Quatre-feuilles; Ceinture Gence; Masque de Koutoulou; Cape de Jahash Jurgen; Bottes du Strigide; Dofus Pourpre; Dofus Abyssal; Dofus Turquoise; Dofus des Glaces; Enragé majeur; Nomade; Bulbisou</t>
        </is>
      </c>
    </row>
    <row r="25151">
      <c r="A25151" t="inlineStr">
        <is>
          <t>Elio pvm 200</t>
        </is>
      </c>
      <c r="B25151">
        <f>HYPERLINK("https://www.dofusbook.net/fr/equipement/5766500-elio-pvm-200/objets", "link")</f>
        <v/>
      </c>
      <c r="C25151" t="n">
        <v>2</v>
      </c>
      <c r="D25151" t="inlineStr">
        <is>
          <t>Baguette de Torkélonia; Amulette du Strigide; Anneau des égarés; Bague Trithon; Quatre-feuilles; Ceinture du Strigide; Masque Trithon; Carapace de Torkélonia; Bottes du Strigide; Dofus Pourpre; Dofus Vulbis; Dofus Turquoise; Dofus des Glaces; Dofus Ocre; Dofus Abyssal; Sakochère</t>
        </is>
      </c>
    </row>
    <row r="25152">
      <c r="A25152" t="inlineStr">
        <is>
          <t>terre pvp</t>
        </is>
      </c>
      <c r="B25152">
        <f>HYPERLINK("https://www.dofusbook.net/fr/equipement/5558351-terre-pvp/objets", "link")</f>
        <v/>
      </c>
      <c r="C25152" t="n">
        <v>1</v>
      </c>
      <c r="D25152" t="inlineStr">
        <is>
          <t>Arc du Chalœil; Amulette du Strigide; Anneau Volkorne; Bague Gloursonne; Quatre-feuilles; Ceinture Volkorne; Masque de Koutoulou; Cape au Logis; Sabots Minables; Dofus Pourpre; Dofus Ivoire; Dofus Turquoise; Dofus des Glaces; Enragé majeur; Nomade; Bwak de Terre</t>
        </is>
      </c>
    </row>
    <row r="25153">
      <c r="A25153" t="inlineStr">
        <is>
          <t>terre pvp dofus</t>
        </is>
      </c>
      <c r="B25153">
        <f>HYPERLINK("https://www.dofusbook.net/fr/equipement/5558377-terre-pvp-dofus/objets", "link")</f>
        <v/>
      </c>
      <c r="C25153" t="n">
        <v>3</v>
      </c>
      <c r="D25153" t="inlineStr">
        <is>
          <t>Baguette de Torkélonia; Amulette du Cœur Saignant; Alliance Brûlâme; Anneau Volkorne; Quatre-feuilles; Ceinture Volkorne; Corne de Torkélonia; Cape du Cœur Saignant; Bottes du Cœur Saignant; Dofus Ocre; Dofus Abyssal; Dofus Ivoire; Dofus des Glaces; Dofus Vulbis; Dofus Turquoise; Kramkram</t>
        </is>
      </c>
    </row>
    <row r="25154">
      <c r="A25154" t="inlineStr">
        <is>
          <t>multi 200</t>
        </is>
      </c>
      <c r="B25154">
        <f>HYPERLINK("https://www.dofusbook.net/fr/equipement/5494093-multi-200-/objets", "link")</f>
        <v/>
      </c>
      <c r="C25154" t="n">
        <v>0</v>
      </c>
      <c r="D25154" t="inlineStr">
        <is>
          <t>Sabres d'Atcham; Amulette du Strigide; Anneau Cryochrone; Bague Trithon; Quatre-feuilles; Ceinture du Strigide; Masque Trithon; Cape d'Atcham; Pataugastrique; Dofus Turquoise; Dofus Vulbis; Dofus des Glaces; Dolmanax; Dofus Pourpre; Dofus Abyssal; Sakochère</t>
        </is>
      </c>
    </row>
    <row r="25155">
      <c r="A25155" t="inlineStr">
        <is>
          <t>faire baver ken</t>
        </is>
      </c>
      <c r="B25155">
        <f>HYPERLINK("https://www.dofusbook.net/fr/equipement/5474315-faire-baver-ken-/objets", "link")</f>
        <v/>
      </c>
      <c r="C25155" t="n">
        <v>3</v>
      </c>
      <c r="D25155" t="inlineStr">
        <is>
          <t>Baguette Hique; Amulette du Strigide; Anneau Cryochrone; Bracelet du Piloztère; Quatre-feuilles; Ceinture du Strigide; Casquette de Meno; Cape de la Dame du Hasard; Pataugastrique; Dofus Pourpre; Dofus Turquoise; Dofus des Glaces; Remueur; Nomade; Vigoureux majeur; Muldo Doré et Emeraude</t>
        </is>
      </c>
    </row>
    <row r="25156">
      <c r="A25156" t="inlineStr">
        <is>
          <t>Ken opti</t>
        </is>
      </c>
      <c r="B25156">
        <f>HYPERLINK("https://www.dofusbook.net/fr/equipement/5423495-ken-opti/objets", "link")</f>
        <v/>
      </c>
      <c r="C25156" t="n">
        <v>2</v>
      </c>
      <c r="D25156" t="inlineStr">
        <is>
          <t>Baguette Hique; Amulette du Strigide; Anneau de Padgref; Bague Trithon; Quatre-feuilles; Ceinture du Strigide; Masque Trithon; Cape de la Dame du Hasard; Bottes de la Dame du Hasard; Dofus Ocre; Dofus des Glaces; Dofus Vulbis; Dofus Pourpre; Dofus Turquoise; Dofus Nébuleux; Sakochère</t>
        </is>
      </c>
    </row>
    <row r="25157">
      <c r="A25157" t="inlineStr">
        <is>
          <t>multi 200</t>
        </is>
      </c>
      <c r="B25157">
        <f>HYPERLINK("https://www.dofusbook.net/fr/equipement/5237979-multi-200/objets", "link")</f>
        <v/>
      </c>
      <c r="C25157" t="n">
        <v>2</v>
      </c>
      <c r="D25157" t="inlineStr">
        <is>
          <t>Arc Nécrotique; Amulette du Strigide; Anneau de Padgref; Bague Trithon; Quatre-feuilles; Ceinture du Strigide; Masque Trithon; Cape de la Dame du Hasard; Bottes de la Dame du Hasard; Dofus des Glaces; Dolmanax; Dofus Pourpre; Dofus Abyssal; Dofus Turquoise; Dofus Vulbis; Sakochère</t>
        </is>
      </c>
    </row>
    <row r="25158">
      <c r="A25158" t="inlineStr">
        <is>
          <t>multi 200</t>
        </is>
      </c>
      <c r="B25158">
        <f>HYPERLINK("https://www.dofusbook.net/fr/equipement/5236996-multi-200/objets", "link")</f>
        <v/>
      </c>
      <c r="C25158" t="n">
        <v>1</v>
      </c>
      <c r="D25158" t="inlineStr">
        <is>
          <t>Arc Nécrotique; Amulette du Strigide; Bracelet du Piloztère; Anneau Cryochrone; Quatre-feuilles; Ceinture du Strigide; Casquette de Meno; Cape de la Dame du Hasard; Pataugastrique; Dofus Vulbis; Dofus Turquoise; Dofus des Glaces; Dofus Pourpre; Vigoureux majeur; Sakochère</t>
        </is>
      </c>
    </row>
    <row r="25159">
      <c r="A25159" t="inlineStr">
        <is>
          <t>Test 200</t>
        </is>
      </c>
      <c r="B25159">
        <f>HYPERLINK("https://www.dofusbook.net/fr/equipement/5173377-test--200/objets", "link")</f>
        <v/>
      </c>
      <c r="C25159" t="n">
        <v>1</v>
      </c>
      <c r="D25159" t="inlineStr">
        <is>
          <t>Hache Téroïde; Amulette de Gein; Bague Gloursonne; Chevalière du Roi Joueur; Quatre-feuilles; Ceintacé; Chapeau de Gein; Voile d'encre; Bottes Dogues; Dofus Turquoise; Dofus des Glaces; Dofus Pourpre; Nomade; Vigoureux majeur; Remueur; Dragodinde Prune et Ivoire</t>
        </is>
      </c>
    </row>
    <row r="25160">
      <c r="A25160" t="inlineStr">
        <is>
          <t>Crit feu 200</t>
        </is>
      </c>
      <c r="B25160">
        <f>HYPERLINK("https://www.dofusbook.net/fr/equipement/5171037-crit-feu-200/objets", "link")</f>
        <v/>
      </c>
      <c r="C25160" t="n">
        <v>1</v>
      </c>
      <c r="D25160" t="inlineStr">
        <is>
          <t>Baguette Houffe-Craitien; Amulette du Strigide; Anneau de Padgref; Anneau Cryochrone; Quatre-feuilles; Ceinture du Strigide; Heaume Oplate; Cape de la Dame du Hasard; Pataugastrique</t>
        </is>
      </c>
    </row>
    <row r="25161">
      <c r="A25161" t="inlineStr">
        <is>
          <t>Multi do crit</t>
        </is>
      </c>
      <c r="B25161">
        <f>HYPERLINK("https://www.dofusbook.net/fr/equipement/5129847-multi-do-crit/objets", "link")</f>
        <v/>
      </c>
      <c r="C25161" t="n">
        <v>2</v>
      </c>
      <c r="D25161" t="inlineStr">
        <is>
          <t>Sabres d'Atcham; Amulette du Strigide; Anneau Cryochrone; Anneau de Padgref; Quatre-feuilles; Ceinture du Strigide; Coiffe de Padgref; Cape d'Atcham; Sandales  d'Atcham; Dofus Vulbis; Dofus Pourpre; Dofus Émeraude; Dofus Turquoise; Dofus Abyssal; Dofus des Glaces; Sakochère</t>
        </is>
      </c>
    </row>
    <row r="25162">
      <c r="A25162" t="inlineStr">
        <is>
          <t>multi 200</t>
        </is>
      </c>
      <c r="B25162">
        <f>HYPERLINK("https://www.dofusbook.net/fr/equipement/5085106-multi-200/objets", "link")</f>
        <v/>
      </c>
      <c r="C25162" t="n">
        <v>3</v>
      </c>
      <c r="D25162" t="inlineStr">
        <is>
          <t>Sabres d'Atcham; Amulette du Strigide; Anneau de Padgref; Bague Trithon; Quatre-feuilles; Ceinture du Strigide; Coiffe de Padgref; Cape d'Atcham; Sandales  d'Atcham; Dofus Pourpre; Dofus Abyssal; Dofus Turquoise; Dofus des Glaces; Dofus Ocre; Dofus Nébuleux; Muldo Doré et Emeraude</t>
        </is>
      </c>
    </row>
    <row r="25163">
      <c r="A25163" t="inlineStr">
        <is>
          <t>multi</t>
        </is>
      </c>
      <c r="B25163">
        <f>HYPERLINK("https://www.dofusbook.net/fr/equipement/5071593-multi/objets", "link")</f>
        <v/>
      </c>
      <c r="C25163" t="n">
        <v>2</v>
      </c>
      <c r="D25163" t="inlineStr">
        <is>
          <t>Hache du Chalœil; Amulette du Strigide; Alliance du Lévitrof; Bracelet du Piloztère; Quatre-feuilles; Ceintacé; Coiffe du Glourséleste; Cape de la Dame du Hasard; Bottes du Strigide; Dofus Turquoise; Dofus Pourpre; Enragé majeur; Vigoureux majeur; Remueur; Nomade; Chacha Angora</t>
        </is>
      </c>
    </row>
    <row r="25164">
      <c r="A25164" t="inlineStr">
        <is>
          <t>200</t>
        </is>
      </c>
      <c r="B25164">
        <f>HYPERLINK("https://www.dofusbook.net/fr/equipement/5005750-200/objets", "link")</f>
        <v/>
      </c>
      <c r="C25164" t="n">
        <v>0</v>
      </c>
      <c r="D25164" t="inlineStr">
        <is>
          <t>Arc du Chalœil; Amulette de Gein; Anneau Volkorne; Anneau de Brouce; Quatre-feuilles; Ceinture Volkorne; Masque de Koutoulou; Cape de la Cour Sombre; Bottes Dogues; Dofus Turquoise; Dofus Pourpre; Nomade; Vigoureux majeur; Remueur; Enragé majeur; Bulbisou</t>
        </is>
      </c>
    </row>
    <row r="25165">
      <c r="A25165" t="inlineStr">
        <is>
          <t>terre 200</t>
        </is>
      </c>
      <c r="B25165">
        <f>HYPERLINK("https://www.dofusbook.net/fr/equipement/4987419-terre-200-/objets", "link")</f>
        <v/>
      </c>
      <c r="C25165" t="n">
        <v>1</v>
      </c>
      <c r="D25165" t="inlineStr">
        <is>
          <t>Arc du Chalœil; Amulette Héroclite; Anneau de Brouce; Chevalière du Roi Joueur; Quatre-feuilles; Ceinture de Brouce; Masque de Koutoulou; Cape au Logis; Bottes du Cœur Saignant; Dofus Turquoise; Dofus Pourpre; Vigoureux majeur; Remueur; Enragé majeur; Nomade; Bulbisou</t>
        </is>
      </c>
    </row>
    <row r="25166">
      <c r="A25166" t="inlineStr">
        <is>
          <t>terre feu 200</t>
        </is>
      </c>
      <c r="B25166">
        <f>HYPERLINK("https://www.dofusbook.net/fr/equipement/4968470-terre-feu-200-/objets", "link")</f>
        <v/>
      </c>
      <c r="C25166" t="n">
        <v>1</v>
      </c>
      <c r="D25166" t="inlineStr">
        <is>
          <t>Hache Téroïde; Amulette du Strigide; Chevalière du Roi Joueur; Alliance de Missiz Frizz; Quatre-feuilles; Ceintacé; Masque de Koutoulou; Voile d'encre; Bottes du Strigide; Dofus Turquoise; Dofus Pourpre; Dofus des Glaces; Remueur; Nomade; Vigoureux majeur; Muldo Doré et Emeraude</t>
        </is>
      </c>
    </row>
    <row r="25167">
      <c r="A25167" t="inlineStr">
        <is>
          <t>terre ily200</t>
        </is>
      </c>
      <c r="B25167">
        <f>HYPERLINK("https://www.dofusbook.net/fr/equipement/4915473-terre-ily200/objets", "link")</f>
        <v/>
      </c>
      <c r="C25167" t="n">
        <v>2</v>
      </c>
      <c r="D25167" t="inlineStr">
        <is>
          <t>Arc du Chalœil; Amulette de Gein; Anneau Crustique; Anneau de Brouce; Quatre-feuilles; Ceinture de Brouce; Masque de Koutoulou; Cape au Logis; Bottes du Kamasterisk; Nomade; Furibond majeur; Remueur; Enragé majeur; Dragodinde Ivoire et Pourpre</t>
        </is>
      </c>
    </row>
    <row r="25168">
      <c r="A25168" t="inlineStr">
        <is>
          <t>Kta gneu taper</t>
        </is>
      </c>
      <c r="B25168">
        <f>HYPERLINK("https://www.dofusbook.net/fr/equipement/4574321-kta-gneu-taper/objets", "link")</f>
        <v/>
      </c>
      <c r="C25168" t="n">
        <v>0</v>
      </c>
      <c r="D25168" t="inlineStr">
        <is>
          <t>Marteau du Glouragan; Amulette du Strigide; Anneau de Padgref; Bague Trithon; Bouclier du Captain Amakna; Ceinture du Strigide; Masque Trithon; Cape d'Atcham; Sandales  d'Atcham; Dolmanax; Dofus des Glaces; Dofus Turquoise; Dofus Vulbis; Dofus Ocre; Dofus Ivoire; Sakochère</t>
        </is>
      </c>
    </row>
    <row r="25169">
      <c r="A25169" t="inlineStr">
        <is>
          <t>Do crit air</t>
        </is>
      </c>
      <c r="B25169">
        <f>HYPERLINK("https://www.dofusbook.net/fr/equipement/4574290-do-crit-air/objets", "link")</f>
        <v/>
      </c>
      <c r="C25169" t="n">
        <v>0</v>
      </c>
      <c r="D25169" t="inlineStr">
        <is>
          <t>Baguette Hernelle; Amulette du Strigide; Alliance Gloursonne; Bague Trithon; Quatre-feuilles; Ceinture du Strigide; Masque Trithon; Cape d'Atcham; Sandales  d'Atcham; Dofus Ocre; Dofus Ivoire; Dofus Vulbis; Dofus des Glaces; Dofus Turquoise; Dofus Nébuleux; Sakochère</t>
        </is>
      </c>
    </row>
    <row r="25170">
      <c r="A25170" t="inlineStr">
        <is>
          <t>Feu do crit</t>
        </is>
      </c>
      <c r="B25170">
        <f>HYPERLINK("https://www.dofusbook.net/fr/equipement/4574262-feu-do-crit/objets", "link")</f>
        <v/>
      </c>
      <c r="C25170" t="n">
        <v>0</v>
      </c>
      <c r="D25170" t="inlineStr">
        <is>
          <t>Hache du Chalœil; Amulette du Strigide; Chevalière du Roi Joueur; Bague Trithon; Quatre-feuilles; Ceinture du Strigide; Masque Trithon; Cape de la Dame du Hasard; Bottes de la Dame du Hasard; Dofus Vulbis; Dofus des Glaces; Dofus Turquoise; Dolmanax; Dofus Ocre; Dofus Ivoire; Sakochère</t>
        </is>
      </c>
    </row>
    <row r="25171">
      <c r="A25171" t="inlineStr">
        <is>
          <t>Kta do crit</t>
        </is>
      </c>
      <c r="B25171">
        <f>HYPERLINK("https://www.dofusbook.net/fr/equipement/4574238-kta-do-crit-/objets", "link")</f>
        <v/>
      </c>
      <c r="C25171" t="n">
        <v>0</v>
      </c>
      <c r="D25171" t="inlineStr">
        <is>
          <t>Baguette Hique; Amulette du Strigide; Anneau Volkorne; Bague Trithon; Quatre-feuilles; Ceinture du Strigide; Masque Trithon; Cape de la Dame du Hasard; Bottes de la Dame du Hasard; Dofus Ocre; Dofus Ivoire; Dofus Vulbis; Dofus des Glaces; Dofus Turquoise; Dofus Nébuleux; Sakochère</t>
        </is>
      </c>
    </row>
    <row r="25172">
      <c r="A25172" t="inlineStr">
        <is>
          <t>Do crit terre</t>
        </is>
      </c>
      <c r="B25172">
        <f>HYPERLINK("https://www.dofusbook.net/fr/equipement/4574210-do-crit-terre/objets", "link")</f>
        <v/>
      </c>
      <c r="C25172" t="n">
        <v>0</v>
      </c>
      <c r="D25172" t="inlineStr">
        <is>
          <t>Arc du Chalœil; Amulette du Strigide; Anneau Crustique; Bague Trithon; Quatre-feuilles; Ceinture du Strigide; Masque Trithon; Cape du Cœur Saignant; Bottes du Cœur Saignant; Dofus Turquoise; Dofus Nébuleux; Dofus Ocre; Dofus Vulbis; Dofus des Glaces; Dofus Ivoire; Sakochère</t>
        </is>
      </c>
    </row>
    <row r="25173">
      <c r="A25173" t="inlineStr">
        <is>
          <t>air</t>
        </is>
      </c>
      <c r="B25173">
        <f>HYPERLINK("https://www.dofusbook.net/fr/equipement/4549725-air/objets", "link")</f>
        <v/>
      </c>
      <c r="C25173" t="n">
        <v>0</v>
      </c>
      <c r="D25173" t="inlineStr">
        <is>
          <t>Héqache; Collier du Valet Veinard; Alliance Gloursonne; Gant du Valet Veinard; Cadran d'Air; Menoture; Coiffe de la Reine des Voleurs; Cape de Crânonier; Bottes de la Reine des Voleurs; Dofus Vulbis; Dofus Ocre; Dofus Ivoire; Dofus Émeraude; Dofus des Glaces; Ravageur Air majeur; Blérodoudou</t>
        </is>
      </c>
    </row>
    <row r="25174">
      <c r="A25174" t="inlineStr">
        <is>
          <t>Kta roxx eau</t>
        </is>
      </c>
      <c r="B25174">
        <f>HYPERLINK("https://www.dofusbook.net/fr/equipement/4521767-kta-roxx-eau/objets", "link")</f>
        <v/>
      </c>
      <c r="C25174" t="n">
        <v>0</v>
      </c>
      <c r="D25174" t="inlineStr">
        <is>
          <t>Dagoulinantes; Amulette Cryochrone; Alliance Gloursonne; Anneau Volkorne; Cadran de Terre; Ceinture de la Reine des Voleurs; Kidibonnet; Cape de l'Œil Attentif; Bottes de la Reine des Voleurs; Dofus des Glaces; Dofus Ivoire; Dofus Vulbis; Dofus Ocre; Chanceux majeur; Dévastateur Eau majeur; Kanigloups</t>
        </is>
      </c>
    </row>
    <row r="25175">
      <c r="A25175" t="inlineStr">
        <is>
          <t>kta do pou</t>
        </is>
      </c>
      <c r="B25175">
        <f>HYPERLINK("https://www.dofusbook.net/fr/equipement/4549681-kta-do-pou-/objets", "link")</f>
        <v/>
      </c>
      <c r="C25175" t="n">
        <v>0</v>
      </c>
      <c r="D25175" t="inlineStr"/>
    </row>
    <row r="25176">
      <c r="A25176" t="inlineStr">
        <is>
          <t>Huppermage M 200</t>
        </is>
      </c>
      <c r="B25176">
        <f>HYPERLINK("https://www.dofusbook.net/fr/equipement/4536807-huppermage-m-200/objets", "link")</f>
        <v/>
      </c>
      <c r="C25176" t="n">
        <v>0</v>
      </c>
      <c r="D25176" t="inlineStr">
        <is>
          <t>Arc du Chalœil; Amulette du Strigide; Anneau Crustique; Anneau Crustique; Quatre-feuilles; Ceinture du Strigide; Masque de Koutoulou; Cape du Cœur Saignant; Bottes du Cœur Saignant; Bulbisou</t>
        </is>
      </c>
    </row>
    <row r="25177">
      <c r="A25177" t="inlineStr">
        <is>
          <t>Tank full soin</t>
        </is>
      </c>
      <c r="B25177">
        <f>HYPERLINK("https://www.dofusbook.net/fr/equipement/4528941-tank-full-soin-/objets", "link")</f>
        <v/>
      </c>
      <c r="C25177" t="n">
        <v>2</v>
      </c>
      <c r="D25177" t="inlineStr">
        <is>
          <t>Baguette de Malléfisk; Torquistik; Anneau Tique; Baguistik; Carapar; String Tue-Mouche; Casque Dragoeuf; Voile d'encre; Pataugastrique; Dofus Ocre; Dofus Abyssal; Dofus Ivoire; Miraculé majeur; Guérisseur majeur; Érudit majeur; Muldo Pourpre</t>
        </is>
      </c>
    </row>
    <row r="25178">
      <c r="A25178" t="inlineStr">
        <is>
          <t>Roublard M 200</t>
        </is>
      </c>
      <c r="B25178">
        <f>HYPERLINK("https://www.dofusbook.net/fr/equipement/4535630-roublard-m-200/objets", "link")</f>
        <v/>
      </c>
      <c r="C25178" t="n">
        <v>0</v>
      </c>
      <c r="D25178" t="inlineStr">
        <is>
          <t>Baguette de Malléfisk; Torquistik; Baguistik; Anneauræus; Carapar; Ceintrigue; Casque Dragoeuf; Bravoure de Rykke Errel; Bottes Owesli; Dofus Ocre; Dofus Ivoire; Dofus Émeraude; Dofus des Glaces; Dofus Vulbis; Dofus Abyssal; Volkorne Jade et Rubis</t>
        </is>
      </c>
    </row>
    <row r="25179">
      <c r="A25179" t="inlineStr">
        <is>
          <t>Eliotrope M 200</t>
        </is>
      </c>
      <c r="B25179">
        <f>HYPERLINK("https://www.dofusbook.net/fr/equipement/4535580-eliotrope-m-200/objets", "link")</f>
        <v/>
      </c>
      <c r="C25179" t="n">
        <v>0</v>
      </c>
      <c r="D25179" t="inlineStr">
        <is>
          <t>Arc corrompu; Amulette Séculaire; Anneauræus; Anneauræus; Quatre-feuilles; Ceinture Séculaire; Casque Dragoeuf; Cape de la Dame du Hasard; Bottes de la Dame du Hasard; Dofus Vulbis; Dofus Nébuleux; Dofus Turquoise; Dofus Abyssal; Dofus Ocre; Dofus Ivoire; Sakochère</t>
        </is>
      </c>
    </row>
    <row r="25180">
      <c r="A25180" t="inlineStr">
        <is>
          <t>Eau do crit</t>
        </is>
      </c>
      <c r="B25180">
        <f>HYPERLINK("https://www.dofusbook.net/fr/equipement/4535536-eau-do-crit/objets", "link")</f>
        <v/>
      </c>
      <c r="C25180" t="n">
        <v>1</v>
      </c>
      <c r="D25180" t="inlineStr">
        <is>
          <t>Pelle Fik; Amulette du Strigide; Anneau Volkorne; Alliance Gloursonne; Bouclier d'Ilyzaelle; Ceinture du Strigide; Casque Dragoeuf; Cape de la Dame du Hasard; Bottes de la Dame du Hasard; Dofus Ocre; Dofus Ivoire; Dofus Vulbis; Dofus Nébuleux; Dofus Turquoise; Dofus Abyssal; Sakochère</t>
        </is>
      </c>
    </row>
    <row r="25181">
      <c r="A25181" t="inlineStr">
        <is>
          <t>Roxxor</t>
        </is>
      </c>
      <c r="B25181">
        <f>HYPERLINK("https://www.dofusbook.net/fr/equipement/4529761-roxxor/objets", "link")</f>
        <v/>
      </c>
      <c r="C25181" t="n">
        <v>4</v>
      </c>
      <c r="D25181" t="inlineStr">
        <is>
          <t>Pelle de Katrepat; Amulette Volkorne; Alliance Gloursonne; Anneau Volkorne; Cadran d'Eau; Ceintrigue; Masque Paztek; Cape Paztek; Bottes Owesli; Dofus Pourpre; Dofus Ocre; Dofus Nébuleux; Dofus des Glaces; Dofus Vulbis; Dofus Ivoire; Fëanor</t>
        </is>
      </c>
    </row>
    <row r="25182">
      <c r="A25182" t="inlineStr">
        <is>
          <t>Roxxor</t>
        </is>
      </c>
      <c r="B25182">
        <f>HYPERLINK("https://www.dofusbook.net/fr/equipement/4529760-roxxor/objets", "link")</f>
        <v/>
      </c>
      <c r="C25182" t="n">
        <v>0</v>
      </c>
      <c r="D25182" t="inlineStr"/>
    </row>
    <row r="25183">
      <c r="A25183" t="inlineStr">
        <is>
          <t>Feu kta</t>
        </is>
      </c>
      <c r="B25183">
        <f>HYPERLINK("https://www.dofusbook.net/fr/equipement/4529119-feu-kta/objets", "link")</f>
        <v/>
      </c>
      <c r="C25183" t="n">
        <v>2</v>
      </c>
      <c r="D25183" t="inlineStr">
        <is>
          <t>Arc corrompu; Amulette Volkorne; Anneauræus; Anneauræus; Quatre-feuilles; Ceinture de l'Esprit Malsain; Heaume Oplate; Cape de la Dame du Hasard; Bottes de la Dame du Hasard; Dofus Turquoise; Dofus Ivoire; Dofus Ocre; Dofus Vulbis; Dofus Nébuleux; Érudit majeur; Bisouglours</t>
        </is>
      </c>
    </row>
    <row r="25184">
      <c r="A25184" t="inlineStr">
        <is>
          <t>Feu soutient roxx</t>
        </is>
      </c>
      <c r="B25184">
        <f>HYPERLINK("https://www.dofusbook.net/fr/equipement/4528761-feu-soutient-roxx/objets", "link")</f>
        <v/>
      </c>
      <c r="C25184" t="n">
        <v>1</v>
      </c>
      <c r="D25184" t="inlineStr">
        <is>
          <t>Arc corrompu; Amulette Volkorne; Anneauræus; Anneau Tique; Droiture de Fallanster; Ceinture de Vortex; Cagoule de Vortex; Bravoure de Rykke Errel; Pataugastrique; Dofus Turquoise; Dofus Ivoire; Dofus Ocre; Dofus Abyssal; Miraculé majeur; Érudit majeur; Muldo Orchidée et Pourpre</t>
        </is>
      </c>
    </row>
    <row r="25185">
      <c r="A25185" t="inlineStr">
        <is>
          <t>Kta air</t>
        </is>
      </c>
      <c r="B25185">
        <f>HYPERLINK("https://www.dofusbook.net/fr/equipement/4523544-kta-air/objets", "link")</f>
        <v/>
      </c>
      <c r="C25185" t="n">
        <v>0</v>
      </c>
      <c r="D25185" t="inlineStr">
        <is>
          <t>Héqache; Collier du Valet Veinard; Gant du Valet Veinard; Alliance Gloursonne; Cadran d'Air; Menoture; Casque Volkorne; Cape de Crânonier; Palmes Trithons; Dofus Vulbis; Dofus Ivoire; Dofus Ocre; Dofus des Glaces; Blérodoudou</t>
        </is>
      </c>
    </row>
    <row r="25186">
      <c r="A25186" t="inlineStr">
        <is>
          <t>kta feu</t>
        </is>
      </c>
      <c r="B25186">
        <f>HYPERLINK("https://www.dofusbook.net/fr/equipement/4522145-kta-feu-/objets", "link")</f>
        <v/>
      </c>
      <c r="C25186" t="n">
        <v>2</v>
      </c>
      <c r="D25186" t="inlineStr">
        <is>
          <t>Arc Hétype; Amulette d'Otomaï; Anneau Tique; Anneau de Nidas; Bouclier cubiste; Ceinture de Vortex; Couronne de Nidas; Cape de la Dame du Hasard; Pataugastrique; Dofus Vulbis; Dofus Ivoire; Érudit majeur; Miraculé majeur; Temporiseur majeur; Guérisseur majeur; Volkorne Améthyste et Turquoise</t>
        </is>
      </c>
    </row>
    <row r="25187">
      <c r="A25187" t="inlineStr">
        <is>
          <t>eau kta</t>
        </is>
      </c>
      <c r="B25187">
        <f>HYPERLINK("https://www.dofusbook.net/fr/equipement/4521383-eau-kta/objets", "link")</f>
        <v/>
      </c>
      <c r="C25187" t="n">
        <v>0</v>
      </c>
      <c r="D25187" t="inlineStr">
        <is>
          <t>Sceptre du Roi Joueur; Amulette de l'Œil Attentif; Bracelet des Fonds marins; Anneau Volkorne; Quatre-feuilles; Sangle Ouare; Capuche de l'Œil Attentif; Cape de Mantaze; Pataugastrique; Dofus Turquoise; Dofus Ocre; Dofus Ivoire; Carapace Feu majeur; Miraculé majeur; Chanceux majeur; Kanigloups</t>
        </is>
      </c>
    </row>
    <row r="25188">
      <c r="A25188" t="inlineStr">
        <is>
          <t>kta eau ret pa</t>
        </is>
      </c>
      <c r="B25188">
        <f>HYPERLINK("https://www.dofusbook.net/fr/equipement/4522042-kta-eau-ret-pa/objets", "link")</f>
        <v/>
      </c>
      <c r="C25188" t="n">
        <v>0</v>
      </c>
      <c r="D25188" t="inlineStr">
        <is>
          <t>Sceptre du Roi Joueur; Amulette de Shokkoth; Alliance Gloursonne; Bracelet des Fonds marins; Sept ans de malheur; Culotte de Bethel; Masque de Funespadon; Cape Matelassée; Pataugastrique; Dofus Ivoire; Dofus Vulbis; Dofus Abyssal; Étourdisseur majeur; Chanceux majeur; Miraculé majeur; Koalak Sanguin</t>
        </is>
      </c>
    </row>
    <row r="25189">
      <c r="A25189" t="inlineStr">
        <is>
          <t>Air kta</t>
        </is>
      </c>
      <c r="B25189">
        <f>HYPERLINK("https://www.dofusbook.net/fr/equipement/4521726-air-kta/objets", "link")</f>
        <v/>
      </c>
      <c r="C25189" t="n">
        <v>3</v>
      </c>
      <c r="D25189" t="inlineStr">
        <is>
          <t>Manthache; Amulette du Strigide; Alliance Brûlâme; Alliance Gloursonne; Bouclier d'Ilyzaelle; Menoture; Chapeau de Tournoyé; Cape de Crânonier; Bottes du Cycloïde; Dofus Ocre; Dofus Vulbis; Dofus Ivoire; Dofus Turquoise; Cascadeur majeur; Blérodoudou</t>
        </is>
      </c>
    </row>
    <row r="25190">
      <c r="A25190" t="inlineStr">
        <is>
          <t>kta do crit</t>
        </is>
      </c>
      <c r="B25190">
        <f>HYPERLINK("https://www.dofusbook.net/fr/equipement/4521163-kta-do-crit/objets", "link")</f>
        <v/>
      </c>
      <c r="C25190" t="n">
        <v>2</v>
      </c>
      <c r="D25190" t="inlineStr">
        <is>
          <t>Baguette Hique; Amulette du Strigide; Bracelet des Fonds marins; Alliance Gloursonne; Quatre-feuilles; Ceinture du Strigide; Casquette de Meno; Cape de la Dame du Hasard; Pataugastrique; Dofus Nébuleux; Dofus Ocre; Dofus Ivoire; Dofus Turquoise; Dofus des Glaces; Dofus Vulbis; Chacha Angora</t>
        </is>
      </c>
    </row>
    <row r="25191">
      <c r="A25191" t="inlineStr">
        <is>
          <t>terre ini</t>
        </is>
      </c>
      <c r="B25191">
        <f>HYPERLINK("https://www.dofusbook.net/fr/equipement/3583633-terre-ini/objets", "link")</f>
        <v/>
      </c>
      <c r="C25191" t="n">
        <v>1</v>
      </c>
      <c r="D25191" t="inlineStr">
        <is>
          <t>Lav'Hache; Collier de Tourthon; Anneau Crustique; Anneau Crustique; Cadran d'Air; Ceinture de la Cour Sombre; Masque de Koutoulou; Cape du Cœur Saignant; Bottes de la Cour Sombre; Dofus Nébuleux; Dofus Ocre; Dofus Ivoire; Miraculé majeur; Enragé majeur; Fonceur majeur; Muldo Pourpre</t>
        </is>
      </c>
    </row>
    <row r="25192">
      <c r="A25192" t="inlineStr">
        <is>
          <t>feu pvp</t>
        </is>
      </c>
      <c r="B25192">
        <f>HYPERLINK("https://www.dofusbook.net/fr/equipement/4399374-feu-pvp-/objets", "link")</f>
        <v/>
      </c>
      <c r="C25192" t="n">
        <v>0</v>
      </c>
      <c r="D25192" t="inlineStr">
        <is>
          <t>Baguette de Malléfisk; Amulette Martegel; Baguistik; Anneau de Nidas; Carapar; String Tue-Mouche; Casque Dragoeuf; Cape Martegel; Pataugastrique; Dofus Ocre; Nomade; Guérisseur majeur; Déserteur majeur; Érudit majeur; Miraculé majeur; Meuch</t>
        </is>
      </c>
    </row>
    <row r="25193">
      <c r="A25193" t="inlineStr">
        <is>
          <t>ret soin</t>
        </is>
      </c>
      <c r="B25193">
        <f>HYPERLINK("https://www.dofusbook.net/fr/equipement/4517801-ret-soin/objets", "link")</f>
        <v/>
      </c>
      <c r="C25193" t="n">
        <v>0</v>
      </c>
      <c r="D25193" t="inlineStr">
        <is>
          <t>Chevalière du Roi Joueur; Anneau de Nidas; Ceinture de Vortex; Heaume Oplate</t>
        </is>
      </c>
    </row>
    <row r="25194">
      <c r="A25194" t="inlineStr">
        <is>
          <t>Kta terre feu do cri</t>
        </is>
      </c>
      <c r="B25194">
        <f>HYPERLINK("https://www.dofusbook.net/fr/equipement/4514829-kta-terre-feu-do-cri/objets", "link")</f>
        <v/>
      </c>
      <c r="C25194" t="n">
        <v>0</v>
      </c>
      <c r="D25194" t="inlineStr">
        <is>
          <t>Hache Téroïde; Amulette du Strigide; Baguistik; Chevalière du Roi Joueur; Quatre-feuilles; Ceintacé; Masque de Koutoulou; Voile d'encre; Bottes du Strigide; Dofus des Glaces; Dofus Ivoire; Dofus Vulbis; Dofus Nébuleux; Dofus Turquoise; Dofus Abyssal; Chacha Angora</t>
        </is>
      </c>
    </row>
    <row r="25195">
      <c r="A25195" t="inlineStr">
        <is>
          <t>Kta roxx</t>
        </is>
      </c>
      <c r="B25195">
        <f>HYPERLINK("https://www.dofusbook.net/fr/equipement/4514797-kta-roxx/objets", "link")</f>
        <v/>
      </c>
      <c r="C25195" t="n">
        <v>0</v>
      </c>
      <c r="D25195" t="inlineStr">
        <is>
          <t>Arc du Chalœil; Amulette de Gein; Anneau Volkorne; Anneau de Brouce; Quatre-feuilles; Ceinture Volkorne; Masque de Koutoulou; Voile d'encre; Bottes du Cœur Saignant; Dofus Vulbis; Dofus Abyssal; Dofus Ocre; Dofus Ivoire; Dofus Nébuleux; Enragé majeur; Bulbisou</t>
        </is>
      </c>
    </row>
    <row r="25196">
      <c r="A25196" t="inlineStr">
        <is>
          <t>Kta tank</t>
        </is>
      </c>
      <c r="B25196">
        <f>HYPERLINK("https://www.dofusbook.net/fr/equipement/4514768-kta-tank/objets", "link")</f>
        <v/>
      </c>
      <c r="C25196" t="n">
        <v>2</v>
      </c>
      <c r="D25196" t="inlineStr">
        <is>
          <t>Baguette de Malléfisk; Torquistik; Anneau de Nidas; Baguistik; Carapar; Ceinture de Vortex; Casque Dragoeuf; Voile d'encre; Pataugastrique; Dofus Vulbis; Dofus Ivoire; Dofus Ocre; Dofus Abyssal; Miraculé majeur; Guérisseur majeur; Titard</t>
        </is>
      </c>
    </row>
    <row r="25197">
      <c r="A25197" t="inlineStr">
        <is>
          <t>Tournois full terre</t>
        </is>
      </c>
      <c r="B25197">
        <f>HYPERLINK("https://www.dofusbook.net/fr/equipement/4506898-tournois-full-terre/objets", "link")</f>
        <v/>
      </c>
      <c r="C25197" t="n">
        <v>0</v>
      </c>
      <c r="D25197" t="inlineStr">
        <is>
          <t>Arc du Chalœil; Amulette du Cœur Saignant; Anneau Chevelu; Baguistik; Cadran de Terre; Ceinture Gence; Masque de Koutoulou; Cape au Logis; Bottes du Cœur Saignant; Dofus Abyssal; Dofus Ivoire; Dofus des Glaces; Enragé majeur; Carapace Terre majeur; Miraculé majeur; Bulbisou</t>
        </is>
      </c>
    </row>
    <row r="25198">
      <c r="A25198" t="inlineStr">
        <is>
          <t>Tournois do pou</t>
        </is>
      </c>
      <c r="B25198">
        <f>HYPERLINK("https://www.dofusbook.net/fr/equipement/4506881-tournois-do-pou-/objets", "link")</f>
        <v/>
      </c>
      <c r="C25198" t="n">
        <v>0</v>
      </c>
      <c r="D25198" t="inlineStr">
        <is>
          <t>Arc du Chalœil; Torquistik; Bague Instable; Bague Trithon; Bouclier précieux; Ceinture Gence; Casque Dragoeuf; Cape Solution; Bottistik; Dofus Vulbis; Dofus Ivoire; Pousseur majeur; Bousculeur majeur; Culbuteur; Culbuteur majeur; Péki</t>
        </is>
      </c>
    </row>
    <row r="25199">
      <c r="A25199" t="inlineStr">
        <is>
          <t>Cra feu rall do pou</t>
        </is>
      </c>
      <c r="B25199">
        <f>HYPERLINK("https://www.dofusbook.net/fr/equipement/4506836-cra-feu-rall-do-pou/objets", "link")</f>
        <v/>
      </c>
      <c r="C25199" t="n">
        <v>4</v>
      </c>
      <c r="D25199" t="inlineStr">
        <is>
          <t>Baguette de Malléfisk; Pendentif affamé; Anneauræus; Baguistik; Cadran de Terre; Ceinture de Vortex; Masque Ardent; Cape Ardente; Pataugastrique; Dofus Vulbis; Dofus Ivoire; Érudit majeur; Étourdisseur majeur; Guérisseur majeur; Carapace Feu majeur; Volkorne Rubis et Ivoire</t>
        </is>
      </c>
    </row>
    <row r="25200">
      <c r="A25200" t="inlineStr">
        <is>
          <t>songe</t>
        </is>
      </c>
      <c r="B25200">
        <f>HYPERLINK("https://www.dofusbook.net/fr/equipement/4483317-songe/objets", "link")</f>
        <v/>
      </c>
      <c r="C25200" t="n">
        <v>2</v>
      </c>
      <c r="D25200" t="inlineStr">
        <is>
          <t>Arc corrompu; Pendentif affamé; Anneau Tamie; Anneau Tamie; Quatre-feuilles; Ceinture Séculaire; Coiffe Séculaire; Cape de Diondin; Pataugastrique; Dofus Pourpre; Dofus Turquoise; Érudit majeur; Remueur; Nomade</t>
        </is>
      </c>
    </row>
    <row r="25201">
      <c r="A25201" t="inlineStr">
        <is>
          <t>songe</t>
        </is>
      </c>
      <c r="B25201">
        <f>HYPERLINK("https://www.dofusbook.net/fr/equipement/4483298-songe/objets", "link")</f>
        <v/>
      </c>
      <c r="C25201" t="n">
        <v>0</v>
      </c>
      <c r="D25201" t="inlineStr">
        <is>
          <t>Pelle Fik; Amulette du Strigide; Anneau Glacial; Anneau Cryochrone; Bouclier du Captain Amakna; Sangle Ouare; Kidibonnet; Chevelure de Tal Kasha; Sandales de Tal Kasha; Dofus Pourpre; Dofus Turquoise; Dofus des Glaces; Remueur; Nomade; Chanceux majeur; Pioute bleu</t>
        </is>
      </c>
    </row>
    <row r="25202">
      <c r="A25202" t="inlineStr">
        <is>
          <t>songe</t>
        </is>
      </c>
      <c r="B25202">
        <f>HYPERLINK("https://www.dofusbook.net/fr/equipement/4483286-songe/objets", "link")</f>
        <v/>
      </c>
      <c r="C25202" t="n">
        <v>0</v>
      </c>
      <c r="D25202" t="inlineStr">
        <is>
          <t>Dagues d'Ilyzaelle; Amulette du Strigide; Alliance de Missiz Frizz; Anneau Crustique; Bouclier du Captain Amakna; Ceinture Gence; Masque de Koutoulou; Cape au Logis; Bottes du Strigide; Dofus Turquoise; Dofus des Glaces; Dofus Pourpre; Enragé majeur; Vigoureux majeur; Nomade; Bulbisou</t>
        </is>
      </c>
    </row>
    <row r="25203">
      <c r="A25203" t="inlineStr">
        <is>
          <t>songe</t>
        </is>
      </c>
      <c r="B25203">
        <f>HYPERLINK("https://www.dofusbook.net/fr/equipement/4483274-songe/objets", "link")</f>
        <v/>
      </c>
      <c r="C25203" t="n">
        <v>1</v>
      </c>
      <c r="D25203" t="inlineStr">
        <is>
          <t>Hache Téroïde; Amulette du Strigide; Bracelet du Piloztère; Alliance de Missiz Frizz; Bouclier du Captain Amakna; Ceintacé; Masque de Koutoulou; Cape au Logis; Bottes du Strigide; Dofus Pourpre; Dofus Turquoise; Dofus des Glaces; Nomade; Sanguinaire majeur; Vigoureux majeur; Chacha Angora</t>
        </is>
      </c>
    </row>
    <row r="25204">
      <c r="A25204" t="inlineStr">
        <is>
          <t>pvp multi</t>
        </is>
      </c>
      <c r="B25204">
        <f>HYPERLINK("https://www.dofusbook.net/fr/equipement/4454004-pvp-multi/objets", "link")</f>
        <v/>
      </c>
      <c r="C25204" t="n">
        <v>0</v>
      </c>
      <c r="D25204" t="inlineStr">
        <is>
          <t>Arc corrompu; Amulette Volkorne; Anneauræus; Anneau Volkorne; Quatre-feuilles; Heaume Oplate; Cape de la Dame du Hasard; Pataugastrique; Dofus Nébuleux; Dofus Abyssal; Dofus Turquoise; Nomade; Érudit majeur; Carapace Feu majeur; Bisouglours</t>
        </is>
      </c>
    </row>
    <row r="25205">
      <c r="A25205" t="inlineStr">
        <is>
          <t>terre pvp dofus</t>
        </is>
      </c>
      <c r="B25205">
        <f>HYPERLINK("https://www.dofusbook.net/fr/equipement/4447670-terre-pvp-dofus/objets", "link")</f>
        <v/>
      </c>
      <c r="C25205" t="n">
        <v>0</v>
      </c>
      <c r="D25205" t="inlineStr">
        <is>
          <t>Arc du Chalœil; Amulette du Strigide; Anneau Chevelu; Anneau Volkorne; Quatre-feuilles; Ceinture Volkorne; Masque de Koutoulou; Voile d'encre; Bottes du Cœur Saignant; Dofus Turquoise; Dofus Nébuleux; Dofus Abyssal; Nomade; Remueur; Enragé majeur; Bulbisou</t>
        </is>
      </c>
    </row>
    <row r="25206">
      <c r="A25206" t="inlineStr">
        <is>
          <t>pvp terre perf</t>
        </is>
      </c>
      <c r="B25206">
        <f>HYPERLINK("https://www.dofusbook.net/fr/equipement/4453742-pvp-terre-perf/objets", "link")</f>
        <v/>
      </c>
      <c r="C25206" t="n">
        <v>1</v>
      </c>
      <c r="D25206" t="inlineStr">
        <is>
          <t>Arc du Chalœil; Amulette Ementaire Deluxe; Anneau Volkorne; Anneau Chevelu; Quatre-feuilles; Ceinture Volkorne; Masque de Koutoulou; Voile d'encre; Bottes du Cœur Saignant; Dofus Nébuleux; Dofus Turquoise; Dofus Abyssal; Enragé majeur; Nomade; Remueur; Bulbisou</t>
        </is>
      </c>
    </row>
    <row r="25207">
      <c r="A25207" t="inlineStr">
        <is>
          <t>terre pvm</t>
        </is>
      </c>
      <c r="B25207">
        <f>HYPERLINK("https://www.dofusbook.net/fr/equipement/4448334-terre-pvm-/objets", "link")</f>
        <v/>
      </c>
      <c r="C25207" t="n">
        <v>0</v>
      </c>
      <c r="D25207" t="inlineStr">
        <is>
          <t>Arc du Chalœil; Amulette du Strigide; Anneau Chevelu; Anneau de Brouce; Quatre-feuilles; Ceinture Gence; Masque de Koutoulou; Cape au Logis; Bottes de Brouce; Dofus Nébuleux; Dofus Turquoise; Enragé majeur; Forcené majeur; Nomade; Bulbisou</t>
        </is>
      </c>
    </row>
    <row r="25208">
      <c r="A25208" t="inlineStr">
        <is>
          <t>pvp terre</t>
        </is>
      </c>
      <c r="B25208">
        <f>HYPERLINK("https://www.dofusbook.net/fr/equipement/4399422-pvp-terre/objets", "link")</f>
        <v/>
      </c>
      <c r="C25208" t="n">
        <v>1</v>
      </c>
      <c r="D25208" t="inlineStr">
        <is>
          <t>Arc du Chalœil; Amulette du Strigide; Anneau Chevelu; Anneau de Brouce; Quatre-feuilles; Ceinture Volkorne; Masque de Koutoulou; Voile d'encre; Bottes du Cœur Saignant; Dofus Abyssal; Dofus Ocre; Dofus Nébuleux; Dofus Turquoise; Enragé majeur; Nomade; Pioute vert</t>
        </is>
      </c>
    </row>
    <row r="25209">
      <c r="A25209" t="inlineStr">
        <is>
          <t>pvp air</t>
        </is>
      </c>
      <c r="B25209">
        <f>HYPERLINK("https://www.dofusbook.net/fr/equipement/4441249-pvp-air/objets", "link")</f>
        <v/>
      </c>
      <c r="C25209" t="n">
        <v>0</v>
      </c>
      <c r="D25209" t="inlineStr">
        <is>
          <t>Manthache; Amulette Voldelor; Alliance Gloursonne; Gant du Valet Veinard; Quatre-feuilles; Menoture; Chapeau de Tournoyé; Cape de Crânonier; Palmes Trithons; Dofus Ocre; Dofus Nébuleux; Dofus Turquoise; Cascadeur majeur; Blérodoudou</t>
        </is>
      </c>
    </row>
    <row r="25210">
      <c r="A25210" t="inlineStr">
        <is>
          <t>Pvpm</t>
        </is>
      </c>
      <c r="B25210">
        <f>HYPERLINK("https://www.dofusbook.net/fr/equipement/4438426-pvpm/objets", "link")</f>
        <v/>
      </c>
      <c r="C25210" t="n">
        <v>0</v>
      </c>
      <c r="D25210" t="inlineStr">
        <is>
          <t>Arc Lavoine; Amulette du Strigide; Alliance Gloursonne; Bague Trithon; Quatre-feuilles; Ceintacé; Masque Trithon; Chevelure de Tal Kasha; Sandales  d'Atcham; Dofus des Glaces; Dofus Turquoise; Dofus Nébuleux; Dofus Ocre; Vigoureux majeur; Nomade; Chacha Angora</t>
        </is>
      </c>
    </row>
    <row r="25211">
      <c r="A25211" t="inlineStr">
        <is>
          <t>Multi</t>
        </is>
      </c>
      <c r="B25211">
        <f>HYPERLINK("https://www.dofusbook.net/fr/equipement/4410902-multi-/objets", "link")</f>
        <v/>
      </c>
      <c r="C25211" t="n">
        <v>0</v>
      </c>
      <c r="D25211" t="inlineStr">
        <is>
          <t>Bâtonnet Ronien; Amulette de l'Œil Putride; Alliance Gloursonne; Bague Trithon; Quatre-feuilles; Ceintacé; Némès de Tal Kasha; Chevelure de Tal Kasha; Sandales  d'Atcham; Dofus Ocre; Dofus Turquoise; Nomade; Carapace Air majeur; Vigoureux majeur; Chacha Angora</t>
        </is>
      </c>
    </row>
    <row r="25212">
      <c r="A25212" t="inlineStr">
        <is>
          <t>full full ret</t>
        </is>
      </c>
      <c r="B25212">
        <f>HYPERLINK("https://www.dofusbook.net/fr/equipement/3880616-full-full-ret/objets", "link")</f>
        <v/>
      </c>
      <c r="C25212" t="n">
        <v>0</v>
      </c>
      <c r="D25212" t="inlineStr">
        <is>
          <t>Baguette Hique; Amulette du Glourséleste; Pikano; Anneau Tamie; Bouclier cubiste; Ceinture Instable; Casquipik; Cape de Léthaline; Pantoufles Émar; Ralentisseur majeur; Temporiseur; Remueur; Entraveur majeur; Temporiseur; Fonceur majeur; Médugivre</t>
        </is>
      </c>
    </row>
    <row r="25213">
      <c r="A25213" t="inlineStr">
        <is>
          <t>full ret no exo</t>
        </is>
      </c>
      <c r="B25213">
        <f>HYPERLINK("https://www.dofusbook.net/fr/equipement/4293188-full-ret-no-exo-/objets", "link")</f>
        <v/>
      </c>
      <c r="C25213" t="n">
        <v>0</v>
      </c>
      <c r="D25213" t="inlineStr">
        <is>
          <t>Baguette Hique; Amulette du Glourséleste; Anneau Tamie; Pikano; Bouclier cubiste; Ceinture Instable; Casquipik; Cape Matelassée; Pantoufles Émar; Nomade; Ralentisseur majeur; Fonceur majeur; Temporiseur majeur; Remueur; Entraveur majeur; Médugivre</t>
        </is>
      </c>
    </row>
    <row r="25214">
      <c r="A25214" t="inlineStr">
        <is>
          <t>Pandawa Eau</t>
        </is>
      </c>
      <c r="B25214">
        <f>HYPERLINK("https://www.dofusbook.net/fr/equipement/4226696-pandawa-eau/objets", "link")</f>
        <v/>
      </c>
      <c r="C25214" t="n">
        <v>1</v>
      </c>
      <c r="D25214" t="inlineStr">
        <is>
          <t>Baguette Hique; Collier de la Dame du Hasard; Anneau Glacial; Anneau Cryochrone; Quatre-feuilles; Sangle Ouare; Coiffe de Danathor; Cape de la Dame du Hasard; Pataugastrique; Dofus Turquoise; Nomade; Dévastateur Eau majeur; Vigoureux majeur; Remueur; Chanceux majeur; Kanigloups</t>
        </is>
      </c>
    </row>
    <row r="25215">
      <c r="A25215" t="inlineStr">
        <is>
          <t>terre pvm</t>
        </is>
      </c>
      <c r="B25215">
        <f>HYPERLINK("https://www.dofusbook.net/fr/equipement/3636885-terre-pvm-/objets", "link")</f>
        <v/>
      </c>
      <c r="C25215" t="n">
        <v>2</v>
      </c>
      <c r="D25215" t="inlineStr">
        <is>
          <t>Dagues d'Ilyzaelle; Amulette du Strigide; Bague Gloursonne; Anneau Crustique; Bouclier du Captain Amakna; Ceinture Gence; Masque de Koutoulou; Cape au Logis; Bottes du Strigide; Dofus Turquoise; Dévastateur Terre majeur; Forcené majeur; Enragé majeur; Nomade; Vigoureux majeur; Bulbisou</t>
        </is>
      </c>
    </row>
    <row r="25216">
      <c r="A25216" t="inlineStr">
        <is>
          <t>Pvm gneu taper</t>
        </is>
      </c>
      <c r="B25216">
        <f>HYPERLINK("https://www.dofusbook.net/fr/equipement/3961212-pvm-gneu-taper/objets", "link")</f>
        <v/>
      </c>
      <c r="C25216" t="n">
        <v>1</v>
      </c>
      <c r="D25216" t="inlineStr"/>
    </row>
    <row r="25217">
      <c r="A25217" t="inlineStr">
        <is>
          <t>pvm a voir</t>
        </is>
      </c>
      <c r="B25217">
        <f>HYPERLINK("https://www.dofusbook.net/fr/equipement/3814168-pvm-a-voir-/objets", "link")</f>
        <v/>
      </c>
      <c r="C25217" t="n">
        <v>3</v>
      </c>
      <c r="D25217" t="inlineStr">
        <is>
          <t>Pyraguette; Talisman Igans; Anneau Glacial; Anneau Cryochrone; Bouclier du Stalak; Ceintrigue; Maskrobe; Voilamibe; Pataugastrique; Dofus des Glaces; Dofus Pourpre; Vigoureux majeur; Sanguinaire majeur; Remueur; Fëanor</t>
        </is>
      </c>
    </row>
    <row r="25218">
      <c r="A25218" t="inlineStr">
        <is>
          <t>Iop M 200</t>
        </is>
      </c>
      <c r="B25218">
        <f>HYPERLINK("https://www.dofusbook.net/fr/equipement/4173913-iop-m-200/objets", "link")</f>
        <v/>
      </c>
      <c r="C25218" t="n">
        <v>2</v>
      </c>
      <c r="D25218" t="inlineStr">
        <is>
          <t>Hache Téroïde; Amulette du Strigide; Gelano; Alliance de Missiz Frizz; Bouclier du Captain Amakna; Ceinture du Strigide; Voile d'encre; Bottes du Strigide; Dofus Pourpre; Dofus Turquoise; Dofus des Glaces; Voyageur; Furibond majeur; Sakochère</t>
        </is>
      </c>
    </row>
    <row r="25219">
      <c r="A25219" t="inlineStr">
        <is>
          <t>Eliotrope M 200</t>
        </is>
      </c>
      <c r="B25219">
        <f>HYPERLINK("https://www.dofusbook.net/fr/equipement/4174829-eliotrope-m-200/objets", "link")</f>
        <v/>
      </c>
      <c r="C25219" t="n">
        <v>0</v>
      </c>
      <c r="D25219" t="inlineStr">
        <is>
          <t>Manthache; Amulette du Granduk; Anneau d'Allister; Alliance Gloursonne; Bouclier du Stalak; Menoture; Couronne d'Allister; Cape Indescriptible; Baleinabottes; Remueur; Dévastateur Air majeur; Equilibriste majeur; Nomade; Vigoureux majeur; Cascadeur majeur; Blérodoudou</t>
        </is>
      </c>
    </row>
    <row r="25220">
      <c r="A25220" t="inlineStr">
        <is>
          <t>Pandawa M 200</t>
        </is>
      </c>
      <c r="B25220">
        <f>HYPERLINK("https://www.dofusbook.net/fr/equipement/4174773-pandawa-m-200/objets", "link")</f>
        <v/>
      </c>
      <c r="C25220" t="n">
        <v>1</v>
      </c>
      <c r="D25220" t="inlineStr">
        <is>
          <t>Epée Gloursonne; Amulette de l'Indicible; Bague Gloursonne; Alliance Gloursonne; Bouclier d'Anerice; Ceinture de l'Indicible; Masque d'Anerice; Cape d'Anerice; Bottes de l'Indicible; Dofus Émeraude; Fuyard majeur; Voyageur; Fugitif majeur; Tacleur majeur; Insaisissable majeur; Dragodinde Prune et Amande</t>
        </is>
      </c>
    </row>
    <row r="25221">
      <c r="A25221" t="inlineStr">
        <is>
          <t>terre pvp res</t>
        </is>
      </c>
      <c r="B25221">
        <f>HYPERLINK("https://www.dofusbook.net/fr/equipement/4159622-terre-pvp-res/objets", "link")</f>
        <v/>
      </c>
      <c r="C25221" t="n">
        <v>0</v>
      </c>
      <c r="D25221" t="inlineStr">
        <is>
          <t>Arc du Chalœil; Amulette du Strigide; Chevalière du Roi Joueur; Anneau Chevelu; Quatre-feuilles; Ceintacé; Masque de Koutoulou; Cape au Logis; Bottes du Cœur Saignant; Dofus Ivoire; Dofus Turquoise; Dofus des Glaces; Dofus Nébuleux; Dofus Pourpre; Enragé majeur; Bulbisou</t>
        </is>
      </c>
    </row>
    <row r="25222">
      <c r="A25222" t="inlineStr">
        <is>
          <t>eau pas cher</t>
        </is>
      </c>
      <c r="B25222">
        <f>HYPERLINK("https://www.dofusbook.net/fr/equipement/4116557-eau-pas-cher/objets", "link")</f>
        <v/>
      </c>
      <c r="C25222" t="n">
        <v>0</v>
      </c>
      <c r="D25222" t="inlineStr"/>
    </row>
    <row r="25223">
      <c r="A25223" t="inlineStr">
        <is>
          <t>pvm multi</t>
        </is>
      </c>
      <c r="B25223">
        <f>HYPERLINK("https://www.dofusbook.net/fr/equipement/4054790-pvm-multi/objets", "link")</f>
        <v/>
      </c>
      <c r="C25223" t="n">
        <v>0</v>
      </c>
      <c r="D25223" t="inlineStr">
        <is>
          <t>Baguette Hique; Collier de la Dame du Hasard; Anneau Cryochrone; Bracelet du Piloztère; Bouclier du Stalak; Ceintacé; Maskrobe; Cape de la Dame du Hasard; Pataugastrique; Dofus Pourpre; Dofus Turquoise; Nomade; Robuste majeur; Remueur; Vigoureux majeur; Chacha Angora</t>
        </is>
      </c>
    </row>
    <row r="25224">
      <c r="A25224" t="inlineStr">
        <is>
          <t>pvm</t>
        </is>
      </c>
      <c r="B25224">
        <f>HYPERLINK("https://www.dofusbook.net/fr/equipement/4054797-pvm-/objets", "link")</f>
        <v/>
      </c>
      <c r="C25224" t="n">
        <v>0</v>
      </c>
      <c r="D25224" t="inlineStr"/>
    </row>
    <row r="25225">
      <c r="A25225" t="inlineStr">
        <is>
          <t>pvp terre eau</t>
        </is>
      </c>
      <c r="B25225">
        <f>HYPERLINK("https://www.dofusbook.net/fr/equipement/3956727-pvp-terre-eau/objets", "link")</f>
        <v/>
      </c>
      <c r="C25225" t="n">
        <v>0</v>
      </c>
      <c r="D25225" t="inlineStr">
        <is>
          <t>Arc du Chalœil; Amulette du Strigide; Bracelet du Piloztère; Anneau Chevelu; Cadran de Terre; Ceinture Gence; Masque de Koutoulou; Cape au Logis; Bottes du Strigide; Dofus Nébuleux; Dofus des Glaces; Dofus Pourpre; Dofus Turquoise; Carapace Eau majeur; Vigoureux majeur; Dragodinde Emeraude et Pourpre</t>
        </is>
      </c>
    </row>
    <row r="25226">
      <c r="A25226" t="inlineStr">
        <is>
          <t>pvp terre air</t>
        </is>
      </c>
      <c r="B25226">
        <f>HYPERLINK("https://www.dofusbook.net/fr/equipement/3961045-pvp-terre-air/objets", "link")</f>
        <v/>
      </c>
      <c r="C25226" t="n">
        <v>0</v>
      </c>
      <c r="D25226" t="inlineStr">
        <is>
          <t>Héqache; Amulette du Strigide; Anneau des égarés; Bracelet du Piloztère; Cadran de Terre; Ceinture Gence; Masque de Koutoulou; Cape au Logis; Bottes du Strigide; Dofus Pourpre; Dofus des Glaces; Dofus Turquoise; Dofus Nébuleux; Enragé majeur; Carapace Terre majeur; Dragodinde Emeraude et Pourpre</t>
        </is>
      </c>
    </row>
    <row r="25227">
      <c r="A25227" t="inlineStr">
        <is>
          <t>pvp cac</t>
        </is>
      </c>
      <c r="B25227">
        <f>HYPERLINK("https://www.dofusbook.net/fr/equipement/3958142-pvp-cac/objets", "link")</f>
        <v/>
      </c>
      <c r="C25227" t="n">
        <v>0</v>
      </c>
      <c r="D25227" t="inlineStr">
        <is>
          <t>Héqache; Amulette du Strigide; Bracelet du Piloztère; Alliance Gloursonne; Bouclier d'Ilyzaelle; Ceintacé; Chapeau Lisson; Chevelure de Tal Kasha; Bottes du Strigide; Dofus Ocre; Dofus Nébuleux; Dofus Turquoise; Dofus des Glaces; Dofus Pourpre; Nomade; Chacha Angora</t>
        </is>
      </c>
    </row>
    <row r="25228">
      <c r="A25228" t="inlineStr">
        <is>
          <t>pvp</t>
        </is>
      </c>
      <c r="B25228">
        <f>HYPERLINK("https://www.dofusbook.net/fr/equipement/3956707-pvp/objets", "link")</f>
        <v/>
      </c>
      <c r="C25228" t="n">
        <v>0</v>
      </c>
      <c r="D25228" t="inlineStr">
        <is>
          <t>Arc du Chalœil; Amulette du Strigide; Anneau Chevelu; Bracelet du Piloztère; Cadran de Terre; Ceinture Gence; Masque de Koutoulou; Cape au Logis; Bottes du Strigide; Dofus Pourpre; Dofus Turquoise; Dofus Nébuleux; Enragé majeur; Carapace Eau majeur; Miraculé majeur; Dragodinde Emeraude et Pourpre</t>
        </is>
      </c>
    </row>
    <row r="25229">
      <c r="A25229" t="inlineStr">
        <is>
          <t>pvp</t>
        </is>
      </c>
      <c r="B25229">
        <f>HYPERLINK("https://www.dofusbook.net/fr/equipement/3946743-pvp/objets", "link")</f>
        <v/>
      </c>
      <c r="C25229" t="n">
        <v>1</v>
      </c>
      <c r="D25229" t="inlineStr">
        <is>
          <t>Arc Nécrotique; Amulette du Strigide; Alliance Gloursonne; Anneau Tique; Quatre-feuilles; Ceinture du Strigide; Coiffe Séculaire; Cape de la Dame du Hasard; Pataugastrique; Dofus Turquoise; Dofus Pourpre; Dofus des Glaces; Carapace Feu majeur; Remueur; Nomade; Chacha Angora</t>
        </is>
      </c>
    </row>
    <row r="25230">
      <c r="A25230" t="inlineStr">
        <is>
          <t>roxx</t>
        </is>
      </c>
      <c r="B25230">
        <f>HYPERLINK("https://www.dofusbook.net/fr/equipement/3880666-roxx/objets", "link")</f>
        <v/>
      </c>
      <c r="C25230" t="n">
        <v>0</v>
      </c>
      <c r="D25230" t="inlineStr">
        <is>
          <t>Epée Maudite du Saigneur Guerrier; Amulette du Strigide; Anneau de Padgref; Bague Trithon; Bouclier du Captain Amakna; Ceinture du Strigide; Masque Trithon; Chevelure de Tal Kasha; Bottes du Strigide; Dofus Vulbis; Dofus Ocre; Dofus Turquoise; Dofus des Glaces; Dofus Pourpre; Dofus Nébuleux; Chacha Angora</t>
        </is>
      </c>
    </row>
    <row r="25231">
      <c r="A25231" t="inlineStr">
        <is>
          <t>crit</t>
        </is>
      </c>
      <c r="B25231">
        <f>HYPERLINK("https://www.dofusbook.net/fr/equipement/3880653-crit/objets", "link")</f>
        <v/>
      </c>
      <c r="C25231" t="n">
        <v>1</v>
      </c>
      <c r="D25231" t="inlineStr">
        <is>
          <t>Dagues d'Ilyzaelle; Amulette du Strigide; Anneau Crustique; Anneau Crustique; Bouclier d'Ilyzaelle; Ceinture Gence; Masque de Koutoulou; Cape du Cœur Saignant; Bottes du Strigide; Dofus Turquoise; Dofus Nébuleux; Dofus Vulbis; Dofus Pourpre; Dofus des Glaces; Enragé majeur; Pioute vert</t>
        </is>
      </c>
    </row>
    <row r="25232">
      <c r="A25232" t="inlineStr">
        <is>
          <t>pvm</t>
        </is>
      </c>
      <c r="B25232">
        <f>HYPERLINK("https://www.dofusbook.net/fr/equipement/3636925-pvm/objets", "link")</f>
        <v/>
      </c>
      <c r="C25232" t="n">
        <v>1</v>
      </c>
      <c r="D25232" t="inlineStr">
        <is>
          <t>Dagues Açantes; Amulette de Danathor; Bracelet du Piloztère; Pikano; Bouclier cubiste; Poulpagne; Maskrobe; Cape Matelassée; Pikottes; Vigoureux majeur; Entraveur majeur; Remueur; Chanceux majeur; Nomade; Temporiseur majeur; Gwo Tofu Ventripotent</t>
        </is>
      </c>
    </row>
    <row r="25233">
      <c r="A25233" t="inlineStr">
        <is>
          <t>pvm</t>
        </is>
      </c>
      <c r="B25233">
        <f>HYPERLINK("https://www.dofusbook.net/fr/equipement/3636951-pvm/objets", "link")</f>
        <v/>
      </c>
      <c r="C25233" t="n">
        <v>13</v>
      </c>
      <c r="D25233" t="inlineStr">
        <is>
          <t>Baguette Hernelle; Amulette du Granduk; Anneau d'Allister; Anneau de Padgref; Quatre-feuilles; Menoture; Coiffe de Padgref; Cape Matelassée; Palmes Trithons; Dofus Turquoise; Cascadeur majeur; Remueur; Dévastateur Air majeur; Vigoureux majeur; Nomade</t>
        </is>
      </c>
    </row>
    <row r="25234">
      <c r="A25234" t="inlineStr">
        <is>
          <t>feu heal</t>
        </is>
      </c>
      <c r="B25234">
        <f>HYPERLINK("https://www.dofusbook.net/fr/equipement/3867291-feu-heal/objets", "link")</f>
        <v/>
      </c>
      <c r="C25234" t="n">
        <v>2</v>
      </c>
      <c r="D25234" t="inlineStr">
        <is>
          <t>Baguette de Malléfisk; Pendentif affamé; Chevalière du Roi Joueur; Anneau Tique; Carapar; Ceinture de Vortex; Casque Dragoeuf; Cape de Diondin; Pataugastrique; Guérisseur majeur; Carapace Terre majeur; Érudit majeur; Nomade; Fonceur majeur; Dragodinde Prune et Orchidée</t>
        </is>
      </c>
    </row>
    <row r="25235">
      <c r="A25235" t="inlineStr">
        <is>
          <t>eau</t>
        </is>
      </c>
      <c r="B25235">
        <f>HYPERLINK("https://www.dofusbook.net/fr/equipement/3864362-eau/objets", "link")</f>
        <v/>
      </c>
      <c r="C25235" t="n">
        <v>0</v>
      </c>
      <c r="D25235" t="inlineStr">
        <is>
          <t>Pelle Fik; Amulette de Shokkoth; Alliance Gloursonne; Bracelet des Fonds marins; Bouclier d'Ilyzaelle; Poulpagne; Capuche de l'Œil Attentif; Cape de l'Œil Attentif; Bottes du Sinistrofu; Nomade; Miraculé majeur; Remueur; Chanceux majeur</t>
        </is>
      </c>
    </row>
    <row r="25236">
      <c r="A25236" t="inlineStr">
        <is>
          <t>Roublard M 200</t>
        </is>
      </c>
      <c r="B25236">
        <f>HYPERLINK("https://www.dofusbook.net/fr/equipement/3864354-roublard-m-200/objets", "link")</f>
        <v/>
      </c>
      <c r="C25236" t="n">
        <v>0</v>
      </c>
      <c r="D25236" t="inlineStr"/>
    </row>
    <row r="25237">
      <c r="A25237" t="inlineStr">
        <is>
          <t>eau no brain</t>
        </is>
      </c>
      <c r="B25237">
        <f>HYPERLINK("https://www.dofusbook.net/fr/equipement/3861778-eau-no-brain/objets", "link")</f>
        <v/>
      </c>
      <c r="C25237" t="n">
        <v>0</v>
      </c>
      <c r="D25237" t="inlineStr">
        <is>
          <t>Pyraguette; Amulette de l'Œil Attentif; Alliance Gloursonne; Anneau Volkorne; Quatre-feuilles; Sangle Ouare; Capuche de l'Œil Attentif; Cape Solution; Bottes Honyme; Dofus Turquoise; Dofus des Glaces; Dofus Pourpre; Chanceux majeur; Dévastateur Eau majeur; Taquin majeur; Dragodinde Emeraude et Indigo</t>
        </is>
      </c>
    </row>
    <row r="25238">
      <c r="A25238" t="inlineStr">
        <is>
          <t>test famillier</t>
        </is>
      </c>
      <c r="B25238">
        <f>HYPERLINK("https://www.dofusbook.net/fr/equipement/3851572-test-famillier/objets", "link")</f>
        <v/>
      </c>
      <c r="C25238" t="n">
        <v>0</v>
      </c>
      <c r="D25238" t="inlineStr"/>
    </row>
    <row r="25239">
      <c r="A25239" t="inlineStr">
        <is>
          <t>feu fuite gros soin</t>
        </is>
      </c>
      <c r="B25239">
        <f>HYPERLINK("https://www.dofusbook.net/fr/equipement/3837642-feu-fuite-gros-soin-/objets", "link")</f>
        <v/>
      </c>
      <c r="C25239" t="n">
        <v>0</v>
      </c>
      <c r="D25239" t="inlineStr">
        <is>
          <t>Baguette de Malléfisk; Pendentif affamé; Baguistik; Anneau de Nidas; Carapar; Ceinture Séculaire; Casque Dragoeuf; Cape de Diondin; Tongues de Nidas; Fonceur majeur; Guérisseur majeur; Remueur; Érudit majeur; Miraculé majeur; Nomade; Muldo Orchidée</t>
        </is>
      </c>
    </row>
    <row r="25240">
      <c r="A25240" t="inlineStr">
        <is>
          <t>air tank</t>
        </is>
      </c>
      <c r="B25240">
        <f>HYPERLINK("https://www.dofusbook.net/fr/equipement/3838093-air-tank/objets", "link")</f>
        <v/>
      </c>
      <c r="C25240" t="n">
        <v>0</v>
      </c>
      <c r="D25240" t="inlineStr">
        <is>
          <t>Manthache; Collier du Valet Veinard; Gant du Valet Veinard; Alliance Gloursonne; Cadran d'Air; Menoture; Casque Dragoeuf; Cape Matelassée; Palmes Trithons; Fonceur majeur; Remueur; Miraculé majeur; Nomade; Cascadeur majeur; Muldo Ebène</t>
        </is>
      </c>
    </row>
    <row r="25241">
      <c r="A25241" t="inlineStr">
        <is>
          <t>terre roxx</t>
        </is>
      </c>
      <c r="B25241">
        <f>HYPERLINK("https://www.dofusbook.net/fr/equipement/3838082-terre-roxx-/objets", "link")</f>
        <v/>
      </c>
      <c r="C25241" t="n">
        <v>0</v>
      </c>
      <c r="D25241" t="inlineStr">
        <is>
          <t>Arc du Chalœil; Amulette du Strigide; Anneau Crustique; Bague Gloursonne; Quatre-feuilles; Ceinture Gence; Masque de Koutoulou; Cape au Logis; Bottes du Strigide; Dofus Turquoise; Dofus Pourpre; Enragé majeur; Forcené majeur; Remueur; Muldo Pourpre</t>
        </is>
      </c>
    </row>
    <row r="25242">
      <c r="A25242" t="inlineStr">
        <is>
          <t>pvm eau</t>
        </is>
      </c>
      <c r="B25242">
        <f>HYPERLINK("https://www.dofusbook.net/fr/equipement/3814167-pvm-eau/objets", "link")</f>
        <v/>
      </c>
      <c r="C25242" t="n">
        <v>0</v>
      </c>
      <c r="D25242" t="inlineStr"/>
    </row>
    <row r="25243">
      <c r="A25243" t="inlineStr">
        <is>
          <t>pvm eau</t>
        </is>
      </c>
      <c r="B25243">
        <f>HYPERLINK("https://www.dofusbook.net/fr/equipement/3814166-pvm-eau/objets", "link")</f>
        <v/>
      </c>
      <c r="C25243" t="n">
        <v>0</v>
      </c>
      <c r="D25243" t="inlineStr"/>
    </row>
    <row r="25244">
      <c r="A25244" t="inlineStr">
        <is>
          <t>pvm eau</t>
        </is>
      </c>
      <c r="B25244">
        <f>HYPERLINK("https://www.dofusbook.net/fr/equipement/3814165-pvm-eau/objets", "link")</f>
        <v/>
      </c>
      <c r="C25244" t="n">
        <v>0</v>
      </c>
      <c r="D25244" t="inlineStr"/>
    </row>
    <row r="25245">
      <c r="A25245" t="inlineStr">
        <is>
          <t>pvm eau</t>
        </is>
      </c>
      <c r="B25245">
        <f>HYPERLINK("https://www.dofusbook.net/fr/equipement/3814163-pvm-eau/objets", "link")</f>
        <v/>
      </c>
      <c r="C25245" t="n">
        <v>0</v>
      </c>
      <c r="D25245" t="inlineStr"/>
    </row>
    <row r="25246">
      <c r="A25246" t="inlineStr">
        <is>
          <t>pvm eau</t>
        </is>
      </c>
      <c r="B25246">
        <f>HYPERLINK("https://www.dofusbook.net/fr/equipement/3814162-pvm-eau/objets", "link")</f>
        <v/>
      </c>
      <c r="C25246" t="n">
        <v>0</v>
      </c>
      <c r="D25246" t="inlineStr"/>
    </row>
    <row r="25247">
      <c r="A25247" t="inlineStr">
        <is>
          <t>poison pas cher</t>
        </is>
      </c>
      <c r="B25247">
        <f>HYPERLINK("https://www.dofusbook.net/fr/equipement/3792229-poison-pas-cher/objets", "link")</f>
        <v/>
      </c>
      <c r="C25247" t="n">
        <v>0</v>
      </c>
      <c r="D25247" t="inlineStr">
        <is>
          <t>Baguette de Malléfisk; Amulette d'Otomaï; Anneau de Nidas; Anneauræus; Sept ans de malheur; Ceinture de Vortex; Couronne de Nidas; Cape de Diondin; Pataugastrique; Muldo Orchidée</t>
        </is>
      </c>
    </row>
    <row r="25248">
      <c r="A25248" t="inlineStr">
        <is>
          <t>Sacrieur M 200</t>
        </is>
      </c>
      <c r="B25248">
        <f>HYPERLINK("https://www.dofusbook.net/fr/equipement/3719585-sacrieur-m-200/objets", "link")</f>
        <v/>
      </c>
      <c r="C25248" t="n">
        <v>1</v>
      </c>
      <c r="D25248" t="inlineStr"/>
    </row>
    <row r="25249">
      <c r="A25249" t="inlineStr">
        <is>
          <t>piege</t>
        </is>
      </c>
      <c r="B25249">
        <f>HYPERLINK("https://www.dofusbook.net/fr/equipement/3718958-piege/objets", "link")</f>
        <v/>
      </c>
      <c r="C25249" t="n">
        <v>0</v>
      </c>
      <c r="D25249" t="inlineStr">
        <is>
          <t>Dagues Eudin</t>
        </is>
      </c>
    </row>
    <row r="25250">
      <c r="A25250" t="inlineStr">
        <is>
          <t>terre</t>
        </is>
      </c>
      <c r="B25250">
        <f>HYPERLINK("https://www.dofusbook.net/fr/equipement/3718932-terre/objets", "link")</f>
        <v/>
      </c>
      <c r="C25250" t="n">
        <v>0</v>
      </c>
      <c r="D25250" t="inlineStr">
        <is>
          <t>Arc du Chalœil; Amulette du Strigide; Anneau Chevelu; Anneau Crustique; Quatre-feuilles; Ceinture Gence; Masque de Koutoulou; Voile d'encre; Bottes du Strigide; Dofus Turquoise; Dofus Pourpre; Carapace Eau majeur; Enragé majeur; Vigoureux majeur; Muldo Pourpre</t>
        </is>
      </c>
    </row>
    <row r="25251">
      <c r="A25251" t="inlineStr">
        <is>
          <t>terre</t>
        </is>
      </c>
      <c r="B25251">
        <f>HYPERLINK("https://www.dofusbook.net/fr/equipement/3704804-terre/objets", "link")</f>
        <v/>
      </c>
      <c r="C25251" t="n">
        <v>0</v>
      </c>
      <c r="D25251" t="inlineStr">
        <is>
          <t>Dagues d'Ilyzaelle; Collier de Tourthon; Anneau Crustique; Anneau Crustique; Bouclier du Captain Amakna; Ceinture Gence; Coiffe du Comte Harebourg; Cape au Logis; Bottes du Comte Harebourg; Dofus Pourpre; Remueur; Vigoureux majeur; Furibond majeur; Enragé majeur; Forcené majeur; Kompost</t>
        </is>
      </c>
    </row>
    <row r="25252">
      <c r="A25252" t="inlineStr">
        <is>
          <t>pvm</t>
        </is>
      </c>
      <c r="B25252">
        <f>HYPERLINK("https://www.dofusbook.net/fr/equipement/3636899-pvm-/objets", "link")</f>
        <v/>
      </c>
      <c r="C25252" t="n">
        <v>1</v>
      </c>
      <c r="D25252" t="inlineStr">
        <is>
          <t>Baguette Hique; Amulette du Strigide; Bracelet du Piloztère; Alliance Gloursonne; Quatre-feuilles; Ceinture du Strigide; Maskrobe; Cape des Justiciers; Pataugastrique; Dofus Turquoise; Dofus Pourpre; Nomade; Vigoureux majeur; Remueur; Dragodinde Emeraude et Ivoire</t>
        </is>
      </c>
    </row>
    <row r="25253">
      <c r="A25253" t="inlineStr">
        <is>
          <t>feu eau</t>
        </is>
      </c>
      <c r="B25253">
        <f>HYPERLINK("https://www.dofusbook.net/fr/equipement/3652801-feu-eau/objets", "link")</f>
        <v/>
      </c>
      <c r="C25253" t="n">
        <v>0</v>
      </c>
      <c r="D25253" t="inlineStr">
        <is>
          <t>Arc Nécrotique; Collier de la Dame du Hasard; Bracelet du Piloztère; Anneau Cryochrone; Quatre-feuilles; Sangle Aise; Maskrobe; Cape de la Dame du Hasard; Pataugastrique; Dofus Turquoise; Dofus Pourpre; Remueur; Nomade; Vigoureux majeur; Miraculé majeur; Dragodinde Emeraude et Ivoire</t>
        </is>
      </c>
    </row>
    <row r="25254">
      <c r="A25254" t="inlineStr">
        <is>
          <t>eau</t>
        </is>
      </c>
      <c r="B25254">
        <f>HYPERLINK("https://www.dofusbook.net/fr/equipement/3600141-eau/objets", "link")</f>
        <v/>
      </c>
      <c r="C25254" t="n">
        <v>5</v>
      </c>
      <c r="D25254" t="inlineStr">
        <is>
          <t>Baguette Hique; Collier de la Dame du Hasard; Bracelet des Fonds marins; Alliance Gloursonne; Cadran de Terre; Poulpagne; Capuche de l'Œil Attentif; Cape de la Dame du Hasard; Sandales de Tal Kasha; Dofus Ivoire; Dofus Nébuleux; Dofus Ocre; Dolmanax; Chanceux majeur; Miraculé majeur; Muldo Orchidée et Emeraude</t>
        </is>
      </c>
    </row>
    <row r="25255">
      <c r="A25255" t="inlineStr">
        <is>
          <t>terre pvm</t>
        </is>
      </c>
      <c r="B25255">
        <f>HYPERLINK("https://www.dofusbook.net/fr/equipement/3613628-terre-pvm-/objets", "link")</f>
        <v/>
      </c>
      <c r="C25255" t="n">
        <v>0</v>
      </c>
      <c r="D25255" t="inlineStr">
        <is>
          <t>Arc du Chalœil; Amulette du Strigide; Bague Gloursonne; Bracelet du Piloztère; Quatre-feuilles; Ceinture Gence; Masque de Koutoulou; Cape au Logis; Bottes du Strigide; Dofus Turquoise; Dofus Pourpre; Vigoureux majeur; Enragé majeur; Forcené majeur; Miraculé majeur; Dragodinde Ivoire et Pourpre</t>
        </is>
      </c>
    </row>
    <row r="25256">
      <c r="A25256" t="inlineStr">
        <is>
          <t>feu heal 1er round</t>
        </is>
      </c>
      <c r="B25256">
        <f>HYPERLINK("https://www.dofusbook.net/fr/equipement/3603358-feu-heal-1er-round/objets", "link")</f>
        <v/>
      </c>
      <c r="C25256" t="n">
        <v>1</v>
      </c>
      <c r="D25256" t="inlineStr">
        <is>
          <t>Baguette de Malléfisk; Amulette Martegel; Anneauræus; Anneauræus; Cadran d'Air; Ceinture de l'Esprit Malsain; Coiffe Séculaire; Cape Martegel; Bottes de Meno; Dofus Ocre; Dofus Ivoire; Dofus Vulbis; Érudit majeur; Carapace Neutre majeur; Miraculé majeur; Volkorne Saphir</t>
        </is>
      </c>
    </row>
    <row r="25257">
      <c r="A25257" t="inlineStr">
        <is>
          <t>12/6 feu heal</t>
        </is>
      </c>
      <c r="B25257">
        <f>HYPERLINK("https://www.dofusbook.net/fr/equipement/3593045-12-6-feu-heal/objets", "link")</f>
        <v/>
      </c>
      <c r="C25257" t="n">
        <v>0</v>
      </c>
      <c r="D25257" t="inlineStr">
        <is>
          <t>Baguette de Malléfisk; Collier de la Dame du Hasard; Chevalière du Roi Joueur; Anneauræus; Cadran de Terre; Ceinture de Gein; Casque Dragoeuf; Cape de la Dame du Hasard; Bottes de la Dame du Hasard; Dolmanax; Dofus Ocre; Dofus Vulbis; Dofus Ivoire; Dofus Abyssal; Dofus Turquoise; Volkorne Rubis et Orchidée</t>
        </is>
      </c>
    </row>
    <row r="25258">
      <c r="A25258" t="inlineStr">
        <is>
          <t>12/6 air</t>
        </is>
      </c>
      <c r="B25258">
        <f>HYPERLINK("https://www.dofusbook.net/fr/equipement/3593080-12-6-air/objets", "link")</f>
        <v/>
      </c>
      <c r="C25258" t="n">
        <v>1</v>
      </c>
      <c r="D25258" t="inlineStr">
        <is>
          <t>Pelle de la Cour Sombre; Collier du Valet Veinard; Alliance Gloursonne; Gant du Valet Veinard; Cadran d'Air; Ceintouse; Casque Dragoeuf; Cape du Valet Veinard; Palmes Trithons; Dofus Émeraude; Dofus Abyssal; Dofus Vulbis; Dofus Ivoire; Dofus Pourpre; Dofus Ocre; Volkorne Améthyste et Ebène</t>
        </is>
      </c>
    </row>
    <row r="25259">
      <c r="A25259" t="inlineStr">
        <is>
          <t>do pou res</t>
        </is>
      </c>
      <c r="B25259">
        <f>HYPERLINK("https://www.dofusbook.net/fr/equipement/3593026-do-pou-res/objets", "link")</f>
        <v/>
      </c>
      <c r="C25259" t="n">
        <v>4</v>
      </c>
      <c r="D25259" t="inlineStr">
        <is>
          <t>Lav'Hache; Torquistik; Bague Instable; Bague Trithon; Bouclier précieux; Ceinture Gence; Casque Dragoeuf; Cape au Logis; Bottistik; Dofus Ocre; Dofus Ivoire; Carapace Terre majeur; Culbuteur majeur; Enragé majeur; Bousculeur majeur; Kramkram</t>
        </is>
      </c>
    </row>
    <row r="25260">
      <c r="A25260" t="inlineStr">
        <is>
          <t>eau roxx</t>
        </is>
      </c>
      <c r="B25260">
        <f>HYPERLINK("https://www.dofusbook.net/fr/equipement/3597729-eau-roxx/objets", "link")</f>
        <v/>
      </c>
      <c r="C25260" t="n">
        <v>0</v>
      </c>
      <c r="D25260" t="inlineStr">
        <is>
          <t>Bâton K'Tueuh; Amulette du Sinistrofu; Alliance Gloursonne; Anneau Volkorne; Quatre-feuilles; Pagne du Rykaon; Coiffe de Danathor; Cape du Sinistrofu; Pataugastrique; Dofus Turquoise; Dofus Ivoire; Dofus Nébuleux; Dofus Ocre; Fonceur majeur; Chanceux majeur; Dragodinde Emeraude et Indigo</t>
        </is>
      </c>
    </row>
    <row r="25261">
      <c r="A25261" t="inlineStr">
        <is>
          <t>res roxx terre</t>
        </is>
      </c>
      <c r="B25261">
        <f>HYPERLINK("https://www.dofusbook.net/fr/equipement/3594799-res-roxx-terre/objets", "link")</f>
        <v/>
      </c>
      <c r="C25261" t="n">
        <v>5</v>
      </c>
      <c r="D25261" t="inlineStr">
        <is>
          <t>Arc du Chalœil; Amulette du Cœur Saignant; Bague Gloursonne; Anneau Chevelu; Quatre-feuilles; Ceinture Volkorne; Casque Dragoeuf; Cape au Logis; Bottes du Cœur Saignant; Dofus Ivoire; Dofus Turquoise; Dofus Ocre; Dofus Nébuleux; Miraculé majeur; Enragé majeur; Volkorne Jade et Pourpre</t>
        </is>
      </c>
    </row>
    <row r="25262">
      <c r="A25262" t="inlineStr">
        <is>
          <t>terre res</t>
        </is>
      </c>
      <c r="B25262">
        <f>HYPERLINK("https://www.dofusbook.net/fr/equipement/3594775-terre-res/objets", "link")</f>
        <v/>
      </c>
      <c r="C25262" t="n">
        <v>0</v>
      </c>
      <c r="D25262" t="inlineStr">
        <is>
          <t>Arc du Chalœil; Amulette du Strigide; Anneau Crustique; Anneau Chevelu; Quatre-feuilles; Ceinture Volkorne; Masque de Koutoulou; Voile d'encre; Bottes du Strigide; Dofus Nébuleux; Dofus Ocre; Dofus Turquoise; Dofus Ivoire; Miraculé majeur; Enragé majeur; Muldo Indigo et Pourpre</t>
        </is>
      </c>
    </row>
    <row r="25263">
      <c r="A25263" t="inlineStr">
        <is>
          <t>multi</t>
        </is>
      </c>
      <c r="B25263">
        <f>HYPERLINK("https://www.dofusbook.net/fr/equipement/3594089-multi/objets", "link")</f>
        <v/>
      </c>
      <c r="C25263" t="n">
        <v>0</v>
      </c>
      <c r="D25263" t="inlineStr">
        <is>
          <t>Hache du Chalœil; Amulette du Strigide; Alliance Gloursonne; Alliance Brûlâme; Quatre-feuilles; Ceintacé; Casque du Chalœil; Voile d'encre; Bottes du Strigide; Dofus Ivoire; Dofus Pourpre; Dolmanax; Dofus Ocre; Miraculé majeur; Vigoureux majeur; Kramkram</t>
        </is>
      </c>
    </row>
    <row r="25264">
      <c r="A25264" t="inlineStr">
        <is>
          <t>12/6 terre</t>
        </is>
      </c>
      <c r="B25264">
        <f>HYPERLINK("https://www.dofusbook.net/fr/equipement/3593078-12-6-terre-/objets", "link")</f>
        <v/>
      </c>
      <c r="C25264" t="n">
        <v>0</v>
      </c>
      <c r="D25264" t="inlineStr">
        <is>
          <t>Arc du Chalœil; Amulette du Cœur Saignant; Anneau Crustique; Bague Gloursonne; Cadran de Terre; Ceinture Volkorne; Casque Dragoeuf; Cape du Cœur Saignant; Bottes du Cœur Saignant; Dofus Ivoire; Dofus Nébuleux; Dofus Ocre; Dofus Vulbis; Dofus Abyssal; Dofus Turquoise; Volkorne Rubis et Pourpre</t>
        </is>
      </c>
    </row>
    <row r="25265">
      <c r="A25265" t="inlineStr">
        <is>
          <t>do pou pano complete</t>
        </is>
      </c>
      <c r="B25265">
        <f>HYPERLINK("https://www.dofusbook.net/fr/equipement/3593014-do-pou-pano-complete/objets", "link")</f>
        <v/>
      </c>
      <c r="C25265" t="n">
        <v>0</v>
      </c>
      <c r="D25265" t="inlineStr">
        <is>
          <t>Arc du Chalœil; Torquistik; Baguistik; Bague Instable; Bouclier précieux; Ceinture Luminescente; Casque Dragoeuf; Cape Luminescente; Bottistik; Dofus Ivoire; Dofus Abyssal; Dofus Ocre; Bousculeur majeur; Bousculeur; Pousseur majeur; Muldo Pourpre</t>
        </is>
      </c>
    </row>
    <row r="25266">
      <c r="A25266" t="inlineStr">
        <is>
          <t>air do pou</t>
        </is>
      </c>
      <c r="B25266">
        <f>HYPERLINK("https://www.dofusbook.net/fr/equipement/3592997-air-do-pou/objets", "link")</f>
        <v/>
      </c>
      <c r="C25266" t="n">
        <v>0</v>
      </c>
      <c r="D25266" t="inlineStr">
        <is>
          <t>Héqache; Amulette du Cœur Vaillant; Bague Instable; Bague Trithon; Bouclier précieux; Menoture; Casque Dragoeuf; Cape des Malveilleurs; Bottes des Malveilleurs; Dofus Vulbis; Dofus Ivoire; Dofus Ocre; Culbuteur majeur; Cascadeur majeur; Bousculeur majeur; Kramkram</t>
        </is>
      </c>
    </row>
    <row r="25267">
      <c r="A25267" t="inlineStr">
        <is>
          <t>terre do pou res</t>
        </is>
      </c>
      <c r="B25267">
        <f>HYPERLINK("https://www.dofusbook.net/fr/equipement/3592978-terre-do-pou-res-/objets", "link")</f>
        <v/>
      </c>
      <c r="C25267" t="n">
        <v>0</v>
      </c>
      <c r="D25267" t="inlineStr">
        <is>
          <t>Lav'Hache; Amulette Luminescente; Baguistik; Bague Instable; Bouclier précieux; Ceinture Gence; Casque Dragoeuf; Cape du Cœur Vaillant; Bottistik; Dofus Ocre; Dofus Abyssal; Dofus Ivoire; Enragé majeur; Bousculeur majeur; Culbuteur majeur; Muldo Orchidée et Pourpre</t>
        </is>
      </c>
    </row>
    <row r="25268">
      <c r="A25268" t="inlineStr">
        <is>
          <t>terre do pou</t>
        </is>
      </c>
      <c r="B25268">
        <f>HYPERLINK("https://www.dofusbook.net/fr/equipement/3592711-terre-do-pou-/objets", "link")</f>
        <v/>
      </c>
      <c r="C25268" t="n">
        <v>0</v>
      </c>
      <c r="D25268" t="inlineStr">
        <is>
          <t>Lav'Hache; Amulette Luminescente; Bague Trithon; Bague Instable; Bouclier précieux; Ceinture Gence; Casque Dragoeuf; Cape Luminescente; Bottistik; Dofus Ocre; Dofus Abyssal; Dofus Ivoire; Bousculeur majeur; Culbuteur majeur; Enragé majeur; Muldo Orchidée</t>
        </is>
      </c>
    </row>
    <row r="25269">
      <c r="A25269" t="inlineStr">
        <is>
          <t>res</t>
        </is>
      </c>
      <c r="B25269">
        <f>HYPERLINK("https://www.dofusbook.net/fr/equipement/3588975-res/objets", "link")</f>
        <v/>
      </c>
      <c r="C25269" t="n">
        <v>0</v>
      </c>
      <c r="D25269" t="inlineStr">
        <is>
          <t>Dagoulinantes; Amulette du Sinistrofu; Anneau Volkorne; Bracelet des Fonds marins; Bouclier du Captain Amakna; Pagne du Rykaon; Capuche de l'Œil Attentif; Cape Solution; Bottes du Sinistrofu; Dofus Turquoise; Dofus Vulbis; Dofus Ocre; Dofus Pourpre; Taquin majeur; Chanceux majeur; Dragodinde Emeraude et Indigo</t>
        </is>
      </c>
    </row>
    <row r="25270">
      <c r="A25270" t="inlineStr">
        <is>
          <t>terre tank</t>
        </is>
      </c>
      <c r="B25270">
        <f>HYPERLINK("https://www.dofusbook.net/fr/equipement/3587194-terre-tank-/objets", "link")</f>
        <v/>
      </c>
      <c r="C25270" t="n">
        <v>2</v>
      </c>
      <c r="D25270" t="inlineStr">
        <is>
          <t>Arc du Chalœil; Amulette du Strigide; Bague Gloursonne; Baguistik; Quatre-feuilles; Ceinture Volkorne; Casque Dragoeuf; Voile d'encre; Sabots Minables; Dofus Ivoire; Dofus Ocre; Dofus Nébuleux; Dofus Turquoise; Miraculé majeur; Enragé majeur; Muldo Orchidée et Pourpre</t>
        </is>
      </c>
    </row>
    <row r="25271">
      <c r="A25271" t="inlineStr">
        <is>
          <t>air ret pa</t>
        </is>
      </c>
      <c r="B25271">
        <f>HYPERLINK("https://www.dofusbook.net/fr/equipement/3539306-air-ret-pa/objets", "link")</f>
        <v/>
      </c>
      <c r="C25271" t="n">
        <v>0</v>
      </c>
      <c r="D25271" t="inlineStr">
        <is>
          <t>Manthache; Amulette du Cœur Vaillant; Alliance Brûlâme; Alliance Gloursonne; Sept ans de malheur; Menoture; Casque Volkorne; Chevelure de Tal Kasha; Sandales de Tal Kasha; Dofus Abyssal; Dofus Ivoire; Dofus Ocre; Étourdisseur majeur; Miraculé majeur; Cascadeur majeur; Muldo Ebène et Orchidée</t>
        </is>
      </c>
    </row>
    <row r="25272">
      <c r="A25272" t="inlineStr">
        <is>
          <t>feu tank</t>
        </is>
      </c>
      <c r="B25272">
        <f>HYPERLINK("https://www.dofusbook.net/fr/equipement/3587117-feu-tank-/objets", "link")</f>
        <v/>
      </c>
      <c r="C25272" t="n">
        <v>0</v>
      </c>
      <c r="D25272" t="inlineStr">
        <is>
          <t>Arc corrompu; Torquistik; Anneauræus; Anneau Tique; Sept ans de malheur; Ceinture de Vortex; Casque Dragoeuf; Voile d'encre; Pataugastrique; Muldo Pourpre</t>
        </is>
      </c>
    </row>
    <row r="25273">
      <c r="A25273" t="inlineStr">
        <is>
          <t>feu ret</t>
        </is>
      </c>
      <c r="B25273">
        <f>HYPERLINK("https://www.dofusbook.net/fr/equipement/3537686-feu-ret/objets", "link")</f>
        <v/>
      </c>
      <c r="C25273" t="n">
        <v>0</v>
      </c>
      <c r="D25273" t="inlineStr">
        <is>
          <t>Arc corrompu; Amulette d'Otomaï; Anneau Tique; Anneauræus; Sept ans de malheur; Ceinture de Vortex; Heaume Oplate; Cape Ardente; Chaussures Ardentes; Dofus Ivoire; Dofus Ocre; Dofus Abyssal; Étourdisseur majeur; Miraculé majeur; Érudit majeur; Muldo Orchidée</t>
        </is>
      </c>
    </row>
    <row r="25274">
      <c r="A25274" t="inlineStr">
        <is>
          <t>air ret pm</t>
        </is>
      </c>
      <c r="B25274">
        <f>HYPERLINK("https://www.dofusbook.net/fr/equipement/3585386-air-ret-pm/objets", "link")</f>
        <v/>
      </c>
      <c r="C25274" t="n">
        <v>0</v>
      </c>
      <c r="D25274" t="inlineStr">
        <is>
          <t>Hachoirs de Viandargh; Amibou; Alliance Gloursonne; Gant du Valet Veinard; Bouclier cubiste; Sangle Oriole; Chapibou; Cape de l'Œil Putride; Pantoufles Émar; Dofus Ivoire; Dofus Ocre; Cascadeur majeur; Temporiseur majeur; Miraculé majeur; Muldo Ebène</t>
        </is>
      </c>
    </row>
    <row r="25275">
      <c r="A25275" t="inlineStr">
        <is>
          <t>esquive</t>
        </is>
      </c>
      <c r="B25275">
        <f>HYPERLINK("https://www.dofusbook.net/fr/equipement/3583828-esquive/objets", "link")</f>
        <v/>
      </c>
      <c r="C25275" t="n">
        <v>0</v>
      </c>
      <c r="D25275" t="inlineStr">
        <is>
          <t>L'Épée Nice; Collier du Valet Veinard; Anneau des égarés; Gant du Valet Veinard; Cadran d'Air; Sangle Oriole; Chapeau de Tournoyé; Cape de Crânonier; Bottes des égarés; Dofus Cawotte; Dofus Ocre; Dofus Émeraude; Dofus Ivoire; Survivant majeur; Equilibriste majeur; Muldo Turquoise et Ebène</t>
        </is>
      </c>
    </row>
    <row r="25276">
      <c r="A25276" t="inlineStr">
        <is>
          <t>feu ret pm</t>
        </is>
      </c>
      <c r="B25276">
        <f>HYPERLINK("https://www.dofusbook.net/fr/equipement/3583632-feu-ret-pm/objets", "link")</f>
        <v/>
      </c>
      <c r="C25276" t="n">
        <v>0</v>
      </c>
      <c r="D25276" t="inlineStr">
        <is>
          <t>Arc Hétype; Amulette Volcanique; Anneau Tique; Anneau de Nidas; Bouclier cubiste; String Tue-Mouche; Couronne de Nidas; Cape de l'Œil Putride; Pantoufles Émar; Dofus Ocre; Dofus Ivoire; Guérisseur majeur; Érudit majeur; Miraculé majeur; Temporiseur majeur; Muldo Indigo et Orchidée</t>
        </is>
      </c>
    </row>
    <row r="25277">
      <c r="A25277" t="inlineStr">
        <is>
          <t>ini feu</t>
        </is>
      </c>
      <c r="B25277">
        <f>HYPERLINK("https://www.dofusbook.net/fr/equipement/3583634-ini-feu-/objets", "link")</f>
        <v/>
      </c>
      <c r="C25277" t="n">
        <v>0</v>
      </c>
      <c r="D25277" t="inlineStr">
        <is>
          <t>Baguette de Malléfisk; Amulette Martegel; Anneau Bliteré; Baguistik; Carapar; Ceinture de Vortex; Heaume Oplate; Cape Martegel; Chaussures Ardentes; Dofus Ivoire; Dofus Ocre; Guérisseur majeur; Fonceur majeur; Érudit majeur; Miraculé majeur; Muldo Orchidée</t>
        </is>
      </c>
    </row>
    <row r="25278">
      <c r="A25278" t="inlineStr">
        <is>
          <t>ini air</t>
        </is>
      </c>
      <c r="B25278">
        <f>HYPERLINK("https://www.dofusbook.net/fr/equipement/3583637-ini-air/objets", "link")</f>
        <v/>
      </c>
      <c r="C25278" t="n">
        <v>1</v>
      </c>
      <c r="D25278" t="inlineStr">
        <is>
          <t>Epée Loponèze; Amulette Martegel; Alliance Brûlâme; Alliance Gloursonne; Bouclier du Stalak; Menoture; Masque du Granduk; Cape Martegel; Baleinabottes; Dofus Ivoire; Dolmanax; Carapace Feu majeur; Fonceur majeur; Miraculé majeur; Cascadeur majeur; Muldo Orchidée</t>
        </is>
      </c>
    </row>
    <row r="25279">
      <c r="A25279" t="inlineStr">
        <is>
          <t>12/6</t>
        </is>
      </c>
      <c r="B25279">
        <f>HYPERLINK("https://www.dofusbook.net/fr/equipement/3583631-12-6/objets", "link")</f>
        <v/>
      </c>
      <c r="C25279" t="n">
        <v>1</v>
      </c>
      <c r="D25279" t="inlineStr">
        <is>
          <t>Héqache; Collier du Valet Veinard; Anneau des égarés; Gant du Valet Veinard; Cadran d'Air; Sangle Oriole; Casque des égarés; Cape du Valet Veinard; Bottes des égarés; Dofus des Glaces; Dofus Pourpre; Dofus Ivoire; Dofus Nébuleux; Dofus Vulbis; Dofus Ocre; Muldo Ebène et Pourpre</t>
        </is>
      </c>
    </row>
    <row r="25280">
      <c r="A25280" t="inlineStr">
        <is>
          <t>terre air do pou</t>
        </is>
      </c>
      <c r="B25280">
        <f>HYPERLINK("https://www.dofusbook.net/fr/equipement/3576261-terre-air-do-pou-/objets", "link")</f>
        <v/>
      </c>
      <c r="C25280" t="n">
        <v>2</v>
      </c>
      <c r="D25280" t="inlineStr">
        <is>
          <t>Héqache; Amibou; Bague Instable; Bague Trithon; Bouclier précieux; Ceinture Gence; Casque Dragoeuf; Cape du Cœur Vaillant; Bottes du Cœur Vaillant; Dofus Ocre; Dofus Ivoire; Dofus Pourpre; Carapace Air majeur; Bousculeur majeur; Culbuteur majeur; Muldo Pourpre</t>
        </is>
      </c>
    </row>
    <row r="25281">
      <c r="A25281" t="inlineStr">
        <is>
          <t>feu res</t>
        </is>
      </c>
      <c r="B25281">
        <f>HYPERLINK("https://www.dofusbook.net/fr/equipement/3557806-feu-res/objets", "link")</f>
        <v/>
      </c>
      <c r="C25281" t="n">
        <v>1</v>
      </c>
      <c r="D25281" t="inlineStr">
        <is>
          <t>Baguette de Malléfisk; Torquistik; Anneauræus; Baguistik; Carapar; Ceinture de Gein; Casque Dragoeuf; Voile d'encre; Chaussures Ardentes; Dofus Ocre; Dofus Ivoire; Guérisseur majeur; Érudit majeur; Miraculé majeur; Remueur; Muldo Pourpre</t>
        </is>
      </c>
    </row>
    <row r="25282">
      <c r="A25282" t="inlineStr">
        <is>
          <t>feu eau no cc</t>
        </is>
      </c>
      <c r="B25282">
        <f>HYPERLINK("https://www.dofusbook.net/fr/equipement/3569721-feu-eau-no-cc/objets", "link")</f>
        <v/>
      </c>
      <c r="C25282" t="n">
        <v>0</v>
      </c>
      <c r="D25282" t="inlineStr">
        <is>
          <t>Pyraguette; Talisman Igans; Anneau Volkorne; Lavanneau; Bouclier du Stalak; Ceinture de l'Esprit Salvateur; Heaume Oplate; Voilamibe; Bottes Owesli; Dofus Ocre; Dofus des Glaces; Dofus Pourpre; Dofus Ivoire; Carapace Feu majeur; Vigoureux majeur; Kramkram</t>
        </is>
      </c>
    </row>
    <row r="25283">
      <c r="A25283" t="inlineStr">
        <is>
          <t>do pou terre</t>
        </is>
      </c>
      <c r="B25283">
        <f>HYPERLINK("https://www.dofusbook.net/fr/equipement/3563939-do-pou-terre/objets", "link")</f>
        <v/>
      </c>
      <c r="C25283" t="n">
        <v>3</v>
      </c>
      <c r="D25283" t="inlineStr">
        <is>
          <t>Lav'Hache; Torquistik; Bague Instable; Bague Trithon; Bouclier précieux; Ceinture Gence; Casque Dragoeuf; Cape du Cœur Vaillant; Bottistik; Dofus Ocre; Dofus Ivoire; Culbuteur majeur; Enragé majeur; Bousculeur majeur; Muldo Pourpre</t>
        </is>
      </c>
    </row>
    <row r="25284">
      <c r="A25284" t="inlineStr">
        <is>
          <t>feu roxx</t>
        </is>
      </c>
      <c r="B25284">
        <f>HYPERLINK("https://www.dofusbook.net/fr/equipement/3558142-feu-roxx/objets", "link")</f>
        <v/>
      </c>
      <c r="C25284" t="n">
        <v>1</v>
      </c>
      <c r="D25284" t="inlineStr">
        <is>
          <t>Arc corrompu; Amulette Volkorne; Anneau Tique; Anneauræus; Quatre-feuilles; Ceinture Séculaire; Coiffe Séculaire; Cape de la Dame du Hasard; Bottes Honyme; Dofus Turquoise; Dofus Ivoire; Dofus Ocre; Dofus Pourpre; Carapace Terre majeur; Érudit majeur; Muldo Orchidée</t>
        </is>
      </c>
    </row>
    <row r="25285">
      <c r="A25285" t="inlineStr">
        <is>
          <t>feu gros soutient</t>
        </is>
      </c>
      <c r="B25285">
        <f>HYPERLINK("https://www.dofusbook.net/fr/equipement/3558122-feu-gros-soutient/objets", "link")</f>
        <v/>
      </c>
      <c r="C25285" t="n">
        <v>0</v>
      </c>
      <c r="D25285" t="inlineStr">
        <is>
          <t>Baguette de Malléfisk; Torquistik; Anneau de Nidas; Baguistik; Carapar; Ceinture de Vortex; Couronne de Nidas; Cape Martegel; Tongues de Nidas; Dofus Émeraude; Dofus Ocre; Dofus Abyssal; Dofus Ivoire; Soigneur majeur; Savant majeur; Muldo Ebène et Orchidée</t>
        </is>
      </c>
    </row>
    <row r="25286">
      <c r="A25286" t="inlineStr">
        <is>
          <t>terre air</t>
        </is>
      </c>
      <c r="B25286">
        <f>HYPERLINK("https://www.dofusbook.net/fr/equipement/3557781-terre-air/objets", "link")</f>
        <v/>
      </c>
      <c r="C25286" t="n">
        <v>1</v>
      </c>
      <c r="D25286" t="inlineStr">
        <is>
          <t>Héqache; Amulette du Cœur Vaillant; Bague Gloursonne; Alliance Gloursonne; Quatre-feuilles; Ceinture Volkorne; Casque Volkorne; Cape du Cœur Vaillant; Bottes du Cœur Vaillant; Dofus Turquoise; Dofus Ivoire; Dofus Vulbis; Dofus des Glaces; Dofus Pourpre; Dofus Ocre; Kramkram</t>
        </is>
      </c>
    </row>
    <row r="25287">
      <c r="A25287" t="inlineStr">
        <is>
          <t>feu fuite</t>
        </is>
      </c>
      <c r="B25287">
        <f>HYPERLINK("https://www.dofusbook.net/fr/equipement/3557712-feu-fuite-/objets", "link")</f>
        <v/>
      </c>
      <c r="C25287" t="n">
        <v>2</v>
      </c>
      <c r="D25287" t="inlineStr">
        <is>
          <t>Baguette de Malléfisk; Pendentif mignon de Koutoulou; Anneauræus; Baguistik; Carapar; Ceinture de Vortex; Casque Cyclopéen; Cape Martegel; Pataugastrique; Dofus Ocre; Dofus Ivoire; Érudit majeur; Carapace Terre majeur; Miraculé majeur; Guérisseur majeur; Muldo Orchidée</t>
        </is>
      </c>
    </row>
    <row r="25288">
      <c r="A25288" t="inlineStr">
        <is>
          <t>feu random pvp</t>
        </is>
      </c>
      <c r="B25288">
        <f>HYPERLINK("https://www.dofusbook.net/fr/equipement/3552513-feu-random-pvp-/objets", "link")</f>
        <v/>
      </c>
      <c r="C25288" t="n">
        <v>0</v>
      </c>
      <c r="D25288" t="inlineStr">
        <is>
          <t>Baguette de Malléfisk; Pendentif affamé; Anneauræus; Bague Gloursonne; Carapar; Ceinture Séculaire; Coiffe Séculaire; Cape de la Dame du Hasard; Pataugastrique; Miraculé majeur; Carapace Feu majeur; Remueur; Guérisseur majeur; Nomade; Érudit majeur; Muldo Orchidée</t>
        </is>
      </c>
    </row>
    <row r="25289">
      <c r="A25289" t="inlineStr">
        <is>
          <t>air res</t>
        </is>
      </c>
      <c r="B25289">
        <f>HYPERLINK("https://www.dofusbook.net/fr/equipement/3534270-air-res/objets", "link")</f>
        <v/>
      </c>
      <c r="C25289" t="n">
        <v>2</v>
      </c>
      <c r="D25289" t="inlineStr">
        <is>
          <t>Pelle de la Cour Sombre; Collier du Valet Veinard; Alliance Gloursonne; Gant du Valet Veinard; Cadran d'Air; Ceintouse; Casque Dragoeuf; Cape Matelassée; Palmes Trithons; Dofus Ocre; Dofus Ivoire; Cavaleur majeur; Miraculé majeur; Fonceur majeur; Cascadeur majeur; Muldo Ebène</t>
        </is>
      </c>
    </row>
    <row r="25290">
      <c r="A25290" t="inlineStr">
        <is>
          <t>air ret pm</t>
        </is>
      </c>
      <c r="B25290">
        <f>HYPERLINK("https://www.dofusbook.net/fr/equipement/3539299-air-ret-pm/objets", "link")</f>
        <v/>
      </c>
      <c r="C25290" t="n">
        <v>1</v>
      </c>
      <c r="D25290" t="inlineStr">
        <is>
          <t>Hachoirs de Viandargh; Amibou; Alliance Brûlâme; Alliance Gloursonne; Bouclier cubiste; Sangle Oriole; Chapibou; Cape de l'Œil Putride; Pantoufles Émar; Dofus Pourpre; Dofus Ocre; Dofus Ivoire; Cascadeur majeur; Temporiseur majeur; Carapace Terre majeur; Muldo Ebène</t>
        </is>
      </c>
    </row>
    <row r="25291">
      <c r="A25291" t="inlineStr">
        <is>
          <t>a voir</t>
        </is>
      </c>
      <c r="B25291">
        <f>HYPERLINK("https://www.dofusbook.net/fr/equipement/3539293-a-voir/objets", "link")</f>
        <v/>
      </c>
      <c r="C25291" t="n">
        <v>0</v>
      </c>
      <c r="D25291" t="inlineStr">
        <is>
          <t>Arc Nécrotique; Amulette du Strigide; Alliance Gloursonne; Bracelet du Piloztère; Quatre-feuilles; Ceinture du Strigide; Casquette de Meno; Cape de la Dame du Hasard; Pataugastrique; Dofus des Glaces; Dofus Ivoire; Dolmanax; Dofus Nébuleux; Dofus Turquoise; Dofus Ocre; Muldo Orchidée</t>
        </is>
      </c>
    </row>
    <row r="25292">
      <c r="A25292" t="inlineStr">
        <is>
          <t>multi crit</t>
        </is>
      </c>
      <c r="B25292">
        <f>HYPERLINK("https://www.dofusbook.net/fr/equipement/3537887-multi-crit-/objets", "link")</f>
        <v/>
      </c>
      <c r="C25292" t="n">
        <v>0</v>
      </c>
      <c r="D25292" t="inlineStr">
        <is>
          <t>Sabres d'Atcham; Amulette du Strigide; Bague Trithon; Anneau de Padgref; Bouclier du Captain Amakna; Ceinture du Strigide; Coiffe de Padgref; Cape d'Atcham; Getas de Padgref; Dofus Turquoise; Dofus des Glaces; Dofus Ocre; Dofus Ivoire; Dofus Pourpre; Dofus Nébuleux; Muldo Prune et Emeraude</t>
        </is>
      </c>
    </row>
    <row r="25293">
      <c r="A25293" t="inlineStr">
        <is>
          <t>do crit</t>
        </is>
      </c>
      <c r="B25293">
        <f>HYPERLINK("https://www.dofusbook.net/fr/equipement/3512721-do-crit/objets", "link")</f>
        <v/>
      </c>
      <c r="C25293" t="n">
        <v>1</v>
      </c>
      <c r="D25293" t="inlineStr">
        <is>
          <t>Héqache; Amulette du Strigide; Anneau de Padgref; Alliance Gloursonne; Quatre-feuilles; Ceinture du Strigide; Coiffe de Padgref; Chevelure de Tal Kasha; Getas de Padgref; Dofus des Glaces; Dofus Ivoire; Dofus Pourpre; Dofus Nébuleux; Dofus Turquoise; Dofus Ocre; Muldo Prune et Emeraude</t>
        </is>
      </c>
    </row>
    <row r="25294">
      <c r="A25294" t="inlineStr">
        <is>
          <t>full terre</t>
        </is>
      </c>
      <c r="B25294">
        <f>HYPERLINK("https://www.dofusbook.net/fr/equipement/3537777-full-terre/objets", "link")</f>
        <v/>
      </c>
      <c r="C25294" t="n">
        <v>4</v>
      </c>
      <c r="D25294" t="inlineStr">
        <is>
          <t>Dagues d'Ilyzaelle; Amulette du Cœur Saignant; Anneau Crustique; Anneau Crustique; Bouclier du Captain Amakna; Ceinture Gence; Masque de Koutoulou; Cape au Logis; Bottes du Cœur Saignant; Dofus des Glaces; Dofus Pourpre; Dofus Nébuleux; Dofus Turquoise; Enragé majeur; Forcené majeur; Dragodinde Emeraude et Pourpre</t>
        </is>
      </c>
    </row>
    <row r="25295">
      <c r="A25295" t="inlineStr">
        <is>
          <t>Pvp terre</t>
        </is>
      </c>
      <c r="B25295">
        <f>HYPERLINK("https://www.dofusbook.net/fr/equipement/1969541-pvp-terre/objets", "link")</f>
        <v/>
      </c>
      <c r="C25295" t="n">
        <v>1</v>
      </c>
      <c r="D25295" t="inlineStr">
        <is>
          <t>Arc du Chalœil; Amulette du Cœur Saignant; Anneau Crustique; Anneau Crustique; Quatre-feuilles; Masque de Koutoulou; Cape au Logis; Bottes du Cœur Saignant; Dofus Nébuleux; Dofus Turquoise; Dofus Ivoire; Dofus Ocre; Enragé majeur; Forcené majeur; Dragodinde Emeraude et Pourpre</t>
        </is>
      </c>
    </row>
    <row r="25296">
      <c r="A25296" t="inlineStr">
        <is>
          <t>roxx eau</t>
        </is>
      </c>
      <c r="B25296">
        <f>HYPERLINK("https://www.dofusbook.net/fr/equipement/3537744-roxx-eau/objets", "link")</f>
        <v/>
      </c>
      <c r="C25296" t="n">
        <v>0</v>
      </c>
      <c r="D25296" t="inlineStr">
        <is>
          <t>Pelle Fik; Amulette de Shokkoth; Anneau Volkorne; Alliance Gloursonne; Quatre-feuilles; Poulpagne; Capuche de l'Œil Attentif; Cape de l'Œil Attentif; Sandales de Tal Kasha; Dofus Ivoire; Dofus Turquoise; Dofus Abyssal; Dofus Ocre; Carapace Eau majeur; Chanceux majeur; Muldo Ebène et Indigo</t>
        </is>
      </c>
    </row>
    <row r="25297">
      <c r="A25297" t="inlineStr">
        <is>
          <t>roxx</t>
        </is>
      </c>
      <c r="B25297">
        <f>HYPERLINK("https://www.dofusbook.net/fr/equipement/3537725-roxx/objets", "link")</f>
        <v/>
      </c>
      <c r="C25297" t="n">
        <v>0</v>
      </c>
      <c r="D25297" t="inlineStr">
        <is>
          <t>Bâtonnet Ronien; Amulette du Strigide; Alliance Gloursonne; Bague Trithon; Quatre-feuilles; Ceinture du Strigide; Némès de Tal Kasha; Chevelure de Tal Kasha; Sandales de Tal Kasha; Dofus Ocre; Dofus Ivoire; Dofus Pourpre; Dofus des Glaces; Dofus Turquoise; Dofus Abyssal; Muldo Ebène et Indigo</t>
        </is>
      </c>
    </row>
    <row r="25298">
      <c r="A25298" t="inlineStr">
        <is>
          <t>eau ret</t>
        </is>
      </c>
      <c r="B25298">
        <f>HYPERLINK("https://www.dofusbook.net/fr/equipement/3537651-eau-ret/objets", "link")</f>
        <v/>
      </c>
      <c r="C25298" t="n">
        <v>0</v>
      </c>
      <c r="D25298" t="inlineStr">
        <is>
          <t>Sceptre du Roi Joueur; Amulette de l'Œil Attentif; Bracelet des Fonds marins; Alliance Gloursonne; Sept ans de malheur; Culotte de Bethel; Némès de Tal Kasha; Chevelure de Tal Kasha; Pataugastrique; Dofus Vulbis; Dofus Ocre; Carapace Air majeur; Étourdisseur majeur; Chanceux majeur; Kramkram</t>
        </is>
      </c>
    </row>
    <row r="25299">
      <c r="A25299" t="inlineStr">
        <is>
          <t>multi</t>
        </is>
      </c>
      <c r="B25299">
        <f>HYPERLINK("https://www.dofusbook.net/fr/equipement/3536537-multi/objets", "link")</f>
        <v/>
      </c>
      <c r="C25299" t="n">
        <v>2</v>
      </c>
      <c r="D25299" t="inlineStr">
        <is>
          <t>Hache du Chalœil; Amulette du Strigide; Bague Gloursonne; Alliance Gloursonne; Quatre-feuilles; Ceinture du Strigide; Casque du Chalœil; Voile d'encre; Bottes du Strigide; Dofus Pourpre; Dofus Nébuleux; Dofus Turquoise; Dofus Ivoire; Dofus Abyssal; Dofus Ocre; Muldo Indigo et Pourpre</t>
        </is>
      </c>
    </row>
    <row r="25300">
      <c r="A25300" t="inlineStr">
        <is>
          <t>do pou pvp</t>
        </is>
      </c>
      <c r="B25300">
        <f>HYPERLINK("https://www.dofusbook.net/fr/equipement/3536010-do-pou-pvp/objets", "link")</f>
        <v/>
      </c>
      <c r="C25300" t="n">
        <v>0</v>
      </c>
      <c r="D25300" t="inlineStr">
        <is>
          <t>Arc du Chalœil; Torquistik; Baguistik; Bague Trithon; Bouclier Taverne; Ceinture Gence; Masque de Koutoulou; Cape du Cœur Vaillant; Bottes du Cœur Saignant; Miraculé majeur; Culbuteur majeur; Bousculeur majeur; Enragé majeur; Muldo Pourpre</t>
        </is>
      </c>
    </row>
    <row r="25301">
      <c r="A25301" t="inlineStr">
        <is>
          <t>feu pvp</t>
        </is>
      </c>
      <c r="B25301">
        <f>HYPERLINK("https://www.dofusbook.net/fr/equipement/3535992-feu-pvp-/objets", "link")</f>
        <v/>
      </c>
      <c r="C25301" t="n">
        <v>0</v>
      </c>
      <c r="D25301" t="inlineStr">
        <is>
          <t>Baguette de Malléfisk; Torquistik; Anneau Tique; Baguistik; Carapar; Ceinture de Vortex; Heaume Oplate; Cape Hiculteur; Sabots Volcaniques; Dofus Ocre; Carapace Terre majeur; Guérisseur majeur; Érudit majeur; Miraculé majeur; Muldo Pourpre</t>
        </is>
      </c>
    </row>
    <row r="25302">
      <c r="A25302" t="inlineStr">
        <is>
          <t>eau pvp</t>
        </is>
      </c>
      <c r="B25302">
        <f>HYPERLINK("https://www.dofusbook.net/fr/equipement/3508353-eau-pvp/objets", "link")</f>
        <v/>
      </c>
      <c r="C25302" t="n">
        <v>2</v>
      </c>
      <c r="D25302" t="inlineStr">
        <is>
          <t>Sceptre du Roi Joueur; Amulette de l'Œil Attentif; Alliance Gloursonne; Bracelet des Fonds marins; Cadran d'Air; Poulpagne; Némès de Tal Kasha; Cape de l'Œil Attentif; Pantoufles du Piloztère; Dofus Turquoise; Dofus Nébuleux; Dofus Ocre; Miraculé majeur; Carapace Air majeur; Chanceux majeur; Muldo Ebène et Pourpre</t>
        </is>
      </c>
    </row>
    <row r="25303">
      <c r="A25303" t="inlineStr">
        <is>
          <t>feu heal pvp</t>
        </is>
      </c>
      <c r="B25303">
        <f>HYPERLINK("https://www.dofusbook.net/fr/equipement/1323995-feu-heal-pvp/objets", "link")</f>
        <v/>
      </c>
      <c r="C25303" t="n">
        <v>2</v>
      </c>
      <c r="D25303" t="inlineStr">
        <is>
          <t>Baguette de Malléfisk; Pendentif mignon de Koutoulou; Baguistik; Anneauræus; Carapar; Ceinture Séculaire; Coiffe Séculaire; Cape de Diondin; Chaussures Ardentes; Dofus Abyssal; Dofus Ocre; Érudit majeur; Guérisseur majeur; Carapace Feu majeur; Miraculé majeur; Muldo Orchidée</t>
        </is>
      </c>
    </row>
    <row r="25304">
      <c r="A25304" t="inlineStr">
        <is>
          <t>terre res</t>
        </is>
      </c>
      <c r="B25304">
        <f>HYPERLINK("https://www.dofusbook.net/fr/equipement/3507676-terre-res/objets", "link")</f>
        <v/>
      </c>
      <c r="C25304" t="n">
        <v>2</v>
      </c>
      <c r="D25304" t="inlineStr">
        <is>
          <t>Arc du Chalœil; Amulette du Strigide; Anneau Crustique; Anneau Crustique; Quatre-feuilles; Ceinture de la Reine des Voleurs; Masque de Koutoulou; Cape au Logis; Bottes du Cœur Saignant; Dofus Ivoire; Dofus Turquoise; Dofus Ocre; Dofus Nébuleux; Enragé majeur; Carapace Terre majeur; Kramkram</t>
        </is>
      </c>
    </row>
    <row r="25305">
      <c r="A25305" t="inlineStr">
        <is>
          <t>Pvp feu</t>
        </is>
      </c>
      <c r="B25305">
        <f>HYPERLINK("https://www.dofusbook.net/fr/equipement/2538564-pvp-feu/objets", "link")</f>
        <v/>
      </c>
      <c r="C25305" t="n">
        <v>0</v>
      </c>
      <c r="D25305" t="inlineStr">
        <is>
          <t>Baguette de Malléfisk; Amulette Séculaire; Anneau Tique; Anneau de Nidas; Carapar; Ceinture Séculaire; Heaume Oplate; Cape de la Dame du Hasard; Chaussures Ardentes; Dofus Ivoire; Dofus Ocre; Guérisseur majeur; Érudit majeur; Miraculé majeur; Carapace Feu majeur; Muldo Orchidée et Pourpre</t>
        </is>
      </c>
    </row>
    <row r="25306">
      <c r="A25306" t="inlineStr">
        <is>
          <t>pvp eau</t>
        </is>
      </c>
      <c r="B25306">
        <f>HYPERLINK("https://www.dofusbook.net/fr/equipement/3507630-pvp-eau/objets", "link")</f>
        <v/>
      </c>
      <c r="C25306" t="n">
        <v>0</v>
      </c>
      <c r="D25306" t="inlineStr">
        <is>
          <t>Rapière aux Glyphes; Amulette Cryochrone; Bracelet des Fonds marins; Alliance Gloursonne; Quatre-feuilles; Poulpagne; Capuche de l'Œil Attentif; Cape de l'Œil Attentif; Pantoufles du Piloztère; Fonceur majeur; Chanceux majeur; Remueur; Cavaleur majeur; Miraculé majeur; Muldo Indigo</t>
        </is>
      </c>
    </row>
    <row r="25307">
      <c r="A25307" t="inlineStr">
        <is>
          <t>air pvp</t>
        </is>
      </c>
      <c r="B25307">
        <f>HYPERLINK("https://www.dofusbook.net/fr/equipement/3491724-air-pvp/objets", "link")</f>
        <v/>
      </c>
      <c r="C25307" t="n">
        <v>2</v>
      </c>
      <c r="D25307" t="inlineStr">
        <is>
          <t>Manthache; Collier du Valet Veinard; Gant du Valet Veinard; Alliance Gloursonne; Cadran d'Air; Menoture; Dorabysses; Cape de Crânonier; Palmes Trithons; Dofus Ivoire; Carapace Feu majeur; Carapace Air majeur; Miraculé majeur; Remueur; Cascadeur majeur; Muldo Ebène</t>
        </is>
      </c>
    </row>
    <row r="25308">
      <c r="A25308" t="inlineStr">
        <is>
          <t>Pandawa M 200</t>
        </is>
      </c>
      <c r="B25308">
        <f>HYPERLINK("https://www.dofusbook.net/fr/equipement/3449820-pandawa-m-200/objets", "link")</f>
        <v/>
      </c>
      <c r="C25308" t="n">
        <v>0</v>
      </c>
      <c r="D25308" t="inlineStr"/>
    </row>
    <row r="25309">
      <c r="A25309" t="inlineStr">
        <is>
          <t>pvm pas cher</t>
        </is>
      </c>
      <c r="B25309">
        <f>HYPERLINK("https://www.dofusbook.net/fr/equipement/3416927-pvm-pas-cher/objets", "link")</f>
        <v/>
      </c>
      <c r="C25309" t="n">
        <v>0</v>
      </c>
      <c r="D25309" t="inlineStr">
        <is>
          <t>Dagues Lassay; Amulette du Granduk; Anneau d'Allister; Alliance Gloursonne; Ceinture du Nocturlabe; Couronne d'Allister; Cape de Klime; Baleinabottes; Remueur; Equilibriste majeur; Nomade; Cascadeur majeur; Dévastateur Air majeur; Acrobate majeur; Siroko</t>
        </is>
      </c>
    </row>
    <row r="25310">
      <c r="A25310" t="inlineStr">
        <is>
          <t>eau pvm 2</t>
        </is>
      </c>
      <c r="B25310">
        <f>HYPERLINK("https://www.dofusbook.net/fr/equipement/2800191-eau-pvm-2/objets", "link")</f>
        <v/>
      </c>
      <c r="C25310" t="n">
        <v>0</v>
      </c>
      <c r="D25310" t="inlineStr">
        <is>
          <t>Pelle Fik; Pendentif Oton; Bracelet du Piloztère; Alliance Gloursonne; Ceintacé; Coiffe d'Hel Munster; Cape Matelassée; Bottes de la Reine des Voleurs; Nomade; Sanguinaire majeur; Cascadeur majeur; Vigoureux majeur; Remueur; Chanceux majeur; Muldo Prune et Emeraude</t>
        </is>
      </c>
    </row>
    <row r="25311">
      <c r="A25311" t="inlineStr">
        <is>
          <t>Eliotrope F 200</t>
        </is>
      </c>
      <c r="B25311">
        <f>HYPERLINK("https://www.dofusbook.net/fr/equipement/3448197-eliotrope-f-200/objets", "link")</f>
        <v/>
      </c>
      <c r="C25311" t="n">
        <v>0</v>
      </c>
      <c r="D25311" t="inlineStr"/>
    </row>
    <row r="25312">
      <c r="A25312" t="inlineStr">
        <is>
          <t>Eliotrope F 200</t>
        </is>
      </c>
      <c r="B25312">
        <f>HYPERLINK("https://www.dofusbook.net/fr/equipement/3448196-eliotrope-f-200/objets", "link")</f>
        <v/>
      </c>
      <c r="C25312" t="n">
        <v>0</v>
      </c>
      <c r="D25312" t="inlineStr"/>
    </row>
    <row r="25313">
      <c r="A25313" t="inlineStr">
        <is>
          <t>Eliotrope F 200</t>
        </is>
      </c>
      <c r="B25313">
        <f>HYPERLINK("https://www.dofusbook.net/fr/equipement/3448195-eliotrope-f-200/objets", "link")</f>
        <v/>
      </c>
      <c r="C25313" t="n">
        <v>0</v>
      </c>
      <c r="D25313" t="inlineStr"/>
    </row>
    <row r="25314">
      <c r="A25314" t="inlineStr">
        <is>
          <t>Eliotrope F 200</t>
        </is>
      </c>
      <c r="B25314">
        <f>HYPERLINK("https://www.dofusbook.net/fr/equipement/3448194-eliotrope-f-200/objets", "link")</f>
        <v/>
      </c>
      <c r="C25314" t="n">
        <v>0</v>
      </c>
      <c r="D25314" t="inlineStr"/>
    </row>
    <row r="25315">
      <c r="A25315" t="inlineStr">
        <is>
          <t>Eliotrope F 200</t>
        </is>
      </c>
      <c r="B25315">
        <f>HYPERLINK("https://www.dofusbook.net/fr/equipement/3448192-eliotrope-f-200/objets", "link")</f>
        <v/>
      </c>
      <c r="C25315" t="n">
        <v>1</v>
      </c>
      <c r="D25315" t="inlineStr"/>
    </row>
    <row r="25316">
      <c r="A25316" t="inlineStr">
        <is>
          <t>Full ret</t>
        </is>
      </c>
      <c r="B25316">
        <f>HYPERLINK("https://www.dofusbook.net/fr/equipement/1934202-full-ret/objets", "link")</f>
        <v/>
      </c>
      <c r="C25316" t="n">
        <v>1</v>
      </c>
      <c r="D25316" t="inlineStr">
        <is>
          <t>Dagues Açantes; Amulette de Danathor; Alliance Gloursonne; Pikano; Bouclier cubiste; Ceinture Glaciale; Casquipik; Cape Matelassée; Pataugastrique; Ralentisseur majeur; Chanceux majeur; Nomade; Temporiseur majeur; Remueur; Entraveur majeur; Dragodinde Prune et Emeraude</t>
        </is>
      </c>
    </row>
    <row r="25317">
      <c r="A25317" t="inlineStr">
        <is>
          <t>pvm</t>
        </is>
      </c>
      <c r="B25317">
        <f>HYPERLINK("https://www.dofusbook.net/fr/equipement/2567769-pvm/objets", "link")</f>
        <v/>
      </c>
      <c r="C25317" t="n">
        <v>0</v>
      </c>
      <c r="D25317" t="inlineStr">
        <is>
          <t>Dagues du Dragoeuf; Amulette d'Otomaï; Bague Gloursonne; Anneau Cryochrone; Sangle Aise; Coiffe Cryochrone; Cape de Nileza; Bottes Dogues; Nomade; Guérisseur majeur; Remueur; Astucieux majeur; Miraculé majeur; Érudit majeur; Dragodinde Prune et Orchidée</t>
        </is>
      </c>
    </row>
    <row r="25318">
      <c r="A25318" t="inlineStr">
        <is>
          <t>pvm pas cher</t>
        </is>
      </c>
      <c r="B25318">
        <f>HYPERLINK("https://www.dofusbook.net/fr/equipement/3418584-pvm-pas-cher/objets", "link")</f>
        <v/>
      </c>
      <c r="C25318" t="n">
        <v>0</v>
      </c>
      <c r="D25318" t="inlineStr">
        <is>
          <t>Plumeau Bil; Amulette d'Otomaï; Lavanneau; Anneau Cryochrone; Ceinture Séculaire; Coiffe Séculaire; Cape de Diondin; Pantoufles Émar; Astucieux majeur; Érudit majeur; Voyageur; Remueur; Savant majeur; Nomade; Dragodinde Prune et Orchidée</t>
        </is>
      </c>
    </row>
    <row r="25319">
      <c r="A25319" t="inlineStr">
        <is>
          <t>terre pas cher</t>
        </is>
      </c>
      <c r="B25319">
        <f>HYPERLINK("https://www.dofusbook.net/fr/equipement/2853296-terre-pas-cher/objets", "link")</f>
        <v/>
      </c>
      <c r="C25319" t="n">
        <v>2</v>
      </c>
      <c r="D25319" t="inlineStr">
        <is>
          <t>Epée Kari; Collier de Tourthon; Anneau de Brouce; Anneau Crustique; Bouclier Taverne; Ceinture de Brouce; Masque de Koutoulou; Cape au Logis; Sabots Minables; Forcené majeur; Remueur; Enragé majeur; Nomade; Vigoureux majeur; Kompost</t>
        </is>
      </c>
    </row>
    <row r="25320">
      <c r="A25320" t="inlineStr">
        <is>
          <t>Pvm vieux</t>
        </is>
      </c>
      <c r="B25320">
        <f>HYPERLINK("https://www.dofusbook.net/fr/equipement/1269233-pvm-vieux-/objets", "link")</f>
        <v/>
      </c>
      <c r="C25320" t="n">
        <v>0</v>
      </c>
      <c r="D25320" t="inlineStr">
        <is>
          <t>Harpelle; Pendentif affamé; Anneauræus; Anneauræus; Bouclier du Cycloïde; Ceinture Séculaire; Coiffe Séculaire; Cape de Diondin; Pataugastrique; Remueur; Vigoureux majeur; Voyageur; Nomade; Astucieux majeur; Érudit majeur; Brûlih</t>
        </is>
      </c>
    </row>
    <row r="25321">
      <c r="A25321" t="inlineStr">
        <is>
          <t>do pou</t>
        </is>
      </c>
      <c r="B25321">
        <f>HYPERLINK("https://www.dofusbook.net/fr/equipement/3055671-do-pou-/objets", "link")</f>
        <v/>
      </c>
      <c r="C25321" t="n">
        <v>1</v>
      </c>
      <c r="D25321" t="inlineStr">
        <is>
          <t>Lav'Hache; Torquistik; Bague Instable; Baguistik; Bouclier précieux; Ceinture Gence; Masque de Koutoulou; Cape Luminescente; Bottes du Cœur Vaillant; Dofus Turquoise; Dofus Abyssal; Bousculeur majeur; Culbuteur majeur; Pousseur majeur; Enragé majeur; Muldo Pourpre</t>
        </is>
      </c>
    </row>
    <row r="25322">
      <c r="A25322" t="inlineStr">
        <is>
          <t>pvp</t>
        </is>
      </c>
      <c r="B25322">
        <f>HYPERLINK("https://www.dofusbook.net/fr/equipement/3055627-pvp/objets", "link")</f>
        <v/>
      </c>
      <c r="C25322" t="n">
        <v>1</v>
      </c>
      <c r="D25322" t="inlineStr">
        <is>
          <t>Lav'Hache; Torquistik; Bague Instable; Baguistik; Bouclier précieux; Ceinture Luminescente; Casque Dragoeuf; Cape Solution; Bottes Trithon; Dofus Émeraude; Pousseur majeur; Culbuteur majeur; Remueur; Culbuteur; Bousculeur majeur; Muldo Ebène et Pourpre</t>
        </is>
      </c>
    </row>
    <row r="25323">
      <c r="A25323" t="inlineStr">
        <is>
          <t>crit</t>
        </is>
      </c>
      <c r="B25323">
        <f>HYPERLINK("https://www.dofusbook.net/fr/equipement/2957421-crit/objets", "link")</f>
        <v/>
      </c>
      <c r="C25323" t="n">
        <v>0</v>
      </c>
      <c r="D25323" t="inlineStr">
        <is>
          <t>Arc Nécrotique; Amulette du Strigide; Anneau Cryochrone; Bracelet du Piloztère; Quatre-feuilles; Ceinture du Strigide; Le Dorado; Cape de la Dame du Hasard; Pataugastrique; Dofus Pourpre; Dofus Turquoise; Dofus des Glaces; Vigoureux majeur; Sanguinaire majeur; Muldo Prune et Emeraude</t>
        </is>
      </c>
    </row>
    <row r="25324">
      <c r="A25324" t="inlineStr">
        <is>
          <t>pvm random</t>
        </is>
      </c>
      <c r="B25324">
        <f>HYPERLINK("https://www.dofusbook.net/fr/equipement/3024979-pvm-random-/objets", "link")</f>
        <v/>
      </c>
      <c r="C25324" t="n">
        <v>3</v>
      </c>
      <c r="D25324" t="inlineStr">
        <is>
          <t>Sabres d'Atcham; Amulette du Strigide; Anneau de Padgref; Bracelet du Piloztère; Quatre-feuilles; Ceinture du Strigide; Coiffe de Padgref; Cape d'Atcham; Getas de Padgref; Dofus Turquoise; Dofus Ocre; Dofus des Glaces; Dofus Pourpre; Voyageur; Muldo Prune et Emeraude</t>
        </is>
      </c>
    </row>
    <row r="25325">
      <c r="A25325" t="inlineStr">
        <is>
          <t>FEU</t>
        </is>
      </c>
      <c r="B25325">
        <f>HYPERLINK("https://www.dofusbook.net/fr/equipement/3024860-feu/objets", "link")</f>
        <v/>
      </c>
      <c r="C25325" t="n">
        <v>3</v>
      </c>
      <c r="D25325" t="inlineStr">
        <is>
          <t>Baguette de Malléfisk; Amulette Volcanique; Anneau de Nidas; Bague Gloursonne; Carapar; Ceinture de Vortex; Couronne de Nidas; Cape de Diondin; Chaussures Ardentes; Dofus Ivoire; Dofus Émeraude; Dofus Abyssal; Remueur; Miraculé majeur; Érudit majeur; Muldo Orchidée</t>
        </is>
      </c>
    </row>
    <row r="25326">
      <c r="A25326" t="inlineStr">
        <is>
          <t>roxx</t>
        </is>
      </c>
      <c r="B25326">
        <f>HYPERLINK("https://www.dofusbook.net/fr/equipement/970792-roxx/objets", "link")</f>
        <v/>
      </c>
      <c r="C25326" t="n">
        <v>0</v>
      </c>
      <c r="D25326" t="inlineStr">
        <is>
          <t>Sabres d'Atcham; Amulette du Strigide; Anneau de Padgref; Bracelet du Piloztère; Quatre-feuilles; Ceinture du Strigide; Coiffe de Padgref; Cape d'Atcham; Getas de Padgref; Dolmanax; Dofus Pourpre; Dofus Turquoise; Dofus Ocre; Dofus des Glaces; Puissant majeur; Muldo Prune et Emeraude</t>
        </is>
      </c>
    </row>
    <row r="25327">
      <c r="A25327" t="inlineStr">
        <is>
          <t>terre pvm</t>
        </is>
      </c>
      <c r="B25327">
        <f>HYPERLINK("https://www.dofusbook.net/fr/equipement/2989068-terre-pvm-/objets", "link")</f>
        <v/>
      </c>
      <c r="C25327" t="n">
        <v>2</v>
      </c>
      <c r="D25327" t="inlineStr">
        <is>
          <t>Arc du Chalœil; Amulette du Strigide; Anneau Crustique; Anneau Crustique; Quatre-feuilles; Ceinture Gence; Masque de Koutoulou; Cape au Logis; Bottes du Strigide; Dofus Turquoise; Dofus des Glaces; Dofus Pourpre; Nomade; Enragé majeur; Forcené majeur; Kompost</t>
        </is>
      </c>
    </row>
    <row r="25328">
      <c r="A25328" t="inlineStr">
        <is>
          <t>terre</t>
        </is>
      </c>
      <c r="B25328">
        <f>HYPERLINK("https://www.dofusbook.net/fr/equipement/2988417-terre/objets", "link")</f>
        <v/>
      </c>
      <c r="C25328" t="n">
        <v>1</v>
      </c>
      <c r="D25328" t="inlineStr">
        <is>
          <t>Lav'Hache; Amulette Volcanique; Anneau Chevelu; Anneau Crustique; Sept ans de malheur; Ceinture Luminescente; Masque de Koutoulou; Cape du Cœur Saignant; Sabots Volcaniques; Dofus Émeraude; Dofus Pourpre; Dofus Abyssal; Enragé majeur; Miraculé majeur; Remueur; Muldo Indigo et Orchidée</t>
        </is>
      </c>
    </row>
    <row r="25329">
      <c r="A25329" t="inlineStr">
        <is>
          <t>terre 2</t>
        </is>
      </c>
      <c r="B25329">
        <f>HYPERLINK("https://www.dofusbook.net/fr/equipement/2988551-terre-2/objets", "link")</f>
        <v/>
      </c>
      <c r="C25329" t="n">
        <v>0</v>
      </c>
      <c r="D25329" t="inlineStr">
        <is>
          <t>Amulette Volcanique; Masque de Koutoulou</t>
        </is>
      </c>
    </row>
    <row r="25330">
      <c r="A25330" t="inlineStr">
        <is>
          <t>test</t>
        </is>
      </c>
      <c r="B25330">
        <f>HYPERLINK("https://www.dofusbook.net/fr/equipement/2938313-test/objets", "link")</f>
        <v/>
      </c>
      <c r="C25330" t="n">
        <v>0</v>
      </c>
      <c r="D25330" t="inlineStr">
        <is>
          <t>Amulette du Strigide; Alliance Gloursonne; Bague Trithon; Ceintacé; Masque Trithon; Voile d'encre; Bottes du Strigide</t>
        </is>
      </c>
    </row>
    <row r="25331">
      <c r="A25331" t="inlineStr">
        <is>
          <t>terre accu</t>
        </is>
      </c>
      <c r="B25331">
        <f>HYPERLINK("https://www.dofusbook.net/fr/equipement/2929946-terre-accu/objets", "link")</f>
        <v/>
      </c>
      <c r="C25331" t="n">
        <v>0</v>
      </c>
      <c r="D25331" t="inlineStr">
        <is>
          <t>Héqache; Amulette du Strigide; Anneau Chevelu; Anneau Crustique; Bouclier Taverne; Ceinture de Gein; Masque de Koutoulou; Cape du Cœur Saignant; Bottes du Cœur Saignant; Dofus Nébuleux; Dofus Pourpre; Dofus Ivoire; Dofus Turquoise; Enragé majeur; Remueur; Muldo Indigo et Pourpre</t>
        </is>
      </c>
    </row>
    <row r="25332">
      <c r="A25332" t="inlineStr">
        <is>
          <t>air eau</t>
        </is>
      </c>
      <c r="B25332">
        <f>HYPERLINK("https://www.dofusbook.net/fr/equipement/852896-air-eau/objets", "link")</f>
        <v/>
      </c>
      <c r="C25332" t="n">
        <v>0</v>
      </c>
      <c r="D25332" t="inlineStr">
        <is>
          <t>Bâtonnet Ronien; Amulette du Strigide; Alliance Gloursonne; Alliance Brûlâme; Cadran d'Air; Ceintacé; Némès de Tal Kasha; Chevelure de Tal Kasha; Bottes de la Reine des Voleurs; Dofus Turquoise; Dofus Nébuleux; Dofus Pourpre; Dofus Ivoire; Remueur; Muldo Orchidée</t>
        </is>
      </c>
    </row>
    <row r="25333">
      <c r="A25333" t="inlineStr">
        <is>
          <t>multi</t>
        </is>
      </c>
      <c r="B25333">
        <f>HYPERLINK("https://www.dofusbook.net/fr/equipement/2929587-multi/objets", "link")</f>
        <v/>
      </c>
      <c r="C25333" t="n">
        <v>0</v>
      </c>
      <c r="D25333" t="inlineStr">
        <is>
          <t>Hache du Chalœil; Amulette du Strigide; Bracelet du Piloztère; Alliance Gloursonne; Quatre-feuilles; Ceinture du Strigide; Masque de Funespadon; Voile d'encre; Bottes Honyme; Dofus Pourpre; Dofus Ivoire; Dofus Turquoise; Dofus Nébuleux; Remueur; Carapace Eau majeur; Muldo Pourpre</t>
        </is>
      </c>
    </row>
    <row r="25334">
      <c r="A25334" t="inlineStr">
        <is>
          <t>air</t>
        </is>
      </c>
      <c r="B25334">
        <f>HYPERLINK("https://www.dofusbook.net/fr/equipement/2929553-air/objets", "link")</f>
        <v/>
      </c>
      <c r="C25334" t="n">
        <v>0</v>
      </c>
      <c r="D25334" t="inlineStr">
        <is>
          <t>Héqache; Amulette du Strigide; Alliance Brûlâme; Alliance Gloursonne; Quatre-feuilles; Menoture; Chapeau de Tournoyé; Cape de Crânonier; Palmes Trithons; Dofus Nébuleux; Dofus Ivoire; Dofus Turquoise; Dofus Pourpre; Remueur; Cascadeur majeur; Muldo Ebène et Orchidée</t>
        </is>
      </c>
    </row>
    <row r="25335">
      <c r="A25335" t="inlineStr">
        <is>
          <t>terre</t>
        </is>
      </c>
      <c r="B25335">
        <f>HYPERLINK("https://www.dofusbook.net/fr/equipement/2920069-terre/objets", "link")</f>
        <v/>
      </c>
      <c r="C25335" t="n">
        <v>1</v>
      </c>
      <c r="D25335" t="inlineStr">
        <is>
          <t>Arc du Chalœil; Amulette du Strigide; Anneau Crustique; Anneau Crustique; Quatre-feuilles; Ceinture Gence; Masque de Koutoulou; Cape au Logis; Bottes du Strigide; Dofus Pourpre; Dofus des Glaces; Dofus Turquoise; Nomade; Enragé majeur; Dévastateur Terre majeur; Kompost</t>
        </is>
      </c>
    </row>
    <row r="25336">
      <c r="A25336" t="inlineStr">
        <is>
          <t>air heqache</t>
        </is>
      </c>
      <c r="B25336">
        <f>HYPERLINK("https://www.dofusbook.net/fr/equipement/2889470-air-heqache/objets", "link")</f>
        <v/>
      </c>
      <c r="C25336" t="n">
        <v>0</v>
      </c>
      <c r="D25336" t="inlineStr">
        <is>
          <t>Héqache; Amulette du Cœur Vaillant; Anneau des égarés; Alliance Gloursonne; Bouclier Taverne; Menoture; Chapeau de Tournoyé; Cape de Crânonier; Palmes Trithons; Dofus Nébuleux; Dofus Pourpre; Dofus Ivoire; Dofus Turquoise; Carapace Air majeur; Remueur; Muldo Ebène</t>
        </is>
      </c>
    </row>
    <row r="25337">
      <c r="A25337" t="inlineStr">
        <is>
          <t>eau</t>
        </is>
      </c>
      <c r="B25337">
        <f>HYPERLINK("https://www.dofusbook.net/fr/equipement/2918020-eau/objets", "link")</f>
        <v/>
      </c>
      <c r="C25337" t="n">
        <v>1</v>
      </c>
      <c r="D25337" t="inlineStr">
        <is>
          <t>Rapière aux Glyphes; Amulette de Shokkoth; Bracelet des Fonds marins; Alliance Gloursonne; Quatre-feuilles; Poulpagne; Capuche de l'Œil Attentif; Cape du Sinistrofu; Bottes du Sinistrofu; Dofus Abyssal; Dofus Turquoise; Dofus Nébuleux; Chanceux majeur; Remueur; Muldo Indigo</t>
        </is>
      </c>
    </row>
    <row r="25338">
      <c r="A25338" t="inlineStr">
        <is>
          <t>feu ret pa</t>
        </is>
      </c>
      <c r="B25338">
        <f>HYPERLINK("https://www.dofusbook.net/fr/equipement/2914201-feu-ret-pa/objets", "link")</f>
        <v/>
      </c>
      <c r="C25338" t="n">
        <v>0</v>
      </c>
      <c r="D25338" t="inlineStr">
        <is>
          <t>Baguette de Malléfisk; Amulette d'Otomaï; Anneauræus; Anneauræus; Sept ans de malheur; Ceinture de Vortex; Masque Ardent; Cape Ardente; Chaussures Ardentes; Muldo Orchidée</t>
        </is>
      </c>
    </row>
    <row r="25339">
      <c r="A25339" t="inlineStr">
        <is>
          <t>do pou</t>
        </is>
      </c>
      <c r="B25339">
        <f>HYPERLINK("https://www.dofusbook.net/fr/equipement/2896430-do-pou-/objets", "link")</f>
        <v/>
      </c>
      <c r="C25339" t="n">
        <v>0</v>
      </c>
      <c r="D25339" t="inlineStr">
        <is>
          <t>Héqache; Torquistik; Bague Trithon; Bague Instable; Bouclier précieux; Ceinture Gence; Masque de Koutoulou; Cape du Cœur Vaillant; Bottistik; Culbuteur majeur; Carapace Eau majeur; Pousseur majeur; Remueur; Bousculeur majeur; Nomade; Muldo Pourpre</t>
        </is>
      </c>
    </row>
    <row r="25340">
      <c r="A25340" t="inlineStr">
        <is>
          <t>feu</t>
        </is>
      </c>
      <c r="B25340">
        <f>HYPERLINK("https://www.dofusbook.net/fr/equipement/2894820-feu/objets", "link")</f>
        <v/>
      </c>
      <c r="C25340" t="n">
        <v>0</v>
      </c>
      <c r="D25340" t="inlineStr">
        <is>
          <t>Arc corrompu; Amulette Séculaire; Anneauræus; Anneauræus; Cadran de Terre; Ceinture Séculaire; Heaume Oplate; Cape de la Dame du Hasard; Sabots Volcaniques; Dofus Pourpre; Dofus Nébuleux; Dofus Turquoise; Dofus Ivoire; Dofus Abyssal; Remueur; Muldo Orchidée</t>
        </is>
      </c>
    </row>
    <row r="25341">
      <c r="A25341" t="inlineStr">
        <is>
          <t>pvp air cri</t>
        </is>
      </c>
      <c r="B25341">
        <f>HYPERLINK("https://www.dofusbook.net/fr/equipement/2844391-pvp-air-cri/objets", "link")</f>
        <v/>
      </c>
      <c r="C25341" t="n">
        <v>0</v>
      </c>
      <c r="D25341" t="inlineStr">
        <is>
          <t>Hachoirs de Viandargh; Amulette du Strigide; Alliance Gloursonne; Alliance Brûlâme; Bouclier Taverne; Ceinture du Strigide; Chapeau de Tournoyé; Cape de Crânonier; Bottes du Strigide; Dofus Turquoise; Dofus Émeraude; Dofus Nébuleux; Dofus Ocre; Dofus Pourpre; Dofus Ivoire; Muldo Ebène et Orchidée</t>
        </is>
      </c>
    </row>
    <row r="25342">
      <c r="A25342" t="inlineStr">
        <is>
          <t>feu pvp</t>
        </is>
      </c>
      <c r="B25342">
        <f>HYPERLINK("https://www.dofusbook.net/fr/equipement/286691-feu-pvp/objets", "link")</f>
        <v/>
      </c>
      <c r="C25342" t="n">
        <v>0</v>
      </c>
      <c r="D25342" t="inlineStr">
        <is>
          <t>Massier; Amulette Séculaire; Anneauræus; Anneauræus; Bouclier Taverne; Ceinture Séculaire; Heaume Oplate; Voile d'encre; Bottes Innommables; Dofus Turquoise; Dofus Ivoire; Dofus Nébuleux; Remueur; Érudit majeur; Carapace Feu majeur; Muldo Indigo et Pourpre</t>
        </is>
      </c>
    </row>
    <row r="25343">
      <c r="A25343" t="inlineStr">
        <is>
          <t>feu pvp</t>
        </is>
      </c>
      <c r="B25343">
        <f>HYPERLINK("https://www.dofusbook.net/fr/equipement/2887172-feu-pvp-/objets", "link")</f>
        <v/>
      </c>
      <c r="C25343" t="n">
        <v>0</v>
      </c>
      <c r="D25343" t="inlineStr">
        <is>
          <t>Massier; Amulette Séculaire; Anneauræus; Anneauræus; Bouclier Taverne; Ceinture Séculaire; Heaume Oplate; Voile d'encre; Bottes Innommables; Dofus Turquoise; Dofus Ivoire; Dofus Nébuleux; Remueur; Érudit majeur; Carapace Feu majeur; Muldo Indigo et Pourpre</t>
        </is>
      </c>
    </row>
    <row r="25344">
      <c r="A25344" t="inlineStr">
        <is>
          <t>Arc</t>
        </is>
      </c>
      <c r="B25344">
        <f>HYPERLINK("https://www.dofusbook.net/fr/equipement/1270120-arc/objets", "link")</f>
        <v/>
      </c>
      <c r="C25344" t="n">
        <v>0</v>
      </c>
      <c r="D25344" t="inlineStr">
        <is>
          <t>Arc du Chalœil; Amulette du Cœur Saignant; Anneau Crustique; Anneau Chevelu; Quatre-feuilles; Ceinture Gence; Masque de Koutoulou; Voile d'encre; Bottes du Cœur Saignant; Dofus Turquoise; Dofus Nébuleux; Dofus Pourpre; Dofus Ivoire; Muldo Pourpre</t>
        </is>
      </c>
    </row>
    <row r="25345">
      <c r="A25345" t="inlineStr">
        <is>
          <t>DO POU TERRE</t>
        </is>
      </c>
      <c r="B25345">
        <f>HYPERLINK("https://www.dofusbook.net/fr/equipement/2884061-do-pou-terre/objets", "link")</f>
        <v/>
      </c>
      <c r="C25345" t="n">
        <v>0</v>
      </c>
      <c r="D25345" t="inlineStr">
        <is>
          <t>Héqache; Amulette du Cœur Vaillant; Anneau Chevelu; Bague Gloursonne; Bouclier Taverne; Ceinture Gence; Masque de Koutoulou; Cape Luminescente; Bottes du Cœur Vaillant; Dofus Abyssal; Dofus Turquoise; Dofus Ivoire; Carapace Terre majeur; Nomade; Enragé majeur; Kramkram</t>
        </is>
      </c>
    </row>
    <row r="25346">
      <c r="A25346" t="inlineStr">
        <is>
          <t>eau feu no cc</t>
        </is>
      </c>
      <c r="B25346">
        <f>HYPERLINK("https://www.dofusbook.net/fr/equipement/2885044-eau-feu-no-cc-/objets", "link")</f>
        <v/>
      </c>
      <c r="C25346" t="n">
        <v>0</v>
      </c>
      <c r="D25346" t="inlineStr">
        <is>
          <t>Baguette Héroclite; Amulette de l'Œil Attentif; Bracelet des Fonds marins; Alliance Gloursonne; Bouclier du Stalak; Ceinture Glaciale; Capuche de l'Œil Attentif; Cape de l'Œil Attentif; Sandales des Fonds marins; Dofus Ocre; Dofus Abyssal; Dofus Pourpre; Dofus Ivoire; Dofus Nébuleux; Dofus Vulbis; Kramkram</t>
        </is>
      </c>
    </row>
    <row r="25347">
      <c r="A25347" t="inlineStr">
        <is>
          <t>eau feu</t>
        </is>
      </c>
      <c r="B25347">
        <f>HYPERLINK("https://www.dofusbook.net/fr/equipement/2884992-eau-feu-/objets", "link")</f>
        <v/>
      </c>
      <c r="C25347" t="n">
        <v>0</v>
      </c>
      <c r="D25347" t="inlineStr">
        <is>
          <t>Rapière aux Glyphes; Amulette du Strigide; Alliance Gloursonne; Lavanneau; Cadran d'Eau; Ceintacé; Chapeau des Malveilleurs; Cape de la Dame du Hasard; Bottes de la Dame du Hasard; Dofus Ocre; Dofus Ivoire; Dofus Pourpre; Dofus Nébuleux; Dofus Turquoise; Dofus Abyssal; Muldo Orchidée</t>
        </is>
      </c>
    </row>
    <row r="25348">
      <c r="A25348" t="inlineStr">
        <is>
          <t>eau terre</t>
        </is>
      </c>
      <c r="B25348">
        <f>HYPERLINK("https://www.dofusbook.net/fr/equipement/2884958-eau-terre/objets", "link")</f>
        <v/>
      </c>
      <c r="C25348" t="n">
        <v>0</v>
      </c>
      <c r="D25348" t="inlineStr">
        <is>
          <t>Dagues de Srambad; Amulette Luminescente; Alliance Gloursonne; Bracelet du Piloztère; Bouclier d'Ilyzaelle; Ceinture de la Reine des Voleurs; Coiffe de la Reine des Voleurs; Voile d'encre; Bottes Honyme; Dofus Ocre; Dofus Ivoire; Dofus Nébuleux; Dofus Turquoise; Dofus Abyssal; Muldo Ebène et Indigo</t>
        </is>
      </c>
    </row>
    <row r="25349">
      <c r="A25349" t="inlineStr">
        <is>
          <t>terre do pou</t>
        </is>
      </c>
      <c r="B25349">
        <f>HYPERLINK("https://www.dofusbook.net/fr/equipement/2884917-terre-do-pou-/objets", "link")</f>
        <v/>
      </c>
      <c r="C25349" t="n">
        <v>0</v>
      </c>
      <c r="D25349" t="inlineStr">
        <is>
          <t>Héqache; Torquistik; Bague Instable; Bague Trithon; Bouclier précieux; Ceinture Gence; Masque de Koutoulou; Cape du Cœur Vaillant; Bottes Trithon; Dofus Abyssal; Dofus Ivoire; Pousseur majeur; Carapace Air majeur; Bousculeur majeur; Culbuteur majeur; Muldo Pourpre</t>
        </is>
      </c>
    </row>
    <row r="25350">
      <c r="A25350" t="inlineStr">
        <is>
          <t>air feu</t>
        </is>
      </c>
      <c r="B25350">
        <f>HYPERLINK("https://www.dofusbook.net/fr/equipement/2884870-air-feu/objets", "link")</f>
        <v/>
      </c>
      <c r="C25350" t="n">
        <v>0</v>
      </c>
      <c r="D25350" t="inlineStr">
        <is>
          <t>Baguette Range; Amulette du Strigide; Anneau de Padgref; Alliance Brûlâme; Quatre-feuilles; Menoture; Cagoule de Vortex; Voile d'encre; Bottes du Strigide; Dofus Ocre; Dofus Ivoire; Dofus Nébuleux; Dofus Turquoise; Dofus Abyssal; Muldo Ebène et Orchidée</t>
        </is>
      </c>
    </row>
    <row r="25351">
      <c r="A25351" t="inlineStr">
        <is>
          <t>Eau air pvp</t>
        </is>
      </c>
      <c r="B25351">
        <f>HYPERLINK("https://www.dofusbook.net/fr/equipement/2192025-eau-air-pvp/objets", "link")</f>
        <v/>
      </c>
      <c r="C25351" t="n">
        <v>0</v>
      </c>
      <c r="D25351" t="inlineStr">
        <is>
          <t>Bâtonnet Ronien; Amulette du Strigide; Bracelet des Fonds marins; Alliance Gloursonne; Cadran d'Air; Ceintacé; Némès de Tal Kasha; Chevelure de Tal Kasha; Bottes de la Reine des Voleurs; Dofus Nébuleux; Dofus Turquoise; Dofus Abyssal; Dofus Ocre; Dofus Ivoire; Carapace Eau majeur; Muldo Ebène et Orchidée</t>
        </is>
      </c>
    </row>
    <row r="25352">
      <c r="A25352" t="inlineStr">
        <is>
          <t>terre air</t>
        </is>
      </c>
      <c r="B25352">
        <f>HYPERLINK("https://www.dofusbook.net/fr/equipement/2881715-terre-air/objets", "link")</f>
        <v/>
      </c>
      <c r="C25352" t="n">
        <v>0</v>
      </c>
      <c r="D25352" t="inlineStr">
        <is>
          <t>Lance corrompue; Amulette du Cœur Vaillant; Alliance Gloursonne; Anneau des égarés; Bouclier d'Ilyzaelle; Ceinture Gence; Coiffe de la Reine des Voleurs; Cape de Nevark; Bottes de la Reine des Voleurs; Dofus des Glaces; Dofus Nébuleux; Dofus Abyssal; Dofus Ocre; Dofus Ivoire; Carapace Terre majeur; Muldo Ebène</t>
        </is>
      </c>
    </row>
    <row r="25353">
      <c r="A25353" t="inlineStr">
        <is>
          <t>air</t>
        </is>
      </c>
      <c r="B25353">
        <f>HYPERLINK("https://www.dofusbook.net/fr/equipement/2854621-air-/objets", "link")</f>
        <v/>
      </c>
      <c r="C25353" t="n">
        <v>0</v>
      </c>
      <c r="D25353" t="inlineStr">
        <is>
          <t>Hachoirs de Viandargh; Amulette du Cœur Vaillant; Anneau des égarés; Alliance Gloursonne; Bouclier d'Ilyzaelle; Menoture; Chapeau de Tournoyé; Cape de Crânonier; Palmes Trithons; Dofus Nébuleux; Dofus Turquoise; Dofus Abyssal; Dofus Ocre; Dofus Ivoire; Carapace Air majeur; Muldo Ebène</t>
        </is>
      </c>
    </row>
    <row r="25354">
      <c r="A25354" t="inlineStr">
        <is>
          <t>do pou</t>
        </is>
      </c>
      <c r="B25354">
        <f>HYPERLINK("https://www.dofusbook.net/fr/equipement/1880695-do-pou-/objets", "link")</f>
        <v/>
      </c>
      <c r="C25354" t="n">
        <v>0</v>
      </c>
      <c r="D25354" t="inlineStr">
        <is>
          <t>Lav'Hache; Torquistik; Bague Trithon; Bague Instable; Bouclier précieux; Ceinture Gence; Masque de Koutoulou; Cape du Cœur Vaillant; Bottistik; Dofus Abyssal; Dofus Ivoire; Culbuteur majeur; Pousseur majeur; Bousculeur majeur; Muldo Pourpre</t>
        </is>
      </c>
    </row>
    <row r="25355">
      <c r="A25355" t="inlineStr">
        <is>
          <t>air retrait</t>
        </is>
      </c>
      <c r="B25355">
        <f>HYPERLINK("https://www.dofusbook.net/fr/equipement/2859187-air-retrait/objets", "link")</f>
        <v/>
      </c>
      <c r="C25355" t="n">
        <v>1</v>
      </c>
      <c r="D25355" t="inlineStr">
        <is>
          <t>Lance Horselé; Amulette du Cœur Vaillant; Gant du Valet Veinard; Alliance Gloursonne; Sept ans de malheur; Menoture; Casque Dragoeuf; Cape du Cœur Vaillant; Sandales  d'Atcham; Remueur; Cascadeur majeur; Carapace Eau majeur; Étourdisseur majeur; Fonceur majeur; Obstructeur majeur; Muldo Ebène</t>
        </is>
      </c>
    </row>
    <row r="25356">
      <c r="A25356" t="inlineStr">
        <is>
          <t>air</t>
        </is>
      </c>
      <c r="B25356">
        <f>HYPERLINK("https://www.dofusbook.net/fr/equipement/2858240-air/objets", "link")</f>
        <v/>
      </c>
      <c r="C25356" t="n">
        <v>0</v>
      </c>
      <c r="D25356" t="inlineStr">
        <is>
          <t>Manthache; Gant du Valet Veinard; Alliance Gloursonne; Quatre-feuilles; Menoture; Palmes Trithons; Dofus Pourpre; Étourdisseur majeur; Remueur; Cascadeur majeur; Muldo Ebène</t>
        </is>
      </c>
    </row>
    <row r="25357">
      <c r="A25357" t="inlineStr">
        <is>
          <t>terre</t>
        </is>
      </c>
      <c r="B25357">
        <f>HYPERLINK("https://www.dofusbook.net/fr/equipement/2852515-terre/objets", "link")</f>
        <v/>
      </c>
      <c r="C25357" t="n">
        <v>1</v>
      </c>
      <c r="D25357" t="inlineStr">
        <is>
          <t>Dagues d'Ilyzaelle; Amulette du Cœur Saignant; Bracelet du Piloztère; Anneau Crustique; Quatre-feuilles; Ceinture de la Reine des Voleurs; Masque de Koutoulou; Cape du Cœur Saignant; Bottes Honyme; Dofus des Glaces; Dofus Pourpre; Dofus Ivoire; Dofus Turquoise; Enragé majeur; Carapace Terre majeur; Muldo Indigo</t>
        </is>
      </c>
    </row>
    <row r="25358">
      <c r="A25358" t="inlineStr">
        <is>
          <t>Terre</t>
        </is>
      </c>
      <c r="B25358">
        <f>HYPERLINK("https://www.dofusbook.net/fr/equipement/2107420-terre/objets", "link")</f>
        <v/>
      </c>
      <c r="C25358" t="n">
        <v>2</v>
      </c>
      <c r="D25358" t="inlineStr">
        <is>
          <t>Dagues d'Ilyzaelle; Amulette du Cœur Saignant; Anneau Chevelu; Anneau Crustique; Bouclier Taverne; Ceintacé; Masque de Koutoulou; Cape au Logis; Bottes du Cœur Saignant; Dofus Pourpre; Dofus des Glaces; Dofus Turquoise; Enragé majeur; Remueur; Carapace Eau majeur; Muldo Pourpre</t>
        </is>
      </c>
    </row>
    <row r="25359">
      <c r="A25359" t="inlineStr">
        <is>
          <t>terre feu</t>
        </is>
      </c>
      <c r="B25359">
        <f>HYPERLINK("https://www.dofusbook.net/fr/equipement/2844327-terre-feu-/objets", "link")</f>
        <v/>
      </c>
      <c r="C25359" t="n">
        <v>0</v>
      </c>
      <c r="D25359" t="inlineStr">
        <is>
          <t>Hache Téroïde; Amulette du Strigide; Alliance Brûlâme; Bague Gloursonne; Quatre-feuilles; Ceinture du Strigide; Masque Brûlâme; Voile d'encre; Bottes du Strigide; Dofus Pourpre; Dofus Ivoire; Dofus Ocre; Dofus des Glaces; Dofus Turquoise; Dofus Nébuleux; Muldo Orchidée et Pourpre</t>
        </is>
      </c>
    </row>
    <row r="25360">
      <c r="A25360" t="inlineStr">
        <is>
          <t>feu air pvm</t>
        </is>
      </c>
      <c r="B25360">
        <f>HYPERLINK("https://www.dofusbook.net/fr/equipement/2816777-feu-air-pvm/objets", "link")</f>
        <v/>
      </c>
      <c r="C25360" t="n">
        <v>0</v>
      </c>
      <c r="D25360" t="inlineStr">
        <is>
          <t>Amulette de l'Œil Putride; Anneau de Padgref; Kralano; Bouclier du Cycloïde; Menoture; Coiffe de Padgref; Cape d'Atcham; Sabots de Vortex; Dofus Turquoise; Dofus des Glaces; Dofus Pourpre; Muldo Prune et Emeraude</t>
        </is>
      </c>
    </row>
    <row r="25361">
      <c r="A25361" t="inlineStr">
        <is>
          <t>eau pvp 2</t>
        </is>
      </c>
      <c r="B25361">
        <f>HYPERLINK("https://www.dofusbook.net/fr/equipement/2812309-eau-pvp-2/objets", "link")</f>
        <v/>
      </c>
      <c r="C25361" t="n">
        <v>0</v>
      </c>
      <c r="D25361" t="inlineStr">
        <is>
          <t>Rapière aux Glyphes; Amulette de l'Œil Attentif; Bracelet des Fonds marins; Alliance Gloursonne; Quatre-feuilles; Poulpagne; Capuche de l'Œil Attentif; Cape de Mantaze; Bottes du Sinistrofu; Dofus Turquoise; Dofus des Glaces; Dofus Pourpre; Remueur; Chanceux majeur; Muldo Indigo</t>
        </is>
      </c>
    </row>
    <row r="25362">
      <c r="A25362" t="inlineStr">
        <is>
          <t>eau pvpm</t>
        </is>
      </c>
      <c r="B25362">
        <f>HYPERLINK("https://www.dofusbook.net/fr/equipement/2811001-eau-pvpm/objets", "link")</f>
        <v/>
      </c>
      <c r="C25362" t="n">
        <v>2</v>
      </c>
      <c r="D25362" t="inlineStr">
        <is>
          <t>Pelle Fik; Amulette de Shokkoth; Alliance du Lévitrof; Alliance Gloursonne; Goulclier; Poulpagne; Masque des Fonds marins; Cape du Sinistrofu; Bottes du Sinistrofu; Miraculé majeur; Remueur; Vigoureux majeur; Nomade; Carapace Terre majeur; Chanceux majeur; Muldo Indigo</t>
        </is>
      </c>
    </row>
    <row r="25363">
      <c r="A25363" t="inlineStr">
        <is>
          <t>eau pvp</t>
        </is>
      </c>
      <c r="B25363">
        <f>HYPERLINK("https://www.dofusbook.net/fr/equipement/2791091-eau-pvp/objets", "link")</f>
        <v/>
      </c>
      <c r="C25363" t="n">
        <v>0</v>
      </c>
      <c r="D25363" t="inlineStr">
        <is>
          <t>Rapière aux Glyphes; Amulette de Shokkoth; Alliance Gloursonne; Bracelet des Fonds marins; Quatre-feuilles; Poulpagne; Capuche de l'Œil Attentif; Cape de l'Œil Attentif; Bottes du Sinistrofu; Dofus Pourpre; Dofus Turquoise; Dofus des Glaces; Remueur; Chanceux majeur; Muldo Indigo</t>
        </is>
      </c>
    </row>
    <row r="25364">
      <c r="A25364" t="inlineStr">
        <is>
          <t>do pou vita</t>
        </is>
      </c>
      <c r="B25364">
        <f>HYPERLINK("https://www.dofusbook.net/fr/equipement/2773952-do-pou-vita/objets", "link")</f>
        <v/>
      </c>
      <c r="C25364" t="n">
        <v>0</v>
      </c>
      <c r="D25364" t="inlineStr">
        <is>
          <t>Masse Ossiale; Amulette Luminescente; Bague Trithon; Alliance Gloursonne; Bouclier précieux; Ceinture Luminescente; Masque de l'Esprit Malsain; Cape Solution; Bottes Owesli; Remueur; Culbuteur majeur; Miraculé majeur; Bousculeur majeur; Carapace Feu majeur; Pousseur majeur; Muldo Indigo</t>
        </is>
      </c>
    </row>
    <row r="25365">
      <c r="A25365" t="inlineStr">
        <is>
          <t>no cc</t>
        </is>
      </c>
      <c r="B25365">
        <f>HYPERLINK("https://www.dofusbook.net/fr/equipement/2767837-no-cc/objets", "link")</f>
        <v/>
      </c>
      <c r="C25365" t="n">
        <v>0</v>
      </c>
      <c r="D25365" t="inlineStr">
        <is>
          <t>Dagues de Srambad; Amulette de Shokkoth; Alliance Gloursonne; Bracelet du Piloztère; Bouclier du Stalak; Ceinture de la Reine des Voleurs; Coiffe de la Reine des Voleurs; Cape Luminescente; Bottes Honyme; Dofus Pourpre; Dofus des Glaces; Remueur; Sanguinaire majeur; Vigoureux majeur; Muldo Indigo</t>
        </is>
      </c>
    </row>
    <row r="25366">
      <c r="A25366" t="inlineStr">
        <is>
          <t>Eau air pvp</t>
        </is>
      </c>
      <c r="B25366">
        <f>HYPERLINK("https://www.dofusbook.net/fr/equipement/1943012-eau-air-pvp/objets", "link")</f>
        <v/>
      </c>
      <c r="C25366" t="n">
        <v>0</v>
      </c>
      <c r="D25366" t="inlineStr">
        <is>
          <t>Arc de Koutoulou; Amulette du Strigide; Alliance Gloursonne; Bracelet des Fonds marins; Quatre-feuilles; Ceintacé; Némès de Tal Kasha; Chevelure de Tal Kasha; Sandales  d'Atcham; Dofus Turquoise; Dofus des Glaces; Dofus Pourpre; Remueur; Vigoureux majeur; Muldo Ebène</t>
        </is>
      </c>
    </row>
    <row r="25367">
      <c r="A25367" t="inlineStr">
        <is>
          <t>eau pvm</t>
        </is>
      </c>
      <c r="B25367">
        <f>HYPERLINK("https://www.dofusbook.net/fr/equipement/2688889-eau-pvm-/objets", "link")</f>
        <v/>
      </c>
      <c r="C25367" t="n">
        <v>0</v>
      </c>
      <c r="D25367" t="inlineStr">
        <is>
          <t>Dagoulinantes; Amulette de Shokkoth; Anneau Glacial; Bracelet des Fonds marins; Quatre-feuilles; Poulpagne; Coiffe de Danathor; Cape du Sinistrofu; Bottes du Sinistrofu; Dofus Turquoise; Dofus des Glaces; Dofus Pourpre; Chanceux majeur; Remueur; Nomade; Dehluge</t>
        </is>
      </c>
    </row>
    <row r="25368">
      <c r="A25368" t="inlineStr">
        <is>
          <t>terre</t>
        </is>
      </c>
      <c r="B25368">
        <f>HYPERLINK("https://www.dofusbook.net/fr/equipement/2683594-terre/objets", "link")</f>
        <v/>
      </c>
      <c r="C25368" t="n">
        <v>1</v>
      </c>
      <c r="D25368" t="inlineStr">
        <is>
          <t>Arc du Chalœil; Amulette du Strigide; Bague Gloursonne; Bracelet du Piloztère; Quatre-feuilles; Ceinture du Strigide; Masque de Koutoulou; Cape au Logis; Baleinabottes; Dofus Pourpre; Dofus Turquoise; Remueur; Enragé majeur; Forcené majeur; Vigoureux majeur; Muldo Pourpre</t>
        </is>
      </c>
    </row>
    <row r="25369">
      <c r="A25369" t="inlineStr">
        <is>
          <t>feu eau</t>
        </is>
      </c>
      <c r="B25369">
        <f>HYPERLINK("https://www.dofusbook.net/fr/equipement/2681457-feu-eau-/objets", "link")</f>
        <v/>
      </c>
      <c r="C25369" t="n">
        <v>0</v>
      </c>
      <c r="D25369" t="inlineStr">
        <is>
          <t>Arc Nécrotique; Amulette du Strigide; Anneau Cryochrone; Bracelet du Piloztère; Quatre-feuilles; Ceinture du Strigide; Casquette de Meno; Cape de la Dame du Hasard; Pataugastrique; Dofus Pourpre; Dofus Turquoise; Dofus des Glaces; Remueur; Vigoureux majeur; Muldo Prune et Emeraude</t>
        </is>
      </c>
    </row>
    <row r="25370">
      <c r="A25370" t="inlineStr">
        <is>
          <t>eau</t>
        </is>
      </c>
      <c r="B25370">
        <f>HYPERLINK("https://www.dofusbook.net/fr/equipement/2671410-eau/objets", "link")</f>
        <v/>
      </c>
      <c r="C25370" t="n">
        <v>0</v>
      </c>
      <c r="D25370" t="inlineStr">
        <is>
          <t>Sceptre du Roi Joueur; Amulette du Sinistrofu; Alliance Gloursonne; Bracelet des Fonds marins; Ceinture Glaciale; Chapeau des Malveilleurs; Cape du Sinistrofu; Pataugastrique; Dofus Pourpre; Sanguinaire majeur; Nomade; Dévastateur Eau majeur; Chanceux majeur; Remueur; Muldo Ebène et Indigo</t>
        </is>
      </c>
    </row>
    <row r="25371">
      <c r="A25371" t="inlineStr">
        <is>
          <t>pvp eau</t>
        </is>
      </c>
      <c r="B25371">
        <f>HYPERLINK("https://www.dofusbook.net/fr/equipement/2583345-pvp-eau/objets", "link")</f>
        <v/>
      </c>
      <c r="C25371" t="n">
        <v>0</v>
      </c>
      <c r="D25371" t="inlineStr">
        <is>
          <t>Cape Solution</t>
        </is>
      </c>
    </row>
    <row r="25372">
      <c r="A25372" t="inlineStr">
        <is>
          <t>eau</t>
        </is>
      </c>
      <c r="B25372">
        <f>HYPERLINK("https://www.dofusbook.net/fr/equipement/2567892-eau/objets", "link")</f>
        <v/>
      </c>
      <c r="C25372" t="n">
        <v>0</v>
      </c>
      <c r="D25372" t="inlineStr">
        <is>
          <t>Dagoulinantes; Amulette de Shokkoth; Alliance Gloursonne; Bracelet des Fonds marins; Quatre-feuilles; Poulpagne; Capuche de l'Œil Attentif; Cape Solution; Sandales des Fonds marins; Dofus Pourpre; Dofus Turquoise; Dofus des Glaces; Nomade; Chanceux majeur; Vigoureux majeur; Dehluge</t>
        </is>
      </c>
    </row>
    <row r="25373">
      <c r="A25373" t="inlineStr">
        <is>
          <t>pvm multi</t>
        </is>
      </c>
      <c r="B25373">
        <f>HYPERLINK("https://www.dofusbook.net/fr/equipement/2567845-pvm-multi/objets", "link")</f>
        <v/>
      </c>
      <c r="C25373" t="n">
        <v>0</v>
      </c>
      <c r="D25373" t="inlineStr">
        <is>
          <t>Hache du Chalœil; Amulette du Strigide; Chevalière du Roi Joueur; Bracelet du Piloztère; Quatre-feuilles; Ceinture du Strigide; Coiffe du Glourséleste; Cape du Chalœil; Bottes Honyme; Dofus des Glaces; Dofus Turquoise; Dofus Pourpre; Vigoureux majeur; Remueur; Nomade; Muldo Prune et Emeraude</t>
        </is>
      </c>
    </row>
    <row r="25374">
      <c r="A25374" t="inlineStr">
        <is>
          <t>pvm</t>
        </is>
      </c>
      <c r="B25374">
        <f>HYPERLINK("https://www.dofusbook.net/fr/equipement/2489349-pvm/objets", "link")</f>
        <v/>
      </c>
      <c r="C25374" t="n">
        <v>0</v>
      </c>
      <c r="D25374" t="inlineStr">
        <is>
          <t>Arc Nécrotique; Amulette du Strigide; Alliance de Missiz Frizz; Anneau Cryochrone; Quatre-feuilles; Ceinture du Strigide; Coiffe du Glourséleste; Cape de la Dame du Hasard; Bottes Honyme; Dofus Turquoise; Dofus des Glaces; Dofus Pourpre; Sanguinaire majeur; Vigoureux majeur; Remueur; Muldo Prune et Doré</t>
        </is>
      </c>
    </row>
    <row r="25375">
      <c r="A25375" t="inlineStr">
        <is>
          <t>do pou pvp</t>
        </is>
      </c>
      <c r="B25375">
        <f>HYPERLINK("https://www.dofusbook.net/fr/equipement/2544373-do-pou-pvp-/objets", "link")</f>
        <v/>
      </c>
      <c r="C25375" t="n">
        <v>0</v>
      </c>
      <c r="D25375" t="inlineStr">
        <is>
          <t>Arc du Chalœil; Amulette Luminescente; Alliance de Missiz Frizz; Anneau de Brouce; Quatre-feuilles; Ceinture de Brouce; Casque de Missiz Frizz; Cape Luminescente; Bottes de Brouce; Dofus Ocre; Dofus Pourpre; Dofus des Glaces; Dofus Turquoise; Forcené majeur; Muldo Pourpre</t>
        </is>
      </c>
    </row>
    <row r="25376">
      <c r="A25376" t="inlineStr">
        <is>
          <t>multi</t>
        </is>
      </c>
      <c r="B25376">
        <f>HYPERLINK("https://www.dofusbook.net/fr/equipement/2534795-multi/objets", "link")</f>
        <v/>
      </c>
      <c r="C25376" t="n">
        <v>0</v>
      </c>
      <c r="D25376" t="inlineStr">
        <is>
          <t>Arc Nécrotique; Amulette de l'Indicible; Alliance du Lévitrof; Bracelet du Piloztère; Quatre-feuilles; Ceinture de l'Indicible; Coiffe du Glourséleste; Cape de la Dame du Hasard; Bottes Honyme; Dofus Pourpre; Dofus Turquoise; Dofus des Glaces; Remueur; Nomade; Vigoureux majeur; Muldo Prune et Doré</t>
        </is>
      </c>
    </row>
    <row r="25377">
      <c r="A25377" t="inlineStr">
        <is>
          <t>Pvm</t>
        </is>
      </c>
      <c r="B25377">
        <f>HYPERLINK("https://www.dofusbook.net/fr/equipement/1300965-pvm/objets", "link")</f>
        <v/>
      </c>
      <c r="C25377" t="n">
        <v>0</v>
      </c>
      <c r="D25377" t="inlineStr">
        <is>
          <t>Arc Nécrotique; Amulette du Strigide; Anneau Cryochrone; Bracelet du Piloztère; Quatre-feuilles; Ceinture du Strigide; Le Dorado; Cape de la Dame du Hasard; Pataugastrique; Dofus Pourpre; Dofus Turquoise; Dofus des Glaces; Sanguinaire majeur; Nomade; Vigoureux majeur; Muldo Prune et Emeraude</t>
        </is>
      </c>
    </row>
    <row r="25378">
      <c r="A25378" t="inlineStr">
        <is>
          <t>Stuff 1</t>
        </is>
      </c>
      <c r="B25378">
        <f>HYPERLINK("https://www.dofusbook.net/fr/equipement/286664-stuff-1/objets", "link")</f>
        <v/>
      </c>
      <c r="C25378" t="n">
        <v>0</v>
      </c>
      <c r="D25378" t="inlineStr">
        <is>
          <t>Arc Ahique; Amulette de l'Indicible; Alliance Gloursonne; Bracelet du Piloztère; Bouclier du Stalak; Ceinture de la Reine des Voleurs; Coiffe de la Reine des Voleurs; Cape Matelassée; Baleinabottes; Dofus Pourpre; Dofus des Glaces; Nomade; Vigoureux majeur; Remueur; Carapace Air majeur; Muldo Indigo et Orchidée</t>
        </is>
      </c>
    </row>
    <row r="25379">
      <c r="A25379" t="inlineStr">
        <is>
          <t>Do pou</t>
        </is>
      </c>
      <c r="B25379">
        <f>HYPERLINK("https://www.dofusbook.net/fr/equipement/1879002-do-pou/objets", "link")</f>
        <v/>
      </c>
      <c r="C25379" t="n">
        <v>1</v>
      </c>
      <c r="D25379" t="inlineStr">
        <is>
          <t>Baguette de Malléfisk; Torquistik; Bague Trithon; Baguistik; Bouclier précieux; Ceintrigue; Cape des Malveilleurs; Pataugastrique; Pousseur majeur; Guérisseur majeur; Bousculeur majeur; Remueur; Culbuteur majeur; Carapace Terre majeur; Muldo Orchidée</t>
        </is>
      </c>
    </row>
    <row r="25380">
      <c r="A25380" t="inlineStr">
        <is>
          <t>Pvp</t>
        </is>
      </c>
      <c r="B25380">
        <f>HYPERLINK("https://www.dofusbook.net/fr/equipement/2165317-pvp/objets", "link")</f>
        <v/>
      </c>
      <c r="C25380" t="n">
        <v>2</v>
      </c>
      <c r="D25380" t="inlineStr">
        <is>
          <t>Héqache; Amulette du Strigide; Alliance Gloursonne; Bracelet du Piloztère; Bouclier alvéolé; Ceinture du Strigide; Casque des égarés; Cape de la Cour Sombre; Baleinabottes; Dofus des Glaces; Dofus Pourpre; Dofus Turquoise; Vigoureux majeur; Miraculé majeur; Remueur; Muldo Orchidée et Pourpre</t>
        </is>
      </c>
    </row>
    <row r="25381">
      <c r="A25381" t="inlineStr">
        <is>
          <t>air ret pa</t>
        </is>
      </c>
      <c r="B25381">
        <f>HYPERLINK("https://www.dofusbook.net/fr/equipement/2514899-air-ret-pa/objets", "link")</f>
        <v/>
      </c>
      <c r="C25381" t="n">
        <v>0</v>
      </c>
      <c r="D25381" t="inlineStr">
        <is>
          <t>Pelle de la Cour Sombre; Amulette du Cœur Vaillant; Gant du Valet Veinard; Alliance Gloursonne; Menoture; Chapoulpe; Cape Matelassée; Bottes du Cœur Vaillant; Cascadeur majeur; Étourdisseur majeur; Remueur; Muldo Ebène</t>
        </is>
      </c>
    </row>
    <row r="25382">
      <c r="A25382" t="inlineStr">
        <is>
          <t>terre ret pa no cc</t>
        </is>
      </c>
      <c r="B25382">
        <f>HYPERLINK("https://www.dofusbook.net/fr/equipement/286663-terre-ret-pa-no-cc-/objets", "link")</f>
        <v/>
      </c>
      <c r="C25382" t="n">
        <v>3</v>
      </c>
      <c r="D25382" t="inlineStr">
        <is>
          <t>Lav'Hache; Amulette du Cœur Vaillant; Anneau Crustique; Anneau Crustique; Sept ans de malheur; Ceinture de la Cour Sombre; Masque de Koutoulou; Cape de la Cour Sombre; Chaussons du Comte Razof; Dofus Turquoise; Dofus Pourpre; Enragé majeur; Obstructeur majeur; Étourdisseur majeur; Remueur; Muldo Pourpre</t>
        </is>
      </c>
    </row>
    <row r="25383">
      <c r="A25383" t="inlineStr">
        <is>
          <t>feu ret pa</t>
        </is>
      </c>
      <c r="B25383">
        <f>HYPERLINK("https://www.dofusbook.net/fr/equipement/2204919-feu-ret-pa/objets", "link")</f>
        <v/>
      </c>
      <c r="C25383" t="n">
        <v>0</v>
      </c>
      <c r="D25383" t="inlineStr">
        <is>
          <t>Baguette de Malléfisk; Amulette d'Otomaï; Bague Gloursonne; Anneau Tique; Sept ans de malheur; Ceinture de Vortex; Masque Ardent; Cape Ardente; Pataugastrique; Guérisseur majeur; Étourdisseur majeur; Remueur; Miraculé majeur; Érudit majeur; Obstructeur majeur; Muldo Orchidée et Pourpre</t>
        </is>
      </c>
    </row>
    <row r="25384">
      <c r="A25384" t="inlineStr">
        <is>
          <t>Pvm</t>
        </is>
      </c>
      <c r="B25384">
        <f>HYPERLINK("https://www.dofusbook.net/fr/equipement/1261113-pvm/objets", "link")</f>
        <v/>
      </c>
      <c r="C25384" t="n">
        <v>0</v>
      </c>
      <c r="D25384" t="inlineStr">
        <is>
          <t>Bâton Beau; Amulette du Strigide; Alliance de Missiz Frizz; Bracelet du Piloztère; Quatre-feuilles; Ceinture du Strigide; Casque de Missiz Frizz; Cape de la Dame du Hasard; Bottes du Strigide; Dofus Turquoise; Dofus Ocre; Dofus Pourpre; Dofus des Glaces; Voyageur; Puissant majeur; Muldo Prune et Doré</t>
        </is>
      </c>
    </row>
    <row r="25385">
      <c r="A25385" t="inlineStr">
        <is>
          <t>Pvp</t>
        </is>
      </c>
      <c r="B25385">
        <f>HYPERLINK("https://www.dofusbook.net/fr/equipement/2204468-pvp/objets", "link")</f>
        <v/>
      </c>
      <c r="C25385" t="n">
        <v>0</v>
      </c>
      <c r="D25385" t="inlineStr">
        <is>
          <t>Arc corrompu; Amulette du Strigide; Alliance Gloursonne; Anneau Cryochrone; Quatre-feuilles; Ceinture du Strigide; Casquette de Meno; Cape de la Dame du Hasard; Pataugastrique; Dofus Pourpre; Dofus Turquoise; Dofus des Glaces; Vigoureux majeur; Nomade; Remueur; Muldo Indigo et Orchidée</t>
        </is>
      </c>
    </row>
    <row r="25386">
      <c r="A25386" t="inlineStr">
        <is>
          <t>Pvp</t>
        </is>
      </c>
      <c r="B25386">
        <f>HYPERLINK("https://www.dofusbook.net/fr/equipement/286753-pvp/objets", "link")</f>
        <v/>
      </c>
      <c r="C25386" t="n">
        <v>0</v>
      </c>
      <c r="D25386" t="inlineStr">
        <is>
          <t>Arc corrompu; Amulette Volcanique; Bague Gloursonne; Chevalière du Roi Joueur; Quatre-feuilles; Ceintacé; Chapeau de Gein; Voile d'encre; Bottes du Roi Joueur; Dofus Pourpre; Dofus Turquoise; Dofus des Glaces; Remueur; Vigoureux majeur; Muldo Pourpre</t>
        </is>
      </c>
    </row>
    <row r="25387">
      <c r="A25387" t="inlineStr">
        <is>
          <t>Dofus</t>
        </is>
      </c>
      <c r="B25387">
        <f>HYPERLINK("https://www.dofusbook.net/fr/equipement/2329046-dofus/objets", "link")</f>
        <v/>
      </c>
      <c r="C25387" t="n">
        <v>0</v>
      </c>
      <c r="D25387" t="inlineStr">
        <is>
          <t>Arc Nécrotique; Collier de la Dame du Hasard; Anneau Cryochrone; Alliance Gloursonne; Quatre-feuilles; Ceintacé; Casquette de Meno; Cape de la Dame du Hasard; Pataugastrique; Dofus Turquoise; Dofus Pourpre; Dofus des Glaces; Sanguinaire majeur; Vigoureux majeur; Nomade; Muldo Orchidée et Pourpre</t>
        </is>
      </c>
    </row>
    <row r="25388">
      <c r="A25388" t="inlineStr">
        <is>
          <t>a voir</t>
        </is>
      </c>
      <c r="B25388">
        <f>HYPERLINK("https://www.dofusbook.net/fr/equipement/1045889-a-voir/objets", "link")</f>
        <v/>
      </c>
      <c r="C25388" t="n">
        <v>0</v>
      </c>
      <c r="D25388" t="inlineStr">
        <is>
          <t>Arc Ahique; Collier du Valet Veinard; Gant du Valet Veinard; Alliance Gloursonne; Bouclier du Stalak; Ceinture de la Reine des Voleurs; Coiffe de la Reine des Voleurs; Cape du Valet Veinard; Bottes de la Reine des Voleurs; Dofus Pourpre; Dofus Ocre; Dofus des Glaces; Voyageur; Féroce majeur; Robuste majeur; Siroko</t>
        </is>
      </c>
    </row>
    <row r="25389">
      <c r="A25389" t="inlineStr">
        <is>
          <t>Stuff 1</t>
        </is>
      </c>
      <c r="B25389">
        <f>HYPERLINK("https://www.dofusbook.net/fr/equipement/286688-stuff-1/objets", "link")</f>
        <v/>
      </c>
      <c r="C25389" t="n">
        <v>2</v>
      </c>
      <c r="D25389" t="inlineStr">
        <is>
          <t>Harpelle; Talisman Igans; Bague Gloursonne; Anneau Tamie; Ceintrigue; Casquette de Meno; Voile d'encre; Pataugastrique; Dofus Pourpre; Dofus des Glaces; Remueur; Nomade; Dévastateur Feu majeur; Érudit majeur</t>
        </is>
      </c>
    </row>
    <row r="25390">
      <c r="A25390" t="inlineStr">
        <is>
          <t>Pvm</t>
        </is>
      </c>
      <c r="B25390">
        <f>HYPERLINK("https://www.dofusbook.net/fr/equipement/1265264-pvm/objets", "link")</f>
        <v/>
      </c>
      <c r="C25390" t="n">
        <v>0</v>
      </c>
      <c r="D25390" t="inlineStr">
        <is>
          <t>Arc corrompu; Pendentif affamé; Anneau Rifique; Anneauræus; Bouclier du Cycloïde; Ceinture Séculaire; Coiffe Séculaire; Cape de Diondin; Bottes Innommables; Dofus Turquoise; Nomade; Astucieux majeur; Érudit majeur; Dévastateur Feu majeur; Remueur; Dragodinde Prune et Emeraude</t>
        </is>
      </c>
    </row>
    <row r="25391">
      <c r="A25391" t="inlineStr">
        <is>
          <t>feu</t>
        </is>
      </c>
      <c r="B25391">
        <f>HYPERLINK("https://www.dofusbook.net/fr/equipement/931366-feu/objets", "link")</f>
        <v/>
      </c>
      <c r="C25391" t="n">
        <v>0</v>
      </c>
      <c r="D25391" t="inlineStr">
        <is>
          <t>Dagues Érhy; Pendentif mignon de Koutoulou; Bague Gloursonne; Anneau de Padgref; Bouclier du Cycloïde; Ceinture Séculaire; Coiffe Séculaire; Cape de Diondin; Sabots de Vortex; Dofus Turquoise; Dévastateur Feu majeur; Nomade; Érudit majeur; Miraculé majeur; Remueur; Dragodinde Prune et Emeraude</t>
        </is>
      </c>
    </row>
    <row r="25392">
      <c r="A25392" t="inlineStr">
        <is>
          <t>Pvm</t>
        </is>
      </c>
      <c r="B25392">
        <f>HYPERLINK("https://www.dofusbook.net/fr/equipement/1231226-pvm/objets", "link")</f>
        <v/>
      </c>
      <c r="C25392" t="n">
        <v>0</v>
      </c>
      <c r="D25392" t="inlineStr">
        <is>
          <t>Arc de Koutoulou; Amulette du Strigide; Alliance Gloursonne; Bracelet des Fonds marins; Quatre-feuilles; Ceinture du Strigide; Némès de Tal Kasha; Chevelure de Tal Kasha; Sandales de Tal Kasha; Dolmanax; Dofus Turquoise; Dofus Ocre; Dofus des Glaces; Dofus Nébuleux; Dofus Pourpre; Muldo Indigo</t>
        </is>
      </c>
    </row>
    <row r="25393">
      <c r="A25393" t="inlineStr">
        <is>
          <t>Pvp</t>
        </is>
      </c>
      <c r="B25393">
        <f>HYPERLINK("https://www.dofusbook.net/fr/equipement/2136986-pvp/objets", "link")</f>
        <v/>
      </c>
      <c r="C25393" t="n">
        <v>0</v>
      </c>
      <c r="D25393" t="inlineStr">
        <is>
          <t>Dagues d'Ilyzaelle; Amulette du Cœur Saignant; Anneau Chevelu; Bague Gloursonne; Bouclier Taverne; Ceinture de Gein; Chapeau de Gein; Cape du Cœur Saignant; Bottes du Cœur Saignant</t>
        </is>
      </c>
    </row>
    <row r="25394">
      <c r="A25394" t="inlineStr">
        <is>
          <t>Stuff 1</t>
        </is>
      </c>
      <c r="B25394">
        <f>HYPERLINK("https://www.dofusbook.net/fr/equipement/286670-stuff-1/objets", "link")</f>
        <v/>
      </c>
      <c r="C25394" t="n">
        <v>1</v>
      </c>
      <c r="D25394" t="inlineStr">
        <is>
          <t>Hache du Chalœil; Amulette du Strigide; Alliance Gloursonne; Bracelet du Piloztère; Bouclier Taverne; Ceintacé; Chapeau Lisson; Voile d'encre; Bottes du Strigide; Dofus des Glaces; Dofus Turquoise; Dofus Pourpre; Remueur; Nomade; Vigoureux majeur; Muldo Indigo et Pourpre</t>
        </is>
      </c>
    </row>
    <row r="25395">
      <c r="A25395" t="inlineStr">
        <is>
          <t>terre</t>
        </is>
      </c>
      <c r="B25395">
        <f>HYPERLINK("https://www.dofusbook.net/fr/equipement/2231617-terre/objets", "link")</f>
        <v/>
      </c>
      <c r="C25395" t="n">
        <v>0</v>
      </c>
      <c r="D25395" t="inlineStr">
        <is>
          <t>Ceintacé; Masque de Koutoulou</t>
        </is>
      </c>
    </row>
    <row r="25396">
      <c r="A25396" t="inlineStr">
        <is>
          <t>Pvm</t>
        </is>
      </c>
      <c r="B25396">
        <f>HYPERLINK("https://www.dofusbook.net/fr/equipement/1252185-pvm/objets", "link")</f>
        <v/>
      </c>
      <c r="C25396" t="n">
        <v>0</v>
      </c>
      <c r="D25396" t="inlineStr">
        <is>
          <t>Marteau R'ture; Amulette du Cœur Vaillant; Anneau Crustique; Bracelet du Piloztère; Sept ans de malheur; Ceinture de la Cour Sombre; Masque de Koutoulou; Cape de la Cour Sombre; Bottes du Cœur Saignant; Dofus Turquoise; Dofus Pourpre; Dofus des Glaces; Étourdisseur majeur; Enragé majeur; Remueur; Muldo Indigo et Pourpre</t>
        </is>
      </c>
    </row>
    <row r="25397">
      <c r="A25397" t="inlineStr">
        <is>
          <t>Pvm</t>
        </is>
      </c>
      <c r="B25397">
        <f>HYPERLINK("https://www.dofusbook.net/fr/equipement/1255614-pvm/objets", "link")</f>
        <v/>
      </c>
      <c r="C25397" t="n">
        <v>2</v>
      </c>
      <c r="D25397" t="inlineStr">
        <is>
          <t>Dagues d'Ilyzaelle; Amulette du Cœur Saignant; Anneau Crustique; Bague Gloursonne; Bouclier Taverne; Ceinture de la Reine des Voleurs; Masque de Koutoulou; Cape de la Cour Sombre; Bottes du Cœur Saignant; Dofus Turquoise; Dofus des Glaces; Dofus Pourpre; Vigoureux majeur; Remueur; Enragé majeur; Muldo Pourpre</t>
        </is>
      </c>
    </row>
    <row r="25398">
      <c r="A25398" t="inlineStr">
        <is>
          <t>Stuff 1</t>
        </is>
      </c>
      <c r="B25398">
        <f>HYPERLINK("https://www.dofusbook.net/fr/equipement/286671-stuff-1/objets", "link")</f>
        <v/>
      </c>
      <c r="C25398" t="n">
        <v>0</v>
      </c>
      <c r="D25398" t="inlineStr">
        <is>
          <t>Sabres d'Atcham; Amulette de l'Œil Putride; Anneau de Padgref; Alliance Gloursonne; Sept ans de malheur; Ceinture de Vortex; Cagoule de Vortex; Cape d'Atcham; Sandales  d'Atcham; Dofus Turquoise; Dofus Nébuleux; Dofus Ocre; Dofus Pourpre; Dofus des Glaces; Paralyseur majeur; Muldo Ebène</t>
        </is>
      </c>
    </row>
    <row r="25399">
      <c r="A25399" t="inlineStr">
        <is>
          <t>Pvp</t>
        </is>
      </c>
      <c r="B25399">
        <f>HYPERLINK("https://www.dofusbook.net/fr/equipement/2210952-pvp/objets", "link")</f>
        <v/>
      </c>
      <c r="C25399" t="n">
        <v>0</v>
      </c>
      <c r="D25399" t="inlineStr">
        <is>
          <t>Arc Nécrotique; Amulette de l'Œil Putride; Anneau Tique; Bracelet des Fonds marins; Bouclier cubiste; Ceintacé; Casquette de Meno; Cape de la Dame du Hasard; Bottes de Meno; Dofus des Glaces; Dofus Pourpre; Dofus Turquoise; Vigoureux majeur; Remueur; Temporiseur majeur; Muldo Ebène et Orchidée</t>
        </is>
      </c>
    </row>
    <row r="25400">
      <c r="A25400" t="inlineStr">
        <is>
          <t>soin</t>
        </is>
      </c>
      <c r="B25400">
        <f>HYPERLINK("https://www.dofusbook.net/fr/equipement/854087-soin/objets", "link")</f>
        <v/>
      </c>
      <c r="C25400" t="n">
        <v>0</v>
      </c>
      <c r="D25400" t="inlineStr">
        <is>
          <t>Baguette de Malléfisk; Pendentif affamé; Anneau Tique; Anneau de Nidas; Carapar; Ceinture de Vortex; Couronne de Nidas; Voile d'encre; Pataugastrique; Dofus des Glaces; Dofus Turquoise; Carapace Terre majeur; Érudit majeur; Guérisseur majeur; Remueur; Muldo Orchidée</t>
        </is>
      </c>
    </row>
    <row r="25401">
      <c r="A25401" t="inlineStr">
        <is>
          <t>Pvm</t>
        </is>
      </c>
      <c r="B25401">
        <f>HYPERLINK("https://www.dofusbook.net/fr/equipement/1268239-pvm/objets", "link")</f>
        <v/>
      </c>
      <c r="C25401" t="n">
        <v>0</v>
      </c>
      <c r="D25401" t="inlineStr">
        <is>
          <t>Masse Ossiale; Amulette Luminescente; Alliance Gloursonne; Bague Trithon; Bouclier précieux; Poulpagne; Masque Trithon; Cape des Malveilleurs; Bottes Owesli; Remueur; Pousseur majeur; Bousculeur; Bousculeur majeur; Culbuteur; Culbuteur majeur; Muldo Ebène et Indigo</t>
        </is>
      </c>
    </row>
    <row r="25402">
      <c r="A25402" t="inlineStr">
        <is>
          <t>Air feu cc</t>
        </is>
      </c>
      <c r="B25402">
        <f>HYPERLINK("https://www.dofusbook.net/fr/equipement/2204946-air-feu-cc/objets", "link")</f>
        <v/>
      </c>
      <c r="C25402" t="n">
        <v>0</v>
      </c>
      <c r="D25402" t="inlineStr">
        <is>
          <t>Sabres d'Atcham; Amulette du Strigide; Alliance Gloursonne; Anneau de Padgref; Bouclier du Captain Amakna; Ceinture du Strigide; Coiffe de Padgref; Cape d'Atcham; Getas de Padgref; Dofus Émeraude; Dofus Turquoise; Dolmanax; Dofus des Glaces; Dofus Ocre; Dofus Pourpre; Muldo Prune et Emeraude</t>
        </is>
      </c>
    </row>
    <row r="25403">
      <c r="A25403" t="inlineStr">
        <is>
          <t>Air feu cc</t>
        </is>
      </c>
      <c r="B25403">
        <f>HYPERLINK("https://www.dofusbook.net/fr/equipement/2204947-air-feu-cc/objets", "link")</f>
        <v/>
      </c>
      <c r="C25403" t="n">
        <v>0</v>
      </c>
      <c r="D25403" t="inlineStr"/>
    </row>
    <row r="25404">
      <c r="A25404" t="inlineStr">
        <is>
          <t>Stuff 1</t>
        </is>
      </c>
      <c r="B25404">
        <f>HYPERLINK("https://www.dofusbook.net/fr/equipement/286667-stuff-1/objets", "link")</f>
        <v/>
      </c>
      <c r="C25404" t="n">
        <v>2</v>
      </c>
      <c r="D25404" t="inlineStr">
        <is>
          <t>Arc Nécrotique; Amulette du Strigide; Bracelet du Piloztère; Alliance Gloursonne; Quatre-feuilles; Ceinture du Strigide; Casquette de Meno; Cape de la Dame du Hasard; Pataugastrique; Dolmanax; Dofus des Glaces; Dofus Pourpre; Dofus Turquoise; Remueur; Vigoureux majeur; Muldo Indigo et Orchidée</t>
        </is>
      </c>
    </row>
    <row r="25405">
      <c r="A25405" t="inlineStr">
        <is>
          <t>Eau ret pa</t>
        </is>
      </c>
      <c r="B25405">
        <f>HYPERLINK("https://www.dofusbook.net/fr/equipement/2204380-eau-ret-pa/objets", "link")</f>
        <v/>
      </c>
      <c r="C25405" t="n">
        <v>0</v>
      </c>
      <c r="D25405" t="inlineStr">
        <is>
          <t>Dagoulinantes; Amulette de l'Œil Attentif; Alliance Gloursonne; Bracelet des Fonds marins; Sept ans de malheur; Ceintacé; Némès de Tal Kasha; Chevelure de Tal Kasha; Pataugastrique; Dofus Pourpre; Dofus Turquoise; Dofus des Glaces; Étourdisseur majeur; Chanceux majeur; Nomade; Muldo Ebène et Indigo</t>
        </is>
      </c>
    </row>
    <row r="25406">
      <c r="A25406" t="inlineStr">
        <is>
          <t>Pvm</t>
        </is>
      </c>
      <c r="B25406">
        <f>HYPERLINK("https://www.dofusbook.net/fr/equipement/1768868-pvm/objets", "link")</f>
        <v/>
      </c>
      <c r="C25406" t="n">
        <v>0</v>
      </c>
      <c r="D25406" t="inlineStr">
        <is>
          <t>Dague Adou; Amulette du Strigide; Bague Trithon; Alliance Gloursonne; Bouclier Taverne; Ceintacé; Chapeau Lisson; Chevelure de Tal Kasha; Bottes du Strigide; Dofus Turquoise; Dofus des Glaces; Dofus Pourpre; Dofus Nébuleux; Remueur; Nomade; Muldo Ebène et Orchidée</t>
        </is>
      </c>
    </row>
    <row r="25407">
      <c r="A25407" t="inlineStr">
        <is>
          <t>Pvp eau air</t>
        </is>
      </c>
      <c r="B25407">
        <f>HYPERLINK("https://www.dofusbook.net/fr/equipement/1872024-pvp-eau-air/objets", "link")</f>
        <v/>
      </c>
      <c r="C25407" t="n">
        <v>0</v>
      </c>
      <c r="D25407" t="inlineStr">
        <is>
          <t>Pelle Fik; Amulette du Strigide; Alliance Gloursonne; Bracelet des Fonds marins; Bouclier Taverne; Ceinture du Strigide; Némès de Tal Kasha; Chevelure de Tal Kasha; Sandales de Tal Kasha; Dofus Ocre; Dofus Nébuleux; Dofus Émeraude; Dofus Turquoise; Dofus Pourpre; Dofus des Glaces; Muldo Ebène et Indigo</t>
        </is>
      </c>
    </row>
    <row r="25408">
      <c r="A25408" t="inlineStr">
        <is>
          <t>Feu pvp</t>
        </is>
      </c>
      <c r="B25408">
        <f>HYPERLINK("https://www.dofusbook.net/fr/equipement/2204194-feu-pvp/objets", "link")</f>
        <v/>
      </c>
      <c r="C25408" t="n">
        <v>1</v>
      </c>
      <c r="D25408" t="inlineStr">
        <is>
          <t>Baguette de Malléfisk; Pendentif affamé; Anneau Tique; Anneau de Nidas; Carapar; Ceinture de Vortex; Couronne de Nidas; Cape de Diondin; Bottes de Théodoran Ax; Dofus des Glaces; Guérisseur majeur; Carapace Eau majeur; Remueur; Carapace Terre majeur; Érudit majeur; Muldo Orchidée</t>
        </is>
      </c>
    </row>
    <row r="25409">
      <c r="A25409" t="inlineStr">
        <is>
          <t>eau pvp</t>
        </is>
      </c>
      <c r="B25409">
        <f>HYPERLINK("https://www.dofusbook.net/fr/equipement/2200627-eau-pvp-/objets", "link")</f>
        <v/>
      </c>
      <c r="C25409" t="n">
        <v>0</v>
      </c>
      <c r="D25409" t="inlineStr">
        <is>
          <t>Rapière aux Glyphes; Amulette de l'Œil Attentif; Alliance Gloursonne; Bracelet des Fonds marins; Bouclier d'Ilyzaelle; Poulpagne; Masque des Fonds marins; Cape de la Dame du Hasard; Bottes du Sinistrofu; Dofus Nébuleux; Dofus Pourpre; Dofus Turquoise; Remueur; Chanceux majeur; Muldo Ebène et Indigo</t>
        </is>
      </c>
    </row>
    <row r="25410">
      <c r="A25410" t="inlineStr">
        <is>
          <t>Terre air.</t>
        </is>
      </c>
      <c r="B25410">
        <f>HYPERLINK("https://www.dofusbook.net/fr/equipement/1335343-terre-air--/objets", "link")</f>
        <v/>
      </c>
      <c r="C25410" t="n">
        <v>0</v>
      </c>
      <c r="D25410" t="inlineStr">
        <is>
          <t>Héqache; Amulette du Cœur Vaillant; Anneau Crustique; Alliance Gloursonne; Sept ans de malheur; Menoture; Chapoulpe; Cape de la Cour Sombre; Bottes du Cœur Vaillant; Dofus des Glaces; Dofus Pourpre; Dofus Turquoise; Vigoureux majeur; Nomade; Étourdisseur majeur; Muldo Ebène</t>
        </is>
      </c>
    </row>
    <row r="25411">
      <c r="A25411" t="inlineStr">
        <is>
          <t>air</t>
        </is>
      </c>
      <c r="B25411">
        <f>HYPERLINK("https://www.dofusbook.net/fr/equipement/2165158-air/objets", "link")</f>
        <v/>
      </c>
      <c r="C25411" t="n">
        <v>3</v>
      </c>
      <c r="D25411" t="inlineStr">
        <is>
          <t>Manthache; Amulette du Cœur Vaillant; Alliance Gloursonne; Anneau des égarés; Sept ans de malheur; Menoture; Masque du Granduk; Cape Matelassée; Bottes du Cœur Vaillant; Cascadeur majeur; Étourdisseur; Étourdisseur majeur; Carapace Eau majeur; Nomade; Engourdisseur majeur; Muldo Ebène</t>
        </is>
      </c>
    </row>
    <row r="25412">
      <c r="A25412" t="inlineStr">
        <is>
          <t>terre feu</t>
        </is>
      </c>
      <c r="B25412">
        <f>HYPERLINK("https://www.dofusbook.net/fr/equipement/2164974-terre-feu-/objets", "link")</f>
        <v/>
      </c>
      <c r="C25412" t="n">
        <v>0</v>
      </c>
      <c r="D25412" t="inlineStr">
        <is>
          <t>Hache Téroïde; Amulette du Strigide; Bague Gloursonne; Chevalière du Roi Joueur; Quatre-feuilles; Ceintacé; Chapeau de Gein; Voile d'encre; Bottes du Strigide; Dofus Turquoise; Dofus des Glaces; Dofus Pourpre; Dofus Nébuleux; Remueur; Nomade; Muldo Prune et Doré</t>
        </is>
      </c>
    </row>
    <row r="25413">
      <c r="A25413" t="inlineStr">
        <is>
          <t>pvp</t>
        </is>
      </c>
      <c r="B25413">
        <f>HYPERLINK("https://www.dofusbook.net/fr/equipement/919040-pvp/objets", "link")</f>
        <v/>
      </c>
      <c r="C25413" t="n">
        <v>1</v>
      </c>
      <c r="D25413" t="inlineStr">
        <is>
          <t>Marteau R'ture; Amulette du Cœur Saignant; Anneau de Brouce; Alliance de Missiz Frizz; Bouclier Taverne; Ceinture de Brouce; Casque de Missiz Frizz; Cape du Cœur Saignant; Bottes de Brouce; Dofus Ocre; Dofus Abyssal; Dofus Vulbis; Dofus des Glaces; Dofus Turquoise; Dofus Nébuleux; Muldo Indigo et Pourpre</t>
        </is>
      </c>
    </row>
    <row r="25414">
      <c r="A25414" t="inlineStr">
        <is>
          <t>terre ret pa</t>
        </is>
      </c>
      <c r="B25414">
        <f>HYPERLINK("https://www.dofusbook.net/fr/equipement/2160218-terre-ret-pa/objets", "link")</f>
        <v/>
      </c>
      <c r="C25414" t="n">
        <v>0</v>
      </c>
      <c r="D25414" t="inlineStr">
        <is>
          <t>Marteau R'ture; Amulette du Cœur Vaillant; Anneau Crustique; Anneau Crustique; Sept ans de malheur; Ceinture de la Cour Sombre; Masque de Koutoulou; Cape du Cœur Vaillant; Sabots Minables; Dofus Nébuleux; Dofus des Glaces; Dofus Pourpre; Dofus Turquoise; Étourdisseur majeur; Enragé majeur; Muldo Pourpre</t>
        </is>
      </c>
    </row>
    <row r="25415">
      <c r="A25415" t="inlineStr">
        <is>
          <t>pvp resi</t>
        </is>
      </c>
      <c r="B25415">
        <f>HYPERLINK("https://www.dofusbook.net/fr/equipement/2152436-pvp-resi-/objets", "link")</f>
        <v/>
      </c>
      <c r="C25415" t="n">
        <v>0</v>
      </c>
      <c r="D25415" t="inlineStr">
        <is>
          <t>Collier du Valet Veinard; Alliance Gloursonne; Gant du Valet Veinard; Bouclier du Stalak; Menoture; Casque Dragoeuf; Cape Matelassée; Palmes Trithons; Dofus des Glaces; Carapace Air majeur; Fonceur majeur; Carapace Feu majeur; Carapace Eau majeur; Cascadeur majeur; Muldo Ebène</t>
        </is>
      </c>
    </row>
    <row r="25416">
      <c r="A25416" t="inlineStr">
        <is>
          <t>pvp</t>
        </is>
      </c>
      <c r="B25416">
        <f>HYPERLINK("https://www.dofusbook.net/fr/equipement/2152234-pvp/objets", "link")</f>
        <v/>
      </c>
      <c r="C25416" t="n">
        <v>0</v>
      </c>
      <c r="D25416" t="inlineStr">
        <is>
          <t>Hache du Chalœil; Amulette du Strigide; Chevalière du Roi Joueur; Alliance Gloursonne; Quatre-feuilles; Ceintacé; Le Dorado; Cape de la Dame du Hasard; Bottes du Strigide; Dofus Pourpre; Dofus Turquoise; Nomade; Vigoureux majeur; Remueur; Muldo Prune et Emeraude</t>
        </is>
      </c>
    </row>
    <row r="25417">
      <c r="A25417" t="inlineStr">
        <is>
          <t>Terre ret pa</t>
        </is>
      </c>
      <c r="B25417">
        <f>HYPERLINK("https://www.dofusbook.net/fr/equipement/2143511-terre-ret-pa/objets", "link")</f>
        <v/>
      </c>
      <c r="C25417" t="n">
        <v>0</v>
      </c>
      <c r="D25417" t="inlineStr">
        <is>
          <t>Marteau R'ture; Amulette du Cœur Vaillant; Anneau Crustique; Anneau Crustique; Sept ans de malheur; Ceinture de la Cour Sombre; Masque de Koutoulou; Cape de la Cour Sombre; Chaussons du Comte Razof; Dofus Pourpre; Dofus Turquoise; Obstructeur majeur; Étourdisseur majeur; Remueur; Enragé majeur; Muldo Pourpre</t>
        </is>
      </c>
    </row>
    <row r="25418">
      <c r="A25418" t="inlineStr">
        <is>
          <t>Pvp feu</t>
        </is>
      </c>
      <c r="B25418">
        <f>HYPERLINK("https://www.dofusbook.net/fr/equipement/2135443-pvp-feu/objets", "link")</f>
        <v/>
      </c>
      <c r="C25418" t="n">
        <v>0</v>
      </c>
      <c r="D25418" t="inlineStr">
        <is>
          <t>Baguette de Malléfisk; Amulette d'Otomaï; Bague Gloursonne; Anneau de Nidas; Carapar; Ceinture de Vortex; Couronne de Nidas; Voile d'encre; Pataugastrique; Carapace Terre majeur; Docteur majeur; Guérisseur majeur; Remueur; Érudit majeur; Muldo Orchidée et Pourpre</t>
        </is>
      </c>
    </row>
    <row r="25419">
      <c r="A25419" t="inlineStr">
        <is>
          <t>Nouveau items</t>
        </is>
      </c>
      <c r="B25419">
        <f>HYPERLINK("https://www.dofusbook.net/fr/equipement/1937377-nouveau-items-/objets", "link")</f>
        <v/>
      </c>
      <c r="C25419" t="n">
        <v>0</v>
      </c>
      <c r="D25419" t="inlineStr">
        <is>
          <t>Pelle de la Cour Sombre; Collier du Valet Veinard; Alliance Gloursonne; Gant du Valet Veinard; Bouclier du Stalak; Ceinture de l'Esprit Salvateur; Masque de l'Esprit Salvateur; Cape du Valet Veinard; Bottes de l'Esprit Salvateur; Dofus Ocre; Dofus des Glaces; Dofus Pourpre; Robuste majeur; Féroce majeur; Equilibriste majeur; Muldo Ebène</t>
        </is>
      </c>
    </row>
    <row r="25420">
      <c r="A25420" t="inlineStr">
        <is>
          <t>Pvp terre air</t>
        </is>
      </c>
      <c r="B25420">
        <f>HYPERLINK("https://www.dofusbook.net/fr/equipement/2122270-pvp-terre-air/objets", "link")</f>
        <v/>
      </c>
      <c r="C25420" t="n">
        <v>0</v>
      </c>
      <c r="D25420" t="inlineStr">
        <is>
          <t>Héqache; Amulette du Cœur Vaillant; Alliance Gloursonne; Bracelet du Piloztère; Bouclier Taverne; Menoture; Masque de Koutoulou; Cape de la Cour Sombre; Bottes du Cœur Vaillant; Dofus Abyssal; Dofus Pourpre; Dolmanax; Dofus Turquoise; Dofus des Glaces; Vigoureux majeur; Muldo Indigo et Pourpre</t>
        </is>
      </c>
    </row>
    <row r="25421">
      <c r="A25421" t="inlineStr">
        <is>
          <t>Feu</t>
        </is>
      </c>
      <c r="B25421">
        <f>HYPERLINK("https://www.dofusbook.net/fr/equipement/2118143-feu/objets", "link")</f>
        <v/>
      </c>
      <c r="C25421" t="n">
        <v>0</v>
      </c>
      <c r="D25421" t="inlineStr">
        <is>
          <t>Arc corrompu; Pendentif affamé; Anneauræus; Chevalière du Roi Joueur; Quatre-feuilles; Ceinture Séculaire; Coiffe Séculaire; Cape de Diondin; Pataugastrique; Dofus des Glaces; Dofus Pourpre; Dofus Nébuleux; Dofus Turquoise; Nomade; Fonceur majeur; Brûlih</t>
        </is>
      </c>
    </row>
    <row r="25422">
      <c r="A25422" t="inlineStr">
        <is>
          <t>Eau</t>
        </is>
      </c>
      <c r="B25422">
        <f>HYPERLINK("https://www.dofusbook.net/fr/equipement/2039975-eau/objets", "link")</f>
        <v/>
      </c>
      <c r="C25422" t="n">
        <v>0</v>
      </c>
      <c r="D25422" t="inlineStr">
        <is>
          <t>Rapière aux Glyphes; Amulette de l'Œil Attentif; Bracelet des Fonds marins; Alliance Gloursonne; Bouclier Taverne; Ceinture Luminescente; Capuche de l'Œil Attentif; Cape Solution; Chaussons de Macrab; Dofus Turquoise; Dofus Pourpre; Dofus Nébuleux; Remueur; Muldo Indigo</t>
        </is>
      </c>
    </row>
    <row r="25423">
      <c r="A25423" t="inlineStr">
        <is>
          <t>Eau feu</t>
        </is>
      </c>
      <c r="B25423">
        <f>HYPERLINK("https://www.dofusbook.net/fr/equipement/2108546-eau-feu/objets", "link")</f>
        <v/>
      </c>
      <c r="C25423" t="n">
        <v>0</v>
      </c>
      <c r="D25423" t="inlineStr">
        <is>
          <t>Épée Brûlâme; Collier de la Dame du Hasard; Bague Trithon; Bracelet des Fonds marins; Bouclier Taverne; Ceintacé; Masque Trithon; Cape de la Dame du Hasard; Bottes de la Dame du Hasard; Dolmanax; Dofus Ocre; Dofus Pourpre; Dofus des Glaces; Dofus Turquoise; Dofus Nébuleux; Muldo Prune et Emeraude</t>
        </is>
      </c>
    </row>
    <row r="25424">
      <c r="A25424" t="inlineStr">
        <is>
          <t>Pvp terre air 2</t>
        </is>
      </c>
      <c r="B25424">
        <f>HYPERLINK("https://www.dofusbook.net/fr/equipement/2092303-pvp-terre-air-2/objets", "link")</f>
        <v/>
      </c>
      <c r="C25424" t="n">
        <v>0</v>
      </c>
      <c r="D25424" t="inlineStr">
        <is>
          <t>Héqache; Amulette du Kamasterisk; Alliance Gloursonne; Anneau des égarés; Masque de Koutoulou; Cape du Kamasterisk; Bottes du Strigide</t>
        </is>
      </c>
    </row>
    <row r="25425">
      <c r="A25425" t="inlineStr">
        <is>
          <t>Eau feu</t>
        </is>
      </c>
      <c r="B25425">
        <f>HYPERLINK("https://www.dofusbook.net/fr/equipement/2091694-eau-feu-/objets", "link")</f>
        <v/>
      </c>
      <c r="C25425" t="n">
        <v>0</v>
      </c>
      <c r="D25425" t="inlineStr">
        <is>
          <t>Épée Brûlâme; Collier de la Dame du Hasard; Alliance Gloursonne; Anneau Tique; Bouclier du Captain Amakna; Ceinture de l'Esprit Malsain; Casquette de Meno; Cape de la Dame du Hasard; Pataugastrique; Dofus Pourpre; Dofus Turquoise; Dofus des Glaces; Remueur; Nomade; Vigoureux majeur; Muldo Orchidée</t>
        </is>
      </c>
    </row>
    <row r="25426">
      <c r="A25426" t="inlineStr">
        <is>
          <t>Pvp terre air</t>
        </is>
      </c>
      <c r="B25426">
        <f>HYPERLINK("https://www.dofusbook.net/fr/equipement/2086391-pvp-terre-air/objets", "link")</f>
        <v/>
      </c>
      <c r="C25426" t="n">
        <v>0</v>
      </c>
      <c r="D25426" t="inlineStr">
        <is>
          <t>Lance corrompue; Amulette du Cœur Vaillant; Alliance Gloursonne; Anneau des égarés; Bouclier du Stalak; Menoture; Coiffe de la Reine des Voleurs; Cape du Kamasterisk; Bottes de la Reine des Voleurs; Dofus Pourpre; Dofus des Glaces; Fonceur majeur; Carapace Eau majeur; Remueur; Vigoureux majeur; Muldo Ebène et Pourpre</t>
        </is>
      </c>
    </row>
    <row r="25427">
      <c r="A25427" t="inlineStr">
        <is>
          <t>Pvp eau</t>
        </is>
      </c>
      <c r="B25427">
        <f>HYPERLINK("https://www.dofusbook.net/fr/equipement/2080647-pvp-eau/objets", "link")</f>
        <v/>
      </c>
      <c r="C25427" t="n">
        <v>1</v>
      </c>
      <c r="D25427" t="inlineStr">
        <is>
          <t>Arc Ontanporin; Amulette de l'Œil Attentif; Alliance Gloursonne; Bracelet des Fonds marins; Quatre-feuilles; Ceintacé; Capuche de l'Œil Attentif; Cape de l'Œil Attentif; Sandales des Fonds marins; Dofus Émeraude; Dokoko; Dofus Pourpre; Dofus des Glaces; Dofus Turquoise; Dofus Abyssal; Muldo Ebène et Indigo</t>
        </is>
      </c>
    </row>
    <row r="25428">
      <c r="A25428" t="inlineStr">
        <is>
          <t>Pvp feu</t>
        </is>
      </c>
      <c r="B25428">
        <f>HYPERLINK("https://www.dofusbook.net/fr/equipement/2080633-pvp-feu/objets", "link")</f>
        <v/>
      </c>
      <c r="C25428" t="n">
        <v>0</v>
      </c>
      <c r="D25428" t="inlineStr">
        <is>
          <t>Arc Hétype; Amulette d'Otomaï; Bague Gloursonne; Anneauræus; Quatre-feuilles; Ceinture Séculaire; Coiffe Séculaire; Voile d'encre; Pataugastrique; Dofus Turquoise; Dofus Nébuleux; Dofus des Glaces; Dofus Pourpre; Érudit majeur; Remueur; Muldo Orchidée et Pourpre</t>
        </is>
      </c>
    </row>
    <row r="25429">
      <c r="A25429" t="inlineStr">
        <is>
          <t>Eau air no cc</t>
        </is>
      </c>
      <c r="B25429">
        <f>HYPERLINK("https://www.dofusbook.net/fr/equipement/2070388-eau-air-no-cc/objets", "link")</f>
        <v/>
      </c>
      <c r="C25429" t="n">
        <v>0</v>
      </c>
      <c r="D25429" t="inlineStr">
        <is>
          <t>Epée Loponèze; Amulette d'Ilyzaelle; Alliance Gloursonne; Gant du Valet Veinard; Bouclier d'Ilyzaelle; Ceinture de l'Esprit Salvateur; Casque d'Ilyzaelle; Cape du Valet Veinard; Bottes de l'Esprit Salvateur; Dofus Pourpre; Dofus Ocre; Dofus Émeraude; Dofus des Glaces; Equilibriste majeur; Robuste majeur; Muldo Ebène</t>
        </is>
      </c>
    </row>
    <row r="25430">
      <c r="A25430" t="inlineStr">
        <is>
          <t>Roxx ret eau</t>
        </is>
      </c>
      <c r="B25430">
        <f>HYPERLINK("https://www.dofusbook.net/fr/equipement/1962816-roxx-ret-eau/objets", "link")</f>
        <v/>
      </c>
      <c r="C25430" t="n">
        <v>0</v>
      </c>
      <c r="D25430" t="inlineStr">
        <is>
          <t>Dagues d'Ilyzaelle; Amulette du Cœur Saignant; Pikano; Bouclier cubiste; Ceinture Luminescente; Masque de Koutoulou; Cape du Cœur Saignant; Bottes du Kamasterisk; Ralentisseur majeur; Entraveur majeur</t>
        </is>
      </c>
    </row>
    <row r="25431">
      <c r="A25431" t="inlineStr">
        <is>
          <t>Pvp</t>
        </is>
      </c>
      <c r="B25431">
        <f>HYPERLINK("https://www.dofusbook.net/fr/equipement/1995431-pvp/objets", "link")</f>
        <v/>
      </c>
      <c r="C25431" t="n">
        <v>2</v>
      </c>
      <c r="D25431" t="inlineStr">
        <is>
          <t>Manthache; Collier du Valet Veinard; Anneau Crustique; Alliance Gloursonne; Sept ans de malheur; Menoture; Chapoulpe; Cape Matelassée; Tentassons; Dofus Pourpre; Étourdisseur majeur; Cascadeur majeur; Carapace Air majeur; Vigoureux majeur; Nomade; Muldo Ebène</t>
        </is>
      </c>
    </row>
    <row r="25432">
      <c r="A25432" t="inlineStr">
        <is>
          <t>pvm</t>
        </is>
      </c>
      <c r="B25432">
        <f>HYPERLINK("https://www.dofusbook.net/fr/equipement/1287215-pvm/objets", "link")</f>
        <v/>
      </c>
      <c r="C25432" t="n">
        <v>1</v>
      </c>
      <c r="D25432" t="inlineStr">
        <is>
          <t>Arc Nécrotique; Amulette du Strigide; Anneau Cryochrone; Bracelet du Piloztère; Quatre-feuilles; Ceintacé; Casquette de Meno; Cape de la Dame du Hasard; Bottes de Meno</t>
        </is>
      </c>
    </row>
    <row r="25433">
      <c r="A25433" t="inlineStr">
        <is>
          <t>Eau feu</t>
        </is>
      </c>
      <c r="B25433">
        <f>HYPERLINK("https://www.dofusbook.net/fr/equipement/1967165-eau-feu/objets", "link")</f>
        <v/>
      </c>
      <c r="C25433" t="n">
        <v>0</v>
      </c>
      <c r="D25433" t="inlineStr">
        <is>
          <t>Épée Brûlâme; Amulette du Strigide; Anneau Kturne; Anneau Cryochrone; Bouclier du Captain Amakna; Ceinture du Strigide; Casquette de Meno; Cape de la Dame du Hasard; Pataugastrique; Dofus Pourpre; Dofus Turquoise; Dofus des Glaces; Nomade; Vigoureux majeur; Remueur; Muldo Prune et Emeraude</t>
        </is>
      </c>
    </row>
    <row r="25434">
      <c r="A25434" t="inlineStr">
        <is>
          <t>Roxx retrait</t>
        </is>
      </c>
      <c r="B25434">
        <f>HYPERLINK("https://www.dofusbook.net/fr/equipement/1926440-roxx-retrait/objets", "link")</f>
        <v/>
      </c>
      <c r="C25434" t="n">
        <v>0</v>
      </c>
      <c r="D25434" t="inlineStr">
        <is>
          <t>Arc Hétype; Collier de la Dame du Hasard; Anneau Tamie; Anneau Tamie; Bouclier cubiste; Ceinture Hanium; Casquette de Meno; Cape de Diondin; Bottes de Meno; Ralentisseur majeur; Temporiseur majeur; Entraveur majeur; Remueur; Nomade; Érudit majeur; Dragodinde Amande et Orchidée</t>
        </is>
      </c>
    </row>
    <row r="25435">
      <c r="A25435" t="inlineStr">
        <is>
          <t>Eau</t>
        </is>
      </c>
      <c r="B25435">
        <f>HYPERLINK("https://www.dofusbook.net/fr/equipement/1961545-eau/objets", "link")</f>
        <v/>
      </c>
      <c r="C25435" t="n">
        <v>0</v>
      </c>
      <c r="D25435" t="inlineStr">
        <is>
          <t>Baguette Hique; Amulette de Shokkoth; Alliance Gloursonne; Bracelet des Fonds marins; Quatre-feuilles; Ceinture Luminescente; Capuche de l'Œil Attentif; Cape Solution; Sandales des Fonds marins; Dofus Turquoise; Dofus Pourpre; Remueur; Chanceux majeur; Muldo Indigo</t>
        </is>
      </c>
    </row>
    <row r="25436">
      <c r="A25436" t="inlineStr">
        <is>
          <t>Terre</t>
        </is>
      </c>
      <c r="B25436">
        <f>HYPERLINK("https://www.dofusbook.net/fr/equipement/1961309-terre/objets", "link")</f>
        <v/>
      </c>
      <c r="C25436" t="n">
        <v>0</v>
      </c>
      <c r="D25436" t="inlineStr">
        <is>
          <t>Arc du Chalœil; Amulette du Cœur Saignant; Alliance de Missiz Frizz; Anneau de Brouce; Quatre-feuilles; Ceinture de Brouce; Casque de Missiz Frizz; Cape du Cœur Saignant; Bottes de Brouce; Dofus Ocre; Dofus Pourpre; Dofus des Glaces; Dofus Turquoise; Furibond majeur; Forcené majeur; Muldo Prune et Doré</t>
        </is>
      </c>
    </row>
    <row r="25437">
      <c r="A25437" t="inlineStr">
        <is>
          <t>Terre</t>
        </is>
      </c>
      <c r="B25437">
        <f>HYPERLINK("https://www.dofusbook.net/fr/equipement/1961310-terre/objets", "link")</f>
        <v/>
      </c>
      <c r="C25437" t="n">
        <v>0</v>
      </c>
      <c r="D25437" t="inlineStr"/>
    </row>
    <row r="25438">
      <c r="A25438" t="inlineStr">
        <is>
          <t>Terre</t>
        </is>
      </c>
      <c r="B25438">
        <f>HYPERLINK("https://www.dofusbook.net/fr/equipement/1942315-terre/objets", "link")</f>
        <v/>
      </c>
      <c r="C25438" t="n">
        <v>1</v>
      </c>
      <c r="D25438" t="inlineStr">
        <is>
          <t>Dagues du Dragoeuf; Amulette du Cœur Saignant; Anneau de Brouce; Alliance de Missiz Frizz; Bouclier du Captain Amakna; Ceinture de Brouce; Casque de Missiz Frizz; Cape du Cœur Saignant; Bottes de Brouce; Dofus Pourpre; Dofus Turquoise; Dofus Ocre; Dofus des Glaces; Forcené majeur; Puissant majeur; Muldo Prune et Doré</t>
        </is>
      </c>
    </row>
    <row r="25439">
      <c r="A25439" t="inlineStr">
        <is>
          <t>Full ret</t>
        </is>
      </c>
      <c r="B25439">
        <f>HYPERLINK("https://www.dofusbook.net/fr/equipement/1934204-full-ret/objets", "link")</f>
        <v/>
      </c>
      <c r="C25439" t="n">
        <v>0</v>
      </c>
      <c r="D25439" t="inlineStr"/>
    </row>
    <row r="25440">
      <c r="A25440" t="inlineStr">
        <is>
          <t>Full ret</t>
        </is>
      </c>
      <c r="B25440">
        <f>HYPERLINK("https://www.dofusbook.net/fr/equipement/1934201-full-ret/objets", "link")</f>
        <v/>
      </c>
      <c r="C25440" t="n">
        <v>0</v>
      </c>
      <c r="D25440" t="inlineStr"/>
    </row>
    <row r="25441">
      <c r="A25441" t="inlineStr">
        <is>
          <t>Full ret</t>
        </is>
      </c>
      <c r="B25441">
        <f>HYPERLINK("https://www.dofusbook.net/fr/equipement/1934200-full-ret/objets", "link")</f>
        <v/>
      </c>
      <c r="C25441" t="n">
        <v>0</v>
      </c>
      <c r="D25441" t="inlineStr"/>
    </row>
    <row r="25442">
      <c r="A25442" t="inlineStr">
        <is>
          <t>Full ret</t>
        </is>
      </c>
      <c r="B25442">
        <f>HYPERLINK("https://www.dofusbook.net/fr/equipement/1934199-full-ret/objets", "link")</f>
        <v/>
      </c>
      <c r="C25442" t="n">
        <v>0</v>
      </c>
      <c r="D25442" t="inlineStr"/>
    </row>
    <row r="25443">
      <c r="A25443" t="inlineStr">
        <is>
          <t>Feu pvm</t>
        </is>
      </c>
      <c r="B25443">
        <f>HYPERLINK("https://www.dofusbook.net/fr/equipement/1811427-feu-pvm/objets", "link")</f>
        <v/>
      </c>
      <c r="C25443" t="n">
        <v>1</v>
      </c>
      <c r="D25443" t="inlineStr">
        <is>
          <t>Baguette Hique; Collier de la Dame du Hasard; Pikano; Anneau Tamie; Bouclier cubiste; Ceinture de Kongoku; Casquipik; Pantoufles Émar; Entraveur; Temporiseur majeur; Remueur; Ralentisseur majeur; Temporiseur; Entraveur majeur; Dragodinde Prune et Emeraude</t>
        </is>
      </c>
    </row>
    <row r="25444">
      <c r="A25444" t="inlineStr">
        <is>
          <t>Pvm2</t>
        </is>
      </c>
      <c r="B25444">
        <f>HYPERLINK("https://www.dofusbook.net/fr/equipement/1325278-pvm2/objets", "link")</f>
        <v/>
      </c>
      <c r="C25444" t="n">
        <v>0</v>
      </c>
      <c r="D25444" t="inlineStr">
        <is>
          <t>Hache du Chalœil; Amulette du Strigide; Alliance du Lévitrof; Bracelet du Piloztère; Quatre-feuilles; Ceinture du Strigide; Bonnet Ko; Cape Peupret; Bottes du Chalœil; Dofus Ocre; Dofus Pourpre; Dofus des Glaces; Dofus Turquoise; Remueur; Nomade; Muldo Prune et Doré</t>
        </is>
      </c>
    </row>
    <row r="25445">
      <c r="A25445" t="inlineStr">
        <is>
          <t>Stuff 3</t>
        </is>
      </c>
      <c r="B25445">
        <f>HYPERLINK("https://www.dofusbook.net/fr/equipement/286687-stuff-3/objets", "link")</f>
        <v/>
      </c>
      <c r="C25445" t="n">
        <v>0</v>
      </c>
      <c r="D25445" t="inlineStr">
        <is>
          <t>Dagoulinantes; Amulette de Shokkoth; Bracelet des Fonds marins; Alliance Gloursonne; Quatre-feuilles; Poulpagne; Kidibonnet; Cape de Mantaze; Sandales des Fonds marins; Dofus Pourpre; Dofus Turquoise; Carapace Air majeur; Carapace Terre majeur; Carapace Eau majeur; Chanceux majeur; Muldo Indigo</t>
        </is>
      </c>
    </row>
    <row r="25446">
      <c r="A25446" t="inlineStr">
        <is>
          <t>Stuff 3</t>
        </is>
      </c>
      <c r="B25446">
        <f>HYPERLINK("https://www.dofusbook.net/fr/equipement/286690-stuff-3/objets", "link")</f>
        <v/>
      </c>
      <c r="C25446" t="n">
        <v>0</v>
      </c>
      <c r="D25446" t="inlineStr">
        <is>
          <t>Hache du Chalœil; Amulette Luminescente; Bracelet du Piloztère; Chevalière du Roi Joueur; Quatre-feuilles; Ceinture Luminescente; Couronne du Roi Joueur; Cape Luminescente; Bottes du Roi Joueur; Dolmanax; Dofus Turquoise; Dofus des Glaces; Dofus Pourpre; Dofus Ocre; Puissant majeur; Muldo Prune et Doré</t>
        </is>
      </c>
    </row>
    <row r="25447">
      <c r="A25447" t="inlineStr">
        <is>
          <t>Stuff 1</t>
        </is>
      </c>
      <c r="B25447">
        <f>HYPERLINK("https://www.dofusbook.net/fr/equipement/286646-stuff-1/objets", "link")</f>
        <v/>
      </c>
      <c r="C25447" t="n">
        <v>0</v>
      </c>
      <c r="D25447" t="inlineStr">
        <is>
          <t>Amulette Luminescente; Bracelet du Piloztère; Bague Trithon; Ceinture Luminescente; Masque Trithon; Cape Luminescente; Bottes Trithon; Dofus Ocre; Dofus Pourpre; Dofus des Glaces; Dolmanax; Dofus Turquoise; Puissant majeur</t>
        </is>
      </c>
    </row>
    <row r="25448">
      <c r="A25448" t="inlineStr">
        <is>
          <t>Stuff 2</t>
        </is>
      </c>
      <c r="B25448">
        <f>HYPERLINK("https://www.dofusbook.net/fr/equipement/286689-stuff-2/objets", "link")</f>
        <v/>
      </c>
      <c r="C25448" t="n">
        <v>0</v>
      </c>
      <c r="D25448" t="inlineStr">
        <is>
          <t>Hache du Chalœil; Amulette du Strigide; Bracelet du Piloztère; Quatre-feuilles; Ceinture du Strigide; Bonnet Ko; Cape des Malveilleurs; Bottes du Strigide; Dofus Pourpre; Dofus Turquoise; Dofus Ocre; Dolmanax; Dofus des Glaces; Puissant majeur; Muldo Prune et Doré</t>
        </is>
      </c>
    </row>
    <row r="25449">
      <c r="A25449" t="inlineStr">
        <is>
          <t>Tank</t>
        </is>
      </c>
      <c r="B25449">
        <f>HYPERLINK("https://www.dofusbook.net/fr/equipement/1871650-tank/objets", "link")</f>
        <v/>
      </c>
      <c r="C25449" t="n">
        <v>0</v>
      </c>
      <c r="D25449" t="inlineStr">
        <is>
          <t>Rouleau à Pâtisserie d'Aermyne; Alliance Gloursonne; Bague Gloursonne; Coiffe d'Aermyne; Cape d'Aermyne</t>
        </is>
      </c>
    </row>
    <row r="25450">
      <c r="A25450" t="inlineStr">
        <is>
          <t>Touch</t>
        </is>
      </c>
      <c r="B25450">
        <f>HYPERLINK("https://www.dofusbook.net/fr/equipement/1851631-touch/objets", "link")</f>
        <v/>
      </c>
      <c r="C25450" t="n">
        <v>0</v>
      </c>
      <c r="D25450" t="inlineStr">
        <is>
          <t>Pelle en Mousse; Amulette en Mousse; Mos Kitano; Anneau en Mousse; Bouclier en Mousse; Ceinture en Mousse; Coiffe en Mousse; Cape en Mousse; Bottes en Mousse</t>
        </is>
      </c>
    </row>
    <row r="25451">
      <c r="A25451" t="inlineStr">
        <is>
          <t>Crit</t>
        </is>
      </c>
      <c r="B25451">
        <f>HYPERLINK("https://www.dofusbook.net/fr/equipement/1846379-crit/objets", "link")</f>
        <v/>
      </c>
      <c r="C25451" t="n">
        <v>0</v>
      </c>
      <c r="D25451" t="inlineStr">
        <is>
          <t>Sabres d'Atcham; Amulette du Strigide; Anneau de Padgref; Anneau Cryochrone; Quatre-feuilles; Ceinture du Strigide; Coiffe de Padgref; Cape d'Atcham; Getas de Padgref; Dofus Turquoise; Dolmanax; Dofus Ocre; Dofus Pourpre; Dofus des Glaces; Puissant majeur; Muldo Prune et Emeraude</t>
        </is>
      </c>
    </row>
    <row r="25452">
      <c r="A25452" t="inlineStr">
        <is>
          <t>Stuff 2</t>
        </is>
      </c>
      <c r="B25452">
        <f>HYPERLINK("https://www.dofusbook.net/fr/equipement/286686-stuff-2/objets", "link")</f>
        <v/>
      </c>
      <c r="C25452" t="n">
        <v>0</v>
      </c>
      <c r="D25452" t="inlineStr">
        <is>
          <t>Baguette Hernelle; Amulette du Strigide; Anneau d'Allister; Anneau de Padgref; Quatre-feuilles; Ceinture du Strigide; Némès de Tal Kasha; Chevelure de Tal Kasha; Sandales de Tal Kasha; Dofus Ocre; Dofus Pourpre; Dofus des Glaces; Dofus Turquoise; Saccageur Air majeur; Equilibriste majeur; Muldo Prune et Emeraude</t>
        </is>
      </c>
    </row>
    <row r="25453">
      <c r="A25453" t="inlineStr">
        <is>
          <t>Pvm</t>
        </is>
      </c>
      <c r="B25453">
        <f>HYPERLINK("https://www.dofusbook.net/fr/equipement/1256890-pvm/objets", "link")</f>
        <v/>
      </c>
      <c r="C25453" t="n">
        <v>0</v>
      </c>
      <c r="D25453" t="inlineStr">
        <is>
          <t>Sabres d'Atcham; Amulette du Strigide; Anneau de Padgref; Bague Trithon; Bouclier du Captain Amakna; Ceinture du Strigide; Coiffe de Padgref; Cape d'Atcham; Getas de Padgref; Dofus Ocre; Dofus Pourpre; Dolmanax; Dofus Turquoise; Dofus des Glaces; Voyageur; Muldo Prune et Emeraude</t>
        </is>
      </c>
    </row>
    <row r="25454">
      <c r="A25454" t="inlineStr">
        <is>
          <t>Do cri</t>
        </is>
      </c>
      <c r="B25454">
        <f>HYPERLINK("https://www.dofusbook.net/fr/equipement/1842211-do-cri/objets", "link")</f>
        <v/>
      </c>
      <c r="C25454" t="n">
        <v>0</v>
      </c>
      <c r="D25454" t="inlineStr">
        <is>
          <t>Sabres d'Atcham; Amulette du Strigide; Anneau de Padgref; Bague Trithon; Bouclier du Captain Amakna; Ceinture du Strigide; Coiffe de Padgref; Cape d'Atcham; Getas de Padgref; Dofus Pourpre; Dofus des Glaces; Dofus Turquoise; Saccageur Air majeur; Saccageur Feu majeur; Saccageur Eau majeur; Muldo Prune et Emeraude</t>
        </is>
      </c>
    </row>
    <row r="25455">
      <c r="A25455" t="inlineStr">
        <is>
          <t>Pvm</t>
        </is>
      </c>
      <c r="B25455">
        <f>HYPERLINK("https://www.dofusbook.net/fr/equipement/1841629-pvm/objets", "link")</f>
        <v/>
      </c>
      <c r="C25455" t="n">
        <v>0</v>
      </c>
      <c r="D25455" t="inlineStr">
        <is>
          <t>Dagues Érhy; Amulette du Strigide; Anneau de Padgref; Bague Gloursonne; Quatre-feuilles; Ceintacé; Masque du Katcheur; Cape Hiculteur; Bottes du Strigide; Dofus Pourpre; Dofus Turquoise; Dofus des Glaces; Remueur; Nomade; Vigoureux majeur; Muldo Prune et Doré</t>
        </is>
      </c>
    </row>
    <row r="25456">
      <c r="A25456" t="inlineStr">
        <is>
          <t>Stuff 1</t>
        </is>
      </c>
      <c r="B25456">
        <f>HYPERLINK("https://www.dofusbook.net/fr/equipement/286685-stuff-1/objets", "link")</f>
        <v/>
      </c>
      <c r="C25456" t="n">
        <v>0</v>
      </c>
      <c r="D25456" t="inlineStr">
        <is>
          <t>Lance Horselé; Amulette du Cœur Vaillant; Alliance Gloursonne; Gant du Valet Veinard; Quatre-feuilles; Menoture; Chapeau de Tournoyé; Cape de Crânonier; Palmes Trithons; Dofus Turquoise; Dofus des Glaces; Dofus Pourpre; Dévastateur Air majeur; Remueur; Cascadeur majeur; Muldo Ebène</t>
        </is>
      </c>
    </row>
    <row r="25457">
      <c r="A25457" t="inlineStr">
        <is>
          <t>Terre air pvm</t>
        </is>
      </c>
      <c r="B25457">
        <f>HYPERLINK("https://www.dofusbook.net/fr/equipement/1840290-terre-air-pvm/objets", "link")</f>
        <v/>
      </c>
      <c r="C25457" t="n">
        <v>0</v>
      </c>
      <c r="D25457" t="inlineStr">
        <is>
          <t>Lance corrompue; Amulette de Nevark; Anneau de la Fuji Givrefoux; Anneau des égarés; Bouclier du Stalak; Ceinture de la Reine des Voleurs; Coiffe de la Reine des Voleurs; Voilamibe; Baleinabottes; Dofus des Glaces; Dofus Pourpre; Vigoureux majeur; Remueur; Sanguinaire majeur; Nomade; Bouflux</t>
        </is>
      </c>
    </row>
    <row r="25458">
      <c r="A25458" t="inlineStr">
        <is>
          <t>Pvm tri</t>
        </is>
      </c>
      <c r="B25458">
        <f>HYPERLINK("https://www.dofusbook.net/fr/equipement/1770354-pvm-tri/objets", "link")</f>
        <v/>
      </c>
      <c r="C25458" t="n">
        <v>0</v>
      </c>
      <c r="D25458" t="inlineStr">
        <is>
          <t>Bâtonnet Ronien; Bracelet du Piloztère; Dofus Pourpre; Dofus des Glaces; Nomade; Vigoureux majeur; Remueur; Sanguinaire majeur</t>
        </is>
      </c>
    </row>
    <row r="25459">
      <c r="A25459" t="inlineStr">
        <is>
          <t>Stuff 1</t>
        </is>
      </c>
      <c r="B25459">
        <f>HYPERLINK("https://www.dofusbook.net/fr/equipement/286677-stuff-1/objets", "link")</f>
        <v/>
      </c>
      <c r="C25459" t="n">
        <v>0</v>
      </c>
      <c r="D25459" t="inlineStr">
        <is>
          <t>Dagoulinantes; Amulette du Strigide; Alliance Gloursonne; Bracelet des Fonds marins; Bouclier du Captain Amakna; Ceinture du Strigide; Kidibonnet; Cape de la Dame du Hasard; Pataugastrique; Dofus Turquoise; Dofus des Glaces; Dofus Pourpre; Chanceux majeur; Nomade; Carapace Air majeur; Muldo Indigo</t>
        </is>
      </c>
    </row>
    <row r="25460">
      <c r="A25460" t="inlineStr">
        <is>
          <t>Feu eau</t>
        </is>
      </c>
      <c r="B25460">
        <f>HYPERLINK("https://www.dofusbook.net/fr/equipement/1226591-feu-eau/objets", "link")</f>
        <v/>
      </c>
      <c r="C25460" t="n">
        <v>0</v>
      </c>
      <c r="D25460" t="inlineStr">
        <is>
          <t>Arc Nécrotique; Amulette du Strigide; Alliance Gloursonne; Anneau Tique; Quatre-feuilles; Ceinture du Strigide; Casquette de Meno; Cape de la Dame du Hasard; Pataugastrique; Dofus Pourpre; Dolmanax; Dofus Turquoise; Dofus des Glaces; Remueur; Muldo Orchidée</t>
        </is>
      </c>
    </row>
    <row r="25461">
      <c r="A25461" t="inlineStr">
        <is>
          <t>Stuff 2</t>
        </is>
      </c>
      <c r="B25461">
        <f>HYPERLINK("https://www.dofusbook.net/fr/equipement/286683-stuff-2/objets", "link")</f>
        <v/>
      </c>
      <c r="C25461" t="n">
        <v>0</v>
      </c>
      <c r="D25461" t="inlineStr">
        <is>
          <t>Arc Honte; Collier de la Dame du Hasard; Anneau Tamie; Anneau Tamie; Bouclier cubiste; Ceinture de Kongoku; Casquette de Meno; Cape de Meno; Pantoufles Émar; Nomade; Entraveur majeur; Temporiseur; Temporiseur majeur; Remueur; Ralentisseur majeur; Dragodinde Prune et Emeraude</t>
        </is>
      </c>
    </row>
    <row r="25462">
      <c r="A25462" t="inlineStr">
        <is>
          <t>Stuff 1</t>
        </is>
      </c>
      <c r="B25462">
        <f>HYPERLINK("https://www.dofusbook.net/fr/equipement/286682-stuff-1/objets", "link")</f>
        <v/>
      </c>
      <c r="C25462" t="n">
        <v>1</v>
      </c>
      <c r="D25462" t="inlineStr">
        <is>
          <t>Arc Honte; Collier de la Dame du Hasard; Anneau Tamie; Anneau Tamie; Bouclier cubiste; Ceinture de Kongoku; Casquette de Meno; Cape de Meno; Pantoufles Émar; Nomade; Temporiseur majeur; Temporiseur; Ralentisseur majeur; Remueur; Entraveur majeur; Dragodinde Prune et Emeraude</t>
        </is>
      </c>
    </row>
    <row r="25463">
      <c r="A25463" t="inlineStr">
        <is>
          <t>Dastin eau feu</t>
        </is>
      </c>
      <c r="B25463">
        <f>HYPERLINK("https://www.dofusbook.net/fr/equipement/1758925-dastin-eau-feu/objets", "link")</f>
        <v/>
      </c>
      <c r="C25463" t="n">
        <v>0</v>
      </c>
      <c r="D25463" t="inlineStr">
        <is>
          <t>Epée Gloursonne; Amulule; Bague Gloursonne; Alliance Gloursonne; Obscture; Coiffe du Glourséleste; Cape Matelassée; Chaussures Hau; Joueur majeur; Féroce majeur; Savant majeur; Puissant majeur; Furibond majeur; Robuste majeur; Dragodinde Prune et Emeraude</t>
        </is>
      </c>
    </row>
    <row r="25464">
      <c r="A25464" t="inlineStr">
        <is>
          <t>Dastin eau</t>
        </is>
      </c>
      <c r="B25464">
        <f>HYPERLINK("https://www.dofusbook.net/fr/equipement/1758806-dastin-eau/objets", "link")</f>
        <v/>
      </c>
      <c r="C25464" t="n">
        <v>0</v>
      </c>
      <c r="D25464" t="inlineStr">
        <is>
          <t>Arc Ontanporin; Amulette Luminescente; Bracelet du Piloztère; Bracelet des Fonds marins; Ceinture Luminescente; Masque des Fonds marins; Cape Luminescente; Sandales des Fonds marins; Dofus Pourpre; Dofus des Glaces; Dofus Turquoise; Dofus Ocre; Muldo Prune et Doré</t>
        </is>
      </c>
    </row>
    <row r="25465">
      <c r="A25465" t="inlineStr">
        <is>
          <t>Robin 2</t>
        </is>
      </c>
      <c r="B25465">
        <f>HYPERLINK("https://www.dofusbook.net/fr/equipement/1749009-robin-2/objets", "link")</f>
        <v/>
      </c>
      <c r="C25465" t="n">
        <v>0</v>
      </c>
      <c r="D25465" t="inlineStr">
        <is>
          <t>La Baguette des Limbes; Collier du Minotot; Infernano; Anneau Nobstant; Bouclier d'Asse; Ceinture du Père Phorreur; Masque Vaudou Ark; Cape du Père Phorreur; Bottes Phossiles; Savant majeur; Vigoureux majeur; Astucieux majeur; Érudit majeur; Remueur; Dévastateur Feu majeur; Dragodinde Prune et Emeraude</t>
        </is>
      </c>
    </row>
    <row r="25466">
      <c r="A25466" t="inlineStr">
        <is>
          <t>Robin</t>
        </is>
      </c>
      <c r="B25466">
        <f>HYPERLINK("https://www.dofusbook.net/fr/equipement/1748085-robin/objets", "link")</f>
        <v/>
      </c>
      <c r="C25466" t="n">
        <v>0</v>
      </c>
      <c r="D25466" t="inlineStr">
        <is>
          <t>Épée de Ush; Talisman Choh; Gelano; Anneau Nobstant; Bouclier d'Asse; Ceinture Phossile; Bonnet Ko; Cape du Bretteur Céleste; Bottes de Ush; Nomade; Vigoureux majeur; Érudit majeur; Sanguinaire majeur; Remueur; Cascadeur majeur; Dragodinde Prune et Emeraude</t>
        </is>
      </c>
    </row>
    <row r="25467">
      <c r="A25467" t="inlineStr">
        <is>
          <t>terre feu</t>
        </is>
      </c>
      <c r="B25467">
        <f>HYPERLINK("https://www.dofusbook.net/fr/equipement/926725-terre-feu-/objets", "link")</f>
        <v/>
      </c>
      <c r="C25467" t="n">
        <v>0</v>
      </c>
      <c r="D25467" t="inlineStr">
        <is>
          <t>Hache Téroïde; Amulette du Strigide; Bague Gloursonne; Chevalière du Roi Joueur; Quatre-feuilles; Ceintacé; Chapeau de Gein; Voile d'encre; Bottes du Strigide; Dolmanax; Dofus Ocre; Dofus Pourpre; Dofus des Glaces; Dofus Abyssal; Dofus Turquoise; Muldo Indigo et Pourpre</t>
        </is>
      </c>
    </row>
    <row r="25468">
      <c r="A25468" t="inlineStr">
        <is>
          <t>Stuff 2</t>
        </is>
      </c>
      <c r="B25468">
        <f>HYPERLINK("https://www.dofusbook.net/fr/equipement/286656-stuff-2/objets", "link")</f>
        <v/>
      </c>
      <c r="C25468" t="n">
        <v>0</v>
      </c>
      <c r="D25468" t="inlineStr">
        <is>
          <t>Baguette Hernelle; Amulette du Cycloïde; Bracelet du Piloztère; Anneau du Cycloïde; Quatre-feuilles; Ceinture d'Ogivol; Coiffe d'Ogivol; Cape d'Ogivol; Bottes du Cycloïde; Dofus Turquoise; Dofus Pourpre; Dofus des Glaces; Nomade; Vigoureux majeur; Remueur; Muldo Prune et Doré</t>
        </is>
      </c>
    </row>
    <row r="25469">
      <c r="A25469" t="inlineStr">
        <is>
          <t>Stuff 3</t>
        </is>
      </c>
      <c r="B25469">
        <f>HYPERLINK("https://www.dofusbook.net/fr/equipement/286657-stuff-3/objets", "link")</f>
        <v/>
      </c>
      <c r="C25469" t="n">
        <v>1</v>
      </c>
      <c r="D25469" t="inlineStr">
        <is>
          <t>Baguette Iots; Amulette du Strigide; Anneau de Padgref; Bague Trithon; Quatre-feuilles; Ceinture du Strigide; Masque Trithon; Chevelure de Tal Kasha; Bottes du Strigide; Dofus Nébuleux; Dofus Ocre; Dofus Pourpre; Dofus des Glaces; Dolmanax; Dofus Turquoise; Muldo Prune et Emeraude</t>
        </is>
      </c>
    </row>
    <row r="25470">
      <c r="A25470" t="inlineStr">
        <is>
          <t>Stuff 1</t>
        </is>
      </c>
      <c r="B25470">
        <f>HYPERLINK("https://www.dofusbook.net/fr/equipement/286655-stuff-1/objets", "link")</f>
        <v/>
      </c>
      <c r="C25470" t="n">
        <v>1</v>
      </c>
      <c r="D25470" t="inlineStr">
        <is>
          <t>Epée Kari; Amulette du Strigide; Grésilanneau; Bracelet du Piloztère; Quatre-feuilles; Ceintacé; Coiffe Ranshi; Cape Reski; Bottes du Strigide; Dofus Turquoise; Dofus des Glaces; Dofus Pourpre; Nomade; Vigoureux majeur; Sanguinaire majeur; Muldo Prune et Doré</t>
        </is>
      </c>
    </row>
    <row r="25471">
      <c r="A25471" t="inlineStr">
        <is>
          <t>ret pm</t>
        </is>
      </c>
      <c r="B25471">
        <f>HYPERLINK("https://www.dofusbook.net/fr/equipement/937611-ret-pm/objets", "link")</f>
        <v/>
      </c>
      <c r="C25471" t="n">
        <v>0</v>
      </c>
      <c r="D25471" t="inlineStr">
        <is>
          <t>Dagues Açantes; Amulette Luminescente; Pikano; Anneau Tamie; Bouclier cubiste; Ceinture Glaciale; Casquipik; Cape Peupret; Pantoufles Émar</t>
        </is>
      </c>
    </row>
    <row r="25472">
      <c r="A25472" t="inlineStr">
        <is>
          <t>Stuff 1</t>
        </is>
      </c>
      <c r="B25472">
        <f>HYPERLINK("https://www.dofusbook.net/fr/equipement/286674-stuff-1/objets", "link")</f>
        <v/>
      </c>
      <c r="C25472" t="n">
        <v>1</v>
      </c>
      <c r="D25472" t="inlineStr">
        <is>
          <t>Arc Nécrotique; Collier de la Dame du Hasard; Chevalière du Roi Joueur; Alliance Gloursonne; Bouclier cubiste; Ceintacé; Capuche de l'Œil Putride; Cape de la Dame du Hasard; Bottes de Meno; Dofus des Glaces; Dofus Pourpre; Dofus Turquoise; Temporiseur majeur; Nomade; Sanguinaire majeur; Muldo Ebène et Indigo</t>
        </is>
      </c>
    </row>
    <row r="25473">
      <c r="A25473" t="inlineStr">
        <is>
          <t>Pvm feu</t>
        </is>
      </c>
      <c r="B25473">
        <f>HYPERLINK("https://www.dofusbook.net/fr/equipement/1269152-pvm-feu/objets", "link")</f>
        <v/>
      </c>
      <c r="C25473" t="n">
        <v>0</v>
      </c>
      <c r="D25473" t="inlineStr">
        <is>
          <t>Pyraguette; Talisman Igans; Anneau Kturne; Anneau Cryochrone; Bouclier du Cycloïde; Ceintrigue; Masque du Glourséleste; Cape de Diondin; Pataugastrique; Vigoureux majeur; Nomade; Érudit majeur; Sanguinaire majeur; Chanceux majeur; Dragodinde Emeraude et Rousse</t>
        </is>
      </c>
    </row>
    <row r="25474">
      <c r="A25474" t="inlineStr">
        <is>
          <t>Pvm tri</t>
        </is>
      </c>
      <c r="B25474">
        <f>HYPERLINK("https://www.dofusbook.net/fr/equipement/1259492-pvm-tri/objets", "link")</f>
        <v/>
      </c>
      <c r="C25474" t="n">
        <v>0</v>
      </c>
      <c r="D25474" t="inlineStr">
        <is>
          <t>Arc Lavoine; Amulette du Strigide; Alliance Gloursonne; Bracelet du Piloztère; Quatre-feuilles; Ceintacé; Coiffe d'Ogivol; Chevelure de Tal Kasha; Bottes du Strigide; Dofus Turquoise; Dofus des Glaces; Dofus Pourpre; Vigoureux majeur; Remueur; Nomade; Muldo Prune et Doré</t>
        </is>
      </c>
    </row>
    <row r="25475">
      <c r="A25475" t="inlineStr">
        <is>
          <t>Pvm arc</t>
        </is>
      </c>
      <c r="B25475">
        <f>HYPERLINK("https://www.dofusbook.net/fr/equipement/1270368-pvm-arc/objets", "link")</f>
        <v/>
      </c>
      <c r="C25475" t="n">
        <v>1</v>
      </c>
      <c r="D25475" t="inlineStr">
        <is>
          <t>Pelle Fik; Amulette du Strigide; Alliance Gloursonne; Bracelet du Piloztère; Bouclier du Captain Amakna; Ceintacé; Coiffe d'Ogivol; Cape Ovri; Bottes du Strigide; Dofus Turquoise; Dofus Pourpre; Dofus des Glaces; Nomade; Sanguinaire majeur; Remueur; Muldo Prune et Emeraude</t>
        </is>
      </c>
    </row>
    <row r="25476">
      <c r="A25476" t="inlineStr">
        <is>
          <t>Pvm dagues</t>
        </is>
      </c>
      <c r="B25476">
        <f>HYPERLINK("https://www.dofusbook.net/fr/equipement/1270415-pvm-dagues-/objets", "link")</f>
        <v/>
      </c>
      <c r="C25476" t="n">
        <v>1</v>
      </c>
      <c r="D25476" t="inlineStr">
        <is>
          <t>Dagues de Srambad; Amulette de l'Indicible; Alliance Gloursonne; Bracelet du Piloztère; Bouclier du Captain Amakna; Ceinture de la Reine des Voleurs; Coiffe de la Reine des Voleurs; Cape Ovri; Baleinabottes; Dofus Pourpre; Dofus des Glaces; Miraculé majeur; Nomade; Vigoureux majeur; Remueur; Dragodinde Emeraude et Rousse</t>
        </is>
      </c>
    </row>
    <row r="25477">
      <c r="A25477" t="inlineStr">
        <is>
          <t>Pvm</t>
        </is>
      </c>
      <c r="B25477">
        <f>HYPERLINK("https://www.dofusbook.net/fr/equipement/1252194-pvm/objets", "link")</f>
        <v/>
      </c>
      <c r="C25477" t="n">
        <v>0</v>
      </c>
      <c r="D25477" t="inlineStr">
        <is>
          <t>Arc Ahique; Amulette de l'Indicible; Alliance Gloursonne; Bracelet du Piloztère; Quatre-feuilles; Ceinture de la Reine des Voleurs; Coiffe de la Reine des Voleurs; Cape des Justiciers; Baleinabottes; Dofus Pourpre; Dofus Turquoise; Dofus des Glaces; Vigoureux majeur; Sanguinaire majeur; Nomade; Muldo Prune et Doré</t>
        </is>
      </c>
    </row>
    <row r="25478">
      <c r="A25478" t="inlineStr">
        <is>
          <t>pvp</t>
        </is>
      </c>
      <c r="B25478">
        <f>HYPERLINK("https://www.dofusbook.net/fr/equipement/1305040-pvp-/objets", "link")</f>
        <v/>
      </c>
      <c r="C25478" t="n">
        <v>0</v>
      </c>
      <c r="D25478" t="inlineStr">
        <is>
          <t>Arc Nécrotique; Quatre-feuilles; Pataugastrique; Dofus Turquoise; Dofus des Glaces; Dofus Pourpre; Remueur; Nomade; Muldo Orchidée</t>
        </is>
      </c>
    </row>
    <row r="25479">
      <c r="A25479" t="inlineStr">
        <is>
          <t>CAC changement</t>
        </is>
      </c>
      <c r="B25479">
        <f>HYPERLINK("https://www.dofusbook.net/fr/equipement/1270463-cac-changement-/objets", "link")</f>
        <v/>
      </c>
      <c r="C25479" t="n">
        <v>2</v>
      </c>
      <c r="D25479" t="inlineStr">
        <is>
          <t>Pyraguette; Talisman Igans; Anneau Cryochrone; Bracelet du Piloztère; Bouclier du Cycloïde; Ceintrigue; Casquette de Meno; Cape de Diondin; Pataugastrique; Dofus Pourpre; Nomade; Vigoureux majeur; Érudit majeur; Remueur; Dragodinde Prune et Emeraude</t>
        </is>
      </c>
    </row>
    <row r="25480">
      <c r="A25480" t="inlineStr">
        <is>
          <t>Pvm tri</t>
        </is>
      </c>
      <c r="B25480">
        <f>HYPERLINK("https://www.dofusbook.net/fr/equipement/1276590-pvm-tri/objets", "link")</f>
        <v/>
      </c>
      <c r="C25480" t="n">
        <v>1</v>
      </c>
      <c r="D25480" t="inlineStr">
        <is>
          <t>Amulette de l'Indicible; Bracelet du Piloztère; Grésilanneau; Quatre-feuilles; Ceinture de l'Indicible; Le Dorado; Voilamibe; Bottes du Chalœil; Dofus Pourpre; Dofus des Glaces; Remueur; Sanguinaire majeur; Nomade; Vigoureux majeur; Dragodinde Prune et Ivoire</t>
        </is>
      </c>
    </row>
    <row r="25481">
      <c r="A25481" t="inlineStr">
        <is>
          <t>Hache test</t>
        </is>
      </c>
      <c r="B25481">
        <f>HYPERLINK("https://www.dofusbook.net/fr/equipement/1270473-hache-test/objets", "link")</f>
        <v/>
      </c>
      <c r="C25481" t="n">
        <v>1</v>
      </c>
      <c r="D25481" t="inlineStr">
        <is>
          <t>Dagues de Srambad; Amulette de l'Indicible; Bracelet du Piloztère; Alliance Gloursonne; Bouclier du Captain Amakna; Ceinture de la Reine des Voleurs; Coiffe de la Reine des Voleurs; Cape Ovri; Baleinabottes; Dofus des Glaces; Dofus Pourpre; Vigoureux majeur; Remueur; Sanguinaire majeur; Nomade; Muldo Prune et Doré</t>
        </is>
      </c>
    </row>
    <row r="25482">
      <c r="A25482" t="inlineStr">
        <is>
          <t>Stuff 3</t>
        </is>
      </c>
      <c r="B25482">
        <f>HYPERLINK("https://www.dofusbook.net/fr/equipement/1270364-stuff-3/objets", "link")</f>
        <v/>
      </c>
      <c r="C25482" t="n">
        <v>1</v>
      </c>
      <c r="D25482" t="inlineStr">
        <is>
          <t>Dagues de Srambad; Amulette de l'Indicible; Bracelet du Piloztère; Alliance Gloursonne; Ceinture de la Reine des Voleurs; Coiffe de la Reine des Voleurs; Cape Ovri; Baleinabottes; Dofus Pourpre; Sanguinaire majeur; Miraculé majeur; Remueur; Vigoureux majeur; Nomade; Muldo Doré</t>
        </is>
      </c>
    </row>
    <row r="25483">
      <c r="A25483" t="inlineStr">
        <is>
          <t>Pvm2</t>
        </is>
      </c>
      <c r="B25483">
        <f>HYPERLINK("https://www.dofusbook.net/fr/equipement/1263256-pvm2/objets", "link")</f>
        <v/>
      </c>
      <c r="C25483" t="n">
        <v>0</v>
      </c>
      <c r="D25483" t="inlineStr">
        <is>
          <t>Arc Nécrotique; Amulette de l'Indicible; Alliance de Missiz Frizz; Bracelet du Piloztère; Quatre-feuilles; Ceintacé; Casque du Chalœil; Cape de la Dame du Hasard; Bottes du Chalœil; Dofus Pourpre; Dofus Turquoise; Remueur; Sanguinaire majeur; Nomade; Vigoureux majeur; Muldo Prune et Doré</t>
        </is>
      </c>
    </row>
    <row r="25484">
      <c r="A25484" t="inlineStr">
        <is>
          <t>Pvm</t>
        </is>
      </c>
      <c r="B25484">
        <f>HYPERLINK("https://www.dofusbook.net/fr/equipement/1261103-pvm/objets", "link")</f>
        <v/>
      </c>
      <c r="C25484" t="n">
        <v>0</v>
      </c>
      <c r="D25484" t="inlineStr">
        <is>
          <t>Arc de Koutoulou; Amulette du Strigide; Alliance Gloursonne; Bracelet du Piloztère; Quatre-feuilles; Ceintacé; Chapeau Lisson; Cape d'Atcham; Bottes du Strigide; Dofus Turquoise; Dofus des Glaces; Dofus Pourpre; Vigoureux majeur; Remueur; Nomade; Muldo Prune et Doré</t>
        </is>
      </c>
    </row>
    <row r="25485">
      <c r="A25485" t="inlineStr">
        <is>
          <t>Kou</t>
        </is>
      </c>
      <c r="B25485">
        <f>HYPERLINK("https://www.dofusbook.net/fr/equipement/977967-kou-/objets", "link")</f>
        <v/>
      </c>
      <c r="C25485" t="n">
        <v>0</v>
      </c>
      <c r="D25485" t="inlineStr">
        <is>
          <t>Arc de Koutoulou; Amulette du Strigide; Bracelet du Piloztère; Alliance Gloursonne; Quatre-feuilles; Ceintacé; Coiffe d'Ogivol; Chevelure de Tal Kasha; Bottes du Strigide; Dofus Turquoise; Dofus des Glaces; Dofus Pourpre; Vigoureux majeur; Remueur; Nomade; Muldo Prune et Doré</t>
        </is>
      </c>
    </row>
    <row r="25486">
      <c r="A25486" t="inlineStr">
        <is>
          <t>Stuff 1</t>
        </is>
      </c>
      <c r="B25486">
        <f>HYPERLINK("https://www.dofusbook.net/fr/equipement/286652-stuff-1/objets", "link")</f>
        <v/>
      </c>
      <c r="C25486" t="n">
        <v>0</v>
      </c>
      <c r="D25486" t="inlineStr">
        <is>
          <t>Arc Ahique; Amulette du Strigide; Bracelet du Piloztère; Alliance Gloursonne; Quatre-feuilles; Ceintacé; Chapeau Lisson; Chevelure de Tal Kasha; Bottes du Strigide; Dofus des Glaces; Dofus Pourpre; Dofus Turquoise; Remueur; Nomade; Vigoureux majeur; Muldo Prune et Doré</t>
        </is>
      </c>
    </row>
    <row r="25487">
      <c r="A25487" t="inlineStr">
        <is>
          <t>Stuff 2</t>
        </is>
      </c>
      <c r="B25487">
        <f>HYPERLINK("https://www.dofusbook.net/fr/equipement/286692-stuff-2/objets", "link")</f>
        <v/>
      </c>
      <c r="C25487" t="n">
        <v>0</v>
      </c>
      <c r="D25487" t="inlineStr">
        <is>
          <t>Hache Téroïde; Amulette du Strigide; Gelano; Alliance de Missiz Frizz; Quatre-feuilles; Ceinture du Strigide; Casque de Missiz Frizz; Voile d'encre; Bottes du Strigide; Dofus Turquoise; Dofus Ocre; Dofus des Glaces; Dofus Pourpre; Puissant majeur; Furibond majeur; Muldo Prune et Doré</t>
        </is>
      </c>
    </row>
    <row r="25488">
      <c r="A25488" t="inlineStr">
        <is>
          <t>Frifri je</t>
        </is>
      </c>
      <c r="B25488">
        <f>HYPERLINK("https://www.dofusbook.net/fr/equipement/1010250-frifri-je-/objets", "link")</f>
        <v/>
      </c>
      <c r="C25488" t="n">
        <v>0</v>
      </c>
      <c r="D25488" t="inlineStr">
        <is>
          <t>Masque Vaudou Eth</t>
        </is>
      </c>
    </row>
    <row r="25489">
      <c r="A25489" t="inlineStr">
        <is>
          <t>Feu ret pa</t>
        </is>
      </c>
      <c r="B25489">
        <f>HYPERLINK("https://www.dofusbook.net/fr/equipement/435993-feu-ret-pa/objets", "link")</f>
        <v/>
      </c>
      <c r="C25489" t="n">
        <v>0</v>
      </c>
      <c r="D25489" t="inlineStr">
        <is>
          <t>Arc Nécrotique; Talisman Igans; Anneau Cryochrone; Bracelet du Piloztère; Bouclier du Cycloïde; Ceintrigue; Casquette de Meno; Cape de la Dame du Hasard; Pataugastrique; Dofus Pourpre; Dofus Turquoise; Dofus des Glaces; Érudit majeur; Remueur; Nomade; Muldo Prune et Doré</t>
        </is>
      </c>
    </row>
    <row r="25490">
      <c r="A25490" t="inlineStr">
        <is>
          <t>feu air</t>
        </is>
      </c>
      <c r="B25490">
        <f>HYPERLINK("https://www.dofusbook.net/fr/equipement/512472-feu-air/objets", "link")</f>
        <v/>
      </c>
      <c r="C25490" t="n">
        <v>1</v>
      </c>
      <c r="D25490" t="inlineStr">
        <is>
          <t>Arc du Chalœil; Amulette du Strigide; Bague Gloursonne; Anneau de Brouce; Quatre-feuilles; Ceintacé; Masque de Koutoulou; Cape au Logis; Bottes du Strigide; Dofus des Glaces; Dofus Pourpre; Dofus Turquoise; Enragé majeur; Vigoureux majeur; Carapace Terre majeur; Kompost</t>
        </is>
      </c>
    </row>
    <row r="25491">
      <c r="A25491" t="inlineStr">
        <is>
          <t>terre</t>
        </is>
      </c>
      <c r="B25491">
        <f>HYPERLINK("https://www.dofusbook.net/fr/equipement/902934-terre/objets", "link")</f>
        <v/>
      </c>
      <c r="C25491" t="n">
        <v>2</v>
      </c>
      <c r="D25491" t="inlineStr">
        <is>
          <t>Marteau R'ture; Amulette du Cœur Vaillant; Anneau Crustique; Anneau Crustique; Bouclier Taverne; Ceinture de la Cour Sombre; Masque de Koutoulou; Cape de la Cour Sombre; Bottes du Cœur Saignant; Dofus Pourpre; Dofus Turquoise; Dofus des Glaces; Remueur; Carapace Terre majeur; Enragé majeur; Muldo Pourpre</t>
        </is>
      </c>
    </row>
    <row r="25492">
      <c r="A25492" t="inlineStr">
        <is>
          <t>Feu</t>
        </is>
      </c>
      <c r="B25492">
        <f>HYPERLINK("https://www.dofusbook.net/fr/equipement/893931-feu/objets", "link")</f>
        <v/>
      </c>
      <c r="C25492" t="n">
        <v>0</v>
      </c>
      <c r="D25492" t="inlineStr">
        <is>
          <t>Harpelle; Amulette de Nileza; Anneau Cryochrone; Bague Trithon; Bouclier du Captain Amakna; Ceintacé; Coiffe de Padgref; Cape de la Dame du Hasard; Getas de Padgref; Dofus Turquoise; Dofus des Glaces; Dofus Pourpre; Érudit majeur; Remueur; Nomade; Kramkram</t>
        </is>
      </c>
    </row>
    <row r="25493">
      <c r="A25493" t="inlineStr">
        <is>
          <t>Terre feu</t>
        </is>
      </c>
      <c r="B25493">
        <f>HYPERLINK("https://www.dofusbook.net/fr/equipement/893848-terre-feu/objets", "link")</f>
        <v/>
      </c>
      <c r="C25493" t="n">
        <v>0</v>
      </c>
      <c r="D25493" t="inlineStr">
        <is>
          <t>Epée Toche; Amulette du Strigide; Bague Gloursonne; Bague Trithon; Bouclier du Captain Amakna; Ceintacé; Chapeau de Gein; Voile d'encre; Bottes Trithon; Dofus des Glaces; Dofus Pourpre; Dofus Turquoise; Nomade; Remueur; Vigoureux majeur; Kramkram</t>
        </is>
      </c>
    </row>
    <row r="25494">
      <c r="A25494" t="inlineStr">
        <is>
          <t>Feu air</t>
        </is>
      </c>
      <c r="B25494">
        <f>HYPERLINK("https://www.dofusbook.net/fr/equipement/893428-feu-air-/objets", "link")</f>
        <v/>
      </c>
      <c r="C25494" t="n">
        <v>0</v>
      </c>
      <c r="D25494" t="inlineStr">
        <is>
          <t>Baguette Range; Amulette du Strigide; Anneau de Padgref; Bague Trithon; Bouclier du Captain Amakna; Ceintacé; Coiffe de Padgref; Cape d'Atcham; Pataugastrique; Dofus Turquoise; Dolmanax; Dofus des Glaces; Dofus Pourpre; Vigoureux majeur; Nomade; Kramkram</t>
        </is>
      </c>
    </row>
    <row r="25495">
      <c r="A25495" t="inlineStr">
        <is>
          <t>Eau feu</t>
        </is>
      </c>
      <c r="B25495">
        <f>HYPERLINK("https://www.dofusbook.net/fr/equipement/885052-eau-feu/objets", "link")</f>
        <v/>
      </c>
      <c r="C25495" t="n">
        <v>0</v>
      </c>
      <c r="D25495" t="inlineStr">
        <is>
          <t>Épée Brûlâme; Amulette du Strigide; Bracelet des Fonds marins; Alliance Gloursonne; Bouclier Taverne; Ceinture du Strigide; Casquette de Meno; Cape de Meno; Bottes de Meno; Dolmanax; Dofus Ocre; Dofus Pourpre; Dofus des Glaces; Dofus Turquoise; Dofus Nébuleux; Muldo Ebène</t>
        </is>
      </c>
    </row>
    <row r="25496">
      <c r="A25496" t="inlineStr">
        <is>
          <t>Stuff 1</t>
        </is>
      </c>
      <c r="B25496">
        <f>HYPERLINK("https://www.dofusbook.net/fr/equipement/286680-stuff-1/objets", "link")</f>
        <v/>
      </c>
      <c r="C25496" t="n">
        <v>1</v>
      </c>
      <c r="D25496" t="inlineStr">
        <is>
          <t>Arc Hétype; Amulette du Glourséleste; Anneau Tamie; Pikano; Ceinture Hanium; Casquipik; Cape Tif; Pantoufles Émar; Ralentisseur majeur; Temporiseur; Temporiseur majeur; Remueur; Entraveur majeur; Entraveur; Dragodinde Prune et Emeraude</t>
        </is>
      </c>
    </row>
    <row r="25497">
      <c r="A25497" t="inlineStr">
        <is>
          <t>eau</t>
        </is>
      </c>
      <c r="B25497">
        <f>HYPERLINK("https://www.dofusbook.net/fr/equipement/844787-eau/objets", "link")</f>
        <v/>
      </c>
      <c r="C25497" t="n">
        <v>0</v>
      </c>
      <c r="D25497" t="inlineStr">
        <is>
          <t>Dagoulinantes; Bracelet des Fonds marins; Anneau Kturne; Bouclier du Captain Amakna; Pagne du Rykaon; Masque des Fonds marins; Cape de Mantaze; Bottes du Nocturlabe; Dofus Pourpre; Taquin majeur; Chanceux majeur; Joueur majeur; Nomade; Vigoureux majeur; Dehluge</t>
        </is>
      </c>
    </row>
    <row r="25498">
      <c r="A25498" t="inlineStr">
        <is>
          <t>Stuff 3</t>
        </is>
      </c>
      <c r="B25498">
        <f>HYPERLINK("https://www.dofusbook.net/fr/equipement/286693-stuff-3/objets", "link")</f>
        <v/>
      </c>
      <c r="C25498" t="n">
        <v>0</v>
      </c>
      <c r="D25498" t="inlineStr">
        <is>
          <t>Héqache; Torquistik; Bague Trithon; Anneau Chevelu; Ceinture Luminescente; Masque de Koutoulou; Voile d'encre; Bottes Trithon; Dofus Pourpre; Dofus Ocre; Dofus Turquoise; Enragé majeur; Nomade; Culbuteur majeur; Kramkram</t>
        </is>
      </c>
    </row>
    <row r="25499">
      <c r="A25499" t="inlineStr">
        <is>
          <t>Stuff 3</t>
        </is>
      </c>
      <c r="B25499">
        <f>HYPERLINK("https://www.dofusbook.net/fr/equipement/286651-stuff-3/objets", "link")</f>
        <v/>
      </c>
      <c r="C25499" t="n">
        <v>0</v>
      </c>
      <c r="D25499" t="inlineStr">
        <is>
          <t>Épée du Granduk; Collier du Valet Veinard; Anneau d'Allister; Gant du Valet Veinard; Menoture; Masque de Klime; Cape Indescriptible; Palmes Trithons</t>
        </is>
      </c>
    </row>
    <row r="25500">
      <c r="A25500" t="inlineStr">
        <is>
          <t>Stuff 2</t>
        </is>
      </c>
      <c r="B25500">
        <f>HYPERLINK("https://www.dofusbook.net/fr/equipement/286678-stuff-2/objets", "link")</f>
        <v/>
      </c>
      <c r="C25500" t="n">
        <v>0</v>
      </c>
      <c r="D25500" t="inlineStr">
        <is>
          <t>Sabres d'Atcham; Alliance Gloursonne; Ceintacé; Chapeau Lisson; Voile d'encre; Sandales  d'Atcham</t>
        </is>
      </c>
    </row>
    <row r="25501">
      <c r="A25501" t="inlineStr">
        <is>
          <t>Stuff 3</t>
        </is>
      </c>
      <c r="B25501">
        <f>HYPERLINK("https://www.dofusbook.net/fr/equipement/286673-stuff-3/objets", "link")</f>
        <v/>
      </c>
      <c r="C25501" t="n">
        <v>0</v>
      </c>
      <c r="D25501" t="inlineStr">
        <is>
          <t>Pelle de la Cour Sombre; Collier du Valet Veinard; Anneau des égarés; Alliance Gloursonne; Ceintouse; Masque du Barbétoal; Cape Matelassée; Tentassons; Dofus Émeraude; Cascadeur majeur; Remueur; Étourdisseur majeur; Muldo Ebène et Indigo</t>
        </is>
      </c>
    </row>
    <row r="25502">
      <c r="A25502" t="inlineStr">
        <is>
          <t>Stuff 2</t>
        </is>
      </c>
      <c r="B25502">
        <f>HYPERLINK("https://www.dofusbook.net/fr/equipement/286668-stuff-2/objets", "link")</f>
        <v/>
      </c>
      <c r="C25502" t="n">
        <v>0</v>
      </c>
      <c r="D25502" t="inlineStr">
        <is>
          <t>Hache du Chalœil; Amulette du Strigide; Alliance Gloursonne; Bracelet du Piloztère; Ceintacé; Casque de Missiz Frizz; Voile d'encre; Bottes du Strigide; Dolmanax; Dofus Pourpre; Dofus Turquoise; Carapace Terre majeur; Remueur; Muldo Indigo et Pourpre</t>
        </is>
      </c>
    </row>
    <row r="25503">
      <c r="A25503" t="inlineStr">
        <is>
          <t>Stuff 2</t>
        </is>
      </c>
      <c r="B25503">
        <f>HYPERLINK("https://www.dofusbook.net/fr/equipement/286695-stuff-2/objets", "link")</f>
        <v/>
      </c>
      <c r="C25503" t="n">
        <v>0</v>
      </c>
      <c r="D25503" t="inlineStr">
        <is>
          <t>Pelle de la Cour Sombre; Amulette du Cycloïde; Anneau de Padgref; Anneau d'Allister; Menoture; Couronne d'Allister; Cape du Valet Veinard; Bottes du Glourséleste; Nomade; Cascadeur majeur; Remueur; Equilibriste majeur; Acrobate majeur; Dragodinde Prune et Ebène</t>
        </is>
      </c>
    </row>
    <row r="25504">
      <c r="A25504" t="inlineStr">
        <is>
          <t>Stuff 1</t>
        </is>
      </c>
      <c r="B25504">
        <f>HYPERLINK("https://www.dofusbook.net/fr/equipement/286658-stuff-1/objets", "link")</f>
        <v/>
      </c>
      <c r="C25504" t="n">
        <v>0</v>
      </c>
      <c r="D25504" t="inlineStr">
        <is>
          <t>Manthache; Amulette du Granduk; Anneau d'Allister; Alliance Gloursonne; Menoture; Couronne d'Allister; Cape Indescriptible; Palmes Trithons; Dragodinde Prune et Ebène</t>
        </is>
      </c>
    </row>
    <row r="25505">
      <c r="A25505" t="inlineStr">
        <is>
          <t>Stuff 2</t>
        </is>
      </c>
      <c r="B25505">
        <f>HYPERLINK("https://www.dofusbook.net/fr/equipement/286653-stuff-2/objets", "link")</f>
        <v/>
      </c>
      <c r="C25505" t="n">
        <v>0</v>
      </c>
      <c r="D25505" t="inlineStr">
        <is>
          <t>Arc de Koutoulou; Amulette du Strigide; Bracelet du Piloztère; Alliance Gloursonne; Quatre-feuilles; Ceintacé; Chapeau Lisson; Cape du Chalœil; Bottes du Strigide; Dofus Pourpre; Dofus Turquoise; Remueur; Sanguinaire majeur; Nomade; Vigoureux majeur; Kramkram</t>
        </is>
      </c>
    </row>
    <row r="25506">
      <c r="A25506" t="inlineStr">
        <is>
          <t>Stuff 3</t>
        </is>
      </c>
      <c r="B25506">
        <f>HYPERLINK("https://www.dofusbook.net/fr/equipement/286648-stuff-3/objets", "link")</f>
        <v/>
      </c>
      <c r="C25506" t="n">
        <v>0</v>
      </c>
      <c r="D25506" t="inlineStr">
        <is>
          <t>Dagues de Srambad; Amulette de l'Indicible; Bracelet du Piloztère; Alliance Gloursonne; Ceinture de la Reine des Voleurs; Coiffe de la Reine des Voleurs; Cape Ovri; Baleinabottes; Dofus Pourpre; Nomade; Sanguinaire majeur; Miraculé majeur; Remueur; Vigoureux majeur; Muldo Doré</t>
        </is>
      </c>
    </row>
    <row r="25507">
      <c r="A25507" t="inlineStr">
        <is>
          <t>Stuff 2</t>
        </is>
      </c>
      <c r="B25507">
        <f>HYPERLINK("https://www.dofusbook.net/fr/equipement/286675-stuff-2/objets", "link")</f>
        <v/>
      </c>
      <c r="C25507" t="n">
        <v>1</v>
      </c>
      <c r="D25507" t="inlineStr">
        <is>
          <t>Arc Hétype; Collier de la Dame du Hasard; Anneau de Nidas; Bague Gloursonne; Ceintacé; Couronne de Nidas; Voile d'encre; Bottes de Meno</t>
        </is>
      </c>
    </row>
    <row r="25508">
      <c r="A25508" t="inlineStr">
        <is>
          <t>Stuff 2</t>
        </is>
      </c>
      <c r="B25508">
        <f>HYPERLINK("https://www.dofusbook.net/fr/equipement/286665-stuff-2/objets", "link")</f>
        <v/>
      </c>
      <c r="C25508" t="n">
        <v>2</v>
      </c>
      <c r="D25508" t="inlineStr">
        <is>
          <t>Manthache; Collier du Valet Veinard; Gant du Valet Veinard; Alliance Gloursonne; Menoture; Couronne d'Allister; Cape Indescriptible; Palmes Trithons</t>
        </is>
      </c>
    </row>
    <row r="25509">
      <c r="A25509" t="inlineStr">
        <is>
          <t>Stuff 3</t>
        </is>
      </c>
      <c r="B25509">
        <f>HYPERLINK("https://www.dofusbook.net/fr/equipement/286648-stuff-3/objets", "link")</f>
        <v/>
      </c>
      <c r="C25509" t="n">
        <v>0</v>
      </c>
      <c r="D25509" t="inlineStr">
        <is>
          <t>Dagues de Srambad; Amulette de l'Indicible; Bracelet du Piloztère; Alliance Gloursonne; Ceinture de la Reine des Voleurs; Coiffe de la Reine des Voleurs; Cape Ovri; Baleinabottes; Dofus Pourpre; Vigoureux majeur; Nomade; Sanguinaire majeur; Miraculé majeur; Remueur; Muldo Doré</t>
        </is>
      </c>
    </row>
    <row r="25510">
      <c r="A25510" t="inlineStr">
        <is>
          <t>Stuff 2</t>
        </is>
      </c>
      <c r="B25510">
        <f>HYPERLINK("https://www.dofusbook.net/fr/equipement/286675-stuff-2/objets", "link")</f>
        <v/>
      </c>
      <c r="C25510" t="n">
        <v>1</v>
      </c>
      <c r="D25510" t="inlineStr">
        <is>
          <t>Arc Hétype; Collier de la Dame du Hasard; Bague Gloursonne; Anneau de Nidas; Ceintacé; Couronne de Nidas; Voile d'encre; Bottes de Meno</t>
        </is>
      </c>
    </row>
    <row r="25511">
      <c r="A25511" t="inlineStr">
        <is>
          <t>Stuff 2</t>
        </is>
      </c>
      <c r="B25511">
        <f>HYPERLINK("https://www.dofusbook.net/fr/equipement/286697-stuff-2/objets", "link")</f>
        <v/>
      </c>
      <c r="C25511" t="n">
        <v>0</v>
      </c>
      <c r="D25511" t="inlineStr">
        <is>
          <t>Dagues de Srambad; Amulette de l'Indicible; Bracelet du Piloztère; Alliance Gloursonne; Ceinture de la Reine des Voleurs; Coiffe de la Reine des Voleurs; Cape Ovri; Baleinabottes; Dofus Pourpre; Sanguinaire majeur; Miraculé majeur; Remueur; Vigoureux majeur; Nomade; Muldo Doré</t>
        </is>
      </c>
    </row>
    <row r="25512">
      <c r="A25512" t="inlineStr">
        <is>
          <t>Stuff 2</t>
        </is>
      </c>
      <c r="B25512">
        <f>HYPERLINK("https://www.dofusbook.net/fr/equipement/286665-stuff-2/objets", "link")</f>
        <v/>
      </c>
      <c r="C25512" t="n">
        <v>2</v>
      </c>
      <c r="D25512" t="inlineStr">
        <is>
          <t>Manthache; Collier du Valet Veinard; Gant du Valet Veinard; Alliance Gloursonne; Menoture; Couronne d'Allister; Cape Indescriptible; Palmes Trithons</t>
        </is>
      </c>
    </row>
    <row r="25513">
      <c r="A25513" t="inlineStr">
        <is>
          <t>Stuff 3</t>
        </is>
      </c>
      <c r="B25513">
        <f>HYPERLINK("https://www.dofusbook.net/fr/equipement/286660-stuff-3/objets", "link")</f>
        <v/>
      </c>
      <c r="C25513" t="n">
        <v>0</v>
      </c>
      <c r="D25513" t="inlineStr">
        <is>
          <t>Bêche Asse; Amulette Héroclite; Bague Gloursonne; Anneau de Brouce; Ceinture de Brouce; Casque de Missiz Frizz; Cape au Logis; Sabots Minables; Vigoureux majeur; Furibond majeur; Forcené majeur; Remueur; Enragé majeur; Nomade; Kwaltess</t>
        </is>
      </c>
    </row>
    <row r="25514">
      <c r="A25514" t="inlineStr">
        <is>
          <t>Stuff 2</t>
        </is>
      </c>
      <c r="B25514">
        <f>HYPERLINK("https://www.dofusbook.net/fr/equipement/286650-stuff-2/objets", "link")</f>
        <v/>
      </c>
      <c r="C25514" t="n">
        <v>0</v>
      </c>
      <c r="D25514" t="inlineStr">
        <is>
          <t>Arc Hétype; Talisman Igans; Anneau Tamie; Anneau Tamie; Ceintrigue; Coiffe Séculaire; Cape de Diondin; Bottes Dogues; Remueur; Érudit majeur; Astucieux majeur; Saccageur Feu majeur; Nomade; Dévastateur Feu majeur; Brûlih</t>
        </is>
      </c>
    </row>
    <row r="25515">
      <c r="A25515" t="inlineStr">
        <is>
          <t>Stuff 2</t>
        </is>
      </c>
      <c r="B25515">
        <f>HYPERLINK("https://www.dofusbook.net/fr/equipement/286672-stuff-2/objets", "link")</f>
        <v/>
      </c>
      <c r="C25515" t="n">
        <v>1</v>
      </c>
      <c r="D25515" t="inlineStr">
        <is>
          <t>Bêche Asse; Amulette de Pol Ouatnos; Anneau Crustique; Anneau Crustique; Ceintouse; Masque de Koutoulou; Cape de la Cour Sombre; Tentassons; Dofus Turquoise; Enragé majeur; Étourdisseur majeur; Remueur; Nomade; Dragodinde en armure</t>
        </is>
      </c>
    </row>
    <row r="25516">
      <c r="A25516" t="inlineStr">
        <is>
          <t>Stuff 2</t>
        </is>
      </c>
      <c r="B25516">
        <f>HYPERLINK("https://www.dofusbook.net/fr/equipement/286662-stuff-2/objets", "link")</f>
        <v/>
      </c>
      <c r="C25516" t="n">
        <v>0</v>
      </c>
      <c r="D25516" t="inlineStr">
        <is>
          <t>Dagoulinantes; Collier du Valet Veinard; Alliance Gloursonne; Anneau Crustique; Ceintouse; Némès de Tal Kasha; Cape Matelassée; Sandales de Tal Kasha; Étourdisseur majeur; Nomade; Carapace Eau majeur; Remueur; Obstructeur majeur; Carapace Air majeur; Muldo Ebène et Indigo</t>
        </is>
      </c>
    </row>
    <row r="25517">
      <c r="A25517" t="inlineStr">
        <is>
          <t>Stuff 1</t>
        </is>
      </c>
      <c r="B25517">
        <f>HYPERLINK("https://www.dofusbook.net/fr/equipement/286694-stuff-1/objets", "link")</f>
        <v/>
      </c>
      <c r="C25517" t="n">
        <v>0</v>
      </c>
      <c r="D25517" t="inlineStr">
        <is>
          <t>Bague Gloursonne; Anneau Tique; Casque Dragoeuf</t>
        </is>
      </c>
    </row>
    <row r="25518">
      <c r="A25518" t="inlineStr">
        <is>
          <t>Stuff 3</t>
        </is>
      </c>
      <c r="B25518">
        <f>HYPERLINK("https://www.dofusbook.net/fr/equipement/286684-stuff-3/objets", "link")</f>
        <v/>
      </c>
      <c r="C25518" t="n">
        <v>0</v>
      </c>
      <c r="D25518" t="inlineStr">
        <is>
          <t>Arc Hétype; Collier de la Dame du Hasard; Anneau Tamie; Bouclier cubiste; Ceinture de Kongoku; Casquette de Meno; Cape de Meno; Pantoufles Émar; Ralentisseur majeur; Temporiseur majeur; Nomade; Remueur; Temporiseur; Entraveur majeur; Dragodinde Prune et Emeraude</t>
        </is>
      </c>
    </row>
    <row r="25519">
      <c r="A25519" t="inlineStr">
        <is>
          <t>Stuff 2</t>
        </is>
      </c>
      <c r="B25519">
        <f>HYPERLINK("https://www.dofusbook.net/fr/equipement/286647-stuff-2/objets", "link")</f>
        <v/>
      </c>
      <c r="C25519" t="n">
        <v>1</v>
      </c>
      <c r="D25519" t="inlineStr">
        <is>
          <t>Marteau R'ture; Collier de Tourthon; Anneau du Comte Harebourg; Bague Trithon; Ceinture Luminescente; Coiffe du Comte Harebourg; Cape de Mantaze; Bottes Innommables; Dofus Émeraude; Miraculé majeur; Survivant; Survivant majeur; Miraculé; Remueur; Péki</t>
        </is>
      </c>
    </row>
    <row r="25520">
      <c r="A25520" t="inlineStr">
        <is>
          <t>Stuff 3</t>
        </is>
      </c>
      <c r="B25520">
        <f>HYPERLINK("https://www.dofusbook.net/fr/equipement/286679-stuff-3/objets", "link")</f>
        <v/>
      </c>
      <c r="C25520" t="n">
        <v>0</v>
      </c>
      <c r="D25520" t="inlineStr">
        <is>
          <t>Harpelle; Pendentif affamé; Anneauræus; Anneau Rifique; Ceinture Séculaire; Coiffe Séculaire; Cape de Diondin; Bottes Innommables; Dofus Turquoise; Nomade; Savant majeur; Érudit majeur; Astucieux majeur; Remueur; Dragodinde Prune et Emeraude</t>
        </is>
      </c>
    </row>
    <row r="25521">
      <c r="A25521" t="inlineStr">
        <is>
          <t>Stuff 3</t>
        </is>
      </c>
      <c r="B25521">
        <f>HYPERLINK("https://www.dofusbook.net/fr/equipement/286669-stuff-3/objets", "link")</f>
        <v/>
      </c>
      <c r="C25521" t="n">
        <v>0</v>
      </c>
      <c r="D25521" t="inlineStr">
        <is>
          <t>Arc Nécrotique; Talisman Igans; Anneau Cryochrone; Cape de la Dame du Hasard; Bottes Owesli; Dofus Turquoise; Dofus Pourpre; Sanguinaire majeur; Remueur; Vigoureux majeur; Nomade</t>
        </is>
      </c>
    </row>
    <row r="25522">
      <c r="A25522" t="inlineStr">
        <is>
          <t>Stuff 1</t>
        </is>
      </c>
      <c r="B25522">
        <f>HYPERLINK("https://www.dofusbook.net/fr/equipement/286696-stuff-1/objets", "link")</f>
        <v/>
      </c>
      <c r="C25522" t="n">
        <v>0</v>
      </c>
      <c r="D25522" t="inlineStr">
        <is>
          <t>Hache du Chalœil; Amulette du Strigide; Alliance de Missiz Frizz; Bracelet du Piloztère; Ceintacé; Chapeau Lisson; Cape du Chalœil; Bottes du Strigide; Dofus Turquoise; Dofus Pourpre; Sanguinaire majeur; Remueur; Vigoureux majeur; Nomade; Muldo Prune et Doré</t>
        </is>
      </c>
    </row>
    <row r="25523">
      <c r="A25523" t="inlineStr">
        <is>
          <t>Stuff 2</t>
        </is>
      </c>
      <c r="B25523">
        <f>HYPERLINK("https://www.dofusbook.net/fr/equipement/286659-stuff-2/objets", "link")</f>
        <v/>
      </c>
      <c r="C25523" t="n">
        <v>0</v>
      </c>
      <c r="D25523" t="inlineStr">
        <is>
          <t>Sabres d'Atcham; Amulette du Strigide; Bracelet du Piloztère; Anneau de Padgref; Ceintacé; Chapeau des Malveilleurs; Cape d'Atcham; Bottes Voldelor; Dofus Pourpre; Dofus Turquoise; Sanguinaire majeur; Remueur; Vigoureux majeur; Nomade; Muldo Prune et Doré</t>
        </is>
      </c>
    </row>
    <row r="25524">
      <c r="A25524" t="inlineStr">
        <is>
          <t>Stuff 3</t>
        </is>
      </c>
      <c r="B25524">
        <f>HYPERLINK("https://www.dofusbook.net/fr/equipement/286654-stuff-3/objets", "link")</f>
        <v/>
      </c>
      <c r="C25524" t="n">
        <v>0</v>
      </c>
      <c r="D25524" t="inlineStr">
        <is>
          <t>Héqache; Amulette du Strigide; Alliance Gloursonne; Bracelet du Piloztère; Ceintacé; Casque des égarés; Bottes des égarés; Dofus Pourpre; Dofus des Glaces; Dofus Turquoise; Dragodinde en armure</t>
        </is>
      </c>
    </row>
    <row r="25525">
      <c r="A25525" t="inlineStr">
        <is>
          <t>Stuff 1</t>
        </is>
      </c>
      <c r="B25525">
        <f>HYPERLINK("https://www.dofusbook.net/fr/equipement/286649-stuff-1/objets", "link")</f>
        <v/>
      </c>
      <c r="C25525" t="n">
        <v>1</v>
      </c>
      <c r="D25525" t="inlineStr">
        <is>
          <t>Arc Hétype; Amulette de Nileza; Anneau Tamie; Anneau Tamie; Sangle Aise; Coiffe Séculaire; Cape de Nileza; Bottes Dogues; Dévastateur Feu majeur; Remueur; Érudit majeur; Astucieux majeur; Saccageur Feu majeur; Nomade; Brûlih</t>
        </is>
      </c>
    </row>
    <row r="25526">
      <c r="A25526" t="inlineStr">
        <is>
          <t>Stuff 2</t>
        </is>
      </c>
      <c r="B25526">
        <f>HYPERLINK("https://www.dofusbook.net/fr/equipement/286681-stuff-2/objets", "link")</f>
        <v/>
      </c>
      <c r="C25526" t="n">
        <v>0</v>
      </c>
      <c r="D25526" t="inlineStr">
        <is>
          <t>Baguette Hique; Amulette du Glourséleste; Anneau Tamie; Pikano; Ceinture Glaciale; Casquipik; Cape Matelassée; Pantoufles Émar; Ralentisseur majeur; Remueur; Entraveur; Temporiseur majeur; Temporiseur; Entraveur majeur; Dragodinde Prune et Emeraude</t>
        </is>
      </c>
    </row>
    <row r="25527">
      <c r="A25527" t="inlineStr">
        <is>
          <t>Crâ M 200</t>
        </is>
      </c>
      <c r="B25527">
        <f>HYPERLINK("https://www.dofusbook.net/fr/equipement/5876680-cra-m-200/objets", "link")</f>
        <v/>
      </c>
      <c r="C25527" t="n">
        <v>6</v>
      </c>
      <c r="D25527" t="inlineStr">
        <is>
          <t>Dagues Érhy; Amulette du Strigide; Anneau de Padgref; Anneau Tamie; Bouclier du tournesol sauvage; Ceinture de Vortex; Coiffe de Padgref; Voile d'encre; Pantoufles Émar; Dofus Turquoise; Temporiseur majeur; Érudit majeur; Nomade; Vigoureux majeur; Remueur; Brûlih</t>
        </is>
      </c>
    </row>
    <row r="25528">
      <c r="A25528" t="inlineStr">
        <is>
          <t>Eniripsa M 200</t>
        </is>
      </c>
      <c r="B25528">
        <f>HYPERLINK("https://www.dofusbook.net/fr/equipement/5872433-eniripsa-m-200/objets", "link")</f>
        <v/>
      </c>
      <c r="C25528" t="n">
        <v>0</v>
      </c>
      <c r="D25528" t="inlineStr">
        <is>
          <t>Harpelle; Pendentif affamé; Anneau Tamie; Anneau Tamie; Bouclier du tournesol sauvage; Ceinture Séculaire; Coiffe Séculaire; Voile d'encre; Pataugastrique; Dévastateur Feu majeur; Nomade; Astucieux majeur; Remueur; Miraculé majeur; Érudit majeur; Volkorne Orchidée</t>
        </is>
      </c>
    </row>
    <row r="25529">
      <c r="A25529" t="inlineStr">
        <is>
          <t>Ecaflip F 200</t>
        </is>
      </c>
      <c r="B25529">
        <f>HYPERLINK("https://www.dofusbook.net/fr/equipement/5826715-ecaflip-f-200/objets", "link")</f>
        <v/>
      </c>
      <c r="C25529" t="n">
        <v>1</v>
      </c>
      <c r="D25529" t="inlineStr">
        <is>
          <t>Dagues Érhy; Amulette du Strigide; Bracelet du Piloztère; Alliance Gloursonne; Bouclier du tournesol sauvage; Ceintacé; Chapeau de Gein; Voile d'encre; Bottes du Strigide; Dofus Pourpre; Dofus Turquoise; Enragé majeur; Vigoureux majeur; Nomade; Remueur; Muldo Prune et Doré</t>
        </is>
      </c>
    </row>
    <row r="25530">
      <c r="A25530" t="inlineStr">
        <is>
          <t>Sadida F 200</t>
        </is>
      </c>
      <c r="B25530">
        <f>HYPERLINK("https://www.dofusbook.net/fr/equipement/5794905-sadida-f-200/objets", "link")</f>
        <v/>
      </c>
      <c r="C25530" t="n">
        <v>0</v>
      </c>
      <c r="D25530" t="inlineStr">
        <is>
          <t>Pelle de Katrepat; Amulette de Shokkoth; Anneau Cryochrone; Anneau Toriété; Bouclier du tournesol sauvage; Ceintacé; Capuche de l'Œil Putride; Cape de Meno; Bottes de Meno; Dofus Pourpre; Vigoureux majeur; Temporiseur majeur; Nomade; Chanceux majeur; Remueur; Walk</t>
        </is>
      </c>
    </row>
    <row r="25531">
      <c r="A25531" t="inlineStr">
        <is>
          <t>Ecaflip F 200</t>
        </is>
      </c>
      <c r="B25531">
        <f>HYPERLINK("https://www.dofusbook.net/fr/equipement/5758796-ecaflip-f-200/objets", "link")</f>
        <v/>
      </c>
      <c r="C25531" t="n">
        <v>0</v>
      </c>
      <c r="D25531" t="inlineStr">
        <is>
          <t>Dagues Érhy; Amulette du Strigide; Alliance Gloursonne; Bracelet du Piloztère; Bouclier en Slip; Ceinture du Strigide; Masque de Koutoulou; Voile d'encre; Baleinabottes; Dofus Turquoise; Dofus Pourpre; Enragé majeur; Vigoureux majeur; Nomade; Remueur; Muldo Doré</t>
        </is>
      </c>
    </row>
    <row r="25532">
      <c r="A25532" t="inlineStr">
        <is>
          <t>Sacrieur F 200</t>
        </is>
      </c>
      <c r="B25532">
        <f>HYPERLINK("https://www.dofusbook.net/fr/equipement/5758766-sacrieur-f-200/objets", "link")</f>
        <v/>
      </c>
      <c r="C25532" t="n">
        <v>0</v>
      </c>
      <c r="D25532" t="inlineStr"/>
    </row>
    <row r="25533">
      <c r="A25533" t="inlineStr">
        <is>
          <t>Féca F 200</t>
        </is>
      </c>
      <c r="B25533">
        <f>HYPERLINK("https://www.dofusbook.net/fr/equipement/5751723-feca-f-200/objets", "link")</f>
        <v/>
      </c>
      <c r="C25533" t="n">
        <v>0</v>
      </c>
      <c r="D25533" t="inlineStr"/>
    </row>
    <row r="25534">
      <c r="A25534" t="inlineStr">
        <is>
          <t>Roublard F 200</t>
        </is>
      </c>
      <c r="B25534">
        <f>HYPERLINK("https://www.dofusbook.net/fr/equipement/4961019-roublard-f-200/objets", "link")</f>
        <v/>
      </c>
      <c r="C25534" t="n">
        <v>3</v>
      </c>
      <c r="D25534" t="inlineStr">
        <is>
          <t>Couteaux Sacrificiels; Talisman Igans; Anneau Tamie; Anneau Tamie; Ceintrigue; Cagoule de Vortex; Cape de Diondin; Bottes Innommables; Dofus des Glaces; Astucieux majeur; Nomade; Remueur; Érudit majeur; Dévastateur Feu majeur; Bisouglours</t>
        </is>
      </c>
    </row>
    <row r="25535">
      <c r="A25535" t="inlineStr">
        <is>
          <t>Eniripsa F 200</t>
        </is>
      </c>
      <c r="B25535">
        <f>HYPERLINK("https://www.dofusbook.net/fr/equipement/4448468-eniripsa-f-200/objets", "link")</f>
        <v/>
      </c>
      <c r="C25535" t="n">
        <v>2</v>
      </c>
      <c r="D25535" t="inlineStr">
        <is>
          <t>Harpelle; Pendentif affamé; Anneau de Padgref; Anneau Tamie; Ceinture Séculaire; Coiffe Séculaire; Cape de Diondin; Pantoufles Émar; Cascadeur majeur; Remueur; Guérisseur majeur; Érudit majeur; Miraculé majeur; Nomade; Pioute rouge</t>
        </is>
      </c>
    </row>
    <row r="25536">
      <c r="A25536" t="inlineStr">
        <is>
          <t>Crâ F 200</t>
        </is>
      </c>
      <c r="B25536">
        <f>HYPERLINK("https://www.dofusbook.net/fr/equipement/4355766-cra-f-200/objets", "link")</f>
        <v/>
      </c>
      <c r="C25536" t="n">
        <v>0</v>
      </c>
      <c r="D25536" t="inlineStr">
        <is>
          <t>Epée Gloursonne; Amulette Séculaire; Alliance Gloursonne; Bague Gloursonne; Ceinture Séculaire; Coiffe Séculaire</t>
        </is>
      </c>
    </row>
    <row r="25537">
      <c r="A25537" t="inlineStr">
        <is>
          <t>Pandawa F 200</t>
        </is>
      </c>
      <c r="B25537">
        <f>HYPERLINK("https://www.dofusbook.net/fr/equipement/4337483-pandawa-f-200/objets", "link")</f>
        <v/>
      </c>
      <c r="C25537" t="n">
        <v>0</v>
      </c>
      <c r="D25537" t="inlineStr">
        <is>
          <t>Epée Gloursonne; Amulette de Danathor; Bague Gloursonne; Alliance Gloursonne; Ceinture de Danathor; Coiffe de Danathor; Cape de Léthaline; Sandales des Fonds marins; Dofus Émeraude; Dofus Ocre; Dofus Pourpre; Dofus Turquoise; Joueur majeur; Examinateur</t>
        </is>
      </c>
    </row>
    <row r="25538">
      <c r="A25538" t="inlineStr">
        <is>
          <t>Stuff 2</t>
        </is>
      </c>
      <c r="B25538">
        <f>HYPERLINK("https://www.dofusbook.net/fr/equipement/2106038-stuff-2/objets", "link")</f>
        <v/>
      </c>
      <c r="C25538" t="n">
        <v>0</v>
      </c>
      <c r="D25538" t="inlineStr">
        <is>
          <t>Arc Hétype; Amulette de Nileza; Anneau Tique; Anneau de Nidas; Ceinture de Gein; Calotte Spot; Cape de Nileza; Bottes Innommables; Dofus des Glaces; Dofus Ocre; Remueur; Érudit majeur; Dévastateur Feu majeur; Nomade; Croum</t>
        </is>
      </c>
    </row>
    <row r="25539">
      <c r="A25539" t="inlineStr">
        <is>
          <t>Stuff 2</t>
        </is>
      </c>
      <c r="B25539">
        <f>HYPERLINK("https://www.dofusbook.net/fr/equipement/2106033-stuff-2/objets", "link")</f>
        <v/>
      </c>
      <c r="C25539" t="n">
        <v>0</v>
      </c>
      <c r="D25539" t="inlineStr">
        <is>
          <t>Marteau Phossile; Pendentif mignon de Koutoulou; Anneau Tique; Alliance Gloursonne; Ceinture de Vortex; Casque Cyclopéen; Cape de Diondin; Pantoufles Émar; Dofus des Glaces; Dévastateur Air majeur; Nomade; Dévastateur Feu majeur; Érudit majeur; Kramkram</t>
        </is>
      </c>
    </row>
    <row r="25540">
      <c r="A25540" t="inlineStr">
        <is>
          <t>Stuff 1</t>
        </is>
      </c>
      <c r="B25540">
        <f>HYPERLINK("https://www.dofusbook.net/fr/equipement/2106028-stuff-1/objets", "link")</f>
        <v/>
      </c>
      <c r="C25540" t="n">
        <v>0</v>
      </c>
      <c r="D25540" t="inlineStr">
        <is>
          <t>Manthache; Amulette du Strigide; Anneau de Padgref; Alliance Gloursonne; Menoture; Couronne d'Allister; Cape Indescriptible; Bottes du Strigide; Dofus des Glaces; Dofus Pourpre; Dofus Turquoise; Remueur; Cascadeur majeur; Nomade; Dragodinde en armure</t>
        </is>
      </c>
    </row>
    <row r="25541">
      <c r="A25541" t="inlineStr">
        <is>
          <t>Stuff 1</t>
        </is>
      </c>
      <c r="B25541">
        <f>HYPERLINK("https://www.dofusbook.net/fr/equipement/2106023-stuff-1/objets", "link")</f>
        <v/>
      </c>
      <c r="C25541" t="n">
        <v>0</v>
      </c>
      <c r="D25541" t="inlineStr">
        <is>
          <t>Arc Hétype; Amulette de Nileza; Anneau Tique; Anneau de Nidas; Ceinture de Vortex; Couronne de Nidas; Voile d'encre; Bottes Innommables; Dofus Ocre; Déserteur majeur; Nomade; Érudit majeur; Remueur; Kramkram</t>
        </is>
      </c>
    </row>
    <row r="25542">
      <c r="A25542" t="inlineStr">
        <is>
          <t>Stuff 2</t>
        </is>
      </c>
      <c r="B25542">
        <f>HYPERLINK("https://www.dofusbook.net/fr/equipement/2106035-stuff-2/objets", "link")</f>
        <v/>
      </c>
      <c r="C25542" t="n">
        <v>0</v>
      </c>
      <c r="D25542" t="inlineStr">
        <is>
          <t>Pelle de la Cour Sombre; Collier du Valet Veinard; Gant du Valet Veinard; Alliance Gloursonne; Menoture; Couronne d'Allister; Cape Indescriptible; Bottes Opsy; Dofus des Glaces; Dévastateur Air majeur; Remueur; Cascadeur majeur; Miraculé majeur; Nomade; Croum</t>
        </is>
      </c>
    </row>
    <row r="25543">
      <c r="A25543" t="inlineStr">
        <is>
          <t>Stuff 1</t>
        </is>
      </c>
      <c r="B25543">
        <f>HYPERLINK("https://www.dofusbook.net/fr/equipement/2106030-stuff-1/objets", "link")</f>
        <v/>
      </c>
      <c r="C25543" t="n">
        <v>0</v>
      </c>
      <c r="D25543" t="inlineStr">
        <is>
          <t>Sceptre du Roi Joueur; Amulette de Shokkoth; Alliance Gloursonne; Bracelet des Fonds marins; Ceinture de la Reine des Voleurs; Kidibonnet; Cape de Mantaze; Bottes de la Reine des Voleurs; Dofus des Glaces; Dévastateur Eau majeur; Remueur; Carapace Feu majeur; Chanceux majeur; Nomade; Croum</t>
        </is>
      </c>
    </row>
    <row r="25544">
      <c r="A25544" t="inlineStr">
        <is>
          <t>Stuff 1</t>
        </is>
      </c>
      <c r="B25544">
        <f>HYPERLINK("https://www.dofusbook.net/fr/equipement/2106025-stuff-1/objets", "link")</f>
        <v/>
      </c>
      <c r="C25544" t="n">
        <v>1</v>
      </c>
      <c r="D25544" t="inlineStr">
        <is>
          <t>Arc de Koutoulou; Amulette de Shokkoth; Bracelet des Fonds marins; Alliance Gloursonne; Poulpagne; Coiffe de la Reine des Voleurs; Cape Matelassée; Bottes de la Reine des Voleurs; Dofus des Glaces; Dévastateur Eau majeur; Nomade; Cavaleur majeur; Évasif majeur; Carapace Terre majeur; Croum</t>
        </is>
      </c>
    </row>
    <row r="25545">
      <c r="A25545" t="inlineStr">
        <is>
          <t>Stuff 1</t>
        </is>
      </c>
      <c r="B25545">
        <f>HYPERLINK("https://www.dofusbook.net/fr/equipement/2106037-stuff-1/objets", "link")</f>
        <v/>
      </c>
      <c r="C25545" t="n">
        <v>0</v>
      </c>
      <c r="D25545" t="inlineStr">
        <is>
          <t>Arc Hétype; Amulette de Nileza; Anneau de Nidas; Anneau Tique; Ceinture Hyolite; Calotte Spot; Cape de Diondin; Bottes Innommables; Dofus des Glaces; Dévastateur Feu majeur; Remueur; Érudit majeur; Nomade; Croum</t>
        </is>
      </c>
    </row>
    <row r="25546">
      <c r="A25546" t="inlineStr">
        <is>
          <t>Stuff 1</t>
        </is>
      </c>
      <c r="B25546">
        <f>HYPERLINK("https://www.dofusbook.net/fr/equipement/2106032-stuff-1/objets", "link")</f>
        <v/>
      </c>
      <c r="C25546" t="n">
        <v>0</v>
      </c>
      <c r="D25546" t="inlineStr">
        <is>
          <t>Arc Hétype; Amulette de Nileza; Anneau Tique; Anneau de Nidas; Ceinture de Vortex; Cagoule de Vortex; Cape de Diondin; Bottes Innommables; Dofus des Glaces; Remueur; Érudit majeur; Dévastateur Feu majeur; Nomade; Croum</t>
        </is>
      </c>
    </row>
    <row r="25547">
      <c r="A25547" t="inlineStr">
        <is>
          <t>Stuff 3</t>
        </is>
      </c>
      <c r="B25547">
        <f>HYPERLINK("https://www.dofusbook.net/fr/equipement/2106027-stuff-3/objets", "link")</f>
        <v/>
      </c>
      <c r="C25547" t="n">
        <v>0</v>
      </c>
      <c r="D25547" t="inlineStr">
        <is>
          <t>Rapière aux Glyphes; Amulette de Shokkoth; Alliance Gloursonne; Bracelet des Fonds marins; Poulpagne; Kidibonnet; Cape de Mantaze; Sandales des Fonds marins; Dofus des Glaces; Dévastateur Eau majeur; Chanceux majeur; Déserteur majeur; Nomade; Croum</t>
        </is>
      </c>
    </row>
    <row r="25548">
      <c r="A25548" t="inlineStr">
        <is>
          <t>Stuff 1</t>
        </is>
      </c>
      <c r="B25548">
        <f>HYPERLINK("https://www.dofusbook.net/fr/equipement/2106039-stuff-1/objets", "link")</f>
        <v/>
      </c>
      <c r="C25548" t="n">
        <v>1</v>
      </c>
      <c r="D25548" t="inlineStr">
        <is>
          <t>Baguette Range; Amulette du Strigide; Anneau Rifique; Alliance Gloursonne; Ceinture du Strigide; Coiffe de Padgref; Voile d'encre; Pantoufles Émar; Dofus Turquoise; Dofus Pourpre; Dofus des Glaces; Remueur; Vigoureux majeur; Nomade; Dragodinde en armure</t>
        </is>
      </c>
    </row>
    <row r="25549">
      <c r="A25549" t="inlineStr">
        <is>
          <t>Stuff 1</t>
        </is>
      </c>
      <c r="B25549">
        <f>HYPERLINK("https://www.dofusbook.net/fr/equipement/2106034-stuff-1/objets", "link")</f>
        <v/>
      </c>
      <c r="C25549" t="n">
        <v>1</v>
      </c>
      <c r="D25549" t="inlineStr">
        <is>
          <t>Dagoulinantes; Amulette de Shokkoth; Bracelet des Fonds marins; Alliance Gloursonne; Ceinture de la Reine des Voleurs; Kidibonnet; Cape Endaison; Bottes de la Reine des Voleurs; Dofus des Glaces; Remueur; Miraculé majeur; Nomade; Carapace Air majeur; Dévastateur Eau majeur; Croum</t>
        </is>
      </c>
    </row>
    <row r="25550">
      <c r="A25550" t="inlineStr">
        <is>
          <t>Stuff 1</t>
        </is>
      </c>
      <c r="B25550">
        <f>HYPERLINK("https://www.dofusbook.net/fr/equipement/2106029-stuff-1/objets", "link")</f>
        <v/>
      </c>
      <c r="C25550" t="n">
        <v>0</v>
      </c>
      <c r="D25550" t="inlineStr">
        <is>
          <t>Arc Hétype; Pendentif affamé; Anneau Tique; Anneau de Nidas; Ceinture de Vortex; Couronne de Nidas; Cape de Diondin; Bottes Innommables; Dofus des Glaces; Remueur; Érudit majeur; Nomade; Dévastateur Feu majeur; Croum</t>
        </is>
      </c>
    </row>
    <row r="25551">
      <c r="A25551" t="inlineStr">
        <is>
          <t>Stuff 2</t>
        </is>
      </c>
      <c r="B25551">
        <f>HYPERLINK("https://www.dofusbook.net/fr/equipement/2106024-stuff-2/objets", "link")</f>
        <v/>
      </c>
      <c r="C25551" t="n">
        <v>1</v>
      </c>
      <c r="D25551" t="inlineStr">
        <is>
          <t>Arc Hétype; Amulette de Nileza; Anneau Tique; Anneau de Nidas; Ceinture de Vortex; Couronne de Nidas; Cape de Diondin; Bottes de Meno; Temporiseur majeur; Déserteur majeur; Nomade; Érudit majeur; Remueur; Croum</t>
        </is>
      </c>
    </row>
    <row r="25552">
      <c r="A25552" t="inlineStr">
        <is>
          <t>Stuff 2</t>
        </is>
      </c>
      <c r="B25552">
        <f>HYPERLINK("https://www.dofusbook.net/fr/equipement/2106038-stuff-2/objets", "link")</f>
        <v/>
      </c>
      <c r="C25552" t="n">
        <v>0</v>
      </c>
      <c r="D25552" t="inlineStr">
        <is>
          <t>Arc Hétype; Amulette de Nileza; Anneau de Nidas; Anneau Tique; Ceinture de Gein; Calotte Spot; Cape de Nileza; Bottes Innommables; Dofus des Glaces; Dofus Ocre; Dévastateur Feu majeur; Nomade; Remueur; Érudit majeur; Croum</t>
        </is>
      </c>
    </row>
    <row r="25553">
      <c r="A25553" t="inlineStr">
        <is>
          <t>Stuff 2</t>
        </is>
      </c>
      <c r="B25553">
        <f>HYPERLINK("https://www.dofusbook.net/fr/equipement/2106033-stuff-2/objets", "link")</f>
        <v/>
      </c>
      <c r="C25553" t="n">
        <v>0</v>
      </c>
      <c r="D25553" t="inlineStr">
        <is>
          <t>Marteau Phossile; Pendentif mignon de Koutoulou; Alliance Gloursonne; Anneau Tique; Ceinture de Vortex; Casque Cyclopéen; Cape de Diondin; Pantoufles Émar; Dofus des Glaces; Érudit majeur; Dévastateur Air majeur; Nomade; Dévastateur Feu majeur; Kramkram</t>
        </is>
      </c>
    </row>
    <row r="25554">
      <c r="A25554" t="inlineStr">
        <is>
          <t>Stuff 1</t>
        </is>
      </c>
      <c r="B25554">
        <f>HYPERLINK("https://www.dofusbook.net/fr/equipement/2106028-stuff-1/objets", "link")</f>
        <v/>
      </c>
      <c r="C25554" t="n">
        <v>0</v>
      </c>
      <c r="D25554" t="inlineStr">
        <is>
          <t>Manthache; Amulette du Strigide; Anneau de Padgref; Alliance Gloursonne; Menoture; Couronne d'Allister; Cape Indescriptible; Bottes du Strigide; Dofus des Glaces; Dofus Pourpre; Dofus Turquoise; Cascadeur majeur; Nomade; Remueur; Dragodinde en armure</t>
        </is>
      </c>
    </row>
    <row r="25555">
      <c r="A25555" t="inlineStr">
        <is>
          <t>Stuff 1</t>
        </is>
      </c>
      <c r="B25555">
        <f>HYPERLINK("https://www.dofusbook.net/fr/equipement/2106023-stuff-1/objets", "link")</f>
        <v/>
      </c>
      <c r="C25555" t="n">
        <v>0</v>
      </c>
      <c r="D25555" t="inlineStr">
        <is>
          <t>Arc Hétype; Amulette de Nileza; Anneau de Nidas; Anneau Tique; Ceinture de Vortex; Couronne de Nidas; Voile d'encre; Bottes Innommables; Dofus Ocre; Déserteur majeur; Nomade; Érudit majeur; Remueur; Kramkram</t>
        </is>
      </c>
    </row>
    <row r="25556">
      <c r="A25556" t="inlineStr">
        <is>
          <t>Stuff 1</t>
        </is>
      </c>
      <c r="B25556">
        <f>HYPERLINK("https://www.dofusbook.net/fr/equipement/2105986-stuff-1/objets", "link")</f>
        <v/>
      </c>
      <c r="C25556" t="n">
        <v>0</v>
      </c>
      <c r="D25556" t="inlineStr">
        <is>
          <t>Harpelle; Amulette Séculaire; Anneau de Nidas; Anneau de Padgref; Ceinture Séculaire; Coiffe Séculaire; Voile d'encre; Getas de Padgref; Dofus des Glaces; Dofus Pourpre; Dofus Vulbis; Dofus Turquoise; Dofus Ocre; Astucieux majeur; Kramkram</t>
        </is>
      </c>
    </row>
    <row r="25557">
      <c r="A25557" t="inlineStr">
        <is>
          <t>Stuff 1</t>
        </is>
      </c>
      <c r="B25557">
        <f>HYPERLINK("https://www.dofusbook.net/fr/equipement/2105954-stuff-1/objets", "link")</f>
        <v/>
      </c>
      <c r="C25557" t="n">
        <v>0</v>
      </c>
      <c r="D25557" t="inlineStr">
        <is>
          <t>Dagues Érhy; Amulette du Strigide; Bague Gloursonne; Bracelet du Piloztère; Ceintacé; Chapeau de Gein; Voile d'encre; Bottes du Strigide; Dofus Pourpre; Enragé majeur; Nomade; Vigoureux majeur; Remueur; Dragodinde en armure</t>
        </is>
      </c>
    </row>
    <row r="25558">
      <c r="A25558" t="inlineStr">
        <is>
          <t>Stuff 2</t>
        </is>
      </c>
      <c r="B25558">
        <f>HYPERLINK("https://www.dofusbook.net/fr/equipement/2106013-stuff-2/objets", "link")</f>
        <v/>
      </c>
      <c r="C25558" t="n">
        <v>0</v>
      </c>
      <c r="D25558" t="inlineStr">
        <is>
          <t>Arc de Koutoulou; Amulette de l'Indicible; Alliance Gloursonne; Gant du Valet Veinard; Poulpagne; Coiffe de la Reine des Voleurs; Cape Indescriptible; Bottes de la Reine des Voleurs; Dofus des Glaces; Carapace Eau majeur; Dévastateur Air majeur; Nomade; Dévastateur Eau majeur; Remueur; Croum</t>
        </is>
      </c>
    </row>
    <row r="25559">
      <c r="A25559" t="inlineStr">
        <is>
          <t>Stuff 2</t>
        </is>
      </c>
      <c r="B25559">
        <f>HYPERLINK("https://www.dofusbook.net/fr/equipement/2106008-stuff-2/objets", "link")</f>
        <v/>
      </c>
      <c r="C25559" t="n">
        <v>0</v>
      </c>
      <c r="D25559" t="inlineStr">
        <is>
          <t>Manthache; Collier du Valet Veinard; Gant du Valet Veinard; Alliance Gloursonne; Menoture; Couronne d'Allister; Cape Indescriptible; Baleinabottes; Dofus des Glaces; Carapace Neutre majeur; Nomade; Dévastateur Air majeur; Cascadeur majeur; Carapace Air majeur; Kramkram</t>
        </is>
      </c>
    </row>
    <row r="25560">
      <c r="A25560" t="inlineStr">
        <is>
          <t>Stuff 1</t>
        </is>
      </c>
      <c r="B25560">
        <f>HYPERLINK("https://www.dofusbook.net/fr/equipement/2105971-stuff-1/objets", "link")</f>
        <v/>
      </c>
      <c r="C25560" t="n">
        <v>0</v>
      </c>
      <c r="D25560" t="inlineStr">
        <is>
          <t>Sceptre du Roi Joueur; Amulette Voldelor; Alliance Gloursonne; Bracelet des Fonds marins; Ceinture de la Reine des Voleurs; Kidibonnet; Cape des Malveilleurs; Bottes de la Reine des Voleurs; Dofus des Glaces; Dévastateur Eau majeur; Remueur; Chanceux majeur; Carapace Air majeur; Nomade; Dragodinde en armure</t>
        </is>
      </c>
    </row>
    <row r="25561">
      <c r="A25561" t="inlineStr">
        <is>
          <t>Stuff 3</t>
        </is>
      </c>
      <c r="B25561">
        <f>HYPERLINK("https://www.dofusbook.net/fr/equipement/2106003-stuff-3/objets", "link")</f>
        <v/>
      </c>
      <c r="C25561" t="n">
        <v>0</v>
      </c>
      <c r="D25561" t="inlineStr">
        <is>
          <t>Dagoulinantes; Amulette de Shokkoth; Bracelet des Fonds marins; Alliance Gloursonne; Ceinture de la Reine des Voleurs; Kidibonnet; Cape de Mantaze; Bottes de la Reine des Voleurs; Dofus des Glaces; Dévastateur Eau majeur; Remueur; Sanguinaire majeur; Chanceux majeur; Nomade; El Scarador</t>
        </is>
      </c>
    </row>
    <row r="25562">
      <c r="A25562" t="inlineStr">
        <is>
          <t>Stuff 2</t>
        </is>
      </c>
      <c r="B25562">
        <f>HYPERLINK("https://www.dofusbook.net/fr/equipement/2105966-stuff-2/objets", "link")</f>
        <v/>
      </c>
      <c r="C25562" t="n">
        <v>0</v>
      </c>
      <c r="D25562" t="inlineStr">
        <is>
          <t>Epée Loponèze; Amulette Voldelor; Alliance Gloursonne; Bracelet des Fonds marins; Ceintrigue; Coiffe de la Reine des Voleurs; Cape Matelassée; Bottes de la Reine des Voleurs; Dofus Pourpre; Dofus des Glaces; Dévastateur Eau majeur; Nomade; Remueur; Vigoureux majeur; Croum</t>
        </is>
      </c>
    </row>
    <row r="25563">
      <c r="A25563" t="inlineStr">
        <is>
          <t>Stuff 3</t>
        </is>
      </c>
      <c r="B25563">
        <f>HYPERLINK("https://www.dofusbook.net/fr/equipement/2105998-stuff-3/objets", "link")</f>
        <v/>
      </c>
      <c r="C25563" t="n">
        <v>0</v>
      </c>
      <c r="D25563" t="inlineStr">
        <is>
          <t>Epée Gloursonne; Kralamansion; Alliance Gloursonne; Bague Gloursonne; Ceinture de Léthaline; Masque Trithon; Cape de Léthaline; Bottes de Léthaline; Dofus Émeraude; Dofus Ocre; Dolmanax; Précurseur majeur; Survivant majeur; Initiateur mineur; Chaperlipopette</t>
        </is>
      </c>
    </row>
    <row r="25564">
      <c r="A25564" t="inlineStr">
        <is>
          <t>Stuff 2</t>
        </is>
      </c>
      <c r="B25564">
        <f>HYPERLINK("https://www.dofusbook.net/fr/equipement/2105961-stuff-2/objets", "link")</f>
        <v/>
      </c>
      <c r="C25564" t="n">
        <v>0</v>
      </c>
      <c r="D25564" t="inlineStr">
        <is>
          <t>Sabres d'Atcham; Amulette Ementaire Deluxe; Bague Gloursonne; Alliance Gloursonne; Ceinture de Vortex; Bandeau Culaire; Voile d'encre; Pataugastrique; Dofus Pourpre; Dofus des Glaces; Dofus Turquoise; Nomade; Miraculé majeur; Remueur; Croum</t>
        </is>
      </c>
    </row>
    <row r="25565">
      <c r="A25565" t="inlineStr">
        <is>
          <t>Stuff 3</t>
        </is>
      </c>
      <c r="B25565">
        <f>HYPERLINK("https://www.dofusbook.net/fr/equipement/2105956-stuff-3/objets", "link")</f>
        <v/>
      </c>
      <c r="C25565" t="n">
        <v>0</v>
      </c>
      <c r="D25565" t="inlineStr">
        <is>
          <t>Arc de Guten Tak; Amulette du Strigide; Bracelet du Piloztère; Alliance Gloursonne; Ceintacé; Coiffe d'Ogivol; Cape de la Fuji Givrefoux; Bottes du Strigide; Dofus Turquoise; Dolmanax; Dofus Pourpre; Enragé majeur; Vigoureux majeur; Remueur; Dragodinde en armure</t>
        </is>
      </c>
    </row>
    <row r="25566">
      <c r="A25566" t="inlineStr">
        <is>
          <t>Stuff 1</t>
        </is>
      </c>
      <c r="B25566">
        <f>HYPERLINK("https://www.dofusbook.net/fr/equipement/2105988-stuff-1/objets", "link")</f>
        <v/>
      </c>
      <c r="C25566" t="n">
        <v>0</v>
      </c>
      <c r="D25566" t="inlineStr">
        <is>
          <t>Manthache; Collier du Valet Veinard; Alliance Gloursonne; Gant du Valet Veinard; Menoture; Coiffe de la Reine des Voleurs; Cape du Valet Veinard; Bottes de la Reine des Voleurs; Dofus des Glaces; Dofus Nébuleux; Equilibriste majeur; Ravageur Air majeur; Voyageur; Saccageur Air majeur; Blérodoudou</t>
        </is>
      </c>
    </row>
    <row r="25567">
      <c r="A25567" t="inlineStr">
        <is>
          <t>Stuff 2</t>
        </is>
      </c>
      <c r="B25567">
        <f>HYPERLINK("https://www.dofusbook.net/fr/equipement/2106013-stuff-2/objets", "link")</f>
        <v/>
      </c>
      <c r="C25567" t="n">
        <v>0</v>
      </c>
      <c r="D25567" t="inlineStr">
        <is>
          <t>Arc de Koutoulou; Amulette de l'Indicible; Gant du Valet Veinard; Alliance Gloursonne; Poulpagne; Coiffe de la Reine des Voleurs; Cape Indescriptible; Bottes de la Reine des Voleurs; Dofus des Glaces; Dévastateur Air majeur; Nomade; Dévastateur Eau majeur; Remueur; Carapace Eau majeur; Croum</t>
        </is>
      </c>
    </row>
    <row r="25568">
      <c r="A25568" t="inlineStr">
        <is>
          <t>Stuff 2</t>
        </is>
      </c>
      <c r="B25568">
        <f>HYPERLINK("https://www.dofusbook.net/fr/equipement/2106008-stuff-2/objets", "link")</f>
        <v/>
      </c>
      <c r="C25568" t="n">
        <v>0</v>
      </c>
      <c r="D25568" t="inlineStr">
        <is>
          <t>Manthache; Collier du Valet Veinard; Gant du Valet Veinard; Alliance Gloursonne; Menoture; Couronne d'Allister; Cape Indescriptible; Baleinabottes; Dofus des Glaces; Dévastateur Air majeur; Cascadeur majeur; Carapace Air majeur; Carapace Neutre majeur; Nomade; Kramkram</t>
        </is>
      </c>
    </row>
    <row r="25569">
      <c r="A25569" t="inlineStr">
        <is>
          <t>Stuff 1</t>
        </is>
      </c>
      <c r="B25569">
        <f>HYPERLINK("https://www.dofusbook.net/fr/equipement/2105971-stuff-1/objets", "link")</f>
        <v/>
      </c>
      <c r="C25569" t="n">
        <v>0</v>
      </c>
      <c r="D25569" t="inlineStr">
        <is>
          <t>Sceptre du Roi Joueur; Amulette Voldelor; Alliance Gloursonne; Bracelet des Fonds marins; Ceinture de la Reine des Voleurs; Kidibonnet; Cape des Malveilleurs; Bottes de la Reine des Voleurs; Dofus des Glaces; Dévastateur Eau majeur; Remueur; Chanceux majeur; Carapace Air majeur; Nomade; Dragodinde en armure</t>
        </is>
      </c>
    </row>
    <row r="25570">
      <c r="A25570" t="inlineStr">
        <is>
          <t>Stuff 3</t>
        </is>
      </c>
      <c r="B25570">
        <f>HYPERLINK("https://www.dofusbook.net/fr/equipement/2106003-stuff-3/objets", "link")</f>
        <v/>
      </c>
      <c r="C25570" t="n">
        <v>0</v>
      </c>
      <c r="D25570" t="inlineStr">
        <is>
          <t>Dagoulinantes; Amulette de Shokkoth; Bracelet des Fonds marins; Alliance Gloursonne; Ceinture de la Reine des Voleurs; Kidibonnet; Cape de Mantaze; Bottes de la Reine des Voleurs; Dofus des Glaces; Dévastateur Eau majeur; Remueur; Sanguinaire majeur; Chanceux majeur; Nomade; El Scarador</t>
        </is>
      </c>
    </row>
    <row r="25571">
      <c r="A25571" t="inlineStr">
        <is>
          <t>Stuff 2</t>
        </is>
      </c>
      <c r="B25571">
        <f>HYPERLINK("https://www.dofusbook.net/fr/equipement/2105966-stuff-2/objets", "link")</f>
        <v/>
      </c>
      <c r="C25571" t="n">
        <v>0</v>
      </c>
      <c r="D25571" t="inlineStr">
        <is>
          <t>Epée Loponèze; Amulette Voldelor; Alliance Gloursonne; Bracelet des Fonds marins; Ceintrigue; Coiffe de la Reine des Voleurs; Cape Matelassée; Bottes de la Reine des Voleurs; Dofus Pourpre; Dofus des Glaces; Dévastateur Eau majeur; Nomade; Remueur; Vigoureux majeur; Croum</t>
        </is>
      </c>
    </row>
    <row r="25572">
      <c r="A25572" t="inlineStr">
        <is>
          <t>Stuff 3</t>
        </is>
      </c>
      <c r="B25572">
        <f>HYPERLINK("https://www.dofusbook.net/fr/equipement/2105998-stuff-3/objets", "link")</f>
        <v/>
      </c>
      <c r="C25572" t="n">
        <v>0</v>
      </c>
      <c r="D25572" t="inlineStr">
        <is>
          <t>Epée Gloursonne; Kralamansion; Alliance Gloursonne; Bague Gloursonne; Ceinture de Léthaline; Masque Trithon; Cape de Léthaline; Bottes de Léthaline; Dofus Émeraude; Dofus Ocre; Dolmanax; Précurseur majeur; Survivant majeur; Initiateur mineur; Chaperlipopette</t>
        </is>
      </c>
    </row>
    <row r="25573">
      <c r="A25573" t="inlineStr">
        <is>
          <t>Stuff 2</t>
        </is>
      </c>
      <c r="B25573">
        <f>HYPERLINK("https://www.dofusbook.net/fr/equipement/2105961-stuff-2/objets", "link")</f>
        <v/>
      </c>
      <c r="C25573" t="n">
        <v>0</v>
      </c>
      <c r="D25573" t="inlineStr">
        <is>
          <t>Sabres d'Atcham; Amulette Ementaire Deluxe; Bague Gloursonne; Alliance Gloursonne; Ceinture de Vortex; Bandeau Culaire; Voile d'encre; Pataugastrique; Dofus Pourpre; Dofus des Glaces; Dofus Turquoise; Nomade; Miraculé majeur; Remueur; Croum</t>
        </is>
      </c>
    </row>
    <row r="25574">
      <c r="A25574" t="inlineStr">
        <is>
          <t>Stuff 3</t>
        </is>
      </c>
      <c r="B25574">
        <f>HYPERLINK("https://www.dofusbook.net/fr/equipement/2105956-stuff-3/objets", "link")</f>
        <v/>
      </c>
      <c r="C25574" t="n">
        <v>0</v>
      </c>
      <c r="D25574" t="inlineStr">
        <is>
          <t>Arc de Guten Tak; Amulette du Strigide; Bracelet du Piloztère; Alliance Gloursonne; Ceintacé; Coiffe d'Ogivol; Cape de la Fuji Givrefoux; Bottes du Strigide; Dofus Turquoise; Dolmanax; Dofus Pourpre; Enragé majeur; Vigoureux majeur; Remueur; Dragodinde en armure</t>
        </is>
      </c>
    </row>
    <row r="25575">
      <c r="A25575" t="inlineStr">
        <is>
          <t>Stuff 1</t>
        </is>
      </c>
      <c r="B25575">
        <f>HYPERLINK("https://www.dofusbook.net/fr/equipement/2105988-stuff-1/objets", "link")</f>
        <v/>
      </c>
      <c r="C25575" t="n">
        <v>0</v>
      </c>
      <c r="D25575" t="inlineStr">
        <is>
          <t>Manthache; Collier du Valet Veinard; Alliance Gloursonne; Gant du Valet Veinard; Menoture; Coiffe de la Reine des Voleurs; Cape du Valet Veinard; Bottes de la Reine des Voleurs; Dofus des Glaces; Dofus Nébuleux; Equilibriste majeur; Ravageur Air majeur; Voyageur; Saccageur Air majeur; Blérodoudou</t>
        </is>
      </c>
    </row>
    <row r="25576">
      <c r="A25576" t="inlineStr">
        <is>
          <t>Stuff 1</t>
        </is>
      </c>
      <c r="B25576">
        <f>HYPERLINK("https://www.dofusbook.net/fr/equipement/2105951-stuff-1/objets", "link")</f>
        <v/>
      </c>
      <c r="C25576" t="n">
        <v>0</v>
      </c>
      <c r="D25576" t="inlineStr">
        <is>
          <t>Marteau Reine; Amulette du Strigide; Anneau des égarés; Bracelet du Piloztère; Ceinture de Kongoku; Casque des égarés; Cape du Kamasterisk; Baleinabottes; Dofus Pourpre; Dofus Turquoise; Vigoureux majeur; Nomade; Remueur; Dragodinde en armure</t>
        </is>
      </c>
    </row>
    <row r="25577">
      <c r="A25577" t="inlineStr">
        <is>
          <t>Stuff 1</t>
        </is>
      </c>
      <c r="B25577">
        <f>HYPERLINK("https://www.dofusbook.net/fr/equipement/2105983-stuff-1/objets", "link")</f>
        <v/>
      </c>
      <c r="C25577" t="n">
        <v>0</v>
      </c>
      <c r="D25577" t="inlineStr">
        <is>
          <t>Manthache; Collier du Valet Veinard; Alliance Gloursonne; Gant du Valet Veinard; Bouclier du Bawbawe cassé; Menoture; Couronne d'Allister; Cape Indescriptible; Palmes Trithons; Dokoko; Dofus des Glaces; Cascadeur majeur; Nomade; Dévastateur Air majeur; Remueur; Pioute jaune</t>
        </is>
      </c>
    </row>
    <row r="25578">
      <c r="A25578" t="inlineStr">
        <is>
          <t>Stuff 1</t>
        </is>
      </c>
      <c r="B25578">
        <f>HYPERLINK("https://www.dofusbook.net/fr/equipement/2106015-stuff-1/objets", "link")</f>
        <v/>
      </c>
      <c r="C25578" t="n">
        <v>0</v>
      </c>
      <c r="D25578" t="inlineStr">
        <is>
          <t>Bêche Asse; Collier de Tourthon; Anneau de Brouce; Bracelet du Piloztère; Ceinture de la Reine des Voleurs; Masque de Koutoulou; Voile d'encre; Bottes de Brouce; Vigoureux majeur; Nomade; Miraculé majeur; Remueur; Carapace Terre majeur; Enragé majeur; Dragodinde en armure</t>
        </is>
      </c>
    </row>
    <row r="25579">
      <c r="A25579" t="inlineStr">
        <is>
          <t>Stuff 1</t>
        </is>
      </c>
      <c r="B25579">
        <f>HYPERLINK("https://www.dofusbook.net/fr/equipement/2106010-stuff-1/objets", "link")</f>
        <v/>
      </c>
      <c r="C25579" t="n">
        <v>0</v>
      </c>
      <c r="D25579" t="inlineStr">
        <is>
          <t>Rapière aux Glyphes; Amulette du Sinistrofu; Bracelet des Fonds marins; Alliance Gloursonne; Sangle Ouare; Kidibonnet; Cape Matelassée; Bottes du Sinistrofu; Miraculé majeur; Chanceux majeur; Fonceur majeur; Nomade; Taquin majeur; Remueur; Dehluge</t>
        </is>
      </c>
    </row>
    <row r="25580">
      <c r="A25580" t="inlineStr">
        <is>
          <t>Stuff 2</t>
        </is>
      </c>
      <c r="B25580">
        <f>HYPERLINK("https://www.dofusbook.net/fr/equipement/2105973-stuff-2/objets", "link")</f>
        <v/>
      </c>
      <c r="C25580" t="n">
        <v>0</v>
      </c>
      <c r="D25580" t="inlineStr">
        <is>
          <t>Dagues Açantes; Talisman Igans; Bracelet des Fonds marins; Alliance Gloursonne; Kloume cassé; Ceinture Glaciale; Kidibonnet; Cape du Sinistrofu; Bottes Owesli; Dokoko; Dofus des Glaces; Chanceux majeur; Dévastateur Eau majeur; Nomade; Remueur; Pioute bleu</t>
        </is>
      </c>
    </row>
    <row r="25581">
      <c r="A25581" t="inlineStr">
        <is>
          <t>Stuff 2</t>
        </is>
      </c>
      <c r="B25581">
        <f>HYPERLINK("https://www.dofusbook.net/fr/equipement/2106005-stuff-2/objets", "link")</f>
        <v/>
      </c>
      <c r="C25581" t="n">
        <v>0</v>
      </c>
      <c r="D25581" t="inlineStr">
        <is>
          <t>Dagues Érhy; Amulette du Strigide; Bracelet du Piloztère; Alliance Gloursonne; Ceintouse; Chapoulpe; Voile d'encre; Baleinabottes; Dofus Turquoise; Dofus des Glaces; Dofus Pourpre; Nomade; Vigoureux majeur; Remueur; Croum</t>
        </is>
      </c>
    </row>
    <row r="25582">
      <c r="A25582" t="inlineStr">
        <is>
          <t>Stuff 1</t>
        </is>
      </c>
      <c r="B25582">
        <f>HYPERLINK("https://www.dofusbook.net/fr/equipement/2105954-stuff-1/objets", "link")</f>
        <v/>
      </c>
      <c r="C25582" t="n">
        <v>0</v>
      </c>
      <c r="D25582" t="inlineStr">
        <is>
          <t>Dagues Érhy; Amulette du Strigide; Bague Gloursonne; Bracelet du Piloztère; Ceintacé; Chapeau de Gein; Voile d'encre; Bottes du Strigide; Dofus Pourpre; Vigoureux majeur; Remueur; Enragé majeur; Nomade; Dragodinde en armure</t>
        </is>
      </c>
    </row>
    <row r="25583">
      <c r="A25583" t="inlineStr">
        <is>
          <t>Stuff 1</t>
        </is>
      </c>
      <c r="B25583">
        <f>HYPERLINK("https://www.dofusbook.net/fr/equipement/2105986-stuff-1/objets", "link")</f>
        <v/>
      </c>
      <c r="C25583" t="n">
        <v>0</v>
      </c>
      <c r="D25583" t="inlineStr">
        <is>
          <t>Harpelle; Amulette Séculaire; Anneau de Nidas; Anneau de Padgref; Ceinture Séculaire; Coiffe Séculaire; Voile d'encre; Getas de Padgref; Dofus des Glaces; Dofus Pourpre; Dofus Vulbis; Dofus Turquoise; Dofus Ocre; Astucieux majeur; Kramkram</t>
        </is>
      </c>
    </row>
    <row r="25584">
      <c r="A25584" t="inlineStr">
        <is>
          <t>Stuff 2</t>
        </is>
      </c>
      <c r="B25584">
        <f>HYPERLINK("https://www.dofusbook.net/fr/equipement/2106013-stuff-2/objets", "link")</f>
        <v/>
      </c>
      <c r="C25584" t="n">
        <v>0</v>
      </c>
      <c r="D25584" t="inlineStr">
        <is>
          <t>Arc de Koutoulou; Amulette de l'Indicible; Alliance Gloursonne; Gant du Valet Veinard; Poulpagne; Coiffe de la Reine des Voleurs; Cape Indescriptible; Bottes de la Reine des Voleurs; Dofus des Glaces; Carapace Eau majeur; Dévastateur Air majeur; Nomade; Dévastateur Eau majeur; Remueur; Croum</t>
        </is>
      </c>
    </row>
    <row r="25585">
      <c r="A25585" t="inlineStr">
        <is>
          <t>Stuff 2</t>
        </is>
      </c>
      <c r="B25585">
        <f>HYPERLINK("https://www.dofusbook.net/fr/equipement/2106008-stuff-2/objets", "link")</f>
        <v/>
      </c>
      <c r="C25585" t="n">
        <v>0</v>
      </c>
      <c r="D25585" t="inlineStr">
        <is>
          <t>Manthache; Collier du Valet Veinard; Gant du Valet Veinard; Alliance Gloursonne; Menoture; Couronne d'Allister; Cape Indescriptible; Baleinabottes; Dofus des Glaces; Carapace Neutre majeur; Nomade; Dévastateur Air majeur; Cascadeur majeur; Carapace Air majeur; Kramkram</t>
        </is>
      </c>
    </row>
    <row r="25586">
      <c r="A25586" t="inlineStr">
        <is>
          <t>Stuff 3</t>
        </is>
      </c>
      <c r="B25586">
        <f>HYPERLINK("https://www.dofusbook.net/fr/equipement/2106003-stuff-3/objets", "link")</f>
        <v/>
      </c>
      <c r="C25586" t="n">
        <v>0</v>
      </c>
      <c r="D25586" t="inlineStr">
        <is>
          <t>Dagoulinantes; Amulette de Shokkoth; Bracelet des Fonds marins; Alliance Gloursonne; Ceinture de la Reine des Voleurs; Kidibonnet; Cape de Mantaze; Bottes de la Reine des Voleurs; Dofus des Glaces; Dévastateur Eau majeur; Remueur; Sanguinaire majeur; Chanceux majeur; Nomade; El Scarador</t>
        </is>
      </c>
    </row>
    <row r="25587">
      <c r="A25587" t="inlineStr">
        <is>
          <t>Stuff 1</t>
        </is>
      </c>
      <c r="B25587">
        <f>HYPERLINK("https://www.dofusbook.net/fr/equipement/2105971-stuff-1/objets", "link")</f>
        <v/>
      </c>
      <c r="C25587" t="n">
        <v>0</v>
      </c>
      <c r="D25587" t="inlineStr">
        <is>
          <t>Sceptre du Roi Joueur; Amulette Voldelor; Bracelet des Fonds marins; Alliance Gloursonne; Ceinture de la Reine des Voleurs; Kidibonnet; Cape des Malveilleurs; Bottes de la Reine des Voleurs; Dofus des Glaces; Chanceux majeur; Carapace Air majeur; Nomade; Dévastateur Eau majeur; Remueur; Dragodinde en armure</t>
        </is>
      </c>
    </row>
    <row r="25588">
      <c r="A25588" t="inlineStr">
        <is>
          <t>Stuff 2</t>
        </is>
      </c>
      <c r="B25588">
        <f>HYPERLINK("https://www.dofusbook.net/fr/equipement/2105966-stuff-2/objets", "link")</f>
        <v/>
      </c>
      <c r="C25588" t="n">
        <v>0</v>
      </c>
      <c r="D25588" t="inlineStr">
        <is>
          <t>Epée Loponèze; Amulette Voldelor; Bracelet des Fonds marins; Alliance Gloursonne; Ceintrigue; Coiffe de la Reine des Voleurs; Cape Matelassée; Bottes de la Reine des Voleurs; Dofus Pourpre; Dofus des Glaces; Remueur; Vigoureux majeur; Dévastateur Eau majeur; Nomade; Croum</t>
        </is>
      </c>
    </row>
    <row r="25589">
      <c r="A25589" t="inlineStr">
        <is>
          <t>Stuff 3</t>
        </is>
      </c>
      <c r="B25589">
        <f>HYPERLINK("https://www.dofusbook.net/fr/equipement/2105998-stuff-3/objets", "link")</f>
        <v/>
      </c>
      <c r="C25589" t="n">
        <v>0</v>
      </c>
      <c r="D25589" t="inlineStr">
        <is>
          <t>Epée Gloursonne; Kralamansion; Alliance Gloursonne; Bague Gloursonne; Ceinture de Léthaline; Masque Trithon; Cape de Léthaline; Bottes de Léthaline; Dofus Émeraude; Dofus Ocre; Dolmanax; Initiateur mineur; Précurseur majeur; Survivant majeur; Chaperlipopette</t>
        </is>
      </c>
    </row>
    <row r="25590">
      <c r="A25590" t="inlineStr">
        <is>
          <t>Stuff 2</t>
        </is>
      </c>
      <c r="B25590">
        <f>HYPERLINK("https://www.dofusbook.net/fr/equipement/2105961-stuff-2/objets", "link")</f>
        <v/>
      </c>
      <c r="C25590" t="n">
        <v>0</v>
      </c>
      <c r="D25590" t="inlineStr">
        <is>
          <t>Sabres d'Atcham; Amulette Ementaire Deluxe; Alliance Gloursonne; Bague Gloursonne; Ceinture de Vortex; Bandeau Culaire; Voile d'encre; Pataugastrique; Dofus Turquoise; Dofus Pourpre; Dofus des Glaces; Nomade; Miraculé majeur; Remueur; Croum</t>
        </is>
      </c>
    </row>
    <row r="25591">
      <c r="A25591" t="inlineStr">
        <is>
          <t>Stuff 3</t>
        </is>
      </c>
      <c r="B25591">
        <f>HYPERLINK("https://www.dofusbook.net/fr/equipement/2105956-stuff-3/objets", "link")</f>
        <v/>
      </c>
      <c r="C25591" t="n">
        <v>0</v>
      </c>
      <c r="D25591" t="inlineStr">
        <is>
          <t>Arc de Guten Tak; Amulette du Strigide; Alliance Gloursonne; Bracelet du Piloztère; Ceintacé; Coiffe d'Ogivol; Cape de la Fuji Givrefoux; Bottes du Strigide; Dolmanax; Dofus Pourpre; Dofus Turquoise; Vigoureux majeur; Remueur; Enragé majeur; Dragodinde en armure</t>
        </is>
      </c>
    </row>
    <row r="25592">
      <c r="A25592" t="inlineStr">
        <is>
          <t>Stuff 1</t>
        </is>
      </c>
      <c r="B25592">
        <f>HYPERLINK("https://www.dofusbook.net/fr/equipement/2105988-stuff-1/objets", "link")</f>
        <v/>
      </c>
      <c r="C25592" t="n">
        <v>0</v>
      </c>
      <c r="D25592" t="inlineStr">
        <is>
          <t>Manthache; Collier du Valet Veinard; Alliance Gloursonne; Gant du Valet Veinard; Menoture; Coiffe de la Reine des Voleurs; Cape du Valet Veinard; Bottes de la Reine des Voleurs; Dofus des Glaces; Dofus Nébuleux; Saccageur Air majeur; Equilibriste majeur; Ravageur Air majeur; Voyageur; Blérodoudou</t>
        </is>
      </c>
    </row>
    <row r="25593">
      <c r="A25593" t="inlineStr">
        <is>
          <t>Stuff 1</t>
        </is>
      </c>
      <c r="B25593">
        <f>HYPERLINK("https://www.dofusbook.net/fr/equipement/2106015-stuff-1/objets", "link")</f>
        <v/>
      </c>
      <c r="C25593" t="n">
        <v>0</v>
      </c>
      <c r="D25593" t="inlineStr">
        <is>
          <t>Bêche Asse; Collier de Tourthon; Bracelet du Piloztère; Anneau de Brouce; Ceinture de la Reine des Voleurs; Masque de Koutoulou; Voile d'encre; Bottes de Brouce; Vigoureux majeur; Nomade; Miraculé majeur; Remueur; Carapace Terre majeur; Enragé majeur; Dragodinde en armure</t>
        </is>
      </c>
    </row>
    <row r="25594">
      <c r="A25594" t="inlineStr">
        <is>
          <t>Stuff 1</t>
        </is>
      </c>
      <c r="B25594">
        <f>HYPERLINK("https://www.dofusbook.net/fr/equipement/2105951-stuff-1/objets", "link")</f>
        <v/>
      </c>
      <c r="C25594" t="n">
        <v>0</v>
      </c>
      <c r="D25594" t="inlineStr">
        <is>
          <t>Marteau Reine; Amulette du Strigide; Bracelet du Piloztère; Anneau des égarés; Ceinture de Kongoku; Casque des égarés; Cape du Kamasterisk; Baleinabottes; Dofus Pourpre; Dofus Turquoise; Remueur; Vigoureux majeur; Nomade; Dragodinde en armure</t>
        </is>
      </c>
    </row>
    <row r="25595">
      <c r="A25595" t="inlineStr">
        <is>
          <t>Stuff 1</t>
        </is>
      </c>
      <c r="B25595">
        <f>HYPERLINK("https://www.dofusbook.net/fr/equipement/2105983-stuff-1/objets", "link")</f>
        <v/>
      </c>
      <c r="C25595" t="n">
        <v>0</v>
      </c>
      <c r="D25595" t="inlineStr">
        <is>
          <t>Manthache; Collier du Valet Veinard; Gant du Valet Veinard; Alliance Gloursonne; Bouclier du Bawbawe cassé; Menoture; Couronne d'Allister; Cape Indescriptible; Palmes Trithons; Dokoko; Dofus des Glaces; Remueur; Cascadeur majeur; Nomade; Dévastateur Air majeur; Pioute jaune</t>
        </is>
      </c>
    </row>
    <row r="25596">
      <c r="A25596" t="inlineStr">
        <is>
          <t>Stuff 1</t>
        </is>
      </c>
      <c r="B25596">
        <f>HYPERLINK("https://www.dofusbook.net/fr/equipement/2106010-stuff-1/objets", "link")</f>
        <v/>
      </c>
      <c r="C25596" t="n">
        <v>0</v>
      </c>
      <c r="D25596" t="inlineStr">
        <is>
          <t>Rapière aux Glyphes; Amulette du Sinistrofu; Bracelet des Fonds marins; Alliance Gloursonne; Sangle Ouare; Kidibonnet; Cape Matelassée; Bottes du Sinistrofu; Miraculé majeur; Chanceux majeur; Fonceur majeur; Nomade; Taquin majeur; Remueur; Dehluge</t>
        </is>
      </c>
    </row>
    <row r="25597">
      <c r="A25597" t="inlineStr">
        <is>
          <t>Stuff 1</t>
        </is>
      </c>
      <c r="B25597">
        <f>HYPERLINK("https://www.dofusbook.net/fr/equipement/2106015-stuff-1/objets", "link")</f>
        <v/>
      </c>
      <c r="C25597" t="n">
        <v>0</v>
      </c>
      <c r="D25597" t="inlineStr">
        <is>
          <t>Bêche Asse; Collier de Tourthon; Anneau de Brouce; Bracelet du Piloztère; Ceinture de la Reine des Voleurs; Masque de Koutoulou; Voile d'encre; Bottes de Brouce; Vigoureux majeur; Nomade; Miraculé majeur; Remueur; Carapace Terre majeur; Enragé majeur; Dragodinde en armure</t>
        </is>
      </c>
    </row>
    <row r="25598">
      <c r="A25598" t="inlineStr">
        <is>
          <t>Stuff 1</t>
        </is>
      </c>
      <c r="B25598">
        <f>HYPERLINK("https://www.dofusbook.net/fr/equipement/2105951-stuff-1/objets", "link")</f>
        <v/>
      </c>
      <c r="C25598" t="n">
        <v>0</v>
      </c>
      <c r="D25598" t="inlineStr">
        <is>
          <t>Marteau Reine; Amulette du Strigide; Anneau des égarés; Bracelet du Piloztère; Ceinture de Kongoku; Casque des égarés; Cape du Kamasterisk; Baleinabottes; Dofus Pourpre; Dofus Turquoise; Vigoureux majeur; Nomade; Remueur; Dragodinde en armure</t>
        </is>
      </c>
    </row>
    <row r="25599">
      <c r="A25599" t="inlineStr">
        <is>
          <t>Stuff 1</t>
        </is>
      </c>
      <c r="B25599">
        <f>HYPERLINK("https://www.dofusbook.net/fr/equipement/2106010-stuff-1/objets", "link")</f>
        <v/>
      </c>
      <c r="C25599" t="n">
        <v>0</v>
      </c>
      <c r="D25599" t="inlineStr">
        <is>
          <t>Rapière aux Glyphes; Amulette du Sinistrofu; Bracelet des Fonds marins; Alliance Gloursonne; Sangle Ouare; Kidibonnet; Cape Matelassée; Bottes du Sinistrofu; Fonceur majeur; Nomade; Taquin majeur; Remueur; Miraculé majeur; Chanceux majeur; Dehluge</t>
        </is>
      </c>
    </row>
    <row r="25600">
      <c r="A25600" t="inlineStr">
        <is>
          <t>Stuff 2</t>
        </is>
      </c>
      <c r="B25600">
        <f>HYPERLINK("https://www.dofusbook.net/fr/equipement/2105973-stuff-2/objets", "link")</f>
        <v/>
      </c>
      <c r="C25600" t="n">
        <v>0</v>
      </c>
      <c r="D25600" t="inlineStr">
        <is>
          <t>Dagues Açantes; Talisman Igans; Bracelet des Fonds marins; Alliance Gloursonne; Kloume cassé; Ceinture Glaciale; Kidibonnet; Cape du Sinistrofu; Bottes Owesli; Dokoko; Dofus des Glaces; Chanceux majeur; Dévastateur Eau majeur; Nomade; Remueur; Pioute bleu</t>
        </is>
      </c>
    </row>
    <row r="25601">
      <c r="A25601" t="inlineStr">
        <is>
          <t>Stuff 2</t>
        </is>
      </c>
      <c r="B25601">
        <f>HYPERLINK("https://www.dofusbook.net/fr/equipement/2106005-stuff-2/objets", "link")</f>
        <v/>
      </c>
      <c r="C25601" t="n">
        <v>0</v>
      </c>
      <c r="D25601" t="inlineStr">
        <is>
          <t>Dagues Érhy; Amulette du Strigide; Bracelet du Piloztère; Alliance Gloursonne; Ceintouse; Chapoulpe; Voile d'encre; Baleinabottes; Dofus des Glaces; Dofus Pourpre; Dofus Turquoise; Vigoureux majeur; Remueur; Nomade; Croum</t>
        </is>
      </c>
    </row>
    <row r="25602">
      <c r="A25602" t="inlineStr">
        <is>
          <t>Stuff 1</t>
        </is>
      </c>
      <c r="B25602">
        <f>HYPERLINK("https://www.dofusbook.net/fr/equipement/2105968-stuff-1/objets", "link")</f>
        <v/>
      </c>
      <c r="C25602" t="n">
        <v>0</v>
      </c>
      <c r="D25602" t="inlineStr">
        <is>
          <t>Plumeau Bil; Amulette de Nileza; Anneau Tique; Anneau Tamie; Ceinture de Gein; Coiffe Séculaire; Cape de Nileza; Pataugastrique; Dokoko; Dofus des Glaces; Dévastateur Feu majeur; Remueur; Érudit majeur; Nomade; Pioute rouge</t>
        </is>
      </c>
    </row>
    <row r="25603">
      <c r="A25603" t="inlineStr">
        <is>
          <t>Stuff 2</t>
        </is>
      </c>
      <c r="B25603">
        <f>HYPERLINK("https://www.dofusbook.net/fr/equipement/2106000-stuff-2/objets", "link")</f>
        <v/>
      </c>
      <c r="C25603" t="n">
        <v>0</v>
      </c>
      <c r="D25603" t="inlineStr">
        <is>
          <t>Pelle de la Cour Sombre; Collier du Valet Veinard; Alliance Gloursonne; Gant du Valet Veinard; Protopagne; Dorabysses; Cape du Kamasterisk; Baleinabottes; Carapace Feu majeur; Cascadeur majeur; Carapace Neutre majeur; Miraculé majeur; Carapace Air majeur; Remueur; Croum</t>
        </is>
      </c>
    </row>
    <row r="25604">
      <c r="A25604" t="inlineStr">
        <is>
          <t>Stuff 1</t>
        </is>
      </c>
      <c r="B25604">
        <f>HYPERLINK("https://www.dofusbook.net/fr/equipement/2105963-stuff-1/objets", "link")</f>
        <v/>
      </c>
      <c r="C25604" t="n">
        <v>1</v>
      </c>
      <c r="D25604" t="inlineStr">
        <is>
          <t>Dagues Érhy; Amulette du Strigide; Bague Gloursonne; Anneau Chevelu; Ceintacé; Couronne du Roi Joueur; Cape au Logis; Bottes du Strigide; Dofus Pourpre; Dofus Turquoise; Enragé majeur; Vigoureux majeur; Remueur; Érudit majeur; Dragodinde en armure</t>
        </is>
      </c>
    </row>
    <row r="25605">
      <c r="A25605" t="inlineStr">
        <is>
          <t>Stuff 2</t>
        </is>
      </c>
      <c r="B25605">
        <f>HYPERLINK("https://www.dofusbook.net/fr/equipement/2105995-stuff-2/objets", "link")</f>
        <v/>
      </c>
      <c r="C25605" t="n">
        <v>0</v>
      </c>
      <c r="D25605" t="inlineStr">
        <is>
          <t>Marteau Phossile; Amulette du Strigide; Alliance Gloursonne; Anneau de Padgref; Ceinture de Vortex; Cagoule de Vortex; Voile d'encre; Pantoufles Émar; Dofus des Glaces; Dofus Pourpre; Temporiseur majeur; Remueur; Vigoureux majeur; Nomade; Dragodinde en armure</t>
        </is>
      </c>
    </row>
    <row r="25606">
      <c r="A25606" t="inlineStr">
        <is>
          <t>Stuff 2</t>
        </is>
      </c>
      <c r="B25606">
        <f>HYPERLINK("https://www.dofusbook.net/fr/equipement/2105990-stuff-2/objets", "link")</f>
        <v/>
      </c>
      <c r="C25606" t="n">
        <v>0</v>
      </c>
      <c r="D25606" t="inlineStr">
        <is>
          <t>Arc de Koutoulou; Collier du Valet Veinard; Alliance Gloursonne; Bracelet des Fonds marins; Ceinture de la Reine des Voleurs; Coiffe de la Reine des Voleurs; Cape Matelassée; Bottes de l'Indicible; Dofus des Glaces; Dofus Turquoise; Dévastateur Eau majeur; Nomade; Dévastateur Air majeur; Remueur; Croum</t>
        </is>
      </c>
    </row>
    <row r="25607">
      <c r="A25607" t="inlineStr">
        <is>
          <t>Stuff 2</t>
        </is>
      </c>
      <c r="B25607">
        <f>HYPERLINK("https://www.dofusbook.net/fr/equipement/2106022-stuff-2/objets", "link")</f>
        <v/>
      </c>
      <c r="C25607" t="n">
        <v>0</v>
      </c>
      <c r="D25607" t="inlineStr">
        <is>
          <t>Baguette Range; Amulette du Strigide; Alliance Gloursonne; Anneau de Padgref; Ceintacé; Casque Cyclopéen; Voile d'encre; Bottes du Strigide; Dofus Turquoise; Dofus des Glaces; Dofus Pourpre; Remueur; Vigoureux majeur; Nomade; Croum</t>
        </is>
      </c>
    </row>
    <row r="25608">
      <c r="A25608" t="inlineStr">
        <is>
          <t>Stuff 2</t>
        </is>
      </c>
      <c r="B25608">
        <f>HYPERLINK("https://www.dofusbook.net/fr/equipement/2105958-stuff-2/objets", "link")</f>
        <v/>
      </c>
      <c r="C25608" t="n">
        <v>0</v>
      </c>
      <c r="D25608" t="inlineStr">
        <is>
          <t>Hache du Chalœil; Amulette Ementaire Deluxe; Alliance Gloursonne; Anneau du Cycloïde; Ceintacé; Casque du Chalœil; Voile d'encre; Bottes du Chalœil; Dofus Pourpre; Dofus des Glaces; Dolmanax; Dofus Turquoise; Nomade; Remueur; Dragodinde en armure</t>
        </is>
      </c>
    </row>
    <row r="25609">
      <c r="A25609" t="inlineStr">
        <is>
          <t>Stuff 3</t>
        </is>
      </c>
      <c r="B25609">
        <f>HYPERLINK("https://www.dofusbook.net/fr/equipement/2105985-stuff-3/objets", "link")</f>
        <v/>
      </c>
      <c r="C25609" t="n">
        <v>0</v>
      </c>
      <c r="D25609" t="inlineStr">
        <is>
          <t>Marteau Phossile; Pendentif mignon de Koutoulou; Anneau de Padgref; Alliance Gloursonne; Ceinture de l'Indicible; Casque Cyclopéen; Voile d'encre; Pantoufles Émar; Dofus Pourpre; Dofus des Glaces; Nomade; Dévastateur Air majeur; Remueur; Vigoureux majeur; Kramkram</t>
        </is>
      </c>
    </row>
    <row r="25610">
      <c r="A25610" t="inlineStr">
        <is>
          <t>Stuff 2</t>
        </is>
      </c>
      <c r="B25610">
        <f>HYPERLINK("https://www.dofusbook.net/fr/equipement/2106017-stuff-2/objets", "link")</f>
        <v/>
      </c>
      <c r="C25610" t="n">
        <v>0</v>
      </c>
      <c r="D25610" t="inlineStr">
        <is>
          <t>Arc Hétype; Amulette de Nileza; Anneau de Nidas; Anneau Tique; Ceinture Séculaire; Coiffe Séculaire; Voile d'encre; Bottes Innommables; Dofus des Glaces; Dofus Ocre; Érudit majeur; Nomade; Dévastateur Feu majeur; Remueur; Dragodinde en armure</t>
        </is>
      </c>
    </row>
    <row r="25611">
      <c r="A25611" t="inlineStr">
        <is>
          <t>Stuff 3</t>
        </is>
      </c>
      <c r="B25611">
        <f>HYPERLINK("https://www.dofusbook.net/fr/equipement/2105953-stuff-3/objets", "link")</f>
        <v/>
      </c>
      <c r="C25611" t="n">
        <v>0</v>
      </c>
      <c r="D25611" t="inlineStr">
        <is>
          <t>Hache Ériphe; Amulette du Strigide; Bracelet du Piloztère; Anneau des égarés; Ceintacé; Casque des égarés; Cape de la Fuji Givrefoux; Bottes du Kamasterisk; Dofus Turquoise; Dofus Pourpre; Vigoureux majeur; Carapace Terre majeur; Remueur; Enragé majeur; Dragodinde en armure</t>
        </is>
      </c>
    </row>
    <row r="25612">
      <c r="A25612" t="inlineStr">
        <is>
          <t>Stuff 1</t>
        </is>
      </c>
      <c r="B25612">
        <f>HYPERLINK("https://www.dofusbook.net/fr/equipement/2105948-stuff-1/objets", "link")</f>
        <v/>
      </c>
      <c r="C25612" t="n">
        <v>0</v>
      </c>
      <c r="D25612" t="inlineStr">
        <is>
          <t>Sabres d'Atcham; Amulette Ementaire Deluxe; Alliance Gloursonne; Bague Gloursonne; Ceinture Séculaire; Chapeau des Malveilleurs; Cape d'Atcham; Sandales  d'Atcham; Dofus Turquoise; Dofus des Glaces; Dofus Pourpre; Dolmanax; Dofus Ocre; Voyageur; Kramkram</t>
        </is>
      </c>
    </row>
    <row r="25613">
      <c r="A25613" t="inlineStr">
        <is>
          <t>Stuff 2</t>
        </is>
      </c>
      <c r="B25613">
        <f>HYPERLINK("https://www.dofusbook.net/fr/equipement/2105943-stuff-2/objets", "link")</f>
        <v/>
      </c>
      <c r="C25613" t="n">
        <v>0</v>
      </c>
      <c r="D25613" t="inlineStr">
        <is>
          <t>Arc de Guten Tak; Amulette de Pol Ouatnos; Alliance Gloursonne; Bracelet des Fonds marins; Ceinture de la Reine des Voleurs; Kidibonnet; Cape du Sinistrofu; Bottes de la Reine des Voleurs; Dolmanax; Dofus Turquoise; Observateur; Chanceux majeur; Carapace Air majeur; Remueur; Croum</t>
        </is>
      </c>
    </row>
    <row r="25614">
      <c r="A25614" t="inlineStr">
        <is>
          <t>Stuff 3</t>
        </is>
      </c>
      <c r="B25614">
        <f>HYPERLINK("https://www.dofusbook.net/fr/equipement/2105938-stuff-3/objets", "link")</f>
        <v/>
      </c>
      <c r="C25614" t="n">
        <v>0</v>
      </c>
      <c r="D25614" t="inlineStr">
        <is>
          <t>Épée d'Otomaï; Amulette de Nileza; Anneau Tique; Anneau de Nidas; Ceinture Séculaire; Coiffe Séculaire; Voile d'encre; Pataugastrique; Dokoko; Remueur; Miraculé majeur; Érudit majeur; Carapace Terre majeur; Nomade; Pioute rouge</t>
        </is>
      </c>
    </row>
    <row r="25615">
      <c r="A25615" t="inlineStr">
        <is>
          <t>Stuff 3</t>
        </is>
      </c>
      <c r="B25615">
        <f>HYPERLINK("https://www.dofusbook.net/fr/equipement/2105950-stuff-3/objets", "link")</f>
        <v/>
      </c>
      <c r="C25615" t="n">
        <v>0</v>
      </c>
      <c r="D25615" t="inlineStr">
        <is>
          <t>Arc Honte; Amulette de Nileza; Anneau Tique; Alliance de Guten Tak; Protopagne; Coiffe Séculaire; Cape de Nileza; Pataugastrique; Dokoko; Muraille Air majeure; Remueur; Muraille Terre majeure; Carapace Feu majeur; Érudit majeur; Toukancre</t>
        </is>
      </c>
    </row>
    <row r="25616">
      <c r="A25616" t="inlineStr">
        <is>
          <t>Stuff 3</t>
        </is>
      </c>
      <c r="B25616">
        <f>HYPERLINK("https://www.dofusbook.net/fr/equipement/2105947-stuff-3/objets", "link")</f>
        <v/>
      </c>
      <c r="C25616" t="n">
        <v>0</v>
      </c>
      <c r="D25616" t="inlineStr">
        <is>
          <t>Épée du Granduk; Amulette du Granduk; Alliance Gloursonne; Anneau d'Allister; Ceinture de Klime; Couronne d'Allister; Cape de Klime; Bottes d'Allister; Dofus Vulbis; Dofus Émeraude; Dolmanax; Dofus Turquoise; Dofus des Glaces; Dofus Ocre; Pioute jaune</t>
        </is>
      </c>
    </row>
    <row r="25617">
      <c r="A25617" t="inlineStr">
        <is>
          <t>Stuff 1</t>
        </is>
      </c>
      <c r="B25617">
        <f>HYPERLINK("https://www.dofusbook.net/fr/equipement/2105942-stuff-1/objets", "link")</f>
        <v/>
      </c>
      <c r="C25617" t="n">
        <v>0</v>
      </c>
      <c r="D25617" t="inlineStr">
        <is>
          <t>Arc Ontanporin; Amulette de Pol Ouatnos; Bracelet des Fonds marins; Alliance Gloursonne; Ceinture de la Reine des Voleurs; Kidibonnet; Cape du Sinistrofu; Bottes de la Reine des Voleurs; Taquin majeur; Carapace Air majeur; Miraculé majeur; Remueur; Observateur; Chanceux majeur; Croum</t>
        </is>
      </c>
    </row>
    <row r="25618">
      <c r="A25618" t="inlineStr">
        <is>
          <t>Stuff 2</t>
        </is>
      </c>
      <c r="B25618">
        <f>HYPERLINK("https://www.dofusbook.net/fr/equipement/2105937-stuff-2/objets", "link")</f>
        <v/>
      </c>
      <c r="C25618" t="n">
        <v>0</v>
      </c>
      <c r="D25618" t="inlineStr">
        <is>
          <t>Épée du Granduk; Amulette du Granduk; Alliance Gloursonne; Anneau d'Allister; Ceinture de Klime; Masque du Granduk; Cape de Klime; Bottes d'Allister; Dofus Émeraude; Dofus Ocre; Saccageur Air majeur; Acrobate majeur; Ravageur Air majeur; Equilibriste majeur; Siroko</t>
        </is>
      </c>
    </row>
    <row r="25619">
      <c r="A25619" t="inlineStr">
        <is>
          <t>Stuff 2</t>
        </is>
      </c>
      <c r="B25619">
        <f>HYPERLINK("https://www.dofusbook.net/fr/equipement/2105949-stuff-2/objets", "link")</f>
        <v/>
      </c>
      <c r="C25619" t="n">
        <v>0</v>
      </c>
      <c r="D25619" t="inlineStr">
        <is>
          <t>Arc Nécrotique; Collier de la Dame du Hasard; Alliance Gloursonne; Anneau Tique; Ceinture Séculaire; Kidibonnet; Cape de la Dame du Hasard; Bottes Owesli; Dofus Pourpre; Dofus Turquoise; Dolmanax; Remueur; Vigoureux majeur; Nomade; Kramkram</t>
        </is>
      </c>
    </row>
    <row r="25620">
      <c r="A25620" t="inlineStr">
        <is>
          <t>Stuff 3</t>
        </is>
      </c>
      <c r="B25620">
        <f>HYPERLINK("https://www.dofusbook.net/fr/equipement/2105944-stuff-3/objets", "link")</f>
        <v/>
      </c>
      <c r="C25620" t="n">
        <v>0</v>
      </c>
      <c r="D25620" t="inlineStr">
        <is>
          <t>Dagues Açantes; Amulette de Pol Ouatnos; Alliance Gloursonne; Bracelet des Fonds marins; Ceinture de la Reine des Voleurs; Kidibonnet; Cape du Sinistrofu; Bottes de la Reine des Voleurs; Dofus Turquoise; Miraculé majeur; Remueur; Observateur; Chanceux majeur; Taquin majeur; Croum</t>
        </is>
      </c>
    </row>
    <row r="25621">
      <c r="A25621" t="inlineStr">
        <is>
          <t>Stuff 1</t>
        </is>
      </c>
      <c r="B25621">
        <f>HYPERLINK("https://www.dofusbook.net/fr/equipement/2105939-stuff-1/objets", "link")</f>
        <v/>
      </c>
      <c r="C25621" t="n">
        <v>0</v>
      </c>
      <c r="D25621" t="inlineStr">
        <is>
          <t>Rapière aux Glyphes; Talisman Glouti; Bracelet des Fonds marins; Alliance Gloursonne; Sangle Ouare; Kidibonnet; Cape du Sinistrofu; Sandales des Fonds marins; Dofus des Glaces; Dofus Nébuleux; Dofus Turquoise; Taquin majeur; Chanceux majeur; Remueur; Pioute bleu</t>
        </is>
      </c>
    </row>
    <row r="25622">
      <c r="A25622" t="inlineStr">
        <is>
          <t>Stuff 2</t>
        </is>
      </c>
      <c r="B25622">
        <f>HYPERLINK("https://www.dofusbook.net/fr/equipement/2105946-stuff-2/objets", "link")</f>
        <v/>
      </c>
      <c r="C25622" t="n">
        <v>0</v>
      </c>
      <c r="D25622" t="inlineStr">
        <is>
          <t>Pelle de la Cour Sombre; Collier du Valet Veinard; Anneau d'Allister; Gant du Valet Veinard; Ceinture du Barbétoal; Couronne d'Allister; Cape du Valet Veinard; Bottes d'Allister; Dofus des Glaces; Dofus Ocre; Ravageur Air majeur; Equilibriste majeur; Saccageur Air majeur; Acrobate majeur; Phortiche</t>
        </is>
      </c>
    </row>
    <row r="25623">
      <c r="A25623" t="inlineStr">
        <is>
          <t>Stuff 3</t>
        </is>
      </c>
      <c r="B25623">
        <f>HYPERLINK("https://www.dofusbook.net/fr/equipement/2105941-stuff-3/objets", "link")</f>
        <v/>
      </c>
      <c r="C25623" t="n">
        <v>0</v>
      </c>
      <c r="D25623" t="inlineStr">
        <is>
          <t>Pelle de la Cour Sombre; Amulette du Strigide; Anneau d'Allister; Alliance Gloursonne; Ceinture de Klime; Dorabysses; Cape de Klime; Baleinabottes; Miraculé majeur; Nomade; Cascadeur majeur; Remueur; Carapace Neutre majeur; Equilibriste majeur; Croum</t>
        </is>
      </c>
    </row>
    <row r="25624">
      <c r="A25624" t="inlineStr">
        <is>
          <t>Stuff 1</t>
        </is>
      </c>
      <c r="B25624">
        <f>HYPERLINK("https://www.dofusbook.net/fr/equipement/2105936-stuff-1/objets", "link")</f>
        <v/>
      </c>
      <c r="C25624" t="n">
        <v>0</v>
      </c>
      <c r="D25624" t="inlineStr">
        <is>
          <t>Arc Nécrotique; Talisman Igans; Anneau Tique; Alliance Gloursonne; Ceinture Séculaire; Kidibonnet; Voile d'encre; Bottes Owesli; Dokoko; Dolmanax; Dofus Pourpre; Remueur; Vigoureux majeur; Nomade; Kramkram</t>
        </is>
      </c>
    </row>
    <row r="25625">
      <c r="A25625" t="inlineStr">
        <is>
          <t>Stuff 1</t>
        </is>
      </c>
      <c r="B25625">
        <f>HYPERLINK("https://www.dofusbook.net/fr/equipement/2105948-stuff-1/objets", "link")</f>
        <v/>
      </c>
      <c r="C25625" t="n">
        <v>0</v>
      </c>
      <c r="D25625" t="inlineStr">
        <is>
          <t>Sabres d'Atcham; Amulette Ementaire Deluxe; Alliance Gloursonne; Bague Gloursonne; Ceinture Séculaire; Chapeau des Malveilleurs; Cape d'Atcham; Sandales  d'Atcham; Dofus des Glaces; Dofus Pourpre; Dolmanax; Dofus Ocre; Dofus Turquoise; Voyageur; Kramkram</t>
        </is>
      </c>
    </row>
    <row r="25626">
      <c r="A25626" t="inlineStr">
        <is>
          <t>Stuff 2</t>
        </is>
      </c>
      <c r="B25626">
        <f>HYPERLINK("https://www.dofusbook.net/fr/equipement/2105943-stuff-2/objets", "link")</f>
        <v/>
      </c>
      <c r="C25626" t="n">
        <v>0</v>
      </c>
      <c r="D25626" t="inlineStr">
        <is>
          <t>Arc de Guten Tak; Amulette de Pol Ouatnos; Bracelet des Fonds marins; Alliance Gloursonne; Ceinture de la Reine des Voleurs; Kidibonnet; Cape du Sinistrofu; Bottes de la Reine des Voleurs; Dofus Turquoise; Dolmanax; Remueur; Observateur; Chanceux majeur; Carapace Air majeur; Croum</t>
        </is>
      </c>
    </row>
    <row r="25627">
      <c r="A25627" t="inlineStr">
        <is>
          <t>atcham-padgref</t>
        </is>
      </c>
      <c r="B25627">
        <f>HYPERLINK("https://www.dofusbook.net/fr/equipement/5888800-atcham-padgref/objets", "link")</f>
        <v/>
      </c>
      <c r="C25627" t="n">
        <v>0</v>
      </c>
      <c r="D25627" t="inlineStr"/>
    </row>
    <row r="25628">
      <c r="A25628" t="inlineStr">
        <is>
          <t>feu-air</t>
        </is>
      </c>
      <c r="B25628">
        <f>HYPERLINK("https://www.dofusbook.net/fr/equipement/5888741-feu-air/objets", "link")</f>
        <v/>
      </c>
      <c r="C25628" t="n">
        <v>0</v>
      </c>
      <c r="D25628" t="inlineStr">
        <is>
          <t>Baguette Range; Amulette du Strigide; Anneau Toriété; Anneau de Padgref; Quatre-feuilles; Ceintacé; Coiffe de Padgref; Cape d'Atcham; Bottes du Cycloïde; Dofus Turquoise; Dofus Pourpre; Cascadeur majeur; Nomade; Érudit majeur; Remueur; Dragodinde Amande et Ivoire</t>
        </is>
      </c>
    </row>
    <row r="25629">
      <c r="A25629" t="inlineStr">
        <is>
          <t>multi-200</t>
        </is>
      </c>
      <c r="B25629">
        <f>HYPERLINK("https://www.dofusbook.net/fr/equipement/5887587-multi-200/objets", "link")</f>
        <v/>
      </c>
      <c r="C25629" t="n">
        <v>1</v>
      </c>
      <c r="D25629" t="inlineStr">
        <is>
          <t>Epée Toche; Amulette du Strigide; Bague Trithon; Anneau Toriété; Bouclier du Captain Amakna; Ceintacé; Boucle d'oreille de Kongoku; Voile d'encre; Bottes du Strigide; Dofus Turquoise; Dofus Pourpre; Remueur; Fonceur majeur; Vigoureux majeur; Puissant majeur; Kokulte</t>
        </is>
      </c>
    </row>
    <row r="25630">
      <c r="A25630" t="inlineStr">
        <is>
          <t>eau-200</t>
        </is>
      </c>
      <c r="B25630">
        <f>HYPERLINK("https://www.dofusbook.net/fr/equipement/5884496-eau-200/objets", "link")</f>
        <v/>
      </c>
      <c r="C25630" t="n">
        <v>1</v>
      </c>
      <c r="D25630" t="inlineStr">
        <is>
          <t>Sceptre du Roi Joueur; Amulette de Shokkoth; Lavanneau; Alliance Gloursonne; Bouclier du Stalak; Poulpagne; Capuche de l'Œil Attentif; Cape de l'Œil Attentif; Bottes de la Reine des Voleurs; Dofus Pourpre; Dofus Turquoise; Vigoureux majeur; Nomade; Chanceux majeur; Remueur; Pioute bleu</t>
        </is>
      </c>
    </row>
    <row r="25631">
      <c r="A25631" t="inlineStr">
        <is>
          <t>Eniripsa M 200</t>
        </is>
      </c>
      <c r="B25631">
        <f>HYPERLINK("https://www.dofusbook.net/fr/equipement/5858042-eniripsa-m-200/objets", "link")</f>
        <v/>
      </c>
      <c r="C25631" t="n">
        <v>0</v>
      </c>
      <c r="D25631" t="inlineStr">
        <is>
          <t>Arc corrompu; Amulette d'Otomaï; Anneauræus; Anneau de Nidas; Bouclier du Cycloïde; Ceinture Séculaire; Couronne de Nidas; Cape de Diondin; Bottes Innommables; Dofus Turquoise; Dofus Pourpre; Nomade; Remueur; Érudit majeur; Pioute rouge</t>
        </is>
      </c>
    </row>
    <row r="25632">
      <c r="A25632" t="inlineStr">
        <is>
          <t>tank</t>
        </is>
      </c>
      <c r="B25632">
        <f>HYPERLINK("https://www.dofusbook.net/fr/equipement/4934922-tank/objets", "link")</f>
        <v/>
      </c>
      <c r="C25632" t="n">
        <v>9</v>
      </c>
      <c r="D25632" t="inlineStr">
        <is>
          <t>Rouleau à Pâtisserie d'Aermyne; Collier Rophante; Anneau de Pol Ouatnos; Alliance Gloursonne; Droiture de Fallanster; Ceinture de Dame Jhessica; Masque d'Anerice; Cape d'Anerice; Pataugastrique; Obstructeur; Bloqueur majeur; Tacleur majeur; Remueur; Carapace Terre majeur; Obstructeur majeur; Givrefoux</t>
        </is>
      </c>
    </row>
    <row r="25633">
      <c r="A25633" t="inlineStr">
        <is>
          <t>Féca M 200</t>
        </is>
      </c>
      <c r="B25633">
        <f>HYPERLINK("https://www.dofusbook.net/fr/equipement/5855205-feca-m-200/objets", "link")</f>
        <v/>
      </c>
      <c r="C25633" t="n">
        <v>0</v>
      </c>
      <c r="D25633" t="inlineStr">
        <is>
          <t>Couteaux Sacrificiels; Talisman Igans; Alliance du Lévitrof; Alliance Gloursonne; Bouclier d'Ilyzaelle; Poulpagne; Masque Paztek; Voile d'encre; Sandales Paztek; Dofus Pourpre; Vigoureux majeur; Nomade; Chanceux majeur; Remueur; Érudit majeur; Walk</t>
        </is>
      </c>
    </row>
    <row r="25634">
      <c r="A25634" t="inlineStr">
        <is>
          <t>air-200</t>
        </is>
      </c>
      <c r="B25634">
        <f>HYPERLINK("https://www.dofusbook.net/fr/equipement/5789460-air-200/objets", "link")</f>
        <v/>
      </c>
      <c r="C25634" t="n">
        <v>0</v>
      </c>
      <c r="D25634" t="inlineStr">
        <is>
          <t>Manthache; Collier du Valet Veinard; Gant du Valet Veinard; Alliance Gloursonne; Bouclier d'Ilyzaelle; Menoture; Dorabysses; Cape Martegel; Palmes Trithons; Dofus Émeraude; Remueur; Carapace Air majeur; Cascadeur majeur; Dévastateur Air majeur; Nomade; Blérodoudou</t>
        </is>
      </c>
    </row>
    <row r="25635">
      <c r="A25635" t="inlineStr">
        <is>
          <t>Stuff 1</t>
        </is>
      </c>
      <c r="B25635">
        <f>HYPERLINK("https://www.dofusbook.net/fr/equipement/552044-stuff-1/objets", "link")</f>
        <v/>
      </c>
      <c r="C25635" t="n">
        <v>0</v>
      </c>
      <c r="D25635" t="inlineStr">
        <is>
          <t>Sabres d'Atcham; Amulette Cryochrone; Anneau Cryochrone; Anneau Rifique; Bouclier du Captain Amakna; Menoture; Coiffe Cryochrone; Cape d'Atcham; Sandales  d'Atcham; Dofus Émeraude; Dofus Pourpre; Dofus Cawotte; Dofus Turquoise; Dokoko; Muldo Prune et Indigo</t>
        </is>
      </c>
    </row>
    <row r="25636">
      <c r="A25636" t="inlineStr">
        <is>
          <t>Stuff 3</t>
        </is>
      </c>
      <c r="B25636">
        <f>HYPERLINK("https://www.dofusbook.net/fr/equipement/552052-stuff-3/objets", "link")</f>
        <v/>
      </c>
      <c r="C25636" t="n">
        <v>0</v>
      </c>
      <c r="D25636" t="inlineStr">
        <is>
          <t>Épée Brûlâme; Talisman Igans; Bracelet des Fonds marins; Chevalière du Roi Joueur; Bouclier cubiste; Ceintrigue; Casqnoar; Cape de la Dame du Hasard; Pataugastrique; Dofus Pourpre; Dofus Turquoise; Dofus Émeraude; Remueur; Muldo Prune et Indigo</t>
        </is>
      </c>
    </row>
    <row r="25637">
      <c r="A25637" t="inlineStr">
        <is>
          <t>Stuff 2</t>
        </is>
      </c>
      <c r="B25637">
        <f>HYPERLINK("https://www.dofusbook.net/fr/equipement/552051-stuff-2/objets", "link")</f>
        <v/>
      </c>
      <c r="C25637" t="n">
        <v>0</v>
      </c>
      <c r="D25637" t="inlineStr">
        <is>
          <t>Talisman Igans; Chevalière du Roi Joueur; Bracelet des Fonds marins; Bouclier cubiste; Ceintrigue; Chapeau Lisson; Cape de la Dame du Hasard; Bottes Owesli; Dofus Turquoise; Dofus Pourpre; Dofus Émeraude; Muldo Prune et Indigo</t>
        </is>
      </c>
    </row>
    <row r="25638">
      <c r="A25638" t="inlineStr">
        <is>
          <t>Stuff 1</t>
        </is>
      </c>
      <c r="B25638">
        <f>HYPERLINK("https://www.dofusbook.net/fr/equipement/552050-stuff-1/objets", "link")</f>
        <v/>
      </c>
      <c r="C25638" t="n">
        <v>0</v>
      </c>
      <c r="D25638" t="inlineStr">
        <is>
          <t>Arc Nécrotique; Talisman Igans; Chevalière du Roi Joueur; Bracelet des Fonds marins; Bouclier du Captain Amakna; Ceintrigue; Capuche de l'Œil Putride; Cape de la Dame du Hasard; Pataugastrique; Dofus Émeraude; Dofus Pourpre; Dofus Turquoise; Remueur; Muldo Prune et Indigo</t>
        </is>
      </c>
    </row>
    <row r="25639">
      <c r="A25639" t="inlineStr">
        <is>
          <t>Stuff 3</t>
        </is>
      </c>
      <c r="B25639">
        <f>HYPERLINK("https://www.dofusbook.net/fr/equipement/552046-stuff-3/objets", "link")</f>
        <v/>
      </c>
      <c r="C25639" t="n">
        <v>0</v>
      </c>
      <c r="D25639" t="inlineStr">
        <is>
          <t>Plumeau Bil; Amulette de Nileza; Anneau Tique; Anneau de Nidas; Bouclier du Cycloïde; Ceinture de Vortex; Couronne de Nidas; Voile d'encre; Pataugastrique; Dofus Émeraude; Remueur; Érudit majeur; Miraculé majeur; Déserteur majeur; Guérisseur majeur; Dragodinde Prune et Emeraude</t>
        </is>
      </c>
    </row>
    <row r="25640">
      <c r="A25640" t="inlineStr">
        <is>
          <t>Stuff 2</t>
        </is>
      </c>
      <c r="B25640">
        <f>HYPERLINK("https://www.dofusbook.net/fr/equipement/552045-stuff-2/objets", "link")</f>
        <v/>
      </c>
      <c r="C25640" t="n">
        <v>0</v>
      </c>
      <c r="D25640" t="inlineStr">
        <is>
          <t>Harpelle; Amulette de Nileza; Anneau de Nidas; Anneau Tique; Bouclier cubiste; Ceinture de Vortex; Couronne de Nidas; Cape de Diondin; Bottes d'Otomaï; Dofus Pourpre; Carapace Neutre majeur; Érudit majeur; Remueur; Nomade; Miraculé majeur; El Scarador</t>
        </is>
      </c>
    </row>
    <row r="25641">
      <c r="A25641" t="inlineStr">
        <is>
          <t>eau 12/6</t>
        </is>
      </c>
      <c r="B25641">
        <f>HYPERLINK("https://www.dofusbook.net/fr/equipement/5748879-eau-12-6/objets", "link")</f>
        <v/>
      </c>
      <c r="C25641" t="n">
        <v>2</v>
      </c>
      <c r="D25641" t="inlineStr">
        <is>
          <t>Rapière aux Glyphes; Amulette de l'Œil Attentif; Anneau Volkorne; Bracelet des Fonds marins; Bouclier du Stalak; Ceinture Volkorne; Masque des Fonds marins; Cape de l'Œil Attentif; Sandales des Fonds marins; Dofus Ocre; Dofus Ébène; Dofus Vulbis; Dofus Abyssal; Dofus des Glaces; Dofus Ivoire; Dragodinde Dorée et Indigo</t>
        </is>
      </c>
    </row>
    <row r="25642">
      <c r="A25642" t="inlineStr">
        <is>
          <t>eau ret</t>
        </is>
      </c>
      <c r="B25642">
        <f>HYPERLINK("https://www.dofusbook.net/fr/equipement/4787850-eau-ret/objets", "link")</f>
        <v/>
      </c>
      <c r="C25642" t="n">
        <v>1</v>
      </c>
      <c r="D25642" t="inlineStr">
        <is>
          <t>Dagoulinantes; Amulette de Shokkoth; Alliance Gloursonne; Anneau Volkorne; Cadran de Terre; Culotte de Bethel; Casque Dragoeuf; Cape Solution; Chaussons de Macrab; Dofus Vulbis; Dofus Ivoire; Dofus Ocre; Dofus Ébène; Miraculé majeur; Chanceux majeur; Boskito</t>
        </is>
      </c>
    </row>
    <row r="25643">
      <c r="A25643" t="inlineStr">
        <is>
          <t>terre 12/6</t>
        </is>
      </c>
      <c r="B25643">
        <f>HYPERLINK("https://www.dofusbook.net/fr/equipement/5643676-terre-12-6/objets", "link")</f>
        <v/>
      </c>
      <c r="C25643" t="n">
        <v>3</v>
      </c>
      <c r="D25643" t="inlineStr">
        <is>
          <t>Dagues d'Ilyzaelle; Amulette du Cœur Saignant; Chevalière du Roi Joueur; Anneau Volkorne; Bouclier du Captain Amakna; Ceinture Volkorne; Couronne du Roi Joueur; Cape du Cœur Saignant; Bottes du Cœur Saignant; Dofus Turquoise; Dofus Ivoire; Dofus Ocre; Dofus Ébène; Dofus Vulbis; Dofus Pourpre; Volkorne Emeraude et Pourpre</t>
        </is>
      </c>
    </row>
    <row r="25644">
      <c r="A25644" t="inlineStr">
        <is>
          <t>terre 3v3</t>
        </is>
      </c>
      <c r="B25644">
        <f>HYPERLINK("https://www.dofusbook.net/fr/equipement/5833116-terre-3v3/objets", "link")</f>
        <v/>
      </c>
      <c r="C25644" t="n">
        <v>1</v>
      </c>
      <c r="D25644" t="inlineStr">
        <is>
          <t>Marteau R'ture; Amulette du Cœur Saignant; Anneau Volkorne; Chevalière du Roi Joueur; Cadran d'Eau; Ceinture Volkorne; Couronne du Roi Joueur; Cape du Cœur Saignant; Bottes du Cœur Saignant; Dofus Abyssal; Dofus Vulbis; Dofus Turquoise; Dofus Ivoire; Dofus Ocre; Dofus Ébène; Dragodinde Emeraude et Pourpre</t>
        </is>
      </c>
    </row>
    <row r="25645">
      <c r="A25645" t="inlineStr">
        <is>
          <t>air do pou</t>
        </is>
      </c>
      <c r="B25645">
        <f>HYPERLINK("https://www.dofusbook.net/fr/equipement/5865993-air-do-pou/objets", "link")</f>
        <v/>
      </c>
      <c r="C25645" t="n">
        <v>0</v>
      </c>
      <c r="D25645" t="inlineStr">
        <is>
          <t>Plume de Buhorado; Amibou; Alliance Gloursonne; Gant du Valet Veinard; Bivalve; Menoture; Capuche de Moum-Ra; Capibou; Palmes Trithons; Dofus Ivoire; Dofus Ocre; Dofus Ébène; Dofus Vulbis; Cascadeur majeur; Culbuteur majeur; Tofoudre</t>
        </is>
      </c>
    </row>
    <row r="25646">
      <c r="A25646" t="inlineStr">
        <is>
          <t>eau 3v3</t>
        </is>
      </c>
      <c r="B25646">
        <f>HYPERLINK("https://www.dofusbook.net/fr/equipement/5850607-eau-3v3/objets", "link")</f>
        <v/>
      </c>
      <c r="C25646" t="n">
        <v>0</v>
      </c>
      <c r="D25646" t="inlineStr">
        <is>
          <t>Dagoulinantes; Amulette de Shokkoth; Alliance Gloursonne; Anneau Volkorne; Droiture de Fallanster; Poulpagne; Casque Dragoeuf; Cape du Sinistrofu; Bottes du Sinistrofu; Dofus Ocre; Dofus Ébène; Dofus Vulbis; Dofus Abyssal; Dofus Ivoire; Chanceux majeur; Dragodinde Indigo et Ivoire</t>
        </is>
      </c>
    </row>
    <row r="25647">
      <c r="A25647" t="inlineStr">
        <is>
          <t>feu classique</t>
        </is>
      </c>
      <c r="B25647">
        <f>HYPERLINK("https://www.dofusbook.net/fr/equipement/5059121-feu-classique/objets", "link")</f>
        <v/>
      </c>
      <c r="C25647" t="n">
        <v>3</v>
      </c>
      <c r="D25647" t="inlineStr">
        <is>
          <t>Arc corrompu; Amulette Volkorne; Anneauræus; Anneau Tique; Bouclier du Stalak; Ceinture Volkorne; Heaume Oplate; Voile d'encre; Bottes Innommables; Dofus Ébène; Dofus Vulbis; Dofus Abyssal; Dofus Ocre; Dofus Ivoire; Érudit majeur; Dragodinde Ivoire et Orchidée</t>
        </is>
      </c>
    </row>
    <row r="25648">
      <c r="A25648" t="inlineStr">
        <is>
          <t>ret pm</t>
        </is>
      </c>
      <c r="B25648">
        <f>HYPERLINK("https://www.dofusbook.net/fr/equipement/5007809-ret-pm/objets", "link")</f>
        <v/>
      </c>
      <c r="C25648" t="n">
        <v>5</v>
      </c>
      <c r="D25648" t="inlineStr">
        <is>
          <t>Arc Honte; Amulette de l'Œil Putride; Alliance Gloursonne; Bague Gloursonne; Bouclier cubiste; Ceinture de l'Esprit Salvateur; Masque de l'Esprit Salvateur; Cape de l'Œil Putride; Bottes de l'Esprit Salvateur; Dofus Ocre; Dolmanax; Dofus Ébène; Dofus Vulbis; Dofus Ivoire; Entraveur majeur; Volkorne Jade et Turquoise</t>
        </is>
      </c>
    </row>
    <row r="25649">
      <c r="A25649" t="inlineStr">
        <is>
          <t>terre do pou</t>
        </is>
      </c>
      <c r="B25649">
        <f>HYPERLINK("https://www.dofusbook.net/fr/equipement/3263002-terre-do-pou/objets", "link")</f>
        <v/>
      </c>
      <c r="C25649" t="n">
        <v>10</v>
      </c>
      <c r="D25649" t="inlineStr">
        <is>
          <t>Lav'Hache; Amulette Luminescente; Bague Trithon; Anneau Chevelu; Bouclier d'Ilyzaelle; Masque de Koutoulou; Cape du Cœur Vaillant; Bottes Trithon; Dofus Ébène; Dofus Vulbis; Dofus Ivoire; Enragé majeur; Black Tiwabbit</t>
        </is>
      </c>
    </row>
    <row r="25650">
      <c r="A25650" t="inlineStr">
        <is>
          <t>terre ret tac</t>
        </is>
      </c>
      <c r="B25650">
        <f>HYPERLINK("https://www.dofusbook.net/fr/equipement/5085120-terre-ret-tac/objets", "link")</f>
        <v/>
      </c>
      <c r="C25650" t="n">
        <v>3</v>
      </c>
      <c r="D25650" t="inlineStr">
        <is>
          <t>Lav'Hache; Collier de Tourthon; Anneau Crustique; Anneau Chevelu; Bouclier d'Ilyzaelle; Ceintouse; Masque de Koutoulou; Cape du Cœur Saignant; Tentassons; Dofus Ocre; Dofus Abyssal; Dofus Ivoire; Dofus Ébène; Nomade; Étourdisseur majeur; Drakopin</t>
        </is>
      </c>
    </row>
    <row r="25651">
      <c r="A25651" t="inlineStr">
        <is>
          <t>eau dps</t>
        </is>
      </c>
      <c r="B25651">
        <f>HYPERLINK("https://www.dofusbook.net/fr/equipement/5142523-eau-dps/objets", "link")</f>
        <v/>
      </c>
      <c r="C25651" t="n">
        <v>5</v>
      </c>
      <c r="D25651" t="inlineStr">
        <is>
          <t>Dagoulinantes; Amulette Volkorne; Alliance Gloursonne; Anneau Volkorne; Bouclier d'Ilyzaelle; Pagne du Rykaon; Casque Dragoeuf; Cape Solution; Bottes du Sinistrofu; Dofus Vulbis; Dofus Ébène; Dofus Ocre; Dofus Abyssal; Dofus Ivoire; Chanceux majeur; Bwak d'Air</t>
        </is>
      </c>
    </row>
    <row r="25652">
      <c r="A25652" t="inlineStr">
        <is>
          <t>feu classique</t>
        </is>
      </c>
      <c r="B25652">
        <f>HYPERLINK("https://www.dofusbook.net/fr/equipement/4718687-feu-classique/objets", "link")</f>
        <v/>
      </c>
      <c r="C25652" t="n">
        <v>6</v>
      </c>
      <c r="D25652" t="inlineStr">
        <is>
          <t>Arc corrompu; Amulette Volkorne; Anneauræus; Anneauræus; Droiture de Fallanster; Ceinture Volkorne; Casque Dragoeuf; Cape de Diondin; Bottes Innommables; Dofus Ébène; Dofus Ocre; Dofus Abyssal; Dofus Vulbis; Dofus Ivoire; Érudit majeur; Dragodinde Ivoire et Orchidée</t>
        </is>
      </c>
    </row>
    <row r="25653">
      <c r="A25653" t="inlineStr">
        <is>
          <t>do pou pvpm</t>
        </is>
      </c>
      <c r="B25653">
        <f>HYPERLINK("https://www.dofusbook.net/fr/equipement/5275757-do-pou-pvpm/objets", "link")</f>
        <v/>
      </c>
      <c r="C25653" t="n">
        <v>3</v>
      </c>
      <c r="D25653" t="inlineStr">
        <is>
          <t>Arc du Chalœil; Torquistik; Bague Trithon; Alliance Gloursonne; Bouclier précieux; Ceinture Gence; Casque Dragoeuf; Cape Solution; Bottistik; Dofus Ivoire; Dofus Abyssal; Pousseur majeur; Miraculé majeur; Culbuteur majeur; Bousculeur majeur; Balafreux</t>
        </is>
      </c>
    </row>
    <row r="25654">
      <c r="A25654" t="inlineStr">
        <is>
          <t>force farm</t>
        </is>
      </c>
      <c r="B25654">
        <f>HYPERLINK("https://www.dofusbook.net/fr/equipement/3934898-force-farm/objets", "link")</f>
        <v/>
      </c>
      <c r="C25654" t="n">
        <v>0</v>
      </c>
      <c r="D25654" t="inlineStr">
        <is>
          <t>Marteau R'ture; Collier de Tourthon; Anneau du Comte Harebourg; Anneau de Brouce; Bouclier du Stalak; Ceinture Volkorne; Coiffe du Comte Harebourg; Cape au Logis; Baleinabottes; Dofus Nébuleux; Dofus Pourpre; Dofus Ébène; Dofus Vulbis; Enragé majeur; Remueur</t>
        </is>
      </c>
    </row>
    <row r="25655">
      <c r="A25655" t="inlineStr">
        <is>
          <t>do cri jaash</t>
        </is>
      </c>
      <c r="B25655">
        <f>HYPERLINK("https://www.dofusbook.net/fr/equipement/5470471-do-cri-jaash/objets", "link")</f>
        <v/>
      </c>
      <c r="C25655" t="n">
        <v>0</v>
      </c>
      <c r="D25655" t="inlineStr">
        <is>
          <t>Hache du Chalœil; Amulette du Strigide; Bague Trithon; Alliance Gloursonne; Quatre-feuilles; Ceinture du Strigide; Masque Trithon; Cape de Jahash Jurgen; Pataugastrique; Dofus Turquoise; Dofus Ébène; Dofus Vulbis; Dofus Ivoire; Dolmanax; Dofus Ocre; Kokulte</t>
        </is>
      </c>
    </row>
    <row r="25656">
      <c r="A25656" t="inlineStr">
        <is>
          <t>terre dague ilyz</t>
        </is>
      </c>
      <c r="B25656">
        <f>HYPERLINK("https://www.dofusbook.net/fr/equipement/5457311-terre-dague-ilyz/objets", "link")</f>
        <v/>
      </c>
      <c r="C25656" t="n">
        <v>0</v>
      </c>
      <c r="D25656" t="inlineStr">
        <is>
          <t>Dagues d'Ilyzaelle; Amulette du Strigide; Anneau Chevelu; Bague Gloursonne; Cadran d'Eau; Ceinture du Strigide; Masque de Koutoulou; Cape au Logis; Sabots Minables; Dofus Émeraude; Dofus Ivoire; Dofus Pourpre; Dofus Ébène; Dofus Turquoise; Dofus Abyssal; Dragodinde Emeraude et Pourpre</t>
        </is>
      </c>
    </row>
    <row r="25657">
      <c r="A25657" t="inlineStr">
        <is>
          <t>chance pp</t>
        </is>
      </c>
      <c r="B25657">
        <f>HYPERLINK("https://www.dofusbook.net/fr/equipement/5410494-chance-pp/objets", "link")</f>
        <v/>
      </c>
      <c r="C25657" t="n">
        <v>2</v>
      </c>
      <c r="D25657" t="inlineStr">
        <is>
          <t>Hache à Lamelles; Collier du Minotot; Bracelet du Minotot; Anneau Tique; Bouclier d'Ilyzaelle; Tranche des Sous-bois; Casque Harnage; Cape du Minotot; Bottines des sous-bois; Dofus Kaliptus; Dokille; Taquin majeur; Taquin; Joueur majeur; Joueur; Nomoon</t>
        </is>
      </c>
    </row>
    <row r="25658">
      <c r="A25658" t="inlineStr">
        <is>
          <t>torkélonia stri</t>
        </is>
      </c>
      <c r="B25658">
        <f>HYPERLINK("https://www.dofusbook.net/fr/equipement/5409713-torkelonia-stri/objets", "link")</f>
        <v/>
      </c>
      <c r="C25658" t="n">
        <v>1</v>
      </c>
      <c r="D25658" t="inlineStr">
        <is>
          <t>Baguette de Torkélonia; Amulette du Strigide; Anneau de Padgref; Alliance Brûlâme; Bouclier du Captain Amakna; Ceinture du Strigide; Corne de Torkélonia; Carapace de Torkélonia; Bottes du Strigide; Dofus Pourpre; Dofus Ivoire; Dofus Turquoise; Dofus Ébène; Dofus Ocre; Dofus des Glaces; Sakochère</t>
        </is>
      </c>
    </row>
    <row r="25659">
      <c r="A25659" t="inlineStr">
        <is>
          <t>stri padgref</t>
        </is>
      </c>
      <c r="B25659">
        <f>HYPERLINK("https://www.dofusbook.net/fr/equipement/4132296-stri-padgref/objets", "link")</f>
        <v/>
      </c>
      <c r="C25659" t="n">
        <v>2</v>
      </c>
      <c r="D25659" t="inlineStr">
        <is>
          <t>Bâton Beau; Amulette du Strigide; Bague Trithon; Bracelet du Piloztère; Quatre-feuilles; Ceinture du Strigide; Coiffe de Padgref; Cape des Justiciers; Pataugastrique; Dofus Turquoise; Dofus Ébène; Dofus Pourpre; Nomade; Enragé majeur; Vigoureux majeur; Muldo Prune et Emeraude</t>
        </is>
      </c>
    </row>
    <row r="25660">
      <c r="A25660" t="inlineStr">
        <is>
          <t>do crit nécrotique</t>
        </is>
      </c>
      <c r="B25660">
        <f>HYPERLINK("https://www.dofusbook.net/fr/equipement/5282463-do-crit-necrotique/objets", "link")</f>
        <v/>
      </c>
      <c r="C25660" t="n">
        <v>2</v>
      </c>
      <c r="D25660" t="inlineStr">
        <is>
          <t>Arc Nécrotique; Amulette Volkorne; Bague Trithon; Anneau Volkorne; Quatre-feuilles; Ceintacé; Masque Trithon; Cape de la Dame du Hasard; Bottes de la Dame du Hasard; Dofus Ébène; Dofus des Glaces; Dofus Turquoise; Dofus Ivoire; Dofus Ocre; Voyageur; Kokulte</t>
        </is>
      </c>
    </row>
    <row r="25661">
      <c r="A25661" t="inlineStr">
        <is>
          <t>feu pvpm</t>
        </is>
      </c>
      <c r="B25661">
        <f>HYPERLINK("https://www.dofusbook.net/fr/equipement/5275703-feu-pvpm/objets", "link")</f>
        <v/>
      </c>
      <c r="C25661" t="n">
        <v>1</v>
      </c>
      <c r="D25661" t="inlineStr">
        <is>
          <t>Baguette de Malléfisk; Amulette Volkorne; Anneauræus; Anneauræus; Bouclier d'Ilyzaelle; Ceinture Volkorne; Casque Dragoeuf; Voile d'encre; Pataugastrique; Dofus Ébène; Dofus Ivoire; Dofus Ocre; Dofus Abyssal; Érudit majeur; Nomade; Dragodinde Ivoire et Orchidée</t>
        </is>
      </c>
    </row>
    <row r="25662">
      <c r="A25662" t="inlineStr">
        <is>
          <t>eau do crit</t>
        </is>
      </c>
      <c r="B25662">
        <f>HYPERLINK("https://www.dofusbook.net/fr/equipement/3898180-eau-do-crit/objets", "link")</f>
        <v/>
      </c>
      <c r="C25662" t="n">
        <v>20</v>
      </c>
      <c r="D25662" t="inlineStr">
        <is>
          <t>Sceptre du Roi Joueur; Collier de la Dame du Hasard; Alliance Gloursonne; Anneau Volkorne; Bouclier du Stalak; Sangle Ouare; Némès de Tal Kasha; Cape de la Dame du Hasard; Pataugastrique; Dofus Ocre; Dofus Turquoise; Dofus Pourpre; Dofus Ébène; Dofus Ivoire; Chanceux majeur; Dragodinde Indigo et Ivoire</t>
        </is>
      </c>
    </row>
    <row r="25663">
      <c r="A25663" t="inlineStr">
        <is>
          <t>téroide</t>
        </is>
      </c>
      <c r="B25663">
        <f>HYPERLINK("https://www.dofusbook.net/fr/equipement/5275818-teroide/objets", "link")</f>
        <v/>
      </c>
      <c r="C25663" t="n">
        <v>2</v>
      </c>
      <c r="D25663" t="inlineStr">
        <is>
          <t>Hache Téroïde; Amulette du Strigide; Bague Trithon; Bague Gloursonne; Cadran d'Eau; Ceinture du Strigide; Masque Trithon; Cape au Logis; Bottes Trithon; Dofus Ocre; Dofus des Glaces; Dofus Pourpre; Dofus Ivoire; Dofus Turquoise; Dofus Ébène; Kokulte</t>
        </is>
      </c>
    </row>
    <row r="25664">
      <c r="A25664" t="inlineStr">
        <is>
          <t>air pvpm</t>
        </is>
      </c>
      <c r="B25664">
        <f>HYPERLINK("https://www.dofusbook.net/fr/equipement/5275690-air-pvpm/objets", "link")</f>
        <v/>
      </c>
      <c r="C25664" t="n">
        <v>1</v>
      </c>
      <c r="D25664" t="inlineStr">
        <is>
          <t>Manthache; Collier du Valet Veinard; Gant du Valet Veinard; Alliance Gloursonne; Bouclier d'Ilyzaelle; Menoture; Dorabysses; Cape Martegel; Palmes Trithons; Dofus Ivoire; Dofus Émeraude; Dofus Ébène; Dofus Abyssal; Remueur; Nomade; Dragodinde Amande et Ebène</t>
        </is>
      </c>
    </row>
    <row r="25665">
      <c r="A25665" t="inlineStr">
        <is>
          <t>full ret PM 200</t>
        </is>
      </c>
      <c r="B25665">
        <f>HYPERLINK("https://www.dofusbook.net/fr/equipement/3108525-full-ret-pm-200/objets", "link")</f>
        <v/>
      </c>
      <c r="C25665" t="n">
        <v>3</v>
      </c>
      <c r="D25665" t="inlineStr">
        <is>
          <t>Marteau R'ture; Amulette des Chocomanciens; Alliance Gloursonne; Pikano; Bouclier cubiste; Ceinture des Chocomanciens; Boucle d'oreille de Kongoku; Cape de Léthaline; Pantoufles Émar; Ralentisseur majeur; Fonceur majeur; Entraveur majeur; Entraveur; Temporiseur; Temporiseur majeur; Volkorne Turquoise</t>
        </is>
      </c>
    </row>
    <row r="25666">
      <c r="A25666" t="inlineStr">
        <is>
          <t>terre dps</t>
        </is>
      </c>
      <c r="B25666">
        <f>HYPERLINK("https://www.dofusbook.net/fr/equipement/5217993-terre-dps/objets", "link")</f>
        <v/>
      </c>
      <c r="C25666" t="n">
        <v>1</v>
      </c>
      <c r="D25666" t="inlineStr">
        <is>
          <t>Arc du Chalœil; Collier de Tourthon; Anneau de Brouce; Bague Gloursonne; Bouclier du Stalak; Ceinture de la Reine des Voleurs; Coiffe de la Reine des Voleurs; Cape au Logis; Sabots Minables; Dofus Ocre; Dofus Ivoire; Dofus des Glaces; Dofus Ébène; Enragé majeur; Forcené majeur; Bulbisou</t>
        </is>
      </c>
    </row>
    <row r="25667">
      <c r="A25667" t="inlineStr">
        <is>
          <t>agi mélé</t>
        </is>
      </c>
      <c r="B25667">
        <f>HYPERLINK("https://www.dofusbook.net/fr/equipement/5198444-agi-mele/objets", "link")</f>
        <v/>
      </c>
      <c r="C25667" t="n">
        <v>3</v>
      </c>
      <c r="D25667" t="inlineStr">
        <is>
          <t>Manthache; Collier du Valet Veinard; Alliance Gloursonne; Gant du Valet Veinard; Bouclier d'Ilyzaelle; Menoture; Dorabysses; Cape Martegel; Palmes Trithons; Dofus Ivoire; Dofus Ébène; Cascadeur majeur; Remueur; Fonceur majeur; Nomade; Dragodinde Amande et Ebène</t>
        </is>
      </c>
    </row>
    <row r="25668">
      <c r="A25668" t="inlineStr">
        <is>
          <t>eau mélé</t>
        </is>
      </c>
      <c r="B25668">
        <f>HYPERLINK("https://www.dofusbook.net/fr/equipement/5198490-eau-mele/objets", "link")</f>
        <v/>
      </c>
      <c r="C25668" t="n">
        <v>1</v>
      </c>
      <c r="D25668" t="inlineStr">
        <is>
          <t>Dagoulinantes; Amulette de Shokkoth; Alliance Gloursonne; Anneau Volkorne; Bouclier d'Ilyzaelle; Ceinture de la Reine des Voleurs; Capuche de l'Œil Attentif; Cape Solution; Bottes de la Reine des Voleurs; Dofus Ivoire; Dofus Pourpre; Dofus Ébène; Remueur; Chanceux majeur; Nomade; Dragodinde Indigo et Ivoire</t>
        </is>
      </c>
    </row>
    <row r="25669">
      <c r="A25669" t="inlineStr">
        <is>
          <t>agi ret pm</t>
        </is>
      </c>
      <c r="B25669">
        <f>HYPERLINK("https://www.dofusbook.net/fr/equipement/5175128-agi-ret-pm/objets", "link")</f>
        <v/>
      </c>
      <c r="C25669" t="n">
        <v>0</v>
      </c>
      <c r="D25669" t="inlineStr">
        <is>
          <t>Manthache; Collier du Valet Veinard; Alliance Gloursonne; Gant du Valet Veinard; Droiture de Fallanster; Menoture; Casque Dragoeuf; Cape Martegel; Palmes Trithons; Dofus Ivoire; Dofus Ébène; Dofus Abyssal; Nomade; Temporiseur majeur; Cascadeur majeur; Volkorne Turquoise et Ebène</t>
        </is>
      </c>
    </row>
    <row r="25670">
      <c r="A25670" t="inlineStr">
        <is>
          <t>air pvpm</t>
        </is>
      </c>
      <c r="B25670">
        <f>HYPERLINK("https://www.dofusbook.net/fr/equipement/5087741-air-pvpm/objets", "link")</f>
        <v/>
      </c>
      <c r="C25670" t="n">
        <v>1</v>
      </c>
      <c r="D25670" t="inlineStr">
        <is>
          <t>Manthache; Amulette Ementaire Deluxe; Gant du Valet Veinard; Alliance Gloursonne; Droiture de Fallanster; Menoture; Dorabysses; Cape du Valet Veinard; Bottes de l'Esprit Salvateur; Dofus Ocre; Dolmanax; Dofus Ivoire; Dofus Vulbis; Dofus Ébène; Cascadeur majeur; Dragodinde Dorée et Ebène</t>
        </is>
      </c>
    </row>
    <row r="25671">
      <c r="A25671" t="inlineStr">
        <is>
          <t>feu ré pou</t>
        </is>
      </c>
      <c r="B25671">
        <f>HYPERLINK("https://www.dofusbook.net/fr/equipement/5007737-feu-re-pou/objets", "link")</f>
        <v/>
      </c>
      <c r="C25671" t="n">
        <v>2</v>
      </c>
      <c r="D25671" t="inlineStr">
        <is>
          <t>Arc corrompu; Amulette Volkorne; Anneau Tique; Anneau de Nidas; Droiture de Fallanster; Ceinture Volkorne; Casque Dragoeuf; Bravoure de Rykke Errel; Pataugastrique; Dofus Abyssal; Dofus Ivoire; Dofus Ocre; Dofus Ébène; Érudit majeur; Nomade; Dragodinde Dorée et Orchidée</t>
        </is>
      </c>
    </row>
    <row r="25672">
      <c r="A25672" t="inlineStr">
        <is>
          <t>Osamodas terre</t>
        </is>
      </c>
      <c r="B25672">
        <f>HYPERLINK("https://www.dofusbook.net/fr/equipement/4531327-osamodas-terre/objets", "link")</f>
        <v/>
      </c>
      <c r="C25672" t="n">
        <v>2</v>
      </c>
      <c r="D25672" t="inlineStr">
        <is>
          <t>Lav'Hache; Amulette Volkorne; Pikano; Anneau Chevelu; Droiture de Fallanster; Ceinture Volkorne; Casque Dragoeuf; Bravoure de Rykke Errel; Sabots Minables; Dofus Ocre; Dofus Ébène; Dofus Ivoire; Dofus Pourpre; Enragé majeur; Nomade; Dragodinde Dorée et Pourpre</t>
        </is>
      </c>
    </row>
    <row r="25673">
      <c r="A25673" t="inlineStr">
        <is>
          <t>stuff songes</t>
        </is>
      </c>
      <c r="B25673">
        <f>HYPERLINK("https://www.dofusbook.net/fr/equipement/4341687-stuff-songes/objets", "link")</f>
        <v/>
      </c>
      <c r="C25673" t="n">
        <v>4</v>
      </c>
      <c r="D25673" t="inlineStr">
        <is>
          <t>Epée Gloursonne; Amulette du Strigide; Bague Gloursonne; Alliance Gloursonne; Quatre-feuilles; Ceinture du Strigide; Casque du Chalœil; Cape Reski; Bottes du Strigide; Dofus Nébuleux; Dofus des Glaces; Dofus Pourpre; Dofus Ocre; Dofus Ébène; Dofus Turquoise; Kokulte</t>
        </is>
      </c>
    </row>
    <row r="25674">
      <c r="A25674" t="inlineStr">
        <is>
          <t>air ré pou</t>
        </is>
      </c>
      <c r="B25674">
        <f>HYPERLINK("https://www.dofusbook.net/fr/equipement/5060220-air-re-pou/objets", "link")</f>
        <v/>
      </c>
      <c r="C25674" t="n">
        <v>4</v>
      </c>
      <c r="D25674" t="inlineStr">
        <is>
          <t>Manthache; Collier du Valet Veinard; Gant du Valet Veinard; Alliance Gloursonne; Droiture de Fallanster; Menoture; Dorabysses; Cape de Crânonier; Palmes Trithons; Dofus Ocre; Dofus Abyssal; Dofus Ivoire; Dofus Vulbis; Dofus Ébène; Cascadeur majeur; Bwak d'Air</t>
        </is>
      </c>
    </row>
    <row r="25675">
      <c r="A25675" t="inlineStr">
        <is>
          <t>feu eau reseau</t>
        </is>
      </c>
      <c r="B25675">
        <f>HYPERLINK("https://www.dofusbook.net/fr/equipement/5019505-feu-eau-reseau/objets", "link")</f>
        <v/>
      </c>
      <c r="C25675" t="n">
        <v>2</v>
      </c>
      <c r="D25675" t="inlineStr">
        <is>
          <t>Épée Brûlâme; Amulette Volkorne; Alliance Gloursonne; Anneau Volkorne; Bouclier du Stalak; Ceinture de l'Esprit Malsain; Masque Paztek; Cape de Jahash Jurgen; Bottes de l'Esprit Malsain; Dofus Ébène; Dofus Ocre; Dofus des Glaces; Dofus Ivoire; Dofus Abyssal; Dofus Vulbis; Volkorne Orchidée et Indigo</t>
        </is>
      </c>
    </row>
    <row r="25676">
      <c r="A25676" t="inlineStr">
        <is>
          <t>tank ryk</t>
        </is>
      </c>
      <c r="B25676">
        <f>HYPERLINK("https://www.dofusbook.net/fr/equipement/5054160-tank-ryk/objets", "link")</f>
        <v/>
      </c>
      <c r="C25676" t="n">
        <v>1</v>
      </c>
      <c r="D25676" t="inlineStr">
        <is>
          <t>Rouleau à Pâtisserie d'Aermyne; Collier Rophante; Bague Trithon; Alliance Gloursonne; Bouclier d'Anerice; Ceinture de Kongoku; Masque d'Anerice; Bravoure de Rykke Errel; Pataugastrique; Dofus Abyssal; Dofus Ivoire; Dofus Émeraude; Bloqueur majeur; Remueur; Obstructeur majeur; Givrefoux</t>
        </is>
      </c>
    </row>
    <row r="25677">
      <c r="A25677" t="inlineStr">
        <is>
          <t>eau invu songe</t>
        </is>
      </c>
      <c r="B25677">
        <f>HYPERLINK("https://www.dofusbook.net/fr/equipement/5031715-eau-invu-songe/objets", "link")</f>
        <v/>
      </c>
      <c r="C25677" t="n">
        <v>3</v>
      </c>
      <c r="D25677" t="inlineStr">
        <is>
          <t>Dagoulinantes; Amulette de Shokkoth; Alliance Gloursonne; Anneau Volkorne; Bouclier du Stalak; Ceinture Volkorne; Casque d'Ilyzaelle; Cape de l'Œil Attentif; Pataugastrique; Dofus Ébène; Dofus des Glaces; Dofus Ocre; Dofus Pourpre; Nomade; Chanceux majeur; Kanigloups</t>
        </is>
      </c>
    </row>
    <row r="25678">
      <c r="A25678" t="inlineStr">
        <is>
          <t>air esq</t>
        </is>
      </c>
      <c r="B25678">
        <f>HYPERLINK("https://www.dofusbook.net/fr/equipement/4722892-air-esq/objets", "link")</f>
        <v/>
      </c>
      <c r="C25678" t="n">
        <v>5</v>
      </c>
      <c r="D25678" t="inlineStr">
        <is>
          <t>Manthache; Collier du Valet Veinard; Gant du Valet Veinard; Alliance Gloursonne; Droiture de Fallanster; Menoture; Dorabysses; Cape de Crânonier; Bottes de l'Esprit Salvateur; Dofus Ébène; Dofus Ivoire; Dofus Pourpre; Dofus Vulbis; Cascadeur majeur; Miraculé majeur; Chienchien Tigré</t>
        </is>
      </c>
    </row>
    <row r="25679">
      <c r="A25679" t="inlineStr">
        <is>
          <t>full ret</t>
        </is>
      </c>
      <c r="B25679">
        <f>HYPERLINK("https://www.dofusbook.net/fr/equipement/4941824-full-ret/objets", "link")</f>
        <v/>
      </c>
      <c r="C25679" t="n">
        <v>4</v>
      </c>
      <c r="D25679" t="inlineStr">
        <is>
          <t>Dagoulinantes; Collier Rophante; Alliance Gloursonne; Anneau Crustique; Sept ans de malheur; Menoture; Casque Dragoeuf; Bravoure de Rykke Errel; Pataugastrique; Dofus Ivoire; Dofus Abyssal; Étourdisseur; Étourdisseur majeur; Engourdisseur majeur; Paralyseur majeur; Drakopin</t>
        </is>
      </c>
    </row>
    <row r="25680">
      <c r="A25680" t="inlineStr">
        <is>
          <t>tank terre</t>
        </is>
      </c>
      <c r="B25680">
        <f>HYPERLINK("https://www.dofusbook.net/fr/equipement/4953002-tank-terre/objets", "link")</f>
        <v/>
      </c>
      <c r="C25680" t="n">
        <v>1</v>
      </c>
      <c r="D25680" t="inlineStr">
        <is>
          <t>Lav'Hache; Amulette Volkorne; Anneau Chevelu; Bague Gloursonne; Bouclier précieux; Ceinture Volkorne; Cape au Logis</t>
        </is>
      </c>
    </row>
    <row r="25681">
      <c r="A25681" t="inlineStr">
        <is>
          <t>terre ryk</t>
        </is>
      </c>
      <c r="B25681">
        <f>HYPERLINK("https://www.dofusbook.net/fr/equipement/4941954-terre-ryk/objets", "link")</f>
        <v/>
      </c>
      <c r="C25681" t="n">
        <v>4</v>
      </c>
      <c r="D25681" t="inlineStr">
        <is>
          <t>Marteau R'ture; Amulette Volkorne; Anneau Chevelu; Bague Gloursonne; Cadran d'Eau; Ceinture Volkorne; Masque de Koutoulou; Bravoure de Rykke Errel; Bottes de la Cour Sombre; Dofus Vulbis; Dofus Ébène; Dofus Ocre; Dofus Abyssal; Dofus Pourpre; Dofus Ivoire; Dragodinde Ivoire et Pourpre</t>
        </is>
      </c>
    </row>
    <row r="25682">
      <c r="A25682" t="inlineStr">
        <is>
          <t>esq pa</t>
        </is>
      </c>
      <c r="B25682">
        <f>HYPERLINK("https://www.dofusbook.net/fr/equipement/4721487-esq-pa/objets", "link")</f>
        <v/>
      </c>
      <c r="C25682" t="n">
        <v>2</v>
      </c>
      <c r="D25682" t="inlineStr">
        <is>
          <t>Arc corrompu; Amulette Volkorne; Anneauræus; Anneauræus; Cadran de Terre; Ceinture Volkorne; Heaume Oplate; Voile d'encre; Bottes Innommables; Dofus Abyssal; Dofus Ébène; Dofus Ivoire; Dofus Vulbis; Érudit majeur; Évasif majeur; Chienchien Tigré</t>
        </is>
      </c>
    </row>
    <row r="25683">
      <c r="A25683" t="inlineStr">
        <is>
          <t>eau ret pas cher</t>
        </is>
      </c>
      <c r="B25683">
        <f>HYPERLINK("https://www.dofusbook.net/fr/equipement/4924298-eau-ret-pas-cher/objets", "link")</f>
        <v/>
      </c>
      <c r="C25683" t="n">
        <v>1</v>
      </c>
      <c r="D25683" t="inlineStr">
        <is>
          <t>Rapière aux Glyphes; Amulette de Shokkoth; Alliance Gloursonne; Pikano; Bouclier cubiste; Poulpagne; Kidibonnet; Cape du Sinistrofu; Bottes du Sinistrofu; Chanceux majeur; Remueur; Temporiseur majeur; Voyageur; Entraveur majeur; Nomade; Gwo Tofu Ventripotent</t>
        </is>
      </c>
    </row>
    <row r="25684">
      <c r="A25684" t="inlineStr">
        <is>
          <t>Iop full feu</t>
        </is>
      </c>
      <c r="B25684">
        <f>HYPERLINK("https://www.dofusbook.net/fr/equipement/4910503-iop-full-feu/objets", "link")</f>
        <v/>
      </c>
      <c r="C25684" t="n">
        <v>2</v>
      </c>
      <c r="D25684" t="inlineStr">
        <is>
          <t>Arc corrompu; Amulette Volkorne; Anneauræus; Anneauræus; Bouclier du Stalak; Ceinture Volkorne; Heaume Oplate; Bravoure de Rykke Errel; Bottes Innommables; Dofus Ocre; Dofus Pourpre; Dofus Vulbis; Dofus Ébène; Dofus Ivoire; Érudit majeur; Dragodinde Amande et Orchidée</t>
        </is>
      </c>
    </row>
    <row r="25685">
      <c r="A25685" t="inlineStr">
        <is>
          <t>esq pa</t>
        </is>
      </c>
      <c r="B25685">
        <f>HYPERLINK("https://www.dofusbook.net/fr/equipement/4721773-esq-pa/objets", "link")</f>
        <v/>
      </c>
      <c r="C25685" t="n">
        <v>4</v>
      </c>
      <c r="D25685" t="inlineStr">
        <is>
          <t>Arc du Chalœil; Amulette du Strigide; Bague Gloursonne; Anneau Chevelu; Bouclier d'Ilyzaelle; Ceinture du Strigide; Masque de Koutoulou; Cape au Logis; Bottes de la Cour Sombre; Dofus Ivoire; Dofus Pourpre; Dofus Abyssal; Évasif majeur; Enragé majeur; Cavaleur majeur; Chienchien Tigré</t>
        </is>
      </c>
    </row>
    <row r="25686">
      <c r="A25686" t="inlineStr">
        <is>
          <t>eau ret PM pvpm</t>
        </is>
      </c>
      <c r="B25686">
        <f>HYPERLINK("https://www.dofusbook.net/fr/equipement/4716205-eau-ret-pm-pvpm/objets", "link")</f>
        <v/>
      </c>
      <c r="C25686" t="n">
        <v>3</v>
      </c>
      <c r="D25686" t="inlineStr">
        <is>
          <t>Rapière aux Glyphes; Amulette de Shokkoth; Anneau Volkorne; Alliance Gloursonne; Bouclier cubiste; Sangle Ouare; Capuche de l'Œil Attentif; Cape de l'Œil Attentif; Pataugastrique; Dofus Abyssal; Dofus Ivoire; Dofus Ocre; Temporiseur majeur; Cavaleur majeur; Évasif majeur; Gwo Tofu Ventripotent</t>
        </is>
      </c>
    </row>
    <row r="25687">
      <c r="A25687" t="inlineStr">
        <is>
          <t>eau res</t>
        </is>
      </c>
      <c r="B25687">
        <f>HYPERLINK("https://www.dofusbook.net/fr/equipement/4716941-eau-res/objets", "link")</f>
        <v/>
      </c>
      <c r="C25687" t="n">
        <v>1</v>
      </c>
      <c r="D25687" t="inlineStr">
        <is>
          <t>Baguette Hique; Amulette de Shokkoth; Anneau Volkorne; Alliance Gloursonne; Bouclier cubiste; Ceintacé; Casque Dragoeuf; Cape de la Dame du Hasard; Bottes de la Dame du Hasard; Dofus Ivoire; Dofus Turquoise; Chanceux majeur; Remueur; Temporiseur majeur; Nomade; Dragodinde Indigo et Ivoire</t>
        </is>
      </c>
    </row>
    <row r="25688">
      <c r="A25688" t="inlineStr">
        <is>
          <t>terre classique</t>
        </is>
      </c>
      <c r="B25688">
        <f>HYPERLINK("https://www.dofusbook.net/fr/equipement/4718638-terre-classique/objets", "link")</f>
        <v/>
      </c>
      <c r="C25688" t="n">
        <v>1</v>
      </c>
      <c r="D25688" t="inlineStr">
        <is>
          <t>Marteau R'ture; Amulette Volkorne; Bague Gloursonne; Anneau Chevelu; Cadran d'Eau; Ceinture Volkorne; Masque de Koutoulou; Cape au Logis; Bottes de la Cour Sombre; Dofus Turquoise; Dofus Ivoire; Dofus Abyssal; Dofus Ébène; Dofus Pourpre; Dofus Ocre; Dragodinde Ivoire et Pourpre</t>
        </is>
      </c>
    </row>
    <row r="25689">
      <c r="A25689" t="inlineStr">
        <is>
          <t>feu ret fuite</t>
        </is>
      </c>
      <c r="B25689">
        <f>HYPERLINK("https://www.dofusbook.net/fr/equipement/4718580-feu-ret-fuite/objets", "link")</f>
        <v/>
      </c>
      <c r="C25689" t="n">
        <v>0</v>
      </c>
      <c r="D25689" t="inlineStr">
        <is>
          <t>Arc corrompu; Amulette Volkorne; Anneauræus; Anneauræus; Bouclier du Stalak; Ceinture Volkorne; Casque Dragoeuf; Voile d'encre; Pataugastrique; Dofus Abyssal; Dofus Ivoire; Dofus Ocre; Dofus Ébène; Érudit majeur; Nomade; Dragoune Rose</t>
        </is>
      </c>
    </row>
    <row r="25690">
      <c r="A25690" t="inlineStr">
        <is>
          <t>tank</t>
        </is>
      </c>
      <c r="B25690">
        <f>HYPERLINK("https://www.dofusbook.net/fr/equipement/4689730-tank/objets", "link")</f>
        <v/>
      </c>
      <c r="C25690" t="n">
        <v>0</v>
      </c>
      <c r="D25690" t="inlineStr">
        <is>
          <t>Rouleau à Pâtisserie d'Aermyne; Collier Rophante; Alliance Gloursonne; Bague Trithon; Bouclier précieux; Ceinture de Kongoku; Masque d'Anerice; Cape d'Anerice; Pataugastrique; Dofus Émeraude; Dofus Abyssal; Dofus Ivoire; Remueur; Bloqueur majeur; Obstructeur majeur; Givrefoux</t>
        </is>
      </c>
    </row>
    <row r="25691">
      <c r="A25691" t="inlineStr">
        <is>
          <t>hache téroide</t>
        </is>
      </c>
      <c r="B25691">
        <f>HYPERLINK("https://www.dofusbook.net/fr/equipement/4675480-hache-teroide/objets", "link")</f>
        <v/>
      </c>
      <c r="C25691" t="n">
        <v>2</v>
      </c>
      <c r="D25691" t="inlineStr">
        <is>
          <t>Hache Téroïde; Amulette du Strigide; Anneau Volkorne; Bague Gloursonne; Quatre-feuilles; Ceinture Volkorne; Masque de Koutoulou; Cape au Logis; Bottes du Roi Joueur; Dofus Pourpre; Dofus des Glaces; Dofus Turquoise; Dofus Ivoire; Dokoko; Dofus Ocre; Kokulte</t>
        </is>
      </c>
    </row>
    <row r="25692">
      <c r="A25692" t="inlineStr">
        <is>
          <t>eau ré pou</t>
        </is>
      </c>
      <c r="B25692">
        <f>HYPERLINK("https://www.dofusbook.net/fr/equipement/4656001-eau-re-pou/objets", "link")</f>
        <v/>
      </c>
      <c r="C25692" t="n">
        <v>0</v>
      </c>
      <c r="D25692" t="inlineStr">
        <is>
          <t>Rapière aux Glyphes; Amulette de l'Œil Attentif; Anneau Volkorne; Alliance Gloursonne; Bouclier du Stalak; Sangle Ouare; Casque Dragoeuf; Cape de l'Œil Attentif; Sandales des Fonds marins; Dofus Forgelave; Dofus Ocre; Dofus Pourpre; Dofus Ivoire; Chanceux majeur; Solide majeur; Chienchien Tigré</t>
        </is>
      </c>
    </row>
    <row r="25693">
      <c r="A25693" t="inlineStr">
        <is>
          <t>Osamodas F 200</t>
        </is>
      </c>
      <c r="B25693">
        <f>HYPERLINK("https://www.dofusbook.net/fr/equipement/4641975-osamodas-f-200/objets", "link")</f>
        <v/>
      </c>
      <c r="C25693" t="n">
        <v>7</v>
      </c>
      <c r="D25693" t="inlineStr">
        <is>
          <t>Lav'Hache; Amulette Ementaire Deluxe; Anneau Volkorne; Pikano; Droiture de Fallanster; Ceinture Volkorne; Masque de Koutoulou; Bravoure de Rykke Errel; Bottes de la Cour Sombre; Dofus Vulbis; Dofus Forgelave; Dofus Ivoire; Miraculé majeur; Solide majeur; Inflexible majeur; Chienchien Tigré</t>
        </is>
      </c>
    </row>
    <row r="25694">
      <c r="A25694" t="inlineStr">
        <is>
          <t>do crit</t>
        </is>
      </c>
      <c r="B25694">
        <f>HYPERLINK("https://www.dofusbook.net/fr/equipement/4575548-do-crit/objets", "link")</f>
        <v/>
      </c>
      <c r="C25694" t="n">
        <v>0</v>
      </c>
      <c r="D25694" t="inlineStr">
        <is>
          <t>Hache du Chalœil; Amulette du Strigide; Anneau Volkorne; Bague Trithon; Quatre-feuilles; Ceinture Volkorne; Némès de Tal Kasha; Chevelure de Tal Kasha; Pataugastrique; Dofus Ocre; Dofus Forgelave; Dofus Vulbis; Dofus des Glaces; Dofus Turquoise; Dofus Ivoire; Kokulte</t>
        </is>
      </c>
    </row>
    <row r="25695">
      <c r="A25695" t="inlineStr">
        <is>
          <t>terre feu crit</t>
        </is>
      </c>
      <c r="B25695">
        <f>HYPERLINK("https://www.dofusbook.net/fr/equipement/4482507-terre-feu-crit/objets", "link")</f>
        <v/>
      </c>
      <c r="C25695" t="n">
        <v>2</v>
      </c>
      <c r="D25695" t="inlineStr">
        <is>
          <t>Hache Téroïde; Amulette du Strigide; Bague Trithon; Bague Gloursonne; Cadran d'Eau; Ceinture du Strigide; Masque Trithon; Voile d'encre; Bottes Trithon; Dofus Vulbis; Dofus Ivoire; Dofus Nébuleux; Dofus Ocre; Dofus Ébène; Dofus Turquoise; Kokulte</t>
        </is>
      </c>
    </row>
    <row r="25696">
      <c r="A25696" t="inlineStr">
        <is>
          <t>mode pvp</t>
        </is>
      </c>
      <c r="B25696">
        <f>HYPERLINK("https://www.dofusbook.net/fr/equipement/3032334-mode-pvp/objets", "link")</f>
        <v/>
      </c>
      <c r="C25696" t="n">
        <v>3</v>
      </c>
      <c r="D25696" t="inlineStr">
        <is>
          <t>Marteau R'ture; Amulette du Strigide; Bague Gloursonne; Anneau Chevelu; Cadran d'Eau; Ceinture du Strigide; Masque de Koutoulou; Cape au Logis; Bottes de la Cour Sombre; Dofus Ivoire; Dofus Ocre; Dofus Forgelave; Dofus Pourpre; Dofus Turquoise; Enragé majeur; Dragodinde Ivoire et Pourpre</t>
        </is>
      </c>
    </row>
    <row r="25697">
      <c r="A25697" t="inlineStr">
        <is>
          <t>Pandawa M 200</t>
        </is>
      </c>
      <c r="B25697">
        <f>HYPERLINK("https://www.dofusbook.net/fr/equipement/4527859-pandawa-m-200/objets", "link")</f>
        <v/>
      </c>
      <c r="C25697" t="n">
        <v>4</v>
      </c>
      <c r="D25697" t="inlineStr">
        <is>
          <t>Arc corrompu; Pendentif affamé; Anneau Tique; Bague Gloursonne; Droiture de Fallanster; Ceinture de Vortex; Heaume Oplate; Bravoure de Rykke Errel; Chaussures Ardentes; Dofus Ocre; Dofus Ivoire; Dofus Vulbis; Dofus Forgelave; Carapace Feu majeur; Érudit majeur; Dragodinde Ivoire et Orchidée</t>
        </is>
      </c>
    </row>
    <row r="25698">
      <c r="A25698" t="inlineStr">
        <is>
          <t>terre feu 2.48</t>
        </is>
      </c>
      <c r="B25698">
        <f>HYPERLINK("https://www.dofusbook.net/fr/equipement/3585366-terre-feu-2-48/objets", "link")</f>
        <v/>
      </c>
      <c r="C25698" t="n">
        <v>116</v>
      </c>
      <c r="D25698" t="inlineStr">
        <is>
          <t>Massier; Amulette Volkorne; Chevalière du Roi Joueur; Bague Gloursonne; Bouclier du Stalak; Ceinture Volkorne; Couronne du Roi Joueur; Voile d'encre; Bottes du Roi Joueur; Dofus Nébuleux; Dofus des Glaces; Dofus Abyssal; Dofus Ivoire; Dofus Vulbis; Dofus Ocre; Volkorne Pourpre et Orchidée</t>
        </is>
      </c>
    </row>
    <row r="25699">
      <c r="A25699" t="inlineStr">
        <is>
          <t>do pou</t>
        </is>
      </c>
      <c r="B25699">
        <f>HYPERLINK("https://www.dofusbook.net/fr/equipement/4531860-do-pou/objets", "link")</f>
        <v/>
      </c>
      <c r="C25699" t="n">
        <v>0</v>
      </c>
      <c r="D25699" t="inlineStr">
        <is>
          <t>Lav'Hache; Torquistik; Alliance Gloursonne; Bague Trithon; Bouclier précieux; Sangle Ouare; Casque Dragoeuf; Cape Solution; Bottistik; Dofus Abyssal; Dofus Ocre; Dofus Ivoire; Pousseur majeur; Bousculeur majeur; Culbuteur majeur; Tatouf</t>
        </is>
      </c>
    </row>
    <row r="25700">
      <c r="A25700" t="inlineStr">
        <is>
          <t>eau pas cher</t>
        </is>
      </c>
      <c r="B25700">
        <f>HYPERLINK("https://www.dofusbook.net/fr/equipement/4509529-eau-pas-cher/objets", "link")</f>
        <v/>
      </c>
      <c r="C25700" t="n">
        <v>1</v>
      </c>
      <c r="D25700" t="inlineStr">
        <is>
          <t>Rapière aux Glyphes; Amulette de Danathor; Alliance Gloursonne; Gelano; Bouclier du Stalak; Ceinture Glaciale; Coiffe de Danathor; Cape Matelassée; Bottes du Nocturlabe; Dofus Émeraude; Dofus Pourpre; Nomade; Remueur; Miraculé majeur; Chanceux majeur; Kanigloups</t>
        </is>
      </c>
    </row>
    <row r="25701">
      <c r="A25701" t="inlineStr">
        <is>
          <t>terre</t>
        </is>
      </c>
      <c r="B25701">
        <f>HYPERLINK("https://www.dofusbook.net/fr/equipement/3989771-terre/objets", "link")</f>
        <v/>
      </c>
      <c r="C25701" t="n">
        <v>1</v>
      </c>
      <c r="D25701" t="inlineStr">
        <is>
          <t>Arc du Chalœil; Collier de Tourthon; Bracelet du Piloztère; Anneau Chevelu; Quatre-feuilles; Ceinture de la Reine des Voleurs; Coiffe de la Reine des Voleurs; Cape au Logis; Bottes Honyme; Dofus Ivoire; Dofus Pourpre; Dofus Ocre; Dofus Ébène; Dofus Turquoise; Enragé majeur; Dragodinde Ivoire et Pourpre</t>
        </is>
      </c>
    </row>
    <row r="25702">
      <c r="A25702" t="inlineStr">
        <is>
          <t>eau ret</t>
        </is>
      </c>
      <c r="B25702">
        <f>HYPERLINK("https://www.dofusbook.net/fr/equipement/4014725-eau-ret/objets", "link")</f>
        <v/>
      </c>
      <c r="C25702" t="n">
        <v>4</v>
      </c>
      <c r="D25702" t="inlineStr">
        <is>
          <t>Dagoulinantes; Amulette de Shokkoth; Alliance Gloursonne; Anneau Volkorne; Cadran de Terre; Poulpagne; Masque d'Anerice; Cape d'Anerice; Pataugastrique; Dofus Ocre; Dofus Ébène; Dofus Ivoire; Chanceux majeur; Étourdisseur majeur; Nomade; Boskito</t>
        </is>
      </c>
    </row>
    <row r="25703">
      <c r="A25703" t="inlineStr">
        <is>
          <t>mule farm</t>
        </is>
      </c>
      <c r="B25703">
        <f>HYPERLINK("https://www.dofusbook.net/fr/equipement/4182176-mule-farm/objets", "link")</f>
        <v/>
      </c>
      <c r="C25703" t="n">
        <v>2</v>
      </c>
      <c r="D25703" t="inlineStr">
        <is>
          <t>Épée d'Otomaï; Amulette Volkorne; Gelano; Anneau Tamie; Bouclier cubiste; Ceinture Séculaire; Coiffe Séculaire; Cape de Nileza; Pantoufles Émar; Érudit majeur; Savant majeur; Érudit; Remueur; Miraculé majeur; Fonceur majeur; Muldo Doré et Indigo</t>
        </is>
      </c>
    </row>
    <row r="25704">
      <c r="A25704" t="inlineStr">
        <is>
          <t>sadi infect 1er</t>
        </is>
      </c>
      <c r="B25704">
        <f>HYPERLINK("https://www.dofusbook.net/fr/equipement/3729793-sadi-infect-1er/objets", "link")</f>
        <v/>
      </c>
      <c r="C25704" t="n">
        <v>21</v>
      </c>
      <c r="D25704" t="inlineStr">
        <is>
          <t>Epée Gloursonne; Amulette Martegel; Alliance Gloursonne; Bague Gloursonne; Bouclier du Stalak; Masquegel; Cape Martegel; Bottes du Lévitrof; Dofus Abyssal; Dofus Ocre; Fuyard majeur; Vagabond majeur; Vagabond; Fuyard; Muldo Amande et Ivoire</t>
        </is>
      </c>
    </row>
    <row r="25705">
      <c r="A25705" t="inlineStr">
        <is>
          <t>eau do pou</t>
        </is>
      </c>
      <c r="B25705">
        <f>HYPERLINK("https://www.dofusbook.net/fr/equipement/3253995-eau-do-pou/objets", "link")</f>
        <v/>
      </c>
      <c r="C25705" t="n">
        <v>10</v>
      </c>
      <c r="D25705" t="inlineStr">
        <is>
          <t>Sceptre du Roi Joueur; Amulette de Shokkoth; Bague Trithon; Alliance Gloursonne; Bouclier précieux; Sangle Ouare; Casque Dragoeuf; Cape Solution; Bottes Trithon; Dofus Ocre; Dofus Abyssal; Dofus Ivoire; Culbuteur majeur; Chanceux majeur; Bousculeur majeur; Péki</t>
        </is>
      </c>
    </row>
    <row r="25706">
      <c r="A25706" t="inlineStr">
        <is>
          <t>air retrait</t>
        </is>
      </c>
      <c r="B25706">
        <f>HYPERLINK("https://www.dofusbook.net/fr/equipement/3235436-air-retrait/objets", "link")</f>
        <v/>
      </c>
      <c r="C25706" t="n">
        <v>4</v>
      </c>
      <c r="D25706" t="inlineStr">
        <is>
          <t>Lance Horselé; Collier du Valet Veinard; Gant du Valet Veinard; Alliance Gloursonne; Cadran de Terre; Menoture; Dorabysses; Cape Indescriptible; Palmes Trithons; Dofus Ivoire; Engourdisseur majeur; Fonceur majeur; Paralyseur majeur; Étourdisseur majeur; Remueur; Muldo Ebène</t>
        </is>
      </c>
    </row>
    <row r="25707">
      <c r="A25707" t="inlineStr">
        <is>
          <t>retrait res</t>
        </is>
      </c>
      <c r="B25707">
        <f>HYPERLINK("https://www.dofusbook.net/fr/equipement/3244703-retrait-res/objets", "link")</f>
        <v/>
      </c>
      <c r="C25707" t="n">
        <v>3</v>
      </c>
      <c r="D25707" t="inlineStr">
        <is>
          <t>Dagoulinantes; Collier du Valet Veinard; Anneau Crustique; Anneau Crustique; Sept ans de malheur; Menoture; Masque d'Anerice; Cape d'Anerice; Sandales de Tal Kasha; Dofus Ivoire; Nomade; Remueur; Carapace Air majeur; Paralyseur majeur; Étourdisseur majeur; Dragoune Rose</t>
        </is>
      </c>
    </row>
    <row r="25708">
      <c r="A25708" t="inlineStr">
        <is>
          <t>mule feu 190</t>
        </is>
      </c>
      <c r="B25708">
        <f>HYPERLINK("https://www.dofusbook.net/fr/equipement/3752219-mule-feu-190/objets", "link")</f>
        <v/>
      </c>
      <c r="C25708" t="n">
        <v>0</v>
      </c>
      <c r="D25708" t="inlineStr">
        <is>
          <t>La Baguette des Limbes; Amunite; Gelano; Alliance Boletée; Cadran de Terre; Ceinture de Kolosso; Frimacoiffe; Cape de Tengu Givrefoux; Tongues du dimanche du Chêne Mou; Observateur; Vigoureux majeur; Savant majeur; Remueur; Érudit; Érudit majeur; Muldo Doré</t>
        </is>
      </c>
    </row>
    <row r="25709">
      <c r="A25709" t="inlineStr">
        <is>
          <t>res ret agi</t>
        </is>
      </c>
      <c r="B25709">
        <f>HYPERLINK("https://www.dofusbook.net/fr/equipement/3790882-res-ret-agi/objets", "link")</f>
        <v/>
      </c>
      <c r="C25709" t="n">
        <v>0</v>
      </c>
      <c r="D25709" t="inlineStr">
        <is>
          <t>Lance Horselé; Collier du Valet Veinard; Gant du Valet Veinard; Alliance Gloursonne; Cadran d'Air; Menoture; Casque Dragoeuf; Cape Indescriptible; Palmes Trithons; Dofus Ivoire; Étourdisseur majeur; Remueur; Fonceur majeur; Paralyseur majeur; Nomade; Dragoune Rose</t>
        </is>
      </c>
    </row>
    <row r="25710">
      <c r="A25710" t="inlineStr">
        <is>
          <t>eau/agi doftu</t>
        </is>
      </c>
      <c r="B25710">
        <f>HYPERLINK("https://www.dofusbook.net/fr/equipement/3824339-eau-agi-doftu/objets", "link")</f>
        <v/>
      </c>
      <c r="C25710" t="n">
        <v>7</v>
      </c>
      <c r="D25710" t="inlineStr">
        <is>
          <t>Arc de Koutoulou; Amulette Voldelor; Gant du Valet Veinard; Alliance Gloursonne; Bouclier du Stalak; Ceinture Voldelor; Casque d'Ilyzaelle; Dofusteuse; Pataugastrique; Dofus des Glaces; Dofus Pourpre; Dofus Ivoire; Dofus Nébuleux; Remueur; Miraculé majeur; Muldo Ebène</t>
        </is>
      </c>
    </row>
    <row r="25711">
      <c r="A25711" t="inlineStr">
        <is>
          <t>terre/eau</t>
        </is>
      </c>
      <c r="B25711">
        <f>HYPERLINK("https://www.dofusbook.net/fr/equipement/3840959-terre-eau/objets", "link")</f>
        <v/>
      </c>
      <c r="C25711" t="n">
        <v>2</v>
      </c>
      <c r="D25711" t="inlineStr">
        <is>
          <t>Baguette des égarés; Amulette Ementaire Deluxe; Alliance Gloursonne; Alliance du Lévitrof; Bouclier du Stalak; Ceinture de la Reine des Voleurs; Coiffe de la Reine des Voleurs; Voile d'encre; Baleinabottes; Dofus Pourpre; Dofus Ivoire; Dofus Ocre; Dofus des Glaces; Miraculé majeur; Vigoureux majeur; Muldo Ebène</t>
        </is>
      </c>
    </row>
    <row r="25712">
      <c r="A25712" t="inlineStr">
        <is>
          <t>multi</t>
        </is>
      </c>
      <c r="B25712">
        <f>HYPERLINK("https://www.dofusbook.net/fr/equipement/3816280-multi-/objets", "link")</f>
        <v/>
      </c>
      <c r="C25712" t="n">
        <v>4</v>
      </c>
      <c r="D25712" t="inlineStr">
        <is>
          <t>Epée Gloursonne; Amulette Ementaire Deluxe; Alliance Gloursonne; Bague Gloursonne; Bouclier du Stalak; Ceinture de l'Esprit Salvateur; Masque de l'Esprit Salvateur; Dofusteuse; Bottes de l'Esprit Salvateur; Dolmanax; Dofus Ivoire; Dofus Ocre; Dofus Pourpre; Dofus des Glaces; Voyageur; Gwo Tofu Ventripotent</t>
        </is>
      </c>
    </row>
    <row r="25713">
      <c r="A25713" t="inlineStr">
        <is>
          <t>eau bourrin</t>
        </is>
      </c>
      <c r="B25713">
        <f>HYPERLINK("https://www.dofusbook.net/fr/equipement/3813399-eau-bourrin/objets", "link")</f>
        <v/>
      </c>
      <c r="C25713" t="n">
        <v>0</v>
      </c>
      <c r="D25713" t="inlineStr">
        <is>
          <t>Sceptre du Roi Joueur; Amulette de Shokkoth; Alliance Gloursonne; Bracelet des Fonds marins; Bouclier du Stalak; Ceinture de la Reine des Voleurs; Casque d'Ilyzaelle; Cape Solution; Bottes de la Reine des Voleurs; Dofus Abyssal; Dofus Pourpre; Dofus Ivoire; Dofus Ocre; Miraculé majeur; Nomade; Bwak d'Air</t>
        </is>
      </c>
    </row>
    <row r="25714">
      <c r="A25714" t="inlineStr">
        <is>
          <t>mule a boost nidas</t>
        </is>
      </c>
      <c r="B25714">
        <f>HYPERLINK("https://www.dofusbook.net/fr/equipement/3753222-mule-a-boost-nidas/objets", "link")</f>
        <v/>
      </c>
      <c r="C25714" t="n">
        <v>4</v>
      </c>
      <c r="D25714" t="inlineStr">
        <is>
          <t>La Baguette des Limbes; Amulette du Royalmouth; Mitaine Aibre; Sangle Hyssérine; Coiffe Ainte; Cape Endaison; Bottes Opsy; Précurseur majeur; Savant majeur; Initiateur majeur</t>
        </is>
      </c>
    </row>
    <row r="25715">
      <c r="A25715" t="inlineStr">
        <is>
          <t>feu maléfisk</t>
        </is>
      </c>
      <c r="B25715">
        <f>HYPERLINK("https://www.dofusbook.net/fr/equipement/3053639-feu-malefisk/objets", "link")</f>
        <v/>
      </c>
      <c r="C25715" t="n">
        <v>1</v>
      </c>
      <c r="D25715" t="inlineStr">
        <is>
          <t>Baguette de Malléfisk; Pendentif affamé; Anneau Tique; Bague Gloursonne; Cadran de Feu; Ceinture de Vortex; Heaume Oplate; Cape Ardente; Chaussures Ardentes; Dofus Pourpre; Dofus Émeraude; Carapace Terre majeur; Érudit majeur; Miraculé majeur; Remueur; Muldo Orchidée</t>
        </is>
      </c>
    </row>
    <row r="25716">
      <c r="A25716" t="inlineStr">
        <is>
          <t>feu</t>
        </is>
      </c>
      <c r="B25716">
        <f>HYPERLINK("https://www.dofusbook.net/fr/equipement/3731523-feu/objets", "link")</f>
        <v/>
      </c>
      <c r="C25716" t="n">
        <v>0</v>
      </c>
      <c r="D25716" t="inlineStr">
        <is>
          <t>Arc corrompu; Pendentif affamé; Bague Gloursonne; Anneau Tique; Bouclier du Stalak; Ceinture de Vortex; Heaume Oplate; Cape Ardente; Chaussures Ardentes; Dofus Abyssal; Dofus Pourpre; Dofus Ivoire; Miraculé majeur; Remueur; Érudit majeur; Muldo Orchidée</t>
        </is>
      </c>
    </row>
    <row r="25717">
      <c r="A25717" t="inlineStr">
        <is>
          <t>eau/feu ret</t>
        </is>
      </c>
      <c r="B25717">
        <f>HYPERLINK("https://www.dofusbook.net/fr/equipement/3729852-eau-feu-ret/objets", "link")</f>
        <v/>
      </c>
      <c r="C25717" t="n">
        <v>0</v>
      </c>
      <c r="D25717" t="inlineStr">
        <is>
          <t>Arc Nécrotique; Talisman Igans; Anneau Tique; Alliance Gloursonne; Quatre-feuilles; Ceintrigue; Casque Dragoeuf; Cape de la Dame du Hasard; Pataugastrique; Dofus des Glaces; Dofus Pourpre; Dofus Turquoise; Dofus Ivoire; Remueur; Miraculé majeur; Muldo Orchidée</t>
        </is>
      </c>
    </row>
    <row r="25718">
      <c r="A25718" t="inlineStr">
        <is>
          <t>force</t>
        </is>
      </c>
      <c r="B25718">
        <f>HYPERLINK("https://www.dofusbook.net/fr/equipement/3672064-force/objets", "link")</f>
        <v/>
      </c>
      <c r="C25718" t="n">
        <v>1</v>
      </c>
      <c r="D25718" t="inlineStr">
        <is>
          <t>Arc du Chalœil; Collier de Tourthon; Anneau Chevelu; Bague Gloursonne; Quatre-feuilles; Ceinture de la Cour Sombre; Masque de Koutoulou; Cape au Logis; Bottes de la Cour Sombre; Dofus Pourpre; Dofus Nébuleux; Dofus Turquoise; Dofus Abyssal; Dofus Ocre; Dofus Ivoire; Dragodinde Ivoire et Pourpre</t>
        </is>
      </c>
    </row>
    <row r="25719">
      <c r="A25719" t="inlineStr">
        <is>
          <t>eau pas cher</t>
        </is>
      </c>
      <c r="B25719">
        <f>HYPERLINK("https://www.dofusbook.net/fr/equipement/3240943-eau-pas-cher/objets", "link")</f>
        <v/>
      </c>
      <c r="C25719" t="n">
        <v>4</v>
      </c>
      <c r="D25719" t="inlineStr">
        <is>
          <t>Rapière aux Glyphes; Amulette de Shokkoth; Alliance Gloursonne; Pikano; Bouclier du Stalak; Ceinture Voldelor; Kidibonnet; Cape du Sinistrofu; Bottes du Sinistrofu; Dofus Abyssal; Dofus Pourpre; Remueur; Vigoureux majeur; Nomade; Chanceux majeur; Dehluge</t>
        </is>
      </c>
    </row>
    <row r="25720">
      <c r="A25720" t="inlineStr">
        <is>
          <t>multi pascher</t>
        </is>
      </c>
      <c r="B25720">
        <f>HYPERLINK("https://www.dofusbook.net/fr/equipement/3621550-multi-pascher/objets", "link")</f>
        <v/>
      </c>
      <c r="C25720" t="n">
        <v>6</v>
      </c>
      <c r="D25720" t="inlineStr">
        <is>
          <t>La Baguette des Limbes; Amulette du Strigide; Alliance de Missiz Frizz; Bracelet du Piloztère; Quatre-feuilles; Ceinture du Strigide; Maskrobe; Cape Reski; Pataugastrique; Dofus Turquoise; Dofus Pourpre; Puissant majeur; Enragé majeur; Vigoureux majeur; Remueur; Dragodinde Emeraude et Ivoire</t>
        </is>
      </c>
    </row>
    <row r="25721">
      <c r="A25721" t="inlineStr">
        <is>
          <t>agi/eau VV</t>
        </is>
      </c>
      <c r="B25721">
        <f>HYPERLINK("https://www.dofusbook.net/fr/equipement/3612733-agi-eau-vv/objets", "link")</f>
        <v/>
      </c>
      <c r="C25721" t="n">
        <v>0</v>
      </c>
      <c r="D25721" t="inlineStr">
        <is>
          <t>Arc de Koutoulou; Collier du Valet Veinard; Gant du Valet Veinard; Alliance Gloursonne; Bouclier du Stalak; Ceinture de la Reine des Voleurs; Coiffe de la Reine des Voleurs; Cape du Valet Veinard; Bottes de la Reine des Voleurs; Dofus Pourpre; Dofus Ocre; Dokoko; Dofus Ivoire; Dofus Abyssal; Dofus des Glaces; Muldo Ebène</t>
        </is>
      </c>
    </row>
    <row r="25722">
      <c r="A25722" t="inlineStr">
        <is>
          <t>eau/air item 2.48</t>
        </is>
      </c>
      <c r="B25722">
        <f>HYPERLINK("https://www.dofusbook.net/fr/equipement/3563150-eau-air-item-2-48/objets", "link")</f>
        <v/>
      </c>
      <c r="C25722" t="n">
        <v>5</v>
      </c>
      <c r="D25722" t="inlineStr">
        <is>
          <t>Arc de Koutoulou; Amulette d'Ilyzaelle; Anneau Volkorne; Alliance Gloursonne; Bouclier du Stalak; Ceinture de la Reine des Voleurs; Casque Volkorne; Dofusteuse; Bottes de la Reine des Voleurs; Dofus Vulbis; Dofus Ocre; Dofus Nébuleux; Dofus Abyssal; Dofus des Glaces; Dofus Ivoire; Volkorne Indigo et Ebène</t>
        </is>
      </c>
    </row>
    <row r="25723">
      <c r="A25723" t="inlineStr">
        <is>
          <t>sasa envi 130</t>
        </is>
      </c>
      <c r="B25723">
        <f>HYPERLINK("https://www.dofusbook.net/fr/equipement/3602074-sasa-envi-130/objets", "link")</f>
        <v/>
      </c>
      <c r="C25723" t="n">
        <v>1</v>
      </c>
      <c r="D25723" t="inlineStr">
        <is>
          <t>Baguette en Racine d'Abraknyde; Amulette du Dragoeuf; Anneau Nobstant; Anneau Nobstant; Ceinture Meulante; Doro le Blak; Puissante Cape Fulgurante; Sandales Titude; Dofus Cawotte</t>
        </is>
      </c>
    </row>
    <row r="25724">
      <c r="A25724" t="inlineStr">
        <is>
          <t>test</t>
        </is>
      </c>
      <c r="B25724">
        <f>HYPERLINK("https://www.dofusbook.net/fr/equipement/2837727-test/objets", "link")</f>
        <v/>
      </c>
      <c r="C25724" t="n">
        <v>2</v>
      </c>
      <c r="D25724" t="inlineStr"/>
    </row>
    <row r="25725">
      <c r="A25725" t="inlineStr">
        <is>
          <t>eau/air ret</t>
        </is>
      </c>
      <c r="B25725">
        <f>HYPERLINK("https://www.dofusbook.net/fr/equipement/3279699-eau-air-ret/objets", "link")</f>
        <v/>
      </c>
      <c r="C25725" t="n">
        <v>1</v>
      </c>
      <c r="D25725" t="inlineStr">
        <is>
          <t>Arc de Koutoulou; Amulette du Strigide; Bracelet des Fonds marins; Alliance Gloursonne; Cadran de Terre; Menoture; Dorabysses; Chevelure de Tal Kasha; Sandales de Tal Kasha; Dofus Turquoise; Dofus Abyssal; Miraculé majeur; Remueur; Carapace Eau majeur; Étourdisseur majeur; Muldo Ebène et Indigo</t>
        </is>
      </c>
    </row>
    <row r="25726">
      <c r="A25726" t="inlineStr">
        <is>
          <t>terre air dofustueus</t>
        </is>
      </c>
      <c r="B25726">
        <f>HYPERLINK("https://www.dofusbook.net/fr/equipement/3264009-terre-air-dofustueus/objets", "link")</f>
        <v/>
      </c>
      <c r="C25726" t="n">
        <v>1</v>
      </c>
      <c r="D25726" t="inlineStr">
        <is>
          <t>Héqache; Amulette du Strigide; Alliance Gloursonne; Alliance Brûlâme; Bouclier d'Ilyzaelle; Ceinture de la Reine des Voleurs; Coiffe de la Reine des Voleurs; Dofusteuse; Baleinabottes; Dofus des Glaces; Dofus Émeraude; Dolmanax; Dofus Abyssal; Dofus Pourpre; Remueur; Muldo Ebène et Orchidée</t>
        </is>
      </c>
    </row>
    <row r="25727">
      <c r="A25727" t="inlineStr">
        <is>
          <t>kamas glours</t>
        </is>
      </c>
      <c r="B25727">
        <f>HYPERLINK("https://www.dofusbook.net/fr/equipement/3263970-kamas-glours/objets", "link")</f>
        <v/>
      </c>
      <c r="C25727" t="n">
        <v>1</v>
      </c>
      <c r="D25727" t="inlineStr">
        <is>
          <t>Epée Gloursonne; Amulette du Kamasterisk; Bague Gloursonne; Alliance Gloursonne; Bouclier d'Ilyzaelle; Ceinture de la Reine des Voleurs; Coiffe de la Reine des Voleurs; Cape du Kamasterisk; Bottes du Kamasterisk; Dofus Pourpre; Dofus des Glaces; Dolmanax; Dofus Abyssal; Dofus Émeraude; Dofus Ocre; Muldo Ebène et Orchidée</t>
        </is>
      </c>
    </row>
    <row r="25728">
      <c r="A25728" t="inlineStr">
        <is>
          <t>eau res</t>
        </is>
      </c>
      <c r="B25728">
        <f>HYPERLINK("https://www.dofusbook.net/fr/equipement/3253793-eau-res/objets", "link")</f>
        <v/>
      </c>
      <c r="C25728" t="n">
        <v>0</v>
      </c>
      <c r="D25728" t="inlineStr">
        <is>
          <t>Sceptre du Roi Joueur; Amulette de Shokkoth; Bracelet des Fonds marins; Alliance Gloursonne; Bouclier du Stalak; Sangle Ouare; Masque des Fonds marins; Cape Solution; Bottes du Nocturlabe; Dofus Ivoire; Dofus Abyssal; Dofus Pourpre; Miraculé majeur; Chanceux majeur; Remueur; Muldo Indigo</t>
        </is>
      </c>
    </row>
    <row r="25729">
      <c r="A25729" t="inlineStr">
        <is>
          <t>force arc</t>
        </is>
      </c>
      <c r="B25729">
        <f>HYPERLINK("https://www.dofusbook.net/fr/equipement/3029209-force-arc/objets", "link")</f>
        <v/>
      </c>
      <c r="C25729" t="n">
        <v>2</v>
      </c>
      <c r="D25729" t="inlineStr">
        <is>
          <t>Arc du Chalœil; Amulette du Strigide; Anneau Chevelu; Bague Gloursonne; Quatre-feuilles; Ceintacé; Masque de Koutoulou; Cape au Logis; Bottes du Strigide; Dofus Turquoise; Dofus Abyssal; Dofus Ivoire; Dofus Pourpre; Enragé majeur; Miraculé majeur; Muldo Indigo et Pourpre</t>
        </is>
      </c>
    </row>
    <row r="25730">
      <c r="A25730" t="inlineStr">
        <is>
          <t>pods</t>
        </is>
      </c>
      <c r="B25730">
        <f>HYPERLINK("https://www.dofusbook.net/fr/equipement/3051047-pods/objets", "link")</f>
        <v/>
      </c>
      <c r="C25730" t="n">
        <v>0</v>
      </c>
      <c r="D25730" t="inlineStr">
        <is>
          <t>Lance corrompue; Talisman Doline; Anneau de Brouce; Bague Gloursonne; Ceinture Royale du Bouftou; Coiffe du Comte Harebourg; Sac du Grand Aventurier; Bottes de Brouce; Porteur; Forcené majeur; Porteur majeur; Enragé majeur; Porteur mineur; Furibond majeur; Bworky</t>
        </is>
      </c>
    </row>
    <row r="25731">
      <c r="A25731" t="inlineStr">
        <is>
          <t>no exo pvm</t>
        </is>
      </c>
      <c r="B25731">
        <f>HYPERLINK("https://www.dofusbook.net/fr/equipement/2471811-no-exo-pvm/objets", "link")</f>
        <v/>
      </c>
      <c r="C25731" t="n">
        <v>1</v>
      </c>
      <c r="D25731" t="inlineStr">
        <is>
          <t>Manthache; Collier du Valet Veinard; Alliance Gloursonne; Gant du Valet Veinard; Bouclier du Stalak; Menoture; Couronne d'Allister; Cape Indescriptible; Baleinabottes; Dévastateur Air majeur; Remueur; Acrobate majeur; Equilibriste majeur; Cascadeur majeur; Nomade; Muldo Ebène</t>
        </is>
      </c>
    </row>
    <row r="25732">
      <c r="A25732" t="inlineStr">
        <is>
          <t>mode srambad</t>
        </is>
      </c>
      <c r="B25732">
        <f>HYPERLINK("https://www.dofusbook.net/fr/equipement/2271433-mode-srambad/objets", "link")</f>
        <v/>
      </c>
      <c r="C25732" t="n">
        <v>3</v>
      </c>
      <c r="D25732" t="inlineStr">
        <is>
          <t>Dagues de Srambad; Amulette de l'Indicible; Pikano; Alliance Gloursonne; Bouclier cubiste; Ceinture de la Reine des Voleurs; Coiffe de la Reine des Voleurs; Voile d'encre; Baleinabottes; Dofus Pourpre; Déserteur majeur; Vigoureux majeur; Remueur; Robuste majeur; Carapace Eau majeur; Muldo Ebène et Pourpre</t>
        </is>
      </c>
    </row>
    <row r="25733">
      <c r="A25733" t="inlineStr">
        <is>
          <t>Enutrof F 200</t>
        </is>
      </c>
      <c r="B25733">
        <f>HYPERLINK("https://www.dofusbook.net/fr/equipement/4539671-enutrof-f-200/objets", "link")</f>
        <v/>
      </c>
      <c r="C25733" t="n">
        <v>9</v>
      </c>
      <c r="D25733" t="inlineStr">
        <is>
          <t>Baguette Hique; Amulette du Glourséleste; Anneau Tamie; Pikano; Bouclier cubiste; Ceinture Instable; Casquipik; Cape de Léthaline; Pantoufles Émar; Entraveur; Temporiseur majeur; Ralentisseur majeur; Fonceur majeur; Remueur; Entraveur majeur; Blokus</t>
        </is>
      </c>
    </row>
    <row r="25734">
      <c r="A25734" t="inlineStr">
        <is>
          <t>Pandawa M 200</t>
        </is>
      </c>
      <c r="B25734">
        <f>HYPERLINK("https://www.dofusbook.net/fr/equipement/4539724-pandawa-m-200/objets", "link")</f>
        <v/>
      </c>
      <c r="C25734" t="n">
        <v>10</v>
      </c>
      <c r="D25734" t="inlineStr">
        <is>
          <t>Rouleau à Pâtisserie d'Aermyne; Collier Rophante; Alliance Gloursonne; Bague Trithon; Sept ans de malheur; Ceinture de Kongoku; Masque d'Anerice; Cape d'Anerice; Pataugastrique; Dofus Émeraude; Dofus Abyssal; Bloqueur majeur; Remueur; Miraculé majeur; Obstructeur majeur; Givrefoux</t>
        </is>
      </c>
    </row>
    <row r="25735">
      <c r="A25735" t="inlineStr">
        <is>
          <t>Enutrof M 200</t>
        </is>
      </c>
      <c r="B25735">
        <f>HYPERLINK("https://www.dofusbook.net/fr/equipement/4485928-enutrof-m-200/objets", "link")</f>
        <v/>
      </c>
      <c r="C25735" t="n">
        <v>11</v>
      </c>
      <c r="D25735" t="inlineStr">
        <is>
          <t>Baguette Hique; Amulette de Shokkoth; Anneau Volkorne; Alliance Gloursonne; Bouclier cubiste; Ceinture Volkorne; Kidibonnet; Cape de la Dame du Hasard; Sandales des Fonds marins; Dofus Pourpre; Dofus Turquoise; Dofus des Glaces; Dofus Abyssal; Remueur; Nomade; Pioute bleu</t>
        </is>
      </c>
    </row>
    <row r="25736">
      <c r="A25736" t="inlineStr">
        <is>
          <t>Pandawa M 200</t>
        </is>
      </c>
      <c r="B25736">
        <f>HYPERLINK("https://www.dofusbook.net/fr/equipement/4485854-pandawa-m-200/objets", "link")</f>
        <v/>
      </c>
      <c r="C25736" t="n">
        <v>16</v>
      </c>
      <c r="D25736" t="inlineStr">
        <is>
          <t>Hache du Chalœil; Amulette Volkorne; Alliance Gloursonne; Bracelet du Piloztère; Quatre-feuilles; Ceinture Volkorne; Masque Brûlâme; Voile d'encre; Bottes Honyme; Dofus Abyssal; Dofus Turquoise; Dofus Pourpre; Dofus des Glaces; Nomade; Remueur; Chacha Angora</t>
        </is>
      </c>
    </row>
    <row r="25737">
      <c r="A25737" t="inlineStr">
        <is>
          <t>Ecaflip M 200</t>
        </is>
      </c>
      <c r="B25737">
        <f>HYPERLINK("https://www.dofusbook.net/fr/equipement/4485884-ecaflip-m-200/objets", "link")</f>
        <v/>
      </c>
      <c r="C25737" t="n">
        <v>20</v>
      </c>
      <c r="D25737" t="inlineStr">
        <is>
          <t>Arc Volkorne; Amulette du Strigide; Alliance Gloursonne; Anneau Volkorne; Quatre-feuilles; Ceinture Volkorne; Masque de l'Esprit Salvateur; Chevelure de Tal Kasha; Bottes Honyme; Dofus Pourpre; Dofus des Glaces; Dofus Turquoise; Dofus Abyssal; Remueur; Nomade; Pioute bleu</t>
        </is>
      </c>
    </row>
    <row r="25738">
      <c r="A25738" t="inlineStr">
        <is>
          <t>Iop M 200</t>
        </is>
      </c>
      <c r="B25738">
        <f>HYPERLINK("https://www.dofusbook.net/fr/equipement/4485820-iop-m-200/objets", "link")</f>
        <v/>
      </c>
      <c r="C25738" t="n">
        <v>12</v>
      </c>
      <c r="D25738" t="inlineStr">
        <is>
          <t>Arc du Chalœil; Amulette Volkorne; Bague Gloursonne; Anneau Chevelu; Quatre-feuilles; Ceinture Volkorne; Masque de Koutoulou; Cape au Logis; Bottes du Roi Joueur; Dofus Turquoise; Dofus Pourpre; Dofus Abyssal; Enragé majeur; Vigoureux majeur; Remueur; Kompost</t>
        </is>
      </c>
    </row>
    <row r="25739">
      <c r="A25739" t="inlineStr">
        <is>
          <t>Eniripsa F 200</t>
        </is>
      </c>
      <c r="B25739">
        <f>HYPERLINK("https://www.dofusbook.net/fr/equipement/4485914-eniripsa-f-200/objets", "link")</f>
        <v/>
      </c>
      <c r="C25739" t="n">
        <v>12</v>
      </c>
      <c r="D25739" t="inlineStr">
        <is>
          <t>Arc Nécrotique; Amulette Volkorne; Anneau de Padgref; Anneau Volkorne; Quatre-feuilles; Ceintrigue; Heaume Oplate; Cape de la Dame du Hasard; Bottes de Meno; Dofus des Glaces; Dofus Turquoise; Dofus Abyssal; Dofus Pourpre; Nomade; Remueur; Kokulte</t>
        </is>
      </c>
    </row>
    <row r="25740">
      <c r="A25740" t="inlineStr">
        <is>
          <t>Eliotrope F 200</t>
        </is>
      </c>
      <c r="B25740">
        <f>HYPERLINK("https://www.dofusbook.net/fr/equipement/4465990-eliotrope-f-200/objets", "link")</f>
        <v/>
      </c>
      <c r="C25740" t="n">
        <v>12</v>
      </c>
      <c r="D25740" t="inlineStr">
        <is>
          <t>Manthache; Collier du Valet Veinard; Alliance Gloursonne; Gant du Valet Veinard; Bouclier du Stalak; Menoture; Casque Cyclopéen; Cape Martegel; Palmes Trithons; Dofus Pourpre; Dofus des Glaces; Dofus Abyssal; Remueur; Nomade; Cascadeur majeur; Blérodoudou</t>
        </is>
      </c>
    </row>
    <row r="25741">
      <c r="A25741" t="inlineStr">
        <is>
          <t>pvm</t>
        </is>
      </c>
      <c r="B25741">
        <f>HYPERLINK("https://www.dofusbook.net/fr/equipement/2426918-pvm/objets", "link")</f>
        <v/>
      </c>
      <c r="C25741" t="n">
        <v>2</v>
      </c>
      <c r="D25741" t="inlineStr">
        <is>
          <t>Dagoulinantes; Amulette de Shokkoth; Alliance Gloursonne; Bracelet des Fonds marins; Bouclier du Captain Amakna; Poulpagne; Masque des Fonds marins; Cape du Sinistrofu; Bottes du Nocturlabe; Dofus Pourpre; Dofus Turquoise; Dofus des Glaces; Dofus Ocre; Nomade; Remueur; Fëanor</t>
        </is>
      </c>
    </row>
    <row r="25742">
      <c r="A25742" t="inlineStr">
        <is>
          <t>multi</t>
        </is>
      </c>
      <c r="B25742">
        <f>HYPERLINK("https://www.dofusbook.net/fr/equipement/2323328-multi/objets", "link")</f>
        <v/>
      </c>
      <c r="C25742" t="n">
        <v>2</v>
      </c>
      <c r="D25742" t="inlineStr">
        <is>
          <t>Pelle de la Cour Sombre; Amulette du Strigide; Alliance Gloursonne; Bague Gloursonne; Ceinture du Strigide; Casque Dragoeuf; Voile d'encre; Bottes du Strigide; Dofus des Glaces; Dofus Turquoise; Dofus Abyssal; Dolmanax; Dofus Ocre; Dofus Pourpre; Muldo Prune et Doré</t>
        </is>
      </c>
    </row>
    <row r="25743">
      <c r="A25743" t="inlineStr">
        <is>
          <t>stri/glours/malve</t>
        </is>
      </c>
      <c r="B25743">
        <f>HYPERLINK("https://www.dofusbook.net/fr/equipement/176174-stri-glours-malve/objets", "link")</f>
        <v/>
      </c>
      <c r="C25743" t="n">
        <v>1</v>
      </c>
      <c r="D25743" t="inlineStr">
        <is>
          <t>Epée Gloursonne; Amulette du Strigide; Bague Gloursonne; Alliance Gloursonne; Bouclier du Bawbawe; Ceinture du Strigide; Némès de Tal Kasha; Chevelure de Tal Kasha; Bottes du Strigide; Dofus des Glaces; Dofus Pourpre; Dolmanax; Dofus Ocre; Dofus Abyssal; Dofus Turquoise; Muldo Indigo et Emeraude</t>
        </is>
      </c>
    </row>
    <row r="25744">
      <c r="A25744" t="inlineStr">
        <is>
          <t>Sram M 200</t>
        </is>
      </c>
      <c r="B25744">
        <f>HYPERLINK("https://www.dofusbook.net/fr/equipement/3261184-sram-m-200/objets", "link")</f>
        <v/>
      </c>
      <c r="C25744" t="n">
        <v>2</v>
      </c>
      <c r="D25744" t="inlineStr">
        <is>
          <t>Arc du Chalœil; Amulette du Strigide; Bracelet du Piloztère; Anneau Crustique; Bouclier du Stalak; Ceinture Gence; Coiffe de la Fuji Givrefoux; Cape de la Fuji Givrefoux; Bottes de la Cour Sombre; Dofus Turquoise; Dofus des Glaces; Dofus Pourpre; Enragé majeur; Nomade; Remueur; Pioute vert</t>
        </is>
      </c>
    </row>
    <row r="25745">
      <c r="A25745" t="inlineStr">
        <is>
          <t>eau</t>
        </is>
      </c>
      <c r="B25745">
        <f>HYPERLINK("https://www.dofusbook.net/fr/equipement/3142745-eau/objets", "link")</f>
        <v/>
      </c>
      <c r="C25745" t="n">
        <v>1</v>
      </c>
      <c r="D25745" t="inlineStr">
        <is>
          <t>Sabres d'Atcham; Amulette Volkorne; Alliance Gloursonne; Anneau Volkorne; Ceinture Volkorne; Casque Volkorne; Cape d'Atcham; Sandales  d'Atcham; Dolmanax; Dofus Turquoise; Dofus Pourpre; Dofus Émeraude; Dofus Ocre; Dofus des Glaces; Muldo Indigo et Emeraude</t>
        </is>
      </c>
    </row>
    <row r="25746">
      <c r="A25746" t="inlineStr">
        <is>
          <t>pvm res/tacle</t>
        </is>
      </c>
      <c r="B25746">
        <f>HYPERLINK("https://www.dofusbook.net/fr/equipement/176175-pvm-res-tacle/objets", "link")</f>
        <v/>
      </c>
      <c r="C25746" t="n">
        <v>2</v>
      </c>
      <c r="D25746" t="inlineStr">
        <is>
          <t>Rouleau à Pâtisserie d'Aermyne; Amulette du Glourséleste; Alliance Gloursonne; Anneau de XLII; Sept ans de malheur; Ceinture de XLII; Masque d'Anerice; Cape d'Anerice; Bottes de XLII; Dofus Ocre; Dofus Émeraude; Tacleur majeur; Tacleur; Bloqueur majeur; Bloqueur</t>
        </is>
      </c>
    </row>
    <row r="25747">
      <c r="A25747" t="inlineStr">
        <is>
          <t>Pandawa M 200</t>
        </is>
      </c>
      <c r="B25747">
        <f>HYPERLINK("https://www.dofusbook.net/fr/equipement/3433570-pandawa-m-200/objets", "link")</f>
        <v/>
      </c>
      <c r="C25747" t="n">
        <v>0</v>
      </c>
      <c r="D25747" t="inlineStr"/>
    </row>
    <row r="25748">
      <c r="A25748" t="inlineStr">
        <is>
          <t>eau</t>
        </is>
      </c>
      <c r="B25748">
        <f>HYPERLINK("https://www.dofusbook.net/fr/equipement/2610307-eau/objets", "link")</f>
        <v/>
      </c>
      <c r="C25748" t="n">
        <v>0</v>
      </c>
      <c r="D25748" t="inlineStr">
        <is>
          <t>Amulette du Sinistrofu; Alliance Gloursonne; Bracelet des Fonds marins; Bouclier d'Ilyzaelle; Poulpagne; Casque Dragoeuf; Cape Solution; Bottes du Sinistrofu; Dofus Abyssal; Dofus Ivoire; Dofus Pourpre; Dofus Turquoise; Vigoureux majeur; Chanceux majeur; Muldo Ebène et Indigo</t>
        </is>
      </c>
    </row>
    <row r="25749">
      <c r="A25749" t="inlineStr">
        <is>
          <t>ui1</t>
        </is>
      </c>
      <c r="B25749">
        <f>HYPERLINK("https://www.dofusbook.net/fr/equipement/1835596-ui1/objets", "link")</f>
        <v/>
      </c>
      <c r="C25749" t="n">
        <v>0</v>
      </c>
      <c r="D25749" t="inlineStr">
        <is>
          <t>Amulette de l'Œil Attentif; Capuche de l'Œil Attentif; Cape de l'Œil Attentif</t>
        </is>
      </c>
    </row>
    <row r="25750">
      <c r="A25750" t="inlineStr">
        <is>
          <t>feu</t>
        </is>
      </c>
      <c r="B25750">
        <f>HYPERLINK("https://www.dofusbook.net/fr/equipement/1709467-feu/objets", "link")</f>
        <v/>
      </c>
      <c r="C25750" t="n">
        <v>0</v>
      </c>
      <c r="D25750" t="inlineStr">
        <is>
          <t>Plumeau Bil; Casque Cyclopéen</t>
        </is>
      </c>
    </row>
    <row r="25751">
      <c r="A25751" t="inlineStr">
        <is>
          <t>lol</t>
        </is>
      </c>
      <c r="B25751">
        <f>HYPERLINK("https://www.dofusbook.net/fr/equipement/1566875-lol/objets", "link")</f>
        <v/>
      </c>
      <c r="C25751" t="n">
        <v>0</v>
      </c>
      <c r="D25751" t="inlineStr">
        <is>
          <t>Arc de Koutoulou; Amulette Voldelor; Alliance Gloursonne; Pikano; Quatre-feuilles; Ceinture Voldelor; Némès de Tal Kasha; Chevelure de Tal Kasha; Sandales de Tal Kasha; Dofus Ocre; Dofus Pourpre; Dolmanax; Dofus des Glaces; Dofus Turquoise; Engourdisseur majeur; Muldo Ebène</t>
        </is>
      </c>
    </row>
    <row r="25752">
      <c r="A25752" t="inlineStr">
        <is>
          <t>mmm</t>
        </is>
      </c>
      <c r="B25752">
        <f>HYPERLINK("https://www.dofusbook.net/fr/equipement/1574089-mmm/objets", "link")</f>
        <v/>
      </c>
      <c r="C25752" t="n">
        <v>0</v>
      </c>
      <c r="D25752" t="inlineStr">
        <is>
          <t>Harpelle; Amulette de Nileza; Anneau Rifique; Anneau Tique; Bouclier du Cycloïde; Ceinture de Vortex; Cagoule de Vortex; Voile d'encre; Pataugastrique; Dofus Pourpre; Dolmanax; Remueur; Étourdisseur majeur; Érudit majeur; Déserteur majeur; Muldo Pourpre</t>
        </is>
      </c>
    </row>
    <row r="25753">
      <c r="A25753" t="inlineStr">
        <is>
          <t>chafeu</t>
        </is>
      </c>
      <c r="B25753">
        <f>HYPERLINK("https://www.dofusbook.net/fr/equipement/1552540-chafeu/objets", "link")</f>
        <v/>
      </c>
      <c r="C25753" t="n">
        <v>0</v>
      </c>
      <c r="D25753" t="inlineStr">
        <is>
          <t>Dagues Cacterre; Talisman Igans; Alliance Gloursonne; Bracelet des Fonds marins; Bouclier du Captain Amakna; Ceintrigue; Casquette de Meno; Cape de la Dame du Hasard; Pataugastrique; Dofus Pourpre; Dofus Turquoise; Dolmanax; Étourdisseur majeur; Remueur; Déserteur majeur; Muldo Orchidée</t>
        </is>
      </c>
    </row>
    <row r="25754">
      <c r="A25754" t="inlineStr">
        <is>
          <t>test</t>
        </is>
      </c>
      <c r="B25754">
        <f>HYPERLINK("https://www.dofusbook.net/fr/equipement/1506916-test/objets", "link")</f>
        <v/>
      </c>
      <c r="C25754" t="n">
        <v>0</v>
      </c>
      <c r="D25754" t="inlineStr">
        <is>
          <t>Dagoulinantes; Amulette de Shokkoth; Alliance Gloursonne; Bracelet des Fonds marins; Cadran d'Air; Ceinture Voldelor; Némès de Tal Kasha; Chevelure de Tal Kasha; Pataugastrique; Dofus Pourpre; Nomade; Étourdisseur majeur; Chanceux majeur; Remueur; Déserteur majeur; Croum</t>
        </is>
      </c>
    </row>
    <row r="25755">
      <c r="A25755" t="inlineStr">
        <is>
          <t>ach</t>
        </is>
      </c>
      <c r="B25755">
        <f>HYPERLINK("https://www.dofusbook.net/fr/equipement/1506813-ach/objets", "link")</f>
        <v/>
      </c>
      <c r="C25755" t="n">
        <v>0</v>
      </c>
      <c r="D25755" t="inlineStr">
        <is>
          <t>Arc de Koutoulou; Amulette Voldelor; Alliance Gloursonne; Pikano; Quatre-feuilles; Ceinture du Barbétoal; Némès de Tal Kasha; Chevelure de Tal Kasha; Pataugastrique; Dolmanax; Dofus Pourpre; Dofus Turquoise; Remueur; Étourdisseur majeur; Vigoureux majeur; Muldo Ebène et Indigo</t>
        </is>
      </c>
    </row>
    <row r="25756">
      <c r="A25756" t="inlineStr">
        <is>
          <t>cha</t>
        </is>
      </c>
      <c r="B25756">
        <f>HYPERLINK("https://www.dofusbook.net/fr/equipement/1506633-cha/objets", "link")</f>
        <v/>
      </c>
      <c r="C25756" t="n">
        <v>0</v>
      </c>
      <c r="D25756" t="inlineStr">
        <is>
          <t>Dagoulinantes; Amulette Cryochrone; Bracelet des Fonds marins; Alliance Gloursonne; Bouclier alvéolé; Poulpagne; Némès de Tal Kasha; Cape du Sinistrofu; Sandales de Tal Kasha; Dofus Pourpre; Dolmanax; Remueur; Chanceux majeur; Carapace Eau majeur; Étourdisseur majeur; Muldo Ebène</t>
        </is>
      </c>
    </row>
    <row r="25757">
      <c r="A25757" t="inlineStr">
        <is>
          <t>air</t>
        </is>
      </c>
      <c r="B25757">
        <f>HYPERLINK("https://www.dofusbook.net/fr/equipement/932536-air/objets", "link")</f>
        <v/>
      </c>
      <c r="C25757" t="n">
        <v>0</v>
      </c>
      <c r="D25757" t="inlineStr">
        <is>
          <t>Manthache; Collier du Valet Veinard; Alliance Gloursonne; Gant du Valet Veinard; Menoture; Casque Dragoeuf; Cape du Kamasterisk; Palmes Trithons; Dofus Émeraude; Dofus Ocre; Dofus Pourpre; Dolmanax; Cascadeur majeur; Carapace Feu majeur; Muldo Ebène</t>
        </is>
      </c>
    </row>
    <row r="25758">
      <c r="A25758" t="inlineStr">
        <is>
          <t>kame2</t>
        </is>
      </c>
      <c r="B25758">
        <f>HYPERLINK("https://www.dofusbook.net/fr/equipement/725124-kame2/objets", "link")</f>
        <v/>
      </c>
      <c r="C25758" t="n">
        <v>1</v>
      </c>
      <c r="D25758" t="inlineStr">
        <is>
          <t>Dagues Érhy; Amulette du Strigide; Bague Gloursonne; Bracelet du Piloztère; Ceinture du Strigide; Bonnet Ko; Cape des Justiciers; Bottes Dogues; Érudit majeur; Vigoureux majeur; Observateur; Enragé majeur; Remueur; Nomade; Muldo Doré et Pourpre</t>
        </is>
      </c>
    </row>
    <row r="25759">
      <c r="A25759" t="inlineStr">
        <is>
          <t>kame</t>
        </is>
      </c>
      <c r="B25759">
        <f>HYPERLINK("https://www.dofusbook.net/fr/equipement/724569-kame/objets", "link")</f>
        <v/>
      </c>
      <c r="C25759" t="n">
        <v>0</v>
      </c>
      <c r="D25759" t="inlineStr">
        <is>
          <t>Dagues Érhy; Amulette du Strigide; Bracelet du Piloztère; Bague Gloursonne; Ceintacé; Chapeau de Gein; Cape des Justiciers; Bottes du Strigide; Observateur; Remueur; Érudit majeur; Vigoureux majeur; Enragé majeur; Nomade; Muldo Doré et Orchidée</t>
        </is>
      </c>
    </row>
    <row r="25760">
      <c r="A25760" t="inlineStr">
        <is>
          <t>Stuff 1</t>
        </is>
      </c>
      <c r="B25760">
        <f>HYPERLINK("https://www.dofusbook.net/fr/equipement/616897-stuff-1/objets", "link")</f>
        <v/>
      </c>
      <c r="C25760" t="n">
        <v>0</v>
      </c>
      <c r="D25760" t="inlineStr">
        <is>
          <t>Dague Hirr; Amulette Ripage; Anneau de la Fuji Givrefoux; Gelano; Ceinture de XLII; Coiffe de la Fuji Givrefoux; Cape de la Fuji Givrefoux; Bottes de la Fuji Givrefoux; Voyageur; Kwaltess</t>
        </is>
      </c>
    </row>
    <row r="25761">
      <c r="A25761" t="inlineStr">
        <is>
          <t>Stuff 2</t>
        </is>
      </c>
      <c r="B25761">
        <f>HYPERLINK("https://www.dofusbook.net/fr/equipement/616892-stuff-2/objets", "link")</f>
        <v/>
      </c>
      <c r="C25761" t="n">
        <v>0</v>
      </c>
      <c r="D25761" t="inlineStr">
        <is>
          <t>Dagues Érhy; Amulette du Strigide; Bague Gloursonne; Bracelet du Piloztère; Ceintacé; Chapeau de Gein; Voile d'encre; Bottes du Strigide; Dofus Pourpre; Dolmanax; Vigoureux majeur; Nomade; Remueur; Croum</t>
        </is>
      </c>
    </row>
    <row r="25762">
      <c r="A25762" t="inlineStr">
        <is>
          <t>Stuff 3</t>
        </is>
      </c>
      <c r="B25762">
        <f>HYPERLINK("https://www.dofusbook.net/fr/equipement/616887-stuff-3/objets", "link")</f>
        <v/>
      </c>
      <c r="C25762" t="n">
        <v>0</v>
      </c>
      <c r="D25762" t="inlineStr">
        <is>
          <t>Rapière aux Glyphes; Amulette du Sinistrofu; Alliance Gloursonne; Pikano; Ceinture Glaciale; Casquipik; Cape Matelassée; Pataugastrique; Ralentisseur majeur; Nomade; Entraveur majeur; Remueur; Chanceux majeur; Temporiseur majeur; Dragodinde Prune et Emeraude</t>
        </is>
      </c>
    </row>
    <row r="25763">
      <c r="A25763" t="inlineStr">
        <is>
          <t>Stuff 1</t>
        </is>
      </c>
      <c r="B25763">
        <f>HYPERLINK("https://www.dofusbook.net/fr/equipement/616879-stuff-1/objets", "link")</f>
        <v/>
      </c>
      <c r="C25763" t="n">
        <v>0</v>
      </c>
      <c r="D25763" t="inlineStr">
        <is>
          <t>Bâtonnet Ronien; Amulette Voldelor; Alliance Gloursonne; Gant du Valet Veinard; Menoture; Dorabysses; Chevelure de Tal Kasha; Sandales de Tal Kasha; Dofus Émeraude; Étourdisseur majeur; Engourdisseur majeur; Remueur; Cascadeur majeur; Carapace Air majeur; Muldo Ebène et Indigo</t>
        </is>
      </c>
    </row>
    <row r="25764">
      <c r="A25764" t="inlineStr">
        <is>
          <t>Stuff 3</t>
        </is>
      </c>
      <c r="B25764">
        <f>HYPERLINK("https://www.dofusbook.net/fr/equipement/616899-stuff-3/objets", "link")</f>
        <v/>
      </c>
      <c r="C25764" t="n">
        <v>0</v>
      </c>
      <c r="D25764" t="inlineStr">
        <is>
          <t>Baguette de Malléfisk; Amulette de Nileza; Anneau Tique; Anneau de Nidas; Protopagne; Couronne de Nidas; Voile d'encre; Pataugastrique; Déserteur majeur; Érudit majeur; Nomade; Guérisseur majeur; Remueur; Croum</t>
        </is>
      </c>
    </row>
    <row r="25765">
      <c r="A25765" t="inlineStr">
        <is>
          <t>Stuff 1</t>
        </is>
      </c>
      <c r="B25765">
        <f>HYPERLINK("https://www.dofusbook.net/fr/equipement/616894-stuff-1/objets", "link")</f>
        <v/>
      </c>
      <c r="C25765" t="n">
        <v>0</v>
      </c>
      <c r="D25765" t="inlineStr">
        <is>
          <t>Rapière aux Glyphes; Amulette de Shokkoth; Bracelet des Fonds marins; Alliance Gloursonne; Sangle Ouare; Kidibonnet; Cape de Mantaze; Bottes du Sinistrofu; Dofus Pourpre; Dolmanax; Vigoureux majeur; Chanceux majeur; Remueur; Croum</t>
        </is>
      </c>
    </row>
    <row r="25766">
      <c r="A25766" t="inlineStr">
        <is>
          <t>Stuff 2</t>
        </is>
      </c>
      <c r="B25766">
        <f>HYPERLINK("https://www.dofusbook.net/fr/equipement/616889-stuff-2/objets", "link")</f>
        <v/>
      </c>
      <c r="C25766" t="n">
        <v>0</v>
      </c>
      <c r="D25766" t="inlineStr">
        <is>
          <t>Arc Hétype; Amulette Séculaire; Anneau Tamie; Bague Gloursonne; Sangle Aise; Coiffe Séculaire; Cape de Nileza; Pantoufles Émar; Astucieux majeur; Nomade; Dévastateur Feu majeur; Remueur; Voyageur; Érudit majeur; Brûlih</t>
        </is>
      </c>
    </row>
    <row r="25767">
      <c r="A25767" t="inlineStr">
        <is>
          <t>Stuff 3</t>
        </is>
      </c>
      <c r="B25767">
        <f>HYPERLINK("https://www.dofusbook.net/fr/equipement/616881-stuff-3/objets", "link")</f>
        <v/>
      </c>
      <c r="C25767" t="n">
        <v>0</v>
      </c>
      <c r="D25767" t="inlineStr">
        <is>
          <t>Dagues Érhy; Amulette du Strigide; Bague Gloursonne; Anneau Chevelu; Ceinture du Strigide; Masque de Koutoulou; Cape au Logis; Baleinabottes; Dofus des Glaces; Dofus Turquoise; Dofus Pourpre; Dolmanax; Enragé majeur; Vigoureux majeur; Croum</t>
        </is>
      </c>
    </row>
    <row r="25768">
      <c r="A25768" t="inlineStr">
        <is>
          <t>Stuff 1</t>
        </is>
      </c>
      <c r="B25768">
        <f>HYPERLINK("https://www.dofusbook.net/fr/equipement/616876-stuff-1/objets", "link")</f>
        <v/>
      </c>
      <c r="C25768" t="n">
        <v>0</v>
      </c>
      <c r="D25768" t="inlineStr">
        <is>
          <t>Hache du Chalœil; Amulette du Strigide; Bracelet du Piloztère; Alliance Gloursonne; Ceintacé; Casque du Chalœil; Voile d'encre; Bottes du Chalœil; Dofus des Glaces; Dolmanax; Dofus Pourpre; Remueur; Nomade; Dragodinde en armure</t>
        </is>
      </c>
    </row>
    <row r="25769">
      <c r="A25769" t="inlineStr">
        <is>
          <t>Stuff 3</t>
        </is>
      </c>
      <c r="B25769">
        <f>HYPERLINK("https://www.dofusbook.net/fr/equipement/616896-stuff-3/objets", "link")</f>
        <v/>
      </c>
      <c r="C25769" t="n">
        <v>0</v>
      </c>
      <c r="D25769" t="inlineStr">
        <is>
          <t>Arc Hétype; Amulette de Nileza; Anneau de Nidas; Anneau Tique; Ceinture de Gein; Chapeau de Gein; Voile d'encre; Pataugastrique; Dolmanax; Remueur; Érudit majeur; Nomade; Croum</t>
        </is>
      </c>
    </row>
    <row r="25770">
      <c r="A25770" t="inlineStr">
        <is>
          <t>Stuff 1</t>
        </is>
      </c>
      <c r="B25770">
        <f>HYPERLINK("https://www.dofusbook.net/fr/equipement/616891-stuff-1/objets", "link")</f>
        <v/>
      </c>
      <c r="C25770" t="n">
        <v>0</v>
      </c>
      <c r="D25770" t="inlineStr">
        <is>
          <t>Dagues de Srambad; Amulette du Piloztère; Pikano; Alliance Gloursonne; Ceinture Luminescente; Kidibonnet; Voile d'encre; Pantoufles du Piloztère; Dofus des Glaces; Dolmanax; Dofus Ocre; Nomade; Remueur; Croum</t>
        </is>
      </c>
    </row>
    <row r="25771">
      <c r="A25771" t="inlineStr">
        <is>
          <t>Stuff 2</t>
        </is>
      </c>
      <c r="B25771">
        <f>HYPERLINK("https://www.dofusbook.net/fr/equipement/616886-stuff-2/objets", "link")</f>
        <v/>
      </c>
      <c r="C25771" t="n">
        <v>0</v>
      </c>
      <c r="D25771" t="inlineStr">
        <is>
          <t>Rapière aux Glyphes; Talisman Glouti; Bracelet des Fonds marins; Alliance Gloursonne; Sangle Ouare; Masque des Fonds marins; Cape du Sinistrofu; Pataugastrique; Dolmanax; Remueur; Chanceux majeur; Croum</t>
        </is>
      </c>
    </row>
    <row r="25772">
      <c r="A25772" t="inlineStr">
        <is>
          <t>Stuff 3</t>
        </is>
      </c>
      <c r="B25772">
        <f>HYPERLINK("https://www.dofusbook.net/fr/equipement/616878-stuff-3/objets", "link")</f>
        <v/>
      </c>
      <c r="C25772" t="n">
        <v>0</v>
      </c>
      <c r="D25772" t="inlineStr">
        <is>
          <t>Rapière aux Glyphes; Amulette du Sinistrofu; Alliance Gloursonne; Bracelet des Fonds marins; Sangle Ouare; Kidibonnet; Cape Matelassée; Bottes du Sinistrofu; Dofus Pourpre; Remueur; Chanceux majeur; Vigoureux majeur; Croum</t>
        </is>
      </c>
    </row>
    <row r="25773">
      <c r="A25773" t="inlineStr">
        <is>
          <t>Stuff 2</t>
        </is>
      </c>
      <c r="B25773">
        <f>HYPERLINK("https://www.dofusbook.net/fr/equipement/616898-stuff-2/objets", "link")</f>
        <v/>
      </c>
      <c r="C25773" t="n">
        <v>0</v>
      </c>
      <c r="D25773" t="inlineStr">
        <is>
          <t>Baguette Hique; Collier de la Dame du Hasard; Pikano; Alliance Gloursonne; Ceinture de Kongoku; Maskrobe; Cape de la Dame du Hasard; Pataugastrique; Nomade; Entraveur majeur; Remueur; Temporiseur majeur; Observateur; Ralentisseur majeur; Kwaltess</t>
        </is>
      </c>
    </row>
    <row r="25774">
      <c r="A25774" t="inlineStr">
        <is>
          <t>Stuff 3</t>
        </is>
      </c>
      <c r="B25774">
        <f>HYPERLINK("https://www.dofusbook.net/fr/equipement/616893-stuff-3/objets", "link")</f>
        <v/>
      </c>
      <c r="C25774" t="n">
        <v>0</v>
      </c>
      <c r="D25774" t="inlineStr">
        <is>
          <t>Arc Hétype; Amulette d'Otomaï; Anneau Tique; Bague Gloursonne; Ceinture de Gein; Chapeau de Gein; Voile d'encre; Bottes du Cycloïde; Dofus Ocre; Nomade; Carapace Terre majeur; Carapace Feu majeur; Érudit majeur; Remueur; Croum</t>
        </is>
      </c>
    </row>
    <row r="25775">
      <c r="A25775" t="inlineStr">
        <is>
          <t>Stuff 1</t>
        </is>
      </c>
      <c r="B25775">
        <f>HYPERLINK("https://www.dofusbook.net/fr/equipement/616888-stuff-1/objets", "link")</f>
        <v/>
      </c>
      <c r="C25775" t="n">
        <v>0</v>
      </c>
      <c r="D25775" t="inlineStr">
        <is>
          <t>Sabres d'Atcham; Amulette du Strigide; Anneau Tique; Alliance Gloursonne; Ceinture Voldelor; Le Dorado; Dofusteuse; Sandales  d'Atcham; Dofus Pourpre; Dofus des Glaces; Dolmanax; Vigoureux majeur; Miraculé majeur; Remueur; Muldo Ebène et Pourpre</t>
        </is>
      </c>
    </row>
    <row r="25776">
      <c r="A25776" t="inlineStr">
        <is>
          <t>Stuff 2</t>
        </is>
      </c>
      <c r="B25776">
        <f>HYPERLINK("https://www.dofusbook.net/fr/equipement/616880-stuff-2/objets", "link")</f>
        <v/>
      </c>
      <c r="C25776" t="n">
        <v>0</v>
      </c>
      <c r="D25776" t="inlineStr">
        <is>
          <t>Dagoulinantes; Amulette de Shokkoth; Bracelet des Fonds marins; Alliance Gloursonne; Ceinture Voldelor; Némès de Tal Kasha; Chevelure de Tal Kasha; Pataugastrique; Chanceux majeur; Engourdisseur majeur; Remueur; Étourdisseur majeur; Muldo Indigo et Pourpre</t>
        </is>
      </c>
    </row>
    <row r="25777">
      <c r="A25777" t="inlineStr">
        <is>
          <t>Stuff 2</t>
        </is>
      </c>
      <c r="B25777">
        <f>HYPERLINK("https://www.dofusbook.net/fr/equipement/616895-stuff-2/objets", "link")</f>
        <v/>
      </c>
      <c r="C25777" t="n">
        <v>0</v>
      </c>
      <c r="D25777" t="inlineStr">
        <is>
          <t>Rapière aux Glyphes; Talisman Glouti; Alliance Gloursonne; Bracelet des Fonds marins; Sangle Ouare; Kidibonnet; Cape du Sinistrofu; Bottes du Sinistrofu; Dofus Pourpre; Dolmanax; Remueur; Vigoureux majeur; Chanceux majeur; Croum</t>
        </is>
      </c>
    </row>
    <row r="25778">
      <c r="A25778" t="inlineStr">
        <is>
          <t>Stuff 3</t>
        </is>
      </c>
      <c r="B25778">
        <f>HYPERLINK("https://www.dofusbook.net/fr/equipement/616890-stuff-3/objets", "link")</f>
        <v/>
      </c>
      <c r="C25778" t="n">
        <v>0</v>
      </c>
      <c r="D25778" t="inlineStr">
        <is>
          <t>La Baguette des Limbes; Amulette de Nileza; Bague Gloursonne; Kralano; String Tue-Mouche; Casqnoar; Cape de Nileza; Pantoufles Émar; Astucieux majeur; Remueur; Érudit majeur; Nomade; Brûlih</t>
        </is>
      </c>
    </row>
    <row r="25779">
      <c r="A25779" t="inlineStr">
        <is>
          <t>Stuff 1</t>
        </is>
      </c>
      <c r="B25779">
        <f>HYPERLINK("https://www.dofusbook.net/fr/equipement/616885-stuff-1/objets", "link")</f>
        <v/>
      </c>
      <c r="C25779" t="n">
        <v>0</v>
      </c>
      <c r="D25779" t="inlineStr">
        <is>
          <t>Manthache; Collier du Valet Veinard; Alliance Gloursonne; Gant du Valet Veinard; Ceinture Rasboulaire du Rasboul; Dorabysses; Cape du Kamasterisk; Baleinabottes; Remueur; Cascadeur majeur; Nomade; Croum</t>
        </is>
      </c>
    </row>
    <row r="25780">
      <c r="A25780" t="inlineStr">
        <is>
          <t>Stuff 2</t>
        </is>
      </c>
      <c r="B25780">
        <f>HYPERLINK("https://www.dofusbook.net/fr/equipement/616877-stuff-2/objets", "link")</f>
        <v/>
      </c>
      <c r="C25780" t="n">
        <v>0</v>
      </c>
      <c r="D25780" t="inlineStr">
        <is>
          <t>Youyettes; Amulette du Strigide; Anneau de Brouce; Bague Gloursonne; Ceinture du Strigide; Coiffe du Comte Harebourg; Cape du Professeur Xa; Bottes du Strigide; Dofus Ocre; Dolmanax; Dofus Pourpre; Dofus des Glaces; Saccageur Terre majeur; Forcené majeur; Kompost</t>
        </is>
      </c>
    </row>
    <row r="25781">
      <c r="A25781" t="inlineStr">
        <is>
          <t>Ouginak M 200</t>
        </is>
      </c>
      <c r="B25781">
        <f>HYPERLINK("https://www.dofusbook.net/fr/equipement/5805057-ouginak-m-200/objets", "link")</f>
        <v/>
      </c>
      <c r="C25781" t="n">
        <v>0</v>
      </c>
      <c r="D25781" t="inlineStr">
        <is>
          <t>Harpelle; Amulette Volkorne; Anneau de Padgref; Anneau Volkorne; Bouclier du Captain Amakna; Ceinture Volkorne; Coiffe de Padgref; Voile d'encre; Getas de Padgref; Dofus Abyssal; Dofus Ébène; Dofus Émeraude; Dofus Ivoire; Dofus Turquoise; Dofus Ocre; Pioute rouge</t>
        </is>
      </c>
    </row>
    <row r="25782">
      <c r="A25782" t="inlineStr">
        <is>
          <t>Féca M 200</t>
        </is>
      </c>
      <c r="B25782">
        <f>HYPERLINK("https://www.dofusbook.net/fr/equipement/5779226-feca-m-200/objets", "link")</f>
        <v/>
      </c>
      <c r="C25782" t="n">
        <v>2</v>
      </c>
      <c r="D25782" t="inlineStr">
        <is>
          <t>Crocobur; Amulette du Strigide; Anneau Crustique; Anneau Crustique; Cadran d'Eau; Ceinture Volkorne; Masque de Koutoulou; Cape au Logis; Bottes du Strigide; Dofus Pourpre; Dofus Ébène; Dofus Émeraude; Dofus Ivoire; Dofus Abyssal; Dofus Ocre; Drakopin</t>
        </is>
      </c>
    </row>
    <row r="25783">
      <c r="A25783" t="inlineStr">
        <is>
          <t>Sacrieur M 200</t>
        </is>
      </c>
      <c r="B25783">
        <f>HYPERLINK("https://www.dofusbook.net/fr/equipement/5772642-sacrieur-m-200/objets", "link")</f>
        <v/>
      </c>
      <c r="C25783" t="n">
        <v>0</v>
      </c>
      <c r="D25783" t="inlineStr">
        <is>
          <t>Baguette de Torkélonia; Amulette du Strigide; Anneau de Padgref; Anneau Volkorne; Quatre-feuilles; Ceinture Volkorne; Coiffe de Padgref; Carapace de Torkélonia; Bottes du Strigide; Dofus Ocre; Dofus Ébène; Dofus Turquoise; Dofus Ivoire; Dofus Pourpre; Dofus Vulbis; Sakochère</t>
        </is>
      </c>
    </row>
    <row r="25784">
      <c r="A25784" t="inlineStr">
        <is>
          <t>Zobal M 200</t>
        </is>
      </c>
      <c r="B25784">
        <f>HYPERLINK("https://www.dofusbook.net/fr/equipement/5765786-zobal-m-200/objets", "link")</f>
        <v/>
      </c>
      <c r="C25784" t="n">
        <v>1</v>
      </c>
      <c r="D25784" t="inlineStr">
        <is>
          <t>Baguette de Malléfisk; Amulette Volkorne; Anneauræus; Anneau Volkorne; Bouclier d'Ilyzaelle; Ceinture Volkorne; Casque Dragoeuf; Cape de Diondin; Bottes Innommables; Dofus Pourpre; Dofus Ivoire; Dofus Ébène; Dofus Ocre; Dofus Abyssal; Astucieux majeur; Dragodinde Orchidée et Rousse</t>
        </is>
      </c>
    </row>
    <row r="25785">
      <c r="A25785" t="inlineStr">
        <is>
          <t>Iop M 200</t>
        </is>
      </c>
      <c r="B25785">
        <f>HYPERLINK("https://www.dofusbook.net/fr/equipement/5735599-iop-m-200/objets", "link")</f>
        <v/>
      </c>
      <c r="C25785" t="n">
        <v>0</v>
      </c>
      <c r="D25785" t="inlineStr">
        <is>
          <t>Crocobur; Amulette du Strigide; Anneau Volkorne; Crocanneau; Cadran d'Eau; Ceinture Volkorne; Corne de Torkélonia; Carapace de Torkélonia; Bottes du Strigide; Dofus Ocre; Dofus Abyssal; Dofus Turquoise; Dofus Ivoire; Dofus Vulbis; Dofus Ébène; Kokulte</t>
        </is>
      </c>
    </row>
    <row r="25786">
      <c r="A25786" t="inlineStr">
        <is>
          <t>Enutrof M 200</t>
        </is>
      </c>
      <c r="B25786">
        <f>HYPERLINK("https://www.dofusbook.net/fr/equipement/5725844-enutrof-m-200/objets", "link")</f>
        <v/>
      </c>
      <c r="C25786" t="n">
        <v>2</v>
      </c>
      <c r="D25786" t="inlineStr">
        <is>
          <t>Arc de Koutoulou; Amulette du Strigide; Anneau Volkorne; Alliance Gloursonne; Quatre-feuilles; Ceinture du Strigide; Casque Volkorne; Cape de Jahash Jurgen; Bottes du Strigide; Dofus Turquoise; Dofus Ivoire; Dofus Ocre; Dofus Ébène; Dofus Vulbis; Dofus Abyssal; Kramkram</t>
        </is>
      </c>
    </row>
    <row r="25787">
      <c r="A25787" t="inlineStr">
        <is>
          <t>Iop M 200</t>
        </is>
      </c>
      <c r="B25787">
        <f>HYPERLINK("https://www.dofusbook.net/fr/equipement/5718161-iop-m-200/objets", "link")</f>
        <v/>
      </c>
      <c r="C25787" t="n">
        <v>0</v>
      </c>
      <c r="D25787" t="inlineStr">
        <is>
          <t>Crocobur; Amulette du Strigide; Anneau Volkorne; Anneau Chevelu; Cadran d'Eau; Ceinture Volkorne; Masque de Koutoulou; Cape au Logis; Bottes du Strigide; Dofus Ocre; Dofus Ébène; Dofus Émeraude; Dofus Ivoire; Dofus Turquoise; Dofus Abyssal; Kokulte</t>
        </is>
      </c>
    </row>
    <row r="25788">
      <c r="A25788" t="inlineStr">
        <is>
          <t>Ouginak M 200</t>
        </is>
      </c>
      <c r="B25788">
        <f>HYPERLINK("https://www.dofusbook.net/fr/equipement/5644187-ouginak-m-200/objets", "link")</f>
        <v/>
      </c>
      <c r="C25788" t="n">
        <v>1</v>
      </c>
      <c r="D25788" t="inlineStr">
        <is>
          <t>Crocobur; Amulette du Strigide; Anneau Volkorne; Anneau Crustique; Cadran d'Eau; Ceinture Volkorne; Masque de Koutoulou; Cape au Logis; Bottes du Strigide; Dofus Ocre; Dofus Abyssal; Dofus Émeraude; Dofus Ivoire; Dofus Pourpre; Dofus Ébène; Bwak de Terre</t>
        </is>
      </c>
    </row>
    <row r="25789">
      <c r="A25789" t="inlineStr">
        <is>
          <t>Xélor M 200</t>
        </is>
      </c>
      <c r="B25789">
        <f>HYPERLINK("https://www.dofusbook.net/fr/equipement/5677959-xelor-m-200/objets", "link")</f>
        <v/>
      </c>
      <c r="C25789" t="n">
        <v>4</v>
      </c>
      <c r="D25789" t="inlineStr">
        <is>
          <t>Crocobur; Amulette du Sinistrofu; Alliance Gloursonne; Anneau Volkorne; Bouclier d'Ilyzaelle; Ceinture Volkorne; Casque d'Ilyzaelle; Cape du Sinistrofu; Bottes du Sinistrofu; Dofus Émeraude; Dofus Ocre; Dofus Pourpre; Dofus Ivoire; Dofus Vulbis; Dofus Ébène; Chienchien Tigré</t>
        </is>
      </c>
    </row>
    <row r="25790">
      <c r="A25790" t="inlineStr">
        <is>
          <t>Xélor M 200</t>
        </is>
      </c>
      <c r="B25790">
        <f>HYPERLINK("https://www.dofusbook.net/fr/equipement/5387937-xelor-m-200/objets", "link")</f>
        <v/>
      </c>
      <c r="C25790" t="n">
        <v>14</v>
      </c>
      <c r="D25790" t="inlineStr">
        <is>
          <t>Arc corrompu; Amulette Volkorne; Anneau Volkorne; Anneauræus; Bouclier du Stalak; Croture; Heaume Oplate; Cape Martegel; Bottes Innommables; Dofus Vulbis; Dofus Ébène; Dofus Ivoire; Dofus Ocre; Dofus Abyssal; Érudit majeur; Bisouglours</t>
        </is>
      </c>
    </row>
    <row r="25791">
      <c r="A25791" t="inlineStr">
        <is>
          <t>Sram M 200</t>
        </is>
      </c>
      <c r="B25791">
        <f>HYPERLINK("https://www.dofusbook.net/fr/equipement/5637175-sram-m-200/objets", "link")</f>
        <v/>
      </c>
      <c r="C25791" t="n">
        <v>1</v>
      </c>
      <c r="D25791" t="inlineStr">
        <is>
          <t>Crocobur; Collier du Valet Veinard; Alliance Gloursonne; Gant du Valet Veinard; Bouclier d'Ilyzaelle; Ceintouse; Casque d'Ilyzaelle; Cape du Valet Veinard; Tentassons; Dofus Émeraude; Dofus Ivoire; Dofus Vulbis; Dofus Abyssal; Dofus Ocre; Dofus Ébène; Volkorne Ebène</t>
        </is>
      </c>
    </row>
    <row r="25792">
      <c r="A25792" t="inlineStr">
        <is>
          <t>Eniripsa M 200</t>
        </is>
      </c>
      <c r="B25792">
        <f>HYPERLINK("https://www.dofusbook.net/fr/equipement/5573060-eniripsa-m-200/objets", "link")</f>
        <v/>
      </c>
      <c r="C25792" t="n">
        <v>3</v>
      </c>
      <c r="D25792" t="inlineStr">
        <is>
          <t>Arc corrompu; Pendentif mignon de Koutoulou; Anneau Rifique; Anneauræus; Bouclier du Stalak; Protopagne; Casque Dragoeuf; Cape Sulhit; Bottes Innommables; Dofus Ocre; Dofus Ébène; Dofus Ivoire; Dofus Abyssal; Étourdisseur majeur; Érudit majeur; Volkorne Ivoire et Orchidée</t>
        </is>
      </c>
    </row>
    <row r="25793">
      <c r="A25793" t="inlineStr">
        <is>
          <t>Sacrieur M 200</t>
        </is>
      </c>
      <c r="B25793">
        <f>HYPERLINK("https://www.dofusbook.net/fr/equipement/5566939-sacrieur-m-200/objets", "link")</f>
        <v/>
      </c>
      <c r="C25793" t="n">
        <v>1</v>
      </c>
      <c r="D25793" t="inlineStr">
        <is>
          <t>Crocobur; Pendentif mignon de Koutoulou; Alliance Gloursonne; Anneau Rifique; Bouclier d'Ilyzaelle; Ceinture de Vortex; Casque Dragoeuf; Cape Martegel; Sabots de Vortex; Dofus Émeraude; Dofus Ivoire; Dofus Vulbis; Dofus Ébène; Dofus Ocre; Dofus Abyssal; Volkorne Orchidée et Ebène</t>
        </is>
      </c>
    </row>
    <row r="25794">
      <c r="A25794" t="inlineStr">
        <is>
          <t>Iop M 200</t>
        </is>
      </c>
      <c r="B25794">
        <f>HYPERLINK("https://www.dofusbook.net/fr/equipement/5559268-iop-m-200/objets", "link")</f>
        <v/>
      </c>
      <c r="C25794" t="n">
        <v>2</v>
      </c>
      <c r="D25794" t="inlineStr">
        <is>
          <t>Crocobur; Amulette d'Ilyzaelle; Anneau Volkorne; Alliance Gloursonne; Bouclier d'Ilyzaelle; Ceinture Volkorne; Casque d'Ilyzaelle; Cape du Sinistrofu; Bottes du Sinistrofu; Dofus Ivoire; Dofus Abyssal; Dofus Émeraude; Dofus Ébène; Dofus Ocre; Dofus Vulbis; Volkorne Indigo</t>
        </is>
      </c>
    </row>
    <row r="25795">
      <c r="A25795" t="inlineStr">
        <is>
          <t>Iop M 200</t>
        </is>
      </c>
      <c r="B25795">
        <f>HYPERLINK("https://www.dofusbook.net/fr/equipement/5559229-iop-m-200/objets", "link")</f>
        <v/>
      </c>
      <c r="C25795" t="n">
        <v>2</v>
      </c>
      <c r="D25795" t="inlineStr">
        <is>
          <t>Crocobur; Collier de Tourthon; Anneau de Brouce; Anneau Volkorne; Bouclier d'Ilyzaelle; Ceinture Volkorne; Masque de Koutoulou; Cape au Logis; Bottes de Brouce; Dofus Émeraude; Dofus Ivoire; Dofus Ocre; Dofus Ébène; Dofus des Glaces; Dofus Abyssal; Bulbisou</t>
        </is>
      </c>
    </row>
    <row r="25796">
      <c r="A25796" t="inlineStr">
        <is>
          <t>Sacrieur M 200</t>
        </is>
      </c>
      <c r="B25796">
        <f>HYPERLINK("https://www.dofusbook.net/fr/equipement/5549627-sacrieur-m-200/objets", "link")</f>
        <v/>
      </c>
      <c r="C25796" t="n">
        <v>0</v>
      </c>
      <c r="D25796" t="inlineStr">
        <is>
          <t>Crocobur; Collier du Valet Veinard; Gant du Valet Veinard; Alliance Gloursonne; Bouclier d'Ilyzaelle; Ceintouse; Casque d'Ilyzaelle; Cape du Valet Veinard; Tentassons; Dofus Vulbis; Dofus Ébène; Dofus Émeraude; Dofus Ivoire; Dofus Ocre; Dofus Abyssal; Volkorne Ebène</t>
        </is>
      </c>
    </row>
    <row r="25797">
      <c r="A25797" t="inlineStr">
        <is>
          <t>Iop M 200</t>
        </is>
      </c>
      <c r="B25797">
        <f>HYPERLINK("https://www.dofusbook.net/fr/equipement/5385399-iop-m-200/objets", "link")</f>
        <v/>
      </c>
      <c r="C25797" t="n">
        <v>3</v>
      </c>
      <c r="D25797" t="inlineStr">
        <is>
          <t>Crocobur; Amulette d'Ilyzaelle; Anneau Volkorne; Alliance Gloursonne; Bouclier d'Ilyzaelle; Ceinture de Dame Jhessica; Casque d'Ilyzaelle; Cape du Sinistrofu; Bottes du Sinistrofu; Dofus Vulbis; Dofus Ivoire; Dofus Émeraude; Dofus Abyssal; Dofus Ocre; Dofus Ébène; Volkorne Doré et Indigo</t>
        </is>
      </c>
    </row>
    <row r="25798">
      <c r="A25798" t="inlineStr">
        <is>
          <t>Eniripsa M 200</t>
        </is>
      </c>
      <c r="B25798">
        <f>HYPERLINK("https://www.dofusbook.net/fr/equipement/5535713-eniripsa-m-200/objets", "link")</f>
        <v/>
      </c>
      <c r="C25798" t="n">
        <v>1</v>
      </c>
      <c r="D25798" t="inlineStr">
        <is>
          <t>Arc corrompu; Amulette Martegel; Anneau Toriété; Anneauræus; Bouclier du Stalak; Croture; Casque Dragoeuf; Cape Martegel; Pataugastrique; Dofus Abyssal; Dofus Ivoire; Dofus Ocre; Dofus Ébène; Étourdisseur majeur; Érudit majeur; Dragodinde Amande et Orchidée</t>
        </is>
      </c>
    </row>
    <row r="25799">
      <c r="A25799" t="inlineStr">
        <is>
          <t>Sacrieur M 200</t>
        </is>
      </c>
      <c r="B25799">
        <f>HYPERLINK("https://www.dofusbook.net/fr/equipement/5527640-sacrieur-m-200/objets", "link")</f>
        <v/>
      </c>
      <c r="C25799" t="n">
        <v>4</v>
      </c>
      <c r="D25799" t="inlineStr">
        <is>
          <t>Crocobur; Collier du Valet Veinard; Gant du Valet Veinard; Alliance Gloursonne; Bouclier d'Ilyzaelle; Ceintouse; Chapoulpe; Cape du Valet Veinard; Tentassons; Dofus Vulbis; Dofus Abyssal; Dofus Ocre; Dofus Ivoire; Dofus Émeraude; Dofus Ébène; Dragodinde Ebène</t>
        </is>
      </c>
    </row>
    <row r="25800">
      <c r="A25800" t="inlineStr">
        <is>
          <t>Xélor M 200</t>
        </is>
      </c>
      <c r="B25800">
        <f>HYPERLINK("https://www.dofusbook.net/fr/equipement/5469894-xelor-m-200/objets", "link")</f>
        <v/>
      </c>
      <c r="C25800" t="n">
        <v>1</v>
      </c>
      <c r="D25800" t="inlineStr">
        <is>
          <t>Arc corrompu; Amulette Volkorne; Anneauræus; Anneauræus; Bouclier du Stalak; Ceinture Volkorne; Heaume Oplate; Voile d'encre; Bottes Innommables; Dofus des Glaces; Dofus Ivoire; Dofus Vulbis; Dofus Ébène; Dofus Ocre; Dofus Abyssal; Dragodinde Amande et Orchidée</t>
        </is>
      </c>
    </row>
    <row r="25801">
      <c r="A25801" t="inlineStr">
        <is>
          <t>Zobal M 200</t>
        </is>
      </c>
      <c r="B25801">
        <f>HYPERLINK("https://www.dofusbook.net/fr/equipement/5469021-zobal-m-200/objets", "link")</f>
        <v/>
      </c>
      <c r="C25801" t="n">
        <v>4</v>
      </c>
      <c r="D25801" t="inlineStr">
        <is>
          <t>Dagues du Dragoeuf; Amulette Volkorne; Anneau de Padgref; Anneau Volkorne; Bouclier du Captain Amakna; Ceinture Volkorne; Coiffe de Padgref; Voile d'encre; Getas de Padgref; Dofus Turquoise; Dofus Ivoire; Dofus Ocre; Dofus Abyssal; Dofus Pourpre; Dofus Ébène; Kokulte</t>
        </is>
      </c>
    </row>
    <row r="25802">
      <c r="A25802" t="inlineStr">
        <is>
          <t>Xélor M 200</t>
        </is>
      </c>
      <c r="B25802">
        <f>HYPERLINK("https://www.dofusbook.net/fr/equipement/5468360-xelor-m-200/objets", "link")</f>
        <v/>
      </c>
      <c r="C25802" t="n">
        <v>3</v>
      </c>
      <c r="D25802" t="inlineStr">
        <is>
          <t>Baguette de Torkélonia; Amulette du Kamasterisk; Anneau Volkorne; Anneau des égarés; Quatre-feuilles; Ceinture Volkorne; Corne de Torkélonia; Cape du Kamasterisk; Bottes du Kamasterisk; Dofus Turquoise; Dofus Ébène; Dofus Ocre; Dofus Vulbis; Dofus Ivoire; Dofus Abyssal; Mékrabe</t>
        </is>
      </c>
    </row>
    <row r="25803">
      <c r="A25803" t="inlineStr">
        <is>
          <t>Xélor M 200</t>
        </is>
      </c>
      <c r="B25803">
        <f>HYPERLINK("https://www.dofusbook.net/fr/equipement/5466846-xelor-m-200/objets", "link")</f>
        <v/>
      </c>
      <c r="C25803" t="n">
        <v>3</v>
      </c>
      <c r="D25803" t="inlineStr">
        <is>
          <t>Hache du Chalœil; Amulette Volkorne; Alliance Brûlâme; Anneau Volkorne; Bouclier d'Ilyzaelle; Ceinture Volkorne; Casque du Chalœil; Cape du Chalœil; Bottes du Chalœil; Dofus des Glaces; Dofus Abyssal; Dofus Ocre; Dofus Ébène; Dofus Pourpre; Dofus Ivoire; Kramkram</t>
        </is>
      </c>
    </row>
    <row r="25804">
      <c r="A25804" t="inlineStr">
        <is>
          <t>Iop M 200</t>
        </is>
      </c>
      <c r="B25804">
        <f>HYPERLINK("https://www.dofusbook.net/fr/equipement/5461880-iop-m-200/objets", "link")</f>
        <v/>
      </c>
      <c r="C25804" t="n">
        <v>0</v>
      </c>
      <c r="D25804" t="inlineStr">
        <is>
          <t>Baguette de Torkélonia; Amulette du Strigide; Anneau de Padgref; Bracelet du Piloztère; Quatre-feuilles; Ceinture du Strigide; Coiffe de Padgref; Carapace de Torkélonia; Getas de Padgref; Dofus Turquoise; Dofus Ivoire; Dofus Vulbis; Dofus Ébène; Dofus Ocre; Dofus Abyssal; Sakochère</t>
        </is>
      </c>
    </row>
    <row r="25805">
      <c r="A25805" t="inlineStr">
        <is>
          <t>Sadida M 200</t>
        </is>
      </c>
      <c r="B25805">
        <f>HYPERLINK("https://www.dofusbook.net/fr/equipement/5415981-sadida-m-200/objets", "link")</f>
        <v/>
      </c>
      <c r="C25805" t="n">
        <v>1</v>
      </c>
      <c r="D25805" t="inlineStr">
        <is>
          <t>Arc Honte; Amulette Volkorne; Anneau Volkorne; Alliance Gloursonne; Bouclier du Stalak; Ceinture Volkorne; Casque du Chalœil; Cape du Chalœil; Bottes du Chalœil; Dofus Abyssal; Dofus Ivoire; Dofus Ocre; Dofus Ébène; Dofus des Glaces; Entraveur majeur; Kramkram</t>
        </is>
      </c>
    </row>
    <row r="25806">
      <c r="A25806" t="inlineStr">
        <is>
          <t>Féca M 200</t>
        </is>
      </c>
      <c r="B25806">
        <f>HYPERLINK("https://www.dofusbook.net/fr/equipement/5405457-feca-m-200/objets", "link")</f>
        <v/>
      </c>
      <c r="C25806" t="n">
        <v>4</v>
      </c>
      <c r="D25806" t="inlineStr">
        <is>
          <t>Crocobur; Amulette Volkorne; Anneau Crustique; Crocanneau; Bouclier d'Ilyzaelle; Ceinture Volkorne; Masque de Koutoulou; Cape au Logis; Bottes du Cœur Saignant; Dofus Ivoire; Dofus Ébène; Dofus Émeraude; Dofus Abyssal; Étourdisseur majeur; Enragé majeur; Drakopin</t>
        </is>
      </c>
    </row>
    <row r="25807">
      <c r="A25807" t="inlineStr">
        <is>
          <t>Iop M 200</t>
        </is>
      </c>
      <c r="B25807">
        <f>HYPERLINK("https://www.dofusbook.net/fr/equipement/5401093-iop-m-200/objets", "link")</f>
        <v/>
      </c>
      <c r="C25807" t="n">
        <v>3</v>
      </c>
      <c r="D25807" t="inlineStr">
        <is>
          <t>Marteau R'ture; Amulette Volkorne; Crocanneau; Crocanneau; Bouclier du Captain Amakna; Ceinture Volkorne; Masque Brûlâme; Cape au Logis; Bottes du Cœur Saignant; Dofus Abyssal; Dofus Ivoire; Dofus Ébène; Dofus Pourpre; Dofus Turquoise; Enragé majeur; Dragodinde Ivoire et Pourpre</t>
        </is>
      </c>
    </row>
    <row r="25808">
      <c r="A25808" t="inlineStr">
        <is>
          <t>Sacrieur M 200</t>
        </is>
      </c>
      <c r="B25808">
        <f>HYPERLINK("https://www.dofusbook.net/fr/equipement/5074383-sacrieur-m-200/objets", "link")</f>
        <v/>
      </c>
      <c r="C25808" t="n">
        <v>5</v>
      </c>
      <c r="D25808" t="inlineStr">
        <is>
          <t>Crocobur; Collier du Valet Veinard; Gant du Valet Veinard; Alliance Gloursonne; Bouclier d'Ilyzaelle; Ceintouse; Casque Dragoeuf; Cape du Valet Veinard; Tentassons; Dofus Vulbis; Dofus Ivoire; Dofus Émeraude; Dofus Ébène; Dofus Ocre; Dofus Abyssal; Volkorne Ebène</t>
        </is>
      </c>
    </row>
    <row r="25809">
      <c r="A25809" t="inlineStr">
        <is>
          <t>Zobal M 200</t>
        </is>
      </c>
      <c r="B25809">
        <f>HYPERLINK("https://www.dofusbook.net/fr/equipement/5377108-zobal-m-200/objets", "link")</f>
        <v/>
      </c>
      <c r="C25809" t="n">
        <v>3</v>
      </c>
      <c r="D25809" t="inlineStr">
        <is>
          <t>Baguette de Torkélonia; Amulette Volkorne; Anneau de Padgref; Anneau Volkorne; Quatre-feuilles; Ceinture Volkorne; Coiffe de Padgref; Carapace de Torkélonia; Getas de Padgref; Dofus Pourpre; Dofus Ivoire; Dofus Turquoise; Dofus Ébène; Dofus Ocre; Dofus Abyssal; Kokulte</t>
        </is>
      </c>
    </row>
    <row r="25810">
      <c r="A25810" t="inlineStr">
        <is>
          <t>Sadida M 200</t>
        </is>
      </c>
      <c r="B25810">
        <f>HYPERLINK("https://www.dofusbook.net/fr/equipement/5377001-sadida-m-200/objets", "link")</f>
        <v/>
      </c>
      <c r="C25810" t="n">
        <v>2</v>
      </c>
      <c r="D25810" t="inlineStr">
        <is>
          <t>Sabres d'Atcham; Amulette de l'Œil Putride; Anneau Volkorne; Alliance Gloursonne; Bouclier du Stalak; Ceinture Volkorne; Capuche de l'Œil Putride; Cape de l'Œil Putride; Sandales  d'Atcham; Dofus Vulbis; Dofus Abyssal; Dofus Ivoire; Dofus des Glaces; Dofus Ocre; Dofus Ébène; Volkorne Turquoise</t>
        </is>
      </c>
    </row>
    <row r="25811">
      <c r="A25811" t="inlineStr">
        <is>
          <t>Osamodas M 200</t>
        </is>
      </c>
      <c r="B25811">
        <f>HYPERLINK("https://www.dofusbook.net/fr/equipement/5355212-osamodas-m-200/objets", "link")</f>
        <v/>
      </c>
      <c r="C25811" t="n">
        <v>7</v>
      </c>
      <c r="D25811" t="inlineStr">
        <is>
          <t>Marteau R'ture; Amulette Ementaire Deluxe; Anneau Volkorne; Anneau Chevelu; Droiture de Fallanster; Ceinture Volkorne; Masque de Koutoulou; Voile d'encre; Bottes Dogues; Dofus Ivoire; Dofus Émeraude; Dofus Ébène; Dofus Ocre; Dofus Abyssal; Enragé majeur; Dragodinde Ivoire et Pourpre</t>
        </is>
      </c>
    </row>
    <row r="25812">
      <c r="A25812" t="inlineStr">
        <is>
          <t>Sacrieur M 200</t>
        </is>
      </c>
      <c r="B25812">
        <f>HYPERLINK("https://www.dofusbook.net/fr/equipement/5335048-sacrieur-m-200/objets", "link")</f>
        <v/>
      </c>
      <c r="C25812" t="n">
        <v>4</v>
      </c>
      <c r="D25812" t="inlineStr">
        <is>
          <t>Crocobur; Amulette du Kamasterisk; Anneau des égarés; Anneau Volkorne; Bouclier d'Ilyzaelle; Ceinture Volkorne; Casque des égarés; Cape du Kamasterisk; Bottes du Kamasterisk; Dofus Émeraude; Dofus Abyssal; Dofus Ocre; Dofus Ébène; Dofus Vulbis; Dofus Ivoire; Volkorne Pourpre et Ebène</t>
        </is>
      </c>
    </row>
    <row r="25813">
      <c r="A25813" t="inlineStr">
        <is>
          <t>Huppermage M 200</t>
        </is>
      </c>
      <c r="B25813">
        <f>HYPERLINK("https://www.dofusbook.net/fr/equipement/5322781-huppermage-m-200/objets", "link")</f>
        <v/>
      </c>
      <c r="C25813" t="n">
        <v>3</v>
      </c>
      <c r="D25813" t="inlineStr">
        <is>
          <t>Sabres d'Atcham; Amulette Volkorne; Anneau Volkorne; Alliance Gloursonne; Bouclier d'Ilyzaelle; Ceinture Volkorne; Chapeau Lisson; Cape d'Atcham; Sandales  d'Atcham; Dofus Émeraude; Dofus Ivoire; Dofus Pourpre; Dofus Ébène; Dofus Ocre; Dofus Abyssal; Volkorne Ivoire</t>
        </is>
      </c>
    </row>
    <row r="25814">
      <c r="A25814" t="inlineStr">
        <is>
          <t>Xélor M 200</t>
        </is>
      </c>
      <c r="B25814">
        <f>HYPERLINK("https://www.dofusbook.net/fr/equipement/5317031-xelor-m-200/objets", "link")</f>
        <v/>
      </c>
      <c r="C25814" t="n">
        <v>1</v>
      </c>
      <c r="D25814" t="inlineStr">
        <is>
          <t>Marteau R'ture; Amulette du Cœur Saignant; Anneau Crustique; Anneau Volkorne; Bouclier d'Ilyzaelle; Ceinture Volkorne; Bonnet Ko; Cape du Cœur Saignant; Bottes du Cœur Saignant; Dofus Abyssal; Dofus Ivoire; Dofus Vulbis; Dofus Ébène; Dofus Turquoise; Dofus Ocre; Muldo Prune et Doré</t>
        </is>
      </c>
    </row>
    <row r="25815">
      <c r="A25815" t="inlineStr">
        <is>
          <t>Sadida M 200</t>
        </is>
      </c>
      <c r="B25815">
        <f>HYPERLINK("https://www.dofusbook.net/fr/equipement/5264242-sadida-m-200/objets", "link")</f>
        <v/>
      </c>
      <c r="C25815" t="n">
        <v>2</v>
      </c>
      <c r="D25815" t="inlineStr">
        <is>
          <t>Marteau R'ture; Amulette Volkorne; Anneau Crustique; Anneau Crustique; Bouclier d'Ilyzaelle; Ceinture Volkorne; Masque de Koutoulou; Cape au Logis; Bottes du Cœur Saignant; Dofus Ocre; Dofus Ébène; Dofus Abyssal; Dofus Turquoise; Dofus Ivoire; Enragé majeur; Dragodinde Amande et Pourpre</t>
        </is>
      </c>
    </row>
    <row r="25816">
      <c r="A25816" t="inlineStr">
        <is>
          <t>Sram M 200</t>
        </is>
      </c>
      <c r="B25816">
        <f>HYPERLINK("https://www.dofusbook.net/fr/equipement/5316560-sram-m-200/objets", "link")</f>
        <v/>
      </c>
      <c r="C25816" t="n">
        <v>1</v>
      </c>
      <c r="D25816" t="inlineStr">
        <is>
          <t>Crocobur; Amulette du Strigide; Anneau Volkorne; Anneau Crustique; Bouclier d'Ilyzaelle; Ceinture Volkorne; Masque de Koutoulou; Cape au Logis; Bottes du Strigide; Dofus Nébuleux; Dofus Ivoire; Dofus Émeraude; Dofus Ébène; Dofus Ocre; Dofus Abyssal; Dragodinde Amande et Pourpre</t>
        </is>
      </c>
    </row>
    <row r="25817">
      <c r="A25817" t="inlineStr">
        <is>
          <t>Sram M 200</t>
        </is>
      </c>
      <c r="B25817">
        <f>HYPERLINK("https://www.dofusbook.net/fr/equipement/5313774-sram-m-200/objets", "link")</f>
        <v/>
      </c>
      <c r="C25817" t="n">
        <v>1</v>
      </c>
      <c r="D25817" t="inlineStr">
        <is>
          <t>Crocobur; Amulette du Kamasterisk; Anneau des égarés; Anneau Volkorne; Bouclier d'Ilyzaelle; Ceinture Volkorne; Casque Volkorne; Cape du Kamasterisk; Bottes du Kamasterisk; Dofus Ivoire; Dofus Ocre; Dofus Émeraude; Dofus Ébène; Dofus Abyssal; Dofus Pourpre; Volkorne Jade</t>
        </is>
      </c>
    </row>
    <row r="25818">
      <c r="A25818" t="inlineStr">
        <is>
          <t>Eniripsa M 200</t>
        </is>
      </c>
      <c r="B25818">
        <f>HYPERLINK("https://www.dofusbook.net/fr/equipement/5304336-eniripsa-m-200/objets", "link")</f>
        <v/>
      </c>
      <c r="C25818" t="n">
        <v>1</v>
      </c>
      <c r="D25818" t="inlineStr">
        <is>
          <t>Arc corrompu; Pendentif mignon de Koutoulou; Anneau Rifique; Goulano; Bouclier du Stalak; Ceinture de Vortex; Casque Cyclopéen; Voile d'encre; Goulbottes; Dofus Abyssal; Dofus Vulbis; Dofus Ivoire; Dofus Ocre; Dofus Ébène; Paralyseur majeur; Kouin-Kouin Noir</t>
        </is>
      </c>
    </row>
    <row r="25819">
      <c r="A25819" t="inlineStr">
        <is>
          <t>Iop M 200</t>
        </is>
      </c>
      <c r="B25819">
        <f>HYPERLINK("https://www.dofusbook.net/fr/equipement/5293832-iop-m-200/objets", "link")</f>
        <v/>
      </c>
      <c r="C25819" t="n">
        <v>2</v>
      </c>
      <c r="D25819" t="inlineStr">
        <is>
          <t>Crocobur; Amulette de Pol Ouatnos; Bracelet des Fonds marins; Anneau Volkorne; Bouclier d'Ilyzaelle; Ceinture de Dame Jhessica; Masque des Fonds marins; Cape Solution; Bottes du Sinistrofu; Dofus Émeraude; Dofus Ébène; Dofus Ocre; Dofus Abyssal; Dofus Ivoire; Chanceux majeur; Dragodinde Indigo et Ivoire</t>
        </is>
      </c>
    </row>
    <row r="25820">
      <c r="A25820" t="inlineStr">
        <is>
          <t>Ouginak M 200</t>
        </is>
      </c>
      <c r="B25820">
        <f>HYPERLINK("https://www.dofusbook.net/fr/equipement/5293444-ouginak-m-200/objets", "link")</f>
        <v/>
      </c>
      <c r="C25820" t="n">
        <v>1</v>
      </c>
      <c r="D25820" t="inlineStr">
        <is>
          <t>Crocobur; Amulette Volkorne; Anneau Chevelu; Anneau Crustique; Bouclier d'Ilyzaelle; Ceinture Volkorne; Masque de Koutoulou; Cape au Logis; Bottes Honyme; Dofus Émeraude; Dofus Abyssal; Dofus Turquoise; Dofus Ivoire; Dofus Ébène; Enragé majeur; Dragodinde Ivoire et Pourpre</t>
        </is>
      </c>
    </row>
    <row r="25821">
      <c r="A25821" t="inlineStr">
        <is>
          <t>Pandawa M 200</t>
        </is>
      </c>
      <c r="B25821">
        <f>HYPERLINK("https://www.dofusbook.net/fr/equipement/5280779-pandawa-m-200/objets", "link")</f>
        <v/>
      </c>
      <c r="C25821" t="n">
        <v>4</v>
      </c>
      <c r="D25821" t="inlineStr">
        <is>
          <t>Crocobur; Amulette du Cœur Saignant; Anneau Volkorne; Anneau Chevelu; Bouclier du Captain Amakna; Ceinture Volkorne; Casque Dragoeuf; Cape du Cœur Saignant; Bottes du Cœur Saignant; Dofus Ocre; Dofus Abyssal; Dofus Vulbis; Dofus Ivoire; Dofus Turquoise; Dofus Ébène; Volkorne Doré et Pourpre</t>
        </is>
      </c>
    </row>
    <row r="25822">
      <c r="A25822" t="inlineStr">
        <is>
          <t>Sadida M 200</t>
        </is>
      </c>
      <c r="B25822">
        <f>HYPERLINK("https://www.dofusbook.net/fr/equipement/5262942-sadida-m-200/objets", "link")</f>
        <v/>
      </c>
      <c r="C25822" t="n">
        <v>1</v>
      </c>
      <c r="D25822" t="inlineStr">
        <is>
          <t>Arc Honte; Amulette Volkorne; Anneau du Katcheur; Anneau Volkorne; Bouclier du Stalak; Ceinture Volkorne; Masque du Katcheur; Cape de Jahash Jurgen; Bottes du Katcheur; Dofus Ocre; Dofus Ivoire; Dofus Pourpre; Dofus Ébène; Dofus Abyssal; Dofus des Glaces; Volkorne Turquoise</t>
        </is>
      </c>
    </row>
    <row r="25823">
      <c r="A25823" t="inlineStr">
        <is>
          <t>Roublard M 200</t>
        </is>
      </c>
      <c r="B25823">
        <f>HYPERLINK("https://www.dofusbook.net/fr/equipement/5254393-roublard-m-200/objets", "link")</f>
        <v/>
      </c>
      <c r="C25823" t="n">
        <v>1</v>
      </c>
      <c r="D25823" t="inlineStr">
        <is>
          <t>Hache Ériphe; Amulette du Kamasterisk; Anneau Volkorne; Anneau des égarés; Bouclier du Stalak; Ceinture Volkorne; Casque Volkorne; Cape du Kamasterisk; Bottes du Kamasterisk; Dofus Ocre; Dofus Ébène; Dofus des Glaces; Dofus Pourpre; Dofus Abyssal; Dofus Ivoire; Volkorne Pourpre et Ebène</t>
        </is>
      </c>
    </row>
    <row r="25824">
      <c r="A25824" t="inlineStr">
        <is>
          <t>Pandawa M 200</t>
        </is>
      </c>
      <c r="B25824">
        <f>HYPERLINK("https://www.dofusbook.net/fr/equipement/5250464-pandawa-m-200/objets", "link")</f>
        <v/>
      </c>
      <c r="C25824" t="n">
        <v>2</v>
      </c>
      <c r="D25824" t="inlineStr">
        <is>
          <t>Crocobur; Amulette Volkorne; Goulano; Anneau Volkorne; Bouclier d'Ilyzaelle; Ceinture Volkorne; Casque Dragoeuf; Bravoure de Rykke Errel; Bottes Honyme; Dofus Émeraude; Dofus Ivoire; Dofus Ocre; Dofus Ébène; Dofus Pourpre; Dofus Abyssal; Rauleur</t>
        </is>
      </c>
    </row>
    <row r="25825">
      <c r="A25825" t="inlineStr">
        <is>
          <t>Sacrieur M 200</t>
        </is>
      </c>
      <c r="B25825">
        <f>HYPERLINK("https://www.dofusbook.net/fr/equipement/5243474-sacrieur-m-200/objets", "link")</f>
        <v/>
      </c>
      <c r="C25825" t="n">
        <v>1</v>
      </c>
      <c r="D25825" t="inlineStr">
        <is>
          <t>Crocobur; Collier du Valet Veinard; Gant du Valet Veinard; Alliance Gloursonne; Droiture de Fallanster; Menoture; Capuche de Moum-Ra; Voilamibe; Palmes Trithons; Dofus Ocre; Dofus Abyssal; Dofus Ivoire; Dofus Émeraude; Dofus Ébène; Cascadeur majeur; La Chose</t>
        </is>
      </c>
    </row>
    <row r="25826">
      <c r="A25826" t="inlineStr">
        <is>
          <t>Crâ M 200</t>
        </is>
      </c>
      <c r="B25826">
        <f>HYPERLINK("https://www.dofusbook.net/fr/equipement/5241113-cra-m-200/objets", "link")</f>
        <v/>
      </c>
      <c r="C25826" t="n">
        <v>5</v>
      </c>
      <c r="D25826" t="inlineStr">
        <is>
          <t>Arc du Chalœil; Amulette Volkorne; Chevalière du Roi Joueur; Anneau Volkorne; Quatre-feuilles; Ceinture Volkorne; Couronne du Roi Joueur; Cape de Jahash Jurgen; Bottes du Roi Joueur; Dofus Turquoise; Dofus Ébène; Dofus Nébuleux; Dofus Abyssal; Dofus Ocre; Dofus Ivoire; Volkorne Turquoise et Pourpre</t>
        </is>
      </c>
    </row>
    <row r="25827">
      <c r="A25827" t="inlineStr">
        <is>
          <t>Iop M 200</t>
        </is>
      </c>
      <c r="B25827">
        <f>HYPERLINK("https://www.dofusbook.net/fr/equipement/5236650-iop-m-200/objets", "link")</f>
        <v/>
      </c>
      <c r="C25827" t="n">
        <v>4</v>
      </c>
      <c r="D25827" t="inlineStr">
        <is>
          <t>Arc corrompu; Pendentif mignon de Koutoulou; Anneau Rifique; Anneauræus; Bouclier du Stalak; Protopagne; Heaume Oplate; Cape de Jahash Jurgen; Bottes Innommables; Dofus Ocre; Dofus Argenté; Dofus Ivoire; Dofus Ébène; Érudit majeur; Miraculé majeur; Dragodinde Amande et Orchidée</t>
        </is>
      </c>
    </row>
    <row r="25828">
      <c r="A25828" t="inlineStr">
        <is>
          <t>Ouginak M 200</t>
        </is>
      </c>
      <c r="B25828">
        <f>HYPERLINK("https://www.dofusbook.net/fr/equipement/5221779-ouginak-m-200/objets", "link")</f>
        <v/>
      </c>
      <c r="C25828" t="n">
        <v>1</v>
      </c>
      <c r="D25828" t="inlineStr">
        <is>
          <t>Masse Ossiale; Amulette Volkorne; Anneau Volkorne; Bague Instable; Bivalve; Ceintrigue; Masque Paztek; Cape Paztek; Bottes Owesli; Dofus Pourpre; Dofus Ivoire; Dofus Vulbis; Dofus Ébène; Dofus Abyssal; Dofus Ocre; Volkorne Roux et Orchidée</t>
        </is>
      </c>
    </row>
    <row r="25829">
      <c r="A25829" t="inlineStr">
        <is>
          <t>Ecaflip M 200</t>
        </is>
      </c>
      <c r="B25829">
        <f>HYPERLINK("https://www.dofusbook.net/fr/equipement/4982522-ecaflip-m-200/objets", "link")</f>
        <v/>
      </c>
      <c r="C25829" t="n">
        <v>4</v>
      </c>
      <c r="D25829" t="inlineStr">
        <is>
          <t>Plume de Buhorado; Amulette du Cœur Vaillant; Anneau Chevelu; Bague Trithon; Bivalve; Ceinture Gence; Masque de Koutoulou; Bravoure de Rykke Errel; Bottes Trithon; Dofus Ivoire; Dofus Abyssal; Dofus Ébène; Culbuteur majeur; Bousculeur majeur; Enragé majeur; Black Tiwabbit</t>
        </is>
      </c>
    </row>
    <row r="25830">
      <c r="A25830" t="inlineStr">
        <is>
          <t>Ouginak M 200</t>
        </is>
      </c>
      <c r="B25830">
        <f>HYPERLINK("https://www.dofusbook.net/fr/equipement/5215264-ouginak-m-200/objets", "link")</f>
        <v/>
      </c>
      <c r="C25830" t="n">
        <v>1</v>
      </c>
      <c r="D25830" t="inlineStr">
        <is>
          <t>Hache du Chalœil; Amulette Volkorne; Anneau Volkorne; Anneau de Padgref; Quatre-feuilles; Ceinture Volkorne; Coiffe de Padgref; Cape de Jahash Jurgen; Getas de Padgref; Dofus Turquoise; Dofus Abyssal; Dofus Pourpre; Dofus Ébène; Dofus Ocre; Dofus Ivoire; Kokulte</t>
        </is>
      </c>
    </row>
    <row r="25831">
      <c r="A25831" t="inlineStr">
        <is>
          <t>Ouginak M 200</t>
        </is>
      </c>
      <c r="B25831">
        <f>HYPERLINK("https://www.dofusbook.net/fr/equipement/5208443-ouginak-m-200/objets", "link")</f>
        <v/>
      </c>
      <c r="C25831" t="n">
        <v>1</v>
      </c>
      <c r="D25831" t="inlineStr">
        <is>
          <t>Sceptre du Roi Joueur; Amulette de Shokkoth; Bracelet des Fonds marins; Alliance Gloursonne; Bouclier du Stalak; Sangle Ouare; Masque des Fonds marins; Cape Solution; Bottes du Nocturlabe; Dofus Pourpre; Dofus Ébène; Dofus Ocre; Dofus Nébuleux; Dofus Ivoire; Chanceux majeur; Dragodinde Indigo et Ivoire</t>
        </is>
      </c>
    </row>
    <row r="25832">
      <c r="A25832" t="inlineStr">
        <is>
          <t>Roublard M 200</t>
        </is>
      </c>
      <c r="B25832">
        <f>HYPERLINK("https://www.dofusbook.net/fr/equipement/5204132-roublard-m-200/objets", "link")</f>
        <v/>
      </c>
      <c r="C25832" t="n">
        <v>1</v>
      </c>
      <c r="D25832" t="inlineStr">
        <is>
          <t>Sabres d'Atcham; Amulette Volkorne; Anneau Volkorne; Alliance Gloursonne; Cadran de Terre; Ceinture de Vortex; Casque Volkorne; Cape d'Atcham; Sandales  d'Atcham; Dofus Ocre; Dofus Abyssal; Dofus Pourpre; Dofus Ivoire; Dofus Turquoise; Dofus Ébène; Volkorne Ivoire</t>
        </is>
      </c>
    </row>
    <row r="25833">
      <c r="A25833" t="inlineStr">
        <is>
          <t>Roublard M 200</t>
        </is>
      </c>
      <c r="B25833">
        <f>HYPERLINK("https://www.dofusbook.net/fr/equipement/5193321-roublard-m-200/objets", "link")</f>
        <v/>
      </c>
      <c r="C25833" t="n">
        <v>2</v>
      </c>
      <c r="D25833" t="inlineStr">
        <is>
          <t>Plume de Buhorado; Collier du Valet Veinard; Alliance Gloursonne; Gant du Valet Veinard; Bouclier d'Ilyzaelle; Menoture; Casque Dragoeuf; Cape de Jahash Jurgen; Palmes Trithons; Dofus Émeraude; Dofus Ivoire; Dofus Ébène; Dofus Abyssal; Dofus Ocre; Cascadeur majeur; Bwak d'Air</t>
        </is>
      </c>
    </row>
    <row r="25834">
      <c r="A25834" t="inlineStr">
        <is>
          <t>Ouginak M 200</t>
        </is>
      </c>
      <c r="B25834">
        <f>HYPERLINK("https://www.dofusbook.net/fr/equipement/5164975-ouginak-m-200/objets", "link")</f>
        <v/>
      </c>
      <c r="C25834" t="n">
        <v>1</v>
      </c>
      <c r="D25834" t="inlineStr">
        <is>
          <t>Rapière aux Glyphes; Amulette Volkorne; Bracelet des Fonds marins; Anneau Volkorne; Bouclier d'Ilyzaelle; Ceinture Volkorne; Masque des Fonds marins; Cape du Sinistrofu; Sandales des Fonds marins; Dofus Ocre; Dofus Abyssal; Dofus Émeraude; Dofus Ivoire; Dofus Pourpre; Dofus Ébène; Volkorne Indigo</t>
        </is>
      </c>
    </row>
    <row r="25835">
      <c r="A25835" t="inlineStr">
        <is>
          <t>Xélor M 200</t>
        </is>
      </c>
      <c r="B25835">
        <f>HYPERLINK("https://www.dofusbook.net/fr/equipement/5185630-xelor-m-200/objets", "link")</f>
        <v/>
      </c>
      <c r="C25835" t="n">
        <v>1</v>
      </c>
      <c r="D25835" t="inlineStr">
        <is>
          <t>Crocobur; Amulette Volkorne; Anneau Volkorne; Anneau Chevelu; Bouclier d'Ilyzaelle; Ceinture Volkorne; Masque de Koutoulou; Bravoure de Rykke Errel; Bottes de la Cour Sombre; Dofus Ocre; Dofus Ébène; Dofus Pourpre; Dofus Ivoire; Dofus Émeraude; Dofus Abyssal; Dragodinde Ivoire et Pourpre</t>
        </is>
      </c>
    </row>
    <row r="25836">
      <c r="A25836" t="inlineStr">
        <is>
          <t>Ouginak M 200</t>
        </is>
      </c>
      <c r="B25836">
        <f>HYPERLINK("https://www.dofusbook.net/fr/equipement/5183262-ouginak-m-200/objets", "link")</f>
        <v/>
      </c>
      <c r="C25836" t="n">
        <v>1</v>
      </c>
      <c r="D25836" t="inlineStr">
        <is>
          <t>Crocobur; Amulette du Strigide; Anneau Volkorne; Anneau en Grithril; Cadran d'Eau; Ceinture Volkorne; Casque Volkorne; Cape de Jahash Jurgen; Bottes du Strigide; Dofus Pourpre; Dofus Abyssal; Dofus Ocre; Dofus Ébène; Dofus Turquoise; Dofus Ivoire; Volkorne Rubis</t>
        </is>
      </c>
    </row>
    <row r="25837">
      <c r="A25837" t="inlineStr">
        <is>
          <t>Zobal M 200</t>
        </is>
      </c>
      <c r="B25837">
        <f>HYPERLINK("https://www.dofusbook.net/fr/equipement/5156665-zobal-m-200/objets", "link")</f>
        <v/>
      </c>
      <c r="C25837" t="n">
        <v>3</v>
      </c>
      <c r="D25837" t="inlineStr">
        <is>
          <t>Dagues Ricol; Amulette Volkorne; Anneau de Padgref; Anneau Volkorne; Bouclier du Captain Amakna; Ceinture Volkorne; Coiffe de Padgref; Voile d'encre; Getas de Padgref; Dofus Pourpre; Dofus Ivoire; Dofus Ébène; Dofus Turquoise; Dofus Ocre; Dofus Abyssal; Sakochère</t>
        </is>
      </c>
    </row>
    <row r="25838">
      <c r="A25838" t="inlineStr">
        <is>
          <t>Eniripsa M 200</t>
        </is>
      </c>
      <c r="B25838">
        <f>HYPERLINK("https://www.dofusbook.net/fr/equipement/5144772-eniripsa-m-200/objets", "link")</f>
        <v/>
      </c>
      <c r="C25838" t="n">
        <v>1</v>
      </c>
      <c r="D25838" t="inlineStr">
        <is>
          <t>Arc corrompu; Pendentif mignon de Koutoulou; Goulano; Anneau Rifique; Bouclier du Stalak; Ceinture de Vortex; Casque Cyclopéen; Voile d'encre; Goulbottes; Dofus Pourpre; Dofus Abyssal; Dofus Ocre; Dofus Ivoire; Dofus Vulbis; Dofus Ébène; Dragodinde Amande et Orchidée</t>
        </is>
      </c>
    </row>
    <row r="25839">
      <c r="A25839" t="inlineStr">
        <is>
          <t>Eniripsa M 200</t>
        </is>
      </c>
      <c r="B25839">
        <f>HYPERLINK("https://www.dofusbook.net/fr/equipement/5144557-eniripsa-m-200/objets", "link")</f>
        <v/>
      </c>
      <c r="C25839" t="n">
        <v>1</v>
      </c>
      <c r="D25839" t="inlineStr">
        <is>
          <t>Arc corrompu; Pendentif mignon de Koutoulou; Anneau Rifique; Goulano; Droiture de Fallanster; Protopagne; Casque Dragoeuf; Bravoure de Rykke Errel; Goulbottes; Dofus Ocre; Dofus Abyssal; Dofus Argenté; Dofus Ivoire; Dofus Pourpre; Dofus Ébène; Volkorne Prune et Orchidée</t>
        </is>
      </c>
    </row>
    <row r="25840">
      <c r="A25840" t="inlineStr">
        <is>
          <t>Eliotrope M 200</t>
        </is>
      </c>
      <c r="B25840">
        <f>HYPERLINK("https://www.dofusbook.net/fr/equipement/5144860-eliotrope-m-200/objets", "link")</f>
        <v/>
      </c>
      <c r="C25840" t="n">
        <v>1</v>
      </c>
      <c r="D25840" t="inlineStr">
        <is>
          <t>Arc du Chalœil; Torquistik; Baguistik; Anneau Crustique; Bouclier du Stalak; Ceinture de la Reine des Voleurs; Coiffe de la Reine des Voleurs; Cape au Logis; Bottistik; Dofus Ocre; Dofus Abyssal; Dofus Nébuleux; Dofus Ivoire; Dofus Pourpre; Dofus Ébène; Wabbit</t>
        </is>
      </c>
    </row>
    <row r="25841">
      <c r="A25841" t="inlineStr">
        <is>
          <t>Iop M 200</t>
        </is>
      </c>
      <c r="B25841">
        <f>HYPERLINK("https://www.dofusbook.net/fr/equipement/5143732-iop-m-200/objets", "link")</f>
        <v/>
      </c>
      <c r="C25841" t="n">
        <v>2</v>
      </c>
      <c r="D25841" t="inlineStr">
        <is>
          <t>Arc corrompu; Amulette Volkorne; Anneau de Padgref; Anneau Volkorne; Quatre-feuilles; Ceinture Volkorne; Casque Dragoeuf; Voile d'encre; Getas de Padgref; Dofus Ocre; Dofus Ivoire; Dofus Nébuleux; Dofus Pourpre; Dofus Turquoise; Dofus Ébène; Sakochère</t>
        </is>
      </c>
    </row>
    <row r="25842">
      <c r="A25842" t="inlineStr">
        <is>
          <t>Eliotrope M 200</t>
        </is>
      </c>
      <c r="B25842">
        <f>HYPERLINK("https://www.dofusbook.net/fr/equipement/5137610-eliotrope-m-200/objets", "link")</f>
        <v/>
      </c>
      <c r="C25842" t="n">
        <v>1</v>
      </c>
      <c r="D25842" t="inlineStr">
        <is>
          <t>Arc du Chalœil; Collier de Tourthon; Anneau Crustique; Anneau Volkorne; Bouclier du Stalak; Ceinture Volkorne; Masque de Koutoulou; Cape au Logis; Bottes du Cœur Saignant; Dofus Ocre; Dofus Ébène; Dofus Pourpre; Dofus Nébuleux; Dofus Ivoire; Enragé majeur; Kompost</t>
        </is>
      </c>
    </row>
    <row r="25843">
      <c r="A25843" t="inlineStr">
        <is>
          <t>Eniripsa M 200</t>
        </is>
      </c>
      <c r="B25843">
        <f>HYPERLINK("https://www.dofusbook.net/fr/equipement/5126555-eniripsa-m-200/objets", "link")</f>
        <v/>
      </c>
      <c r="C25843" t="n">
        <v>2</v>
      </c>
      <c r="D25843" t="inlineStr">
        <is>
          <t>Arc corrompu; Pendentif mignon de Koutoulou; Anneauræus; Anneau Rifique; Bouclier du Stalak; Protopagne; Casque Dragoeuf; Cape de Diondin; Bottes Innommables; Dofus Abyssal; Dofus Ivoire; Dofus Ocre; Dofus Ébène; Étourdisseur majeur; Érudit majeur; Dragoune Rose</t>
        </is>
      </c>
    </row>
    <row r="25844">
      <c r="A25844" t="inlineStr">
        <is>
          <t>Pandawa M 200</t>
        </is>
      </c>
      <c r="B25844">
        <f>HYPERLINK("https://www.dofusbook.net/fr/equipement/5110147-pandawa-m-200/objets", "link")</f>
        <v/>
      </c>
      <c r="C25844" t="n">
        <v>3</v>
      </c>
      <c r="D25844" t="inlineStr">
        <is>
          <t>Arc corrompu; Pendentif mignon de Koutoulou; Anneauræus; Anneau Rifique; Droiture de Fallanster; Ceinture de Gein; Casque Dragoeuf; Bravoure de Rykke Errel; Getas Bernacle; Dofus Ocre; Dofus Abyssal; Dofus Ivoire; Dofus Vulbis; Dofus Ébène; Érudit majeur; Volkorne Orchidée</t>
        </is>
      </c>
    </row>
    <row r="25845">
      <c r="A25845" t="inlineStr">
        <is>
          <t>Huppermage M 200</t>
        </is>
      </c>
      <c r="B25845">
        <f>HYPERLINK("https://www.dofusbook.net/fr/equipement/5103080-huppermage-m-200/objets", "link")</f>
        <v/>
      </c>
      <c r="C25845" t="n">
        <v>1</v>
      </c>
      <c r="D25845" t="inlineStr">
        <is>
          <t>Le Thanos; Torquistik; Bague Instable; Anneauræus; Bouclier précieux; Audace de Dodge; Casque Dragoeuf; Cape Solution; Bottistik; Dofus Ocre; Dofus Abyssal; Dofus Ivoire; Guérisseur majeur; Culbuteur majeur; Bousculeur majeur; Balafreux</t>
        </is>
      </c>
    </row>
    <row r="25846">
      <c r="A25846" t="inlineStr">
        <is>
          <t>Enutrof M 200</t>
        </is>
      </c>
      <c r="B25846">
        <f>HYPERLINK("https://www.dofusbook.net/fr/equipement/5096024-enutrof-m-200/objets", "link")</f>
        <v/>
      </c>
      <c r="C25846" t="n">
        <v>1</v>
      </c>
      <c r="D25846" t="inlineStr">
        <is>
          <t>Arc Nécrotique; Amulette Volkorne; Anneau Volkorne; Anneau de Padgref; Quatre-feuilles; Ceinture Volkorne; Casquette de Meno; Cape de Meno; Bottes de Meno</t>
        </is>
      </c>
    </row>
    <row r="25847">
      <c r="A25847" t="inlineStr">
        <is>
          <t>Crâ M 200</t>
        </is>
      </c>
      <c r="B25847">
        <f>HYPERLINK("https://www.dofusbook.net/fr/equipement/5088823-cra-m-200/objets", "link")</f>
        <v/>
      </c>
      <c r="C25847" t="n">
        <v>6</v>
      </c>
      <c r="D25847" t="inlineStr">
        <is>
          <t>Sabres d'Atcham; Amulette Volkorne; Alliance Gloursonne; Anneau Volkorne; Cadran de Terre; Ceinture Volkorne; Casque Dragoeuf; Cape d'Atcham; Sandales  d'Atcham; Dofus Pourpre; Dofus Abyssal; Dofus Ocre; Dofus Ébène; Dofus Ivoire; Paralyseur majeur; Volkorne Ivoire</t>
        </is>
      </c>
    </row>
    <row r="25848">
      <c r="A25848" t="inlineStr">
        <is>
          <t>Eliotrope M 200</t>
        </is>
      </c>
      <c r="B25848">
        <f>HYPERLINK("https://www.dofusbook.net/fr/equipement/5087470-eliotrope-m-200/objets", "link")</f>
        <v/>
      </c>
      <c r="C25848" t="n">
        <v>1</v>
      </c>
      <c r="D25848" t="inlineStr">
        <is>
          <t>Arc du Chalœil; Amulette du Cœur Saignant; Chevalière du Roi Joueur; Anneau Volkorne; Quatre-feuilles; Ceinture Volkorne; Couronne du Roi Joueur; Cape du Cœur Saignant; Bottes du Cœur Saignant; Dofus Turquoise; Dofus Ébène; Dofus Vulbis; Dofus Ivoire; Dofus Ocre; Dofus Abyssal; Sakochère</t>
        </is>
      </c>
    </row>
    <row r="25849">
      <c r="A25849" t="inlineStr">
        <is>
          <t>Iop M 200</t>
        </is>
      </c>
      <c r="B25849">
        <f>HYPERLINK("https://www.dofusbook.net/fr/equipement/5079960-iop-m-200/objets", "link")</f>
        <v/>
      </c>
      <c r="C25849" t="n">
        <v>1</v>
      </c>
      <c r="D25849" t="inlineStr">
        <is>
          <t>Dagues Érhy; Amulette Volkorne; Chevalière du Roi Joueur; Anneau Volkorne; Bouclier du Captain Amakna; Ceinture Volkorne; Couronne du Roi Joueur; Voile d'encre; Bottes du Roi Joueur; Dofus Ocre; Dofus Abyssal; Dofus Turquoise; Dofus Ébène; Dofus Pourpre; Dofus Ivoire; Sakochère</t>
        </is>
      </c>
    </row>
    <row r="25850">
      <c r="A25850" t="inlineStr">
        <is>
          <t>Xélor M 200</t>
        </is>
      </c>
      <c r="B25850">
        <f>HYPERLINK("https://www.dofusbook.net/fr/equipement/5077576-xelor-m-200/objets", "link")</f>
        <v/>
      </c>
      <c r="C25850" t="n">
        <v>1</v>
      </c>
      <c r="D25850" t="inlineStr">
        <is>
          <t>Arc du Chalœil; Amulette du Cœur Saignant; Anneau Volkorne; Anneau Crustique; Quatre-feuilles; Ceinture Volkorne; Chapeau de Gein; Cape du Cœur Saignant; Bottes du Cœur Saignant; Dofus Ocre; Dofus Ivoire; Dofus Vulbis; Dofus Ébène; Dofus Turquoise; Dofus Abyssal; Sakochère</t>
        </is>
      </c>
    </row>
    <row r="25851">
      <c r="A25851" t="inlineStr">
        <is>
          <t>Xélor M 200</t>
        </is>
      </c>
      <c r="B25851">
        <f>HYPERLINK("https://www.dofusbook.net/fr/equipement/5077043-xelor-m-200/objets", "link")</f>
        <v/>
      </c>
      <c r="C25851" t="n">
        <v>2</v>
      </c>
      <c r="D25851" t="inlineStr">
        <is>
          <t>Sabres d'Atcham; Amulette Volkorne; Alliance Gloursonne; Anneau Volkorne; Sept ans de malheur; Ceinture Volkorne; Casque Dragoeuf; Cape d'Atcham; Sandales  d'Atcham; Dofus Émeraude; Dofus Ébène; Dofus Ocre; Dofus Abyssal; Dofus Ivoire; Paralyseur majeur; Volkorne Ivoire</t>
        </is>
      </c>
    </row>
    <row r="25852">
      <c r="A25852" t="inlineStr">
        <is>
          <t>Sacrieur M 200</t>
        </is>
      </c>
      <c r="B25852">
        <f>HYPERLINK("https://www.dofusbook.net/fr/equipement/5074326-sacrieur-m-200/objets", "link")</f>
        <v/>
      </c>
      <c r="C25852" t="n">
        <v>2</v>
      </c>
      <c r="D25852" t="inlineStr">
        <is>
          <t>Crocobur; Collier du Valet Veinard; Gant du Valet Veinard; Alliance Gloursonne; Bouclier d'Ilyzaelle; Ceinture de Vortex; Cagoule de Vortex; Cape du Valet Veinard; Sabots de Vortex; Dofus Vulbis; Dofus Ébène; Dofus Émeraude; Dofus Abyssal; Dofus Ocre; Dofus Ivoire; Bwak d'Air</t>
        </is>
      </c>
    </row>
    <row r="25853">
      <c r="A25853" t="inlineStr">
        <is>
          <t>Sram M 200</t>
        </is>
      </c>
      <c r="B25853">
        <f>HYPERLINK("https://www.dofusbook.net/fr/equipement/5020733-sram-m-200/objets", "link")</f>
        <v/>
      </c>
      <c r="C25853" t="n">
        <v>10</v>
      </c>
      <c r="D25853" t="inlineStr">
        <is>
          <t>Hache du Chalœil; Amulette Volkorne; Chevalière du Roi Joueur; Anneau Volkorne; Quatre-feuilles; Ceinture Volkorne; Couronne du Roi Joueur; Voile d'encre; Bottes du Roi Joueur; Dofus Ocre; Dofus Ébène; Dofus Turquoise; Dofus Abyssal; Dofus Pourpre; Dofus Ivoire; Volkorne Pourpre</t>
        </is>
      </c>
    </row>
    <row r="25854">
      <c r="A25854" t="inlineStr">
        <is>
          <t>Féca M 200</t>
        </is>
      </c>
      <c r="B25854">
        <f>HYPERLINK("https://www.dofusbook.net/fr/equipement/4989435-feca-m-200/objets", "link")</f>
        <v/>
      </c>
      <c r="C25854" t="n">
        <v>3</v>
      </c>
      <c r="D25854" t="inlineStr">
        <is>
          <t>Lav'Hache; Amulette Volkorne; Anneau Crustique; Anneau Volkorne; Bouclier d'Ilyzaelle; Ceinture Volkorne; Masque de Koutoulou; Ankhape; Bottes Honyme; Dofus Émeraude; Dofus Ébène; Dofus Argenté; Dofus Abyssal; Dofus Ivoire; Paralyseur majeur; Drakopin</t>
        </is>
      </c>
    </row>
    <row r="25855">
      <c r="A25855" t="inlineStr">
        <is>
          <t>Sram M 200</t>
        </is>
      </c>
      <c r="B25855">
        <f>HYPERLINK("https://www.dofusbook.net/fr/equipement/5002781-sram-m-200/objets", "link")</f>
        <v/>
      </c>
      <c r="C25855" t="n">
        <v>1</v>
      </c>
      <c r="D25855" t="inlineStr">
        <is>
          <t>Marteau R'ture; Amulette du Cœur Saignant; Anneau Volkorne; Chevalière du Roi Joueur; Bouclier du Captain Amakna; Ceinture Volkorne; Couronne du Roi Joueur; Cape du Cœur Saignant; Bottes du Cœur Saignant; Dofus Vulbis; Dofus Ivoire; Dofus Ocre; Dofus Ébène; Dofus Nébuleux; Dofus Turquoise; Volkorne Pourpre</t>
        </is>
      </c>
    </row>
    <row r="25856">
      <c r="A25856" t="inlineStr">
        <is>
          <t>Ecaflip M 200</t>
        </is>
      </c>
      <c r="B25856">
        <f>HYPERLINK("https://www.dofusbook.net/fr/equipement/4982521-ecaflip-m-200/objets", "link")</f>
        <v/>
      </c>
      <c r="C25856" t="n">
        <v>0</v>
      </c>
      <c r="D25856" t="inlineStr"/>
    </row>
    <row r="25857">
      <c r="A25857" t="inlineStr">
        <is>
          <t>Ouginak M 200</t>
        </is>
      </c>
      <c r="B25857">
        <f>HYPERLINK("https://www.dofusbook.net/fr/equipement/4976112-ouginak-m-200/objets", "link")</f>
        <v/>
      </c>
      <c r="C25857" t="n">
        <v>3</v>
      </c>
      <c r="D25857" t="inlineStr">
        <is>
          <t>Marteau R'ture; Amulette du Strigide; Anneau Crustique; Anneau Crustique; Bouclier d'Ilyzaelle; Ceintacé; Kanistère; Cape au Logis; Bottes du Strigide; Dofus Ivoire; Dokoko; Dofus Abyssal; Dofus Ébène; Précurseur majeur; Fonceur majeur; Kougnard</t>
        </is>
      </c>
    </row>
    <row r="25858">
      <c r="A25858" t="inlineStr">
        <is>
          <t>Féca M 200</t>
        </is>
      </c>
      <c r="B25858">
        <f>HYPERLINK("https://www.dofusbook.net/fr/equipement/4972955-feca-m-200/objets", "link")</f>
        <v/>
      </c>
      <c r="C25858" t="n">
        <v>2</v>
      </c>
      <c r="D25858" t="inlineStr">
        <is>
          <t>Marteau R'ture; Amulette du Cœur Saignant; Chevalière du Roi Joueur; Anneau Volkorne; Bouclier du Captain Amakna; Ceinture Volkorne; Couronne du Roi Joueur; Cape du Cœur Saignant; Bottes du Cœur Saignant; Dofus Turquoise; Dofus Ébène; Dofus Ocre; Dofus Abyssal; Dofus Vulbis; Dofus Ivoire; Drakopin</t>
        </is>
      </c>
    </row>
    <row r="25859">
      <c r="A25859" t="inlineStr">
        <is>
          <t>Sacrieur M 200</t>
        </is>
      </c>
      <c r="B25859">
        <f>HYPERLINK("https://www.dofusbook.net/fr/equipement/4971534-sacrieur-m-200/objets", "link")</f>
        <v/>
      </c>
      <c r="C25859" t="n">
        <v>1</v>
      </c>
      <c r="D25859" t="inlineStr">
        <is>
          <t>Crocobur; Collier du Valet Veinard; Alliance Gloursonne; Gant du Valet Veinard; Bouclier d'Ilyzaelle; Menoture; Couronne d'Allister; Voilamibe; Palmes Trithons; Dofus Abyssal; Dofus Émeraude; Dofus Ébène; Dofus Ocre; Dofus Ivoire; Cascadeur majeur; Dragodinde Ebène et Ivoire</t>
        </is>
      </c>
    </row>
    <row r="25860">
      <c r="A25860" t="inlineStr">
        <is>
          <t>Sram M 200</t>
        </is>
      </c>
      <c r="B25860">
        <f>HYPERLINK("https://www.dofusbook.net/fr/equipement/4969527-sram-m-200/objets", "link")</f>
        <v/>
      </c>
      <c r="C25860" t="n">
        <v>4</v>
      </c>
      <c r="D25860" t="inlineStr">
        <is>
          <t>Arc du Chalœil; Amulette du Strigide; Anneau de Brouce; Chevalière du Roi Joueur; Quatre-feuilles; Ceinture de Brouce; Couronne du Roi Joueur; Cape au Logis; Bottes de Brouce; Dofus Turquoise; Dofus Ébène; Dofus Ocre; Dofus Abyssal; Dofus Pourpre; Dofus Ivoire; Bwak de Terre</t>
        </is>
      </c>
    </row>
    <row r="25861">
      <c r="A25861" t="inlineStr">
        <is>
          <t>Sacrieur M 200</t>
        </is>
      </c>
      <c r="B25861">
        <f>HYPERLINK("https://www.dofusbook.net/fr/equipement/4955381-sacrieur-m-200/objets", "link")</f>
        <v/>
      </c>
      <c r="C25861" t="n">
        <v>3</v>
      </c>
      <c r="D25861" t="inlineStr">
        <is>
          <t>Hache du Chalœil; Amulette Volkorne; Chevalière du Roi Joueur; Anneau Volkorne; Bouclier du Captain Amakna; Ceinture Volkorne; Couronne du Roi Joueur; Cape de Jahash Jurgen; Bottes du Roi Joueur; Dofus Turquoise; Dofus Ébène; Dofus Ocre; Dofus Nébuleux; Dofus Pourpre; Dofus Ivoire; Kokulte</t>
        </is>
      </c>
    </row>
    <row r="25862">
      <c r="A25862" t="inlineStr">
        <is>
          <t>Osamodas M 200</t>
        </is>
      </c>
      <c r="B25862">
        <f>HYPERLINK("https://www.dofusbook.net/fr/equipement/4948829-osamodas-m-200/objets", "link")</f>
        <v/>
      </c>
      <c r="C25862" t="n">
        <v>1</v>
      </c>
      <c r="D25862" t="inlineStr">
        <is>
          <t>Dagues Érhy; Amulette Ementaire Deluxe; Anneau Volkorne; Anneau des égarés; Bouclier du Stalak; Ceinture Volkorne; Casque Volkorne; Cape du Kamasterisk; Bottes du Kamasterisk; Dofus Ocre; Dofus Abyssal; Dofus des Glaces; Dofus Ivoire; Dofus Émeraude; Dofus Ébène; Volkorne Pourpre et Ebène</t>
        </is>
      </c>
    </row>
    <row r="25863">
      <c r="A25863" t="inlineStr">
        <is>
          <t>Huppermage M 200</t>
        </is>
      </c>
      <c r="B25863">
        <f>HYPERLINK("https://www.dofusbook.net/fr/equipement/4933875-huppermage-m-200/objets", "link")</f>
        <v/>
      </c>
      <c r="C25863" t="n">
        <v>1</v>
      </c>
      <c r="D25863" t="inlineStr">
        <is>
          <t>Sabres d'Atcham; Amulette Volkorne; Alliance Gloursonne; Anneau Volkorne; Quatre-feuilles; Ceinture de l'Indicible; Casque Volkorne; Cape d'Atcham; Sandales  d'Atcham; Dofus Turquoise; Dofus Ébène; Dofus Ocre; Dofus Abyssal; Dofus Pourpre; Dofus Ivoire; Volkorne Emeraude et Ivoire</t>
        </is>
      </c>
    </row>
    <row r="25864">
      <c r="A25864" t="inlineStr">
        <is>
          <t>Sacrieur M 200</t>
        </is>
      </c>
      <c r="B25864">
        <f>HYPERLINK("https://www.dofusbook.net/fr/equipement/4920245-sacrieur-m-200/objets", "link")</f>
        <v/>
      </c>
      <c r="C25864" t="n">
        <v>1</v>
      </c>
      <c r="D25864" t="inlineStr">
        <is>
          <t>Crocobur; Collier du Valet Veinard; Gant du Valet Veinard; Alliance Gloursonne; Bouclier d'Ilyzaelle; Menoture; Casque Dragoeuf; Voilamibe; Palmes Trithons; Dofus Émeraude; Dofus Ocre; Dofus Ébène; Dofus Ivoire; Dofus Abyssal; Cascadeur majeur; Dragodinde Ebène et Ivoire</t>
        </is>
      </c>
    </row>
    <row r="25865">
      <c r="A25865" t="inlineStr">
        <is>
          <t>Iop M 200</t>
        </is>
      </c>
      <c r="B25865">
        <f>HYPERLINK("https://www.dofusbook.net/fr/equipement/4922135-iop-m-200/objets", "link")</f>
        <v/>
      </c>
      <c r="C25865" t="n">
        <v>2</v>
      </c>
      <c r="D25865" t="inlineStr">
        <is>
          <t>Arc corrompu; Pendentif mignon de Koutoulou; Anneau Rifique; Anneauræus; Bouclier du Stalak; Protopagne; Heaume Oplate; Voile d'encre; Bottes Innommables; Dofus Ocre; Dofus Ébène; Dofus Abyssal; Dofus Pourpre; Dofus Ivoire; Érudit majeur; Dragodinde Amande et Orchidée</t>
        </is>
      </c>
    </row>
    <row r="25866">
      <c r="A25866" t="inlineStr">
        <is>
          <t>DWS 1</t>
        </is>
      </c>
      <c r="B25866">
        <f>HYPERLINK("https://www.dofusbook.net/fr/equipement/4917550-dws-1/objets", "link")</f>
        <v/>
      </c>
      <c r="C25866" t="n">
        <v>1</v>
      </c>
      <c r="D25866" t="inlineStr">
        <is>
          <t>Arc corrompu; Pendentif mignon de Koutoulou; Anneau Rifique; Anneauræus; Bouclier du Stalak; Protopagne; Casque Dragoeuf; Cape de Diondin; Bottes Innommables; Dofus Ocre; Dofus Abyssal; Dofus Ébène; Dofus Ivoire; Érudit majeur; Carapace Feu majeur; Dragodinde Amande et Orchidée</t>
        </is>
      </c>
    </row>
    <row r="25867">
      <c r="A25867" t="inlineStr">
        <is>
          <t>Crâ M 200</t>
        </is>
      </c>
      <c r="B25867">
        <f>HYPERLINK("https://www.dofusbook.net/fr/equipement/4920196-cra-m-200/objets", "link")</f>
        <v/>
      </c>
      <c r="C25867" t="n">
        <v>2</v>
      </c>
      <c r="D25867" t="inlineStr">
        <is>
          <t>Crocobur; Collier de Tourthon; Anneau Crustique; Anneau Crustique; Droiture de Fallanster; Ceintouse; Masque de Koutoulou; Bravoure de Rykke Errel; Tentassons; Dofus Ocre; Dofus Ébène; Dofus Forgelave; Dofus Ivoire; Dofus Vulbis; Dofus Émeraude; Drakopin</t>
        </is>
      </c>
    </row>
    <row r="25868">
      <c r="A25868" t="inlineStr">
        <is>
          <t>Crâ M 200</t>
        </is>
      </c>
      <c r="B25868">
        <f>HYPERLINK("https://www.dofusbook.net/fr/equipement/4912985-cra-m-200/objets", "link")</f>
        <v/>
      </c>
      <c r="C25868" t="n">
        <v>9</v>
      </c>
      <c r="D25868" t="inlineStr">
        <is>
          <t>Arc du Chalœil; Amulette du Cœur Saignant; Chevalière du Roi Joueur; Anneau Volkorne; Quatre-feuilles; Ceinture Volkorne; Couronne du Roi Joueur; Cape du Cœur Saignant; Bottes du Cœur Saignant; Dofus Turquoise; Dofus Ivoire; Dofus Ocre; Dofus Nébuleux; Dofus Vulbis; Dofus Ébène; Volkorne Saphir et Turquoise</t>
        </is>
      </c>
    </row>
    <row r="25869">
      <c r="A25869" t="inlineStr">
        <is>
          <t>DWS 2</t>
        </is>
      </c>
      <c r="B25869">
        <f>HYPERLINK("https://www.dofusbook.net/fr/equipement/4918763-dws-2/objets", "link")</f>
        <v/>
      </c>
      <c r="C25869" t="n">
        <v>4</v>
      </c>
      <c r="D25869" t="inlineStr">
        <is>
          <t>Arc de Koutoulou; Amulette de Shokkoth; Alliance Gloursonne; Anneau Volkorne; Bouclier du Stalak; Sangle Ouare; Némès de Tal Kasha; Chevelure de Tal Kasha; Sandales de Tal Kasha; Dofus Pourpre; Dofus Ivoire; Dofus Ocre; Dofus Abyssal; Dofus des Glaces; Dofus Ébène; Dragodinde Amande et Indigo</t>
        </is>
      </c>
    </row>
    <row r="25870">
      <c r="A25870" t="inlineStr">
        <is>
          <t>Sram M 200</t>
        </is>
      </c>
      <c r="B25870">
        <f>HYPERLINK("https://www.dofusbook.net/fr/equipement/4900147-sram-m-200/objets", "link")</f>
        <v/>
      </c>
      <c r="C25870" t="n">
        <v>2</v>
      </c>
      <c r="D25870" t="inlineStr">
        <is>
          <t>Hache Ériphe; Amulette Volkorne; Anneau Volkorne; Anneau de Padgref; Quatre-feuilles; Ceinture Volkorne; Coiffe de Padgref; Cape Indescriptible; Getas de Padgref; Dofus Abyssal; Dofus Ocre; Dofus Pourpre; Dofus Ivoire; Dofus Ébène; Dofus Turquoise; Pioute jaune</t>
        </is>
      </c>
    </row>
    <row r="25871">
      <c r="A25871" t="inlineStr">
        <is>
          <t>Sram M 200</t>
        </is>
      </c>
      <c r="B25871">
        <f>HYPERLINK("https://www.dofusbook.net/fr/equipement/4900146-sram-m-200/objets", "link")</f>
        <v/>
      </c>
      <c r="C25871" t="n">
        <v>0</v>
      </c>
      <c r="D25871" t="inlineStr"/>
    </row>
    <row r="25872">
      <c r="A25872" t="inlineStr">
        <is>
          <t>Eniripsa M 200</t>
        </is>
      </c>
      <c r="B25872">
        <f>HYPERLINK("https://www.dofusbook.net/fr/equipement/4884111-eniripsa-m-200/objets", "link")</f>
        <v/>
      </c>
      <c r="C25872" t="n">
        <v>4</v>
      </c>
      <c r="D25872" t="inlineStr">
        <is>
          <t>Arc corrompu; Amulette Volkorne; Anneau de Padgref; Anneau Volkorne; Quatre-feuilles; Ceinture Volkorne; Coiffe de Padgref; Cape de Diondin; Getas de Padgref; Dofus Turquoise; Dofus Ivoire; Dofus Pourpre; Dofus Abyssal; Dofus Nébuleux; Dofus Ébène; Pioute rouge</t>
        </is>
      </c>
    </row>
    <row r="25873">
      <c r="A25873" t="inlineStr">
        <is>
          <t>Xélor M 200</t>
        </is>
      </c>
      <c r="B25873">
        <f>HYPERLINK("https://www.dofusbook.net/fr/equipement/4880360-xelor-m-200/objets", "link")</f>
        <v/>
      </c>
      <c r="C25873" t="n">
        <v>2</v>
      </c>
      <c r="D25873" t="inlineStr">
        <is>
          <t>Spatule Tranche-Gourmands; Amulette du Kamasterisk; Anneau Volkorne; Anneau des égarés; Bouclier du Captain Amakna; Ceinture Volkorne; Casque Volkorne; Cape du Kamasterisk; Bottes du Kamasterisk; Dofus Ocre; Dofus Abyssal; Dofus Pourpre; Dofus Ivoire; Dofus Turquoise; Dofus Ébène; Kokulte</t>
        </is>
      </c>
    </row>
    <row r="25874">
      <c r="A25874" t="inlineStr">
        <is>
          <t>Osamodas M 200</t>
        </is>
      </c>
      <c r="B25874">
        <f>HYPERLINK("https://www.dofusbook.net/fr/equipement/4687494-osamodas-m-200/objets", "link")</f>
        <v/>
      </c>
      <c r="C25874" t="n">
        <v>1</v>
      </c>
      <c r="D25874" t="inlineStr">
        <is>
          <t>Le Thanos; Amulette Ementaire Deluxe; Anneau Volkorne; Bague Gloursonne; Droiture de Fallanster; Ceinture Volkorne; Masque de Koutoulou; Bravoure de Rykke Errel; Bottes Dogues; Dofus Abyssal; Dofus Ébène; Dofus Ivoire; Dofus Ocre; Enragé majeur; Guérisseur majeur; Dragodinde Pourpre et Rousse</t>
        </is>
      </c>
    </row>
    <row r="25875">
      <c r="A25875" t="inlineStr">
        <is>
          <t>Sadida M 200</t>
        </is>
      </c>
      <c r="B25875">
        <f>HYPERLINK("https://www.dofusbook.net/fr/equipement/4863357-sadida-m-200/objets", "link")</f>
        <v/>
      </c>
      <c r="C25875" t="n">
        <v>4</v>
      </c>
      <c r="D25875" t="inlineStr">
        <is>
          <t>Arc Honte; Amulette Volkorne; Anneau Volkorne; Anneau du Katcheur; Bouclier du Stalak; Ceinture Volkorne; Masque du Katcheur; Voile d'encre; Bottes du Katcheur; Dofus Ocre; Dofus Abyssal; Dofus Ivoire; Dofus des Glaces; Dofus Pourpre; Dofus Ébène; Volkorne Turquoise</t>
        </is>
      </c>
    </row>
    <row r="25876">
      <c r="A25876" t="inlineStr">
        <is>
          <t>Ouginak M 200</t>
        </is>
      </c>
      <c r="B25876">
        <f>HYPERLINK("https://www.dofusbook.net/fr/equipement/4860605-ouginak-m-200/objets", "link")</f>
        <v/>
      </c>
      <c r="C25876" t="n">
        <v>1</v>
      </c>
      <c r="D25876" t="inlineStr">
        <is>
          <t>Dagoulinantes; Amulette du Sinistrofu; Anneau en Grithril; Anneau Volkorne; Bouclier du Stalak; Ceinture en Grithril; Casque en Grithril; Cape du Sinistrofu; Bottes du Sinistrofu; Dofus Ocre; Dofus Ivoire; Dofus des Glaces; Dofus Abyssal; Dofus Vulbis; Dofus Ébène; Dragodinde Prune et Indigo</t>
        </is>
      </c>
    </row>
    <row r="25877">
      <c r="A25877" t="inlineStr">
        <is>
          <t>Ouginak M 200</t>
        </is>
      </c>
      <c r="B25877">
        <f>HYPERLINK("https://www.dofusbook.net/fr/equipement/4860569-ouginak-m-200/objets", "link")</f>
        <v/>
      </c>
      <c r="C25877" t="n">
        <v>1</v>
      </c>
      <c r="D25877" t="inlineStr">
        <is>
          <t>Rapière aux Glyphes; Amulette du Sinistrofu; Alliance Gloursonne; Anneau Volkorne; Bouclier du Stalak; Sangle Ouare; Coiffe de Danathor; Cape Solution; Bottes du Sinistrofu; Dofus Ivoire; Dofus Pourpre; Dofus Ébène; Dofus des Glaces; Dofus Ocre; Chanceux majeur; Dragodinde Prune et Indigo</t>
        </is>
      </c>
    </row>
    <row r="25878">
      <c r="A25878" t="inlineStr">
        <is>
          <t>Sadida M 200</t>
        </is>
      </c>
      <c r="B25878">
        <f>HYPERLINK("https://www.dofusbook.net/fr/equipement/4814876-sadida-m-200/objets", "link")</f>
        <v/>
      </c>
      <c r="C25878" t="n">
        <v>2</v>
      </c>
      <c r="D25878" t="inlineStr">
        <is>
          <t>Hache du Chalœil; Amulette Volkorne; Anneau de Padgref; Anneau Volkorne; Quatre-feuilles; Ceinture Volkorne; Coiffe de Padgref; Cape de Jahash Jurgen; Getas de Padgref; Dofus Ocre; Dofus Ébène; Dofus Pourpre; Dofus Abyssal; Dofus Turquoise; Dofus Ivoire; Kokulte</t>
        </is>
      </c>
    </row>
    <row r="25879">
      <c r="A25879" t="inlineStr">
        <is>
          <t>Sadida M 200</t>
        </is>
      </c>
      <c r="B25879">
        <f>HYPERLINK("https://www.dofusbook.net/fr/equipement/4840258-sadida-m-200/objets", "link")</f>
        <v/>
      </c>
      <c r="C25879" t="n">
        <v>3</v>
      </c>
      <c r="D25879" t="inlineStr">
        <is>
          <t>Arc Honte; Amulette Volkorne; Anneau Volkorne; Anneau du Katcheur; Bouclier du Stalak; Ceinture Volkorne; Masque du Katcheur; Cape de Jahash Jurgen; Bottes du Katcheur; Dofus Ocre; Dofus Ébène; Dofus des Glaces; Dofus Abyssal; Dofus Pourpre; Dofus Ivoire; Volkorne Turquoise</t>
        </is>
      </c>
    </row>
    <row r="25880">
      <c r="A25880" t="inlineStr">
        <is>
          <t>Ecaflip M 200</t>
        </is>
      </c>
      <c r="B25880">
        <f>HYPERLINK("https://www.dofusbook.net/fr/equipement/4821670-ecaflip-m-200/objets", "link")</f>
        <v/>
      </c>
      <c r="C25880" t="n">
        <v>1</v>
      </c>
      <c r="D25880" t="inlineStr">
        <is>
          <t>Hache du Chalœil; Amulette du Strigide; Pikano; Anneau Volkorne; Bouclier d'Ilyzaelle; Ceinture Volkorne; Casque du Chalœil; Cape du Chalœil; Bottes du Strigide; Dofus Ocre; Dofus Ivoire; Dofus Vulbis; Dofus Ébène; Dofus Pourpre; Dofus Turquoise; Sakochère</t>
        </is>
      </c>
    </row>
    <row r="25881">
      <c r="A25881" t="inlineStr">
        <is>
          <t>Ouginak M 200</t>
        </is>
      </c>
      <c r="B25881">
        <f>HYPERLINK("https://www.dofusbook.net/fr/equipement/4816972-ouginak-m-200/objets", "link")</f>
        <v/>
      </c>
      <c r="C25881" t="n">
        <v>1</v>
      </c>
      <c r="D25881" t="inlineStr">
        <is>
          <t>Lance corrompue; Amulette du Kamasterisk; Anneau des égarés; Anneau Volkorne; Bouclier du Stalak; Ceinture Volkorne; Casque Volkorne; Cape du Kamasterisk; Bottes du Kamasterisk; Dofus Ocre; Dofus Ébène; Dofus des Glaces; Dofus Abyssal; Dofus Pourpre; Dofus Ivoire; Mékrabe</t>
        </is>
      </c>
    </row>
    <row r="25882">
      <c r="A25882" t="inlineStr">
        <is>
          <t>Ouginak M 200</t>
        </is>
      </c>
      <c r="B25882">
        <f>HYPERLINK("https://www.dofusbook.net/fr/equipement/4814694-ouginak-m-200/objets", "link")</f>
        <v/>
      </c>
      <c r="C25882" t="n">
        <v>0</v>
      </c>
      <c r="D25882" t="inlineStr">
        <is>
          <t>Arc de Koutoulou; Amulette du Strigide; Alliance Gloursonne; Anneau Volkorne; Quatre-feuilles; Ceinture du Strigide; Némès de Tal Kasha; Chevelure de Tal Kasha; Sandales de Tal Kasha; Dofus Turquoise; Dofus Abyssal; Dofus Vulbis; Dofus Ivoire; Dofus Ocre; Dofus Ébène; Kokulte</t>
        </is>
      </c>
    </row>
    <row r="25883">
      <c r="A25883" t="inlineStr">
        <is>
          <t>Ouginak M 200</t>
        </is>
      </c>
      <c r="B25883">
        <f>HYPERLINK("https://www.dofusbook.net/fr/equipement/4813205-ouginak-m-200/objets", "link")</f>
        <v/>
      </c>
      <c r="C25883" t="n">
        <v>4</v>
      </c>
      <c r="D25883" t="inlineStr">
        <is>
          <t>Dagues de Srambad; Amulette Luminescente; Pikano; Anneau Volkorne; Bouclier d'Ilyzaelle; Ceinture Volkorne; Casquipik; Cape Luminescente; Pikottes; Dofus Ocre; Dofus Ébène; Dofus Vulbis; Dofus Ivoire; Dofus Pourpre; Dofus Abyssal; Dragodinde Ivoire et Pourpre</t>
        </is>
      </c>
    </row>
    <row r="25884">
      <c r="A25884" t="inlineStr">
        <is>
          <t>Osamodas M 200</t>
        </is>
      </c>
      <c r="B25884">
        <f>HYPERLINK("https://www.dofusbook.net/fr/equipement/4762475-osamodas-m-200/objets", "link")</f>
        <v/>
      </c>
      <c r="C25884" t="n">
        <v>2</v>
      </c>
      <c r="D25884" t="inlineStr">
        <is>
          <t>Pelle de la Cour Sombre; Amulette Volkorne; Anneau Volkorne; Gant du Valet Veinard; Bouclier du Stalak; Menoture; Casque Volkorne; Cape du Valet Veinard; Palmes Trithons; Dofus Abyssal; Dofus Nébuleux; Dofus Ocre; Dofus Ivoire; Dofus des Glaces; Dofus Ébène; Dragodinde Ebène et Ivoire</t>
        </is>
      </c>
    </row>
    <row r="25885">
      <c r="A25885" t="inlineStr">
        <is>
          <t>Iop M 200</t>
        </is>
      </c>
      <c r="B25885">
        <f>HYPERLINK("https://www.dofusbook.net/fr/equipement/4783229-iop-m-200/objets", "link")</f>
        <v/>
      </c>
      <c r="C25885" t="n">
        <v>1</v>
      </c>
      <c r="D25885" t="inlineStr">
        <is>
          <t>Arc corrompu; Amulette Volkorne; Anneauræus; Anneau Toriété; Bouclier du Stalak; Ceinture Volkorne; Heaume Oplate; Voile d'encre; Bottes Innommables; Dofus Abyssal; Dofus Ivoire; Dofus Ocre; Dofus Ébène; Étourdisseur majeur; Érudit majeur; Kouin-Kouin Noir</t>
        </is>
      </c>
    </row>
    <row r="25886">
      <c r="A25886" t="inlineStr">
        <is>
          <t>Sadida M 200</t>
        </is>
      </c>
      <c r="B25886">
        <f>HYPERLINK("https://www.dofusbook.net/fr/equipement/4776528-sadida-m-200/objets", "link")</f>
        <v/>
      </c>
      <c r="C25886" t="n">
        <v>4</v>
      </c>
      <c r="D25886" t="inlineStr">
        <is>
          <t>Arc Honte; Amulette Volkorne; Anneau du Katcheur; Anneau Volkorne; Bouclier du Stalak; Ceinture Volkorne; Masque du Katcheur; Voile d'encre; Bottes du Katcheur; Dofus des Glaces; Dofus Ébène; Dofus Pourpre; Dofus Abyssal; Dofus Ocre; Dofus Ivoire; Volkorne Turquoise</t>
        </is>
      </c>
    </row>
    <row r="25887">
      <c r="A25887" t="inlineStr">
        <is>
          <t>Enu cha tolta pm</t>
        </is>
      </c>
      <c r="B25887">
        <f>HYPERLINK("https://www.dofusbook.net/fr/equipement/4442715-enu-cha-tolta-pm/objets", "link")</f>
        <v/>
      </c>
      <c r="C25887" t="n">
        <v>4</v>
      </c>
      <c r="D25887" t="inlineStr">
        <is>
          <t>Baguette Hique; Amulette de Shokkoth; Alliance Gloursonne; Anneau Volkorne; Bouclier cubiste; Poulpagne; Casquette de Meno; Cape Solution; Bottes de Meno; Dofus Abyssal; Nomade; Temporiseur majeur; Entraveur majeur; Chanceux majeur; Ralentisseur majeur; Léopardo</t>
        </is>
      </c>
    </row>
    <row r="25888">
      <c r="A25888" t="inlineStr">
        <is>
          <t>Xélor M 200</t>
        </is>
      </c>
      <c r="B25888">
        <f>HYPERLINK("https://www.dofusbook.net/fr/equipement/4754972-xelor-m-200/objets", "link")</f>
        <v/>
      </c>
      <c r="C25888" t="n">
        <v>0</v>
      </c>
      <c r="D25888" t="inlineStr">
        <is>
          <t>Dagues Ricol; Amulette Volkorne; Chevalière du Roi Joueur; Anneau Volkorne; Quatre-feuilles; Ceinture Volkorne; Couronne du Roi Joueur; Bravoure de Rykke Errel; Bottes du Roi Joueur; Dofus Ocre; Dofus Ébène; Dofus Pourpre; Dofus Abyssal; Dofus Turquoise; Dofus Ivoire; Sakochère</t>
        </is>
      </c>
    </row>
    <row r="25889">
      <c r="A25889" t="inlineStr">
        <is>
          <t>Sadida M 200</t>
        </is>
      </c>
      <c r="B25889">
        <f>HYPERLINK("https://www.dofusbook.net/fr/equipement/4748310-sadida-m-200/objets", "link")</f>
        <v/>
      </c>
      <c r="C25889" t="n">
        <v>0</v>
      </c>
      <c r="D25889" t="inlineStr">
        <is>
          <t>Sabres d'Atcham; Amulette Volkorne; Alliance Gloursonne; Anneau Volkorne; Bouclier du Stalak; Ceinture de l'Esprit Salvateur; Masque de l'Esprit Salvateur; Cape d'Atcham; Bottes de l'Esprit Salvateur; Dofus Vulbis; Dofus Abyssal; Dofus Ocre; Dofus Ivoire; Dofus des Glaces; Dofus Ébène; Kouin-Kouin Noir</t>
        </is>
      </c>
    </row>
    <row r="25890">
      <c r="A25890" t="inlineStr">
        <is>
          <t>Enutrof M 200</t>
        </is>
      </c>
      <c r="B25890">
        <f>HYPERLINK("https://www.dofusbook.net/fr/equipement/4748268-enutrof-m-200/objets", "link")</f>
        <v/>
      </c>
      <c r="C25890" t="n">
        <v>0</v>
      </c>
      <c r="D25890" t="inlineStr">
        <is>
          <t>Epée Gloursonne; Amulette de l'Œil Putride; Bague Gloursonne; Alliance Gloursonne; Bouclier du Stalak; Ceinture de l'Esprit Salvateur; Capuche de l'Œil Putride; Cape de l'Œil Putride; Bottes de l'Esprit Salvateur; Dofus des Glaces; Dofus Ébène; Dofus Vulbis; Dofus Abyssal; Dofus Ocre; Dofus Ivoire; Gwo Tofu Ventripotent</t>
        </is>
      </c>
    </row>
    <row r="25891">
      <c r="A25891" t="inlineStr">
        <is>
          <t>Huppermage M 200</t>
        </is>
      </c>
      <c r="B25891">
        <f>HYPERLINK("https://www.dofusbook.net/fr/equipement/4744298-huppermage-m-200/objets", "link")</f>
        <v/>
      </c>
      <c r="C25891" t="n">
        <v>1</v>
      </c>
      <c r="D25891" t="inlineStr">
        <is>
          <t>Sabres d'Atcham; Amulette Volkorne; Alliance Gloursonne; Anneau Volkorne; Quatre-feuilles; Ceinture de l'Esprit Malsain; Casque Volkorne; Cape d'Atcham; Sandales  d'Atcham; Dofus Pourpre; Dofus Abyssal; Dofus Turquoise; Dofus Ivoire; Dofus Ocre; Dofus Ébène; Kokulte</t>
        </is>
      </c>
    </row>
    <row r="25892">
      <c r="A25892" t="inlineStr">
        <is>
          <t>Xélor M 200</t>
        </is>
      </c>
      <c r="B25892">
        <f>HYPERLINK("https://www.dofusbook.net/fr/equipement/4742798-xelor-m-200/objets", "link")</f>
        <v/>
      </c>
      <c r="C25892" t="n">
        <v>7</v>
      </c>
      <c r="D25892" t="inlineStr">
        <is>
          <t>Arc de Koutoulou; Amulette d'Ilyzaelle; Alliance Gloursonne; Anneau Volkorne; Bouclier d'Ilyzaelle; Menoture; Casque Volkorne; Chevelure de Tal Kasha; Sandales de Tal Kasha; Dofus Vulbis; Dofus Ébène; Dofus Émeraude; Dofus Abyssal; Dofus Ocre; Dofus Ivoire; Drakopin</t>
        </is>
      </c>
    </row>
    <row r="25893">
      <c r="A25893" t="inlineStr">
        <is>
          <t>Iop M 200</t>
        </is>
      </c>
      <c r="B25893">
        <f>HYPERLINK("https://www.dofusbook.net/fr/equipement/4741872-iop-m-200/objets", "link")</f>
        <v/>
      </c>
      <c r="C25893" t="n">
        <v>0</v>
      </c>
      <c r="D25893" t="inlineStr">
        <is>
          <t>Couteaux Sacrificiels; Amulette Volkorne; Lavanneau; Anneau Volkorne; Bouclier d'Ilyzaelle; Ceinture Volkorne; Masque Paztek; Cape Paztek; Pataugastrique; Dofus Émeraude; Dofus Ivoire; Dofus Pourpre; Dofus Abyssal; Dofus Ocre; Dofus Ébène; Walk</t>
        </is>
      </c>
    </row>
    <row r="25894">
      <c r="A25894" t="inlineStr">
        <is>
          <t>Iop M 200</t>
        </is>
      </c>
      <c r="B25894">
        <f>HYPERLINK("https://www.dofusbook.net/fr/equipement/4735485-iop-m-200/objets", "link")</f>
        <v/>
      </c>
      <c r="C25894" t="n">
        <v>1</v>
      </c>
      <c r="D25894" t="inlineStr">
        <is>
          <t>Arc corrompu; Amulette Volkorne; Anneau Volkorne; Anneauræus; Bouclier du Stalak; Ceinture Volkorne; Heaume Oplate; Cape de Nileza; Bottes de Nileza; Dofus Ocre; Dofus Ébène; Dofus des Glaces; Dofus Abyssal; Dofus Pourpre; Dofus Ivoire; Bisouglours</t>
        </is>
      </c>
    </row>
    <row r="25895">
      <c r="A25895" t="inlineStr">
        <is>
          <t>Iop M 200</t>
        </is>
      </c>
      <c r="B25895">
        <f>HYPERLINK("https://www.dofusbook.net/fr/equipement/4709958-iop-m-200/objets", "link")</f>
        <v/>
      </c>
      <c r="C25895" t="n">
        <v>0</v>
      </c>
      <c r="D25895" t="inlineStr">
        <is>
          <t>Dagoulinantes; Amulette Volkorne; Alliance Gloursonne; Anneau Volkorne; Bouclier d'Ilyzaelle; Ceinture de Dame Jhessica; Kidibonnet; Cape Solution; Bottes du Nocturlabe; Dofus Émeraude; Dofus Vulbis; Dofus Abyssal; Dofus Ébène; Dofus Ivoire; Chanceux majeur; Bwak d'Air</t>
        </is>
      </c>
    </row>
    <row r="25896">
      <c r="A25896" t="inlineStr">
        <is>
          <t>Ouginak M 200</t>
        </is>
      </c>
      <c r="B25896">
        <f>HYPERLINK("https://www.dofusbook.net/fr/equipement/4707386-ouginak-m-200/objets", "link")</f>
        <v/>
      </c>
      <c r="C25896" t="n">
        <v>1</v>
      </c>
      <c r="D25896" t="inlineStr">
        <is>
          <t>Dagues de Srambad; Amulette Luminescente; Anneau en Grithril; Anneau Volkorne; Bouclier d'Ilyzaelle; Ceinture Volkorne; Casque Volkorne; Cape Luminescente; Bottes Honyme; Dofus Ocre; Dofus Ébène; Dofus Pourpre; Dofus Abyssal; Dofus Émeraude; Dofus Ivoire; Kramkram</t>
        </is>
      </c>
    </row>
    <row r="25897">
      <c r="A25897" t="inlineStr">
        <is>
          <t>Pandawa M 200</t>
        </is>
      </c>
      <c r="B25897">
        <f>HYPERLINK("https://www.dofusbook.net/fr/equipement/4692411-pandawa-m-200/objets", "link")</f>
        <v/>
      </c>
      <c r="C25897" t="n">
        <v>2</v>
      </c>
      <c r="D25897" t="inlineStr">
        <is>
          <t>Arc Hétype; Amulette Volkorne; Anneauræus; Anneau Toriété; Droiture de Fallanster; Ceinture Volkorne; Casque Dragoeuf; Cape de Diondin; Getas Bernacle; Dofus Abyssal; Dofus Ivoire; Dofus Ocre; Dofus Ébène; Fonceur majeur; Érudit majeur; Dragodinde Amande et Orchidée</t>
        </is>
      </c>
    </row>
    <row r="25898">
      <c r="A25898" t="inlineStr">
        <is>
          <t>Zobal M 200</t>
        </is>
      </c>
      <c r="B25898">
        <f>HYPERLINK("https://www.dofusbook.net/fr/equipement/4674973-zobal-m-200/objets", "link")</f>
        <v/>
      </c>
      <c r="C25898" t="n">
        <v>5</v>
      </c>
      <c r="D25898" t="inlineStr">
        <is>
          <t>Masse Ossiale; Amulette du Sinistrofu; Alliance Gloursonne; Anneau Volkorne; Bivalve; Sangle Ouare; Masque Paztek; Cape Solution; Sandales Paztek; Dofus Ivoire; Dofus Ocre; Dofus Abyssal; Chanceux majeur; Culbuteur majeur; Bousculeur majeur; Écumouth</t>
        </is>
      </c>
    </row>
    <row r="25899">
      <c r="A25899" t="inlineStr">
        <is>
          <t>Sacrieur M 200</t>
        </is>
      </c>
      <c r="B25899">
        <f>HYPERLINK("https://www.dofusbook.net/fr/equipement/4666109-sacrieur-m-200/objets", "link")</f>
        <v/>
      </c>
      <c r="C25899" t="n">
        <v>1</v>
      </c>
      <c r="D25899" t="inlineStr">
        <is>
          <t>L'Épée Nice; Collier du Valet Veinard; Gant du Valet Veinard; Alliance Gloursonne; Bouclier d'Ilyzaelle; Menoture; Casque Volkorne; Cape Martegel; Palmes Trithons; Dofus Abyssal; Dofus Émeraude; Dofus Ivoire; Dofus Ocre; Dofus Ébène; Cascadeur majeur; Dragodinde Ebène et Ivoire</t>
        </is>
      </c>
    </row>
    <row r="25900">
      <c r="A25900" t="inlineStr">
        <is>
          <t>Eniripsa M 200</t>
        </is>
      </c>
      <c r="B25900">
        <f>HYPERLINK("https://www.dofusbook.net/fr/equipement/4651694-eniripsa-m-200/objets", "link")</f>
        <v/>
      </c>
      <c r="C25900" t="n">
        <v>0</v>
      </c>
      <c r="D25900" t="inlineStr">
        <is>
          <t>Arc corrompu; Amulette Volkorne; Anneauræus; Anneauræus; Bouclier du Stalak; Ceinture Volkorne; Heaume Oplate; Voile d'encre; Pataugastrique; Dofus Ivoire; Dofus Ébène; Dofus Pourpre; Dofus Vulbis; Dofus Abyssal; Érudit majeur; Bisouglours</t>
        </is>
      </c>
    </row>
    <row r="25901">
      <c r="A25901" t="inlineStr">
        <is>
          <t>Sacrieur M 200</t>
        </is>
      </c>
      <c r="B25901">
        <f>HYPERLINK("https://www.dofusbook.net/fr/equipement/4643149-sacrieur-m-200/objets", "link")</f>
        <v/>
      </c>
      <c r="C25901" t="n">
        <v>0</v>
      </c>
      <c r="D25901" t="inlineStr">
        <is>
          <t>Baguette de Malléfisk; Amulette Volkorne; Anneauræus; Anneauræus; Bouclier d'Ilyzaelle; Ceinture Volkorne; Heaume Oplate; Cape de Diondin; Bottes Innommables; Dofus Vulbis; Dofus Ivoire; Dofus Émeraude; Dofus Abyssal; Érudit majeur; Obstructeur majeur; Dragodinde Orchidée et Rousse</t>
        </is>
      </c>
    </row>
    <row r="25902">
      <c r="A25902" t="inlineStr">
        <is>
          <t>Sacrieur M 200</t>
        </is>
      </c>
      <c r="B25902">
        <f>HYPERLINK("https://www.dofusbook.net/fr/equipement/4624420-sacrieur-m-200/objets", "link")</f>
        <v/>
      </c>
      <c r="C25902" t="n">
        <v>2</v>
      </c>
      <c r="D25902" t="inlineStr">
        <is>
          <t>Plume de Buhorado; Collier du Valet Veinard; Anneau Rifique; Alliance Gloursonne; Bouclier d'Ilyzaelle; Menoture; Masque d'Anerice; Cape d'Anerice; Palmes Trithons; Dofus Ocre; Dofus Abyssal; Dofus Émeraude; Dofus Ivoire; Miraculé majeur; Cascadeur majeur; Dragodinde Prune et Ebène</t>
        </is>
      </c>
    </row>
    <row r="25903">
      <c r="A25903" t="inlineStr">
        <is>
          <t>Ouginak M 200</t>
        </is>
      </c>
      <c r="B25903">
        <f>HYPERLINK("https://www.dofusbook.net/fr/equipement/4624321-ouginak-m-200/objets", "link")</f>
        <v/>
      </c>
      <c r="C25903" t="n">
        <v>0</v>
      </c>
      <c r="D25903" t="inlineStr">
        <is>
          <t>Marteau R'ture; Amulette du Strigide; Anneau Crustique; Anneau Crustique; Bouclier d'Ilyzaelle; Ceintacé; Masque de Koutoulou; Bravoure de Rykke Errel; Bottes du Strigide; Dofus Vulbis; Dofus Ivoire; Dofus Émeraude; Dofus Abyssal; Miraculé majeur; Enragé majeur; Bwak de Terre</t>
        </is>
      </c>
    </row>
    <row r="25904">
      <c r="A25904" t="inlineStr">
        <is>
          <t>Sacrieur M 200</t>
        </is>
      </c>
      <c r="B25904">
        <f>HYPERLINK("https://www.dofusbook.net/fr/equipement/4619617-sacrieur-m-200/objets", "link")</f>
        <v/>
      </c>
      <c r="C25904" t="n">
        <v>0</v>
      </c>
      <c r="D25904" t="inlineStr">
        <is>
          <t>Plume de Buhorado; Collier du Valet Veinard; Gant du Valet Veinard; Alliance Gloursonne; Bouclier d'Ilyzaelle; Menoture; Dorabysses; Cape Martegel; Palmes Trithons; Dofus Abyssal; Dofus Nébuleux; Dofus Ivoire; Dofus Ocre; Dofus Ébène; Cascadeur majeur; Dragodinde Ebène et Ivoire</t>
        </is>
      </c>
    </row>
    <row r="25905">
      <c r="A25905" t="inlineStr">
        <is>
          <t>Zobal M 200</t>
        </is>
      </c>
      <c r="B25905">
        <f>HYPERLINK("https://www.dofusbook.net/fr/equipement/4600641-zobal-m-200/objets", "link")</f>
        <v/>
      </c>
      <c r="C25905" t="n">
        <v>1</v>
      </c>
      <c r="D25905" t="inlineStr">
        <is>
          <t>Arc Nécrotique; Amulette Volkorne; Anneau Volkorne; Anneau de Padgref; Quatre-feuilles; Ceinture Volkorne; Coiffe de Padgref; Voile d'encre; Getas de Padgref; Dofus Ocre; Dofus Ébène; Dofus Pourpre; Dofus Abyssal; Dofus Turquoise; Dofus Ivoire; Kokulte</t>
        </is>
      </c>
    </row>
    <row r="25906">
      <c r="A25906" t="inlineStr">
        <is>
          <t>Ouginak M 200</t>
        </is>
      </c>
      <c r="B25906">
        <f>HYPERLINK("https://www.dofusbook.net/fr/equipement/4556519-ouginak-m-200/objets", "link")</f>
        <v/>
      </c>
      <c r="C25906" t="n">
        <v>17</v>
      </c>
      <c r="D25906" t="inlineStr">
        <is>
          <t>Rapière aux Glyphes; Amulette du Sinistrofu; Bracelet des Fonds marins; Anneau Volkorne; Bouclier du Stalak; Ceinture Volkorne; Masque des Fonds marins; Cape du Sinistrofu; Bottes du Sinistrofu; Dofus Vulbis; Dofus Abyssal; Dofus Pourpre; Dofus Ivoire; Dofus Ocre; Dofus Ébène; Dragodinde Prune et Indigo</t>
        </is>
      </c>
    </row>
    <row r="25907">
      <c r="A25907" t="inlineStr">
        <is>
          <t>Iop M 200</t>
        </is>
      </c>
      <c r="B25907">
        <f>HYPERLINK("https://www.dofusbook.net/fr/equipement/4581161-iop-m-200/objets", "link")</f>
        <v/>
      </c>
      <c r="C25907" t="n">
        <v>1</v>
      </c>
      <c r="D25907" t="inlineStr">
        <is>
          <t>Marteau des Anciens Steamers; Amulette d'Ilyzaelle; Alliance Gloursonne; Anneau Volkorne; Bouclier d'Ilyzaelle; Ceinture Volkorne; Casque d'Ilyzaelle; Chevelure de Tal Kasha; Sandales de Tal Kasha; Dofus Vulbis; Dofus Abyssal; Dofus Émeraude; Dofus Ivoire; Dofus Ocre; Dofus Ébène; Bwak d'Air</t>
        </is>
      </c>
    </row>
    <row r="25908">
      <c r="A25908" t="inlineStr">
        <is>
          <t>Sram M 200</t>
        </is>
      </c>
      <c r="B25908">
        <f>HYPERLINK("https://www.dofusbook.net/fr/equipement/4376325-sram-m-200/objets", "link")</f>
        <v/>
      </c>
      <c r="C25908" t="n">
        <v>2</v>
      </c>
      <c r="D25908" t="inlineStr">
        <is>
          <t>Hache du Chalœil; Amulette Volkorne; Chevalière du Roi Joueur; Anneau Volkorne; Quatre-feuilles; Ceinture Volkorne; Couronne du Roi Joueur; Cape de Jahash Jurgen; Bottes du Roi Joueur; Dofus Turquoise; Dofus Ivoire; Dofus Pourpre; Dofus Abyssal; Dofus Ocre; Dofus Ébène; Cromeugnon</t>
        </is>
      </c>
    </row>
    <row r="25909">
      <c r="A25909" t="inlineStr">
        <is>
          <t>Ouginak M 200</t>
        </is>
      </c>
      <c r="B25909">
        <f>HYPERLINK("https://www.dofusbook.net/fr/equipement/4572103-ouginak-m-200/objets", "link")</f>
        <v/>
      </c>
      <c r="C25909" t="n">
        <v>0</v>
      </c>
      <c r="D25909" t="inlineStr">
        <is>
          <t>Marteau R'ture; Amulette du Strigide; Anneau Crustique; Anneau Crustique; Droiture de Fallanster; Ceintacé; Masque de Koutoulou; Bravoure de Rykke Errel; Bottes du Strigide; Dofus Ivoire; Dofus Turquoise; Dofus Émeraude; Dofus Abyssal; Nomade; Enragé majeur; Kokulte</t>
        </is>
      </c>
    </row>
    <row r="25910">
      <c r="A25910" t="inlineStr">
        <is>
          <t>Sacrieur M 200</t>
        </is>
      </c>
      <c r="B25910">
        <f>HYPERLINK("https://www.dofusbook.net/fr/equipement/4528416-sacrieur-m-200/objets", "link")</f>
        <v/>
      </c>
      <c r="C25910" t="n">
        <v>1</v>
      </c>
      <c r="D25910" t="inlineStr">
        <is>
          <t>L'Épée Nice; Amulette Martegel; Gant du Valet Veinard; Alliance Gloursonne; Bouclier d'Ilyzaelle; Menoture; Masque d'Anerice; Cape d'Anerice; Palmes Trithons; Dofus Émeraude; Dofus Ivoire; Dofus Ocre; Dofus Ébène; Dofus Abyssal; Cascadeur majeur; Blérodoudou</t>
        </is>
      </c>
    </row>
    <row r="25911">
      <c r="A25911" t="inlineStr">
        <is>
          <t>Ecaflip M 200</t>
        </is>
      </c>
      <c r="B25911">
        <f>HYPERLINK("https://www.dofusbook.net/fr/equipement/4509983-ecaflip-m-200/objets", "link")</f>
        <v/>
      </c>
      <c r="C25911" t="n">
        <v>2</v>
      </c>
      <c r="D25911" t="inlineStr">
        <is>
          <t>Pelle de Nidas; Amulette du Nocturlabe; Bracelet du Piloztère; Anneau Volkorne; Bouclier du Stalak; Ceinture du Nocturlabe; Casque Volkorne; Cape au Logis; Bottes du Nocturlabe; Dofus Ocre; Dofus des Glaces; Dofus Pourpre; Dofus Abyssal; Dofus Ébène; Dofus Ivoire; Kougnard Albâtre</t>
        </is>
      </c>
    </row>
    <row r="25912">
      <c r="A25912" t="inlineStr">
        <is>
          <t>Féca M 200</t>
        </is>
      </c>
      <c r="B25912">
        <f>HYPERLINK("https://www.dofusbook.net/fr/equipement/4509931-feca-m-200/objets", "link")</f>
        <v/>
      </c>
      <c r="C25912" t="n">
        <v>0</v>
      </c>
      <c r="D25912" t="inlineStr">
        <is>
          <t>Lav'Hache; Amulette Volkorne; Anneau Crustique; Anneau Volkorne; Droiture de Fallanster; Ceinture Volkorne; Masque de Koutoulou; Bravoure de Rykke Errel; Bottes Honyme; Dofus Ébène; Dofus Émeraude; Dofus Forgelave; Dofus Abyssal; Dofus Ivoire; Paralyseur majeur; Drakopin</t>
        </is>
      </c>
    </row>
    <row r="25913">
      <c r="A25913" t="inlineStr">
        <is>
          <t>Sadida M 200</t>
        </is>
      </c>
      <c r="B25913">
        <f>HYPERLINK("https://www.dofusbook.net/fr/equipement/4505877-sadida-m-200/objets", "link")</f>
        <v/>
      </c>
      <c r="C25913" t="n">
        <v>6</v>
      </c>
      <c r="D25913" t="inlineStr">
        <is>
          <t>Hache du Chalœil; Amulette Volkorne; Anneau du Katcheur; Anneau Volkorne; Bouclier du Stalak; Ceinture Volkorne; Masque du Katcheur; Voile d'encre; Bottes du Katcheur; Dofus Pourpre; Dofus Abyssal; Dofus Ocre; Dofus Ivoire; Dofus des Glaces; Dofus Ébène; Volkorne Turquoise</t>
        </is>
      </c>
    </row>
    <row r="25914">
      <c r="A25914" t="inlineStr">
        <is>
          <t>Sadida M 200</t>
        </is>
      </c>
      <c r="B25914">
        <f>HYPERLINK("https://www.dofusbook.net/fr/equipement/4503912-sadida-m-200/objets", "link")</f>
        <v/>
      </c>
      <c r="C25914" t="n">
        <v>23</v>
      </c>
      <c r="D25914" t="inlineStr">
        <is>
          <t>Epée Gloursonne; Amulette de l'Œil Putride; Alliance Gloursonne; Bague Gloursonne; Bouclier du Stalak; Ceinture de l'Esprit Salvateur; Capuche de l'Œil Putride; Cape de l'Œil Putride; Bottes de l'Esprit Salvateur; Dofus Ocre; Dofus Abyssal; Dofus Ébène; Dofus des Glaces; Dofus Vulbis; Dofus Ivoire; Léopardo</t>
        </is>
      </c>
    </row>
    <row r="25915">
      <c r="A25915" t="inlineStr">
        <is>
          <t>Osamodas M 200</t>
        </is>
      </c>
      <c r="B25915">
        <f>HYPERLINK("https://www.dofusbook.net/fr/equipement/4496733-osamodas-m-200/objets", "link")</f>
        <v/>
      </c>
      <c r="C25915" t="n">
        <v>1</v>
      </c>
      <c r="D25915" t="inlineStr">
        <is>
          <t>Dagues Érhy; Collier de Tourthon; Anneau Chevelu; Anneau de Brouce; Droiture de Fallanster; Sangle Ouare; Casque Dragoeuf; Bravoure de Rykke Errel; Bottes de Brouce; Dofus Émeraude; Dofus Abyssal; Dofus Ocre; Dofus Ivoire; Remueur; Enragé majeur; Dragodinde Dorée et Pourpre</t>
        </is>
      </c>
    </row>
    <row r="25916">
      <c r="A25916" t="inlineStr">
        <is>
          <t>Ouginak M 200</t>
        </is>
      </c>
      <c r="B25916">
        <f>HYPERLINK("https://www.dofusbook.net/fr/equipement/4496571-ouginak-m-200/objets", "link")</f>
        <v/>
      </c>
      <c r="C25916" t="n">
        <v>3</v>
      </c>
      <c r="D25916" t="inlineStr">
        <is>
          <t>L'Épée Nice; Amulette Volkorne; Anneau Crustique; Anneau Crustique; Bouclier d'Ilyzaelle; Ceinture Volkorne; Masque de Koutoulou; Bravoure de Rykke Errel; Sabots Minables; Dofus Émeraude; Dofus Ébène; Dofus Ivoire; Dofus Pourpre; Dofus Abyssal; Enragé majeur; Bwak de Terre</t>
        </is>
      </c>
    </row>
    <row r="25917">
      <c r="A25917" t="inlineStr">
        <is>
          <t>Pandawa M 200</t>
        </is>
      </c>
      <c r="B25917">
        <f>HYPERLINK("https://www.dofusbook.net/fr/equipement/4485842-pandawa-m-200/objets", "link")</f>
        <v/>
      </c>
      <c r="C25917" t="n">
        <v>2</v>
      </c>
      <c r="D25917" t="inlineStr">
        <is>
          <t>Baguette de Malléfisk; Amulette Volkorne; Anneau Volkorne; Chevalière du Roi Joueur; Droiture de Fallanster; Ceinture Volkorne; Couronne du Roi Joueur; Bravoure de Rykke Errel; Bottes du Roi Joueur; Dokoko; Dofus Ivoire; Dofus Forgelave; Dofus Ocre; Dofus Émeraude; Dofus Abyssal; Volkorne Jade</t>
        </is>
      </c>
    </row>
    <row r="25918">
      <c r="A25918" t="inlineStr">
        <is>
          <t>Pandawa M 200</t>
        </is>
      </c>
      <c r="B25918">
        <f>HYPERLINK("https://www.dofusbook.net/fr/equipement/4485675-pandawa-m-200/objets", "link")</f>
        <v/>
      </c>
      <c r="C25918" t="n">
        <v>1</v>
      </c>
      <c r="D25918" t="inlineStr">
        <is>
          <t>Marteau R'ture; Amulette Volkorne; Anneau Crustique; Anneau Chevelu; Bouclier d'Ilyzaelle; Ceinture Volkorne; Masque de Koutoulou; Cape au Logis; Bottes de la Cour Sombre; Dofus Ocre; Dofus Ivoire; Dofus Pourpre; Dofus Émeraude; Dofus Abyssal; Enragé majeur; Kramkram</t>
        </is>
      </c>
    </row>
    <row r="25919">
      <c r="A25919" t="inlineStr">
        <is>
          <t>Sacrieur M 200</t>
        </is>
      </c>
      <c r="B25919">
        <f>HYPERLINK("https://www.dofusbook.net/fr/equipement/4460465-sacrieur-m-200/objets", "link")</f>
        <v/>
      </c>
      <c r="C25919" t="n">
        <v>1</v>
      </c>
      <c r="D25919" t="inlineStr">
        <is>
          <t>L'Épée Nice; Collier du Valet Veinard; Anneau d'Allister; Gant du Valet Veinard; Bouclier d'Ilyzaelle; Ceintouse; Couronne d'Allister; Cape du Valet Veinard; Bottes d'Allister; Dofus Ébène; Dofus Ocre; Dofus Émeraude; Dofus Abyssal; Dofus Nébuleux; Dofus Ivoire; Dragodinde Ebène et Ivoire</t>
        </is>
      </c>
    </row>
    <row r="25920">
      <c r="A25920" t="inlineStr">
        <is>
          <t>Pandawa M 200</t>
        </is>
      </c>
      <c r="B25920">
        <f>HYPERLINK("https://www.dofusbook.net/fr/equipement/4459161-pandawa-m-200/objets", "link")</f>
        <v/>
      </c>
      <c r="C25920" t="n">
        <v>24</v>
      </c>
      <c r="D25920" t="inlineStr">
        <is>
          <t>Rouleau à Pâtisserie d'Aermyne; Talisman Glouti; Anneau de XLII; Anneau Tique; Sept ans de malheur; Ceinture de XLII; Coiffe d'Aermyne; Cape d'Aermyne; Bottes de XLII; Dofus Forgelave; Dofus Abyssal; Dofus Ivoire; Dofus Émeraude; Dofus Ocre; Précurseur majeur; Muldo Roux</t>
        </is>
      </c>
    </row>
    <row r="25921">
      <c r="A25921" t="inlineStr">
        <is>
          <t>Sacrieur M 200</t>
        </is>
      </c>
      <c r="B25921">
        <f>HYPERLINK("https://www.dofusbook.net/fr/equipement/4406289-sacrieur-m-200/objets", "link")</f>
        <v/>
      </c>
      <c r="C25921" t="n">
        <v>6</v>
      </c>
      <c r="D25921" t="inlineStr">
        <is>
          <t>Plume de Buhorado; Collier du Valet Veinard; Gant du Valet Veinard; Alliance Gloursonne; Bouclier d'Ilyzaelle; Menoture; Casque Dragoeuf; Cape Indescriptible; Palmes Trithons; Dofus Ocre; Dofus Ébène; Dofus Ivoire; Dofus Émeraude; Dofus Abyssal; Cascadeur majeur; Wabbit</t>
        </is>
      </c>
    </row>
    <row r="25922">
      <c r="A25922" t="inlineStr">
        <is>
          <t>Sacrieur M 200</t>
        </is>
      </c>
      <c r="B25922">
        <f>HYPERLINK("https://www.dofusbook.net/fr/equipement/4394649-sacrieur-m-200/objets", "link")</f>
        <v/>
      </c>
      <c r="C25922" t="n">
        <v>1</v>
      </c>
      <c r="D25922" t="inlineStr">
        <is>
          <t>L'Épée Nice; Collier du Valet Veinard; Gant du Valet Veinard; Alliance Gloursonne; Bouclier d'Ilyzaelle; Ceintouse; Casque d'Ilyzaelle; Cape du Valet Veinard; Tentassons; Dofus Pourpre; Dofus Ébène; Dofus Émeraude; Dofus Abyssal; Dofus Ocre; Dofus Ivoire; Volkorne Ebène</t>
        </is>
      </c>
    </row>
    <row r="25923">
      <c r="A25923" t="inlineStr">
        <is>
          <t>Huppermage M 200</t>
        </is>
      </c>
      <c r="B25923">
        <f>HYPERLINK("https://www.dofusbook.net/fr/equipement/4400552-huppermage-m-200/objets", "link")</f>
        <v/>
      </c>
      <c r="C25923" t="n">
        <v>0</v>
      </c>
      <c r="D25923" t="inlineStr">
        <is>
          <t>Plume de Buhorado; Torquistik; Anneau Crustique; Anneau Crustique; Bouclier Taverne; Ceinture Gence; Casque Dragoeuf; Cape du Cœur Vaillant; Bottistik; Dofus Abyssal; Dofus Ocre; Dofus Ivoire; Bousculeur majeur; Enragé majeur; Culbuteur majeur; Black Tiwabbit</t>
        </is>
      </c>
    </row>
    <row r="25924">
      <c r="A25924" t="inlineStr">
        <is>
          <t>Iop M 200</t>
        </is>
      </c>
      <c r="B25924">
        <f>HYPERLINK("https://www.dofusbook.net/fr/equipement/4389997-iop-m-200/objets", "link")</f>
        <v/>
      </c>
      <c r="C25924" t="n">
        <v>3</v>
      </c>
      <c r="D25924" t="inlineStr">
        <is>
          <t>Rapière aux Glyphes; Amulette d'Ilyzaelle; Alliance Gloursonne; Anneau Volkorne; Bouclier d'Ilyzaelle; Ceinture Volkorne; Casque d'Ilyzaelle; Cape du Sinistrofu; Bottes du Sinistrofu; Dofus Vulbis; Dofus Abyssal; Dofus Émeraude; Dofus Ivoire; Dofus Ocre; Dofus Ébène; Volkorne Doré et Indigo</t>
        </is>
      </c>
    </row>
    <row r="25925">
      <c r="A25925" t="inlineStr">
        <is>
          <t>Ouginak M 200</t>
        </is>
      </c>
      <c r="B25925">
        <f>HYPERLINK("https://www.dofusbook.net/fr/equipement/4310742-ouginak-m-200/objets", "link")</f>
        <v/>
      </c>
      <c r="C25925" t="n">
        <v>2</v>
      </c>
      <c r="D25925" t="inlineStr">
        <is>
          <t>Arc Volkorne; Amulette Volkorne; Anneau de Padgref; Anneau Volkorne; Quatre-feuilles; Ceinture Volkorne; Coiffe de Padgref; Voile d'encre; Getas de Padgref; Dofus Pourpre; Dofus Nébuleux; Dofus Turquoise; Dofus Abyssal; Dofus Ocre; Dofus Ivoire; Kokulte</t>
        </is>
      </c>
    </row>
    <row r="25926">
      <c r="A25926" t="inlineStr">
        <is>
          <t>Osamodas M 200</t>
        </is>
      </c>
      <c r="B25926">
        <f>HYPERLINK("https://www.dofusbook.net/fr/equipement/4372207-osamodas-m-200/objets", "link")</f>
        <v/>
      </c>
      <c r="C25926" t="n">
        <v>3</v>
      </c>
      <c r="D25926" t="inlineStr">
        <is>
          <t>L'Épée Nice; Collier du Valet Veinard; Gant du Valet Veinard; Alliance Gloursonne; Bouclier du Stalak; Ceinture de la Reine des Voleurs; Coiffe de la Reine des Voleurs; Cape du Valet Veinard; Bottes de la Reine des Voleurs; Dofus des Glaces; Dofus Ivoire; Dofus Nébuleux; Dofus Ocre; Dofus Ébène; Dofus Abyssal; Blérodoudou</t>
        </is>
      </c>
    </row>
    <row r="25927">
      <c r="A25927" t="inlineStr">
        <is>
          <t>Sacrieur M 200</t>
        </is>
      </c>
      <c r="B25927">
        <f>HYPERLINK("https://www.dofusbook.net/fr/equipement/4366849-sacrieur-m-200/objets", "link")</f>
        <v/>
      </c>
      <c r="C25927" t="n">
        <v>1</v>
      </c>
      <c r="D25927" t="inlineStr">
        <is>
          <t>Hache du Chalœil; Amulette Volkorne; Bracelet du Piloztère; Anneau Volkorne; Bouclier du Stalak; Ceinture Volkorne; Casque du Chalœil; Cape du Chalœil; Bottes du Chalœil; Dofus Turquoise; Dofus des Glaces; Dofus Pourpre; Dofus Abyssal; Dofus Ocre; Dofus Ivoire; Kokulte</t>
        </is>
      </c>
    </row>
    <row r="25928">
      <c r="A25928" t="inlineStr">
        <is>
          <t>Sacrieur M 200</t>
        </is>
      </c>
      <c r="B25928">
        <f>HYPERLINK("https://www.dofusbook.net/fr/equipement/4364114-sacrieur-m-200/objets", "link")</f>
        <v/>
      </c>
      <c r="C25928" t="n">
        <v>0</v>
      </c>
      <c r="D25928" t="inlineStr">
        <is>
          <t>Plume de Buhorado; Collier du Valet Veinard; Gant du Valet Veinard; Alliance Gloursonne; Bouclier d'Ilyzaelle; Menoture; Casque Dragoeuf; Cape de Jahash Jurgen; Palmes Trithons; Dofus Nébuleux; Dofus Ivoire; Dofus Ébène; Dofus Abyssal; Dofus Ocre; Cascadeur majeur; Dragodinde Dorée et Ebène</t>
        </is>
      </c>
    </row>
    <row r="25929">
      <c r="A25929" t="inlineStr">
        <is>
          <t>Ecaflip M 200</t>
        </is>
      </c>
      <c r="B25929">
        <f>HYPERLINK("https://www.dofusbook.net/fr/equipement/4361427-ecaflip-m-200/objets", "link")</f>
        <v/>
      </c>
      <c r="C25929" t="n">
        <v>5</v>
      </c>
      <c r="D25929" t="inlineStr">
        <is>
          <t>Hache du Chalœil; Amulette Volkorne; Bague Trithon; Anneau Volkorne; Bouclier du Stalak; Ceinture Volkorne; Masque Trithon; Cape de Jahash Jurgen; Bottes Trithon; Dofus Ébène; Dofus Nébuleux; Dofus Pourpre; Dofus Abyssal; Dofus Ocre; Dofus Ivoire; Sakochère</t>
        </is>
      </c>
    </row>
    <row r="25930">
      <c r="A25930" t="inlineStr">
        <is>
          <t>Sacrieur M 200</t>
        </is>
      </c>
      <c r="B25930">
        <f>HYPERLINK("https://www.dofusbook.net/fr/equipement/4360817-sacrieur-m-200/objets", "link")</f>
        <v/>
      </c>
      <c r="C25930" t="n">
        <v>3</v>
      </c>
      <c r="D25930" t="inlineStr">
        <is>
          <t>Plume de Buhorado; Collier du Valet Veinard; Gant du Valet Veinard; Alliance Gloursonne; Bouclier d'Ilyzaelle; Menoture; Dorabysses; Cape Martegel; Palmes Trithons; Dofus Ocre; Dofus Ivoire; Dofus Abyssal; Dofus Émeraude; Dofus Ébène; Cascadeur majeur; Dragodinde Dorée et Ebène</t>
        </is>
      </c>
    </row>
    <row r="25931">
      <c r="A25931" t="inlineStr">
        <is>
          <t>Ouginak M 200</t>
        </is>
      </c>
      <c r="B25931">
        <f>HYPERLINK("https://www.dofusbook.net/fr/equipement/4356348-ouginak-m-200/objets", "link")</f>
        <v/>
      </c>
      <c r="C25931" t="n">
        <v>0</v>
      </c>
      <c r="D25931" t="inlineStr">
        <is>
          <t>Arc de Koutoulou; Amulette Volkorne; Alliance Gloursonne; Anneau Volkorne; Quatre-feuilles; Ceinture du Nocturlabe; Casque Volkorne; Cape de Jahash Jurgen; Bottes du Nocturlabe; Dofus Pourpre; Dofus Abyssal; Dofus Turquoise; Dofus Ivoire; Dofus Ocre; Dofus Ébène; Sakochère</t>
        </is>
      </c>
    </row>
    <row r="25932">
      <c r="A25932" t="inlineStr">
        <is>
          <t>Ouginak M 200</t>
        </is>
      </c>
      <c r="B25932">
        <f>HYPERLINK("https://www.dofusbook.net/fr/equipement/4347113-ouginak-m-200/objets", "link")</f>
        <v/>
      </c>
      <c r="C25932" t="n">
        <v>3</v>
      </c>
      <c r="D25932" t="inlineStr">
        <is>
          <t>Rapière aux Glyphes; Amulette du Sinistrofu; Anneau Volkorne; Bracelet des Fonds marins; Bouclier du Stalak; Ceinture Volkorne; Masque des Fonds marins; Cape du Sinistrofu; Bottes du Sinistrofu; Dofus Ocre; Dofus Ébène; Dofus Vulbis; Dofus Abyssal; Dofus Pourpre; Dofus Ivoire; Dragodinde Prune et Indigo</t>
        </is>
      </c>
    </row>
    <row r="25933">
      <c r="A25933" t="inlineStr">
        <is>
          <t>Sacrieur F 200</t>
        </is>
      </c>
      <c r="B25933">
        <f>HYPERLINK("https://www.dofusbook.net/fr/equipement/4202254-sacrieur-f-200/objets", "link")</f>
        <v/>
      </c>
      <c r="C25933" t="n">
        <v>2</v>
      </c>
      <c r="D25933" t="inlineStr">
        <is>
          <t>Dagues Ricol; Amulette Volkorne; Chevalière du Roi Joueur; Anneau Volkorne; Quatre-feuilles; Ceinture Volkorne; Couronne du Roi Joueur; Voile d'encre; Bottes du Roi Joueur; Dofus Nébuleux; Dofus Ocre; Dofus Pourpre; Dofus Abyssal; Dofus Turquoise; Dofus Ivoire; Cromeugnon</t>
        </is>
      </c>
    </row>
    <row r="25934">
      <c r="A25934" t="inlineStr">
        <is>
          <t>Iop M 200</t>
        </is>
      </c>
      <c r="B25934">
        <f>HYPERLINK("https://www.dofusbook.net/fr/equipement/4285534-iop-m-200/objets", "link")</f>
        <v/>
      </c>
      <c r="C25934" t="n">
        <v>0</v>
      </c>
      <c r="D25934" t="inlineStr">
        <is>
          <t>Hache du Chalœil; Amulette Volkorne; Anneau de Padgref; Anneau Volkorne; Quatre-feuilles; Ceinture Volkorne; Coiffe de Padgref; Chevelure de Tal Kasha; Getas de Padgref; Dofus Turquoise; Dofus Ivoire; Dofus Pourpre; Dofus Nébuleux; Dofus Ocre; Dofus Abyssal; Kokulte</t>
        </is>
      </c>
    </row>
    <row r="25935">
      <c r="A25935" t="inlineStr">
        <is>
          <t>Ecaflip M 200</t>
        </is>
      </c>
      <c r="B25935">
        <f>HYPERLINK("https://www.dofusbook.net/fr/equipement/4276821-ecaflip-m-200/objets", "link")</f>
        <v/>
      </c>
      <c r="C25935" t="n">
        <v>15</v>
      </c>
      <c r="D25935" t="inlineStr">
        <is>
          <t>Hache du Chalœil; Amulette Volkorne; Bague Trithon; Anneau Volkorne; Bouclier du Stalak; Ceinture Volkorne; Némès de Tal Kasha; Chevelure de Tal Kasha; Bottes Trithon; Dofus des Glaces; Dofus Nébuleux; Dofus Pourpre; Dofus Abyssal; Dofus Ocre; Dofus Ivoire; Sakochère</t>
        </is>
      </c>
    </row>
    <row r="25936">
      <c r="A25936" t="inlineStr">
        <is>
          <t>Ecaflip M 200</t>
        </is>
      </c>
      <c r="B25936">
        <f>HYPERLINK("https://www.dofusbook.net/fr/equipement/4248822-ecaflip-m-200/objets", "link")</f>
        <v/>
      </c>
      <c r="C25936" t="n">
        <v>5</v>
      </c>
      <c r="D25936" t="inlineStr">
        <is>
          <t>Arc du Chalœil; Amulette Volkorne; Anneau Crustique; Bracelet du Piloztère; Bouclier du Stalak; Ceinture Volkorne; Masque de Koutoulou; Cape au Logis; Bottes Honyme; Dofus Pourpre; Remueur; Enragé majeur; Nomade; Carapace Eau majeur; Miraculé majeur; Pioute vert</t>
        </is>
      </c>
    </row>
    <row r="25937">
      <c r="A25937" t="inlineStr">
        <is>
          <t>Ecaflip M 200</t>
        </is>
      </c>
      <c r="B25937">
        <f>HYPERLINK("https://www.dofusbook.net/fr/equipement/4248591-ecaflip-m-200/objets", "link")</f>
        <v/>
      </c>
      <c r="C25937" t="n">
        <v>1</v>
      </c>
      <c r="D25937" t="inlineStr">
        <is>
          <t>Plume de Buhorado; Amulette Volkorne; Bague Trithon; Bracelet du Piloztère; Bivalve; Ceinture Volkorne; Masque Trithon; Chevelure de Tal Kasha; Bottes Trithon; Dofus des Glaces; Dofus Ocre; Dofus Abyssal; Dofus Pourpre; Dofus Ivoire; Bousculeur majeur; Bouflux</t>
        </is>
      </c>
    </row>
    <row r="25938">
      <c r="A25938" t="inlineStr">
        <is>
          <t>Osamodas M 200</t>
        </is>
      </c>
      <c r="B25938">
        <f>HYPERLINK("https://www.dofusbook.net/fr/equipement/4232878-osamodas-m-200/objets", "link")</f>
        <v/>
      </c>
      <c r="C25938" t="n">
        <v>1</v>
      </c>
      <c r="D25938" t="inlineStr">
        <is>
          <t>Plume de Buhorado; Collier du Valet Veinard; Anneau Volkorne; Alliance Gloursonne; Bouclier du Stalak; Menoture; Chapeau de Tournoyé; Cape Martegel; Palmes Trithons; Dofus Ocre; Dofus Ivoire; Dofus Nébuleux; Dofus des Glaces; Dofus Abyssal; Cascadeur majeur; Blérodoudou</t>
        </is>
      </c>
    </row>
    <row r="25939">
      <c r="A25939" t="inlineStr">
        <is>
          <t>Crâ M 200</t>
        </is>
      </c>
      <c r="B25939">
        <f>HYPERLINK("https://www.dofusbook.net/fr/equipement/4229263-cra-m-200/objets", "link")</f>
        <v/>
      </c>
      <c r="C25939" t="n">
        <v>3</v>
      </c>
      <c r="D25939" t="inlineStr">
        <is>
          <t>Hache du Chalœil; Amulette Volkorne; Anneau en Grithril; Anneau Volkorne; Quatre-feuilles; Ceinture Volkorne; Casque du Chalœil; Cape du Chalœil; Bottes du Chalœil; Dofus Abyssal; Dofus Ocre; Dofus Pourpre; Dofus Nébuleux; Dofus Turquoise; Dofus Ivoire; Sakochère</t>
        </is>
      </c>
    </row>
    <row r="25940">
      <c r="A25940" t="inlineStr">
        <is>
          <t>Sadida M 200</t>
        </is>
      </c>
      <c r="B25940">
        <f>HYPERLINK("https://www.dofusbook.net/fr/equipement/4224787-sadida-m-200/objets", "link")</f>
        <v/>
      </c>
      <c r="C25940" t="n">
        <v>1</v>
      </c>
      <c r="D25940" t="inlineStr">
        <is>
          <t>Arc Volkorne; Amulette Volkorne; Anneau Volkorne; Bracelet du Piloztère; Bouclier du Stalak; Ceinture Volkorne; Casque du Chalœil; Cape du Chalœil; Bottes du Chalœil; Dofus des Glaces; Dofus Ivoire; Dofus Turquoise; Dofus Ocre; Dofus Pourpre; Dofus Abyssal; Volkorne Turquoise</t>
        </is>
      </c>
    </row>
    <row r="25941">
      <c r="A25941" t="inlineStr">
        <is>
          <t>Crâ M 200</t>
        </is>
      </c>
      <c r="B25941">
        <f>HYPERLINK("https://www.dofusbook.net/fr/equipement/4222239-cra-m-200/objets", "link")</f>
        <v/>
      </c>
      <c r="C25941" t="n">
        <v>10</v>
      </c>
      <c r="D25941" t="inlineStr">
        <is>
          <t>Arc Honte; Amulette de l'Indicible; Alliance Gloursonne; Bague Gloursonne; Cadran de Terre; Ceinture de l'Indicible; Capuche de l'Œil Putride; Cape de l'Œil Putride; Bottes de l'Indicible; Dofus Ocre; Dofus Ivoire; Dofus des Glaces; Dofus Abyssal; Voyageur; Paralyseur majeur; Volkorne Ivoire</t>
        </is>
      </c>
    </row>
    <row r="25942">
      <c r="A25942" t="inlineStr">
        <is>
          <t>Ecaflip M 200</t>
        </is>
      </c>
      <c r="B25942">
        <f>HYPERLINK("https://www.dofusbook.net/fr/equipement/4218355-ecaflip-m-200/objets", "link")</f>
        <v/>
      </c>
      <c r="C25942" t="n">
        <v>3</v>
      </c>
      <c r="D25942" t="inlineStr">
        <is>
          <t>Crocobur; Amulette Volkorne; Bracelet du Piloztère; Anneau Volkorne; Bouclier du Stalak; Ceinture Volkorne; Diadème de Ganymède; Cape de Jahash Jurgen; Bottes de Mille Lieues; Dofus Pourpre; Dofus Nébuleux; Dofus Ocre; Dofus Ivoire; Dofus Émeraude; Dofus Abyssal; Kramkram</t>
        </is>
      </c>
    </row>
    <row r="25943">
      <c r="A25943" t="inlineStr">
        <is>
          <t>Sram M 200</t>
        </is>
      </c>
      <c r="B25943">
        <f>HYPERLINK("https://www.dofusbook.net/fr/equipement/4209846-sram-m-200/objets", "link")</f>
        <v/>
      </c>
      <c r="C25943" t="n">
        <v>0</v>
      </c>
      <c r="D25943" t="inlineStr">
        <is>
          <t>Crocobur; Amulette Volkorne; Anneau Volkorne; Anneau du Katcheur; Bouclier du Stalak; Ceinture Volkorne; Diadème de Ganymède; Cape de Jahash Jurgen; Bottes du Katcheur; Dofus Ocre; Dofus Ivoire; Dofus des Glaces; Dofus Abyssal; Dofus Pourpre; Dofus Nébuleux; Kramkram</t>
        </is>
      </c>
    </row>
    <row r="25944">
      <c r="A25944" t="inlineStr">
        <is>
          <t>Zobal M 200</t>
        </is>
      </c>
      <c r="B25944">
        <f>HYPERLINK("https://www.dofusbook.net/fr/equipement/4198477-zobal-m-200/objets", "link")</f>
        <v/>
      </c>
      <c r="C25944" t="n">
        <v>2</v>
      </c>
      <c r="D25944" t="inlineStr">
        <is>
          <t>Sabres d'Atcham; Amulette du Strigide; Anneau Volkorne; Anneau de Padgref; Bouclier du Captain Amakna; Ceinture Volkorne; Coiffe de Padgref; Cape d'Atcham; Bottes du Strigide; Dofus Turquoise; Dofus Vulbis; Dofus Ocre; Dofus Ivoire; Dofus Pourpre; Dofus Nébuleux; Sakochère</t>
        </is>
      </c>
    </row>
    <row r="25945">
      <c r="A25945" t="inlineStr">
        <is>
          <t>Eniripsa M 200</t>
        </is>
      </c>
      <c r="B25945">
        <f>HYPERLINK("https://www.dofusbook.net/fr/equipement/4197686-eniripsa-m-200/objets", "link")</f>
        <v/>
      </c>
      <c r="C25945" t="n">
        <v>3</v>
      </c>
      <c r="D25945" t="inlineStr">
        <is>
          <t>Arc corrompu; Pendentif affamé; Anneau de Nidas; Bague Gloursonne; Bouclier du Stalak; Ceinture de Vortex; Couronne de Nidas; Cape de Diondin; Pataugastrique; Étourdisseur majeur; Érudit majeur; Carapace Feu majeur; Paralyseur majeur; Nomade; Déserteur majeur; Kouin-Kouin Noir</t>
        </is>
      </c>
    </row>
    <row r="25946">
      <c r="A25946" t="inlineStr">
        <is>
          <t>Ouginak M 200</t>
        </is>
      </c>
      <c r="B25946">
        <f>HYPERLINK("https://www.dofusbook.net/fr/equipement/4194594-ouginak-m-200/objets", "link")</f>
        <v/>
      </c>
      <c r="C25946" t="n">
        <v>1</v>
      </c>
      <c r="D25946" t="inlineStr">
        <is>
          <t>Hache du Chalœil; Amulette Volkorne; Anneau Volkorne; Anneau de Padgref; Quatre-feuilles; Ceinture Volkorne; Coiffe de Padgref; Voile d'encre; Getas de Padgref; Dofus Turquoise; Dofus Abyssal; Dofus Ocre; Dofus Ivoire; Dofus Pourpre; Dofus Nébuleux; Kokulte</t>
        </is>
      </c>
    </row>
    <row r="25947">
      <c r="A25947" t="inlineStr">
        <is>
          <t>Pandawa M 200</t>
        </is>
      </c>
      <c r="B25947">
        <f>HYPERLINK("https://www.dofusbook.net/fr/equipement/4194459-pandawa-m-200/objets", "link")</f>
        <v/>
      </c>
      <c r="C25947" t="n">
        <v>2</v>
      </c>
      <c r="D25947" t="inlineStr">
        <is>
          <t>Baguette de Malléfisk; Torquistik; Goulano; Baguistik; Bouclier du Stalak; Ceinture de Vortex; Bandeau Culaire; Cape Parition; Bottistik; Dofus Ocre; Dofus Forgelave; Dofus Émeraude; Dofus Abyssal; Dofus Vulbis; Dofus Ivoire; Bouftor</t>
        </is>
      </c>
    </row>
    <row r="25948">
      <c r="A25948" t="inlineStr">
        <is>
          <t>Pandawa M 200</t>
        </is>
      </c>
      <c r="B25948">
        <f>HYPERLINK("https://www.dofusbook.net/fr/equipement/4192846-pandawa-m-200/objets", "link")</f>
        <v/>
      </c>
      <c r="C25948" t="n">
        <v>2</v>
      </c>
      <c r="D25948" t="inlineStr">
        <is>
          <t>Baguette de Malléfisk; Pendentif mignon de Koutoulou; Anneau Rifique; Baguistik; Bouclier du Stalak; Ceinture de Gein; Casque Dragoeuf; Cape Martegel; Pataugastrique; Dofus Abyssal; Dofus Ivoire; Dofus Ocre; Nomade; Érudit majeur; Carapace Feu majeur; Wabbit</t>
        </is>
      </c>
    </row>
    <row r="25949">
      <c r="A25949" t="inlineStr">
        <is>
          <t>Iop M 200</t>
        </is>
      </c>
      <c r="B25949">
        <f>HYPERLINK("https://www.dofusbook.net/fr/equipement/4190594-iop-m-200/objets", "link")</f>
        <v/>
      </c>
      <c r="C25949" t="n">
        <v>4</v>
      </c>
      <c r="D25949" t="inlineStr">
        <is>
          <t>Arc corrompu; Amulette Volkorne; Anneauræus; Anneauræus; Bouclier du Stalak; Ceinture Volkorne; Casque Dragoeuf; Voile d'encre; Pataugastrique; Dofus Ocre; Dofus Ivoire; Dofus Pourpre; Dofus Vulbis; Dofus Nébuleux; Érudit majeur; Dragodinde Amande et Orchidée</t>
        </is>
      </c>
    </row>
    <row r="25950">
      <c r="A25950" t="inlineStr">
        <is>
          <t>Iop M 200</t>
        </is>
      </c>
      <c r="B25950">
        <f>HYPERLINK("https://www.dofusbook.net/fr/equipement/4186183-iop-m-200/objets", "link")</f>
        <v/>
      </c>
      <c r="C25950" t="n">
        <v>0</v>
      </c>
      <c r="D25950" t="inlineStr">
        <is>
          <t>Arc Volkorne; Amulette Volkorne; Bague Gloursonne; Anneau Volkorne; Quatre-feuilles; Ceinture Volkorne; Casque du Chalœil; Cape du Chalœil; Bottes du Chalœil; Dofus Ivoire; Dofus Nébuleux; Dofus Turquoise; Dofus Abyssal; Dofus Pourpre; Dofus Ocre; Sakochère</t>
        </is>
      </c>
    </row>
    <row r="25951">
      <c r="A25951" t="inlineStr">
        <is>
          <t>Ecaflip M 200</t>
        </is>
      </c>
      <c r="B25951">
        <f>HYPERLINK("https://www.dofusbook.net/fr/equipement/4172886-ecaflip-m-200/objets", "link")</f>
        <v/>
      </c>
      <c r="C25951" t="n">
        <v>1</v>
      </c>
      <c r="D25951" t="inlineStr">
        <is>
          <t>Arc de Chasse; Amulette du Strigide; Bague Trithon; Bague Instable; Bivalve; Ceinture du Strigide; Masque Trithon; Chevelure de Tal Kasha; Bottes Trithon; Dofus Pourpre; Dofus Ivoire; Dofus Ocre; Dofus Abyssal; Bousculeur majeur; Robuste majeur; Bouflux</t>
        </is>
      </c>
    </row>
    <row r="25952">
      <c r="A25952" t="inlineStr">
        <is>
          <t>Sram M 200</t>
        </is>
      </c>
      <c r="B25952">
        <f>HYPERLINK("https://www.dofusbook.net/fr/equipement/4150752-sram-m-200/objets", "link")</f>
        <v/>
      </c>
      <c r="C25952" t="n">
        <v>1</v>
      </c>
      <c r="D25952" t="inlineStr">
        <is>
          <t>Arc de Koutoulou; Amulette du Strigide; Alliance Gloursonne; Anneau Volkorne; Quatre-feuilles; Ceinture du Strigide; Casque Volkorne; Chevelure de Tal Kasha; Sandales de Tal Kasha; Dofus Ocre; Dofus Vulbis; Dofus Nébuleux; Dofus Ivoire; Dofus Turquoise; Dofus Abyssal; Sakochère</t>
        </is>
      </c>
    </row>
    <row r="25953">
      <c r="A25953" t="inlineStr">
        <is>
          <t>Sacrieur M 200</t>
        </is>
      </c>
      <c r="B25953">
        <f>HYPERLINK("https://www.dofusbook.net/fr/equipement/4150710-sacrieur-m-200/objets", "link")</f>
        <v/>
      </c>
      <c r="C25953" t="n">
        <v>5</v>
      </c>
      <c r="D25953" t="inlineStr">
        <is>
          <t>Hache du Chalœil; Amulette Volkorne; Anneau Volkorne; Bracelet du Piloztère; Bouclier du Stalak; Ceinture du Strigide; Casque Dragoeuf; Cape au Logis; Bottes du Strigide; Dofus Ocre; Dofus Nébuleux; Dofus des Glaces; Dofus Pourpre; Dofus Abyssal; Dofus Ivoire; Sakochère</t>
        </is>
      </c>
    </row>
    <row r="25954">
      <c r="A25954" t="inlineStr">
        <is>
          <t>Sacrieur F 200</t>
        </is>
      </c>
      <c r="B25954">
        <f>HYPERLINK("https://www.dofusbook.net/fr/equipement/4134678-sacrieur-f-200/objets", "link")</f>
        <v/>
      </c>
      <c r="C25954" t="n">
        <v>12</v>
      </c>
      <c r="D25954" t="inlineStr">
        <is>
          <t>Manthache; Collier du Valet Veinard; Gant du Valet Veinard; Alliance Gloursonne; Quatre-feuilles; Menoture; Dorabysses; Cape de Klime; Palmes Trithons; Dofus Ocre; Dofus Ivoire; Dofus Abyssal; Dofus Vulbis; Dofus Turquoise; Cascadeur majeur; Dragodinde Ebène et Emeraude</t>
        </is>
      </c>
    </row>
    <row r="25955">
      <c r="A25955" t="inlineStr">
        <is>
          <t>Sacrieur M 200</t>
        </is>
      </c>
      <c r="B25955">
        <f>HYPERLINK("https://www.dofusbook.net/fr/equipement/4142183-sacrieur-m-200/objets", "link")</f>
        <v/>
      </c>
      <c r="C25955" t="n">
        <v>0</v>
      </c>
      <c r="D25955" t="inlineStr"/>
    </row>
    <row r="25956">
      <c r="A25956" t="inlineStr">
        <is>
          <t>Crâ M 200</t>
        </is>
      </c>
      <c r="B25956">
        <f>HYPERLINK("https://www.dofusbook.net/fr/equipement/4136632-cra-m-200/objets", "link")</f>
        <v/>
      </c>
      <c r="C25956" t="n">
        <v>3</v>
      </c>
      <c r="D25956" t="inlineStr">
        <is>
          <t>Arc du Chalœil; Amulette Volkorne; Bracelet du Piloztère; Anneau Crustique; Quatre-feuilles; Ceinture Volkorne; Masque de Koutoulou; Cape au Logis; Bottes du Cœur Saignant; Dofus Abyssal; Dofus Nébuleux; Dofus Turquoise; Dofus Ivoire; Dofus Ocre; Enragé majeur; Pioute vert</t>
        </is>
      </c>
    </row>
    <row r="25957">
      <c r="A25957" t="inlineStr">
        <is>
          <t>Ecaflip M 200</t>
        </is>
      </c>
      <c r="B25957">
        <f>HYPERLINK("https://www.dofusbook.net/fr/equipement/4121278-ecaflip-m-200/objets", "link")</f>
        <v/>
      </c>
      <c r="C25957" t="n">
        <v>3</v>
      </c>
      <c r="D25957" t="inlineStr">
        <is>
          <t>Hache du Chalœil; Amulette du Strigide; Alliance Gloursonne; Bracelet du Piloztère; Bouclier du Stalak; Sangle Ouare; Masque de Funespadon; Voile d'encre; Bottes du Strigide; Dofus Pourpre; Dofus Abyssal; Dofus Ocre; Dofus Ivoire; Dofus Nébuleux; Vigoureux majeur; Sakochère</t>
        </is>
      </c>
    </row>
    <row r="25958">
      <c r="A25958" t="inlineStr">
        <is>
          <t>Ecaflip M 200</t>
        </is>
      </c>
      <c r="B25958">
        <f>HYPERLINK("https://www.dofusbook.net/fr/equipement/4130575-ecaflip-m-200/objets", "link")</f>
        <v/>
      </c>
      <c r="C25958" t="n">
        <v>3</v>
      </c>
      <c r="D25958" t="inlineStr">
        <is>
          <t>Bâton Beau; Amulette du Strigide; Anneau Toriété; Anneau Volkorne; Bouclier du Stalak; Ceinture du Strigide; Casque Volkorne; Cape Reski; Bottes du Strigide; Dofus des Glaces; Dofus Pourpre; Dofus Nébuleux; Dofus Ivoire; Dolmanax; Robuste majeur; Sakochère</t>
        </is>
      </c>
    </row>
    <row r="25959">
      <c r="A25959" t="inlineStr">
        <is>
          <t>Ecaflip M 200</t>
        </is>
      </c>
      <c r="B25959">
        <f>HYPERLINK("https://www.dofusbook.net/fr/equipement/4130293-ecaflip-m-200/objets", "link")</f>
        <v/>
      </c>
      <c r="C25959" t="n">
        <v>3</v>
      </c>
      <c r="D25959" t="inlineStr">
        <is>
          <t>Sceptre du Roi Joueur; Amulette de Shokkoth; Bracelet des Fonds marins; Alliance Gloursonne; Bouclier du Stalak; Sangle Ouare; Masque des Fonds marins; Cape Solution; Sandales de Tal Kasha; Dofus Pourpre; Dofus Nébuleux; Dofus des Glaces; Dofus Ocre; Chanceux majeur; Vigoureux majeur; Pioute bleu</t>
        </is>
      </c>
    </row>
    <row r="25960">
      <c r="A25960" t="inlineStr">
        <is>
          <t>Ouginak F 200</t>
        </is>
      </c>
      <c r="B25960">
        <f>HYPERLINK("https://www.dofusbook.net/fr/equipement/4117015-ouginak-f-200/objets", "link")</f>
        <v/>
      </c>
      <c r="C25960" t="n">
        <v>0</v>
      </c>
      <c r="D25960" t="inlineStr">
        <is>
          <t>Épouvante; Amulette Luminescente; Anneau Volkorne; Anneau en Grithril; Bouclier d'Ilyzaelle; Ceinture Volkorne; Masque de Koutoulou; Cape au Logis; Bottes Honyme; Dofus Turquoise; Dofus Ivoire; Dofus Nébuleux; Dofus Pourpre; Dofus Abyssal; Vigoureux majeur; Bébé Pandawa</t>
        </is>
      </c>
    </row>
    <row r="25961">
      <c r="A25961" t="inlineStr">
        <is>
          <t>Iop M 200</t>
        </is>
      </c>
      <c r="B25961">
        <f>HYPERLINK("https://www.dofusbook.net/fr/equipement/4113533-iop-m-200/objets", "link")</f>
        <v/>
      </c>
      <c r="C25961" t="n">
        <v>2</v>
      </c>
      <c r="D25961" t="inlineStr">
        <is>
          <t>Arc Nécrotique; Amulette Volkorne; Lavanneau; Anneau Volkorne; Quatre-feuilles; Ceinture Volkorne; Casquette de Meno; Cape de Meno; Pataugastrique; Dofus Ocre; Dofus Ivoire; Dofus Pourpre; Dofus Nébuleux; Dofus Turquoise; Dofus Abyssal; Kokulte</t>
        </is>
      </c>
    </row>
    <row r="25962">
      <c r="A25962" t="inlineStr">
        <is>
          <t>Crâ M 200</t>
        </is>
      </c>
      <c r="B25962">
        <f>HYPERLINK("https://www.dofusbook.net/fr/equipement/4109893-cra-m-200/objets", "link")</f>
        <v/>
      </c>
      <c r="C25962" t="n">
        <v>3</v>
      </c>
      <c r="D25962" t="inlineStr">
        <is>
          <t>Baguette de Frigostine; Amulette du Strigide; Anneau en Grithril; Anneau Volkorne; Quatre-feuilles; Ceinture Volkorne; Némès de Tal Kasha; Chevelure de Tal Kasha; Bottes du Strigide; Dofus Vulbis; Dofus Nébuleux; Dofus Turquoise; Dofus Pourpre; Dofus Ocre; Dofus Ivoire; Sakochère</t>
        </is>
      </c>
    </row>
    <row r="25963">
      <c r="A25963" t="inlineStr">
        <is>
          <t>Xélor M 200</t>
        </is>
      </c>
      <c r="B25963">
        <f>HYPERLINK("https://www.dofusbook.net/fr/equipement/4097613-xelor-m-200/objets", "link")</f>
        <v/>
      </c>
      <c r="C25963" t="n">
        <v>3</v>
      </c>
      <c r="D25963" t="inlineStr">
        <is>
          <t>Lance Horselé; Collier du Valet Veinard; Alliance Gloursonne; Anneau Volkorne; Cadran de Terre; Menoture; Casque Volkorne; Cape Martegel; Palmes Trithons; Dofus Vulbis; Dofus Abyssal; Dofus Ivoire; Paralyseur majeur; Cascadeur majeur; Étourdisseur majeur; Volkorne Ivoire et Ebène</t>
        </is>
      </c>
    </row>
    <row r="25964">
      <c r="A25964" t="inlineStr">
        <is>
          <t>Ouginak M 200</t>
        </is>
      </c>
      <c r="B25964">
        <f>HYPERLINK("https://www.dofusbook.net/fr/equipement/4101962-ouginak-m-200/objets", "link")</f>
        <v/>
      </c>
      <c r="C25964" t="n">
        <v>0</v>
      </c>
      <c r="D25964" t="inlineStr">
        <is>
          <t>Sabres d'Atcham; Amulette du Strigide; Alliance Gloursonne; Anneau Volkorne; Bouclier du Stalak; Sangle Ouare; Casque Volkorne; Cape d'Atcham; Bottes du Strigide; Dofus Ocre; Dofus Ivoire; Dofus des Glaces; Dofus Abyssal; Dofus Pourpre; Dofus Nébuleux; Sakochère</t>
        </is>
      </c>
    </row>
    <row r="25965">
      <c r="A25965" t="inlineStr">
        <is>
          <t>Eniripsa M 200</t>
        </is>
      </c>
      <c r="B25965">
        <f>HYPERLINK("https://www.dofusbook.net/fr/equipement/4092279-eniripsa-m-200/objets", "link")</f>
        <v/>
      </c>
      <c r="C25965" t="n">
        <v>2</v>
      </c>
      <c r="D25965" t="inlineStr">
        <is>
          <t>Dagues de Srambad; Amulette du Strigide; Anneau en Grithril; Anneau Volkorne; Quatre-feuilles; Ceinture Volkorne; Masque de Funespadon; Cape au Logis; Bottes Honyme; Dofus Turquoise; Dofus Ivoire; Dofus Nébuleux; Dofus Ocre; Dofus Abyssal; Étourdisseur majeur; Kouin-Kouin Noir</t>
        </is>
      </c>
    </row>
    <row r="25966">
      <c r="A25966" t="inlineStr">
        <is>
          <t>Xélor M 200</t>
        </is>
      </c>
      <c r="B25966">
        <f>HYPERLINK("https://www.dofusbook.net/fr/equipement/4087723-xelor-m-200/objets", "link")</f>
        <v/>
      </c>
      <c r="C25966" t="n">
        <v>0</v>
      </c>
      <c r="D25966" t="inlineStr">
        <is>
          <t>Arc du Chalœil; Amulette Volkorne; Anneau Crustique; Anneau Crustique; Quatre-feuilles; Ceinture Volkorne; Masque de Koutoulou; Cape au Logis; Bottes Honyme; Dofus Turquoise; Dofus Ivoire; Dofus Abyssal; Étourdisseur majeur; Déserteur majeur; Enragé majeur; Kouin-Kouin Noir</t>
        </is>
      </c>
    </row>
    <row r="25967">
      <c r="A25967" t="inlineStr">
        <is>
          <t>Eniripsa M 200</t>
        </is>
      </c>
      <c r="B25967">
        <f>HYPERLINK("https://www.dofusbook.net/fr/equipement/4087828-eniripsa-m-200/objets", "link")</f>
        <v/>
      </c>
      <c r="C25967" t="n">
        <v>0</v>
      </c>
      <c r="D25967" t="inlineStr">
        <is>
          <t>Arc du Chalœil; Amulette du Strigide; Anneau Crustique; Anneau Crustique; Quatre-feuilles; Ceintacé; Masque de Koutoulou; Cape au Logis; Bottes du Strigide; Dofus Ivoire; Dofus Turquoise; Dofus Nébuleux; Dofus Pourpre; Dofus Abyssal; Enragé majeur; Bwak de Terre</t>
        </is>
      </c>
    </row>
    <row r="25968">
      <c r="A25968" t="inlineStr">
        <is>
          <t>Féca M 200</t>
        </is>
      </c>
      <c r="B25968">
        <f>HYPERLINK("https://www.dofusbook.net/fr/equipement/4087639-feca-m-200/objets", "link")</f>
        <v/>
      </c>
      <c r="C25968" t="n">
        <v>2</v>
      </c>
      <c r="D25968" t="inlineStr">
        <is>
          <t>Lav'Hache; Collier de Tourthon; Anneau Crustique; Anneau Crustique; Bouclier d'Ilyzaelle; Ceinture Volkorne; Masque de Koutoulou; Cape de la Cour Sombre; Bottes de la Cour Sombre; Dofus Ocre; Dofus Abyssal; Dofus Ivoire; Paralyseur majeur; Étourdisseur majeur; Nomade; Drakopin</t>
        </is>
      </c>
    </row>
    <row r="25969">
      <c r="A25969" t="inlineStr">
        <is>
          <t>Osamodas M 200</t>
        </is>
      </c>
      <c r="B25969">
        <f>HYPERLINK("https://www.dofusbook.net/fr/equipement/4084014-osamodas-m-200/objets", "link")</f>
        <v/>
      </c>
      <c r="C25969" t="n">
        <v>0</v>
      </c>
      <c r="D25969" t="inlineStr">
        <is>
          <t>Le Thanos; Amulette de Shokkoth; Alliance Gloursonne; Anneau Volkorne; Bouclier d'Ilyzaelle; Sangle Ouare; Casque d'Ilyzaelle; Cape Solution; Bottes du Sinistrofu; Dofus Ivoire; Dofus Ocre; Dofus des Glaces; Dofus Abyssal; Chanceux majeur; Guérisseur majeur; Dragodinde Indigo et Rousse</t>
        </is>
      </c>
    </row>
    <row r="25970">
      <c r="A25970" t="inlineStr">
        <is>
          <t>Ecaflip M 200</t>
        </is>
      </c>
      <c r="B25970">
        <f>HYPERLINK("https://www.dofusbook.net/fr/equipement/4080411-ecaflip-m-200/objets", "link")</f>
        <v/>
      </c>
      <c r="C25970" t="n">
        <v>2</v>
      </c>
      <c r="D25970" t="inlineStr">
        <is>
          <t>Hache du Chalœil; Amulette Volkorne; Anneau en Grithril; Anneau Volkorne; Bouclier du Stalak; Ceinture Volkorne; Masque de Funespadon; Cape du Chalœil; Bottes du Chalœil; Dofus des Glaces; Dofus Nébuleux; Dofus Pourpre; Dofus Abyssal; Dofus Ocre; Dofus Ivoire; Sakochère</t>
        </is>
      </c>
    </row>
    <row r="25971">
      <c r="A25971" t="inlineStr">
        <is>
          <t>Huppermage M 200</t>
        </is>
      </c>
      <c r="B25971">
        <f>HYPERLINK("https://www.dofusbook.net/fr/equipement/4076557-huppermage-m-200/objets", "link")</f>
        <v/>
      </c>
      <c r="C25971" t="n">
        <v>1</v>
      </c>
      <c r="D25971" t="inlineStr">
        <is>
          <t>Dagoulinantes; Talisman Igans; Bague Instable; Alliance Gloursonne; Bouclier d'Ilyzaelle; Sangle Ouare; Kidibonnet; Cape Solution; Bottes Owesli; Dofus Ivoire; Dofus Nébuleux; Dofus Abyssal; Culbuteur majeur; Bousculeur majeur; Chanceux majeur; Écumouth</t>
        </is>
      </c>
    </row>
    <row r="25972">
      <c r="A25972" t="inlineStr">
        <is>
          <t>Sadida M 200</t>
        </is>
      </c>
      <c r="B25972">
        <f>HYPERLINK("https://www.dofusbook.net/fr/equipement/4073736-sadida-m-200/objets", "link")</f>
        <v/>
      </c>
      <c r="C25972" t="n">
        <v>37</v>
      </c>
      <c r="D25972" t="inlineStr">
        <is>
          <t>Lav'Hache; Amulette Volkorne; Anneau Crustique; Anneau Crustique; Bouclier cubiste; Ceinture Volkorne; Couronne du Roi Joueur; Cape du Cœur Saignant; Bottes du Katcheur; Dofus Ocre; Dofus Abyssal; Dofus Vulbis; Dofus Ivoire; Enragé majeur; Remueur; Volkorne Turquoise</t>
        </is>
      </c>
    </row>
    <row r="25973">
      <c r="A25973" t="inlineStr">
        <is>
          <t>Iop M 200</t>
        </is>
      </c>
      <c r="B25973">
        <f>HYPERLINK("https://www.dofusbook.net/fr/equipement/4040694-iop-m-200/objets", "link")</f>
        <v/>
      </c>
      <c r="C25973" t="n">
        <v>4</v>
      </c>
      <c r="D25973" t="inlineStr">
        <is>
          <t>Hache du Guerrier Zoth; Amulette Volkorne; Anneau Volkorne; Chevalière du Roi Joueur; Quatre-feuilles; Ceinture Volkorne; Couronne du Roi Joueur; Voile d'encre; Bottes du Roi Joueur; Dofus Ocre; Dofus Ivoire; Dofus Pourpre; Dofus Nébuleux; Dofus Turquoise; Dofus Abyssal; Cromeugnon</t>
        </is>
      </c>
    </row>
    <row r="25974">
      <c r="A25974" t="inlineStr">
        <is>
          <t>Sacrieur M 200</t>
        </is>
      </c>
      <c r="B25974">
        <f>HYPERLINK("https://www.dofusbook.net/fr/equipement/4067876-sacrieur-m-200/objets", "link")</f>
        <v/>
      </c>
      <c r="C25974" t="n">
        <v>1</v>
      </c>
      <c r="D25974" t="inlineStr">
        <is>
          <t>Arc Hétype; Amulette Volkorne; Chevalière du Roi Joueur; Anneauræus; Bouclier d'Ilyzaelle; Ceinture Volkorne; Casque Dragoeuf; Cape de Diondin; Bottes Innommables; Dofus Ivoire; Dofus Ocre; Dofus Abyssal; Dofus Émeraude; Érudit majeur; Nomade; Dragodinde Prune et Orchidée</t>
        </is>
      </c>
    </row>
    <row r="25975">
      <c r="A25975" t="inlineStr">
        <is>
          <t>Sacrieur M 200</t>
        </is>
      </c>
      <c r="B25975">
        <f>HYPERLINK("https://www.dofusbook.net/fr/equipement/4067465-sacrieur-m-200/objets", "link")</f>
        <v/>
      </c>
      <c r="C25975" t="n">
        <v>1</v>
      </c>
      <c r="D25975" t="inlineStr">
        <is>
          <t>Manthache; Collier du Valet Veinard; Alliance Gloursonne; Gant du Valet Veinard; Bouclier d'Ilyzaelle; Menoture; Casque Dragoeuf; Cape Indescriptible; Palmes Trithons; Dofus Nébuleux; Dofus Ivoire; Dofus Ocre; Dofus Abyssal; Nomade; Cascadeur majeur; Dragodinde Ebène et Ivoire</t>
        </is>
      </c>
    </row>
    <row r="25976">
      <c r="A25976" t="inlineStr">
        <is>
          <t>Osamodas M 200</t>
        </is>
      </c>
      <c r="B25976">
        <f>HYPERLINK("https://www.dofusbook.net/fr/equipement/4062900-osamodas-m-200/objets", "link")</f>
        <v/>
      </c>
      <c r="C25976" t="n">
        <v>0</v>
      </c>
      <c r="D25976" t="inlineStr">
        <is>
          <t>Arc de Koutoulou; Amulette d'Ilyzaelle; Alliance Gloursonne; Anneau Volkorne; Bouclier du Stalak; Sangle Ouare; Casque Volkorne; Cape Solution; Sandales de Tal Kasha; Dofus des Glaces; Dofus Ivoire; Dofus Nébuleux; Dofus Ocre; Dofus Abyssal; Cascadeur majeur; Mini Wa</t>
        </is>
      </c>
    </row>
    <row r="25977">
      <c r="A25977" t="inlineStr">
        <is>
          <t>Ouginak M 200</t>
        </is>
      </c>
      <c r="B25977">
        <f>HYPERLINK("https://www.dofusbook.net/fr/equipement/4058711-ouginak-m-200/objets", "link")</f>
        <v/>
      </c>
      <c r="C25977" t="n">
        <v>2</v>
      </c>
      <c r="D25977" t="inlineStr">
        <is>
          <t>Hache Ériphe; Amulette du Kamasterisk; Anneau des égarés; Anneau Volkorne; Bouclier d'Ilyzaelle; Ceinture Volkorne; Casque Volkorne; Cape du Kamasterisk; Bottes du Kamasterisk; Dofus Pourpre; Dofus Nébuleux; Dofus Ocre; Dofus Abyssal; Dofus des Glaces; Dofus Ivoire; Mékrabe</t>
        </is>
      </c>
    </row>
    <row r="25978">
      <c r="A25978" t="inlineStr">
        <is>
          <t>Crâ M 200</t>
        </is>
      </c>
      <c r="B25978">
        <f>HYPERLINK("https://www.dofusbook.net/fr/equipement/4054550-cra-m-200/objets", "link")</f>
        <v/>
      </c>
      <c r="C25978" t="n">
        <v>3</v>
      </c>
      <c r="D25978" t="inlineStr">
        <is>
          <t>Sabres d'Atcham; Amulette Volkorne; Anneau de Padgref; Anneau Volkorne; Quatre-feuilles; Ceinture Volkorne; Coiffe de Padgref; Cape d'Atcham; Sandales  d'Atcham; Dofus Turquoise; Dofus Nébuleux; Dolmanax; Dofus Ocre; Dofus Pourpre; Dofus des Glaces; Sakochère</t>
        </is>
      </c>
    </row>
    <row r="25979">
      <c r="A25979" t="inlineStr">
        <is>
          <t>Iop M 200</t>
        </is>
      </c>
      <c r="B25979">
        <f>HYPERLINK("https://www.dofusbook.net/fr/equipement/4049279-iop-m-200/objets", "link")</f>
        <v/>
      </c>
      <c r="C25979" t="n">
        <v>0</v>
      </c>
      <c r="D25979" t="inlineStr">
        <is>
          <t>Bâthon; Amulette Volkorne; Bague Gloursonne; Chevalière du Roi Joueur; Quatre-feuilles; Ceinture Volkorne; Masque de Koutoulou; Cape au Logis; Bottes Honyme; Dofus Nébuleux; Dofus Pourpre; Dofus Abyssal; Dofus Turquoise; Dofus Ivoire; Vigoureux majeur; Cromeugnon</t>
        </is>
      </c>
    </row>
    <row r="25980">
      <c r="A25980" t="inlineStr">
        <is>
          <t>Crâ M 200</t>
        </is>
      </c>
      <c r="B25980">
        <f>HYPERLINK("https://www.dofusbook.net/fr/equipement/4024246-cra-m-200/objets", "link")</f>
        <v/>
      </c>
      <c r="C25980" t="n">
        <v>3</v>
      </c>
      <c r="D25980" t="inlineStr">
        <is>
          <t>Hache du Chalœil; Amulette Volkorne; Bracelet du Piloztère; Anneau Volkorne; Quatre-feuilles; Ceinture Volkorne; Casque du Chalœil; Cape du Chalœil; Bottes du Chalœil; Dofus des Glaces; Dofus Ocre; Dofus Turquoise; Dofus Nébuleux; Dofus Pourpre; Dofus Ivoire; Volkorne Saphir</t>
        </is>
      </c>
    </row>
    <row r="25981">
      <c r="A25981" t="inlineStr">
        <is>
          <t>Roublard M 200</t>
        </is>
      </c>
      <c r="B25981">
        <f>HYPERLINK("https://www.dofusbook.net/fr/equipement/4020057-roublard-m-200/objets", "link")</f>
        <v/>
      </c>
      <c r="C25981" t="n">
        <v>12</v>
      </c>
      <c r="D25981" t="inlineStr">
        <is>
          <t>Dagoulinantes; Amulette de Shokkoth; Alliance Gloursonne; Anneau Volkorne; Bouclier du Stalak; Culotte de Bethel; Casque Volkorne; Cape Solution; Bottes du Sinistrofu; Dofus Abyssal; Dofus Ivoire; Dofus Ocre; Dofus Vulbis; Chanceux majeur; Étourdisseur majeur; Dragoune Rose</t>
        </is>
      </c>
    </row>
    <row r="25982">
      <c r="A25982" t="inlineStr">
        <is>
          <t>Osamodas M 200</t>
        </is>
      </c>
      <c r="B25982">
        <f>HYPERLINK("https://www.dofusbook.net/fr/equipement/4014440-osamodas-m-200/objets", "link")</f>
        <v/>
      </c>
      <c r="C25982" t="n">
        <v>0</v>
      </c>
      <c r="D25982" t="inlineStr">
        <is>
          <t>Le Thanos; Amulette Volkorne; Baguistik; Bague Gloursonne; Carapar; Ceinture Volkorne; Masque de Koutoulou; Voile d'encre; Bottes du Roi Joueur; Dolmanax; Dofus Ocre; Dofus Abyssal; Dofus Ivoire; Enragé majeur; Érudit majeur; Chachyène</t>
        </is>
      </c>
    </row>
    <row r="25983">
      <c r="A25983" t="inlineStr">
        <is>
          <t>Zobal M 200</t>
        </is>
      </c>
      <c r="B25983">
        <f>HYPERLINK("https://www.dofusbook.net/fr/equipement/4012330-zobal-m-200/objets", "link")</f>
        <v/>
      </c>
      <c r="C25983" t="n">
        <v>0</v>
      </c>
      <c r="D25983" t="inlineStr">
        <is>
          <t>Epée Maudite du Saigneur Guerrier; Amulette du Strigide; Pikano; Anneau Volkorne; Bouclier du Captain Amakna; Ceinture du Strigide; Casque Volkorne; Cape au Logis; Bottes du Strigide; Dofus Abyssal; Dofus Ocre; Dofus Ivoire; Dofus Turquoise; Dofus Nébuleux; Dofus Pourpre; Kokulte</t>
        </is>
      </c>
    </row>
    <row r="25984">
      <c r="A25984" t="inlineStr">
        <is>
          <t>Crâ M 200</t>
        </is>
      </c>
      <c r="B25984">
        <f>HYPERLINK("https://www.dofusbook.net/fr/equipement/3996999-cra-m-200/objets", "link")</f>
        <v/>
      </c>
      <c r="C25984" t="n">
        <v>9</v>
      </c>
      <c r="D25984" t="inlineStr">
        <is>
          <t>Marteau R'ture; Amulette Volkorne; Anneau Crustique; Anneau Crustique; Bouclier du Captain Amakna; Ceinture Volkorne; Masque de Koutoulou; Cape au Logis; Bottes du Cœur Saignant; Dofus Abyssal; Dofus Nébuleux; Dofus Ivoire; Dofus Ocre; Dofus Turquoise; Enragé majeur; Pioute vert</t>
        </is>
      </c>
    </row>
    <row r="25985">
      <c r="A25985" t="inlineStr">
        <is>
          <t>Osamodas M 200</t>
        </is>
      </c>
      <c r="B25985">
        <f>HYPERLINK("https://www.dofusbook.net/fr/equipement/4001255-osamodas-m-200/objets", "link")</f>
        <v/>
      </c>
      <c r="C25985" t="n">
        <v>3</v>
      </c>
      <c r="D25985" t="inlineStr">
        <is>
          <t>Manthache; Amulette du Granduk; Alliance Gloursonne; Gant du Valet Veinard; Bouclier du Stalak; Menoture; Coiffe d'Hel Munster; Cape d'Hel Munster; Baleinabottes; Miraculé majeur; Remueur; Dévastateur Air majeur; Nomade; Equilibriste majeur; Cascadeur majeur; Blérodoudou</t>
        </is>
      </c>
    </row>
    <row r="25986">
      <c r="A25986" t="inlineStr">
        <is>
          <t>RALPHFINALE</t>
        </is>
      </c>
      <c r="B25986">
        <f>HYPERLINK("https://www.dofusbook.net/fr/equipement/3992040-ralphfinale/objets", "link")</f>
        <v/>
      </c>
      <c r="C25986" t="n">
        <v>3</v>
      </c>
      <c r="D25986" t="inlineStr">
        <is>
          <t>Manthache; Collier du Valet Veinard; Alliance Gloursonne; Gant du Valet Veinard; Bouclier d'Ilyzaelle; Menoture; Casque Dragoeuf; Cape Indescriptible; Palmes Trithons; Dofus Ocre; Dofus Abyssal; Dofus Émeraude; Dofus Ivoire; Nomade; Cascadeur majeur; Dragodinde Ebène et Ivoire</t>
        </is>
      </c>
    </row>
    <row r="25987">
      <c r="A25987" t="inlineStr">
        <is>
          <t>Sram M 200</t>
        </is>
      </c>
      <c r="B25987">
        <f>HYPERLINK("https://www.dofusbook.net/fr/equipement/3984190-sram-m-200/objets", "link")</f>
        <v/>
      </c>
      <c r="C25987" t="n">
        <v>0</v>
      </c>
      <c r="D25987" t="inlineStr">
        <is>
          <t>Arc du Chalœil; Amulette du Strigide; Anneau Crustique; Anneau Crustique; Quatre-feuilles; Ceinture de Brouce; Masque de Koutoulou; Cape au Logis; Bottes de Brouce; Dofus Nébuleux; Dofus Ivoire; Dofus Ocre; Dofus Abyssal; Dofus Turquoise; Enragé majeur; Sourisette</t>
        </is>
      </c>
    </row>
    <row r="25988">
      <c r="A25988" t="inlineStr">
        <is>
          <t>Ecaflip M 200</t>
        </is>
      </c>
      <c r="B25988">
        <f>HYPERLINK("https://www.dofusbook.net/fr/equipement/3983049-ecaflip-m-200/objets", "link")</f>
        <v/>
      </c>
      <c r="C25988" t="n">
        <v>1</v>
      </c>
      <c r="D25988" t="inlineStr">
        <is>
          <t>Arc du Chalœil; Amulette du Strigide; Anneau Chevelu; Anneau Crustique; Bouclier du Stalak; Ceintacé; Masque de Koutoulou; Cape au Logis; Bottes du Strigide; Dofus Abyssal; Dofus Nébuleux; Dofus Pourpre; Dofus Ivoire; Carapace Terre majeur; Enragé majeur; Kramkram</t>
        </is>
      </c>
    </row>
    <row r="25989">
      <c r="A25989" t="inlineStr">
        <is>
          <t>HIPERSPINTA</t>
        </is>
      </c>
      <c r="B25989">
        <f>HYPERLINK("https://www.dofusbook.net/fr/equipement/3978532-hiperspinta/objets", "link")</f>
        <v/>
      </c>
      <c r="C25989" t="n">
        <v>11</v>
      </c>
      <c r="D25989" t="inlineStr">
        <is>
          <t>Rouleau à Pâtisserie d'Aermyne; Torquistik; Bague Instable; Bague Trithon; Bouclier précieux; Sangle Ouare; Casque Dragoeuf; Cape Solution; Bottistik; Dofus Ocre; Dofus Ivoire; Dofus Abyssal; Pousseur majeur; Bousculeur majeur; Culbuteur majeur; Tatouf</t>
        </is>
      </c>
    </row>
    <row r="25990">
      <c r="A25990" t="inlineStr">
        <is>
          <t>OSARIACURE</t>
        </is>
      </c>
      <c r="B25990">
        <f>HYPERLINK("https://www.dofusbook.net/fr/equipement/3523224-osariacure/objets", "link")</f>
        <v/>
      </c>
      <c r="C25990" t="n">
        <v>2</v>
      </c>
      <c r="D25990" t="inlineStr">
        <is>
          <t>Le Thanos; Collier du Valet Veinard; Alliance Gloursonne; Anneau Rifique; Carapar; Menoture; Casque Dragoeuf; Cape du Valet Veinard; Sabots de Vortex; Dofus Abyssal; Dofus Ivoire; Nomade; Guérisseur majeur; Remueur; Cascadeur majeur; Dragodinde Ebène et Rousse</t>
        </is>
      </c>
    </row>
    <row r="25991">
      <c r="A25991" t="inlineStr">
        <is>
          <t>Ecaflip M 200</t>
        </is>
      </c>
      <c r="B25991">
        <f>HYPERLINK("https://www.dofusbook.net/fr/equipement/3981571-ecaflip-m-200/objets", "link")</f>
        <v/>
      </c>
      <c r="C25991" t="n">
        <v>2</v>
      </c>
      <c r="D25991" t="inlineStr">
        <is>
          <t>Manthache; Collier du Valet Veinard; Gant du Valet Veinard; Alliance Gloursonne; Bouclier d'Ilyzaelle; Menoture; Casque Volkorne; Cape Martegel; Palmes Trithons; Dofus Abyssal; Dofus Ivoire; Dofus Nébuleux; Dofus Vulbis; Cascadeur majeur; Remueur; Dragodinde Ebène et Ivoire</t>
        </is>
      </c>
    </row>
    <row r="25992">
      <c r="A25992" t="inlineStr">
        <is>
          <t>Iop M 200</t>
        </is>
      </c>
      <c r="B25992">
        <f>HYPERLINK("https://www.dofusbook.net/fr/equipement/3978510-iop-m-200/objets", "link")</f>
        <v/>
      </c>
      <c r="C25992" t="n">
        <v>1</v>
      </c>
      <c r="D25992" t="inlineStr">
        <is>
          <t>Lav'Hache; Torquistik; Anneau Crustique; Anneau Crustique; Bouclier Taverne; Ceinture Gence; Masque de Koutoulou; Cape au Logis; Bottistik; Dofus Ivoire; Dofus Nébuleux; Dofus Abyssal; Culbuteur majeur; Enragé majeur; Bousculeur majeur; Black Tiwabbit</t>
        </is>
      </c>
    </row>
    <row r="25993">
      <c r="A25993" t="inlineStr">
        <is>
          <t>Iop M 200</t>
        </is>
      </c>
      <c r="B25993">
        <f>HYPERLINK("https://www.dofusbook.net/fr/equipement/3962609-iop-m-200/objets", "link")</f>
        <v/>
      </c>
      <c r="C25993" t="n">
        <v>4</v>
      </c>
      <c r="D25993" t="inlineStr">
        <is>
          <t>Hache Téroïde; Amulette du Strigide; Bague Gloursonne; Chevalière du Roi Joueur; Quatre-feuilles; Ceinture du Strigide; Couronne du Roi Joueur; Voile d'encre; Bottes du Roi Joueur; Dofus Turquoise; Dofus Ocre; Dofus Vulbis; Dofus Abyssal; Dofus Nébuleux; Dofus Ivoire; Sakochère</t>
        </is>
      </c>
    </row>
    <row r="25994">
      <c r="A25994" t="inlineStr">
        <is>
          <t>Roublard M 200</t>
        </is>
      </c>
      <c r="B25994">
        <f>HYPERLINK("https://www.dofusbook.net/fr/equipement/3959935-roublard-m-200/objets", "link")</f>
        <v/>
      </c>
      <c r="C25994" t="n">
        <v>1</v>
      </c>
      <c r="D25994" t="inlineStr">
        <is>
          <t>Hache du Chalœil; Amulette Volkorne; Alliance Brûlâme; Anneau Volkorne; Quatre-feuilles; Ceinture Volkorne; Casque du Chalœil; Cape du Chalœil; Bottes du Chalœil; Dofus Abyssal; Dofus Ocre; Dofus Ivoire; Dofus Pourpre; Dofus Turquoise; Dofus Nébuleux; Sakochère</t>
        </is>
      </c>
    </row>
    <row r="25995">
      <c r="A25995" t="inlineStr">
        <is>
          <t>Xélor M 200</t>
        </is>
      </c>
      <c r="B25995">
        <f>HYPERLINK("https://www.dofusbook.net/fr/equipement/3957903-xelor-m-200/objets", "link")</f>
        <v/>
      </c>
      <c r="C25995" t="n">
        <v>2</v>
      </c>
      <c r="D25995" t="inlineStr">
        <is>
          <t>Rapière aux Glyphes; Amulette du Sinistrofu; Alliance Gloursonne; Anneau Volkorne; Cadran de Terre; Poulpagne; Masque des Fonds marins; Cape Solution; Bottes du Sinistrofu; Dofus Abyssal; Dofus Ivoire; Étourdisseur majeur; Paralyseur majeur; Nomade; Chanceux majeur; Boskito</t>
        </is>
      </c>
    </row>
    <row r="25996">
      <c r="A25996" t="inlineStr">
        <is>
          <t>topsteamerspinta</t>
        </is>
      </c>
      <c r="B25996">
        <f>HYPERLINK("https://www.dofusbook.net/fr/equipement/3918880-topsteamerspinta/objets", "link")</f>
        <v/>
      </c>
      <c r="C25996" t="n">
        <v>12</v>
      </c>
      <c r="D25996" t="inlineStr">
        <is>
          <t>Hachoirs de Viandargh; Amibou; Bague Instable; Alliance Gloursonne; Bouclier Taverne; Menoture; Casque Dragoeuf; Capibou; Bottes du Cœur Vaillant; Dofus Ocre; Dofus Ivoire; Dofus Vulbis; Cascadeur majeur; Bousculeur majeur; Culbuteur majeur; Tofoudre</t>
        </is>
      </c>
    </row>
    <row r="25997">
      <c r="A25997" t="inlineStr">
        <is>
          <t>Sacrieur M 200</t>
        </is>
      </c>
      <c r="B25997">
        <f>HYPERLINK("https://www.dofusbook.net/fr/equipement/3951457-sacrieur-m-200/objets", "link")</f>
        <v/>
      </c>
      <c r="C25997" t="n">
        <v>0</v>
      </c>
      <c r="D25997" t="inlineStr">
        <is>
          <t>Manthache; Collier du Valet Veinard; Gant du Valet Veinard; Alliance Gloursonne; Bouclier d'Ilyzaelle; Menoture; Dorabysses; Cape Martegel; Palmes Trithons; Dofus Abyssal; Dofus Ivoire; Dofus Nébuleux; Nomade; Cascadeur majeur; Remueur; Dragodinde Ebène et Ivoire</t>
        </is>
      </c>
    </row>
    <row r="25998">
      <c r="A25998" t="inlineStr">
        <is>
          <t>Iop M 200</t>
        </is>
      </c>
      <c r="B25998">
        <f>HYPERLINK("https://www.dofusbook.net/fr/equipement/3928851-iop-m-200/objets", "link")</f>
        <v/>
      </c>
      <c r="C25998" t="n">
        <v>2</v>
      </c>
      <c r="D25998" t="inlineStr">
        <is>
          <t>Sabres d'Atcham; Amulette du Strigide; Anneau de Padgref; Anneau Volkorne; Bouclier du Captain Amakna; Ceinture du Strigide; Coiffe de Padgref; Cape d'Atcham; Getas de Padgref; Dofus Ocre; Dofus Nébuleux; Dofus Pourpre; Dofus Vulbis; Dofus Turquoise; Dofus Ivoire; Sakochère</t>
        </is>
      </c>
    </row>
    <row r="25999">
      <c r="A25999" t="inlineStr">
        <is>
          <t>Féca M 200</t>
        </is>
      </c>
      <c r="B25999">
        <f>HYPERLINK("https://www.dofusbook.net/fr/equipement/3925069-feca-m-200/objets", "link")</f>
        <v/>
      </c>
      <c r="C25999" t="n">
        <v>0</v>
      </c>
      <c r="D25999" t="inlineStr">
        <is>
          <t>Baguette de Malléfisk; Pendentif affamé; Anneauræus; Anneau Rifique; Sept ans de malheur; Ceinture de Vortex; Casque Dragoeuf; Cape de Diondin; Sabots de Vortex; Dofus Abyssal; Dofus Ivoire; Érudit majeur; Étourdisseur majeur; Nomade; Remueur; Drakopin</t>
        </is>
      </c>
    </row>
    <row r="26000">
      <c r="A26000" t="inlineStr">
        <is>
          <t>Zobal M 200</t>
        </is>
      </c>
      <c r="B26000">
        <f>HYPERLINK("https://www.dofusbook.net/fr/equipement/3924435-zobal-m-200/objets", "link")</f>
        <v/>
      </c>
      <c r="C26000" t="n">
        <v>1</v>
      </c>
      <c r="D26000" t="inlineStr">
        <is>
          <t>Rapière aux Glyphes; Talisman Igans; Anneau Volkorne; Bague Trithon; Bouclier Taverne; Poulpagne; Casque Dragoeuf; Cape Solution; Bottes Owesli; Dofus Ivoire; Dofus Émeraude; Bousculeur majeur; Culbuteur majeur; Nomade; Chanceux majeur; Écumouth</t>
        </is>
      </c>
    </row>
    <row r="26001">
      <c r="A26001" t="inlineStr">
        <is>
          <t>Osamodas M 200</t>
        </is>
      </c>
      <c r="B26001">
        <f>HYPERLINK("https://www.dofusbook.net/fr/equipement/3913308-osamodas-m-200/objets", "link")</f>
        <v/>
      </c>
      <c r="C26001" t="n">
        <v>0</v>
      </c>
      <c r="D26001" t="inlineStr">
        <is>
          <t>Dagues Érhy; Amulette Volkorne; Anneau Crustique; Anneau Crustique; Bouclier du Stalak; Ceinture Volkorne; Masque de Koutoulou; Cape au Logis; Chaussons de Macrab; Dofus Ivoire; Dofus Ocre; Dofus Abyssal; Enragé majeur; Miraculé majeur; Carapace Air majeur; Bulbisou</t>
        </is>
      </c>
    </row>
    <row r="26002">
      <c r="A26002" t="inlineStr">
        <is>
          <t>Enutrof M 200</t>
        </is>
      </c>
      <c r="B26002">
        <f>HYPERLINK("https://www.dofusbook.net/fr/equipement/3902129-enutrof-m-200/objets", "link")</f>
        <v/>
      </c>
      <c r="C26002" t="n">
        <v>0</v>
      </c>
      <c r="D26002" t="inlineStr">
        <is>
          <t>Arc de Koutoulou; Amulette du Strigide; Alliance Gloursonne; Anneau Volkorne; Quatre-feuilles; Ceinture du Strigide; Némès de Tal Kasha; Chevelure de Tal Kasha; Sandales de Tal Kasha; Dofus Vulbis; Dofus Nébuleux; Dofus Turquoise; Dofus Ivoire; Dofus Ocre; Dofus Abyssal; Kokulte</t>
        </is>
      </c>
    </row>
    <row r="26003">
      <c r="A26003" t="inlineStr">
        <is>
          <t>Crâ M 200</t>
        </is>
      </c>
      <c r="B26003">
        <f>HYPERLINK("https://www.dofusbook.net/fr/equipement/3880243-cra-m-200/objets", "link")</f>
        <v/>
      </c>
      <c r="C26003" t="n">
        <v>2</v>
      </c>
      <c r="D26003" t="inlineStr">
        <is>
          <t>Arc Honte; Amulette de l'Indicible; Alliance Gloursonne; Bague Gloursonne; Cadran de Terre; Ceinture de l'Indicible; Capuche de l'Œil Putride; Cape de l'Œil Putride; Bottes de l'Indicible; Dofus Ocre; Dofus Ivoire; Dofus des Glaces; Dofus Vulbis; Dofus Abyssal; Paralyseur majeur; Volkorne Ivoire</t>
        </is>
      </c>
    </row>
    <row r="26004">
      <c r="A26004" t="inlineStr">
        <is>
          <t>Ecaflip M 200</t>
        </is>
      </c>
      <c r="B26004">
        <f>HYPERLINK("https://www.dofusbook.net/fr/equipement/3879768-ecaflip-m-200/objets", "link")</f>
        <v/>
      </c>
      <c r="C26004" t="n">
        <v>1</v>
      </c>
      <c r="D26004" t="inlineStr">
        <is>
          <t>Lav'Hache; Torquistik; Anneau Chevelu; Anneau Crustique; Bouclier Taverne; Ceinture Gence; Masque de Koutoulou; Cape au Logis; Bottistik; Dofus Abyssal; Dofus Ivoire; Dofus Nébuleux; Culbuteur majeur; Bousculeur majeur; Enragé majeur; Black Tiwabbit</t>
        </is>
      </c>
    </row>
    <row r="26005">
      <c r="A26005" t="inlineStr">
        <is>
          <t>Ecaflip M 200</t>
        </is>
      </c>
      <c r="B26005">
        <f>HYPERLINK("https://www.dofusbook.net/fr/equipement/3879708-ecaflip-m-200/objets", "link")</f>
        <v/>
      </c>
      <c r="C26005" t="n">
        <v>0</v>
      </c>
      <c r="D26005" t="inlineStr">
        <is>
          <t>Sceptre du Roi Joueur; Amulette du Sinistrofu; Alliance Gloursonne; Anneau Volkorne; Bouclier du Stalak; Sangle Ouare; Masque des Fonds marins; Cape Solution; Bottes du Sinistrofu; Dofus Ocre; Dofus Nébuleux; Dofus des Glaces; Dofus Abyssal; Dofus Ivoire; Chanceux majeur; Pioute bleu</t>
        </is>
      </c>
    </row>
    <row r="26006">
      <c r="A26006" t="inlineStr">
        <is>
          <t>Ouginak M 200</t>
        </is>
      </c>
      <c r="B26006">
        <f>HYPERLINK("https://www.dofusbook.net/fr/equipement/3879350-ouginak-m-200/objets", "link")</f>
        <v/>
      </c>
      <c r="C26006" t="n">
        <v>1</v>
      </c>
      <c r="D26006" t="inlineStr">
        <is>
          <t>Hache du Chalœil; Amulette Volkorne; Alliance Brûlâme; Anneau Volkorne; Bouclier du Stalak; Ceinture Volkorne; Casque du Chalœil; Cape du Chalœil; Bottes du Chalœil; Dofus des Glaces; Dofus Abyssal; Dofus Ocre; Dofus Ivoire; Dofus Pourpre; Dofus Nébuleux; Sakochère</t>
        </is>
      </c>
    </row>
    <row r="26007">
      <c r="A26007" t="inlineStr">
        <is>
          <t>Sacrieur M 200</t>
        </is>
      </c>
      <c r="B26007">
        <f>HYPERLINK("https://www.dofusbook.net/fr/equipement/3875184-sacrieur-m-200/objets", "link")</f>
        <v/>
      </c>
      <c r="C26007" t="n">
        <v>0</v>
      </c>
      <c r="D26007" t="inlineStr">
        <is>
          <t>Lance Horselé; Collier du Valet Veinard; Gant du Valet Veinard; Alliance Gloursonne; Bouclier d'Ilyzaelle; Menoture; Casque Dragoeuf; Cape Martegel; Palmes Trithons; Dofus Ivoire; Dofus Émeraude; Dofus Abyssal; Nomade; Cascadeur majeur; Remueur; Dragodinde Ebène et Ivoire</t>
        </is>
      </c>
    </row>
    <row r="26008">
      <c r="A26008" t="inlineStr">
        <is>
          <t>Pandawa M 200</t>
        </is>
      </c>
      <c r="B26008">
        <f>HYPERLINK("https://www.dofusbook.net/fr/equipement/3871382-pandawa-m-200/objets", "link")</f>
        <v/>
      </c>
      <c r="C26008" t="n">
        <v>2</v>
      </c>
      <c r="D26008" t="inlineStr">
        <is>
          <t>Arc corrompu; Pendentif affamé; Anneau Rifique; Goulano; Bouclier du Stalak; Ceinture de Vortex; Casque Dragoeuf; Cape de Diondin; Sabots de Vortex; Dofus Abyssal; Dofus Vulbis; Dofus Ivoire; Dofus Ocre; Érudit majeur; Étourdisseur majeur; Kouin-Kouin Noir</t>
        </is>
      </c>
    </row>
    <row r="26009">
      <c r="A26009" t="inlineStr">
        <is>
          <t>Sadida M 200</t>
        </is>
      </c>
      <c r="B26009">
        <f>HYPERLINK("https://www.dofusbook.net/fr/equipement/3865441-sadida-m-200/objets", "link")</f>
        <v/>
      </c>
      <c r="C26009" t="n">
        <v>0</v>
      </c>
      <c r="D26009" t="inlineStr">
        <is>
          <t>Arc Volkorne; Amulette du Strigide; Chevalière du Roi Joueur; Anneau Volkorne; Quatre-feuilles; Ceinture du Strigide; Casque Volkorne; Capille; Bottes du Roi Joueur; Dofus Nébuleux; Dofus Turquoise; Dofus Pourpre; Dofus Abyssal; Dofus Vulbis; Dofus Ocre; Sakochère</t>
        </is>
      </c>
    </row>
    <row r="26010">
      <c r="A26010" t="inlineStr">
        <is>
          <t>Sacrieur M 200</t>
        </is>
      </c>
      <c r="B26010">
        <f>HYPERLINK("https://www.dofusbook.net/fr/equipement/3857697-sacrieur-m-200/objets", "link")</f>
        <v/>
      </c>
      <c r="C26010" t="n">
        <v>0</v>
      </c>
      <c r="D26010" t="inlineStr">
        <is>
          <t>Canne Harr; Pendentif mignon de Koutoulou; Alliance Brûlâme; Anneau Rifique; Bouclier d'Ilyzaelle; Ceinture de Vortex; Casque Cyclopéen; Cape Martegel; Sabots de Vortex; Dofus Nébuleux; Dofus Abyssal; Dofus Vulbis; Dofus Ivoire; Dofus Ocre; Dofus Émeraude; Dragodinde Ebène et Ivoire</t>
        </is>
      </c>
    </row>
    <row r="26011">
      <c r="A26011" t="inlineStr">
        <is>
          <t>Sadida M 200</t>
        </is>
      </c>
      <c r="B26011">
        <f>HYPERLINK("https://www.dofusbook.net/fr/equipement/3854560-sadida-m-200/objets", "link")</f>
        <v/>
      </c>
      <c r="C26011" t="n">
        <v>0</v>
      </c>
      <c r="D26011" t="inlineStr">
        <is>
          <t>Dagues Érhy; Amulette Volkorne; Anneau Volkorne; Alliance Brûlâme; Quatre-feuilles; Ceinture Volkorne; Casque du Chalœil; Cape du Chalœil; Bottes du Chalœil; Dofus Ocre; Dofus Nébuleux; Dofus des Glaces; Dofus Abyssal; Dofus Turquoise; Dofus Ivoire; Volkorne Améthyste</t>
        </is>
      </c>
    </row>
    <row r="26012">
      <c r="A26012" t="inlineStr">
        <is>
          <t>Crâ M 200</t>
        </is>
      </c>
      <c r="B26012">
        <f>HYPERLINK("https://www.dofusbook.net/fr/equipement/3810362-cra-m-200/objets", "link")</f>
        <v/>
      </c>
      <c r="C26012" t="n">
        <v>5</v>
      </c>
      <c r="D26012" t="inlineStr">
        <is>
          <t>Arc Honte; Amulette de l'Indicible; Alliance Gloursonne; Bague Gloursonne; Cadran de Terre; Ceinture de l'Indicible; Capuche de l'Œil Putride; Cape de l'Œil Putride; Bottes de l'Indicible; Dofus Abyssal; Dofus Ivoire; Dofus Vulbis; Dofus des Glaces; Dofus Ocre; Paralyseur majeur; Volkorne Ivoire et Turquoise</t>
        </is>
      </c>
    </row>
    <row r="26013">
      <c r="A26013" t="inlineStr">
        <is>
          <t>BESTOSACHA</t>
        </is>
      </c>
      <c r="B26013">
        <f>HYPERLINK("https://www.dofusbook.net/fr/equipement/3375809-bestosacha/objets", "link")</f>
        <v/>
      </c>
      <c r="C26013" t="n">
        <v>27</v>
      </c>
      <c r="D26013" t="inlineStr">
        <is>
          <t>Dagoulinantes; Amulette de Shokkoth; Alliance Gloursonne; Bracelet des Fonds marins; Bouclier d'Ilyzaelle; Sangle Ouare; Masque des Fonds marins; Cape Solution; Bottes du Nocturlabe; Dofus Émeraude; Dofus Abyssal; Dofus Ivoire; Chanceux majeur; Remueur; Miraculé majeur; Dauge</t>
        </is>
      </c>
    </row>
    <row r="26014">
      <c r="A26014" t="inlineStr">
        <is>
          <t>Cakko</t>
        </is>
      </c>
      <c r="B26014">
        <f>HYPERLINK("https://www.dofusbook.net/fr/equipement/3848552-cakko/objets", "link")</f>
        <v/>
      </c>
      <c r="C26014" t="n">
        <v>5</v>
      </c>
      <c r="D26014" t="inlineStr">
        <is>
          <t>Manthache; Collier du Valet Veinard; Alliance Gloursonne; Gant du Valet Veinard; Bouclier du Stalak; Menoture; Capuche de Moum-Ra; Cape Martegel; Palmes Trithons; Dofus Abyssal; Dofus Nébuleux; Dofus Ivoire; Dofus Ocre; Cascadeur majeur; Nomade; Bouftor</t>
        </is>
      </c>
    </row>
    <row r="26015">
      <c r="A26015" t="inlineStr">
        <is>
          <t>Zobal M 200</t>
        </is>
      </c>
      <c r="B26015">
        <f>HYPERLINK("https://www.dofusbook.net/fr/equipement/3848141-zobal-m-200/objets", "link")</f>
        <v/>
      </c>
      <c r="C26015" t="n">
        <v>3</v>
      </c>
      <c r="D26015" t="inlineStr">
        <is>
          <t>Lav'Hache; Torquistik; Bague Trithon; Bague Instable; Bouclier précieux; Ceinture Gence; Casque Dragoeuf; Cape Solution; Bottistik; Dofus Abyssal; Dofus Ivoire; Bousculeur majeur; Culbuteur; Pousseur majeur; Culbuteur majeur; Balafreux</t>
        </is>
      </c>
    </row>
    <row r="26016">
      <c r="A26016" t="inlineStr">
        <is>
          <t>Ouginak M 200</t>
        </is>
      </c>
      <c r="B26016">
        <f>HYPERLINK("https://www.dofusbook.net/fr/equipement/3842545-ouginak-m-200/objets", "link")</f>
        <v/>
      </c>
      <c r="C26016" t="n">
        <v>3</v>
      </c>
      <c r="D26016" t="inlineStr">
        <is>
          <t>Marteau R'ture; Amulette du Strigide; Anneau Crustique; Anneau Crustique; Bouclier du Captain Amakna; Ceintacé; Masque de Koutoulou; Cape au Logis; Bottes du Strigide; Dofus Émeraude; Dofus Nébuleux; Dofus Turquoise; Dofus Ivoire; Dofus Abyssal; Enragé majeur; Kompost</t>
        </is>
      </c>
    </row>
    <row r="26017">
      <c r="A26017" t="inlineStr">
        <is>
          <t>Iop M 200</t>
        </is>
      </c>
      <c r="B26017">
        <f>HYPERLINK("https://www.dofusbook.net/fr/equipement/3832247-iop-m-200/objets", "link")</f>
        <v/>
      </c>
      <c r="C26017" t="n">
        <v>3</v>
      </c>
      <c r="D26017" t="inlineStr">
        <is>
          <t>Epée Maudite du Saigneur Guerrier; Amulette du Strigide; Anneau de Padgref; Bague Trithon; Bouclier du Captain Amakna; Ceinture du Strigide; Coiffe de Padgref; Cape au Logis; Getas de Padgref; Dofus Pourpre; Dofus Ocre; Dofus Ivoire; Dofus Abyssal; Dofus Turquoise; Dofus Nébuleux; Kokulte</t>
        </is>
      </c>
    </row>
    <row r="26018">
      <c r="A26018" t="inlineStr">
        <is>
          <t>Iop M 200</t>
        </is>
      </c>
      <c r="B26018">
        <f>HYPERLINK("https://www.dofusbook.net/fr/equipement/3832034-iop-m-200/objets", "link")</f>
        <v/>
      </c>
      <c r="C26018" t="n">
        <v>0</v>
      </c>
      <c r="D26018" t="inlineStr">
        <is>
          <t>Dagues Érhy; Amulette du Strigide; Bague Gloursonne; Chevalière du Roi Joueur; Quatre-feuilles; Ceinture du Strigide; Couronne du Roi Joueur; Cape au Logis; Bottes du Roi Joueur; Dofus Turquoise; Dofus Abyssal; Dofus Nébuleux; Dofus Ocre; Dofus Pourpre; Dofus Ivoire; Bwak de Terre</t>
        </is>
      </c>
    </row>
    <row r="26019">
      <c r="A26019" t="inlineStr">
        <is>
          <t>Iop M 200</t>
        </is>
      </c>
      <c r="B26019">
        <f>HYPERLINK("https://www.dofusbook.net/fr/equipement/3831968-iop-m-200/objets", "link")</f>
        <v/>
      </c>
      <c r="C26019" t="n">
        <v>0</v>
      </c>
      <c r="D26019" t="inlineStr">
        <is>
          <t>Dagues Érhy; Amulette Volkorne; Bague Gloursonne; Chevalière du Roi Joueur; Quatre-feuilles; Ceinture Volkorne; Chapeau Lisson; Cape au Logis; Bottes Honyme; Dofus Ocre; Dofus Ivoire; Dofus Abyssal; Dofus Pourpre; Dofus Turquoise; Dofus Nébuleux; Cromeugnon</t>
        </is>
      </c>
    </row>
    <row r="26020">
      <c r="A26020" t="inlineStr">
        <is>
          <t>MIGLIORELIO3v3</t>
        </is>
      </c>
      <c r="B26020">
        <f>HYPERLINK("https://www.dofusbook.net/fr/equipement/3826243-migliorelio3v3/objets", "link")</f>
        <v/>
      </c>
      <c r="C26020" t="n">
        <v>3</v>
      </c>
      <c r="D26020" t="inlineStr">
        <is>
          <t>Marteau Phossile; Pendentif mignon de Koutoulou; Anneau Volkorne; Anneau Rifique; Bouclier du Stalak; Ceinture de Vortex; Casque Volkorne; Cape Martegel; Sabots de Vortex; Dofus des Glaces; Dofus Abyssal; Dofus Vulbis; Dofus Ivoire; Dofus Nébuleux; Dofus Ocre; Volkorne Rubis</t>
        </is>
      </c>
    </row>
    <row r="26021">
      <c r="A26021" t="inlineStr">
        <is>
          <t>canefullspinta</t>
        </is>
      </c>
      <c r="B26021">
        <f>HYPERLINK("https://www.dofusbook.net/fr/equipement/3819971-canefullspinta/objets", "link")</f>
        <v/>
      </c>
      <c r="C26021" t="n">
        <v>0</v>
      </c>
      <c r="D26021" t="inlineStr">
        <is>
          <t>Lav'Hache; Torquistik; Bague Trithon; Bague Instable; Bouclier précieux; Ceintrigue; Casque Dragoeuf; Cape des Malveilleurs; Bottes Owesli; Dofus Ivoire; Dofus Ocre; Dofus Abyssal; Remueur; Bousculeur majeur; Culbuteur majeur; Sakochère</t>
        </is>
      </c>
    </row>
    <row r="26022">
      <c r="A26022" t="inlineStr">
        <is>
          <t>canefeuspinta</t>
        </is>
      </c>
      <c r="B26022">
        <f>HYPERLINK("https://www.dofusbook.net/fr/equipement/3819852-canefeuspinta/objets", "link")</f>
        <v/>
      </c>
      <c r="C26022" t="n">
        <v>0</v>
      </c>
      <c r="D26022" t="inlineStr">
        <is>
          <t>Arc corrompu; Talisman Igans; Anneauræus; Bague Instable; Bouclier Taverne; Ceinture Gence; Casque Dragoeuf; Cape de Diondin; Bottes Owesli; Dofus Abyssal; Dofus Ivoire; Culbuteur majeur; Nomade; Érudit majeur; Bousculeur majeur; Scarakiri</t>
        </is>
      </c>
    </row>
    <row r="26023">
      <c r="A26023" t="inlineStr">
        <is>
          <t>Iop M 200</t>
        </is>
      </c>
      <c r="B26023">
        <f>HYPERLINK("https://www.dofusbook.net/fr/equipement/3819759-iop-m-200/objets", "link")</f>
        <v/>
      </c>
      <c r="C26023" t="n">
        <v>0</v>
      </c>
      <c r="D26023" t="inlineStr">
        <is>
          <t>Lav'Hache; Torquistik; Anneau Crustique; Anneau Crustique; Bouclier Taverne; Ceinture Gence; Masque de Koutoulou; Cape au Logis; Bottistik; Dofus Ivoire; Dofus Nébuleux; Dofus Abyssal; Enragé majeur; Culbuteur majeur; Bousculeur majeur; Black Tiwabbit</t>
        </is>
      </c>
    </row>
    <row r="26024">
      <c r="A26024" t="inlineStr">
        <is>
          <t>Sacrieur M 200</t>
        </is>
      </c>
      <c r="B26024">
        <f>HYPERLINK("https://www.dofusbook.net/fr/equipement/3817876-sacrieur-m-200/objets", "link")</f>
        <v/>
      </c>
      <c r="C26024" t="n">
        <v>2</v>
      </c>
      <c r="D26024" t="inlineStr">
        <is>
          <t>Arc Volkorne; Amulette de l'Indicible; Alliance Brûlâme; Anneau Volkorne; Bouclier du Stalak; Ceinture de l'Indicible; Casque Volkorne; Cape du Chalœil; Bottes du Chalœil; Dofus Nébuleux; Dofus Ocre; Dofus Ivoire; Dofus des Glaces; Dofus Pourpre; Dofus Vulbis; Volkorne Rubis</t>
        </is>
      </c>
    </row>
    <row r="26025">
      <c r="A26025" t="inlineStr">
        <is>
          <t>Iop M 200</t>
        </is>
      </c>
      <c r="B26025">
        <f>HYPERLINK("https://www.dofusbook.net/fr/equipement/3813813-iop-m-200/objets", "link")</f>
        <v/>
      </c>
      <c r="C26025" t="n">
        <v>0</v>
      </c>
      <c r="D26025" t="inlineStr">
        <is>
          <t>Dagues Érhy; Amulette du Strigide; Bague Gloursonne; Chevalière du Roi Joueur; Bouclier du Captain Amakna; Ceinture du Strigide; Masque de Koutoulou; Voile d'encre; Bottes du Strigide; Dofus Vulbis; Dofus Ivoire; Dofus Turquoise; Dofus Abyssal; Dofus Pourpre; Dofus Nébuleux; Kokulte</t>
        </is>
      </c>
    </row>
    <row r="26026">
      <c r="A26026" t="inlineStr">
        <is>
          <t>Crâ M 200</t>
        </is>
      </c>
      <c r="B26026">
        <f>HYPERLINK("https://www.dofusbook.net/fr/equipement/3603776-cra-m-200/objets", "link")</f>
        <v/>
      </c>
      <c r="C26026" t="n">
        <v>4</v>
      </c>
      <c r="D26026" t="inlineStr">
        <is>
          <t>Sabres d'Atcham; Amulette du Strigide; Anneau Rifique; Alliance Gloursonne; Cadran de Terre; Ceinture du Strigide; Casque Cyclopéen; Cape d'Atcham; Sandales  d'Atcham; Dofus Vulbis; Dofus Turquoise; Dofus Ocre; Dofus Ivoire; Dofus Pourpre; Dofus Nébuleux; Volkorne Améthyste et Ivoire</t>
        </is>
      </c>
    </row>
    <row r="26027">
      <c r="A26027" t="inlineStr">
        <is>
          <t>Sacrieur M 200</t>
        </is>
      </c>
      <c r="B26027">
        <f>HYPERLINK("https://www.dofusbook.net/fr/equipement/3802363-sacrieur-m-200/objets", "link")</f>
        <v/>
      </c>
      <c r="C26027" t="n">
        <v>0</v>
      </c>
      <c r="D26027" t="inlineStr">
        <is>
          <t>Manthache; Collier du Valet Veinard; Alliance Gloursonne; Gant du Valet Veinard; Bouclier d'Ilyzaelle; Menoture; Dorabysses; Cape Martegel; Palmes Trithons; Dofus Ivoire; Dofus Nébuleux; Dofus Abyssal; Cascadeur majeur; Remueur; Nomade; Dragodinde Ebène et Ivoire</t>
        </is>
      </c>
    </row>
    <row r="26028">
      <c r="A26028" t="inlineStr">
        <is>
          <t>Crâ M 200</t>
        </is>
      </c>
      <c r="B26028">
        <f>HYPERLINK("https://www.dofusbook.net/fr/equipement/3802271-cra-m-200/objets", "link")</f>
        <v/>
      </c>
      <c r="C26028" t="n">
        <v>2</v>
      </c>
      <c r="D26028" t="inlineStr">
        <is>
          <t>Pelle de la Cour Sombre; Amibou; Anneau de Padgref; Alliance Gloursonne; Quatre-feuilles; Ceinture du Barbétoal; Coiffe de Padgref; Capibou; Getas de Padgref; Dofus Vulbis; Dofus Ivoire; Dofus des Glaces; Dofus Ocre; Dofus Turquoise; Dofus Nébuleux; Volkorne Améthyste</t>
        </is>
      </c>
    </row>
    <row r="26029">
      <c r="A26029" t="inlineStr">
        <is>
          <t>Crâ M 200</t>
        </is>
      </c>
      <c r="B26029">
        <f>HYPERLINK("https://www.dofusbook.net/fr/equipement/3799788-cra-m-200/objets", "link")</f>
        <v/>
      </c>
      <c r="C26029" t="n">
        <v>24</v>
      </c>
      <c r="D26029" t="inlineStr">
        <is>
          <t>Pelle de la Cour Sombre; Amibou; Gant du Valet Veinard; Alliance Gloursonne; Quatre-feuilles; Menoture; Capuche de Moum-Ra; Capibou; Palmes Trithons; Dofus Vulbis; Dofus Nébuleux; Dofus Turquoise; Dofus Ivoire; Dofus Ocre; Cascadeur majeur; Bwak d'Air</t>
        </is>
      </c>
    </row>
    <row r="26030">
      <c r="A26030" t="inlineStr">
        <is>
          <t>Pandawa M 200</t>
        </is>
      </c>
      <c r="B26030">
        <f>HYPERLINK("https://www.dofusbook.net/fr/equipement/3798903-pandawa-m-200/objets", "link")</f>
        <v/>
      </c>
      <c r="C26030" t="n">
        <v>1</v>
      </c>
      <c r="D26030" t="inlineStr">
        <is>
          <t>Arc corrompu; Pendentif mignon de Koutoulou; Baguistik; Anneau Tique; Bouclier du Stalak; Ceinture de Gein; Casque Cyclopéen; Cape Ardente; Pataugastrique; Dofus Ivoire; Dofus Forgelave; Dofus Abyssal; Nomade; Érudit majeur; Remueur; Balafreux</t>
        </is>
      </c>
    </row>
    <row r="26031">
      <c r="A26031" t="inlineStr">
        <is>
          <t>Sacrieur M 200</t>
        </is>
      </c>
      <c r="B26031">
        <f>HYPERLINK("https://www.dofusbook.net/fr/equipement/3787702-sacrieur-m-200/objets", "link")</f>
        <v/>
      </c>
      <c r="C26031" t="n">
        <v>2</v>
      </c>
      <c r="D26031" t="inlineStr">
        <is>
          <t>Lance Horselé; Collier du Valet Veinard; Gant du Valet Veinard; Alliance Gloursonne; Bouclier d'Ilyzaelle; Menoture; Casque Dragoeuf; Cape Martegel; Palmes Trithons; Dofus Émeraude; Dofus Abyssal; Dofus Nébuleux; Remueur; Cascadeur majeur; Nomade; Dragodinde Ebène et Ivoire</t>
        </is>
      </c>
    </row>
    <row r="26032">
      <c r="A26032" t="inlineStr">
        <is>
          <t>Iop M 200</t>
        </is>
      </c>
      <c r="B26032">
        <f>HYPERLINK("https://www.dofusbook.net/fr/equipement/3791342-iop-m-200/objets", "link")</f>
        <v/>
      </c>
      <c r="C26032" t="n">
        <v>1</v>
      </c>
      <c r="D26032" t="inlineStr">
        <is>
          <t>Arc du Chalœil; Amulette Volkorne; Bague Gloursonne; Chevalière du Roi Joueur; Bouclier du Stalak; Ceinture Volkorne; Couronne du Roi Joueur; Cape au Logis; Bottes du Roi Joueur; Dofus Abyssal; Dofus Ocre; Dofus Turquoise; Dofus Nébuleux; Dofus Ivoire; Dofus Pourpre; Cromeugnon</t>
        </is>
      </c>
    </row>
    <row r="26033">
      <c r="A26033" t="inlineStr">
        <is>
          <t>Iop M 200</t>
        </is>
      </c>
      <c r="B26033">
        <f>HYPERLINK("https://www.dofusbook.net/fr/equipement/3786808-iop-m-200/objets", "link")</f>
        <v/>
      </c>
      <c r="C26033" t="n">
        <v>4</v>
      </c>
      <c r="D26033" t="inlineStr">
        <is>
          <t>Lav'Hache; Torquistik; Anneau Crustique; Anneau Crustique; Bouclier Taverne; Ceinture Gence; Masque de Koutoulou; Cape au Logis; Bottistik; Dofus Abyssal; Dofus Ivoire; Dofus Nébuleux; Culbuteur majeur; Bousculeur majeur; Enragé majeur; Black Tiwabbit</t>
        </is>
      </c>
    </row>
    <row r="26034">
      <c r="A26034" t="inlineStr">
        <is>
          <t>Zobal M 200</t>
        </is>
      </c>
      <c r="B26034">
        <f>HYPERLINK("https://www.dofusbook.net/fr/equipement/3784222-zobal-m-200/objets", "link")</f>
        <v/>
      </c>
      <c r="C26034" t="n">
        <v>1</v>
      </c>
      <c r="D26034" t="inlineStr">
        <is>
          <t>Sceptre du Roi Joueur; Amulette du Sinistrofu; Anneau Volkorne; Bague Trithon; Bouclier Taverne; Ceintrigue; Masque de Funespadon; Cape Solution; Bottes Owesli; Dofus Vulbis; Dofus Ivoire; Dofus Ocre; Dofus des Glaces; Bousculeur majeur; Culbuteur majeur; Écumouth</t>
        </is>
      </c>
    </row>
    <row r="26035">
      <c r="A26035" t="inlineStr">
        <is>
          <t>Féca M 200</t>
        </is>
      </c>
      <c r="B26035">
        <f>HYPERLINK("https://www.dofusbook.net/fr/equipement/3783956-feca-m-200/objets", "link")</f>
        <v/>
      </c>
      <c r="C26035" t="n">
        <v>2</v>
      </c>
      <c r="D26035" t="inlineStr">
        <is>
          <t>Arc Hétype; Collier Rophante; Anneau Rifique; Anneauræus; Sept ans de malheur; Ceinture de Vortex; Casque Dragoeuf; Cape de Diondin; Sabots de Vortex; Dofus Abyssal; Dofus Ivoire; Dofus Ocre; Étourdisseur majeur; Érudit majeur; Obstructeur majeur; Drakopin</t>
        </is>
      </c>
    </row>
    <row r="26036">
      <c r="A26036" t="inlineStr">
        <is>
          <t>Eliotrope M 200</t>
        </is>
      </c>
      <c r="B26036">
        <f>HYPERLINK("https://www.dofusbook.net/fr/equipement/3776995-eliotrope-m-200/objets", "link")</f>
        <v/>
      </c>
      <c r="C26036" t="n">
        <v>2</v>
      </c>
      <c r="D26036" t="inlineStr">
        <is>
          <t>Arc de Koutoulou; Amulette du Strigide; Alliance Gloursonne; Anneau Volkorne; Quatre-feuilles; Ceinture du Strigide; Némès de Tal Kasha; Chevelure de Tal Kasha; Sandales de Tal Kasha; Dofus Pourpre; Dofus Ivoire; Dofus Ocre; Dofus Turquoise; Dofus Vulbis; Dofus Nébuleux; Kokulte</t>
        </is>
      </c>
    </row>
    <row r="26037">
      <c r="A26037" t="inlineStr">
        <is>
          <t>Ouginak M 200</t>
        </is>
      </c>
      <c r="B26037">
        <f>HYPERLINK("https://www.dofusbook.net/fr/equipement/3776898-ouginak-m-200/objets", "link")</f>
        <v/>
      </c>
      <c r="C26037" t="n">
        <v>0</v>
      </c>
      <c r="D26037" t="inlineStr">
        <is>
          <t>Arc de Koutoulou; Amulette du Strigide; Alliance Gloursonne; Anneau Volkorne; Quatre-feuilles; Ceinture du Strigide; Casque Volkorne; Chevelure de Tal Kasha; Bottes du Strigide; Dofus Vulbis; Dofus Pourpre; Dofus Abyssal; Dofus Nébuleux; Dofus Ocre; Dofus Ivoire; Volkorne Rubis et Améthyste</t>
        </is>
      </c>
    </row>
    <row r="26038">
      <c r="A26038" t="inlineStr">
        <is>
          <t>Sacrieur M 200</t>
        </is>
      </c>
      <c r="B26038">
        <f>HYPERLINK("https://www.dofusbook.net/fr/equipement/3765575-sacrieur-m-200/objets", "link")</f>
        <v/>
      </c>
      <c r="C26038" t="n">
        <v>0</v>
      </c>
      <c r="D26038" t="inlineStr">
        <is>
          <t>Marteau R'ture; Amulette du Strigide; Anneau Crustique; Anneau Crustique; Bouclier du Captain Amakna; Ceintacé; Masque de Koutoulou; Cape au Logis; Bottes du Strigide; Dofus Turquoise; Dofus Ivoire; Dofus Abyssal; Dofus Émeraude; Enragé majeur; Miraculé majeur; Bwak de Terre</t>
        </is>
      </c>
    </row>
    <row r="26039">
      <c r="A26039" t="inlineStr">
        <is>
          <t>Sacrieur F 200</t>
        </is>
      </c>
      <c r="B26039">
        <f>HYPERLINK("https://www.dofusbook.net/fr/equipement/3582561-sacrieur-f-200/objets", "link")</f>
        <v/>
      </c>
      <c r="C26039" t="n">
        <v>4</v>
      </c>
      <c r="D26039" t="inlineStr">
        <is>
          <t>Manthache; Collier du Valet Veinard; Alliance Gloursonne; Gant du Valet Veinard; Bouclier d'Ilyzaelle; Menoture; Casque Dragoeuf; Cape Indescriptible; Palmes Trithons; Dofus Nébuleux; Dofus Abyssal; Dofus Émeraude; Nomade; Cascadeur majeur; Remueur; Dragodinde Ebène et Ivoire</t>
        </is>
      </c>
    </row>
    <row r="26040">
      <c r="A26040" t="inlineStr">
        <is>
          <t>Sacrieur M 200</t>
        </is>
      </c>
      <c r="B26040">
        <f>HYPERLINK("https://www.dofusbook.net/fr/equipement/3744857-sacrieur-m-200/objets", "link")</f>
        <v/>
      </c>
      <c r="C26040" t="n">
        <v>1</v>
      </c>
      <c r="D26040" t="inlineStr">
        <is>
          <t>Marteau Phossile; Pendentif mignon de Koutoulou; Anneau Rifique; Alliance Brûlâme; Bouclier d'Ilyzaelle; Ceinture de Vortex; Casque Cyclopéen; Cape Martegel; Sabots de Vortex; Dofus Nébuleux; Dofus Ivoire; Dofus Abyssal; Dofus Ocre; Dofus Émeraude; Dofus Vulbis; Chercheur d'Ogrines</t>
        </is>
      </c>
    </row>
    <row r="26041">
      <c r="A26041" t="inlineStr">
        <is>
          <t>Sacrieur M 200</t>
        </is>
      </c>
      <c r="B26041">
        <f>HYPERLINK("https://www.dofusbook.net/fr/equipement/3741062-sacrieur-m-200/objets", "link")</f>
        <v/>
      </c>
      <c r="C26041" t="n">
        <v>1</v>
      </c>
      <c r="D26041" t="inlineStr">
        <is>
          <t>Pelle de la Cour Sombre; Collier du Valet Veinard; Alliance Gloursonne; Gant du Valet Veinard; Bouclier d'Ilyzaelle; Menoture; Casque Dragoeuf; Cape Indescriptible; Palmes Trithons; Dofus Abyssal; Dofus Ivoire; Dofus Émeraude; Remueur; Nomade; Cascadeur majeur; El Scarador</t>
        </is>
      </c>
    </row>
    <row r="26042">
      <c r="A26042" t="inlineStr">
        <is>
          <t>Sram M 200</t>
        </is>
      </c>
      <c r="B26042">
        <f>HYPERLINK("https://www.dofusbook.net/fr/equipement/3736367-sram-m-200/objets", "link")</f>
        <v/>
      </c>
      <c r="C26042" t="n">
        <v>1</v>
      </c>
      <c r="D26042" t="inlineStr">
        <is>
          <t>Épée de la Reine des Voleurs; Amulette du Strigide; Alliance Brûlâme; Anneau des égarés; Quatre-feuilles; Ceinture du Strigide; Casque des égarés; Cape du Kamasterisk; Bottes du Kamasterisk; Dofus Abyssal; Dofus Pourpre; Dofus Ivoire; Dofus Turquoise; Dofus Nébuleux; Dofus Ocre; Volkorne Jade et Saphir</t>
        </is>
      </c>
    </row>
    <row r="26043">
      <c r="A26043" t="inlineStr">
        <is>
          <t>Xélor M 200</t>
        </is>
      </c>
      <c r="B26043">
        <f>HYPERLINK("https://www.dofusbook.net/fr/equipement/3734678-xelor-m-200/objets", "link")</f>
        <v/>
      </c>
      <c r="C26043" t="n">
        <v>3</v>
      </c>
      <c r="D26043" t="inlineStr">
        <is>
          <t>Manthache; Collier du Valet Veinard; Alliance Gloursonne; Gant du Valet Veinard; Bouclier du Stalak; Menoture; Capuche de Moum-Ra; Cape Martegel; Palmes Trithons; Dofus Vulbis; Dofus Ivoire; Dofus Ocre; Dofus Abyssal; Dofus Nébuleux; Cascadeur majeur; Dragodinde Amande et Ebène</t>
        </is>
      </c>
    </row>
    <row r="26044">
      <c r="A26044" t="inlineStr">
        <is>
          <t>Sacrieur M 200</t>
        </is>
      </c>
      <c r="B26044">
        <f>HYPERLINK("https://www.dofusbook.net/fr/equipement/3729055-sacrieur-m-200/objets", "link")</f>
        <v/>
      </c>
      <c r="C26044" t="n">
        <v>0</v>
      </c>
      <c r="D26044" t="inlineStr">
        <is>
          <t>Manthache; Amulette du Strigide; Alliance Gloursonne; Anneau Toriété; Bouclier d'Ilyzaelle; Menoture; Némès de Tal Kasha; Chevelure de Tal Kasha; Bottes du Strigide; Dofus Nébuleux; Dofus Émeraude; Dofus Abyssal; Dofus Turquoise; Dofus Ocre; Dofus Ivoire; Dragodinde Ebène et Emeraude</t>
        </is>
      </c>
    </row>
    <row r="26045">
      <c r="A26045" t="inlineStr">
        <is>
          <t>Xélor M 200</t>
        </is>
      </c>
      <c r="B26045">
        <f>HYPERLINK("https://www.dofusbook.net/fr/equipement/3724779-xelor-m-200/objets", "link")</f>
        <v/>
      </c>
      <c r="C26045" t="n">
        <v>49</v>
      </c>
      <c r="D26045" t="inlineStr">
        <is>
          <t>Manthache; Collier du Valet Veinard; Alliance Gloursonne; Gant du Valet Veinard; Cadran de Terre; Menoture; Dorabysses; Cape Martegel; Palmes Trithons; Dofus Abyssal; Dofus Vulbis; Dofus Ivoire; Étourdisseur majeur; Cascadeur majeur; Paralyseur majeur; Volkorne Améthyste et Ivoire</t>
        </is>
      </c>
    </row>
    <row r="26046">
      <c r="A26046" t="inlineStr">
        <is>
          <t>Xélor M 200</t>
        </is>
      </c>
      <c r="B26046">
        <f>HYPERLINK("https://www.dofusbook.net/fr/equipement/3724651-xelor-m-200/objets", "link")</f>
        <v/>
      </c>
      <c r="C26046" t="n">
        <v>34</v>
      </c>
      <c r="D26046" t="inlineStr">
        <is>
          <t>Lav'Hache; Collier Rophante; Anneau Crustique; Anneau Crustique; Sept ans de malheur; Menoture; Chapoulpe; Cape du Cœur Vaillant; Tentassons; Dofus Abyssal; Dofus Ivoire; Déserteur majeur; Étourdisseur majeur; Engourdisseur majeur; Paralyseur majeur; Volkorne Ivoire</t>
        </is>
      </c>
    </row>
    <row r="26047">
      <c r="A26047" t="inlineStr">
        <is>
          <t>Sram M 200</t>
        </is>
      </c>
      <c r="B26047">
        <f>HYPERLINK("https://www.dofusbook.net/fr/equipement/3722910-sram-m-200/objets", "link")</f>
        <v/>
      </c>
      <c r="C26047" t="n">
        <v>1</v>
      </c>
      <c r="D26047" t="inlineStr">
        <is>
          <t>Manthache; Collier du Valet Veinard; Alliance Gloursonne; Gant du Valet Veinard; Bouclier du Stalak; Menoture; Dorabysses; Cape Martegel; Palmes Trithons; Dofus Vulbis; Dofus Abyssal; Dofus Nébuleux; Dofus Ocre; Dofus Ivoire; Cascadeur majeur; Dragodinde Amande et Ebène</t>
        </is>
      </c>
    </row>
    <row r="26048">
      <c r="A26048" t="inlineStr">
        <is>
          <t>Sacrieur M 200</t>
        </is>
      </c>
      <c r="B26048">
        <f>HYPERLINK("https://www.dofusbook.net/fr/equipement/3722272-sacrieur-m-200/objets", "link")</f>
        <v/>
      </c>
      <c r="C26048" t="n">
        <v>1</v>
      </c>
      <c r="D26048" t="inlineStr">
        <is>
          <t>Arc du Chalœil; Amulette du Strigide; Anneau Crustique; Anneau Crustique; Quatre-feuilles; Ceinture de Brouce; Masque de Koutoulou; Cape au Logis; Bottes de Brouce; Dofus Nébuleux; Dofus Ocre; Dofus Abyssal; Dofus Turquoise; Dofus Ivoire; Enragé majeur; Dragodinde Amande et Pourpre</t>
        </is>
      </c>
    </row>
    <row r="26049">
      <c r="A26049" t="inlineStr">
        <is>
          <t>Sacrieur M 200</t>
        </is>
      </c>
      <c r="B26049">
        <f>HYPERLINK("https://www.dofusbook.net/fr/equipement/3718658-sacrieur-m-200/objets", "link")</f>
        <v/>
      </c>
      <c r="C26049" t="n">
        <v>1</v>
      </c>
      <c r="D26049" t="inlineStr">
        <is>
          <t>Arc corrompu; Pendentif affamé; Anneauræus; Anneauræus; Bouclier du Stalak; Ceinture de Vortex; Chapeau Lisson; Cape de Diondin; Sabots de Vortex; Dofus Abyssal; Dofus Ivoire; Dofus Ocre; Érudit majeur; Étourdisseur majeur; Déserteur majeur; Muldo Orchidée et Amande</t>
        </is>
      </c>
    </row>
    <row r="26050">
      <c r="A26050" t="inlineStr">
        <is>
          <t>Sacrieur M 200</t>
        </is>
      </c>
      <c r="B26050">
        <f>HYPERLINK("https://www.dofusbook.net/fr/equipement/3710261-sacrieur-m-200/objets", "link")</f>
        <v/>
      </c>
      <c r="C26050" t="n">
        <v>1</v>
      </c>
      <c r="D26050" t="inlineStr">
        <is>
          <t>Manthache; Collier du Valet Veinard; Gant du Valet Veinard; Alliance Gloursonne; Bouclier d'Ilyzaelle; Menoture; Dorabysses; Cape Martegel; Palmes Trithons; Dofus Ivoire; Dofus Nébuleux; Dofus Abyssal; Dofus Vulbis; Dofus Ocre; Cascadeur majeur; Dragodinde Ebène et Ivoire</t>
        </is>
      </c>
    </row>
    <row r="26051">
      <c r="A26051" t="inlineStr">
        <is>
          <t>Ouginak M 200</t>
        </is>
      </c>
      <c r="B26051">
        <f>HYPERLINK("https://www.dofusbook.net/fr/equipement/3705877-ouginak-m-200/objets", "link")</f>
        <v/>
      </c>
      <c r="C26051" t="n">
        <v>0</v>
      </c>
      <c r="D26051" t="inlineStr">
        <is>
          <t>Sabres d'Atcham; Amulette Volkorne; Lavanneau; Anneau Volkorne; Cadran de Terre; Ceinture de Vortex; Casque Volkorne; Cape d'Atcham; Sandales  d'Atcham; Dofus Pourpre; Dofus Abyssal; Dofus Turquoise; Dofus Ivoire; Dofus Nébuleux; Dofus Ocre; Volkorne Jade et Ivoire</t>
        </is>
      </c>
    </row>
    <row r="26052">
      <c r="A26052" t="inlineStr">
        <is>
          <t>Ouginak M 200</t>
        </is>
      </c>
      <c r="B26052">
        <f>HYPERLINK("https://www.dofusbook.net/fr/equipement/3697318-ouginak-m-200/objets", "link")</f>
        <v/>
      </c>
      <c r="C26052" t="n">
        <v>2</v>
      </c>
      <c r="D26052" t="inlineStr">
        <is>
          <t>Manthache; Collier du Valet Veinard; Gant du Valet Veinard; Alliance Gloursonne; Bouclier d'Ilyzaelle; Menoture; Dorabysses; Cape Martegel; Palmes Trithons; Dofus Ivoire; Dofus Abyssal; Dofus Vulbis; Dofus Émeraude; Dofus Nébuleux; Cascadeur majeur; Volkorne Améthyste</t>
        </is>
      </c>
    </row>
    <row r="26053">
      <c r="A26053" t="inlineStr">
        <is>
          <t>Huppermage M 200</t>
        </is>
      </c>
      <c r="B26053">
        <f>HYPERLINK("https://www.dofusbook.net/fr/equipement/3690458-huppermage-m-200/objets", "link")</f>
        <v/>
      </c>
      <c r="C26053" t="n">
        <v>0</v>
      </c>
      <c r="D26053" t="inlineStr">
        <is>
          <t>Épée Brûlâme; Amulette Volkorne; Alliance Gloursonne; Anneau Volkorne; Bouclier d'Ilyzaelle; Sangle Ouare; Casquette de Meno; Cape de Meno; Bottes de Meno; Dofus Ocre; Dofus Nébuleux; Dofus Abyssal; Dofus Ivoire; Dofus Émeraude; Dofus Turquoise; El Scarador</t>
        </is>
      </c>
    </row>
    <row r="26054">
      <c r="A26054" t="inlineStr">
        <is>
          <t>Ouginak M 200</t>
        </is>
      </c>
      <c r="B26054">
        <f>HYPERLINK("https://www.dofusbook.net/fr/equipement/3680047-ouginak-m-200/objets", "link")</f>
        <v/>
      </c>
      <c r="C26054" t="n">
        <v>1</v>
      </c>
      <c r="D26054" t="inlineStr">
        <is>
          <t>Dagoulinantes; Amulette du Sinistrofu; Anneau Volkorne; Bracelet des Fonds marins; Bouclier d'Ilyzaelle; Sangle Ouare; Masque des Fonds marins; Cape du Sinistrofu; Bottes du Sinistrofu; Dofus Ivoire; Dofus Émeraude; Dofus Ocre; Dofus Abyssal; Dofus Turquoise; Dofus Nébuleux; Dragodinde Indigo et Ivoire</t>
        </is>
      </c>
    </row>
    <row r="26055">
      <c r="A26055" t="inlineStr">
        <is>
          <t>Sram M 200</t>
        </is>
      </c>
      <c r="B26055">
        <f>HYPERLINK("https://www.dofusbook.net/fr/equipement/3678150-sram-m-200/objets", "link")</f>
        <v/>
      </c>
      <c r="C26055" t="n">
        <v>53</v>
      </c>
      <c r="D26055" t="inlineStr">
        <is>
          <t>Arc de Koutoulou; Amulette du Strigide; Alliance Gloursonne; Anneau Volkorne; Quatre-feuilles; Ceinture du Strigide; Némès de Tal Kasha; Chevelure de Tal Kasha; Sandales de Tal Kasha; Dofus Vulbis; Dofus Ivoire; Dofus Ocre; Dofus Nébuleux; Dofus Turquoise; Dofus Pourpre; Volkorne Saphir et Emeraude</t>
        </is>
      </c>
    </row>
    <row r="26056">
      <c r="A26056" t="inlineStr">
        <is>
          <t>Xélor M 200</t>
        </is>
      </c>
      <c r="B26056">
        <f>HYPERLINK("https://www.dofusbook.net/fr/equipement/3669902-xelor-m-200/objets", "link")</f>
        <v/>
      </c>
      <c r="C26056" t="n">
        <v>0</v>
      </c>
      <c r="D26056" t="inlineStr">
        <is>
          <t>Dagoulinantes; Amulette de Shokkoth; Anneau Volkorne; Alliance Gloursonne; Cadran de Terre; Poulpagne; Masque des Fonds marins; Cape Solution; Sandales des Fonds marins; Dofus Abyssal; Dofus des Glaces; Paralyseur majeur; Déserteur majeur; Chanceux majeur; Étourdisseur majeur; Muldo Indigo et Amande</t>
        </is>
      </c>
    </row>
    <row r="26057">
      <c r="A26057" t="inlineStr">
        <is>
          <t>Sadida M 200</t>
        </is>
      </c>
      <c r="B26057">
        <f>HYPERLINK("https://www.dofusbook.net/fr/equipement/3649738-sadida-m-200/objets", "link")</f>
        <v/>
      </c>
      <c r="C26057" t="n">
        <v>5</v>
      </c>
      <c r="D26057" t="inlineStr">
        <is>
          <t>Hache du Chalœil; Amulette Volkorne; Pikano; Anneau Volkorne; Bouclier du Stalak; Ceinture Volkorne; Casque du Chalœil; Cape du Chalœil; Bottes du Chalœil; Dofus Pourpre; Dofus des Glaces; Dofus Abyssal; Dofus Ivoire; Dofus Nébuleux; Dofus Ocre; Volkorne Saphir et Turquoise</t>
        </is>
      </c>
    </row>
    <row r="26058">
      <c r="A26058" t="inlineStr">
        <is>
          <t>Sadida M 200</t>
        </is>
      </c>
      <c r="B26058">
        <f>HYPERLINK("https://www.dofusbook.net/fr/equipement/3611695-sadida-m-200/objets", "link")</f>
        <v/>
      </c>
      <c r="C26058" t="n">
        <v>2</v>
      </c>
      <c r="D26058" t="inlineStr">
        <is>
          <t>Dagues Érhy; Amulette du Strigide; Anneau Toriété; Alliance Brûlâme; Quatre-feuilles; Ceinture du Strigide; Casque du Chalœil; Cape du Chalœil; Bottes du Chalœil; Dofus Ocre; Dofus Abyssal; Dofus Nébuleux; Dofus Turquoise; Dofus Pourpre; Dofus Ivoire; Dragodinde Emeraude et Ivoire</t>
        </is>
      </c>
    </row>
    <row r="26059">
      <c r="A26059" t="inlineStr">
        <is>
          <t>Huppermage M 200</t>
        </is>
      </c>
      <c r="B26059">
        <f>HYPERLINK("https://www.dofusbook.net/fr/equipement/3635353-huppermage-m-200/objets", "link")</f>
        <v/>
      </c>
      <c r="C26059" t="n">
        <v>2</v>
      </c>
      <c r="D26059" t="inlineStr">
        <is>
          <t>Arc Volkorne; Amulette du Strigide; Anneau Volkorne; Bracelet du Piloztère; Bouclier du Stalak; Ceinture du Strigide; Casque Volkorne; Voile d'encre; Bottes du Strigide; Dofus Ocre; Dofus Vulbis; Dofus Abyssal; Dofus Pourpre; Dofus Ivoire; Dofus Turquoise; Volkorne Jade et Rubis</t>
        </is>
      </c>
    </row>
    <row r="26060">
      <c r="A26060" t="inlineStr">
        <is>
          <t>Iop M 200</t>
        </is>
      </c>
      <c r="B26060">
        <f>HYPERLINK("https://www.dofusbook.net/fr/equipement/3634149-iop-m-200/objets", "link")</f>
        <v/>
      </c>
      <c r="C26060" t="n">
        <v>0</v>
      </c>
      <c r="D26060" t="inlineStr">
        <is>
          <t>Lav'Hache; Torquistik; Anneau Crustique; Anneau Crustique; Bouclier Taverne; Ceinture Gence; Coiffe de la Reine des Voleurs; Cape au Logis; Bottistik; Dofus Ivoire; Dofus Abyssal; Bousculeur majeur; Enragé majeur; Culbuteur majeur; Carapace Terre majeur; Volkorne Roux</t>
        </is>
      </c>
    </row>
    <row r="26061">
      <c r="A26061" t="inlineStr">
        <is>
          <t>Ouginak M 200</t>
        </is>
      </c>
      <c r="B26061">
        <f>HYPERLINK("https://www.dofusbook.net/fr/equipement/3609938-ouginak-m-200/objets", "link")</f>
        <v/>
      </c>
      <c r="C26061" t="n">
        <v>0</v>
      </c>
      <c r="D26061" t="inlineStr">
        <is>
          <t>Rapière aux Glyphes; Amulette du Sinistrofu; Bracelet des Fonds marins; Alliance Gloursonne; Bouclier d'Ilyzaelle; Poulpagne; Capuche de l'Œil Attentif; Cape Solution; Bottes du Sinistrofu; Dofus Abyssal; Dofus Émeraude; Dofus Nébuleux; Dofus Turquoise; Chanceux majeur; Nomade; Croum</t>
        </is>
      </c>
    </row>
    <row r="26062">
      <c r="A26062" t="inlineStr">
        <is>
          <t>Eniripsa M 200</t>
        </is>
      </c>
      <c r="B26062">
        <f>HYPERLINK("https://www.dofusbook.net/fr/equipement/3607789-eniripsa-m-200/objets", "link")</f>
        <v/>
      </c>
      <c r="C26062" t="n">
        <v>2</v>
      </c>
      <c r="D26062" t="inlineStr">
        <is>
          <t>Arc corrompu; Pendentif affamé; Anneauræus; Anneauræus; Bouclier du Stalak; Sangle Aise; Couronne de Nidas; Cape de Diondin; Tongues de Nidas; Dofus Ivoire; Dofus Abyssal; Érudit majeur; Paralyseur majeur; Nomade; Étourdisseur majeur; El Scarador</t>
        </is>
      </c>
    </row>
    <row r="26063">
      <c r="A26063" t="inlineStr">
        <is>
          <t>Enutrof M 200</t>
        </is>
      </c>
      <c r="B26063">
        <f>HYPERLINK("https://www.dofusbook.net/fr/equipement/3603642-enutrof-m-200/objets", "link")</f>
        <v/>
      </c>
      <c r="C26063" t="n">
        <v>0</v>
      </c>
      <c r="D26063" t="inlineStr">
        <is>
          <t>Baguette de Malléfisk; Pendentif affamé; Alliance Gloursonne; Anneau Rifique; Cadran de Terre; Menoture; Casque Cyclopéen; Cape Martegel; Sabots de Vortex; Dofus Abyssal; Dofus Ivoire; Dofus Ocre; Déserteur majeur; Érudit majeur; Étourdisseur majeur; Muldo Indigo et Orchidée</t>
        </is>
      </c>
    </row>
    <row r="26064">
      <c r="A26064" t="inlineStr">
        <is>
          <t>Eniripsa M 200</t>
        </is>
      </c>
      <c r="B26064">
        <f>HYPERLINK("https://www.dofusbook.net/fr/equipement/3602449-eniripsa-m-200/objets", "link")</f>
        <v/>
      </c>
      <c r="C26064" t="n">
        <v>0</v>
      </c>
      <c r="D26064" t="inlineStr">
        <is>
          <t>Arc corrompu; Pendentif affamé; Lavanneau; Alliance Gloursonne; Cadran de Terre; Ceintrigue; Kidibonnet; Cape de l'Œil Putride; Bottes Owesli; Dofus Abyssal; Dofus Vulbis; Dofus Ivoire; Étourdisseur majeur; Érudit majeur; Déserteur majeur; Volkorne Saphir et Ivoire</t>
        </is>
      </c>
    </row>
    <row r="26065">
      <c r="A26065" t="inlineStr">
        <is>
          <t>Féca M 200</t>
        </is>
      </c>
      <c r="B26065">
        <f>HYPERLINK("https://www.dofusbook.net/fr/equipement/3597779-feca-m-200/objets", "link")</f>
        <v/>
      </c>
      <c r="C26065" t="n">
        <v>1</v>
      </c>
      <c r="D26065" t="inlineStr">
        <is>
          <t>Lav'Hache; Collier de Tourthon; Anneau Crustique; Anneau Crustique; Bouclier d'Ilyzaelle; Ceinture de la Cour Sombre; Masque de Koutoulou; Cape de la Cour Sombre; Baleinabottes; Dofus Émeraude; Obstructeur majeur; Enragé majeur; Paralyseur majeur; Carapace Terre majeur; Étourdisseur majeur; Muldo Roux et Pourpre</t>
        </is>
      </c>
    </row>
    <row r="26066">
      <c r="A26066" t="inlineStr">
        <is>
          <t>Osamodas M 200</t>
        </is>
      </c>
      <c r="B26066">
        <f>HYPERLINK("https://www.dofusbook.net/fr/equipement/3593417-osamodas-m-200/objets", "link")</f>
        <v/>
      </c>
      <c r="C26066" t="n">
        <v>0</v>
      </c>
      <c r="D26066" t="inlineStr">
        <is>
          <t>Le Thanos; Amulette de Shokkoth; Lavanneau; Alliance Gloursonne; Bouclier d'Ilyzaelle; Sangle Ouare; Casque d'Ilyzaelle; Cape Solution; Bottes de l'Esprit Malsain; Remueur; Carapace Eau majeur; Miraculé majeur; Guérisseur majeur; Carapace Feu majeur; Chanceux majeur; El Scarador</t>
        </is>
      </c>
    </row>
    <row r="26067">
      <c r="A26067" t="inlineStr">
        <is>
          <t>Cocapoweca</t>
        </is>
      </c>
      <c r="B26067">
        <f>HYPERLINK("https://www.dofusbook.net/fr/equipement/3579866-cocapoweca/objets", "link")</f>
        <v/>
      </c>
      <c r="C26067" t="n">
        <v>3</v>
      </c>
      <c r="D26067" t="inlineStr">
        <is>
          <t>Lav'Hache; Collier Rophante; Bague Trithon; Anneau Crustique; Bouclier Taverne; Ceinture Gence; Masque d'Anerice; Cape d'Anerice; Bottes du Cœur Vaillant; Dofus Émeraude; Dofus Ivoire; Culbuteur majeur; Enragé majeur; Bousculeur majeur; Remueur; Dragodinde Ivoire et Pourpre</t>
        </is>
      </c>
    </row>
    <row r="26068">
      <c r="A26068" t="inlineStr">
        <is>
          <t>Cocainepowerfinale</t>
        </is>
      </c>
      <c r="B26068">
        <f>HYPERLINK("https://www.dofusbook.net/fr/equipement/3576926-cocainepowerfinale/objets", "link")</f>
        <v/>
      </c>
      <c r="C26068" t="n">
        <v>9</v>
      </c>
      <c r="D26068" t="inlineStr">
        <is>
          <t>Rouleau à Pâtisserie d'Aermyne; Collier Rophante; Bague Trithon; Alliance Gloursonne; Bouclier précieux; Ceinture Gence; Masque d'Anerice; Cape d'Anerice; Bottes du Cœur Vaillant; Dofus Émeraude; Remueur; Bousculeur majeur; Miraculé majeur; Culbuteur majeur; Carapace Neutre majeur; Péki</t>
        </is>
      </c>
    </row>
    <row r="26069">
      <c r="A26069" t="inlineStr">
        <is>
          <t>Iop M 200</t>
        </is>
      </c>
      <c r="B26069">
        <f>HYPERLINK("https://www.dofusbook.net/fr/equipement/3575096-iop-m-200/objets", "link")</f>
        <v/>
      </c>
      <c r="C26069" t="n">
        <v>0</v>
      </c>
      <c r="D26069" t="inlineStr">
        <is>
          <t>Dagues d'Ilyzaelle; Amulette du Strigide; Anneau Crustique; Anneau Crustique; Bouclier du Captain Amakna; Ceintacé; Masque de Koutoulou; Cape au Logis; Bottes du Strigide; Dofus Turquoise; Dofus Nébuleux; Dofus Émeraude; Dofus Abyssal; Dofus Ivoire; Enragé majeur; Dragodinde Emeraude et Pourpre</t>
        </is>
      </c>
    </row>
    <row r="26070">
      <c r="A26070" t="inlineStr">
        <is>
          <t>terraspinta7mila</t>
        </is>
      </c>
      <c r="B26070">
        <f>HYPERLINK("https://www.dofusbook.net/fr/equipement/3139822-terraspinta7mila/objets", "link")</f>
        <v/>
      </c>
      <c r="C26070" t="n">
        <v>11</v>
      </c>
      <c r="D26070" t="inlineStr">
        <is>
          <t>Lav'Hache; Amulette du Cœur Vaillant; Bague Trithon; Bague Instable; Bouclier précieux; Ceinture Gence; Masque d'Anerice; Cape d'Anerice; Bottistik; Dofus Émeraude; Remueur; Culbuteur majeur; Miraculé majeur; Nomade; Bousculeur majeur; Eliôme</t>
        </is>
      </c>
    </row>
    <row r="26071">
      <c r="A26071" t="inlineStr">
        <is>
          <t>Iop M 200</t>
        </is>
      </c>
      <c r="B26071">
        <f>HYPERLINK("https://www.dofusbook.net/fr/equipement/3571443-iop-m-200/objets", "link")</f>
        <v/>
      </c>
      <c r="C26071" t="n">
        <v>0</v>
      </c>
      <c r="D26071" t="inlineStr">
        <is>
          <t>Arc corrompu; Pendentif mignon de Koutoulou; Anneauræus; Anneauræus; Quatre-feuilles; Ceinture de Gein; Chapeau de Gein; Voile d'encre; Bottes Innommables; Dofus Nébuleux; Dofus Turquoise; Dofus Ocre; Érudit majeur; Remueur; Nomade; Dragodinde Emeraude et Orchidée</t>
        </is>
      </c>
    </row>
    <row r="26072">
      <c r="A26072" t="inlineStr">
        <is>
          <t>Féca M 200</t>
        </is>
      </c>
      <c r="B26072">
        <f>HYPERLINK("https://www.dofusbook.net/fr/equipement/3570891-feca-m-200/objets", "link")</f>
        <v/>
      </c>
      <c r="C26072" t="n">
        <v>1</v>
      </c>
      <c r="D26072" t="inlineStr">
        <is>
          <t>Pelle de la Cour Sombre; Collier du Valet Veinard; Alliance Gloursonne; Gant du Valet Veinard; Bouclier d'Ilyzaelle; Ceintouse; Chapoulpe; Cape du Valet Veinard; Tentassons; Dofus Ocre; Dofus Forgelave; Dofus Ivoire; Dofus Émeraude; Inflexible majeur; Paralyseur majeur; Muldo Roux et Ebène</t>
        </is>
      </c>
    </row>
    <row r="26073">
      <c r="A26073" t="inlineStr">
        <is>
          <t>Sacrieur M 200</t>
        </is>
      </c>
      <c r="B26073">
        <f>HYPERLINK("https://www.dofusbook.net/fr/equipement/3567846-sacrieur-m-200/objets", "link")</f>
        <v/>
      </c>
      <c r="C26073" t="n">
        <v>1</v>
      </c>
      <c r="D26073" t="inlineStr">
        <is>
          <t>Manthache; Collier du Valet Veinard; Gant du Valet Veinard; Alliance Gloursonne; Bouclier d'Ilyzaelle; Menoture; Capuche de Moum-Ra; Cape Indescriptible; Palmes Trithons; Dofus Émeraude; Miraculé majeur; Remueur; Cascadeur majeur; Nomade; Carapace Air majeur; Dragodinde Ebène et Ivoire</t>
        </is>
      </c>
    </row>
    <row r="26074">
      <c r="A26074" t="inlineStr">
        <is>
          <t>Xélor M 200</t>
        </is>
      </c>
      <c r="B26074">
        <f>HYPERLINK("https://www.dofusbook.net/fr/equipement/3567764-xelor-m-200/objets", "link")</f>
        <v/>
      </c>
      <c r="C26074" t="n">
        <v>6</v>
      </c>
      <c r="D26074" t="inlineStr">
        <is>
          <t>Arc du Chalœil; Amulette du Strigide; Anneau Crustique; Anneau Crustique; Quatre-feuilles; Ceintacé; Masque de Koutoulou; Cape au Logis; Bottes du Strigide; Dofus Abyssal; Dofus Turquoise; Dofus Nébuleux; Dofus Pourpre; Vigoureux majeur; Enragé majeur; Dragodinde Emeraude et Pourpre</t>
        </is>
      </c>
    </row>
    <row r="26075">
      <c r="A26075" t="inlineStr">
        <is>
          <t>SUCCHIAMILGANJACAZZO</t>
        </is>
      </c>
      <c r="B26075">
        <f>HYPERLINK("https://www.dofusbook.net/fr/equipement/3562731-succhiamilganjacazzo/objets", "link")</f>
        <v/>
      </c>
      <c r="C26075" t="n">
        <v>3</v>
      </c>
      <c r="D26075" t="inlineStr">
        <is>
          <t>Pyraguette; Talisman Igans; Alliance Gloursonne; Lavanneau; Cadran de Terre; Ceintrigue; Casquette de Meno; Cape de l'Œil Putride; Pataugastrique; Dofus Abyssal; Dofus Vulbis; Dofus Ivoire; Dofus des Glaces; Carapace Feu majeur; Étourdisseur majeur; Volkorne Jade et Ivoire</t>
        </is>
      </c>
    </row>
    <row r="26076">
      <c r="A26076" t="inlineStr">
        <is>
          <t>AXELORFORTOLTAPA</t>
        </is>
      </c>
      <c r="B26076">
        <f>HYPERLINK("https://www.dofusbook.net/fr/equipement/3258764-axelorfortoltapa/objets", "link")</f>
        <v/>
      </c>
      <c r="C26076" t="n">
        <v>5</v>
      </c>
      <c r="D26076" t="inlineStr">
        <is>
          <t>Arc du Chalœil; Amulette du Cœur Saignant; Anneau Crustique; Anneau Crustique; Quatre-feuilles; Ceintouse; Chapoulpe; Cape du Cœur Saignant; Tentassons; Dofus Nébuleux; Dofus Ocre; Dofus Abyssal; Dofus Ivoire; Dofus Turquoise; Paralyseur majeur; Muldo Indigo</t>
        </is>
      </c>
    </row>
    <row r="26077">
      <c r="A26077" t="inlineStr">
        <is>
          <t>Zobal M 200</t>
        </is>
      </c>
      <c r="B26077">
        <f>HYPERLINK("https://www.dofusbook.net/fr/equipement/3562478-zobal-m-200/objets", "link")</f>
        <v/>
      </c>
      <c r="C26077" t="n">
        <v>0</v>
      </c>
      <c r="D26077" t="inlineStr">
        <is>
          <t>Masse Ossiale; Amulette du Sinistrofu; Alliance Gloursonne; Bague Trithon; Bouclier d'Ilyzaelle; Poulpagne; Masque de l'Esprit Malsain; Cape Solution; Bottes du Sinistrofu; Dofus Émeraude; Dofus Vulbis; Bousculeur majeur; Miraculé majeur; Culbuteur majeur; Chanceux majeur; Dragodinde Indigo et Ivoire</t>
        </is>
      </c>
    </row>
    <row r="26078">
      <c r="A26078" t="inlineStr">
        <is>
          <t>Roublard M 200</t>
        </is>
      </c>
      <c r="B26078">
        <f>HYPERLINK("https://www.dofusbook.net/fr/equipement/3562398-roublard-m-200/objets", "link")</f>
        <v/>
      </c>
      <c r="C26078" t="n">
        <v>3</v>
      </c>
      <c r="D26078" t="inlineStr">
        <is>
          <t>Arc de Koutoulou; Amulette d'Hel Munster; Alliance Gloursonne; Anneau Volkorne; Bouclier du Stalak; Ceinture de la Reine des Voleurs; Coiffe d'Hel Munster; Cape d'Hel Munster; Bottes de la Reine des Voleurs; Dofus Ocre; Dofus Ivoire; Dofus Vulbis; Dofus des Glaces; Dofus Pourpre; Dofus Abyssal; Dragodinde Amande et Indigo</t>
        </is>
      </c>
    </row>
    <row r="26079">
      <c r="A26079" t="inlineStr">
        <is>
          <t>Xélor M 200</t>
        </is>
      </c>
      <c r="B26079">
        <f>HYPERLINK("https://www.dofusbook.net/fr/equipement/3559507-xelor-m-200/objets", "link")</f>
        <v/>
      </c>
      <c r="C26079" t="n">
        <v>2</v>
      </c>
      <c r="D26079" t="inlineStr">
        <is>
          <t>Manthache; Collier du Valet Veinard; Gant du Valet Veinard; Alliance Gloursonne; Bouclier d'Ilyzaelle; Menoture; Casque Volkorne; Cape Indescriptible; Palmes Trithons; Dofus Ocre; Dofus Vulbis; Dofus Émeraude; Dofus Nébuleux; Dofus Ivoire; Cascadeur majeur; Dragodinde Ebène et Ivoire</t>
        </is>
      </c>
    </row>
    <row r="26080">
      <c r="A26080" t="inlineStr">
        <is>
          <t>Sadida M 200</t>
        </is>
      </c>
      <c r="B26080">
        <f>HYPERLINK("https://www.dofusbook.net/fr/equipement/3555908-sadida-m-200/objets", "link")</f>
        <v/>
      </c>
      <c r="C26080" t="n">
        <v>0</v>
      </c>
      <c r="D26080" t="inlineStr">
        <is>
          <t>Sabres d'Atcham; Amulette de l'Indicible; Alliance Gloursonne; Alliance Brûlâme; Bouclier du Stalak; Ceinture de l'Indicible; Casqnoar; Cape de l'Œil Putride; Bottes Honyme; Dolmanax; Dofus Ocre; Dofus des Glaces; Dofus Pourpre; Vigoureux majeur; Nomade; Dragodinde Dorée et Ivoire</t>
        </is>
      </c>
    </row>
    <row r="26081">
      <c r="A26081" t="inlineStr">
        <is>
          <t>Sram M 200</t>
        </is>
      </c>
      <c r="B26081">
        <f>HYPERLINK("https://www.dofusbook.net/fr/equipement/3555012-sram-m-200/objets", "link")</f>
        <v/>
      </c>
      <c r="C26081" t="n">
        <v>3</v>
      </c>
      <c r="D26081" t="inlineStr">
        <is>
          <t>Epée Gloursonne; Amulette du Strigide; Alliance Gloursonne; Bague Gloursonne; Bouclier du Stalak; Ceinture du Strigide; Coiffe de la Fuji Givrefoux; Cape de la Fuji Givrefoux; Bottes du Strigide; Dofus Ocre; Dofus Ivoire; Dofus des Glaces; Dofus Nébuleux; Dofus Pourpre; Dofus Abyssal; Dragodinde Prune et Ivoire</t>
        </is>
      </c>
    </row>
    <row r="26082">
      <c r="A26082" t="inlineStr">
        <is>
          <t>Ouginak M 200</t>
        </is>
      </c>
      <c r="B26082">
        <f>HYPERLINK("https://www.dofusbook.net/fr/equipement/3551177-ouginak-m-200/objets", "link")</f>
        <v/>
      </c>
      <c r="C26082" t="n">
        <v>2</v>
      </c>
      <c r="D26082" t="inlineStr">
        <is>
          <t>Marteau R'ture; Amulette du Strigide; Anneau Crustique; Anneau Crustique; Bouclier du Captain Amakna; Ceintacé; Masque de Koutoulou; Cape au Logis; Bottes du Strigide; Dofus Turquoise; Dofus Abyssal; Dofus Nébuleux; Dofus Pourpre; Vigoureux majeur; Enragé majeur; Dragodinde Ivoire et Pourpre</t>
        </is>
      </c>
    </row>
    <row r="26083">
      <c r="A26083" t="inlineStr">
        <is>
          <t>Ouginak M 200</t>
        </is>
      </c>
      <c r="B26083">
        <f>HYPERLINK("https://www.dofusbook.net/fr/equipement/3550973-ouginak-m-200/objets", "link")</f>
        <v/>
      </c>
      <c r="C26083" t="n">
        <v>11</v>
      </c>
      <c r="D26083" t="inlineStr">
        <is>
          <t>Marteau R'ture; Amulette du Strigide; Anneau de Brouce; Anneau Chevelu; Bouclier d'Ilyzaelle; Ceintacé; Masque de Koutoulou; Cape au Logis; Bottes de Brouce; Dofus Émeraude; Dofus Turquoise; Remueur; Vigoureux majeur; Miraculé majeur; Enragé majeur; Muldo Pourpre</t>
        </is>
      </c>
    </row>
    <row r="26084">
      <c r="A26084" t="inlineStr">
        <is>
          <t>Sacrieur F 200</t>
        </is>
      </c>
      <c r="B26084">
        <f>HYPERLINK("https://www.dofusbook.net/fr/equipement/3550461-sacrieur-f-200/objets", "link")</f>
        <v/>
      </c>
      <c r="C26084" t="n">
        <v>39</v>
      </c>
      <c r="D26084" t="inlineStr">
        <is>
          <t>Arc Honte; Pendentif mignon de Koutoulou; Alliance Gloursonne; Anneau Rifique; Cadran de Terre; Ceinture de Vortex; Cagoule de Vortex; Cape Martegel; Sabots de Vortex; Dofus Ivoire; Dofus Ocre; Dofus des Glaces; Dofus Pourpre; Dofus Abyssal; Paralyseur majeur; Muldo Turquoise et Orchidée</t>
        </is>
      </c>
    </row>
    <row r="26085">
      <c r="A26085" t="inlineStr">
        <is>
          <t>Sram M 200</t>
        </is>
      </c>
      <c r="B26085">
        <f>HYPERLINK("https://www.dofusbook.net/fr/equipement/3540272-sram-m-200/objets", "link")</f>
        <v/>
      </c>
      <c r="C26085" t="n">
        <v>0</v>
      </c>
      <c r="D26085" t="inlineStr">
        <is>
          <t>Hache Ériphe; Amulette du Strigide; Alliance Brûlâme; Anneau des égarés; Bouclier d'Ilyzaelle; Ceinture du Strigide; Chapoulpe; Cape au Logis; Baleinabottes; Dofus Nébuleux; Dofus Turquoise; Dofus Pourpre; Vigoureux majeur; Remueur; Enragé majeur; Dragodinde Ivoire et Pourpre</t>
        </is>
      </c>
    </row>
    <row r="26086">
      <c r="A26086" t="inlineStr">
        <is>
          <t>Sacrieur M 200</t>
        </is>
      </c>
      <c r="B26086">
        <f>HYPERLINK("https://www.dofusbook.net/fr/equipement/3535812-sacrieur-m-200/objets", "link")</f>
        <v/>
      </c>
      <c r="C26086" t="n">
        <v>1</v>
      </c>
      <c r="D26086" t="inlineStr">
        <is>
          <t>Hachoirs de Viandargh; Amibou; Anneau Toriété; Alliance Gloursonne; Bouclier du Captain Amakna; Menoture; Masque d'Anerice; Cape d'Anerice; Palmes Trithons; Dofus Abyssal; Dofus Émeraude; Dofus Nébuleux; Dofus Turquoise; Cascadeur majeur; Remueur; Dragodinde Ebène et Emeraude</t>
        </is>
      </c>
    </row>
    <row r="26087">
      <c r="A26087" t="inlineStr">
        <is>
          <t>Iop M 200</t>
        </is>
      </c>
      <c r="B26087">
        <f>HYPERLINK("https://www.dofusbook.net/fr/equipement/3535740-iop-m-200/objets", "link")</f>
        <v/>
      </c>
      <c r="C26087" t="n">
        <v>1</v>
      </c>
      <c r="D26087" t="inlineStr">
        <is>
          <t>Dagues d'Ilyzaelle; Amulette du Strigide; Bague Gloursonne; Anneau Crustique; Bouclier du Captain Amakna; Ceintacé; Masque de Koutoulou; Cape au Logis; Bottes du Strigide; Dofus Pourpre; Dofus Ivoire; Dofus Turquoise; Dofus Abyssal; Dofus Nébuleux; Enragé majeur; Dragodinde Emeraude et Pourpre</t>
        </is>
      </c>
    </row>
    <row r="26088">
      <c r="A26088" t="inlineStr">
        <is>
          <t>Sacrieur M 200</t>
        </is>
      </c>
      <c r="B26088">
        <f>HYPERLINK("https://www.dofusbook.net/fr/equipement/3520603-sacrieur-m-200/objets", "link")</f>
        <v/>
      </c>
      <c r="C26088" t="n">
        <v>5</v>
      </c>
      <c r="D26088" t="inlineStr">
        <is>
          <t>Manthache; Collier du Valet Veinard; Alliance Gloursonne; Gant du Valet Veinard; Bouclier du Stalak; Menoture; Capuche de Moum-Ra; Cape Indescriptible; Palmes Trithons; Dofus Pourpre; Dofus Abyssal; Dofus des Glaces; Dofus Émeraude; Cascadeur majeur; Remueur; Muldo Ebène</t>
        </is>
      </c>
    </row>
    <row r="26089">
      <c r="A26089" t="inlineStr">
        <is>
          <t>Sacrieur M 200</t>
        </is>
      </c>
      <c r="B26089">
        <f>HYPERLINK("https://www.dofusbook.net/fr/equipement/3531207-sacrieur-m-200/objets", "link")</f>
        <v/>
      </c>
      <c r="C26089" t="n">
        <v>1</v>
      </c>
      <c r="D26089" t="inlineStr">
        <is>
          <t>Manthache; Collier du Valet Veinard; Alliance Gloursonne; Gant du Valet Veinard; Bouclier d'Ilyzaelle; Menoture; Capuche de Moum-Ra; Cape Indescriptible; Palmes Trithons; Dofus Émeraude; Dofus Nébuleux; Remueur; Cascadeur majeur; Miraculé majeur; Nomade; El Scarador</t>
        </is>
      </c>
    </row>
    <row r="26090">
      <c r="A26090" t="inlineStr">
        <is>
          <t>Eniripsa M 200</t>
        </is>
      </c>
      <c r="B26090">
        <f>HYPERLINK("https://www.dofusbook.net/fr/equipement/3532630-eniripsa-m-200/objets", "link")</f>
        <v/>
      </c>
      <c r="C26090" t="n">
        <v>1</v>
      </c>
      <c r="D26090" t="inlineStr">
        <is>
          <t>Arc corrompu; Pendentif affamé; Anneauræus; Anneau Rifique; Cadran de Terre; Ceinture de Vortex; Cagoule de Vortex; Voile d'encre; Pataugastrique; Dofus Abyssal; Dofus Ivoire; Remueur; Déserteur majeur; Étourdisseur majeur; Érudit majeur; Muldo Pourpre et Amande</t>
        </is>
      </c>
    </row>
    <row r="26091">
      <c r="A26091" t="inlineStr">
        <is>
          <t>Xélor M 200</t>
        </is>
      </c>
      <c r="B26091">
        <f>HYPERLINK("https://www.dofusbook.net/fr/equipement/3528777-xelor-m-200/objets", "link")</f>
        <v/>
      </c>
      <c r="C26091" t="n">
        <v>4</v>
      </c>
      <c r="D26091" t="inlineStr">
        <is>
          <t>Héqache; Amulette du Kamasterisk; Anneau des égarés; Alliance Brûlâme; Bouclier du Stalak; Ceintouse; Chapoulpe; Cape du Kamasterisk; Tentassons; Dofus Pourpre; Dofus Ivoire; Dofus Émeraude; Dofus Ocre; Dofus Vulbis; Dofus Abyssal; Dragodinde Ivoire et Pourpre</t>
        </is>
      </c>
    </row>
    <row r="26092">
      <c r="A26092" t="inlineStr">
        <is>
          <t>Sacrieur M 200</t>
        </is>
      </c>
      <c r="B26092">
        <f>HYPERLINK("https://www.dofusbook.net/fr/equipement/3531946-sacrieur-m-200/objets", "link")</f>
        <v/>
      </c>
      <c r="C26092" t="n">
        <v>0</v>
      </c>
      <c r="D26092" t="inlineStr">
        <is>
          <t>Epée Gloursonne; Amulette du Strigide; Alliance Gloursonne; Bague Gloursonne; Quatre-feuilles; Ceinture du Strigide; Casque du Chalœil; Cape du Chalœil; Bottes du Chalœil; Dofus Turquoise; Dofus Ivoire; Dofus Vulbis; Dofus Pourpre; Dofus Ocre; Dofus Nébuleux; Dragodinde Ivoire et Pourpre</t>
        </is>
      </c>
    </row>
    <row r="26093">
      <c r="A26093" t="inlineStr">
        <is>
          <t>Iop M 200</t>
        </is>
      </c>
      <c r="B26093">
        <f>HYPERLINK("https://www.dofusbook.net/fr/equipement/3527921-iop-m-200/objets", "link")</f>
        <v/>
      </c>
      <c r="C26093" t="n">
        <v>3</v>
      </c>
      <c r="D26093" t="inlineStr">
        <is>
          <t>Hache du Chalœil; Amulette du Strigide; Bague Gloursonne; Goulano; Quatre-feuilles; Ceintacé; Masque de Koutoulou; Voile d'encre; Bottes du Strigide; Dofus Pourpre; Dofus Abyssal; Dofus Turquoise; Dolmanax; Dofus Nébuleux; Nomade; Dragodinde Emeraude et Ivoire</t>
        </is>
      </c>
    </row>
    <row r="26094">
      <c r="A26094" t="inlineStr">
        <is>
          <t>Iop M 200</t>
        </is>
      </c>
      <c r="B26094">
        <f>HYPERLINK("https://www.dofusbook.net/fr/equipement/3397203-iop-m-200/objets", "link")</f>
        <v/>
      </c>
      <c r="C26094" t="n">
        <v>12</v>
      </c>
      <c r="D26094" t="inlineStr">
        <is>
          <t>Lav'Hache; Torquistik; Anneau Crustique; Anneau Crustique; Bouclier Taverne; Ceinture Gence; Masque de Koutoulou; Cape au Logis; Bottistik; Dofus Pourpre; Dofus Ivoire; Dofus Nébuleux; Enragé majeur; Culbuteur majeur; Bousculeur majeur; Boune Poisseux</t>
        </is>
      </c>
    </row>
    <row r="26095">
      <c r="A26095" t="inlineStr">
        <is>
          <t>Sadida M 200</t>
        </is>
      </c>
      <c r="B26095">
        <f>HYPERLINK("https://www.dofusbook.net/fr/equipement/3527116-sadida-m-200/objets", "link")</f>
        <v/>
      </c>
      <c r="C26095" t="n">
        <v>29</v>
      </c>
      <c r="D26095" t="inlineStr">
        <is>
          <t>Pelle de Katrepat; Talisman Igans; Alliance Gloursonne; Lavanneau; Bouclier cubiste; Ceintrigue; Casquette de Meno; Cape de Meno; Bottes de Meno; Dofus Abyssal; Dofus Ivoire; Dofus Vulbis; Dofus Ocre; Dofus des Glaces; Entraveur majeur; El Scarador</t>
        </is>
      </c>
    </row>
    <row r="26096">
      <c r="A26096" t="inlineStr">
        <is>
          <t>Sacrieur M 200</t>
        </is>
      </c>
      <c r="B26096">
        <f>HYPERLINK("https://www.dofusbook.net/fr/equipement/3526810-sacrieur-m-200/objets", "link")</f>
        <v/>
      </c>
      <c r="C26096" t="n">
        <v>0</v>
      </c>
      <c r="D26096" t="inlineStr">
        <is>
          <t>Manthache; Collier du Valet Veinard; Alliance Gloursonne; Gant du Valet Veinard; Bouclier d'Ilyzaelle; Menoture; Casque Dragoeuf; Cape Indescriptible; Palmes Trithons; Dofus Ivoire; Dofus Abyssal; Dofus Émeraude; Nomade; Remueur; Cascadeur majeur; Dragodinde Ebène et Ivoire</t>
        </is>
      </c>
    </row>
    <row r="26097">
      <c r="A26097" t="inlineStr">
        <is>
          <t>Ouginak M 200</t>
        </is>
      </c>
      <c r="B26097">
        <f>HYPERLINK("https://www.dofusbook.net/fr/equipement/3523332-ouginak-m-200/objets", "link")</f>
        <v/>
      </c>
      <c r="C26097" t="n">
        <v>0</v>
      </c>
      <c r="D26097" t="inlineStr">
        <is>
          <t>Bêche Asse; Amulette du Strigide; Anneau Crustique; Anneau Crustique; Bouclier d'Ilyzaelle; Ceintacé; Masque de Koutoulou; Cape au Logis; Bottes du Strigide; Dofus Pourpre; Dofus Nébuleux; Dofus Émeraude; Dofus Abyssal; Dofus Turquoise; Enragé majeur; Dragodinde Ivoire et Pourpre</t>
        </is>
      </c>
    </row>
    <row r="26098">
      <c r="A26098" t="inlineStr">
        <is>
          <t>Osamodas M 200</t>
        </is>
      </c>
      <c r="B26098">
        <f>HYPERLINK("https://www.dofusbook.net/fr/equipement/3523259-osamodas-m-200/objets", "link")</f>
        <v/>
      </c>
      <c r="C26098" t="n">
        <v>1</v>
      </c>
      <c r="D26098" t="inlineStr">
        <is>
          <t>Le Thanos; Torquistik; Chevalière du Roi Joueur; Bague Gloursonne; Carapar; Ceinture Gence; Chapeau de Gein; Cape au Logis; Bottistik; Dofus Abyssal; Dofus Ivoire; Enragé majeur; Guérisseur majeur; Carapace Eau majeur; Remueur; Dragodinde Pourpre et Rousse</t>
        </is>
      </c>
    </row>
    <row r="26099">
      <c r="A26099" t="inlineStr">
        <is>
          <t>Sacrieur M 200</t>
        </is>
      </c>
      <c r="B26099">
        <f>HYPERLINK("https://www.dofusbook.net/fr/equipement/3520633-sacrieur-m-200/objets", "link")</f>
        <v/>
      </c>
      <c r="C26099" t="n">
        <v>7</v>
      </c>
      <c r="D26099" t="inlineStr">
        <is>
          <t>Manthache; Collier du Valet Veinard; Gant du Valet Veinard; Alliance Gloursonne; Bouclier d'Ilyzaelle; Menoture; Casque Dragoeuf; Cape Indescriptible; Palmes Trithons; Dofus Émeraude; Dofus Nébuleux; Dofus Abyssal; Nomade; Cascadeur majeur; Remueur; Dragodinde Ebène et Ivoire</t>
        </is>
      </c>
    </row>
    <row r="26100">
      <c r="A26100" t="inlineStr">
        <is>
          <t>Xélor M 200</t>
        </is>
      </c>
      <c r="B26100">
        <f>HYPERLINK("https://www.dofusbook.net/fr/equipement/3520398-xelor-m-200/objets", "link")</f>
        <v/>
      </c>
      <c r="C26100" t="n">
        <v>1</v>
      </c>
      <c r="D26100" t="inlineStr">
        <is>
          <t>Pelle de Nidas; Amulette du Strigide; Anneau Volkorne; Alliance Gloursonne; Quatre-feuilles; Ceinture Volkorne; Coiffe de la Reine des Voleurs; Cape au Logis; Baleinabottes; Dofus Abyssal; Dofus Nébuleux; Dofus Pourpre; Dofus Turquoise; Dofus des Glaces; Étourdisseur majeur; Volkorne Améthyste et Ivoire</t>
        </is>
      </c>
    </row>
    <row r="26101">
      <c r="A26101" t="inlineStr">
        <is>
          <t>Féca M 200</t>
        </is>
      </c>
      <c r="B26101">
        <f>HYPERLINK("https://www.dofusbook.net/fr/equipement/3517055-feca-m-200/objets", "link")</f>
        <v/>
      </c>
      <c r="C26101" t="n">
        <v>0</v>
      </c>
      <c r="D26101" t="inlineStr">
        <is>
          <t>Marteau R'ture; Collier de Tourthon; Anneau Crustique; Anneau Crustique; Bouclier d'Ilyzaelle; Ceintouse; Masque de Koutoulou; Cape au Logis; Tentassons; Dofus Turquoise; Dofus Nébuleux; Dofus Abyssal; Enragé majeur; Étourdisseur majeur; Obstructeur majeur; Volkorne Jade et Ivoire</t>
        </is>
      </c>
    </row>
    <row r="26102">
      <c r="A26102" t="inlineStr">
        <is>
          <t>Sram M 200</t>
        </is>
      </c>
      <c r="B26102">
        <f>HYPERLINK("https://www.dofusbook.net/fr/equipement/3511005-sram-m-200/objets", "link")</f>
        <v/>
      </c>
      <c r="C26102" t="n">
        <v>4</v>
      </c>
      <c r="D26102" t="inlineStr">
        <is>
          <t>Dagues Érhy; Amulette du Strigide; Chevalière du Roi Joueur; Bague Gloursonne; Bouclier du Captain Amakna; Ceinture du Strigide; Couronne du Roi Joueur; Voile d'encre; Bottes du Roi Joueur; Dofus Abyssal; Dofus Nébuleux; Dofus Turquoise; Dofus Pourpre; Dofus Ivoire; Dofus Ocre; Muldo Pourpre</t>
        </is>
      </c>
    </row>
    <row r="26103">
      <c r="A26103" t="inlineStr">
        <is>
          <t>Crâ M 200</t>
        </is>
      </c>
      <c r="B26103">
        <f>HYPERLINK("https://www.dofusbook.net/fr/equipement/3432981-cra-m-200/objets", "link")</f>
        <v/>
      </c>
      <c r="C26103" t="n">
        <v>3</v>
      </c>
      <c r="D26103" t="inlineStr">
        <is>
          <t>Epée Gloursonne; Amulette du Strigide; Alliance Gloursonne; Bague Gloursonne; Bouclier du Stalak; Ceinture du Strigide; Casque du Chalœil; Cape du Chalœil; Bottes du Chalœil; Dofus Ocre; Dofus Pourpre; Dofus Ivoire; Dofus Nébuleux; Dofus Turquoise; Dofus des Glaces; Muldo Doré et Indigo</t>
        </is>
      </c>
    </row>
    <row r="26104">
      <c r="A26104" t="inlineStr">
        <is>
          <t>Zobal M 200</t>
        </is>
      </c>
      <c r="B26104">
        <f>HYPERLINK("https://www.dofusbook.net/fr/equipement/3502075-zobal-m-200/objets", "link")</f>
        <v/>
      </c>
      <c r="C26104" t="n">
        <v>4</v>
      </c>
      <c r="D26104" t="inlineStr">
        <is>
          <t>Arc de Koutoulou; Amulette d'Ilyzaelle; Alliance Gloursonne; Anneau Volkorne; Bouclier d'Ilyzaelle; Ceinture du Barbétoal; Casque Volkorne; Chevelure de Tal Kasha; Sandales de Tal Kasha; Dofus Ivoire; Dofus Abyssal; Dofus Vulbis; Dofus Nébuleux; Dofus Émeraude; Dofus Ocre; Volkorne Améthyste</t>
        </is>
      </c>
    </row>
    <row r="26105">
      <c r="A26105" t="inlineStr">
        <is>
          <t>Crâ M 200</t>
        </is>
      </c>
      <c r="B26105">
        <f>HYPERLINK("https://www.dofusbook.net/fr/equipement/3499998-cra-m-200/objets", "link")</f>
        <v/>
      </c>
      <c r="C26105" t="n">
        <v>1</v>
      </c>
      <c r="D26105" t="inlineStr">
        <is>
          <t>Manthache; Collier du Valet Veinard; Gant du Valet Veinard; Alliance Gloursonne; Bouclier du Stalak; Ceinture de la Reine des Voleurs; Coiffe de la Reine des Voleurs; Cape du Valet Veinard; Bottes de la Reine des Voleurs; Dofus des Glaces; Dofus Ivoire; Dofus Vulbis; Dofus Ocre; Dofus Pourpre; Dofus Nébuleux; El Scarador</t>
        </is>
      </c>
    </row>
    <row r="26106">
      <c r="A26106" t="inlineStr">
        <is>
          <t>Xélor M 200</t>
        </is>
      </c>
      <c r="B26106">
        <f>HYPERLINK("https://www.dofusbook.net/fr/equipement/3495079-xelor-m-200/objets", "link")</f>
        <v/>
      </c>
      <c r="C26106" t="n">
        <v>1</v>
      </c>
      <c r="D26106" t="inlineStr">
        <is>
          <t>Arc Volkorne; Amulette du Strigide; Alliance Brûlâme; Anneau Volkorne; Bouclier du Stalak; Ceinture du Strigide; Casque Volkorne; Cape au Logis; Bottes du Strigide; Dofus Ivoire; Dofus Pourpre; Dofus Abyssal; Dofus Turquoise; Dofus Nébuleux; Dofus Ocre; El Scarador</t>
        </is>
      </c>
    </row>
    <row r="26107">
      <c r="A26107" t="inlineStr">
        <is>
          <t>Iop M 200</t>
        </is>
      </c>
      <c r="B26107">
        <f>HYPERLINK("https://www.dofusbook.net/fr/equipement/3452681-iop-m-200/objets", "link")</f>
        <v/>
      </c>
      <c r="C26107" t="n">
        <v>3</v>
      </c>
      <c r="D26107" t="inlineStr">
        <is>
          <t>Arc Volkorne; Amulette Volkorne; Anneau Volkorne; Alliance Brûlâme; Quatre-feuilles; Ceinture Volkorne; Casque du Chalœil; Cape du Chalœil; Bottes du Chalœil; Dofus des Glaces; Dofus Ivoire; Dofus Turquoise; Dofus Ocre; Dofus Pourpre; Dofus Nébuleux; Muldo Doré et Emeraude</t>
        </is>
      </c>
    </row>
    <row r="26108">
      <c r="A26108" t="inlineStr">
        <is>
          <t>Crâ M 200</t>
        </is>
      </c>
      <c r="B26108">
        <f>HYPERLINK("https://www.dofusbook.net/fr/equipement/3450687-cra-m-200/objets", "link")</f>
        <v/>
      </c>
      <c r="C26108" t="n">
        <v>2</v>
      </c>
      <c r="D26108" t="inlineStr">
        <is>
          <t>Sabres d'Atcham; Amulette Volkorne; Anneau du Père Fwetar; Anneau Volkorne; Quatre-feuilles; Ceinture du Père Fwetar; Casque Volkorne; Cape d'Atcham; Sandales  d'Atcham; Dofus des Glaces; Dofus Ocre; Dofus Pourpre; Dofus Nébuleux; Dolmanax; Dofus Turquoise; Muldo Prune et Emeraude</t>
        </is>
      </c>
    </row>
    <row r="26109">
      <c r="A26109" t="inlineStr">
        <is>
          <t>Sacrieur M 200</t>
        </is>
      </c>
      <c r="B26109">
        <f>HYPERLINK("https://www.dofusbook.net/fr/equipement/3450650-sacrieur-m-200/objets", "link")</f>
        <v/>
      </c>
      <c r="C26109" t="n">
        <v>1</v>
      </c>
      <c r="D26109" t="inlineStr">
        <is>
          <t>Arc Volkorne; Amulette Volkorne; Anneau Volkorne; Bracelet du Piloztère; Quatre-feuilles; Ceinture du Strigide; Casque Volkorne; Cape du Chalœil; Bottes du Strigide; Dofus Turquoise; Dofus Ivoire; Dofus Vulbis; Dofus Ocre; Dofus Pourpre; Dofus Nébuleux; Volkorne Jade et Emeraude</t>
        </is>
      </c>
    </row>
    <row r="26110">
      <c r="A26110" t="inlineStr">
        <is>
          <t>Sacrieur M 200</t>
        </is>
      </c>
      <c r="B26110">
        <f>HYPERLINK("https://www.dofusbook.net/fr/equipement/3447875-sacrieur-m-200/objets", "link")</f>
        <v/>
      </c>
      <c r="C26110" t="n">
        <v>1</v>
      </c>
      <c r="D26110" t="inlineStr">
        <is>
          <t>Marteau Phossile; Pendentif mignon de Koutoulou; Alliance Brûlâme; Anneau Rifique; Bouclier d'Ilyzaelle; Ceinture de Vortex; Casque Cyclopéen; Cape Martegel; Sabots de Vortex; Dofus Vulbis; Dofus Abyssal; Dofus Ocre; Dofus Nébuleux; Dofus Émeraude; Dofus Ivoire; Volkorne Rubis</t>
        </is>
      </c>
    </row>
    <row r="26111">
      <c r="A26111" t="inlineStr">
        <is>
          <t>Iop M 200</t>
        </is>
      </c>
      <c r="B26111">
        <f>HYPERLINK("https://www.dofusbook.net/fr/equipement/3438838-iop-m-200/objets", "link")</f>
        <v/>
      </c>
      <c r="C26111" t="n">
        <v>5</v>
      </c>
      <c r="D26111" t="inlineStr">
        <is>
          <t>Marteau des égarés; Amulette du Strigide; Anneau Volkorne; Alliance Brûlâme; Quatre-feuilles; Ceinture Volkorne; Casque Volkorne; Cape Reski; Bottes du Strigide; Dofus Turquoise; Dofus Nébuleux; Dofus Ivoire; Dofus Ocre; Dofus Pourpre; Dofus des Glaces; Muldo Orchidée</t>
        </is>
      </c>
    </row>
    <row r="26112">
      <c r="A26112" t="inlineStr">
        <is>
          <t>Féca M 200</t>
        </is>
      </c>
      <c r="B26112">
        <f>HYPERLINK("https://www.dofusbook.net/fr/equipement/3434599-feca-m-200/objets", "link")</f>
        <v/>
      </c>
      <c r="C26112" t="n">
        <v>9</v>
      </c>
      <c r="D26112" t="inlineStr">
        <is>
          <t>Lav'Hache; Torquistik; Bague Instable; Bague Trithon; Bouclier précieux; Ceinture Gence; Casque Dragoeuf; Cape du Cœur Vaillant; Bottistik; Culbuteur; Bousculeur majeur; Pousseur majeur; Culbuteur majeur; Remueur; Nomade; Kafarce</t>
        </is>
      </c>
    </row>
    <row r="26113">
      <c r="A26113" t="inlineStr">
        <is>
          <t>BESTECAPUSH</t>
        </is>
      </c>
      <c r="B26113">
        <f>HYPERLINK("https://www.dofusbook.net/fr/equipement/3384573-bestecapush/objets", "link")</f>
        <v/>
      </c>
      <c r="C26113" t="n">
        <v>6</v>
      </c>
      <c r="D26113" t="inlineStr">
        <is>
          <t>Lav'Hache; Collier Rophante; Bague Trithon; Bague Instable; Bouclier précieux; Ceinture Gence; Masque d'Anerice; Cape d'Anerice; Bottes du Cœur Vaillant; Dofus Émeraude; Dofus Ivoire; Miraculé majeur; Remueur; Bousculeur majeur; Culbuteur majeur; Eliôme</t>
        </is>
      </c>
    </row>
    <row r="26114">
      <c r="A26114" t="inlineStr">
        <is>
          <t>Sacrieur M 200</t>
        </is>
      </c>
      <c r="B26114">
        <f>HYPERLINK("https://www.dofusbook.net/fr/equipement/3430301-sacrieur-m-200/objets", "link")</f>
        <v/>
      </c>
      <c r="C26114" t="n">
        <v>1</v>
      </c>
      <c r="D26114" t="inlineStr">
        <is>
          <t>Lance corrompue; Amulette du Kamasterisk; Anneau des égarés; Alliance Brûlâme; Bouclier d'Ilyzaelle; Ceinture de la Reine des Voleurs; Coiffe de la Reine des Voleurs; Cape du Kamasterisk; Bottes du Kamasterisk; Dofus des Glaces; Dofus Nébuleux; Dofus Émeraude; Dofus Ivoire; Dofus Abyssal; Dofus Ocre; Muldo Ebène et Orchidée</t>
        </is>
      </c>
    </row>
    <row r="26115">
      <c r="A26115" t="inlineStr">
        <is>
          <t>Steamer M 200</t>
        </is>
      </c>
      <c r="B26115">
        <f>HYPERLINK("https://www.dofusbook.net/fr/equipement/3428130-steamer-m-200/objets", "link")</f>
        <v/>
      </c>
      <c r="C26115" t="n">
        <v>3</v>
      </c>
      <c r="D26115" t="inlineStr">
        <is>
          <t>Lance corrompue; Amulette du Cœur Vaillant; Alliance Brûlâme; Bague Instable; Bouclier Taverne; Ceinture Gence; Casque Dragoeuf; Cape du Cœur Vaillant; Baleinabottes; Dofus Pourpre; Dofus Abyssal; Dofus Ivoire; Culbuteur majeur; Vigoureux majeur; Bousculeur majeur; Muldo Pourpre</t>
        </is>
      </c>
    </row>
    <row r="26116">
      <c r="A26116" t="inlineStr">
        <is>
          <t>Sacrieur M 200</t>
        </is>
      </c>
      <c r="B26116">
        <f>HYPERLINK("https://www.dofusbook.net/fr/equipement/3356924-sacrieur-m-200/objets", "link")</f>
        <v/>
      </c>
      <c r="C26116" t="n">
        <v>2</v>
      </c>
      <c r="D26116" t="inlineStr">
        <is>
          <t>Marteau R'ture; Amulette du Strigide; Anneau Crustique; Anneau Crustique; Bouclier d'Ilyzaelle; Ceintacé; Masque de Koutoulou; Cape au Logis; Bottes du Strigide; Dofus Pourpre; Dofus Abyssal; Dofus Nébuleux; Dofus Turquoise; Dofus Émeraude; Enragé majeur; El Scarador</t>
        </is>
      </c>
    </row>
    <row r="26117">
      <c r="A26117" t="inlineStr">
        <is>
          <t>Ouginak M 200</t>
        </is>
      </c>
      <c r="B26117">
        <f>HYPERLINK("https://www.dofusbook.net/fr/equipement/3419477-ouginak-m-200/objets", "link")</f>
        <v/>
      </c>
      <c r="C26117" t="n">
        <v>2</v>
      </c>
      <c r="D26117" t="inlineStr">
        <is>
          <t>Sabres d'Atcham; Amulette d'Ilyzaelle; Alliance Gloursonne; Anneau Rifique; Bouclier d'Ilyzaelle; Ceinture du Barbétoal; Casque d'Ilyzaelle; Cape d'Atcham; Sandales  d'Atcham; Dofus Ocre; Dofus Abyssal; Dofus Pourpre; Dofus Nébuleux; Dofus Émeraude; Dofus Ivoire; Muldo Ebène</t>
        </is>
      </c>
    </row>
    <row r="26118">
      <c r="A26118" t="inlineStr">
        <is>
          <t>Sacrieur M 200</t>
        </is>
      </c>
      <c r="B26118">
        <f>HYPERLINK("https://www.dofusbook.net/fr/equipement/3401060-sacrieur-m-200/objets", "link")</f>
        <v/>
      </c>
      <c r="C26118" t="n">
        <v>1</v>
      </c>
      <c r="D26118" t="inlineStr">
        <is>
          <t>Manthache; Collier du Valet Veinard; Alliance Gloursonne; Gant du Valet Veinard; Bouclier d'Ilyzaelle; Ceintouse; Chapoulpe; Cape du Valet Veinard; Tentassons; Dofus Émeraude; Dofus Abyssal; Dofus Ocre; Dofus Ivoire; Dofus Pourpre; Dofus Nébuleux; Muldo Ebène</t>
        </is>
      </c>
    </row>
    <row r="26119">
      <c r="A26119" t="inlineStr">
        <is>
          <t>Sacrieur M 200</t>
        </is>
      </c>
      <c r="B26119">
        <f>HYPERLINK("https://www.dofusbook.net/fr/equipement/3408793-sacrieur-m-200/objets", "link")</f>
        <v/>
      </c>
      <c r="C26119" t="n">
        <v>1</v>
      </c>
      <c r="D26119" t="inlineStr">
        <is>
          <t>Lance corrompue; Amulette du Kamasterisk; Anneau des égarés; Alliance Brûlâme; Bouclier d'Ilyzaelle; Ceintouse; Chapoulpe; Cape du Kamasterisk; Bottes du Kamasterisk; Dofus Ocre; Dofus Ivoire; Dofus Pourpre; Dofus Nébuleux; Dofus Émeraude; Dofus Abyssal; Muldo Pourpre</t>
        </is>
      </c>
    </row>
    <row r="26120">
      <c r="A26120" t="inlineStr">
        <is>
          <t>Sacrieur M 200</t>
        </is>
      </c>
      <c r="B26120">
        <f>HYPERLINK("https://www.dofusbook.net/fr/equipement/3350176-sacrieur-m-200/objets", "link")</f>
        <v/>
      </c>
      <c r="C26120" t="n">
        <v>4</v>
      </c>
      <c r="D26120" t="inlineStr">
        <is>
          <t>Manthache; Collier du Valet Veinard; Gant du Valet Veinard; Alliance Gloursonne; Bouclier d'Ilyzaelle; Menoture; Capuche de Moum-Ra; Cape Indescriptible; Palmes Trithons; Dofus Abyssal; Dofus Nébuleux; Dofus Émeraude; Cascadeur majeur; Remueur; Miraculé majeur; Muldo Ebène</t>
        </is>
      </c>
    </row>
    <row r="26121">
      <c r="A26121" t="inlineStr">
        <is>
          <t>Sadida M 200</t>
        </is>
      </c>
      <c r="B26121">
        <f>HYPERLINK("https://www.dofusbook.net/fr/equipement/3401247-sadida-m-200/objets", "link")</f>
        <v/>
      </c>
      <c r="C26121" t="n">
        <v>3</v>
      </c>
      <c r="D26121" t="inlineStr">
        <is>
          <t>Arc Nécrotique; Talisman Igans; Lavanneau; Alliance Gloursonne; Bouclier du Stalak; Ceintrigue; Casquette de Meno; Cape de Meno; Bottes de Meno; Dofus Pourpre; Dofus Abyssal; Dofus Ocre; Dofus Nébuleux; Dofus Ivoire; Dofus des Glaces; Muldo Orchidée</t>
        </is>
      </c>
    </row>
    <row r="26122">
      <c r="A26122" t="inlineStr">
        <is>
          <t>Ouginak M 200</t>
        </is>
      </c>
      <c r="B26122">
        <f>HYPERLINK("https://www.dofusbook.net/fr/equipement/3400927-ouginak-m-200/objets", "link")</f>
        <v/>
      </c>
      <c r="C26122" t="n">
        <v>2</v>
      </c>
      <c r="D26122" t="inlineStr">
        <is>
          <t>Massier; Torquistik; Bague Gloursonne; Anneauræus; Bouclier d'Ilyzaelle; Ceintrigue; Heaume Oplate; Cape des Malveilleurs; Bottes Owesli; Dofus Nébuleux; Dofus Abyssal; Érudit majeur; Remueur; Culbuteur majeur; Bousculeur majeur; Muldo Orchidée et Pourpre</t>
        </is>
      </c>
    </row>
    <row r="26123">
      <c r="A26123" t="inlineStr">
        <is>
          <t>Pandawa M 200</t>
        </is>
      </c>
      <c r="B26123">
        <f>HYPERLINK("https://www.dofusbook.net/fr/equipement/3393426-pandawa-m-200/objets", "link")</f>
        <v/>
      </c>
      <c r="C26123" t="n">
        <v>2</v>
      </c>
      <c r="D26123" t="inlineStr">
        <is>
          <t>Baguette de Malléfisk; Pendentif mignon de Koutoulou; Anneauræus; Anneau Rifique; Bouclier du Stalak; Sangle Aise; Casque Dragoeuf; Voile d'encre; Bottes Innommables; Dofus Ivoire; Dofus Émeraude; Dofus Abyssal; Érudit majeur; Remueur; Miraculé majeur; Muldo Orchidée et Pourpre</t>
        </is>
      </c>
    </row>
    <row r="26124">
      <c r="A26124" t="inlineStr">
        <is>
          <t>Crâ M 200</t>
        </is>
      </c>
      <c r="B26124">
        <f>HYPERLINK("https://www.dofusbook.net/fr/equipement/3397287-cra-m-200/objets", "link")</f>
        <v/>
      </c>
      <c r="C26124" t="n">
        <v>1</v>
      </c>
      <c r="D26124" t="inlineStr">
        <is>
          <t>Sabres d'Atcham; Pendentif mignon de Koutoulou; Anneau Rifique; Alliance Gloursonne; Bouclier du Stalak; Ceinture de Vortex; Casque Cyclopéen; Cape d'Atcham; Sandales  d'Atcham; Dofus Ivoire; Dofus des Glaces; Dofus Ocre; Dofus Abyssal; Dofus Pourpre; Dolmanax; Muldo Ebène</t>
        </is>
      </c>
    </row>
    <row r="26125">
      <c r="A26125" t="inlineStr">
        <is>
          <t>Pandawa M 200</t>
        </is>
      </c>
      <c r="B26125">
        <f>HYPERLINK("https://www.dofusbook.net/fr/equipement/3393649-pandawa-m-200/objets", "link")</f>
        <v/>
      </c>
      <c r="C26125" t="n">
        <v>2</v>
      </c>
      <c r="D26125" t="inlineStr">
        <is>
          <t>Arc Nécrotique; Amulette du Strigide; Lavanneau; Lavanneau; Quatre-feuilles; Ceinture du Strigide; Casquette de Meno; Cape de Meno; Bottes de Meno; Dofus Pourpre; Dofus Nébuleux; Dofus Turquoise; Dofus Abyssal; Dofus Ocre; Dofus Ivoire; Muldo Orchidée</t>
        </is>
      </c>
    </row>
    <row r="26126">
      <c r="A26126" t="inlineStr">
        <is>
          <t>Sadida M 200</t>
        </is>
      </c>
      <c r="B26126">
        <f>HYPERLINK("https://www.dofusbook.net/fr/equipement/3386631-sadida-m-200/objets", "link")</f>
        <v/>
      </c>
      <c r="C26126" t="n">
        <v>3</v>
      </c>
      <c r="D26126" t="inlineStr">
        <is>
          <t>Hache du Chalœil; Amulette du Strigide; Alliance du Lévitrof; Goulano; Bouclier d'Ilyzaelle; Ceinture du Strigide; Casque du Chalœil; Cape du Chalœil; Bottes du Chalœil; Dofus Turquoise; Dofus Abyssal; Dofus Ocre; Dofus Ivoire; Dofus Pourpre; Dofus Nébuleux; Muldo Indigo et Orchidée</t>
        </is>
      </c>
    </row>
    <row r="26127">
      <c r="A26127" t="inlineStr">
        <is>
          <t>Eliotrope M 200</t>
        </is>
      </c>
      <c r="B26127">
        <f>HYPERLINK("https://www.dofusbook.net/fr/equipement/3382946-eliotrope-m-200/objets", "link")</f>
        <v/>
      </c>
      <c r="C26127" t="n">
        <v>2</v>
      </c>
      <c r="D26127" t="inlineStr">
        <is>
          <t>Rapière aux Glyphes; Amulette de Shokkoth; Bracelet des Fonds marins; Alliance Gloursonne; Bouclier d'Ilyzaelle; Poulpagne; Masque des Fonds marins; Cape Solution; Bottes du Nocturlabe; Dofus Émeraude; Dofus Ivoire; Dofus Nébuleux; Dofus Abyssal; Miraculé majeur; Chanceux majeur; Muldo Indigo</t>
        </is>
      </c>
    </row>
    <row r="26128">
      <c r="A26128" t="inlineStr">
        <is>
          <t>Sram M 200</t>
        </is>
      </c>
      <c r="B26128">
        <f>HYPERLINK("https://www.dofusbook.net/fr/equipement/3377848-sram-m-200/objets", "link")</f>
        <v/>
      </c>
      <c r="C26128" t="n">
        <v>11</v>
      </c>
      <c r="D26128" t="inlineStr">
        <is>
          <t>Lance corrompue; Amulette du Kamasterisk; Bracelet du Piloztère; Anneau des égarés; Bouclier du Stalak; Ceintouse; Chapoulpe; Cape du Kamasterisk; Tentassons; Dofus Ocre; Dofus Pourpre; Dofus des Glaces; Dofus Abyssal; Dofus Ivoire; Dofus Nébuleux; Muldo Ebène et Pourpre</t>
        </is>
      </c>
    </row>
    <row r="26129">
      <c r="A26129" t="inlineStr">
        <is>
          <t>Iop M 200</t>
        </is>
      </c>
      <c r="B26129">
        <f>HYPERLINK("https://www.dofusbook.net/fr/equipement/3370376-iop-m-200/objets", "link")</f>
        <v/>
      </c>
      <c r="C26129" t="n">
        <v>1</v>
      </c>
      <c r="D26129" t="inlineStr">
        <is>
          <t>Lav'Hache; Collier de Tourthon; Anneau Crustique; Anneau Crustique; Bouclier Taverne; Ceinture Gence; Coiffe de la Reine des Voleurs; Cape du Cœur Vaillant; Bottes de la Reine des Voleurs; Dofus Abyssal; Dofus Ivoire; Culbuteur majeur; Remueur; Bousculeur majeur; Enragé majeur; Muldo Orchidée et Pourpre</t>
        </is>
      </c>
    </row>
    <row r="26130">
      <c r="A26130" t="inlineStr">
        <is>
          <t>Sacrieur M 200</t>
        </is>
      </c>
      <c r="B26130">
        <f>HYPERLINK("https://www.dofusbook.net/fr/equipement/3343214-sacrieur-m-200/objets", "link")</f>
        <v/>
      </c>
      <c r="C26130" t="n">
        <v>1</v>
      </c>
      <c r="D26130" t="inlineStr">
        <is>
          <t>Arc corrompu; Pendentif mignon de Koutoulou; Anneauræus; Anneau Tique; Bouclier d'Ilyzaelle; Protopagne; Casque Cyclopéen; Voile d'encre; Bottes Honyme; Dofus Émeraude; Dofus Ivoire; Dofus Abyssal; Érudit majeur; Miraculé majeur; Remueur; Dauge</t>
        </is>
      </c>
    </row>
    <row r="26131">
      <c r="A26131" t="inlineStr">
        <is>
          <t>Osamodas M 200</t>
        </is>
      </c>
      <c r="B26131">
        <f>HYPERLINK("https://www.dofusbook.net/fr/equipement/3344984-osamodas-m-200/objets", "link")</f>
        <v/>
      </c>
      <c r="C26131" t="n">
        <v>3</v>
      </c>
      <c r="D26131" t="inlineStr">
        <is>
          <t>Le Thanos; Amulette de Shokkoth; Alliance du Lévitrof; Lavanneau; Bouclier d'Ilyzaelle; Sangle Ouare; Casquette de Meno; Cape Solution; Bottes de Meno; Dofus Abyssal; Dofus Ivoire; Guérisseur majeur; Chanceux majeur; Remueur; Carapace Feu majeur; Dauge</t>
        </is>
      </c>
    </row>
    <row r="26132">
      <c r="A26132" t="inlineStr">
        <is>
          <t>Féca M 200</t>
        </is>
      </c>
      <c r="B26132">
        <f>HYPERLINK("https://www.dofusbook.net/fr/equipement/3337658-feca-m-200/objets", "link")</f>
        <v/>
      </c>
      <c r="C26132" t="n">
        <v>2</v>
      </c>
      <c r="D26132" t="inlineStr">
        <is>
          <t>Marteau R'ture; Amulette du Cœur Vaillant; Anneau Crustique; Anneau Crustique; Bouclier d'Ilyzaelle; Ceintouse; Masque de Koutoulou; Cape du Cœur Saignant; Tentassons; Dofus Ivoire; Dofus Abyssal; Dofus Nébuleux; Enragé majeur; Étourdisseur majeur; Remueur; Muldo Roux et Pourpre</t>
        </is>
      </c>
    </row>
    <row r="26133">
      <c r="A26133" t="inlineStr">
        <is>
          <t>Osamodas M 200</t>
        </is>
      </c>
      <c r="B26133">
        <f>HYPERLINK("https://www.dofusbook.net/fr/equipement/3328093-osamodas-m-200/objets", "link")</f>
        <v/>
      </c>
      <c r="C26133" t="n">
        <v>5</v>
      </c>
      <c r="D26133" t="inlineStr">
        <is>
          <t>Arc corrompu; Pendentif affamé; Anneauræus; Anneau Tique; Bouclier du Stalak; Ceinture de Vortex; Heaume Oplate; Cape de Diondin; Sabots de Vortex; Dofus Ivoire; Dofus Abyssal; Étourdisseur majeur; Vagabond majeur; Érudit majeur; Déserteur majeur; Muldo Orchidée et Amande</t>
        </is>
      </c>
    </row>
    <row r="26134">
      <c r="A26134" t="inlineStr">
        <is>
          <t>Sacrieur M 200</t>
        </is>
      </c>
      <c r="B26134">
        <f>HYPERLINK("https://www.dofusbook.net/fr/equipement/3315603-sacrieur-m-200/objets", "link")</f>
        <v/>
      </c>
      <c r="C26134" t="n">
        <v>1</v>
      </c>
      <c r="D26134" t="inlineStr">
        <is>
          <t>Arc de Koutoulou; Amulette du Strigide; Alliance Gloursonne; Anneau de Padgref; Bouclier d'Ilyzaelle; Ceinture du Strigide; Masque d'Anerice; Cape d'Anerice; Sandales de Tal Kasha; Dofus Turquoise; Dofus Ivoire; Dofus Émeraude; Dofus Ocre; Dofus Nébuleux; Dofus Abyssal; Muldo Prune et Ebène</t>
        </is>
      </c>
    </row>
    <row r="26135">
      <c r="A26135" t="inlineStr">
        <is>
          <t>Osamodas M 200</t>
        </is>
      </c>
      <c r="B26135">
        <f>HYPERLINK("https://www.dofusbook.net/fr/equipement/3326330-osamodas-m-200/objets", "link")</f>
        <v/>
      </c>
      <c r="C26135" t="n">
        <v>3</v>
      </c>
      <c r="D26135" t="inlineStr">
        <is>
          <t>Manthache; Amulette du Cycloïde; Gant du Valet Veinard; Alliance Gloursonne; Bouclier du Stalak; Menoture; Casque d'Ilyzaelle; Cape du Valet Veinard; Palmes Trithons; Dofus Nébuleux; Dofus des Glaces; Dofus Ivoire; Dofus Abyssal; Remueur; Cascadeur majeur; Muldo Ebène</t>
        </is>
      </c>
    </row>
    <row r="26136">
      <c r="A26136" t="inlineStr">
        <is>
          <t>Osamodas M 200</t>
        </is>
      </c>
      <c r="B26136">
        <f>HYPERLINK("https://www.dofusbook.net/fr/equipement/3325910-osamodas-m-200/objets", "link")</f>
        <v/>
      </c>
      <c r="C26136" t="n">
        <v>3</v>
      </c>
      <c r="D26136" t="inlineStr">
        <is>
          <t>Lav'Hache; Collier de Tourthon; Anneau Crustique; Anneau Crustique; Bouclier d'Ilyzaelle; Ceinture Gence; Masque d'Anerice; Cape d'Anerice; Bottes Dogues; Dofus Ivoire; Dofus Émeraude; Miraculé majeur; Carapace Terre majeur; Enragé majeur; Remueur; Dauge</t>
        </is>
      </c>
    </row>
    <row r="26137">
      <c r="A26137" t="inlineStr">
        <is>
          <t>Iop M 200</t>
        </is>
      </c>
      <c r="B26137">
        <f>HYPERLINK("https://www.dofusbook.net/fr/equipement/3308118-iop-m-200/objets", "link")</f>
        <v/>
      </c>
      <c r="C26137" t="n">
        <v>2</v>
      </c>
      <c r="D26137" t="inlineStr">
        <is>
          <t>Lav'Hache; Torquistik; Bague Instable; Bague Trithon; Bouclier précieux; Ceinture Gence; Casque Dragoeuf; Cape du Cœur Vaillant; Bottistik; Dofus Ivoire; Dofus Émeraude; Dofus Abyssal; Culbuteur majeur; Remueur; Bousculeur majeur; Muldo Pourpre</t>
        </is>
      </c>
    </row>
    <row r="26138">
      <c r="A26138" t="inlineStr">
        <is>
          <t>Osamodas M 200</t>
        </is>
      </c>
      <c r="B26138">
        <f>HYPERLINK("https://www.dofusbook.net/fr/equipement/3323852-osamodas-m-200/objets", "link")</f>
        <v/>
      </c>
      <c r="C26138" t="n">
        <v>6</v>
      </c>
      <c r="D26138" t="inlineStr">
        <is>
          <t>Sceptre du Roi Joueur; Amulette de Shokkoth; Alliance du Lévitrof; Alliance Gloursonne; Bouclier d'Ilyzaelle; Poulpagne; Masque d'Anerice; Cape d'Anerice; Bottes du Sinistrofu; Dofus Émeraude; Dofus Ivoire; Chanceux majeur; Remueur; Miraculé majeur; Nomade; Dauge</t>
        </is>
      </c>
    </row>
    <row r="26139">
      <c r="A26139" t="inlineStr">
        <is>
          <t>Sacrieur M 200</t>
        </is>
      </c>
      <c r="B26139">
        <f>HYPERLINK("https://www.dofusbook.net/fr/equipement/3315348-sacrieur-m-200/objets", "link")</f>
        <v/>
      </c>
      <c r="C26139" t="n">
        <v>0</v>
      </c>
      <c r="D26139" t="inlineStr">
        <is>
          <t>Sabres d'Atcham; Amulette d'Ilyzaelle; Bracelet du Piloztère; Alliance Gloursonne; Bouclier d'Ilyzaelle; Ceinture du Barbétoal; Casque d'Ilyzaelle; Cape d'Atcham; Sandales  d'Atcham; Dofus des Glaces; Dofus Abyssal; Dofus Ocre; Dofus Ivoire; Dofus Pourpre; Dofus Nébuleux; Muldo Ebène</t>
        </is>
      </c>
    </row>
    <row r="26140">
      <c r="A26140" t="inlineStr">
        <is>
          <t>FULLFORIGNORANTESET</t>
        </is>
      </c>
      <c r="B26140">
        <f>HYPERLINK("https://www.dofusbook.net/fr/equipement/3311429-fullforignoranteset/objets", "link")</f>
        <v/>
      </c>
      <c r="C26140" t="n">
        <v>4</v>
      </c>
      <c r="D26140" t="inlineStr">
        <is>
          <t>Arc du Chalœil; Amulette du Strigide; Anneau Crustique; Anneau Chevelu; Quatre-feuilles; Ceinture du Strigide; Masque de Koutoulou; Cape au Logis; Bottes du Cœur Saignant; Dofus Turquoise; Dofus Pourpre; Dofus Nébuleux; Enragé majeur; Vigoureux majeur; Remueur; Kompost</t>
        </is>
      </c>
    </row>
    <row r="26141">
      <c r="A26141" t="inlineStr">
        <is>
          <t>ATOPSINTASET</t>
        </is>
      </c>
      <c r="B26141">
        <f>HYPERLINK("https://www.dofusbook.net/fr/equipement/3286832-atopsintaset/objets", "link")</f>
        <v/>
      </c>
      <c r="C26141" t="n">
        <v>19</v>
      </c>
      <c r="D26141" t="inlineStr">
        <is>
          <t>Lav'Hache; Torquistik; Bague Instable; Bague Trithon; Bouclier Taverne; Ceinture Gence; Casque Dragoeuf; Cape du Cœur Vaillant; Bottistik; Dofus Ivoire; Dofus Abyssal; Remueur; Bousculeur majeur; Culbuteur majeur; Nomade; Tanuk</t>
        </is>
      </c>
    </row>
    <row r="26142">
      <c r="A26142" t="inlineStr">
        <is>
          <t>ATOPCANCROFECA</t>
        </is>
      </c>
      <c r="B26142">
        <f>HYPERLINK("https://www.dofusbook.net/fr/equipement/3309880-atopcancrofeca/objets", "link")</f>
        <v/>
      </c>
      <c r="C26142" t="n">
        <v>2</v>
      </c>
      <c r="D26142" t="inlineStr">
        <is>
          <t>Lav'Hache; Amulette du Cœur Vaillant; Anneau Crustique; Anneau Crustique; Bouclier d'Ilyzaelle; Ceintouse; Chapoulpe; Cape du Cœur Vaillant; Tentassons; Dofus Émeraude; Dofus Abyssal; Dofus Ocre; Dofus Nébuleux; Dofus Ivoire; Bloqueur majeur; Muldo Pourpre</t>
        </is>
      </c>
    </row>
    <row r="26143">
      <c r="A26143" t="inlineStr">
        <is>
          <t>Iop M 200</t>
        </is>
      </c>
      <c r="B26143">
        <f>HYPERLINK("https://www.dofusbook.net/fr/equipement/3305057-iop-m-200/objets", "link")</f>
        <v/>
      </c>
      <c r="C26143" t="n">
        <v>4</v>
      </c>
      <c r="D26143" t="inlineStr">
        <is>
          <t>Épouvante; Amulette Luminescente; Pikano; Goulano; Quatre-feuilles; Ceinture Gence; Masque de Funespadon; Cape Luminescente; Bottes Honyme; Dofus Pourpre; Dofus Abyssal; Dofus Turquoise; Dofus Nébuleux; Dofus Ivoire; Vigoureux majeur; Muldo Indigo et Pourpre</t>
        </is>
      </c>
    </row>
    <row r="26144">
      <c r="A26144" t="inlineStr">
        <is>
          <t>Ouginak M 200</t>
        </is>
      </c>
      <c r="B26144">
        <f>HYPERLINK("https://www.dofusbook.net/fr/equipement/3292036-ouginak-m-200/objets", "link")</f>
        <v/>
      </c>
      <c r="C26144" t="n">
        <v>0</v>
      </c>
      <c r="D26144" t="inlineStr">
        <is>
          <t>Manthache; Collier du Valet Veinard; Alliance Gloursonne; Gant du Valet Veinard; Bouclier d'Ilyzaelle; Menoture; Capuche de Moum-Ra; Cape Indescriptible; Palmes Trithons; Dofus Nébuleux; Dofus Ivoire; Dofus Abyssal; Nomade; Remueur; Cascadeur majeur; Siroko</t>
        </is>
      </c>
    </row>
    <row r="26145">
      <c r="A26145" t="inlineStr">
        <is>
          <t>Ecaflip M 200</t>
        </is>
      </c>
      <c r="B26145">
        <f>HYPERLINK("https://www.dofusbook.net/fr/equipement/3286014-ecaflip-m-200/objets", "link")</f>
        <v/>
      </c>
      <c r="C26145" t="n">
        <v>2</v>
      </c>
      <c r="D26145" t="inlineStr">
        <is>
          <t>Sabres d'Atcham; Amulette du Strigide; Bracelet du Piloztère; Alliance Brûlâme; Bouclier du Stalak; Ceinture du Strigide; Casque Dragoeuf; Cape d'Atcham; Bottes du Strigide; Dofus Pourpre; Dofus Nébuleux; Dofus Ocre; Dofus Ivoire; Dolmanax; Dofus Abyssal; Muldo Indigo et Emeraude</t>
        </is>
      </c>
    </row>
    <row r="26146">
      <c r="A26146" t="inlineStr">
        <is>
          <t>Ouginak M 200</t>
        </is>
      </c>
      <c r="B26146">
        <f>HYPERLINK("https://www.dofusbook.net/fr/equipement/3283368-ouginak-m-200/objets", "link")</f>
        <v/>
      </c>
      <c r="C26146" t="n">
        <v>3</v>
      </c>
      <c r="D26146" t="inlineStr">
        <is>
          <t>Rapière aux Glyphes; Amulette de Shokkoth; Bracelet des Fonds marins; Alliance Gloursonne; Bouclier d'Ilyzaelle; Poulpagne; Capuche de l'Œil Attentif; Cape Solution; Sandales des Fonds marins; Dofus Émeraude; Dofus Nébuleux; Dofus Abyssal; Dofus Ivoire; Chanceux majeur; Carapace Eau majeur; Muldo Ebène et Indigo</t>
        </is>
      </c>
    </row>
    <row r="26147">
      <c r="A26147" t="inlineStr">
        <is>
          <t>Sacrieur M 200</t>
        </is>
      </c>
      <c r="B26147">
        <f>HYPERLINK("https://www.dofusbook.net/fr/equipement/3267822-sacrieur-m-200/objets", "link")</f>
        <v/>
      </c>
      <c r="C26147" t="n">
        <v>2</v>
      </c>
      <c r="D26147" t="inlineStr">
        <is>
          <t>Épée Brûlâme; Amulette du Strigide; Lavanneau; Lavanneau; Bouclier d'Ilyzaelle; Ceinture du Strigide; Casquette de Meno; Cape de Meno; Bottes de Meno; Dofus Ivoire; Dofus Nébuleux; Dofus Turquoise; Dofus Émeraude; Dofus Abyssal; Dofus Ocre; Muldo Orchidée</t>
        </is>
      </c>
    </row>
    <row r="26148">
      <c r="A26148" t="inlineStr">
        <is>
          <t>AFULLAGIDANNIMOSTRO</t>
        </is>
      </c>
      <c r="B26148">
        <f>HYPERLINK("https://www.dofusbook.net/fr/equipement/3262253-afullagidannimostro/objets", "link")</f>
        <v/>
      </c>
      <c r="C26148" t="n">
        <v>1</v>
      </c>
      <c r="D26148" t="inlineStr">
        <is>
          <t>Manthache; Collier du Valet Veinard; Alliance Gloursonne; Gant du Valet Veinard; Bouclier du Stalak; Menoture; Casque d'Ilyzaelle; Cape du Valet Veinard; Palmes Trithons; Dofus Pourpre; Dofus Ivoire; Dofus Nébuleux; Dofus Abyssal; Dofus des Glaces; Dofus Émeraude; Muldo Ebène</t>
        </is>
      </c>
    </row>
    <row r="26149">
      <c r="A26149" t="inlineStr">
        <is>
          <t>AFECAFULLDANNI</t>
        </is>
      </c>
      <c r="B26149">
        <f>HYPERLINK("https://www.dofusbook.net/fr/equipement/3255500-afecafulldanni/objets", "link")</f>
        <v/>
      </c>
      <c r="C26149" t="n">
        <v>2</v>
      </c>
      <c r="D26149" t="inlineStr">
        <is>
          <t>Sabres d'Atcham; Amulette du Strigide; Alliance Gloursonne; Anneau de Padgref; Cadran de Terre; Menoture; Coiffe de Padgref; Cape d'Atcham; Getas de Padgref; Dofus Turquoise; Dofus Nébuleux; Dofus Ocre; Dofus Ivoire; Dofus Pourpre; Dofus Abyssal; Muldo Prune et Emeraude</t>
        </is>
      </c>
    </row>
    <row r="26150">
      <c r="A26150" t="inlineStr">
        <is>
          <t>AXELORFULLCHATOLTAPA</t>
        </is>
      </c>
      <c r="B26150">
        <f>HYPERLINK("https://www.dofusbook.net/fr/equipement/3259082-axelorfullchatoltapa/objets", "link")</f>
        <v/>
      </c>
      <c r="C26150" t="n">
        <v>3</v>
      </c>
      <c r="D26150" t="inlineStr">
        <is>
          <t>Dagoulinantes; Amulette de Shokkoth; Alliance Gloursonne; Bracelet des Fonds marins; Cadran de Terre; Ceinture Glaciale; Némès de Tal Kasha; Cape Solution; Sandales de Tal Kasha; Dofus des Glaces; Dofus Abyssal; Chanceux majeur; Remueur; Étourdisseur majeur; Paralyseur majeur; Muldo Ebène et Indigo</t>
        </is>
      </c>
    </row>
    <row r="26151">
      <c r="A26151" t="inlineStr">
        <is>
          <t>APANDAFULLFEUDANNI</t>
        </is>
      </c>
      <c r="B26151">
        <f>HYPERLINK("https://www.dofusbook.net/fr/equipement/3250545-apandafullfeudanni/objets", "link")</f>
        <v/>
      </c>
      <c r="C26151" t="n">
        <v>3</v>
      </c>
      <c r="D26151" t="inlineStr">
        <is>
          <t>Arc corrompu; Pendentif affamé; Anneauræus; Chevalière du Roi Joueur; Quatre-feuilles; Ceinture de Vortex; Heaume Oplate; Voile d'encre; Bottes du Roi Joueur; Dofus Abyssal; Dofus Ivoire; Dofus Nébuleux; Dofus Turquoise; Érudit majeur; Remueur; Muldo Pourpre</t>
        </is>
      </c>
    </row>
    <row r="26152">
      <c r="A26152" t="inlineStr">
        <is>
          <t>AFULLRESSET</t>
        </is>
      </c>
      <c r="B26152">
        <f>HYPERLINK("https://www.dofusbook.net/fr/equipement/3248889-afullresset/objets", "link")</f>
        <v/>
      </c>
      <c r="C26152" t="n">
        <v>5</v>
      </c>
      <c r="D26152" t="inlineStr">
        <is>
          <t>Baguette de Malléfisk; Amulette Ikête; Goulano; Baguistik; Sept ans de malheur; Ceinture de Vortex; Bandeau Culaire; Cape Parition; Bottistik; Dofus Ivoire; Dofus Ocre; Dofus Émeraude; Dofus Forgelave; Bloqueur majeur; Paralyseur majeur; Muldo Orchidée et Pourpre</t>
        </is>
      </c>
    </row>
    <row r="26153">
      <c r="A26153" t="inlineStr">
        <is>
          <t>AYOPMULTI</t>
        </is>
      </c>
      <c r="B26153">
        <f>HYPERLINK("https://www.dofusbook.net/fr/equipement/3247261-ayopmulti/objets", "link")</f>
        <v/>
      </c>
      <c r="C26153" t="n">
        <v>11</v>
      </c>
      <c r="D26153" t="inlineStr">
        <is>
          <t>Hache du Chalœil; Amulette du Strigide; Bague Gloursonne; Chevalière du Roi Joueur; Bouclier d'Ilyzaelle; Ceinture du Strigide; Casque du Chalœil; Cape du Chalœil; Bottes du Strigide; Dofus Pourpre; Dofus Ivoire; Dofus Ocre; Dofus Turquoise; Dofus Abyssal; Dofus Nébuleux; Muldo Indigo et Orchidée</t>
        </is>
      </c>
    </row>
    <row r="26154">
      <c r="A26154" t="inlineStr">
        <is>
          <t>ASACRIFULLSUPPORTO</t>
        </is>
      </c>
      <c r="B26154">
        <f>HYPERLINK("https://www.dofusbook.net/fr/equipement/3245686-asacrifullsupporto/objets", "link")</f>
        <v/>
      </c>
      <c r="C26154" t="n">
        <v>1</v>
      </c>
      <c r="D26154" t="inlineStr">
        <is>
          <t>Arc Hétype; Pendentif affamé; Chevalière du Roi Joueur; Anneauræus; Bouclier d'Ilyzaelle; Ceinture Séculaire; Masque d'Anerice; Cape d'Anerice; Pataugastrique; Dofus Émeraude; Dofus Turquoise; Dofus Abyssal; Nomade; Remueur; Érudit majeur; Molosk</t>
        </is>
      </c>
    </row>
    <row r="26155">
      <c r="A26155" t="inlineStr">
        <is>
          <t>AKUSANOOB</t>
        </is>
      </c>
      <c r="B26155">
        <f>HYPERLINK("https://www.dofusbook.net/fr/equipement/141616-akusanoob/objets", "link")</f>
        <v/>
      </c>
      <c r="C26155" t="n">
        <v>10</v>
      </c>
      <c r="D26155" t="inlineStr">
        <is>
          <t>Pelle de la Cour Sombre; Collier du Valet Veinard; Alliance Gloursonne; Gant du Valet Veinard; Bouclier d'Ilyzaelle; Ceintouse; Chapoulpe; Cape du Valet Veinard; Tentassons; Dofus des Glaces; Dofus Abyssal; Dofus Émeraude; Dofus Nébuleux; Dofus Ivoire; Dofus Ocre; Muldo Ebène</t>
        </is>
      </c>
    </row>
    <row r="26156">
      <c r="A26156" t="inlineStr">
        <is>
          <t>AOSAFULLTERRA6MILA</t>
        </is>
      </c>
      <c r="B26156">
        <f>HYPERLINK("https://www.dofusbook.net/fr/equipement/3244351-aosafullterra6mila/objets", "link")</f>
        <v/>
      </c>
      <c r="C26156" t="n">
        <v>5</v>
      </c>
      <c r="D26156" t="inlineStr">
        <is>
          <t>Marteau R'ture; Amulette du Cœur Saignant; Anneau Crustique; Anneau Chevelu; Bouclier d'Ilyzaelle; Ceinture de Brouce; Masque de Koutoulou; Cape au Logis; Bottes de Brouce; Dofus Ivoire; Dofus Nébuleux; Dofus Abyssal; Dofus Turquoise; Enragé majeur; Remueur; Kramkram</t>
        </is>
      </c>
    </row>
    <row r="26157">
      <c r="A26157" t="inlineStr">
        <is>
          <t>AOSAFULLAGI6MILA</t>
        </is>
      </c>
      <c r="B26157">
        <f>HYPERLINK("https://www.dofusbook.net/fr/equipement/3242122-aosafullagi6mila/objets", "link")</f>
        <v/>
      </c>
      <c r="C26157" t="n">
        <v>9</v>
      </c>
      <c r="D26157" t="inlineStr">
        <is>
          <t>Manthache; Amulette Ementaire Deluxe; Alliance Gloursonne; Anneau Rifique; Bouclier du Stalak; Menoture; Masque d'Anerice; Cape d'Anerice; Palmes Trithons; Dolmanax; Dofus Abyssal; Dofus Ivoire; Cascadeur majeur; Remueur; Miraculé majeur; Muldo Ebène</t>
        </is>
      </c>
    </row>
    <row r="26158">
      <c r="A26158" t="inlineStr">
        <is>
          <t>ASADIDACANCRO3v3</t>
        </is>
      </c>
      <c r="B26158">
        <f>HYPERLINK("https://www.dofusbook.net/fr/equipement/3242339-asadidacancro3v3/objets", "link")</f>
        <v/>
      </c>
      <c r="C26158" t="n">
        <v>7</v>
      </c>
      <c r="D26158" t="inlineStr">
        <is>
          <t>Pyraguette; Talisman Igans; Goulano; Lavanneau; Bouclier du Stalak; Ceintrigue; Masque de l'Esprit Salvateur; Cape de l'Œil Putride; Pataugastrique; Dofus des Glaces; Dofus Ivoire; Dofus Abyssal; Dofus Pourpre; Remueur; Temporiseur majeur; Muldo Indigo et Orchidée</t>
        </is>
      </c>
    </row>
    <row r="26159">
      <c r="A26159" t="inlineStr">
        <is>
          <t>A-nomalo</t>
        </is>
      </c>
      <c r="B26159">
        <f>HYPERLINK("https://www.dofusbook.net/fr/equipement/1056370-a-nomalo/objets", "link")</f>
        <v/>
      </c>
      <c r="C26159" t="n">
        <v>2</v>
      </c>
      <c r="D26159" t="inlineStr">
        <is>
          <t>Le Thanos; Amulette d'Ilyzaelle; Alliance Gloursonne; Lavanneau; Bouclier d'Ilyzaelle; Poulpagne; Casque Dragoeuf; Cape de Meno; Pataugastrique; Dofus Abyssal; Dofus Ivoire; Chanceux majeur; Miraculé majeur; Déserteur majeur; Guérisseur majeur; Muldo Ebène et Pourpre</t>
        </is>
      </c>
    </row>
    <row r="26160">
      <c r="A26160" t="inlineStr">
        <is>
          <t>ABESTECAFULLSPINTA</t>
        </is>
      </c>
      <c r="B26160">
        <f>HYPERLINK("https://www.dofusbook.net/fr/equipement/3232820-abestecafullspinta/objets", "link")</f>
        <v/>
      </c>
      <c r="C26160" t="n">
        <v>0</v>
      </c>
      <c r="D26160" t="inlineStr">
        <is>
          <t>Lav'Hache; Amulette Luminescente; Bague Trithon; Bague Instable; Bouclier précieux; Ceinture Gence; Masque du Barbétoal; Cape Luminescente; Bottes du Cœur Vaillant; Dofus Abyssal; Dofus Ivoire; Dofus Émeraude; Bousculeur majeur; Culbuteur majeur; Enragé majeur; Muldo Pourpre</t>
        </is>
      </c>
    </row>
    <row r="26161">
      <c r="A26161" t="inlineStr">
        <is>
          <t>THECOCAINEPOWER</t>
        </is>
      </c>
      <c r="B26161">
        <f>HYPERLINK("https://www.dofusbook.net/fr/equipement/3189230-thecocainepower/objets", "link")</f>
        <v/>
      </c>
      <c r="C26161" t="n">
        <v>0</v>
      </c>
      <c r="D26161" t="inlineStr">
        <is>
          <t>Arc de Koutoulou; Amulette du Strigide; Anneau de Padgref; Alliance Gloursonne; Bouclier d'Ilyzaelle; Ceinture du Strigide; Némès de Tal Kasha; Chevelure de Tal Kasha; Sandales de Tal Kasha; Dofus Turquoise; Dofus Ivoire; Dofus Pourpre; Dofus Nébuleux; Dofus Ocre; Dofus Abyssal; Muldo Prune et Ebène</t>
        </is>
      </c>
    </row>
    <row r="26162">
      <c r="A26162" t="inlineStr">
        <is>
          <t>THECOCAINEPOWER2</t>
        </is>
      </c>
      <c r="B26162">
        <f>HYPERLINK("https://www.dofusbook.net/fr/equipement/3198435-thecocainepower2/objets", "link")</f>
        <v/>
      </c>
      <c r="C26162" t="n">
        <v>0</v>
      </c>
      <c r="D26162" t="inlineStr">
        <is>
          <t>Pelle de la Cour Sombre; Collier du Valet Veinard; Gant du Valet Veinard; Alliance Gloursonne; Bouclier d'Ilyzaelle; Ceintouse; Chapoulpe; Cape du Valet Veinard; Tentassons; Dofus Pourpre; Dofus Nébuleux; Dofus Abyssal; Dofus Ivoire; Dofus Ocre; Dofus des Glaces; Muldo Ebène</t>
        </is>
      </c>
    </row>
    <row r="26163">
      <c r="A26163" t="inlineStr">
        <is>
          <t>AAOSACHATERRA</t>
        </is>
      </c>
      <c r="B26163">
        <f>HYPERLINK("https://www.dofusbook.net/fr/equipement/3177657-aaosachaterra/objets", "link")</f>
        <v/>
      </c>
      <c r="C26163" t="n">
        <v>0</v>
      </c>
      <c r="D26163" t="inlineStr">
        <is>
          <t>Lav'Hache; Collier de Tourthon; Anneau Crustique; Anneau de Brouce; Bouclier du Stalak; Ceinture de la Reine des Voleurs; Coiffe de la Reine des Voleurs; Cape au Logis; Bottes Honyme; Dofus des Glaces; Dofus Nébuleux; Dofus Ivoire; Forcené majeur; Enragé majeur; Remueur; Kramkram</t>
        </is>
      </c>
    </row>
    <row r="26164">
      <c r="A26164" t="inlineStr">
        <is>
          <t>ADANZALFULLDANNIMULT</t>
        </is>
      </c>
      <c r="B26164">
        <f>HYPERLINK("https://www.dofusbook.net/fr/equipement/3177148-adanzalfulldannimult/objets", "link")</f>
        <v/>
      </c>
      <c r="C26164" t="n">
        <v>2</v>
      </c>
      <c r="D26164" t="inlineStr">
        <is>
          <t>Hache Euvale; Amulette Luminescente; Alliance Gloursonne; Bague Instable; Bouclier Taverne; Poulpagne; Masque de Funespadon; Cape Luminescente; Bottes Honyme; Dofus Abyssal; Dofus Émeraude; Dofus Nébuleux; Chanceux majeur; Bousculeur majeur; Culbuteur majeur; Muldo Ebène et Pourpre</t>
        </is>
      </c>
    </row>
    <row r="26165">
      <c r="A26165" t="inlineStr">
        <is>
          <t>ATOPOUGI7MILAVIT</t>
        </is>
      </c>
      <c r="B26165">
        <f>HYPERLINK("https://www.dofusbook.net/fr/equipement/3154290-atopougi7milavit/objets", "link")</f>
        <v/>
      </c>
      <c r="C26165" t="n">
        <v>0</v>
      </c>
      <c r="D26165" t="inlineStr">
        <is>
          <t>Lance Horselé; Collier du Valet Veinard; Gant du Valet Veinard; Alliance Gloursonne; Bouclier d'Ilyzaelle; Menoture; Capuche de Moum-Ra; Cape de Crânonier; Palmes Trithons; Dofus Abyssal; Dofus Nébuleux; Dofus Pourpre; Dofus Ivoire; Cascadeur majeur; Remueur; Muldo Ebène</t>
        </is>
      </c>
    </row>
    <row r="26166">
      <c r="A26166" t="inlineStr">
        <is>
          <t>AYOP6MILAFORSPINTA</t>
        </is>
      </c>
      <c r="B26166">
        <f>HYPERLINK("https://www.dofusbook.net/fr/equipement/3140870-ayop6milaforspinta/objets", "link")</f>
        <v/>
      </c>
      <c r="C26166" t="n">
        <v>0</v>
      </c>
      <c r="D26166" t="inlineStr">
        <is>
          <t>Lav'Hache; Torquistik; Bague Instable; Bague Trithon; Bouclier Taverne; Ceinture Gence; Masque de Koutoulou; Cape au Logis; Bottistik; Dofus Abyssal; Dofus Ivoire; Enragé majeur; Bousculeur majeur; Carapace Terre majeur; Culbuteur majeur; Eliôme</t>
        </is>
      </c>
    </row>
    <row r="26167">
      <c r="A26167" t="inlineStr">
        <is>
          <t>AAASADIIIIOOO</t>
        </is>
      </c>
      <c r="B26167">
        <f>HYPERLINK("https://www.dofusbook.net/fr/equipement/3106383-aaasadiiiiooo/objets", "link")</f>
        <v/>
      </c>
      <c r="C26167" t="n">
        <v>1</v>
      </c>
      <c r="D26167" t="inlineStr">
        <is>
          <t>Dagues de Srambad; Amulette Ementaire Deluxe; Goulano; Pikano; Bouclier du Stalak; Ceinture de la Reine des Voleurs; Coiffe de la Reine des Voleurs; Cape au Logis; Bottes Honyme; Dofus Ivoire; Dofus des Glaces; Dofus Nébuleux; Dofus Abyssal; Remueur; Enragé majeur; Croum</t>
        </is>
      </c>
    </row>
    <row r="26168">
      <c r="A26168" t="inlineStr">
        <is>
          <t>AMONSTERSTEAMTUTTIEL</t>
        </is>
      </c>
      <c r="B26168">
        <f>HYPERLINK("https://www.dofusbook.net/fr/equipement/3065877-amonstersteamtuttiel/objets", "link")</f>
        <v/>
      </c>
      <c r="C26168" t="n">
        <v>0</v>
      </c>
      <c r="D26168" t="inlineStr">
        <is>
          <t>Lance Horselé; Amulette du Granduk; Alliance Gloursonne; Gant du Valet Veinard; Bouclier du Stalak; Menoture; Chapeau de Tournoyé; Cape du Valet Veinard; Palmes Trithons; Dofus des Glaces; Dofus Abyssal; Dofus Ivoire; Dofus Pourpre; Remueur; Cascadeur majeur; Muldo Ebène</t>
        </is>
      </c>
    </row>
    <row r="26169">
      <c r="A26169" t="inlineStr">
        <is>
          <t>AOSAFULLFULLDANNI</t>
        </is>
      </c>
      <c r="B26169">
        <f>HYPERLINK("https://www.dofusbook.net/fr/equipement/3062281-aosafullfulldanni/objets", "link")</f>
        <v/>
      </c>
      <c r="C26169" t="n">
        <v>1</v>
      </c>
      <c r="D26169" t="inlineStr">
        <is>
          <t>Sceptre du Roi Joueur; Amulette de Shokkoth; Bracelet des Fonds marins; Alliance Gloursonne; Bouclier d'Ilyzaelle; Poulpagne; Capuche de l'Œil Attentif; Cape Solution; Sandales des Fonds marins; Dofus Ivoire; Dofus Abyssal; Chanceux majeur; Carapace Eau majeur; Carapace Air majeur; Carapace Feu majeur; Muldo Indigo</t>
        </is>
      </c>
    </row>
    <row r="26170">
      <c r="A26170" t="inlineStr">
        <is>
          <t>AOSAFULLTERRAONDIOO</t>
        </is>
      </c>
      <c r="B26170">
        <f>HYPERLINK("https://www.dofusbook.net/fr/equipement/3058924-aosafullterraondioo/objets", "link")</f>
        <v/>
      </c>
      <c r="C26170" t="n">
        <v>1</v>
      </c>
      <c r="D26170" t="inlineStr">
        <is>
          <t>Lav'Hache; Collier de Tourthon; Bague Gloursonne; Anneau Crustique; Bouclier du Stalak; Ceinture Gence; Masque de Koutoulou; Cape du Cœur Saignant; Bottes de la Cour Sombre; Dofus Ivoire; Dofus Abyssal; Dofus des Glaces; Carapace Eau majeur; Miraculé majeur; Enragé majeur; Muldo Orchidée et Pourpre</t>
        </is>
      </c>
    </row>
    <row r="26171">
      <c r="A26171" t="inlineStr">
        <is>
          <t>ABESTSACRIMULTIDANNI</t>
        </is>
      </c>
      <c r="B26171">
        <f>HYPERLINK("https://www.dofusbook.net/fr/equipement/2997628-abestsacrimultidanni/objets", "link")</f>
        <v/>
      </c>
      <c r="C26171" t="n">
        <v>0</v>
      </c>
      <c r="D26171" t="inlineStr">
        <is>
          <t>Sabres d'Atcham; Amulette du Strigide; Anneau de Padgref; Alliance Gloursonne; Bouclier d'Ilyzaelle; Ceinture du Strigide; Coiffe de Padgref; Cape d'Atcham; Getas de Padgref; Dofus Émeraude; Dofus Abyssal; Dofus Ocre; Dofus Turquoise; Dofus Pourpre; Dofus Nébuleux; Muldo Ebène et Indigo</t>
        </is>
      </c>
    </row>
    <row r="26172">
      <c r="A26172" t="inlineStr">
        <is>
          <t>AASACRIFULLSUPPORTO</t>
        </is>
      </c>
      <c r="B26172">
        <f>HYPERLINK("https://www.dofusbook.net/fr/equipement/2968802-aasacrifullsupporto/objets", "link")</f>
        <v/>
      </c>
      <c r="C26172" t="n">
        <v>1</v>
      </c>
      <c r="D26172" t="inlineStr">
        <is>
          <t>Arc corrompu; Pendentif affamé; Anneauræus; Chevalière du Roi Joueur; Quatre-feuilles; Ceinture Séculaire; Coiffe Séculaire; Voile d'encre; Pataugastrique; Dofus Nébuleux; Dofus Ivoire; Dofus Abyssal; Dofus Turquoise; Remueur; Érudit majeur; Muldo Orchidée et Pourpre</t>
        </is>
      </c>
    </row>
    <row r="26173">
      <c r="A26173" t="inlineStr">
        <is>
          <t>ANEWOUGICHAAGI</t>
        </is>
      </c>
      <c r="B26173">
        <f>HYPERLINK("https://www.dofusbook.net/fr/equipement/2940774-anewougichaagi/objets", "link")</f>
        <v/>
      </c>
      <c r="C26173" t="n">
        <v>0</v>
      </c>
      <c r="D26173" t="inlineStr">
        <is>
          <t>Arc de Koutoulou; Amulette du Strigide; Alliance Gloursonne; Anneau de Padgref; Bouclier d'Ilyzaelle; Ceintacé; Capuche de Moum-Ra; Chevelure de Tal Kasha; Sandales de Tal Kasha; Dofus Pourpre; Dofus Abyssal; Dofus Turquoise; Dofus Nébuleux; Remueur; Vigoureux majeur; Muldo Ebène et Pourpre</t>
        </is>
      </c>
    </row>
    <row r="26174">
      <c r="A26174" t="inlineStr">
        <is>
          <t>AUGIFULLARIATOPDANNI</t>
        </is>
      </c>
      <c r="B26174">
        <f>HYPERLINK("https://www.dofusbook.net/fr/equipement/2931716-augifullariatopdanni/objets", "link")</f>
        <v/>
      </c>
      <c r="C26174" t="n">
        <v>0</v>
      </c>
      <c r="D26174" t="inlineStr">
        <is>
          <t>Lance Horselé; Collier du Valet Veinard; Gant du Valet Veinard; Alliance Gloursonne; Bouclier d'Ilyzaelle; Menoture; Capuche de Moum-Ra; Cape de Crânonier; Palmes Trithons; Dofus Pourpre; Dofus Ivoire; Dofus Nébuleux; Dofus Abyssal; Remueur; Cascadeur majeur; Muldo Ebène</t>
        </is>
      </c>
    </row>
    <row r="26175">
      <c r="A26175" t="inlineStr">
        <is>
          <t>ASTEAMFULLSPINTATOP</t>
        </is>
      </c>
      <c r="B26175">
        <f>HYPERLINK("https://www.dofusbook.net/fr/equipement/2869642-asteamfullspintatop/objets", "link")</f>
        <v/>
      </c>
      <c r="C26175" t="n">
        <v>1</v>
      </c>
      <c r="D26175" t="inlineStr">
        <is>
          <t>Hachoirs de Viandargh; Amibou; Alliance Gloursonne; Bague Instable; Bouclier Taverne; Menoture; Casque Dragoeuf; Capibou; Bottes du Cœur Vaillant; Dofus Abyssal; Dofus Émeraude; Culbuteur majeur; Remueur; Cascadeur majeur; Bousculeur majeur; Muldo Ebène et Orchidée</t>
        </is>
      </c>
    </row>
    <row r="26176">
      <c r="A26176" t="inlineStr">
        <is>
          <t>AUGIFEUSPINTA</t>
        </is>
      </c>
      <c r="B26176">
        <f>HYPERLINK("https://www.dofusbook.net/fr/equipement/2853039-augifeuspinta/objets", "link")</f>
        <v/>
      </c>
      <c r="C26176" t="n">
        <v>1</v>
      </c>
      <c r="D26176" t="inlineStr">
        <is>
          <t>Dagues Ricol; Torquistik; Anneauræus; Bague Gloursonne; Bouclier d'Ilyzaelle; Ceintrigue; Masque de l'Esprit Malsain; Cape de Diondin; Bottes Owesli; Dofus Abyssal; Dofus Nébuleux; Remueur; Érudit majeur; Culbuteur majeur; Bousculeur majeur; Muldo Orchidée</t>
        </is>
      </c>
    </row>
    <row r="26177">
      <c r="A26177" t="inlineStr">
        <is>
          <t>athebestosa3feu</t>
        </is>
      </c>
      <c r="B26177">
        <f>HYPERLINK("https://www.dofusbook.net/fr/equipement/2815705-athebestosa3feu/objets", "link")</f>
        <v/>
      </c>
      <c r="C26177" t="n">
        <v>2</v>
      </c>
      <c r="D26177" t="inlineStr">
        <is>
          <t>Baguette de Malléfisk; Pendentif affamé; Anneauræus; Anneau Rifique; Carapar; Ceinture de Vortex; Masque d'Anerice; Cape d'Anerice; Pataugastrique; Dofus Ivoire; Dofus Abyssal; Guérisseur majeur; Remueur; Carapace Neutre majeur; Érudit majeur; Muldo Orchidée et Amande</t>
        </is>
      </c>
    </row>
    <row r="26178">
      <c r="A26178" t="inlineStr">
        <is>
          <t>athebestosa2terra</t>
        </is>
      </c>
      <c r="B26178">
        <f>HYPERLINK("https://www.dofusbook.net/fr/equipement/2815676-athebestosa2terra/objets", "link")</f>
        <v/>
      </c>
      <c r="C26178" t="n">
        <v>2</v>
      </c>
      <c r="D26178" t="inlineStr">
        <is>
          <t>Bêche Asse; Collier de Tourthon; Anneau Chevelu; Anneau Crustique; Bouclier d'Ilyzaelle; Ceinture Gence; Masque d'Anerice; Cape d'Anerice; Bottes de la Cour Sombre; Dofus des Glaces; Dofus Ivoire; Dofus Abyssal; Carapace Neutre majeur; Remueur; Enragé majeur; Muldo Orchidée</t>
        </is>
      </c>
    </row>
    <row r="26179">
      <c r="A26179" t="inlineStr">
        <is>
          <t>ATHEBESTOSA</t>
        </is>
      </c>
      <c r="B26179">
        <f>HYPERLINK("https://www.dofusbook.net/fr/equipement/2815660-athebestosa/objets", "link")</f>
        <v/>
      </c>
      <c r="C26179" t="n">
        <v>0</v>
      </c>
      <c r="D26179" t="inlineStr">
        <is>
          <t>Manthache; Amulette d'Ilyzaelle; Gant du Valet Veinard; Alliance Gloursonne; Bouclier du Stalak; Menoture; Masque d'Anerice; Cape d'Anerice; Palmes Trithons; Dofus Abyssal; Dofus Ivoire; Dofus Émeraude; Cascadeur majeur; Miraculé majeur; Remueur; Muldo Ebène</t>
        </is>
      </c>
    </row>
    <row r="26180">
      <c r="A26180" t="inlineStr">
        <is>
          <t>Asramterraariacorrot</t>
        </is>
      </c>
      <c r="B26180">
        <f>HYPERLINK("https://www.dofusbook.net/fr/equipement/2815534-asramterraariacorrot/objets", "link")</f>
        <v/>
      </c>
      <c r="C26180" t="n">
        <v>0</v>
      </c>
      <c r="D26180" t="inlineStr">
        <is>
          <t>Lance corrompue; Amulette du Kamasterisk; Alliance Gloursonne; Anneau des égarés; Bouclier d'Ilyzaelle; Ceinture de la Reine des Voleurs; Coiffe de la Reine des Voleurs; Cape du Kamasterisk; Bottes du Kamasterisk; Dofus Ocre; Dofus des Glaces; Dofus Pourpre; Dofus Abyssal; Dofus Ivoire; Dofus Nébuleux; Muldo Ebène et Orchidée</t>
        </is>
      </c>
    </row>
    <row r="26181">
      <c r="A26181" t="inlineStr">
        <is>
          <t>ADANZALLANCIACORRPV</t>
        </is>
      </c>
      <c r="B26181">
        <f>HYPERLINK("https://www.dofusbook.net/fr/equipement/2750355-adanzallanciacorrpv/objets", "link")</f>
        <v/>
      </c>
      <c r="C26181" t="n">
        <v>0</v>
      </c>
      <c r="D26181" t="inlineStr">
        <is>
          <t>Lance corrompue; Amulette du Cœur Vaillant; Anneau Crustique; Anneau des égarés; Bouclier d'Ilyzaelle; Ceinture Gence; Coiffe de la Reine des Voleurs; Ankhape; Bottes de la Reine des Voleurs; Dofus des Glaces; Dofus Abyssal; Dofus Émeraude; Bousculeur majeur; Culbuteur majeur; Remueur; Muldo Ebène et Pourpre</t>
        </is>
      </c>
    </row>
    <row r="26182">
      <c r="A26182" t="inlineStr">
        <is>
          <t>AugiFULLFORLANCIACOR</t>
        </is>
      </c>
      <c r="B26182">
        <f>HYPERLINK("https://www.dofusbook.net/fr/equipement/2793036-augifullforlanciacor/objets", "link")</f>
        <v/>
      </c>
      <c r="C26182" t="n">
        <v>0</v>
      </c>
      <c r="D26182" t="inlineStr">
        <is>
          <t>Lance corrompue; Collier de Tourthon; Anneau des égarés; Anneau Crustique; Bouclier d'Ilyzaelle; Ceinture Gence; Coiffe de la Reine des Voleurs; Cape au Logis; Bottes de la Reine des Voleurs; Dofus Nébuleux; Dofus Pourpre; Dofus Abyssal; Dofus des Glaces; Remueur; Enragé majeur; Kramkram</t>
        </is>
      </c>
    </row>
    <row r="26183">
      <c r="A26183" t="inlineStr">
        <is>
          <t>ANEWSRAM4ELE</t>
        </is>
      </c>
      <c r="B26183">
        <f>HYPERLINK("https://www.dofusbook.net/fr/equipement/2775896-anewsram4ele/objets", "link")</f>
        <v/>
      </c>
      <c r="C26183" t="n">
        <v>1</v>
      </c>
      <c r="D26183" t="inlineStr">
        <is>
          <t>Hache du Chalœil; Amulette du Strigide; Chevalière du Roi Joueur; Bague Gloursonne; Quatre-feuilles; Ceinture du Strigide; Le Dorado; Voile d'encre; Bottes Honyme; Dofus Turquoise; Dofus des Glaces; Dofus Nébuleux; Dofus Pourpre; Dofus Abyssal; Vigoureux majeur; Muldo Pourpre</t>
        </is>
      </c>
    </row>
    <row r="26184">
      <c r="A26184" t="inlineStr">
        <is>
          <t>AOSAFULLARIACANCRO</t>
        </is>
      </c>
      <c r="B26184">
        <f>HYPERLINK("https://www.dofusbook.net/fr/equipement/2759954-aosafullariacancro/objets", "link")</f>
        <v/>
      </c>
      <c r="C26184" t="n">
        <v>0</v>
      </c>
      <c r="D26184" t="inlineStr">
        <is>
          <t>Héqache; Collier du Valet Veinard; Alliance Gloursonne; Gant du Valet Veinard; Bouclier du Stalak; Ceinture de la Reine des Voleurs; Coiffe de la Reine des Voleurs; Cape du Valet Veinard; Bottes de la Reine des Voleurs; Dofus des Glaces; Dofus Ocre; Dofus Abyssal; Dolmanax; Dofus Pourpre; Dofus Ivoire; Muldo Ebène</t>
        </is>
      </c>
    </row>
    <row r="26185">
      <c r="A26185" t="inlineStr">
        <is>
          <t>Arollatoganjahiper</t>
        </is>
      </c>
      <c r="B26185">
        <f>HYPERLINK("https://www.dofusbook.net/fr/equipement/2673226-arollatoganjahiper/objets", "link")</f>
        <v/>
      </c>
      <c r="C26185" t="n">
        <v>0</v>
      </c>
      <c r="D26185" t="inlineStr">
        <is>
          <t>Rapière aux Glyphes; Amulette de Shokkoth; Alliance Gloursonne; Pikano; Sept ans de malheur; Poulpagne; Masque des Fonds marins; Cape Solution; Sandales des Fonds marins; Dofus des Glaces; Dofus Abyssal; Carapace Eau majeur; Chanceux majeur; Étourdisseur majeur; Paralyseur majeur; Muldo Indigo</t>
        </is>
      </c>
    </row>
    <row r="26186">
      <c r="A26186" t="inlineStr">
        <is>
          <t>ASUPERSRAM12/6</t>
        </is>
      </c>
      <c r="B26186">
        <f>HYPERLINK("https://www.dofusbook.net/fr/equipement/2744685-asupersram12-6/objets", "link")</f>
        <v/>
      </c>
      <c r="C26186" t="n">
        <v>0</v>
      </c>
      <c r="D26186" t="inlineStr">
        <is>
          <t>Arc Ahique; Collier du Valet Veinard; Alliance Gloursonne; Gant du Valet Veinard; Bouclier du Stalak; Ceinture de la Reine des Voleurs; Coiffe de la Reine des Voleurs; Cape du Valet Veinard; Bottes de la Reine des Voleurs; Dofus Ivoire; Dofus des Glaces; Dofus Pourpre; Dofus Abyssal; Dofus Vulbis; Dofus Ocre; Croum</t>
        </is>
      </c>
    </row>
    <row r="26187">
      <c r="A26187" t="inlineStr">
        <is>
          <t>ASACRIAGI12/6 GELANO</t>
        </is>
      </c>
      <c r="B26187">
        <f>HYPERLINK("https://www.dofusbook.net/fr/equipement/2727686-asacriagi12-6-gelano/objets", "link")</f>
        <v/>
      </c>
      <c r="C26187" t="n">
        <v>2</v>
      </c>
      <c r="D26187" t="inlineStr">
        <is>
          <t>Manthache; Collier du Valet Veinard; Gant du Valet Veinard; Alliance Gloursonne; Bouclier d'Ilyzaelle; Sangle Oriole; Bonnet Ko; Cape du Valet Veinard; Palmes Trithons; Dofus Ivoire; Dofus Nébuleux; Dofus Vulbis; Dofus Ocre; Dofus des Glaces; Dofus Abyssal; Muldo Ebène</t>
        </is>
      </c>
    </row>
    <row r="26188">
      <c r="A26188" t="inlineStr">
        <is>
          <t>ATHEECA</t>
        </is>
      </c>
      <c r="B26188">
        <f>HYPERLINK("https://www.dofusbook.net/fr/equipement/2719325-atheeca/objets", "link")</f>
        <v/>
      </c>
      <c r="C26188" t="n">
        <v>0</v>
      </c>
      <c r="D26188" t="inlineStr">
        <is>
          <t>Arc de Koutoulou; Amulette du Strigide; Alliance Brûlâme; Alliance Gloursonne; Bouclier du Stalak; Ceinture du Strigide; Némès de Tal Kasha; Chevelure de Tal Kasha; Bottes du Strigide; Dofus Ocre; Dofus Abyssal; Dofus Pourpre; Dofus Ivoire; Dolmanax; Dofus Nébuleux; Muldo Ebène et Indigo</t>
        </is>
      </c>
    </row>
    <row r="26189">
      <c r="A26189" t="inlineStr">
        <is>
          <t>AENISETPOVERO</t>
        </is>
      </c>
      <c r="B26189">
        <f>HYPERLINK("https://www.dofusbook.net/fr/equipement/2703077-aenisetpovero/objets", "link")</f>
        <v/>
      </c>
      <c r="C26189" t="n">
        <v>0</v>
      </c>
      <c r="D26189" t="inlineStr">
        <is>
          <t>Arc corrompu; Pendentif affamé; Anneauræus; Bague Gloursonne; Cadran de Terre; Ceinture de Vortex; Cagoule de Vortex; Cape de Diondin; Pataugastrique; Érudit majeur; Remueur; Carapace Feu majeur; Étourdisseur majeur; Déserteur majeur; Nomade; Muldo Orchidée et Amande</t>
        </is>
      </c>
    </row>
    <row r="26190">
      <c r="A26190" t="inlineStr">
        <is>
          <t>AENIFULLSUPPORT</t>
        </is>
      </c>
      <c r="B26190">
        <f>HYPERLINK("https://www.dofusbook.net/fr/equipement/2694850-aenifullsupport/objets", "link")</f>
        <v/>
      </c>
      <c r="C26190" t="n">
        <v>0</v>
      </c>
      <c r="D26190" t="inlineStr">
        <is>
          <t>Arc corrompu; Pendentif affamé; Anneauræus; Chevalière du Roi Joueur; Cadran de Terre; Ceintacé; Masque d'Anerice; Cape d'Anerice; Bottes Innommables; Dofus Abyssal; Dofus Turquoise; Étourdisseur majeur; Déserteur majeur; Remueur; Érudit majeur; Muldo Orchidée et Amande</t>
        </is>
      </c>
    </row>
    <row r="26191">
      <c r="A26191" t="inlineStr">
        <is>
          <t>ADANZAL8mila</t>
        </is>
      </c>
      <c r="B26191">
        <f>HYPERLINK("https://www.dofusbook.net/fr/equipement/2678278-adanzal8mila/objets", "link")</f>
        <v/>
      </c>
      <c r="C26191" t="n">
        <v>0</v>
      </c>
      <c r="D26191" t="inlineStr">
        <is>
          <t>Rapière aux Glyphes; Collier Rophante; Bague Trithon; Bague Instable; Bouclier précieux; Poulpagne; Masque d'Anerice; Cape d'Anerice; Bottes Owesli; Dofus Émeraude; Remueur; Miraculé majeur; Chanceux majeur; Culbuteur majeur; Bousculeur majeur; Péki</t>
        </is>
      </c>
    </row>
    <row r="26192">
      <c r="A26192" t="inlineStr">
        <is>
          <t>Afullterrafullspinta</t>
        </is>
      </c>
      <c r="B26192">
        <f>HYPERLINK("https://www.dofusbook.net/fr/equipement/2454573-afullterrafullspinta/objets", "link")</f>
        <v/>
      </c>
      <c r="C26192" t="n">
        <v>0</v>
      </c>
      <c r="D26192" t="inlineStr">
        <is>
          <t>Lance corrompue; Torquistik; Anneau des égarés; Bague Gloursonne; Bouclier Taverne; Ceinture Gence; Chapoulpe; Cape du Cœur Vaillant; Bottistik; Dofus des Glaces; Dofus Émeraude; Bousculeur majeur; Miraculé majeur; Culbuteur majeur; Remueur; Muldo Pourpre</t>
        </is>
      </c>
    </row>
    <row r="26193">
      <c r="A26193" t="inlineStr">
        <is>
          <t>ASADICURATORE</t>
        </is>
      </c>
      <c r="B26193">
        <f>HYPERLINK("https://www.dofusbook.net/fr/equipement/2657816-asadicuratore/objets", "link")</f>
        <v/>
      </c>
      <c r="C26193" t="n">
        <v>0</v>
      </c>
      <c r="D26193" t="inlineStr">
        <is>
          <t>Arc de Koutoulou; Amulette du Strigide; Alliance Gloursonne; Anneau de Padgref; Quatre-feuilles; Ceinture du Strigide; Némès de Tal Kasha; Chevelure de Tal Kasha; Sandales de Tal Kasha; Dofus Pourpre; Dofus Nébuleux; Dofus Abyssal; Dofus Turquoise; Dofus Ocre; Entraveur majeur; Muldo Ebène et Indigo</t>
        </is>
      </c>
    </row>
    <row r="26194">
      <c r="A26194" t="inlineStr">
        <is>
          <t>ADRAKKORAPTOR</t>
        </is>
      </c>
      <c r="B26194">
        <f>HYPERLINK("https://www.dofusbook.net/fr/equipement/2646852-adrakkoraptor/objets", "link")</f>
        <v/>
      </c>
      <c r="C26194" t="n">
        <v>0</v>
      </c>
      <c r="D26194" t="inlineStr">
        <is>
          <t>Lance corrompue; Collier du Valet Veinard; Alliance Gloursonne; Gant du Valet Veinard; Bouclier d'Ilyzaelle; Ceinture de la Reine des Voleurs; Coiffe de la Reine des Voleurs; Cape du Valet Veinard; Bottes de la Reine des Voleurs; Dofus Pourpre; Dofus Nébuleux; Dofus des Glaces; Dofus Abyssal; Dofus Émeraude; Dofus Ocre; Muldo Ebène</t>
        </is>
      </c>
    </row>
    <row r="26195">
      <c r="A26195" t="inlineStr">
        <is>
          <t>asteamfullagispinta</t>
        </is>
      </c>
      <c r="B26195">
        <f>HYPERLINK("https://www.dofusbook.net/fr/equipement/2646396-asteamfullagispinta/objets", "link")</f>
        <v/>
      </c>
      <c r="C26195" t="n">
        <v>0</v>
      </c>
      <c r="D26195" t="inlineStr">
        <is>
          <t>Hachoirs de Viandargh; Amibou; Alliance Gloursonne; Bague Trithon; Bouclier Taverne; Menoture; Dorabysses; Capibou; Bottes du Cœur Vaillant; Dofus Turquoise; Dofus Abyssal; Bousculeur majeur; Culbuteur majeur; Remueur; Cascadeur majeur; Muldo Ebène et Orchidée</t>
        </is>
      </c>
    </row>
    <row r="26196">
      <c r="A26196" t="inlineStr">
        <is>
          <t>areboot frocio</t>
        </is>
      </c>
      <c r="B26196">
        <f>HYPERLINK("https://www.dofusbook.net/fr/equipement/2641992-areboot-frocio/objets", "link")</f>
        <v/>
      </c>
      <c r="C26196" t="n">
        <v>0</v>
      </c>
      <c r="D26196" t="inlineStr">
        <is>
          <t>Marteau des égarés; Amulette du Strigide; Bague Gloursonne; Alliance Gloursonne; Bouclier du Stalak; Ceinture du Strigide; Casque du Chalœil; Cape du Chalœil; Bottes du Strigide; Dofus Pourpre; Dofus Nébuleux; Dofus Ocre; Dofus Abyssal; Dofus Ivoire; Dofus des Glaces; Muldo Indigo et Orchidée</t>
        </is>
      </c>
    </row>
    <row r="26197">
      <c r="A26197" t="inlineStr">
        <is>
          <t>ADANZALNUOVO</t>
        </is>
      </c>
      <c r="B26197">
        <f>HYPERLINK("https://www.dofusbook.net/fr/equipement/2613874-adanzalnuovo/objets", "link")</f>
        <v/>
      </c>
      <c r="C26197" t="n">
        <v>0</v>
      </c>
      <c r="D26197" t="inlineStr">
        <is>
          <t>Rapière aux Glyphes; Amulette de Shokkoth; Bague Trithon; Alliance Gloursonne; Bouclier précieux; Poulpagne; Masque d'Anerice; Cape d'Anerice; Bottes Owesli; Dofus Turquoise; Culbuteur majeur; Miraculé majeur; Remueur; Bousculeur majeur; Chanceux majeur; Muldo Indigo et Orchidée</t>
        </is>
      </c>
    </row>
    <row r="26198">
      <c r="A26198" t="inlineStr">
        <is>
          <t>ACROFUS</t>
        </is>
      </c>
      <c r="B26198">
        <f>HYPERLINK("https://www.dofusbook.net/fr/equipement/2608119-acrofus/objets", "link")</f>
        <v/>
      </c>
      <c r="C26198" t="n">
        <v>0</v>
      </c>
      <c r="D26198" t="inlineStr">
        <is>
          <t>Dagoulinantes; Amulette de Shokkoth; Alliance Gloursonne; Bracelet des Fonds marins; Cadran de Terre; Poulpagne; Némès de Tal Kasha; Cape Solution; Sandales de Tal Kasha; Dofus Turquoise; Dofus Nébuleux; Étourdisseur majeur; Temporiseur majeur; Carapace Air majeur; Chanceux majeur; Muldo Ebène et Indigo</t>
        </is>
      </c>
    </row>
    <row r="26199">
      <c r="A26199" t="inlineStr">
        <is>
          <t>AAECAMIAOMIAO</t>
        </is>
      </c>
      <c r="B26199">
        <f>HYPERLINK("https://www.dofusbook.net/fr/equipement/2606062-aaecamiaomiao/objets", "link")</f>
        <v/>
      </c>
      <c r="C26199" t="n">
        <v>0</v>
      </c>
      <c r="D26199" t="inlineStr">
        <is>
          <t>Hache du Chalœil; Amulette du Strigide; Alliance Brûlâme; Goulano; Quatre-feuilles; Ceintacé; Le Dorado; Voile d'encre; Bottes du Strigide; Dofus Nébuleux; Dofus Turquoise; Temporiseur majeur; Paralyseur majeur; Étourdisseur majeur; Entraveur majeur; Muldo Prune et Emeraude</t>
        </is>
      </c>
    </row>
    <row r="26200">
      <c r="A26200" t="inlineStr">
        <is>
          <t>AANEWSUPERCANCROFECA</t>
        </is>
      </c>
      <c r="B26200">
        <f>HYPERLINK("https://www.dofusbook.net/fr/equipement/2604861-aanewsupercancrofeca/objets", "link")</f>
        <v/>
      </c>
      <c r="C26200" t="n">
        <v>0</v>
      </c>
      <c r="D26200" t="inlineStr">
        <is>
          <t>Héqache; Amulette du Cœur Vaillant; Bague Gloursonne; Anneau Crustique; Sept ans de malheur; Ceinture de la Cour Sombre; Chapoulpe; Cape de la Cour Sombre; Baleinabottes; Dofus Abyssal; Paralyseur majeur; Enragé majeur; Étourdisseur majeur; Remueur; Obstructeur majeur; Muldo Roux et Pourpre</t>
        </is>
      </c>
    </row>
    <row r="26201">
      <c r="A26201" t="inlineStr">
        <is>
          <t>AADRAKKOFROCIO</t>
        </is>
      </c>
      <c r="B26201">
        <f>HYPERLINK("https://www.dofusbook.net/fr/equipement/2600995-aadrakkofrocio/objets", "link")</f>
        <v/>
      </c>
      <c r="C26201" t="n">
        <v>0</v>
      </c>
      <c r="D26201" t="inlineStr">
        <is>
          <t>Arc Ahique; Amulette d'Ilyzaelle; Bracelet des Fonds marins; Alliance Gloursonne; Cadran de Terre; Menoture; Coiffe de la Reine des Voleurs; Cape du Barbétoal; Bottes de la Reine des Voleurs; Dofus des Glaces; Dofus Nébuleux; Dofus Pourpre; Remueur; Paralyseur majeur; Étourdisseur majeur; Muldo Ebène et Indigo</t>
        </is>
      </c>
    </row>
    <row r="26202">
      <c r="A26202" t="inlineStr">
        <is>
          <t>AAAAUGIBAUBAU</t>
        </is>
      </c>
      <c r="B26202">
        <f>HYPERLINK("https://www.dofusbook.net/fr/equipement/2596551-aaaaugibaubau/objets", "link")</f>
        <v/>
      </c>
      <c r="C26202" t="n">
        <v>0</v>
      </c>
      <c r="D26202" t="inlineStr">
        <is>
          <t>Épée de la Reine des Voleurs; Amulette du Kamasterisk; Anneau des égarés; Alliance Brûlâme; Bouclier d'Ilyzaelle; Ceinture de la Reine des Voleurs; Coiffe de la Reine des Voleurs; Cape du Kamasterisk; Bottes du Kamasterisk; Dofus Ocre; Dofus Pourpre; Dofus des Glaces; Dolmanax; Dofus Abyssal; Dofus Nébuleux; Kramkram</t>
        </is>
      </c>
    </row>
    <row r="26203">
      <c r="A26203" t="inlineStr">
        <is>
          <t>ANEWMONSTERSTEAM</t>
        </is>
      </c>
      <c r="B26203">
        <f>HYPERLINK("https://www.dofusbook.net/fr/equipement/2491001-anewmonstersteam/objets", "link")</f>
        <v/>
      </c>
      <c r="C26203" t="n">
        <v>0</v>
      </c>
      <c r="D26203" t="inlineStr">
        <is>
          <t>Lance corrompue; Collier de Tourthon; Anneau Crustique; Anneau des égarés; Bouclier Taverne; Ceinture Gence; Coiffe de la Reine des Voleurs; Cape du Cœur Vaillant; Bottes de la Reine des Voleurs; Dofus des Glaces; Dofus Abyssal; Bousculeur majeur; Enragé majeur; Culbuteur majeur; Remueur; Muldo Ebène et Pourpre</t>
        </is>
      </c>
    </row>
    <row r="26204">
      <c r="A26204" t="inlineStr">
        <is>
          <t>ANEWECATOP2</t>
        </is>
      </c>
      <c r="B26204">
        <f>HYPERLINK("https://www.dofusbook.net/fr/equipement/2569355-anewecatop2/objets", "link")</f>
        <v/>
      </c>
      <c r="C26204" t="n">
        <v>0</v>
      </c>
      <c r="D26204" t="inlineStr">
        <is>
          <t>Dagues de Srambad; Torquistik; Goulano; Baguistik; Goulclier; Ceinture de la Reine des Voleurs; Coiffe de la Reine des Voleurs; Voile d'encre; Goulbottes; Dofus Pourpre; Dofus des Glaces; Dofus Ivoire; Dofus Nébuleux; Dofus Abyssal; Dofus Ocre; Muldo Ebène et Indigo</t>
        </is>
      </c>
    </row>
    <row r="26205">
      <c r="A26205" t="inlineStr">
        <is>
          <t>ANEWECATOP</t>
        </is>
      </c>
      <c r="B26205">
        <f>HYPERLINK("https://www.dofusbook.net/fr/equipement/2569182-anewecatop/objets", "link")</f>
        <v/>
      </c>
      <c r="C26205" t="n">
        <v>0</v>
      </c>
      <c r="D26205" t="inlineStr">
        <is>
          <t>Arc de Koutoulou; Amulette du Strigide; Alliance Gloursonne; Anneau de Padgref; Bouclier du Stalak; Ceinture du Strigide; Némès de Tal Kasha; Chevelure de Tal Kasha; Bottes du Strigide; Dofus Abyssal; Dofus Ocre; Dofus Turquoise; Dofus des Glaces; Dofus Pourpre; Dofus Nébuleux; Muldo Ebène et Indigo</t>
        </is>
      </c>
    </row>
    <row r="26206">
      <c r="A26206" t="inlineStr">
        <is>
          <t>aria 12/6 sacri</t>
        </is>
      </c>
      <c r="B26206">
        <f>HYPERLINK("https://www.dofusbook.net/fr/equipement/2156582-aria-12-6-sacri/objets", "link")</f>
        <v/>
      </c>
      <c r="C26206" t="n">
        <v>0</v>
      </c>
      <c r="D26206" t="inlineStr">
        <is>
          <t>Lance corrompue; Collier du Valet Veinard; Alliance Gloursonne; Gant du Valet Veinard; Bouclier d'Ilyzaelle; Ceinture de la Reine des Voleurs; Coiffe de la Reine des Voleurs; Cape du Valet Veinard; Bottes de la Reine des Voleurs; Dofus Pourpre; Dofus Nébuleux; Dofus des Glaces; Dofus Abyssal; Dofus Émeraude; Dofus Ocre; Muldo Ebène</t>
        </is>
      </c>
    </row>
    <row r="26207">
      <c r="A26207" t="inlineStr">
        <is>
          <t>NewmonsterENU</t>
        </is>
      </c>
      <c r="B26207">
        <f>HYPERLINK("https://www.dofusbook.net/fr/equipement/2555277-newmonsterenu/objets", "link")</f>
        <v/>
      </c>
      <c r="C26207" t="n">
        <v>0</v>
      </c>
      <c r="D26207" t="inlineStr">
        <is>
          <t>Arc Ahique; Amulette d'Ilyzaelle; Lavanneau; Alliance Gloursonne; Bouclier du Stalak; Ceinture de la Reine des Voleurs; Casque d'Ilyzaelle; Cape Solution; Bottes de la Reine des Voleurs; Dofus Pourpre; Dofus des Glaces; Dofus Ocre; Dofus Nébuleux; Dolmanax; Dofus Abyssal; Muldo Ebène</t>
        </is>
      </c>
    </row>
    <row r="26208">
      <c r="A26208" t="inlineStr">
        <is>
          <t>ANEWBESTSACRI</t>
        </is>
      </c>
      <c r="B26208">
        <f>HYPERLINK("https://www.dofusbook.net/fr/equipement/2549844-anewbestsacri/objets", "link")</f>
        <v/>
      </c>
      <c r="C26208" t="n">
        <v>0</v>
      </c>
      <c r="D26208" t="inlineStr">
        <is>
          <t>Massier; Amulette Séculaire; Anneauræus; Bague Gloursonne; Bouclier d'Ilyzaelle; Ceinture Séculaire; Heaume Oplate; Voile d'encre; Pataugastrique; Dofus Émeraude; Dofus Turquoise; Dofus Nébuleux; Dofus Abyssal; Carapace Feu majeur; Érudit majeur; Muldo Orchidée et Pourpre</t>
        </is>
      </c>
    </row>
    <row r="26209">
      <c r="A26209" t="inlineStr">
        <is>
          <t>ASRAMFULLCHA</t>
        </is>
      </c>
      <c r="B26209">
        <f>HYPERLINK("https://www.dofusbook.net/fr/equipement/2510477-asramfullcha/objets", "link")</f>
        <v/>
      </c>
      <c r="C26209" t="n">
        <v>0</v>
      </c>
      <c r="D26209" t="inlineStr">
        <is>
          <t>Amulette de Shokkoth; Bracelet des Fonds marins; Alliance Gloursonne; Bouclier d'Ilyzaelle; Poulpagne; Capuche de l'Œil Attentif; Cape Solution; Sandales des Fonds marins; Dofus Turquoise; Dofus Nébuleux; Dofus Pourpre; Carapace Air majeur; Chanceux majeur; Carapace Feu majeur; Muldo Indigo</t>
        </is>
      </c>
    </row>
    <row r="26210">
      <c r="A26210" t="inlineStr">
        <is>
          <t>AUGITERRAARIAFEU</t>
        </is>
      </c>
      <c r="B26210">
        <f>HYPERLINK("https://www.dofusbook.net/fr/equipement/2487319-augiterraariafeu/objets", "link")</f>
        <v/>
      </c>
      <c r="C26210" t="n">
        <v>0</v>
      </c>
      <c r="D26210" t="inlineStr">
        <is>
          <t>Arc du Chalœil; Amulette du Strigide; Chevalière du Roi Joueur; Bague Gloursonne; Bouclier d'Ilyzaelle; Ceintacé; Masque de Koutoulou; Voile d'encre; Bottes du Strigide; Dofus Turquoise; Dofus Nébuleux; Dofus Abyssal; Dofus Pourpre; Enragé majeur; Vigoureux majeur; Muldo Pourpre</t>
        </is>
      </c>
    </row>
    <row r="26211">
      <c r="A26211" t="inlineStr">
        <is>
          <t>ANEWENIMULTI</t>
        </is>
      </c>
      <c r="B26211">
        <f>HYPERLINK("https://www.dofusbook.net/fr/equipement/2484428-anewenimulti/objets", "link")</f>
        <v/>
      </c>
      <c r="C26211" t="n">
        <v>0</v>
      </c>
      <c r="D26211" t="inlineStr">
        <is>
          <t>Hache du Chalœil; Amulette du Strigide; Bague Gloursonne; Bracelet du Piloztère; Cadran de Terre; Ceinture du Strigide; Casque du Chalœil; Cape du Chalœil; Bottes du Strigide; Dofus Ocre; Dofus Turquoise; Dofus des Glaces; Dofus Nébuleux; Dolmanax; Dofus Pourpre; Muldo Orchidée</t>
        </is>
      </c>
    </row>
    <row r="26212">
      <c r="A26212" t="inlineStr">
        <is>
          <t>ANEWENIOP</t>
        </is>
      </c>
      <c r="B26212">
        <f>HYPERLINK("https://www.dofusbook.net/fr/equipement/2481164-aneweniop/objets", "link")</f>
        <v/>
      </c>
      <c r="C26212" t="n">
        <v>0</v>
      </c>
      <c r="D26212" t="inlineStr">
        <is>
          <t>Arc corrompu; Pendentif affamé; Anneauræus; Chevalière du Roi Joueur; Cadran de Terre; Ceinture de Vortex; Casque Dragoeuf; Cape de Diondin; Sabots de Vortex; Dofus Abyssal; Dofus Nébuleux; Dofus Turquoise; Érudit majeur; Étourdisseur majeur; Remueur; Muldo Prune et Amande</t>
        </is>
      </c>
    </row>
    <row r="26213">
      <c r="A26213" t="inlineStr">
        <is>
          <t>ANEWCRAOP</t>
        </is>
      </c>
      <c r="B26213">
        <f>HYPERLINK("https://www.dofusbook.net/fr/equipement/2458114-anewcraop/objets", "link")</f>
        <v/>
      </c>
      <c r="C26213" t="n">
        <v>0</v>
      </c>
      <c r="D26213" t="inlineStr">
        <is>
          <t>Hache du Chalœil; Amulette du Strigide; Bague Gloursonne; Alliance Gloursonne; Quatre-feuilles; Ceinture du Strigide; Masque d'Anerice; Cape d'Anerice; Bottes du Strigide; Dofus Pourpre; Dofus des Glaces; Dofus Turquoise; Dofus Nébuleux; Dolmanax; Dofus Ocre; Muldo Doré et Emeraude</t>
        </is>
      </c>
    </row>
    <row r="26214">
      <c r="A26214" t="inlineStr">
        <is>
          <t>ANEWYOPCHEAT</t>
        </is>
      </c>
      <c r="B26214">
        <f>HYPERLINK("https://www.dofusbook.net/fr/equipement/2455584-anewyopcheat/objets", "link")</f>
        <v/>
      </c>
      <c r="C26214" t="n">
        <v>0</v>
      </c>
      <c r="D26214" t="inlineStr">
        <is>
          <t>Sabres d'Atcham; Pendentif mignon de Koutoulou; Anneau Rifique; Alliance Brûlâme; Bouclier du Stalak; Ceinture de Vortex; Casque Cyclopéen; Cape d'Atcham; Sandales  d'Atcham; Dofus Ivoire; Dofus Nébuleux; Dofus Ocre; Dofus Abyssal; Dofus Pourpre; Dofus des Glaces; Muldo Ebène et Pourpre</t>
        </is>
      </c>
    </row>
    <row r="26215">
      <c r="A26215" t="inlineStr">
        <is>
          <t>ASACRITALKASHA</t>
        </is>
      </c>
      <c r="B26215">
        <f>HYPERLINK("https://www.dofusbook.net/fr/equipement/2256018-asacritalkasha/objets", "link")</f>
        <v/>
      </c>
      <c r="C26215" t="n">
        <v>0</v>
      </c>
      <c r="D26215" t="inlineStr">
        <is>
          <t>Arc de Koutoulou; Amulette du Strigide; Anneau de Padgref; Alliance Gloursonne; Quatre-feuilles; Ceinture du Strigide; Némès de Tal Kasha; Chevelure de Tal Kasha; Sandales de Tal Kasha; Dofus Turquoise; Dofus Ocre; Dofus Pourpre; Dofus Nébuleux; Dofus des Glaces; Dofus Abyssal; Muldo Prune et Ebène</t>
        </is>
      </c>
    </row>
    <row r="26216">
      <c r="A26216" t="inlineStr">
        <is>
          <t>ATERRARIARES</t>
        </is>
      </c>
      <c r="B26216">
        <f>HYPERLINK("https://www.dofusbook.net/fr/equipement/2442365-aterrariares/objets", "link")</f>
        <v/>
      </c>
      <c r="C26216" t="n">
        <v>0</v>
      </c>
      <c r="D26216" t="inlineStr">
        <is>
          <t>Héqache; Amulette du Strigide; Anneau des égarés; Alliance Brûlâme; Bouclier d'Ilyzaelle; Ceinture du Strigide; Casque des égarés; Cape du Cœur Vaillant; Bottes du Strigide; Dofus des Glaces; Dofus Ocre; Dofus Pourpre; Dofus Nébuleux; Dolmanax; Dofus Turquoise; Muldo Pourpre</t>
        </is>
      </c>
    </row>
    <row r="26217">
      <c r="A26217" t="inlineStr">
        <is>
          <t>AARIARES</t>
        </is>
      </c>
      <c r="B26217">
        <f>HYPERLINK("https://www.dofusbook.net/fr/equipement/2442320-aariares/objets", "link")</f>
        <v/>
      </c>
      <c r="C26217" t="n">
        <v>0</v>
      </c>
      <c r="D26217" t="inlineStr">
        <is>
          <t>Manthache; Amulette du Strigide; Alliance Gloursonne; Anneau des égarés; Bouclier d'Ilyzaelle; Menoture; Masque d'Anerice; Cape d'Anerice; Palmes Trithons; Dofus Nébuleux; Dofus Pourpre; Dofus des Glaces; Dofus Turquoise; Remueur; Cascadeur majeur; Muldo Ebène et Ivoire</t>
        </is>
      </c>
    </row>
    <row r="26218">
      <c r="A26218" t="inlineStr">
        <is>
          <t>ANOOBSET</t>
        </is>
      </c>
      <c r="B26218">
        <f>HYPERLINK("https://www.dofusbook.net/fr/equipement/2438763-anoobset/objets", "link")</f>
        <v/>
      </c>
      <c r="C26218" t="n">
        <v>0</v>
      </c>
      <c r="D26218" t="inlineStr">
        <is>
          <t>Hache du Chalœil; Amulette du Strigide; Goulano; Bague Gloursonne; Bouclier du Captain Amakna; Ceinture du Strigide; Masque d'Anerice; Cape d'Anerice; Bottes du Strigide; Dofus Turquoise; Dolmanax; Dofus des Glaces; Dofus Nébuleux; Dofus Pourpre; Dofus Ocre; Muldo Indigo et Orchidée</t>
        </is>
      </c>
    </row>
    <row r="26219">
      <c r="A26219" t="inlineStr">
        <is>
          <t>ARCOAICOO</t>
        </is>
      </c>
      <c r="B26219">
        <f>HYPERLINK("https://www.dofusbook.net/fr/equipement/2395170-arcoaicoo/objets", "link")</f>
        <v/>
      </c>
      <c r="C26219" t="n">
        <v>0</v>
      </c>
      <c r="D26219" t="inlineStr">
        <is>
          <t>Arc Ahique; Amulette d'Ilyzaelle; Alliance Gloursonne; Alliance Brûlâme; Bouclier du Stalak; Ceinture de la Reine des Voleurs; Casque d'Ilyzaelle; Cape Matelassée; Bottes de la Reine des Voleurs; Dofus Abyssal; Dofus Nébuleux; Dofus Ocre; Dofus Pourpre; Dolmanax; Dofus des Glaces; Muldo Ebène</t>
        </is>
      </c>
    </row>
    <row r="26220">
      <c r="A26220" t="inlineStr">
        <is>
          <t>AYOPMULTISPINTAONDIO</t>
        </is>
      </c>
      <c r="B26220">
        <f>HYPERLINK("https://www.dofusbook.net/fr/equipement/2394969-ayopmultispintaondio/objets", "link")</f>
        <v/>
      </c>
      <c r="C26220" t="n">
        <v>0</v>
      </c>
      <c r="D26220" t="inlineStr">
        <is>
          <t>Epée Toche; Torquistik; Bague Gloursonne; Chevalière du Roi Joueur; Bouclier Taverne; Ceintacé; Chapeau de Gein; Voile d'encre; Bottistik; Dofus Turquoise; Dofus Nébuleux; Dofus Pourpre; Bousculeur majeur; Remueur; Culbuteur majeur; Muldo Prune et Pourpre</t>
        </is>
      </c>
    </row>
    <row r="26221">
      <c r="A26221" t="inlineStr">
        <is>
          <t>AYOPFULLTERRASPINTA</t>
        </is>
      </c>
      <c r="B26221">
        <f>HYPERLINK("https://www.dofusbook.net/fr/equipement/2394398-ayopfullterraspinta/objets", "link")</f>
        <v/>
      </c>
      <c r="C26221" t="n">
        <v>0</v>
      </c>
      <c r="D26221" t="inlineStr">
        <is>
          <t>Héqache; Amulette du Strigide; Chevalière du Roi Joueur; Bague Gloursonne; Bouclier d'Ilyzaelle; Ceinture Gence; Chapeau de Gein; Voile d'encre; Bottes du Strigide; Dofus Nébuleux; Dofus Pourpre; Dofus Turquoise; Culbuteur majeur; Bousculeur majeur; Remueur; Muldo Prune et Pourpre</t>
        </is>
      </c>
    </row>
    <row r="26222">
      <c r="A26222" t="inlineStr">
        <is>
          <t>ASRAMTERRAARIA</t>
        </is>
      </c>
      <c r="B26222">
        <f>HYPERLINK("https://www.dofusbook.net/fr/equipement/2390533-asramterraaria/objets", "link")</f>
        <v/>
      </c>
      <c r="C26222" t="n">
        <v>0</v>
      </c>
      <c r="D26222" t="inlineStr">
        <is>
          <t>Lance corrompue; Amulette du Kamasterisk; Alliance Brûlâme; Anneau des égarés; Bouclier d'Ilyzaelle; Ceinture de la Reine des Voleurs; Coiffe de la Reine des Voleurs; Cape du Kamasterisk; Bottes du Kamasterisk; Dofus Pourpre; Dofus des Glaces; Dofus Abyssal; Dofus Nébuleux; Dolmanax; Dofus Ocre; Muldo Orchidée et Pourpre</t>
        </is>
      </c>
    </row>
    <row r="26223">
      <c r="A26223" t="inlineStr">
        <is>
          <t>AGANJACHAAGI</t>
        </is>
      </c>
      <c r="B26223">
        <f>HYPERLINK("https://www.dofusbook.net/fr/equipement/2385938-aganjachaagi/objets", "link")</f>
        <v/>
      </c>
      <c r="C26223" t="n">
        <v>0</v>
      </c>
      <c r="D26223" t="inlineStr">
        <is>
          <t>Epée Gloursonne; Amulette du Strigide; Alliance Gloursonne; Bague Gloursonne; Bouclier d'Ilyzaelle; Ceinture du Strigide; Némès de Tal Kasha; Chevelure de Tal Kasha; Sandales de Tal Kasha; Dofus Ivoire; Dofus Pourpre; Dofus Nébuleux; Dofus Turquoise; Dofus Abyssal; Dofus Ocre; Muldo Ebène et Orchidée</t>
        </is>
      </c>
    </row>
    <row r="26224">
      <c r="A26224" t="inlineStr">
        <is>
          <t>A2milafor</t>
        </is>
      </c>
      <c r="B26224">
        <f>HYPERLINK("https://www.dofusbook.net/fr/equipement/2359388-a2milafor/objets", "link")</f>
        <v/>
      </c>
      <c r="C26224" t="n">
        <v>1</v>
      </c>
      <c r="D26224" t="inlineStr">
        <is>
          <t>Dagues d'Ilyzaelle; Amulette du Cœur Saignant; Anneau Chevelu; Anneau de Brouce; Bouclier du Captain Amakna; Ceinture de Brouce; Casque Dragoeuf; Cape du Cœur Saignant; Bottes du Cœur Saignant; Dofus Ocre; Dofus Turquoise; Dofus Vulbis; Dofus Nébuleux; Dofus Ivoire; Dofus Pourpre; Kramkram</t>
        </is>
      </c>
    </row>
    <row r="26225">
      <c r="A26225" t="inlineStr">
        <is>
          <t>ADANZALCURESPINTA</t>
        </is>
      </c>
      <c r="B26225">
        <f>HYPERLINK("https://www.dofusbook.net/fr/equipement/2221644-adanzalcurespinta/objets", "link")</f>
        <v/>
      </c>
      <c r="C26225" t="n">
        <v>0</v>
      </c>
      <c r="D26225" t="inlineStr">
        <is>
          <t>Hache Euvale; Amulette Luminescente; Bague Trithon; Bague Instable; Bouclier Taverne; Ceintrigue; Masque de l'Esprit Malsain; Cape Luminescente; Pataugastrique; Dofus Nébuleux; Dofus Turquoise; Chanceux majeur; Bousculeur majeur; Culbuteur majeur; Remueur; Muldo Indigo et Orchidée</t>
        </is>
      </c>
    </row>
    <row r="26226">
      <c r="A26226" t="inlineStr">
        <is>
          <t>ASACRICHARESCC</t>
        </is>
      </c>
      <c r="B26226">
        <f>HYPERLINK("https://www.dofusbook.net/fr/equipement/2285595-asacricharescc/objets", "link")</f>
        <v/>
      </c>
      <c r="C26226" t="n">
        <v>0</v>
      </c>
      <c r="D26226" t="inlineStr">
        <is>
          <t>Arc de Koutoulou; Amulette du Strigide; Bracelet du Piloztère; Alliance Gloursonne; Bouclier d'Ilyzaelle; Ceinture du Strigide; Némès de Tal Kasha; Chevelure de Tal Kasha; Sandales de Tal Kasha; Dofus Nébuleux; Dolmanax; Dofus Pourpre; Dofus Ocre; Dofus Turquoise; Dofus des Glaces; Muldo Prune et Emeraude</t>
        </is>
      </c>
    </row>
    <row r="26227">
      <c r="A26227" t="inlineStr">
        <is>
          <t>FULLAGIRESCC</t>
        </is>
      </c>
      <c r="B26227">
        <f>HYPERLINK("https://www.dofusbook.net/fr/equipement/2284794-fullagirescc/objets", "link")</f>
        <v/>
      </c>
      <c r="C26227" t="n">
        <v>0</v>
      </c>
      <c r="D26227" t="inlineStr">
        <is>
          <t>Lance corrompue; Collier du Valet Veinard; Gant du Valet Veinard; Alliance Gloursonne; Bouclier du Captain Amakna; Ceinture de la Reine des Voleurs; Coiffe de la Reine des Voleurs; Cape du Valet Veinard; Bottes de la Reine des Voleurs; Dofus Pourpre; Dofus Abyssal; Dofus Ivoire; Dofus Nébuleux; Dofus Ocre; Dofus des Glaces; Muldo Ebène</t>
        </is>
      </c>
    </row>
    <row r="26228">
      <c r="A26228" t="inlineStr">
        <is>
          <t>ASACRIFEURESCC</t>
        </is>
      </c>
      <c r="B26228">
        <f>HYPERLINK("https://www.dofusbook.net/fr/equipement/2278874-asacrifeurescc/objets", "link")</f>
        <v/>
      </c>
      <c r="C26228" t="n">
        <v>0</v>
      </c>
      <c r="D26228" t="inlineStr">
        <is>
          <t>Arc corrompu; Pendentif mignon de Koutoulou; Anneau Rifique; Baguistik; Bouclier du Stalak; Ceintacé; Casque Cyclopéen; Voile d'encre; Bottistik; Dofus Nébuleux; Dolmanax; Dofus Abyssal; Dofus Émeraude; Dofus Pourpre; Dofus des Glaces; Muldo Pourpre</t>
        </is>
      </c>
    </row>
    <row r="26229">
      <c r="A26229" t="inlineStr">
        <is>
          <t>Ayoptop</t>
        </is>
      </c>
      <c r="B26229">
        <f>HYPERLINK("https://www.dofusbook.net/fr/equipement/2268518-ayoptop/objets", "link")</f>
        <v/>
      </c>
      <c r="C26229" t="n">
        <v>0</v>
      </c>
      <c r="D26229" t="inlineStr">
        <is>
          <t>Marteau des égarés; Amulette du Strigide; Alliance Brûlâme; Bague Gloursonne; Quatre-feuilles; Ceinture du Strigide; Némès de Tal Kasha; Chevelure de Tal Kasha; Bottes du Strigide; Dofus Ocre; Dofus Nébuleux; Dofus Turquoise; Dolmanax; Dofus des Glaces; Dofus Pourpre; Muldo Orchidée et Pourpre</t>
        </is>
      </c>
    </row>
    <row r="26230">
      <c r="A26230" t="inlineStr">
        <is>
          <t>AXELORCANCRO</t>
        </is>
      </c>
      <c r="B26230">
        <f>HYPERLINK("https://www.dofusbook.net/fr/equipement/2265143-axelorcancro/objets", "link")</f>
        <v/>
      </c>
      <c r="C26230" t="n">
        <v>0</v>
      </c>
      <c r="D26230" t="inlineStr">
        <is>
          <t>Casque Dragoeuf; Chevelure de Tal Kasha; Sandales de Tal Kasha</t>
        </is>
      </c>
    </row>
    <row r="26231">
      <c r="A26231" t="inlineStr">
        <is>
          <t>AENIFULLCHA</t>
        </is>
      </c>
      <c r="B26231">
        <f>HYPERLINK("https://www.dofusbook.net/fr/equipement/2263367-aenifullcha/objets", "link")</f>
        <v/>
      </c>
      <c r="C26231" t="n">
        <v>1</v>
      </c>
      <c r="D26231" t="inlineStr">
        <is>
          <t>Baguette Hique; Amulette de Shokkoth; Bracelet des Fonds marins; Alliance Gloursonne; Quatre-feuilles; Poulpagne; Capuche de l'Œil Attentif; Cape de la Dame du Hasard; Bottes de la Dame du Hasard; Dofus Pourpre; Dofus Nébuleux; Dofus des Glaces; Dofus Turquoise; Remueur; Chanceux majeur; Muldo Indigo</t>
        </is>
      </c>
    </row>
    <row r="26232">
      <c r="A26232" t="inlineStr">
        <is>
          <t>AUGI12/6MULTI</t>
        </is>
      </c>
      <c r="B26232">
        <f>HYPERLINK("https://www.dofusbook.net/fr/equipement/2261827-augi12-6multi/objets", "link")</f>
        <v/>
      </c>
      <c r="C26232" t="n">
        <v>1</v>
      </c>
      <c r="D26232" t="inlineStr">
        <is>
          <t>Lance corrompue; Amulette du Cœur Vaillant; Anneau des égarés; Alliance Brûlâme; Bouclier du Captain Amakna; Ceintouse; Chapoulpe; Cape du Kamasterisk; Baleinabottes; Dofus Nébuleux; Dofus Pourpre; Dofus Abyssal; Dofus des Glaces; Remueur; Étourdisseur majeur; Muldo Pourpre</t>
        </is>
      </c>
    </row>
    <row r="26233">
      <c r="A26233" t="inlineStr">
        <is>
          <t>ADRAKKONOOB</t>
        </is>
      </c>
      <c r="B26233">
        <f>HYPERLINK("https://www.dofusbook.net/fr/equipement/2250429-adrakkonoob/objets", "link")</f>
        <v/>
      </c>
      <c r="C26233" t="n">
        <v>0</v>
      </c>
      <c r="D26233" t="inlineStr">
        <is>
          <t>Arc de Koutoulou; Amulette du Strigide; Alliance Gloursonne; Anneau de Padgref; Quatre-feuilles; Ceintacé; Némès de Tal Kasha; Chevelure de Tal Kasha; Sandales  d'Atcham; Dofus Abyssal; Dofus Nébuleux; Dofus Pourpre; Dofus Turquoise; Remueur; Étourdisseur majeur; Muldo Turquoise et Ebène</t>
        </is>
      </c>
    </row>
    <row r="26234">
      <c r="A26234" t="inlineStr">
        <is>
          <t>AENIFEUCHA</t>
        </is>
      </c>
      <c r="B26234">
        <f>HYPERLINK("https://www.dofusbook.net/fr/equipement/2247926-aenifeucha/objets", "link")</f>
        <v/>
      </c>
      <c r="C26234" t="n">
        <v>0</v>
      </c>
      <c r="D26234" t="inlineStr">
        <is>
          <t>Sabres d'Atcham; Amulette de l'Œil Putride; Anneau Rifique; Bague Gloursonne; Cadran de Terre; Ceintrigue; Casquette de Meno; Cape d'Atcham; Pataugastrique; Dofus Turquoise; Dofus Nébuleux; Dofus Pourpre; Étourdisseur majeur; Érudit majeur; Remueur; Muldo Orchidée</t>
        </is>
      </c>
    </row>
    <row r="26235">
      <c r="A26235" t="inlineStr">
        <is>
          <t>ACRATRIELE</t>
        </is>
      </c>
      <c r="B26235">
        <f>HYPERLINK("https://www.dofusbook.net/fr/equipement/2242666-acratriele/objets", "link")</f>
        <v/>
      </c>
      <c r="C26235" t="n">
        <v>0</v>
      </c>
      <c r="D26235" t="inlineStr">
        <is>
          <t>Sabres d'Atcham; Amulette du Strigide; Alliance Brûlâme; Anneau de Padgref; Quatre-feuilles; Ceinture du Strigide; Coiffe de Padgref; Cape d'Atcham; Bottes du Strigide; Dofus des Glaces; Dofus Nébuleux; Dofus Turquoise; Dofus Pourpre; Dolmanax; Dofus Ocre; Muldo Prune et Emeraude</t>
        </is>
      </c>
    </row>
    <row r="26236">
      <c r="A26236" t="inlineStr">
        <is>
          <t>danzalpro</t>
        </is>
      </c>
      <c r="B26236">
        <f>HYPERLINK("https://www.dofusbook.net/fr/equipement/2230725-danzalpro/objets", "link")</f>
        <v/>
      </c>
      <c r="C26236" t="n">
        <v>1</v>
      </c>
      <c r="D26236" t="inlineStr">
        <is>
          <t>Hache Euvale; Amulette Luminescente; Bague Trithon; Bague Instable; Bouclier Taverne; Ceinture Luminescente; Masque Trithon; Cape Luminescente; Bottes Trithon; Dofus Pourpre; Dolmanax; Dofus Ocre; Dofus Turquoise; Dofus des Glaces; Bousculeur majeur; Muldo Ebène et Pourpre</t>
        </is>
      </c>
    </row>
    <row r="26237">
      <c r="A26237" t="inlineStr">
        <is>
          <t>DANNI FEU</t>
        </is>
      </c>
      <c r="B26237">
        <f>HYPERLINK("https://www.dofusbook.net/fr/equipement/2121985-danni-feu/objets", "link")</f>
        <v/>
      </c>
      <c r="C26237" t="n">
        <v>0</v>
      </c>
      <c r="D26237" t="inlineStr">
        <is>
          <t>Dagues Ricol; Pendentif affamé; Anneauræus; Anneau Tamie; Bouclier d'Ilyzaelle; Ceinture Séculaire; Coiffe Séculaire; Cape de Diondin; Bottes Innommables; Dofus Nébuleux; Dofus Abyssal; Dofus Turquoise; Dofus Pourpre; Remueur; Érudit majeur; Muldo Orchidée</t>
        </is>
      </c>
    </row>
    <row r="26238">
      <c r="A26238" t="inlineStr">
        <is>
          <t>AOCRAFULLELE2</t>
        </is>
      </c>
      <c r="B26238">
        <f>HYPERLINK("https://www.dofusbook.net/fr/equipement/2199423-aocrafullele2/objets", "link")</f>
        <v/>
      </c>
      <c r="C26238" t="n">
        <v>0</v>
      </c>
      <c r="D26238" t="inlineStr">
        <is>
          <t>Marteau des égarés; Amulette du Strigide; Bague Gloursonne; Anneau de Padgref; Quatre-feuilles; Ceinture du Strigide; Némès de Tal Kasha; Chevelure de Tal Kasha; Bottes du Strigide; Dolmanax; Dofus des Glaces; Dofus Ocre; Dofus Nébuleux; Dofus Turquoise; Dofus Pourpre; Muldo Prune et Emeraude</t>
        </is>
      </c>
    </row>
    <row r="26239">
      <c r="A26239" t="inlineStr">
        <is>
          <t>AOCRAFULLELE</t>
        </is>
      </c>
      <c r="B26239">
        <f>HYPERLINK("https://www.dofusbook.net/fr/equipement/2194909-aocrafullele/objets", "link")</f>
        <v/>
      </c>
      <c r="C26239" t="n">
        <v>0</v>
      </c>
      <c r="D26239" t="inlineStr">
        <is>
          <t>Marteau des égarés; Amulette du Strigide; Chevalière du Roi Joueur; Bague Gloursonne; Quatre-feuilles; Ceintacé; Le Dorado; Cape du Chalœil; Bottes du Strigide; Dofus des Glaces; Dofus Nébuleux; Dolmanax; Dofus Pourpre; Dofus Turquoise; Temporiseur majeur; Muldo Prune et Emeraude</t>
        </is>
      </c>
    </row>
    <row r="26240">
      <c r="A26240" t="inlineStr">
        <is>
          <t>AOSAFULLSTR</t>
        </is>
      </c>
      <c r="B26240">
        <f>HYPERLINK("https://www.dofusbook.net/fr/equipement/2191078-aosafullstr/objets", "link")</f>
        <v/>
      </c>
      <c r="C26240" t="n">
        <v>2</v>
      </c>
      <c r="D26240" t="inlineStr">
        <is>
          <t>Marteau R'ture; Amulette du Strigide; Bague Gloursonne; Anneau Crustique; Quatre-feuilles; Ceinture du Strigide; Masque de Koutoulou; Cape au Logis; Bottes de la Cour Sombre; Dofus Turquoise; Dofus Pourpre; Dofus Nébuleux; Remueur; Vigoureux majeur; Enragé majeur; Kramkram</t>
        </is>
      </c>
    </row>
    <row r="26241">
      <c r="A26241" t="inlineStr">
        <is>
          <t>ADANZALCANCRO</t>
        </is>
      </c>
      <c r="B26241">
        <f>HYPERLINK("https://www.dofusbook.net/fr/equipement/2188306-adanzalcancro/objets", "link")</f>
        <v/>
      </c>
      <c r="C26241" t="n">
        <v>0</v>
      </c>
      <c r="D26241" t="inlineStr">
        <is>
          <t>Rapière aux Glyphes; Amulette de Shokkoth; Bague Trithon; Alliance Gloursonne; Bouclier précieux; Poulpagne; Masque d'Anerice; Cape d'Anerice; Bottes Owesli; Dofus Émeraude; Dofus Turquoise; Chanceux majeur; Remueur; Culbuteur majeur; Bousculeur majeur; Muldo Indigo et Orchidée</t>
        </is>
      </c>
    </row>
    <row r="26242">
      <c r="A26242" t="inlineStr">
        <is>
          <t>ACRA CHAFO</t>
        </is>
      </c>
      <c r="B26242">
        <f>HYPERLINK("https://www.dofusbook.net/fr/equipement/2182819-acra-chafo/objets", "link")</f>
        <v/>
      </c>
      <c r="C26242" t="n">
        <v>0</v>
      </c>
      <c r="D26242" t="inlineStr">
        <is>
          <t>Hache du Chalœil; Amulette du Strigide; Bracelet du Piloztère; Goulano; Quatre-feuilles; Ceinture du Strigide; Casque du Chalœil; Cape du Chalœil; Bottes du Strigide; Dofus Ocre; Dofus Pourpre; Dolmanax; Dofus Nébuleux; Dofus des Glaces; Dofus Turquoise; Muldo Indigo</t>
        </is>
      </c>
    </row>
    <row r="26243">
      <c r="A26243" t="inlineStr">
        <is>
          <t>AUGI TERRAFEU</t>
        </is>
      </c>
      <c r="B26243">
        <f>HYPERLINK("https://www.dofusbook.net/fr/equipement/2178667-augi-terrafeu/objets", "link")</f>
        <v/>
      </c>
      <c r="C26243" t="n">
        <v>0</v>
      </c>
      <c r="D26243" t="inlineStr">
        <is>
          <t>Hache du Chalœil; Amulette du Strigide; Alliance Brûlâme; Bague Gloursonne; Bouclier du Captain Amakna; Ceinture du Strigide; Casque du Chalœil; Cape du Chalœil; Bottes du Strigide; Dofus Turquoise; Dofus Nébuleux; Dofus Ocre; Dofus Pourpre; Dofus Vulbis; Dofus Abyssal; Kramkram</t>
        </is>
      </c>
    </row>
    <row r="26244">
      <c r="A26244" t="inlineStr">
        <is>
          <t>AHIPER RIGENE 2</t>
        </is>
      </c>
      <c r="B26244">
        <f>HYPERLINK("https://www.dofusbook.net/fr/equipement/2172152-ahiper-rigene-2/objets", "link")</f>
        <v/>
      </c>
      <c r="C26244" t="n">
        <v>0</v>
      </c>
      <c r="D26244" t="inlineStr">
        <is>
          <t>Arc de Koutoulou; Amulette du Strigide; Alliance Gloursonne; Anneau de Padgref; Quatre-feuilles; Ceinture du Strigide; Némès de Tal Kasha; Chevelure de Tal Kasha; Sandales de Tal Kasha; Dofus Turquoise; Dofus Nébuleux; Dofus Pourpre; Dofus Ocre; Dolmanax; Dofus des Glaces; Muldo Ebène et Indigo</t>
        </is>
      </c>
    </row>
    <row r="26245">
      <c r="A26245" t="inlineStr">
        <is>
          <t>AHIPER RIGENE</t>
        </is>
      </c>
      <c r="B26245">
        <f>HYPERLINK("https://www.dofusbook.net/fr/equipement/2171158-ahiper-rigene/objets", "link")</f>
        <v/>
      </c>
      <c r="C26245" t="n">
        <v>0</v>
      </c>
      <c r="D26245" t="inlineStr">
        <is>
          <t>Arc de Koutoulou; Collier du Valet Veinard; Gant du Valet Veinard; Alliance Gloursonne; Bouclier du Stalak; Ceinture de la Reine des Voleurs; Coiffe de la Reine des Voleurs; Cape du Valet Veinard; Bottes de la Reine des Voleurs; Dofus Pourpre; Dofus Abyssal; Dofus Ocre; Dofus des Glaces; Dolmanax; Dofus Nébuleux; Muldo Ebène</t>
        </is>
      </c>
    </row>
    <row r="26246">
      <c r="A26246" t="inlineStr">
        <is>
          <t>AXELOR</t>
        </is>
      </c>
      <c r="B26246">
        <f>HYPERLINK("https://www.dofusbook.net/fr/equipement/2168972-axelor/objets", "link")</f>
        <v/>
      </c>
      <c r="C26246" t="n">
        <v>0</v>
      </c>
      <c r="D26246" t="inlineStr">
        <is>
          <t>Dagoulinantes; Amulette de l'Œil Attentif; Bracelet des Fonds marins; Alliance Gloursonne; Sept ans de malheur; Poulpagne; Chapeau Lisson; Chevelure de Tal Kasha; Sandales des Fonds marins; Dofus Abyssal; Dofus Turquoise; Chanceux majeur; Étourdisseur majeur; Remueur; Paralyseur majeur; Muldo Ebène et Indigo</t>
        </is>
      </c>
    </row>
    <row r="26247">
      <c r="A26247" t="inlineStr">
        <is>
          <t>AR NUOVO SET</t>
        </is>
      </c>
      <c r="B26247">
        <f>HYPERLINK("https://www.dofusbook.net/fr/equipement/2159947-ar-nuovo-set/objets", "link")</f>
        <v/>
      </c>
      <c r="C26247" t="n">
        <v>0</v>
      </c>
      <c r="D26247" t="inlineStr">
        <is>
          <t>Sabres d'Atcham; Amulette du Strigide; Alliance Gloursonne; Anneau de Padgref; Quatre-feuilles; Ceinture du Strigide; Coiffe de Padgref; Cape d'Atcham; Sandales  d'Atcham; Dofus Pourpre; Dofus Nébuleux; Dofus Turquoise; Dofus des Glaces; Dofus Abyssal; Dofus Ocre; Muldo Prune et Emeraude</t>
        </is>
      </c>
    </row>
    <row r="26248">
      <c r="A26248" t="inlineStr">
        <is>
          <t>ARIA FULL DANNI</t>
        </is>
      </c>
      <c r="B26248">
        <f>HYPERLINK("https://www.dofusbook.net/fr/equipement/2146973-aria-full-danni/objets", "link")</f>
        <v/>
      </c>
      <c r="C26248" t="n">
        <v>1</v>
      </c>
      <c r="D26248" t="inlineStr">
        <is>
          <t>Hachoirs de Viandargh; Amulette du Strigide; Anneau de Padgref; Alliance Gloursonne; Bouclier du Captain Amakna; Menoture; Capuche de Moum-Ra; Cape Indescriptible; Bottes du Strigide; Dofus Pourpre; Dofus des Glaces; Dofus Turquoise; Dofus Nébuleux; Remueur; Cascadeur majeur; Muldo Prune et Ebène</t>
        </is>
      </c>
    </row>
    <row r="26249">
      <c r="A26249" t="inlineStr">
        <is>
          <t>xel 12/6</t>
        </is>
      </c>
      <c r="B26249">
        <f>HYPERLINK("https://www.dofusbook.net/fr/equipement/1713729-xel-12-6/objets", "link")</f>
        <v/>
      </c>
      <c r="C26249" t="n">
        <v>1</v>
      </c>
      <c r="D26249" t="inlineStr">
        <is>
          <t>Arc du Chalœil; Amulette du Strigide; Bracelet du Piloztère; Anneau Crustique; Cadran de Terre; Ceinture du Strigide; Bonnet Ko; Voile d'encre; Tentassons; Dofus Nébuleux; Dofus Turquoise; Dofus Ocre; Étourdisseur majeur; Remueur; Nomade; Muldo Ebène et Indigo</t>
        </is>
      </c>
    </row>
    <row r="26250">
      <c r="A26250" t="inlineStr">
        <is>
          <t>uginak 7 mila pv</t>
        </is>
      </c>
      <c r="B26250">
        <f>HYPERLINK("https://www.dofusbook.net/fr/equipement/2145556-uginak-7-mila-pv/objets", "link")</f>
        <v/>
      </c>
      <c r="C26250" t="n">
        <v>1</v>
      </c>
      <c r="D26250" t="inlineStr">
        <is>
          <t>Héqache; Amulette du Strigide; Anneau Chevelu; Alliance Brûlâme; Bouclier du Captain Amakna; Ceintacé; Casque des égarés; Cape au Logis; Bottes du Strigide; Dofus Nébuleux; Dofus Pourpre; Dofus Turquoise; Dofus Émeraude; Remueur; Miraculé majeur; Péki</t>
        </is>
      </c>
    </row>
    <row r="26251">
      <c r="A26251" t="inlineStr">
        <is>
          <t>YOP SPINTAROMPICAZZ</t>
        </is>
      </c>
      <c r="B26251">
        <f>HYPERLINK("https://www.dofusbook.net/fr/equipement/2138601-yop-spintarompicazz/objets", "link")</f>
        <v/>
      </c>
      <c r="C26251" t="n">
        <v>1</v>
      </c>
      <c r="D26251" t="inlineStr">
        <is>
          <t>Lance corrompue; Torquistik; Anneau Chevelu; Bague Trithon; Bouclier précieux; Ceintacé; Casque Dragoeuf; Voile d'encre; Bottistik; Dolmanax; Dofus Abyssal; Dofus des Glaces; Culbuteur majeur; Remueur; Bousculeur majeur; Muldo Ebène et Pourpre</t>
        </is>
      </c>
    </row>
    <row r="26252">
      <c r="A26252" t="inlineStr">
        <is>
          <t>TOP PANDA CHA</t>
        </is>
      </c>
      <c r="B26252">
        <f>HYPERLINK("https://www.dofusbook.net/fr/equipement/2135270-top-panda-cha/objets", "link")</f>
        <v/>
      </c>
      <c r="C26252" t="n">
        <v>1</v>
      </c>
      <c r="D26252" t="inlineStr">
        <is>
          <t>Dagoulinantes; Amulette de Shokkoth; Alliance Gloursonne; Anneau Glacial; Bouclier du Stalak; Poulpagne; Capuche de l'Œil Attentif; Cape Glaciale; Bottes du Sinistrofu; Dofus Nébuleux; Dofus Ivoire; Dofus Turquoise; Dofus Abyssal; Remueur; Chanceux majeur; Muldo Ebène et Indigo</t>
        </is>
      </c>
    </row>
    <row r="26253">
      <c r="A26253" t="inlineStr">
        <is>
          <t>UGI TERRA ARIA</t>
        </is>
      </c>
      <c r="B26253">
        <f>HYPERLINK("https://www.dofusbook.net/fr/equipement/2130821-ugi-terra-aria/objets", "link")</f>
        <v/>
      </c>
      <c r="C26253" t="n">
        <v>0</v>
      </c>
      <c r="D26253" t="inlineStr">
        <is>
          <t>Héqache; Amulette du Strigide; Alliance Brûlâme; Anneau des égarés; Bouclier d'Ilyzaelle; Ceinture du Strigide; Casque des égarés; Cape du Kamasterisk; Bottes du Strigide; Dofus des Glaces; Dofus Abyssal; Dofus Pourpre; Dofus Nébuleux; Dofus Ocre; Dofus Turquoise; Muldo Orchidée et Pourpre</t>
        </is>
      </c>
    </row>
    <row r="26254">
      <c r="A26254" t="inlineStr">
        <is>
          <t>YOP 12/6 TERRA/SPINT</t>
        </is>
      </c>
      <c r="B26254">
        <f>HYPERLINK("https://www.dofusbook.net/fr/equipement/2123180-yop-12-6-terra-spint/objets", "link")</f>
        <v/>
      </c>
      <c r="C26254" t="n">
        <v>3</v>
      </c>
      <c r="D26254" t="inlineStr">
        <is>
          <t>Héqache; Amulette Luminescente; Bague Trithon; Bague Gloursonne; Quatre-feuilles; Ceinture Luminescente; Masque Trithon; Cape Luminescente; Bottes Trithon; Dofus Pourpre; Dofus Nébuleux; Dofus Ocre; Dofus des Glaces; Dofus Turquoise; Bousculeur majeur; Muldo Ebène et Pourpre</t>
        </is>
      </c>
    </row>
    <row r="26255">
      <c r="A26255" t="inlineStr">
        <is>
          <t>TOP PANDA STELLAFLIP</t>
        </is>
      </c>
      <c r="B26255">
        <f>HYPERLINK("https://www.dofusbook.net/fr/equipement/2112578-top-panda-stellaflip/objets", "link")</f>
        <v/>
      </c>
      <c r="C26255" t="n">
        <v>0</v>
      </c>
      <c r="D26255" t="inlineStr">
        <is>
          <t>Hache du Chalœil; Amulette du Strigide; Bague Gloursonne; Goulano; Bouclier du Captain Amakna; Ceintacé; Casque du Chalœil; Voile d'encre; Bottes du Strigide; Dofus Nébuleux; Dofus Turquoise; Dofus Ivoire; Dofus Pourpre; Remueur; Vigoureux majeur; Muldo Orchidée et Pourpre</t>
        </is>
      </c>
    </row>
    <row r="26256">
      <c r="A26256" t="inlineStr">
        <is>
          <t>sacri agi cha res</t>
        </is>
      </c>
      <c r="B26256">
        <f>HYPERLINK("https://www.dofusbook.net/fr/equipement/2108984-sacri-agi-cha-res/objets", "link")</f>
        <v/>
      </c>
      <c r="C26256" t="n">
        <v>0</v>
      </c>
      <c r="D26256" t="inlineStr">
        <is>
          <t>Arc de Koutoulou; Amulette du Strigide; Alliance Gloursonne; Bracelet du Piloztère; Bouclier d'Ilyzaelle; Ceinture du Strigide; Némès de Tal Kasha; Chevelure de Tal Kasha; Bottes du Strigide; Dofus Pourpre; Dofus Nébuleux; Dolmanax; Dofus Turquoise; Dofus Ocre; Dofus Ivoire; Muldo Ebène et Indigo</t>
        </is>
      </c>
    </row>
    <row r="26257">
      <c r="A26257" t="inlineStr">
        <is>
          <t>CHA AGI SACRI</t>
        </is>
      </c>
      <c r="B26257">
        <f>HYPERLINK("https://www.dofusbook.net/fr/equipement/2108079-cha-agi-sacri/objets", "link")</f>
        <v/>
      </c>
      <c r="C26257" t="n">
        <v>0</v>
      </c>
      <c r="D26257" t="inlineStr">
        <is>
          <t>Arc de Koutoulou; Amulette du Strigide; Bracelet du Piloztère; Alliance Gloursonne; Bouclier d'Ilyzaelle; Ceintacé; Coiffe de la Reine des Voleurs; Chevelure de Tal Kasha; Bottes de la Reine des Voleurs; Dofus Turquoise; Dofus Pourpre; Dofus Nébuleux; Dofus des Glaces; Remueur; Vigoureux majeur; Muldo Ebène et Orchidée</t>
        </is>
      </c>
    </row>
    <row r="26258">
      <c r="A26258" t="inlineStr">
        <is>
          <t>ARIATERRA UGI</t>
        </is>
      </c>
      <c r="B26258">
        <f>HYPERLINK("https://www.dofusbook.net/fr/equipement/2102668-ariaterra-ugi/objets", "link")</f>
        <v/>
      </c>
      <c r="C26258" t="n">
        <v>0</v>
      </c>
      <c r="D26258" t="inlineStr">
        <is>
          <t>Lance corrompue; Collier du Valet Veinard; Gant du Valet Veinard; Alliance Gloursonne; Bouclier d'Ilyzaelle; Ceinture de la Reine des Voleurs; Coiffe de la Reine des Voleurs; Cape du Valet Veinard; Bottes de la Reine des Voleurs; Dofus Émeraude; Dofus des Glaces; Dofus Pourpre; Dofus Abyssal; Dofus Ocre; Dofus Nébuleux; Muldo Ebène</t>
        </is>
      </c>
    </row>
    <row r="26259">
      <c r="A26259" t="inlineStr">
        <is>
          <t>yopspaccaculi</t>
        </is>
      </c>
      <c r="B26259">
        <f>HYPERLINK("https://www.dofusbook.net/fr/equipement/1707356-yopspaccaculi/objets", "link")</f>
        <v/>
      </c>
      <c r="C26259" t="n">
        <v>0</v>
      </c>
      <c r="D26259" t="inlineStr">
        <is>
          <t>Epée Toche; Amulette du Strigide; Anneau Chevelu; Bague Gloursonne; Bouclier alvéolé; Ceinture du Strigide; Bonnet Ko; Voile d'encre; Bottes de la Cour Sombre; Dofus Pourpre; Dofus Turquoise; Dofus Ocre; Nomade; Vigoureux majeur; Remueur; Muldo Prune et Emeraude</t>
        </is>
      </c>
    </row>
    <row r="26260">
      <c r="A26260" t="inlineStr">
        <is>
          <t>RES CC 300</t>
        </is>
      </c>
      <c r="B26260">
        <f>HYPERLINK("https://www.dofusbook.net/fr/equipement/2034385-res-cc-300/objets", "link")</f>
        <v/>
      </c>
      <c r="C26260" t="n">
        <v>0</v>
      </c>
      <c r="D26260" t="inlineStr">
        <is>
          <t>Lance corrompue; Amulette de l'Indicible; Anneau des égarés; Goulano; Bouclier du Captain Amakna; Ceinture de la Reine des Voleurs; Coiffe de la Reine des Voleurs; Cape au Logis; Baleinabottes; Dolmanax; Dofus Ocre; Dofus Ivoire; Dofus Nébuleux; Dofus des Glaces; Enragé majeur; Kramkram</t>
        </is>
      </c>
    </row>
    <row r="26261">
      <c r="A26261" t="inlineStr">
        <is>
          <t>TOP YOP PVP</t>
        </is>
      </c>
      <c r="B26261">
        <f>HYPERLINK("https://www.dofusbook.net/fr/equipement/2086388-top-yop-pvp/objets", "link")</f>
        <v/>
      </c>
      <c r="C26261" t="n">
        <v>0</v>
      </c>
      <c r="D26261" t="inlineStr">
        <is>
          <t>Arc du Chalœil; Amulette du Strigide; Bague Gloursonne; Anneau Chevelu; Bouclier d'Ilyzaelle; Ceinture de la Reine des Voleurs; Coiffe de la Reine des Voleurs; Cape au Logis; Baleinabottes; Dofus Turquoise; Dofus Ivoire; Dofus Nébuleux; Dofus Pourpre; Enragé majeur; Remueur; Kramkram</t>
        </is>
      </c>
    </row>
    <row r="26262">
      <c r="A26262" t="inlineStr">
        <is>
          <t>MIGLIORSACRI</t>
        </is>
      </c>
      <c r="B26262">
        <f>HYPERLINK("https://www.dofusbook.net/fr/equipement/2075503-migliorsacri/objets", "link")</f>
        <v/>
      </c>
      <c r="C26262" t="n">
        <v>1</v>
      </c>
      <c r="D26262" t="inlineStr">
        <is>
          <t>Épée Brûlâme; Collier de la Dame du Hasard; Baguistik; Anneau Tique; Bouclier alvéolé; Ceinture de l'Esprit Malsain; Masque de l'Esprit Malsain; Cape de la Dame du Hasard; Bottes de la Dame du Hasard; Dofus Abyssal; Dofus Ocre; Dofus Ivoire; Dofus Turquoise; Dofus Émeraude; Dofus Nébuleux; Muldo Orchidée</t>
        </is>
      </c>
    </row>
    <row r="26263">
      <c r="A26263" t="inlineStr">
        <is>
          <t>SACRIMOSTRO</t>
        </is>
      </c>
      <c r="B26263">
        <f>HYPERLINK("https://www.dofusbook.net/fr/equipement/2068747-sacrimostro/objets", "link")</f>
        <v/>
      </c>
      <c r="C26263" t="n">
        <v>0</v>
      </c>
      <c r="D26263" t="inlineStr">
        <is>
          <t>Arc de Koutoulou; Amulette du Strigide; Anneau de Padgref; Alliance Gloursonne; Bouclier du Captain Amakna; Ceinture du Strigide; Némès de Tal Kasha; Chevelure de Tal Kasha; Sandales de Tal Kasha; Dofus Pourpre; Dofus Abyssal; Dofus Ocre; Dofus Nébuleux; Dofus Émeraude; Dofus Turquoise; Muldo Prune et Emeraude</t>
        </is>
      </c>
    </row>
    <row r="26264">
      <c r="A26264" t="inlineStr">
        <is>
          <t>FULLFORZAANIMALE</t>
        </is>
      </c>
      <c r="B26264">
        <f>HYPERLINK("https://www.dofusbook.net/fr/equipement/2061666-fullforzaanimale/objets", "link")</f>
        <v/>
      </c>
      <c r="C26264" t="n">
        <v>0</v>
      </c>
      <c r="D26264" t="inlineStr">
        <is>
          <t>Arc du Chalœil; Amulette du Strigide; Bague Gloursonne; Anneau Crustique; Bouclier d'Ilyzaelle; Ceinture du Strigide; Masque de Koutoulou; Cape au Logis; Bottes de la Cour Sombre; Dofus Pourpre; Dofus Émeraude; Dofus Turquoise; Dofus Nébuleux; Remueur; Enragé majeur; Péki</t>
        </is>
      </c>
    </row>
    <row r="26265">
      <c r="A26265" t="inlineStr">
        <is>
          <t>PVP RES FISSE</t>
        </is>
      </c>
      <c r="B26265">
        <f>HYPERLINK("https://www.dofusbook.net/fr/equipement/2051873-pvp-res-fisse/objets", "link")</f>
        <v/>
      </c>
      <c r="C26265" t="n">
        <v>1</v>
      </c>
      <c r="D26265" t="inlineStr">
        <is>
          <t>Arc du Chalœil; Amulette du Strigide; Bague Gloursonne; Anneau Chevelu; Bouclier d'Ilyzaelle; Ceintacé; Chapeau de Gein; Voile d'encre; Bottes du Strigide; Dofus Nébuleux; Dofus Pourpre; Dofus Turquoise; Vigoureux majeur; Remueur; Nomade; Kramkram</t>
        </is>
      </c>
    </row>
    <row r="26266">
      <c r="A26266" t="inlineStr">
        <is>
          <t>FECA RES CC</t>
        </is>
      </c>
      <c r="B26266">
        <f>HYPERLINK("https://www.dofusbook.net/fr/equipement/2031780-feca-res-cc/objets", "link")</f>
        <v/>
      </c>
      <c r="C26266" t="n">
        <v>2</v>
      </c>
      <c r="D26266" t="inlineStr">
        <is>
          <t>Lance corrompue; Amulette du Cœur Vaillant; Alliance Brûlâme; Alliance Gloursonne; Bouclier du Stalak; Ceinture de la Reine des Voleurs; Coiffe de la Reine des Voleurs; Cape du Kamasterisk; Baleinabottes; Dofus Abyssal; Dofus des Glaces; Dofus Nébuleux; Dofus Pourpre; Remueur; Étourdisseur majeur; Muldo Ebène et Orchidée</t>
        </is>
      </c>
    </row>
    <row r="26267">
      <c r="A26267" t="inlineStr">
        <is>
          <t>xel TERRA AJ</t>
        </is>
      </c>
      <c r="B26267">
        <f>HYPERLINK("https://www.dofusbook.net/fr/equipement/2047706-xel-terra-aj/objets", "link")</f>
        <v/>
      </c>
      <c r="C26267" t="n">
        <v>0</v>
      </c>
      <c r="D26267" t="inlineStr">
        <is>
          <t>Hache Ériphe; Amulette du Cœur Vaillant; Alliance Brûlâme; Anneau des égarés; Bouclier du Captain Amakna; Ceintacé; Masque Brûlâme; Cape du Cœur Vaillant; Pompes Funèbres; Dofus Turquoise; Dofus des Glaces; Dofus Nébuleux; Dofus Ocre; Dofus Pourpre; Dofus Abyssal; Muldo Ebène et Pourpre</t>
        </is>
      </c>
    </row>
    <row r="26268">
      <c r="A26268" t="inlineStr">
        <is>
          <t>GANJA UGI</t>
        </is>
      </c>
      <c r="B26268">
        <f>HYPERLINK("https://www.dofusbook.net/fr/equipement/2041846-ganja-ugi/objets", "link")</f>
        <v/>
      </c>
      <c r="C26268" t="n">
        <v>0</v>
      </c>
      <c r="D26268" t="inlineStr">
        <is>
          <t>Arc du Chalœil; Amulette du Strigide; Bague Gloursonne; Chevalière du Roi Joueur; Bouclier d'Ilyzaelle; Ceintacé; Chapeau de Gein; Voile d'encre; Bottes du Strigide; Dofus Pourpre; Dofus Émeraude; Dofus Nébuleux; Dofus Turquoise; Remueur; Vigoureux majeur; Muldo Pourpre</t>
        </is>
      </c>
    </row>
    <row r="26269">
      <c r="A26269" t="inlineStr">
        <is>
          <t>ARIA VELENI</t>
        </is>
      </c>
      <c r="B26269">
        <f>HYPERLINK("https://www.dofusbook.net/fr/equipement/2039998-aria-veleni/objets", "link")</f>
        <v/>
      </c>
      <c r="C26269" t="n">
        <v>0</v>
      </c>
      <c r="D26269" t="inlineStr">
        <is>
          <t>Hachoirs de Viandargh; Amulette du Strigide; Anneau de Padgref; Gant du Valet Veinard; Bouclier du Captain Amakna; Ceinture du Strigide; Coiffe de Padgref; Cape Indescriptible; Getas de Padgref; Dolmanax; Dofus des Glaces; Dofus Pourpre; Dofus Nébuleux; Dofus Ocre; Dofus Turquoise; Muldo Ebène et Indigo</t>
        </is>
      </c>
    </row>
    <row r="26270">
      <c r="A26270" t="inlineStr">
        <is>
          <t>uginak 4zampe</t>
        </is>
      </c>
      <c r="B26270">
        <f>HYPERLINK("https://www.dofusbook.net/fr/equipement/2024063-uginak-4zampe/objets", "link")</f>
        <v/>
      </c>
      <c r="C26270" t="n">
        <v>0</v>
      </c>
      <c r="D26270" t="inlineStr">
        <is>
          <t>Marteau de Katrepat; Amulette du Strigide; Alliance Brûlâme; Chevalière du Roi Joueur; Bouclier du Stalak; Ceinture du Strigide; Masque Brûlâme; Voile d'encre; Pompes Funèbres; Dofus Ivoire; Dofus Turquoise; Dofus Ocre; Dofus Nébuleux; Dofus Pourpre; Dofus Abyssal; Muldo Orchidée et Pourpre</t>
        </is>
      </c>
    </row>
    <row r="26271">
      <c r="A26271" t="inlineStr">
        <is>
          <t>DANZAL CURE</t>
        </is>
      </c>
      <c r="B26271">
        <f>HYPERLINK("https://www.dofusbook.net/fr/equipement/2022582-danzal-cure/objets", "link")</f>
        <v/>
      </c>
      <c r="C26271" t="n">
        <v>0</v>
      </c>
      <c r="D26271" t="inlineStr">
        <is>
          <t>Baguette de Malléfisk; Torquistik; Anneauræus; Anneau Rifique; Bouclier précieux; Ceintrigue; Casquette de Meno; Cape des Malveilleurs; Bottes Owesli; Dofus Émeraude; Dofus Ocre; Remueur; Bousculeur majeur; Culbuteur majeur; Guérisseur majeur; Muldo Orchidée et Pourpre</t>
        </is>
      </c>
    </row>
    <row r="26272">
      <c r="A26272" t="inlineStr">
        <is>
          <t>CRA FUOCO AGI RES</t>
        </is>
      </c>
      <c r="B26272">
        <f>HYPERLINK("https://www.dofusbook.net/fr/equipement/2021080-cra-fuoco-agi-res/objets", "link")</f>
        <v/>
      </c>
      <c r="C26272" t="n">
        <v>0</v>
      </c>
      <c r="D26272" t="inlineStr">
        <is>
          <t>Sabres d'Atcham; Amulette de l'Œil Putride; Anneau de Padgref; Alliance Gloursonne; Quatre-feuilles; Ceintacé; Capuche de l'Œil Putride; Cape d'Atcham; Getas de Padgref; Dofus des Glaces; Dofus Nébuleux; Dofus Pourpre; Dolmanax; Dofus Turquoise; Dofus Ocre; Muldo Prune et Emeraude</t>
        </is>
      </c>
    </row>
    <row r="26273">
      <c r="A26273" t="inlineStr">
        <is>
          <t>DANZAL SPINGITUTTO</t>
        </is>
      </c>
      <c r="B26273">
        <f>HYPERLINK("https://www.dofusbook.net/fr/equipement/2020086-danzal-spingitutto/objets", "link")</f>
        <v/>
      </c>
      <c r="C26273" t="n">
        <v>0</v>
      </c>
      <c r="D26273" t="inlineStr">
        <is>
          <t>Dagoulinantes; Amulette de Shokkoth; Goulano; Alliance Gloursonne; Bouclier Taverne; Ceintacé; Masque d'Anerice; Cape d'Anerice; Bottes Owesli; Dofus Émeraude; Dofus Turquoise; Miraculé majeur; Remueur; Culbuteur majeur; Chanceux majeur; Muldo Orchidée et Ivoire</t>
        </is>
      </c>
    </row>
    <row r="26274">
      <c r="A26274" t="inlineStr">
        <is>
          <t>ALL 50 RES</t>
        </is>
      </c>
      <c r="B26274">
        <f>HYPERLINK("https://www.dofusbook.net/fr/equipement/2019654-all-50-res/objets", "link")</f>
        <v/>
      </c>
      <c r="C26274" t="n">
        <v>0</v>
      </c>
      <c r="D26274" t="inlineStr">
        <is>
          <t>Poolache; Amulette du Strigide; Anneau Chevelu; Bague Gloursonne; Bouclier du Captain Amakna; Ceintacé; Casque de Missiz Frizz; Voile d'encre; Bottes du Strigide; Dofus Pourpre; Dofus Turquoise; Dofus Nébuleux; Enragé majeur; Vigoureux majeur; Remueur; Muldo Orchidée et Pourpre</t>
        </is>
      </c>
    </row>
    <row r="26275">
      <c r="A26275" t="inlineStr">
        <is>
          <t>TOP FECA FEU</t>
        </is>
      </c>
      <c r="B26275">
        <f>HYPERLINK("https://www.dofusbook.net/fr/equipement/2012883-top-feca-feu/objets", "link")</f>
        <v/>
      </c>
      <c r="C26275" t="n">
        <v>0</v>
      </c>
      <c r="D26275" t="inlineStr">
        <is>
          <t>Baguette de Malléfisk; Pendentif affamé; Bague Trithon; Anneau Rifique; Sept ans de malheur; Ceinture de Vortex; Cagoule de Vortex; Cape de Diondin; Bottes Innommables; Guérisseur majeur; Remueur; Érudit majeur; Temporiseur majeur; Obstructeur majeur; Étourdisseur majeur; Muldo Roux et Orchidée</t>
        </is>
      </c>
    </row>
    <row r="26276">
      <c r="A26276" t="inlineStr">
        <is>
          <t>fuoco 6 mila</t>
        </is>
      </c>
      <c r="B26276">
        <f>HYPERLINK("https://www.dofusbook.net/fr/equipement/2011490-fuoco-6-mila/objets", "link")</f>
        <v/>
      </c>
      <c r="C26276" t="n">
        <v>1</v>
      </c>
      <c r="D26276" t="inlineStr">
        <is>
          <t>Baguette de Malléfisk; Pendentif affamé; Anneau Rifique; Anneauræus; Carapar; Ceinture de Vortex; Cagoule de Vortex; Cape de Diondin; Bottes Innommables; Dofus Ivoire; Dofus Abyssal; Déserteur majeur; Étourdisseur majeur; Érudit majeur; Remueur; Muldo Orchidée et Pourpre</t>
        </is>
      </c>
    </row>
    <row r="26277">
      <c r="A26277" t="inlineStr">
        <is>
          <t>uginak 7 MILA pv</t>
        </is>
      </c>
      <c r="B26277">
        <f>HYPERLINK("https://www.dofusbook.net/fr/equipement/2009451-uginak-7-mila-pv/objets", "link")</f>
        <v/>
      </c>
      <c r="C26277" t="n">
        <v>0</v>
      </c>
      <c r="D26277" t="inlineStr">
        <is>
          <t>Manthache; Collier du Valet Veinard; Alliance Gloursonne; Gant du Valet Veinard; Bouclier d'Ilyzaelle; Menoture; Casque Dragoeuf; Cape Indescriptible; Palmes Trithons; Dofus Émeraude; Dofus Nébuleux; Dofus des Glaces; Cascadeur majeur; Miraculé majeur; Remueur; Muldo Ebène</t>
        </is>
      </c>
    </row>
    <row r="26278">
      <c r="A26278" t="inlineStr">
        <is>
          <t>MULTI RES 12/6</t>
        </is>
      </c>
      <c r="B26278">
        <f>HYPERLINK("https://www.dofusbook.net/fr/equipement/1997617-multi-res-12-6/objets", "link")</f>
        <v/>
      </c>
      <c r="C26278" t="n">
        <v>0</v>
      </c>
      <c r="D26278" t="inlineStr">
        <is>
          <t>Arc du Chalœil; Amulette du Strigide; Anneau Crustique; Bague Gloursonne; Bouclier d'Ilyzaelle; Ceinture du Strigide; Masque de Koutoulou; Cape du Cœur Saignant; Bottes de la Cour Sombre; Dofus Turquoise; Dofus Émeraude; Dofus Nébuleux; Enragé majeur; Miraculé majeur; Remueur; Muldo Orchidée et Pourpre</t>
        </is>
      </c>
    </row>
    <row r="26279">
      <c r="A26279" t="inlineStr">
        <is>
          <t>CHA INT TOP</t>
        </is>
      </c>
      <c r="B26279">
        <f>HYPERLINK("https://www.dofusbook.net/fr/equipement/1989794-cha-int-top/objets", "link")</f>
        <v/>
      </c>
      <c r="C26279" t="n">
        <v>0</v>
      </c>
      <c r="D26279" t="inlineStr">
        <is>
          <t>Épée Brûlâme; Amulette du Strigide; Bague Gloursonne; Anneau Tique; Bouclier du Captain Amakna; Ceintacé; Chapeau Lisson; Cape de la Dame du Hasard; Bottes de la Dame du Hasard; Dofus Turquoise; Dofus Nébuleux; Dofus Émeraude; Dofus Pourpre; Vigoureux majeur; Remueur; Muldo Orchidée</t>
        </is>
      </c>
    </row>
    <row r="26280">
      <c r="A26280" t="inlineStr">
        <is>
          <t>TOP UGINAK 3</t>
        </is>
      </c>
      <c r="B26280">
        <f>HYPERLINK("https://www.dofusbook.net/fr/equipement/1940588-top-uginak-3/objets", "link")</f>
        <v/>
      </c>
      <c r="C26280" t="n">
        <v>0</v>
      </c>
      <c r="D26280" t="inlineStr">
        <is>
          <t>Lance corrompue; Amulette du Cœur Vaillant; Anneau des égarés; Alliance Brûlâme; Bouclier du Captain Amakna; Ceinture de la Reine des Voleurs; Coiffe de la Reine des Voleurs; Cape du Kamasterisk; Baleinabottes; Dofus des Glaces; Dofus Pourpre; Dofus Nébuleux; Enragé majeur; Remueur; Vigoureux majeur; Muldo Ebène et Orchidée</t>
        </is>
      </c>
    </row>
    <row r="26281">
      <c r="A26281" t="inlineStr">
        <is>
          <t>TOP TERRA</t>
        </is>
      </c>
      <c r="B26281">
        <f>HYPERLINK("https://www.dofusbook.net/fr/equipement/1956181-top-terra/objets", "link")</f>
        <v/>
      </c>
      <c r="C26281" t="n">
        <v>0</v>
      </c>
      <c r="D26281" t="inlineStr">
        <is>
          <t>Dagues d'Ilyzaelle; Amulette du Cœur Saignant; Bague Gloursonne; Anneau Chevelu; Bouclier du Captain Amakna; Ceintacé; Masque de Koutoulou; Cape au Logis; Bottes du Cœur Saignant; Dofus Turquoise; Dofus Pourpre; Dofus Nébuleux; Dofus des Glaces; Enragé majeur; Vigoureux majeur; Kompost</t>
        </is>
      </c>
    </row>
    <row r="26282">
      <c r="A26282" t="inlineStr">
        <is>
          <t>DANNI SPINTA TOP</t>
        </is>
      </c>
      <c r="B26282">
        <f>HYPERLINK("https://www.dofusbook.net/fr/equipement/1945954-danni-spinta-top/objets", "link")</f>
        <v/>
      </c>
      <c r="C26282" t="n">
        <v>0</v>
      </c>
      <c r="D26282" t="inlineStr">
        <is>
          <t>Arc du Chalœil; Amulette Luminescente; Anneau Chevelu; Bague Instable; Bouclier Taverne; Ceinture Luminescente; Casque Dragoeuf; Cape du Cœur Vaillant; Bottes Trithon; Dofus Ocre; Dofus Émeraude; Dofus Turquoise; Remueur; Bousculeur majeur; Culbuteur majeur; Muldo Ebène et Indigo</t>
        </is>
      </c>
    </row>
    <row r="26283">
      <c r="A26283" t="inlineStr">
        <is>
          <t>TOP UGINAK 2</t>
        </is>
      </c>
      <c r="B26283">
        <f>HYPERLINK("https://www.dofusbook.net/fr/equipement/1939641-top-uginak-2/objets", "link")</f>
        <v/>
      </c>
      <c r="C26283" t="n">
        <v>1</v>
      </c>
      <c r="D26283" t="inlineStr">
        <is>
          <t>Pelle de la Cour Sombre; Collier du Valet Veinard; Alliance Gloursonne; Gant du Valet Veinard; Bouclier du Captain Amakna; Ceinture de la Reine des Voleurs; Coiffe de la Reine des Voleurs; Cape du Valet Veinard; Bottes de la Reine des Voleurs; Dofus Abyssal; Dofus Ocre; Dofus Ivoire; Dofus Pourpre; Dofus Nébuleux; Dofus Émeraude; Muldo Ebène</t>
        </is>
      </c>
    </row>
    <row r="26284">
      <c r="A26284" t="inlineStr">
        <is>
          <t>TOP FECA</t>
        </is>
      </c>
      <c r="B26284">
        <f>HYPERLINK("https://www.dofusbook.net/fr/equipement/1939121-top-feca/objets", "link")</f>
        <v/>
      </c>
      <c r="C26284" t="n">
        <v>0</v>
      </c>
      <c r="D26284" t="inlineStr">
        <is>
          <t>Epée Gloursonne; Amulette du Strigide; Alliance Gloursonne; Bague Gloursonne; Bouclier du Captain Amakna; Ceinture du Strigide; Casque du Chalœil; Cape du Chalœil; Bottes du Strigide; Dofus Nébuleux; Dofus des Glaces; Dofus Ivoire; Dofus Pourpre; Dofus Turquoise; Dofus Ocre; Muldo Indigo et Orchidée</t>
        </is>
      </c>
    </row>
    <row r="26285">
      <c r="A26285" t="inlineStr">
        <is>
          <t>pvp uginak</t>
        </is>
      </c>
      <c r="B26285">
        <f>HYPERLINK("https://www.dofusbook.net/fr/equipement/1925120-pvp-uginak/objets", "link")</f>
        <v/>
      </c>
      <c r="C26285" t="n">
        <v>1</v>
      </c>
      <c r="D26285" t="inlineStr">
        <is>
          <t>Héqache; Amulette du Strigide; Bague Gloursonne; Anneau Crustique; Bouclier du Captain Amakna; Ceinture de la Reine des Voleurs; Coiffe de la Reine des Voleurs; Cape au Logis; Baleinabottes; Dofus Nébuleux; Dofus Turquoise; Dofus Émeraude; Enragé majeur; Miraculé majeur; Remueur; Kramkram</t>
        </is>
      </c>
    </row>
    <row r="26286">
      <c r="A26286" t="inlineStr">
        <is>
          <t>TOP UGI</t>
        </is>
      </c>
      <c r="B26286">
        <f>HYPERLINK("https://www.dofusbook.net/fr/equipement/1923698-top-ugi/objets", "link")</f>
        <v/>
      </c>
      <c r="C26286" t="n">
        <v>0</v>
      </c>
      <c r="D26286" t="inlineStr">
        <is>
          <t>Marteau des égarés; Amulette du Strigide; Chevalière du Roi Joueur; Alliance Gloursonne; Bouclier du Captain Amakna; Ceintacé; Casque du Chalœil; Cape d'Atcham; Bottes du Strigide; Dofus Pourpre; Dofus des Glaces; Dofus Turquoise; Dofus Nébuleux; Vigoureux majeur; Remueur; Muldo Ebène et Indigo</t>
        </is>
      </c>
    </row>
    <row r="26287">
      <c r="A26287" t="inlineStr">
        <is>
          <t>uginakrescc</t>
        </is>
      </c>
      <c r="B26287">
        <f>HYPERLINK("https://www.dofusbook.net/fr/equipement/1886690-uginakrescc/objets", "link")</f>
        <v/>
      </c>
      <c r="C26287" t="n">
        <v>0</v>
      </c>
      <c r="D26287" t="inlineStr">
        <is>
          <t>Arc du Chalœil; Amulette du Strigide; Anneau Chevelu; Bague Gloursonne; Quatre-feuilles; Ceinture de la Reine des Voleurs; Masque de Koutoulou; Voile d'encre; Bottes de la Reine des Voleurs; Dofus Pourpre; Dofus Nébuleux; Dofus Turquoise; Remueur; Vigoureux majeur; Enragé majeur; Muldo Indigo et Orchidée</t>
        </is>
      </c>
    </row>
    <row r="26288">
      <c r="A26288" t="inlineStr">
        <is>
          <t>TOP CRA</t>
        </is>
      </c>
      <c r="B26288">
        <f>HYPERLINK("https://www.dofusbook.net/fr/equipement/1910958-top-cra/objets", "link")</f>
        <v/>
      </c>
      <c r="C26288" t="n">
        <v>0</v>
      </c>
      <c r="D26288" t="inlineStr">
        <is>
          <t>Dagues Érhy; Amulette du Strigide; Chevalière du Roi Joueur; Bague Gloursonne; Bouclier du Captain Amakna; Ceinture du Strigide; Couronne du Roi Joueur; Voile d'encre; Bottes du Roi Joueur; Dofus Pourpre; Dofus Turquoise; Dofus Nébuleux; Dofus des Glaces; Vigoureux majeur; Remueur; Muldo Orchidée et Pourpre</t>
        </is>
      </c>
    </row>
    <row r="26289">
      <c r="A26289" t="inlineStr">
        <is>
          <t>arcodioecamostro</t>
        </is>
      </c>
      <c r="B26289">
        <f>HYPERLINK("https://www.dofusbook.net/fr/equipement/1899555-arcodioecamostro/objets", "link")</f>
        <v/>
      </c>
      <c r="C26289" t="n">
        <v>0</v>
      </c>
      <c r="D26289" t="inlineStr">
        <is>
          <t>Hache du Guerrier Zoth; Amulette du Strigide; Anneau de Padgref; Alliance Gloursonne; Bouclier du Captain Amakna; Ceinture du Strigide; Némès de Tal Kasha; Chevelure de Tal Kasha; Sandales de Tal Kasha; Dofus Ocre; Dofus Pourpre; Dolmanax; Dofus Turquoise; Dofus des Glaces; Dofus Nébuleux; Muldo Prune et Emeraude</t>
        </is>
      </c>
    </row>
    <row r="26290">
      <c r="A26290" t="inlineStr">
        <is>
          <t>zothh</t>
        </is>
      </c>
      <c r="B26290">
        <f>HYPERLINK("https://www.dofusbook.net/fr/equipement/1897764-zothh/objets", "link")</f>
        <v/>
      </c>
      <c r="C26290" t="n">
        <v>0</v>
      </c>
      <c r="D26290" t="inlineStr">
        <is>
          <t>Hache du Guerrier Zoth; Amulette du Strigide; Bague Gloursonne; Bracelet du Piloztère; Bouclier du Captain Amakna; Ceinture du Strigide; Chapeau Lisson; Voile d'encre; Bottes du Strigide; Dofus Turquoise; Dofus des Glaces; Dofus Nébuleux; Dolmanax; Dofus Pourpre; Dofus Ocre; Muldo Indigo et Orchidée</t>
        </is>
      </c>
    </row>
    <row r="26291">
      <c r="A26291" t="inlineStr">
        <is>
          <t>TOP OSA</t>
        </is>
      </c>
      <c r="B26291">
        <f>HYPERLINK("https://www.dofusbook.net/fr/equipement/1897424-top-osa/objets", "link")</f>
        <v/>
      </c>
      <c r="C26291" t="n">
        <v>0</v>
      </c>
      <c r="D26291" t="inlineStr">
        <is>
          <t>Baguette de Malléfisk; Amulette Ementaire Deluxe; Baguistik; Bague Gloursonne; Carapar; Ceintacé; Chapeau de Gein; Voile d'encre; Bottistik; Dofus Turquoise; Dolmanax; Dofus des Glaces; Dofus Nébuleux; Remueur; Enragé majeur; Muldo Orchidée et Pourpre</t>
        </is>
      </c>
    </row>
    <row r="26292">
      <c r="A26292" t="inlineStr">
        <is>
          <t>fullchafeu</t>
        </is>
      </c>
      <c r="B26292">
        <f>HYPERLINK("https://www.dofusbook.net/fr/equipement/1864968-fullchafeu/objets", "link")</f>
        <v/>
      </c>
      <c r="C26292" t="n">
        <v>0</v>
      </c>
      <c r="D26292" t="inlineStr">
        <is>
          <t>Epée Gloursonne; Amulette du Strigide; Bague Gloursonne; Alliance Gloursonne; Bouclier du Captain Amakna; Ceinture du Strigide; Casque du Chalœil; Cape du Chalœil; Bottes du Strigide; Dofus des Glaces; Dofus Pourpre; Dofus Émeraude; Dofus Turquoise; Dofus Ocre; Dofus Nébuleux; Muldo Indigo</t>
        </is>
      </c>
    </row>
    <row r="26293">
      <c r="A26293" t="inlineStr">
        <is>
          <t>sacridopurokolo</t>
        </is>
      </c>
      <c r="B26293">
        <f>HYPERLINK("https://www.dofusbook.net/fr/equipement/1857382-sacridopurokolo/objets", "link")</f>
        <v/>
      </c>
      <c r="C26293" t="n">
        <v>0</v>
      </c>
      <c r="D26293" t="inlineStr">
        <is>
          <t>Arc de Koutoulou; Amulette du Strigide; Bracelet du Piloztère; Alliance Gloursonne; Bouclier du Captain Amakna; Ceinture du Strigide; Némès de Tal Kasha; Chevelure de Tal Kasha; Sandales de Tal Kasha; Dofus Pourpre; Dolmanax; Dofus Turquoise; Dofus Ocre; Dofus Nébuleux; Dofus des Glaces; Muldo Ebène et Indigo</t>
        </is>
      </c>
    </row>
    <row r="26294">
      <c r="A26294" t="inlineStr">
        <is>
          <t>goultarminatorrr</t>
        </is>
      </c>
      <c r="B26294">
        <f>HYPERLINK("https://www.dofusbook.net/fr/equipement/1439075-goultarminatorrr/objets", "link")</f>
        <v/>
      </c>
      <c r="C26294" t="n">
        <v>0</v>
      </c>
      <c r="D26294" t="inlineStr">
        <is>
          <t>Arc du Chalœil; Amulette du Strigide; Chevalière du Roi Joueur; Bague Gloursonne; Bouclier du Captain Amakna; Ceintacé; Masque d'Anerice; Cape d'Anerice; Bottes de la Cour Sombre; Dofus Pourpre; Dofus Turquoise; Dofus Nébuleux; Remueur; Enragé majeur; Vigoureux majeur; Muldo Indigo et Ivoire</t>
        </is>
      </c>
    </row>
    <row r="26295">
      <c r="A26295" t="inlineStr">
        <is>
          <t>fullairugi</t>
        </is>
      </c>
      <c r="B26295">
        <f>HYPERLINK("https://www.dofusbook.net/fr/equipement/1845528-fullairugi/objets", "link")</f>
        <v/>
      </c>
      <c r="C26295" t="n">
        <v>0</v>
      </c>
      <c r="D26295" t="inlineStr">
        <is>
          <t>Manthache; Collier du Valet Veinard; Alliance Gloursonne; Gant du Valet Veinard; Bouclier du Captain Amakna; Ceinture de la Reine des Voleurs; Casque Dragoeuf; Cape du Valet Veinard; Bottes de la Reine des Voleurs; Dofus des Glaces; Dofus Émeraude; Dofus Ocre; Dofus Nébuleux; Dofus Pourpre; Dofus Abyssal; Muldo Ebène</t>
        </is>
      </c>
    </row>
    <row r="26296">
      <c r="A26296" t="inlineStr">
        <is>
          <t>purchiddioo</t>
        </is>
      </c>
      <c r="B26296">
        <f>HYPERLINK("https://www.dofusbook.net/fr/equipement/1845050-purchiddioo/objets", "link")</f>
        <v/>
      </c>
      <c r="C26296" t="n">
        <v>0</v>
      </c>
      <c r="D26296" t="inlineStr">
        <is>
          <t>Marteau de Katrepat; Amulette du Strigide; Bague Gloursonne; Goulano; Bouclier du Captain Amakna; Ceinture du Strigide; Casque Dragoeuf; Voile d'encre; Bottes du Strigide; Dofus Turquoise; Dolmanax; Dofus Nébuleux; Dofus des Glaces; Dofus Pourpre; Dofus Ocre; Muldo Doré et Orchidée</t>
        </is>
      </c>
    </row>
    <row r="26297">
      <c r="A26297" t="inlineStr">
        <is>
          <t>ocra4ele</t>
        </is>
      </c>
      <c r="B26297">
        <f>HYPERLINK("https://www.dofusbook.net/fr/equipement/1844741-ocra4ele/objets", "link")</f>
        <v/>
      </c>
      <c r="C26297" t="n">
        <v>0</v>
      </c>
      <c r="D26297" t="inlineStr">
        <is>
          <t>Marteau des égarés; Amulette du Strigide; Bague Gloursonne; Anneau de Padgref; Bouclier du Stalak; Ceinture du Strigide; Le Dorado; Voile d'encre; Bottes du Chalœil; Dolmanax; Dofus des Glaces; Dofus Pourpre; Dofus Nébuleux; Dofus Turquoise; Remueur; Muldo Prune et Pourpre</t>
        </is>
      </c>
    </row>
    <row r="26298">
      <c r="A26298" t="inlineStr">
        <is>
          <t>danzaldaguerra</t>
        </is>
      </c>
      <c r="B26298">
        <f>HYPERLINK("https://www.dofusbook.net/fr/equipement/1777424-danzaldaguerra/objets", "link")</f>
        <v/>
      </c>
      <c r="C26298" t="n">
        <v>0</v>
      </c>
      <c r="D26298" t="inlineStr">
        <is>
          <t>Rapière aux Glyphes; Amulette du Sinistrofu; Bracelet des Fonds marins; Anneau Glacial; Bouclier du Captain Amakna; Ceinture Glaciale; Masque des Fonds marins; Cape du Sinistrofu; Bottes du Sinistrofu; Dofus Turquoise; Dofus des Glaces; Dofus Ocre; Dofus Nébuleux; Dofus Émeraude; Dofus Abyssal; Muldo Pourpre</t>
        </is>
      </c>
    </row>
    <row r="26299">
      <c r="A26299" t="inlineStr">
        <is>
          <t>uginakbah</t>
        </is>
      </c>
      <c r="B26299">
        <f>HYPERLINK("https://www.dofusbook.net/fr/equipement/1812424-uginakbah/objets", "link")</f>
        <v/>
      </c>
      <c r="C26299" t="n">
        <v>0</v>
      </c>
      <c r="D26299" t="inlineStr">
        <is>
          <t>Dagues de Srambad; Amulette Luminescente; Alliance Gloursonne; Bague Gloursonne; Bouclier du Captain Amakna; Ceinture de la Reine des Voleurs; Coiffe de la Reine des Voleurs; Cape Luminescente; Bottes de la Reine des Voleurs; Dofus des Glaces; Dofus Turquoise; Dofus Nébuleux; Dofus Pourpre; Dofus Ocre; Dolmanax; Muldo Ebène et Indigo</t>
        </is>
      </c>
    </row>
    <row r="26300">
      <c r="A26300" t="inlineStr">
        <is>
          <t>sacridostranissimo</t>
        </is>
      </c>
      <c r="B26300">
        <f>HYPERLINK("https://www.dofusbook.net/fr/equipement/1795987-sacridostranissimo/objets", "link")</f>
        <v/>
      </c>
      <c r="C26300" t="n">
        <v>0</v>
      </c>
      <c r="D26300" t="inlineStr">
        <is>
          <t>Hache du Korriandre; Amulette du Strigide; Alliance Gloursonne; Bracelet du Piloztère; Bouclier du Captain Amakna; Ceinture du Barbétoal; Némès de Tal Kasha; Chevelure de Tal Kasha; Bottes Voldelor; Dofus Pourpre; Dofus Ocre; Dofus des Glaces; Dofus Turquoise; Dofus Nébuleux; Remueur; Muldo Ebène et Indigo</t>
        </is>
      </c>
    </row>
    <row r="26301">
      <c r="A26301" t="inlineStr">
        <is>
          <t>osaterra</t>
        </is>
      </c>
      <c r="B26301">
        <f>HYPERLINK("https://www.dofusbook.net/fr/equipement/1790698-osaterra/objets", "link")</f>
        <v/>
      </c>
      <c r="C26301" t="n">
        <v>0</v>
      </c>
      <c r="D26301" t="inlineStr">
        <is>
          <t>Héqache; Amulette Héroclite; Anneau Crustique; Anneau Chevelu; Bouclier du Captain Amakna; Ceinture de Brouce; Masque de Koutoulou; Voile d'encre; Bottes de Brouce; Dofus Nébuleux; Dofus Turquoise; Carapace Air majeur; Carapace Terre majeur; Enragé majeur; Remueur; Muldo Orchidée et Pourpre</t>
        </is>
      </c>
    </row>
    <row r="26302">
      <c r="A26302" t="inlineStr">
        <is>
          <t>sacripvrestank</t>
        </is>
      </c>
      <c r="B26302">
        <f>HYPERLINK("https://www.dofusbook.net/fr/equipement/1783120-sacripvrestank/objets", "link")</f>
        <v/>
      </c>
      <c r="C26302" t="n">
        <v>0</v>
      </c>
      <c r="D26302" t="inlineStr">
        <is>
          <t>Arc de Koutoulou; Amulette du Strigide; Anneau de Padgref; Alliance Gloursonne; Quatre-feuilles; Menoture; Némès de Tal Kasha; Chevelure de Tal Kasha; Bottes Voldelor; Dofus des Glaces; Dofus Turquoise; Dofus Pourpre; Dofus Nébuleux; Remueur; Cascadeur majeur; Muldo Prune et Emeraude</t>
        </is>
      </c>
    </row>
    <row r="26303">
      <c r="A26303" t="inlineStr">
        <is>
          <t>topelio</t>
        </is>
      </c>
      <c r="B26303">
        <f>HYPERLINK("https://www.dofusbook.net/fr/equipement/1776080-topelio/objets", "link")</f>
        <v/>
      </c>
      <c r="C26303" t="n">
        <v>0</v>
      </c>
      <c r="D26303" t="inlineStr">
        <is>
          <t>Sabres d'Atcham; Amulette du Strigide; Anneau de Padgref; Alliance Gloursonne; Bouclier du Captain Amakna; Ceintacé; Casque Dragoeuf; Cape de la Dame du Hasard; Sandales  d'Atcham; Dofus Pourpre; Dofus Nébuleux; Dofus des Glaces; Dofus Turquoise; Remueur; Vigoureux majeur; Muldo Prune et Ebène</t>
        </is>
      </c>
    </row>
    <row r="26304">
      <c r="A26304" t="inlineStr">
        <is>
          <t>sadidakolo</t>
        </is>
      </c>
      <c r="B26304">
        <f>HYPERLINK("https://www.dofusbook.net/fr/equipement/1773055-sadidakolo/objets", "link")</f>
        <v/>
      </c>
      <c r="C26304" t="n">
        <v>0</v>
      </c>
      <c r="D26304" t="inlineStr">
        <is>
          <t>Hache Téroïde; Amulette du Strigide; Bracelet du Piloztère; Chevalière du Roi Joueur; Bouclier du Captain Amakna; Ceintacé; Chapeau de Gein; Voile d'encre; Bottes du Roi Joueur; Dofus Pourpre; Dofus Turquoise; Dofus Nébuleux; Vigoureux majeur; Remueur; Enragé majeur; Muldo Pourpre</t>
        </is>
      </c>
    </row>
    <row r="26305">
      <c r="A26305" t="inlineStr">
        <is>
          <t>toppandakolo</t>
        </is>
      </c>
      <c r="B26305">
        <f>HYPERLINK("https://www.dofusbook.net/fr/equipement/1771098-toppandakolo/objets", "link")</f>
        <v/>
      </c>
      <c r="C26305" t="n">
        <v>0</v>
      </c>
      <c r="D26305" t="inlineStr">
        <is>
          <t>Arc Hétype; Pendentif affamé; Bague Gloursonne; Chevalière du Roi Joueur; Quatre-feuilles; Ceintacé; Casque Dragoeuf; Voile d'encre; Bottes Innommables; Dofus Abyssal; Dofus Turquoise; Dofus Nébuleux; Remueur; Fonceur majeur; Érudit majeur; Muldo Turquoise et Ivoire</t>
        </is>
      </c>
    </row>
    <row r="26306">
      <c r="A26306" t="inlineStr">
        <is>
          <t>fulll res</t>
        </is>
      </c>
      <c r="B26306">
        <f>HYPERLINK("https://www.dofusbook.net/fr/equipement/1747573-fulll-res/objets", "link")</f>
        <v/>
      </c>
      <c r="C26306" t="n">
        <v>0</v>
      </c>
      <c r="D26306" t="inlineStr">
        <is>
          <t>Hache Téroïde; Amulette du Strigide; Chevalière du Roi Joueur; Bague Gloursonne; Bouclier du Captain Amakna; Ceintacé; Casque Dragoeuf; Voile d'encre; Bottes du Strigide; Dofus Pourpre; Dofus Nébuleux; Dofus Turquoise; Vigoureux majeur; Enragé majeur; Remueur; Muldo Pourpre</t>
        </is>
      </c>
    </row>
    <row r="26307">
      <c r="A26307" t="inlineStr">
        <is>
          <t>Uginak2set</t>
        </is>
      </c>
      <c r="B26307">
        <f>HYPERLINK("https://www.dofusbook.net/fr/equipement/1741374-uginak2set/objets", "link")</f>
        <v/>
      </c>
      <c r="C26307" t="n">
        <v>0</v>
      </c>
      <c r="D26307" t="inlineStr">
        <is>
          <t>Sabres d'Atcham; Amulette du Strigide; Anneau de Padgref; Bague Gloursonne; Quatre-feuilles; Ceinture du Strigide; Coiffe de Padgref; Cape d'Atcham; Sandales  d'Atcham; Dofus Pourpre; Dofus Ocre; Dofus des Glaces; Dofus Turquoise; Dofus Vulbis; Dofus Nébuleux; Kramkram</t>
        </is>
      </c>
    </row>
    <row r="26308">
      <c r="A26308" t="inlineStr">
        <is>
          <t>krip-to</t>
        </is>
      </c>
      <c r="B26308">
        <f>HYPERLINK("https://www.dofusbook.net/fr/equipement/1721486-krip-to/objets", "link")</f>
        <v/>
      </c>
      <c r="C26308" t="n">
        <v>0</v>
      </c>
      <c r="D26308" t="inlineStr">
        <is>
          <t>Hache Téroïde; Amulette du Strigide; Bague Gloursonne; Chevalière du Roi Joueur; Bouclier du Captain Amakna; Ceintacé; Chapeau de Gein; Voile d'encre; Bottes du Strigide; Dofus Nébuleux; Dofus Pourpre; Dofus Turquoise; Enragé majeur; Remueur; Vigoureux majeur; Muldo Pourpre</t>
        </is>
      </c>
    </row>
    <row r="26309">
      <c r="A26309" t="inlineStr">
        <is>
          <t>waaa</t>
        </is>
      </c>
      <c r="B26309">
        <f>HYPERLINK("https://www.dofusbook.net/fr/equipement/1734556-waaa/objets", "link")</f>
        <v/>
      </c>
      <c r="C26309" t="n">
        <v>0</v>
      </c>
      <c r="D26309" t="inlineStr">
        <is>
          <t>Epée Maudite du Saigneur Guerrier; Amulette du Strigide; Anneau Chevelu; Bague Gloursonne; Bouclier du Captain Amakna; Ceinture du Strigide; Bonnet Ko; Voile d'encre; Bottes du Cycloïde; Dofus Turquoise; Dofus Pourpre; Dofus Nébuleux; Dofus Ocre; Remueur; Nomade; Muldo Prune et Emeraude</t>
        </is>
      </c>
    </row>
    <row r="26310">
      <c r="A26310" t="inlineStr">
        <is>
          <t>sacricha</t>
        </is>
      </c>
      <c r="B26310">
        <f>HYPERLINK("https://www.dofusbook.net/fr/equipement/1717585-sacricha/objets", "link")</f>
        <v/>
      </c>
      <c r="C26310" t="n">
        <v>0</v>
      </c>
      <c r="D26310" t="inlineStr">
        <is>
          <t>Rapière aux Glyphes; Amulette de Shokkoth; Pikano; Alliance Gloursonne; Bouclier du Captain Amakna; Pagne du Rykaon; Kidibonnet; Cape du Sinistrofu; Bottes du Sinistrofu; Dofus Abyssal; Dofus Émeraude; Dofus Nébuleux; Dofus Turquoise; Chanceux majeur; Remueur; Muldo Indigo et Orchidée</t>
        </is>
      </c>
    </row>
    <row r="26311">
      <c r="A26311" t="inlineStr">
        <is>
          <t>sacri chafeu</t>
        </is>
      </c>
      <c r="B26311">
        <f>HYPERLINK("https://www.dofusbook.net/fr/equipement/1716992-sacri-chafeu/objets", "link")</f>
        <v/>
      </c>
      <c r="C26311" t="n">
        <v>0</v>
      </c>
      <c r="D26311" t="inlineStr">
        <is>
          <t>Arc Nécrotique; Amulette du Strigide; Goulano; Anneau Tique; Quatre-feuilles; Ceinture de l'Indicible; Le Dorado; Cape de la Dame du Hasard; Bottes de la Dame du Hasard; Dofus Pourpre; Dofus Abyssal; Dofus Émeraude; Dofus Turquoise; Dofus Nébuleux; Remueur; Muldo Indigo et Orchidée</t>
        </is>
      </c>
    </row>
    <row r="26312">
      <c r="A26312" t="inlineStr">
        <is>
          <t>etramspaccaculi</t>
        </is>
      </c>
      <c r="B26312">
        <f>HYPERLINK("https://www.dofusbook.net/fr/equipement/1677831-etramspaccaculi/objets", "link")</f>
        <v/>
      </c>
      <c r="C26312" t="n">
        <v>0</v>
      </c>
      <c r="D26312" t="inlineStr">
        <is>
          <t>Marteau de Katrepat; Amulette du Strigide; Chevalière du Roi Joueur; Bague Gloursonne; Bouclier du Captain Amakna; Ceinture du Strigide; Bonnet Ko; Voile d'encre; Bottes du Cycloïde; Dofus Pourpre; Dofus Ocre; Dofus Turquoise; Dofus Nébuleux; Remueur; Nomade; Muldo Pourpre</t>
        </is>
      </c>
    </row>
    <row r="26313">
      <c r="A26313" t="inlineStr">
        <is>
          <t>anticra</t>
        </is>
      </c>
      <c r="B26313">
        <f>HYPERLINK("https://www.dofusbook.net/fr/equipement/1700248-anticra/objets", "link")</f>
        <v/>
      </c>
      <c r="C26313" t="n">
        <v>0</v>
      </c>
      <c r="D26313" t="inlineStr">
        <is>
          <t>Manthache; Collier du Valet Veinard; Alliance Gloursonne; Gant du Valet Veinard; Cadran de Terre; Ceinture de la Reine des Voleurs; Coiffe de la Reine des Voleurs; Cape du Valet Veinard; Bottes de la Reine des Voleurs; Dofus Abyssal; Dofus Ocre; Dofus Nébuleux; Dofus des Glaces; Dolmanax; Paralyseur majeur; Muldo Ebène</t>
        </is>
      </c>
    </row>
    <row r="26314">
      <c r="A26314" t="inlineStr">
        <is>
          <t>yopspaccaculi2</t>
        </is>
      </c>
      <c r="B26314">
        <f>HYPERLINK("https://www.dofusbook.net/fr/equipement/1699566-yopspaccaculi2/objets", "link")</f>
        <v/>
      </c>
      <c r="C26314" t="n">
        <v>0</v>
      </c>
      <c r="D26314" t="inlineStr">
        <is>
          <t>Epée Toche; Amulette du Strigide; Gelano; Bague Gloursonne; Bouclier du Captain Amakna; Ceinture du Strigide; Chapeau du Comte Razof; Voile d'encre; Bottes du Roi Joueur; Dofus Turquoise; Dofus Ocre; Dofus Pourpre; Dofus Nébuleux; Remueur; Vigoureux majeur; Muldo Orchidée et Pourpre</t>
        </is>
      </c>
    </row>
    <row r="26315">
      <c r="A26315" t="inlineStr">
        <is>
          <t>Yop-pvp</t>
        </is>
      </c>
      <c r="B26315">
        <f>HYPERLINK("https://www.dofusbook.net/fr/equipement/1690061-yop-pvp/objets", "link")</f>
        <v/>
      </c>
      <c r="C26315" t="n">
        <v>0</v>
      </c>
      <c r="D26315" t="inlineStr">
        <is>
          <t>Héqache; Torquistik; Bague Instable; Baguistik; Bouclier Taverne; Ceinture Luminescente; Casque Dragoeuf; Cape Luminescente; Bottistik; Dofus des Glaces; Dofus Abyssal; Dofus Ocre; Dokoko; Dofus Émeraude; Bousculeur majeur; Muldo Pourpre</t>
        </is>
      </c>
    </row>
    <row r="26316">
      <c r="A26316" t="inlineStr">
        <is>
          <t>ecapowa</t>
        </is>
      </c>
      <c r="B26316">
        <f>HYPERLINK("https://www.dofusbook.net/fr/equipement/1671058-ecapowa/objets", "link")</f>
        <v/>
      </c>
      <c r="C26316" t="n">
        <v>0</v>
      </c>
      <c r="D26316" t="inlineStr">
        <is>
          <t>Hache du Korriandre; Amulette du Strigide; Bracelet du Piloztère; Alliance Gloursonne; Bouclier du Captain Amakna; Ceintacé; Némès de Tal Kasha; Chevelure de Tal Kasha; Sandales  d'Atcham; Dofus Turquoise; Dolmanax; Dofus Nébuleux; Dofus Pourpre; Vigoureux majeur; Remueur; Muldo Prune et Emeraude</t>
        </is>
      </c>
    </row>
    <row r="26317">
      <c r="A26317" t="inlineStr">
        <is>
          <t>mostroyop</t>
        </is>
      </c>
      <c r="B26317">
        <f>HYPERLINK("https://www.dofusbook.net/fr/equipement/1670808-mostroyop/objets", "link")</f>
        <v/>
      </c>
      <c r="C26317" t="n">
        <v>0</v>
      </c>
      <c r="D26317" t="inlineStr">
        <is>
          <t>Epée Maudite du Saigneur Guerrier; Amulette du Strigide; Bague Gloursonne; Gelano; Bouclier du Captain Amakna; Ceinture du Strigide; Masque d'Anerice; Cape d'Anerice; Bottes du Strigide; Dofus des Glaces; Dofus Pourpre; Dolmanax; Dofus Turquoise; Dofus Ocre; Dofus Nébuleux; Muldo Prune et Emeraude</t>
        </is>
      </c>
    </row>
    <row r="26318">
      <c r="A26318" t="inlineStr">
        <is>
          <t>yop126</t>
        </is>
      </c>
      <c r="B26318">
        <f>HYPERLINK("https://www.dofusbook.net/fr/equipement/1666510-yop126/objets", "link")</f>
        <v/>
      </c>
      <c r="C26318" t="n">
        <v>0</v>
      </c>
      <c r="D26318" t="inlineStr">
        <is>
          <t>Epée Toche; Amulette du Strigide; Bague Gloursonne; Gelano; Bouclier du Captain Amakna; Ceinture du Strigide; Casque Dragoeuf; Voile d'encre; Bottes de la Cour Sombre; Dofus Ocre; Dofus Pourpre; Dofus Nébuleux; Dofus Turquoise; Remueur; Vigoureux majeur; Muldo Indigo et Orchidée</t>
        </is>
      </c>
    </row>
    <row r="26319">
      <c r="A26319" t="inlineStr">
        <is>
          <t>thesusmelosucchia</t>
        </is>
      </c>
      <c r="B26319">
        <f>HYPERLINK("https://www.dofusbook.net/fr/equipement/1663274-thesusmelosucchia/objets", "link")</f>
        <v/>
      </c>
      <c r="C26319" t="n">
        <v>0</v>
      </c>
      <c r="D26319" t="inlineStr">
        <is>
          <t>Epée Toche; Amulette du Strigide; Anneau Chevelu; Bague Gloursonne; Bouclier du Captain Amakna; Ceinture du Strigide; Bonnet Ko; Voile d'encre; Bottes de la Cour Sombre; Dofus Pourpre; Dofus Ocre; Dofus Turquoise; Dofus Nébuleux; Nomade; Remueur; Muldo Indigo et Orchidée</t>
        </is>
      </c>
    </row>
    <row r="26320">
      <c r="A26320" t="inlineStr">
        <is>
          <t>drakkonoob</t>
        </is>
      </c>
      <c r="B26320">
        <f>HYPERLINK("https://www.dofusbook.net/fr/equipement/1443211-drakkonoob/objets", "link")</f>
        <v/>
      </c>
      <c r="C26320" t="n">
        <v>0</v>
      </c>
      <c r="D26320" t="inlineStr">
        <is>
          <t>Héqache; Amulette du Strigide; Bracelet du Piloztère; Alliance Gloursonne; Cadran de Terre; Ceintouse; Chapoulpe; Voile d'encre; Baleinabottes; Dofus Turquoise; Dofus Nébuleux; Remueur; Paralyseur majeur; Obstructeur majeur; Étourdisseur majeur; Muldo Turquoise et Roux</t>
        </is>
      </c>
    </row>
    <row r="26321">
      <c r="A26321" t="inlineStr">
        <is>
          <t>sacriiiiiiii</t>
        </is>
      </c>
      <c r="B26321">
        <f>HYPERLINK("https://www.dofusbook.net/fr/equipement/1661035-sacriiiiiiii/objets", "link")</f>
        <v/>
      </c>
      <c r="C26321" t="n">
        <v>0</v>
      </c>
      <c r="D26321" t="inlineStr">
        <is>
          <t>Sabres d'Atcham; Amulette du Strigide; Anneau Tique; Alliance Gloursonne; Bouclier du Captain Amakna; Ceintacé; Masque d'Anerice; Cape d'Anerice; Bottes du Chalœil; Dolmanax; Dofus Nébuleux; Dofus Turquoise; Dofus Pourpre; Vigoureux majeur; Remueur; Muldo Ivoire et Emeraude</t>
        </is>
      </c>
    </row>
    <row r="26322">
      <c r="A26322" t="inlineStr">
        <is>
          <t>pvres</t>
        </is>
      </c>
      <c r="B26322">
        <f>HYPERLINK("https://www.dofusbook.net/fr/equipement/1621649-pvres/objets", "link")</f>
        <v/>
      </c>
      <c r="C26322" t="n">
        <v>0</v>
      </c>
      <c r="D26322" t="inlineStr">
        <is>
          <t>Héqache; Amulette du Strigide; Bague Trithon; Anneau Crustique; Bouclier du Captain Amakna; Ceintacé; Masque d'Anerice; Cape d'Anerice; Bottistik; Dofus Turquoise; Dofus Émeraude; Enragé majeur; Remueur; Carapace Neutre majeur; Miraculé majeur; Muldo Orchidée et Pourpre</t>
        </is>
      </c>
    </row>
    <row r="26323">
      <c r="A26323" t="inlineStr">
        <is>
          <t>monsteryop</t>
        </is>
      </c>
      <c r="B26323">
        <f>HYPERLINK("https://www.dofusbook.net/fr/equipement/1579030-monsteryop/objets", "link")</f>
        <v/>
      </c>
      <c r="C26323" t="n">
        <v>0</v>
      </c>
      <c r="D26323" t="inlineStr">
        <is>
          <t>Hache Téroïde; Amulette du Strigide; Bague Gloursonne; Anneau Chevelu; Bouclier du Captain Amakna; Ceintacé; Masque d'Anerice; Cape d'Anerice; Bottes de la Cour Sombre; Dofus Pourpre; Dofus Nébuleux; Dofus Turquoise; Enragé majeur; Vigoureux majeur; Remueur; Muldo Orchidée et Ivoire</t>
        </is>
      </c>
    </row>
    <row r="26324">
      <c r="A26324" t="inlineStr">
        <is>
          <t>fullcc</t>
        </is>
      </c>
      <c r="B26324">
        <f>HYPERLINK("https://www.dofusbook.net/fr/equipement/1601539-fullcc/objets", "link")</f>
        <v/>
      </c>
      <c r="C26324" t="n">
        <v>0</v>
      </c>
      <c r="D26324" t="inlineStr">
        <is>
          <t>Hache du Korriandre; Amulette du Strigide; Anneau de Padgref; Alliance Gloursonne; Bouclier du Captain Amakna; Ceintacé; Némès de Tal Kasha; Chevelure de Tal Kasha; Bottes Voldelor; Dofus Turquoise; Dofus Nébuleux; Dofus Pourpre; Remueur; Vigoureux majeur; Étourdisseur majeur; Muldo Prune et Emeraude</t>
        </is>
      </c>
    </row>
    <row r="26325">
      <c r="A26325" t="inlineStr">
        <is>
          <t>ariaimmortal</t>
        </is>
      </c>
      <c r="B26325">
        <f>HYPERLINK("https://www.dofusbook.net/fr/equipement/1594733-ariaimmortal/objets", "link")</f>
        <v/>
      </c>
      <c r="C26325" t="n">
        <v>0</v>
      </c>
      <c r="D26325" t="inlineStr">
        <is>
          <t>Manthache; Pendentif mignon de Koutoulou; Anneau Rifique; Alliance Gloursonne; Bouclier du Captain Amakna; Menoture; Capuche de Moum-Ra; Cape Indescriptible; Palmes Trithons; Dofus Émeraude; Dofus des Glaces; Dofus Nébuleux; Cascadeur majeur; Miraculé majeur; Remueur; Muldo Ebène</t>
        </is>
      </c>
    </row>
    <row r="26326">
      <c r="A26326" t="inlineStr">
        <is>
          <t>uginakimmortale</t>
        </is>
      </c>
      <c r="B26326">
        <f>HYPERLINK("https://www.dofusbook.net/fr/equipement/1586320-uginakimmortale/objets", "link")</f>
        <v/>
      </c>
      <c r="C26326" t="n">
        <v>0</v>
      </c>
      <c r="D26326" t="inlineStr">
        <is>
          <t>Marteau des égarés; Amulette du Strigide; Alliance Gloursonne; Pikano; Bouclier du Captain Amakna; Ceintacé; Chapeau Lisson; Cape d'Anerice; Bottes du Strigide; Dolmanax; Dofus des Glaces; Dofus Pourpre; Dofus Nébuleux; Dofus Turquoise; Remueur; Muldo Prune et Emeraude</t>
        </is>
      </c>
    </row>
    <row r="26327">
      <c r="A26327" t="inlineStr">
        <is>
          <t>mortale</t>
        </is>
      </c>
      <c r="B26327">
        <f>HYPERLINK("https://www.dofusbook.net/fr/equipement/1586133-mortale/objets", "link")</f>
        <v/>
      </c>
      <c r="C26327" t="n">
        <v>0</v>
      </c>
      <c r="D26327" t="inlineStr">
        <is>
          <t>Marteau de Katrepat; Amulette du Strigide; Chevalière du Roi Joueur; Bague Gloursonne; Bouclier du Captain Amakna; Ceintacé; Masque du Katcheur; Voile d'encre; Bottes du Strigide; Dolmanax; Dofus Pourpre; Dofus Turquoise; Dofus Nébuleux; Remueur; Vigoureux majeur; Muldo Pourpre</t>
        </is>
      </c>
    </row>
    <row r="26328">
      <c r="A26328" t="inlineStr">
        <is>
          <t>bestsacriofecho</t>
        </is>
      </c>
      <c r="B26328">
        <f>HYPERLINK("https://www.dofusbook.net/fr/equipement/1578806-bestsacriofecho/objets", "link")</f>
        <v/>
      </c>
      <c r="C26328" t="n">
        <v>0</v>
      </c>
      <c r="D26328" t="inlineStr">
        <is>
          <t>Harpelle; Pendentif affamé; Anneau Tique; Chevalière du Roi Joueur; Bouclier du Captain Amakna; Ceintacé; Masque d'Anerice; Cape d'Anerice; Bottes Innommables; Dofus Nébuleux; Dofus Turquoise; Dofus Émeraude; Érudit majeur; Miraculé majeur; Remueur; Muldo Orchidée et Pourpre</t>
        </is>
      </c>
    </row>
    <row r="26329">
      <c r="A26329" t="inlineStr">
        <is>
          <t>bestosaecho</t>
        </is>
      </c>
      <c r="B26329">
        <f>HYPERLINK("https://www.dofusbook.net/fr/equipement/1578600-bestosaecho/objets", "link")</f>
        <v/>
      </c>
      <c r="C26329" t="n">
        <v>0</v>
      </c>
      <c r="D26329" t="inlineStr">
        <is>
          <t>Baguette de Malléfisk; Pendentif affamé; Anneau Tique; Anneau de Nidas; Bouclier d'Anerice; Protopagne; Casque Cyclopéen; Cape d'Anerice; Bottes Innommables; Dofus Ocre; Dofus Émeraude; Érudit majeur; Remueur; Déserteur majeur; Guérisseur majeur; Kramkram</t>
        </is>
      </c>
    </row>
    <row r="26330">
      <c r="A26330" t="inlineStr">
        <is>
          <t>martellotutto</t>
        </is>
      </c>
      <c r="B26330">
        <f>HYPERLINK("https://www.dofusbook.net/fr/equipement/1566814-martellotutto/objets", "link")</f>
        <v/>
      </c>
      <c r="C26330" t="n">
        <v>0</v>
      </c>
      <c r="D26330" t="inlineStr">
        <is>
          <t>Marteau des égarés; Amulette du Strigide; Bague Gloursonne; Anneau de Padgref; Quatre-feuilles; Ceintacé; Chapeau de Gein; Voile d'encre; Bottes du Strigide; Dofus Turquoise; Dolmanax; Dofus Pourpre; Dofus Nébuleux; Remueur; Vigoureux majeur; Muldo Prune et Emeraude</t>
        </is>
      </c>
    </row>
    <row r="26331">
      <c r="A26331" t="inlineStr">
        <is>
          <t>enicancrissimo2</t>
        </is>
      </c>
      <c r="B26331">
        <f>HYPERLINK("https://www.dofusbook.net/fr/equipement/1559534-enicancrissimo2/objets", "link")</f>
        <v/>
      </c>
      <c r="C26331" t="n">
        <v>0</v>
      </c>
      <c r="D26331" t="inlineStr">
        <is>
          <t>Sabres d'Atcham; Amulette du Strigide; Alliance Gloursonne; Anneau Tique; Cadran de Terre; Ceinture de Vortex; Némès de Tal Kasha; Voile d'encre; Sandales  d'Atcham; Dofus Turquoise; Dofus Ocre; Dofus Nébuleux; Dofus Pourpre; Étourdisseur majeur; Remueur; Muldo Prune et Ebène</t>
        </is>
      </c>
    </row>
    <row r="26332">
      <c r="A26332" t="inlineStr">
        <is>
          <t>enicrancrissimo</t>
        </is>
      </c>
      <c r="B26332">
        <f>HYPERLINK("https://www.dofusbook.net/fr/equipement/1556156-enicrancrissimo/objets", "link")</f>
        <v/>
      </c>
      <c r="C26332" t="n">
        <v>0</v>
      </c>
      <c r="D26332" t="inlineStr">
        <is>
          <t>Plumeau Bil; Pendentif affamé; Anneau Tique; Chevalière du Roi Joueur; Carapar; Ceinture de Vortex; Couronne de Nidas; Voile d'encre; Sabots de Vortex; Dofus Ocre; Temporiseur majeur; Érudit majeur; Étourdisseur majeur; Remueur; Déserteur majeur; Muldo Turquoise et Ivoire</t>
        </is>
      </c>
    </row>
    <row r="26333">
      <c r="A26333" t="inlineStr">
        <is>
          <t>xelormassacro</t>
        </is>
      </c>
      <c r="B26333">
        <f>HYPERLINK("https://www.dofusbook.net/fr/equipement/1555090-xelormassacro/objets", "link")</f>
        <v/>
      </c>
      <c r="C26333" t="n">
        <v>0</v>
      </c>
      <c r="D26333" t="inlineStr">
        <is>
          <t>Arc du Chalœil; Amulette du Strigide; Bague Gloursonne; Anneau Chevelu; Bouclier du Captain Amakna; Ceinture du Strigide; Masque de Koutoulou; Cape au Logis; Bottes de la Cour Sombre; Dofus Turquoise; Dofus Nébuleux; Carapace Eau majeur; Enragé majeur; Carapace Terre majeur; Remueur; Kramkram</t>
        </is>
      </c>
    </row>
    <row r="26334">
      <c r="A26334" t="inlineStr">
        <is>
          <t>cancrosacri</t>
        </is>
      </c>
      <c r="B26334">
        <f>HYPERLINK("https://www.dofusbook.net/fr/equipement/1550919-cancrosacri/objets", "link")</f>
        <v/>
      </c>
      <c r="C26334" t="n">
        <v>0</v>
      </c>
      <c r="D26334" t="inlineStr">
        <is>
          <t>Sabres d'Atcham; Amulette du Strigide; Anneau Tique; Alliance Gloursonne; Bouclier du Captain Amakna; Ceinture du Strigide; Chapeau Lisson; Cape d'Atcham; Sandales  d'Atcham; Dofus Émeraude; Dolmanax; Dofus Pourpre; Dofus Nébuleux; Dofus Turquoise; Dofus Ocre; Muldo Ebène et Indigo</t>
        </is>
      </c>
    </row>
    <row r="26335">
      <c r="A26335" t="inlineStr">
        <is>
          <t>steroidifannomale</t>
        </is>
      </c>
      <c r="B26335">
        <f>HYPERLINK("https://www.dofusbook.net/fr/equipement/1540330-steroidifannomale/objets", "link")</f>
        <v/>
      </c>
      <c r="C26335" t="n">
        <v>0</v>
      </c>
      <c r="D26335" t="inlineStr">
        <is>
          <t>Hache Téroïde; Amulette du Strigide; Anneau Chevelu; Bague Gloursonne; Bouclier du Captain Amakna; Ceintacé; Chapeau de Gein; Voile d'encre; Bottes du Strigide; Dofus des Glaces; Dofus Pourpre; Dofus Nébuleux; Dofus Turquoise; Vigoureux majeur; Remueur; Muldo Prune et Emeraude</t>
        </is>
      </c>
    </row>
    <row r="26336">
      <c r="A26336" t="inlineStr">
        <is>
          <t>thebestsacriever</t>
        </is>
      </c>
      <c r="B26336">
        <f>HYPERLINK("https://www.dofusbook.net/fr/equipement/1511871-thebestsacriever/objets", "link")</f>
        <v/>
      </c>
      <c r="C26336" t="n">
        <v>0</v>
      </c>
      <c r="D26336" t="inlineStr">
        <is>
          <t>Sabres d'Atcham; Amulette du Strigide; Alliance Gloursonne; Bracelet du Piloztère; Bouclier du Captain Amakna; Ceintacé; Dorabysses; Cape du Chalœil; Sandales  d'Atcham; Dofus Pourpre; Dofus Émeraude; Dofus Turquoise; Dofus Nébuleux; Remueur; Carapace Air majeur; Muldo Indigo et Pourpre</t>
        </is>
      </c>
    </row>
    <row r="26337">
      <c r="A26337" t="inlineStr">
        <is>
          <t>uhm</t>
        </is>
      </c>
      <c r="B26337">
        <f>HYPERLINK("https://www.dofusbook.net/fr/equipement/1507464-uhm/objets", "link")</f>
        <v/>
      </c>
      <c r="C26337" t="n">
        <v>0</v>
      </c>
      <c r="D26337" t="inlineStr">
        <is>
          <t>Hache du Chalœil; Amulette Luminescente; Chevalière du Roi Joueur; Goulano; Quatre-feuilles; Ceinture Luminescente; Couronne du Roi Joueur; Cape Luminescente; Bottes du Roi Joueur; Dofus des Glaces; Dofus Turquoise; Dofus Ocre; Dofus Nébuleux; Dolmanax; Dofus Pourpre; Muldo Indigo et Orchidée</t>
        </is>
      </c>
    </row>
    <row r="26338">
      <c r="A26338" t="inlineStr">
        <is>
          <t>goultarminator2017</t>
        </is>
      </c>
      <c r="B26338">
        <f>HYPERLINK("https://www.dofusbook.net/fr/equipement/1476671-goultarminator2017/objets", "link")</f>
        <v/>
      </c>
      <c r="C26338" t="n">
        <v>0</v>
      </c>
      <c r="D26338" t="inlineStr">
        <is>
          <t>Epée Toche; Amulette du Strigide; Bague Gloursonne; Gelano; Bouclier du Captain Amakna; Ceinture du Strigide; Casque Dragoeuf; Voile d'encre; Bottes de la Cour Sombre; Dofus Turquoise; Dofus Pourpre; Dofus Ocre; Dofus Nébuleux; Vigoureux majeur; Remueur; Muldo Indigo et Orchidée</t>
        </is>
      </c>
    </row>
    <row r="26339">
      <c r="A26339" t="inlineStr">
        <is>
          <t>sacrigoultarminator</t>
        </is>
      </c>
      <c r="B26339">
        <f>HYPERLINK("https://www.dofusbook.net/fr/equipement/1490670-sacrigoultarminator/objets", "link")</f>
        <v/>
      </c>
      <c r="C26339" t="n">
        <v>0</v>
      </c>
      <c r="D26339" t="inlineStr">
        <is>
          <t>Sabres d'Atcham; Amulette du Strigide; Alliance Gloursonne; Bracelet du Piloztère; Bouclier du Captain Amakna; Ceintacé; Casque Dragoeuf; Cape d'Atcham; Bottes du Chalœil; Dofus Émeraude; Dofus Turquoise; Dofus Pourpre; Dofus Nébuleux; Vigoureux majeur; Remueur; Muldo Prune et Ebène</t>
        </is>
      </c>
    </row>
    <row r="26340">
      <c r="A26340" t="inlineStr">
        <is>
          <t>sramgultarminator</t>
        </is>
      </c>
      <c r="B26340">
        <f>HYPERLINK("https://www.dofusbook.net/fr/equipement/1495558-sramgultarminator/objets", "link")</f>
        <v/>
      </c>
      <c r="C26340" t="n">
        <v>0</v>
      </c>
      <c r="D26340" t="inlineStr">
        <is>
          <t>Héqache; Amulette du Strigide; Bracelet du Piloztère; Alliance Gloursonne; Bouclier du Captain Amakna; Ceintacé; Chapeau Lisson; Voile d'encre; Bottes du Strigide; Dofus Pourpre; Dofus Turquoise; Dofus Nébuleux; Enragé majeur; Remueur; Vigoureux majeur; Muldo Ebène et Pourpre</t>
        </is>
      </c>
    </row>
    <row r="26341">
      <c r="A26341" t="inlineStr">
        <is>
          <t>infuocato</t>
        </is>
      </c>
      <c r="B26341">
        <f>HYPERLINK("https://www.dofusbook.net/fr/equipement/1484339-infuocato/objets", "link")</f>
        <v/>
      </c>
      <c r="C26341" t="n">
        <v>0</v>
      </c>
      <c r="D26341" t="inlineStr">
        <is>
          <t>Hache du Chalœil; Amulette du Strigide; Bague Gloursonne; Goulano; Bouclier du Captain Amakna; Ceinture du Strigide; Casque Dragoeuf; Voile d'encre; Baleinabottes; Dofus Pourpre; Dofus Émeraude; Dofus Nébuleux; Dolmanax; Dofus Turquoise; Remueur; Muldo Orchidée et Pourpre</t>
        </is>
      </c>
    </row>
    <row r="26342">
      <c r="A26342" t="inlineStr">
        <is>
          <t>danzalcancro</t>
        </is>
      </c>
      <c r="B26342">
        <f>HYPERLINK("https://www.dofusbook.net/fr/equipement/1478285-danzalcancro/objets", "link")</f>
        <v/>
      </c>
      <c r="C26342" t="n">
        <v>0</v>
      </c>
      <c r="D26342" t="inlineStr">
        <is>
          <t>Épouvante; Amulette Luminescente; Bague Trithon; Alliance Gloursonne; Bouclier Taverne; Ceinture Luminescente; Masque Trithon; Cape Luminescente; Bottes Trithon; Dofus Émeraude; Dofus Nébuleux; Dolmanax; Dofus Turquoise; Dofus Pourpre; Dofus Ocre; Muldo Ebène</t>
        </is>
      </c>
    </row>
    <row r="26343">
      <c r="A26343" t="inlineStr">
        <is>
          <t>gultarminator2017/2</t>
        </is>
      </c>
      <c r="B26343">
        <f>HYPERLINK("https://www.dofusbook.net/fr/equipement/1478163-gultarminator2017-2/objets", "link")</f>
        <v/>
      </c>
      <c r="C26343" t="n">
        <v>0</v>
      </c>
      <c r="D26343" t="inlineStr">
        <is>
          <t>Epée Toche; Amulette du Strigide; Anneau Chevelu; Bague Gloursonne; Bouclier du Captain Amakna; Ceinture du Strigide; Bonnet Ko; Voile d'encre; Bottes de la Cour Sombre; Dofus Ocre; Dofus Pourpre; Dofus Nébuleux; Dofus Turquoise; Remueur; Nomade; Muldo Ebène et Indigo</t>
        </is>
      </c>
    </row>
    <row r="26344">
      <c r="A26344" t="inlineStr">
        <is>
          <t>pandafeu</t>
        </is>
      </c>
      <c r="B26344">
        <f>HYPERLINK("https://www.dofusbook.net/fr/equipement/1470362-pandafeu/objets", "link")</f>
        <v/>
      </c>
      <c r="C26344" t="n">
        <v>0</v>
      </c>
      <c r="D26344" t="inlineStr">
        <is>
          <t>Arc Hétype; Pendentif affamé; Baguistik; Anneau Tique; Quatre-feuilles; Ceinture de Vortex; Dorabysses; Voile d'encre; Bottes Innommables; Dofus Nébuleux; Dofus Turquoise; Dofus Ocre; Remueur; Érudit majeur; Carapace Terre majeur; Muldo Orchidée et Pourpre</t>
        </is>
      </c>
    </row>
    <row r="26345">
      <c r="A26345" t="inlineStr">
        <is>
          <t>apposto</t>
        </is>
      </c>
      <c r="B26345">
        <f>HYPERLINK("https://www.dofusbook.net/fr/equipement/1470081-apposto/objets", "link")</f>
        <v/>
      </c>
      <c r="C26345" t="n">
        <v>0</v>
      </c>
      <c r="D26345" t="inlineStr">
        <is>
          <t>Sabres d'Atcham; Amulette du Strigide; Anneau de Padgref; Alliance Gloursonne; Bouclier du Captain Amakna; Ceinture du Strigide; Casque Dragoeuf; Cape d'Atcham; Sandales  d'Atcham; Dolmanax; Dofus Ocre; Dofus Pourpre; Dofus Nébuleux; Dofus Émeraude; Dofus Turquoise; Muldo Ebène et Orchidée</t>
        </is>
      </c>
    </row>
    <row r="26346">
      <c r="A26346" t="inlineStr">
        <is>
          <t>Ralphnoob</t>
        </is>
      </c>
      <c r="B26346">
        <f>HYPERLINK("https://www.dofusbook.net/fr/equipement/1456558-ralphnoob/objets", "link")</f>
        <v/>
      </c>
      <c r="C26346" t="n">
        <v>0</v>
      </c>
      <c r="D26346" t="inlineStr">
        <is>
          <t>Dagues Cacterre; Amulette du Strigide; Alliance Gloursonne; Bracelet du Piloztère; Bouclier du Captain Amakna; Ceintacé; Némès de Tal Kasha; Cape de la Dame du Hasard; Bottes de la Dame du Hasard; Dofus Émeraude; Dofus Turquoise; Dofus Pourpre; Dofus Nébuleux; Vigoureux majeur; Remueur; Muldo Ebène et Orchidée</t>
        </is>
      </c>
    </row>
    <row r="26347">
      <c r="A26347" t="inlineStr">
        <is>
          <t>enupro</t>
        </is>
      </c>
      <c r="B26347">
        <f>HYPERLINK("https://www.dofusbook.net/fr/equipement/1456323-enupro/objets", "link")</f>
        <v/>
      </c>
      <c r="C26347" t="n">
        <v>0</v>
      </c>
      <c r="D26347" t="inlineStr">
        <is>
          <t>Dagues de Srambad; Amulette Luminescente; Grésilanneau; Pikano; Bouclier du Stalak; Ceinture Luminescente; Casquipik; Cape Luminescente; Pikottes; Dolmanax; Dofus Ocre; Dofus Abyssal; Dofus Nébuleux; Dofus des Glaces; Entraveur majeur; Muldo Pourpre et Amande</t>
        </is>
      </c>
    </row>
    <row r="26348">
      <c r="A26348" t="inlineStr">
        <is>
          <t>ariaa</t>
        </is>
      </c>
      <c r="B26348">
        <f>HYPERLINK("https://www.dofusbook.net/fr/equipement/1438087-ariaa/objets", "link")</f>
        <v/>
      </c>
      <c r="C26348" t="n">
        <v>0</v>
      </c>
      <c r="D26348" t="inlineStr">
        <is>
          <t>Manthache; Collier du Valet Veinard; Gant du Valet Veinard; Alliance Gloursonne; Bouclier du Captain Amakna; Ceinture de la Reine des Voleurs; Coiffe de la Reine des Voleurs; Cape du Valet Veinard; Bottes de la Reine des Voleurs; Dofus des Glaces; Dofus Nébuleux; Dofus Ocre; Dofus Pourpre; Dofus Abyssal; Dofus Émeraude; Muldo Ebène</t>
        </is>
      </c>
    </row>
    <row r="26349">
      <c r="A26349" t="inlineStr">
        <is>
          <t>acquaagi</t>
        </is>
      </c>
      <c r="B26349">
        <f>HYPERLINK("https://www.dofusbook.net/fr/equipement/1425123-acquaagi/objets", "link")</f>
        <v/>
      </c>
      <c r="C26349" t="n">
        <v>0</v>
      </c>
      <c r="D26349" t="inlineStr">
        <is>
          <t>Arc de Koutoulou; Amulette du Strigide; Pikano; Alliance Gloursonne; Quatre-feuilles; Ceintacé; Casque Dragoeuf; Chevelure de Tal Kasha; Sandales de Tal Kasha; Dofus Émeraude; Dofus Pourpre; Dofus Nébuleux; Dofus Turquoise; Vigoureux majeur; Remueur; Muldo Prune et Indigo</t>
        </is>
      </c>
    </row>
    <row r="26350">
      <c r="A26350" t="inlineStr">
        <is>
          <t>danneggio</t>
        </is>
      </c>
      <c r="B26350">
        <f>HYPERLINK("https://www.dofusbook.net/fr/equipement/1417078-danneggio/objets", "link")</f>
        <v/>
      </c>
      <c r="C26350" t="n">
        <v>0</v>
      </c>
      <c r="D26350" t="inlineStr">
        <is>
          <t>Dagoulinantes; Amulette du Sinistrofu; Bracelet des Fonds marins; Anneau Glacial; Bouclier du Captain Amakna; Ceinture Glaciale; Masque des Fonds marins; Cape du Sinistrofu; Bottes du Sinistrofu; Dofus des Glaces; Dofus Nébuleux; Dofus Ocre; Dofus Émeraude; Dofus Pourpre; Dofus Turquoise; Muldo Pourpre</t>
        </is>
      </c>
    </row>
    <row r="26351">
      <c r="A26351" t="inlineStr">
        <is>
          <t>terrafuocoagi</t>
        </is>
      </c>
      <c r="B26351">
        <f>HYPERLINK("https://www.dofusbook.net/fr/equipement/1415379-terrafuocoagi/objets", "link")</f>
        <v/>
      </c>
      <c r="C26351" t="n">
        <v>0</v>
      </c>
      <c r="D26351" t="inlineStr">
        <is>
          <t>Marteau de Katrepat; Amulette du Strigide; Anneau Chevelu; Bague Gloursonne; Bouclier du Captain Amakna; Ceintacé; Casque Dragoeuf; Cape du Chalœil; Bottes du Strigide; Dofus Turquoise; Dolmanax; Dofus Nébuleux; Dofus Pourpre; Vigoureux majeur; Remueur; Muldo Prune et Orchidée</t>
        </is>
      </c>
    </row>
    <row r="26352">
      <c r="A26352" t="inlineStr">
        <is>
          <t>nomercy</t>
        </is>
      </c>
      <c r="B26352">
        <f>HYPERLINK("https://www.dofusbook.net/fr/equipement/1406360-nomercy/objets", "link")</f>
        <v/>
      </c>
      <c r="C26352" t="n">
        <v>0</v>
      </c>
      <c r="D26352" t="inlineStr">
        <is>
          <t>Hachoirs de Viandargh; Amulette du Strigide; Alliance Gloursonne; Anneau de Padgref; Bouclier du Captain Amakna; Menoture; Casque Dragoeuf; Chevelure de Tal Kasha; Sandales de Tal Kasha; Dofus Pourpre; Dofus Nébuleux; Dofus Émeraude; Dofus Turquoise; Cascadeur majeur; Remueur; Muldo Prune et Emeraude</t>
        </is>
      </c>
    </row>
    <row r="26353">
      <c r="A26353" t="inlineStr">
        <is>
          <t>heq</t>
        </is>
      </c>
      <c r="B26353">
        <f>HYPERLINK("https://www.dofusbook.net/fr/equipement/1393125-heq/objets", "link")</f>
        <v/>
      </c>
      <c r="C26353" t="n">
        <v>0</v>
      </c>
      <c r="D26353" t="inlineStr">
        <is>
          <t>Héqache; Amulette du Strigide; Anneau Chevelu; Bague Gloursonne; Bouclier du Captain Amakna; Ceinture de la Reine des Voleurs; Coiffe de la Reine des Voleurs; Cape au Logis; Baleinabottes; Dofus Émeraude; Dofus Nébuleux; Dofus Turquoise; Carapace Air majeur; Remueur; Carapace Feu majeur; Kramkram</t>
        </is>
      </c>
    </row>
    <row r="26354">
      <c r="A26354" t="inlineStr">
        <is>
          <t>terraria</t>
        </is>
      </c>
      <c r="B26354">
        <f>HYPERLINK("https://www.dofusbook.net/fr/equipement/1392967-terraria/objets", "link")</f>
        <v/>
      </c>
      <c r="C26354" t="n">
        <v>0</v>
      </c>
      <c r="D26354" t="inlineStr">
        <is>
          <t>Hache du Chalœil; Amulette du Strigide; Bague Gloursonne; Goulano; Bouclier du Captain Amakna; Ceinture du Strigide; Masque d'Anerice; Cape d'Anerice; Bottes du Strigide; Dofus Turquoise; Dofus Nébuleux; Dofus Ocre; Dofus Émeraude; Dolmanax; Dofus Pourpre; Muldo Indigo et Orchidée</t>
        </is>
      </c>
    </row>
    <row r="26355">
      <c r="A26355" t="inlineStr">
        <is>
          <t>echitifermapiu</t>
        </is>
      </c>
      <c r="B26355">
        <f>HYPERLINK("https://www.dofusbook.net/fr/equipement/1360678-echitifermapiu/objets", "link")</f>
        <v/>
      </c>
      <c r="C26355" t="n">
        <v>0</v>
      </c>
      <c r="D26355" t="inlineStr">
        <is>
          <t>Épouvante; Amulette Luminescente; Anneau Chevelu; Pikano; Bouclier du Captain Amakna; Ceinture Luminescente; Casquipik; Cape Luminescente; Pikottes; Dofus Pourpre; Dofus Émeraude; Dofus des Glaces; Dofus Nébuleux; Dofus Ocre; Dofus Turquoise; Muldo Ebène et Indigo</t>
        </is>
      </c>
    </row>
    <row r="26356">
      <c r="A26356" t="inlineStr">
        <is>
          <t>tirompoidenti</t>
        </is>
      </c>
      <c r="B26356">
        <f>HYPERLINK("https://www.dofusbook.net/fr/equipement/1359832-tirompoidenti/objets", "link")</f>
        <v/>
      </c>
      <c r="C26356" t="n">
        <v>1</v>
      </c>
      <c r="D26356" t="inlineStr">
        <is>
          <t>Poolache; Amulette du Strigide; Bague Gloursonne; Chevalière du Roi Joueur; Bouclier du Captain Amakna; Ceinture du Strigide; Casque Dragoeuf; Voile d'encre; Bottes du Roi Joueur; Dofus Nébuleux; Dofus Émeraude; Dofus Pourpre; Dofus Ocre; Dofus Turquoise; Remueur; Muldo Pourpre et Emeraude</t>
        </is>
      </c>
    </row>
    <row r="26357">
      <c r="A26357" t="inlineStr">
        <is>
          <t>Uginakaria</t>
        </is>
      </c>
      <c r="B26357">
        <f>HYPERLINK("https://www.dofusbook.net/fr/equipement/1352838-uginakaria/objets", "link")</f>
        <v/>
      </c>
      <c r="C26357" t="n">
        <v>0</v>
      </c>
      <c r="D26357" t="inlineStr">
        <is>
          <t>Manthache; Collier du Valet Veinard; Alliance Gloursonne; Gant du Valet Veinard; Bouclier du Captain Amakna; Ceinture de la Reine des Voleurs; Coiffe de la Reine des Voleurs; Cape du Valet Veinard; Bottes de la Reine des Voleurs; Dofus Nébuleux; Dofus Ocre; Dofus Pourpre; Dofus des Glaces; Dofus Abyssal; Dofus Émeraude; Muldo Ebène</t>
        </is>
      </c>
    </row>
    <row r="26358">
      <c r="A26358" t="inlineStr">
        <is>
          <t>cazzoduro</t>
        </is>
      </c>
      <c r="B26358">
        <f>HYPERLINK("https://www.dofusbook.net/fr/equipement/1352748-cazzoduro/objets", "link")</f>
        <v/>
      </c>
      <c r="C26358" t="n">
        <v>0</v>
      </c>
      <c r="D26358" t="inlineStr">
        <is>
          <t>Dagues Érhy; Amulette du Strigide; Bracelet du Piloztère; Anneau Chevelu; Bouclier du Captain Amakna; Ceintacé; Casque Dragoeuf; Voile d'encre; Bottes du Strigide; Dofus Pourpre; Dofus Nébuleux; Dofus Turquoise; Dolmanax; Remueur; Vigoureux majeur; Muldo Prune et Emeraude</t>
        </is>
      </c>
    </row>
    <row r="26359">
      <c r="A26359" t="inlineStr">
        <is>
          <t>paura</t>
        </is>
      </c>
      <c r="B26359">
        <f>HYPERLINK("https://www.dofusbook.net/fr/equipement/1351577-paura/objets", "link")</f>
        <v/>
      </c>
      <c r="C26359" t="n">
        <v>0</v>
      </c>
      <c r="D26359" t="inlineStr">
        <is>
          <t>Marteau des Anciens Steamers; Amulette du Strigide; Pikano; Alliance Gloursonne; Bouclier du Captain Amakna; Ceinture du Strigide; Némès de Tal Kasha; Chevelure de Tal Kasha; Sandales de Tal Kasha; Dofus des Glaces; Dofus Émeraude; Dofus Ocre; Dofus Nébuleux; Dofus Pourpre; Dofus Turquoise; Muldo Prune et Emeraude</t>
        </is>
      </c>
    </row>
    <row r="26360">
      <c r="A26360" t="inlineStr">
        <is>
          <t>vital</t>
        </is>
      </c>
      <c r="B26360">
        <f>HYPERLINK("https://www.dofusbook.net/fr/equipement/1341009-vital/objets", "link")</f>
        <v/>
      </c>
      <c r="C26360" t="n">
        <v>0</v>
      </c>
      <c r="D26360" t="inlineStr">
        <is>
          <t>Arc de Koutoulou; Amulette Voldelor; Alliance Gloursonne; Pikano; Bouclier du Captain Amakna; Ceintacé; Némès de Tal Kasha; Chevelure de Tal Kasha; Sandales  d'Atcham; Dofus Turquoise; Dofus Nébuleux; Dofus Émeraude; Dofus Pourpre; Carapace Terre majeur; Remueur; Muldo Ebène</t>
        </is>
      </c>
    </row>
    <row r="26361">
      <c r="A26361" t="inlineStr">
        <is>
          <t>Uginakkk</t>
        </is>
      </c>
      <c r="B26361">
        <f>HYPERLINK("https://www.dofusbook.net/fr/equipement/1287936-uginakkk/objets", "link")</f>
        <v/>
      </c>
      <c r="C26361" t="n">
        <v>0</v>
      </c>
      <c r="D26361" t="inlineStr">
        <is>
          <t>Baguette Range; Amulette du Strigide; Bague Trithon; Anneau de Padgref; Quatre-feuilles; Ceinture du Strigide; Coiffe de Padgref; Cape d'Atcham; Getas de Padgref; Dofus Ocre; Dofus Émeraude; Dofus Pourpre; Dofus Nébuleux; Dofus des Glaces; Dofus Turquoise; Muldo Prune et Emeraude</t>
        </is>
      </c>
    </row>
    <row r="26362">
      <c r="A26362" t="inlineStr">
        <is>
          <t>docc</t>
        </is>
      </c>
      <c r="B26362">
        <f>HYPERLINK("https://www.dofusbook.net/fr/equipement/1253643-docc/objets", "link")</f>
        <v/>
      </c>
      <c r="C26362" t="n">
        <v>1</v>
      </c>
      <c r="D26362" t="inlineStr">
        <is>
          <t>Sabres d'Atcham; Amulette du Strigide; Anneau de Padgref; Bague Trithon; Bouclier du Captain Amakna; Ceinture du Strigide; Coiffe de Padgref; Cape d'Atcham; Getas de Padgref; Dofus Turquoise; Dofus Nébuleux; Dofus Ocre; Dofus Émeraude; Dofus Pourpre; Dofus des Glaces; Muldo Prune et Emeraude</t>
        </is>
      </c>
    </row>
    <row r="26363">
      <c r="A26363" t="inlineStr">
        <is>
          <t>koriandolo</t>
        </is>
      </c>
      <c r="B26363">
        <f>HYPERLINK("https://www.dofusbook.net/fr/equipement/1224088-koriandolo/objets", "link")</f>
        <v/>
      </c>
      <c r="C26363" t="n">
        <v>0</v>
      </c>
      <c r="D26363" t="inlineStr">
        <is>
          <t>Marteau des égarés; Amulette du Strigide; Anneau de Padgref; Bague Gloursonne; Bouclier du Captain Amakna; Ceinture du Strigide; Némès de Tal Kasha; Chevelure de Tal Kasha; Sandales de Tal Kasha; Dofus Turquoise; Dolmanax; Dofus Ocre; Dofus des Glaces; Dofus Pourpre; Dofus Nébuleux; Muldo Prune et Emeraude</t>
        </is>
      </c>
    </row>
    <row r="26364">
      <c r="A26364" t="inlineStr">
        <is>
          <t>curante</t>
        </is>
      </c>
      <c r="B26364">
        <f>HYPERLINK("https://www.dofusbook.net/fr/equipement/1095159-curante/objets", "link")</f>
        <v/>
      </c>
      <c r="C26364" t="n">
        <v>0</v>
      </c>
      <c r="D26364" t="inlineStr">
        <is>
          <t>Baguette Range; Amulette du Strigide; Anneau de Padgref; Bague Gloursonne; Quatre-feuilles; Ceintacé; Casque Dragoeuf; Cape d'Atcham; Getas de Padgref; Dofus Turquoise; Dofus Émeraude; Dofus des Glaces; Dofus Nébuleux; Érudit majeur; Remueur; Muldo Prune et Emeraude</t>
        </is>
      </c>
    </row>
    <row r="26365">
      <c r="A26365" t="inlineStr">
        <is>
          <t>animalesco</t>
        </is>
      </c>
      <c r="B26365">
        <f>HYPERLINK("https://www.dofusbook.net/fr/equipement/1089001-animalesco/objets", "link")</f>
        <v/>
      </c>
      <c r="C26365" t="n">
        <v>1</v>
      </c>
      <c r="D26365" t="inlineStr">
        <is>
          <t>Dagues Érhy; Amulette du Strigide; Bague Gloursonne; Bracelet du Piloztère; Bouclier du Captain Amakna; Ceintacé; Couronne du Roi Joueur; Voile d'encre; Bottes du Roi Joueur; Dofus Pourpre; Dofus Turquoise; Dofus Nébuleux; Dofus Ocre; Enragé majeur; Vigoureux majeur; Muldo Orchidée et Pourpre</t>
        </is>
      </c>
    </row>
    <row r="26366">
      <c r="A26366" t="inlineStr">
        <is>
          <t>strano4</t>
        </is>
      </c>
      <c r="B26366">
        <f>HYPERLINK("https://www.dofusbook.net/fr/equipement/1086350-strano4/objets", "link")</f>
        <v/>
      </c>
      <c r="C26366" t="n">
        <v>1</v>
      </c>
      <c r="D26366" t="inlineStr">
        <is>
          <t>Marteau des égarés; Amulette du Strigide; Alliance Gloursonne; Bague Gloursonne; Bouclier du Captain Amakna; Ceinture du Strigide; Casque du Chalœil; Cape du Chalœil; Bottes du Chalœil; Dofus Émeraude; Dofus Nébuleux; Dofus Ocre; Dofus Turquoise; Dolmanax; Dofus des Glaces; Muldo Indigo et Orchidée</t>
        </is>
      </c>
    </row>
    <row r="26367">
      <c r="A26367" t="inlineStr">
        <is>
          <t>strano3</t>
        </is>
      </c>
      <c r="B26367">
        <f>HYPERLINK("https://www.dofusbook.net/fr/equipement/1084937-strano3/objets", "link")</f>
        <v/>
      </c>
      <c r="C26367" t="n">
        <v>0</v>
      </c>
      <c r="D26367" t="inlineStr">
        <is>
          <t>Pelle de la Cour Sombre; Collier du Valet Veinard; Alliance Gloursonne; Gant du Valet Veinard; Bouclier du Captain Amakna; Ceintouse; Chapoulpe; Cape du Valet Veinard; Tentassons; Dofus Pourpre; Dofus des Glaces; Dofus Émeraude; Dofus Nébuleux; Dofus Ocre; Dolmanax; Muldo Ebène</t>
        </is>
      </c>
    </row>
    <row r="26368">
      <c r="A26368" t="inlineStr">
        <is>
          <t>strano2</t>
        </is>
      </c>
      <c r="B26368">
        <f>HYPERLINK("https://www.dofusbook.net/fr/equipement/1081262-strano2/objets", "link")</f>
        <v/>
      </c>
      <c r="C26368" t="n">
        <v>0</v>
      </c>
      <c r="D26368" t="inlineStr">
        <is>
          <t>Manthache; Collier du Valet Veinard; Gant du Valet Veinard; Alliance Gloursonne; Bouclier du Captain Amakna; Ceinture de la Reine des Voleurs; Coiffe de la Reine des Voleurs; Cape du Valet Veinard; Bottes de la Reine des Voleurs; Dofus Émeraude; Dofus Nébuleux; Dolmanax; Dofus Ocre; Dofus Pourpre; Dofus des Glaces; Muldo Ebène</t>
        </is>
      </c>
    </row>
    <row r="26369">
      <c r="A26369" t="inlineStr">
        <is>
          <t>strano</t>
        </is>
      </c>
      <c r="B26369">
        <f>HYPERLINK("https://www.dofusbook.net/fr/equipement/1081021-strano/objets", "link")</f>
        <v/>
      </c>
      <c r="C26369" t="n">
        <v>0</v>
      </c>
      <c r="D26369" t="inlineStr">
        <is>
          <t>Dagues de Srambad; Amulette Luminescente; Anneau Chevelu; Pikano; Bouclier du Captain Amakna; Ceinture Luminescente; Casquipik; Cape Luminescente; Pikottes; Dofus Turquoise; Dofus des Glaces; Dofus Pourpre; Dofus Nébuleux; Dofus Ocre; Dolmanax; Muldo Indigo et Pourpre</t>
        </is>
      </c>
    </row>
    <row r="26370">
      <c r="A26370" t="inlineStr">
        <is>
          <t>feuair</t>
        </is>
      </c>
      <c r="B26370">
        <f>HYPERLINK("https://www.dofusbook.net/fr/equipement/1075025-feuair/objets", "link")</f>
        <v/>
      </c>
      <c r="C26370" t="n">
        <v>0</v>
      </c>
      <c r="D26370" t="inlineStr">
        <is>
          <t>Sabres d'Atcham; Pendentif mignon de Koutoulou; Anneau Rifique; Anneau de Padgref; Quatre-feuilles; Ceinture du Strigide; Casque Cyclopéen; Cape d'Atcham; Sandales  d'Atcham; Dofus Nébuleux; Dofus des Glaces; Dofus Ocre; Dofus Pourpre; Dolmanax; Dofus Turquoise; Muldo Prune et Emeraude</t>
        </is>
      </c>
    </row>
    <row r="26371">
      <c r="A26371" t="inlineStr">
        <is>
          <t>terrapro</t>
        </is>
      </c>
      <c r="B26371">
        <f>HYPERLINK("https://www.dofusbook.net/fr/equipement/1070053-terrapro/objets", "link")</f>
        <v/>
      </c>
      <c r="C26371" t="n">
        <v>0</v>
      </c>
      <c r="D26371" t="inlineStr">
        <is>
          <t>Héqache; Amulette du Strigide; Bracelet du Piloztère; Alliance Gloursonne; Bouclier du Captain Amakna; Ceinture du Strigide; Bonnet Ko; Cape du Kamasterisk; Bottes du Chalœil; Dofus Turquoise; Dofus Nébuleux; Dofus Ocre; Dofus Pourpre; Nomade; Remueur; Muldo Prune et Emeraude</t>
        </is>
      </c>
    </row>
    <row r="26372">
      <c r="A26372" t="inlineStr">
        <is>
          <t>kutuletta</t>
        </is>
      </c>
      <c r="B26372">
        <f>HYPERLINK("https://www.dofusbook.net/fr/equipement/1060842-kutuletta/objets", "link")</f>
        <v/>
      </c>
      <c r="C26372" t="n">
        <v>0</v>
      </c>
      <c r="D26372" t="inlineStr">
        <is>
          <t>Arc de Koutoulou; Amulette du Strigide; Bague Trithon; Alliance Gloursonne; Quatre-feuilles; Ceinture du Strigide; Némès de Tal Kasha; Chevelure de Tal Kasha; Sandales de Tal Kasha; Dofus Ocre; Dofus Nébuleux; Dofus des Glaces; Dofus Pourpre; Dofus Émeraude; Dofus Turquoise; Muldo Ebène et Indigo</t>
        </is>
      </c>
    </row>
    <row r="26373">
      <c r="A26373" t="inlineStr">
        <is>
          <t>xelorterra</t>
        </is>
      </c>
      <c r="B26373">
        <f>HYPERLINK("https://www.dofusbook.net/fr/equipement/1054506-xelorterra/objets", "link")</f>
        <v/>
      </c>
      <c r="C26373" t="n">
        <v>0</v>
      </c>
      <c r="D26373" t="inlineStr">
        <is>
          <t>Marteau R'ture; Amulette du Strigide; Bague Gloursonne; Anneau Chevelu; Bouclier du Captain Amakna; Ceinture de la Cour Sombre; Masque de Koutoulou; Cape au Logis; Bottes de la Cour Sombre; Dofus Nébuleux; Dofus Turquoise; Étourdisseur majeur; Carapace Terre majeur; Remueur; Enragé majeur; Kramkram</t>
        </is>
      </c>
    </row>
    <row r="26374">
      <c r="A26374" t="inlineStr">
        <is>
          <t>Heqasciotutto</t>
        </is>
      </c>
      <c r="B26374">
        <f>HYPERLINK("https://www.dofusbook.net/fr/equipement/1045185-heqasciotutto/objets", "link")</f>
        <v/>
      </c>
      <c r="C26374" t="n">
        <v>0</v>
      </c>
      <c r="D26374" t="inlineStr">
        <is>
          <t>Héqache; Amulette du Strigide; Anneau Chevelu; Bague Gloursonne; Bouclier du Captain Amakna; Ceinture du Strigide; Chapoulpe; Cape au Logis; Baleinabottes; Dofus Émeraude; Dofus Nébuleux; Dofus Turquoise; Dofus Pourpre; Vigoureux majeur; Remueur; Kramkram</t>
        </is>
      </c>
    </row>
    <row r="26375">
      <c r="A26375" t="inlineStr">
        <is>
          <t>araculi</t>
        </is>
      </c>
      <c r="B26375">
        <f>HYPERLINK("https://www.dofusbook.net/fr/equipement/1027021-araculi/objets", "link")</f>
        <v/>
      </c>
      <c r="C26375" t="n">
        <v>0</v>
      </c>
      <c r="D26375" t="inlineStr">
        <is>
          <t>Arc du Chalœil; Collier de Tourthon; Anneau Chevelu; Anneau de Brouce; Bouclier du Captain Amakna; Ceinture de Brouce; Masque de Koutoulou; Cape au Logis; Bottes de la Cour Sombre; Dofus Pourpre; Dofus Nébuleux; Dofus Turquoise; Enragé majeur; Vigoureux majeur; Remueur; Kompost</t>
        </is>
      </c>
    </row>
    <row r="26376">
      <c r="A26376" t="inlineStr">
        <is>
          <t>kolo</t>
        </is>
      </c>
      <c r="B26376">
        <f>HYPERLINK("https://www.dofusbook.net/fr/equipement/1023918-kolo/objets", "link")</f>
        <v/>
      </c>
      <c r="C26376" t="n">
        <v>0</v>
      </c>
      <c r="D26376" t="inlineStr">
        <is>
          <t>Arc du Chalœil; Amulette du Strigide; Bague Gloursonne; Anneau Chevelu; Bouclier du Captain Amakna; Ceinture du Strigide; Bonnet Ko; Voile d'encre; Bottes de la Cour Sombre; Dofus Nébuleux; Dofus Ocre; Dofus Turquoise; Carapace Terre majeur; Remueur; Nomade; Muldo Ebène et Indigo</t>
        </is>
      </c>
    </row>
    <row r="26377">
      <c r="A26377" t="inlineStr">
        <is>
          <t>ugiair</t>
        </is>
      </c>
      <c r="B26377">
        <f>HYPERLINK("https://www.dofusbook.net/fr/equipement/970051-ugiair/objets", "link")</f>
        <v/>
      </c>
      <c r="C26377" t="n">
        <v>0</v>
      </c>
      <c r="D26377" t="inlineStr">
        <is>
          <t>Manthache; Amulette du Strigide; Alliance Gloursonne; Gant du Valet Veinard; Bouclier du Captain Amakna; Menoture; Coiffe de Padgref; Cape Indescriptible; Getas de Padgref; Dofus Turquoise; Dofus des Glaces; Dofus Nébuleux; Dofus Émeraude; Cascadeur majeur; Remueur; Muldo Ebène et Indigo</t>
        </is>
      </c>
    </row>
    <row r="26378">
      <c r="A26378" t="inlineStr">
        <is>
          <t>terraariaopti</t>
        </is>
      </c>
      <c r="B26378">
        <f>HYPERLINK("https://www.dofusbook.net/fr/equipement/969061-terraariaopti/objets", "link")</f>
        <v/>
      </c>
      <c r="C26378" t="n">
        <v>0</v>
      </c>
      <c r="D26378" t="inlineStr">
        <is>
          <t>Héqache; Amulette du Strigide; Bracelet du Piloztère; Anneau Vicieux; Bouclier du Captain Amakna; Ceintouse; Chapoulpe; Cape du Kamasterisk; Baleinabottes; Dofus Nébuleux; Dofus des Glaces; Dofus Turquoise; Dofus Pourpre; Vigoureux majeur; Remueur; Muldo Indigo et Pourpre</t>
        </is>
      </c>
    </row>
    <row r="26379">
      <c r="A26379" t="inlineStr">
        <is>
          <t>multiterraopti</t>
        </is>
      </c>
      <c r="B26379">
        <f>HYPERLINK("https://www.dofusbook.net/fr/equipement/968753-multiterraopti/objets", "link")</f>
        <v/>
      </c>
      <c r="C26379" t="n">
        <v>0</v>
      </c>
      <c r="D26379" t="inlineStr">
        <is>
          <t>Dagues Érhy; Amulette du Strigide; Anneau Chevelu; Bague Gloursonne; Bouclier du Captain Amakna; Ceinture du Strigide; Bonnet Ko; Voile d'encre; Bottes de la Cour Sombre; Dofus Ocre; Dofus Nébuleux; Dofus Pourpre; Dofus Turquoise; Remueur; Nomade; Muldo Indigo et Pourpre</t>
        </is>
      </c>
    </row>
    <row r="26380">
      <c r="A26380" t="inlineStr">
        <is>
          <t>chaopti</t>
        </is>
      </c>
      <c r="B26380">
        <f>HYPERLINK("https://www.dofusbook.net/fr/equipement/967572-chaopti/objets", "link")</f>
        <v/>
      </c>
      <c r="C26380" t="n">
        <v>0</v>
      </c>
      <c r="D26380" t="inlineStr">
        <is>
          <t>Rapière aux Glyphes; Amulette de Shokkoth; Alliance Gloursonne; Bracelet des Fonds marins; Cadran de Terre; Poulpagne; Masque des Fonds marins; Chevelure de Tal Kasha; Bottes du Sinistrofu; Dofus Nébuleux; Dofus Émeraude; Carapace Terre majeur; Carapace Eau majeur; Chanceux majeur; Remueur; Muldo Indigo</t>
        </is>
      </c>
    </row>
    <row r="26381">
      <c r="A26381" t="inlineStr">
        <is>
          <t>enifeuopti</t>
        </is>
      </c>
      <c r="B26381">
        <f>HYPERLINK("https://www.dofusbook.net/fr/equipement/957203-enifeuopti/objets", "link")</f>
        <v/>
      </c>
      <c r="C26381" t="n">
        <v>1</v>
      </c>
      <c r="D26381" t="inlineStr">
        <is>
          <t>Baguette de Malléfisk; Pendentif affamé; Anneau Tique; Bague Gloursonne; Cadran de Terre; Ceinture de Vortex; Cagoule de Vortex; Cape de Diondin; Bottes Innommables; Dofus Émeraude; Remueur; Érudit majeur; Étourdisseur majeur; Paralyseur majeur; Carapace Terre majeur; Muldo Orchidée</t>
        </is>
      </c>
    </row>
    <row r="26382">
      <c r="A26382" t="inlineStr">
        <is>
          <t>pvvv</t>
        </is>
      </c>
      <c r="B26382">
        <f>HYPERLINK("https://www.dofusbook.net/fr/equipement/948048-pvvv/objets", "link")</f>
        <v/>
      </c>
      <c r="C26382" t="n">
        <v>0</v>
      </c>
      <c r="D26382" t="inlineStr">
        <is>
          <t>Marteau R'ture; Amulette du Strigide; Bague Gloursonne; Anneau Chevelu; Bouclier du Captain Amakna; Ceintacé; Casque de Missiz Frizz; Cape au Logis; Bottes du Strigide; Dofus Nébuleux; Dofus Turquoise; Dofus Pourpre; Dofus Émeraude; Miraculé majeur; Remueur; Péki</t>
        </is>
      </c>
    </row>
    <row r="26383">
      <c r="A26383" t="inlineStr">
        <is>
          <t>diokane</t>
        </is>
      </c>
      <c r="B26383">
        <f>HYPERLINK("https://www.dofusbook.net/fr/equipement/937026-diokane/objets", "link")</f>
        <v/>
      </c>
      <c r="C26383" t="n">
        <v>0</v>
      </c>
      <c r="D26383" t="inlineStr">
        <is>
          <t>Dagues de Srambad; Amulette du Strigide; Pikano; Anneau Chevelu; Bouclier du Captain Amakna; Ceinture de la Reine des Voleurs; Casque Dragoeuf; Cape au Logis; Bottes de la Reine des Voleurs; Dofus des Glaces; Dofus Émeraude; Dofus Nébuleux; Dofus Turquoise; Dofus Ocre; Remueur; Kramkram</t>
        </is>
      </c>
    </row>
    <row r="26384">
      <c r="A26384" t="inlineStr">
        <is>
          <t>multipow</t>
        </is>
      </c>
      <c r="B26384">
        <f>HYPERLINK("https://www.dofusbook.net/fr/equipement/927688-multipow/objets", "link")</f>
        <v/>
      </c>
      <c r="C26384" t="n">
        <v>0</v>
      </c>
      <c r="D26384" t="inlineStr">
        <is>
          <t>Hache du Korriandre; Amulette du Strigide; Anneau de Padgref; Alliance Gloursonne; Bouclier du Captain Amakna; Ceinture du Strigide; Némès de Tal Kasha; Chevelure de Tal Kasha; Sandales de Tal Kasha; Dofus Pourpre; Dolmanax; Dofus Turquoise; Dofus des Glaces; Dofus Ocre; Dofus Nébuleux; Muldo Prune et Emeraude</t>
        </is>
      </c>
    </row>
    <row r="26385">
      <c r="A26385" t="inlineStr">
        <is>
          <t>dannispinta</t>
        </is>
      </c>
      <c r="B26385">
        <f>HYPERLINK("https://www.dofusbook.net/fr/equipement/919944-dannispinta/objets", "link")</f>
        <v/>
      </c>
      <c r="C26385" t="n">
        <v>29</v>
      </c>
      <c r="D26385" t="inlineStr">
        <is>
          <t>Arc du Chalœil; Amulette Luminescente; Bague Instable; Bague Trithon; Bouclier du Captain Amakna; Ceinture Luminescente; Masque Trithon; Cape Luminescente; Bottes Trithon; Dofus Nébuleux; Dofus Ocre; Dofus Émeraude; Dofus Turquoise; Bousculeur majeur; Enragé majeur; Muldo Ebène et Pourpre</t>
        </is>
      </c>
    </row>
    <row r="26386">
      <c r="A26386" t="inlineStr">
        <is>
          <t>omgg</t>
        </is>
      </c>
      <c r="B26386">
        <f>HYPERLINK("https://www.dofusbook.net/fr/equipement/887091-omgg/objets", "link")</f>
        <v/>
      </c>
      <c r="C26386" t="n">
        <v>3</v>
      </c>
      <c r="D26386" t="inlineStr">
        <is>
          <t>Sabres d'Atcham; Amulette du Strigide; Bracelet du Piloztère; Anneau de Padgref; Bouclier du Captain Amakna; Ceinture du Strigide; Coiffe de Padgref; Cape d'Atcham; Getas de Padgref; Dofus Ocre; Dolmanax; Dofus Pourpre; Dofus des Glaces; Dofus Turquoise; Dofus Nébuleux; Muldo Prune et Emeraude</t>
        </is>
      </c>
    </row>
    <row r="26387">
      <c r="A26387" t="inlineStr">
        <is>
          <t>tirompoleossa</t>
        </is>
      </c>
      <c r="B26387">
        <f>HYPERLINK("https://www.dofusbook.net/fr/equipement/885040-tirompoleossa/objets", "link")</f>
        <v/>
      </c>
      <c r="C26387" t="n">
        <v>1</v>
      </c>
      <c r="D26387" t="inlineStr">
        <is>
          <t>Marteau R'ture; Amulette du Strigide; Bague Gloursonne; Anneau de Brouce; Bouclier du Captain Amakna; Ceinture de Brouce; Masque de Koutoulou; Cape au Logis; Bottes de la Cour Sombre; Dofus Nébuleux; Dofus Émeraude; Dofus Turquoise; Remueur; Enragé majeur; Carapace Terre majeur; Kramkram</t>
        </is>
      </c>
    </row>
    <row r="26388">
      <c r="A26388" t="inlineStr">
        <is>
          <t>Stuff 1</t>
        </is>
      </c>
      <c r="B26388">
        <f>HYPERLINK("https://www.dofusbook.net/fr/equipement/141577-stuff-1/objets", "link")</f>
        <v/>
      </c>
      <c r="C26388" t="n">
        <v>0</v>
      </c>
      <c r="D26388" t="inlineStr">
        <is>
          <t>Marteau des égarés; Amulette du Strigide; Pikano; Alliance Gloursonne; Bouclier du Captain Amakna; Ceintacé; Casque du Chalœil; Voile d'encre; Bottes du Strigide; Dofus Nébuleux; Dofus Turquoise; Dofus Pourpre; Nomade; Remueur; Vigoureux majeur; Kramkram</t>
        </is>
      </c>
    </row>
    <row r="26389">
      <c r="A26389" t="inlineStr">
        <is>
          <t>danniiii</t>
        </is>
      </c>
      <c r="B26389">
        <f>HYPERLINK("https://www.dofusbook.net/fr/equipement/866883-danniiii/objets", "link")</f>
        <v/>
      </c>
      <c r="C26389" t="n">
        <v>0</v>
      </c>
      <c r="D26389" t="inlineStr">
        <is>
          <t>Marteau des égarés; Amulette du Strigide; Alliance Gloursonne; Anneau de Padgref; Bouclier du Captain Amakna; Ceintacé; Chapeau Lisson; Cape du Chalœil; Bottes du Strigide; Dofus Émeraude; Dofus Nébuleux; Dofus des Glaces; Dofus Turquoise; Dolmanax; Remueur; Muldo Prune et Emeraude</t>
        </is>
      </c>
    </row>
    <row r="26390">
      <c r="A26390" t="inlineStr">
        <is>
          <t>danii</t>
        </is>
      </c>
      <c r="B26390">
        <f>HYPERLINK("https://www.dofusbook.net/fr/equipement/866884-danii/objets", "link")</f>
        <v/>
      </c>
      <c r="C26390" t="n">
        <v>0</v>
      </c>
      <c r="D26390" t="inlineStr">
        <is>
          <t>Héqache; Amulette du Strigide; Bague Gloursonne; Bracelet du Piloztère; Bouclier du Captain Amakna; Ceinture du Strigide; Chapoulpe; Cape au Logis; Baleinabottes; Dofus Turquoise; Dofus Pourpre; Dofus Nébuleux; Dofus des Glaces; Remueur; Vigoureux majeur; Kramkram</t>
        </is>
      </c>
    </row>
    <row r="26391">
      <c r="A26391" t="inlineStr">
        <is>
          <t>madonnascannata</t>
        </is>
      </c>
      <c r="B26391">
        <f>HYPERLINK("https://www.dofusbook.net/fr/equipement/781684-madonnascannata/objets", "link")</f>
        <v/>
      </c>
      <c r="C26391" t="n">
        <v>0</v>
      </c>
      <c r="D26391" t="inlineStr">
        <is>
          <t>Epée Gloursonne; Amulette du Strigide; Bague Gloursonne; Alliance Gloursonne; Bouclier du Captain Amakna; Ceinture du Strigide; Masque Trithon; Cape du Chalœil; Bottes Trithon; Dofus Turquoise; Dofus des Glaces; Dofus Nébuleux; Dofus Pourpre; Dofus Ocre; Dolmanax; Muldo Prune et Emeraude</t>
        </is>
      </c>
    </row>
    <row r="26392">
      <c r="A26392" t="inlineStr">
        <is>
          <t>fullair</t>
        </is>
      </c>
      <c r="B26392">
        <f>HYPERLINK("https://www.dofusbook.net/fr/equipement/861378-fullair/objets", "link")</f>
        <v/>
      </c>
      <c r="C26392" t="n">
        <v>0</v>
      </c>
      <c r="D26392" t="inlineStr">
        <is>
          <t>Manthache; Collier du Valet Veinard; Alliance Gloursonne; Gant du Valet Veinard; Bouclier du Captain Amakna; Menoture; Couronne d'Allister; Cape Indescriptible; Palmes Trithons; Dofus Émeraude; Dofus Nébuleux; Dofus des Glaces; Remueur; Cascadeur majeur; Dévastateur Air majeur; Muldo Ebène</t>
        </is>
      </c>
    </row>
    <row r="26393">
      <c r="A26393" t="inlineStr">
        <is>
          <t>forzatiapro</t>
        </is>
      </c>
      <c r="B26393">
        <f>HYPERLINK("https://www.dofusbook.net/fr/equipement/854749-forzatiapro/objets", "link")</f>
        <v/>
      </c>
      <c r="C26393" t="n">
        <v>0</v>
      </c>
      <c r="D26393" t="inlineStr">
        <is>
          <t>Dague Adou; Amulette du Strigide; Anneau de Padgref; Alliance Gloursonne; Bouclier du Captain Amakna; Ceinture du Barbétoal; Némès de Tal Kasha; Chevelure de Tal Kasha; Bottes Voldelor; Dofus Ocre; Dofus Nébuleux; Dofus Turquoise; Carapace Eau majeur; Carapace Air majeur; Remueur; Muldo Ebène et Orchidée</t>
        </is>
      </c>
    </row>
    <row r="26394">
      <c r="A26394" t="inlineStr">
        <is>
          <t>feucha</t>
        </is>
      </c>
      <c r="B26394">
        <f>HYPERLINK("https://www.dofusbook.net/fr/equipement/787817-feucha/objets", "link")</f>
        <v/>
      </c>
      <c r="C26394" t="n">
        <v>0</v>
      </c>
      <c r="D26394" t="inlineStr">
        <is>
          <t>Dagues Cacterre; Amulette du Strigide; Anneau Cryochrone; Bracelet du Piloztère; Bouclier du Captain Amakna; Ceintacé; Casquette de Meno; Cape de la Dame du Hasard; Bottes de la Dame du Hasard; Dofus Turquoise; Dofus Pourpre; Dofus Émeraude; Dofus Nébuleux; Remueur; Vigoureux majeur; Muldo Prune et Emeraude</t>
        </is>
      </c>
    </row>
    <row r="26395">
      <c r="A26395" t="inlineStr">
        <is>
          <t>stellaflippo</t>
        </is>
      </c>
      <c r="B26395">
        <f>HYPERLINK("https://www.dofusbook.net/fr/equipement/825967-stellaflippo/objets", "link")</f>
        <v/>
      </c>
      <c r="C26395" t="n">
        <v>0</v>
      </c>
      <c r="D26395" t="inlineStr">
        <is>
          <t>Hache du Chalœil; Amulette du Strigide; Anneau Chevelu; Bracelet du Piloztère; Bouclier du Captain Amakna; Ceinture du Strigide; Bonnet Ko; Voile d'encre; Bottes du Chalœil; Dofus Ocre; Dolmanax; Dofus Turquoise; Dofus Nébuleux; Nomade; Remueur; Muldo Indigo</t>
        </is>
      </c>
    </row>
    <row r="26396">
      <c r="A26396" t="inlineStr">
        <is>
          <t>oooo</t>
        </is>
      </c>
      <c r="B26396">
        <f>HYPERLINK("https://www.dofusbook.net/fr/equipement/784390-oooo/objets", "link")</f>
        <v/>
      </c>
      <c r="C26396" t="n">
        <v>0</v>
      </c>
      <c r="D26396" t="inlineStr">
        <is>
          <t>Hache du Chalœil; Amulette du Strigide; Anneau Chevelu; Bague Gloursonne; Bouclier du Captain Amakna; Ceintacé; Casque Dragoeuf; Cape au Logis; Bottes du Strigide; Dolmanax; Dofus Pourpre; Dofus Turquoise; Dofus Nébuleux; Vigoureux majeur; Remueur; Kramkram</t>
        </is>
      </c>
    </row>
    <row r="26397">
      <c r="A26397" t="inlineStr">
        <is>
          <t>ondio</t>
        </is>
      </c>
      <c r="B26397">
        <f>HYPERLINK("https://www.dofusbook.net/fr/equipement/769519-ondio/objets", "link")</f>
        <v/>
      </c>
      <c r="C26397" t="n">
        <v>0</v>
      </c>
      <c r="D26397" t="inlineStr">
        <is>
          <t>Dague Adou; Amulette du Strigide; Anneau de Padgref; Alliance Gloursonne; Bouclier du Captain Amakna; Ceinture du Strigide; Némès de Tal Kasha; Chevelure de Tal Kasha; Sandales de Tal Kasha; Dofus Pourpre; Dolmanax; Dofus Turquoise; Dofus des Glaces; Dofus Ocre; Dofus Nébuleux; Muldo Prune et Emeraude</t>
        </is>
      </c>
    </row>
    <row r="26398">
      <c r="A26398" t="inlineStr">
        <is>
          <t>NodrogaNoparty</t>
        </is>
      </c>
      <c r="B26398">
        <f>HYPERLINK("https://www.dofusbook.net/fr/equipement/769239-nodroganoparty/objets", "link")</f>
        <v/>
      </c>
      <c r="C26398" t="n">
        <v>0</v>
      </c>
      <c r="D26398" t="inlineStr">
        <is>
          <t>Dagues de Srambad; Amulette de l'Indicible; Alliance Gloursonne; Bracelet du Piloztère; Bouclier du Captain Amakna; Ceintacé; Coiffe de la Reine des Voleurs; Cape Luminescente; Bottes de la Reine des Voleurs; Dofus Émeraude; Dofus Pourpre; Dofus des Glaces; Dolmanax; Nomade; Remueur; Kramkram</t>
        </is>
      </c>
    </row>
    <row r="26399">
      <c r="A26399" t="inlineStr">
        <is>
          <t>okk</t>
        </is>
      </c>
      <c r="B26399">
        <f>HYPERLINK("https://www.dofusbook.net/fr/equipement/754176-okk/objets", "link")</f>
        <v/>
      </c>
      <c r="C26399" t="n">
        <v>0</v>
      </c>
      <c r="D26399" t="inlineStr">
        <is>
          <t>Marteau des Anciens Steamers; Amulette du Strigide; Alliance Gloursonne; Bracelet du Piloztère; Bouclier du Captain Amakna; Ceintacé; Casque Dragoeuf; Chevelure de Tal Kasha; Sandales de Tal Kasha; Dofus Pourpre; Dofus Émeraude; Dofus Turquoise; Nomade; Miraculé majeur; Remueur; Kramkram</t>
        </is>
      </c>
    </row>
    <row r="26400">
      <c r="A26400" t="inlineStr">
        <is>
          <t>Tispiezoindue</t>
        </is>
      </c>
      <c r="B26400">
        <f>HYPERLINK("https://www.dofusbook.net/fr/equipement/733440-tispiezoindue/objets", "link")</f>
        <v/>
      </c>
      <c r="C26400" t="n">
        <v>0</v>
      </c>
      <c r="D26400" t="inlineStr">
        <is>
          <t>Sabres d'Atcham; Amulette du Strigide; Bracelet du Piloztère; Anneau Tique; Bouclier du Captain Amakna; Ceintacé; Casque Dragoeuf; Cape du Chalœil; Bottes du Chalœil; Dofus Émeraude; Dolmanax; Dofus Turquoise; Dofus Pourpre; Remueur; Nomade; Kramkram</t>
        </is>
      </c>
    </row>
    <row r="26401">
      <c r="A26401" t="inlineStr">
        <is>
          <t>sfondaculi</t>
        </is>
      </c>
      <c r="B26401">
        <f>HYPERLINK("https://www.dofusbook.net/fr/equipement/673142-sfondaculi/objets", "link")</f>
        <v/>
      </c>
      <c r="C26401" t="n">
        <v>12</v>
      </c>
      <c r="D26401" t="inlineStr">
        <is>
          <t>Dague Adou; Amulette du Strigide; Alliance Gloursonne; Bracelet du Piloztère; Ceintacé; Némès de Tal Kasha; Chevelure de Tal Kasha; Bottes Voldelor; Dofus Turquoise; Dofus des Glaces; Dofus Pourpre; Dofus Nébuleux; Remueur; Vigoureux majeur; Muldo Prune et Emeraude</t>
        </is>
      </c>
    </row>
    <row r="26402">
      <c r="A26402" t="inlineStr">
        <is>
          <t>tossico</t>
        </is>
      </c>
      <c r="B26402">
        <f>HYPERLINK("https://www.dofusbook.net/fr/equipement/652517-tossico/objets", "link")</f>
        <v/>
      </c>
      <c r="C26402" t="n">
        <v>1</v>
      </c>
      <c r="D26402" t="inlineStr">
        <is>
          <t>Dagues Cacterre; Amulette du Strigide; Anneau Cryochrone; Bracelet du Piloztère; Ceintacé; Casquette de Meno; Cape de la Dame du Hasard; Bottes de la Dame du Hasard; Dofus des Glaces; Dofus Turquoise; Dofus Nébuleux; Dofus Pourpre; Vigoureux majeur; Remueur; Muldo Orchidée et Emeraude</t>
        </is>
      </c>
    </row>
    <row r="26403">
      <c r="A26403" t="inlineStr">
        <is>
          <t>ladrogacivuole</t>
        </is>
      </c>
      <c r="B26403">
        <f>HYPERLINK("https://www.dofusbook.net/fr/equipement/645119-ladrogacivuole/objets", "link")</f>
        <v/>
      </c>
      <c r="C26403" t="n">
        <v>0</v>
      </c>
      <c r="D26403" t="inlineStr">
        <is>
          <t>Hache du Chalœil; Amulette du Strigide; Pikano; Bracelet du Piloztère; Ceinture du Strigide; Casque du Chalœil; Cape du Chalœil; Bottes du Chalœil; Dofus Turquoise; Dofus des Glaces; Dofus Ocre; Dofus Pourpre; Dolmanax; Entraveur majeur; Muldo Indigo</t>
        </is>
      </c>
    </row>
    <row r="26404">
      <c r="A26404" t="inlineStr">
        <is>
          <t>terra</t>
        </is>
      </c>
      <c r="B26404">
        <f>HYPERLINK("https://www.dofusbook.net/fr/equipement/353485-terra/objets", "link")</f>
        <v/>
      </c>
      <c r="C26404" t="n">
        <v>0</v>
      </c>
      <c r="D26404" t="inlineStr">
        <is>
          <t>Bêche Asse; Collier de Tourthon; Anneau Crustique; Anneau de Brouce; Ceinture de la Reine des Voleurs; Coiffe de la Reine des Voleurs; Cape au Logis; Baleinabottes; Dofus Émeraude; Dofus Ocre; Dolmanax; Miraculé majeur; Miraculé; Enragé majeur; Péki</t>
        </is>
      </c>
    </row>
    <row r="26405">
      <c r="A26405" t="inlineStr">
        <is>
          <t>ijijij</t>
        </is>
      </c>
      <c r="B26405">
        <f>HYPERLINK("https://www.dofusbook.net/fr/equipement/347142-ijijij/objets", "link")</f>
        <v/>
      </c>
      <c r="C26405" t="n">
        <v>0</v>
      </c>
      <c r="D26405" t="inlineStr">
        <is>
          <t>Harpelle; Pendentif affamé; Anneau du Katcheur; Anneauræus; Ceinture Séculaire; Masque du Katcheur; Cape de Diondin; Bottes Innommables; Dofus Émeraude; Érudit majeur; Nomade; Miraculé majeur; Carapace Feu majeur; Remueur; Péki</t>
        </is>
      </c>
    </row>
    <row r="26406">
      <c r="A26406" t="inlineStr">
        <is>
          <t>Stuff 2</t>
        </is>
      </c>
      <c r="B26406">
        <f>HYPERLINK("https://www.dofusbook.net/fr/equipement/141569-stuff-2/objets", "link")</f>
        <v/>
      </c>
      <c r="C26406" t="n">
        <v>0</v>
      </c>
      <c r="D26406" t="inlineStr">
        <is>
          <t>Rapière aux Glyphes; Amulette de Shokkoth; Alliance Gloursonne; Bracelet des Fonds marins; Pagne du Rykaon; Kidibonnet; Cape de Mantaze; Sandales des Fonds marins; Dofus Émeraude; Dofus Turquoise; Dofus Pourpre; Remueur; Chanceux majeur; Miraculé majeur; Muldo Indigo</t>
        </is>
      </c>
    </row>
    <row r="26407">
      <c r="A26407" t="inlineStr">
        <is>
          <t>Stuff 3</t>
        </is>
      </c>
      <c r="B26407">
        <f>HYPERLINK("https://www.dofusbook.net/fr/equipement/141570-stuff-3/objets", "link")</f>
        <v/>
      </c>
      <c r="C26407" t="n">
        <v>0</v>
      </c>
      <c r="D26407" t="inlineStr">
        <is>
          <t>Sabres d'Atcham; Amulette du Strigide; Alliance Gloursonne; Anneau de Padgref; Ceintacé; Chapeau des Malveilleurs; Cape d'Atcham; Bottes de la Dame du Hasard; Dofus Émeraude; Dofus Turquoise; Dofus Pourpre; Miraculé majeur; Remueur; Nomade</t>
        </is>
      </c>
    </row>
    <row r="26408">
      <c r="A26408" t="inlineStr">
        <is>
          <t>Ggggg</t>
        </is>
      </c>
      <c r="B26408">
        <f>HYPERLINK("https://www.dofusbook.net/fr/equipement/143301-ggggg/objets", "link")</f>
        <v/>
      </c>
      <c r="C26408" t="n">
        <v>0</v>
      </c>
      <c r="D26408" t="inlineStr">
        <is>
          <t>Rapière aux Glyphes; Amulette de Shokkoth; Anneau Glacial; Bracelet des Fonds marins; Pagne du Rykaon; Kidibonnet; Cape de Mantaze; Sandales des Fonds marins; Dofus Émeraude; Dofus Turquoise; Miraculé majeur; Muldo Prune et Indigo</t>
        </is>
      </c>
    </row>
    <row r="26409">
      <c r="A26409" t="inlineStr">
        <is>
          <t>GanjaPower</t>
        </is>
      </c>
      <c r="B26409">
        <f>HYPERLINK("https://www.dofusbook.net/fr/equipement/141981-ganjapower/objets", "link")</f>
        <v/>
      </c>
      <c r="C26409" t="n">
        <v>0</v>
      </c>
      <c r="D26409" t="inlineStr"/>
    </row>
    <row r="26410">
      <c r="A26410" t="inlineStr">
        <is>
          <t>Stuff 1</t>
        </is>
      </c>
      <c r="B26410">
        <f>HYPERLINK("https://www.dofusbook.net/fr/equipement/141580-stuff-1/objets", "link")</f>
        <v/>
      </c>
      <c r="C26410" t="n">
        <v>0</v>
      </c>
      <c r="D26410" t="inlineStr">
        <is>
          <t>Sabres d'Atcham; Amulette du Strigide; Alliance Gloursonne; Anneau Tique; Ceintacé; Casque Dragoeuf; Cape d'Atcham; Sabots de Vortex; Dolmanax; Dofus Turquoise; Dofus Pourpre; Nomade; Remueur; Vigoureux majeur</t>
        </is>
      </c>
    </row>
    <row r="26411">
      <c r="A26411" t="inlineStr">
        <is>
          <t>Stuff 3</t>
        </is>
      </c>
      <c r="B26411">
        <f>HYPERLINK("https://www.dofusbook.net/fr/equipement/141612-stuff-3/objets", "link")</f>
        <v/>
      </c>
      <c r="C26411" t="n">
        <v>0</v>
      </c>
      <c r="D26411" t="inlineStr">
        <is>
          <t>Marteau des égarés; Amulette du Strigide; Chevalière du Roi Joueur; Alliance Gloursonne; Ceintacé; Casque de Missiz Frizz; Voile d'encre; Bottes du Strigide; Dofus Pourpre; Dolmanax; Dofus des Glaces; Dofus Turquoise; Remueur; Vigoureux majeur</t>
        </is>
      </c>
    </row>
    <row r="26412">
      <c r="A26412" t="inlineStr">
        <is>
          <t>Stuff 2</t>
        </is>
      </c>
      <c r="B26412">
        <f>HYPERLINK("https://www.dofusbook.net/fr/equipement/141575-stuff-2/objets", "link")</f>
        <v/>
      </c>
      <c r="C26412" t="n">
        <v>0</v>
      </c>
      <c r="D26412" t="inlineStr">
        <is>
          <t>Dagues Érhy; Amulette du Strigide; Chevalière du Roi Joueur; Anneau de Padgref; Ceinture du Strigide; Coiffe de Padgref; Cape d'Atcham; Getas de Padgref; Dolmanax; Dofus Ocre; Dofus Turquoise; Dofus des Glaces; Dofus Pourpre</t>
        </is>
      </c>
    </row>
    <row r="26413">
      <c r="A26413" t="inlineStr">
        <is>
          <t>Stuff 1</t>
        </is>
      </c>
      <c r="B26413">
        <f>HYPERLINK("https://www.dofusbook.net/fr/equipement/141607-stuff-1/objets", "link")</f>
        <v/>
      </c>
      <c r="C26413" t="n">
        <v>0</v>
      </c>
      <c r="D26413" t="inlineStr">
        <is>
          <t>Hache du Chalœil; Amulette du Strigide; Bracelet du Piloztère; Bague Gloursonne; Ceintacé; Casque du Chalœil; Voile d'encre; Bottes du Chalœil; Dofus Turquoise; Dolmanax; Dofus Pourpre; Miraculé majeur; Remueur; Vigoureux majeur</t>
        </is>
      </c>
    </row>
    <row r="26414">
      <c r="A26414" t="inlineStr">
        <is>
          <t>Stuff 2</t>
        </is>
      </c>
      <c r="B26414">
        <f>HYPERLINK("https://www.dofusbook.net/fr/equipement/141602-stuff-2/objets", "link")</f>
        <v/>
      </c>
      <c r="C26414" t="n">
        <v>0</v>
      </c>
      <c r="D26414" t="inlineStr">
        <is>
          <t>Héqache; Amulette du Strigide; Anneau de Brouce; Bracelet du Piloztère; Ceinture du Strigide; Bonnet Ko; Cape du Kamasterisk; Bottes du Cycloïde; Dofus Ocre; Dofus Pourpre; Dofus Turquoise; Nomade; Remueur; Vigoureux majeur</t>
        </is>
      </c>
    </row>
    <row r="26415">
      <c r="A26415" t="inlineStr">
        <is>
          <t>Stuff 3</t>
        </is>
      </c>
      <c r="B26415">
        <f>HYPERLINK("https://www.dofusbook.net/fr/equipement/141597-stuff-3/objets", "link")</f>
        <v/>
      </c>
      <c r="C26415" t="n">
        <v>0</v>
      </c>
      <c r="D26415" t="inlineStr">
        <is>
          <t>Épée du Granduk; Amulette du Strigide; Anneau d'Allister; Alliance Gloursonne; Menoture; Couronne d'Allister; Cape Indescriptible; Palmes Trithons; Dofus Pourpre; Dofus Turquoise; Cascadeur majeur; Nomade; Remueur; Vigoureux majeur</t>
        </is>
      </c>
    </row>
    <row r="26416">
      <c r="A26416" t="inlineStr">
        <is>
          <t>Stuff 2</t>
        </is>
      </c>
      <c r="B26416">
        <f>HYPERLINK("https://www.dofusbook.net/fr/equipement/141629-stuff-2/objets", "link")</f>
        <v/>
      </c>
      <c r="C26416" t="n">
        <v>0</v>
      </c>
      <c r="D26416" t="inlineStr">
        <is>
          <t>Sabres d'Atcham; Amulette du Strigide; Bague Gloursonne; Anneau de Padgref; Ceinture du Strigide; Coiffe de Padgref; Cape d'Atcham; Getas de Padgref; Dofus Émeraude; Dofus Ocre; Dolmanax; Dofus Turquoise; Dofus Pourpre; Dofus des Glaces</t>
        </is>
      </c>
    </row>
    <row r="26417">
      <c r="A26417" t="inlineStr">
        <is>
          <t>Stuff 1</t>
        </is>
      </c>
      <c r="B26417">
        <f>HYPERLINK("https://www.dofusbook.net/fr/equipement/141592-stuff-1/objets", "link")</f>
        <v/>
      </c>
      <c r="C26417" t="n">
        <v>0</v>
      </c>
      <c r="D26417" t="inlineStr">
        <is>
          <t>Marteau R'ture; Amulette du Strigide; Anneau Crustique; Chevalière du Roi Joueur; Ceinture du Strigide; Masque de Koutoulou; Cape au Logis; Bottes de la Cour Sombre; Dofus Pourpre; Dofus Turquoise; Enragé majeur; Remueur; Vigoureux majeur; Forcené majeur; Kompost</t>
        </is>
      </c>
    </row>
    <row r="26418">
      <c r="A26418" t="inlineStr">
        <is>
          <t>Stuff 3</t>
        </is>
      </c>
      <c r="B26418">
        <f>HYPERLINK("https://www.dofusbook.net/fr/equipement/141624-stuff-3/objets", "link")</f>
        <v/>
      </c>
      <c r="C26418" t="n">
        <v>0</v>
      </c>
      <c r="D26418" t="inlineStr">
        <is>
          <t>Arc du Chalœil; Amulette du Strigide; Bague Gloursonne; Anneau Crustique; Ceinture de la Reine des Voleurs; Coiffe de la Reine des Voleurs; Cape au Logis; Bottes de la Cour Sombre; Dofus Turquoise; Dofus Ocre; Dofus Pourpre; Remueur; Forcené majeur; Enragé majeur; Kompost</t>
        </is>
      </c>
    </row>
    <row r="26419">
      <c r="A26419" t="inlineStr">
        <is>
          <t>Stuff 2</t>
        </is>
      </c>
      <c r="B26419">
        <f>HYPERLINK("https://www.dofusbook.net/fr/equipement/141587-stuff-2/objets", "link")</f>
        <v/>
      </c>
      <c r="C26419" t="n">
        <v>0</v>
      </c>
      <c r="D26419" t="inlineStr">
        <is>
          <t>Sabres d'Atcham; Amulette du Strigide; Bracelet du Piloztère; Anneau de Padgref; Ceinture du Strigide; Coiffe de Padgref; Cape d'Atcham; Getas de Padgref; Dofus Émeraude; Dofus Ocre; Dofus Pourpre; Dofus Turquoise; Dofus des Glaces; Dolmanax</t>
        </is>
      </c>
    </row>
    <row r="26420">
      <c r="A26420" t="inlineStr">
        <is>
          <t>Stuff 1</t>
        </is>
      </c>
      <c r="B26420">
        <f>HYPERLINK("https://www.dofusbook.net/fr/equipement/141619-stuff-1/objets", "link")</f>
        <v/>
      </c>
      <c r="C26420" t="n">
        <v>0</v>
      </c>
      <c r="D26420" t="inlineStr">
        <is>
          <t>Sabres d'Atcham; Amulette du Strigide; Bague Trithon; Anneau de Padgref; Ceinture du Strigide; Masque Trithon; Cape d'Atcham; Sandales  d'Atcham; Dofus des Glaces; Dofus Turquoise; Dolmanax; Dofus Ocre; Dofus Pourpre; Puissant majeur</t>
        </is>
      </c>
    </row>
    <row r="26421">
      <c r="A26421" t="inlineStr">
        <is>
          <t>Stuff 2</t>
        </is>
      </c>
      <c r="B26421">
        <f>HYPERLINK("https://www.dofusbook.net/fr/equipement/141599-stuff-2/objets", "link")</f>
        <v/>
      </c>
      <c r="C26421" t="n">
        <v>0</v>
      </c>
      <c r="D26421" t="inlineStr">
        <is>
          <t>Dagues Érhy; Amulette du Strigide; Anneau Chevelu; Bague Gloursonne; Ceinture de la Cour Sombre; Masque de Koutoulou; Cape au Logis; Bottes de la Cour Sombre; Dofus Turquoise; Carapace Terre majeur; Étourdisseur majeur; Remueur; Carapace Eau majeur; Enragé majeur</t>
        </is>
      </c>
    </row>
    <row r="26422">
      <c r="A26422" t="inlineStr">
        <is>
          <t>Stuff 1</t>
        </is>
      </c>
      <c r="B26422">
        <f>HYPERLINK("https://www.dofusbook.net/fr/equipement/141631-stuff-1/objets", "link")</f>
        <v/>
      </c>
      <c r="C26422" t="n">
        <v>0</v>
      </c>
      <c r="D26422" t="inlineStr">
        <is>
          <t>Dagoulinantes; Amulette Luminescente; Bracelet des Fonds marins; Alliance Gloursonne; Sangle Ouare; Masque Trithon; Chevelure de Tal Kasha; Bottes Trithon; Dofus Ocre; Dofus Turquoise; Bousculeur majeur; Culbuteur majeur; Remueur; Chanceux majeur</t>
        </is>
      </c>
    </row>
    <row r="26423">
      <c r="A26423" t="inlineStr">
        <is>
          <t>Stuff 3</t>
        </is>
      </c>
      <c r="B26423">
        <f>HYPERLINK("https://www.dofusbook.net/fr/equipement/141594-stuff-3/objets", "link")</f>
        <v/>
      </c>
      <c r="C26423" t="n">
        <v>0</v>
      </c>
      <c r="D26423" t="inlineStr">
        <is>
          <t>Plumeau Bil; Pendentif affamé; Anneau Rifique; Bague Gloursonne; Ceinture Séculaire; Coiffe Séculaire; Cape de Diondin; Bottes Innommables; Dofus Pourpre; Dofus Turquoise; Astucieux majeur; Nomade; Remueur; Érudit majeur; Brûlih</t>
        </is>
      </c>
    </row>
    <row r="26424">
      <c r="A26424" t="inlineStr">
        <is>
          <t>Stuff 2</t>
        </is>
      </c>
      <c r="B26424">
        <f>HYPERLINK("https://www.dofusbook.net/fr/equipement/141626-stuff-2/objets", "link")</f>
        <v/>
      </c>
      <c r="C26424" t="n">
        <v>0</v>
      </c>
      <c r="D26424" t="inlineStr">
        <is>
          <t>Manthache; Collier du Valet Veinard; Gant du Valet Veinard; Alliance Gloursonne; Menoture; Casque Dragoeuf; Cape Indescriptible; Palmes Trithons; Dofus des Glaces; Dofus Émeraude; Cascadeur majeur; Nomade; Remueur; Miraculé majeur</t>
        </is>
      </c>
    </row>
    <row r="26425">
      <c r="A26425" t="inlineStr">
        <is>
          <t>Stuff 1</t>
        </is>
      </c>
      <c r="B26425">
        <f>HYPERLINK("https://www.dofusbook.net/fr/equipement/141589-stuff-1/objets", "link")</f>
        <v/>
      </c>
      <c r="C26425" t="n">
        <v>0</v>
      </c>
      <c r="D26425" t="inlineStr">
        <is>
          <t>Plumeau Bil; Pendentif affamé; Chevalière du Roi Joueur; Bague Gloursonne; Ceinture Séculaire; Coiffe Séculaire; Voile d'encre; Bottes Innommables; Dofus Turquoise; Dofus Ocre; Érudit majeur; Nomade; Miraculé majeur; Remueur; Eliôme</t>
        </is>
      </c>
    </row>
    <row r="26426">
      <c r="A26426" t="inlineStr">
        <is>
          <t>Stuff 3</t>
        </is>
      </c>
      <c r="B26426">
        <f>HYPERLINK("https://www.dofusbook.net/fr/equipement/141621-stuff-3/objets", "link")</f>
        <v/>
      </c>
      <c r="C26426" t="n">
        <v>1</v>
      </c>
      <c r="D26426" t="inlineStr">
        <is>
          <t>Dagues de Srambad; Amulette du Strigide; Bracelet du Piloztère; Bague Gloursonne; Ceinture de la Reine des Voleurs; Coiffe de la Reine des Voleurs; Cape au Logis; Bottes de la Cour Sombre; Dolmanax; Dofus Ocre; Dofus Turquoise; Dofus des Glaces; Enragé majeur; Remueur</t>
        </is>
      </c>
    </row>
    <row r="26427">
      <c r="A26427" t="inlineStr">
        <is>
          <t>Stuff 2</t>
        </is>
      </c>
      <c r="B26427">
        <f>HYPERLINK("https://www.dofusbook.net/fr/equipement/141584-stuff-2/objets", "link")</f>
        <v/>
      </c>
      <c r="C26427" t="n">
        <v>0</v>
      </c>
      <c r="D26427" t="inlineStr">
        <is>
          <t>Arc Hétype; Amulette d'Otomaï; Bague Gloursonne; Anneau Tique; Ceinture Séculaire; Casqnoar; Cape de Nileza; Bottes d'Otomaï; Dofus Ocre; Dofus Turquoise; Remueur; Nomade; Érudit majeur; Carapace Feu majeur</t>
        </is>
      </c>
    </row>
    <row r="26428">
      <c r="A26428" t="inlineStr">
        <is>
          <t>Stuff 3</t>
        </is>
      </c>
      <c r="B26428">
        <f>HYPERLINK("https://www.dofusbook.net/fr/equipement/141579-stuff-3/objets", "link")</f>
        <v/>
      </c>
      <c r="C26428" t="n">
        <v>0</v>
      </c>
      <c r="D26428" t="inlineStr">
        <is>
          <t>Dagoulinantes; Amulette du Strigide; Pikano; Alliance Gloursonne; Poulpagne; Masque des Fonds marins; Cape du Sinistrofu; Bottes du Sinistrofu; Dofus Turquoise; Remueur; Étourdisseur majeur; Nomade; Carapace Eau majeur; Chanceux majeur</t>
        </is>
      </c>
    </row>
    <row r="26429">
      <c r="A26429" t="inlineStr">
        <is>
          <t>Stuff 2</t>
        </is>
      </c>
      <c r="B26429">
        <f>HYPERLINK("https://www.dofusbook.net/fr/equipement/141611-stuff-2/objets", "link")</f>
        <v/>
      </c>
      <c r="C26429" t="n">
        <v>0</v>
      </c>
      <c r="D26429" t="inlineStr">
        <is>
          <t>Dague Adou; Amulette du Strigide; Bracelet du Piloztère; Alliance Gloursonne; Ceinture du Strigide; Némès de Tal Kasha; Chevelure de Tal Kasha; Sandales de Tal Kasha; Dofus Pourpre; Dofus Turquoise; Dofus Émeraude; Dolmanax; Dofus des Glaces; Dofus Ocre</t>
        </is>
      </c>
    </row>
    <row r="26430">
      <c r="A26430" t="inlineStr">
        <is>
          <t>Stuff 1</t>
        </is>
      </c>
      <c r="B26430">
        <f>HYPERLINK("https://www.dofusbook.net/fr/equipement/141574-stuff-1/objets", "link")</f>
        <v/>
      </c>
      <c r="C26430" t="n">
        <v>2</v>
      </c>
      <c r="D26430" t="inlineStr">
        <is>
          <t>Dagues de Srambad; Amulette du Strigide; Pikano; Bague Gloursonne; Ceinture de la Reine des Voleurs; Coiffe de la Reine des Voleurs; Voile d'encre; Baleinabottes; Dofus Pourpre; Nomade; Vigoureux majeur; Chanceux majeur; Carapace Terre majeur; Remueur</t>
        </is>
      </c>
    </row>
    <row r="26431">
      <c r="A26431" t="inlineStr">
        <is>
          <t>Stuff 3</t>
        </is>
      </c>
      <c r="B26431">
        <f>HYPERLINK("https://www.dofusbook.net/fr/equipement/141606-stuff-3/objets", "link")</f>
        <v/>
      </c>
      <c r="C26431" t="n">
        <v>0</v>
      </c>
      <c r="D26431" t="inlineStr">
        <is>
          <t>Manthache; Collier du Valet Veinard; Pikano; Alliance Gloursonne; Menoture; Casque Dragoeuf; Cape du Valet Veinard; Palmes Trithons; Dofus Émeraude; Miraculé majeur; Nomade; Remueur; Cascadeur majeur; Carapace Air majeur</t>
        </is>
      </c>
    </row>
    <row r="26432">
      <c r="A26432" t="inlineStr">
        <is>
          <t>Stuff 1</t>
        </is>
      </c>
      <c r="B26432">
        <f>HYPERLINK("https://www.dofusbook.net/fr/equipement/141601-stuff-1/objets", "link")</f>
        <v/>
      </c>
      <c r="C26432" t="n">
        <v>0</v>
      </c>
      <c r="D26432" t="inlineStr">
        <is>
          <t>Rapière aux Glyphes; Amulette du Strigide; Bracelet des Fonds marins; Alliance Gloursonne; Ceinture de la Reine des Voleurs; Casque Dragoeuf; Cape Glaciale; Bottes de la Reine des Voleurs; Dofus Ocre; Dofus Turquoise; Carapace Eau majeur; Chanceux majeur; Miraculé majeur; Remueur</t>
        </is>
      </c>
    </row>
    <row r="26433">
      <c r="A26433" t="inlineStr">
        <is>
          <t>Stuff 3</t>
        </is>
      </c>
      <c r="B26433">
        <f>HYPERLINK("https://www.dofusbook.net/fr/equipement/141633-stuff-3/objets", "link")</f>
        <v/>
      </c>
      <c r="C26433" t="n">
        <v>0</v>
      </c>
      <c r="D26433" t="inlineStr">
        <is>
          <t>Héqache; Amulette du Strigide; Anneau des égarés; Bracelet du Piloztère; Ceinture du Strigide; Bonnet Ko; Voile d'encre; Bottes du Cycloïde; Dofus Turquoise; Dofus Pourpre; Dofus Ocre; Nomade; Remueur; Vigoureux majeur</t>
        </is>
      </c>
    </row>
    <row r="26434">
      <c r="A26434" t="inlineStr">
        <is>
          <t>Stuff 2</t>
        </is>
      </c>
      <c r="B26434">
        <f>HYPERLINK("https://www.dofusbook.net/fr/equipement/141596-stuff-2/objets", "link")</f>
        <v/>
      </c>
      <c r="C26434" t="n">
        <v>1</v>
      </c>
      <c r="D26434" t="inlineStr">
        <is>
          <t>Dagues Érhy; Amulette du Strigide; Bague Gloursonne; Chevalière du Roi Joueur; Ceinture du Strigide; Masque de Koutoulou; Voile d'encre; Bottes de la Cour Sombre; Dofus Pourpre; Dofus Turquoise; Remueur; Enragé majeur; Nomade; Vigoureux majeur</t>
        </is>
      </c>
    </row>
    <row r="26435">
      <c r="A26435" t="inlineStr">
        <is>
          <t>Stuff 1</t>
        </is>
      </c>
      <c r="B26435">
        <f>HYPERLINK("https://www.dofusbook.net/fr/equipement/141628-stuff-1/objets", "link")</f>
        <v/>
      </c>
      <c r="C26435" t="n">
        <v>0</v>
      </c>
      <c r="D26435" t="inlineStr">
        <is>
          <t>Arc Hétype; Amulette Séculaire; Anneau Tique; Bague Gloursonne; Ceinture Séculaire; Casque Dragoeuf; Voile d'encre; Bottes Innommables; Dofus Ocre; Dofus Turquoise; Érudit majeur; Temporiseur majeur; Entraveur majeur; Remueur</t>
        </is>
      </c>
    </row>
    <row r="26436">
      <c r="A26436" t="inlineStr">
        <is>
          <t>Stuff 3</t>
        </is>
      </c>
      <c r="B26436">
        <f>HYPERLINK("https://www.dofusbook.net/fr/equipement/141591-stuff-3/objets", "link")</f>
        <v/>
      </c>
      <c r="C26436" t="n">
        <v>0</v>
      </c>
      <c r="D26436" t="inlineStr">
        <is>
          <t>Dagues Érhy; Amulette du Strigide; Bague Gloursonne; Bracelet du Piloztère; Ceintacé; Chapeau de Gein; Cape au Logis; Bottes du Strigide; Dofus Pourpre; Dofus Turquoise; Dolmanax; Vigoureux majeur; Remueur; Miraculé majeur; Eliôme</t>
        </is>
      </c>
    </row>
    <row r="26437">
      <c r="A26437" t="inlineStr">
        <is>
          <t>Stuff 2</t>
        </is>
      </c>
      <c r="B26437">
        <f>HYPERLINK("https://www.dofusbook.net/fr/equipement/141623-stuff-2/objets", "link")</f>
        <v/>
      </c>
      <c r="C26437" t="n">
        <v>1</v>
      </c>
      <c r="D26437" t="inlineStr">
        <is>
          <t>Pelle de la Cour Sombre; Collier de Tourthon; Anneau de Pol Ouatnos; Bague Trithon; Pagne du Rykaon; Casque Dragoeuf; Voile d'encre; Bottes Trithon; Dofus Ocre; Dofus Émeraude; Miraculé majeur; Carapace Feu majeur; Miraculé; Remueur; Eliôme</t>
        </is>
      </c>
    </row>
    <row r="26438">
      <c r="A26438" t="inlineStr">
        <is>
          <t>Stuff 1</t>
        </is>
      </c>
      <c r="B26438">
        <f>HYPERLINK("https://www.dofusbook.net/fr/equipement/141586-stuff-1/objets", "link")</f>
        <v/>
      </c>
      <c r="C26438" t="n">
        <v>0</v>
      </c>
      <c r="D26438" t="inlineStr">
        <is>
          <t>Dagues Érhy; Pendentif affamé; Anneau de Padgref; Chevalière du Roi Joueur; Ceinture Séculaire; Coiffe de Padgref; Voile d'encre; Bottes Innommables; Dofus Ocre; Dofus Turquoise; Dofus Pourpre; Carapace Terre majeur; Érudit majeur; Remueur</t>
        </is>
      </c>
    </row>
    <row r="26439">
      <c r="A26439" t="inlineStr">
        <is>
          <t>Stuff 3</t>
        </is>
      </c>
      <c r="B26439">
        <f>HYPERLINK("https://www.dofusbook.net/fr/equipement/141618-stuff-3/objets", "link")</f>
        <v/>
      </c>
      <c r="C26439" t="n">
        <v>0</v>
      </c>
      <c r="D26439" t="inlineStr">
        <is>
          <t>Manthache; Collier du Valet Veinard; Alliance Gloursonne; Gant du Valet Veinard; Menoture; Casque Dragoeuf; Cape Indescriptible; Palmes Trithons; Dofus Émeraude; Dofus des Glaces; Miraculé majeur; Dévastateur Air majeur; Cascadeur majeur; Remueur</t>
        </is>
      </c>
    </row>
    <row r="26440">
      <c r="A26440" t="inlineStr">
        <is>
          <t>Stuff 2</t>
        </is>
      </c>
      <c r="B26440">
        <f>HYPERLINK("https://www.dofusbook.net/fr/equipement/141581-stuff-2/objets", "link")</f>
        <v/>
      </c>
      <c r="C26440" t="n">
        <v>1</v>
      </c>
      <c r="D26440" t="inlineStr">
        <is>
          <t>Marteau des Anciens Steamers; Amulette du Strigide; Pikano; Alliance Gloursonne; Ceinture Voldelor; Casque Dragoeuf; Cape d'Hel Munster; Bottes Voldelor; Dofus Ocre; Dofus Pourpre; Dofus Turquoise; Nomade; Remueur; Vigoureux majeur</t>
        </is>
      </c>
    </row>
    <row r="26441">
      <c r="A26441" t="inlineStr">
        <is>
          <t>Stuff 3</t>
        </is>
      </c>
      <c r="B26441">
        <f>HYPERLINK("https://www.dofusbook.net/fr/equipement/141633-stuff-3/objets", "link")</f>
        <v/>
      </c>
      <c r="C26441" t="n">
        <v>0</v>
      </c>
      <c r="D26441" t="inlineStr">
        <is>
          <t>Héqache; Amulette du Strigide; Anneau des égarés; Bracelet du Piloztère; Ceinture du Strigide; Bonnet Ko; Voile d'encre; Bottes du Cycloïde; Dofus Pourpre; Dofus Ocre; Dofus Turquoise; Nomade; Remueur; Vigoureux majeur</t>
        </is>
      </c>
    </row>
    <row r="26442">
      <c r="A26442" t="inlineStr">
        <is>
          <t>Stuff 2</t>
        </is>
      </c>
      <c r="B26442">
        <f>HYPERLINK("https://www.dofusbook.net/fr/equipement/141596-stuff-2/objets", "link")</f>
        <v/>
      </c>
      <c r="C26442" t="n">
        <v>1</v>
      </c>
      <c r="D26442" t="inlineStr">
        <is>
          <t>Dagues Érhy; Amulette du Strigide; Chevalière du Roi Joueur; Bague Gloursonne; Ceinture du Strigide; Masque de Koutoulou; Voile d'encre; Bottes de la Cour Sombre; Dofus Turquoise; Dofus Pourpre; Enragé majeur; Nomade; Vigoureux majeur; Remueur</t>
        </is>
      </c>
    </row>
    <row r="26443">
      <c r="A26443" t="inlineStr">
        <is>
          <t>Stuff 1</t>
        </is>
      </c>
      <c r="B26443">
        <f>HYPERLINK("https://www.dofusbook.net/fr/equipement/141628-stuff-1/objets", "link")</f>
        <v/>
      </c>
      <c r="C26443" t="n">
        <v>0</v>
      </c>
      <c r="D26443" t="inlineStr">
        <is>
          <t>Arc Hétype; Amulette Séculaire; Bague Gloursonne; Anneau Tique; Ceinture Séculaire; Casque Dragoeuf; Voile d'encre; Bottes Innommables; Dofus Ocre; Dofus Turquoise; Érudit majeur; Temporiseur majeur; Entraveur majeur; Remueur</t>
        </is>
      </c>
    </row>
    <row r="26444">
      <c r="A26444" t="inlineStr">
        <is>
          <t>Stuff 3</t>
        </is>
      </c>
      <c r="B26444">
        <f>HYPERLINK("https://www.dofusbook.net/fr/equipement/141591-stuff-3/objets", "link")</f>
        <v/>
      </c>
      <c r="C26444" t="n">
        <v>0</v>
      </c>
      <c r="D26444" t="inlineStr">
        <is>
          <t>Dagues Érhy; Amulette du Strigide; Bague Gloursonne; Bracelet du Piloztère; Ceintacé; Chapeau de Gein; Cape au Logis; Bottes du Strigide; Dolmanax; Dofus Pourpre; Dofus Turquoise; Miraculé majeur; Vigoureux majeur; Remueur; Eliôme</t>
        </is>
      </c>
    </row>
    <row r="26445">
      <c r="A26445" t="inlineStr">
        <is>
          <t>Stuff 2</t>
        </is>
      </c>
      <c r="B26445">
        <f>HYPERLINK("https://www.dofusbook.net/fr/equipement/141623-stuff-2/objets", "link")</f>
        <v/>
      </c>
      <c r="C26445" t="n">
        <v>1</v>
      </c>
      <c r="D26445" t="inlineStr">
        <is>
          <t>Pelle de la Cour Sombre; Collier de Tourthon; Bague Trithon; Anneau de Pol Ouatnos; Pagne du Rykaon; Casque Dragoeuf; Voile d'encre; Bottes Trithon; Dofus Ocre; Dofus Émeraude; Miraculé majeur; Carapace Feu majeur; Miraculé; Remueur; Eliôme</t>
        </is>
      </c>
    </row>
    <row r="26446">
      <c r="A26446" t="inlineStr">
        <is>
          <t>Stuff 1</t>
        </is>
      </c>
      <c r="B26446">
        <f>HYPERLINK("https://www.dofusbook.net/fr/equipement/141586-stuff-1/objets", "link")</f>
        <v/>
      </c>
      <c r="C26446" t="n">
        <v>0</v>
      </c>
      <c r="D26446" t="inlineStr">
        <is>
          <t>Dagues Érhy; Pendentif affamé; Anneau de Padgref; Chevalière du Roi Joueur; Ceinture Séculaire; Coiffe de Padgref; Voile d'encre; Bottes Innommables; Dofus Ocre; Dofus Turquoise; Dofus Pourpre; Carapace Terre majeur; Érudit majeur; Remueur</t>
        </is>
      </c>
    </row>
    <row r="26447">
      <c r="A26447" t="inlineStr">
        <is>
          <t>Stuff 3</t>
        </is>
      </c>
      <c r="B26447">
        <f>HYPERLINK("https://www.dofusbook.net/fr/equipement/141618-stuff-3/objets", "link")</f>
        <v/>
      </c>
      <c r="C26447" t="n">
        <v>0</v>
      </c>
      <c r="D26447" t="inlineStr">
        <is>
          <t>Manthache; Collier du Valet Veinard; Alliance Gloursonne; Gant du Valet Veinard; Menoture; Casque Dragoeuf; Cape Indescriptible; Palmes Trithons; Dofus Émeraude; Dofus des Glaces; Miraculé majeur; Dévastateur Air majeur; Cascadeur majeur; Remueur</t>
        </is>
      </c>
    </row>
    <row r="26448">
      <c r="A26448" t="inlineStr">
        <is>
          <t>Stuff 2</t>
        </is>
      </c>
      <c r="B26448">
        <f>HYPERLINK("https://www.dofusbook.net/fr/equipement/141581-stuff-2/objets", "link")</f>
        <v/>
      </c>
      <c r="C26448" t="n">
        <v>1</v>
      </c>
      <c r="D26448" t="inlineStr">
        <is>
          <t>Marteau des Anciens Steamers; Amulette du Strigide; Pikano; Alliance Gloursonne; Ceinture Voldelor; Casque Dragoeuf; Cape d'Hel Munster; Bottes Voldelor; Dofus Ocre; Dofus Pourpre; Dofus Turquoise; Nomade; Remueur; Vigoureux majeur</t>
        </is>
      </c>
    </row>
    <row r="26449">
      <c r="A26449" t="inlineStr">
        <is>
          <t>Stuff 1</t>
        </is>
      </c>
      <c r="B26449">
        <f>HYPERLINK("https://www.dofusbook.net/fr/equipement/141613-stuff-1/objets", "link")</f>
        <v/>
      </c>
      <c r="C26449" t="n">
        <v>0</v>
      </c>
      <c r="D26449" t="inlineStr">
        <is>
          <t>Sabres d'Atcham; Amulette du Strigide; Anneau Tique; Alliance Gloursonne; Ceintacé; Casque Dragoeuf; Cape de la Dame du Hasard; Sandales  d'Atcham; Dolmanax; Dofus Turquoise; Dofus Pourpre; Nomade; Remueur; Vigoureux majeur</t>
        </is>
      </c>
    </row>
    <row r="26450">
      <c r="A26450" t="inlineStr">
        <is>
          <t>Stuff 3</t>
        </is>
      </c>
      <c r="B26450">
        <f>HYPERLINK("https://www.dofusbook.net/fr/equipement/141576-stuff-3/objets", "link")</f>
        <v/>
      </c>
      <c r="C26450" t="n">
        <v>0</v>
      </c>
      <c r="D26450" t="inlineStr">
        <is>
          <t>Dagues Érhy; Amulette du Strigide; Chevalière du Roi Joueur; Baguistik; Ceinture du Strigide; Couronne du Roi Joueur; Voile d'encre; Bottes du Roi Joueur; Dofus des Glaces; Dofus Turquoise; Dolmanax; Dofus Ocre; Dofus Vulbis; Dofus Pourpre</t>
        </is>
      </c>
    </row>
    <row r="26451">
      <c r="A26451" t="inlineStr">
        <is>
          <t>Stuff 2</t>
        </is>
      </c>
      <c r="B26451">
        <f>HYPERLINK("https://www.dofusbook.net/fr/equipement/141608-stuff-2/objets", "link")</f>
        <v/>
      </c>
      <c r="C26451" t="n">
        <v>0</v>
      </c>
      <c r="D26451" t="inlineStr">
        <is>
          <t>Bêche Asse; Amulette du Strigide; Anneau Chevelu; Bague Gloursonne; Ceinture du Strigide; Bonnet Ko; Voile d'encre; Bottes de la Cour Sombre; Dofus Ocre; Dofus Turquoise; Remueur; Enragé majeur; Nomade; Carapace Feu majeur</t>
        </is>
      </c>
    </row>
    <row r="26452">
      <c r="A26452" t="inlineStr">
        <is>
          <t>Stuff 3</t>
        </is>
      </c>
      <c r="B26452">
        <f>HYPERLINK("https://www.dofusbook.net/fr/equipement/141603-stuff-3/objets", "link")</f>
        <v/>
      </c>
      <c r="C26452" t="n">
        <v>0</v>
      </c>
      <c r="D26452" t="inlineStr">
        <is>
          <t>Plumeau Bil; Pendentif affamé; Bague Gloursonne; Chevalière du Roi Joueur; Ceinture de Vortex; Couronne de Nidas; Voile d'encre; Sabots de Vortex; Dofus Turquoise; Dofus Ocre; Étourdisseur majeur; Carapace Feu majeur; Remueur; Érudit majeur</t>
        </is>
      </c>
    </row>
    <row r="26453">
      <c r="A26453" t="inlineStr">
        <is>
          <t>Stuff 1</t>
        </is>
      </c>
      <c r="B26453">
        <f>HYPERLINK("https://www.dofusbook.net/fr/equipement/141598-stuff-1/objets", "link")</f>
        <v/>
      </c>
      <c r="C26453" t="n">
        <v>0</v>
      </c>
      <c r="D26453" t="inlineStr">
        <is>
          <t>Pelle de la Cour Sombre; Amulette du Strigide; Anneau d'Allister; Alliance Gloursonne; Ceinture Voldelor; Bonnet Ko; Cape Indescriptible; Bottes Voldelor; Dofus Turquoise; Dofus Ocre; Nomade; Carapace Terre majeur; Remueur; Cascadeur majeur</t>
        </is>
      </c>
    </row>
    <row r="26454">
      <c r="A26454" t="inlineStr">
        <is>
          <t>Stuff 3</t>
        </is>
      </c>
      <c r="B26454">
        <f>HYPERLINK("https://www.dofusbook.net/fr/equipement/141630-stuff-3/objets", "link")</f>
        <v/>
      </c>
      <c r="C26454" t="n">
        <v>0</v>
      </c>
      <c r="D26454" t="inlineStr">
        <is>
          <t>Arc du Chalœil; Amulette du Strigide; Bague Gloursonne; Anneau Crustique; Ceinture du Strigide; Masque de Koutoulou; Cape au Logis; Bottes de la Cour Sombre; Dofus Émeraude; Dofus Pourpre; Dofus Turquoise; Remueur; Enragé majeur; Vigoureux majeur</t>
        </is>
      </c>
    </row>
    <row r="26455">
      <c r="A26455" t="inlineStr">
        <is>
          <t>Stuff 2</t>
        </is>
      </c>
      <c r="B26455">
        <f>HYPERLINK("https://www.dofusbook.net/fr/equipement/141593-stuff-2/objets", "link")</f>
        <v/>
      </c>
      <c r="C26455" t="n">
        <v>0</v>
      </c>
      <c r="D26455" t="inlineStr">
        <is>
          <t>Dagues de Srambad; Amulette du Strigide; Baguistik; Anneau Chevelu; Ceinture de la Reine des Voleurs; Masque de Koutoulou; Cape au Logis; Bottes de la Reine des Voleurs; Dofus Pourpre; Dofus des Glaces; Dofus Turquoise; Carapace Air majeur; Enragé majeur; Remueur</t>
        </is>
      </c>
    </row>
    <row r="26456">
      <c r="A26456" t="inlineStr">
        <is>
          <t>Stuff 1</t>
        </is>
      </c>
      <c r="B26456">
        <f>HYPERLINK("https://www.dofusbook.net/fr/equipement/141625-stuff-1/objets", "link")</f>
        <v/>
      </c>
      <c r="C26456" t="n">
        <v>0</v>
      </c>
      <c r="D26456" t="inlineStr">
        <is>
          <t>Marteau des égarés; Amulette du Strigide; Alliance Gloursonne; Anneau de Padgref; Ceinture du Strigide; Chapeau Lisson; Voile d'encre; Bottes du Cycloïde; Dolmanax; Dofus Pourpre; Dofus Turquoise; Dofus Ocre; Remueur; Vigoureux majeur</t>
        </is>
      </c>
    </row>
    <row r="26457">
      <c r="A26457" t="inlineStr">
        <is>
          <t>Stuff 3</t>
        </is>
      </c>
      <c r="B26457">
        <f>HYPERLINK("https://www.dofusbook.net/fr/equipement/141588-stuff-3/objets", "link")</f>
        <v/>
      </c>
      <c r="C26457" t="n">
        <v>0</v>
      </c>
      <c r="D26457" t="inlineStr">
        <is>
          <t>Harpelle; Pendentif affamé; Chevalière du Roi Joueur; Bague Gloursonne; Ceinture Séculaire; Coiffe Séculaire; Voile d'encre; Bottes Innommables; Dofus Ocre; Dofus Turquoise; Remueur; Carapace Eau majeur; Érudit majeur; Carapace Terre majeur</t>
        </is>
      </c>
    </row>
    <row r="26458">
      <c r="A26458" t="inlineStr">
        <is>
          <t>Stuff 2</t>
        </is>
      </c>
      <c r="B26458">
        <f>HYPERLINK("https://www.dofusbook.net/fr/equipement/141620-stuff-2/objets", "link")</f>
        <v/>
      </c>
      <c r="C26458" t="n">
        <v>1</v>
      </c>
      <c r="D26458" t="inlineStr">
        <is>
          <t>Dagues Érhy; Amulette du Strigide; Bague Gloursonne; Anneau de Brouce; Ceinture de Brouce; Masque de Koutoulou; Cape au Logis; Bottes de la Cour Sombre; Dofus Turquoise; Dofus Pourpre; Enragé majeur; Vigoureux majeur; Remueur; Miraculé majeur</t>
        </is>
      </c>
    </row>
    <row r="26459">
      <c r="A26459" t="inlineStr">
        <is>
          <t>Stuff 1</t>
        </is>
      </c>
      <c r="B26459">
        <f>HYPERLINK("https://www.dofusbook.net/fr/equipement/141583-stuff-1/objets", "link")</f>
        <v/>
      </c>
      <c r="C26459" t="n">
        <v>0</v>
      </c>
      <c r="D26459" t="inlineStr">
        <is>
          <t>Arc Nécrotique; Amulette du Strigide; Bracelet du Piloztère; Anneau Tique; Ceintacé; Casquette de Meno; Cape de la Dame du Hasard; Bottes de la Dame du Hasard; Dofus Turquoise; Dofus Pourpre; Dolmanax; Remueur; Carapace Terre majeur; Érudit majeur</t>
        </is>
      </c>
    </row>
    <row r="26460">
      <c r="A26460" t="inlineStr">
        <is>
          <t>Stuff 3</t>
        </is>
      </c>
      <c r="B26460">
        <f>HYPERLINK("https://www.dofusbook.net/fr/equipement/141615-stuff-3/objets", "link")</f>
        <v/>
      </c>
      <c r="C26460" t="n">
        <v>0</v>
      </c>
      <c r="D26460" t="inlineStr">
        <is>
          <t>Pelle de la Cour Sombre; Amulette Voldelor; Anneau d'Allister; Alliance Gloursonne; Ceinture du Barbétoal; Bonnet Ko; Cape Indescriptible; Bottes Voldelor; Dofus Ocre; Dofus Turquoise; Remueur; Carapace Eau majeur; Nomade; Cascadeur majeur</t>
        </is>
      </c>
    </row>
    <row r="26461">
      <c r="A26461" t="inlineStr">
        <is>
          <t>Stuff 2</t>
        </is>
      </c>
      <c r="B26461">
        <f>HYPERLINK("https://www.dofusbook.net/fr/equipement/141602-stuff-2/objets", "link")</f>
        <v/>
      </c>
      <c r="C26461" t="n">
        <v>0</v>
      </c>
      <c r="D26461" t="inlineStr">
        <is>
          <t>Héqache; Amulette du Strigide; Anneau de Brouce; Bracelet du Piloztère; Ceinture du Strigide; Bonnet Ko; Cape du Kamasterisk; Bottes du Cycloïde; Dofus Ocre; Dofus Pourpre; Dofus Turquoise; Nomade; Remueur; Vigoureux majeur</t>
        </is>
      </c>
    </row>
    <row r="26462">
      <c r="A26462" t="inlineStr">
        <is>
          <t>Stuff 3</t>
        </is>
      </c>
      <c r="B26462">
        <f>HYPERLINK("https://www.dofusbook.net/fr/equipement/141597-stuff-3/objets", "link")</f>
        <v/>
      </c>
      <c r="C26462" t="n">
        <v>0</v>
      </c>
      <c r="D26462" t="inlineStr">
        <is>
          <t>Épée du Granduk; Amulette du Strigide; Anneau d'Allister; Alliance Gloursonne; Menoture; Couronne d'Allister; Cape Indescriptible; Palmes Trithons; Dofus Pourpre; Dofus Turquoise; Cascadeur majeur; Nomade; Remueur; Vigoureux majeur</t>
        </is>
      </c>
    </row>
    <row r="26463">
      <c r="A26463" t="inlineStr">
        <is>
          <t>Stuff 2</t>
        </is>
      </c>
      <c r="B26463">
        <f>HYPERLINK("https://www.dofusbook.net/fr/equipement/141629-stuff-2/objets", "link")</f>
        <v/>
      </c>
      <c r="C26463" t="n">
        <v>0</v>
      </c>
      <c r="D26463" t="inlineStr">
        <is>
          <t>Sabres d'Atcham; Amulette du Strigide; Anneau de Padgref; Bague Gloursonne; Ceinture du Strigide; Coiffe de Padgref; Cape d'Atcham; Getas de Padgref; Dolmanax; Dofus Turquoise; Dofus Pourpre; Dofus des Glaces; Dofus Émeraude; Dofus Ocre</t>
        </is>
      </c>
    </row>
    <row r="26464">
      <c r="A26464" t="inlineStr">
        <is>
          <t>Stuff 1</t>
        </is>
      </c>
      <c r="B26464">
        <f>HYPERLINK("https://www.dofusbook.net/fr/equipement/141592-stuff-1/objets", "link")</f>
        <v/>
      </c>
      <c r="C26464" t="n">
        <v>0</v>
      </c>
      <c r="D26464" t="inlineStr">
        <is>
          <t>Marteau R'ture; Amulette du Strigide; Anneau Crustique; Chevalière du Roi Joueur; Ceinture du Strigide; Masque de Koutoulou; Cape au Logis; Bottes de la Cour Sombre; Dofus Pourpre; Dofus Turquoise; Enragé majeur; Remueur; Vigoureux majeur; Forcené majeur; Kompost</t>
        </is>
      </c>
    </row>
    <row r="26465">
      <c r="A26465" t="inlineStr">
        <is>
          <t>Stuff 3</t>
        </is>
      </c>
      <c r="B26465">
        <f>HYPERLINK("https://www.dofusbook.net/fr/equipement/141624-stuff-3/objets", "link")</f>
        <v/>
      </c>
      <c r="C26465" t="n">
        <v>0</v>
      </c>
      <c r="D26465" t="inlineStr">
        <is>
          <t>Arc du Chalœil; Amulette du Strigide; Bague Gloursonne; Anneau Crustique; Ceinture de la Reine des Voleurs; Coiffe de la Reine des Voleurs; Cape au Logis; Bottes de la Cour Sombre; Dofus Pourpre; Dofus Turquoise; Dofus Ocre; Remueur; Forcené majeur; Enragé majeur; Kompost</t>
        </is>
      </c>
    </row>
    <row r="26466">
      <c r="A26466" t="inlineStr">
        <is>
          <t>Stuff 2</t>
        </is>
      </c>
      <c r="B26466">
        <f>HYPERLINK("https://www.dofusbook.net/fr/equipement/141587-stuff-2/objets", "link")</f>
        <v/>
      </c>
      <c r="C26466" t="n">
        <v>0</v>
      </c>
      <c r="D26466" t="inlineStr">
        <is>
          <t>Sabres d'Atcham; Amulette du Strigide; Bracelet du Piloztère; Anneau de Padgref; Ceinture du Strigide; Coiffe de Padgref; Cape d'Atcham; Getas de Padgref; Dofus Émeraude; Dofus Ocre; Dofus Pourpre; Dofus Turquoise; Dofus des Glaces; Dolmanax</t>
        </is>
      </c>
    </row>
    <row r="26467">
      <c r="A26467" t="inlineStr">
        <is>
          <t>Stuff 1</t>
        </is>
      </c>
      <c r="B26467">
        <f>HYPERLINK("https://www.dofusbook.net/fr/equipement/141619-stuff-1/objets", "link")</f>
        <v/>
      </c>
      <c r="C26467" t="n">
        <v>0</v>
      </c>
      <c r="D26467" t="inlineStr">
        <is>
          <t>Sabres d'Atcham; Amulette du Strigide; Anneau de Padgref; Bague Trithon; Ceinture du Strigide; Masque Trithon; Cape d'Atcham; Sandales  d'Atcham; Dofus Ocre; Dofus Pourpre; Dofus des Glaces; Dofus Turquoise; Dolmanax; Puissant majeur</t>
        </is>
      </c>
    </row>
    <row r="26468">
      <c r="A26468" t="inlineStr">
        <is>
          <t>Stuff 1</t>
        </is>
      </c>
      <c r="B26468">
        <f>HYPERLINK("https://www.dofusbook.net/fr/equipement/141550-stuff-1/objets", "link")</f>
        <v/>
      </c>
      <c r="C26468" t="n">
        <v>1</v>
      </c>
      <c r="D26468" t="inlineStr">
        <is>
          <t>Hache du Chalœil; Amulette du Strigide; Bracelet du Piloztère; Chevalière du Roi Joueur; Ceinture du Strigide; Couronne du Roi Joueur; Cape du Professeur Xa; Bottes du Roi Joueur; Dolmanax; Dofus des Glaces; Dofus Turquoise; Dofus Ocre; Dofus Pourpre; Puissant majeur</t>
        </is>
      </c>
    </row>
    <row r="26469">
      <c r="A26469" t="inlineStr">
        <is>
          <t>Stuff 2</t>
        </is>
      </c>
      <c r="B26469">
        <f>HYPERLINK("https://www.dofusbook.net/fr/equipement/141545-stuff-2/objets", "link")</f>
        <v/>
      </c>
      <c r="C26469" t="n">
        <v>0</v>
      </c>
      <c r="D26469" t="inlineStr">
        <is>
          <t>Dagoulinantes; Amulette de Shokkoth; Alliance Gloursonne; Anneau Glacial; Ceinture Voldelor; Casque Dragoeuf; Cape de la Dame du Hasard; Bottes Voldelor; Dofus Turquoise; Carapace Air majeur; Remueur; Chanceux majeur; Carapace Terre majeur; Nomade</t>
        </is>
      </c>
    </row>
    <row r="26470">
      <c r="A26470" t="inlineStr">
        <is>
          <t>Stuff 2</t>
        </is>
      </c>
      <c r="B26470">
        <f>HYPERLINK("https://www.dofusbook.net/fr/equipement/141572-stuff-2/objets", "link")</f>
        <v/>
      </c>
      <c r="C26470" t="n">
        <v>0</v>
      </c>
      <c r="D26470" t="inlineStr">
        <is>
          <t>Dagues Érhy; Amulette du Strigide; Bague Gloursonne; Bracelet du Piloztère; Ceinture de Gein; Chapeau de Gein; Voile d'encre; Bottes du Cycloïde; Dofus Pourpre; Dofus Turquoise; Dofus Ocre; Remueur; Nomade; Vigoureux majeur</t>
        </is>
      </c>
    </row>
    <row r="26471">
      <c r="A26471" t="inlineStr">
        <is>
          <t>Stuff 3</t>
        </is>
      </c>
      <c r="B26471">
        <f>HYPERLINK("https://www.dofusbook.net/fr/equipement/141567-stuff-3/objets", "link")</f>
        <v/>
      </c>
      <c r="C26471" t="n">
        <v>0</v>
      </c>
      <c r="D26471" t="inlineStr">
        <is>
          <t>Dagues de Srambad; Amulette du Strigide; Bague Gloursonne; Anneau Chevelu; Ceinture de la Reine des Voleurs; Casque Dragoeuf; Cape au Logis; Bottes de la Reine des Voleurs; Dolmanax; Dofus Ocre; Dofus Turquoise; Étourdisseur majeur; Carapace Neutre majeur; Remueur</t>
        </is>
      </c>
    </row>
    <row r="26472">
      <c r="A26472" t="inlineStr">
        <is>
          <t>Stuff 1</t>
        </is>
      </c>
      <c r="B26472">
        <f>HYPERLINK("https://www.dofusbook.net/fr/equipement/141562-stuff-1/objets", "link")</f>
        <v/>
      </c>
      <c r="C26472" t="n">
        <v>0</v>
      </c>
      <c r="D26472" t="inlineStr">
        <is>
          <t>Marteau des Anciens Steamers; Amulette du Strigide; Alliance Gloursonne; Bracelet du Piloztère; Ceinture Voldelor; Masque du Barbétoal; Cape d'Hel Munster; Bottes Voldelor; Dofus Turquoise; Dofus Pourpre; Dofus Ocre; Nomade; Remueur; Vigoureux majeur; Dragodinde en armure</t>
        </is>
      </c>
    </row>
    <row r="26473">
      <c r="A26473" t="inlineStr">
        <is>
          <t>Stuff 2</t>
        </is>
      </c>
      <c r="B26473">
        <f>HYPERLINK("https://www.dofusbook.net/fr/equipement/141557-stuff-2/objets", "link")</f>
        <v/>
      </c>
      <c r="C26473" t="n">
        <v>0</v>
      </c>
      <c r="D26473" t="inlineStr">
        <is>
          <t>Plumeau Bil; Amulette Séculaire; Anneau de Nidas; Bague Gloursonne; Ceinture Séculaire; Casque Dragoeuf; Voile d'encre; Bottes Innommables; Dofus Turquoise; Dofus Ocre; Érudit majeur; Guérisseur majeur; Nomade; Remueur</t>
        </is>
      </c>
    </row>
    <row r="26474">
      <c r="A26474" t="inlineStr">
        <is>
          <t>Stuff 3</t>
        </is>
      </c>
      <c r="B26474">
        <f>HYPERLINK("https://www.dofusbook.net/fr/equipement/141552-stuff-3/objets", "link")</f>
        <v/>
      </c>
      <c r="C26474" t="n">
        <v>1</v>
      </c>
      <c r="D26474" t="inlineStr">
        <is>
          <t>Manthache; Amulette du Strigide; Anneau d'Allister; Alliance Gloursonne; Menoture; Couronne d'Allister; Cape Indescriptible; Palmes Trithons; Dofus Pourpre; Dofus Turquoise; Remueur; Equilibriste majeur; Nomade; Cascadeur majeur; Siroko</t>
        </is>
      </c>
    </row>
    <row r="26475">
      <c r="A26475" t="inlineStr">
        <is>
          <t>Stuff 1</t>
        </is>
      </c>
      <c r="B26475">
        <f>HYPERLINK("https://www.dofusbook.net/fr/equipement/141547-stuff-1/objets", "link")</f>
        <v/>
      </c>
      <c r="C26475" t="n">
        <v>0</v>
      </c>
      <c r="D26475" t="inlineStr">
        <is>
          <t>Epée Gloursonne; Amulette du Strigide; Alliance Gloursonne; Bague Gloursonne; Ceinture du Strigide; Némès de Tal Kasha; Chevelure de Tal Kasha; Sandales de Tal Kasha; Dofus des Glaces; Dofus Turquoise; Dolmanax; Dofus Pourpre; Dofus Émeraude; Dofus Ocre</t>
        </is>
      </c>
    </row>
    <row r="26476">
      <c r="A26476" t="inlineStr">
        <is>
          <t>Stuff 3</t>
        </is>
      </c>
      <c r="B26476">
        <f>HYPERLINK("https://www.dofusbook.net/fr/equipement/141564-stuff-3/objets", "link")</f>
        <v/>
      </c>
      <c r="C26476" t="n">
        <v>0</v>
      </c>
      <c r="D26476" t="inlineStr">
        <is>
          <t>Pelle de la Cour Sombre; Amibou; Anneau d'Allister; Alliance Gloursonne; Menoture; Couronne d'Allister; Cape de Klime; Palmes Trithons; Dofus Turquoise; Nomade; Carapace Air majeur; Remueur; Carapace Feu majeur; Cascadeur majeur</t>
        </is>
      </c>
    </row>
    <row r="26477">
      <c r="A26477" t="inlineStr">
        <is>
          <t>Stuff 1</t>
        </is>
      </c>
      <c r="B26477">
        <f>HYPERLINK("https://www.dofusbook.net/fr/equipement/141559-stuff-1/objets", "link")</f>
        <v/>
      </c>
      <c r="C26477" t="n">
        <v>0</v>
      </c>
      <c r="D26477" t="inlineStr">
        <is>
          <t>Rouleau à Pâtisserie d'Aermyne; Amulette de Pol Ouatnos; Alliance Gloursonne; Anneau de Pol Ouatnos; Slip du Roi de Bonta; Casque Dragoeuf; Cape d'Aermyne; Bottes de Léthaline; Dofus Ocre; Dofus Émeraude; Remueur; Fortification majeure; Bastion majeur; Miraculé majeur; Péki</t>
        </is>
      </c>
    </row>
    <row r="26478">
      <c r="A26478" t="inlineStr">
        <is>
          <t>Stuff 2</t>
        </is>
      </c>
      <c r="B26478">
        <f>HYPERLINK("https://www.dofusbook.net/fr/equipement/141554-stuff-2/objets", "link")</f>
        <v/>
      </c>
      <c r="C26478" t="n">
        <v>0</v>
      </c>
      <c r="D26478" t="inlineStr">
        <is>
          <t>Baguette Range; Amulette du Strigide; Gelano; Anneau de Padgref; Ceinture du Strigide; Coiffe de Padgref; Voile d'encre; Getas de Padgref; Dofus des Glaces; Dofus Pourpre; Dofus Ocre; Dofus Nébuleux; Dolmanax; Dofus Turquoise</t>
        </is>
      </c>
    </row>
    <row r="26479">
      <c r="A26479" t="inlineStr">
        <is>
          <t>Stuff 3</t>
        </is>
      </c>
      <c r="B26479">
        <f>HYPERLINK("https://www.dofusbook.net/fr/equipement/141549-stuff-3/objets", "link")</f>
        <v/>
      </c>
      <c r="C26479" t="n">
        <v>2</v>
      </c>
      <c r="D26479" t="inlineStr">
        <is>
          <t>Dagues Érhy; Amulette du Strigide; Anneau Chevelu; Bague Gloursonne; Ceinture de Gein; Chapeau de Gein; Voile d'encre; Bottes de la Cour Sombre; Dofus Ocre; Dofus Turquoise; Dofus Pourpre; Vigoureux majeur; Nomade; Remueur</t>
        </is>
      </c>
    </row>
    <row r="26480">
      <c r="A26480" t="inlineStr">
        <is>
          <t>Stuff 1</t>
        </is>
      </c>
      <c r="B26480">
        <f>HYPERLINK("https://www.dofusbook.net/fr/equipement/141544-stuff-1/objets", "link")</f>
        <v/>
      </c>
      <c r="C26480" t="n">
        <v>0</v>
      </c>
      <c r="D26480" t="inlineStr">
        <is>
          <t>Dagues de Srambad; Amulette du Strigide; Pikano; Alliance Gloursonne; Ceinture de la Reine des Voleurs; Casque Dragoeuf; Cape au Logis; Bottes de la Reine des Voleurs; Dofus des Glaces; Dofus Turquoise; Dofus Pourpre; Dofus Ocre; Vigoureux majeur; Remueur</t>
        </is>
      </c>
    </row>
    <row r="26481">
      <c r="A26481" t="inlineStr">
        <is>
          <t>Stuff 3</t>
        </is>
      </c>
      <c r="B26481">
        <f>HYPERLINK("https://www.dofusbook.net/fr/equipement/141573-stuff-3/objets", "link")</f>
        <v/>
      </c>
      <c r="C26481" t="n">
        <v>0</v>
      </c>
      <c r="D26481" t="inlineStr">
        <is>
          <t>Dagues Érhy; Amulette du Strigide; Bague Gloursonne; Anneau Chevelu; Ceintacé; Couronne du Roi Joueur; Cape du Chalœil; Bottes du Chalœil; Dofus Pourpre; Dofus Turquoise; Vigoureux majeur; Miraculé majeur; Carapace Feu majeur; Remueur</t>
        </is>
      </c>
    </row>
    <row r="26482">
      <c r="A26482" t="inlineStr">
        <is>
          <t>Stuff 1</t>
        </is>
      </c>
      <c r="B26482">
        <f>HYPERLINK("https://www.dofusbook.net/fr/equipement/141568-stuff-1/objets", "link")</f>
        <v/>
      </c>
      <c r="C26482" t="n">
        <v>0</v>
      </c>
      <c r="D26482" t="inlineStr">
        <is>
          <t>Hache du Chalœil; Amulette du Strigide; Anneau Chevelu; Bague Gloursonne; Ceintacé; Casque Dragoeuf; Voile d'encre; Bottes du Strigide; Dofus Pourpre; Dofus Turquoise; Dolmanax; Vigoureux majeur; Remueur; Nomade</t>
        </is>
      </c>
    </row>
    <row r="26483">
      <c r="A26483" t="inlineStr">
        <is>
          <t>Stuff 2</t>
        </is>
      </c>
      <c r="B26483">
        <f>HYPERLINK("https://www.dofusbook.net/fr/equipement/141563-stuff-2/objets", "link")</f>
        <v/>
      </c>
      <c r="C26483" t="n">
        <v>0</v>
      </c>
      <c r="D26483" t="inlineStr">
        <is>
          <t>Marteau des Anciens Steamers; Amulette du Strigide; Pikano; Alliance Gloursonne; Ceintacé; Coiffe d'Hel Munster; Chevelure de Tal Kasha; Bottes du Strigide; Dolmanax; Dofus Turquoise; Dofus Pourpre; Vigoureux majeur; Nomade; Remueur</t>
        </is>
      </c>
    </row>
    <row r="26484">
      <c r="A26484" t="inlineStr">
        <is>
          <t>Stuff 3</t>
        </is>
      </c>
      <c r="B26484">
        <f>HYPERLINK("https://www.dofusbook.net/fr/equipement/141558-stuff-3/objets", "link")</f>
        <v/>
      </c>
      <c r="C26484" t="n">
        <v>0</v>
      </c>
      <c r="D26484" t="inlineStr">
        <is>
          <t>Marteau des Anciens Steamers; Amulette du Strigide; Bracelet du Piloztère; Alliance Gloursonne; Ceinture Voldelor; Dorabysses; Cape d'Hel Munster; Bottes Voldelor; Dofus Turquoise; Dofus Ocre; Dofus Pourpre; Remueur; Nomade; Vigoureux majeur</t>
        </is>
      </c>
    </row>
    <row r="26485">
      <c r="A26485" t="inlineStr">
        <is>
          <t>Stuff 1</t>
        </is>
      </c>
      <c r="B26485">
        <f>HYPERLINK("https://www.dofusbook.net/fr/equipement/141553-stuff-1/objets", "link")</f>
        <v/>
      </c>
      <c r="C26485" t="n">
        <v>0</v>
      </c>
      <c r="D26485" t="inlineStr">
        <is>
          <t>Dagues Érhy; Amulette du Strigide; Bague Gloursonne; Anneau Chevelu; Ceinture du Strigide; Masque de Koutoulou; Cape au Logis; Bottes de la Cour Sombre; Dofus Pourpre; Dolmanax; Dofus Turquoise; Remueur; Enragé majeur; Vigoureux majeur</t>
        </is>
      </c>
    </row>
    <row r="26486">
      <c r="A26486" t="inlineStr">
        <is>
          <t>Stuff 2</t>
        </is>
      </c>
      <c r="B26486">
        <f>HYPERLINK("https://www.dofusbook.net/fr/equipement/141548-stuff-2/objets", "link")</f>
        <v/>
      </c>
      <c r="C26486" t="n">
        <v>0</v>
      </c>
      <c r="D26486" t="inlineStr">
        <is>
          <t>Rapière aux Glyphes; Amulette du Sinistrofu; Pikano; Alliance Gloursonne; Poulpagne; Coiffe Cryochrone; Cape Glaciale; Bottes du Sinistrofu; Dofus Turquoise; Dofus Pourpre; Remueur; Nomade; Carapace Eau majeur; Chanceux majeur</t>
        </is>
      </c>
    </row>
    <row r="26487">
      <c r="A26487" t="inlineStr">
        <is>
          <t>Stuff 1</t>
        </is>
      </c>
      <c r="B26487">
        <f>HYPERLINK("https://www.dofusbook.net/fr/equipement/141565-stuff-1/objets", "link")</f>
        <v/>
      </c>
      <c r="C26487" t="n">
        <v>2</v>
      </c>
      <c r="D26487" t="inlineStr">
        <is>
          <t>Sabres d'Atcham; Amulette du Strigide; Anneau Tique; Alliance Gloursonne; Ceintacé; Casque Dragoeuf; Cape du Chalœil; Bottes du Chalœil; Dolmanax; Dofus Pourpre; Dofus Turquoise; Miraculé majeur; Remueur; Vigoureux majeur</t>
        </is>
      </c>
    </row>
    <row r="26488">
      <c r="A26488" t="inlineStr">
        <is>
          <t>Stuff 2</t>
        </is>
      </c>
      <c r="B26488">
        <f>HYPERLINK("https://www.dofusbook.net/fr/equipement/141560-stuff-2/objets", "link")</f>
        <v/>
      </c>
      <c r="C26488" t="n">
        <v>0</v>
      </c>
      <c r="D26488" t="inlineStr">
        <is>
          <t>Arc Hétype; Amulette Ementaire Deluxe; Anneau Rifique; Anneau de Nidas; Protopagne; Casque Dragoeuf; Voile d'encre; Tongues de Nidas; Dolmanax; Dofus Ocre; Carapace Neutre majeur; Érudit majeur; Carapace Air majeur; Remueur</t>
        </is>
      </c>
    </row>
    <row r="26489">
      <c r="A26489" t="inlineStr">
        <is>
          <t>Stuff 3</t>
        </is>
      </c>
      <c r="B26489">
        <f>HYPERLINK("https://www.dofusbook.net/fr/equipement/141555-stuff-3/objets", "link")</f>
        <v/>
      </c>
      <c r="C26489" t="n">
        <v>3</v>
      </c>
      <c r="D26489" t="inlineStr">
        <is>
          <t>Hache du Chalœil; Amulette du Strigide; Anneau Chevelu; Bracelet du Piloztère; Ceintacé; Casque Dragoeuf; Voile d'encre; Bottes du Strigide; Dofus Turquoise; Dofus Pourpre; Dolmanax; Vigoureux majeur; Enragé majeur; Remueur</t>
        </is>
      </c>
    </row>
    <row r="26490">
      <c r="A26490" t="inlineStr">
        <is>
          <t>Stuff 1</t>
        </is>
      </c>
      <c r="B26490">
        <f>HYPERLINK("https://www.dofusbook.net/fr/equipement/141550-stuff-1/objets", "link")</f>
        <v/>
      </c>
      <c r="C26490" t="n">
        <v>1</v>
      </c>
      <c r="D26490" t="inlineStr">
        <is>
          <t>Hache du Chalœil; Amulette du Strigide; Bracelet du Piloztère; Chevalière du Roi Joueur; Ceinture du Strigide; Couronne du Roi Joueur; Cape du Professeur Xa; Bottes du Roi Joueur; Dolmanax; Dofus des Glaces; Dofus Turquoise; Dofus Ocre; Dofus Pourpre; Puissant majeur</t>
        </is>
      </c>
    </row>
    <row r="26491">
      <c r="A26491" t="inlineStr">
        <is>
          <t>Stuff 2</t>
        </is>
      </c>
      <c r="B26491">
        <f>HYPERLINK("https://www.dofusbook.net/fr/equipement/141545-stuff-2/objets", "link")</f>
        <v/>
      </c>
      <c r="C26491" t="n">
        <v>0</v>
      </c>
      <c r="D26491" t="inlineStr">
        <is>
          <t>Dagoulinantes; Amulette de Shokkoth; Alliance Gloursonne; Anneau Glacial; Ceinture Voldelor; Casque Dragoeuf; Cape de la Dame du Hasard; Bottes Voldelor; Dofus Turquoise; Carapace Air majeur; Remueur; Chanceux majeur; Carapace Terre majeur; Nomade</t>
        </is>
      </c>
    </row>
    <row r="26492">
      <c r="A26492" t="inlineStr">
        <is>
          <t>Stuff 2</t>
        </is>
      </c>
      <c r="B26492">
        <f>HYPERLINK("https://www.dofusbook.net/fr/equipement/141572-stuff-2/objets", "link")</f>
        <v/>
      </c>
      <c r="C26492" t="n">
        <v>0</v>
      </c>
      <c r="D26492" t="inlineStr">
        <is>
          <t>Dagues Érhy; Amulette du Strigide; Bracelet du Piloztère; Bague Gloursonne; Ceinture de Gein; Chapeau de Gein; Voile d'encre; Bottes du Cycloïde; Dofus Pourpre; Dofus Turquoise; Dofus Ocre; Remueur; Nomade; Vigoureux majeur</t>
        </is>
      </c>
    </row>
    <row r="26493">
      <c r="A26493" t="inlineStr">
        <is>
          <t>Stuff 3</t>
        </is>
      </c>
      <c r="B26493">
        <f>HYPERLINK("https://www.dofusbook.net/fr/equipement/141567-stuff-3/objets", "link")</f>
        <v/>
      </c>
      <c r="C26493" t="n">
        <v>0</v>
      </c>
      <c r="D26493" t="inlineStr">
        <is>
          <t>Dagues de Srambad; Amulette du Strigide; Bague Gloursonne; Anneau Chevelu; Ceinture de la Reine des Voleurs; Casque Dragoeuf; Cape au Logis; Bottes de la Reine des Voleurs; Dolmanax; Dofus Ocre; Dofus Turquoise; Étourdisseur majeur; Carapace Neutre majeur; Remueur</t>
        </is>
      </c>
    </row>
    <row r="26494">
      <c r="A26494" t="inlineStr">
        <is>
          <t>Stuff 1</t>
        </is>
      </c>
      <c r="B26494">
        <f>HYPERLINK("https://www.dofusbook.net/fr/equipement/141562-stuff-1/objets", "link")</f>
        <v/>
      </c>
      <c r="C26494" t="n">
        <v>0</v>
      </c>
      <c r="D26494" t="inlineStr">
        <is>
          <t>Marteau des Anciens Steamers; Amulette du Strigide; Alliance Gloursonne; Bracelet du Piloztère; Ceinture Voldelor; Masque du Barbétoal; Cape d'Hel Munster; Bottes Voldelor; Dofus Turquoise; Dofus Pourpre; Dofus Ocre; Remueur; Vigoureux majeur; Nomade; Dragodinde en armure</t>
        </is>
      </c>
    </row>
    <row r="26495">
      <c r="A26495" t="inlineStr">
        <is>
          <t>Stuff 2</t>
        </is>
      </c>
      <c r="B26495">
        <f>HYPERLINK("https://www.dofusbook.net/fr/equipement/141557-stuff-2/objets", "link")</f>
        <v/>
      </c>
      <c r="C26495" t="n">
        <v>0</v>
      </c>
      <c r="D26495" t="inlineStr">
        <is>
          <t>Plumeau Bil; Amulette Séculaire; Bague Gloursonne; Anneau de Nidas; Ceinture Séculaire; Casque Dragoeuf; Voile d'encre; Bottes Innommables; Dofus Ocre; Dofus Turquoise; Remueur; Érudit majeur; Guérisseur majeur; Nomade</t>
        </is>
      </c>
    </row>
    <row r="26496">
      <c r="A26496" t="inlineStr">
        <is>
          <t>new meta</t>
        </is>
      </c>
      <c r="B26496">
        <f>HYPERLINK("https://www.dofusbook.net/fr/equipement/2513913-new-meta/objets", "link")</f>
        <v/>
      </c>
      <c r="C26496" t="n">
        <v>2</v>
      </c>
      <c r="D26496" t="inlineStr">
        <is>
          <t>Épée Brûlâme; Collier de la Dame du Hasard; Anneau Cryochrone; Lavanneau; Bouclier du Captain Amakna; Ceinture de l'Esprit Malsain; Casquette de Meno; Cape de la Dame du Hasard; Pataugastrique; Dofus Vulbis; Dofus Turquoise; Dofus Ocre; Dofus des Glaces; Dofus Pourpre; Vigoureux majeur; Chacha Angora</t>
        </is>
      </c>
    </row>
    <row r="26497">
      <c r="A26497" t="inlineStr">
        <is>
          <t>Stuff 2</t>
        </is>
      </c>
      <c r="B26497">
        <f>HYPERLINK("https://www.dofusbook.net/fr/equipement/76142-stuff-2/objets", "link")</f>
        <v/>
      </c>
      <c r="C26497" t="n">
        <v>0</v>
      </c>
      <c r="D26497" t="inlineStr">
        <is>
          <t>Épée du Granduk; Collier du Valet Veinard; Gant du Valet Veinard; Alliance Gloursonne; Bouclier du Stalak; Menoture; Couronne d'Allister; Cape Indescriptible; Palmes Trithons; Dofus des Glaces; Equilibriste majeur; Saccageur Air majeur; Cascadeur majeur; Nomade; Dévastateur Air majeur; Siroko</t>
        </is>
      </c>
    </row>
    <row r="26498">
      <c r="A26498" t="inlineStr">
        <is>
          <t>roub air pvm</t>
        </is>
      </c>
      <c r="B26498">
        <f>HYPERLINK("https://www.dofusbook.net/fr/equipement/1418902-roub-air-pvm/objets", "link")</f>
        <v/>
      </c>
      <c r="C26498" t="n">
        <v>2</v>
      </c>
      <c r="D26498" t="inlineStr">
        <is>
          <t>Manthache; Collier du Valet Veinard; Gant du Valet Veinard; Alliance Gloursonne; Cadran d'Eau; Menoture; Couronne d'Allister; Cape Indescriptible; Palmes Trithons; Dofus des Glaces; Dofus Ocre; Dofus Pourpre; Cascadeur majeur; Nomade; Dévastateur Air majeur; Siroko</t>
        </is>
      </c>
    </row>
    <row r="26499">
      <c r="A26499" t="inlineStr">
        <is>
          <t>Stuff 3</t>
        </is>
      </c>
      <c r="B26499">
        <f>HYPERLINK("https://www.dofusbook.net/fr/equipement/76188-stuff-3/objets", "link")</f>
        <v/>
      </c>
      <c r="C26499" t="n">
        <v>0</v>
      </c>
      <c r="D26499" t="inlineStr">
        <is>
          <t>Manthache; Collier du Valet Veinard; Alliance Gloursonne; Gant du Valet Veinard; Cadran d'Air; Menoture; Casque Dragoeuf; Cape Indescriptible; Palmes Trithons; Dofus Ébène; Dofus Pourpre; Dofus Vulbis; Dofus Nébuleux; Dofus Ocre; Cascadeur majeur; Bwak d'Air</t>
        </is>
      </c>
    </row>
    <row r="26500">
      <c r="A26500" t="inlineStr">
        <is>
          <t>full fire</t>
        </is>
      </c>
      <c r="B26500">
        <f>HYPERLINK("https://www.dofusbook.net/fr/equipement/1751790-full-fire/objets", "link")</f>
        <v/>
      </c>
      <c r="C26500" t="n">
        <v>0</v>
      </c>
      <c r="D26500" t="inlineStr"/>
    </row>
    <row r="26501">
      <c r="A26501" t="inlineStr">
        <is>
          <t>ful air</t>
        </is>
      </c>
      <c r="B26501">
        <f>HYPERLINK("https://www.dofusbook.net/fr/equipement/1522193-ful-air/objets", "link")</f>
        <v/>
      </c>
      <c r="C26501" t="n">
        <v>6</v>
      </c>
      <c r="D26501" t="inlineStr">
        <is>
          <t>Manthache; Collier du Valet Veinard; Alliance Gloursonne; Gant du Valet Veinard; Bouclier du serrurier; Menoture; Casque Dragoeuf; Cape du Kamasterisk; Palmes Trithons; Dofus Émeraude; Dofus Ivoire; Obstructeur majeur; Carapace Air majeur; Remueur; Cascadeur majeur; Muldo Ebène et Orchidée</t>
        </is>
      </c>
    </row>
    <row r="26502">
      <c r="A26502" t="inlineStr">
        <is>
          <t>Stuff 2</t>
        </is>
      </c>
      <c r="B26502">
        <f>HYPERLINK("https://www.dofusbook.net/fr/equipement/76136-stuff-2/objets", "link")</f>
        <v/>
      </c>
      <c r="C26502" t="n">
        <v>0</v>
      </c>
      <c r="D26502" t="inlineStr">
        <is>
          <t>Harpelle; Pendentif affamé; Anneauræus; Bague Gloursonne; Carapar; Ceinture de Vortex; Cagoule de Vortex; Voile d'encre; Pataugastrique; Dofus Pourpre; Dofus Vulbis; Savant majeur; Remueur; Astucieux majeur; Érudit majeur; Dragodinde Ivoire et Orchidée</t>
        </is>
      </c>
    </row>
    <row r="26503">
      <c r="A26503" t="inlineStr">
        <is>
          <t>full feu</t>
        </is>
      </c>
      <c r="B26503">
        <f>HYPERLINK("https://www.dofusbook.net/fr/equipement/1725462-full-feu/objets", "link")</f>
        <v/>
      </c>
      <c r="C26503" t="n">
        <v>1</v>
      </c>
      <c r="D26503" t="inlineStr">
        <is>
          <t>Arc Hétype; Pendentif mignon de Koutoulou; Anneau Rifique; Anneau de Nidas; Carapar; Ceinture de Vortex; Casque Dragoeuf; Voile d'encre; Pataugastrique; Dofus Ivoire; Dofus Abyssal; Savant majeur; Remueur; Astucieux majeur; Érudit majeur; Muldo Ebène et Orchidée</t>
        </is>
      </c>
    </row>
    <row r="26504">
      <c r="A26504" t="inlineStr">
        <is>
          <t>Stuff 1</t>
        </is>
      </c>
      <c r="B26504">
        <f>HYPERLINK("https://www.dofusbook.net/fr/equipement/76168-stuff-1/objets", "link")</f>
        <v/>
      </c>
      <c r="C26504" t="n">
        <v>0</v>
      </c>
      <c r="D26504" t="inlineStr">
        <is>
          <t>Sabres d'Atcham; Amulette du Strigide; Alliance Gloursonne; Bracelet du Piloztère; Bouclier du Captain Amakna; Ceinture du Strigide; Némès de Tal Kasha; Chevelure de Tal Kasha; Sandales de Tal Kasha; Dolmanax; Dofus Nébuleux; Dofus Pourpre; Dofus Turquoise; Dofus des Glaces; Dofus Ocre; Kokulte</t>
        </is>
      </c>
    </row>
    <row r="26505">
      <c r="A26505" t="inlineStr">
        <is>
          <t>Sadida M 200</t>
        </is>
      </c>
      <c r="B26505">
        <f>HYPERLINK("https://www.dofusbook.net/fr/equipement/5210661-sadida-m-200/objets", "link")</f>
        <v/>
      </c>
      <c r="C26505" t="n">
        <v>0</v>
      </c>
      <c r="D26505" t="inlineStr"/>
    </row>
    <row r="26506">
      <c r="A26506" t="inlineStr">
        <is>
          <t>Sadida M 200</t>
        </is>
      </c>
      <c r="B26506">
        <f>HYPERLINK("https://www.dofusbook.net/fr/equipement/5210653-sadida-m-200/objets", "link")</f>
        <v/>
      </c>
      <c r="C26506" t="n">
        <v>0</v>
      </c>
      <c r="D26506" t="inlineStr"/>
    </row>
    <row r="26507">
      <c r="A26507" t="inlineStr">
        <is>
          <t>Stuff 2</t>
        </is>
      </c>
      <c r="B26507">
        <f>HYPERLINK("https://www.dofusbook.net/fr/equipement/76175-stuff-2/objets", "link")</f>
        <v/>
      </c>
      <c r="C26507" t="n">
        <v>2</v>
      </c>
      <c r="D26507" t="inlineStr">
        <is>
          <t>Hachoirs de Viandargh; Amibou; Alliance Gloursonne; Gant du Valet Veinard; Quatre-feuilles; Menoture; Couronne d'Allister; Capibou; Palmes Trithons; Dofus Pourpre; Nomade; Ralentisseur majeur; Entraveur majeur; Cascadeur majeur; Temporiseur majeur; Volkorne Turquoise et Ebène</t>
        </is>
      </c>
    </row>
    <row r="26508">
      <c r="A26508" t="inlineStr">
        <is>
          <t>Stuff 1</t>
        </is>
      </c>
      <c r="B26508">
        <f>HYPERLINK("https://www.dofusbook.net/fr/equipement/76150-stuff-1/objets", "link")</f>
        <v/>
      </c>
      <c r="C26508" t="n">
        <v>1</v>
      </c>
      <c r="D26508" t="inlineStr">
        <is>
          <t>Manthache; Collier du Valet Veinard; Alliance Gloursonne; Gant du Valet Veinard; Bouclier du Stalak; Menoture; Chapoulpe; Cape du Kamasterisk; Palmes Trithons; Paralyseur majeur; Remueur; Étourdisseur majeur; Carapace Air majeur; Cascadeur majeur; Nomade; Dragodinde Ebène et Ivoire</t>
        </is>
      </c>
    </row>
    <row r="26509">
      <c r="A26509" t="inlineStr">
        <is>
          <t>Sadida F 200</t>
        </is>
      </c>
      <c r="B26509">
        <f>HYPERLINK("https://www.dofusbook.net/fr/equipement/4973270-sadida-f-200/objets", "link")</f>
        <v/>
      </c>
      <c r="C26509" t="n">
        <v>1</v>
      </c>
      <c r="D26509" t="inlineStr">
        <is>
          <t>Plume de Buhorado; Collier du Valet Veinard; Alliance Gloursonne; Gant du Valet Veinard; Bouclier du Stalak; Menoture; Couronne d'Allister; Cape Indescriptible; Palmes Trithons; Dofus Pourpre; Dofus Ocre; Dofus Abyssal; Dofus des Glaces; Vigoureux majeur; Cascadeur majeur; Blérodoudou</t>
        </is>
      </c>
    </row>
    <row r="26510">
      <c r="A26510" t="inlineStr">
        <is>
          <t>cancer</t>
        </is>
      </c>
      <c r="B26510">
        <f>HYPERLINK("https://www.dofusbook.net/fr/equipement/2520545-cancer/objets", "link")</f>
        <v/>
      </c>
      <c r="C26510" t="n">
        <v>4</v>
      </c>
      <c r="D26510" t="inlineStr">
        <is>
          <t>Dagues Érhy; Amulette de l'Indicible; Alliance Gloursonne; Anneau du Père Fwetar; Quatre-feuilles; Ceinture de l'Indicible; Masque de l'Esprit Salvateur; Cape de l'Œil Putride; Pataugastrique; Dofus Ocre; Dofus des Glaces; Dolmanax; Dofus Pourpre; Nomade; Vigoureux majeur; Dragodinde Ebène et Ivoire</t>
        </is>
      </c>
    </row>
    <row r="26511">
      <c r="A26511" t="inlineStr">
        <is>
          <t>Crâ M 200</t>
        </is>
      </c>
      <c r="B26511">
        <f>HYPERLINK("https://www.dofusbook.net/fr/equipement/4632607-cra-m-200/objets", "link")</f>
        <v/>
      </c>
      <c r="C26511" t="n">
        <v>2</v>
      </c>
      <c r="D26511" t="inlineStr">
        <is>
          <t>Bêche Asse; Amulette du Kamasterisk; Pikano; Gelano; Cadran d'Air; Ceinture de Brouce; Masque de Koutoulou; Voile d'encre; Pikottes; Ralentisseur majeur; Remueur; Enragé majeur; Entraveur majeur; Nomade; Temporiseur majeur; Blokus</t>
        </is>
      </c>
    </row>
    <row r="26512">
      <c r="A26512" t="inlineStr">
        <is>
          <t>Osamodas F 200</t>
        </is>
      </c>
      <c r="B26512">
        <f>HYPERLINK("https://www.dofusbook.net/fr/equipement/4585914-osamodas-f-200/objets", "link")</f>
        <v/>
      </c>
      <c r="C26512" t="n">
        <v>2</v>
      </c>
      <c r="D26512" t="inlineStr">
        <is>
          <t>Dagoulinantes; Amulette de Shokkoth; Alliance Gloursonne; Bracelet des Fonds marins; Cadran d'Eau; Poulpagne; Ruskauffe; Cape de Mantaze; Sandales des Fonds marins; Dofus Émeraude; Dofus Pourpre; Nomade; Remueur; Miraculé majeur; Chanceux majeur; Dragodinde Dorée et Indigo</t>
        </is>
      </c>
    </row>
    <row r="26513">
      <c r="A26513" t="inlineStr">
        <is>
          <t>un vin neuf air</t>
        </is>
      </c>
      <c r="B26513">
        <f>HYPERLINK("https://www.dofusbook.net/fr/equipement/1074799-un-vin-neuf-air/objets", "link")</f>
        <v/>
      </c>
      <c r="C26513" t="n">
        <v>3</v>
      </c>
      <c r="D26513" t="inlineStr">
        <is>
          <t>Dagoulinantes; Amulette de Shokkoth; Alliance Gloursonne; Bracelet des Fonds marins; Bouclier du Stalak; Poulpagne; Kidibonnet; Cape de Mantaze; Sandales des Fonds marins; Dofus Ivoire; Dofus Émeraude; Dofus Ébène; Dofus Pourpre; Nomade; Chanceux majeur; Kanigloups</t>
        </is>
      </c>
    </row>
    <row r="26514">
      <c r="A26514" t="inlineStr">
        <is>
          <t>ecaflip terre/air</t>
        </is>
      </c>
      <c r="B26514">
        <f>HYPERLINK("https://www.dofusbook.net/fr/equipement/265303-ecaflip-terre-air/objets", "link")</f>
        <v/>
      </c>
      <c r="C26514" t="n">
        <v>0</v>
      </c>
      <c r="D26514" t="inlineStr">
        <is>
          <t>Arc du Chalœil; Collier de Tourthon; Bague Gloursonne; Anneau Crustique; Bouclier du Stalak; Ceinture de Brouce; Masque de Koutoulou; Cape au Logis; Bottes de Brouce; Dofus Émeraude; Dofus Pourpre; Remueur; Enragé majeur; Vigoureux majeur; Miraculé majeur; Dragodinde Ivoire et Pourpre</t>
        </is>
      </c>
    </row>
    <row r="26515">
      <c r="A26515" t="inlineStr">
        <is>
          <t>Sacrieur M 200</t>
        </is>
      </c>
      <c r="B26515">
        <f>HYPERLINK("https://www.dofusbook.net/fr/equipement/4572240-sacrieur-m-200/objets", "link")</f>
        <v/>
      </c>
      <c r="C26515" t="n">
        <v>2</v>
      </c>
      <c r="D26515" t="inlineStr">
        <is>
          <t>Lav'Hache; Collier de Tourthon; Anneau Crustique; Anneau Chevelu; Cadran d'Eau; Ceinture Volkorne; Masque de Koutoulou; Cape au Logis; Tentassons; Dofus Ébène; Dofus Pourpre; Dofus Ivoire; Dofus Émeraude; Remueur; Enragé majeur; Bulbisou</t>
        </is>
      </c>
    </row>
    <row r="26516">
      <c r="A26516" t="inlineStr">
        <is>
          <t>full air la base</t>
        </is>
      </c>
      <c r="B26516">
        <f>HYPERLINK("https://www.dofusbook.net/fr/equipement/2513986-full-air-la-base/objets", "link")</f>
        <v/>
      </c>
      <c r="C26516" t="n">
        <v>1</v>
      </c>
      <c r="D26516" t="inlineStr">
        <is>
          <t>Manthache; Collier du Valet Veinard; Alliance Gloursonne; Gant du Valet Veinard; Menoture; Capuche de Moum-Ra; Cape du Kamasterisk; Palmes Trithons; Dofus Pourpre; Remueur; Cascadeur majeur; Nomade; Carapace Air majeur; Dragodinde en armure</t>
        </is>
      </c>
    </row>
    <row r="26517">
      <c r="A26517" t="inlineStr">
        <is>
          <t>padgref</t>
        </is>
      </c>
      <c r="B26517">
        <f>HYPERLINK("https://www.dofusbook.net/fr/equipement/1808490-padgref/objets", "link")</f>
        <v/>
      </c>
      <c r="C26517" t="n">
        <v>2</v>
      </c>
      <c r="D26517" t="inlineStr">
        <is>
          <t>Baguette Range; Amulette du Strigide; Anneau de Padgref; Alliance Gloursonne; Quatre-feuilles; Ceinture du Strigide; Coiffe de Padgref; Voile d'encre; Getas de Padgref; Dofus Abyssal; Dofus Ocre; Dofus Turquoise; Dofus Pourpre; Dofus Vulbis; Dofus Nébuleux; Kramkram</t>
        </is>
      </c>
    </row>
    <row r="26518">
      <c r="A26518" t="inlineStr">
        <is>
          <t>on fire</t>
        </is>
      </c>
      <c r="B26518">
        <f>HYPERLINK("https://www.dofusbook.net/fr/equipement/1808347-on-fire/objets", "link")</f>
        <v/>
      </c>
      <c r="C26518" t="n">
        <v>0</v>
      </c>
      <c r="D26518" t="inlineStr">
        <is>
          <t>Arc Hétype; Pendentif mignon de Koutoulou; Anneau Rifique; Anneauræus; Carapar; Ceinture de Vortex; Casque Dragoeuf; Voile d'encre; Pataugastrique; Dofus Abyssal; Dofus Turquoise; Dofus Émeraude; Astucieux majeur; Érudit majeur; Remueur; Muldo Ebène et Orchidée</t>
        </is>
      </c>
    </row>
    <row r="26519">
      <c r="A26519" t="inlineStr">
        <is>
          <t>terre</t>
        </is>
      </c>
      <c r="B26519">
        <f>HYPERLINK("https://www.dofusbook.net/fr/equipement/1808309-terre/objets", "link")</f>
        <v/>
      </c>
      <c r="C26519" t="n">
        <v>1</v>
      </c>
      <c r="D26519" t="inlineStr">
        <is>
          <t>Marteau R'ture; Amulette du Strigide; Anneau Chevelu; Anneau Crustique; Cadran d'Eau; Ceinture du Strigide; Masque de Koutoulou; Voile d'encre; Bottes de la Cour Sombre; Dofus Abyssal; Dofus Pourpre; Dofus Turquoise; Dofus Émeraude; Enragé majeur; Remueur; Muldo Orchidée et Pourpre</t>
        </is>
      </c>
    </row>
    <row r="26520">
      <c r="A26520" t="inlineStr">
        <is>
          <t>terair</t>
        </is>
      </c>
      <c r="B26520">
        <f>HYPERLINK("https://www.dofusbook.net/fr/equipement/1799884-terair/objets", "link")</f>
        <v/>
      </c>
      <c r="C26520" t="n">
        <v>0</v>
      </c>
      <c r="D26520" t="inlineStr">
        <is>
          <t>Héqache; Amulette du Strigide; Alliance Gloursonne; Bracelet du Piloztère; Cadran d'Eau; Ceinture du Strigide; Casque Dragoeuf; Cape du Kamasterisk; Baleinabottes; Dofus Turquoise; Dofus Émeraude; Dofus des Glaces; Dofus Abyssal; Dofus Pourpre; Remueur; Muldo Ebène et Orchidée</t>
        </is>
      </c>
    </row>
    <row r="26521">
      <c r="A26521" t="inlineStr">
        <is>
          <t>full air</t>
        </is>
      </c>
      <c r="B26521">
        <f>HYPERLINK("https://www.dofusbook.net/fr/equipement/1482654-full-air/objets", "link")</f>
        <v/>
      </c>
      <c r="C26521" t="n">
        <v>0</v>
      </c>
      <c r="D26521" t="inlineStr">
        <is>
          <t>Manthache; Collier du Valet Veinard; Alliance Gloursonne; Gant du Valet Veinard; Cadran d'Eau; Menoture; Capuche de Moum-Ra; Cape du Kamasterisk; Palmes Trithons; Dofus Pourpre; Remueur; Carapace Air majeur; Cascadeur majeur; Muldo Ebène et Orchidée</t>
        </is>
      </c>
    </row>
    <row r="26522">
      <c r="A26522" t="inlineStr">
        <is>
          <t>eau</t>
        </is>
      </c>
      <c r="B26522">
        <f>HYPERLINK("https://www.dofusbook.net/fr/equipement/1482448-eau/objets", "link")</f>
        <v/>
      </c>
      <c r="C26522" t="n">
        <v>0</v>
      </c>
      <c r="D26522" t="inlineStr">
        <is>
          <t>Dagoulinantes; Amulette de Shokkoth; Alliance Gloursonne; Bracelet des Fonds marins; Cadran d'Air; Poulpagne; Kidibonnet; Cape du Sinistrofu; Sandales des Fonds marins; Dofus Nébuleux; Dofus Pourpre; Carapace Terre majeur; Carapace Air majeur; Chanceux majeur; Muldo Ebène et Indigo</t>
        </is>
      </c>
    </row>
    <row r="26523">
      <c r="A26523" t="inlineStr">
        <is>
          <t>feu bourrin</t>
        </is>
      </c>
      <c r="B26523">
        <f>HYPERLINK("https://www.dofusbook.net/fr/equipement/1412081-feu-bourrin/objets", "link")</f>
        <v/>
      </c>
      <c r="C26523" t="n">
        <v>0</v>
      </c>
      <c r="D26523" t="inlineStr">
        <is>
          <t>Arc Hétype; Pendentif affamé; Anneauræus; Anneauræus; Bouclier du Stalak; Ceinture Séculaire; Coiffe Séculaire; Cape de Diondin; Bottes Innommables; Dofus Pourpre; Remueur; Vigoureux majeur; Astucieux majeur; Érudit majeur; Nomade; Brûlih</t>
        </is>
      </c>
    </row>
    <row r="26524">
      <c r="A26524" t="inlineStr">
        <is>
          <t>un vin neuf</t>
        </is>
      </c>
      <c r="B26524">
        <f>HYPERLINK("https://www.dofusbook.net/fr/equipement/1149687-un-vin-neuf/objets", "link")</f>
        <v/>
      </c>
      <c r="C26524" t="n">
        <v>1</v>
      </c>
      <c r="D26524" t="inlineStr">
        <is>
          <t>Epée Loponèze; Kralamansion; Kralano; Annolamour; Ceinture Rasboulaire du Rasboul; Chapignon; Voile d'encre; Sandales Circulaires du Kimbo; Dofus Cawotte; Dofus Ocre; Dofus Turquoise; Dauge</t>
        </is>
      </c>
    </row>
    <row r="26525">
      <c r="A26525" t="inlineStr">
        <is>
          <t>do pou</t>
        </is>
      </c>
      <c r="B26525">
        <f>HYPERLINK("https://www.dofusbook.net/fr/equipement/352417-do-pou/objets", "link")</f>
        <v/>
      </c>
      <c r="C26525" t="n">
        <v>0</v>
      </c>
      <c r="D26525" t="inlineStr">
        <is>
          <t>Arc du Chalœil; Torquistik; Anneau Chevelu; Bague Gloursonne; Ceintacé; Casque Dragoeuf; Voile d'encre; Bottistik; Dofus Émeraude; Dofus des Glaces; Dofus Pourpre; Déserteur majeur; Culbuteur majeur; Remueur; Muldo Pourpre et Ivoire</t>
        </is>
      </c>
    </row>
    <row r="26526">
      <c r="A26526" t="inlineStr">
        <is>
          <t>drag</t>
        </is>
      </c>
      <c r="B26526">
        <f>HYPERLINK("https://www.dofusbook.net/fr/equipement/351767-drag/objets", "link")</f>
        <v/>
      </c>
      <c r="C26526" t="n">
        <v>0</v>
      </c>
      <c r="D26526" t="inlineStr">
        <is>
          <t>Hache du Chalœil; Amulette du Strigide; Bague Gloursonne; Bracelet du Piloztère; Ceinture du Strigide; Casque Dragoeuf; Voile d'encre; Pataugastrique; Dofus Émeraude; Dofus Turquoise; Dofus Pourpre; Remueur; Vigoureux majeur; Muldo Orchidée et Pourpre</t>
        </is>
      </c>
    </row>
    <row r="26527">
      <c r="A26527" t="inlineStr">
        <is>
          <t>steamer</t>
        </is>
      </c>
      <c r="B26527">
        <f>HYPERLINK("https://www.dofusbook.net/fr/equipement/351422-steamer/objets", "link")</f>
        <v/>
      </c>
      <c r="C26527" t="n">
        <v>0</v>
      </c>
      <c r="D26527" t="inlineStr">
        <is>
          <t>Hache du Chalœil; Amulette du Strigide; Bracelet du Piloztère; Bague Gloursonne; Ceinture de Gein; Chapeau de Gein; Voile d'encre; Pataugastrique; Dofus Émeraude; Dofus Pourpre; Dofus Turquoise; Carapace Terre majeur; Remueur; Muldo Indigo et Orchidée</t>
        </is>
      </c>
    </row>
    <row r="26528">
      <c r="A26528" t="inlineStr">
        <is>
          <t>zobal pvp air</t>
        </is>
      </c>
      <c r="B26528">
        <f>HYPERLINK("https://www.dofusbook.net/fr/equipement/344271-zobal-pvp-air/objets", "link")</f>
        <v/>
      </c>
      <c r="C26528" t="n">
        <v>0</v>
      </c>
      <c r="D26528" t="inlineStr">
        <is>
          <t>Manthache; Collier du Valet Veinard; Gant du Valet Veinard; Alliance Gloursonne; Menoture; Casque Dragoeuf; Cape du Kamasterisk; Palmes Trithons; Dofus Émeraude; Dofus Abyssal; Évasif majeur; Miraculé majeur; Carapace Air majeur; Remueur; Muldo Ebène et Ivoire</t>
        </is>
      </c>
    </row>
    <row r="26529">
      <c r="A26529" t="inlineStr">
        <is>
          <t>roub eau pvp</t>
        </is>
      </c>
      <c r="B26529">
        <f>HYPERLINK("https://www.dofusbook.net/fr/equipement/322725-roub-eau-pvp/objets", "link")</f>
        <v/>
      </c>
      <c r="C26529" t="n">
        <v>0</v>
      </c>
      <c r="D26529" t="inlineStr">
        <is>
          <t>Dagoulinantes; Amulette de Shokkoth; Bracelet des Fonds marins; Alliance Gloursonne; Poulpagne; Casque Dragoeuf; Cape de Mantaze; Sandales des Fonds marins</t>
        </is>
      </c>
    </row>
    <row r="26530">
      <c r="A26530" t="inlineStr">
        <is>
          <t>Stuff 3</t>
        </is>
      </c>
      <c r="B26530">
        <f>HYPERLINK("https://www.dofusbook.net/fr/equipement/76182-stuff-3/objets", "link")</f>
        <v/>
      </c>
      <c r="C26530" t="n">
        <v>0</v>
      </c>
      <c r="D26530" t="inlineStr">
        <is>
          <t>Sabres d'Atcham; Amulette du Strigide; Bracelet du Piloztère; Anneau de Padgref; Ceinture du Strigide; Némès de Tal Kasha; Chevelure de Tal Kasha; Sandales de Tal Kasha; Dofus Ocre; Dofus Turquoise; Dofus des Glaces; Dofus Pourpre; Dofus Vulbis; Dofus Émeraude; Kramkram</t>
        </is>
      </c>
    </row>
    <row r="26531">
      <c r="A26531" t="inlineStr">
        <is>
          <t>Stuff 1</t>
        </is>
      </c>
      <c r="B26531">
        <f>HYPERLINK("https://www.dofusbook.net/fr/equipement/76186-stuff-1/objets", "link")</f>
        <v/>
      </c>
      <c r="C26531" t="n">
        <v>0</v>
      </c>
      <c r="D26531" t="inlineStr">
        <is>
          <t>Arc Hétype; Amulette du Cycloïde; Anneau Tique; Bague Gloursonne; Ceinture de Gein; Chapeau de Gein; Voile d'encre; Pataugastrique; Dofus Pourpre; Dofus Ocre; Dofus Émeraude; Évasif majeur; Carapace Terre majeur; Érudit majeur</t>
        </is>
      </c>
    </row>
    <row r="26532">
      <c r="A26532" t="inlineStr">
        <is>
          <t>Stuff 2</t>
        </is>
      </c>
      <c r="B26532">
        <f>HYPERLINK("https://www.dofusbook.net/fr/equipement/76145-stuff-2/objets", "link")</f>
        <v/>
      </c>
      <c r="C26532" t="n">
        <v>0</v>
      </c>
      <c r="D26532" t="inlineStr">
        <is>
          <t>Arc Hétype; Amulette de Nileza; Bague Gloursonne; Anneau Tique; Ceinture de Vortex; Coiffe Séculaire; Cape de Nileza; Pataugastrique; Remueur; Carapace Neutre majeur; Astucieux majeur; Érudit majeur; Fonceur majeur</t>
        </is>
      </c>
    </row>
    <row r="26533">
      <c r="A26533" t="inlineStr">
        <is>
          <t>Stuff 2</t>
        </is>
      </c>
      <c r="B26533">
        <f>HYPERLINK("https://www.dofusbook.net/fr/equipement/76181-stuff-2/objets", "link")</f>
        <v/>
      </c>
      <c r="C26533" t="n">
        <v>0</v>
      </c>
      <c r="D26533" t="inlineStr">
        <is>
          <t>Manthache; Collier du Valet Veinard; Alliance Gloursonne; Gant du Valet Veinard; Menoture; Casque Dragoeuf; Cape du Kamasterisk; Palmes Trithons; Dofus Émeraude; Dofus Abyssal; Carapace Air majeur; Cascadeur majeur; Remueur; Évasif majeur</t>
        </is>
      </c>
    </row>
    <row r="26534">
      <c r="A26534" t="inlineStr">
        <is>
          <t>Stuff 2</t>
        </is>
      </c>
      <c r="B26534">
        <f>HYPERLINK("https://www.dofusbook.net/fr/equipement/76169-stuff-2/objets", "link")</f>
        <v/>
      </c>
      <c r="C26534" t="n">
        <v>0</v>
      </c>
      <c r="D26534" t="inlineStr">
        <is>
          <t>Dagoulinantes; Amulette de Shokkoth; Bracelet des Fonds marins; Alliance Gloursonne; Poulpagne; Casque Dragoeuf; Cape de Mantaze; Sandales des Fonds marins; Dofus Pourpre; Dofus Émeraude; Carapace Eau majeur; Miraculé majeur; Remueur</t>
        </is>
      </c>
    </row>
    <row r="26535">
      <c r="A26535" t="inlineStr">
        <is>
          <t>Stuff 3</t>
        </is>
      </c>
      <c r="B26535">
        <f>HYPERLINK("https://www.dofusbook.net/fr/equipement/76170-stuff-3/objets", "link")</f>
        <v/>
      </c>
      <c r="C26535" t="n">
        <v>0</v>
      </c>
      <c r="D26535" t="inlineStr">
        <is>
          <t>Arc Hétype; Pendentif mignon de Koutoulou; Anneauræus; Anneau Tique; Ceinture de Vortex; Casque Cyclopéen; Cape de Diondin; Bottes Innommables; Carapace Feu majeur; Érudit majeur; Carapace Neutre majeur; Remueur</t>
        </is>
      </c>
    </row>
    <row r="26536">
      <c r="A26536" t="inlineStr">
        <is>
          <t>Stuff 1</t>
        </is>
      </c>
      <c r="B26536">
        <f>HYPERLINK("https://www.dofusbook.net/fr/equipement/76129-stuff-1/objets", "link")</f>
        <v/>
      </c>
      <c r="C26536" t="n">
        <v>0</v>
      </c>
      <c r="D26536" t="inlineStr">
        <is>
          <t>Marteau R'ture; Amulette du Strigide; Bague Gloursonne; Bracelet du Piloztère; Ceinture du Strigide; Masque de Koutoulou; Voile d'encre; Sabots Taj; Carapace Terre majeur; Enragé majeur; Temporiseur majeur; Remueur; Carapace Neutre majeur; Miraculé majeur</t>
        </is>
      </c>
    </row>
    <row r="26537">
      <c r="A26537" t="inlineStr">
        <is>
          <t>Stuff 1</t>
        </is>
      </c>
      <c r="B26537">
        <f>HYPERLINK("https://www.dofusbook.net/fr/equipement/76165-stuff-1/objets", "link")</f>
        <v/>
      </c>
      <c r="C26537" t="n">
        <v>1</v>
      </c>
      <c r="D26537" t="inlineStr">
        <is>
          <t>Arc du Chalœil; Torquistik; Bague Trithon; Anneau de Brouce; Ceintacé; Casque Dragoeuf; Cape Luminescente; Bottistik; Dofus Émeraude; Bousculeur majeur; Pousseur majeur; Culbuteur majeur; Remueur; Carapace Terre majeur</t>
        </is>
      </c>
    </row>
    <row r="26538">
      <c r="A26538" t="inlineStr">
        <is>
          <t>Stuff 2</t>
        </is>
      </c>
      <c r="B26538">
        <f>HYPERLINK("https://www.dofusbook.net/fr/equipement/76184-stuff-2/objets", "link")</f>
        <v/>
      </c>
      <c r="C26538" t="n">
        <v>0</v>
      </c>
      <c r="D26538" t="inlineStr">
        <is>
          <t>Sabres d'Atcham; Amulette du Strigide; Bracelet du Piloztère; Bague Gloursonne; Ceintacé; Némès de Tal Kasha; Cape de la Dame du Hasard; Sandales de Tal Kasha; Dofus Pourpre; Dofus Turquoise; Carapace Air majeur; Nomade; Étourdisseur majeur; Remueur</t>
        </is>
      </c>
    </row>
    <row r="26539">
      <c r="A26539" t="inlineStr">
        <is>
          <t>Stuff 2</t>
        </is>
      </c>
      <c r="B26539">
        <f>HYPERLINK("https://www.dofusbook.net/fr/equipement/76172-stuff-2/objets", "link")</f>
        <v/>
      </c>
      <c r="C26539" t="n">
        <v>0</v>
      </c>
      <c r="D26539" t="inlineStr">
        <is>
          <t>Arc Hétype; Amulette d'Otomaï; Kralano; Anneau de Nidas; Ceinture Séculaire; Couronne de Nidas; Voile d'encre; Pantoufles Émar; Temporiseur majeur; Carapace Eau majeur; Remueur; Carapace Feu majeur; Érudit majeur; Nomade; Kramkram</t>
        </is>
      </c>
    </row>
    <row r="26540">
      <c r="A26540" t="inlineStr">
        <is>
          <t>Stuff 3</t>
        </is>
      </c>
      <c r="B26540">
        <f>HYPERLINK("https://www.dofusbook.net/fr/equipement/76131-stuff-3/objets", "link")</f>
        <v/>
      </c>
      <c r="C26540" t="n">
        <v>0</v>
      </c>
      <c r="D26540" t="inlineStr">
        <is>
          <t>Dagoulinantes; Amulette Luminescente; Bracelet des Fonds marins; Alliance Gloursonne; Ceinture Luminescente; Kidibonnet; Cape de Mantaze; Bottes Owesli; Remueur; Culbuteur majeur; Carapace Air majeur; Miraculé majeur; Carapace Eau majeur</t>
        </is>
      </c>
    </row>
    <row r="26541">
      <c r="A26541" t="inlineStr">
        <is>
          <t>Stuff 3</t>
        </is>
      </c>
      <c r="B26541">
        <f>HYPERLINK("https://www.dofusbook.net/fr/equipement/76167-stuff-3/objets", "link")</f>
        <v/>
      </c>
      <c r="C26541" t="n">
        <v>1</v>
      </c>
      <c r="D26541" t="inlineStr">
        <is>
          <t>Dagues Ricol; Amulette du Strigide; Bague Gloursonne; Anneau Chevelu; Ceintacé; Masque de Koutoulou; Cape au Logis; Bottes du Strigide; Dofus Pourpre; Dofus Turquoise; Dofus Émeraude; Évasif majeur; Imprenable majeur; Carapace Terre majeur</t>
        </is>
      </c>
    </row>
    <row r="26542">
      <c r="A26542" t="inlineStr">
        <is>
          <t>Stuff 1</t>
        </is>
      </c>
      <c r="B26542">
        <f>HYPERLINK("https://www.dofusbook.net/fr/equipement/76186-stuff-1/objets", "link")</f>
        <v/>
      </c>
      <c r="C26542" t="n">
        <v>0</v>
      </c>
      <c r="D26542" t="inlineStr">
        <is>
          <t>Arc Hétype; Amulette du Cycloïde; Anneau Tique; Bague Gloursonne; Ceinture de Gein; Chapeau de Gein; Voile d'encre; Pataugastrique; Dofus Pourpre; Dofus Ocre; Dofus Émeraude; Évasif majeur; Carapace Terre majeur; Érudit majeur</t>
        </is>
      </c>
    </row>
    <row r="26543">
      <c r="A26543" t="inlineStr">
        <is>
          <t>Stuff 2</t>
        </is>
      </c>
      <c r="B26543">
        <f>HYPERLINK("https://www.dofusbook.net/fr/equipement/76145-stuff-2/objets", "link")</f>
        <v/>
      </c>
      <c r="C26543" t="n">
        <v>0</v>
      </c>
      <c r="D26543" t="inlineStr">
        <is>
          <t>Arc Hétype; Amulette de Nileza; Bague Gloursonne; Anneau Tique; Ceinture de Vortex; Coiffe Séculaire; Cape de Nileza; Pataugastrique; Carapace Neutre majeur; Astucieux majeur; Érudit majeur; Fonceur majeur; Remueur</t>
        </is>
      </c>
    </row>
    <row r="26544">
      <c r="A26544" t="inlineStr">
        <is>
          <t>Stuff 2</t>
        </is>
      </c>
      <c r="B26544">
        <f>HYPERLINK("https://www.dofusbook.net/fr/equipement/76181-stuff-2/objets", "link")</f>
        <v/>
      </c>
      <c r="C26544" t="n">
        <v>0</v>
      </c>
      <c r="D26544" t="inlineStr">
        <is>
          <t>Manthache; Collier du Valet Veinard; Gant du Valet Veinard; Alliance Gloursonne; Menoture; Casque Dragoeuf; Cape du Kamasterisk; Palmes Trithons; Dofus Abyssal; Dofus Émeraude; Cascadeur majeur; Remueur; Évasif majeur; Carapace Air majeur</t>
        </is>
      </c>
    </row>
    <row r="26545">
      <c r="A26545" t="inlineStr">
        <is>
          <t>Stuff 2</t>
        </is>
      </c>
      <c r="B26545">
        <f>HYPERLINK("https://www.dofusbook.net/fr/equipement/76169-stuff-2/objets", "link")</f>
        <v/>
      </c>
      <c r="C26545" t="n">
        <v>0</v>
      </c>
      <c r="D26545" t="inlineStr">
        <is>
          <t>Dagoulinantes; Amulette de Shokkoth; Alliance Gloursonne; Bracelet des Fonds marins; Poulpagne; Casque Dragoeuf; Cape de Mantaze; Sandales des Fonds marins; Dofus Pourpre; Dofus Émeraude; Carapace Eau majeur; Miraculé majeur; Remueur</t>
        </is>
      </c>
    </row>
    <row r="26546">
      <c r="A26546" t="inlineStr">
        <is>
          <t>Stuff 3</t>
        </is>
      </c>
      <c r="B26546">
        <f>HYPERLINK("https://www.dofusbook.net/fr/equipement/76164-stuff-3/objets", "link")</f>
        <v/>
      </c>
      <c r="C26546" t="n">
        <v>0</v>
      </c>
      <c r="D26546" t="inlineStr">
        <is>
          <t>Manthache; Collier du Valet Veinard; Gant du Valet Veinard; Alliance Gloursonne; Menoture; Capuche de Moum-Ra; Cape du Kamasterisk; Palmes Trithons; Carapace Air majeur; Remueur; Cascadeur majeur</t>
        </is>
      </c>
    </row>
    <row r="26547">
      <c r="A26547" t="inlineStr">
        <is>
          <t>Stuff 1</t>
        </is>
      </c>
      <c r="B26547">
        <f>HYPERLINK("https://www.dofusbook.net/fr/equipement/76159-stuff-1/objets", "link")</f>
        <v/>
      </c>
      <c r="C26547" t="n">
        <v>0</v>
      </c>
      <c r="D26547" t="inlineStr">
        <is>
          <t>Hache du Chalœil; Amulette du Strigide; Bague Gloursonne; Anneau Chevelu; Ceintacé; Casque de Missiz Frizz; Voile d'encre; Bottes du Strigide; Dolmanax; Dofus Pourpre; Dofus Turquoise; Carapace Terre majeur; Nomade; Remueur</t>
        </is>
      </c>
    </row>
    <row r="26548">
      <c r="A26548" t="inlineStr">
        <is>
          <t>Stuff 3</t>
        </is>
      </c>
      <c r="B26548">
        <f>HYPERLINK("https://www.dofusbook.net/fr/equipement/76152-stuff-3/objets", "link")</f>
        <v/>
      </c>
      <c r="C26548" t="n">
        <v>0</v>
      </c>
      <c r="D26548" t="inlineStr">
        <is>
          <t>Arc Hétype; Frimamulette; Bague Gloursonne; Gelano; Ceinture Instable; Chapeau Lochon; Voile d'encre; Pantoufles Émar; Dofus Turquoise; Engourdisseur majeur; Savant majeur; Paralyseur majeur; Astucieux majeur; Kramkram</t>
        </is>
      </c>
    </row>
    <row r="26549">
      <c r="A26549" t="inlineStr">
        <is>
          <t>Stuff 1</t>
        </is>
      </c>
      <c r="B26549">
        <f>HYPERLINK("https://www.dofusbook.net/fr/equipement/76183-stuff-1/objets", "link")</f>
        <v/>
      </c>
      <c r="C26549" t="n">
        <v>0</v>
      </c>
      <c r="D26549" t="inlineStr">
        <is>
          <t>Harpelle; Amulette Cryochrone; Anneauræus; Anneauræus; Ceinture de Vortex; Cagoule de Vortex; Voile d'encre; Pataugastrique; Évasif majeur; Remueur; Étourdisseur majeur; Érudit majeur</t>
        </is>
      </c>
    </row>
    <row r="26550">
      <c r="A26550" t="inlineStr">
        <is>
          <t>Stuff 1</t>
        </is>
      </c>
      <c r="B26550">
        <f>HYPERLINK("https://www.dofusbook.net/fr/equipement/76138-stuff-1/objets", "link")</f>
        <v/>
      </c>
      <c r="C26550" t="n">
        <v>2</v>
      </c>
      <c r="D26550" t="inlineStr">
        <is>
          <t>Manthache; Collier du Valet Veinard; Gant du Valet Veinard; Alliance Gloursonne; Menoture; Capuche de Moum-Ra; Cape du Kamasterisk; Palmes Trithons; Dofus Pourpre; Remueur; Carapace Air majeur; Nomade; Cascadeur majeur</t>
        </is>
      </c>
    </row>
    <row r="26551">
      <c r="A26551" t="inlineStr">
        <is>
          <t>Stuff 1</t>
        </is>
      </c>
      <c r="B26551">
        <f>HYPERLINK("https://www.dofusbook.net/fr/equipement/76171-stuff-1/objets", "link")</f>
        <v/>
      </c>
      <c r="C26551" t="n">
        <v>1</v>
      </c>
      <c r="D26551" t="inlineStr">
        <is>
          <t>Arc Hétype; Amulette d'Otomaï; Anneau de Nidas; Anneau Tamie; Sangle Aise; Couronne de Nidas; Cape de Nileza; Pantoufles Émar; Érudit majeur; Entraveur majeur; Nomade; Temporiseur majeur; Observateur; Remueur</t>
        </is>
      </c>
    </row>
    <row r="26552">
      <c r="A26552" t="inlineStr">
        <is>
          <t>Stuff 2</t>
        </is>
      </c>
      <c r="B26552">
        <f>HYPERLINK("https://www.dofusbook.net/fr/equipement/76130-stuff-2/objets", "link")</f>
        <v/>
      </c>
      <c r="C26552" t="n">
        <v>0</v>
      </c>
      <c r="D26552" t="inlineStr">
        <is>
          <t>Rapière aux Glyphes; Talisman Igans; Bracelet des Fonds marins; Alliance Gloursonne; Ceinture Glaciale; Kidibonnet; Cape du Sinistrofu; Bottes Owesli; Carapace Air majeur; Miraculé majeur; Culbuteur majeur; Remueur; Carapace Feu majeur; Bousculeur majeur</t>
        </is>
      </c>
    </row>
    <row r="26553">
      <c r="A26553" t="inlineStr">
        <is>
          <t>Stuff 3</t>
        </is>
      </c>
      <c r="B26553">
        <f>HYPERLINK("https://www.dofusbook.net/fr/equipement/76185-stuff-3/objets", "link")</f>
        <v/>
      </c>
      <c r="C26553" t="n">
        <v>0</v>
      </c>
      <c r="D26553" t="inlineStr">
        <is>
          <t>Sabres d'Atcham; Amulette du Strigide; Anneau de Padgref; Bracelet du Piloztère; Ceinture du Strigide; Némès de Tal Kasha; Chevelure de Tal Kasha; Sandales de Tal Kasha; Dofus Vulbis; Dofus Émeraude; Dofus Ocre; Dofus Turquoise; Dofus des Glaces; Dofus Pourpre; Kramkram</t>
        </is>
      </c>
    </row>
    <row r="26554">
      <c r="A26554" t="inlineStr">
        <is>
          <t>Stuff 1</t>
        </is>
      </c>
      <c r="B26554">
        <f>HYPERLINK("https://www.dofusbook.net/fr/equipement/76144-stuff-1/objets", "link")</f>
        <v/>
      </c>
      <c r="C26554" t="n">
        <v>0</v>
      </c>
      <c r="D26554" t="inlineStr">
        <is>
          <t>Dagoulinantes; Amulette de Shokkoth; Bracelet des Fonds marins; Alliance Gloursonne; Poulpagne; Kidibonnet; Cape de Mantaze; Sandales des Fonds marins; Déserteur majeur; Carapace Terre majeur; Chanceux majeur; Carapace Eau majeur; Carapace Air majeur</t>
        </is>
      </c>
    </row>
    <row r="26555">
      <c r="A26555" t="inlineStr">
        <is>
          <t>Stuff 1</t>
        </is>
      </c>
      <c r="B26555">
        <f>HYPERLINK("https://www.dofusbook.net/fr/equipement/76180-stuff-1/objets", "link")</f>
        <v/>
      </c>
      <c r="C26555" t="n">
        <v>0</v>
      </c>
      <c r="D26555" t="inlineStr">
        <is>
          <t>Manthache; Collier du Valet Veinard; Alliance Gloursonne; Gant du Valet Veinard; Menoture; Casque Dragoeuf; Cape du Kamasterisk; Palmes Trithons; Dofus Nébuleux; Dofus Ocre; Dofus Émeraude; Dofus Abyssal; Cavaleur majeur; Cascadeur majeur</t>
        </is>
      </c>
    </row>
    <row r="26556">
      <c r="A26556" t="inlineStr">
        <is>
          <t>Stuff 1</t>
        </is>
      </c>
      <c r="B26556">
        <f>HYPERLINK("https://www.dofusbook.net/fr/equipement/76135-stuff-1/objets", "link")</f>
        <v/>
      </c>
      <c r="C26556" t="n">
        <v>0</v>
      </c>
      <c r="D26556" t="inlineStr">
        <is>
          <t>Harpelle; Pendentif affamé; Anneau Rifique; Anneauræus; Ceinture de Vortex; Casque Cyclopéen; Cape de Diondin; Bottes Innommables; Carapace Terre majeur; Remueur; Étourdisseur majeur; Érudit majeur; Carapace Feu majeur; Carapace Eau majeur</t>
        </is>
      </c>
    </row>
    <row r="26557">
      <c r="A26557" t="inlineStr">
        <is>
          <t>Stuff 3</t>
        </is>
      </c>
      <c r="B26557">
        <f>HYPERLINK("https://www.dofusbook.net/fr/equipement/76173-stuff-3/objets", "link")</f>
        <v/>
      </c>
      <c r="C26557" t="n">
        <v>0</v>
      </c>
      <c r="D26557" t="inlineStr">
        <is>
          <t>Dagues Açantes; Kralamansion; Alliance Gloursonne; Gelano; Ceinture Instable; Casquipik; Cape Matelassée; Pikottes; Ralentisseur majeur; Entraveur majeur; Miraculé majeur; Temporiseur majeur; Dévastateur Eau majeur; Remueur; Kramkram</t>
        </is>
      </c>
    </row>
    <row r="26558">
      <c r="A26558" t="inlineStr">
        <is>
          <t>Stuff 2</t>
        </is>
      </c>
      <c r="B26558">
        <f>HYPERLINK("https://www.dofusbook.net/fr/equipement/76163-stuff-2/objets", "link")</f>
        <v/>
      </c>
      <c r="C26558" t="n">
        <v>0</v>
      </c>
      <c r="D26558" t="inlineStr">
        <is>
          <t>Dagues Érhy; Collier de Tourthon; Anneau de Brouce; Anneau Crustique; Ceintouse; Masque de Koutoulou; Voile d'encre; Tentassons; Enragé majeur; Carapace Terre majeur; Nomade; Vigoureux majeur; Remueur</t>
        </is>
      </c>
    </row>
    <row r="26559">
      <c r="A26559" t="inlineStr">
        <is>
          <t>Stuff 2</t>
        </is>
      </c>
      <c r="B26559">
        <f>HYPERLINK("https://www.dofusbook.net/fr/equipement/76151-stuff-2/objets", "link")</f>
        <v/>
      </c>
      <c r="C26559" t="n">
        <v>2</v>
      </c>
      <c r="D26559" t="inlineStr">
        <is>
          <t>Arc du Chalœil; Collier de Tourthon; Anneau Crustique; Anneau Chevelu; Ceintouse; Masque de Koutoulou; Cape au Logis; Tentassons; Étourdisseur majeur; Carapace Terre majeur; Paralyseur majeur; Remueur; Enragé majeur; Carapace Eau majeur; Kramkram</t>
        </is>
      </c>
    </row>
    <row r="26560">
      <c r="A26560" t="inlineStr">
        <is>
          <t>Stuff 2</t>
        </is>
      </c>
      <c r="B26560">
        <f>HYPERLINK("https://www.dofusbook.net/fr/equipement/76187-stuff-2/objets", "link")</f>
        <v/>
      </c>
      <c r="C26560" t="n">
        <v>0</v>
      </c>
      <c r="D26560" t="inlineStr">
        <is>
          <t>Dagoulinantes; Amulette de Shokkoth; Bracelet des Fonds marins; Alliance Gloursonne; Cadran d'Eau; Poulpagne; Casque Dragoeuf; Cape de Mantaze; Sandales des Fonds marins; Dofus Pourpre; Dofus Turquoise; Dofus Émeraude; Chanceux majeur; Remueur; Muldo Indigo et Pourpre</t>
        </is>
      </c>
    </row>
    <row r="26561">
      <c r="A26561" t="inlineStr">
        <is>
          <t>Force</t>
        </is>
      </c>
      <c r="B26561">
        <f>HYPERLINK("https://www.dofusbook.net/fr/equipement/2858485-force/objets", "link")</f>
        <v/>
      </c>
      <c r="C26561" t="n">
        <v>0</v>
      </c>
      <c r="D26561" t="inlineStr">
        <is>
          <t>Anneau de Brouce; Ceinture Gence; Casque Dragoeuf; Cape au Logis; Bottes de Brouce</t>
        </is>
      </c>
    </row>
    <row r="26562">
      <c r="A26562" t="inlineStr">
        <is>
          <t>eau/air</t>
        </is>
      </c>
      <c r="B26562">
        <f>HYPERLINK("https://www.dofusbook.net/fr/equipement/3247190-eau-air/objets", "link")</f>
        <v/>
      </c>
      <c r="C26562" t="n">
        <v>34</v>
      </c>
      <c r="D26562" t="inlineStr">
        <is>
          <t>Arc de Koutoulou; Amulette d'Ilyzaelle; Alliance Gloursonne; Anneau Volkorne; Bouclier du Stalak; Ceinture Voldelor; Casque Volkorne; Cape Solution; Bottes du Sinistrofu; Dofus Ébène; Dofus Pourpre; Dofus des Glaces; Dofus Ocre; Vigoureux majeur; Nomade; Mini Wa</t>
        </is>
      </c>
    </row>
    <row r="26563">
      <c r="A26563" t="inlineStr">
        <is>
          <t>eau/terre/feu</t>
        </is>
      </c>
      <c r="B26563">
        <f>HYPERLINK("https://www.dofusbook.net/fr/equipement/1264601-eau-terre-feu/objets", "link")</f>
        <v/>
      </c>
      <c r="C26563" t="n">
        <v>21</v>
      </c>
      <c r="D26563" t="inlineStr">
        <is>
          <t>Arc Nécrotique; Amulette Volkorne; Anneau Volkorne; Bague Trithon; Quatre-feuilles; Ceinture Volkorne; Masque Trithon; Voile d'encre; Bottes Trithon; Dofus Ébène; Dofus Pourpre; Dofus Abyssal; Dofus des Glaces; Dofus Ocre; Dofus Turquoise; Chacha Angora</t>
        </is>
      </c>
    </row>
    <row r="26564">
      <c r="A26564" t="inlineStr">
        <is>
          <t>Force</t>
        </is>
      </c>
      <c r="B26564">
        <f>HYPERLINK("https://www.dofusbook.net/fr/equipement/2305661-force/objets", "link")</f>
        <v/>
      </c>
      <c r="C26564" t="n">
        <v>3</v>
      </c>
      <c r="D26564" t="inlineStr">
        <is>
          <t>Arc du Chalœil; Amulette Volkorne; Anneau Volkorne; Chevalière du Roi Joueur; Quatre-feuilles; Ceinture Volkorne; Couronne du Roi Joueur; Voile d'encre; Bottes du Roi Joueur; Dofus Turquoise; Dofus Pourpre; Dofus Ivoire; Dofus Ocre; Dofus Abyssal; Dofus Ébène; Pioute vert</t>
        </is>
      </c>
    </row>
    <row r="26565">
      <c r="A26565" t="inlineStr">
        <is>
          <t>Tank</t>
        </is>
      </c>
      <c r="B26565">
        <f>HYPERLINK("https://www.dofusbook.net/fr/equipement/259411-tank/objets", "link")</f>
        <v/>
      </c>
      <c r="C26565" t="n">
        <v>9</v>
      </c>
      <c r="D26565" t="inlineStr">
        <is>
          <t>Héqache; Amulette du Strigide; Anneau Toriété; Anneau Crustique; Cadran d'Eau; Ceinture Gence; Corne de Torkélonia; Carapace de Torkélonia; Pompes Funèbres; Dofus Ocre; Dofus Ébène; Dofus Turquoise; Dofus Ivoire; Dofus Pourpre; Dofus Abyssal; Pioute vert</t>
        </is>
      </c>
    </row>
    <row r="26566">
      <c r="A26566" t="inlineStr">
        <is>
          <t>Chance</t>
        </is>
      </c>
      <c r="B26566">
        <f>HYPERLINK("https://www.dofusbook.net/fr/equipement/3285415-chance/objets", "link")</f>
        <v/>
      </c>
      <c r="C26566" t="n">
        <v>4</v>
      </c>
      <c r="D26566" t="inlineStr">
        <is>
          <t>Marteau des Anciens Steamers; Anneau Volkorne; Alliance Gloursonne; Droiture de Fallanster; Ceinture Voldelor; Casque Volkorne; Cape Solution; Bottes du Sinistrofu; Dofus Pourpre; Dofus Abyssal; Dofus Ocre; Dofus Ébène; Dofus Ivoire; Nomade; Kanigloups</t>
        </is>
      </c>
    </row>
    <row r="26567">
      <c r="A26567" t="inlineStr">
        <is>
          <t>Full intel</t>
        </is>
      </c>
      <c r="B26567">
        <f>HYPERLINK("https://www.dofusbook.net/fr/equipement/1228114-full-intel/objets", "link")</f>
        <v/>
      </c>
      <c r="C26567" t="n">
        <v>1</v>
      </c>
      <c r="D26567" t="inlineStr">
        <is>
          <t>Arc corrompu; Amulette Volkorne; Anneau Volkorne; Chevalière du Roi Joueur; Cadran d'Air; Ceinture Volkorne; Couronne du Roi Joueur; Voile d'encre; Bottes du Roi Joueur; Dofus Turquoise; Dofus Pourpre; Dofus Ivoire; Dofus Ocre; Dofus Abyssal; Dofus Ébène; Bisouglours</t>
        </is>
      </c>
    </row>
    <row r="26568">
      <c r="A26568" t="inlineStr">
        <is>
          <t>Tank</t>
        </is>
      </c>
      <c r="B26568">
        <f>HYPERLINK("https://www.dofusbook.net/fr/equipement/2669023-tank/objets", "link")</f>
        <v/>
      </c>
      <c r="C26568" t="n">
        <v>2</v>
      </c>
      <c r="D26568" t="inlineStr">
        <is>
          <t>Lance Horselé; Amulette Voldelor; Alliance Gloursonne; Gant du Valet Veinard; Droiture de Fallanster; Sangle Oriole; Masque d'Anerice; Cape d'Anerice; Baleinabottes; Dofus Ivoire; Dofus Pourpre; Dofus Ébène; Dofus Ocre; Dofus Abyssal; Nomade; Bwak d'Air</t>
        </is>
      </c>
    </row>
    <row r="26569">
      <c r="A26569" t="inlineStr">
        <is>
          <t>air tank</t>
        </is>
      </c>
      <c r="B26569">
        <f>HYPERLINK("https://www.dofusbook.net/fr/equipement/3059228-air-tank/objets", "link")</f>
        <v/>
      </c>
      <c r="C26569" t="n">
        <v>5</v>
      </c>
      <c r="D26569" t="inlineStr">
        <is>
          <t>Lance Horselé; Collier du Valet Veinard; Alliance Gloursonne; Gant du Valet Veinard; Cadran d'Eau; Sangle Oriole; Dorabysses; Cape Martegel; Baleinabottes; Dofus Pourpre; Dofus Abyssal; Dofus Ébène; Dofus Ivoire; Dofus Ocre; Nomade; Blérodoudou</t>
        </is>
      </c>
    </row>
    <row r="26570">
      <c r="A26570" t="inlineStr">
        <is>
          <t>chance tank</t>
        </is>
      </c>
      <c r="B26570">
        <f>HYPERLINK("https://www.dofusbook.net/fr/equipement/3244739-chance-tank/objets", "link")</f>
        <v/>
      </c>
      <c r="C26570" t="n">
        <v>13</v>
      </c>
      <c r="D26570" t="inlineStr">
        <is>
          <t>Sceptre du Roi Joueur; Amulette Voldelor; Alliance Gloursonne; Bracelet des Fonds marins; Cadran d'Eau; Sangle Ouare; Masque d'Anerice; Cape d'Anerice; Pataugastrique; Dofus Émeraude; Dofus Ivoire; Dofus Ocre; Dofus Pourpre; Dofus Ébène; Dofus Abyssal; Kanigloups</t>
        </is>
      </c>
    </row>
    <row r="26571">
      <c r="A26571" t="inlineStr">
        <is>
          <t>eau/air regen</t>
        </is>
      </c>
      <c r="B26571">
        <f>HYPERLINK("https://www.dofusbook.net/fr/equipement/668320-eau-air-regen/objets", "link")</f>
        <v/>
      </c>
      <c r="C26571" t="n">
        <v>3</v>
      </c>
      <c r="D26571" t="inlineStr">
        <is>
          <t>Marteau des Anciens Steamers; Amulette du Strigide; Alliance Gloursonne; Anneau de Padgref; Quatre-feuilles; Ceinture du Strigide; Dorabysses; Chevelure de Tal Kasha; Sandales  d'Atcham; Dofus Ocre; Dofus Émeraude; Dofus des Glaces; Dofus Turquoise; Dofus Pourpre; Remueur; Muldo Orchidée et Pourpre</t>
        </is>
      </c>
    </row>
    <row r="26572">
      <c r="A26572" t="inlineStr">
        <is>
          <t>terre</t>
        </is>
      </c>
      <c r="B26572">
        <f>HYPERLINK("https://www.dofusbook.net/fr/equipement/2668973-terre-/objets", "link")</f>
        <v/>
      </c>
      <c r="C26572" t="n">
        <v>8</v>
      </c>
      <c r="D26572" t="inlineStr">
        <is>
          <t>Arc du Chalœil; Amulette Volkorne; Anneau Volkorne; Chevalière du Roi Joueur; Cadran d'Air; Ceinture Volkorne; Couronne du Roi Joueur; Voile d'encre; Bottes du Roi Joueur; Dofus Turquoise; Dofus Pourpre; Dofus Ivoire; Dofus Ocre; Dofus Abyssal; Dofus Ébène; Pioute vert</t>
        </is>
      </c>
    </row>
    <row r="26573">
      <c r="A26573" t="inlineStr">
        <is>
          <t>Do pou triton</t>
        </is>
      </c>
      <c r="B26573">
        <f>HYPERLINK("https://www.dofusbook.net/fr/equipement/3012332-do-pou-triton/objets", "link")</f>
        <v/>
      </c>
      <c r="C26573" t="n">
        <v>1</v>
      </c>
      <c r="D26573" t="inlineStr">
        <is>
          <t>Baguette de Torkélonia; Amulette du Strigide; Bague Gloursonne; Anneau des égarés; Quatre-feuilles; Ceinture du Strigide; Corne de Torkélonia; Carapace de Torkélonia; Bottes du Strigide; Dofus Ocre; Dofus Abyssal; Dofus Turquoise; Dofus Ébène; Dofus Pourpre; Dofus Ivoire; Pioute vert</t>
        </is>
      </c>
    </row>
    <row r="26574">
      <c r="A26574" t="inlineStr">
        <is>
          <t>Full intel</t>
        </is>
      </c>
      <c r="B26574">
        <f>HYPERLINK("https://www.dofusbook.net/fr/equipement/259443-full-intel/objets", "link")</f>
        <v/>
      </c>
      <c r="C26574" t="n">
        <v>1</v>
      </c>
      <c r="D26574" t="inlineStr">
        <is>
          <t>Arc corrompu; Amulette de Nileza; Anneauræus; Anneauræus; Cadran d'Air; Croture; Heaume Oplate; Cape de Nileza; Chaussures Ardentes; Dofus Ocre; Dofus Abyssal; Dofus Ivoire; Dofus des Glaces; Dofus Ébène; Nomade; Bisouglours</t>
        </is>
      </c>
    </row>
    <row r="26575">
      <c r="A26575" t="inlineStr">
        <is>
          <t>Feu</t>
        </is>
      </c>
      <c r="B26575">
        <f>HYPERLINK("https://www.dofusbook.net/fr/equipement/259416-feu/objets", "link")</f>
        <v/>
      </c>
      <c r="C26575" t="n">
        <v>5</v>
      </c>
      <c r="D26575" t="inlineStr">
        <is>
          <t>Arc corrompu; Amulette Volkorne; Anneauræus; Anneauræus; Ceinture Volkorne; Heaume Oplate; Cape de Diondin; Bottes d'Otomaï</t>
        </is>
      </c>
    </row>
    <row r="26576">
      <c r="A26576" t="inlineStr">
        <is>
          <t>do pou</t>
        </is>
      </c>
      <c r="B26576">
        <f>HYPERLINK("https://www.dofusbook.net/fr/equipement/3655716-do-pou/objets", "link")</f>
        <v/>
      </c>
      <c r="C26576" t="n">
        <v>1</v>
      </c>
      <c r="D26576" t="inlineStr">
        <is>
          <t>Masse Ossiale; Amulette du Sinistrofu; Bague Trithon; Alliance Gloursonne; Bouclier précieux; Sangle Ouare; Masque Paztek; Cape Solution; Sandales Paztek; Dofus Ivoire; Dofus Abyssal; Dofus Ocre; Dofus Ébène; Culbuteur majeur; Bousculeur majeur; Écumouth</t>
        </is>
      </c>
    </row>
    <row r="26577">
      <c r="A26577" t="inlineStr">
        <is>
          <t>Stuff eau trithon</t>
        </is>
      </c>
      <c r="B26577">
        <f>HYPERLINK("https://www.dofusbook.net/fr/equipement/2492720-stuff-eau-trithon/objets", "link")</f>
        <v/>
      </c>
      <c r="C26577" t="n">
        <v>2</v>
      </c>
      <c r="D26577" t="inlineStr">
        <is>
          <t>Baguette de Torkélonia; Amulette Volkorne; Anneau Volkorne; Bague Trithon; Cadran d'Air; Ceinture Volkorne; Masque Trithon; Carapace de Torkélonia; Bottes Trithon; Dofus Ivoire; Dofus Turquoise; Dofus Ébène; Dofus Abyssal; Dofus Ocre; Dofus Pourpre; Kokulte</t>
        </is>
      </c>
    </row>
    <row r="26578">
      <c r="A26578" t="inlineStr">
        <is>
          <t>Intel tank</t>
        </is>
      </c>
      <c r="B26578">
        <f>HYPERLINK("https://www.dofusbook.net/fr/equipement/1645642-intel-tank/objets", "link")</f>
        <v/>
      </c>
      <c r="C26578" t="n">
        <v>1</v>
      </c>
      <c r="D26578" t="inlineStr">
        <is>
          <t>Arc corrompu; Amulette Martegel; Anneauræus; Anneauræus; Droiture de Fallanster; Croture; Masquegel; Cape de Jahash Jurgen; Bottes Honyme; Dofus Pourpre; Dofus Ébène; Dofus Ocre; Dofus Ivoire; Nomade; Érudit majeur; Bwak de Feu</t>
        </is>
      </c>
    </row>
    <row r="26579">
      <c r="A26579" t="inlineStr">
        <is>
          <t>Eau</t>
        </is>
      </c>
      <c r="B26579">
        <f>HYPERLINK("https://www.dofusbook.net/fr/equipement/2689260-eau/objets", "link")</f>
        <v/>
      </c>
      <c r="C26579" t="n">
        <v>0</v>
      </c>
      <c r="D26579" t="inlineStr">
        <is>
          <t>Dagoulinantes; Amulette de Shokkoth; Anneau Volkorne; Alliance Gloursonne; Cadran de Terre; Culotte de Bethel; Masque de Funespadon; Cape Solution; Bottes du Sinistrofu; Dofus Ivoire; Dofus Ébène; Dofus Ocre; Dofus Abyssal; Nomade; Étourdisseur majeur; Kanigloups</t>
        </is>
      </c>
    </row>
    <row r="26580">
      <c r="A26580" t="inlineStr">
        <is>
          <t>Full intel</t>
        </is>
      </c>
      <c r="B26580">
        <f>HYPERLINK("https://www.dofusbook.net/fr/equipement/3442462-full-intel/objets", "link")</f>
        <v/>
      </c>
      <c r="C26580" t="n">
        <v>2</v>
      </c>
      <c r="D26580" t="inlineStr">
        <is>
          <t>Arc corrompu; Amulette Volkorne; Anneau Tique; Anneau de Nidas; Bouclier du Stalak; Croture; Couronne de Nidas; Voile d'encre; Bottes Honyme; Dofus Ivoire; Dofus Pourpre; Dofus des Glaces; Dofus Ocre; Dofus Ébène; Nomade; Bisouglours</t>
        </is>
      </c>
    </row>
    <row r="26581">
      <c r="A26581" t="inlineStr">
        <is>
          <t>Stuff 5</t>
        </is>
      </c>
      <c r="B26581">
        <f>HYPERLINK("https://www.dofusbook.net/fr/equipement/489695-stuff-5/objets", "link")</f>
        <v/>
      </c>
      <c r="C26581" t="n">
        <v>1</v>
      </c>
      <c r="D26581" t="inlineStr">
        <is>
          <t>Marteau R'ture; Amulette du Strigide; Anneau Crustique; Anneau Crustique; Cadran d'Eau; Ceinture de la Cour Sombre; Masque de Koutoulou; Cape au Logis; Bottes de la Cour Sombre; Dofus Turquoise; Dofus Émeraude; Dofus Abyssal; Dofus Pourpre; Remueur; Enragé majeur</t>
        </is>
      </c>
    </row>
    <row r="26582">
      <c r="A26582" t="inlineStr">
        <is>
          <t>stuff eau</t>
        </is>
      </c>
      <c r="B26582">
        <f>HYPERLINK("https://www.dofusbook.net/fr/equipement/743790-stuff-eau/objets", "link")</f>
        <v/>
      </c>
      <c r="C26582" t="n">
        <v>4</v>
      </c>
      <c r="D26582" t="inlineStr">
        <is>
          <t>Héqache; Amulette du Strigide; Anneau Crustique; Anneau Crustique; Cadran d'Air; Ceinture du Strigide; Corne de Torkélonia; Carapace de Torkélonia; Bottes du Strigide; Dofus Turquoise; Dofus Abyssal; Dofus Ocre; Dofus Ébène; Dofus Vulbis; Dofus Ivoire; Chacha Angora</t>
        </is>
      </c>
    </row>
    <row r="26583">
      <c r="A26583" t="inlineStr">
        <is>
          <t>feu</t>
        </is>
      </c>
      <c r="B26583">
        <f>HYPERLINK("https://www.dofusbook.net/fr/equipement/1683094-feu/objets", "link")</f>
        <v/>
      </c>
      <c r="C26583" t="n">
        <v>3</v>
      </c>
      <c r="D26583" t="inlineStr">
        <is>
          <t>Arc corrompu; Amulette Volkorne; Anneauræus; Anneauræus; Cadran d'Air; Ceinture Séculaire; Coiffe Séculaire; Cape de Diondin; Bottes d'Otomaï; Dofus Ivoire; Dofus Pourpre; Dofus Ébène; Dofus Ocre; Érudit majeur; Nomade; Bisouglours</t>
        </is>
      </c>
    </row>
    <row r="26584">
      <c r="A26584" t="inlineStr">
        <is>
          <t>chance ret pa</t>
        </is>
      </c>
      <c r="B26584">
        <f>HYPERLINK("https://www.dofusbook.net/fr/equipement/1229094-chance-ret-pa/objets", "link")</f>
        <v/>
      </c>
      <c r="C26584" t="n">
        <v>3</v>
      </c>
      <c r="D26584" t="inlineStr">
        <is>
          <t>Dagoulinantes; Amulette de Shokkoth; Anneau Volkorne; Alliance Gloursonne; Cadran de Terre; Culotte de Bethel; Masque de Funespadon; Cape Solution; Bottes du Sinistrofu; Dofus Ocre; Dofus Ébène; Dofus Ivoire; Dofus Pourpre; Dofus Abyssal; Nomade; Koalak Sanguin</t>
        </is>
      </c>
    </row>
    <row r="26585">
      <c r="A26585" t="inlineStr">
        <is>
          <t>eau</t>
        </is>
      </c>
      <c r="B26585">
        <f>HYPERLINK("https://www.dofusbook.net/fr/equipement/1746825-eau/objets", "link")</f>
        <v/>
      </c>
      <c r="C26585" t="n">
        <v>17</v>
      </c>
      <c r="D26585" t="inlineStr">
        <is>
          <t>Baguette Hique; Talisman Glouti; Alliance Gloursonne; Anneau Volkorne; Quatre-feuilles; Sangle Ouare; Kidibonnet; Cape de la Dame du Hasard; Bottes de la Dame du Hasard; Dofus Turquoise; Dofus Ivoire; Dofus Ébène; Dofus Ocre; Dofus Pourpre; Dofus Abyssal; Kokulte</t>
        </is>
      </c>
    </row>
    <row r="26586">
      <c r="A26586" t="inlineStr">
        <is>
          <t>eau/air</t>
        </is>
      </c>
      <c r="B26586">
        <f>HYPERLINK("https://www.dofusbook.net/fr/equipement/2874906-eau-air/objets", "link")</f>
        <v/>
      </c>
      <c r="C26586" t="n">
        <v>6</v>
      </c>
      <c r="D26586" t="inlineStr">
        <is>
          <t>Arc de Koutoulou; Amulette d'Ilyzaelle; Alliance Gloursonne; Anneau Volkorne; Bouclier du Stalak; Sangle Ouare; Casque Volkorne; Cape Solution; Dofus Ivoire; Dofus Pourpre; Dofus Abyssal; Dofus Ocre; Dofus Ébène; Kanigloups</t>
        </is>
      </c>
    </row>
    <row r="26587">
      <c r="A26587" t="inlineStr">
        <is>
          <t>Feu tank</t>
        </is>
      </c>
      <c r="B26587">
        <f>HYPERLINK("https://www.dofusbook.net/fr/equipement/3244864-feu-tank/objets", "link")</f>
        <v/>
      </c>
      <c r="C26587" t="n">
        <v>6</v>
      </c>
      <c r="D26587" t="inlineStr">
        <is>
          <t>Arc corrompu; Amulette de Nileza; Anneau de Nidas; Anneauræus; Cadran d'Air; Ceinture de Vortex; Masque d'Anerice; Cape d'Anerice; Pataugastrique; Dofus Pourpre; Dofus Abyssal; Dofus Ivoire; Remueur; Nomade; Érudit majeur; Bisouglours</t>
        </is>
      </c>
    </row>
    <row r="26588">
      <c r="A26588" t="inlineStr">
        <is>
          <t>feu do pou</t>
        </is>
      </c>
      <c r="B26588">
        <f>HYPERLINK("https://www.dofusbook.net/fr/equipement/612417-feu-do-pou/objets", "link")</f>
        <v/>
      </c>
      <c r="C26588" t="n">
        <v>0</v>
      </c>
      <c r="D26588" t="inlineStr">
        <is>
          <t>Épée Brûlâme; Amulette Cryochrone; Anneau Tique; Alliance Gloursonne; Bouclier Taverne; Ceintrigue; Masque Paztek; Cape Solution; Sandales Paztek; Dofus Ébène; Dofus Abyssal; Dofus Ocre; Dofus Ivoire; Culbuteur majeur; Bousculeur majeur; Balafreux</t>
        </is>
      </c>
    </row>
    <row r="26589">
      <c r="A26589" t="inlineStr">
        <is>
          <t>air do pou</t>
        </is>
      </c>
      <c r="B26589">
        <f>HYPERLINK("https://www.dofusbook.net/fr/equipement/4422676-air-do-pou/objets", "link")</f>
        <v/>
      </c>
      <c r="C26589" t="n">
        <v>3</v>
      </c>
      <c r="D26589" t="inlineStr">
        <is>
          <t>Plume de Buhorado; Amibou; Alliance Brûlâme; Gant du Valet Veinard; Bouclier Taverne; Menoture; Casque Dragoeuf; Capibou; Bottes du Cœur Vaillant; Dofus Ocre; Dofus Abyssal; Dofus Ébène; Dofus Ivoire; Culbuteur majeur; Cascadeur majeur; Tofoudre</t>
        </is>
      </c>
    </row>
    <row r="26590">
      <c r="A26590" t="inlineStr">
        <is>
          <t>Aztek</t>
        </is>
      </c>
      <c r="B26590">
        <f>HYPERLINK("https://www.dofusbook.net/fr/equipement/586798-aztek/objets", "link")</f>
        <v/>
      </c>
      <c r="C26590" t="n">
        <v>1</v>
      </c>
      <c r="D26590" t="inlineStr">
        <is>
          <t>Hache du Korriandre; Amulette Volkorne; Alliance Gloursonne; Anneau Volkorne; Cadran d'Eau; Ceinture Volkorne; Némès de Tal Kasha; Chevelure de Tal Kasha; Sandales de Tal Kasha; Dofus Pourpre; Dofus Ébène; Dofus Ocre; Dofus Abyssal; Dofus Turquoise; Dofus Ivoire; Kokulte</t>
        </is>
      </c>
    </row>
    <row r="26591">
      <c r="A26591" t="inlineStr">
        <is>
          <t>air/terre</t>
        </is>
      </c>
      <c r="B26591">
        <f>HYPERLINK("https://www.dofusbook.net/fr/equipement/1421005-air-terre/objets", "link")</f>
        <v/>
      </c>
      <c r="C26591" t="n">
        <v>3</v>
      </c>
      <c r="D26591" t="inlineStr">
        <is>
          <t>Baguette de Torkélonia; Amulette du Strigide; Bracelet du Piloztère; Anneau de Padgref; Quatre-feuilles; Ceinture du Strigide; Corne de Torkélonia; Carapace de Torkélonia; Bottes du Strigide; Dofus Ocre; Dofus Abyssal; Dofus Turquoise; Dofus Ébène; Dofus Pourpre; Dofus Ivoire; Sakochère</t>
        </is>
      </c>
    </row>
    <row r="26592">
      <c r="A26592" t="inlineStr">
        <is>
          <t>Eau/air ret PA</t>
        </is>
      </c>
      <c r="B26592">
        <f>HYPERLINK("https://www.dofusbook.net/fr/equipement/3055143-eau-air--ret-pa/objets", "link")</f>
        <v/>
      </c>
      <c r="C26592" t="n">
        <v>9</v>
      </c>
      <c r="D26592" t="inlineStr">
        <is>
          <t>Arc de Koutoulou; Amulette d'Ilyzaelle; Alliance Gloursonne; Anneau Volkorne; Cadran d'Air; Ceinture Voldelor; Casque Volkorne; Cape Solution; Bottes du Sinistrofu; Dofus Ivoire; Dofus Pourpre; Dofus Abyssal; Dofus Ocre; Dofus Ébène; Nomade; Boskito</t>
        </is>
      </c>
    </row>
    <row r="26593">
      <c r="A26593" t="inlineStr">
        <is>
          <t>Chance</t>
        </is>
      </c>
      <c r="B26593">
        <f>HYPERLINK("https://www.dofusbook.net/fr/equipement/3448067-chance/objets", "link")</f>
        <v/>
      </c>
      <c r="C26593" t="n">
        <v>21</v>
      </c>
      <c r="D26593" t="inlineStr">
        <is>
          <t>Arc de Koutoulou; Amulette d'Ilyzaelle; Anneau Volkorne; Alliance Gloursonne; Cadran d'Air; Ceinture Voldelor; Casque Volkorne; Cape Solution; Bottes du Sinistrofu; Dofus Ocre; Dofus Ébène; Dofus Ivoire; Dofus Pourpre; Dofus Abyssal; Nomade; Mini Wa</t>
        </is>
      </c>
    </row>
    <row r="26594">
      <c r="A26594" t="inlineStr">
        <is>
          <t>Full agi</t>
        </is>
      </c>
      <c r="B26594">
        <f>HYPERLINK("https://www.dofusbook.net/fr/equipement/2671009-full-agi/objets", "link")</f>
        <v/>
      </c>
      <c r="C26594" t="n">
        <v>8</v>
      </c>
      <c r="D26594" t="inlineStr">
        <is>
          <t>Manthache; Collier du Valet Veinard; Alliance Gloursonne; Gant du Valet Veinard; Cadran d'Air; Menoture; Dorabysses; Cape Martegel; Palmes Trithons; Dofus Ocre; Dofus des Glaces; Dofus Ivoire; Dofus Abyssal; Dofus Ébène; Nomade; Blérodoudou</t>
        </is>
      </c>
    </row>
    <row r="26595">
      <c r="A26595" t="inlineStr">
        <is>
          <t>air ret</t>
        </is>
      </c>
      <c r="B26595">
        <f>HYPERLINK("https://www.dofusbook.net/fr/equipement/3271902-air-ret/objets", "link")</f>
        <v/>
      </c>
      <c r="C26595" t="n">
        <v>7</v>
      </c>
      <c r="D26595" t="inlineStr">
        <is>
          <t>Manthache; Amulette du Strigide; Alliance Gloursonne; Anneau de Padgref; Cadran de Terre; Menoture; Dorabysses; Chevelure de Tal Kasha; Sandales de Tal Kasha; Dofus Ocre; Dofus Pourpre; Dofus Ivoire; Dofus Ébène; Dofus Turquoise; Nomade; Pioute jaune</t>
        </is>
      </c>
    </row>
    <row r="26596">
      <c r="A26596" t="inlineStr">
        <is>
          <t>Air/feu</t>
        </is>
      </c>
      <c r="B26596">
        <f>HYPERLINK("https://www.dofusbook.net/fr/equipement/2119397-air-feu/objets", "link")</f>
        <v/>
      </c>
      <c r="C26596" t="n">
        <v>2</v>
      </c>
      <c r="D26596" t="inlineStr">
        <is>
          <t>Arc corrompu; Amulette Volkorne; Anneau de Nidas; Anneau de Padgref; Cadran de Terre; Ceinture de Vortex; Heaume Oplate; Cape d'Atcham; Sandales  d'Atcham</t>
        </is>
      </c>
    </row>
    <row r="26597">
      <c r="A26597" t="inlineStr">
        <is>
          <t>Multi arc volkorne</t>
        </is>
      </c>
      <c r="B26597">
        <f>HYPERLINK("https://www.dofusbook.net/fr/equipement/3190711-multi-arc-volkorne/objets", "link")</f>
        <v/>
      </c>
      <c r="C26597" t="n">
        <v>3</v>
      </c>
      <c r="D26597" t="inlineStr">
        <is>
          <t>Crocobur; Amulette Volkorne; Bague Trithon; Anneau Volkorne; Bouclier du Captain Amakna; Ceinture Volkorne; Masque Trithon; Voile d'encre; Bottes Trithon; Dofus Turquoise; Dofus Ébène; Dofus Nébuleux; Dofus Pourpre; Dofus Ocre; Dofus des Glaces; Sakochère</t>
        </is>
      </c>
    </row>
    <row r="26598">
      <c r="A26598" t="inlineStr">
        <is>
          <t>Crocobur</t>
        </is>
      </c>
      <c r="B26598">
        <f>HYPERLINK("https://www.dofusbook.net/fr/equipement/3232852-crocobur/objets", "link")</f>
        <v/>
      </c>
      <c r="C26598" t="n">
        <v>3</v>
      </c>
      <c r="D26598" t="inlineStr">
        <is>
          <t>Crocobur; Amulette du Kamasterisk; Anneau des égarés; Anneau Volkorne; Bouclier du Captain Amakna; Ceinture Volkorne; Casque Volkorne; Cape du Kamasterisk; Bottes du Kamasterisk; Dofus Ébène; Dofus Turquoise; Dofus Pourpre; Dofus des Glaces; Dofus Nébuleux; Dofus Ocre; Fëanor</t>
        </is>
      </c>
    </row>
    <row r="26599">
      <c r="A26599" t="inlineStr">
        <is>
          <t>Soutient</t>
        </is>
      </c>
      <c r="B26599">
        <f>HYPERLINK("https://www.dofusbook.net/fr/equipement/259452-soutient/objets", "link")</f>
        <v/>
      </c>
      <c r="C26599" t="n">
        <v>0</v>
      </c>
      <c r="D26599" t="inlineStr">
        <is>
          <t>Baguette de Malléfisk; Amulette de Nileza; Anneau de Nidas; Anneau Tique; Carapar; Ceinture de Vortex; Couronne de Nidas; Voile d'encre; Pataugastrique; Dofus Ivoire; Remueur; Carapace Terre majeur; Nomade; Érudit majeur; Carapace Feu majeur; Bisouglours</t>
        </is>
      </c>
    </row>
    <row r="26600">
      <c r="A26600" t="inlineStr">
        <is>
          <t>Force do pou</t>
        </is>
      </c>
      <c r="B26600">
        <f>HYPERLINK("https://www.dofusbook.net/fr/equipement/1768577-force-do-pou/objets", "link")</f>
        <v/>
      </c>
      <c r="C26600" t="n">
        <v>5</v>
      </c>
      <c r="D26600" t="inlineStr">
        <is>
          <t>Arc du Chalœil; Amulette Luminescente; Anneau Toriété; Bague Trithon; Bouclier Taverne; Ceinture Gence; Casque Dragoeuf; Cape Luminescente; Bottes du Cœur Vaillant; Dofus Abyssal; Dofus Pourpre; Dofus Ivoire; Dofus Ocre; Enragé majeur; Culbuteur majeur; Black Tiwabbit</t>
        </is>
      </c>
    </row>
    <row r="26601">
      <c r="A26601" t="inlineStr">
        <is>
          <t>Eau</t>
        </is>
      </c>
      <c r="B26601">
        <f>HYPERLINK("https://www.dofusbook.net/fr/equipement/259430-eau/objets", "link")</f>
        <v/>
      </c>
      <c r="C26601" t="n">
        <v>15</v>
      </c>
      <c r="D26601" t="inlineStr">
        <is>
          <t>Hache Rot; Collier de la Dame du Hasard; Anneau Volkorne; Alliance Gloursonne; Bouclier du Stalak; Sangle Ouare; Némès de Tal Kasha; Cape Matelassée; Bottes de la Dame du Hasard; Dofus Turquoise; Dofus Abyssal; Dofus Ocre; Dofus Ivoire; Dofus Pourpre; Dofus des Glaces; Pioute bleu</t>
        </is>
      </c>
    </row>
    <row r="26602">
      <c r="A26602" t="inlineStr">
        <is>
          <t>Force do terre</t>
        </is>
      </c>
      <c r="B26602">
        <f>HYPERLINK("https://www.dofusbook.net/fr/equipement/1228317-force-do-terre/objets", "link")</f>
        <v/>
      </c>
      <c r="C26602" t="n">
        <v>6</v>
      </c>
      <c r="D26602" t="inlineStr">
        <is>
          <t>Arc du Chalœil; Collier de Tourthon; Anneau de Brouce; Anneau Chevelu; Bouclier du Stalak; Ceinture de la Reine des Voleurs; Coiffe de la Reine des Voleurs; Cape au Logis; Sabots Minables; Dofus Pourpre; Dofus Ivoire; Dofus Ocre; Dofus des Glaces; Dofus Abyssal; Dévastateur Terre majeur; Bulbisou</t>
        </is>
      </c>
    </row>
    <row r="26603">
      <c r="A26603" t="inlineStr">
        <is>
          <t>Full force</t>
        </is>
      </c>
      <c r="B26603">
        <f>HYPERLINK("https://www.dofusbook.net/fr/equipement/1339409-full-force/objets", "link")</f>
        <v/>
      </c>
      <c r="C26603" t="n">
        <v>15</v>
      </c>
      <c r="D26603" t="inlineStr">
        <is>
          <t>Arc du Chalœil; Amulette Ementaire Deluxe; Anneau Chevelu; Bague Gloursonne; Quatre-feuilles; Ceinture de la Reine des Voleurs; Coiffe de la Reine des Voleurs; Cape au Logis; Sabots Minables; Dofus Nébuleux; Dofus Pourpre; Dofus Ocre; Dofus Turquoise; Dofus Ivoire; Dofus des Glaces; Bulbisou</t>
        </is>
      </c>
    </row>
    <row r="26604">
      <c r="A26604" t="inlineStr">
        <is>
          <t>full force</t>
        </is>
      </c>
      <c r="B26604">
        <f>HYPERLINK("https://www.dofusbook.net/fr/equipement/2894501-full-force/objets", "link")</f>
        <v/>
      </c>
      <c r="C26604" t="n">
        <v>10</v>
      </c>
      <c r="D26604" t="inlineStr">
        <is>
          <t>Arc du Chalœil; Anneau Chevelu; Bague Gloursonne; Quatre-feuilles; Ceinture de la Reine des Voleurs; Coiffe de la Reine des Voleurs; Cape au Logis; Sabots Minables; Dofus Turquoise; Dofus des Glaces; Dofus Pourpre; Remueur; Vigoureux majeur; Enragé majeur; Bulbisou</t>
        </is>
      </c>
    </row>
    <row r="26605">
      <c r="A26605" t="inlineStr">
        <is>
          <t>eau/air</t>
        </is>
      </c>
      <c r="B26605">
        <f>HYPERLINK("https://www.dofusbook.net/fr/equipement/3011908-eau-air/objets", "link")</f>
        <v/>
      </c>
      <c r="C26605" t="n">
        <v>3</v>
      </c>
      <c r="D26605" t="inlineStr">
        <is>
          <t>Arc de Koutoulou; Amulette d'Ilyzaelle; Anneau Volkorne; Alliance Gloursonne; Cadran d'Air; Sangle Ouare; Casque Volkorne; Cape Matelassée; Bottes de la Reine des Voleurs; Dofus Ocre; Dofus Abyssal; Dofus Pourpre; Dofus Ivoire; Dofus des Glaces; Vigoureux majeur; Mini Wa</t>
        </is>
      </c>
    </row>
    <row r="26606">
      <c r="A26606" t="inlineStr">
        <is>
          <t>Full force</t>
        </is>
      </c>
      <c r="B26606">
        <f>HYPERLINK("https://www.dofusbook.net/fr/equipement/3188377-full-force-/objets", "link")</f>
        <v/>
      </c>
      <c r="C26606" t="n">
        <v>2</v>
      </c>
      <c r="D26606" t="inlineStr">
        <is>
          <t>Collier de Tourthon; Ceinture de la Cour Sombre; Masque de Koutoulou; Bottes de la Cour Sombre</t>
        </is>
      </c>
    </row>
    <row r="26607">
      <c r="A26607" t="inlineStr">
        <is>
          <t>full intel</t>
        </is>
      </c>
      <c r="B26607">
        <f>HYPERLINK("https://www.dofusbook.net/fr/equipement/3232926-full-intel/objets", "link")</f>
        <v/>
      </c>
      <c r="C26607" t="n">
        <v>17</v>
      </c>
      <c r="D26607" t="inlineStr">
        <is>
          <t>Arc Hétype; Amulette de Nileza; Anneauræus; Anneauræus; Cadran d'Air; Ceinture de Vortex; Heaume Oplate; Cape de Nileza; Chaussures Ardentes; Dofus Pourpre; Dofus Nébuleux; Dofus Ivoire; Érudit majeur; Remueur; Nomade; Bisouglours</t>
        </is>
      </c>
    </row>
    <row r="26608">
      <c r="A26608" t="inlineStr">
        <is>
          <t>Full intel</t>
        </is>
      </c>
      <c r="B26608">
        <f>HYPERLINK("https://www.dofusbook.net/fr/equipement/1926542-full-intel/objets", "link")</f>
        <v/>
      </c>
      <c r="C26608" t="n">
        <v>3</v>
      </c>
      <c r="D26608" t="inlineStr">
        <is>
          <t>Baguette de Malléfisk; Amulette de Nileza; Anneau de Nidas; Anneau Tique; Carapar; Ceinture de Vortex; Couronne de Nidas; Voile d'encre; Pataugastrique; Dokoko; Guérisseur majeur; Remueur; Carapace Terre majeur; Nomade; Érudit majeur; Bisouglours</t>
        </is>
      </c>
    </row>
    <row r="26609">
      <c r="A26609" t="inlineStr">
        <is>
          <t>Force</t>
        </is>
      </c>
      <c r="B26609">
        <f>HYPERLINK("https://www.dofusbook.net/fr/equipement/1764645-force/objets", "link")</f>
        <v/>
      </c>
      <c r="C26609" t="n">
        <v>5</v>
      </c>
      <c r="D26609" t="inlineStr">
        <is>
          <t>Dagues d'Ilyzaelle; Amulette du Strigide; Bague Gloursonne; Anneau Chevelu; Cadran d'Eau; Ceinture du Strigide; Masque de Koutoulou; Cape au Logis; Baleinabottes; Dofus Turquoise; Dofus Ivoire; Dofus Abyssal; Dofus Pourpre; Enragé majeur; Vigoureux majeur; Pioute vert</t>
        </is>
      </c>
    </row>
    <row r="26610">
      <c r="A26610" t="inlineStr">
        <is>
          <t>terre</t>
        </is>
      </c>
      <c r="B26610">
        <f>HYPERLINK("https://www.dofusbook.net/fr/equipement/3352704-terre/objets", "link")</f>
        <v/>
      </c>
      <c r="C26610" t="n">
        <v>16</v>
      </c>
      <c r="D26610" t="inlineStr">
        <is>
          <t>Dagues d'Ilyzaelle; Amulette du Strigide; Bague Gloursonne; Anneau Chevelu; Quatre-feuilles; Ceinture du Strigide; Masque de Koutoulou; Cape au Logis; Baleinabottes; Dofus Turquoise; Dofus Ivoire; Dofus Abyssal; Dofus Pourpre; Enragé majeur; Vigoureux majeur; Pioute vert</t>
        </is>
      </c>
    </row>
    <row r="26611">
      <c r="A26611" t="inlineStr">
        <is>
          <t>air</t>
        </is>
      </c>
      <c r="B26611">
        <f>HYPERLINK("https://www.dofusbook.net/fr/equipement/259409-air/objets", "link")</f>
        <v/>
      </c>
      <c r="C26611" t="n">
        <v>12</v>
      </c>
      <c r="D26611" t="inlineStr">
        <is>
          <t>Manthache; Collier du Valet Veinard; Gant du Valet Veinard; Alliance Gloursonne; Cadran d'Air; Menoture; Dorabysses; Cape Martegel; Palmes Trithons; Dofus Pourpre; Dofus Ivoire; Dofus Ocre; Dofus Abyssal; Nomade; Cascadeur majeur; Blérodoudou</t>
        </is>
      </c>
    </row>
    <row r="26612">
      <c r="A26612" t="inlineStr">
        <is>
          <t>air/terre 12/6</t>
        </is>
      </c>
      <c r="B26612">
        <f>HYPERLINK("https://www.dofusbook.net/fr/equipement/259408-air-terre-12-6/objets", "link")</f>
        <v/>
      </c>
      <c r="C26612" t="n">
        <v>2</v>
      </c>
      <c r="D26612" t="inlineStr">
        <is>
          <t>Pelle de la Cour Sombre; Collier du Valet Veinard; Gant du Valet Veinard; Anneau de XLII; Bouclier du Captain Amakna; Ceinture de XLII; Dorabysses; Cape du Valet Veinard; Bottes de XLII; Dofus Ocre; Dofus des Glaces; Dofus Pourpre; Dolmanax; Voyageur; Acrobate majeur; Blérodoudou</t>
        </is>
      </c>
    </row>
    <row r="26613">
      <c r="A26613" t="inlineStr">
        <is>
          <t>full agi</t>
        </is>
      </c>
      <c r="B26613">
        <f>HYPERLINK("https://www.dofusbook.net/fr/equipement/590358-full-agi/objets", "link")</f>
        <v/>
      </c>
      <c r="C26613" t="n">
        <v>7</v>
      </c>
      <c r="D26613" t="inlineStr">
        <is>
          <t>Pelle de la Cour Sombre; Collier du Valet Veinard; Gant du Valet Veinard; Anneau de XLII; Cadran d'Air; Ceinture de XLII; Couronne d'Allister; Cape du Valet Veinard; Bottes de XLII; Dofus Pourpre; Dofus Abyssal; Dofus Ocre; Dofus Ivoire; Dofus des Glaces; Voyageur; Blérodoudou</t>
        </is>
      </c>
    </row>
    <row r="26614">
      <c r="A26614" t="inlineStr">
        <is>
          <t>Glas</t>
        </is>
      </c>
      <c r="B26614">
        <f>HYPERLINK("https://www.dofusbook.net/fr/equipement/3342373-glas/objets", "link")</f>
        <v/>
      </c>
      <c r="C26614" t="n">
        <v>8</v>
      </c>
      <c r="D26614" t="inlineStr">
        <is>
          <t>Bâtonnet Ronien; Amulette Voldelor; Alliance Gloursonne; Anneau Volkorne; Cadran de Terre; Sangle Ouare; Casque Volkorne; Cape Matelassée; Sandales de Tal Kasha; Dofus Turquoise; Dofus des Glaces; Dofus Ocre; Dofus Ivoire; Dofus Abyssal; Étourdisseur majeur; Kokulte</t>
        </is>
      </c>
    </row>
    <row r="26615">
      <c r="A26615" t="inlineStr">
        <is>
          <t>Chance/force</t>
        </is>
      </c>
      <c r="B26615">
        <f>HYPERLINK("https://www.dofusbook.net/fr/equipement/2100314-chance-force/objets", "link")</f>
        <v/>
      </c>
      <c r="C26615" t="n">
        <v>7</v>
      </c>
      <c r="D26615" t="inlineStr">
        <is>
          <t>Rapière aux Glyphes; Amulette du Strigide; Pikano; Anneau en Grithril; Cadran d'Eau; Ceinture du Strigide; Masque de Funespadon; Cape au Logis; Bottes Honyme; Dofus Pourpre; Dofus Abyssal; Dofus Turquoise; Dofus Ivoire; Dofus Ocre; Vigoureux majeur; Chacha Angora</t>
        </is>
      </c>
    </row>
    <row r="26616">
      <c r="A26616" t="inlineStr">
        <is>
          <t>Multi</t>
        </is>
      </c>
      <c r="B26616">
        <f>HYPERLINK("https://www.dofusbook.net/fr/equipement/2551163-multi/objets", "link")</f>
        <v/>
      </c>
      <c r="C26616" t="n">
        <v>2</v>
      </c>
      <c r="D26616" t="inlineStr">
        <is>
          <t>Sabres d'Atcham; Amulette Volkorne; Anneau Volkorne; Alliance Gloursonne; Cadran d'Eau; Ceinture Séculaire; Casque Volkorne; Cape d'Atcham; Sandales  d'Atcham; Dofus Turquoise; Dofus Ivoire; Dofus Abyssal; Dofus Ocre; Dofus Pourpre; Dofus des Glaces; Sakochère</t>
        </is>
      </c>
    </row>
    <row r="26617">
      <c r="A26617" t="inlineStr">
        <is>
          <t>arc ahique</t>
        </is>
      </c>
      <c r="B26617">
        <f>HYPERLINK("https://www.dofusbook.net/fr/equipement/2357421-arc-ahique/objets", "link")</f>
        <v/>
      </c>
      <c r="C26617" t="n">
        <v>1</v>
      </c>
      <c r="D26617" t="inlineStr"/>
    </row>
    <row r="26618">
      <c r="A26618" t="inlineStr">
        <is>
          <t>Stuff air</t>
        </is>
      </c>
      <c r="B26618">
        <f>HYPERLINK("https://www.dofusbook.net/fr/equipement/1666303-stuff-air/objets", "link")</f>
        <v/>
      </c>
      <c r="C26618" t="n">
        <v>2</v>
      </c>
      <c r="D26618" t="inlineStr">
        <is>
          <t>Manthache; Collier du Valet Veinard; Alliance Gloursonne; Gant du Valet Veinard; Cadran d'Air; Sangle Oriole; Couronne d'Allister; Capibou; Baleinabottes; Dofus Ivoire; Dofus des Glaces; Dofus Ocre; Cascadeur majeur; Nomade; Carapace Air majeur; Blérodoudou</t>
        </is>
      </c>
    </row>
    <row r="26619">
      <c r="A26619" t="inlineStr">
        <is>
          <t>Stuff eau/do pou</t>
        </is>
      </c>
      <c r="B26619">
        <f>HYPERLINK("https://www.dofusbook.net/fr/equipement/2266792-stuff-eau-do-pou/objets", "link")</f>
        <v/>
      </c>
      <c r="C26619" t="n">
        <v>0</v>
      </c>
      <c r="D26619" t="inlineStr">
        <is>
          <t>Baguette Héroclite; Amulette du Sinistrofu; Alliance Gloursonne; Anneau Volkorne; Bivalve; Sangle Ouare; Masque Paztek; Cape Solution; Sandales Paztek; Dofus Ocre; Dofus Pourpre; Dofus Ivoire; Dofus Abyssal; Culbuteur majeur; Bousculeur majeur; Écumouth</t>
        </is>
      </c>
    </row>
    <row r="26620">
      <c r="A26620" t="inlineStr">
        <is>
          <t>Force</t>
        </is>
      </c>
      <c r="B26620">
        <f>HYPERLINK("https://www.dofusbook.net/fr/equipement/259424-force/objets", "link")</f>
        <v/>
      </c>
      <c r="C26620" t="n">
        <v>0</v>
      </c>
      <c r="D26620" t="inlineStr">
        <is>
          <t>Crocobur; Amulette du Strigide; Anneau Chevelu; Bague Gloursonne; Droiture de Fallanster; Ceintacé; Masque de Koutoulou; Cape au Logis; Bottes du Strigide; Dofus Abyssal; Dofus Pourpre; Dofus Ivoire; Dofus Turquoise; Vigoureux majeur; Enragé majeur; Pioute vert</t>
        </is>
      </c>
    </row>
    <row r="26621">
      <c r="A26621" t="inlineStr">
        <is>
          <t>Eau/ ret pa crit</t>
        </is>
      </c>
      <c r="B26621">
        <f>HYPERLINK("https://www.dofusbook.net/fr/equipement/742638-eau--ret-pa-crit/objets", "link")</f>
        <v/>
      </c>
      <c r="C26621" t="n">
        <v>11</v>
      </c>
      <c r="D26621" t="inlineStr">
        <is>
          <t>Dagoulinantes; Amulette du Strigide; Alliance Gloursonne; Anneau Volkorne; Quatre-feuilles; Sangle Ouare; Kidibonnet; Chevelure de Tal Kasha; Sandales de Tal Kasha; Dofus Pourpre; Dofus Ivoire; Dofus Turquoise; Dofus Ocre; Dofus Abyssal; Étourdisseur majeur; Pioute bleu</t>
        </is>
      </c>
    </row>
    <row r="26622">
      <c r="A26622" t="inlineStr">
        <is>
          <t>Eau</t>
        </is>
      </c>
      <c r="B26622">
        <f>HYPERLINK("https://www.dofusbook.net/fr/equipement/259439-eau/objets", "link")</f>
        <v/>
      </c>
      <c r="C26622" t="n">
        <v>3</v>
      </c>
      <c r="D26622" t="inlineStr">
        <is>
          <t>Baguette Hique; Amulette Cryochrone; Bracelet des Fonds marins; Alliance Gloursonne; Quatre-feuilles; Sangle Ouare; Kidibonnet; Cape de la Dame du Hasard; Bottes de la Dame du Hasard; Dofus Turquoise; Dofus Ivoire; Dofus Pourpre; Temporiseur majeur; Remueur; Chanceux majeur; Pioute bleu</t>
        </is>
      </c>
    </row>
    <row r="26623">
      <c r="A26623" t="inlineStr">
        <is>
          <t>intel force ret pm</t>
        </is>
      </c>
      <c r="B26623">
        <f>HYPERLINK("https://www.dofusbook.net/fr/equipement/1453670-intel-force-ret-pm/objets", "link")</f>
        <v/>
      </c>
      <c r="C26623" t="n">
        <v>2</v>
      </c>
      <c r="D26623" t="inlineStr">
        <is>
          <t>Hache du Chalœil; Amulette Ementaire Deluxe; Alliance Gloursonne; Alliance du Lévitrof; Bouclier cubiste; Ceinture de l'Esprit Salvateur; Coiffe du Lévitrof; Voilamibe; Bottes Honyme; Dofus Pourpre; Dofus des Glaces; Dolmanax; Carapace Terre majeur; Vigoureux majeur; Remueur; Léopardo</t>
        </is>
      </c>
    </row>
    <row r="26624">
      <c r="A26624" t="inlineStr">
        <is>
          <t>Multi</t>
        </is>
      </c>
      <c r="B26624">
        <f>HYPERLINK("https://www.dofusbook.net/fr/equipement/2874982-multi/objets", "link")</f>
        <v/>
      </c>
      <c r="C26624" t="n">
        <v>50</v>
      </c>
      <c r="D26624" t="inlineStr">
        <is>
          <t>Epée Gloursonne; Talisman Glouti; Bague Gloursonne; Alliance Gloursonne; Bouclier d'Ilyzaelle; Ceinture de l'Esprit Salvateur; Masque de l'Esprit Salvateur; Voile d'encre; Bottes de l'Esprit Salvateur; Dofus Abyssal; Dofus des Glaces; Dofus Ivoire; Dofus Pourpre; Robuste majeur; Voyageur; Fëanor</t>
        </is>
      </c>
    </row>
    <row r="26625">
      <c r="A26625" t="inlineStr">
        <is>
          <t>Chance</t>
        </is>
      </c>
      <c r="B26625">
        <f>HYPERLINK("https://www.dofusbook.net/fr/equipement/584962-chance/objets", "link")</f>
        <v/>
      </c>
      <c r="C26625" t="n">
        <v>0</v>
      </c>
      <c r="D26625" t="inlineStr">
        <is>
          <t>Rapière aux Glyphes; Amulette Cryochrone; Alliance Gloursonne; Anneau Volkorne; Cadran d'Eau; Sangle Ouare; Kidibonnet; Cape de la Dame du Hasard; Bottes de la Dame du Hasard; Dofus Pourpre; Dofus Abyssal; Dofus Turquoise; Dofus Ivoire; Dofus Ocre; Chanceux majeur; Pioute bleu</t>
        </is>
      </c>
    </row>
    <row r="26626">
      <c r="A26626" t="inlineStr">
        <is>
          <t>Morph</t>
        </is>
      </c>
      <c r="B26626">
        <f>HYPERLINK("https://www.dofusbook.net/fr/equipement/1303966-morph/objets", "link")</f>
        <v/>
      </c>
      <c r="C26626" t="n">
        <v>6</v>
      </c>
      <c r="D26626" t="inlineStr">
        <is>
          <t>Arc Nécrotique; Amulette Volkorne; Alliance du Lévitrof; Anneau Volkorne; Cadran d'Air; Ceinture Volkorne; Coiffe du Lévitrof; Cape du Chalœil; Bottes du Lévitrof; Dofus Turquoise; Dofus Abyssal; Dofus Ocre; Dofus Ivoire; Dofus Pourpre; Dofus des Glaces; Sakochère</t>
        </is>
      </c>
    </row>
    <row r="26627">
      <c r="A26627" t="inlineStr">
        <is>
          <t>multi</t>
        </is>
      </c>
      <c r="B26627">
        <f>HYPERLINK("https://www.dofusbook.net/fr/equipement/3325618-multi/objets", "link")</f>
        <v/>
      </c>
      <c r="C26627" t="n">
        <v>103</v>
      </c>
      <c r="D26627" t="inlineStr">
        <is>
          <t>Baguette Hique; Amulette du Strigide; Anneau Volkorne; Bracelet des Fonds marins; Quatre-feuilles; Sangle Ouare; Kidibonnet; Cape de la Dame du Hasard; Bottes de la Dame du Hasard; Dofus Ocre; Dofus Turquoise; Dofus Abyssal; Dofus Pourpre; Dofus Ivoire; Chanceux majeur; Pioute bleu</t>
        </is>
      </c>
    </row>
    <row r="26628">
      <c r="A26628" t="inlineStr">
        <is>
          <t>Huppermage M 200</t>
        </is>
      </c>
      <c r="B26628">
        <f>HYPERLINK("https://www.dofusbook.net/fr/equipement/3396009-huppermage-m-200/objets", "link")</f>
        <v/>
      </c>
      <c r="C26628" t="n">
        <v>14</v>
      </c>
      <c r="D26628" t="inlineStr">
        <is>
          <t>Arc du Chalœil; Torquistik; Baguistik; Bague Trithon; Bouclier précieux; Ceinture Gence; Casque Dragoeuf; Cape Solution; Bottes Owesli; Dofus Ivoire; Dofus Abyssal; Bousculeur majeur; Culbuteur; Culbuteur majeur; Pousseur majeur; Balafreux</t>
        </is>
      </c>
    </row>
    <row r="26629">
      <c r="A26629" t="inlineStr">
        <is>
          <t>eau/feu</t>
        </is>
      </c>
      <c r="B26629">
        <f>HYPERLINK("https://www.dofusbook.net/fr/equipement/2152165-eau-feu/objets", "link")</f>
        <v/>
      </c>
      <c r="C26629" t="n">
        <v>2</v>
      </c>
      <c r="D26629" t="inlineStr">
        <is>
          <t>Couteaux Sacrificiels; Amulette Volkorne; Anneau Tique; Anneau Volkorne; Cadran d'Eau; Ceinture de l'Esprit Salvateur; Masque de l'Esprit Salvateur; Cape Paztek; Bottes de l'Esprit Salvateur; Dofus des Glaces; Dofus Abyssal; Dofus Ocre; Dofus Ivoire; Dofus Ébène; Dofus Pourpre; Volkorne Orchidée et Indigo</t>
        </is>
      </c>
    </row>
    <row r="26630">
      <c r="A26630" t="inlineStr">
        <is>
          <t>stuff 12/6 air</t>
        </is>
      </c>
      <c r="B26630">
        <f>HYPERLINK("https://www.dofusbook.net/fr/equipement/2224200-stuff-12-6-air/objets", "link")</f>
        <v/>
      </c>
      <c r="C26630" t="n">
        <v>0</v>
      </c>
      <c r="D26630" t="inlineStr">
        <is>
          <t>Manthache; Collier du Valet Veinard; Gant du Valet Veinard; Alliance Gloursonne; Cadran d'Air; Menoture; Dorabysses; Cape Martegel; Palmes Trithons; Dofus Pourpre; Dofus Abyssal; Dofus Ocre; Dofus Ivoire; Nomade; Cascadeur majeur; Blérodoudou</t>
        </is>
      </c>
    </row>
    <row r="26631">
      <c r="A26631" t="inlineStr">
        <is>
          <t>do pou eau</t>
        </is>
      </c>
      <c r="B26631">
        <f>HYPERLINK("https://www.dofusbook.net/fr/equipement/2539521-do-pou-eau/objets", "link")</f>
        <v/>
      </c>
      <c r="C26631" t="n">
        <v>5</v>
      </c>
      <c r="D26631" t="inlineStr">
        <is>
          <t>Rapière aux Glyphes; Amulette du Sinistrofu; Alliance Gloursonne; Anneau en Grithril; Bouclier Taverne; Sangle Ouare; Masque Paztek; Cape Solution; Sandales Paztek; Dofus Abyssal; Dofus Ocre; Dofus Ivoire; Pousseur majeur; Culbuteur majeur; Bousculeur majeur; Écumouth</t>
        </is>
      </c>
    </row>
    <row r="26632">
      <c r="A26632" t="inlineStr">
        <is>
          <t>Chance</t>
        </is>
      </c>
      <c r="B26632">
        <f>HYPERLINK("https://www.dofusbook.net/fr/equipement/2594070-chance/objets", "link")</f>
        <v/>
      </c>
      <c r="C26632" t="n">
        <v>6</v>
      </c>
      <c r="D26632" t="inlineStr">
        <is>
          <t>Baguette Hique; Amulette Voldelor; Alliance Gloursonne; Bracelet des Fonds marins; Quatre-feuilles; Sangle Ouare; Masque des Fonds marins; Cape de la Dame du Hasard; Pataugastrique; Dofus Pourpre; Dofus Turquoise; Dofus des Glaces; Chanceux majeur; Vigoureux majeur; Remueur; Kokulte</t>
        </is>
      </c>
    </row>
    <row r="26633">
      <c r="A26633" t="inlineStr">
        <is>
          <t>air/terre</t>
        </is>
      </c>
      <c r="B26633">
        <f>HYPERLINK("https://www.dofusbook.net/fr/equipement/1453578-air-terre/objets", "link")</f>
        <v/>
      </c>
      <c r="C26633" t="n">
        <v>4</v>
      </c>
      <c r="D26633" t="inlineStr">
        <is>
          <t>Arc Ahique; Amulette Ementaire Deluxe; Alliance Gloursonne; Alliance Brûlâme; Bouclier cubiste; Ceinture de la Reine des Voleurs; Coiffe de la Reine des Voleurs; Voile d'encre; Baleinabottes; Dofus Pourpre; Temporiseur majeur; Remueur; Entraveur majeur; Nomade; Cascadeur majeur; Léopardo</t>
        </is>
      </c>
    </row>
    <row r="26634">
      <c r="A26634" t="inlineStr">
        <is>
          <t>Stuff agi</t>
        </is>
      </c>
      <c r="B26634">
        <f>HYPERLINK("https://www.dofusbook.net/fr/equipement/2875326-stuff-agi/objets", "link")</f>
        <v/>
      </c>
      <c r="C26634" t="n">
        <v>6</v>
      </c>
      <c r="D26634" t="inlineStr">
        <is>
          <t>Pelle de la Cour Sombre; Amibou; Alliance Brûlâme; Alliance Gloursonne; Bouclier cubiste; Ceinture de Kongoku; Couronne d'Allister; Capibou; Pantoufles Émar; Dofus Pourpre; Cascadeur majeur; Remueur; Temporiseur majeur; Nomade; Entraveur majeur; Léopardo</t>
        </is>
      </c>
    </row>
    <row r="26635">
      <c r="A26635" t="inlineStr">
        <is>
          <t>Dou pou force</t>
        </is>
      </c>
      <c r="B26635">
        <f>HYPERLINK("https://www.dofusbook.net/fr/equipement/2594514-dou-pou-force/objets", "link")</f>
        <v/>
      </c>
      <c r="C26635" t="n">
        <v>0</v>
      </c>
      <c r="D26635" t="inlineStr">
        <is>
          <t>Lav'Hache; Torquistik; Bague Trithon; Bague Instable; Bouclier Taverne; Ceinture Gence; Casque Dragoeuf; Cape au Logis; Bottistik; Dofus Ocre; Dofus Ivoire; Dofus Pourpre; Dofus Abyssal; Bousculeur majeur; Culbuteur majeur; Black Tiwabbit</t>
        </is>
      </c>
    </row>
    <row r="26636">
      <c r="A26636" t="inlineStr">
        <is>
          <t>Sadida M 200</t>
        </is>
      </c>
      <c r="B26636">
        <f>HYPERLINK("https://www.dofusbook.net/fr/equipement/4210707-sadida-m-200/objets", "link")</f>
        <v/>
      </c>
      <c r="C26636" t="n">
        <v>0</v>
      </c>
      <c r="D26636" t="inlineStr">
        <is>
          <t>Baguette Hique; Amulette du Strigide; Alliance Gloursonne; Anneau de Padgref; Bouclier cubiste; Sangle Ouare; Kidibonnet; Cape de la Dame du Hasard; Bottes de la Dame du Hasard; Dofus Pourpre; Dofus Turquoise; Remueur; Vigoureux majeur; Entraveur majeur; Temporiseur majeur; Léopardo</t>
        </is>
      </c>
    </row>
    <row r="26637">
      <c r="A26637" t="inlineStr">
        <is>
          <t>air/eau</t>
        </is>
      </c>
      <c r="B26637">
        <f>HYPERLINK("https://www.dofusbook.net/fr/equipement/2890497-air-eau/objets", "link")</f>
        <v/>
      </c>
      <c r="C26637" t="n">
        <v>10</v>
      </c>
      <c r="D26637" t="inlineStr">
        <is>
          <t>Bâtonnet Ronien; Amulette du Strigide; Alliance Gloursonne; Anneau de Padgref; Quatre-feuilles; Ceinture du Strigide; Dorabysses; Cape Solution; Pantoufles Émar; Dofus Turquoise; Dofus Pourpre; Temporiseur majeur; Vigoureux majeur; Léopardo</t>
        </is>
      </c>
    </row>
    <row r="26638">
      <c r="A26638" t="inlineStr">
        <is>
          <t>Multi do crit</t>
        </is>
      </c>
      <c r="B26638">
        <f>HYPERLINK("https://www.dofusbook.net/fr/equipement/2875328-multi-do-crit/objets", "link")</f>
        <v/>
      </c>
      <c r="C26638" t="n">
        <v>3</v>
      </c>
      <c r="D26638" t="inlineStr">
        <is>
          <t>Arc de Koutoulou; Amulette du Strigide; Alliance Gloursonne; Anneau de Padgref; Bouclier cubiste; Sangle Ouare; Kidibonnet; Cape d'Atcham; Sandales  d'Atcham; Dofus Turquoise; Dofus Pourpre; Remueur; Vigoureux majeur; Entraveur majeur; Temporiseur majeur; Léopardo</t>
        </is>
      </c>
    </row>
    <row r="26639">
      <c r="A26639" t="inlineStr">
        <is>
          <t>Morph low cost</t>
        </is>
      </c>
      <c r="B26639">
        <f>HYPERLINK("https://www.dofusbook.net/fr/equipement/4192950-morph-low-cost/objets", "link")</f>
        <v/>
      </c>
      <c r="C26639" t="n">
        <v>2</v>
      </c>
      <c r="D26639" t="inlineStr">
        <is>
          <t>Hache du Chalœil; Amulette Volkorne; Bague Gloursonne; Anneau Volkorne; Cadran de Terre; Ceintacé; Chapeau de Gein; Cape au Logis; Bottes Honyme; Dofus Abyssal; Dofus Pourpre; Dofus Ivoire; Dofus des Glaces; Dofus Turquoise; Vigoureux majeur; Chacha Angora</t>
        </is>
      </c>
    </row>
    <row r="26640">
      <c r="A26640" t="inlineStr">
        <is>
          <t>Low cost</t>
        </is>
      </c>
      <c r="B26640">
        <f>HYPERLINK("https://www.dofusbook.net/fr/equipement/4200846-low-cost/objets", "link")</f>
        <v/>
      </c>
      <c r="C26640" t="n">
        <v>1</v>
      </c>
      <c r="D26640" t="inlineStr">
        <is>
          <t>Hache du Chalœil; Amulette du Strigide; Alliance Gloursonne; Goulano; Quatre-feuilles; Ceintacé; Masque de Koutoulou; Cape au Logis; Bottes du Strigide; Dofus Turquoise; Dofus Pourpre; Dofus des Glaces; Vigoureux majeur; Érudit majeur; Chanceux majeur; Chacha Angora</t>
        </is>
      </c>
    </row>
    <row r="26641">
      <c r="A26641" t="inlineStr">
        <is>
          <t>low cost</t>
        </is>
      </c>
      <c r="B26641">
        <f>HYPERLINK("https://www.dofusbook.net/fr/equipement/1093727-low-cost/objets", "link")</f>
        <v/>
      </c>
      <c r="C26641" t="n">
        <v>20</v>
      </c>
      <c r="D26641" t="inlineStr">
        <is>
          <t>Bâton Beau; Amulette du Strigide; Bracelet du Piloztère; Alliance Gloursonne; Bouclier du Stalak; Ceintacé; Coiffe Ranshi; Cape de la Fuji Givrefoux; Bottes du Strigide; Dofus Pourpre; Vigoureux majeur; Robuste majeur; Remueur; Enragé majeur; Nomade; Chacha Angora</t>
        </is>
      </c>
    </row>
    <row r="26642">
      <c r="A26642" t="inlineStr">
        <is>
          <t>Tromperie</t>
        </is>
      </c>
      <c r="B26642">
        <f>HYPERLINK("https://www.dofusbook.net/fr/equipement/1284490-tromperie/objets", "link")</f>
        <v/>
      </c>
      <c r="C26642" t="n">
        <v>1</v>
      </c>
      <c r="D26642" t="inlineStr">
        <is>
          <t>Arc de Koutoulou; Amulette du Strigide; Alliance Gloursonne; Anneau de Padgref; Cadran d'Air; Ceintacé; Dorabysses; Cape d'Atcham; Sandales  d'Atcham; Dofus Ocre; Dofus Nébuleux; Dofus Pourpre; Dofus Ivoire; Nomade; Vigoureux majeur; Chacha Angora</t>
        </is>
      </c>
    </row>
    <row r="26643">
      <c r="A26643" t="inlineStr">
        <is>
          <t>Full force</t>
        </is>
      </c>
      <c r="B26643">
        <f>HYPERLINK("https://www.dofusbook.net/fr/equipement/3287617-full-force/objets", "link")</f>
        <v/>
      </c>
      <c r="C26643" t="n">
        <v>9</v>
      </c>
      <c r="D26643" t="inlineStr">
        <is>
          <t>Arc du Chalœil; Amulette du Strigide; Anneau Chevelu; Bague Gloursonne; Quatre-feuilles; Ceinture du Strigide; Masque de Koutoulou; Cape au Logis; Baleinabottes; Dofus Pourpre; Dofus Turquoise; Nomade; Enragé majeur; Remueur; Vigoureux majeur; Pioute vert</t>
        </is>
      </c>
    </row>
    <row r="26644">
      <c r="A26644" t="inlineStr">
        <is>
          <t>Essai</t>
        </is>
      </c>
      <c r="B26644">
        <f>HYPERLINK("https://www.dofusbook.net/fr/equipement/4193744-essai/objets", "link")</f>
        <v/>
      </c>
      <c r="C26644" t="n">
        <v>1</v>
      </c>
      <c r="D26644" t="inlineStr">
        <is>
          <t>Hache du Chalœil; Amulette Volkorne; Anneau Volkorne; Bague Trithon; Cadran de Terre; Ceinture Volkorne; Masque Trithon; Voile d'encre; Bottes Trithon; Dofus Ivoire; Dofus Pourpre; Dofus des Glaces; Dofus Turquoise; Dofus Abyssal; Dofus Ocre; Sakochère</t>
        </is>
      </c>
    </row>
    <row r="26645">
      <c r="A26645" t="inlineStr">
        <is>
          <t>eau/feu do crit</t>
        </is>
      </c>
      <c r="B26645">
        <f>HYPERLINK("https://www.dofusbook.net/fr/equipement/1239980-eau-feu-do-crit/objets", "link")</f>
        <v/>
      </c>
      <c r="C26645" t="n">
        <v>1</v>
      </c>
      <c r="D26645" t="inlineStr">
        <is>
          <t>Baguette Hique; Amulette Cryochrone; Anneau Volkorne; Alliance Gloursonne; Bouclier cubiste; Sangle Ouare; Kidibonnet; Cape de la Dame du Hasard; Bottes de la Dame du Hasard; Dofus Pourpre; Dofus des Glaces; Dofus Turquoise; Temporiseur majeur; Vigoureux majeur; Remueur; Pioute bleu</t>
        </is>
      </c>
    </row>
    <row r="26646">
      <c r="A26646" t="inlineStr">
        <is>
          <t>Multi</t>
        </is>
      </c>
      <c r="B26646">
        <f>HYPERLINK("https://www.dofusbook.net/fr/equipement/3359259-multi/objets", "link")</f>
        <v/>
      </c>
      <c r="C26646" t="n">
        <v>7</v>
      </c>
      <c r="D26646" t="inlineStr">
        <is>
          <t>Arc Honte; Amulette de l'Œil Putride; Alliance Gloursonne; Bague Gloursonne; Bouclier cubiste; Ceinture de l'Esprit Salvateur; Masque de l'Esprit Salvateur; Cape de l'Œil Putride; Bottes de l'Esprit Salvateur; Dofus des Glaces; Dofus Ocre; Dofus Pourpre; Dolmanax; Voyageur; Entraveur majeur; Léopardo</t>
        </is>
      </c>
    </row>
    <row r="26647">
      <c r="A26647" t="inlineStr">
        <is>
          <t>Do crit</t>
        </is>
      </c>
      <c r="B26647">
        <f>HYPERLINK("https://www.dofusbook.net/fr/equipement/591324-do-crit/objets", "link")</f>
        <v/>
      </c>
      <c r="C26647" t="n">
        <v>11</v>
      </c>
      <c r="D26647" t="inlineStr">
        <is>
          <t>Arc de Koutoulou; Amulette du Strigide; Anneau de Padgref; Alliance Gloursonne; Quatre-feuilles; Ceintacé; Dorabysses; Cape d'Atcham; Sandales  d'Atcham; Dofus Turquoise; Dofus Pourpre; Remueur; Nomade; Miraculé majeur; Vigoureux majeur; Chacha Angora</t>
        </is>
      </c>
    </row>
    <row r="26648">
      <c r="A26648" t="inlineStr">
        <is>
          <t>low cost</t>
        </is>
      </c>
      <c r="B26648">
        <f>HYPERLINK("https://www.dofusbook.net/fr/equipement/2204243-low-cost/objets", "link")</f>
        <v/>
      </c>
      <c r="C26648" t="n">
        <v>6</v>
      </c>
      <c r="D26648" t="inlineStr">
        <is>
          <t>Baguette Hique; Talisman Igans; Bracelet des Fonds marins; Alliance Gloursonne; Bouclier cubiste; Sangle Ouare; Kidibonnet; Cape de la Dame du Hasard; Bottes de la Dame du Hasard; Dofus Turquoise; Nomade; Entraveur majeur; Chanceux majeur; Remueur; Temporiseur majeur; Léopardo</t>
        </is>
      </c>
    </row>
    <row r="26649">
      <c r="A26649" t="inlineStr">
        <is>
          <t>Stuff 2</t>
        </is>
      </c>
      <c r="B26649">
        <f>HYPERLINK("https://www.dofusbook.net/fr/equipement/259454-stuff-2/objets", "link")</f>
        <v/>
      </c>
      <c r="C26649" t="n">
        <v>5</v>
      </c>
      <c r="D26649" t="inlineStr">
        <is>
          <t>Arc corrompu; Pendentif mignon de Koutoulou; Anneau Rifique; Gant du Valet Veinard; Cadran de Terre; Ceinture de Vortex; Dorabysses; Cape de Diondin; Pantoufles Émar; Dofus Pourpre; Nomade; Vigoureux majeur; Savant majeur; Érudit majeur; Guérisseur majeur; Dragodinde Orchidée et Rousse</t>
        </is>
      </c>
    </row>
    <row r="26650">
      <c r="A26650" t="inlineStr">
        <is>
          <t>Stuff 1</t>
        </is>
      </c>
      <c r="B26650">
        <f>HYPERLINK("https://www.dofusbook.net/fr/equipement/259423-stuff-1/objets", "link")</f>
        <v/>
      </c>
      <c r="C26650" t="n">
        <v>11</v>
      </c>
      <c r="D26650" t="inlineStr">
        <is>
          <t>Hache du Chalœil; Amulette de Pol Ouatnos; Alliance du Lévitrof; Bracelet du Piloztère; Quatre-feuilles; Ceintacé; Coiffe du Lévitrof; Voile d'encre; Getas Bernacle; Remueur; Nomade; Vigoureux majeur; Volkorne Pourpre et Indigo</t>
        </is>
      </c>
    </row>
    <row r="26651">
      <c r="A26651" t="inlineStr">
        <is>
          <t>Full intel</t>
        </is>
      </c>
      <c r="B26651">
        <f>HYPERLINK("https://www.dofusbook.net/fr/equipement/1671056-full-intel/objets", "link")</f>
        <v/>
      </c>
      <c r="C26651" t="n">
        <v>1</v>
      </c>
      <c r="D26651" t="inlineStr">
        <is>
          <t>Baguette Hernelle; Amulette d'Otomaï; Anneau de Nidas; Bague Gloursonne; Carapar; Sangle Aise; Couronne de Nidas; Cape de Nileza; Pantoufles Émar; Nomade; Remueur; Érudit majeur; Observateur; Étourdisseur majeur; Guérisseur majeur; Muldo Orchidée</t>
        </is>
      </c>
    </row>
    <row r="26652">
      <c r="A26652" t="inlineStr">
        <is>
          <t>Chance</t>
        </is>
      </c>
      <c r="B26652">
        <f>HYPERLINK("https://www.dofusbook.net/fr/equipement/1511761-chance/objets", "link")</f>
        <v/>
      </c>
      <c r="C26652" t="n">
        <v>0</v>
      </c>
      <c r="D26652" t="inlineStr">
        <is>
          <t>Baguette Hique; Amulette du Strigide; Bracelet des Fonds marins; Anneau Volkorne; Bouclier cubiste; Sangle Ouare; Kidibonnet; Cape de la Dame du Hasard; Bottes de la Dame du Hasard; Dofus Turquoise; Dofus Ivoire; Dofus Pourpre; Dofus Ocre; Dofus Nébuleux; Chanceux majeur; Léopardo</t>
        </is>
      </c>
    </row>
    <row r="26653">
      <c r="A26653" t="inlineStr">
        <is>
          <t>force/intel</t>
        </is>
      </c>
      <c r="B26653">
        <f>HYPERLINK("https://www.dofusbook.net/fr/equipement/259436-force-intel/objets", "link")</f>
        <v/>
      </c>
      <c r="C26653" t="n">
        <v>4</v>
      </c>
      <c r="D26653" t="inlineStr">
        <is>
          <t>Hache Téroïde; Amulette Volkorne; Bague Gloursonne; Anneau Toriété; Quatre-feuilles; Ceinture Volkorne; Chapeau de Gein; Voile d'encre; Bottes Honyme; Dofus Nébuleux; Dofus Pourpre; Dofus Abyssal; Dofus Turquoise; Vigoureux majeur; Remueur; Chacha Angora</t>
        </is>
      </c>
    </row>
    <row r="26654">
      <c r="A26654" t="inlineStr">
        <is>
          <t>Full intel</t>
        </is>
      </c>
      <c r="B26654">
        <f>HYPERLINK("https://www.dofusbook.net/fr/equipement/2188838-full-intel/objets", "link")</f>
        <v/>
      </c>
      <c r="C26654" t="n">
        <v>0</v>
      </c>
      <c r="D26654" t="inlineStr">
        <is>
          <t>Arc corrompu; Amulette de Nileza; Anneauræus; Anneauræus; Bouclier du Stalak; Ceinture de Kongoku; Heaume Oplate; Cape de Nileza; Chaussures Ardentes; Dofus Pourpre; Dofus Nébuleux; Dofus Ivoire; Remueur; Nomade; Érudit majeur; Bisouglours</t>
        </is>
      </c>
    </row>
    <row r="26655">
      <c r="A26655" t="inlineStr">
        <is>
          <t>terre 12/6</t>
        </is>
      </c>
      <c r="B26655">
        <f>HYPERLINK("https://www.dofusbook.net/fr/equipement/1994997-terre-12-6/objets", "link")</f>
        <v/>
      </c>
      <c r="C26655" t="n">
        <v>2</v>
      </c>
      <c r="D26655" t="inlineStr">
        <is>
          <t>Hache Téroïde; Amulette Volkorne; Chevalière du Roi Joueur; Bague Gloursonne; Bouclier du Captain Amakna; Ceinture Volkorne; Chapeau de Gein; Voile d'encre; Sabots Volcaniques; Dofus Pourpre; Dofus Nébuleux; Dofus Ocre; Remueur; Vigoureux majeur; Nomade; Volkorne Emeraude et Pourpre</t>
        </is>
      </c>
    </row>
    <row r="26656">
      <c r="A26656" t="inlineStr">
        <is>
          <t>Triton</t>
        </is>
      </c>
      <c r="B26656">
        <f>HYPERLINK("https://www.dofusbook.net/fr/equipement/1261396-triton/objets", "link")</f>
        <v/>
      </c>
      <c r="C26656" t="n">
        <v>0</v>
      </c>
      <c r="D26656" t="inlineStr">
        <is>
          <t>Hache du Chalœil; Amulette du Strigide; Bague Trithon; Alliance Gloursonne; Quatre-feuilles; Ceinture du Strigide; Masque Trithon; Cape au Logis; Bottes Trithon; Dofus Nébuleux; Dolmanax; Dofus Ocre; Dofus Pourpre; Dofus des Glaces; Dofus Turquoise; Kokulte</t>
        </is>
      </c>
    </row>
    <row r="26657">
      <c r="A26657" t="inlineStr">
        <is>
          <t>intel crit</t>
        </is>
      </c>
      <c r="B26657">
        <f>HYPERLINK("https://www.dofusbook.net/fr/equipement/1264594-intel-crit/objets", "link")</f>
        <v/>
      </c>
      <c r="C26657" t="n">
        <v>3</v>
      </c>
      <c r="D26657" t="inlineStr">
        <is>
          <t>Arc corrompu; Amulette du Strigide; Anneauræus; Anneau de Padgref; Cadran d'Air; Ceinture du Strigide; Coiffe de Padgref; Cape de la Dame du Hasard; Getas de Padgref; Dofus Nébuleux; Dofus Ocre; Dofus Turquoise; Dofus Ivoire; Dofus Vulbis; Dofus Pourpre; Pioute rouge</t>
        </is>
      </c>
    </row>
    <row r="26658">
      <c r="A26658" t="inlineStr">
        <is>
          <t>Trithon</t>
        </is>
      </c>
      <c r="B26658">
        <f>HYPERLINK("https://www.dofusbook.net/fr/equipement/1639531-trithon/objets", "link")</f>
        <v/>
      </c>
      <c r="C26658" t="n">
        <v>0</v>
      </c>
      <c r="D26658" t="inlineStr">
        <is>
          <t>Hache Téroïde; Amulette du Strigide; Alliance Gloursonne; Anneau de Padgref; Quatre-feuilles; Ceinture Gence; Masque Trithon; Cape au Logis; Bottes Trithon; Dofus Ocre; Dofus Ivoire; Dofus Pourpre; Dofus des Glaces; Dofus Turquoise; Dofus Abyssal; Chacha Angora</t>
        </is>
      </c>
    </row>
    <row r="26659">
      <c r="A26659" t="inlineStr">
        <is>
          <t>air/do pou</t>
        </is>
      </c>
      <c r="B26659">
        <f>HYPERLINK("https://www.dofusbook.net/fr/equipement/2563730-air-do-pou/objets", "link")</f>
        <v/>
      </c>
      <c r="C26659" t="n">
        <v>2</v>
      </c>
      <c r="D26659" t="inlineStr">
        <is>
          <t>Hachoirs de Viandargh; Amibou; Anneau de Pol Ouatnos; Alliance Gloursonne; Bouclier Taverne; Menoture; Dorabysses; Capibou; Baleinabottes; Dofus Pourpre; Dofus Ivoire; Dofus Abyssal; Bousculeur majeur; Culbuteur majeur; Cascadeur majeur; Tofoudre</t>
        </is>
      </c>
    </row>
    <row r="26660">
      <c r="A26660" t="inlineStr">
        <is>
          <t>air/do pou</t>
        </is>
      </c>
      <c r="B26660">
        <f>HYPERLINK("https://www.dofusbook.net/fr/equipement/1339112-air-do-pou/objets", "link")</f>
        <v/>
      </c>
      <c r="C26660" t="n">
        <v>1</v>
      </c>
      <c r="D26660" t="inlineStr">
        <is>
          <t>Hachoirs de Viandargh; Amibou; Anneau de Pol Ouatnos; Alliance Gloursonne; Bivalve; Menoture; Dorabysses; Capibou; Baleinabottes; Dofus Pourpre; Dofus Ivoire; Bousculeur majeur; Culbuteur majeur; Pousseur majeur; Cascadeur majeur; Tofoudre</t>
        </is>
      </c>
    </row>
    <row r="26661">
      <c r="A26661" t="inlineStr">
        <is>
          <t>Air/ do pou</t>
        </is>
      </c>
      <c r="B26661">
        <f>HYPERLINK("https://www.dofusbook.net/fr/equipement/874077-air--do-pou/objets", "link")</f>
        <v/>
      </c>
      <c r="C26661" t="n">
        <v>2</v>
      </c>
      <c r="D26661" t="inlineStr">
        <is>
          <t>Hachoirs de Viandargh; Amibou; Alliance Gloursonne; Anneau de Pol Ouatnos; Bouclier Taverne; Menoture; Dorabysses; Capibou; Baleinabottes; Dofus Ivoire; Dofus Pourpre; Culbuteur majeur; Culbuteur; Cascadeur majeur; Bousculeur majeur; Tofoudre</t>
        </is>
      </c>
    </row>
    <row r="26662">
      <c r="A26662" t="inlineStr">
        <is>
          <t>air/do pou</t>
        </is>
      </c>
      <c r="B26662">
        <f>HYPERLINK("https://www.dofusbook.net/fr/equipement/1654081-air-do-pou/objets", "link")</f>
        <v/>
      </c>
      <c r="C26662" t="n">
        <v>0</v>
      </c>
      <c r="D26662" t="inlineStr">
        <is>
          <t>Hachoirs de Viandargh; Amibou; Anneau de Pol Ouatnos; Alliance Gloursonne; Bouclier Taverne; Menoture; Dorabysses; Capibou; Baleinabottes; Dofus Pourpre; Dofus Ivoire; Bousculeur majeur; Culbuteur majeur; Culbuteur; Cascadeur majeur; Tofoudre</t>
        </is>
      </c>
    </row>
    <row r="26663">
      <c r="A26663" t="inlineStr">
        <is>
          <t>Full do pou</t>
        </is>
      </c>
      <c r="B26663">
        <f>HYPERLINK("https://www.dofusbook.net/fr/equipement/3058775-full-do-pou/objets", "link")</f>
        <v/>
      </c>
      <c r="C26663" t="n">
        <v>5</v>
      </c>
      <c r="D26663" t="inlineStr">
        <is>
          <t>Lav'Hache; Torquistik; Bague Instable; Bague Trithon; Bouclier précieux; Ceinture Gence; Casque Dragoeuf; Cape Solution; Bottistik; Dofus Abyssal; Dofus Ivoire; Culbuteur; Culbuteur majeur; Pousseur majeur; Bousculeur majeur; Balafreux</t>
        </is>
      </c>
    </row>
    <row r="26664">
      <c r="A26664" t="inlineStr">
        <is>
          <t>full pano agi</t>
        </is>
      </c>
      <c r="B26664">
        <f>HYPERLINK("https://www.dofusbook.net/fr/equipement/1659871-full-pano-agi/objets", "link")</f>
        <v/>
      </c>
      <c r="C26664" t="n">
        <v>1</v>
      </c>
      <c r="D26664" t="inlineStr">
        <is>
          <t>Pelle de Nidas; Amulette du Strigide; Anneau Toriété; Alliance Gloursonne; Bouclier du Captain Amakna; Ceinture du Strigide; Némès de Tal Kasha; Chevelure de Tal Kasha; Sandales de Tal Kasha; Dofus Turquoise; Dofus Abyssal; Dofus Ivoire; Dofus Pourpre; Dofus des Glaces; Dofus Ocre; Chacha Angora</t>
        </is>
      </c>
    </row>
    <row r="26665">
      <c r="A26665" t="inlineStr">
        <is>
          <t>Feu/terre</t>
        </is>
      </c>
      <c r="B26665">
        <f>HYPERLINK("https://www.dofusbook.net/fr/equipement/4120194-feu-terre/objets", "link")</f>
        <v/>
      </c>
      <c r="C26665" t="n">
        <v>2</v>
      </c>
      <c r="D26665" t="inlineStr">
        <is>
          <t>Bâton Beau; Amulette Volkorne; Bague Gloursonne; Chevalière du Roi Joueur; Quatre-feuilles; Ceinture Volkorne; Chapeau de Gein; Cape au Logis; Bottes Honyme; Dofus Pourpre; Dofus Turquoise; Remueur; Enragé majeur; Vigoureux majeur; Érudit majeur; Chacha Angora</t>
        </is>
      </c>
    </row>
    <row r="26666">
      <c r="A26666" t="inlineStr">
        <is>
          <t>feu/terre pas cher</t>
        </is>
      </c>
      <c r="B26666">
        <f>HYPERLINK("https://www.dofusbook.net/fr/equipement/259449-feu-terre-pas-cher/objets", "link")</f>
        <v/>
      </c>
      <c r="C26666" t="n">
        <v>6</v>
      </c>
      <c r="D26666" t="inlineStr">
        <is>
          <t>Bâton Beau; Amulette du Strigide; Chevalière du Roi Joueur; Bague Gloursonne; Quatre-feuilles; Ceintacé; Chapeau de Gein; Voile d'encre; Bottes du Strigide; Dofus des Glaces; Dofus Pourpre; Dofus Turquoise; Remueur; Nomade; Vigoureux majeur; Chacha Angora</t>
        </is>
      </c>
    </row>
    <row r="26667">
      <c r="A26667" t="inlineStr">
        <is>
          <t>Full force</t>
        </is>
      </c>
      <c r="B26667">
        <f>HYPERLINK("https://www.dofusbook.net/fr/equipement/2668682-full-force/objets", "link")</f>
        <v/>
      </c>
      <c r="C26667" t="n">
        <v>3</v>
      </c>
      <c r="D26667" t="inlineStr">
        <is>
          <t>Arc du Chalœil; Amulette du Strigide; Anneau Chevelu; Bague Gloursonne; Quatre-feuilles; Ceinture du Strigide; Masque de Koutoulou; Cape au Logis; Baleinabottes; Dofus Turquoise; Dofus Abyssal; Dofus Pourpre; Dofus Ivoire; Enragé majeur; Vigoureux majeur; Pioute vert</t>
        </is>
      </c>
    </row>
    <row r="26668">
      <c r="A26668" t="inlineStr">
        <is>
          <t>Tank</t>
        </is>
      </c>
      <c r="B26668">
        <f>HYPERLINK("https://www.dofusbook.net/fr/equipement/2889997-tank/objets", "link")</f>
        <v/>
      </c>
      <c r="C26668" t="n">
        <v>3</v>
      </c>
      <c r="D26668" t="inlineStr">
        <is>
          <t>Baguette Hique; Amulette Volkorne; Alliance Gloursonne; Anneau Volkorne; Bouclier cubiste; Ceinture de Kongoku; Casquette de Meno; Cape de la Dame du Hasard; Pataugastrique; Dofus Pourpre; Dofus des Glaces; Dofus Turquoise; Nomade; Temporiseur majeur; Remueur; Kokulte</t>
        </is>
      </c>
    </row>
    <row r="26669">
      <c r="A26669" t="inlineStr">
        <is>
          <t>rall cheay</t>
        </is>
      </c>
      <c r="B26669">
        <f>HYPERLINK("https://www.dofusbook.net/fr/equipement/1820935-rall-cheay/objets", "link")</f>
        <v/>
      </c>
      <c r="C26669" t="n">
        <v>0</v>
      </c>
      <c r="D26669" t="inlineStr">
        <is>
          <t>Baguette Hique; Amulette du Glourséleste; Anneau Tamie; Pikano; Bouclier cubiste; Ceinture Instable; Kidibonnet; Cape de Meno; Bottes de Meno; Temporiseur; Temporiseur majeur; Ralentisseur majeur; Remueur; Entraveur majeur; Léopardo</t>
        </is>
      </c>
    </row>
    <row r="26670">
      <c r="A26670" t="inlineStr">
        <is>
          <t>Do pou</t>
        </is>
      </c>
      <c r="B26670">
        <f>HYPERLINK("https://www.dofusbook.net/fr/equipement/3321919-do-pou/objets", "link")</f>
        <v/>
      </c>
      <c r="C26670" t="n">
        <v>10</v>
      </c>
      <c r="D26670" t="inlineStr">
        <is>
          <t>Lav'Hache; Torquistik; Bague Trithon; Bague Instable; Bouclier Taverne; Ceinture Gence; Casque Dragoeuf; Cape au Logis; Bottistik; Dofus Abyssal; Dofus Ocre; Dofus Ivoire; Dofus Pourpre; Culbuteur majeur; Bousculeur majeur; Black Tiwabbit</t>
        </is>
      </c>
    </row>
    <row r="26671">
      <c r="A26671" t="inlineStr">
        <is>
          <t>Feu/air ret PA</t>
        </is>
      </c>
      <c r="B26671">
        <f>HYPERLINK("https://www.dofusbook.net/fr/equipement/3648242-feu-air-ret-pa/objets", "link")</f>
        <v/>
      </c>
      <c r="C26671" t="n">
        <v>3</v>
      </c>
      <c r="D26671" t="inlineStr">
        <is>
          <t>Arc corrompu; Amulette du Strigide; Alliance Gloursonne; Anneau de Padgref; Cadran d'Air; Menoture; Dorabysses; Cape d'Atcham; Sandales  d'Atcham; Dofus Turquoise; Dofus Ocre; Dofus Pourpre; Dofus Ivoire; Nomade; Étourdisseur majeur; Chacha Angora</t>
        </is>
      </c>
    </row>
    <row r="26672">
      <c r="A26672" t="inlineStr">
        <is>
          <t>Eau ceinture de class</t>
        </is>
      </c>
      <c r="B26672">
        <f>HYPERLINK("https://www.dofusbook.net/fr/equipement/2394878-eau-ceinture-de-class/objets", "link")</f>
        <v/>
      </c>
      <c r="C26672" t="n">
        <v>1</v>
      </c>
      <c r="D26672" t="inlineStr">
        <is>
          <t>Rapière aux Glyphes; Amulette Voldelor; Alliance Gloursonne; Bracelet des Fonds marins; Bouclier du Stalak; Sangle Cible; Masque des Fonds marins; Cape Solution; Bottes du Sinistrofu; Dofus Ocre; Dofus Pourpre; Dofus Ivoire; Nomade; Chanceux majeur; Carapace Eau majeur; Kanigloups</t>
        </is>
      </c>
    </row>
    <row r="26673">
      <c r="A26673" t="inlineStr">
        <is>
          <t>eau/feu</t>
        </is>
      </c>
      <c r="B26673">
        <f>HYPERLINK("https://www.dofusbook.net/fr/equipement/259438-eau-feu/objets", "link")</f>
        <v/>
      </c>
      <c r="C26673" t="n">
        <v>4</v>
      </c>
      <c r="D26673" t="inlineStr">
        <is>
          <t>Pyraguette; Talisman Igans; Alliance Gloursonne; Anneauræus; Bouclier cubiste; Ceintrigue; Casqnoar; Voile d'encre; Pataugastrique; Dofus des Glaces; Dofus Pourpre; Nomade; Temporiseur majeur; Remueur; Vigoureux majeur; Léopardo</t>
        </is>
      </c>
    </row>
    <row r="26674">
      <c r="A26674" t="inlineStr">
        <is>
          <t>Full agi</t>
        </is>
      </c>
      <c r="B26674">
        <f>HYPERLINK("https://www.dofusbook.net/fr/equipement/1914587-full-agi/objets", "link")</f>
        <v/>
      </c>
      <c r="C26674" t="n">
        <v>5</v>
      </c>
      <c r="D26674" t="inlineStr">
        <is>
          <t>Hachoirs de Viandargh; Amulette Voldelor; Anneau de Padgref; Alliance Gloursonne; Bouclier du Captain Amakna; Menoture; Dorabysses; Chevelure de Tal Kasha; Sandales de Tal Kasha; Dofus Turquoise; Dofus Ocre; Dofus Nébuleux; Dofus Pourpre; Dofus Abyssal; Nomade; Pioute jaune</t>
        </is>
      </c>
    </row>
    <row r="26675">
      <c r="A26675" t="inlineStr">
        <is>
          <t>Bi-élément</t>
        </is>
      </c>
      <c r="B26675">
        <f>HYPERLINK("https://www.dofusbook.net/fr/equipement/2231428-bi-element/objets", "link")</f>
        <v/>
      </c>
      <c r="C26675" t="n">
        <v>0</v>
      </c>
      <c r="D26675" t="inlineStr">
        <is>
          <t>Héqache; Amulette du Strigide; Alliance Gloursonne; Anneau de Padgref; Bouclier d'Ilyzaelle; Ceinture du Strigide; Masque de Koutoulou; Cape au Logis; Baleinabottes; Dofus Turquoise; Dofus Pourpre; Carapace Air majeur; Carapace Terre majeur; Enragé majeur; Vigoureux majeur; Chacha Angora</t>
        </is>
      </c>
    </row>
    <row r="26676">
      <c r="A26676" t="inlineStr">
        <is>
          <t>tank</t>
        </is>
      </c>
      <c r="B26676">
        <f>HYPERLINK("https://www.dofusbook.net/fr/equipement/259444-tank/objets", "link")</f>
        <v/>
      </c>
      <c r="C26676" t="n">
        <v>2</v>
      </c>
      <c r="D26676" t="inlineStr">
        <is>
          <t>Héqache; Collier du Valet Veinard; Alliance Gloursonne; Gant du Valet Veinard; Bouclier d'Ilyzaelle; Ceintouse; Dorabysses; Cape du Kamasterisk; Baleinabottes; Dofus Émeraude; Dofus Pourpre; Carapace Terre majeur; Nomade; Vigoureux majeur; Cascadeur majeur; Fëanor</t>
        </is>
      </c>
    </row>
    <row r="26677">
      <c r="A26677" t="inlineStr">
        <is>
          <t>Aztek</t>
        </is>
      </c>
      <c r="B26677">
        <f>HYPERLINK("https://www.dofusbook.net/fr/equipement/1768520-aztek/objets", "link")</f>
        <v/>
      </c>
      <c r="C26677" t="n">
        <v>1</v>
      </c>
      <c r="D26677" t="inlineStr">
        <is>
          <t>Arc de Koutoulou; Amulette du Strigide; Alliance Gloursonne; Anneau de Padgref; Cadran d'Air; Menoture; Dorabysses; Chevelure de Tal Kasha; Sandales de Tal Kasha; Dofus Pourpre; Dofus Turquoise; Remueur; Étourdisseur majeur; Nomade; Vigoureux majeur; Boskito</t>
        </is>
      </c>
    </row>
    <row r="26678">
      <c r="A26678" t="inlineStr">
        <is>
          <t>Force air eau</t>
        </is>
      </c>
      <c r="B26678">
        <f>HYPERLINK("https://www.dofusbook.net/fr/equipement/3359545-force-air-eau/objets", "link")</f>
        <v/>
      </c>
      <c r="C26678" t="n">
        <v>3</v>
      </c>
      <c r="D26678" t="inlineStr">
        <is>
          <t>Bâtonnet Ronien; Amulette Ementaire Deluxe; Pikano; Alliance Gloursonne; Bouclier cubiste; Ceintacé; Coiffe de la Reine des Voleurs; Cape au Logis; Bottes de la Reine des Voleurs; Dofus Pourpre; Dofus des Glaces; Miraculé majeur; Temporiseur majeur; Cascadeur majeur; Vigoureux majeur; Volkorne Doré et Turquoise</t>
        </is>
      </c>
    </row>
    <row r="26679">
      <c r="A26679" t="inlineStr">
        <is>
          <t>eau/air volkorne</t>
        </is>
      </c>
      <c r="B26679">
        <f>HYPERLINK("https://www.dofusbook.net/fr/equipement/489494-eau-air-volkorne/objets", "link")</f>
        <v/>
      </c>
      <c r="C26679" t="n">
        <v>3</v>
      </c>
      <c r="D26679" t="inlineStr">
        <is>
          <t>Arc de Koutoulou; Amulette Voldelor; Alliance Gloursonne; Anneau Volkorne; Cadran de Terre; Menoture; Casque Volkorne; Cape Matelassée; Bottes de la Reine des Voleurs; Dofus Abyssal; Dofus Pourpre; Dofus Ivoire; Dofus des Glaces; Étourdisseur majeur; Nomade; Bwak d'Air</t>
        </is>
      </c>
    </row>
    <row r="26680">
      <c r="A26680" t="inlineStr">
        <is>
          <t>triton 2</t>
        </is>
      </c>
      <c r="B26680">
        <f>HYPERLINK("https://www.dofusbook.net/fr/equipement/1605372-triton-2/objets", "link")</f>
        <v/>
      </c>
      <c r="C26680" t="n">
        <v>2</v>
      </c>
      <c r="D26680" t="inlineStr">
        <is>
          <t>Hache du Chalœil; Amulette du Strigide; Alliance Gloursonne; Anneau de Padgref; Quatre-feuilles; Sangle Ouare; Kidibonnet; Voile d'encre; Bottes du Strigide; Dofus Ocre; Dofus des Glaces; Dofus Turquoise; Dofus Ivoire; Dofus Pourpre; Vigoureux majeur; Kokulte</t>
        </is>
      </c>
    </row>
    <row r="26681">
      <c r="A26681" t="inlineStr">
        <is>
          <t>Stuff full eau</t>
        </is>
      </c>
      <c r="B26681">
        <f>HYPERLINK("https://www.dofusbook.net/fr/equipement/1405979-stuff-full-eau/objets", "link")</f>
        <v/>
      </c>
      <c r="C26681" t="n">
        <v>5</v>
      </c>
      <c r="D26681" t="inlineStr">
        <is>
          <t>Baguette Hique; Amulette Volkorne; Lavanneau; Anneau Volkorne; Bouclier cubiste; Sangle Ouare; Casquette de Meno; Cape de Meno; Bottes de Meno; Dofus Turquoise; Dofus Abyssal; Dofus Ocre; Dofus Ivoire; Dofus Pourpre; Dofus des Glaces; Kokulte</t>
        </is>
      </c>
    </row>
    <row r="26682">
      <c r="A26682" t="inlineStr">
        <is>
          <t>Stuff 2</t>
        </is>
      </c>
      <c r="B26682">
        <f>HYPERLINK("https://www.dofusbook.net/fr/equipement/1088640-stuff-2/objets", "link")</f>
        <v/>
      </c>
      <c r="C26682" t="n">
        <v>0</v>
      </c>
      <c r="D26682" t="inlineStr">
        <is>
          <t>Dagues d'Ilyzaelle; Amulette du Strigide; Anneau Chevelu; Bague Gloursonne; Bouclier du Captain Amakna; Ceinture du Strigide; Masque de Koutoulou; Cape au Logis; Baleinabottes; Dofus Ivoire; Dofus Pourpre; Dofus Turquoise; Dofus Abyssal; Dofus des Glaces; Enragé majeur; Pioute vert</t>
        </is>
      </c>
    </row>
    <row r="26683">
      <c r="A26683" t="inlineStr">
        <is>
          <t>Full force</t>
        </is>
      </c>
      <c r="B26683">
        <f>HYPERLINK("https://www.dofusbook.net/fr/equipement/3410606-full-force/objets", "link")</f>
        <v/>
      </c>
      <c r="C26683" t="n">
        <v>75</v>
      </c>
      <c r="D26683" t="inlineStr">
        <is>
          <t>Marteau R'ture; Amulette du Strigide; Bague Gloursonne; Anneau Chevelu; Bouclier d'Ilyzaelle; Ceintacé; Masque de Koutoulou; Cape au Logis; Bottes du Strigide; Dofus Turquoise; Dofus Ivoire; Dofus des Glaces; Dofus Pourpre; Enragé majeur; Vigoureux majeur; Dragodinde Ivoire et Pourpre</t>
        </is>
      </c>
    </row>
    <row r="26684">
      <c r="A26684" t="inlineStr">
        <is>
          <t>Pandawa M 200</t>
        </is>
      </c>
      <c r="B26684">
        <f>HYPERLINK("https://www.dofusbook.net/fr/equipement/3325029-pandawa-m-200/objets", "link")</f>
        <v/>
      </c>
      <c r="C26684" t="n">
        <v>5</v>
      </c>
      <c r="D26684" t="inlineStr">
        <is>
          <t>Hache Ériphe; Amulette du Strigide; Bague Gloursonne; Alliance Brûlâme; Bouclier d'Ilyzaelle; Menoture; Coiffe de la Fuji Givrefoux; Cape au Logis; Pompes Funèbres; Dofus Pourpre; Dofus Turquoise; Carapace Terre majeur; Remueur; Vigoureux majeur; Miraculé majeur; Chacha Angora</t>
        </is>
      </c>
    </row>
    <row r="26685">
      <c r="A26685" t="inlineStr">
        <is>
          <t>Trithon</t>
        </is>
      </c>
      <c r="B26685">
        <f>HYPERLINK("https://www.dofusbook.net/fr/equipement/1652993-trithon/objets", "link")</f>
        <v/>
      </c>
      <c r="C26685" t="n">
        <v>3</v>
      </c>
      <c r="D26685" t="inlineStr">
        <is>
          <t>Poolache; Amulette du Strigide; Bague Trithon; Bague Gloursonne; Bouclier du Captain Amakna; Ceinture du Strigide; Masque Trithon; Cape au Logis; Bottes Trithon; Dofus des Glaces; Dofus Abyssal; Dofus Turquoise; Dofus Pourpre; Dofus Ivoire; Dofus Ocre; Kokulte</t>
        </is>
      </c>
    </row>
    <row r="26686">
      <c r="A26686" t="inlineStr">
        <is>
          <t>chance tank</t>
        </is>
      </c>
      <c r="B26686">
        <f>HYPERLINK("https://www.dofusbook.net/fr/equipement/3347731-chance-tank/objets", "link")</f>
        <v/>
      </c>
      <c r="C26686" t="n">
        <v>13</v>
      </c>
      <c r="D26686" t="inlineStr">
        <is>
          <t>Rapière aux Glyphes; Amulette Voldelor; Alliance Gloursonne; Bracelet des Fonds marins; Bouclier d'Ilyzaelle; Sangle Ouare; Masque des Fonds marins; Cape Solution; Bottes du Sinistrofu; Dofus des Glaces; Dofus Ocre; Dofus Pourpre; Dofus Abyssal; Chanceux majeur; Vigoureux majeur; Dragodinde Indigo et Ivoire</t>
        </is>
      </c>
    </row>
    <row r="26687">
      <c r="A26687" t="inlineStr">
        <is>
          <t>force feu</t>
        </is>
      </c>
      <c r="B26687">
        <f>HYPERLINK("https://www.dofusbook.net/fr/equipement/3012541-force-feu/objets", "link")</f>
        <v/>
      </c>
      <c r="C26687" t="n">
        <v>2</v>
      </c>
      <c r="D26687" t="inlineStr">
        <is>
          <t>Dagues Érhy; Amulette Volkorne; Chevalière du Roi Joueur; Bague Gloursonne; Cadran d'Air; Ceinture Volkorne; Chapeau de Gein; Cape au Logis; Bottes Honyme; Dofus Ivoire; Dofus des Glaces; Dofus Pourpre; Dofus Abyssal; Dofus Ocre; Vigoureux majeur; Cromeugnon</t>
        </is>
      </c>
    </row>
    <row r="26688">
      <c r="A26688" t="inlineStr">
        <is>
          <t>intel</t>
        </is>
      </c>
      <c r="B26688">
        <f>HYPERLINK("https://www.dofusbook.net/fr/equipement/3342669-intel/objets", "link")</f>
        <v/>
      </c>
      <c r="C26688" t="n">
        <v>3</v>
      </c>
      <c r="D26688" t="inlineStr">
        <is>
          <t>Arc corrompu; Amulette de Nileza; Anneauræus; Anneauræus; Bouclier du Stalak; Ceinture de Gein; Heaume Oplate; Cape de Nileza; Chaussures Ardentes; Dofus Ivoire; Dofus Pourpre; Dofus Abyssal; Nomade; Érudit majeur; Remueur; Bisouglours</t>
        </is>
      </c>
    </row>
    <row r="26689">
      <c r="A26689" t="inlineStr">
        <is>
          <t>Full agi</t>
        </is>
      </c>
      <c r="B26689">
        <f>HYPERLINK("https://www.dofusbook.net/fr/equipement/259437-full-agi/objets", "link")</f>
        <v/>
      </c>
      <c r="C26689" t="n">
        <v>1</v>
      </c>
      <c r="D26689" t="inlineStr">
        <is>
          <t>Manthache; Collier Rophante; Gant du Valet Veinard; Alliance Gloursonne; Cadran de Terre; Menoture; Dorabysses; Cape du Valet Veinard; Bottes de l'Esprit Salvateur; Dofus Pourpre; Dofus Ivoire; Dofus Ocre; Dofus Abyssal; Étourdisseur majeur; Cascadeur majeur; Blérodoudou</t>
        </is>
      </c>
    </row>
    <row r="26690">
      <c r="A26690" t="inlineStr">
        <is>
          <t>Multi en Egarer</t>
        </is>
      </c>
      <c r="B26690">
        <f>HYPERLINK("https://www.dofusbook.net/fr/equipement/259429-multi-en-egarer/objets", "link")</f>
        <v/>
      </c>
      <c r="C26690" t="n">
        <v>3</v>
      </c>
      <c r="D26690" t="inlineStr">
        <is>
          <t>Epée Gloursonne; Amulette Voldelor; Bague Gloursonne; Alliance Gloursonne; Cadran d'Air; Ceinture de l'Esprit Salvateur; Masque de l'Esprit Salvateur; Dofusteuse; Bottes de l'Esprit Salvateur; Dolmanax; Dofus Ocre; Dofus Abyssal; Dofus Ivoire; Dofus Nébuleux; Dofus Pourpre; Muldo Doré</t>
        </is>
      </c>
    </row>
    <row r="26691">
      <c r="A26691" t="inlineStr">
        <is>
          <t>Air CC</t>
        </is>
      </c>
      <c r="B26691">
        <f>HYPERLINK("https://www.dofusbook.net/fr/equipement/2504306-air-cc/objets", "link")</f>
        <v/>
      </c>
      <c r="C26691" t="n">
        <v>0</v>
      </c>
      <c r="D26691" t="inlineStr">
        <is>
          <t>Pelle de Nidas; Amulette du Strigide; Alliance Gloursonne; Anneau de Padgref; Bouclier d'Ilyzaelle; Menoture; Dorabysses; Chevelure de Tal Kasha; Sandales de Tal Kasha; Dofus Ocre; Dofus Abyssal; Dofus Turquoise; Dofus Pourpre; Dofus des Glaces; Nomade; Pioute vert</t>
        </is>
      </c>
    </row>
    <row r="26692">
      <c r="A26692" t="inlineStr">
        <is>
          <t>Do-pou</t>
        </is>
      </c>
      <c r="B26692">
        <f>HYPERLINK("https://www.dofusbook.net/fr/equipement/585524-do-pou/objets", "link")</f>
        <v/>
      </c>
      <c r="C26692" t="n">
        <v>1</v>
      </c>
      <c r="D26692" t="inlineStr">
        <is>
          <t>Lav'Hache; Torquistik; Bague Trithon; Bague Instable; Bouclier précieux; Ceinture Gence; Casque Dragoeuf; Cape du Cœur Vaillant; Bottistik; Dokoko; Dofus Ocre; Dofus Ivoire; Culbuteur majeur; Pousseur majeur; Bousculeur majeur; Balafreux</t>
        </is>
      </c>
    </row>
    <row r="26693">
      <c r="A26693" t="inlineStr">
        <is>
          <t>Brulam</t>
        </is>
      </c>
      <c r="B26693">
        <f>HYPERLINK("https://www.dofusbook.net/fr/equipement/2006839-brulam/objets", "link")</f>
        <v/>
      </c>
      <c r="C26693" t="n">
        <v>1</v>
      </c>
      <c r="D26693" t="inlineStr">
        <is>
          <t>L'Épée Nice; Collier du Valet Veinard; Gant du Valet Veinard; Anneau de Padgref; Cadran d'Air; Sangle Oriole; Coiffe de Padgref; Cape du Valet Veinard; Getas de Padgref; Dofus Pourpre; Dofus des Glaces; Dofus Ocre; Dofus Abyssal; Dofus Ivoire; Dofus Turquoise; Dragodinde Ebène et Emeraude</t>
        </is>
      </c>
    </row>
    <row r="26694">
      <c r="A26694" t="inlineStr">
        <is>
          <t>full fo</t>
        </is>
      </c>
      <c r="B26694">
        <f>HYPERLINK("https://www.dofusbook.net/fr/equipement/1622249-full-fo/objets", "link")</f>
        <v/>
      </c>
      <c r="C26694" t="n">
        <v>0</v>
      </c>
      <c r="D26694" t="inlineStr">
        <is>
          <t>Arc du Chalœil; Amulette de Gein; Anneau Chevelu; Bague Gloursonne; Quatre-feuilles; Ceinture Gence; Chapeau de Gein; Cape au Logis; Bottes de la Cour Sombre; Dofus Pourpre; Dofus Ivoire; Dofus Ocre; Dofus des Glaces; Dofus Turquoise; Dofus Abyssal; Dragodinde Ivoire et Pourpre</t>
        </is>
      </c>
    </row>
    <row r="26695">
      <c r="A26695" t="inlineStr">
        <is>
          <t>eau/ soin</t>
        </is>
      </c>
      <c r="B26695">
        <f>HYPERLINK("https://www.dofusbook.net/fr/equipement/259426-eau--soin/objets", "link")</f>
        <v/>
      </c>
      <c r="C26695" t="n">
        <v>5</v>
      </c>
      <c r="D26695" t="inlineStr">
        <is>
          <t>Le Thanos; Amulette d'Ilyzaelle; Alliance Gloursonne; Anneau en Grithril; Carapar; Sangle Ouare; Casque d'Ilyzaelle; Cape Solution; Pataugastrique; Dokoko; Dofus Ivoire; Dofus des Glaces; Dofus Abyssal; Carapace Air majeur; Chanceux majeur; Dragodinde Indigo et Rousse</t>
        </is>
      </c>
    </row>
    <row r="26696">
      <c r="A26696" t="inlineStr">
        <is>
          <t>Full chance</t>
        </is>
      </c>
      <c r="B26696">
        <f>HYPERLINK("https://www.dofusbook.net/fr/equipement/1339393-full-chance/objets", "link")</f>
        <v/>
      </c>
      <c r="C26696" t="n">
        <v>4</v>
      </c>
      <c r="D26696" t="inlineStr">
        <is>
          <t>Sceptre du Roi Joueur; Amulette Voldelor; Alliance Gloursonne; Anneau Volkorne; Cadran d'Air; Sangle Ouare; Capuche de l'Œil Attentif; Cape de l'Œil Attentif; Bottes Honyme; Dofus Ocre; Dofus Ivoire; Dofus des Glaces; Dofus Pourpre; Dofus Abyssal; Chanceux majeur; Dragodinde Indigo et Ivoire</t>
        </is>
      </c>
    </row>
    <row r="26697">
      <c r="A26697" t="inlineStr">
        <is>
          <t>Mode eau 12/6</t>
        </is>
      </c>
      <c r="B26697">
        <f>HYPERLINK("https://www.dofusbook.net/fr/equipement/3700068-mode-eau-12-6/objets", "link")</f>
        <v/>
      </c>
      <c r="C26697" t="n">
        <v>4</v>
      </c>
      <c r="D26697" t="inlineStr">
        <is>
          <t>Dagoulinantes; Amulette du Sinistrofu; Alliance Gloursonne; Anneau en Grithril; Cadran d'Air; Ceinture en Grithril; Casque en Grithril; Cape du Sinistrofu; Bottes du Sinistrofu; Dofus Ocre; Dofus des Glaces; Dofus Nébuleux; Dofus Abyssal; Dolmanax; Dofus Pourpre; Muldo Indigo et Orchidée</t>
        </is>
      </c>
    </row>
    <row r="26698">
      <c r="A26698" t="inlineStr">
        <is>
          <t>Eau/force</t>
        </is>
      </c>
      <c r="B26698">
        <f>HYPERLINK("https://www.dofusbook.net/fr/equipement/2445097-eau-force/objets", "link")</f>
        <v/>
      </c>
      <c r="C26698" t="n">
        <v>1</v>
      </c>
      <c r="D26698" t="inlineStr">
        <is>
          <t>Dagues de Srambad; Amulette du Strigide; Anneau Chevelu; Anneau en Grithril; Cadran de Terre; Ceinture du Strigide; Masque de Funespadon; Cape au Logis; Bottes Honyme; Dofus Pourpre; Dofus Nébuleux; Dofus des Glaces; Dofus Turquoise; Dofus Ocre; Vigoureux majeur; Dragodinde Amande et Ivoire</t>
        </is>
      </c>
    </row>
    <row r="26699">
      <c r="A26699" t="inlineStr">
        <is>
          <t>air ret</t>
        </is>
      </c>
      <c r="B26699">
        <f>HYPERLINK("https://www.dofusbook.net/fr/equipement/3342065-air-ret/objets", "link")</f>
        <v/>
      </c>
      <c r="C26699" t="n">
        <v>2</v>
      </c>
      <c r="D26699" t="inlineStr">
        <is>
          <t>L'Épée Nice; Amulette du Strigide; Alliance Gloursonne; Anneau de Padgref; Cadran d'Air; Ceinture du Strigide; Némès de Tal Kasha; Chevelure de Tal Kasha; Sandales de Tal Kasha; Dofus des Glaces; Dofus Turquoise; Dofus Ivoire; Dofus Ocre; Dofus Abyssal; Dofus Pourpre; Volkorne Doré et Ivoire</t>
        </is>
      </c>
    </row>
    <row r="26700">
      <c r="A26700" t="inlineStr">
        <is>
          <t>full air</t>
        </is>
      </c>
      <c r="B26700">
        <f>HYPERLINK("https://www.dofusbook.net/fr/equipement/1855386-full-air/objets", "link")</f>
        <v/>
      </c>
      <c r="C26700" t="n">
        <v>2</v>
      </c>
      <c r="D26700" t="inlineStr">
        <is>
          <t>L'Épée Nice; Amulette du Strigide; Alliance Gloursonne; Anneau de Padgref; Cadran de Terre; Menoture; Masque de Klime; Cape de Klime; Palmes Trithons; Dofus des Glaces; Dofus Turquoise; Dofus Ocre; Dofus Pourpre; Dofus Abyssal; Étourdisseur majeur; Dragodinde Ebène et Emeraude</t>
        </is>
      </c>
    </row>
    <row r="26701">
      <c r="A26701" t="inlineStr">
        <is>
          <t>Full agi 12/6</t>
        </is>
      </c>
      <c r="B26701">
        <f>HYPERLINK("https://www.dofusbook.net/fr/equipement/259415-full-agi-12-6/objets", "link")</f>
        <v/>
      </c>
      <c r="C26701" t="n">
        <v>2</v>
      </c>
      <c r="D26701" t="inlineStr">
        <is>
          <t>L'Épée Nice; Collier du Valet Veinard; Gant du Valet Veinard; Anneau de Padgref; Quatre-feuilles; Sangle Oriole; Coiffe de Padgref; Cape du Valet Veinard; Getas de Padgref; Dofus des Glaces; Dofus Abyssal; Dofus Turquoise; Dofus Pourpre; Dofus Nébuleux; Dofus Ocre; Dragodinde Ebène et Emeraude</t>
        </is>
      </c>
    </row>
    <row r="26702">
      <c r="A26702" t="inlineStr">
        <is>
          <t>dragteste</t>
        </is>
      </c>
      <c r="B26702">
        <f>HYPERLINK("https://www.dofusbook.net/fr/equipement/1683088-dragteste/objets", "link")</f>
        <v/>
      </c>
      <c r="C26702" t="n">
        <v>0</v>
      </c>
      <c r="D26702" t="inlineStr">
        <is>
          <t>Marteau R'ture; Collier de Tourthon; Anneau Chevelu; Anneau Crustique; Bouclier d'Ilyzaelle; Ceinture de la Cour Sombre; Masque de Koutoulou; Cape au Logis; Bottes de la Cour Sombre; Dofus Nébuleux; Dofus Pourpre; Dofus Abyssal; Dofus Turquoise; Carapace Terre majeur; Enragé majeur; Volkorne Ivoire et Pourpre</t>
        </is>
      </c>
    </row>
    <row r="26703">
      <c r="A26703" t="inlineStr">
        <is>
          <t>air/eau ret pa</t>
        </is>
      </c>
      <c r="B26703">
        <f>HYPERLINK("https://www.dofusbook.net/fr/equipement/1405255-air-eau-ret-pa/objets", "link")</f>
        <v/>
      </c>
      <c r="C26703" t="n">
        <v>3</v>
      </c>
      <c r="D26703" t="inlineStr">
        <is>
          <t>Arc de Koutoulou; Amulette Voldelor; Anneau Volkorne; Alliance Gloursonne; Cadran de Terre; Ceinture Voldelor; Casque Volkorne; Chevelure de Tal Kasha; Sandales de Tal Kasha; Dofus Ocre; Dofus des Glaces; Dofus Vulbis; Dofus Nébuleux; Dofus Pourpre; Dofus Turquoise; Volkorne Améthyste et Ebène</t>
        </is>
      </c>
    </row>
    <row r="26704">
      <c r="A26704" t="inlineStr">
        <is>
          <t>cape classe</t>
        </is>
      </c>
      <c r="B26704">
        <f>HYPERLINK("https://www.dofusbook.net/fr/equipement/2288819-cape-classe/objets", "link")</f>
        <v/>
      </c>
      <c r="C26704" t="n">
        <v>2</v>
      </c>
      <c r="D26704" t="inlineStr">
        <is>
          <t>Baguette Héroclite; Amulette du Sinistrofu; Alliance Gloursonne; Bracelet des Fonds marins; Cadran de Terre; Sangle Ouare; Kidibonnet; Cape Endaison; Bottes du Sinistrofu; Dofus Pourpre; Dofus des Glaces; Chanceux majeur; Étourdisseur majeur; Dévastateur Eau majeur; Remueur; Dragodinde Prune et Indigo</t>
        </is>
      </c>
    </row>
    <row r="26705">
      <c r="A26705" t="inlineStr">
        <is>
          <t>Strithon</t>
        </is>
      </c>
      <c r="B26705">
        <f>HYPERLINK("https://www.dofusbook.net/fr/equipement/1684488-strithon/objets", "link")</f>
        <v/>
      </c>
      <c r="C26705" t="n">
        <v>2</v>
      </c>
      <c r="D26705" t="inlineStr">
        <is>
          <t>Pyraguette; Amulette de l'Œil Putride; Bracelet du Piloztère; Lavanneau; Bouclier du Stalak; Ceinture de l'Esprit Salvateur; Dorabysses; Cape de l'Œil Putride; Pataugastrique; Dofus Ocre; Dofus des Glaces; Dofus Pourpre; Dofus Abyssal; Nomade; Vigoureux majeur; Croum</t>
        </is>
      </c>
    </row>
    <row r="26706">
      <c r="A26706" t="inlineStr">
        <is>
          <t>Full chance</t>
        </is>
      </c>
      <c r="B26706">
        <f>HYPERLINK("https://www.dofusbook.net/fr/equipement/259441-full-chance/objets", "link")</f>
        <v/>
      </c>
      <c r="C26706" t="n">
        <v>0</v>
      </c>
      <c r="D26706" t="inlineStr">
        <is>
          <t>Baguette Héroclite; Amulette du Sinistrofu; Anneau Volkorne; Anneau en Grithril; Cadran de Terre; Ceinture en Grithril; Casque en Grithril; Cape du Sinistrofu; Bottes du Sinistrofu</t>
        </is>
      </c>
    </row>
    <row r="26707">
      <c r="A26707" t="inlineStr">
        <is>
          <t>Eau ret</t>
        </is>
      </c>
      <c r="B26707">
        <f>HYPERLINK("https://www.dofusbook.net/fr/equipement/1228797-eau-ret/objets", "link")</f>
        <v/>
      </c>
      <c r="C26707" t="n">
        <v>2</v>
      </c>
      <c r="D26707" t="inlineStr">
        <is>
          <t>Baguette Héroclite; Amulette de Shokkoth; Alliance Gloursonne; Lavanneau; Cadran de Terre; Culotte de Bethel; Némès de Tal Kasha; Cape Matelassée; Sandales de Tal Kasha; Dofus Pourpre; Dofus Abyssal; Dofus Ocre; Étourdisseur majeur; Nomade; Chanceux majeur; Croum</t>
        </is>
      </c>
    </row>
    <row r="26708">
      <c r="A26708" t="inlineStr">
        <is>
          <t>Force do pou</t>
        </is>
      </c>
      <c r="B26708">
        <f>HYPERLINK("https://www.dofusbook.net/fr/equipement/3400013-force-do-pou/objets", "link")</f>
        <v/>
      </c>
      <c r="C26708" t="n">
        <v>1</v>
      </c>
      <c r="D26708" t="inlineStr">
        <is>
          <t>Lav'Hache; Torquistik; Bague Instable; Bague Trithon; Bouclier précieux; Ceinture Gence; Casque Dragoeuf; Cape au Logis; Bottistik; Dofus Pourpre; Dofus Abyssal; Culbuteur majeur; Pousseur majeur; Bousculeur majeur; Culbuteur; Volkorne Roux</t>
        </is>
      </c>
    </row>
    <row r="26709">
      <c r="A26709" t="inlineStr">
        <is>
          <t>Full intel</t>
        </is>
      </c>
      <c r="B26709">
        <f>HYPERLINK("https://www.dofusbook.net/fr/equipement/2225838-full-intel/objets", "link")</f>
        <v/>
      </c>
      <c r="C26709" t="n">
        <v>2</v>
      </c>
      <c r="D26709" t="inlineStr">
        <is>
          <t>Arc corrompu; Amulette de Nileza; Anneau Tique; Anneauræus; Bouclier du Stalak; Ceinture de Vortex; Heaume Oplate; Cape de Nileza; Chaussures Ardentes; Dofus Ocre; Dofus Abyssal; Dolmanax; Dofus Pourpre; Nomade; Érudit majeur; Croum</t>
        </is>
      </c>
    </row>
    <row r="26710">
      <c r="A26710" t="inlineStr">
        <is>
          <t>feu</t>
        </is>
      </c>
      <c r="B26710">
        <f>HYPERLINK("https://www.dofusbook.net/fr/equipement/1739358-feu/objets", "link")</f>
        <v/>
      </c>
      <c r="C26710" t="n">
        <v>5</v>
      </c>
      <c r="D26710" t="inlineStr">
        <is>
          <t>Arc corrompu; Amulette de Nileza; Anneauræus; Anneauræus; Bouclier du Stalak; Ceinture Séculaire; Heaume Oplate; Cape de Nileza; Chaussures Ardentes; Dofus Ocre; Dofus Pourpre; Dofus des Glaces; Dolmanax; Nomade; Érudit majeur; Croum</t>
        </is>
      </c>
    </row>
    <row r="26711">
      <c r="A26711" t="inlineStr">
        <is>
          <t>bouftou</t>
        </is>
      </c>
      <c r="B26711">
        <f>HYPERLINK("https://www.dofusbook.net/fr/equipement/1691935-bouftou/objets", "link")</f>
        <v/>
      </c>
      <c r="C26711" t="n">
        <v>8</v>
      </c>
      <c r="D26711" t="inlineStr">
        <is>
          <t>Arc du Chalœil; Amulette Ementaire Deluxe; Anneau Chevelu; Bague Gloursonne; Écorce de Brouce; Ceinture de la Reine des Voleurs; Coiffe de la Reine des Voleurs; Cape au Logis; Sabots Minables; Dofus Émeraude; Dofus des Glaces; Enragé majeur; Remueur; Furibond majeur; Miraculé majeur</t>
        </is>
      </c>
    </row>
    <row r="26712">
      <c r="A26712" t="inlineStr">
        <is>
          <t>bouftou</t>
        </is>
      </c>
      <c r="B26712">
        <f>HYPERLINK("https://www.dofusbook.net/fr/equipement/1098873-bouftou/objets", "link")</f>
        <v/>
      </c>
      <c r="C26712" t="n">
        <v>0</v>
      </c>
      <c r="D26712" t="inlineStr">
        <is>
          <t>Arc du Chalœil; Amulette Héroclite; Anneau de Brouce; Anneau Chevelu; Écorce de Brouce; Sangle de Sylargh; Masque de Koutoulou; Cape de Sylargh; Sabots Minables</t>
        </is>
      </c>
    </row>
    <row r="26713">
      <c r="A26713" t="inlineStr">
        <is>
          <t>Feu</t>
        </is>
      </c>
      <c r="B26713">
        <f>HYPERLINK("https://www.dofusbook.net/fr/equipement/3342611-feu/objets", "link")</f>
        <v/>
      </c>
      <c r="C26713" t="n">
        <v>14</v>
      </c>
      <c r="D26713" t="inlineStr">
        <is>
          <t>Arc corrompu; Amulette de Nileza; Anneauræus; Anneauræus; Bouclier du Stalak; Ceinture Séculaire; Heaume Oplate; Cape de Nileza; Chaussures Ardentes; Dofus des Glaces; Érudit majeur; Remueur; Dévastateur Feu majeur; Nomade; Miraculé majeur; Croum</t>
        </is>
      </c>
    </row>
    <row r="26714">
      <c r="A26714" t="inlineStr">
        <is>
          <t>Terre tank</t>
        </is>
      </c>
      <c r="B26714">
        <f>HYPERLINK("https://www.dofusbook.net/fr/equipement/3244807-terre-tank/objets", "link")</f>
        <v/>
      </c>
      <c r="C26714" t="n">
        <v>6</v>
      </c>
      <c r="D26714" t="inlineStr">
        <is>
          <t>Arc du Chalœil; Amulette du Strigide; Anneau Chevelu; Bague Gloursonne; Bouclier d'Ilyzaelle; Ceinture de la Cour Sombre; Masque d'Anerice; Cape d'Anerice; Sabots Minables; Dofus Ivoire; Dofus Émeraude; Dofus Abyssal; Miraculé majeur; Remueur; Nomade; Péki</t>
        </is>
      </c>
    </row>
    <row r="26715">
      <c r="A26715" t="inlineStr">
        <is>
          <t>terre</t>
        </is>
      </c>
      <c r="B26715">
        <f>HYPERLINK("https://www.dofusbook.net/fr/equipement/3298575-terre/objets", "link")</f>
        <v/>
      </c>
      <c r="C26715" t="n">
        <v>2</v>
      </c>
      <c r="D26715" t="inlineStr">
        <is>
          <t>Arc du Chalœil; Amulette du Strigide; Anneau Chevelu; Anneau Crustique; Quatre-feuilles; Ceinture du Strigide; Masque de Koutoulou; Cape au Logis; Sabots Minables; Dofus Pourpre; Dofus Turquoise; Vigoureux majeur; Nomade; Enragé majeur; Remueur; Kompost</t>
        </is>
      </c>
    </row>
    <row r="26716">
      <c r="A26716" t="inlineStr">
        <is>
          <t>Do pou tank</t>
        </is>
      </c>
      <c r="B26716">
        <f>HYPERLINK("https://www.dofusbook.net/fr/equipement/3230044-do-pou-tank/objets", "link")</f>
        <v/>
      </c>
      <c r="C26716" t="n">
        <v>3</v>
      </c>
      <c r="D26716" t="inlineStr">
        <is>
          <t>Lav'Hache; Torquistik; Bague Instable; Bague Trithon; Bouclier précieux; Ceinture Gence; Casque Dragoeuf; Voile d'encre; Bottistik; Dofus Abyssal; Dofus Ivoire; Culbuteur majeur; Pousseur majeur; Bousculeur majeur; Remueur; Muldo Pourpre</t>
        </is>
      </c>
    </row>
    <row r="26717">
      <c r="A26717" t="inlineStr">
        <is>
          <t>talkash</t>
        </is>
      </c>
      <c r="B26717">
        <f>HYPERLINK("https://www.dofusbook.net/fr/equipement/3306633-talkash/objets", "link")</f>
        <v/>
      </c>
      <c r="C26717" t="n">
        <v>2</v>
      </c>
      <c r="D26717" t="inlineStr">
        <is>
          <t>Hache du Korriandre; Amulette du Strigide; Alliance Gloursonne; Anneau de Padgref; Quatre-feuilles; Sangle Ouare; Némès de Tal Kasha; Cape Matelassée; Sandales de Tal Kasha; Dofus Ivoire; Dofus des Glaces; Dofus Ocre; Dofus Pourpre; Dofus Abyssal; Dofus Turquoise; Croum</t>
        </is>
      </c>
    </row>
    <row r="26718">
      <c r="A26718" t="inlineStr">
        <is>
          <t>Full intel</t>
        </is>
      </c>
      <c r="B26718">
        <f>HYPERLINK("https://www.dofusbook.net/fr/equipement/1609744-full-intel/objets", "link")</f>
        <v/>
      </c>
      <c r="C26718" t="n">
        <v>5</v>
      </c>
      <c r="D26718" t="inlineStr">
        <is>
          <t>Arc corrompu; Amulette de Nileza; Anneau Tique; Anneau de Nidas; Quatre-feuilles; Ceinture de Vortex; Couronne de Nidas; Voile d'encre; Pataugastrique; Dofus Pourpre; Dofus Turquoise; Vigoureux majeur; Nomade; Remueur; Érudit majeur; Croum</t>
        </is>
      </c>
    </row>
    <row r="26719">
      <c r="A26719" t="inlineStr">
        <is>
          <t>air/feu</t>
        </is>
      </c>
      <c r="B26719">
        <f>HYPERLINK("https://www.dofusbook.net/fr/equipement/2959621-air-feu/objets", "link")</f>
        <v/>
      </c>
      <c r="C26719" t="n">
        <v>5</v>
      </c>
      <c r="D26719" t="inlineStr">
        <is>
          <t>Arc corrompu; Amulette du Strigide; Anneau de Padgref; Alliance Gloursonne; Cadran de Terre; Ceinture de Vortex; Cagoule de Vortex; Voile d'encre; Pataugastrique; Dofus Turquoise; Dofus Pourpre; Dofus Abyssal; Étourdisseur majeur; Remueur; Nomade; Kramkram</t>
        </is>
      </c>
    </row>
    <row r="26720">
      <c r="A26720" t="inlineStr">
        <is>
          <t>rein</t>
        </is>
      </c>
      <c r="B26720">
        <f>HYPERLINK("https://www.dofusbook.net/fr/equipement/3256627-rein/objets", "link")</f>
        <v/>
      </c>
      <c r="C26720" t="n">
        <v>1</v>
      </c>
      <c r="D26720" t="inlineStr">
        <is>
          <t>Epée Gloursonne; Amulette du Strigide; Bague Gloursonne; Alliance Gloursonne; Bouclier d'Ilyzaelle; Ceinture de la Reine des Voleurs; Coiffe de la Reine des Voleurs; Cape du Kamasterisk; Bottes de la Reine des Voleurs; Dofus Pourpre; Dofus des Glaces; Dofus Turquoise; Dofus Abyssal; Dofus Ocre; Dofus Ivoire; Muldo Ebène et Orchidée</t>
        </is>
      </c>
    </row>
    <row r="26721">
      <c r="A26721" t="inlineStr">
        <is>
          <t>sri/glours</t>
        </is>
      </c>
      <c r="B26721">
        <f>HYPERLINK("https://www.dofusbook.net/fr/equipement/3256454-sri-glours/objets", "link")</f>
        <v/>
      </c>
      <c r="C26721" t="n">
        <v>2</v>
      </c>
      <c r="D26721" t="inlineStr">
        <is>
          <t>Epée Gloursonne; Amulette du Strigide; Bague Gloursonne; Alliance Gloursonne; Bouclier d'Ilyzaelle; Ceinture du Strigide; Némès de Tal Kasha; Chevelure de Tal Kasha; Sandales de Tal Kasha; Dofus Nébuleux; Dofus Pourpre; Dofus Turquoise; Dofus des Glaces; Dofus Ocre; Dofus Abyssal; Muldo Ebène et Orchidée</t>
        </is>
      </c>
    </row>
    <row r="26722">
      <c r="A26722" t="inlineStr">
        <is>
          <t>triton</t>
        </is>
      </c>
      <c r="B26722">
        <f>HYPERLINK("https://www.dofusbook.net/fr/equipement/1096710-triton/objets", "link")</f>
        <v/>
      </c>
      <c r="C26722" t="n">
        <v>1</v>
      </c>
      <c r="D26722" t="inlineStr">
        <is>
          <t>Héqache; Amulette du Strigide; Gant du Valet Veinard; Anneau des égarés; Bouclier du Captain Amakna; Ceintacé; Masque Trithon; Voile d'encre; Bottes Trithon; Dofus Turquoise; Dofus Ocre; Dofus des Glaces; Dofus Pourpre; Dofus Abyssal; Vigoureux majeur; Muldo Ebène et Pourpre</t>
        </is>
      </c>
    </row>
    <row r="26723">
      <c r="A26723" t="inlineStr">
        <is>
          <t>essai</t>
        </is>
      </c>
      <c r="B26723">
        <f>HYPERLINK("https://www.dofusbook.net/fr/equipement/745663-essai/objets", "link")</f>
        <v/>
      </c>
      <c r="C26723" t="n">
        <v>2</v>
      </c>
      <c r="D26723" t="inlineStr">
        <is>
          <t>Sabres d'Atcham; Amulette de l'Œil Putride; Anneau de Padgref; Alliance Gloursonne; Quatre-feuilles; Sangle Ouare; Dorabysses; Cape de l'Œil Putride; Bottes de la Dame du Hasard; Dofus Pourpre; Dofus des Glaces; Dofus Turquoise; Dofus Abyssal; Dofus Ocre; Remueur; Croum</t>
        </is>
      </c>
    </row>
    <row r="26724">
      <c r="A26724" t="inlineStr">
        <is>
          <t>Air tank</t>
        </is>
      </c>
      <c r="B26724">
        <f>HYPERLINK("https://www.dofusbook.net/fr/equipement/2671225-air-tank/objets", "link")</f>
        <v/>
      </c>
      <c r="C26724" t="n">
        <v>2</v>
      </c>
      <c r="D26724" t="inlineStr">
        <is>
          <t>Manthache; Frimamulette; Alliance Gloursonne; Gant du Valet Veinard; Bouclier du Stalak; Menoture; Masque d'Anerice; Cape d'Anerice; Palmes Trithons; Dofus des Glaces; Dofus Ivoire; Dofus Pourpre; Dofus Abyssal; Nomade; Remueur; Croum</t>
        </is>
      </c>
    </row>
    <row r="26725">
      <c r="A26725" t="inlineStr">
        <is>
          <t>Trithon</t>
        </is>
      </c>
      <c r="B26725">
        <f>HYPERLINK("https://www.dofusbook.net/fr/equipement/2215612-trithon/objets", "link")</f>
        <v/>
      </c>
      <c r="C26725" t="n">
        <v>0</v>
      </c>
      <c r="D26725" t="inlineStr">
        <is>
          <t>Amulette du Strigide; Bague Trithon; Alliance Brûlâme; Quatre-feuilles; Ceintacé; Masque Trithon; Cape au Logis; Bottes du Cycloïde; Dofus des Glaces; Dofus Turquoise; Dofus Pourpre; Vigoureux majeur; Remueur; Enragé majeur; Kramkram</t>
        </is>
      </c>
    </row>
    <row r="26726">
      <c r="A26726" t="inlineStr">
        <is>
          <t>Air do pou</t>
        </is>
      </c>
      <c r="B26726">
        <f>HYPERLINK("https://www.dofusbook.net/fr/equipement/2671178-air-do-pou/objets", "link")</f>
        <v/>
      </c>
      <c r="C26726" t="n">
        <v>2</v>
      </c>
      <c r="D26726" t="inlineStr">
        <is>
          <t>Hachoirs de Viandargh; Amibou; Anneau de Pol Ouatnos; Bague Trithon; Bouclier précieux; Ceinture Gence; Casque Dragoeuf; Capibou; Bottes du Cœur Vaillant; Dofus Ivoire; Dofus Abyssal; Bousculeur majeur; Remueur; Culbuteur majeur; Pousseur majeur; Tatouf</t>
        </is>
      </c>
    </row>
    <row r="26727">
      <c r="A26727" t="inlineStr">
        <is>
          <t>Lance do pou</t>
        </is>
      </c>
      <c r="B26727">
        <f>HYPERLINK("https://www.dofusbook.net/fr/equipement/2680495-lance-do-pou/objets", "link")</f>
        <v/>
      </c>
      <c r="C26727" t="n">
        <v>0</v>
      </c>
      <c r="D26727" t="inlineStr">
        <is>
          <t>Lav'Hache; Torquistik; Bague Instable; Bague Trithon; Bouclier précieux; Ceinture Gence; Casque Dragoeuf; Cape Solution; Bottistik; Dofus Ivoire; Dofus Abyssal; Culbuteur majeur; Nomade; Bousculeur majeur; Pousseur majeur; Tatouf</t>
        </is>
      </c>
    </row>
    <row r="26728">
      <c r="A26728" t="inlineStr">
        <is>
          <t>tri element</t>
        </is>
      </c>
      <c r="B26728">
        <f>HYPERLINK("https://www.dofusbook.net/fr/equipement/259410-tri-element/objets", "link")</f>
        <v/>
      </c>
      <c r="C26728" t="n">
        <v>2</v>
      </c>
      <c r="D26728" t="inlineStr">
        <is>
          <t>Marteau de Katrepat; Amulette de l'Indicible; Alliance Gloursonne; Bague Gloursonne; Bouclier du Stalak; Ceinture de l'Esprit Salvateur; Masque de l'Esprit Salvateur; Voile d'encre; Bottes de l'Esprit Salvateur; Dolmanax; Dofus des Glaces; Dofus Pourpre; Dofus Abyssal; Dofus Ocre; Dofus Émeraude; Muldo Orchidée et Pourpre</t>
        </is>
      </c>
    </row>
    <row r="26729">
      <c r="A26729" t="inlineStr">
        <is>
          <t>Force 12/6</t>
        </is>
      </c>
      <c r="B26729">
        <f>HYPERLINK("https://www.dofusbook.net/fr/equipement/3012316-force-12-6/objets", "link")</f>
        <v/>
      </c>
      <c r="C26729" t="n">
        <v>1</v>
      </c>
      <c r="D26729" t="inlineStr">
        <is>
          <t>Arc du Chalœil; Amulette Luminescente; Alliance Gloursonne; Alliance du Lévitrof; Bouclier du Stalak; Ceinture Luminescente; Coiffe du Lévitrof; Cape Luminescente; Bottes du Lévitrof; Dolmanax; Dofus des Glaces; Dofus Pourpre; Dofus Abyssal; Dofus Ocre; Dofus Ivoire; Muldo Indigo</t>
        </is>
      </c>
    </row>
    <row r="26730">
      <c r="A26730" t="inlineStr">
        <is>
          <t>Strithon</t>
        </is>
      </c>
      <c r="B26730">
        <f>HYPERLINK("https://www.dofusbook.net/fr/equipement/3143800-strithon/objets", "link")</f>
        <v/>
      </c>
      <c r="C26730" t="n">
        <v>0</v>
      </c>
      <c r="D26730" t="inlineStr">
        <is>
          <t>Arc de Koutoulou; Amulette du Strigide; Anneau de Padgref; Alliance Gloursonne; Quatre-feuilles; Ceinture du Strigide; Némès de Tal Kasha; Chevelure de Tal Kasha; Sandales de Tal Kasha; Dofus Pourpre; Dofus des Glaces; Dofus Turquoise; Dofus Abyssal; Dofus Ocre; Dofus Ivoire; Muldo Ebène et Indigo</t>
        </is>
      </c>
    </row>
    <row r="26731">
      <c r="A26731" t="inlineStr">
        <is>
          <t>Ilyzael</t>
        </is>
      </c>
      <c r="B26731">
        <f>HYPERLINK("https://www.dofusbook.net/fr/equipement/3092066-ilyzael/objets", "link")</f>
        <v/>
      </c>
      <c r="C26731" t="n">
        <v>0</v>
      </c>
      <c r="D26731" t="inlineStr">
        <is>
          <t>Arc de Koutoulou; Amulette d'Ilyzaelle; Alliance Gloursonne; Gant du Valet Veinard; Bouclier du Stalak; Sangle Ouare; Casque d'Ilyzaelle; Cape Matelassée; Bottes de la Reine des Voleurs; Dofus Pourpre; Dofus Abyssal; Dolmanax; Dofus des Glaces; Remueur; Vigoureux majeur; Croum</t>
        </is>
      </c>
    </row>
    <row r="26732">
      <c r="A26732" t="inlineStr">
        <is>
          <t>intel vita</t>
        </is>
      </c>
      <c r="B26732">
        <f>HYPERLINK("https://www.dofusbook.net/fr/equipement/3087691-intel-vita/objets", "link")</f>
        <v/>
      </c>
      <c r="C26732" t="n">
        <v>0</v>
      </c>
      <c r="D26732" t="inlineStr">
        <is>
          <t>Baguette de Malléfisk; Pendentif mignon de Koutoulou; Anneauræus; Anneauræus; Cadran de Feu; Slip du Roi de Bonta; Masque d'Anerice; Cape d'Anerice; Pataugastrique; Dofus Émeraude; Dofus Ivoire; Remueur; Érudit majeur; Nomade; Miraculé majeur; Eliôme</t>
        </is>
      </c>
    </row>
    <row r="26733">
      <c r="A26733" t="inlineStr">
        <is>
          <t>Full intel</t>
        </is>
      </c>
      <c r="B26733">
        <f>HYPERLINK("https://www.dofusbook.net/fr/equipement/2539556-full-intel/objets", "link")</f>
        <v/>
      </c>
      <c r="C26733" t="n">
        <v>0</v>
      </c>
      <c r="D26733" t="inlineStr">
        <is>
          <t>Baguette de Malléfisk; Pendentif mignon de Koutoulou; Anneauræus; Anneauræus; Bouclier d'Ilyzaelle; Ceinture de Gein; Casque Cyclopéen; Cape de Diondin; Bottes Innommables; Dofus Émeraude; Dofus Abyssal; Remueur; Miraculé majeur; Survivant majeur; Érudit majeur; Muldo Orchidée et Pourpre</t>
        </is>
      </c>
    </row>
    <row r="26734">
      <c r="A26734" t="inlineStr">
        <is>
          <t>Terre/air</t>
        </is>
      </c>
      <c r="B26734">
        <f>HYPERLINK("https://www.dofusbook.net/fr/equipement/3077365-terre-air/objets", "link")</f>
        <v/>
      </c>
      <c r="C26734" t="n">
        <v>0</v>
      </c>
      <c r="D26734" t="inlineStr">
        <is>
          <t>Lance corrompue; Amulette du Cœur Vaillant; Alliance Gloursonne; Alliance Brûlâme; Bouclier du Stalak; Ceinture de la Reine des Voleurs; Coiffe de la Reine des Voleurs; Voile d'encre; Baleinabottes; Dofus Abyssal; Dofus Pourpre; Dofus des Glaces; Miraculé majeur; Remueur; Nomade; Kramkram</t>
        </is>
      </c>
    </row>
    <row r="26735">
      <c r="A26735" t="inlineStr">
        <is>
          <t>Ilyzael</t>
        </is>
      </c>
      <c r="B26735">
        <f>HYPERLINK("https://www.dofusbook.net/fr/equipement/2802416-ilyzael/objets", "link")</f>
        <v/>
      </c>
      <c r="C26735" t="n">
        <v>2</v>
      </c>
      <c r="D26735" t="inlineStr">
        <is>
          <t>Arc de Koutoulou; Amulette d'Ilyzaelle; Alliance Gloursonne; Gant du Valet Veinard; Bouclier du Stalak; Ceintacé; Casque d'Ilyzaelle; Cape des Malveilleurs; Bottes de la Reine des Voleurs; Dolmanax; Dofus Ocre; Dofus des Glaces; Dofus Pourpre; Dofus Abyssal; Nomade; Croum</t>
        </is>
      </c>
    </row>
    <row r="26736">
      <c r="A26736" t="inlineStr">
        <is>
          <t>Force do pou</t>
        </is>
      </c>
      <c r="B26736">
        <f>HYPERLINK("https://www.dofusbook.net/fr/equipement/3012206-force-do-pou/objets", "link")</f>
        <v/>
      </c>
      <c r="C26736" t="n">
        <v>1</v>
      </c>
      <c r="D26736" t="inlineStr">
        <is>
          <t>Arc du Chalœil; Torquistik; Anneau Chevelu; Anneau Crustique; Bouclier Taverne; Ceinture Gence; Coiffe de la Reine des Voleurs; Voile d'encre; Bottistik; Dofus Nébuleux; Dofus Pourpre; Enragé majeur; Remueur; Nomade; Culbuteur majeur; Croum</t>
        </is>
      </c>
    </row>
    <row r="26737">
      <c r="A26737" t="inlineStr">
        <is>
          <t>full 40 eau/feu</t>
        </is>
      </c>
      <c r="B26737">
        <f>HYPERLINK("https://www.dofusbook.net/fr/equipement/3012122-full-40-eau-feu/objets", "link")</f>
        <v/>
      </c>
      <c r="C26737" t="n">
        <v>0</v>
      </c>
      <c r="D26737" t="inlineStr">
        <is>
          <t>Arc Nécrotique; Talisman Igans; Anneau Tique; Alliance Gloursonne; Quatre-feuilles; Ceintacé; Casqnoar; Cape de la Dame du Hasard; Bottes de la Dame du Hasard; Dofus Ivoire; Dofus Turquoise; Dofus Ocre; Dofus Abyssal; Dofus Pourpre; Nomade; Croum</t>
        </is>
      </c>
    </row>
    <row r="26738">
      <c r="A26738" t="inlineStr">
        <is>
          <t>eau/feu</t>
        </is>
      </c>
      <c r="B26738">
        <f>HYPERLINK("https://www.dofusbook.net/fr/equipement/3005592-eau-feu/objets", "link")</f>
        <v/>
      </c>
      <c r="C26738" t="n">
        <v>0</v>
      </c>
      <c r="D26738" t="inlineStr">
        <is>
          <t>Arc Nécrotique; Amulette Cryochrone; Lavanneau; Alliance Gloursonne; Quatre-feuilles; Ceinture de l'Esprit Malsain; Casquette de Meno; Cape de la Dame du Hasard; Bottes de la Dame du Hasard; Dofus Pourpre; Dofus Abyssal; Dofus Turquoise; Dofus Ocre; Remueur; Nomade; Croum</t>
        </is>
      </c>
    </row>
    <row r="26739">
      <c r="A26739" t="inlineStr">
        <is>
          <t>feu rési</t>
        </is>
      </c>
      <c r="B26739">
        <f>HYPERLINK("https://www.dofusbook.net/fr/equipement/2894309-feu-resi/objets", "link")</f>
        <v/>
      </c>
      <c r="C26739" t="n">
        <v>0</v>
      </c>
      <c r="D26739" t="inlineStr">
        <is>
          <t>Arc corrompu; Pendentif affamé; Anneau Tique; Anneau de Nidas; Quatre-feuilles; Ceinture de Vortex; Couronne de Nidas; Voile d'encre; Pataugastrique; Dofus Abyssal; Dofus Turquoise; Dofus Ivoire; Dofus Pourpre; Nomade; Remueur; Croum</t>
        </is>
      </c>
    </row>
    <row r="26740">
      <c r="A26740" t="inlineStr">
        <is>
          <t>Full force</t>
        </is>
      </c>
      <c r="B26740">
        <f>HYPERLINK("https://www.dofusbook.net/fr/equipement/2733257-full-force/objets", "link")</f>
        <v/>
      </c>
      <c r="C26740" t="n">
        <v>0</v>
      </c>
      <c r="D26740" t="inlineStr">
        <is>
          <t>Marteau R'ture; Collier de Tourthon; Anneau Chevelu; Anneau Crustique; Bouclier alvéolé; Ceinture de la Cour Sombre; Masque de Koutoulou; Voile d'encre; Bottes de la Cour Sombre; Dofus Abyssal; Dofus Pourpre; Dofus des Glaces; Enragé majeur; Nomade; Remueur; Croum</t>
        </is>
      </c>
    </row>
    <row r="26741">
      <c r="A26741" t="inlineStr">
        <is>
          <t>Do-pou</t>
        </is>
      </c>
      <c r="B26741">
        <f>HYPERLINK("https://www.dofusbook.net/fr/equipement/2732053-do-pou/objets", "link")</f>
        <v/>
      </c>
      <c r="C26741" t="n">
        <v>1</v>
      </c>
      <c r="D26741" t="inlineStr">
        <is>
          <t>Arc du Chalœil; Torquistik; Bague Instable; Bague Trithon; Bouclier précieux; Ceintacé; Casque Dragoeuf; Voile d'encre; Bottistik; Dofus Abyssal; Bousculeur majeur; Culbuteur; Culbuteur majeur; Remueur; Pousseur majeur; Muldo Pourpre</t>
        </is>
      </c>
    </row>
    <row r="26742">
      <c r="A26742" t="inlineStr">
        <is>
          <t>Lance corrompu</t>
        </is>
      </c>
      <c r="B26742">
        <f>HYPERLINK("https://www.dofusbook.net/fr/equipement/2726437-lance-corrompu/objets", "link")</f>
        <v/>
      </c>
      <c r="C26742" t="n">
        <v>1</v>
      </c>
      <c r="D26742" t="inlineStr">
        <is>
          <t>Lance corrompue; Amulette Ementaire Deluxe; Alliance Gloursonne; Anneau des égarés; Bouclier alvéolé; Ceinture de la Reine des Voleurs; Coiffe de la Reine des Voleurs; Voile d'encre; Pompes Funèbres; Dofus Ocre; Dofus Abyssal; Dofus Pourpre; Dofus des Glaces; Remueur; Nomade; Croum</t>
        </is>
      </c>
    </row>
    <row r="26743">
      <c r="A26743" t="inlineStr">
        <is>
          <t>Lance corrompu</t>
        </is>
      </c>
      <c r="B26743">
        <f>HYPERLINK("https://www.dofusbook.net/fr/equipement/2689188-lance-corrompu/objets", "link")</f>
        <v/>
      </c>
      <c r="C26743" t="n">
        <v>1</v>
      </c>
      <c r="D26743" t="inlineStr">
        <is>
          <t>Lance corrompue; Amulette Ementaire Deluxe; Anneau des égarés; Alliance Gloursonne; Bouclier alvéolé; Ceinture de la Reine des Voleurs; Coiffe de la Reine des Voleurs; Voile d'encre; Pompes Funèbres; Dofus des Glaces; Dofus Ocre; Dofus Abyssal; Dofus Pourpre; Nomade; Remueur; Croum</t>
        </is>
      </c>
    </row>
    <row r="26744">
      <c r="A26744" t="inlineStr">
        <is>
          <t>dofusteuse</t>
        </is>
      </c>
      <c r="B26744">
        <f>HYPERLINK("https://www.dofusbook.net/fr/equipement/2683706-dofusteuse/objets", "link")</f>
        <v/>
      </c>
      <c r="C26744" t="n">
        <v>0</v>
      </c>
      <c r="D26744" t="inlineStr">
        <is>
          <t>Marteau des égarés; Amulette du Strigide; Bague Trithon; Bague Gloursonne; Quatre-feuilles; Ceinture du Strigide; Masque Trithon; Dofusteuse; Bottes du Strigide; Dofus Turquoise; Dofus Abyssal; Dolmanax; Dofus Ocre; Dofus Pourpre; Dofus des Glaces; Muldo Prune et Emeraude</t>
        </is>
      </c>
    </row>
    <row r="26745">
      <c r="A26745" t="inlineStr">
        <is>
          <t>osa eau</t>
        </is>
      </c>
      <c r="B26745">
        <f>HYPERLINK("https://www.dofusbook.net/fr/equipement/2672349-osa-eau/objets", "link")</f>
        <v/>
      </c>
      <c r="C26745" t="n">
        <v>1</v>
      </c>
      <c r="D26745" t="inlineStr">
        <is>
          <t>Sceptre du Roi Joueur; Amulette de Shokkoth; Pikano; Alliance Gloursonne; Ceintacé; Capuche de l'Œil Attentif; Cape de l'Œil Attentif; Bottes du Sinistrofu; Dofus des Glaces; Dofus Abyssal; Dofus Turquoise; Nomade; Chanceux majeur; Remueur; Croum</t>
        </is>
      </c>
    </row>
    <row r="26746">
      <c r="A26746" t="inlineStr">
        <is>
          <t>trithon air</t>
        </is>
      </c>
      <c r="B26746">
        <f>HYPERLINK("https://www.dofusbook.net/fr/equipement/2563744-trithon-air/objets", "link")</f>
        <v/>
      </c>
      <c r="C26746" t="n">
        <v>0</v>
      </c>
      <c r="D26746" t="inlineStr">
        <is>
          <t>Hachoirs de Viandargh; Amibou; Alliance Gloursonne; Bague Trithon; Bouclier précieux; Ceintacé; Masque Trithon; Cape des Malveilleurs; Bottes du Cœur Vaillant; Dofus Pourpre; Remueur; Culbuteur majeur; Cascadeur majeur; Pousseur majeur; Bousculeur majeur; Muldo Ebène</t>
        </is>
      </c>
    </row>
    <row r="26747">
      <c r="A26747" t="inlineStr">
        <is>
          <t>air 44 CC</t>
        </is>
      </c>
      <c r="B26747">
        <f>HYPERLINK("https://www.dofusbook.net/fr/equipement/2476667-air-44-cc/objets", "link")</f>
        <v/>
      </c>
      <c r="C26747" t="n">
        <v>1</v>
      </c>
      <c r="D26747" t="inlineStr">
        <is>
          <t>Manthache; Amulette du Strigide; Anneau de Padgref; Alliance Gloursonne; Quatre-feuilles; Ceinture du Strigide; Dorabysses; Cape Indescriptible; Palmes Trithons; Dofus Pourpre; Dofus Ocre; Dofus Turquoise; Cascadeur majeur; Remueur; Nomade; Croum</t>
        </is>
      </c>
    </row>
    <row r="26748">
      <c r="A26748" t="inlineStr">
        <is>
          <t>Full agi</t>
        </is>
      </c>
      <c r="B26748">
        <f>HYPERLINK("https://www.dofusbook.net/fr/equipement/2476661-full-agi/objets", "link")</f>
        <v/>
      </c>
      <c r="C26748" t="n">
        <v>0</v>
      </c>
      <c r="D26748" t="inlineStr">
        <is>
          <t>Manthache; Collier du Valet Veinard; Alliance Gloursonne; Gant du Valet Veinard; Bouclier du Stalak; Menoture; Masque de Klime; Cape Indescriptible; Palmes Trithons; Dofus Pourpre; Dolmanax; Nomade; Remueur; Cascadeur majeur; Vigoureux majeur; Croum</t>
        </is>
      </c>
    </row>
    <row r="26749">
      <c r="A26749" t="inlineStr">
        <is>
          <t>Feu/force</t>
        </is>
      </c>
      <c r="B26749">
        <f>HYPERLINK("https://www.dofusbook.net/fr/equipement/2407291-feu-force/objets", "link")</f>
        <v/>
      </c>
      <c r="C26749" t="n">
        <v>1</v>
      </c>
      <c r="D26749" t="inlineStr">
        <is>
          <t>Baguette Range; Amulette du Strigide; Anneau Tique; Anneau de Padgref; Quatre-feuilles; Ceinture du Strigide; Coiffe de Padgref; Voile d'encre; Getas de Padgref; Dofus Ocre; Dofus Émeraude; Dofus Pourpre; Dofus Nébuleux; Dofus Turquoise; Dofus des Glaces; Muldo Orchidée et Pourpre</t>
        </is>
      </c>
    </row>
    <row r="26750">
      <c r="A26750" t="inlineStr">
        <is>
          <t>eau</t>
        </is>
      </c>
      <c r="B26750">
        <f>HYPERLINK("https://www.dofusbook.net/fr/equipement/2407073-eau/objets", "link")</f>
        <v/>
      </c>
      <c r="C26750" t="n">
        <v>1</v>
      </c>
      <c r="D26750" t="inlineStr">
        <is>
          <t>Sceptre du Roi Joueur; Amulette de Shokkoth; Pikano; Alliance Gloursonne; Ceintacé; Capuche de l'Œil Attentif; Cape de l'Œil Attentif; Bottes du Sinistrofu; Dofus Pourpre; Dofus Turquoise; Remueur; Entraveur majeur; Temporiseur majeur; Chanceux majeur; Muldo Indigo</t>
        </is>
      </c>
    </row>
    <row r="26751">
      <c r="A26751" t="inlineStr">
        <is>
          <t>Triton</t>
        </is>
      </c>
      <c r="B26751">
        <f>HYPERLINK("https://www.dofusbook.net/fr/equipement/1227943-triton/objets", "link")</f>
        <v/>
      </c>
      <c r="C26751" t="n">
        <v>1</v>
      </c>
      <c r="D26751" t="inlineStr">
        <is>
          <t>Hache du Chalœil; Amulette du Strigide; Anneau de Padgref; Alliance Gloursonne; Quatre-feuilles; Sangle Ouare; Masque Trithon; Voile d'encre; Bottes Trithon; Dofus Turquoise; Dofus Ocre; Dofus Pourpre; Dofus des Glaces; Remueur; Vigoureux majeur; Kramkram</t>
        </is>
      </c>
    </row>
    <row r="26752">
      <c r="A26752" t="inlineStr">
        <is>
          <t>Full intel</t>
        </is>
      </c>
      <c r="B26752">
        <f>HYPERLINK("https://www.dofusbook.net/fr/equipement/2267734-full-intel/objets", "link")</f>
        <v/>
      </c>
      <c r="C26752" t="n">
        <v>0</v>
      </c>
      <c r="D26752" t="inlineStr">
        <is>
          <t>Arc corrompu; Amulette de Nileza; Anneau Tique; Anneau de Nidas; Quatre-feuilles; Ceinture de Vortex; Couronne de Nidas; Voile d'encre; Pataugastrique; Dofus Turquoise; Dokoko; Dofus Pourpre; Vigoureux majeur; Remueur; Érudit majeur; Muldo Orchidée et Pourpre</t>
        </is>
      </c>
    </row>
    <row r="26753">
      <c r="A26753" t="inlineStr">
        <is>
          <t>Brulam</t>
        </is>
      </c>
      <c r="B26753">
        <f>HYPERLINK("https://www.dofusbook.net/fr/equipement/2244384-brulam/objets", "link")</f>
        <v/>
      </c>
      <c r="C26753" t="n">
        <v>0</v>
      </c>
      <c r="D26753" t="inlineStr">
        <is>
          <t>Marteau d'Henual; Amulette du Strigide; Alliance Brûlâme; Bague Gloursonne; Quatre-feuilles; Ceinture du Strigide; Masque Brûlâme; Voile d'encre; Pompes Funèbres; Dolmanax; Dofus Turquoise; Dofus Ocre; Dofus des Glaces; Dofus Pourpre; Dofus Abyssal; Muldo Orchidée et Pourpre</t>
        </is>
      </c>
    </row>
    <row r="26754">
      <c r="A26754" t="inlineStr">
        <is>
          <t>tallkach</t>
        </is>
      </c>
      <c r="B26754">
        <f>HYPERLINK("https://www.dofusbook.net/fr/equipement/2244268-tallkach/objets", "link")</f>
        <v/>
      </c>
      <c r="C26754" t="n">
        <v>0</v>
      </c>
      <c r="D26754" t="inlineStr">
        <is>
          <t>Pelle de Nidas; Amulette du Strigide; Anneau de Padgref; Alliance Gloursonne; Quatre-feuilles; Ceinture du Strigide; Némès de Tal Kasha; Chevelure de Tal Kasha; Sandales de Tal Kasha; Dofus Pourpre; Dofus des Glaces; Dofus Turquoise; Dofus Abyssal; Dolmanax; Dofus Ocre; Muldo Ebène et Indigo</t>
        </is>
      </c>
    </row>
    <row r="26755">
      <c r="A26755" t="inlineStr">
        <is>
          <t>Full agi</t>
        </is>
      </c>
      <c r="B26755">
        <f>HYPERLINK("https://www.dofusbook.net/fr/equipement/2188737-full-agi/objets", "link")</f>
        <v/>
      </c>
      <c r="C26755" t="n">
        <v>0</v>
      </c>
      <c r="D26755" t="inlineStr">
        <is>
          <t>Manthache; Collier du Valet Veinard; Alliance Gloursonne; Gant du Valet Veinard; Bouclier du Stalak; Menoture; Masque de Klime; Cape Indescriptible; Palmes Trithons; Dofus Pourpre; Dolmanax; Cascadeur majeur; Vigoureux majeur; Nomade; Remueur; Croum</t>
        </is>
      </c>
    </row>
    <row r="26756">
      <c r="A26756" t="inlineStr">
        <is>
          <t>Stuf eau do pou</t>
        </is>
      </c>
      <c r="B26756">
        <f>HYPERLINK("https://www.dofusbook.net/fr/equipement/1078330-stuf-eau-do-pou/objets", "link")</f>
        <v/>
      </c>
      <c r="C26756" t="n">
        <v>1</v>
      </c>
      <c r="D26756" t="inlineStr">
        <is>
          <t>Dagoulinantes; Amulette du Sinistrofu; Alliance Gloursonne; Bague Trithon; Bouclier précieux; Sangle Ouare; Masque Trithon; Cape des Malveilleurs; Sandales Circulaires du Kimbo; Dofus Pourpre; Dokoko; Dofus Émeraude; Culbuteur majeur; Bousculeur majeur; Remueur; Muldo Ebène et Pourpre</t>
        </is>
      </c>
    </row>
    <row r="26757">
      <c r="A26757" t="inlineStr">
        <is>
          <t>Eau/ret pm</t>
        </is>
      </c>
      <c r="B26757">
        <f>HYPERLINK("https://www.dofusbook.net/fr/equipement/2189082-eau-ret-pm/objets", "link")</f>
        <v/>
      </c>
      <c r="C26757" t="n">
        <v>2</v>
      </c>
      <c r="D26757" t="inlineStr">
        <is>
          <t>Baguette Hique; Amulette de Shokkoth; Alliance Gloursonne; Pikano; Bouclier cubiste; Ceinture Glaciale; Kidibonnet; Cape de la Dame du Hasard; Bottes de la Dame du Hasard; Remueur; Entraveur majeur; Nomade; Chanceux majeur; Ralentisseur majeur; Temporiseur majeur; Croum</t>
        </is>
      </c>
    </row>
    <row r="26758">
      <c r="A26758" t="inlineStr">
        <is>
          <t>Brulam</t>
        </is>
      </c>
      <c r="B26758">
        <f>HYPERLINK("https://www.dofusbook.net/fr/equipement/2137062-brulam/objets", "link")</f>
        <v/>
      </c>
      <c r="C26758" t="n">
        <v>0</v>
      </c>
      <c r="D26758" t="inlineStr">
        <is>
          <t>Marteau d'Henual; Amulette du Strigide; Alliance Brûlâme; Bague Gloursonne; Bouclier du Captain Amakna; Ceinture du Strigide; Masque Brûlâme; Voile d'encre; Pompes Funèbres; Dofus Pourpre; Dofus Abyssal; Dolmanax; Dofus Turquoise; Dofus Ocre; Dofus des Glaces; Muldo Orchidée et Pourpre</t>
        </is>
      </c>
    </row>
    <row r="26759">
      <c r="A26759" t="inlineStr">
        <is>
          <t>Aztek</t>
        </is>
      </c>
      <c r="B26759">
        <f>HYPERLINK("https://www.dofusbook.net/fr/equipement/2088839-aztek/objets", "link")</f>
        <v/>
      </c>
      <c r="C26759" t="n">
        <v>0</v>
      </c>
      <c r="D26759" t="inlineStr">
        <is>
          <t>Arc de Koutoulou; Amulette du Strigide; Alliance Gloursonne; Anneau de Padgref; Quatre-feuilles; Ceintacé; Dorabysses; Chevelure de Tal Kasha; Sandales de Tal Kasha; Dofus Pourpre; Dofus Émeraude; Dofus Abyssal; Dofus Turquoise; Remueur; Nomade; Kramkram</t>
        </is>
      </c>
    </row>
    <row r="26760">
      <c r="A26760" t="inlineStr">
        <is>
          <t>Terre/air</t>
        </is>
      </c>
      <c r="B26760">
        <f>HYPERLINK("https://www.dofusbook.net/fr/equipement/259414-terre-air/objets", "link")</f>
        <v/>
      </c>
      <c r="C26760" t="n">
        <v>0</v>
      </c>
      <c r="D26760" t="inlineStr">
        <is>
          <t>Lance corrompue; Collier de Tourthon; Anneau des égarés; Alliance Gloursonne; Bouclier Aerdala; Ceinture de la Reine des Voleurs; Coiffe de la Reine des Voleurs; Cape au Logis; Baleinabottes; Dofus Nébuleux; Dofus Abyssal; Dofus des Glaces; Dofus Pourpre; Vigoureux majeur; Remueur; Kramkram</t>
        </is>
      </c>
    </row>
    <row r="26761">
      <c r="A26761" t="inlineStr">
        <is>
          <t>Trithon phossil</t>
        </is>
      </c>
      <c r="B26761">
        <f>HYPERLINK("https://www.dofusbook.net/fr/equipement/956850-trithon-phossil/objets", "link")</f>
        <v/>
      </c>
      <c r="C26761" t="n">
        <v>0</v>
      </c>
      <c r="D26761" t="inlineStr">
        <is>
          <t>Marteau Phossile; Amulette du Strigide; Bague Trithon; Kralano; Bouclier du Captain Amakna; Ceinture du Strigide; Masque Trithon; Voile d'encre; Bottes Trithon; Dofus Pourpre; Dofus des Glaces; Dofus Nébuleux; Dofus Émeraude; Dofus Turquoise; Dofus Ocre; Muldo Ebène et Orchidée</t>
        </is>
      </c>
    </row>
    <row r="26762">
      <c r="A26762" t="inlineStr">
        <is>
          <t>RDV</t>
        </is>
      </c>
      <c r="B26762">
        <f>HYPERLINK("https://www.dofusbook.net/fr/equipement/259431-rdv/objets", "link")</f>
        <v/>
      </c>
      <c r="C26762" t="n">
        <v>0</v>
      </c>
      <c r="D26762" t="inlineStr">
        <is>
          <t>Lance corrompue; Amulette du Cœur Vaillant; Anneau Crustique; Alliance Gloursonne; Bouclier Taverne; Ceinture de la Reine des Voleurs; Coiffe de la Reine des Voleurs; Cape au Logis; Pompes Funèbres; Dofus Turquoise; Dofus Ocre; Dofus des Glaces; Dofus Pourpre; Vigoureux majeur; Remueur; Croum</t>
        </is>
      </c>
    </row>
    <row r="26763">
      <c r="A26763" t="inlineStr">
        <is>
          <t>Strithon</t>
        </is>
      </c>
      <c r="B26763">
        <f>HYPERLINK("https://www.dofusbook.net/fr/equipement/1754286-strithon/objets", "link")</f>
        <v/>
      </c>
      <c r="C26763" t="n">
        <v>1</v>
      </c>
      <c r="D26763" t="inlineStr">
        <is>
          <t>Héqache; Amulette du Strigide; Bague Trithon; Alliance Gloursonne; Bouclier du Captain Amakna; Ceinture du Strigide; Masque Trithon; Voile d'encre; Bottes Trithon; Dofus Pourpre; Dofus Ocre; Dokoko; Dofus Abyssal; Dofus des Glaces; Dofus Turquoise; Muldo Ebène et Pourpre</t>
        </is>
      </c>
    </row>
    <row r="26764">
      <c r="A26764" t="inlineStr">
        <is>
          <t>Strithon</t>
        </is>
      </c>
      <c r="B26764">
        <f>HYPERLINK("https://www.dofusbook.net/fr/equipement/2008050-strithon/objets", "link")</f>
        <v/>
      </c>
      <c r="C26764" t="n">
        <v>0</v>
      </c>
      <c r="D26764" t="inlineStr">
        <is>
          <t>Héqache; Amulette du Strigide; Bague Trithon; Alliance Gloursonne; Bouclier du Captain Amakna; Ceinture du Strigide; Masque Trithon; Voile d'encre; Bottes Trithon; Dofus Ocre; Dofus Abyssal; Dolmanax; Dofus Turquoise; Dofus Pourpre; Dofus des Glaces; Muldo Ebène et Pourpre</t>
        </is>
      </c>
    </row>
    <row r="26765">
      <c r="A26765" t="inlineStr">
        <is>
          <t>Strithon</t>
        </is>
      </c>
      <c r="B26765">
        <f>HYPERLINK("https://www.dofusbook.net/fr/equipement/2001994-strithon/objets", "link")</f>
        <v/>
      </c>
      <c r="C26765" t="n">
        <v>0</v>
      </c>
      <c r="D26765" t="inlineStr">
        <is>
          <t>Hachoirs de Viandargh; Amulette du Strigide; Bague Trithon; Alliance Gloursonne; Bouclier du Captain Amakna; Ceinture du Strigide; Bottes Trithon; Dolmanax; Dofus Turquoise; Dofus Pourpre; Dofus des Glaces; Dofus Ocre; Dofus Abyssal; Muldo Prune et Ebène</t>
        </is>
      </c>
    </row>
    <row r="26766">
      <c r="A26766" t="inlineStr">
        <is>
          <t>Stuff 2</t>
        </is>
      </c>
      <c r="B26766">
        <f>HYPERLINK("https://www.dofusbook.net/fr/equipement/259427-stuff-2/objets", "link")</f>
        <v/>
      </c>
      <c r="C26766" t="n">
        <v>0</v>
      </c>
      <c r="D26766" t="inlineStr">
        <is>
          <t>Baguette de Malléfisk; Amulette d'Otomaï; Anneau de Nidas; Anneau Tique; Carapar; Ceinture de Vortex; Couronne de Nidas; Cape de Diondin; Bottes Innommables; Dokoko; Déserteur majeur; Miraculé majeur; Remueur; Érudit majeur; Guérisseur majeur; Muldo Orchidée et Pourpre</t>
        </is>
      </c>
    </row>
    <row r="26767">
      <c r="A26767" t="inlineStr">
        <is>
          <t>Air CC</t>
        </is>
      </c>
      <c r="B26767">
        <f>HYPERLINK("https://www.dofusbook.net/fr/equipement/1862379-air-cc/objets", "link")</f>
        <v/>
      </c>
      <c r="C26767" t="n">
        <v>1</v>
      </c>
      <c r="D26767" t="inlineStr">
        <is>
          <t>Hachoirs de Viandargh; Amulette Voldelor; Alliance Gloursonne; Anneau de Padgref; Bouclier du Captain Amakna; Menoture; Dorabysses; Chevelure de Tal Kasha; Sandales de Tal Kasha; Dofus Turquoise; Dofus Abyssal; Dofus Pourpre; Cascadeur majeur; Vigoureux majeur; Remueur; Muldo Prune et Ebène</t>
        </is>
      </c>
    </row>
    <row r="26768">
      <c r="A26768" t="inlineStr">
        <is>
          <t>Triton</t>
        </is>
      </c>
      <c r="B26768">
        <f>HYPERLINK("https://www.dofusbook.net/fr/equipement/1863463-triton/objets", "link")</f>
        <v/>
      </c>
      <c r="C26768" t="n">
        <v>0</v>
      </c>
      <c r="D26768" t="inlineStr">
        <is>
          <t>Pelle de Nidas; Amulette du Strigide; Alliance Gloursonne; Bague Trithon; Bouclier du Captain Amakna; Menoture; Dorabysses; Chevelure de Tal Kasha; Bottes Trithon; Dofus Turquoise; Dofus Abyssal; Dofus Pourpre; Cascadeur majeur; Vigoureux majeur; Remueur; Muldo Prune et Ebène</t>
        </is>
      </c>
    </row>
    <row r="26769">
      <c r="A26769" t="inlineStr">
        <is>
          <t>feu/ret pm</t>
        </is>
      </c>
      <c r="B26769">
        <f>HYPERLINK("https://www.dofusbook.net/fr/equipement/1813947-feu-ret-pm/objets", "link")</f>
        <v/>
      </c>
      <c r="C26769" t="n">
        <v>0</v>
      </c>
      <c r="D26769" t="inlineStr">
        <is>
          <t>Marteau Phossile; Amulette du Strigide; Anneau de Padgref; Anneau Tique; Bouclier du Captain Amakna; Ceinture du Strigide; Coiffe de Padgref; Voile d'encre; Getas de Padgref; Dofus des Glaces; Dofus Turquoise; Dofus Ocre; Dofus Abyssal; Dofus Émeraude; Dofus Pourpre; Muldo Prune et Orchidée</t>
        </is>
      </c>
    </row>
    <row r="26770">
      <c r="A26770" t="inlineStr">
        <is>
          <t>PVM</t>
        </is>
      </c>
      <c r="B26770">
        <f>HYPERLINK("https://www.dofusbook.net/fr/equipement/1820818-pvm/objets", "link")</f>
        <v/>
      </c>
      <c r="C26770" t="n">
        <v>0</v>
      </c>
      <c r="D26770" t="inlineStr">
        <is>
          <t>Baguette Hique; Collier de la Dame du Hasard; Anneau Tamie; Anneau Tamie; Bouclier cubiste; Poulpagne; Casquette de Meno; Cape de Kongoku; Bottes de Meno; Dofus Pourpre; Remueur; Entraveur majeur; Ralentisseur majeur; Nomade; Temporiseur majeur; Kramkram</t>
        </is>
      </c>
    </row>
    <row r="26771">
      <c r="A26771" t="inlineStr">
        <is>
          <t>Strithon</t>
        </is>
      </c>
      <c r="B26771">
        <f>HYPERLINK("https://www.dofusbook.net/fr/equipement/1799946-strithon/objets", "link")</f>
        <v/>
      </c>
      <c r="C26771" t="n">
        <v>1</v>
      </c>
      <c r="D26771" t="inlineStr">
        <is>
          <t>Héqache; Amulette du Strigide; Alliance Gloursonne; Bague Trithon; Bouclier du Captain Amakna; Ceinture du Strigide; Masque Trithon; Voile d'encre; Bottes Trithon; Dofus Pourpre; Dofus Nébuleux; Dofus Turquoise; Dofus des Glaces; Dofus Abyssal; Dofus Ocre; Muldo Ebène et Pourpre</t>
        </is>
      </c>
    </row>
    <row r="26772">
      <c r="A26772" t="inlineStr">
        <is>
          <t>SHDFBS</t>
        </is>
      </c>
      <c r="B26772">
        <f>HYPERLINK("https://www.dofusbook.net/fr/equipement/1794061-shdfbs/objets", "link")</f>
        <v/>
      </c>
      <c r="C26772" t="n">
        <v>0</v>
      </c>
      <c r="D26772" t="inlineStr">
        <is>
          <t>Baguette de Malléfisk; Pendentif affamé; Anneau de Nidas; Anneau Tique; Carapar; Ceinture de Vortex; Couronne de Nidas; Cape de Diondin; Bottes Innommables; Dofus Turquoise; Dofus Émeraude; Carapace Feu majeur; Érudit majeur; Guérisseur majeur; Remueur; Muldo Indigo et Orchidée</t>
        </is>
      </c>
    </row>
    <row r="26773">
      <c r="A26773" t="inlineStr">
        <is>
          <t>feu/air</t>
        </is>
      </c>
      <c r="B26773">
        <f>HYPERLINK("https://www.dofusbook.net/fr/equipement/1793973-feu-air/objets", "link")</f>
        <v/>
      </c>
      <c r="C26773" t="n">
        <v>0</v>
      </c>
      <c r="D26773" t="inlineStr">
        <is>
          <t>Marteau Phossile; Pendentif mignon de Koutoulou; Anneau de Padgref; Anneau Rifique; Bouclier du Captain Amakna; Ceinture de Vortex; Dorabysses; Cape de Diondin; Pantoufles Émar; Dofus Pourpre; Dofus Turquoise; Nomade; Temporiseur majeur; Remueur; Érudit majeur; Muldo Orchidée et Pourpre</t>
        </is>
      </c>
    </row>
    <row r="26774">
      <c r="A26774" t="inlineStr">
        <is>
          <t>air 44 CC</t>
        </is>
      </c>
      <c r="B26774">
        <f>HYPERLINK("https://www.dofusbook.net/fr/equipement/1781959-air-44-cc/objets", "link")</f>
        <v/>
      </c>
      <c r="C26774" t="n">
        <v>0</v>
      </c>
      <c r="D26774" t="inlineStr">
        <is>
          <t>Manthache; Amibou; Alliance Gloursonne; Anneau de Padgref; Quatre-feuilles; Menoture; Dorabysses; Capibou; Bottes de l'Indicible; Dofus des Glaces; Dofus Turquoise; Dévastateur Air majeur; Remueur; Cascadeur majeur; Miraculé majeur; Muldo Ebène et Pourpre</t>
        </is>
      </c>
    </row>
    <row r="26775">
      <c r="A26775" t="inlineStr">
        <is>
          <t>Full chance</t>
        </is>
      </c>
      <c r="B26775">
        <f>HYPERLINK("https://www.dofusbook.net/fr/equipement/1768482-full-chance/objets", "link")</f>
        <v/>
      </c>
      <c r="C26775" t="n">
        <v>0</v>
      </c>
      <c r="D26775" t="inlineStr">
        <is>
          <t>Sceptre du Roi Joueur; Amulette de Shokkoth; Alliance Gloursonne; Bracelet des Fonds marins; Quatre-feuilles; Poulpagne; Casquette de Meno; Cape de la Dame du Hasard; Bottes de la Dame du Hasard; Dofus Turquoise; Dofus Nébuleux; Dofus des Glaces; Dofus Pourpre; Nomade; Remueur; Kramkram</t>
        </is>
      </c>
    </row>
    <row r="26776">
      <c r="A26776" t="inlineStr">
        <is>
          <t>Triton</t>
        </is>
      </c>
      <c r="B26776">
        <f>HYPERLINK("https://www.dofusbook.net/fr/equipement/1284816-triton/objets", "link")</f>
        <v/>
      </c>
      <c r="C26776" t="n">
        <v>0</v>
      </c>
      <c r="D26776" t="inlineStr">
        <is>
          <t>Épouvante; Amulette du Strigide; Alliance Gloursonne; Bague Trithon; Bouclier du Captain Amakna; Ceinture du Strigide; Masque Trithon; Voile d'encre; Bottes Trithon; Dofus Pourpre; Dofus des Glaces; Dofus Turquoise; Dofus Nébuleux; Dofus Abyssal; Dofus Ocre; Muldo Ebène et Pourpre</t>
        </is>
      </c>
    </row>
    <row r="26777">
      <c r="A26777" t="inlineStr">
        <is>
          <t>Vita/Res</t>
        </is>
      </c>
      <c r="B26777">
        <f>HYPERLINK("https://www.dofusbook.net/fr/equipement/1765068-vita-res/objets", "link")</f>
        <v/>
      </c>
      <c r="C26777" t="n">
        <v>0</v>
      </c>
      <c r="D26777" t="inlineStr">
        <is>
          <t>Dagoulinantes; Amulette du Sinistrofu; Bague Trithon; Alliance Gloursonne; Bouclier précieux; Sangle Ouare; Masque d'Anerice; Cape d'Anerice; Sandales des Fonds marins; Dofus Ocre; Dofus Émeraude; Bousculeur majeur; Miraculé majeur; Culbuteur majeur; Remueur; Muldo Prune et Ebène</t>
        </is>
      </c>
    </row>
    <row r="26778">
      <c r="A26778" t="inlineStr">
        <is>
          <t>Vita/Res</t>
        </is>
      </c>
      <c r="B26778">
        <f>HYPERLINK("https://www.dofusbook.net/fr/equipement/1765060-vita-res/objets", "link")</f>
        <v/>
      </c>
      <c r="C26778" t="n">
        <v>1</v>
      </c>
      <c r="D26778" t="inlineStr">
        <is>
          <t>Lav'Hache; Amulette du Sinistrofu; Alliance Gloursonne; Bague Trithon; Bouclier précieux; Sangle Ouare; Masque d'Anerice; Cape d'Anerice; Pataugastrique; Dofus Émeraude; Dofus Ivoire; Culbuteur majeur; Bousculeur majeur; Remueur; Miraculé majeur; Péki</t>
        </is>
      </c>
    </row>
    <row r="26779">
      <c r="A26779" t="inlineStr">
        <is>
          <t>Strithon</t>
        </is>
      </c>
      <c r="B26779">
        <f>HYPERLINK("https://www.dofusbook.net/fr/equipement/1764552-strithon/objets", "link")</f>
        <v/>
      </c>
      <c r="C26779" t="n">
        <v>1</v>
      </c>
      <c r="D26779" t="inlineStr">
        <is>
          <t>Héqache; Amulette du Strigide; Alliance Gloursonne; Bague Trithon; Bouclier du Captain Amakna; Ceinture du Strigide; Masque Trithon; Voile d'encre; Bottes Trithon; Dofus Turquoise; Dofus Émeraude; Dofus Ocre; Dofus Pourpre; Dofus des Glaces; Dofus Abyssal; Muldo Ebène et Pourpre</t>
        </is>
      </c>
    </row>
    <row r="26780">
      <c r="A26780" t="inlineStr">
        <is>
          <t>WDFHG</t>
        </is>
      </c>
      <c r="B26780">
        <f>HYPERLINK("https://www.dofusbook.net/fr/equipement/665472-wdfhg/objets", "link")</f>
        <v/>
      </c>
      <c r="C26780" t="n">
        <v>0</v>
      </c>
      <c r="D26780" t="inlineStr">
        <is>
          <t>Hachoirs de Viandargh; Amulette du Strigide; Anneau de Padgref; Alliance Gloursonne; Bouclier du Captain Amakna; Ceintacé; Dorabysses; Chevelure de Tal Kasha; Sandales de Tal Kasha; Dofus des Glaces; Dofus Pourpre; Dofus Abyssal; Dofus Turquoise; Nomade; Remueur; Kramkram</t>
        </is>
      </c>
    </row>
    <row r="26781">
      <c r="A26781" t="inlineStr">
        <is>
          <t>air 44 CC</t>
        </is>
      </c>
      <c r="B26781">
        <f>HYPERLINK("https://www.dofusbook.net/fr/equipement/1746926-air-44-cc/objets", "link")</f>
        <v/>
      </c>
      <c r="C26781" t="n">
        <v>0</v>
      </c>
      <c r="D26781" t="inlineStr">
        <is>
          <t>Manthache; Amulette du Strigide; Anneau de Padgref; Alliance Gloursonne; Quatre-feuilles; Ceinture du Strigide; Dorabysses; Cape Indescriptible; Palmes Trithons; Dofus Turquoise; Dofus Pourpre; Dofus Ocre; Nomade; Cascadeur majeur; Remueur; Croum</t>
        </is>
      </c>
    </row>
    <row r="26782">
      <c r="A26782" t="inlineStr">
        <is>
          <t>Full force</t>
        </is>
      </c>
      <c r="B26782">
        <f>HYPERLINK("https://www.dofusbook.net/fr/equipement/1746880-full-force/objets", "link")</f>
        <v/>
      </c>
      <c r="C26782" t="n">
        <v>0</v>
      </c>
      <c r="D26782" t="inlineStr">
        <is>
          <t>Arc du Chalœil; Amulette du Strigide; Bague Gloursonne; Anneau Chevelu; Quatre-feuilles; Ceinture de la Reine des Voleurs; Coiffe de la Reine des Voleurs; Cape au Logis; Sabots Minables; Dofus Pourpre; Dofus Turquoise; Dofus Abyssal; Remueur; Vigoureux majeur; Enragé majeur; Croum</t>
        </is>
      </c>
    </row>
    <row r="26783">
      <c r="A26783" t="inlineStr">
        <is>
          <t>air/do pou</t>
        </is>
      </c>
      <c r="B26783">
        <f>HYPERLINK("https://www.dofusbook.net/fr/equipement/1738620-air-do-pou/objets", "link")</f>
        <v/>
      </c>
      <c r="C26783" t="n">
        <v>0</v>
      </c>
      <c r="D26783" t="inlineStr">
        <is>
          <t>Hachoirs de Viandargh; Amibou; Bague Trithon; Alliance Gloursonne; Bivalve; Menoture; Casque Dragoeuf; Capibou; Bottes des Malveilleurs; Dofus Pourpre; Remueur; Bousculeur majeur; Pousseur majeur; Culbuteur majeur; Cascadeur majeur; Muldo Ebène et Indigo</t>
        </is>
      </c>
    </row>
    <row r="26784">
      <c r="A26784" t="inlineStr">
        <is>
          <t>ret pa</t>
        </is>
      </c>
      <c r="B26784">
        <f>HYPERLINK("https://www.dofusbook.net/fr/equipement/1147582-ret-pa/objets", "link")</f>
        <v/>
      </c>
      <c r="C26784" t="n">
        <v>0</v>
      </c>
      <c r="D26784" t="inlineStr">
        <is>
          <t>Arc de Koutoulou; Amulette du Strigide; Anneau de Padgref; Alliance Gloursonne; Quatre-feuilles; Ceinture du Strigide; Némès de Tal Kasha; Chevelure de Tal Kasha; Sandales de Tal Kasha; Dofus Nébuleux; Dofus Turquoise; Dolmanax; Dofus Ocre; Dofus Pourpre; Dofus des Glaces; Muldo Ebène et Indigo</t>
        </is>
      </c>
    </row>
    <row r="26785">
      <c r="A26785" t="inlineStr">
        <is>
          <t>air 44 CC</t>
        </is>
      </c>
      <c r="B26785">
        <f>HYPERLINK("https://www.dofusbook.net/fr/equipement/1720252-air-44-cc/objets", "link")</f>
        <v/>
      </c>
      <c r="C26785" t="n">
        <v>0</v>
      </c>
      <c r="D26785" t="inlineStr">
        <is>
          <t>Hachoirs de Viandargh; Amulette du Strigide; Anneau de Padgref; Alliance Gloursonne; Quatre-feuilles; Ceinture du Strigide; Dorabysses; Cape Indescriptible; Palmes Trithons; Dofus Ocre; Dofus Turquoise; Dofus des Glaces; Remueur; Nomade; Vigoureux majeur; Kramkram</t>
        </is>
      </c>
    </row>
    <row r="26786">
      <c r="A26786" t="inlineStr">
        <is>
          <t>Terre/feu ret pm</t>
        </is>
      </c>
      <c r="B26786">
        <f>HYPERLINK("https://www.dofusbook.net/fr/equipement/259435-terre-feu-ret-pm/objets", "link")</f>
        <v/>
      </c>
      <c r="C26786" t="n">
        <v>0</v>
      </c>
      <c r="D26786" t="inlineStr">
        <is>
          <t>Arc Hétype; Pendentif affamé; Chevalière du Roi Joueur; Bague Gloursonne; Bouclier cubiste; Ceintacé; Couronne du Roi Joueur; Voile d'encre; Bottes du Lévitrof; Dofus Pourpre; Dofus Turquoise; Déserteur majeur; Remueur; Érudit majeur; Nomade; Kramkram</t>
        </is>
      </c>
    </row>
    <row r="26787">
      <c r="A26787" t="inlineStr">
        <is>
          <t>eau/feu ret</t>
        </is>
      </c>
      <c r="B26787">
        <f>HYPERLINK("https://www.dofusbook.net/fr/equipement/259453-eau-feu-ret/objets", "link")</f>
        <v/>
      </c>
      <c r="C26787" t="n">
        <v>0</v>
      </c>
      <c r="D26787" t="inlineStr">
        <is>
          <t>Arc Nécrotique; Talisman Igans; Anneau Tique; Alliance Gloursonne; Quatre-feuilles; Ceintrigue; Casquette de Meno; Cape d'Atcham; Pataugastrique; Dofus Turquoise; Dofus Pourpre; Étourdisseur majeur; Remueur; Érudit majeur; Guérisseur majeur; Muldo Orchidée</t>
        </is>
      </c>
    </row>
    <row r="26788">
      <c r="A26788" t="inlineStr">
        <is>
          <t>intel/chance</t>
        </is>
      </c>
      <c r="B26788">
        <f>HYPERLINK("https://www.dofusbook.net/fr/equipement/259442-intel-chance/objets", "link")</f>
        <v/>
      </c>
      <c r="C26788" t="n">
        <v>0</v>
      </c>
      <c r="D26788" t="inlineStr">
        <is>
          <t>Pyraguette; Talisman Igans; Alliance Gloursonne; Anneauræus; Bouclier du Stalak; Ceintrigue; Casqnoar; Voile d'encre; Pataugastrique; Dofus Émeraude; Dofus Pourpre; Dofus des Glaces; Sanguinaire majeur; Érudit majeur; Remueur; Muldo Indigo et Orchidée</t>
        </is>
      </c>
    </row>
    <row r="26789">
      <c r="A26789" t="inlineStr">
        <is>
          <t>air 44 CC</t>
        </is>
      </c>
      <c r="B26789">
        <f>HYPERLINK("https://www.dofusbook.net/fr/equipement/1125974-air-44-cc/objets", "link")</f>
        <v/>
      </c>
      <c r="C26789" t="n">
        <v>1</v>
      </c>
      <c r="D26789" t="inlineStr">
        <is>
          <t>Hachoirs de Viandargh; Amulette du Strigide; Anneau de Padgref; Alliance Gloursonne; Quatre-feuilles; Ceinture du Strigide; Dorabysses; Cape Indescriptible; Palmes Trithons; Dofus Turquoise; Dofus des Glaces; Dofus Ocre; Nomade; Dévastateur Air majeur; Remueur; Kramkram</t>
        </is>
      </c>
    </row>
    <row r="26790">
      <c r="A26790" t="inlineStr">
        <is>
          <t>full 40 eau/feu</t>
        </is>
      </c>
      <c r="B26790">
        <f>HYPERLINK("https://www.dofusbook.net/fr/equipement/1671029-full-40-eau-feu/objets", "link")</f>
        <v/>
      </c>
      <c r="C26790" t="n">
        <v>2</v>
      </c>
      <c r="D26790" t="inlineStr">
        <is>
          <t>Arc Nécrotique; Talisman Igans; Anneau Tique; Alliance Gloursonne; Quatre-feuilles; Ceintacé; Casque Dragoeuf; Cape de la Dame du Hasard; Bottes de la Dame du Hasard; Dofus Turquoise; Dofus Pourpre; Remueur; Érudit majeur; Étourdisseur majeur; Guérisseur majeur; Muldo Orchidée</t>
        </is>
      </c>
    </row>
    <row r="26791">
      <c r="A26791" t="inlineStr">
        <is>
          <t>Stuff 3</t>
        </is>
      </c>
      <c r="B26791">
        <f>HYPERLINK("https://www.dofusbook.net/fr/equipement/259455-stuff-3/objets", "link")</f>
        <v/>
      </c>
      <c r="C26791" t="n">
        <v>0</v>
      </c>
      <c r="D26791" t="inlineStr">
        <is>
          <t>Arc Nécrotique; Talisman Igans; Alliance Gloursonne; Anneau Tique; Quatre-feuilles; Ceintacé; Casquette de Meno; Cape d'Atcham; Sandales  d'Atcham; Dofus Turquoise; Dofus Pourpre; Étourdisseur majeur; Vigoureux majeur; Remueur; Érudit majeur</t>
        </is>
      </c>
    </row>
    <row r="26792">
      <c r="A26792" t="inlineStr">
        <is>
          <t>air/do pou</t>
        </is>
      </c>
      <c r="B26792">
        <f>HYPERLINK("https://www.dofusbook.net/fr/equipement/1666332-air-do-pou/objets", "link")</f>
        <v/>
      </c>
      <c r="C26792" t="n">
        <v>0</v>
      </c>
      <c r="D26792" t="inlineStr">
        <is>
          <t>Manthache; Amibou; Anneau de Padgref; Alliance Gloursonne; Quatre-feuilles; Menoture; Masque d'Anerice; Capibou; Bottes de l'Indicible; Dofus des Glaces; Dofus Turquoise; Miraculé majeur; Cascadeur majeur; Remueur; Dévastateur Air majeur; Muldo Ebène et Pourpre</t>
        </is>
      </c>
    </row>
    <row r="26793">
      <c r="A26793" t="inlineStr">
        <is>
          <t>test</t>
        </is>
      </c>
      <c r="B26793">
        <f>HYPERLINK("https://www.dofusbook.net/fr/equipement/668004-test/objets", "link")</f>
        <v/>
      </c>
      <c r="C26793" t="n">
        <v>0</v>
      </c>
      <c r="D26793" t="inlineStr">
        <is>
          <t>Canne Harr; Amulette du Strigide; Anneau de Padgref; Anneau Tique; Sept ans de malheur; Ceinture de Vortex; Cagoule de Vortex; Cape d'Atcham; Pataugastrique; Dofus Turquoise; Dofus Pourpre; Dofus Abyssal; Temporiseur majeur; Étourdisseur majeur; Remueur; Muldo Orchidée</t>
        </is>
      </c>
    </row>
    <row r="26794">
      <c r="A26794" t="inlineStr">
        <is>
          <t>Strithon</t>
        </is>
      </c>
      <c r="B26794">
        <f>HYPERLINK("https://www.dofusbook.net/fr/equipement/1658075-strithon/objets", "link")</f>
        <v/>
      </c>
      <c r="C26794" t="n">
        <v>5</v>
      </c>
      <c r="D26794" t="inlineStr">
        <is>
          <t>Héqache; Amulette du Strigide; Alliance Gloursonne; Bague Trithon; Sept ans de malheur; Ceinture du Strigide; Masque Trithon; Voile d'encre; Bottes Trithon; Dofus Turquoise; Dofus Ocre; Dofus des Glaces; Dofus Pourpre; Dofus Abyssal; Paralyseur majeur; Muldo Ebène</t>
        </is>
      </c>
    </row>
    <row r="26795">
      <c r="A26795" t="inlineStr">
        <is>
          <t>terre/feu pas cher 1</t>
        </is>
      </c>
      <c r="B26795">
        <f>HYPERLINK("https://www.dofusbook.net/fr/equipement/259422-terre-feu-pas-cher-1/objets", "link")</f>
        <v/>
      </c>
      <c r="C26795" t="n">
        <v>1</v>
      </c>
      <c r="D26795" t="inlineStr">
        <is>
          <t>Epée Toche; Amulette du Strigide; Bague Gloursonne; Chevalière du Roi Joueur; Bouclier du Captain Amakna; Ceintacé; Chapeau de Gein; Voile d'encre; Bottes du Strigide; Dofus Pourpre; Dofus Turquoise; Dofus des Glaces; Vigoureux majeur; Nomade; Remueur; Kramkram</t>
        </is>
      </c>
    </row>
    <row r="26796">
      <c r="A26796" t="inlineStr">
        <is>
          <t>Full force</t>
        </is>
      </c>
      <c r="B26796">
        <f>HYPERLINK("https://www.dofusbook.net/fr/equipement/259420-full-force-/objets", "link")</f>
        <v/>
      </c>
      <c r="C26796" t="n">
        <v>0</v>
      </c>
      <c r="D26796" t="inlineStr">
        <is>
          <t>Arc du Chalœil; Collier de Tourthon; Anneau Chevelu; Anneau Crustique; Quatre-feuilles; Ceinture de la Cour Sombre; Masque de Koutoulou; Voile d'encre; Bottes de la Cour Sombre; Dofus Pourpre; Dofus Turquoise; Remueur; Nomade; Enragé majeur; Vigoureux majeur; Croum</t>
        </is>
      </c>
    </row>
    <row r="26797">
      <c r="A26797" t="inlineStr">
        <is>
          <t>terre/feu pas cher 2</t>
        </is>
      </c>
      <c r="B26797">
        <f>HYPERLINK("https://www.dofusbook.net/fr/equipement/956848-terre-feu-pas-cher-2/objets", "link")</f>
        <v/>
      </c>
      <c r="C26797" t="n">
        <v>0</v>
      </c>
      <c r="D26797" t="inlineStr">
        <is>
          <t>Epée Toche; Amulette du Strigide; Bague Gloursonne; Chevalière du Roi Joueur; Bouclier du Captain Amakna; Ceinture du Strigide; Chapeau de Gein; Voile d'encre; Baleinabottes; Dofus Pourpre; Dofus Abyssal; Dofus Nébuleux; Dofus Turquoise; Nomade; Remueur; Kramkram</t>
        </is>
      </c>
    </row>
    <row r="26798">
      <c r="A26798" t="inlineStr">
        <is>
          <t>feu/terre 12/6</t>
        </is>
      </c>
      <c r="B26798">
        <f>HYPERLINK("https://www.dofusbook.net/fr/equipement/955962-feu-terre-12-6/objets", "link")</f>
        <v/>
      </c>
      <c r="C26798" t="n">
        <v>1</v>
      </c>
      <c r="D26798" t="inlineStr">
        <is>
          <t>Epée Gloursonne; Amulette du Strigide; Bague Gloursonne; Alliance Gloursonne; Bouclier du Captain Amakna; Ceinture du Strigide; Couronne du Roi Joueur; Voile d'encre; Bottes du Strigide; Dofus Turquoise; Dofus Nébuleux; Dofus Ocre; Dofus Abyssal; Dofus Pourpre; Dofus des Glaces; Muldo Indigo et Pourpre</t>
        </is>
      </c>
    </row>
    <row r="26799">
      <c r="A26799" t="inlineStr">
        <is>
          <t>Terre/feu ret joueur</t>
        </is>
      </c>
      <c r="B26799">
        <f>HYPERLINK("https://www.dofusbook.net/fr/equipement/1652548-terre-feu-ret-joueur/objets", "link")</f>
        <v/>
      </c>
      <c r="C26799" t="n">
        <v>0</v>
      </c>
      <c r="D26799" t="inlineStr">
        <is>
          <t>Arc Hétype; Amulette du Cycloïde; Bague Gloursonne; Chevalière du Roi Joueur; Sept ans de malheur; Menoture; Couronne du Roi Joueur; Voile d'encre; Chaussons du Comte Razof; Dofus Turquoise; Temporiseur majeur; Étourdisseur majeur; Remueur; Obstructeur majeur; Nomade; Kramkram</t>
        </is>
      </c>
    </row>
    <row r="26800">
      <c r="A26800" t="inlineStr">
        <is>
          <t>Terre/feu ret</t>
        </is>
      </c>
      <c r="B26800">
        <f>HYPERLINK("https://www.dofusbook.net/fr/equipement/259413-terre-feu-ret/objets", "link")</f>
        <v/>
      </c>
      <c r="C26800" t="n">
        <v>0</v>
      </c>
      <c r="D26800" t="inlineStr">
        <is>
          <t>Arc Hétype; Pendentif affamé; Chevalière du Roi Joueur; Bague Gloursonne; Sept ans de malheur; Ceintacé; Chapeau du Comte Razof; Voile d'encre; Chaussons du Comte Razof; Dofus Émeraude; Temporiseur majeur; Érudit majeur; Remueur; Étourdisseur majeur; Obstructeur majeur; Muldo Ebène et Orchidée</t>
        </is>
      </c>
    </row>
    <row r="26801">
      <c r="A26801" t="inlineStr">
        <is>
          <t>Pouplie</t>
        </is>
      </c>
      <c r="B26801">
        <f>HYPERLINK("https://www.dofusbook.net/fr/equipement/259412-pouplie/objets", "link")</f>
        <v/>
      </c>
      <c r="C26801" t="n">
        <v>0</v>
      </c>
      <c r="D26801" t="inlineStr">
        <is>
          <t>Héqache; Amulette du Strigide; Bracelet du Piloztère; Alliance Gloursonne; Sept ans de malheur; Ceintouse; Chapoulpe; Cape du Chalœil; Baleinabottes; Dofus Pourpre; Dofus Abyssal; Dofus Turquoise; Étourdisseur majeur; Remueur; Cascadeur majeur; Muldo Ebène et Indigo</t>
        </is>
      </c>
    </row>
    <row r="26802">
      <c r="A26802" t="inlineStr">
        <is>
          <t>poupli/valet</t>
        </is>
      </c>
      <c r="B26802">
        <f>HYPERLINK("https://www.dofusbook.net/fr/equipement/845040-poupli-valet/objets", "link")</f>
        <v/>
      </c>
      <c r="C26802" t="n">
        <v>1</v>
      </c>
      <c r="D26802" t="inlineStr">
        <is>
          <t>Hache Ériphe; Collier du Valet Veinard; Gant du Valet Veinard; Anneau Crustique; Sept ans de malheur; Ceintouse; Chapoulpe; Cape du Valet Veinard; Tentassons; Dolmanax; Dofus Abyssal; Dofus Pourpre; Dofus Ocre; Dofus Émeraude; Dofus des Glaces; Muldo Ebène et Indigo</t>
        </is>
      </c>
    </row>
    <row r="26803">
      <c r="A26803" t="inlineStr">
        <is>
          <t>RDV</t>
        </is>
      </c>
      <c r="B26803">
        <f>HYPERLINK("https://www.dofusbook.net/fr/equipement/1094390-rdv/objets", "link")</f>
        <v/>
      </c>
      <c r="C26803" t="n">
        <v>3</v>
      </c>
      <c r="D26803" t="inlineStr">
        <is>
          <t>Marteau R'ture; Amulette du Strigide; Alliance Gloursonne; Anneau Crustique; Sept ans de malheur; Ceintacé; Coiffe de la Reine des Voleurs; Cape du Kamasterisk; Bottes de la Reine des Voleurs; Dofus Turquoise; Dofus Abyssal; Dofus Pourpre; Dofus des Glaces; Étourdisseur majeur; Remueur; Muldo Orchidée</t>
        </is>
      </c>
    </row>
    <row r="26804">
      <c r="A26804" t="inlineStr">
        <is>
          <t>feu/terre</t>
        </is>
      </c>
      <c r="B26804">
        <f>HYPERLINK("https://www.dofusbook.net/fr/equipement/1657527-feu-terre/objets", "link")</f>
        <v/>
      </c>
      <c r="C26804" t="n">
        <v>0</v>
      </c>
      <c r="D26804" t="inlineStr">
        <is>
          <t>Epée Toche; Amulette du Strigide; Chevalière du Roi Joueur; Bague Gloursonne; Bouclier du Captain Amakna; Ceintacé; Chapeau de Gein; Voile d'encre; Bottes du Strigide; Dofus Turquoise; Dofus des Glaces; Dofus Pourpre; Vigoureux majeur; Remueur; Nomade; Kramkram</t>
        </is>
      </c>
    </row>
    <row r="26805">
      <c r="A26805" t="inlineStr">
        <is>
          <t>full fo</t>
        </is>
      </c>
      <c r="B26805">
        <f>HYPERLINK("https://www.dofusbook.net/fr/equipement/1645184-full-fo/objets", "link")</f>
        <v/>
      </c>
      <c r="C26805" t="n">
        <v>0</v>
      </c>
      <c r="D26805" t="inlineStr">
        <is>
          <t>Marteau R'ture; Collier de Tourthon; Anneau Crustique; Anneau de Brouce; Bouclier du Captain Amakna; Ceinture de Brouce; Masque de Koutoulou; Cape au Logis; Bottes de Brouce; Dofus Nébuleux; Dolmanax; Dofus Turquoise; Dofus des Glaces; Dofus Pourpre; Dofus Abyssal; Croum</t>
        </is>
      </c>
    </row>
    <row r="26806">
      <c r="A26806" t="inlineStr">
        <is>
          <t>Trithon</t>
        </is>
      </c>
      <c r="B26806">
        <f>HYPERLINK("https://www.dofusbook.net/fr/equipement/1645128-trithon/objets", "link")</f>
        <v/>
      </c>
      <c r="C26806" t="n">
        <v>0</v>
      </c>
      <c r="D26806" t="inlineStr">
        <is>
          <t>Hache du Guerrier Zoth; Amulette du Strigide; Bague Gloursonne; Bague Trithon; Bouclier du Captain Amakna; Ceinture du Strigide; Masque Trithon; Voile d'encre; Bottes Trithon; Dofus Nébuleux; Dofus Turquoise; Dolmanax; Dofus Ocre; Dofus des Glaces; Dofus Pourpre; Muldo Orchidée et Pourpre</t>
        </is>
      </c>
    </row>
    <row r="26807">
      <c r="A26807" t="inlineStr">
        <is>
          <t>Trithon</t>
        </is>
      </c>
      <c r="B26807">
        <f>HYPERLINK("https://www.dofusbook.net/fr/equipement/1639439-trithon/objets", "link")</f>
        <v/>
      </c>
      <c r="C26807" t="n">
        <v>0</v>
      </c>
      <c r="D26807" t="inlineStr">
        <is>
          <t>Hache du Chalœil; Amulette du Strigide; Bague Gloursonne; Bague Trithon; Quatre-feuilles; Ceinture du Strigide; Masque Trithon; Voile d'encre; Bottes Trithon; Dofus Ocre; Dofus des Glaces; Dofus Pourpre; Dofus Nébuleux; Dofus Turquoise; Dolmanax; Muldo Orchidée et Pourpre</t>
        </is>
      </c>
    </row>
    <row r="26808">
      <c r="A26808" t="inlineStr">
        <is>
          <t>full fo</t>
        </is>
      </c>
      <c r="B26808">
        <f>HYPERLINK("https://www.dofusbook.net/fr/equipement/1622157-full-fo/objets", "link")</f>
        <v/>
      </c>
      <c r="C26808" t="n">
        <v>0</v>
      </c>
      <c r="D26808" t="inlineStr">
        <is>
          <t>Dagues d'Ilyzaelle; Amulette du Strigide; Bague Gloursonne; Anneau Crustique; Bouclier du Captain Amakna; Ceinture du Strigide; Masque de Koutoulou; Cape au Logis; Bottes du Cœur Saignant; Dofus des Glaces; Dofus Pourpre; Dofus Nébuleux; Dofus Turquoise; Remueur; Enragé majeur; Kompost</t>
        </is>
      </c>
    </row>
    <row r="26809">
      <c r="A26809" t="inlineStr">
        <is>
          <t>padgref</t>
        </is>
      </c>
      <c r="B26809">
        <f>HYPERLINK("https://www.dofusbook.net/fr/equipement/591349-padgref/objets", "link")</f>
        <v/>
      </c>
      <c r="C26809" t="n">
        <v>0</v>
      </c>
      <c r="D26809" t="inlineStr">
        <is>
          <t>Arc de Koutoulou; Amulette du Strigide; Bracelet du Piloztère; Alliance Gloursonne; Quatre-feuilles; Ceintacé; Chapeau Lisson; Chevelure de Tal Kasha; Bottes du Strigide; Dofus Pourpre; Dofus des Glaces; Dofus Turquoise; Nomade; Vigoureux majeur; Remueur; Kramkram</t>
        </is>
      </c>
    </row>
    <row r="26810">
      <c r="A26810" t="inlineStr">
        <is>
          <t>stuffpo</t>
        </is>
      </c>
      <c r="B26810">
        <f>HYPERLINK("https://www.dofusbook.net/fr/equipement/1606797-stuffpo/objets", "link")</f>
        <v/>
      </c>
      <c r="C26810" t="n">
        <v>1</v>
      </c>
      <c r="D26810" t="inlineStr">
        <is>
          <t>Héqache; Amulette du Strigide; Pikano; Alliance Gloursonne; Quatre-feuilles; Ceinture du Strigide; Coiffe de la Reine des Voleurs; Cape au Logis; Baleinabottes; Dofus Turquoise; Dofus Pourpre; Dofus des Glaces; Vigoureux majeur; Remueur; Nomade; Kramkram</t>
        </is>
      </c>
    </row>
    <row r="26811">
      <c r="A26811" t="inlineStr">
        <is>
          <t>Trithon</t>
        </is>
      </c>
      <c r="B26811">
        <f>HYPERLINK("https://www.dofusbook.net/fr/equipement/1603529-trithon/objets", "link")</f>
        <v/>
      </c>
      <c r="C26811" t="n">
        <v>0</v>
      </c>
      <c r="D26811" t="inlineStr">
        <is>
          <t>Hache du Chalœil; Amulette Ementaire Deluxe; Anneau de Padgref; Alliance Gloursonne; Quatre-feuilles; Ceinture du Strigide; Masque Trithon; Voile d'encre; Bottes Trithon; Dofus Ocre; Dofus Turquoise; Dofus Pourpre; Dofus des Glaces; Remueur</t>
        </is>
      </c>
    </row>
    <row r="26812">
      <c r="A26812" t="inlineStr">
        <is>
          <t>Stuff 2</t>
        </is>
      </c>
      <c r="B26812">
        <f>HYPERLINK("https://www.dofusbook.net/fr/equipement/1506676-stuff-2/objets", "link")</f>
        <v/>
      </c>
      <c r="C26812" t="n">
        <v>0</v>
      </c>
      <c r="D26812" t="inlineStr">
        <is>
          <t>Arc Nécrotique; Talisman Igans; Anneau Tique; Bracelet des Fonds marins; Bouclier cubiste; Ceintrigue; Casquette de Meno; Cape de Meno; Bottes de Meno; Dofus Nébuleux; Dofus Pourpre; Dofus Ocre; Dofus Abyssal; Dofus des Glaces; Dofus Turquoise; Muldo Orchidée et Pourpre</t>
        </is>
      </c>
    </row>
    <row r="26813">
      <c r="A26813" t="inlineStr">
        <is>
          <t>Stuff 3</t>
        </is>
      </c>
      <c r="B26813">
        <f>HYPERLINK("https://www.dofusbook.net/fr/equipement/1258902-stuff-3/objets", "link")</f>
        <v/>
      </c>
      <c r="C26813" t="n">
        <v>0</v>
      </c>
      <c r="D26813" t="inlineStr">
        <is>
          <t>Arc Hétype; Amulette de Nileza; Anneau de Nidas; Anneau Tique; Bouclier cubiste; Ceinture de Vortex; Couronne de Nidas; Voile d'encre; Pataugastrique; Miraculé majeur; Érudit majeur; Remueur; Déserteur majeur; Savant majeur; Temporiseur majeur; Muldo Ebène et Pourpre</t>
        </is>
      </c>
    </row>
    <row r="26814">
      <c r="A26814" t="inlineStr">
        <is>
          <t>Air CC</t>
        </is>
      </c>
      <c r="B26814">
        <f>HYPERLINK("https://www.dofusbook.net/fr/equipement/1467220-air-cc/objets", "link")</f>
        <v/>
      </c>
      <c r="C26814" t="n">
        <v>3</v>
      </c>
      <c r="D26814" t="inlineStr">
        <is>
          <t>Manthache; Amulette Voldelor; Gant du Valet Veinard; Alliance Gloursonne; Quatre-feuilles; Menoture; Dorabysses; Chevelure de Tal Kasha; Sandales de Tal Kasha; Dofus Pourpre; Dofus des Glaces; Dofus Turquoise; Dévastateur Air majeur; Cascadeur majeur; Remueur; Muldo Prune et Ebène</t>
        </is>
      </c>
    </row>
    <row r="26815">
      <c r="A26815" t="inlineStr">
        <is>
          <t>Air CC</t>
        </is>
      </c>
      <c r="B26815">
        <f>HYPERLINK("https://www.dofusbook.net/fr/equipement/1467197-air-cc/objets", "link")</f>
        <v/>
      </c>
      <c r="C26815" t="n">
        <v>0</v>
      </c>
      <c r="D26815" t="inlineStr">
        <is>
          <t>Manthache; Amulette Voldelor; Gant du Valet Veinard; Alliance Gloursonne; Quatre-feuilles; Menoture; Capuche de Moum-Ra; Chevelure de Tal Kasha; Sandales de Tal Kasha; Dofus Pourpre; Dofus Abyssal; Dofus Turquoise; Nomade; Cascadeur majeur; Remueur; Croum</t>
        </is>
      </c>
    </row>
    <row r="26816">
      <c r="A26816" t="inlineStr">
        <is>
          <t>Aztek</t>
        </is>
      </c>
      <c r="B26816">
        <f>HYPERLINK("https://www.dofusbook.net/fr/equipement/1461561-aztek/objets", "link")</f>
        <v/>
      </c>
      <c r="C26816" t="n">
        <v>0</v>
      </c>
      <c r="D26816" t="inlineStr">
        <is>
          <t>Arc de Koutoulou; Amulette du Strigide; Anneau de Padgref; Alliance Gloursonne; Quatre-feuilles; Ceintacé; Dorabysses; Chevelure de Tal Kasha; Sandales de Tal Kasha; Dofus Turquoise; Dofus Pourpre; Dofus Émeraude; Dofus Abyssal; Remueur; Nomade; Kramkram</t>
        </is>
      </c>
    </row>
    <row r="26817">
      <c r="A26817" t="inlineStr">
        <is>
          <t>Aztek</t>
        </is>
      </c>
      <c r="B26817">
        <f>HYPERLINK("https://www.dofusbook.net/fr/equipement/1461154-aztek/objets", "link")</f>
        <v/>
      </c>
      <c r="C26817" t="n">
        <v>0</v>
      </c>
      <c r="D26817" t="inlineStr">
        <is>
          <t>Bâtonnet Ronien; Amulette du Strigide; Alliance Gloursonne; Anneau de Padgref; Quatre-feuilles; Ceintacé; Dorabysses; Chevelure de Tal Kasha; Sandales de Tal Kasha; Dofus Ivoire; Dofus Abyssal; Dofus Turquoise; Dofus Pourpre; Nomade; Remueur; Kramkram</t>
        </is>
      </c>
    </row>
    <row r="26818">
      <c r="A26818" t="inlineStr">
        <is>
          <t>air/eau</t>
        </is>
      </c>
      <c r="B26818">
        <f>HYPERLINK("https://www.dofusbook.net/fr/equipement/1453478-air-eau/objets", "link")</f>
        <v/>
      </c>
      <c r="C26818" t="n">
        <v>0</v>
      </c>
      <c r="D26818" t="inlineStr">
        <is>
          <t>Epée Gloursonne; Collier du Valet Veinard; Alliance Gloursonne; Bague Gloursonne; Bouclier du Stalak; Ceinture de la Reine des Voleurs; Coiffe de la Reine des Voleurs; Cape du Valet Veinard; Bottes de la Reine des Voleurs; Dofus Abyssal; Dofus Nébuleux; Dofus Pourpre; Dofus Ocre; Dofus des Glaces; Dolmanax; Muldo Ebène</t>
        </is>
      </c>
    </row>
    <row r="26819">
      <c r="A26819" t="inlineStr">
        <is>
          <t>feu/terre</t>
        </is>
      </c>
      <c r="B26819">
        <f>HYPERLINK("https://www.dofusbook.net/fr/equipement/1303981-feu-terre/objets", "link")</f>
        <v/>
      </c>
      <c r="C26819" t="n">
        <v>3</v>
      </c>
      <c r="D26819" t="inlineStr">
        <is>
          <t>Hache Téroïde; Amulette du Strigide; Bague Gloursonne; Bague Trithon; Bouclier du Captain Amakna; Ceinture du Strigide; Masque Trithon; Voile d'encre; Bottes Trithon; Dofus Pourpre; Dofus des Glaces; Dofus Émeraude; Dofus Abyssal; Dofus Ocre; Dofus Turquoise; Muldo Orchidée et Pourpre</t>
        </is>
      </c>
    </row>
    <row r="26820">
      <c r="A26820" t="inlineStr">
        <is>
          <t>panopli goul</t>
        </is>
      </c>
      <c r="B26820">
        <f>HYPERLINK("https://www.dofusbook.net/fr/equipement/1396090-panopli-goul/objets", "link")</f>
        <v/>
      </c>
      <c r="C26820" t="n">
        <v>0</v>
      </c>
      <c r="D26820" t="inlineStr">
        <is>
          <t>Hache Euvale; Amulette Luminescente; Pikano; Goulano; Goulclier; Ceinture Luminescente; Casque Dragoeuf; Cape Luminescente; Goulbottes; Dofus Turquoise; Dofus des Glaces; Dofus Émeraude; Dofus Abyssal; Pousseur majeur; Bousculeur majeur; Muldo Prune et Indigo</t>
        </is>
      </c>
    </row>
    <row r="26821">
      <c r="A26821" t="inlineStr">
        <is>
          <t>Triton</t>
        </is>
      </c>
      <c r="B26821">
        <f>HYPERLINK("https://www.dofusbook.net/fr/equipement/1314663-triton/objets", "link")</f>
        <v/>
      </c>
      <c r="C26821" t="n">
        <v>2</v>
      </c>
      <c r="D26821" t="inlineStr">
        <is>
          <t>Hache Téroïde; Amulette du Strigide; Bague Trithon; Bague Gloursonne; Bouclier du Captain Amakna; Ceinture du Strigide; Masque Trithon; Voile d'encre; Bottes Trithon; Dofus Nébuleux; Dofus Abyssal; Dofus Ocre; Dofus Pourpre; Dofus des Glaces; Dofus Turquoise; Muldo Orchidée et Pourpre</t>
        </is>
      </c>
    </row>
    <row r="26822">
      <c r="A26822" t="inlineStr">
        <is>
          <t>Triton</t>
        </is>
      </c>
      <c r="B26822">
        <f>HYPERLINK("https://www.dofusbook.net/fr/equipement/1293597-triton/objets", "link")</f>
        <v/>
      </c>
      <c r="C26822" t="n">
        <v>0</v>
      </c>
      <c r="D26822" t="inlineStr">
        <is>
          <t>Hache du Chalœil; Amulette du Strigide; Bague Trithon; Alliance Gloursonne; Quatre-feuilles; Ceinture du Strigide; Masque Trithon; Voile d'encre; Bottes Trithon; Dofus Nébuleux; Dofus Abyssal; Dofus Ocre; Dofus Pourpre; Dofus des Glaces; Dofus Turquoise; Muldo Prune et Pourpre</t>
        </is>
      </c>
    </row>
    <row r="26823">
      <c r="A26823" t="inlineStr">
        <is>
          <t>Stuff 3</t>
        </is>
      </c>
      <c r="B26823">
        <f>HYPERLINK("https://www.dofusbook.net/fr/equipement/352989-stuff-3/objets", "link")</f>
        <v/>
      </c>
      <c r="C26823" t="n">
        <v>0</v>
      </c>
      <c r="D26823" t="inlineStr">
        <is>
          <t>Baguette de Malléfisk; Amulette de Nileza; Anneau de Nidas; Anneau Tique; Carapar; Ceinture de Vortex; Couronne de Nidas; Voile d'encre; Pataugastrique; Dofus Émeraude; Dofus Pourpre; Dofus Turquoise; Érudit majeur; Remueur; Guérisseur majeur; Muldo Orchidée et Pourpre</t>
        </is>
      </c>
    </row>
    <row r="26824">
      <c r="A26824" t="inlineStr">
        <is>
          <t>Stuff 1</t>
        </is>
      </c>
      <c r="B26824">
        <f>HYPERLINK("https://www.dofusbook.net/fr/equipement/259417-stuff-1/objets", "link")</f>
        <v/>
      </c>
      <c r="C26824" t="n">
        <v>0</v>
      </c>
      <c r="D26824" t="inlineStr">
        <is>
          <t>Epée Loponèze; Amulette du Strigide; Alliance Gloursonne; Bague Trithon; Bouclier du Captain Amakna; Ceinture du Strigide; Masque Trithon; Chevelure de Tal Kasha; Bottes Trithon; Dofus Turquoise; Dofus Ocre; Dofus Pourpre; Dofus des Glaces; Dofus Nébuleux; Dofus Émeraude; Muldo Ebène et Pourpre</t>
        </is>
      </c>
    </row>
    <row r="26825">
      <c r="A26825" t="inlineStr">
        <is>
          <t>feu/terre</t>
        </is>
      </c>
      <c r="B26825">
        <f>HYPERLINK("https://www.dofusbook.net/fr/equipement/1174093-feu-terre/objets", "link")</f>
        <v/>
      </c>
      <c r="C26825" t="n">
        <v>0</v>
      </c>
      <c r="D26825" t="inlineStr">
        <is>
          <t>Epée Toche; Amulette du Strigide; Chevalière du Roi Joueur; Bague Gloursonne; Bouclier du Captain Amakna; Ceintacé; Masque Trithon; Voile d'encre; Bottes Trithon; Dofus Abyssal; Dofus Pourpre; Dofus Émeraude; Dofus Turquoise; Remueur; Nomade; Kramkram</t>
        </is>
      </c>
    </row>
    <row r="26826">
      <c r="A26826" t="inlineStr">
        <is>
          <t>Aztek</t>
        </is>
      </c>
      <c r="B26826">
        <f>HYPERLINK("https://www.dofusbook.net/fr/equipement/791032-aztek/objets", "link")</f>
        <v/>
      </c>
      <c r="C26826" t="n">
        <v>0</v>
      </c>
      <c r="D26826" t="inlineStr">
        <is>
          <t>Arc de Koutoulou; Amulette du Strigide; Anneau de Padgref; Alliance Gloursonne; Quatre-feuilles; Ceintacé; Dorabysses; Chevelure de Tal Kasha; Sandales de Tal Kasha; Dofus Turquoise; Dofus Pourpre; Dofus Abyssal; Dofus des Glaces; Remueur; Nomade; Kramkram</t>
        </is>
      </c>
    </row>
    <row r="26827">
      <c r="A26827" t="inlineStr">
        <is>
          <t>air dague</t>
        </is>
      </c>
      <c r="B26827">
        <f>HYPERLINK("https://www.dofusbook.net/fr/equipement/1172639-air-dague/objets", "link")</f>
        <v/>
      </c>
      <c r="C26827" t="n">
        <v>0</v>
      </c>
      <c r="D26827" t="inlineStr">
        <is>
          <t>Hachoirs de Viandargh; Amulette du Strigide; Alliance Gloursonne; Anneau de Padgref; Bouclier du Captain Amakna; Ceinture du Strigide; Dorabysses; Cape Indescriptible; Palmes Trithons; Dofus Émeraude; Dofus Ocre; Dofus Turquoise; Dofus Abyssal; Remueur; Nomade; Kramkram</t>
        </is>
      </c>
    </row>
    <row r="26828">
      <c r="A26828" t="inlineStr">
        <is>
          <t>air dague</t>
        </is>
      </c>
      <c r="B26828">
        <f>HYPERLINK("https://www.dofusbook.net/fr/equipement/1109091-air-dague/objets", "link")</f>
        <v/>
      </c>
      <c r="C26828" t="n">
        <v>5</v>
      </c>
      <c r="D26828" t="inlineStr">
        <is>
          <t>Hachoirs de Viandargh; Amulette du Strigide; Anneau de Padgref; Alliance Gloursonne; Bouclier du Captain Amakna; Ceinture du Strigide; Dorabysses; Cape Indescriptible; Palmes Trithons; Dofus Turquoise; Dofus Abyssal; Dofus Nébuleux; Dofus Ocre; Nomade; Remueur; Kramkram</t>
        </is>
      </c>
    </row>
    <row r="26829">
      <c r="A26829" t="inlineStr">
        <is>
          <t>full 40 eau/feu</t>
        </is>
      </c>
      <c r="B26829">
        <f>HYPERLINK("https://www.dofusbook.net/fr/equipement/780323-full-40-eau-feu/objets", "link")</f>
        <v/>
      </c>
      <c r="C26829" t="n">
        <v>0</v>
      </c>
      <c r="D26829" t="inlineStr">
        <is>
          <t>Arc Nécrotique; Talisman Igans; Anneau Tique; Alliance Gloursonne; Quatre-feuilles; Ceintacé; Casqnoar; Cape de la Dame du Hasard; Bottes de la Dame du Hasard; Dokoko; Dofus Pourpre; Dofus Turquoise; Nomade; Vigoureux majeur; Remueur; Croum</t>
        </is>
      </c>
    </row>
    <row r="26830">
      <c r="A26830" t="inlineStr">
        <is>
          <t>Aztek</t>
        </is>
      </c>
      <c r="B26830">
        <f>HYPERLINK("https://www.dofusbook.net/fr/equipement/745055-aztek/objets", "link")</f>
        <v/>
      </c>
      <c r="C26830" t="n">
        <v>0</v>
      </c>
      <c r="D26830" t="inlineStr">
        <is>
          <t>Arc Nécrotique; Amulette du Strigide; Alliance Gloursonne; Bague Trithon; Quatre-feuilles; Ceinture du Strigide; Masque Trithon; Voile d'encre; Bottes Trithon; Dofus Ocre; Dofus Pourpre; Dofus Turquoise; Dolmanax; Dokoko; Dofus Émeraude</t>
        </is>
      </c>
    </row>
    <row r="26831">
      <c r="A26831" t="inlineStr">
        <is>
          <t>feu/terre</t>
        </is>
      </c>
      <c r="B26831">
        <f>HYPERLINK("https://www.dofusbook.net/fr/equipement/1147624-feu-terre/objets", "link")</f>
        <v/>
      </c>
      <c r="C26831" t="n">
        <v>0</v>
      </c>
      <c r="D26831" t="inlineStr">
        <is>
          <t>Arc corrompu; Amulette du Strigide; Chevalière du Roi Joueur; Bague Gloursonne; Quatre-feuilles; Ceintacé; Chapeau de Gein; Voile d'encre; Bottes du Strigide; Dofus des Glaces; Dofus Pourpre; Dofus Turquoise; Remueur; Nomade; Vigoureux majeur; Kramkram</t>
        </is>
      </c>
    </row>
    <row r="26832">
      <c r="A26832" t="inlineStr">
        <is>
          <t>ret pa</t>
        </is>
      </c>
      <c r="B26832">
        <f>HYPERLINK("https://www.dofusbook.net/fr/equipement/1126005-ret-pa/objets", "link")</f>
        <v/>
      </c>
      <c r="C26832" t="n">
        <v>1</v>
      </c>
      <c r="D26832" t="inlineStr">
        <is>
          <t>Pelle de la Cour Sombre; Collier du Valet Veinard; Gant du Valet Veinard; Alliance Gloursonne; Bouclier du Stalak; Menoture; Dorabysses; Cape Indescriptible; Palmes Trithons; Dofus des Glaces; Dofus Pourpre; Remueur; Dévastateur Air majeur; Cascadeur majeur; Sanguinaire majeur; Muldo Ebène</t>
        </is>
      </c>
    </row>
    <row r="26833">
      <c r="A26833" t="inlineStr">
        <is>
          <t>full intel ret</t>
        </is>
      </c>
      <c r="B26833">
        <f>HYPERLINK("https://www.dofusbook.net/fr/equipement/1125523-full-intel-ret/objets", "link")</f>
        <v/>
      </c>
      <c r="C26833" t="n">
        <v>0</v>
      </c>
      <c r="D26833" t="inlineStr">
        <is>
          <t>Arc Hétype; Pendentif mignon de Koutoulou; Anneau Tamie; Anneau Rifique; Bouclier cubiste; Ceinture Séculaire; Casque Dragoeuf; Voile d'encre; Pataugastrique; Temporiseur majeur; Remueur; Savant majeur; Dévastateur Feu majeur; Miraculé majeur; Érudit majeur; Muldo Indigo et Pourpre</t>
        </is>
      </c>
    </row>
    <row r="26834">
      <c r="A26834" t="inlineStr">
        <is>
          <t>Do-pou</t>
        </is>
      </c>
      <c r="B26834">
        <f>HYPERLINK("https://www.dofusbook.net/fr/equipement/1110105-do-pou/objets", "link")</f>
        <v/>
      </c>
      <c r="C26834" t="n">
        <v>0</v>
      </c>
      <c r="D26834" t="inlineStr">
        <is>
          <t>Hache Euvale; Amulette du Sinistrofu; Bague Trithon; Bague Instable; Bouclier précieux; Ceinture Luminescente; Casque Dragoeuf; Voile d'encre; Bottes Trithon; Dofus Émeraude; Dofus Ocre; Culbuteur majeur; Remueur; Pousseur majeur; Bousculeur majeur; Muldo Pourpre</t>
        </is>
      </c>
    </row>
    <row r="26835">
      <c r="A26835" t="inlineStr">
        <is>
          <t>Stuff 2</t>
        </is>
      </c>
      <c r="B26835">
        <f>HYPERLINK("https://www.dofusbook.net/fr/equipement/259418-stuff-2/objets", "link")</f>
        <v/>
      </c>
      <c r="C26835" t="n">
        <v>0</v>
      </c>
      <c r="D26835" t="inlineStr">
        <is>
          <t>Hachoirs de Viandargh; Amulette du Strigide; Alliance Gloursonne; Anneau de Padgref; Bouclier du Captain Amakna; Ceinture du Strigide; Dorabysses; Cape Indescriptible; Palmes Trithons; Dofus Abyssal; Dofus Émeraude; Dofus Ocre; Dofus Turquoise; Remueur; Nomade; Kramkram</t>
        </is>
      </c>
    </row>
    <row r="26836">
      <c r="A26836" t="inlineStr">
        <is>
          <t>Stuff 2</t>
        </is>
      </c>
      <c r="B26836">
        <f>HYPERLINK("https://www.dofusbook.net/fr/equipement/259445-stuff-2/objets", "link")</f>
        <v/>
      </c>
      <c r="C26836" t="n">
        <v>0</v>
      </c>
      <c r="D26836" t="inlineStr">
        <is>
          <t>Héqache; Amulette du Strigide; Alliance Gloursonne; Bague Trithon; Bouclier du Captain Amakna; Ceinture du Strigide; Masque Trithon; Voile d'encre; Bottes Trithon; Dofus des Glaces; Dofus Turquoise; Dofus Pourpre; Dofus Ocre; Dokoko; Dofus Émeraude; Muldo Ebène et Pourpre</t>
        </is>
      </c>
    </row>
    <row r="26837">
      <c r="A26837" t="inlineStr">
        <is>
          <t>Stuff 3</t>
        </is>
      </c>
      <c r="B26837">
        <f>HYPERLINK("https://www.dofusbook.net/fr/equipement/259425-stuff-3/objets", "link")</f>
        <v/>
      </c>
      <c r="C26837" t="n">
        <v>0</v>
      </c>
      <c r="D26837" t="inlineStr">
        <is>
          <t>Baguette de Malléfisk; Talisman Igans; Alliance Gloursonne; Anneau Tique; Carapar; Pagne du Rykaon; Casquette de Meno; Cape de Meno; Pataugastrique; Dofus Pourpre; Dofus Turquoise; Dokoko; Dofus Émeraude; Érudit majeur; Remueur; Muldo Orchidée</t>
        </is>
      </c>
    </row>
    <row r="26838">
      <c r="A26838" t="inlineStr">
        <is>
          <t>SHDFBS</t>
        </is>
      </c>
      <c r="B26838">
        <f>HYPERLINK("https://www.dofusbook.net/fr/equipement/1079255-shdfbs/objets", "link")</f>
        <v/>
      </c>
      <c r="C26838" t="n">
        <v>0</v>
      </c>
      <c r="D26838" t="inlineStr">
        <is>
          <t>Baguette de Malléfisk; Pendentif affamé; Anneau Tique; Anneau de Nidas; Carapar; Ceinture de Vortex; Couronne de Nidas; Cape de Diondin; Bottes Innommables; Dofus Turquoise; Dofus Émeraude; Guérisseur majeur; Remueur; Carapace Feu majeur; Érudit majeur; Muldo Indigo et Orchidée</t>
        </is>
      </c>
    </row>
    <row r="26839">
      <c r="A26839" t="inlineStr">
        <is>
          <t>do pou 12/6</t>
        </is>
      </c>
      <c r="B26839">
        <f>HYPERLINK("https://www.dofusbook.net/fr/equipement/900230-do-pou-12-6/objets", "link")</f>
        <v/>
      </c>
      <c r="C26839" t="n">
        <v>1</v>
      </c>
      <c r="D26839" t="inlineStr">
        <is>
          <t>Arc du Chalœil; Amulette Luminescente; Bague Trithon; Alliance Gloursonne; Bouclier Taverne; Ceinture Luminescente; Masque Trithon; Cape Luminescente; Bottes Trithon; Dofus Ocre; Dofus Pourpre; Dofus Turquoise; Dofus des Glaces; Dofus Émeraude; Bousculeur majeur; Muldo Ebène</t>
        </is>
      </c>
    </row>
    <row r="26840">
      <c r="A26840" t="inlineStr">
        <is>
          <t>do pou air</t>
        </is>
      </c>
      <c r="B26840">
        <f>HYPERLINK("https://www.dofusbook.net/fr/equipement/900467-do-pou-air/objets", "link")</f>
        <v/>
      </c>
      <c r="C26840" t="n">
        <v>0</v>
      </c>
      <c r="D26840" t="inlineStr"/>
    </row>
    <row r="26841">
      <c r="A26841" t="inlineStr">
        <is>
          <t>juste do pou</t>
        </is>
      </c>
      <c r="B26841">
        <f>HYPERLINK("https://www.dofusbook.net/fr/equipement/259434-juste-do-pou/objets", "link")</f>
        <v/>
      </c>
      <c r="C26841" t="n">
        <v>1</v>
      </c>
      <c r="D26841" t="inlineStr">
        <is>
          <t>Arc du Chalœil; Torquistik; Bague Trithon; Bague Instable; Bouclier précieux; Ceintacé; Casque Dragoeuf; Voile d'encre; Bottistik; Dofus Abyssal; Dofus Émeraude; Culbuteur majeur; Pousseur majeur; Remueur; Bousculeur majeur; Muldo Pourpre</t>
        </is>
      </c>
    </row>
    <row r="26842">
      <c r="A26842" t="inlineStr">
        <is>
          <t>Aztek</t>
        </is>
      </c>
      <c r="B26842">
        <f>HYPERLINK("https://www.dofusbook.net/fr/equipement/1039341-aztek/objets", "link")</f>
        <v/>
      </c>
      <c r="C26842" t="n">
        <v>0</v>
      </c>
      <c r="D26842" t="inlineStr">
        <is>
          <t>Arc de Koutoulou; Amulette du Strigide; Anneau de Padgref; Alliance Gloursonne; Bouclier du Captain Amakna; Ceintacé; Dorabysses; Chevelure de Tal Kasha; Sandales de Tal Kasha; Dofus Turquoise; Dofus Pourpre; Cascadeur majeur; Remueur; Nomade; Déserteur majeur; Kramkram</t>
        </is>
      </c>
    </row>
    <row r="26843">
      <c r="A26843" t="inlineStr">
        <is>
          <t>Stuff feu/air rox</t>
        </is>
      </c>
      <c r="B26843">
        <f>HYPERLINK("https://www.dofusbook.net/fr/equipement/996877-stuff-feu-air-rox/objets", "link")</f>
        <v/>
      </c>
      <c r="C26843" t="n">
        <v>1</v>
      </c>
      <c r="D26843" t="inlineStr">
        <is>
          <t>Epée Toche; Amulette du Strigide; Bague Gloursonne; Chevalière du Roi Joueur; Bouclier du Captain Amakna; Ceinture du Strigide; Chapeau de Gein; Voile d'encre; Bottes du Chalœil; Dofus Abyssal; Dofus Émeraude; Dofus Turquoise; Dofus Pourpre; Remueur; Nomade; Kramkram</t>
        </is>
      </c>
    </row>
    <row r="26844">
      <c r="A26844" t="inlineStr">
        <is>
          <t>force 12/6</t>
        </is>
      </c>
      <c r="B26844">
        <f>HYPERLINK("https://www.dofusbook.net/fr/equipement/900475-force-12-6/objets", "link")</f>
        <v/>
      </c>
      <c r="C26844" t="n">
        <v>0</v>
      </c>
      <c r="D26844" t="inlineStr">
        <is>
          <t>Marteau R'ture; Collier de Tourthon; Anneau Crustique; Anneau Crustique; Bouclier alvéolé; Ceinture de la Cour Sombre; Masque de Koutoulou; Voile d'encre; Bottes de la Cour Sombre; Dofus Pourpre; Dofus Turquoise; Vigoureux majeur; Remueur; Nomade; Enragé majeur; Muldo Pourpre</t>
        </is>
      </c>
    </row>
    <row r="26845">
      <c r="A26845" t="inlineStr">
        <is>
          <t>Stuff 2</t>
        </is>
      </c>
      <c r="B26845">
        <f>HYPERLINK("https://www.dofusbook.net/fr/equipement/900231-stuff-2/objets", "link")</f>
        <v/>
      </c>
      <c r="C26845" t="n">
        <v>0</v>
      </c>
      <c r="D26845" t="inlineStr">
        <is>
          <t>Arc du Chalœil; Amulette Luminescente; Alliance Gloursonne; Bague Trithon; Bivalve; Ceinture Luminescente; Masque Trithon; Cape Luminescente; Bottes Trithon; Dofus Turquoise; Dofus des Glaces; Dofus Émeraude; Dofus Ocre; Dofus Pourpre; Bousculeur majeur; Muldo Ebène</t>
        </is>
      </c>
    </row>
    <row r="26846">
      <c r="A26846" t="inlineStr">
        <is>
          <t>feu/eau</t>
        </is>
      </c>
      <c r="B26846">
        <f>HYPERLINK("https://www.dofusbook.net/fr/equipement/745105-feu-eau/objets", "link")</f>
        <v/>
      </c>
      <c r="C26846" t="n">
        <v>0</v>
      </c>
      <c r="D26846" t="inlineStr">
        <is>
          <t>Masse Ossiale; Amulette du Strigide; Anneau de Padgref; Alliance Gloursonne; Bouclier du Captain Amakna; Ceinture du Strigide; Casqnoar; Cape de la Dame du Hasard; Pataugastrique; Dofus Pourpre; Dofus Abyssal; Dofus Émeraude; Dofus Turquoise; Remueur; Nomade; Kramkram</t>
        </is>
      </c>
    </row>
    <row r="26847">
      <c r="A26847" t="inlineStr">
        <is>
          <t>Stuff 3</t>
        </is>
      </c>
      <c r="B26847">
        <f>HYPERLINK("https://www.dofusbook.net/fr/equipement/259407-stuff-3/objets", "link")</f>
        <v/>
      </c>
      <c r="C26847" t="n">
        <v>2</v>
      </c>
      <c r="D26847" t="inlineStr">
        <is>
          <t>Manthache; Amulette du Strigide; Alliance Gloursonne; Gant du Valet Veinard; Bouclier du Captain Amakna; Ceinture du Strigide; Dorabysses; Cape Indescriptible; Palmes Trithons; Dofus Ocre; Dofus Émeraude; Dofus Abyssal; Dofus Turquoise; Remueur; Nomade; Kramkram</t>
        </is>
      </c>
    </row>
    <row r="26848">
      <c r="A26848" t="inlineStr">
        <is>
          <t>padgref</t>
        </is>
      </c>
      <c r="B26848">
        <f>HYPERLINK("https://www.dofusbook.net/fr/equipement/780327-padgref/objets", "link")</f>
        <v/>
      </c>
      <c r="C26848" t="n">
        <v>0</v>
      </c>
      <c r="D26848" t="inlineStr">
        <is>
          <t>Baguette Range; Amulette du Strigide; Anneau Tique; Anneau de Padgref; Bouclier du Stalak; Ceinture du Strigide; Coiffe de Padgref; Cape d'Atcham; Getas de Padgref; Dofus Abyssal; Dofus Pourpre; Dofus Turquoise; Dofus Ocre; Dofus Émeraude; Dofus des Glaces; Muldo Orchidée</t>
        </is>
      </c>
    </row>
    <row r="26849">
      <c r="A26849" t="inlineStr">
        <is>
          <t>Stuff 2</t>
        </is>
      </c>
      <c r="B26849">
        <f>HYPERLINK("https://www.dofusbook.net/fr/equipement/745627-stuff-2/objets", "link")</f>
        <v/>
      </c>
      <c r="C26849" t="n">
        <v>0</v>
      </c>
      <c r="D26849" t="inlineStr"/>
    </row>
    <row r="26850">
      <c r="A26850" t="inlineStr">
        <is>
          <t>feu/eau</t>
        </is>
      </c>
      <c r="B26850">
        <f>HYPERLINK("https://www.dofusbook.net/fr/equipement/742292-feu-eau/objets", "link")</f>
        <v/>
      </c>
      <c r="C26850" t="n">
        <v>0</v>
      </c>
      <c r="D26850" t="inlineStr">
        <is>
          <t>Baguette Hique; Amulette du Strigide; Anneau Tique; Alliance Gloursonne; Bouclier du Stalak; Ceinture du Strigide; Chapeau des Malveilleurs; Cape d'Atcham; Pataugastrique; Dofus Turquoise; Dofus Émeraude; Dofus Pourpre; Remueur; Carapace Eau majeur; Vigoureux majeur; Muldo Orchidée</t>
        </is>
      </c>
    </row>
    <row r="26851">
      <c r="A26851" t="inlineStr">
        <is>
          <t>air/eau/CC</t>
        </is>
      </c>
      <c r="B26851">
        <f>HYPERLINK("https://www.dofusbook.net/fr/equipement/667455-air-eau-cc/objets", "link")</f>
        <v/>
      </c>
      <c r="C26851" t="n">
        <v>0</v>
      </c>
      <c r="D26851" t="inlineStr">
        <is>
          <t>Dague Adou; Amulette du Strigide; Anneau de Padgref; Alliance Gloursonne; Ceinture du Strigide; Némès de Tal Kasha; Chevelure de Tal Kasha; Sandales de Tal Kasha; Dofus Ocre; Dofus Pourpre; Dofus Nébuleux; Dofus Turquoise; Dofus des Glaces; Dofus Émeraude; Muldo Ebène et Indigo</t>
        </is>
      </c>
    </row>
    <row r="26852">
      <c r="A26852" t="inlineStr">
        <is>
          <t>SHDFBS</t>
        </is>
      </c>
      <c r="B26852">
        <f>HYPERLINK("https://www.dofusbook.net/fr/equipement/665226-shdfbs/objets", "link")</f>
        <v/>
      </c>
      <c r="C26852" t="n">
        <v>0</v>
      </c>
      <c r="D26852" t="inlineStr">
        <is>
          <t>Baguette de Malléfisk; Pendentif affamé; Anneau Tique; Anneau de Nidas; Carapar; Ceinture de Vortex; Couronne de Nidas; Cape de Diondin; Bottes Innommables; Dofus Émeraude; Dofus Turquoise; Remueur; Carapace Feu majeur; Érudit majeur; Guérisseur majeur; Muldo Indigo et Orchidée</t>
        </is>
      </c>
    </row>
    <row r="26853">
      <c r="A26853" t="inlineStr">
        <is>
          <t>padgref</t>
        </is>
      </c>
      <c r="B26853">
        <f>HYPERLINK("https://www.dofusbook.net/fr/equipement/642317-padgref/objets", "link")</f>
        <v/>
      </c>
      <c r="C26853" t="n">
        <v>0</v>
      </c>
      <c r="D26853" t="inlineStr">
        <is>
          <t>Baguette Range; Amulette du Strigide; Anneau Tique; Anneau de Padgref; Quatre-feuilles; Ceinture du Strigide; Coiffe de Padgref; Voile d'encre; Getas de Padgref; Dofus Nébuleux; Dofus Pourpre; Dofus Turquoise; Dofus Ocre; Dofus Émeraude; Dofus des Glaces; Muldo Orchidée et Pourpre</t>
        </is>
      </c>
    </row>
    <row r="26854">
      <c r="A26854" t="inlineStr">
        <is>
          <t>padgref</t>
        </is>
      </c>
      <c r="B26854">
        <f>HYPERLINK("https://www.dofusbook.net/fr/equipement/591024-padgref/objets", "link")</f>
        <v/>
      </c>
      <c r="C26854" t="n">
        <v>0</v>
      </c>
      <c r="D26854" t="inlineStr">
        <is>
          <t>Baguette Range; Amulette du Strigide; Anneau de Padgref; Anneau Tique; Ceinture du Strigide; Coiffe de Padgref; Cape d'Atcham; Getas de Padgref; Dofus Turquoise; Dofus Ocre; Dofus Émeraude; Dofus des Glaces; Dofus Abyssal; Dofus Pourpre; Muldo Orchidée</t>
        </is>
      </c>
    </row>
    <row r="26855">
      <c r="A26855" t="inlineStr">
        <is>
          <t>Stuff 4</t>
        </is>
      </c>
      <c r="B26855">
        <f>HYPERLINK("https://www.dofusbook.net/fr/equipement/488213-stuff-4/objets", "link")</f>
        <v/>
      </c>
      <c r="C26855" t="n">
        <v>0</v>
      </c>
      <c r="D26855" t="inlineStr">
        <is>
          <t>Marteau R'ture; Amulette du Strigide; Anneau Crustique; Anneau Crustique; Bouclier du Captain Amakna; Ceinture du Strigide; Masque de Koutoulou; Cape au Logis; Bottes de la Cour Sombre; Dofus Turquoise; Dofus Pourpre; Dofus Émeraude; Carapace Terre majeur; Remueur; Enragé majeur; Kramkram</t>
        </is>
      </c>
    </row>
    <row r="26856">
      <c r="A26856" t="inlineStr">
        <is>
          <t>Stuff 1</t>
        </is>
      </c>
      <c r="B26856">
        <f>HYPERLINK("https://www.dofusbook.net/fr/equipement/259450-stuff-1/objets", "link")</f>
        <v/>
      </c>
      <c r="C26856" t="n">
        <v>1</v>
      </c>
      <c r="D26856" t="inlineStr">
        <is>
          <t>Dagues de Srambad; Amulette Luminescente; Pikano; Anneau Chevelu; Ceinture Luminescente; Casque de Missiz Frizz; Voile d'encre; Baleinabottes; Dofus des Glaces; Dofus Turquoise; Dolmanax; Dofus Pourpre; Vigoureux majeur; Remueur; Muldo Indigo et Pourpre</t>
        </is>
      </c>
    </row>
    <row r="26857">
      <c r="A26857" t="inlineStr">
        <is>
          <t>Stuff 2</t>
        </is>
      </c>
      <c r="B26857">
        <f>HYPERLINK("https://www.dofusbook.net/fr/equipement/259433-stuff-2/objets", "link")</f>
        <v/>
      </c>
      <c r="C26857" t="n">
        <v>0</v>
      </c>
      <c r="D26857" t="inlineStr">
        <is>
          <t>Dagues de Srambad; Amulette du Strigide; Alliance Gloursonne; Pikano; Bouclier alvéolé; Ceinture de la Reine des Voleurs; Coiffe de la Reine des Voleurs; Cape au Logis; Baleinabottes; Dofus Pourpre; Dofus Émeraude; Dofus Abyssal; Dofus des Glaces; Remueur; Miraculé majeur; Kramkram</t>
        </is>
      </c>
    </row>
    <row r="26858">
      <c r="A26858" t="inlineStr">
        <is>
          <t>Stuff 3</t>
        </is>
      </c>
      <c r="B26858">
        <f>HYPERLINK("https://www.dofusbook.net/fr/equipement/259440-stuff-3/objets", "link")</f>
        <v/>
      </c>
      <c r="C26858" t="n">
        <v>1</v>
      </c>
      <c r="D26858" t="inlineStr">
        <is>
          <t>Arc Nécrotique; Talisman Igans; Anneau Tique; Bracelet du Piloztère; Quatre-feuilles; Sangle Ouare; Kidibonnet; Cape de la Dame du Hasard; Bottes de la Dame du Hasard; Dofus Pourpre; Dofus des Glaces; Dofus Turquoise; Remueur; Vigoureux majeur; Muldo Orchidée et Pourpre</t>
        </is>
      </c>
    </row>
    <row r="26859">
      <c r="A26859" t="inlineStr">
        <is>
          <t>Stuff 1</t>
        </is>
      </c>
      <c r="B26859">
        <f>HYPERLINK("https://www.dofusbook.net/fr/equipement/259432-stuff-1/objets", "link")</f>
        <v/>
      </c>
      <c r="C26859" t="n">
        <v>0</v>
      </c>
      <c r="D26859" t="inlineStr">
        <is>
          <t>Marteau des Anciens Steamers; Amulette du Strigide; Anneau de Padgref; Alliance Gloursonne; Bouclier précieux; Ceintacé; Dorabysses; Chevelure de Tal Kasha; Sandales de Tal Kasha; Dofus Turquoise; Dofus Émeraude; Dofus Pourpre; Vigoureux majeur; Remueur; Miraculé majeur; Kramkram</t>
        </is>
      </c>
    </row>
    <row r="26860">
      <c r="A26860" t="inlineStr">
        <is>
          <t>Stuff 2</t>
        </is>
      </c>
      <c r="B26860">
        <f>HYPERLINK("https://www.dofusbook.net/fr/equipement/259451-stuff-2/objets", "link")</f>
        <v/>
      </c>
      <c r="C26860" t="n">
        <v>2</v>
      </c>
      <c r="D26860" t="inlineStr">
        <is>
          <t>Hache du Chalœil; Amulette du Strigide; Bague Gloursonne; Bracelet du Piloztère; Quatre-feuilles; Ceinture du Strigide; Kidibonnet; Voile d'encre; Bottes de la Cour Sombre; Dofus des Glaces; Dofus Turquoise; Dofus Pourpre; Chanceux majeur; Vigoureux majeur; Remueur; Muldo Indigo et Pourpre</t>
        </is>
      </c>
    </row>
    <row r="26861">
      <c r="A26861" t="inlineStr">
        <is>
          <t>Stuff 3</t>
        </is>
      </c>
      <c r="B26861">
        <f>HYPERLINK("https://www.dofusbook.net/fr/equipement/259446-stuff-3/objets", "link")</f>
        <v/>
      </c>
      <c r="C26861" t="n">
        <v>0</v>
      </c>
      <c r="D26861" t="inlineStr">
        <is>
          <t>Héqache; Amulette du Strigide; Anneau des égarés; Anneau Crustique; Bouclier du Captain Amakna; Ceinture du Strigide; Dorabysses; Cape du Kamasterisk; Baleinabottes; Dofus Turquoise; Dofus Émeraude; Dofus Pourpre; Dofus des Glaces; Remueur; Nomade; Kramkram</t>
        </is>
      </c>
    </row>
    <row r="26862">
      <c r="A26862" t="inlineStr">
        <is>
          <t>Stuff 3</t>
        </is>
      </c>
      <c r="B26862">
        <f>HYPERLINK("https://www.dofusbook.net/fr/equipement/259428-stuff-3/objets", "link")</f>
        <v/>
      </c>
      <c r="C26862" t="n">
        <v>0</v>
      </c>
      <c r="D26862" t="inlineStr">
        <is>
          <t>Pelle de la Cour Sombre; Collier du Valet Veinard; Anneau d'Allister; Gant du Valet Veinard; Bouclier du Stalak; Ceinture Voldelor; Couronne d'Allister; Cape du Valet Veinard; Bottes d'Allister; Dofus Pourpre; Dofus Émeraude; Dofus Ocre; Dofus des Glaces; Dofus Turquoise; Dolmanax; Muldo Orchidée et Pourpre</t>
        </is>
      </c>
    </row>
    <row r="26863">
      <c r="A26863" t="inlineStr">
        <is>
          <t>Stuff 2</t>
        </is>
      </c>
      <c r="B26863">
        <f>HYPERLINK("https://www.dofusbook.net/fr/equipement/259406-stuff-2/objets", "link")</f>
        <v/>
      </c>
      <c r="C26863" t="n">
        <v>1</v>
      </c>
      <c r="D26863" t="inlineStr">
        <is>
          <t>Epée Maudite du Saigneur Guerrier; Amulette du Strigide; Alliance Gloursonne; Bague Trithon; Bouclier du Captain Amakna; Ceinture du Strigide; Masque Trithon; Dofusteuse; Bottes Trithon; Dofus Nébuleux; Dofus Émeraude; Dofus des Glaces; Dofus Pourpre; Dofus Ocre; Dofus Turquoise; Muldo Prune et Ebène</t>
        </is>
      </c>
    </row>
    <row r="26864">
      <c r="A26864" t="inlineStr">
        <is>
          <t>Stuff 1</t>
        </is>
      </c>
      <c r="B26864">
        <f>HYPERLINK("https://www.dofusbook.net/fr/equipement/259405-stuff-1/objets", "link")</f>
        <v/>
      </c>
      <c r="C26864" t="n">
        <v>2</v>
      </c>
      <c r="D26864" t="inlineStr">
        <is>
          <t>Marteau des égarés; Amulette du Strigide; Anneau Tique; Alliance Gloursonne; Ceinture du Strigide; Le Dorado; Dofusteuse; Bottes du Chalœil; Dofus des Glaces; Dofus Pourpre; Dolmanax; Dofus Turquoise; Remueur; Nomade; Kramkram</t>
        </is>
      </c>
    </row>
    <row r="26865">
      <c r="A26865" t="inlineStr">
        <is>
          <t>Sacrieur M 200</t>
        </is>
      </c>
      <c r="B26865">
        <f>HYPERLINK("https://www.dofusbook.net/fr/equipement/5766339-sacrieur-m-200/objets", "link")</f>
        <v/>
      </c>
      <c r="C26865" t="n">
        <v>0</v>
      </c>
      <c r="D26865" t="inlineStr">
        <is>
          <t>Epée Maudite du Saigneur Guerrier; Amulette du Strigide; Anneau de Padgref; Bracelet du Piloztère; Bouclier du Captain Amakna; Ceinture du Strigide; Coiffe de Padgref; Chevelure de Tal Kasha; Getas de Padgref; Dofus Pourpre; Dofus des Glaces; Dofus Nébuleux; Dofus Turquoise; Dolmanax; Dofus Ocre; Muldo Prune et Emeraude</t>
        </is>
      </c>
    </row>
    <row r="26866">
      <c r="A26866" t="inlineStr">
        <is>
          <t>Eau</t>
        </is>
      </c>
      <c r="B26866">
        <f>HYPERLINK("https://www.dofusbook.net/fr/equipement/5467587-eau/objets", "link")</f>
        <v/>
      </c>
      <c r="C26866" t="n">
        <v>0</v>
      </c>
      <c r="D26866" t="inlineStr">
        <is>
          <t>Sceptre du Roi Joueur; Amulette de Shokkoth; Bracelet des Fonds marins; Alliance Gloursonne; Bouclier d'Ilyzaelle; Poulpagne; Capuche de l'Œil Attentif; Cape de l'Œil Attentif; Bottes de la Dame du Hasard; Dofus Pourpre; Taquin majeur; Nomade; Miraculé majeur; Remueur; Chanceux majeur; Dragodinde Indigo et Ivoire</t>
        </is>
      </c>
    </row>
    <row r="26867">
      <c r="A26867" t="inlineStr">
        <is>
          <t>Terre</t>
        </is>
      </c>
      <c r="B26867">
        <f>HYPERLINK("https://www.dofusbook.net/fr/equipement/5467534-terre/objets", "link")</f>
        <v/>
      </c>
      <c r="C26867" t="n">
        <v>0</v>
      </c>
      <c r="D26867" t="inlineStr">
        <is>
          <t>Dagues d'Ilyzaelle; Amulette du Cœur Saignant; Anneau Crustique; Anneau Crustique; Bouclier du Captain Amakna; Ceinture Volkorne; Masque de Koutoulou; Cape au Logis; Bottes du Cœur Saignant; Dofus Ocre; Dofus Turquoise; Dofus des Glaces; Dofus Pourpre; Miraculé majeur; Enragé majeur; Dragodinde Emeraude et Pourpre</t>
        </is>
      </c>
    </row>
    <row r="26868">
      <c r="A26868" t="inlineStr">
        <is>
          <t>Feu</t>
        </is>
      </c>
      <c r="B26868">
        <f>HYPERLINK("https://www.dofusbook.net/fr/equipement/5450328-feu/objets", "link")</f>
        <v/>
      </c>
      <c r="C26868" t="n">
        <v>1</v>
      </c>
      <c r="D26868" t="inlineStr">
        <is>
          <t>Massier; Amulette du Strigide; Bague Gloursonne; Anneau de Padgref; Bouclier du Captain Amakna; Ceinture du Strigide; Coiffe de Padgref; Cape d'Atcham; Getas de Padgref; Dofus Pourpre; Dofus Ivoire; Dofus Émeraude; Dofus des Glaces; Dofus Ocre; Dofus Turquoise; Muldo Prune et Doré</t>
        </is>
      </c>
    </row>
    <row r="26869">
      <c r="A26869" t="inlineStr">
        <is>
          <t>Eliotrope feu eau 2</t>
        </is>
      </c>
      <c r="B26869">
        <f>HYPERLINK("https://www.dofusbook.net/fr/equipement/4830354-eliotrope-feu-eau-2/objets", "link")</f>
        <v/>
      </c>
      <c r="C26869" t="n">
        <v>0</v>
      </c>
      <c r="D26869" t="inlineStr">
        <is>
          <t>Pyraguette; Amulette Volkorne; Anneau Volkorne; Anneau Tique; Bouclier du Stalak; Ceinture de l'Esprit Malsain; Capuche de l'Œil Putride; Cape de Diondin; Sandales Paztek; Dofus Pourpre; Dofus Ocre; Dolmanax; Dofus des Glaces; Érudit majeur; Nomade; Bwak de Terre</t>
        </is>
      </c>
    </row>
    <row r="26870">
      <c r="A26870" t="inlineStr">
        <is>
          <t>Eliotrope M 200</t>
        </is>
      </c>
      <c r="B26870">
        <f>HYPERLINK("https://www.dofusbook.net/fr/equipement/4442189-eliotrope-m-200/objets", "link")</f>
        <v/>
      </c>
      <c r="C26870" t="n">
        <v>9</v>
      </c>
      <c r="D26870" t="inlineStr">
        <is>
          <t>Pyraguette; Amulette de l'Œil Putride; Lavanneau; Anneau Toriété; Bouclier du Stalak; Ceinture de l'Esprit Malsain; Capuche de l'Œil Putride; Cape de l'Œil Putride; Sandales Paztek; Dofus Émeraude; Dolmanax; Dofus des Glaces; Dofus Ocre; Dofus Ivoire; Dofus Pourpre; Dragodinde Prune et Orchidée</t>
        </is>
      </c>
    </row>
    <row r="26871">
      <c r="A26871" t="inlineStr">
        <is>
          <t>full feu</t>
        </is>
      </c>
      <c r="B26871">
        <f>HYPERLINK("https://www.dofusbook.net/fr/equipement/4827187-full-feu/objets", "link")</f>
        <v/>
      </c>
      <c r="C26871" t="n">
        <v>2</v>
      </c>
      <c r="D26871" t="inlineStr">
        <is>
          <t>Arc corrompu; Amulette Volkorne; Anneau Tique; Anneauræus; Quatre-feuilles; Ceinture Séculaire; Capuche de l'Œil Putride; Cape de Diondin; Bottes Innommables; Dofus Turquoise; Dofus Ivoire; Dofus Ocre; Dofus Ébène; Dofus Pourpre; Dofus Nébuleux; Kramkram</t>
        </is>
      </c>
    </row>
    <row r="26872">
      <c r="A26872" t="inlineStr">
        <is>
          <t>RETAC TIWA</t>
        </is>
      </c>
      <c r="B26872">
        <f>HYPERLINK("https://www.dofusbook.net/fr/equipement/4784224-retac-tiwa/objets", "link")</f>
        <v/>
      </c>
      <c r="C26872" t="n">
        <v>1</v>
      </c>
      <c r="D26872" t="inlineStr">
        <is>
          <t>Collier de Tourthon; Anneau de Pol Ouatnos; Anneau Chevelu; Sept ans de malheur; Ceinture de la Cour Sombre; Masque de Koutoulou; Voile d'encre; Bottes de la Cour Sombre; Dofus Pourpre; Dofus Émeraude; Dofus Ocre; Étourdisseur majeur; Obstructeur majeur; Enragé majeur; Drakopin</t>
        </is>
      </c>
    </row>
    <row r="26873">
      <c r="A26873" t="inlineStr">
        <is>
          <t>Elio terre</t>
        </is>
      </c>
      <c r="B26873">
        <f>HYPERLINK("https://www.dofusbook.net/fr/equipement/4796816-elio-terre-/objets", "link")</f>
        <v/>
      </c>
      <c r="C26873" t="n">
        <v>0</v>
      </c>
      <c r="D26873" t="inlineStr">
        <is>
          <t>Arc du Chalœil; Collier de Tourthon; Bracelet du Piloztère; Anneau Crustique; Cadran de Terre; Ceinture Volkorne; Masque de Koutoulou; Cape au Logis; Bottes du Cœur Saignant; Dofus Ocre; Dofus Abyssal; Dofus Pourpre; Dofus Ivoire; Enragé majeur; Vigoureux majeur; Dragodinde Amande et Pourpre</t>
        </is>
      </c>
    </row>
    <row r="26874">
      <c r="A26874" t="inlineStr">
        <is>
          <t>Féca M 200</t>
        </is>
      </c>
      <c r="B26874">
        <f>HYPERLINK("https://www.dofusbook.net/fr/equipement/4787728-feca-m-200/objets", "link")</f>
        <v/>
      </c>
      <c r="C26874" t="n">
        <v>0</v>
      </c>
      <c r="D26874" t="inlineStr"/>
    </row>
    <row r="26875">
      <c r="A26875" t="inlineStr">
        <is>
          <t>Féca M 200</t>
        </is>
      </c>
      <c r="B26875">
        <f>HYPERLINK("https://www.dofusbook.net/fr/equipement/4784261-feca-m-200/objets", "link")</f>
        <v/>
      </c>
      <c r="C26875" t="n">
        <v>0</v>
      </c>
      <c r="D26875" t="inlineStr">
        <is>
          <t>Lav'Hache; Collier de Tourthon; Anneau Crustique; Anneau Chevelu; Sept ans de malheur; Ceintouse; Masque de Koutoulou; Cape au Logis; Tentassons; Dofus Ocre; Dofus Émeraude; Dofus Ivoire; Obstructeur majeur; Étourdisseur majeur; Enragé majeur; Drakopin</t>
        </is>
      </c>
    </row>
    <row r="26876">
      <c r="A26876" t="inlineStr">
        <is>
          <t>terre ret tac</t>
        </is>
      </c>
      <c r="B26876">
        <f>HYPERLINK("https://www.dofusbook.net/fr/equipement/2251258-terre-ret-tac/objets", "link")</f>
        <v/>
      </c>
      <c r="C26876" t="n">
        <v>1</v>
      </c>
      <c r="D26876" t="inlineStr">
        <is>
          <t>Lav'Hache; Collier de Tourthon; Anneau Crustique; Anneau Chevelu; Sept ans de malheur; Ceinture de la Cour Sombre; Masque de Koutoulou; Cape au Logis; Bottes de la Cour Sombre; Dofus Pourpre; Dofus Émeraude; Dofus Abyssal; Étourdisseur majeur; Obstructeur majeur; Remueur; Drakopin</t>
        </is>
      </c>
    </row>
    <row r="26877">
      <c r="A26877" t="inlineStr">
        <is>
          <t>Féca M 200</t>
        </is>
      </c>
      <c r="B26877">
        <f>HYPERLINK("https://www.dofusbook.net/fr/equipement/4772995-feca-m-200/objets", "link")</f>
        <v/>
      </c>
      <c r="C26877" t="n">
        <v>0</v>
      </c>
      <c r="D26877" t="inlineStr">
        <is>
          <t>Bâthon; Amulette du Cycloïde; Bague Gloursonne; Anneau Crustique; Sept ans de malheur; Ceinture du Comte Razof; Chapeau du Comte Razof; Voile d'encre; Bottes de la Cour Sombre; Dolmanax; Dofus Ocre; Dofus Pourpre; Obstructeur majeur; Étourdisseur majeur; Nomade; Drakopin</t>
        </is>
      </c>
    </row>
    <row r="26878">
      <c r="A26878" t="inlineStr">
        <is>
          <t>intel chance</t>
        </is>
      </c>
      <c r="B26878">
        <f>HYPERLINK("https://www.dofusbook.net/fr/equipement/2608175-intel-chance/objets", "link")</f>
        <v/>
      </c>
      <c r="C26878" t="n">
        <v>1</v>
      </c>
      <c r="D26878" t="inlineStr">
        <is>
          <t>Sabres d'Atcham; Collier de la Dame du Hasard; Alliance Gloursonne; Lavanneau; Bouclier du Stalak; Ceinture de l'Esprit Malsain; Capuche de l'Œil Putride; Cape de la Dame du Hasard; Bottes de la Dame du Hasard; Dolmanax; Dofus des Glaces; Dofus Ivoire; Dofus Pourpre; Dofus Émeraude; Dofus Ocre; Kramkram</t>
        </is>
      </c>
    </row>
    <row r="26879">
      <c r="A26879" t="inlineStr">
        <is>
          <t>Féca M 200 terre</t>
        </is>
      </c>
      <c r="B26879">
        <f>HYPERLINK("https://www.dofusbook.net/fr/equipement/4772803-feca-m-200-terre/objets", "link")</f>
        <v/>
      </c>
      <c r="C26879" t="n">
        <v>2</v>
      </c>
      <c r="D26879" t="inlineStr">
        <is>
          <t>Lav'Hache; Amulette du Strigide; Anneau Crustique; Anneau Crustique; Sept ans de malheur; Ceintouse; Masque de Koutoulou; Cape au Logis; Tentassons; Dofus Émeraude; Dolmanax; Dofus Pourpre; Dofus Ocre; Étourdisseur majeur; Obstructeur majeur; Drakopin</t>
        </is>
      </c>
    </row>
    <row r="26880">
      <c r="A26880" t="inlineStr">
        <is>
          <t>Féca M 200</t>
        </is>
      </c>
      <c r="B26880">
        <f>HYPERLINK("https://www.dofusbook.net/fr/equipement/4139178-feca-m-200/objets", "link")</f>
        <v/>
      </c>
      <c r="C26880" t="n">
        <v>10</v>
      </c>
      <c r="D26880" t="inlineStr">
        <is>
          <t>Épée Brûlâme; Amulette du Strigide; Anneau de Pol Ouatnos; Alliance Gloursonne; Bouclier cubiste; Ceintacé; Dorabysses; Cape des Malveilleurs; Sandales  d'Atcham; Dofus Pourpre; Dofus des Glaces; Dofus Turquoise; Dolmanax; Remueur; Vigoureux majeur; Kramkram</t>
        </is>
      </c>
    </row>
    <row r="26881">
      <c r="A26881" t="inlineStr">
        <is>
          <t>Féca M 200 air/terre</t>
        </is>
      </c>
      <c r="B26881">
        <f>HYPERLINK("https://www.dofusbook.net/fr/equipement/4772479-feca-m-200-air-terre/objets", "link")</f>
        <v/>
      </c>
      <c r="C26881" t="n">
        <v>3</v>
      </c>
      <c r="D26881" t="inlineStr">
        <is>
          <t>Héqache; Amulette du Cœur Vaillant; Anneau Crustique; Alliance Gloursonne; Sept ans de malheur; Ceintouse; Masque de Koutoulou; Voile d'encre; Tentassons; Dofus Pourpre; Dofus Ocre; Dofus des Glaces; Dofus Émeraude; Dolmanax; Nomade; Drakopin</t>
        </is>
      </c>
    </row>
    <row r="26882">
      <c r="A26882" t="inlineStr">
        <is>
          <t>Actuel</t>
        </is>
      </c>
      <c r="B26882">
        <f>HYPERLINK("https://www.dofusbook.net/fr/equipement/620789-actuel/objets", "link")</f>
        <v/>
      </c>
      <c r="C26882" t="n">
        <v>2</v>
      </c>
      <c r="D26882" t="inlineStr">
        <is>
          <t>Marteau des Anciens Steamers; Amulette de Pol Ouatnos; Anneau Tique; Alliance Gloursonne; Ceinture du Barbétoal; Dorabysses; Cape Matelassée; Bottes de la Reine des Voleurs; Dofus Pourpre; Dolmanax; Chanceux majeur; Carapace Air majeur; Remueur; Miraculé majeur</t>
        </is>
      </c>
    </row>
    <row r="26883">
      <c r="A26883" t="inlineStr">
        <is>
          <t>Edra terre air</t>
        </is>
      </c>
      <c r="B26883">
        <f>HYPERLINK("https://www.dofusbook.net/fr/equipement/4155610-edra-terre-air/objets", "link")</f>
        <v/>
      </c>
      <c r="C26883" t="n">
        <v>10</v>
      </c>
      <c r="D26883" t="inlineStr">
        <is>
          <t>Héqache; Amulette du Strigide; Anneau Crustique; Alliance Gloursonne; Sept ans de malheur; Menoture; Chapoulpe; Cape du Cœur Vaillant; Tentassons; Dofus Abyssal; Dofus Ocre; Dofus Ivoire; Dofus Émeraude; Étourdisseur majeur; Miraculé majeur; Muldo Ebène</t>
        </is>
      </c>
    </row>
    <row r="26884">
      <c r="A26884" t="inlineStr">
        <is>
          <t>Stuff 2</t>
        </is>
      </c>
      <c r="B26884">
        <f>HYPERLINK("https://www.dofusbook.net/fr/equipement/620793-stuff-2/objets", "link")</f>
        <v/>
      </c>
      <c r="C26884" t="n">
        <v>0</v>
      </c>
      <c r="D26884" t="inlineStr">
        <is>
          <t>Arc Hétype; Pendentif affamé; Anneau Tamie; Anneau Tamie; Ceinture Séculaire; Couronne du Roi Joueur; Cape de Diondin; Bottes du Roi Joueur; Dolmanax; Remueur; Entraveur majeur; Érudit majeur; Temporiseur majeur; Nomade; Brûlih</t>
        </is>
      </c>
    </row>
    <row r="26885">
      <c r="A26885" t="inlineStr">
        <is>
          <t>Stuff 1</t>
        </is>
      </c>
      <c r="B26885">
        <f>HYPERLINK("https://www.dofusbook.net/fr/equipement/620786-stuff-1/objets", "link")</f>
        <v/>
      </c>
      <c r="C26885" t="n">
        <v>0</v>
      </c>
      <c r="D26885" t="inlineStr">
        <is>
          <t>Marteau des Anciens Steamers; Amulette de Pol Ouatnos; Anneau Tique; Alliance Gloursonne; Ceinture du Barbétoal; Dorabysses; Cape Matelassée; Bottes de la Reine des Voleurs; Dolmanax; Dofus Pourpre; Miraculé majeur; Chanceux majeur; Carapace Air majeur; Remueur; Kramkram; Bouclier solaire</t>
        </is>
      </c>
    </row>
    <row r="26886">
      <c r="A26886" t="inlineStr">
        <is>
          <t>Stuff 1</t>
        </is>
      </c>
      <c r="B26886">
        <f>HYPERLINK("https://www.dofusbook.net/fr/equipement/620792-stuff-1/objets", "link")</f>
        <v/>
      </c>
      <c r="C26886" t="n">
        <v>0</v>
      </c>
      <c r="D26886" t="inlineStr">
        <is>
          <t>Arc Hétype; Amulette d'Otomaï; Anneau de Nidas; Anneau Tamie; Ceinture Séculaire; Couronne de Nidas; Cape de Nileza; Pantoufles Émar; Dofus Ocre; Temporiseur majeur; Remueur; Érudit majeur; Nomade; Entraveur majeur; Dragodinde Prune et Emeraude</t>
        </is>
      </c>
    </row>
    <row r="26887">
      <c r="A26887" t="inlineStr">
        <is>
          <t>Stuff 2</t>
        </is>
      </c>
      <c r="B26887">
        <f>HYPERLINK("https://www.dofusbook.net/fr/equipement/620777-stuff-2/objets", "link")</f>
        <v/>
      </c>
      <c r="C26887" t="n">
        <v>0</v>
      </c>
      <c r="D26887" t="inlineStr">
        <is>
          <t>Dagues de Srambad; Amulette du Piloztère; Alliance Gloursonne; Pikano; Ceinture de la Reine des Voleurs; Coiffe de la Reine des Voleurs; Voile d'encre; Baleinabottes; Dofus Pourpre; Dofus Ocre; Nomade; Vigoureux majeur; Remueur; Robuste majeur; Kramkram</t>
        </is>
      </c>
    </row>
    <row r="26888">
      <c r="A26888" t="inlineStr">
        <is>
          <t>Crâ F 200</t>
        </is>
      </c>
      <c r="B26888">
        <f>HYPERLINK("https://www.dofusbook.net/fr/equipement/3345625-cra-f-200/objets", "link")</f>
        <v/>
      </c>
      <c r="C26888" t="n">
        <v>0</v>
      </c>
      <c r="D26888" t="inlineStr"/>
    </row>
    <row r="26889">
      <c r="A26889" t="inlineStr">
        <is>
          <t>Stuff 1</t>
        </is>
      </c>
      <c r="B26889">
        <f>HYPERLINK("https://www.dofusbook.net/fr/equipement/379418-stuff-1/objets", "link")</f>
        <v/>
      </c>
      <c r="C26889" t="n">
        <v>0</v>
      </c>
      <c r="D26889" t="inlineStr">
        <is>
          <t>Bâton des Rois; Amublop Griotte; Blopanneau Griotte; Gelano; Blopture Griotte; Boufcoiffe Royale; Capodindo; Bloptes Griottes</t>
        </is>
      </c>
    </row>
    <row r="26890">
      <c r="A26890" t="inlineStr">
        <is>
          <t>Stuff 1</t>
        </is>
      </c>
      <c r="B26890">
        <f>HYPERLINK("https://www.dofusbook.net/fr/equipement/151357-stuff-1/objets", "link")</f>
        <v/>
      </c>
      <c r="C26890" t="n">
        <v>5</v>
      </c>
      <c r="D26890" t="inlineStr">
        <is>
          <t>Baguette de Torkélonia; Amulette du Cœur Vaillant; Anneau Volkorne; Anneau des égarés; Cadran de Terre; Ceinture Volkorne; Casque Volkorne; Carapace de Torkélonia; Baleinabottes; Dofus Turquoise; Dofus Pourpre; Dofus Ocre; Dofus Ébène; Dofus des Glaces; Dofus Abyssal; Mékrabe</t>
        </is>
      </c>
    </row>
    <row r="26891">
      <c r="A26891" t="inlineStr">
        <is>
          <t>Stuff 2</t>
        </is>
      </c>
      <c r="B26891">
        <f>HYPERLINK("https://www.dofusbook.net/fr/equipement/151361-stuff-2/objets", "link")</f>
        <v/>
      </c>
      <c r="C26891" t="n">
        <v>35</v>
      </c>
      <c r="D26891" t="inlineStr">
        <is>
          <t>Hache du Chalœil; Amulette Volkorne; Alliance du Lévitrof; Anneau Volkorne; Quatre-feuilles; Ceinture Volkorne; Coiffe du Lévitrof; Voile d'encre; Bottes du Lévitrof; Dofus Turquoise; Dofus Abyssal; Dofus Ocre; Dofus Pourpre; Dofus Ébène; Dofus des Glaces; Kokulte</t>
        </is>
      </c>
    </row>
    <row r="26892">
      <c r="A26892" t="inlineStr">
        <is>
          <t>Stuff 2</t>
        </is>
      </c>
      <c r="B26892">
        <f>HYPERLINK("https://www.dofusbook.net/fr/equipement/151358-stuff-2/objets", "link")</f>
        <v/>
      </c>
      <c r="C26892" t="n">
        <v>14</v>
      </c>
      <c r="D26892" t="inlineStr">
        <is>
          <t>Rouleau à Pâtisserie d'Aermyne; Collier Rophante; Anneau de Pol Ouatnos; Alliance Gloursonne; Bouclier d'Anerice; Ceinture de Kongoku; Casque Dragoeuf; Cape d'Anerice; Pataugastrique; Dofus Abyssal; Dofus Émeraude; Bloqueur majeur; Fonceur majeur; Remueur; Obstructeur majeur; Givrefoux</t>
        </is>
      </c>
    </row>
    <row r="26893">
      <c r="A26893" t="inlineStr">
        <is>
          <t>Stuff 3</t>
        </is>
      </c>
      <c r="B26893">
        <f>HYPERLINK("https://www.dofusbook.net/fr/equipement/151353-stuff-3/objets", "link")</f>
        <v/>
      </c>
      <c r="C26893" t="n">
        <v>51</v>
      </c>
      <c r="D26893" t="inlineStr">
        <is>
          <t>Arc corrompu; Pendentif affamé; Anneau de Nidas; Lavanneau; Bouclier cubiste; Ceinture de Vortex; Couronne de Nidas; Cape de Diondin; Bottes Innommables; Dofus Abyssal; Dofus Ébène; Remueur; Dévastateur Feu majeur; Guérisseur majeur; Érudit majeur; Muldo Orchidée et Pourpre</t>
        </is>
      </c>
    </row>
    <row r="26894">
      <c r="A26894" t="inlineStr">
        <is>
          <t>Stuff 1</t>
        </is>
      </c>
      <c r="B26894">
        <f>HYPERLINK("https://www.dofusbook.net/fr/equipement/151354-stuff-1/objets", "link")</f>
        <v/>
      </c>
      <c r="C26894" t="n">
        <v>33</v>
      </c>
      <c r="D26894" t="inlineStr">
        <is>
          <t>Epée Toche; Amulette Volkorne; Chevalière du Roi Joueur; Bague Gloursonne; Bouclier d'Ilyzaelle; Ceinture Volkorne; Couronne du Roi Joueur; Voile d'encre; Bottes du Roi Joueur; Dofus Pourpre; Dofus Abyssal; Dofus Ébène; Dofus Ocre; Dofus Vulbis; Dofus des Glaces; Fëanor</t>
        </is>
      </c>
    </row>
    <row r="26895">
      <c r="A26895" t="inlineStr">
        <is>
          <t>Eau Dofus</t>
        </is>
      </c>
      <c r="B26895">
        <f>HYPERLINK("https://www.dofusbook.net/fr/equipement/5774909-eau-dofus/objets", "link")</f>
        <v/>
      </c>
      <c r="C26895" t="n">
        <v>2</v>
      </c>
      <c r="D26895" t="inlineStr">
        <is>
          <t>Rapière aux Glyphes; Amulette de l'Œil Putride; Alliance Gloursonne; Bracelet des Fonds marins; Trompe-la-Mort; Ceinture Voldelor; Masque des Fonds marins; Cape de l'Œil Putride; Sandales des Fonds marins; Dofus Émeraude; Dofus Ébène; Dofus Ocre; Dofus Abyssal; Dofus Vulbis; Dofus Ivoire; Kougnard</t>
        </is>
      </c>
    </row>
    <row r="26896">
      <c r="A26896" t="inlineStr">
        <is>
          <t>Feu Dofus</t>
        </is>
      </c>
      <c r="B26896">
        <f>HYPERLINK("https://www.dofusbook.net/fr/equipement/5774765-feu-dofus/objets", "link")</f>
        <v/>
      </c>
      <c r="C26896" t="n">
        <v>3</v>
      </c>
      <c r="D26896" t="inlineStr">
        <is>
          <t>Arc corrompu; Amulette de Nileza; Alliance du Lévitrof; Chevalière du Roi Joueur; Trompe-la-Mort; Croture; Couronne du Roi Joueur; Cape de Nileza; Bottes du Roi Joueur; Dofus Émeraude; Dofus Ébène; Dofus Ocre; Dofus Abyssal; Dofus Vulbis; Dofus Ivoire; Kougnard</t>
        </is>
      </c>
    </row>
    <row r="26897">
      <c r="A26897" t="inlineStr">
        <is>
          <t>Stuff 1</t>
        </is>
      </c>
      <c r="B26897">
        <f>HYPERLINK("https://www.dofusbook.net/fr/equipement/151363-stuff-1/objets", "link")</f>
        <v/>
      </c>
      <c r="C26897" t="n">
        <v>10</v>
      </c>
      <c r="D26897" t="inlineStr">
        <is>
          <t>Héqache; Amulette du Cœur Vaillant; Anneau des égarés; Anneau Volkorne; Cadran d'Air; Ceinture Volkorne; Casque Volkorne; Cape du Cœur Vaillant; Bottes du Cœur Vaillant</t>
        </is>
      </c>
    </row>
    <row r="26898">
      <c r="A26898" t="inlineStr">
        <is>
          <t>Stuff 3</t>
        </is>
      </c>
      <c r="B26898">
        <f>HYPERLINK("https://www.dofusbook.net/fr/equipement/151365-stuff-3/objets", "link")</f>
        <v/>
      </c>
      <c r="C26898" t="n">
        <v>0</v>
      </c>
      <c r="D26898" t="inlineStr">
        <is>
          <t>Dofus Pourpre; Remueur; Vigoureux majeur</t>
        </is>
      </c>
    </row>
    <row r="26899">
      <c r="A26899" t="inlineStr">
        <is>
          <t>Air Dofus</t>
        </is>
      </c>
      <c r="B26899">
        <f>HYPERLINK("https://www.dofusbook.net/fr/equipement/5774999-air-dofus/objets", "link")</f>
        <v/>
      </c>
      <c r="C26899" t="n">
        <v>0</v>
      </c>
      <c r="D26899" t="inlineStr">
        <is>
          <t>Manthache; Collier du Valet Veinard; Alliance Gloursonne; Gant du Valet Veinard; Trompe-la-Mort; Ceintouse; Casque Volkorne; Cape du Valet Veinard; Tentassons; Dofus Vulbis; Dofus Ivoire; Dofus Émeraude; Dofus Ébène; Dofus Ocre; Dofus Abyssal; Kougnard</t>
        </is>
      </c>
    </row>
    <row r="26900">
      <c r="A26900" t="inlineStr">
        <is>
          <t>Terre Dofus</t>
        </is>
      </c>
      <c r="B26900">
        <f>HYPERLINK("https://www.dofusbook.net/fr/equipement/5774850-terre-dofus/objets", "link")</f>
        <v/>
      </c>
      <c r="C26900" t="n">
        <v>0</v>
      </c>
      <c r="D26900" t="inlineStr">
        <is>
          <t>Arc du Chalœil; Amulette Volkorne; Anneau Chevelu; Chevalière du Roi Joueur; Trompe-la-Mort; Ceinture Volkorne; Couronne du Roi Joueur; Voile d'encre; Bottes du Roi Joueur; Dofus Vulbis; Dofus Ivoire; Dofus Émeraude; Dofus Ébène; Dofus Ocre; Dofus Abyssal; Kougnard</t>
        </is>
      </c>
    </row>
    <row r="26901">
      <c r="A26901" t="inlineStr">
        <is>
          <t>Zobal M 200</t>
        </is>
      </c>
      <c r="B26901">
        <f>HYPERLINK("https://www.dofusbook.net/fr/equipement/3912228-zobal-m-200/objets", "link")</f>
        <v/>
      </c>
      <c r="C26901" t="n">
        <v>1</v>
      </c>
      <c r="D26901" t="inlineStr">
        <is>
          <t>Dagues d'Ilyzaelle; Amulette du Cœur Saignant; Bague Gloursonne; Anneau Chevelu; Bouclier d'Ilyzaelle; Ceinture Volkorne; Masque de Koutoulou; Cape au Logis; Bottes du Cœur Saignant; Dofus Pourpre; Dofus Abyssal; Dofus Turquoise; Dofus Émeraude; Dofus Ébène; Remueur; Kokulte</t>
        </is>
      </c>
    </row>
    <row r="26902">
      <c r="A26902" t="inlineStr">
        <is>
          <t>Terre PvP</t>
        </is>
      </c>
      <c r="B26902">
        <f>HYPERLINK("https://www.dofusbook.net/fr/equipement/5737223-terre-pvp/objets", "link")</f>
        <v/>
      </c>
      <c r="C26902" t="n">
        <v>4</v>
      </c>
      <c r="D26902" t="inlineStr">
        <is>
          <t>Arc du Chalœil; Collier de Tourthon; Chevalière du Roi Joueur; Anneau Chevelu; Trompe-la-Mort; Ceinture Volkorne; Casque Dragoeuf; Cape au Logis; Bottes du Roi Joueur; Dofus Ivoire; Dofus Pourpre; Dofus Abyssal; Dofus Émeraude; Dofus Ébène; Remueur; Kougnard</t>
        </is>
      </c>
    </row>
    <row r="26903">
      <c r="A26903" t="inlineStr">
        <is>
          <t>Eau PvP</t>
        </is>
      </c>
      <c r="B26903">
        <f>HYPERLINK("https://www.dofusbook.net/fr/equipement/2294345-eau-pvp/objets", "link")</f>
        <v/>
      </c>
      <c r="C26903" t="n">
        <v>36</v>
      </c>
      <c r="D26903" t="inlineStr">
        <is>
          <t>Baguette Héroclite; Amulette Voldelor; Bracelet des Fonds marins; Alliance Gloursonne; Trompe-la-Mort; Sangle Ouare; Casque Dragoeuf; Cape Solution; Sandales des Fonds marins; Dofus Ivoire; Dofus Pourpre; Dofus Abyssal; Dofus Émeraude; Dofus Ébène; Remueur; Kanigloups</t>
        </is>
      </c>
    </row>
    <row r="26904">
      <c r="A26904" t="inlineStr">
        <is>
          <t>Air PvP</t>
        </is>
      </c>
      <c r="B26904">
        <f>HYPERLINK("https://www.dofusbook.net/fr/equipement/5737231-air-pvp/objets", "link")</f>
        <v/>
      </c>
      <c r="C26904" t="n">
        <v>3</v>
      </c>
      <c r="D26904" t="inlineStr">
        <is>
          <t>Manthache; Collier du Valet Veinard; Alliance Gloursonne; Gant du Valet Veinard; Trompe-la-Mort; Menoture; Casque Dragoeuf; Carapace de Torkélonia; Palmes Trithons; Dofus Émeraude; Dofus Ébène; Dofus Ivoire; Dofus Pourpre; Dofus Abyssal; Remueur; Muldo Ebène</t>
        </is>
      </c>
    </row>
    <row r="26905">
      <c r="A26905" t="inlineStr">
        <is>
          <t>Feu PvP</t>
        </is>
      </c>
      <c r="B26905">
        <f>HYPERLINK("https://www.dofusbook.net/fr/equipement/5737215-feu-pvp/objets", "link")</f>
        <v/>
      </c>
      <c r="C26905" t="n">
        <v>3</v>
      </c>
      <c r="D26905" t="inlineStr">
        <is>
          <t>Arc corrompu; Amulette de Nileza; Bague Gloursonne; Chevalière du Roi Joueur; Trompe-la-Mort; Croture; Casque Dragoeuf; Cape de Nileza; Bottes Innommables; Dofus Abyssal; Dofus Ébène; Dofus Pourpre; Dofus Émeraude; Nomade; Remueur; Kougnard</t>
        </is>
      </c>
    </row>
    <row r="26906">
      <c r="A26906" t="inlineStr">
        <is>
          <t>Stuff 3</t>
        </is>
      </c>
      <c r="B26906">
        <f>HYPERLINK("https://www.dofusbook.net/fr/equipement/151350-stuff-3/objets", "link")</f>
        <v/>
      </c>
      <c r="C26906" t="n">
        <v>18</v>
      </c>
      <c r="D26906" t="inlineStr">
        <is>
          <t>Massier; Amulette de Nileza; Chevalière du Roi Joueur; Bague Gloursonne; Trompe-la-Mort; Croture; Casque Dragoeuf; Cape de Nileza; Bottes Innommables; Dofus Émeraude; Dofus Abyssal; Dofus Ébène; Dofus Pourpre; Remueur; Nomade; Kougnard</t>
        </is>
      </c>
    </row>
    <row r="26907">
      <c r="A26907" t="inlineStr">
        <is>
          <t>Enutrof M 200</t>
        </is>
      </c>
      <c r="B26907">
        <f>HYPERLINK("https://www.dofusbook.net/fr/equipement/3990243-enutrof-m-200/objets", "link")</f>
        <v/>
      </c>
      <c r="C26907" t="n">
        <v>3</v>
      </c>
      <c r="D26907" t="inlineStr">
        <is>
          <t>Remueur; Nomade; Temporiseur majeur; Vigoureux majeur; Miraculé majeur</t>
        </is>
      </c>
    </row>
    <row r="26908">
      <c r="A26908" t="inlineStr">
        <is>
          <t>Terre Eau Air</t>
        </is>
      </c>
      <c r="B26908">
        <f>HYPERLINK("https://www.dofusbook.net/fr/equipement/1401813-terre-eau-air/objets", "link")</f>
        <v/>
      </c>
      <c r="C26908" t="n">
        <v>3</v>
      </c>
      <c r="D26908" t="inlineStr">
        <is>
          <t>Baguette Héroclite; Amulette du Sinistrofu; Anneau Volkorne; Alliance Gloursonne; Trompe-la-Mort; Ceinture Volkorne; Casque Dragoeuf; Cape du Sinistrofu; Bottes du Sinistrofu; Dofus Vulbis; Dofus Ivoire; Dofus Pourpre; Dofus Ocre; Dofus Émeraude; Dofus Abyssal; Kougnard</t>
        </is>
      </c>
    </row>
    <row r="26909">
      <c r="A26909" t="inlineStr">
        <is>
          <t>Stuff 2</t>
        </is>
      </c>
      <c r="B26909">
        <f>HYPERLINK("https://www.dofusbook.net/fr/equipement/151349-stuff-2/objets", "link")</f>
        <v/>
      </c>
      <c r="C26909" t="n">
        <v>9</v>
      </c>
      <c r="D26909" t="inlineStr">
        <is>
          <t>Manthache; Collier du Valet Veinard; Alliance Gloursonne; Gant du Valet Veinard; Bouclier d'Ilyzaelle; Menoture; Casque Dragoeuf; Cape Indescriptible; Palmes Trithons; Dofus Abyssal; Dofus Émeraude; Cascadeur majeur; Carapace Neutre majeur; Miraculé majeur; Remueur; Muldo Ebène</t>
        </is>
      </c>
    </row>
    <row r="26910">
      <c r="A26910" t="inlineStr">
        <is>
          <t>Stuff 2</t>
        </is>
      </c>
      <c r="B26910">
        <f>HYPERLINK("https://www.dofusbook.net/fr/equipement/151355-stuff-2/objets", "link")</f>
        <v/>
      </c>
      <c r="C26910" t="n">
        <v>17</v>
      </c>
      <c r="D26910" t="inlineStr">
        <is>
          <t>Epée Gloursonne; Amulette Martegel; Bague Gloursonne; Alliance Gloursonne; Bouclier du Stalak; Ceinture de Vortex; Masquegel; Cape Martegel; Sabots de Vortex; Dofus Abyssal; Dofus Pourpre; Dolmanax; Dofus Émeraude; Dofus Ocre; Dofus des Glaces; Muldo Orchidée et Pourpre</t>
        </is>
      </c>
    </row>
    <row r="26911">
      <c r="A26911" t="inlineStr">
        <is>
          <t>Test</t>
        </is>
      </c>
      <c r="B26911">
        <f>HYPERLINK("https://www.dofusbook.net/fr/equipement/1427608-test/objets", "link")</f>
        <v/>
      </c>
      <c r="C26911" t="n">
        <v>28</v>
      </c>
      <c r="D26911" t="inlineStr">
        <is>
          <t>Hache du Chalœil; Amulette du Strigide; Bracelet du Piloztère; Alliance Gloursonne; Quatre-feuilles; Ceinture du Strigide; Coiffe du Lévitrof; Voile d'encre; Bottes Honyme; Dofus Turquoise; Dofus des Glaces; Dofus Pourpre; Miraculé majeur; Vigoureux majeur; Remueur; Muldo Indigo et Pourpre</t>
        </is>
      </c>
    </row>
    <row r="26912">
      <c r="A26912" t="inlineStr">
        <is>
          <t>Distance</t>
        </is>
      </c>
      <c r="B26912">
        <f>HYPERLINK("https://www.dofusbook.net/fr/equipement/4626746-distance/objets", "link")</f>
        <v/>
      </c>
      <c r="C26912" t="n">
        <v>7</v>
      </c>
      <c r="D26912" t="inlineStr">
        <is>
          <t>Arc du Chalœil; Amulette Volkorne; Bague Gloursonne; Chevalière du Roi Joueur; Cadran de Terre; Ceinture Volkorne; Chapeau de Gein; Voile d'encre; Bottes Honyme; Dofus Émeraude; Remueur; Vigoureux majeur; Enragé majeur; Nomade; Érudit majeur; Muldo Indigo et Pourpre</t>
        </is>
      </c>
    </row>
    <row r="26913">
      <c r="A26913" t="inlineStr">
        <is>
          <t>Eliotrope M 200</t>
        </is>
      </c>
      <c r="B26913">
        <f>HYPERLINK("https://www.dofusbook.net/fr/equipement/5375359-eliotrope-m-200/objets", "link")</f>
        <v/>
      </c>
      <c r="C26913" t="n">
        <v>3</v>
      </c>
      <c r="D26913" t="inlineStr">
        <is>
          <t>Arc corrompu; Amulette de Nileza; Anneauræus; Anneau Tique; Cadran de Terre; Croture; Heaume Oplate; Cape de Nileza; Bottes Innommables; Dofus Pourpre; Dévastateur Feu majeur; Érudit majeur; Vigoureux majeur; Remueur; Miraculé majeur; Muldo Orchidée</t>
        </is>
      </c>
    </row>
    <row r="26914">
      <c r="A26914" t="inlineStr">
        <is>
          <t>Sacrieur M 200</t>
        </is>
      </c>
      <c r="B26914">
        <f>HYPERLINK("https://www.dofusbook.net/fr/equipement/5030039-sacrieur-m-200/objets", "link")</f>
        <v/>
      </c>
      <c r="C26914" t="n">
        <v>2</v>
      </c>
      <c r="D26914" t="inlineStr">
        <is>
          <t>Dagues d'Ilyzaelle; Amulette du Cœur Saignant; Bague Gloursonne; Anneau Crustique; Bouclier d'Ilyzaelle; Ceinture Volkorne; Corne de Torkélonia; Carapace de Torkélonia; Bottes du Cœur Saignant; Dofus Ocre; Dofus Ivoire; Dofus Pourpre; Dofus Vulbis; Dofus Turquoise; Dofus Abyssal</t>
        </is>
      </c>
    </row>
    <row r="26915">
      <c r="A26915" t="inlineStr">
        <is>
          <t>Stuff 2</t>
        </is>
      </c>
      <c r="B26915">
        <f>HYPERLINK("https://www.dofusbook.net/fr/equipement/151352-stuff-2/objets", "link")</f>
        <v/>
      </c>
      <c r="C26915" t="n">
        <v>23</v>
      </c>
      <c r="D26915" t="inlineStr">
        <is>
          <t>Pyraguette; Amulette Volkorne; Lavanneau; Anneau Volkorne; Bouclier cubiste; Ceinture de l'Esprit Malsain; Casqnoar; Cape de la Dame du Hasard; Bottes Honyme; Miraculé majeur; Nomade; Chanceux majeur; Remueur; Vigoureux majeur; Érudit majeur; Muldo Orchidée et Pourpre</t>
        </is>
      </c>
    </row>
    <row r="26916">
      <c r="A26916" t="inlineStr">
        <is>
          <t>Stuff 5</t>
        </is>
      </c>
      <c r="B26916">
        <f>HYPERLINK("https://www.dofusbook.net/fr/equipement/5176309-stuff-5/objets", "link")</f>
        <v/>
      </c>
      <c r="C26916" t="n">
        <v>0</v>
      </c>
      <c r="D26916" t="inlineStr">
        <is>
          <t>Pelle de Katrepat; Amulette Volkorne; Lavanneau; Anneau Volkorne; Bouclier d'Ilyzaelle; Ceinture de l'Esprit Malsain; Casqnoar; Cape de la Dame du Hasard; Bottes Honyme; Miraculé majeur; Nomade; Chanceux majeur; Remueur; Vigoureux majeur; Érudit majeur; Muldo Orchidée et Pourpre</t>
        </is>
      </c>
    </row>
    <row r="26917">
      <c r="A26917" t="inlineStr">
        <is>
          <t>Sacrieur M 200</t>
        </is>
      </c>
      <c r="B26917">
        <f>HYPERLINK("https://www.dofusbook.net/fr/equipement/4991034-sacrieur-m-200/objets", "link")</f>
        <v/>
      </c>
      <c r="C26917" t="n">
        <v>10</v>
      </c>
      <c r="D26917" t="inlineStr">
        <is>
          <t>Dagues d'Ilyzaelle; Collier de Tourthon; Anneau Chevelu; Anneau de Brouce; Bouclier d'Ilyzaelle; Ceinture Volkorne; Casque Dragoeuf; Cape au Logis; Sabots Minables; Dofus Pourpre; Dofus Abyssal; Dofus Émeraude; Remueur; Enragé majeur; Miraculé majeur; Bulbisou</t>
        </is>
      </c>
    </row>
    <row r="26918">
      <c r="A26918" t="inlineStr">
        <is>
          <t>terre eau full dofus</t>
        </is>
      </c>
      <c r="B26918">
        <f>HYPERLINK("https://www.dofusbook.net/fr/equipement/5038944-terre-eau-full-dofus/objets", "link")</f>
        <v/>
      </c>
      <c r="C26918" t="n">
        <v>4</v>
      </c>
      <c r="D26918" t="inlineStr">
        <is>
          <t>Dagues de Srambad; Amulette Luminescente; Pikano; Anneau Volkorne; Bouclier d'Ilyzaelle; Ceinture Volkorne; Casque en Grithril; Cape Luminescente; Bottes Honyme; Dofus des Glaces; Dofus Ocre; Dofus Pourpre; Dofus Abyssal; Dofus Émeraude; Dofus Ivoire; Muldo Ebène et Orchidée</t>
        </is>
      </c>
    </row>
    <row r="26919">
      <c r="A26919" t="inlineStr">
        <is>
          <t>Enculage</t>
        </is>
      </c>
      <c r="B26919">
        <f>HYPERLINK("https://www.dofusbook.net/fr/equipement/2181388-enculage/objets", "link")</f>
        <v/>
      </c>
      <c r="C26919" t="n">
        <v>19</v>
      </c>
      <c r="D26919" t="inlineStr">
        <is>
          <t>Marteau R'ture; Collier de Tourthon; Anneau Chevelu; Chevalière du Roi Joueur; Bouclier d'Ilyzaelle; Ceinture Volkorne; Casque Dragoeuf; Cape au Logis; Bottes du Roi Joueur; Dofus Pourpre; Dofus Abyssal; Dofus Émeraude; Enragé majeur; Miraculé majeur; Remueur; Kougnard</t>
        </is>
      </c>
    </row>
    <row r="26920">
      <c r="A26920" t="inlineStr">
        <is>
          <t>Stuff 1</t>
        </is>
      </c>
      <c r="B26920">
        <f>HYPERLINK("https://www.dofusbook.net/fr/equipement/151351-stuff-1/objets", "link")</f>
        <v/>
      </c>
      <c r="C26920" t="n">
        <v>38</v>
      </c>
      <c r="D26920" t="inlineStr">
        <is>
          <t>Baguette Héroclite; Amulette de Shokkoth; Anneau Volkorne; Alliance Gloursonne; Cadran d'Air; Ceinture de la Reine des Voleurs; Capuche de l'Œil Attentif; Cape Solution; Bottes de la Reine des Voleurs; Dofus Émeraude; Remueur; Chanceux majeur; Vigoureux majeur; Nomade; Muldo Doré et Ebène</t>
        </is>
      </c>
    </row>
    <row r="26921">
      <c r="A26921" t="inlineStr">
        <is>
          <t>Sacrieur M 200</t>
        </is>
      </c>
      <c r="B26921">
        <f>HYPERLINK("https://www.dofusbook.net/fr/equipement/4805712-sacrieur-m-200/objets", "link")</f>
        <v/>
      </c>
      <c r="C26921" t="n">
        <v>0</v>
      </c>
      <c r="D26921" t="inlineStr">
        <is>
          <t>Sabres d'Atcham; Amulette Volkorne; Anneau Volkorne; Bouclier d'Ilyzaelle; Casque Volkorne; Cape d'Atcham; Sandales  d'Atcham; Dofus Turquoise; Dofus Abyssal; Dofus Émeraude; Dokoko; Dofus Pourpre</t>
        </is>
      </c>
    </row>
    <row r="26922">
      <c r="A26922" t="inlineStr">
        <is>
          <t>SurOpti</t>
        </is>
      </c>
      <c r="B26922">
        <f>HYPERLINK("https://www.dofusbook.net/fr/equipement/2363329-suropti/objets", "link")</f>
        <v/>
      </c>
      <c r="C26922" t="n">
        <v>18</v>
      </c>
      <c r="D26922" t="inlineStr">
        <is>
          <t>Baguette Héroclite; Amulette de Shokkoth; Anneau Volkorne; Alliance Gloursonne; Quatre-feuilles; Ceinture de la Reine des Voleurs; Capuche de l'Œil Attentif; Cape Solution; Bottes de la Reine des Voleurs; Dofus Pourpre; Carapace Feu majeur; Remueur; Dévastateur Eau majeur; Nomade; Chanceux majeur; Kanigloups</t>
        </is>
      </c>
    </row>
    <row r="26923">
      <c r="A26923" t="inlineStr">
        <is>
          <t>Sacrieur M 200</t>
        </is>
      </c>
      <c r="B26923">
        <f>HYPERLINK("https://www.dofusbook.net/fr/equipement/4662030-sacrieur-m-200/objets", "link")</f>
        <v/>
      </c>
      <c r="C26923" t="n">
        <v>1</v>
      </c>
      <c r="D26923" t="inlineStr">
        <is>
          <t>Marteau des égarés; Amulette du Strigide; Alliance Gloursonne; Chevalière du Roi Joueur; Bouclier d'Ilyzaelle; Sangle Ouare; Casque Dragoeuf; Cape des Justiciers; Bottes du Strigide; Dolmanax; Dofus Abyssal; Dofus Pourpre; Dofus des Glaces; Dofus Turquoise; Remueur; Kokulte</t>
        </is>
      </c>
    </row>
    <row r="26924">
      <c r="A26924" t="inlineStr">
        <is>
          <t>Sacrieur M 200</t>
        </is>
      </c>
      <c r="B26924">
        <f>HYPERLINK("https://www.dofusbook.net/fr/equipement/4661829-sacrieur-m-200/objets", "link")</f>
        <v/>
      </c>
      <c r="C26924" t="n">
        <v>10</v>
      </c>
      <c r="D26924" t="inlineStr">
        <is>
          <t>Hache du Chalœil; Amulette Volkorne; Alliance du Lévitrof; Anneau Volkorne; Bouclier d'Ilyzaelle; Ceinture Volkorne; Coiffe du Lévitrof; Cape du Chalœil; Bottes du Lévitrof; Dofus Pourpre; Dofus des Glaces; Dofus Abyssal; Dofus Ivoire; Dofus Émeraude; Dofus Ocre; Bwak de Feu</t>
        </is>
      </c>
    </row>
    <row r="26925">
      <c r="A26925" t="inlineStr">
        <is>
          <t>Sacrieur M 200</t>
        </is>
      </c>
      <c r="B26925">
        <f>HYPERLINK("https://www.dofusbook.net/fr/equipement/4628847-sacrieur-m-200/objets", "link")</f>
        <v/>
      </c>
      <c r="C26925" t="n">
        <v>3</v>
      </c>
      <c r="D26925" t="inlineStr">
        <is>
          <t>Baguette des égarés; Amulette Luminescente; Anneau Volkorne; Anneau en Grithril; Cadran d'Air; Ceinture Volkorne; Casque en Grithril; Cape Luminescente; Bottes Honyme; Dofus Pourpre; Dofus Émeraude; Dofus Ivoire; Dofus Ocre; Dofus des Glaces; Dofus Abyssal; Muldo Ebène et Orchidée</t>
        </is>
      </c>
    </row>
    <row r="26926">
      <c r="A26926" t="inlineStr">
        <is>
          <t>Terre Distance</t>
        </is>
      </c>
      <c r="B26926">
        <f>HYPERLINK("https://www.dofusbook.net/fr/equipement/4004050-terre-distance/objets", "link")</f>
        <v/>
      </c>
      <c r="C26926" t="n">
        <v>3</v>
      </c>
      <c r="D26926" t="inlineStr">
        <is>
          <t>Arc du Chalœil; Collier de Tourthon; Anneau Chevelu; Chevalière du Roi Joueur; Cadran d'Air; Ceinture Volkorne; Casque Dragoeuf; Cape au Logis; Bottes du Roi Joueur; Dofus Pourpre; Dofus Abyssal; Dofus Émeraude; Enragé majeur; Miraculé majeur; Remueur; Kougnard</t>
        </is>
      </c>
    </row>
    <row r="26927">
      <c r="A26927" t="inlineStr">
        <is>
          <t>Stuff 3</t>
        </is>
      </c>
      <c r="B26927">
        <f>HYPERLINK("https://www.dofusbook.net/fr/equipement/151359-stuff-3/objets", "link")</f>
        <v/>
      </c>
      <c r="C26927" t="n">
        <v>8</v>
      </c>
      <c r="D26927" t="inlineStr">
        <is>
          <t>Bâthon; Amulette Volkorne; Bague Gloursonne; Chevalière du Roi Joueur; Bouclier d'Ilyzaelle; Ceinture Volkorne; Chapeau de Gein; Voile d'encre; Bottes Honyme; Dofus Émeraude; Remueur; Vigoureux majeur; Enragé majeur; Nomade; Érudit majeur; Muldo Doré et Pourpre</t>
        </is>
      </c>
    </row>
    <row r="26928">
      <c r="A26928" t="inlineStr">
        <is>
          <t>EniripsaFeuSoinCheap</t>
        </is>
      </c>
      <c r="B26928">
        <f>HYPERLINK("https://www.dofusbook.net/fr/equipement/4612477-eniripsafeusoincheap/objets", "link")</f>
        <v/>
      </c>
      <c r="C26928" t="n">
        <v>29</v>
      </c>
      <c r="D26928" t="inlineStr">
        <is>
          <t>Arc corrompu; Pendentif affamé; Bague Gloursonne; Anneau de Nidas; Cadran de Terre; Ceinture de Vortex; Couronne de Nidas; Cape de Diondin; Pantoufles Émar; Nomade; Érudit majeur; Miraculé majeur; Dévastateur Feu majeur; Remueur; Guérisseur majeur; Muldo Orchidée</t>
        </is>
      </c>
    </row>
    <row r="26929">
      <c r="A26929" t="inlineStr">
        <is>
          <t>Sadida F 200</t>
        </is>
      </c>
      <c r="B26929">
        <f>HYPERLINK("https://www.dofusbook.net/fr/equipement/4612601-sadida-f-200/objets", "link")</f>
        <v/>
      </c>
      <c r="C26929" t="n">
        <v>9</v>
      </c>
      <c r="D26929" t="inlineStr">
        <is>
          <t>Lance Horselé; Collier du Valet Veinard; Gant du Valet Veinard; Alliance Gloursonne; Cadran d'Air; Ceintouse; Chapoulpe; Cape du Valet Veinard; Tentassons; Dofus Abyssal; Dofus Ébène; Dofus Pourpre; Dofus Ocre; Dofus Émeraude; Dofus Ivoire; Muldo Ebène et Indigo</t>
        </is>
      </c>
    </row>
    <row r="26930">
      <c r="A26930" t="inlineStr">
        <is>
          <t>Air Esquives</t>
        </is>
      </c>
      <c r="B26930">
        <f>HYPERLINK("https://www.dofusbook.net/fr/equipement/4598630-air-esquives/objets", "link")</f>
        <v/>
      </c>
      <c r="C26930" t="n">
        <v>2</v>
      </c>
      <c r="D26930" t="inlineStr">
        <is>
          <t>Karnak; Collier du Valet Veinard; Gant du Valet Veinard; Alliance Gloursonne; Bouclier d'Ilyzaelle; Menoture; Casque Dragoeuf; Cape Indescriptible; Palmes Trithons; Dofus Abyssal; Dofus Émeraude; Miraculé majeur; Cavaleur majeur; Carapace Air majeur; Évasif majeur; Chienchien Tigré</t>
        </is>
      </c>
    </row>
    <row r="26931">
      <c r="A26931" t="inlineStr">
        <is>
          <t>Secondaire</t>
        </is>
      </c>
      <c r="B26931">
        <f>HYPERLINK("https://www.dofusbook.net/fr/equipement/2153136-secondaire/objets", "link")</f>
        <v/>
      </c>
      <c r="C26931" t="n">
        <v>2</v>
      </c>
      <c r="D26931" t="inlineStr">
        <is>
          <t>Arc de Koutoulou; Amulette Voldelor; Bracelet du Piloztère; Alliance Gloursonne; Cadran d'Air; Ceinture Voldelor; Masque du Barbétoal; Cape Matelassée; Bottes de la Reine des Voleurs; Dofus Émeraude; Chanceux majeur; Nomade; Vigoureux majeur; Remueur; Cascadeur majeur; Muldo Ebène</t>
        </is>
      </c>
    </row>
    <row r="26932">
      <c r="A26932" t="inlineStr">
        <is>
          <t>Mode2</t>
        </is>
      </c>
      <c r="B26932">
        <f>HYPERLINK("https://www.dofusbook.net/fr/equipement/2294369-mode2/objets", "link")</f>
        <v/>
      </c>
      <c r="C26932" t="n">
        <v>10</v>
      </c>
      <c r="D26932" t="inlineStr">
        <is>
          <t>Hache Téroïde; Amulette Volkorne; Chevalière du Roi Joueur; Bague Gloursonne; Bouclier d'Ilyzaelle; Ceinture Volkorne; Casque Dragoeuf; Voile d'encre; Tentassons; Dofus Émeraude; Dofus Abyssal; Remueur; Nomade; Miraculé majeur; Érudit majeur; Kougnard</t>
        </is>
      </c>
    </row>
    <row r="26933">
      <c r="A26933" t="inlineStr">
        <is>
          <t>Stuff 1</t>
        </is>
      </c>
      <c r="B26933">
        <f>HYPERLINK("https://www.dofusbook.net/fr/equipement/839072-stuff-1/objets", "link")</f>
        <v/>
      </c>
      <c r="C26933" t="n">
        <v>1</v>
      </c>
      <c r="D26933" t="inlineStr">
        <is>
          <t>Dagues Lassay; Collier du Valet Veinard; Alliance Gloursonne; Gant du Valet Veinard; Bouclier d'Ilyzaelle; Menoture; Casque Dragoeuf; Cape Indescriptible; Palmes Trithons; Dofus Abyssal; Dofus Émeraude; Remueur; Cascadeur majeur; Miraculé majeur; Carapace Air majeur; Dragodinde Amande et Ebène</t>
        </is>
      </c>
    </row>
    <row r="26934">
      <c r="A26934" t="inlineStr">
        <is>
          <t>Terre Eau</t>
        </is>
      </c>
      <c r="B26934">
        <f>HYPERLINK("https://www.dofusbook.net/fr/equipement/4181610-terre-eau/objets", "link")</f>
        <v/>
      </c>
      <c r="C26934" t="n">
        <v>4</v>
      </c>
      <c r="D26934" t="inlineStr">
        <is>
          <t>Dagues de Srambad; Amulette du Piloztère; Bracelet du Piloztère; Anneau Volkorne; Bouclier d'Ilyzaelle; Ceinture Volkorne; Masque de Koutoulou; Cape du Cœur Saignant; Pantoufles du Piloztère; Dofus Émeraude; Dofus Abyssal; Dofus Pourpre; Dofus Ivoire; Dofus Ocre; Dofus Ébène</t>
        </is>
      </c>
    </row>
    <row r="26935">
      <c r="A26935" t="inlineStr">
        <is>
          <t>Tank Air Ret PA</t>
        </is>
      </c>
      <c r="B26935">
        <f>HYPERLINK("https://www.dofusbook.net/fr/equipement/3892878-tank-air-ret-pa/objets", "link")</f>
        <v/>
      </c>
      <c r="C26935" t="n">
        <v>0</v>
      </c>
      <c r="D26935" t="inlineStr">
        <is>
          <t>Bâton du Koulosse; Collier du Valet Veinard; Alliance Gloursonne; Gant du Valet Veinard; Bouclier d'Ilyzaelle; Menoture; Casque Volkorne; Cape Indescriptible; Palmes Trithons; Dofus Abyssal; Dofus Émeraude; Miraculé majeur; Cascadeur majeur; Remueur; Étourdisseur majeur; Muldo Ebène</t>
        </is>
      </c>
    </row>
    <row r="26936">
      <c r="A26936" t="inlineStr">
        <is>
          <t>Stuff 0</t>
        </is>
      </c>
      <c r="B26936">
        <f>HYPERLINK("https://www.dofusbook.net/fr/equipement/151348-stuff-0/objets", "link")</f>
        <v/>
      </c>
      <c r="C26936" t="n">
        <v>15</v>
      </c>
      <c r="D26936" t="inlineStr">
        <is>
          <t>Hache Téroïde; Amulette du Strigide; Anneau de Padgref; Bague Trithon; Bouclier du Captain Amakna; Ceinture du Strigide; Masque Trithon; Chevelure de Tal Kasha; Bottes Trithon; Dofus Turquoise; Dofus Pourpre; Dofus Ocre; Dofus Abyssal; Dofus Vulbis; Dofus Émeraude; Kokulte</t>
        </is>
      </c>
    </row>
    <row r="26937">
      <c r="A26937" t="inlineStr">
        <is>
          <t>Mode4</t>
        </is>
      </c>
      <c r="B26937">
        <f>HYPERLINK("https://www.dofusbook.net/fr/equipement/2294393-mode4/objets", "link")</f>
        <v/>
      </c>
      <c r="C26937" t="n">
        <v>11</v>
      </c>
      <c r="D26937" t="inlineStr">
        <is>
          <t>Karnak; Collier du Valet Veinard; Gant du Valet Veinard; Alliance Gloursonne; Bouclier d'Ilyzaelle; Menoture; Casque Dragoeuf; Capibou; Bottes du Cœur Vaillant; Dofus Émeraude; Dofus Abyssal; Miraculé majeur; Carapace Air majeur; Remueur; Culbuteur majeur; Dragodinde Amande et Ebène</t>
        </is>
      </c>
    </row>
    <row r="26938">
      <c r="A26938" t="inlineStr">
        <is>
          <t>Terre Air</t>
        </is>
      </c>
      <c r="B26938">
        <f>HYPERLINK("https://www.dofusbook.net/fr/equipement/2294448-terre-air/objets", "link")</f>
        <v/>
      </c>
      <c r="C26938" t="n">
        <v>20</v>
      </c>
      <c r="D26938" t="inlineStr">
        <is>
          <t>Karnak; Collier du Valet Veinard; Gant du Valet Veinard; Alliance Gloursonne; Bouclier d'Ilyzaelle; Menoture; Casque Dragoeuf; Cape Indescriptible; Palmes Trithons; Dofus Abyssal; Dofus Émeraude; Dofus Pourpre; Carapace Air majeur; Remueur; Miraculé majeur; Dragodinde Amande et Ebène</t>
        </is>
      </c>
    </row>
    <row r="26939">
      <c r="A26939" t="inlineStr">
        <is>
          <t>Féca M 200</t>
        </is>
      </c>
      <c r="B26939">
        <f>HYPERLINK("https://www.dofusbook.net/fr/equipement/3624660-feca-m-200/objets", "link")</f>
        <v/>
      </c>
      <c r="C26939" t="n">
        <v>6</v>
      </c>
      <c r="D26939" t="inlineStr">
        <is>
          <t>Lav'Hache; Collier de Tourthon; Anneau Chevelu; Anneau Crustique; Sept ans de malheur; Ceintouse; Masque de Koutoulou; Cape du Cœur Vaillant; Tentassons; Dofus Émeraude; Dokoko; Remueur; Obstructeur majeur; Nomade; Étourdisseur majeur; Givrefoux</t>
        </is>
      </c>
    </row>
    <row r="26940">
      <c r="A26940" t="inlineStr">
        <is>
          <t>Sram eau</t>
        </is>
      </c>
      <c r="B26940">
        <f>HYPERLINK("https://www.dofusbook.net/fr/equipement/3911531-sram-eau/objets", "link")</f>
        <v/>
      </c>
      <c r="C26940" t="n">
        <v>1</v>
      </c>
      <c r="D26940" t="inlineStr">
        <is>
          <t>Dagoulinantes; Amulette de Shokkoth; Alliance Gloursonne; Alliance Brûlâme; Bouclier d'Ilyzaelle; Poulpagne; Capuche de l'Œil Attentif; Cape de l'Œil Attentif; Sandales des Fonds marins; Dofus Émeraude; Dokoko; Dévastateur Eau majeur; Carapace Eau majeur; Remueur; Chanceux majeur; Muldo Ebène et Pourpre</t>
        </is>
      </c>
    </row>
    <row r="26941">
      <c r="A26941" t="inlineStr">
        <is>
          <t>Stuff 1</t>
        </is>
      </c>
      <c r="B26941">
        <f>HYPERLINK("https://www.dofusbook.net/fr/equipement/151369-stuff-1/objets", "link")</f>
        <v/>
      </c>
      <c r="C26941" t="n">
        <v>2</v>
      </c>
      <c r="D26941" t="inlineStr">
        <is>
          <t>Dagoulinantes; Amulette de Shokkoth; Alliance Gloursonne; Bracelet des Fonds marins; Bouclier d'Ilyzaelle; Ceinture du Barbétoal; Dorabysses; Cape Solution; Sandales des Fonds marins; Dokoko; Dofus Émeraude; Miraculé majeur; Remueur; Chanceux majeur; Dévastateur Eau majeur; Muldo Ebène et Indigo</t>
        </is>
      </c>
    </row>
    <row r="26942">
      <c r="A26942" t="inlineStr">
        <is>
          <t>Mode3</t>
        </is>
      </c>
      <c r="B26942">
        <f>HYPERLINK("https://www.dofusbook.net/fr/equipement/2294374-mode3/objets", "link")</f>
        <v/>
      </c>
      <c r="C26942" t="n">
        <v>2</v>
      </c>
      <c r="D26942" t="inlineStr">
        <is>
          <t>Amulette de l'Œil Putride; Anneau Rifique; Alliance Brûlâme; Bouclier d'Ilyzaelle; Ceinture de Vortex; Cagoule de Vortex; Cape de l'Œil Putride; Sabots de Vortex; Dofus des Glaces; Dofus Émeraude; Dofus Ocre; Dofus Pourpre; Dofus Abyssal; Dofus Turquoise</t>
        </is>
      </c>
    </row>
    <row r="26943">
      <c r="A26943" t="inlineStr">
        <is>
          <t>FullDofus</t>
        </is>
      </c>
      <c r="B26943">
        <f>HYPERLINK("https://www.dofusbook.net/fr/equipement/3756965-fulldofus/objets", "link")</f>
        <v/>
      </c>
      <c r="C26943" t="n">
        <v>0</v>
      </c>
      <c r="D26943" t="inlineStr">
        <is>
          <t>Hache Ériphe; Amulette du Cœur Vaillant; Anneau Crustique; Gant du Valet Veinard; Bouclier d'Ilyzaelle; Ceintouse; Chapoulpe; Cape du Cœur Vaillant; Tentassons; Dokoko; Dofus Ocre; Dofus des Glaces; Dofus Abyssal; Dofus Ivoire; Dofus Émeraude</t>
        </is>
      </c>
    </row>
    <row r="26944">
      <c r="A26944" t="inlineStr">
        <is>
          <t>Stuff 3</t>
        </is>
      </c>
      <c r="B26944">
        <f>HYPERLINK("https://www.dofusbook.net/fr/equipement/151368-stuff-3/objets", "link")</f>
        <v/>
      </c>
      <c r="C26944" t="n">
        <v>0</v>
      </c>
      <c r="D26944" t="inlineStr">
        <is>
          <t>Canne Harr; Frimamulette; Alliance Gloursonne; Anneau de Padgref; Bouclier Taverne; Ceinture Rasboulaire du Rasboul; Coiffe de Padgref; Cape Matelassée; Pantoufles Émar; Dokoko; Nomade; Miraculé majeur; Cascadeur majeur; Remueur; Érudit majeur</t>
        </is>
      </c>
    </row>
    <row r="26945">
      <c r="A26945" t="inlineStr">
        <is>
          <t>Test</t>
        </is>
      </c>
      <c r="B26945">
        <f>HYPERLINK("https://www.dofusbook.net/fr/equipement/3360556-test/objets", "link")</f>
        <v/>
      </c>
      <c r="C26945" t="n">
        <v>20</v>
      </c>
      <c r="D26945" t="inlineStr">
        <is>
          <t>Lav'Hache; Amulette Volcanique; Chevalière du Roi Joueur; Bouclier d'Ilyzaelle; Ceinture du Comte Razof; Couronne de Nidas; Cape au Logis; Chaussons du Comte Razof; Dokoko; Étourdisseur majeur; Remueur; Obstructeur majeur; Nomade; Temporiseur majeur; Volkorne Ivoire et Turquoise</t>
        </is>
      </c>
    </row>
    <row r="26946">
      <c r="A26946" t="inlineStr">
        <is>
          <t>Eau Air</t>
        </is>
      </c>
      <c r="B26946">
        <f>HYPERLINK("https://www.dofusbook.net/fr/equipement/3621551-eau-air/objets", "link")</f>
        <v/>
      </c>
      <c r="C26946" t="n">
        <v>4</v>
      </c>
      <c r="D26946" t="inlineStr">
        <is>
          <t>Marteau des Anciens Steamers; Amulette Voldelor; Alliance Gloursonne; Gant du Valet Veinard; Bouclier d'Ilyzaelle; Poulpagne; Coiffe de la Reine des Voleurs; Cape Matelassée; Bottes de la Reine des Voleurs; Carapace Air majeur; Vigoureux majeur; Remueur; Cascadeur majeur; Nomade; Chanceux majeur; Muldo Ebène</t>
        </is>
      </c>
    </row>
    <row r="26947">
      <c r="A26947" t="inlineStr">
        <is>
          <t>Enculage</t>
        </is>
      </c>
      <c r="B26947">
        <f>HYPERLINK("https://www.dofusbook.net/fr/equipement/2186743-enculage/objets", "link")</f>
        <v/>
      </c>
      <c r="C26947" t="n">
        <v>1</v>
      </c>
      <c r="D26947" t="inlineStr">
        <is>
          <t>Sabres d'Atcham; Amulette Volkorne; Anneau Volkorne; Bague Gloursonne; Bouclier d'Ilyzaelle; Ceinture Volkorne; Casque Volkorne; Cape d'Atcham; Sandales  d'Atcham; Dofus Émeraude; Dofus Ocre; Dokoko; Dofus Pourpre; Dofus Abyssal; Dofus des Glaces; Dragodinde Emeraude et Ivoire</t>
        </is>
      </c>
    </row>
    <row r="26948">
      <c r="A26948" t="inlineStr">
        <is>
          <t>Osamodas F 200</t>
        </is>
      </c>
      <c r="B26948">
        <f>HYPERLINK("https://www.dofusbook.net/fr/equipement/3489069-osamodas-f-200/objets", "link")</f>
        <v/>
      </c>
      <c r="C26948" t="n">
        <v>2</v>
      </c>
      <c r="D26948" t="inlineStr">
        <is>
          <t>Arc du Chalœil; Amulette du Cycloïde; Bague Gloursonne; Anneau Chevelu; Bouclier d'Anerice; Protopagne; Casque Dragoeuf; Cape d'Anerice; Baleinabottes; Dofus Émeraude; Dokoko; Miraculé majeur; Remueur; Enragé majeur; Nomade; Dragodinde Dorée et Pourpre</t>
        </is>
      </c>
    </row>
    <row r="26949">
      <c r="A26949" t="inlineStr">
        <is>
          <t>Stuff 1</t>
        </is>
      </c>
      <c r="B26949">
        <f>HYPERLINK("https://www.dofusbook.net/fr/equipement/151360-stuff-1/objets", "link")</f>
        <v/>
      </c>
      <c r="C26949" t="n">
        <v>0</v>
      </c>
      <c r="D26949" t="inlineStr">
        <is>
          <t>Arc du Chalœil; Amulette de Nevark; Anneau de Brouce; Anneau du Comte Harebourg; Bouclier du Stalak; Ceinture de Nevark; Coiffe du Comte Harebourg; Cape de Nevark; Bottes du Comte Harebourg; Dofus Émeraude; Dofus Abyssal; Dofus Ocre; Dofus Pourpre; Dokoko; Dofus des Glaces; Kompost</t>
        </is>
      </c>
    </row>
    <row r="26950">
      <c r="A26950" t="inlineStr">
        <is>
          <t>Cra Bl</t>
        </is>
      </c>
      <c r="B26950">
        <f>HYPERLINK("https://www.dofusbook.net/fr/equipement/1393553-cra-bl/objets", "link")</f>
        <v/>
      </c>
      <c r="C26950" t="n">
        <v>0</v>
      </c>
      <c r="D26950" t="inlineStr">
        <is>
          <t>Racine Hueuse; Cadran d'Air; Bonnet Ko; Dofus Cawotte; Vigoureux; Vigoureux majeur; Nomade; Remueur; Miraculé majeur; Drakopin</t>
        </is>
      </c>
    </row>
    <row r="26951">
      <c r="A26951" t="inlineStr">
        <is>
          <t>Stuff 2</t>
        </is>
      </c>
      <c r="B26951">
        <f>HYPERLINK("https://www.dofusbook.net/fr/equipement/151364-stuff-2/objets", "link")</f>
        <v/>
      </c>
      <c r="C26951" t="n">
        <v>0</v>
      </c>
      <c r="D26951" t="inlineStr">
        <is>
          <t>Hache du Chalœil; Amulette de l'Indicible; Alliance du Lévitrof; Alliance Gloursonne; Quatre-feuilles; Ceinture de l'Indicible; Coiffe du Lévitrof; Voile d'encre; Bottes de l'Indicible; Dofus Pourpre; Dofus des Glaces; Dokoko; Dofus Nébuleux; Dofus Ocre; Dofus Turquoise; Muldo Indigo et Amande</t>
        </is>
      </c>
    </row>
    <row r="26952">
      <c r="A26952" t="inlineStr">
        <is>
          <t>Adrien</t>
        </is>
      </c>
      <c r="B26952">
        <f>HYPERLINK("https://www.dofusbook.net/fr/equipement/1539822-adrien/objets", "link")</f>
        <v/>
      </c>
      <c r="C26952" t="n">
        <v>1</v>
      </c>
      <c r="D26952" t="inlineStr">
        <is>
          <t>La Baguette des Limbes; Frimamulette; Kralano; Anneau de Padgref; Quatre-feuilles; Ceinture du Tengu Givrefoux; Coiffe de Padgref; Cape Hiculteur; Pantoufles Émar; Nomade; Cascadeur majeur; Miraculé majeur; Vigoureux majeur; Remueur; Érudit majeur; Kramkram</t>
        </is>
      </c>
    </row>
    <row r="26953">
      <c r="A26953" t="inlineStr">
        <is>
          <t>Stuff 3</t>
        </is>
      </c>
      <c r="B26953">
        <f>HYPERLINK("https://www.dofusbook.net/fr/equipement/151362-stuff-3/objets", "link")</f>
        <v/>
      </c>
      <c r="C26953" t="n">
        <v>0</v>
      </c>
      <c r="D26953" t="inlineStr">
        <is>
          <t>Héqache; Amulette du Strigide; Alliance Gloursonne; Anneau Chevelu; Bouclier du Sadida; Ceintacé; Masque de Koutoulou; Cape du Kamasterisk; Bottes du Strigide; Dofus Émeraude; Dofus Turquoise; Dokoko; Cascadeur majeur; Enragé majeur; Nomade; Muldo Prune et Indigo</t>
        </is>
      </c>
    </row>
    <row r="26954">
      <c r="A26954" t="inlineStr">
        <is>
          <t>Stuff 2</t>
        </is>
      </c>
      <c r="B26954">
        <f>HYPERLINK("https://www.dofusbook.net/fr/equipement/151367-stuff-2/objets", "link")</f>
        <v/>
      </c>
      <c r="C26954" t="n">
        <v>0</v>
      </c>
      <c r="D26954" t="inlineStr">
        <is>
          <t>Marteau des égarés; Amulette du Strigide; Anneau de Pol Ouatnos; Alliance Gloursonne; Bouclier Taverne; Ceintacé; Kidibonnet; Voile d'encre; Bottes du Strigide; Dofus Turquoise; Dofus Émeraude; Dokoko; Dolmanax; Dofus Pourpre; Carapace Eau majeur; Muldo Ebène et Pourpre</t>
        </is>
      </c>
    </row>
    <row r="26955">
      <c r="A26955" t="inlineStr">
        <is>
          <t>Stuff 1</t>
        </is>
      </c>
      <c r="B26955">
        <f>HYPERLINK("https://www.dofusbook.net/fr/equipement/151366-stuff-1/objets", "link")</f>
        <v/>
      </c>
      <c r="C26955" t="n">
        <v>0</v>
      </c>
      <c r="D26955" t="inlineStr">
        <is>
          <t>Marteau des égarés; Amulette de l'Indicible; Alliance Gloursonne; Anneau de Nidas; Bouclier du Sadida; Ceintacé; Kidibonnet; Cape au Logis; Bottes de l'Indicible; Dofus Émeraude; Dofus Pourpre; Dokoko; Nomade; Vigoureux majeur; Remueur; Dragodinde en armure</t>
        </is>
      </c>
    </row>
    <row r="26956">
      <c r="A26956" t="inlineStr">
        <is>
          <t>Pandawa M 200</t>
        </is>
      </c>
      <c r="B26956">
        <f>HYPERLINK("https://www.dofusbook.net/fr/equipement/5825366-pandawa-m-200/objets", "link")</f>
        <v/>
      </c>
      <c r="C26956" t="n">
        <v>1</v>
      </c>
      <c r="D26956" t="inlineStr">
        <is>
          <t>Arc Hétype; Amulette Volkorne; Bague Gloursonne; Chevalière du Roi Joueur; Carapar; Croture; Casque Dragoeuf; Cape de Diondin; Bottes du Roi Joueur; Dofus Émeraude; Dofus Ivoire; Érudit majeur; Nomade; Guérisseur majeur; Remueur; Bilby</t>
        </is>
      </c>
    </row>
    <row r="26957">
      <c r="A26957" t="inlineStr">
        <is>
          <t>A faire</t>
        </is>
      </c>
      <c r="B26957">
        <f>HYPERLINK("https://www.dofusbook.net/fr/equipement/5473592-a-faire/objets", "link")</f>
        <v/>
      </c>
      <c r="C26957" t="n">
        <v>4</v>
      </c>
      <c r="D26957" t="inlineStr">
        <is>
          <t>Arc de Koutoulou; Amulette du Strigide; Alliance Gloursonne; Bracelet du Piloztère; Quatre-feuilles; Ceinture du Strigide; Némès de Tal Kasha; Chevelure de Tal Kasha; Sandales de Tal Kasha; Dofus Vulbis; Dofus Ivoire; Dofus Ocre; Dofus Ébène; Dofus Pourpre; Dofus Turquoise; Kokulte</t>
        </is>
      </c>
    </row>
    <row r="26958">
      <c r="A26958" t="inlineStr">
        <is>
          <t>A faire</t>
        </is>
      </c>
      <c r="B26958">
        <f>HYPERLINK("https://www.dofusbook.net/fr/equipement/5570082-a-faire/objets", "link")</f>
        <v/>
      </c>
      <c r="C26958" t="n">
        <v>1</v>
      </c>
      <c r="D26958" t="inlineStr">
        <is>
          <t>Sabres d'Atcham; Amulette du Strigide; Anneau de Padgref; Anneau Toriété; Bouclier du Captain Amakna; Ceinture du Strigide; Coiffe de Padgref; Cape d'Atcham; Sandales  d'Atcham; Dofus Pourpre; Dofus Ivoire; Dofus Ébène; Dofus Ocre; Dofus Turquoise; Dofus des Glaces; Kokulte</t>
        </is>
      </c>
    </row>
    <row r="26959">
      <c r="A26959" t="inlineStr">
        <is>
          <t>A faire</t>
        </is>
      </c>
      <c r="B26959">
        <f>HYPERLINK("https://www.dofusbook.net/fr/equipement/5375695-a-faire/objets", "link")</f>
        <v/>
      </c>
      <c r="C26959" t="n">
        <v>3</v>
      </c>
      <c r="D26959" t="inlineStr">
        <is>
          <t>Dagues Érhy; Amulette Volkorne; Anneau Volkorne; Chevalière du Roi Joueur; Quatre-feuilles; Ceinture Volkorne; Couronne du Roi Joueur; Cape de Jahash Jurgen; Bottes du Roi Joueur; Dofus des Glaces; Dofus Ocre; Dofus Ébène; Dofus Ivoire; Dofus Abyssal; Dofus Pourpre; Fëanor</t>
        </is>
      </c>
    </row>
    <row r="26960">
      <c r="A26960" t="inlineStr">
        <is>
          <t>A faire</t>
        </is>
      </c>
      <c r="B26960">
        <f>HYPERLINK("https://www.dofusbook.net/fr/equipement/5536695-a-faire/objets", "link")</f>
        <v/>
      </c>
      <c r="C26960" t="n">
        <v>0</v>
      </c>
      <c r="D26960" t="inlineStr">
        <is>
          <t>Dagues Érhy; Amulette Volkorne; Anneau Volkorne; Chevalière du Roi Joueur; Quatre-feuilles; Ceinture Volkorne; Couronne du Roi Joueur; Cape de Jahash Jurgen; Bottes du Roi Joueur; Dofus des Glaces; Dofus Ocre; Dofus Ébène; Dofus Ivoire; Dofus Abyssal; Dofus Pourpre; Fëanor</t>
        </is>
      </c>
    </row>
    <row r="26961">
      <c r="A26961" t="inlineStr">
        <is>
          <t>A faire</t>
        </is>
      </c>
      <c r="B26961">
        <f>HYPERLINK("https://www.dofusbook.net/fr/equipement/5551739-a-faire/objets", "link")</f>
        <v/>
      </c>
      <c r="C26961" t="n">
        <v>0</v>
      </c>
      <c r="D26961" t="inlineStr">
        <is>
          <t>Dagues Érhy; Amulette Volkorne; Anneau Volkorne; Chevalière du Roi Joueur; Quatre-feuilles; Ceinture Volkorne; Couronne du Roi Joueur; Cape de Jahash Jurgen; Bottes du Roi Joueur; Dofus des Glaces; Dofus Ocre; Dofus Ébène; Dofus Ivoire; Dofus Abyssal; Dofus Pourpre; Fëanor</t>
        </is>
      </c>
    </row>
    <row r="26962">
      <c r="A26962" t="inlineStr">
        <is>
          <t>A faire</t>
        </is>
      </c>
      <c r="B26962">
        <f>HYPERLINK("https://www.dofusbook.net/fr/equipement/5337582-a-faire/objets", "link")</f>
        <v/>
      </c>
      <c r="C26962" t="n">
        <v>9</v>
      </c>
      <c r="D26962" t="inlineStr">
        <is>
          <t>Baguette de Torkélonia; Amulette du Strigide; Grésilanneau; Alliance Brûlâme; Quatre-feuilles; Ceinture du Strigide; Corne de Torkélonia; Carapace de Torkélonia; Bottes du Strigide; Dofus des Glaces; Dofus Ocre; Dofus Ébène; Dofus Pourpre; Dofus Ivoire; Dofus Turquoise; Sakochère</t>
        </is>
      </c>
    </row>
    <row r="26963">
      <c r="A26963" t="inlineStr">
        <is>
          <t>A faire</t>
        </is>
      </c>
      <c r="B26963">
        <f>HYPERLINK("https://www.dofusbook.net/fr/equipement/5536934-a-faire/objets", "link")</f>
        <v/>
      </c>
      <c r="C26963" t="n">
        <v>3</v>
      </c>
      <c r="D26963" t="inlineStr">
        <is>
          <t>Manthache; Collier du Valet Veinard; Gant du Valet Veinard; Anneau d'Allister; Quatre-feuilles; Ceintouse; Couronne d'Allister; Cape du Valet Veinard; Bottes d'Allister; Dofus Ivoire; Dofus Ocre; Dofus Vulbis; Dofus Pourpre; Dofus Ébène; Dofus Abyssal; Blérodoudou</t>
        </is>
      </c>
    </row>
    <row r="26964">
      <c r="A26964" t="inlineStr">
        <is>
          <t>A faire</t>
        </is>
      </c>
      <c r="B26964">
        <f>HYPERLINK("https://www.dofusbook.net/fr/equipement/5536571-a-faire/objets", "link")</f>
        <v/>
      </c>
      <c r="C26964" t="n">
        <v>1</v>
      </c>
      <c r="D26964" t="inlineStr">
        <is>
          <t>Arc corrompu; Amulette de Nileza; Anneauræus; Chevalière du Roi Joueur; Carapar; Croture; Heaume Oplate; Cape de Nileza; Bottes Innommables; Dofus Ivoire; Dofus Pourpre; Remueur; Guérisseur majeur; Érudit majeur; Nomade; Dragodinde Orchidée et Rousse</t>
        </is>
      </c>
    </row>
    <row r="26965">
      <c r="A26965" t="inlineStr">
        <is>
          <t>A faire</t>
        </is>
      </c>
      <c r="B26965">
        <f>HYPERLINK("https://www.dofusbook.net/fr/equipement/5493861-a-faire/objets", "link")</f>
        <v/>
      </c>
      <c r="C26965" t="n">
        <v>8</v>
      </c>
      <c r="D26965" t="inlineStr">
        <is>
          <t>Hache du Chalœil; Amulette du Strigide; Bracelet du Piloztère; Anneau Toriété; Quatre-feuilles; Ceintacé; Le Dorado; Cape du Chalœil; Bottes du Strigide; Dofus Turquoise; Dofus des Glaces; Dofus Pourpre; Remueur; Nomade; Vigoureux majeur; Kokulte</t>
        </is>
      </c>
    </row>
    <row r="26966">
      <c r="A26966" t="inlineStr">
        <is>
          <t>A ne pas faire</t>
        </is>
      </c>
      <c r="B26966">
        <f>HYPERLINK("https://www.dofusbook.net/fr/equipement/4074952-a-ne-pas-faire/objets", "link")</f>
        <v/>
      </c>
      <c r="C26966" t="n">
        <v>3</v>
      </c>
      <c r="D26966" t="inlineStr">
        <is>
          <t>Dagues Açantes; Amulette Voldelor; Anneau Volkorne; Pikano; Bouclier du Captain Amakna; Pagne du Rykaon; Kidibonnet; Cape de la Dame du Hasard; Bottes Voldelor; Dofus Pourpre; Dofus Ébène; Dofus Turquoise; Dofus Ocre; Nomade; Vigoureux majeur; Kokulte</t>
        </is>
      </c>
    </row>
    <row r="26967">
      <c r="A26967" t="inlineStr">
        <is>
          <t>Xélor F 200</t>
        </is>
      </c>
      <c r="B26967">
        <f>HYPERLINK("https://www.dofusbook.net/fr/equipement/5522334-xelor-f-200/objets", "link")</f>
        <v/>
      </c>
      <c r="C26967" t="n">
        <v>4</v>
      </c>
      <c r="D26967" t="inlineStr">
        <is>
          <t>Arc corrompu; Amulette de Nileza; Chevalière du Roi Joueur; Anneauræus; Quatre-feuilles; Croture; Heaume Oplate; Cape de Nileza; Bottes Innommables; Dofus Pourpre; Dofus Ivoire; Nomade; Remueur; Vigoureux majeur; Érudit majeur; Bisouglours</t>
        </is>
      </c>
    </row>
    <row r="26968">
      <c r="A26968" t="inlineStr">
        <is>
          <t>Zobal F 200</t>
        </is>
      </c>
      <c r="B26968">
        <f>HYPERLINK("https://www.dofusbook.net/fr/equipement/5453269-zobal-f-200/objets", "link")</f>
        <v/>
      </c>
      <c r="C26968" t="n">
        <v>0</v>
      </c>
      <c r="D26968" t="inlineStr">
        <is>
          <t>Dagues du Dragoeuf; Amulette de Gein; Anneau du Cycloïde; Ceinture de Gein; Chapeau de Gein; Bottes du Cycloïde</t>
        </is>
      </c>
    </row>
    <row r="26969">
      <c r="A26969" t="inlineStr">
        <is>
          <t>Eniripsa F 200</t>
        </is>
      </c>
      <c r="B26969">
        <f>HYPERLINK("https://www.dofusbook.net/fr/equipement/5375703-eniripsa-f-200/objets", "link")</f>
        <v/>
      </c>
      <c r="C26969" t="n">
        <v>0</v>
      </c>
      <c r="D26969" t="inlineStr">
        <is>
          <t>Arc de Koutoulou; Amulette Voldelor; Anneau Volkorne; Alliance Gloursonne; Quatre-feuilles; Ceinture Voldelor; Casque Volkorne; Cape de Jahash Jurgen; Bottes Voldelor; Dofus Vulbis; Dofus Ocre; Dofus Pourpre; Dofus Ébène; Dofus Turquoise; Dofus Ivoire; Kokulte</t>
        </is>
      </c>
    </row>
    <row r="26970">
      <c r="A26970" t="inlineStr">
        <is>
          <t>Féca M 200</t>
        </is>
      </c>
      <c r="B26970">
        <f>HYPERLINK("https://www.dofusbook.net/fr/equipement/5355947-feca-m-200/objets", "link")</f>
        <v/>
      </c>
      <c r="C26970" t="n">
        <v>2</v>
      </c>
      <c r="D26970" t="inlineStr">
        <is>
          <t>Baguette Hique; Amulette Volkorne; Anneau Volkorne; Bague Trithon; Quatre-feuilles; Ceintacé; Masque Trithon; Cape de la Dame du Hasard; Bottes de la Dame du Hasard; Dofus Pourpre; Dofus Vulbis; Dofus Ocre; Dofus Ivoire; Dofus Turquoise; Dofus Ébène; Kokulte</t>
        </is>
      </c>
    </row>
    <row r="26971">
      <c r="A26971" t="inlineStr">
        <is>
          <t>Féca F 200</t>
        </is>
      </c>
      <c r="B26971">
        <f>HYPERLINK("https://www.dofusbook.net/fr/equipement/5355924-feca-f-200/objets", "link")</f>
        <v/>
      </c>
      <c r="C26971" t="n">
        <v>3</v>
      </c>
      <c r="D26971" t="inlineStr">
        <is>
          <t>Baguette Hique; Amulette du Strigide; Anneau Toriété; Bracelet du Piloztère; Quatre-feuilles; Ceintacé; Casquette de Meno; Cape de la Dame du Hasard; Bottes de la Dame du Hasard; Dofus Ébène; Dofus Turquoise; Dofus Ivoire; Dofus des Glaces; Dofus Ocre; Dofus Pourpre; Kokulte</t>
        </is>
      </c>
    </row>
    <row r="26972">
      <c r="A26972" t="inlineStr">
        <is>
          <t>Ouginak F 200</t>
        </is>
      </c>
      <c r="B26972">
        <f>HYPERLINK("https://www.dofusbook.net/fr/equipement/4045482-ouginak-f-200/objets", "link")</f>
        <v/>
      </c>
      <c r="C26972" t="n">
        <v>8</v>
      </c>
      <c r="D26972" t="inlineStr">
        <is>
          <t>Épouvante; Amulette du Strigide; Pikano; Anneau Volkorne; Bouclier du Captain Amakna; Ceinture Volkorne; Coiffe d'Ogivol; Cape d'Anerice; Bottes Honyme; Dofus Pourpre; Dofus Émeraude; Dofus Turquoise; Vigoureux majeur; Nomade; Remueur; Kokulte</t>
        </is>
      </c>
    </row>
    <row r="26973">
      <c r="A26973" t="inlineStr">
        <is>
          <t>Huppermage F 200</t>
        </is>
      </c>
      <c r="B26973">
        <f>HYPERLINK("https://www.dofusbook.net/fr/equipement/4461187-huppermage-f-200/objets", "link")</f>
        <v/>
      </c>
      <c r="C26973" t="n">
        <v>0</v>
      </c>
      <c r="D26973" t="inlineStr">
        <is>
          <t>Marteau Phossile; Amulette du Strigide; Anneau Toriété; Anneau de Padgref; Bouclier du Captain Amakna; Ceinture du Strigide; Coiffe de Padgref; Cape de Jahash Jurgen; Getas de Padgref; Dolmanax; Dofus Ocre; Dofus Pourpre; Dofus Nébuleux; Dofus des Glaces; Dofus Turquoise; Kokulte</t>
        </is>
      </c>
    </row>
    <row r="26974">
      <c r="A26974" t="inlineStr">
        <is>
          <t>Xélor F 200</t>
        </is>
      </c>
      <c r="B26974">
        <f>HYPERLINK("https://www.dofusbook.net/fr/equipement/4171265-xelor-f-200/objets", "link")</f>
        <v/>
      </c>
      <c r="C26974" t="n">
        <v>0</v>
      </c>
      <c r="D26974" t="inlineStr">
        <is>
          <t>Hache du Chalœil; Amulette Volkorne; Chevalière du Roi Joueur; Anneau Volkorne; Quatre-feuilles; Ceinture Volkorne; Couronne du Roi Joueur; Cape de Jahash Jurgen; Bottes du Roi Joueur; Dolmanax; Dofus des Glaces; Dofus Ébène; Dofus Turquoise; Dofus Pourpre; Dofus Ocre; Sakochère</t>
        </is>
      </c>
    </row>
    <row r="26975">
      <c r="A26975" t="inlineStr">
        <is>
          <t>Iop M 200</t>
        </is>
      </c>
      <c r="B26975">
        <f>HYPERLINK("https://www.dofusbook.net/fr/equipement/3492250-iop-m-200/objets", "link")</f>
        <v/>
      </c>
      <c r="C26975" t="n">
        <v>2</v>
      </c>
      <c r="D26975" t="inlineStr">
        <is>
          <t>Hache du Chalœil; Amulette Volkorne; Alliance de Missiz Frizz; Anneau Volkorne; Quatre-feuilles; Ceinture Volkorne; Casque de Missiz Frizz; Cape de Jahash Jurgen; Bottes de Missiz Frizz; Dofus Turquoise; Dofus Nébuleux; Dofus Pourpre; Dofus Ocre; Dolmanax; Dofus des Glaces; Sakochère</t>
        </is>
      </c>
    </row>
    <row r="26976">
      <c r="A26976" t="inlineStr">
        <is>
          <t>Pandawa F 200</t>
        </is>
      </c>
      <c r="B26976">
        <f>HYPERLINK("https://www.dofusbook.net/fr/equipement/4459775-pandawa-f-200/objets", "link")</f>
        <v/>
      </c>
      <c r="C26976" t="n">
        <v>0</v>
      </c>
      <c r="D26976" t="inlineStr"/>
    </row>
    <row r="26977">
      <c r="A26977" t="inlineStr">
        <is>
          <t>Crâ F 200</t>
        </is>
      </c>
      <c r="B26977">
        <f>HYPERLINK("https://www.dofusbook.net/fr/equipement/4459649-cra-f-200/objets", "link")</f>
        <v/>
      </c>
      <c r="C26977" t="n">
        <v>4</v>
      </c>
      <c r="D26977" t="inlineStr">
        <is>
          <t>Arc du Chalœil; Amulette du Strigide; Anneau Chevelu; Bracelet du Piloztère; Quatre-feuilles; Ceinture du Strigide; Masque de Koutoulou; Cape au Logis; Baleinabottes; Dofus Turquoise; Dofus Pourpre; Enragé majeur; Remueur; Vigoureux majeur; Nomade; Kokulte</t>
        </is>
      </c>
    </row>
    <row r="26978">
      <c r="A26978" t="inlineStr">
        <is>
          <t>Sram F 200</t>
        </is>
      </c>
      <c r="B26978">
        <f>HYPERLINK("https://www.dofusbook.net/fr/equipement/4459517-sram-f-200/objets", "link")</f>
        <v/>
      </c>
      <c r="C26978" t="n">
        <v>2</v>
      </c>
      <c r="D26978" t="inlineStr">
        <is>
          <t>Dagues d'Ilyzaelle; Collier de Tourthon; Anneau Crustique; Anneau Chevelu; Bouclier du Captain Amakna; Ceinture de la Reine des Voleurs; Coiffe de la Reine des Voleurs; Cape au Logis; Bottes du Cœur Saignant; Dofus Pourpre; Dofus des Glaces; Enragé majeur; Remueur; Vigoureux majeur; Nomade; Bulbisou</t>
        </is>
      </c>
    </row>
    <row r="26979">
      <c r="A26979" t="inlineStr">
        <is>
          <t>Sram F 200</t>
        </is>
      </c>
      <c r="B26979">
        <f>HYPERLINK("https://www.dofusbook.net/fr/equipement/4364555-sram-f-200/objets", "link")</f>
        <v/>
      </c>
      <c r="C26979" t="n">
        <v>3</v>
      </c>
      <c r="D26979" t="inlineStr">
        <is>
          <t>Dagues Érhy; Amulette du Strigide; Chevalière du Roi Joueur; Bracelet du Piloztère; Quatre-feuilles; Ceintacé; Chapeau de Gein; Voile d'encre; Bottes du Strigide; Dofus Turquoise; Dofus Pourpre; Remueur; Enragé majeur; Nomade; Vigoureux majeur; Pioute vert</t>
        </is>
      </c>
    </row>
    <row r="26980">
      <c r="A26980" t="inlineStr">
        <is>
          <t>Roublard F 200</t>
        </is>
      </c>
      <c r="B26980">
        <f>HYPERLINK("https://www.dofusbook.net/fr/equipement/4349829-roublard-f-200/objets", "link")</f>
        <v/>
      </c>
      <c r="C26980" t="n">
        <v>0</v>
      </c>
      <c r="D26980" t="inlineStr">
        <is>
          <t>Manthache; Collier du Valet Veinard; Anneau d'Allister; Gant du Valet Veinard; Bouclier du Stalak; Sangle Oriole; Couronne d'Allister; Cape du Valet Veinard; Bottes d'Allister; Dofus Pourpre; Dofus Ébène; Dofus Ocre; Dofus des Glaces; Voyageur; Equilibriste majeur; Blérodoudou</t>
        </is>
      </c>
    </row>
    <row r="26981">
      <c r="A26981" t="inlineStr">
        <is>
          <t>Sacrieur F 200</t>
        </is>
      </c>
      <c r="B26981">
        <f>HYPERLINK("https://www.dofusbook.net/fr/equipement/4317341-sacrieur-f-200/objets", "link")</f>
        <v/>
      </c>
      <c r="C26981" t="n">
        <v>0</v>
      </c>
      <c r="D26981" t="inlineStr">
        <is>
          <t>Crocobur; Amulette du Strigide; Anneau Chevelu; Pikano; Cadran d'Eau; Ceinture du Strigide; Chapoulpe; Cape au Logis; Baleinabottes; Dofus Ocre; Dofus Pourpre; Dofus Ébène; Dofus Turquoise; Vigoureux majeur; Enragé majeur; Chacha Angora</t>
        </is>
      </c>
    </row>
    <row r="26982">
      <c r="A26982" t="inlineStr">
        <is>
          <t>Sacrieur F 200</t>
        </is>
      </c>
      <c r="B26982">
        <f>HYPERLINK("https://www.dofusbook.net/fr/equipement/4317316-sacrieur-f-200/objets", "link")</f>
        <v/>
      </c>
      <c r="C26982" t="n">
        <v>0</v>
      </c>
      <c r="D26982" t="inlineStr">
        <is>
          <t>Crocobur; Amulette du Strigide; Alliance Gloursonne; Pikano; Bouclier du Captain Amakna; Ceinture du Strigide; Casque Dragoeuf; Cape d'Anerice; Baleinabottes; Dofus Ébène; Dofus Pourpre; Dofus Ocre; Dofus Turquoise; Dofus des Glaces; Nomade; Chacha Angora</t>
        </is>
      </c>
    </row>
    <row r="26983">
      <c r="A26983" t="inlineStr">
        <is>
          <t>Féca F 200</t>
        </is>
      </c>
      <c r="B26983">
        <f>HYPERLINK("https://www.dofusbook.net/fr/equipement/4307116-feca-f-200/objets", "link")</f>
        <v/>
      </c>
      <c r="C26983" t="n">
        <v>4</v>
      </c>
      <c r="D26983" t="inlineStr">
        <is>
          <t>Will Killson; Amulette du Strigide; Anneau Volkorne; Bague Trithon; Bouclier du Captain Amakna; Ceinture du Strigide; Casque Volkorne; Cape Matelassée; Bottes Trithon; Dofus des Glaces; Dofus Ivoire; Dofus Turquoise; Dofus Abyssal; Dofus Vulbis; Dofus Ocre; Kokulte</t>
        </is>
      </c>
    </row>
    <row r="26984">
      <c r="A26984" t="inlineStr">
        <is>
          <t>Iop F 200</t>
        </is>
      </c>
      <c r="B26984">
        <f>HYPERLINK("https://www.dofusbook.net/fr/equipement/3942665-iop-f-200/objets", "link")</f>
        <v/>
      </c>
      <c r="C26984" t="n">
        <v>2</v>
      </c>
      <c r="D26984" t="inlineStr">
        <is>
          <t>Hache Téroïde; Amulette du Strigide; Chevalière du Roi Joueur; Bague Gloursonne; Bouclier du Captain Amakna; Ceintacé; Chapeau de Gein; Cape au Logis; Bottes du Strigide; Dofus Pourpre; Dofus Turquoise; Vigoureux majeur; Remueur; Nomade; Enragé majeur; Kokulte</t>
        </is>
      </c>
    </row>
    <row r="26985">
      <c r="A26985" t="inlineStr">
        <is>
          <t>Sadida F 200</t>
        </is>
      </c>
      <c r="B26985">
        <f>HYPERLINK("https://www.dofusbook.net/fr/equipement/3440341-sadida-f-200/objets", "link")</f>
        <v/>
      </c>
      <c r="C26985" t="n">
        <v>4</v>
      </c>
      <c r="D26985" t="inlineStr">
        <is>
          <t>Arc du Chalœil; Amulette du Strigide; Bracelet du Piloztère; Anneau de la Fuji Givrefoux; Bouclier du Stalak; Ceinture de la Reine des Voleurs; Coiffe de la Reine des Voleurs; Cape au Logis; Baleinabottes; Dofus Pourpre; Dofus Ébène; Vigoureux majeur; Remueur; Nomade; Enragé majeur; Chacha Angora</t>
        </is>
      </c>
    </row>
    <row r="26986">
      <c r="A26986" t="inlineStr">
        <is>
          <t>Eliotrope F 200</t>
        </is>
      </c>
      <c r="B26986">
        <f>HYPERLINK("https://www.dofusbook.net/fr/equipement/4280709-eliotrope-f-200/objets", "link")</f>
        <v/>
      </c>
      <c r="C26986" t="n">
        <v>0</v>
      </c>
      <c r="D26986" t="inlineStr">
        <is>
          <t>Baguette Hique; Amulette Volkorne; Anneau Volkorne; Lavanneau; Quatre-feuilles; Ceintrigue; Casqnoar; Cape de Diondin; Bottes de l'Esprit Malsain; Dofus Ocre; Dofus Pourpre; Chanceux majeur; Nomade; Vigoureux majeur; Érudit majeur; Walk</t>
        </is>
      </c>
    </row>
    <row r="26987">
      <c r="A26987" t="inlineStr">
        <is>
          <t>Eliotrope F 200</t>
        </is>
      </c>
      <c r="B26987">
        <f>HYPERLINK("https://www.dofusbook.net/fr/equipement/4179342-eliotrope-f-200/objets", "link")</f>
        <v/>
      </c>
      <c r="C26987" t="n">
        <v>1</v>
      </c>
      <c r="D26987" t="inlineStr">
        <is>
          <t>Epée Toche; Amulette Volkorne; Bague Gloursonne; Chevalière du Roi Joueur; Quatre-feuilles; Ceinture Volkorne; Masque Brûlâme; Cape de Diondin; Sabots Volcaniques; Dofus Ocre; Dofus Pourpre; Vigoureux majeur; Érudit majeur; Nomade; Enragé majeur; Cromeugnon</t>
        </is>
      </c>
    </row>
    <row r="26988">
      <c r="A26988" t="inlineStr">
        <is>
          <t>fqfs</t>
        </is>
      </c>
      <c r="B26988">
        <f>HYPERLINK("https://www.dofusbook.net/fr/equipement/4280581-fqfs/objets", "link")</f>
        <v/>
      </c>
      <c r="C26988" t="n">
        <v>0</v>
      </c>
      <c r="D26988" t="inlineStr">
        <is>
          <t>Hache du Chalœil; Amulette Volkorne; Anneau Volkorne; Chevalière du Roi Joueur; Quatre-feuilles; Ceinture Volkorne; Couronne du Roi Joueur; Cape de Jahash Jurgen; Bottes du Roi Joueur; Dofus Turquoise; Dofus Nébuleux; Dofus Pourpre; Dofus Ocre; Dolmanax; Dofus des Glaces; Sakochère</t>
        </is>
      </c>
    </row>
    <row r="26989">
      <c r="A26989" t="inlineStr">
        <is>
          <t>Sram F 200</t>
        </is>
      </c>
      <c r="B26989">
        <f>HYPERLINK("https://www.dofusbook.net/fr/equipement/4280052-sram-f-200/objets", "link")</f>
        <v/>
      </c>
      <c r="C26989" t="n">
        <v>4</v>
      </c>
      <c r="D26989" t="inlineStr">
        <is>
          <t>Manthache; Collier du Valet Veinard; Gant du Valet Veinard; Alliance Gloursonne; Bouclier du Stalak; Menoture; Couronne d'Allister; Cape du Kamasterisk; Baleinabottes; Dofus Pourpre; Vigoureux majeur; Nomade; Cascadeur majeur; Remueur; Blérodoudou</t>
        </is>
      </c>
    </row>
    <row r="26990">
      <c r="A26990" t="inlineStr">
        <is>
          <t>Sadida F 200</t>
        </is>
      </c>
      <c r="B26990">
        <f>HYPERLINK("https://www.dofusbook.net/fr/equipement/4277973-sadida-f-200/objets", "link")</f>
        <v/>
      </c>
      <c r="C26990" t="n">
        <v>3</v>
      </c>
      <c r="D26990" t="inlineStr">
        <is>
          <t>Dagues Érhy; Amulette du Cycloïde; Bracelet du Piloztère; Anneau des égarés; Quatre-feuilles; Ceinture Volkorne; Casque Volkorne; Cape du Kamasterisk; Baleinabottes; Dofus Ébène; Dofus Pourpre; Dofus Ocre; Temporiseur majeur; Vigoureux majeur; Nomade; Gwo Tofu Ventripotent</t>
        </is>
      </c>
    </row>
    <row r="26991">
      <c r="A26991" t="inlineStr">
        <is>
          <t>Sadida F 200</t>
        </is>
      </c>
      <c r="B26991">
        <f>HYPERLINK("https://www.dofusbook.net/fr/equipement/4091804-sadida-f-200/objets", "link")</f>
        <v/>
      </c>
      <c r="C26991" t="n">
        <v>1</v>
      </c>
      <c r="D26991" t="inlineStr">
        <is>
          <t>Hache Ériphe; Kralamansion; Anneau des égarés; Anneau du Cycloïde; Bouclier cubiste; Ceinture Volkorne; Casque Volkorne; Cape du Kamasterisk; Baleinabottes; Dofus Pourpre; Dofus Ocre; Dofus des Glaces; Nomade; Vigoureux majeur; Temporiseur majeur; Gwo Tofu Ventripotent</t>
        </is>
      </c>
    </row>
    <row r="26992">
      <c r="A26992" t="inlineStr">
        <is>
          <t>Féca F 200</t>
        </is>
      </c>
      <c r="B26992">
        <f>HYPERLINK("https://www.dofusbook.net/fr/equipement/4276210-feca-f-200/objets", "link")</f>
        <v/>
      </c>
      <c r="C26992" t="n">
        <v>0</v>
      </c>
      <c r="D26992" t="inlineStr">
        <is>
          <t>Baguette Hique; Amulette de l'Œil Attentif; Bracelet des Fonds marins; Alliance Gloursonne; Quatre-feuilles; Pagne du Rykaon; Kidibonnet; Cape de la Dame du Hasard; Bottes de la Dame du Hasard; Dofus Turquoise; Dofus Ocre; Dofus Pourpre; Vigoureux majeur; Nomade; Chanceux majeur; Kokulte</t>
        </is>
      </c>
    </row>
    <row r="26993">
      <c r="A26993" t="inlineStr">
        <is>
          <t>Eniripsa F 200</t>
        </is>
      </c>
      <c r="B26993">
        <f>HYPERLINK("https://www.dofusbook.net/fr/equipement/4276167-eniripsa-f-200/objets", "link")</f>
        <v/>
      </c>
      <c r="C26993" t="n">
        <v>0</v>
      </c>
      <c r="D26993" t="inlineStr">
        <is>
          <t>Arc de Koutoulou; Amulette du Strigide; Grésilanneau; Alliance Gloursonne; Quatre-feuilles; Ceinture du Strigide; Kidibonnet; Chevelure de Tal Kasha; Bottes Voldelor; Dofus Pourpre; Dofus Turquoise; Nomade; Remueur; Vigoureux majeur; Kokulte</t>
        </is>
      </c>
    </row>
    <row r="26994">
      <c r="A26994" t="inlineStr">
        <is>
          <t>Huppermage F 200</t>
        </is>
      </c>
      <c r="B26994">
        <f>HYPERLINK("https://www.dofusbook.net/fr/equipement/4147041-huppermage-f-200/objets", "link")</f>
        <v/>
      </c>
      <c r="C26994" t="n">
        <v>5</v>
      </c>
      <c r="D26994" t="inlineStr">
        <is>
          <t>Arc Volkorne; Amulette Volkorne; Anneau Volkorne; Bague Trithon; Quatre-feuilles; Ceinture Volkorne; Masque Trithon; Voile d'encre; Bottes Trithon; Dofus Nébuleux; Dofus Ébène; Dofus Pourpre; Dofus Ocre; Dofus Turquoise; Dofus des Glaces; Kokulte</t>
        </is>
      </c>
    </row>
    <row r="26995">
      <c r="A26995" t="inlineStr">
        <is>
          <t>Sadida F 200</t>
        </is>
      </c>
      <c r="B26995">
        <f>HYPERLINK("https://www.dofusbook.net/fr/equipement/4257712-sadida-f-200/objets", "link")</f>
        <v/>
      </c>
      <c r="C26995" t="n">
        <v>0</v>
      </c>
      <c r="D26995" t="inlineStr">
        <is>
          <t>Manthache; Collier du Valet Veinard; Gant du Valet Veinard; Alliance Gloursonne; Bouclier du Stalak; Menoture; Couronne d'Allister; Cape du Kamasterisk; Baleinabottes; Dofus Pourpre; Nomade; Temporiseur majeur; Remueur; Vigoureux majeur; Cascadeur majeur; Léopardo</t>
        </is>
      </c>
    </row>
    <row r="26996">
      <c r="A26996" t="inlineStr">
        <is>
          <t>Enutrof F 200</t>
        </is>
      </c>
      <c r="B26996">
        <f>HYPERLINK("https://www.dofusbook.net/fr/equipement/4256428-enutrof-f-200/objets", "link")</f>
        <v/>
      </c>
      <c r="C26996" t="n">
        <v>4</v>
      </c>
      <c r="D26996" t="inlineStr">
        <is>
          <t>La Baguette des Limbes; Amulette du Père Phorreur; Gelano; Anneau des Prophètes; Bouclier Taverne; Ceinture Phossile; Chapeau Stapokaliptik; Cape Phossile; Bottes Répané; Entraveur majeur; Remueur; Temporiseur majeur; Vigoureux majeur; Miraculé majeur; Nomade; Léopardo</t>
        </is>
      </c>
    </row>
    <row r="26997">
      <c r="A26997" t="inlineStr">
        <is>
          <t>Xélor F 200</t>
        </is>
      </c>
      <c r="B26997">
        <f>HYPERLINK("https://www.dofusbook.net/fr/equipement/4237325-xelor-f-200/objets", "link")</f>
        <v/>
      </c>
      <c r="C26997" t="n">
        <v>6</v>
      </c>
      <c r="D26997" t="inlineStr">
        <is>
          <t>Hache Téroïde; Amulette du Strigide; Chevalière du Roi Joueur; Bague Gloursonne; Quatre-feuilles; Ceinture du Strigide; Chapeau de Gein; Voile d'encre; Bottes Honyme; Dofus Pourpre; Dofus Turquoise; Vigoureux majeur; Remueur; Miraculé majeur; Nomade; Chacha Angora</t>
        </is>
      </c>
    </row>
    <row r="26998">
      <c r="A26998" t="inlineStr">
        <is>
          <t>Xélor F 200</t>
        </is>
      </c>
      <c r="B26998">
        <f>HYPERLINK("https://www.dofusbook.net/fr/equipement/4238922-xelor-f-200/objets", "link")</f>
        <v/>
      </c>
      <c r="C26998" t="n">
        <v>0</v>
      </c>
      <c r="D26998" t="inlineStr">
        <is>
          <t>Héqache; Amulette du Strigide; Bracelet du Piloztère; Anneau Chevelu; Quatre-feuilles; Ceinture du Strigide; Chapoulpe; Cape au Logis; Baleinabottes; Dofus Turquoise; Dofus Ocre; Dofus Pourpre; Nomade; Vigoureux majeur; Chacha Angora</t>
        </is>
      </c>
    </row>
    <row r="26999">
      <c r="A26999" t="inlineStr">
        <is>
          <t>Roublard F 200</t>
        </is>
      </c>
      <c r="B26999">
        <f>HYPERLINK("https://www.dofusbook.net/fr/equipement/4238441-roublard-f-200/objets", "link")</f>
        <v/>
      </c>
      <c r="C26999" t="n">
        <v>1</v>
      </c>
      <c r="D26999" t="inlineStr">
        <is>
          <t>Dagues Érhy; Amulette Volkorne; Bague Gloursonne; Chevalière du Roi Joueur; Bouclier du Stalak; Ceinture Volkorne; Couronne du Roi Joueur; Voilamibe; Bottes du Roi Joueur; Dofus Pourpre; Dofus Ébène; Dolmanax; Dofus Ocre; Dofus des Glaces; Robuste majeur; Bisouglours</t>
        </is>
      </c>
    </row>
    <row r="27000">
      <c r="A27000" t="inlineStr">
        <is>
          <t>Xélor F 200</t>
        </is>
      </c>
      <c r="B27000">
        <f>HYPERLINK("https://www.dofusbook.net/fr/equipement/4237528-xelor-f-200/objets", "link")</f>
        <v/>
      </c>
      <c r="C27000" t="n">
        <v>0</v>
      </c>
      <c r="D27000" t="inlineStr"/>
    </row>
    <row r="27001">
      <c r="A27001" t="inlineStr">
        <is>
          <t>Sadida F 200</t>
        </is>
      </c>
      <c r="B27001">
        <f>HYPERLINK("https://www.dofusbook.net/fr/equipement/4208279-sadida-f-200/objets", "link")</f>
        <v/>
      </c>
      <c r="C27001" t="n">
        <v>1</v>
      </c>
      <c r="D27001" t="inlineStr">
        <is>
          <t>Arc Nécrotique; Amulette Volkorne; Anneau Volkorne; Bague Trithon; Quatre-feuilles; Ceintacé; Masque Trithon; Cape de la Dame du Hasard; Bottes de la Dame du Hasard; Dofus Pourpre; Dofus des Glaces; Dofus Turquoise; Dofus Ébène; Dofus Ocre; Voyageur; Kokulte</t>
        </is>
      </c>
    </row>
    <row r="27002">
      <c r="A27002" t="inlineStr">
        <is>
          <t>Enutrof F 200</t>
        </is>
      </c>
      <c r="B27002">
        <f>HYPERLINK("https://www.dofusbook.net/fr/equipement/4209212-enutrof-f-200/objets", "link")</f>
        <v/>
      </c>
      <c r="C27002" t="n">
        <v>3</v>
      </c>
      <c r="D27002" t="inlineStr">
        <is>
          <t>Baguette Hique; Collier de la Dame du Hasard; Alliance Gloursonne; Chevalière du Roi Joueur; Bouclier cubiste; Ceinture Instable; Casquette de Meno; Cape de la Dame du Hasard; Pataugastrique; Dofus Pourpre; Dofus Turquoise; Nomade; Vigoureux majeur; Remueur; Temporiseur majeur; Léopardo</t>
        </is>
      </c>
    </row>
    <row r="27003">
      <c r="A27003" t="inlineStr">
        <is>
          <t>Sram F 200</t>
        </is>
      </c>
      <c r="B27003">
        <f>HYPERLINK("https://www.dofusbook.net/fr/equipement/4208329-sram-f-200/objets", "link")</f>
        <v/>
      </c>
      <c r="C27003" t="n">
        <v>0</v>
      </c>
      <c r="D27003" t="inlineStr"/>
    </row>
    <row r="27004">
      <c r="A27004" t="inlineStr">
        <is>
          <t>Crâ F 200</t>
        </is>
      </c>
      <c r="B27004">
        <f>HYPERLINK("https://www.dofusbook.net/fr/equipement/4171473-cra-f-200/objets", "link")</f>
        <v/>
      </c>
      <c r="C27004" t="n">
        <v>1</v>
      </c>
      <c r="D27004" t="inlineStr">
        <is>
          <t>Hache du Chalœil; Amulette du Strigide; Bracelet du Piloztère; Grésilanneau; Quatre-feuilles; Ceintacé; Casque du Chalœil; Cape de Jahash Jurgen; Bottes du Strigide; Dofus Ébène; Dofus Pourpre; Dofus Turquoise; Remueur; Vigoureux majeur; Nomade; Kokulte</t>
        </is>
      </c>
    </row>
    <row r="27005">
      <c r="A27005" t="inlineStr">
        <is>
          <t>Huppermage F 200</t>
        </is>
      </c>
      <c r="B27005">
        <f>HYPERLINK("https://www.dofusbook.net/fr/equipement/4188546-huppermage-f-200/objets", "link")</f>
        <v/>
      </c>
      <c r="C27005" t="n">
        <v>0</v>
      </c>
      <c r="D27005" t="inlineStr">
        <is>
          <t>Amulette Volkorne; Anneau Volkorne; Ceintacé; Casque Volkorne; Cape d'Atcham; Sandales  d'Atcham</t>
        </is>
      </c>
    </row>
    <row r="27006">
      <c r="A27006" t="inlineStr">
        <is>
          <t>Enutrof F 200</t>
        </is>
      </c>
      <c r="B27006">
        <f>HYPERLINK("https://www.dofusbook.net/fr/equipement/4179715-enutrof-f-200/objets", "link")</f>
        <v/>
      </c>
      <c r="C27006" t="n">
        <v>1</v>
      </c>
      <c r="D27006" t="inlineStr"/>
    </row>
    <row r="27007">
      <c r="A27007" t="inlineStr">
        <is>
          <t>Ouginak F 200</t>
        </is>
      </c>
      <c r="B27007">
        <f>HYPERLINK("https://www.dofusbook.net/fr/equipement/4178509-ouginak-f-200/objets", "link")</f>
        <v/>
      </c>
      <c r="C27007" t="n">
        <v>0</v>
      </c>
      <c r="D27007" t="inlineStr">
        <is>
          <t>Arc Ontanporin; Amulette du Strigide; Alliance Gloursonne; Anneau Volkorne; Quatre-feuilles; Ceinture du Strigide; Kidibonnet; Cape d'Anerice; Bottes Voldelor; Dofus Pourpre; Dofus des Glaces; Dofus Turquoise; Dofus Ocre; Nomade; Vigoureux majeur; Kokulte</t>
        </is>
      </c>
    </row>
    <row r="27008">
      <c r="A27008" t="inlineStr">
        <is>
          <t>Sadida F 200</t>
        </is>
      </c>
      <c r="B27008">
        <f>HYPERLINK("https://www.dofusbook.net/fr/equipement/4179409-sadida-f-200/objets", "link")</f>
        <v/>
      </c>
      <c r="C27008" t="n">
        <v>1</v>
      </c>
      <c r="D27008" t="inlineStr">
        <is>
          <t>Dagues Érhy; Amulette du Strigide; Anneau de la Fuji Givrefoux; Bracelet du Piloztère; Quatre-feuilles; Ceinture Volkorne; Casque Volkorne; Cape du Cœur Vaillant; Pompes Funèbres; Dofus Pourpre; Dofus Ocre; Remueur; Nomade; Enragé majeur; Vigoureux majeur; Fëanor</t>
        </is>
      </c>
    </row>
    <row r="27009">
      <c r="A27009" t="inlineStr">
        <is>
          <t>Xélor F 200</t>
        </is>
      </c>
      <c r="B27009">
        <f>HYPERLINK("https://www.dofusbook.net/fr/equipement/4088636-xelor-f-200/objets", "link")</f>
        <v/>
      </c>
      <c r="C27009" t="n">
        <v>3</v>
      </c>
      <c r="D27009" t="inlineStr">
        <is>
          <t>Hache du Chalœil; Amulette Volkorne; Anneau Toriété; Anneau Volkorne; Quatre-feuilles; Ceintacé; Chapeau Lisson; Cape de la Dame du Hasard; Pataugastrique; Dofus Turquoise; Dofus Ocre; Dofus Pourpre; Dofus des Glaces; Nomade; Vigoureux majeur; Kokulte</t>
        </is>
      </c>
    </row>
    <row r="27010">
      <c r="A27010" t="inlineStr">
        <is>
          <t>Sacrieur F 200</t>
        </is>
      </c>
      <c r="B27010">
        <f>HYPERLINK("https://www.dofusbook.net/fr/equipement/4178732-sacrieur-f-200/objets", "link")</f>
        <v/>
      </c>
      <c r="C27010" t="n">
        <v>1</v>
      </c>
      <c r="D27010" t="inlineStr">
        <is>
          <t>Héqache; Amulette du Strigide; Alliance Gloursonne; Anneau Chevelu; Bouclier d'Ilyzaelle; Ceintouse; Chapoulpe; Cape du Kamasterisk; Baleinabottes; Dofus Pourpre; Dofus Émeraude; Dofus Ocre; Vigoureux majeur; Miraculé majeur; Nomade; Marcassin</t>
        </is>
      </c>
    </row>
    <row r="27011">
      <c r="A27011" t="inlineStr">
        <is>
          <t>Ouginak F 200</t>
        </is>
      </c>
      <c r="B27011">
        <f>HYPERLINK("https://www.dofusbook.net/fr/equipement/4178494-ouginak-f-200/objets", "link")</f>
        <v/>
      </c>
      <c r="C27011" t="n">
        <v>0</v>
      </c>
      <c r="D27011" t="inlineStr">
        <is>
          <t>Héqache; Amulette du Strigide; Bracelet Ventré; Anneau de la Fuji Givrefoux; Bouclier du Captain Amakna; Ceinture du Strigide; Casque des égarés; Cape d'Anerice; Baleinabottes; Dofus Turquoise; Dofus Ocre; Dofus des Glaces; Dofus Pourpre; Vigoureux majeur; Nomade; Kokulte</t>
        </is>
      </c>
    </row>
    <row r="27012">
      <c r="A27012" t="inlineStr">
        <is>
          <t>Pandawa F 200</t>
        </is>
      </c>
      <c r="B27012">
        <f>HYPERLINK("https://www.dofusbook.net/fr/equipement/4177596-pandawa-f-200/objets", "link")</f>
        <v/>
      </c>
      <c r="C27012" t="n">
        <v>1</v>
      </c>
      <c r="D27012" t="inlineStr">
        <is>
          <t>Arc Hétype; Pendentif affamé; Anneauræus; Chevalière du Roi Joueur; Carapar; Ceinture de Vortex; Casque Dragoeuf; Cape de Diondin; Bottes du Roi Joueur; Dofus Émeraude; Dofus Pourpre; Remueur; Miraculé majeur; Érudit majeur; Nomade; Marcassin</t>
        </is>
      </c>
    </row>
    <row r="27013">
      <c r="A27013" t="inlineStr">
        <is>
          <t>Pandawa F 200</t>
        </is>
      </c>
      <c r="B27013">
        <f>HYPERLINK("https://www.dofusbook.net/fr/equipement/4177555-pandawa-f-200/objets", "link")</f>
        <v/>
      </c>
      <c r="C27013" t="n">
        <v>4</v>
      </c>
      <c r="D27013" t="inlineStr">
        <is>
          <t>Arc Hétype; Amulette de Nileza; Grésilanneau; Anneau Tique; Bouclier Taverne; Sangle Aise; Casque Dragoeuf; Cape de Nileza; Pantoufles Émar; Miraculé majeur; Vigoureux majeur; Nomade; Érudit majeur; Remueur; Muldo Doré et Orchidée</t>
        </is>
      </c>
    </row>
    <row r="27014">
      <c r="A27014" t="inlineStr">
        <is>
          <t>Féca M 200</t>
        </is>
      </c>
      <c r="B27014">
        <f>HYPERLINK("https://www.dofusbook.net/fr/equipement/4159033-feca-m-200/objets", "link")</f>
        <v/>
      </c>
      <c r="C27014" t="n">
        <v>1</v>
      </c>
      <c r="D27014" t="inlineStr">
        <is>
          <t>Baguette Hique; Amulette de Shokkoth; Anneau Volkorne; Bracelet des Fonds marins; Quatre-feuilles; Pagne du Rykaon; Kidibonnet; Cape de la Dame du Hasard; Bottes de la Dame du Hasard; Dofus Pourpre; Dokoko; Dofus Ocre; Dofus Turquoise; Dofus Ivoire; Nomade; Kokulte</t>
        </is>
      </c>
    </row>
    <row r="27015">
      <c r="A27015" t="inlineStr">
        <is>
          <t>Iop F 200</t>
        </is>
      </c>
      <c r="B27015">
        <f>HYPERLINK("https://www.dofusbook.net/fr/equipement/4152484-iop-f-200/objets", "link")</f>
        <v/>
      </c>
      <c r="C27015" t="n">
        <v>3</v>
      </c>
      <c r="D27015" t="inlineStr">
        <is>
          <t>Arc du Chalœil; Collier de Tourthon; Anneau Chevelu; Anneau Volkorne; Quatre-feuilles; Ceinture Volkorne; Masque de Koutoulou; Cape au Logis; Baleinabottes; Dofus Pourpre; Enragé majeur; Forcené majeur; Nomade; Vigoureux majeur; Remueur; Bulbisou</t>
        </is>
      </c>
    </row>
    <row r="27016">
      <c r="A27016" t="inlineStr">
        <is>
          <t>Iop M 200</t>
        </is>
      </c>
      <c r="B27016">
        <f>HYPERLINK("https://www.dofusbook.net/fr/equipement/4152448-iop-m-200/objets", "link")</f>
        <v/>
      </c>
      <c r="C27016" t="n">
        <v>5</v>
      </c>
      <c r="D27016" t="inlineStr">
        <is>
          <t>Hache Téroïde; Amulette du Strigide; Anneau Chevelu; Bague Gloursonne; Quatre-feuilles; Ceintacé; Masque de Koutoulou; Cape au Logis; Bottes du Strigide; Dofus Pourpre; Dofus Turquoise; Nomade; Remueur; Enragé majeur; Vigoureux majeur; Kokulte</t>
        </is>
      </c>
    </row>
    <row r="27017">
      <c r="A27017" t="inlineStr">
        <is>
          <t>Steamer M 200</t>
        </is>
      </c>
      <c r="B27017">
        <f>HYPERLINK("https://www.dofusbook.net/fr/equipement/4131022-steamer-m-200/objets", "link")</f>
        <v/>
      </c>
      <c r="C27017" t="n">
        <v>0</v>
      </c>
      <c r="D27017" t="inlineStr"/>
    </row>
    <row r="27018">
      <c r="A27018" t="inlineStr">
        <is>
          <t>Xélor F 200</t>
        </is>
      </c>
      <c r="B27018">
        <f>HYPERLINK("https://www.dofusbook.net/fr/equipement/4045460-xelor-f-200/objets", "link")</f>
        <v/>
      </c>
      <c r="C27018" t="n">
        <v>7</v>
      </c>
      <c r="D27018" t="inlineStr">
        <is>
          <t>Hache Téroïde; Amulette Volkorne; Alliance Brûlâme; Bague Gloursonne; Quatre-feuilles; Ceinture Volkorne; Chapeau de Gein; Cape au Logis; Bottes Honyme; Dofus Pourpre; Dofus des Glaces; Dofus Turquoise; Dofus Ocre; Vigoureux majeur; Nomade; Kokulte</t>
        </is>
      </c>
    </row>
    <row r="27019">
      <c r="A27019" t="inlineStr">
        <is>
          <t>Zobal M 200</t>
        </is>
      </c>
      <c r="B27019">
        <f>HYPERLINK("https://www.dofusbook.net/fr/equipement/4091264-zobal-m-200/objets", "link")</f>
        <v/>
      </c>
      <c r="C27019" t="n">
        <v>0</v>
      </c>
      <c r="D27019" t="inlineStr">
        <is>
          <t>Rapière aux Glyphes; Amulette d'Ilyzaelle; Alliance Gloursonne; Anneau Volkorne; Bouclier du Stalak; Ceinture Glaciale; Kidibonnet; Cape du Sinistrofu; Bottes du Sinistrofu; Dofus Ocre; Dofus Pourpre; Vigoureux majeur; Chanceux majeur; Nomade; Dévastateur Eau majeur; Kanigloups</t>
        </is>
      </c>
    </row>
    <row r="27020">
      <c r="A27020" t="inlineStr">
        <is>
          <t>Sadida F 200</t>
        </is>
      </c>
      <c r="B27020">
        <f>HYPERLINK("https://www.dofusbook.net/fr/equipement/4084839-sadida-f-200/objets", "link")</f>
        <v/>
      </c>
      <c r="C27020" t="n">
        <v>0</v>
      </c>
      <c r="D27020" t="inlineStr">
        <is>
          <t>Hache du Chalœil; Amulette du Strigide; Chevalière du Roi Joueur; Bracelet du Piloztère; Quatre-feuilles; Ceintacé; Casque de Missiz Frizz; Cape de la Dame du Hasard; Bottes du Strigide; Dofus Turquoise; Dofus des Glaces; Dofus Pourpre; Dofus Ocre; Vigoureux majeur; Nomade; Kokulte</t>
        </is>
      </c>
    </row>
    <row r="27021">
      <c r="A27021" t="inlineStr">
        <is>
          <t>Féca M 200</t>
        </is>
      </c>
      <c r="B27021">
        <f>HYPERLINK("https://www.dofusbook.net/fr/equipement/4055082-feca-m-200/objets", "link")</f>
        <v/>
      </c>
      <c r="C27021" t="n">
        <v>5</v>
      </c>
      <c r="D27021" t="inlineStr">
        <is>
          <t>Héqache; Collier Rophante; Anneau Crustique; Anneau Crustique; Sept ans de malheur; Ceinture de la Cour Sombre; Casque Dragoeuf; Cape de la Cour Sombre; Baleinabottes; Dofus Émeraude; Dofus Ivoire; Fonceur majeur; Nomade; Étourdisseur majeur; Remueur; Givrefoux</t>
        </is>
      </c>
    </row>
    <row r="27022">
      <c r="A27022" t="inlineStr">
        <is>
          <t>Pandawa F 200</t>
        </is>
      </c>
      <c r="B27022">
        <f>HYPERLINK("https://www.dofusbook.net/fr/equipement/4058279-pandawa-f-200/objets", "link")</f>
        <v/>
      </c>
      <c r="C27022" t="n">
        <v>0</v>
      </c>
      <c r="D27022" t="inlineStr">
        <is>
          <t>Hache Téroïde; Amulette du Strigide; Chevalière du Roi Joueur; Bague Gloursonne; Ceinture du Strigide; Chapeau de Gein; Voile d'encre; Pataugastrique</t>
        </is>
      </c>
    </row>
    <row r="27023">
      <c r="A27023" t="inlineStr">
        <is>
          <t>Sram F 200</t>
        </is>
      </c>
      <c r="B27023">
        <f>HYPERLINK("https://www.dofusbook.net/fr/equipement/3929987-sram-f-200/objets", "link")</f>
        <v/>
      </c>
      <c r="C27023" t="n">
        <v>1</v>
      </c>
      <c r="D27023" t="inlineStr">
        <is>
          <t>Hache Ériphe; Amulette du Strigide; Anneau des égarés; Bracelet du Piloztère; Quatre-feuilles; Ceinture du Strigide; Masque Brûlâme; Cape au Logis; Baleinabottes; Dofus Pourpre; Dofus Turquoise; Dofus Ocre; Nomade; Vigoureux majeur; Chacha Angora</t>
        </is>
      </c>
    </row>
    <row r="27024">
      <c r="A27024" t="inlineStr">
        <is>
          <t>Pandawa M 200</t>
        </is>
      </c>
      <c r="B27024">
        <f>HYPERLINK("https://www.dofusbook.net/fr/equipement/4045865-pandawa-m-200/objets", "link")</f>
        <v/>
      </c>
      <c r="C27024" t="n">
        <v>0</v>
      </c>
      <c r="D27024" t="inlineStr">
        <is>
          <t>Arc corrompu; Amulette de l'Œil Putride; Chevalière du Roi Joueur; Anneauræus; Bouclier du Stalak; Ceinture de Vortex; Casque Cyclopéen; Cape de l'Œil Putride; Pataugastrique; Dofus Pourpre; Dofus Ocre; Dofus Émeraude; Dofus Ivoire; Nomade; Kramkram</t>
        </is>
      </c>
    </row>
    <row r="27025">
      <c r="A27025" t="inlineStr">
        <is>
          <t>Féca M 200</t>
        </is>
      </c>
      <c r="B27025">
        <f>HYPERLINK("https://www.dofusbook.net/fr/equipement/4037799-feca-m-200/objets", "link")</f>
        <v/>
      </c>
      <c r="C27025" t="n">
        <v>0</v>
      </c>
      <c r="D27025" t="inlineStr">
        <is>
          <t>Dagues de Srambad; Amulette Luminescente; Anneau Volkorne; Anneau en Grithril; Bouclier du Stalak; Ceinture Volkorne; Casque en Grithril; Cape Luminescente; Bottes Honyme; Dofus Pourpre; Dofus Émeraude; Dofus Ocre; Dofus Vulbis; Dofus des Glaces; Dofus Ivoire; Wabbit</t>
        </is>
      </c>
    </row>
    <row r="27026">
      <c r="A27026" t="inlineStr">
        <is>
          <t>Zobal F 200</t>
        </is>
      </c>
      <c r="B27026">
        <f>HYPERLINK("https://www.dofusbook.net/fr/equipement/4037688-zobal-f-200/objets", "link")</f>
        <v/>
      </c>
      <c r="C27026" t="n">
        <v>3</v>
      </c>
      <c r="D27026" t="inlineStr">
        <is>
          <t>Arc Nécrotique; Amulette Volkorne; Anneau Volkorne; Bague Trithon; Quatre-feuilles; Ceintacé; Masque Trithon; Cape de la Dame du Hasard; Bottes de la Dame du Hasard; Dofus Pourpre; Dofus des Glaces; Dofus Vulbis; Dofus Turquoise; Dolmanax; Dofus Ocre; Kokulte</t>
        </is>
      </c>
    </row>
    <row r="27027">
      <c r="A27027" t="inlineStr">
        <is>
          <t>Eniripsa F 200</t>
        </is>
      </c>
      <c r="B27027">
        <f>HYPERLINK("https://www.dofusbook.net/fr/equipement/4036123-eniripsa-f-200/objets", "link")</f>
        <v/>
      </c>
      <c r="C27027" t="n">
        <v>0</v>
      </c>
      <c r="D27027" t="inlineStr">
        <is>
          <t>Arc corrompu; Amulette d'Otomaï; Chevalière du Roi Joueur; Anneauræus; Carapar; Ceinture Séculaire; Coiffe Séculaire; Cape de Diondin; Bottes Innommables; Dofus Ocre; Carapace Terre majeur; Astucieux majeur; Nomade; Érudit majeur; Guérisseur majeur; Dragodinde Orchidée et Rousse</t>
        </is>
      </c>
    </row>
    <row r="27028">
      <c r="A27028" t="inlineStr">
        <is>
          <t>Enutrof F 200</t>
        </is>
      </c>
      <c r="B27028">
        <f>HYPERLINK("https://www.dofusbook.net/fr/equipement/4018465-enutrof-f-200/objets", "link")</f>
        <v/>
      </c>
      <c r="C27028" t="n">
        <v>3</v>
      </c>
      <c r="D27028" t="inlineStr">
        <is>
          <t>Rapière aux Glyphes; Amulette Luminescente; Anneau en Grithril; Pikano; Bouclier cubiste; Ceinture Luminescente; Casquipik; Cape Luminescente; Pikottes; Dofus Pourpre; Dofus Ocre; Dofus Abyssal; Entraveur majeur; Ralentisseur majeur; Voyageur; Gwo Tofu Ventripotent</t>
        </is>
      </c>
    </row>
    <row r="27029">
      <c r="A27029" t="inlineStr">
        <is>
          <t>Sacrieur F 200</t>
        </is>
      </c>
      <c r="B27029">
        <f>HYPERLINK("https://www.dofusbook.net/fr/equipement/4002981-sacrieur-f-200/objets", "link")</f>
        <v/>
      </c>
      <c r="C27029" t="n">
        <v>1</v>
      </c>
      <c r="D27029" t="inlineStr">
        <is>
          <t>Épouvante; Amulette du Strigide; Anneau Volkorne; Alliance Gloursonne; Bouclier d'Ilyzaelle; Ceinture Volkorne; Masque de Koutoulou; Cape Luminescente; Chaussons de Macrab; Dofus Pourpre; Dofus Ocre; Dofus Émeraude; Miraculé majeur; Vigoureux majeur; Nomade; Kramkram</t>
        </is>
      </c>
    </row>
    <row r="27030">
      <c r="A27030" t="inlineStr">
        <is>
          <t>Iop F 200</t>
        </is>
      </c>
      <c r="B27030">
        <f>HYPERLINK("https://www.dofusbook.net/fr/equipement/3997787-iop-f-200/objets", "link")</f>
        <v/>
      </c>
      <c r="C27030" t="n">
        <v>0</v>
      </c>
      <c r="D27030" t="inlineStr">
        <is>
          <t>Hache du Chalœil; Amulette du Strigide; Chevalière du Roi Joueur; Bague Gloursonne; Bouclier du Captain Amakna; Ceinture du Strigide; Casque de Missiz Frizz; Cape de la Dame du Hasard; Bottes du Lévitrof; Dofus Turquoise; Dofus Ocre; Dofus Pourpre; Remueur; Vigoureux majeur; Nomade; Sakochère</t>
        </is>
      </c>
    </row>
    <row r="27031">
      <c r="A27031" t="inlineStr">
        <is>
          <t>Huppermage F 200</t>
        </is>
      </c>
      <c r="B27031">
        <f>HYPERLINK("https://www.dofusbook.net/fr/equipement/3908138-huppermage-f-200/objets", "link")</f>
        <v/>
      </c>
      <c r="C27031" t="n">
        <v>5</v>
      </c>
      <c r="D27031" t="inlineStr">
        <is>
          <t>Arc du Chalœil; Amulette Luminescente; Bague Trithon; Anneau Chevelu; Bouclier Taverne; Ceinture Gence; Masque de Koutoulou; Cape au Logis; Bottes Trithon; Culbuteur majeur; Vigoureux majeur; Bousculeur majeur; Enragé majeur; Black Tiwabbit</t>
        </is>
      </c>
    </row>
    <row r="27032">
      <c r="A27032" t="inlineStr">
        <is>
          <t>Huppermage F 200</t>
        </is>
      </c>
      <c r="B27032">
        <f>HYPERLINK("https://www.dofusbook.net/fr/equipement/3634404-huppermage-f-200/objets", "link")</f>
        <v/>
      </c>
      <c r="C27032" t="n">
        <v>6</v>
      </c>
      <c r="D27032" t="inlineStr">
        <is>
          <t>Sabres d'Atcham; Amulette du Strigide; Anneau de Padgref; Anneau Toriété; Quatre-feuilles; Ceinture du Strigide; Coiffe de Padgref; Cape d'Atcham; Sandales  d'Atcham; Dofus Turquoise; Dofus Nébuleux; Dolmanax; Dofus Ocre; Dofus Pourpre; Dofus des Glaces; Chacha Angora</t>
        </is>
      </c>
    </row>
    <row r="27033">
      <c r="A27033" t="inlineStr">
        <is>
          <t>Iop F 200</t>
        </is>
      </c>
      <c r="B27033">
        <f>HYPERLINK("https://www.dofusbook.net/fr/equipement/3969842-iop-f-200/objets", "link")</f>
        <v/>
      </c>
      <c r="C27033" t="n">
        <v>0</v>
      </c>
      <c r="D27033" t="inlineStr">
        <is>
          <t>Hache Téroïde; Amulette du Strigide; Chevalière du Roi Joueur; Alliance de Missiz Frizz; Bouclier du Captain Amakna; Ceinture du Strigide; Chapeau de Gein; Voile d'encre; Bottes du Cycloïde; Dofus Turquoise; Dofus Ocre; Dofus Pourpre; Vigoureux majeur; Remueur; Nomade; Sakochère</t>
        </is>
      </c>
    </row>
    <row r="27034">
      <c r="A27034" t="inlineStr">
        <is>
          <t>Sram F 200</t>
        </is>
      </c>
      <c r="B27034">
        <f>HYPERLINK("https://www.dofusbook.net/fr/equipement/3944115-sram-f-200/objets", "link")</f>
        <v/>
      </c>
      <c r="C27034" t="n">
        <v>2</v>
      </c>
      <c r="D27034" t="inlineStr">
        <is>
          <t>Hache Ériphe; Amulette du Cycloïde; Bracelet du Piloztère; Anneau des égarés; Bouclier du Stalak; Ceinture de la Reine des Voleurs; Coiffe de la Reine des Voleurs; Cape du Kamasterisk; Baleinabottes; Dofus des Glaces; Dofus Pourpre; Nomade; Remueur; Vigoureux majeur; Sanguinaire majeur; Mékrabe</t>
        </is>
      </c>
    </row>
    <row r="27035">
      <c r="A27035" t="inlineStr">
        <is>
          <t>Ecaflip F 200</t>
        </is>
      </c>
      <c r="B27035">
        <f>HYPERLINK("https://www.dofusbook.net/fr/equipement/3919612-ecaflip-f-200/objets", "link")</f>
        <v/>
      </c>
      <c r="C27035" t="n">
        <v>4</v>
      </c>
      <c r="D27035" t="inlineStr">
        <is>
          <t>Hache du Chalœil; Amulette du Strigide; Alliance du Lévitrof; Anneau Toriété; Bouclier du Captain Amakna; Ceinture du Strigide; Le Dorado; Cape de la Dame du Hasard; Pataugastrique; Dofus Pourpre; Sanguinaire majeur; Vigoureux majeur; Remueur; Nomade; Vigoureux majeur; Chacha Angora</t>
        </is>
      </c>
    </row>
    <row r="27036">
      <c r="A27036" t="inlineStr">
        <is>
          <t>Sram F 200</t>
        </is>
      </c>
      <c r="B27036">
        <f>HYPERLINK("https://www.dofusbook.net/fr/equipement/3929947-sram-f-200/objets", "link")</f>
        <v/>
      </c>
      <c r="C27036" t="n">
        <v>2</v>
      </c>
      <c r="D27036" t="inlineStr">
        <is>
          <t>Manthache; Collier du Valet Veinard; Gant du Valet Veinard; Alliance Gloursonne; Bouclier du Stalak; Menoture; Couronne d'Allister; Cape Martegel; Palmes Trithons; Dofus Pourpre; Dofus Ocre; Dofus des Glaces; Nomade; Cascadeur majeur; Vigoureux majeur; Blérodoudou</t>
        </is>
      </c>
    </row>
    <row r="27037">
      <c r="A27037" t="inlineStr">
        <is>
          <t>Iop F 200</t>
        </is>
      </c>
      <c r="B27037">
        <f>HYPERLINK("https://www.dofusbook.net/fr/equipement/3926386-iop-f-200/objets", "link")</f>
        <v/>
      </c>
      <c r="C27037" t="n">
        <v>4</v>
      </c>
      <c r="D27037" t="inlineStr">
        <is>
          <t>Arc corrompu; Amulette de Nileza; Anneauræus; Anneauræus; Bivalve; Ceinture de Vortex; Heaume Oplate; Cape de Nileza; Bottes Innommables; Dofus Pourpre; Remueur; Vigoureux majeur; Déserteur majeur; Nomade; Érudit majeur; Chacha</t>
        </is>
      </c>
    </row>
    <row r="27038">
      <c r="A27038" t="inlineStr">
        <is>
          <t>Eniripsa F 200</t>
        </is>
      </c>
      <c r="B27038">
        <f>HYPERLINK("https://www.dofusbook.net/fr/equipement/3914997-eniripsa-f-200/objets", "link")</f>
        <v/>
      </c>
      <c r="C27038" t="n">
        <v>11</v>
      </c>
      <c r="D27038" t="inlineStr">
        <is>
          <t>Épée Brûlâme; Amulette du Strigide; Chevalière du Roi Joueur; Anneau Toriété; Quatre-feuilles; Ceintacé; Masque de l'Esprit Malsain; Cape de la Dame du Hasard; Bottes de la Dame du Hasard; Dofus Pourpre; Dofus Turquoise; Érudit majeur; Vigoureux majeur; Chanceux majeur; Remueur; Kokulte</t>
        </is>
      </c>
    </row>
    <row r="27039">
      <c r="A27039" t="inlineStr">
        <is>
          <t>Huppermage F 200</t>
        </is>
      </c>
      <c r="B27039">
        <f>HYPERLINK("https://www.dofusbook.net/fr/equipement/3865541-huppermage-f-200/objets", "link")</f>
        <v/>
      </c>
      <c r="C27039" t="n">
        <v>0</v>
      </c>
      <c r="D27039" t="inlineStr">
        <is>
          <t>Hache du Chalœil; Amulette Volkorne; Anneau Volkorne; Bague Trithon; Quatre-feuilles; Ceinture Volkorne; Masque Trithon; Dofusteuse; Bottes Trithon; Dofus Turquoise; Dofus Nébuleux; Dofus Ocre; Dofus Pourpre; Dofus des Glaces; Dofus Ivoire; Chacha Angora</t>
        </is>
      </c>
    </row>
    <row r="27040">
      <c r="A27040" t="inlineStr">
        <is>
          <t>Féca M 200</t>
        </is>
      </c>
      <c r="B27040">
        <f>HYPERLINK("https://www.dofusbook.net/fr/equipement/3861147-feca-m-200/objets", "link")</f>
        <v/>
      </c>
      <c r="C27040" t="n">
        <v>13</v>
      </c>
      <c r="D27040" t="inlineStr">
        <is>
          <t>Lav'Hache; Amulette du Strigide; Anneau Crustique; Anneau Crustique; Sept ans de malheur; Ceintouse; Masque de Koutoulou; Cape au Logis; Tentassons; Dofus Émeraude; Dofus Ivoire; Dofus Pourpre; Dofus Ocre; Obstructeur majeur; Étourdisseur majeur; Drakopin</t>
        </is>
      </c>
    </row>
    <row r="27041">
      <c r="A27041" t="inlineStr">
        <is>
          <t>Eniripsa F 200</t>
        </is>
      </c>
      <c r="B27041">
        <f>HYPERLINK("https://www.dofusbook.net/fr/equipement/3819384-eniripsa-f-200/objets", "link")</f>
        <v/>
      </c>
      <c r="C27041" t="n">
        <v>8</v>
      </c>
      <c r="D27041" t="inlineStr">
        <is>
          <t>Arc de Koutoulou; Amulette du Strigide; Alliance Gloursonne; Bracelet du Piloztère; Quatre-feuilles; Ceintacé; Némès de Tal Kasha; Chevelure de Tal Kasha; Bottes de la Reine des Voleurs; Dofus Pourpre; Dofus des Glaces; Dofus Turquoise; Dofus Ocre; Nomade; Vigoureux majeur; Chacha Angora</t>
        </is>
      </c>
    </row>
    <row r="27042">
      <c r="A27042" t="inlineStr">
        <is>
          <t>Zobal F 200</t>
        </is>
      </c>
      <c r="B27042">
        <f>HYPERLINK("https://www.dofusbook.net/fr/equipement/3798494-zobal-f-200/objets", "link")</f>
        <v/>
      </c>
      <c r="C27042" t="n">
        <v>18</v>
      </c>
      <c r="D27042" t="inlineStr">
        <is>
          <t>Hache Téroïde; Amulette du Strigide; Bague Gloursonne; Chevalière du Roi Joueur; Bouclier d'Ilyzaelle; Ceinture du Strigide; Chapeau de Gein; Voile d'encre; Pompes Funèbres; Dofus Ocre; Dofus Turquoise; Dofus des Glaces; Dofus Pourpre; Nomade; Remueur; Sakochère</t>
        </is>
      </c>
    </row>
    <row r="27043">
      <c r="A27043" t="inlineStr">
        <is>
          <t>Eliotrope F 200</t>
        </is>
      </c>
      <c r="B27043">
        <f>HYPERLINK("https://www.dofusbook.net/fr/equipement/3845127-eliotrope-f-200/objets", "link")</f>
        <v/>
      </c>
      <c r="C27043" t="n">
        <v>1</v>
      </c>
      <c r="D27043" t="inlineStr">
        <is>
          <t>Arc du Chalœil; Collier de Tourthon; Anneau de Brouce; Bague Gloursonne; Ceinture de la Reine des Voleurs; Coiffe de la Reine des Voleurs; Cape au Logis; Baleinabottes</t>
        </is>
      </c>
    </row>
    <row r="27044">
      <c r="A27044" t="inlineStr">
        <is>
          <t>Iop F 200</t>
        </is>
      </c>
      <c r="B27044">
        <f>HYPERLINK("https://www.dofusbook.net/fr/equipement/3838329-iop-f-200/objets", "link")</f>
        <v/>
      </c>
      <c r="C27044" t="n">
        <v>4</v>
      </c>
      <c r="D27044" t="inlineStr">
        <is>
          <t>Hache Téroïde; Amulette du Strigide; Anneau Chevelu; Bague Gloursonne; Quatre-feuilles; Ceintacé; Chapeau de Gein; Cape au Logis; Bottes du Strigide; Dofus Pourpre; Dofus Turquoise; Miraculé majeur; Remueur; Enragé majeur; Vigoureux majeur; Chacha Angora</t>
        </is>
      </c>
    </row>
    <row r="27045">
      <c r="A27045" t="inlineStr">
        <is>
          <t>Sram F 200</t>
        </is>
      </c>
      <c r="B27045">
        <f>HYPERLINK("https://www.dofusbook.net/fr/equipement/3799506-sram-f-200/objets", "link")</f>
        <v/>
      </c>
      <c r="C27045" t="n">
        <v>4</v>
      </c>
      <c r="D27045" t="inlineStr">
        <is>
          <t>Epée Toche; Amulette Volkorne; Anneau Volkorne; Chevalière du Roi Joueur; Quatre-feuilles; Ceinture Volkorne; Couronne du Roi Joueur; Voile d'encre; Bottes du Roi Joueur; Dofus Pourpre; Dofus Abyssal; Dofus Ivoire; Dofus Ocre; Dolmanax; Dofus des Glaces; Fëanor</t>
        </is>
      </c>
    </row>
    <row r="27046">
      <c r="A27046" t="inlineStr">
        <is>
          <t>Terre air à faire</t>
        </is>
      </c>
      <c r="B27046">
        <f>HYPERLINK("https://www.dofusbook.net/fr/equipement/3208703-terre-air-a-faire/objets", "link")</f>
        <v/>
      </c>
      <c r="C27046" t="n">
        <v>6</v>
      </c>
      <c r="D27046" t="inlineStr">
        <is>
          <t>Lance corrompue; Amulette du Strigide; Anneau Chevelu; Alliance Gloursonne; Bouclier d'Ilyzaelle; Ceintouse; Chapoulpe; Cape du Kamasterisk; Baleinabottes; Dofus Pourpre; Dofus Émeraude; Nomade; Miraculé majeur; Remueur; Vigoureux majeur; Kramkram</t>
        </is>
      </c>
    </row>
    <row r="27047">
      <c r="A27047" t="inlineStr">
        <is>
          <t>Sadida F 200</t>
        </is>
      </c>
      <c r="B27047">
        <f>HYPERLINK("https://www.dofusbook.net/fr/equipement/3813020-sadida-f-200/objets", "link")</f>
        <v/>
      </c>
      <c r="C27047" t="n">
        <v>0</v>
      </c>
      <c r="D27047" t="inlineStr">
        <is>
          <t>Manthache; Collier du Valet Veinard; Alliance Gloursonne; Gant du Valet Veinard; Bouclier du Stalak; Menoture; Couronne d'Allister; Cape du Kamasterisk; Palmes Trithons; Dofus Pourpre; Dofus Ocre; Entraveur majeur; Cascadeur majeur; Nomade; Temporiseur majeur; Léopardo</t>
        </is>
      </c>
    </row>
    <row r="27048">
      <c r="A27048" t="inlineStr">
        <is>
          <t>Féca F 200</t>
        </is>
      </c>
      <c r="B27048">
        <f>HYPERLINK("https://www.dofusbook.net/fr/equipement/3803022-feca-f-200/objets", "link")</f>
        <v/>
      </c>
      <c r="C27048" t="n">
        <v>1</v>
      </c>
      <c r="D27048" t="inlineStr">
        <is>
          <t>Arc Hétype; Pendentif mignon de Koutoulou; Anneauræus; Anneau Toriété; Carapar; Ceinture de Vortex; Casque Cyclopéen; Cape de Diondin; Bottes Innommables; Dofus Ivoire; Dokoko; Dofus Abyssal; Dofus Pourpre; Dofus Ocre; Érudit majeur; Gwo Tofu Ventripotent</t>
        </is>
      </c>
    </row>
    <row r="27049">
      <c r="A27049" t="inlineStr">
        <is>
          <t>Féca M 200</t>
        </is>
      </c>
      <c r="B27049">
        <f>HYPERLINK("https://www.dofusbook.net/fr/equipement/3797937-feca-m-200/objets", "link")</f>
        <v/>
      </c>
      <c r="C27049" t="n">
        <v>1</v>
      </c>
      <c r="D27049" t="inlineStr">
        <is>
          <t>Rapière aux Glyphes; Amulette de l'Œil Attentif; Bracelet des Fonds marins; Alliance Gloursonne; Quatre-feuilles; Sangle Ouare; Capuche de l'Œil Attentif; Cape de l'Œil Attentif; Bottes Antouche; Dofus Pourpre; Dokoko; Dofus Abyssal; Dofus Turquoise; Dofus Ivoire; Dofus Ocre; Dauge</t>
        </is>
      </c>
    </row>
    <row r="27050">
      <c r="A27050" t="inlineStr">
        <is>
          <t>Féca M 200</t>
        </is>
      </c>
      <c r="B27050">
        <f>HYPERLINK("https://www.dofusbook.net/fr/equipement/3797879-feca-m-200/objets", "link")</f>
        <v/>
      </c>
      <c r="C27050" t="n">
        <v>4</v>
      </c>
      <c r="D27050" t="inlineStr">
        <is>
          <t>Rapière aux Glyphes; Amulette de Shokkoth; Alliance Gloursonne; Bracelet des Fonds marins; Quatre-feuilles; Sangle Ouare; Capuche de l'Œil Attentif; Cape de l'Œil Attentif; Pataugastrique; Dofus Ivoire; Dofus Turquoise; Dofus Pourpre; Dofus Ocre; Carapace Eau majeur; Chanceux majeur; Kanigloups</t>
        </is>
      </c>
    </row>
    <row r="27051">
      <c r="A27051" t="inlineStr">
        <is>
          <t>Féca M 200</t>
        </is>
      </c>
      <c r="B27051">
        <f>HYPERLINK("https://www.dofusbook.net/fr/equipement/3797754-feca-m-200/objets", "link")</f>
        <v/>
      </c>
      <c r="C27051" t="n">
        <v>4</v>
      </c>
      <c r="D27051" t="inlineStr">
        <is>
          <t>Héqache; Amulette du Cœur Vaillant; Anneau Toriété; Alliance Brûlâme; Sept ans de malheur; Ceintouse; Chapoulpe; Cape du Kamasterisk; Baleinabottes; Dofus Émeraude; Dofus Pourpre; Dofus Ocre; Dofus Ivoire; Carapace Terre majeur; Étourdisseur majeur; Boskito</t>
        </is>
      </c>
    </row>
    <row r="27052">
      <c r="A27052" t="inlineStr">
        <is>
          <t>Test 2</t>
        </is>
      </c>
      <c r="B27052">
        <f>HYPERLINK("https://www.dofusbook.net/fr/equipement/3634412-test-2-/objets", "link")</f>
        <v/>
      </c>
      <c r="C27052" t="n">
        <v>1</v>
      </c>
      <c r="D27052" t="inlineStr">
        <is>
          <t>Épée Brûlâme; Collier de la Dame du Hasard; Anneau Toriété; Anneau Cryochrone; Bouclier du Captain Amakna; Ceinture de l'Esprit Malsain; Coiffe Cryochrone; Cape de la Dame du Hasard; Bottes de la Dame du Hasard; Dofus Turquoise; Dofus Nébuleux; Dofus Abyssal; Dofus Ocre; Dofus Pourpre; Dofus des Glaces; Dragodinde Ivoire et Orchidée</t>
        </is>
      </c>
    </row>
    <row r="27053">
      <c r="A27053" t="inlineStr">
        <is>
          <t>Sadida F 200</t>
        </is>
      </c>
      <c r="B27053">
        <f>HYPERLINK("https://www.dofusbook.net/fr/equipement/3631665-sadida-f-200/objets", "link")</f>
        <v/>
      </c>
      <c r="C27053" t="n">
        <v>0</v>
      </c>
      <c r="D27053" t="inlineStr">
        <is>
          <t>Manthache; Amibou; Gant du Valet Veinard; Alliance Gloursonne; Bouclier cubiste; Sangle Oriole; Chapibou; Cape de l'Œil Putride; Chaussures Face; Dofus Pourpre; Dofus Ocre; Cascadeur majeur; Nomade; Remueur; Temporiseur majeur; Volkorne Turquoise et Ebène</t>
        </is>
      </c>
    </row>
    <row r="27054">
      <c r="A27054" t="inlineStr">
        <is>
          <t>Osamodas F 200</t>
        </is>
      </c>
      <c r="B27054">
        <f>HYPERLINK("https://www.dofusbook.net/fr/equipement/3629043-osamodas-f-200/objets", "link")</f>
        <v/>
      </c>
      <c r="C27054" t="n">
        <v>0</v>
      </c>
      <c r="D27054" t="inlineStr">
        <is>
          <t>Casque d'Ilyzaelle; Cape de l'Œil Putride</t>
        </is>
      </c>
    </row>
    <row r="27055">
      <c r="A27055" t="inlineStr">
        <is>
          <t>Huppermage F 200</t>
        </is>
      </c>
      <c r="B27055">
        <f>HYPERLINK("https://www.dofusbook.net/fr/equipement/3620805-huppermage-f-200/objets", "link")</f>
        <v/>
      </c>
      <c r="C27055" t="n">
        <v>0</v>
      </c>
      <c r="D27055" t="inlineStr"/>
    </row>
    <row r="27056">
      <c r="A27056" t="inlineStr">
        <is>
          <t>Crâ F 200</t>
        </is>
      </c>
      <c r="B27056">
        <f>HYPERLINK("https://www.dofusbook.net/fr/equipement/3623160-cra-f-200/objets", "link")</f>
        <v/>
      </c>
      <c r="C27056" t="n">
        <v>1</v>
      </c>
      <c r="D27056" t="inlineStr">
        <is>
          <t>Hache du Chalœil; Amulette du Strigide; Alliance du Lévitrof; Bracelet du Piloztère; Quatre-feuilles; Ceintacé; Casque du Chalœil; Cape des Justiciers; Bottes du Strigide; Dofus Pourpre; Dofus Turquoise; Observateur; Vigoureux majeur; Nomade; Remueur; Muldo Doré et Emeraude</t>
        </is>
      </c>
    </row>
    <row r="27057">
      <c r="A27057" t="inlineStr">
        <is>
          <t>Huppermage F 200</t>
        </is>
      </c>
      <c r="B27057">
        <f>HYPERLINK("https://www.dofusbook.net/fr/equipement/3622020-huppermage-f-200/objets", "link")</f>
        <v/>
      </c>
      <c r="C27057" t="n">
        <v>0</v>
      </c>
      <c r="D27057" t="inlineStr">
        <is>
          <t>Épée Brûlâme; Amulette Volkorne; Anneau Toriété; Anneau Volkorne; Bouclier du Captain Amakna; Ceinture de l'Esprit Malsain; Masque de l'Esprit Malsain; Cape de la Dame du Hasard; Bottes de la Dame du Hasard; Dofus Nébuleux; Dofus Ocre; Dofus Pourpre; Dofus des Glaces; Dolmanax; Dofus Turquoise; Volkorne Orchidée et Indigo</t>
        </is>
      </c>
    </row>
    <row r="27058">
      <c r="A27058" t="inlineStr">
        <is>
          <t>Crâ F 200</t>
        </is>
      </c>
      <c r="B27058">
        <f>HYPERLINK("https://www.dofusbook.net/fr/equipement/3621009-cra-f-200/objets", "link")</f>
        <v/>
      </c>
      <c r="C27058" t="n">
        <v>0</v>
      </c>
      <c r="D27058" t="inlineStr"/>
    </row>
    <row r="27059">
      <c r="A27059" t="inlineStr">
        <is>
          <t>Sram F 200</t>
        </is>
      </c>
      <c r="B27059">
        <f>HYPERLINK("https://www.dofusbook.net/fr/equipement/3620588-sram-f-200/objets", "link")</f>
        <v/>
      </c>
      <c r="C27059" t="n">
        <v>2</v>
      </c>
      <c r="D27059" t="inlineStr">
        <is>
          <t>Hache Ériphe; Amulette du Strigide; Bracelet du Piloztère; Anneau des égarés; Quatre-feuilles; Ceinture du Strigide; Masque Brûlâme; Cape de la Fuji Givrefoux; Baleinabottes; Dofus Pourpre; Dofus Turquoise; Dofus Ocre; Observateur; Nomade; Vigoureux majeur; Kramkram</t>
        </is>
      </c>
    </row>
    <row r="27060">
      <c r="A27060" t="inlineStr">
        <is>
          <t>Crâ F 200</t>
        </is>
      </c>
      <c r="B27060">
        <f>HYPERLINK("https://www.dofusbook.net/fr/equipement/3620549-cra-f-200/objets", "link")</f>
        <v/>
      </c>
      <c r="C27060" t="n">
        <v>3</v>
      </c>
      <c r="D27060" t="inlineStr">
        <is>
          <t>Arc de Koutoulou; Amulette du Strigide; Bracelet du Piloztère; Alliance Gloursonne; Quatre-feuilles; Ceintacé; Chapeau des Malveilleurs; Chevelure de Tal Kasha; Bottes du Strigide; Dofus Pourpre; Dofus Ocre; Dofus Turquoise; Nomade; Vigoureux majeur; Cascadeur majeur; Kramkram</t>
        </is>
      </c>
    </row>
    <row r="27061">
      <c r="A27061" t="inlineStr">
        <is>
          <t>Steamer F 200</t>
        </is>
      </c>
      <c r="B27061">
        <f>HYPERLINK("https://www.dofusbook.net/fr/equipement/3615083-steamer-f-200/objets", "link")</f>
        <v/>
      </c>
      <c r="C27061" t="n">
        <v>0</v>
      </c>
      <c r="D27061" t="inlineStr">
        <is>
          <t>Hache Ériphe; Amibou; Alliance Gloursonne; Bague Trithon; Bouclier du Stalak; Menoture; Chapoulpe; Cape du Cœur Vaillant; Bottes Trithon</t>
        </is>
      </c>
    </row>
    <row r="27062">
      <c r="A27062" t="inlineStr">
        <is>
          <t>Eliotrope F 200</t>
        </is>
      </c>
      <c r="B27062">
        <f>HYPERLINK("https://www.dofusbook.net/fr/equipement/3613370-eliotrope-f-200/objets", "link")</f>
        <v/>
      </c>
      <c r="C27062" t="n">
        <v>0</v>
      </c>
      <c r="D27062" t="inlineStr">
        <is>
          <t>Rouleau à Pâtisserie d'Aermyne; Amulette du Strigide; Bague Trithon; Alliance Gloursonne; Cadran de Feu; Sangle Ouare; Casque Dragoeuf; Cape d'Anerice; Bottes du Strigide; Miraculé; Miraculé majeur; Nomade; Miraculé mineur; Remueur</t>
        </is>
      </c>
    </row>
    <row r="27063">
      <c r="A27063" t="inlineStr">
        <is>
          <t>Huppermage F 200</t>
        </is>
      </c>
      <c r="B27063">
        <f>HYPERLINK("https://www.dofusbook.net/fr/equipement/3611824-huppermage-f-200/objets", "link")</f>
        <v/>
      </c>
      <c r="C27063" t="n">
        <v>0</v>
      </c>
      <c r="D27063" t="inlineStr">
        <is>
          <t>Épée Brûlâme; Amulette Volkorne; Lavanneau; Anneau Volkorne; Bouclier du Captain Amakna; Ceinture du Strigide; Casquette de Meno; Cape de la Dame du Hasard; Pataugastrique; Dofus Nébuleux; Dofus Turquoise; Dofus Ocre; Dofus Pourpre; Dofus des Glaces; Vigoureux majeur; Muldo Prune et Emeraude</t>
        </is>
      </c>
    </row>
    <row r="27064">
      <c r="A27064" t="inlineStr">
        <is>
          <t>Iop F 200</t>
        </is>
      </c>
      <c r="B27064">
        <f>HYPERLINK("https://www.dofusbook.net/fr/equipement/3595534-iop-f-200/objets", "link")</f>
        <v/>
      </c>
      <c r="C27064" t="n">
        <v>0</v>
      </c>
      <c r="D27064" t="inlineStr">
        <is>
          <t>Héqache; Amulette du Strigide; Bracelet du Piloztère; Anneau des égarés; Bouclier du Captain Amakna; Ceinture du Strigide; Masque Brûlâme; Cape de la Fuji Givrefoux; Bottes du Cycloïde; Dofus des Glaces; Dofus Pourpre; Dofus Ocre; Vigoureux majeur; Remueur; Enragé majeur; Kwaltess</t>
        </is>
      </c>
    </row>
    <row r="27065">
      <c r="A27065" t="inlineStr">
        <is>
          <t>Eliotrope F 200</t>
        </is>
      </c>
      <c r="B27065">
        <f>HYPERLINK("https://www.dofusbook.net/fr/equipement/3510507-eliotrope-f-200/objets", "link")</f>
        <v/>
      </c>
      <c r="C27065" t="n">
        <v>1</v>
      </c>
      <c r="D27065" t="inlineStr">
        <is>
          <t>Marteau Phossile; Pendentif mignon de Koutoulou; Chevalière du Roi Joueur; Alliance Brûlâme; Bouclier du Stalak; Ceinture de Vortex; Masquegel; Cape Martegel; Pantoufles Émar; Dofus Ocre; Dofus des Glaces; Dofus Pourpre; Érudit majeur; Vigoureux majeur; Nomade; Dragodinde Ivoire et Orchidée</t>
        </is>
      </c>
    </row>
    <row r="27066">
      <c r="A27066" t="inlineStr">
        <is>
          <t>Eliotrope F 200</t>
        </is>
      </c>
      <c r="B27066">
        <f>HYPERLINK("https://www.dofusbook.net/fr/equipement/3580016-eliotrope-f-200/objets", "link")</f>
        <v/>
      </c>
      <c r="C27066" t="n">
        <v>0</v>
      </c>
      <c r="D27066" t="inlineStr">
        <is>
          <t>Massier; Pendentif mignon de Koutoulou; Bague Gloursonne; Anneauræus; Ceinture de Vortex; Casque Cyclopéen; Cape de Diondin; Bottes Innommables</t>
        </is>
      </c>
    </row>
    <row r="27067">
      <c r="A27067" t="inlineStr">
        <is>
          <t>Sacrieur F 200</t>
        </is>
      </c>
      <c r="B27067">
        <f>HYPERLINK("https://www.dofusbook.net/fr/equipement/3579928-sacrieur-f-200/objets", "link")</f>
        <v/>
      </c>
      <c r="C27067" t="n">
        <v>0</v>
      </c>
      <c r="D27067" t="inlineStr"/>
    </row>
    <row r="27068">
      <c r="A27068" t="inlineStr">
        <is>
          <t>Osamodas F 200</t>
        </is>
      </c>
      <c r="B27068">
        <f>HYPERLINK("https://www.dofusbook.net/fr/equipement/3446570-osamodas-f-200/objets", "link")</f>
        <v/>
      </c>
      <c r="C27068" t="n">
        <v>1</v>
      </c>
      <c r="D27068" t="inlineStr">
        <is>
          <t>Rapière aux Glyphes; Amulette du Sinistrofu; Alliance du Lévitrof; Anneau Volkorne; Bouclier du Stalak; Sangle Ouare; Masque des Fonds marins; Cape Solution; Bottes du Sinistrofu; Dofus des Glaces; Dofus Pourpre; Dofus Ocre; Vigoureux majeur; Nomade; Chanceux majeur; Dragodinde Indigo et Ivoire</t>
        </is>
      </c>
    </row>
    <row r="27069">
      <c r="A27069" t="inlineStr">
        <is>
          <t>Xélor F 200</t>
        </is>
      </c>
      <c r="B27069">
        <f>HYPERLINK("https://www.dofusbook.net/fr/equipement/3572099-xelor-f-200/objets", "link")</f>
        <v/>
      </c>
      <c r="C27069" t="n">
        <v>0</v>
      </c>
      <c r="D27069" t="inlineStr">
        <is>
          <t>Hache Téroïde; Amulette du Strigide; Bague Gloursonne; Bracelet du Piloztère; Quatre-feuilles; Ceintacé; Chapeau de Gein; Cape au Logis; Bottes du Strigide; Dofus Turquoise; Dofus Ocre; Dofus Pourpre; Dofus des Glaces; Enragé majeur; Vigoureux majeur; Kramkram</t>
        </is>
      </c>
    </row>
    <row r="27070">
      <c r="A27070" t="inlineStr">
        <is>
          <t>Xélor F 200</t>
        </is>
      </c>
      <c r="B27070">
        <f>HYPERLINK("https://www.dofusbook.net/fr/equipement/3572098-xelor-f-200/objets", "link")</f>
        <v/>
      </c>
      <c r="C27070" t="n">
        <v>0</v>
      </c>
      <c r="D27070" t="inlineStr"/>
    </row>
    <row r="27071">
      <c r="A27071" t="inlineStr">
        <is>
          <t>Xélor F 200</t>
        </is>
      </c>
      <c r="B27071">
        <f>HYPERLINK("https://www.dofusbook.net/fr/equipement/3477247-xelor-f-200/objets", "link")</f>
        <v/>
      </c>
      <c r="C27071" t="n">
        <v>3</v>
      </c>
      <c r="D27071" t="inlineStr">
        <is>
          <t>Dagues de Srambad; Amulette du Strigide; Bracelet du Piloztère; Pikano; Quatre-feuilles; Ceintacé; Casque en Grithril; Cape au Logis; Bottes du Strigide; Dofus Pourpre; Dofus Ocre; Dofus Turquoise; Dofus des Glaces; Enragé majeur; Vigoureux majeur; Dragodinde Ivoire et Pourpre</t>
        </is>
      </c>
    </row>
    <row r="27072">
      <c r="A27072" t="inlineStr">
        <is>
          <t>Huppermage F 200</t>
        </is>
      </c>
      <c r="B27072">
        <f>HYPERLINK("https://www.dofusbook.net/fr/equipement/3506282-huppermage-f-200/objets", "link")</f>
        <v/>
      </c>
      <c r="C27072" t="n">
        <v>2</v>
      </c>
      <c r="D27072" t="inlineStr">
        <is>
          <t>Hache du Chalœil; Amulette Volkorne; Alliance du Lévitrof; Anneau Volkorne; Quatre-feuilles; Ceinture Volkorne; Coiffe du Lévitrof; Voile d'encre; Bottes du Lévitrof; Dofus Turquoise; Dofus Nébuleux; Dolmanax; Dofus Ocre; Dofus Pourpre; Dofus des Glaces; Kwaltess</t>
        </is>
      </c>
    </row>
    <row r="27073">
      <c r="A27073" t="inlineStr">
        <is>
          <t>Ecaflip F 200</t>
        </is>
      </c>
      <c r="B27073">
        <f>HYPERLINK("https://www.dofusbook.net/fr/equipement/3569688-ecaflip-f-200/objets", "link")</f>
        <v/>
      </c>
      <c r="C27073" t="n">
        <v>5</v>
      </c>
      <c r="D27073" t="inlineStr">
        <is>
          <t>Épée Brûlâme; Collier de la Dame du Hasard; Chevalière du Roi Joueur; Alliance Gloursonne; Quatre-feuilles; Ceinture de l'Esprit Salvateur; Casquette de Meno; Cape de la Dame du Hasard; Pataugastrique; Dofus Pourpre; Dofus des Glaces; Dofus Ocre; Érudit majeur; Vigoureux majeur; Chanceux majeur; Muldo Doré et Emeraude</t>
        </is>
      </c>
    </row>
    <row r="27074">
      <c r="A27074" t="inlineStr">
        <is>
          <t>Pandawa F 200</t>
        </is>
      </c>
      <c r="B27074">
        <f>HYPERLINK("https://www.dofusbook.net/fr/equipement/3517047-pandawa-f-200/objets", "link")</f>
        <v/>
      </c>
      <c r="C27074" t="n">
        <v>4</v>
      </c>
      <c r="D27074" t="inlineStr">
        <is>
          <t>Plumeau Bil; Amulette du Cycloïde; Anneau Toriété; Anneau Tique; Bouclier du Stalak; Ceinture de Vortex; Masquegel; Cape Martegel; Pataugastrique; Dofus Émeraude; Dofus Pourpre; Miraculé majeur; Carapace Terre majeur; Remueur; Vigoureux majeur; Dragodinde Ivoire et Orchidée</t>
        </is>
      </c>
    </row>
    <row r="27075">
      <c r="A27075" t="inlineStr">
        <is>
          <t>Huppermage F 200</t>
        </is>
      </c>
      <c r="B27075">
        <f>HYPERLINK("https://www.dofusbook.net/fr/equipement/3549541-huppermage-f-200/objets", "link")</f>
        <v/>
      </c>
      <c r="C27075" t="n">
        <v>1</v>
      </c>
      <c r="D27075" t="inlineStr">
        <is>
          <t>Marteau de Katrepat; Amulette du Strigide; Alliance Brûlâme; Alliance Gloursonne; Quatre-feuilles; Ceinture du Strigide; Masque Brûlâme; Voile d'encre; Bottes du Strigide; Dofus Pourpre; Dofus Ivoire; Dofus Vulbis; Dofus Ocre; Dolmanax; Dofus des Glaces; Kramkram</t>
        </is>
      </c>
    </row>
    <row r="27076">
      <c r="A27076" t="inlineStr">
        <is>
          <t>Huppermage F 200</t>
        </is>
      </c>
      <c r="B27076">
        <f>HYPERLINK("https://www.dofusbook.net/fr/equipement/3536143-huppermage-f-200/objets", "link")</f>
        <v/>
      </c>
      <c r="C27076" t="n">
        <v>0</v>
      </c>
      <c r="D27076" t="inlineStr">
        <is>
          <t>Hache du Chalœil; Amulette Volkorne; Bague Trithon; Anneau Volkorne; Quatre-feuilles; Ceinture Volkorne; Masque Trithon; Cape du Chalœil; Bottes Trithon; Dofus Turquoise; Dofus Ocre; Dolmanax; Dofus des Glaces; Dofus Pourpre; Dofus Nébuleux; Volkorne Orchidée et Indigo</t>
        </is>
      </c>
    </row>
    <row r="27077">
      <c r="A27077" t="inlineStr">
        <is>
          <t>Sadida F 200</t>
        </is>
      </c>
      <c r="B27077">
        <f>HYPERLINK("https://www.dofusbook.net/fr/equipement/3526587-sadida-f-200/objets", "link")</f>
        <v/>
      </c>
      <c r="C27077" t="n">
        <v>1</v>
      </c>
      <c r="D27077" t="inlineStr">
        <is>
          <t>Arc du Chalœil; Collier de Tourthon; Anneau Crustique; Anneau Crustique; Bivalve; Ceinture de la Reine des Voleurs; Coiffe de la Reine des Voleurs; Cape de la Cour Sombre; Bottes de Brouce; Dofus Abyssal; Dofus Ocre; Dofus Nébuleux; Enragé majeur; Remueur; Nomade; Kwaltess</t>
        </is>
      </c>
    </row>
    <row r="27078">
      <c r="A27078" t="inlineStr">
        <is>
          <t>Sadida M 200</t>
        </is>
      </c>
      <c r="B27078">
        <f>HYPERLINK("https://www.dofusbook.net/fr/equipement/3526581-sadida-m-200/objets", "link")</f>
        <v/>
      </c>
      <c r="C27078" t="n">
        <v>0</v>
      </c>
      <c r="D27078" t="inlineStr">
        <is>
          <t>Lav'Hache; Amulette Luminescente; Alliance du Lévitrof; Chevalière du Roi Joueur; Bivalve; Ceinture Luminescente; Coiffe du Lévitrof; Cape Luminescente; Bottes du Lévitrof; Dolmanax; Dofus Ocre; Dofus Abyssal; Dofus Nébuleux; Dofus Pourpre; Voyageur; Dragodinde Ivoire et Pourpre</t>
        </is>
      </c>
    </row>
    <row r="27079">
      <c r="A27079" t="inlineStr">
        <is>
          <t>Zobal F 200</t>
        </is>
      </c>
      <c r="B27079">
        <f>HYPERLINK("https://www.dofusbook.net/fr/equipement/3518504-zobal-f-200/objets", "link")</f>
        <v/>
      </c>
      <c r="C27079" t="n">
        <v>6</v>
      </c>
      <c r="D27079" t="inlineStr">
        <is>
          <t>Pelle de Nidas; Amulette de l'Indicible; Alliance Gloursonne; Anneau Toriété; Bouclier Taverne; Ceinture de la Reine des Voleurs; Coiffe de la Reine des Voleurs; Cape d'Anerice; Baleinabottes; Dofus Pourpre; Dofus Émeraude; Miraculé majeur; Carapace Air majeur; Vigoureux majeur; Remueur; Kramkram</t>
        </is>
      </c>
    </row>
    <row r="27080">
      <c r="A27080" t="inlineStr">
        <is>
          <t>Pandawa F 200</t>
        </is>
      </c>
      <c r="B27080">
        <f>HYPERLINK("https://www.dofusbook.net/fr/equipement/3508312-pandawa-f-200/objets", "link")</f>
        <v/>
      </c>
      <c r="C27080" t="n">
        <v>7</v>
      </c>
      <c r="D27080" t="inlineStr">
        <is>
          <t>Épée Brûlâme; Amulette Cryochrone; Anneau Toriété; Bracelet du Piloztère; Bouclier d'Anerice; Ceinture de Vortex; Coiffe de Padgref; Cape d'Anerice; Pataugastrique; Dofus Émeraude; Dofus des Glaces; Dofus Pourpre; Dofus Ocre; Miraculé majeur; Vigoureux majeur; Kramkram</t>
        </is>
      </c>
    </row>
    <row r="27081">
      <c r="A27081" t="inlineStr">
        <is>
          <t>Pandawa F 200</t>
        </is>
      </c>
      <c r="B27081">
        <f>HYPERLINK("https://www.dofusbook.net/fr/equipement/3508291-pandawa-f-200/objets", "link")</f>
        <v/>
      </c>
      <c r="C27081" t="n">
        <v>3</v>
      </c>
      <c r="D27081" t="inlineStr">
        <is>
          <t>Arc Volkorne; Amulette du Strigide; Alliance Gloursonne; Bague Trithon; Quatre-feuilles; Ceinture du Strigide; Masque Trithon; Voile d'encre; Bottes Trithon; Dofus Pourpre; Dofus Ocre; Dofus Turquoise; Dofus des Glaces; Dolmanax; Dofus Nébuleux; Muldo Doré et Emeraude</t>
        </is>
      </c>
    </row>
    <row r="27082">
      <c r="A27082" t="inlineStr">
        <is>
          <t>Huppermage F 200</t>
        </is>
      </c>
      <c r="B27082">
        <f>HYPERLINK("https://www.dofusbook.net/fr/equipement/3508272-huppermage-f-200/objets", "link")</f>
        <v/>
      </c>
      <c r="C27082" t="n">
        <v>3</v>
      </c>
      <c r="D27082" t="inlineStr">
        <is>
          <t>Héqache; Amulette du Cœur Vaillant; Bague Trithon; Bague Instable; Bouclier Taverne; Ceinture Gence; Casque Dragoeuf; Cape au Logis; Bottes Trithon; Dofus Abyssal; Dofus Émeraude; Dofus Pourpre; Dofus Ivoire; Culbuteur majeur; Bousculeur majeur; Volkorne Jade et Roux</t>
        </is>
      </c>
    </row>
    <row r="27083">
      <c r="A27083" t="inlineStr">
        <is>
          <t>Féca F 200</t>
        </is>
      </c>
      <c r="B27083">
        <f>HYPERLINK("https://www.dofusbook.net/fr/equipement/3502928-feca-f-200/objets", "link")</f>
        <v/>
      </c>
      <c r="C27083" t="n">
        <v>0</v>
      </c>
      <c r="D27083" t="inlineStr">
        <is>
          <t>Épée Brûlâme; Amulette Volkorne; Anneau Volkorne; Anneau Toriété; Quatre-feuilles; Ceinture de l'Esprit Malsain; Casquette de Meno; Cape de la Dame du Hasard; Pataugastrique; Dofus des Glaces; Dofus Turquoise; Dofus Pourpre; Dofus Nébuleux; Dofus Ocre; Vigoureux majeur; Dragodinde Ivoire et Orchidée</t>
        </is>
      </c>
    </row>
    <row r="27084">
      <c r="A27084" t="inlineStr">
        <is>
          <t>Eliotrope F 200</t>
        </is>
      </c>
      <c r="B27084">
        <f>HYPERLINK("https://www.dofusbook.net/fr/equipement/3506874-eliotrope-f-200/objets", "link")</f>
        <v/>
      </c>
      <c r="C27084" t="n">
        <v>1</v>
      </c>
      <c r="D27084" t="inlineStr">
        <is>
          <t>Arc Nécrotique; Amulette Cryochrone; Alliance du Lévitrof; Lavanneau; Quatre-feuilles; Ceinture de Vortex; Coiffe Cryochrone; Cape de la Dame du Hasard; Pataugastrique; Dofus Pourpre; Dofus Ocre; Dofus des Glaces; Nomade; Érudit majeur; Vigoureux majeur; Dragodinde Ivoire et Orchidée</t>
        </is>
      </c>
    </row>
    <row r="27085">
      <c r="A27085" t="inlineStr">
        <is>
          <t>Eliotrope F 200</t>
        </is>
      </c>
      <c r="B27085">
        <f>HYPERLINK("https://www.dofusbook.net/fr/equipement/3506909-eliotrope-f-200/objets", "link")</f>
        <v/>
      </c>
      <c r="C27085" t="n">
        <v>0</v>
      </c>
      <c r="D27085" t="inlineStr">
        <is>
          <t>Baguette Range; Amulette Volkorne; Anneau Toriété; Anneau du Cycloïde; Quatre-feuilles; Ceinture du Strigide; Casque Volkorne; Cape de Diondin; Pompes Funèbres; Dofus des Glaces; Dofus Pourpre; Dofus Ocre; Vigoureux majeur; Érudit majeur; Dragodinde Ivoire et Orchidée</t>
        </is>
      </c>
    </row>
    <row r="27086">
      <c r="A27086" t="inlineStr">
        <is>
          <t>Huppermage F 200</t>
        </is>
      </c>
      <c r="B27086">
        <f>HYPERLINK("https://www.dofusbook.net/fr/equipement/3506247-huppermage-f-200/objets", "link")</f>
        <v/>
      </c>
      <c r="C27086" t="n">
        <v>0</v>
      </c>
      <c r="D27086" t="inlineStr">
        <is>
          <t>Arc Volkorne; Amulette de l'Indicible; Grésilanneau; Alliance Gloursonne; Quatre-feuilles; Ceinture du Strigide; Casque du Chalœil; Voile d'encre; Bottes du Strigide; Dofus Pourpre; Dofus Ocre; Dofus des Glaces; Nomade; Remueur; Vigoureux majeur; Kwaltess</t>
        </is>
      </c>
    </row>
    <row r="27087">
      <c r="A27087" t="inlineStr">
        <is>
          <t>Iop F 200</t>
        </is>
      </c>
      <c r="B27087">
        <f>HYPERLINK("https://www.dofusbook.net/fr/equipement/3456051-iop-f-200/objets", "link")</f>
        <v/>
      </c>
      <c r="C27087" t="n">
        <v>8</v>
      </c>
      <c r="D27087" t="inlineStr">
        <is>
          <t>Hache du Chalœil; Amulette Volkorne; Chevalière du Roi Joueur; Anneau Volkorne; Quatre-feuilles; Ceinture Volkorne; Couronne du Roi Joueur; Voile d'encre; Bottes du Roi Joueur; Dofus Pourpre; Dofus des Glaces; Dofus Nébuleux; Dofus Turquoise; Dolmanax; Dofus Ocre; Kwaltess</t>
        </is>
      </c>
    </row>
    <row r="27088">
      <c r="A27088" t="inlineStr">
        <is>
          <t>Huppermage F 200</t>
        </is>
      </c>
      <c r="B27088">
        <f>HYPERLINK("https://www.dofusbook.net/fr/equipement/3506218-huppermage-f-200/objets", "link")</f>
        <v/>
      </c>
      <c r="C27088" t="n">
        <v>2</v>
      </c>
      <c r="D27088" t="inlineStr">
        <is>
          <t>Sabres d'Atcham; Amulette Volkorne; Bracelet du Piloztère; Anneau Volkorne; Quatre-feuilles; Ceinture du Strigide; Casque Volkorne; Cape d'Atcham; Sandales  d'Atcham; Dofus Turquoise; Dofus Ocre; Dofus Nébuleux; Dofus des Glaces; Dolmanax; Dofus Pourpre; Kwaltess</t>
        </is>
      </c>
    </row>
    <row r="27089">
      <c r="A27089" t="inlineStr">
        <is>
          <t>Huppermage F 200</t>
        </is>
      </c>
      <c r="B27089">
        <f>HYPERLINK("https://www.dofusbook.net/fr/equipement/3506201-huppermage-f-200/objets", "link")</f>
        <v/>
      </c>
      <c r="C27089" t="n">
        <v>1</v>
      </c>
      <c r="D27089" t="inlineStr">
        <is>
          <t>Arc Volkorne; Amulette du Strigide; Alliance Gloursonne; Grésilanneau; Quatre-feuilles; Ceintacé; Casque du Chalœil; Voile d'encre; Bottes du Strigide; Dofus Pourpre; Dolmanax; Dofus des Glaces; Remueur; Nomade; Vigoureux majeur; Kramkram</t>
        </is>
      </c>
    </row>
    <row r="27090">
      <c r="A27090" t="inlineStr">
        <is>
          <t>Huppermage F 200</t>
        </is>
      </c>
      <c r="B27090">
        <f>HYPERLINK("https://www.dofusbook.net/fr/equipement/3506161-huppermage-f-200/objets", "link")</f>
        <v/>
      </c>
      <c r="C27090" t="n">
        <v>3</v>
      </c>
      <c r="D27090" t="inlineStr">
        <is>
          <t>Sabres d'Atcham; Amulette du Strigide; Alliance Gloursonne; Grésilanneau; Quatre-feuilles; Ceinture de l'Indicible; Capuche de l'Œil Putride; Cape des Malveilleurs; Bottes du Strigide; Dofus Ocre; Dofus des Glaces; Dofus Pourpre; Nomade; Vigoureux majeur; Remueur; Kwaltess</t>
        </is>
      </c>
    </row>
    <row r="27091">
      <c r="A27091" t="inlineStr">
        <is>
          <t>Huppermage F 200</t>
        </is>
      </c>
      <c r="B27091">
        <f>HYPERLINK("https://www.dofusbook.net/fr/equipement/3503929-huppermage-f-200/objets", "link")</f>
        <v/>
      </c>
      <c r="C27091" t="n">
        <v>3</v>
      </c>
      <c r="D27091" t="inlineStr">
        <is>
          <t>Arc de Koutoulou; Amulette du Strigide; Anneau Volkorne; Alliance Gloursonne; Quatre-feuilles; Ceinture Voldelor; Casque Volkorne; Cape d'Atcham; Bottes de la Reine des Voleurs; Dofus des Glaces; Dofus Pourpre; Dofus Ocre; Nomade; Remueur; Vigoureux majeur; Volkorne Indigo et Ebène</t>
        </is>
      </c>
    </row>
    <row r="27092">
      <c r="A27092" t="inlineStr">
        <is>
          <t>Zobal M 200</t>
        </is>
      </c>
      <c r="B27092">
        <f>HYPERLINK("https://www.dofusbook.net/fr/equipement/3500469-zobal-m-200/objets", "link")</f>
        <v/>
      </c>
      <c r="C27092" t="n">
        <v>6</v>
      </c>
      <c r="D27092" t="inlineStr">
        <is>
          <t>Hache Téroïde; Amulette du Strigide; Anneau Chevelu; Bague Gloursonne; Bouclier d'Ilyzaelle; Ceinture de Gein; Chapeau de Gein; Voile d'encre; Bottes Honyme; Dofus Pourpre; Dofus Turquoise; Dofus Émeraude; Miraculé majeur; Vigoureux majeur; Remueur; Muldo Doré et Emeraude</t>
        </is>
      </c>
    </row>
    <row r="27093">
      <c r="A27093" t="inlineStr">
        <is>
          <t>Ecaflip F 200</t>
        </is>
      </c>
      <c r="B27093">
        <f>HYPERLINK("https://www.dofusbook.net/fr/equipement/3499449-ecaflip-f-200/objets", "link")</f>
        <v/>
      </c>
      <c r="C27093" t="n">
        <v>1</v>
      </c>
      <c r="D27093" t="inlineStr">
        <is>
          <t>Dagues de Srambad; Amulette du Strigide; Anneau Toriété; Anneau Volkorne; Ceinture Volkorne; Casque en Grithril; Cape Luminescente; Bottes Honyme; Dofus Pourpre; Dofus Ocre; Dofus des Glaces; Vigoureux majeur</t>
        </is>
      </c>
    </row>
    <row r="27094">
      <c r="A27094" t="inlineStr">
        <is>
          <t>Huppermage F 200</t>
        </is>
      </c>
      <c r="B27094">
        <f>HYPERLINK("https://www.dofusbook.net/fr/equipement/3492671-huppermage-f-200/objets", "link")</f>
        <v/>
      </c>
      <c r="C27094" t="n">
        <v>0</v>
      </c>
      <c r="D27094" t="inlineStr">
        <is>
          <t>Arc de Koutoulou; Amulette du Strigide; Alliance Gloursonne; Anneau Volkorne; Quatre-feuilles; Ceinture du Strigide; Casque Volkorne; Chevelure de Tal Kasha; Bottes du Strigide; Dofus Pourpre; Dofus des Glaces; Dolmanax; Dofus Turquoise; Dofus Nébuleux; Dofus Ocre; Kwaltess</t>
        </is>
      </c>
    </row>
    <row r="27095">
      <c r="A27095" t="inlineStr">
        <is>
          <t>Iop F 200</t>
        </is>
      </c>
      <c r="B27095">
        <f>HYPERLINK("https://www.dofusbook.net/fr/equipement/3492303-iop-f-200/objets", "link")</f>
        <v/>
      </c>
      <c r="C27095" t="n">
        <v>2</v>
      </c>
      <c r="D27095" t="inlineStr">
        <is>
          <t>Dagues Érhy; Amulette Volkorne; Chevalière du Roi Joueur; Bague Gloursonne; Quatre-feuilles; Ceinture Volkorne; Chapeau de Gein; Cape au Logis; Bottes Honyme; Dofus Ocre; Dofus Pourpre; Dofus des Glaces; Dofus Turquoise; Vigoureux majeur; Enragé majeur; Dragodinde Ivoire et Pourpre</t>
        </is>
      </c>
    </row>
    <row r="27096">
      <c r="A27096" t="inlineStr">
        <is>
          <t>Iop F 200</t>
        </is>
      </c>
      <c r="B27096">
        <f>HYPERLINK("https://www.dofusbook.net/fr/equipement/3492281-iop-f-200/objets", "link")</f>
        <v/>
      </c>
      <c r="C27096" t="n">
        <v>1</v>
      </c>
      <c r="D27096" t="inlineStr">
        <is>
          <t>Dagues Érhy; Amulette du Strigide; Chevalière du Roi Joueur; Bague Gloursonne; Quatre-feuilles; Ceintacé; Chapeau de Gein; Cape au Logis; Bottes du Strigide; Dofus Pourpre; Dofus Nébuleux; Dofus Ocre; Dofus des Glaces; Enragé majeur; Vigoureux majeur; Kramkram</t>
        </is>
      </c>
    </row>
    <row r="27097">
      <c r="A27097" t="inlineStr">
        <is>
          <t>Roublard F 200</t>
        </is>
      </c>
      <c r="B27097">
        <f>HYPERLINK("https://www.dofusbook.net/fr/equipement/3485341-roublard-f-200/objets", "link")</f>
        <v/>
      </c>
      <c r="C27097" t="n">
        <v>0</v>
      </c>
      <c r="D27097" t="inlineStr">
        <is>
          <t>Hache du Chalœil; Amulette Volkorne; Anneau Volkorne; Alliance du Lévitrof; Quatre-feuilles; Ceinture Volkorne; Coiffe du Lévitrof; Voile d'encre; Bottes du Lévitrof; Dofus Pourpre; Dofus des Glaces; Dofus Émeraude; Dofus Turquoise; Dolmanax; Dofus Ocre</t>
        </is>
      </c>
    </row>
    <row r="27098">
      <c r="A27098" t="inlineStr">
        <is>
          <t>Roublard F 200</t>
        </is>
      </c>
      <c r="B27098">
        <f>HYPERLINK("https://www.dofusbook.net/fr/equipement/3482968-roublard-f-200/objets", "link")</f>
        <v/>
      </c>
      <c r="C27098" t="n">
        <v>1</v>
      </c>
      <c r="D27098" t="inlineStr">
        <is>
          <t>Arc Nécrotique; Collier de la Dame du Hasard; Lavanneau; Anneau Toriété; Quatre-feuilles; Ceinture de Gein; Le Dorado; Cape de la Dame du Hasard; Bottes de Meno; Dofus Pourpre; Dofus Ocre; Dofus des Glaces; Nomade; Érudit majeur; Vigoureux majeur; Dragodinde Ivoire et Orchidée</t>
        </is>
      </c>
    </row>
    <row r="27099">
      <c r="A27099" t="inlineStr">
        <is>
          <t>Sadida M 200</t>
        </is>
      </c>
      <c r="B27099">
        <f>HYPERLINK("https://www.dofusbook.net/fr/equipement/3482254-sadida-m-200/objets", "link")</f>
        <v/>
      </c>
      <c r="C27099" t="n">
        <v>1</v>
      </c>
      <c r="D27099" t="inlineStr">
        <is>
          <t>Pyraguette; Amulette de l'Œil Putride; Anneau Toriété; Lavanneau; Bouclier du Stalak; Ceinture de l'Esprit Salvateur; Masque de l'Esprit Salvateur; Cape de l'Œil Putride; Bottes de l'Esprit Salvateur; Dolmanax; Dofus des Glaces; Dofus Pourpre; Dofus Ocre; Robuste majeur; Féroce majeur; Dragodinde Indigo et Ivoire</t>
        </is>
      </c>
    </row>
    <row r="27100">
      <c r="A27100" t="inlineStr">
        <is>
          <t>Pandawa F 200</t>
        </is>
      </c>
      <c r="B27100">
        <f>HYPERLINK("https://www.dofusbook.net/fr/equipement/3481803-pandawa-f-200/objets", "link")</f>
        <v/>
      </c>
      <c r="C27100" t="n">
        <v>1</v>
      </c>
      <c r="D27100" t="inlineStr">
        <is>
          <t>Rapière aux Glyphes; Amulette de l'Œil Attentif; Bracelet des Fonds marins; Alliance Gloursonne; Bouclier d'Anerice; Sangle Ouare; Casque Dragoeuf; Cape Solution; Sandales des Fonds marins; Dofus Émeraude; Remueur; Fonceur majeur; Obstructeur majeur; Miraculé majeur; Dragodinde Indigo et Ivoire</t>
        </is>
      </c>
    </row>
    <row r="27101">
      <c r="A27101" t="inlineStr">
        <is>
          <t>Pandawa F 200</t>
        </is>
      </c>
      <c r="B27101">
        <f>HYPERLINK("https://www.dofusbook.net/fr/equipement/3481756-pandawa-f-200/objets", "link")</f>
        <v/>
      </c>
      <c r="C27101" t="n">
        <v>2</v>
      </c>
      <c r="D27101" t="inlineStr">
        <is>
          <t>Rouleau à Pâtisserie d'Aermyne; Amulette du Strigide; Anneau Toriété; Bague Trithon; Bouclier d'Anerice; Ceinture de Kongoku; Kidibonnet; Cape d'Anerice; Pataugastrique; Dokoko; Dofus Émeraude; Remueur; Nomade; Obstructeur majeur; Miraculé majeur; Kramkram</t>
        </is>
      </c>
    </row>
    <row r="27102">
      <c r="A27102" t="inlineStr">
        <is>
          <t>Zobal F 200</t>
        </is>
      </c>
      <c r="B27102">
        <f>HYPERLINK("https://www.dofusbook.net/fr/equipement/3477353-zobal-f-200/objets", "link")</f>
        <v/>
      </c>
      <c r="C27102" t="n">
        <v>3</v>
      </c>
      <c r="D27102" t="inlineStr">
        <is>
          <t>Harpelle; Pendentif mignon de Koutoulou; Anneauræus; Anneauræus; Bouclier d'Ilyzaelle; Ceinture de Gein; Casque Cyclopéen; Voile d'encre; Pataugastrique; Dofus Pourpre; Dofus Émeraude; Miraculé majeur; Érudit majeur; Remueur; Nomade; Dragodinde Ivoire et Orchidée</t>
        </is>
      </c>
    </row>
    <row r="27103">
      <c r="A27103" t="inlineStr">
        <is>
          <t>Zobal F 200</t>
        </is>
      </c>
      <c r="B27103">
        <f>HYPERLINK("https://www.dofusbook.net/fr/equipement/3477299-zobal-f-200/objets", "link")</f>
        <v/>
      </c>
      <c r="C27103" t="n">
        <v>0</v>
      </c>
      <c r="D27103" t="inlineStr"/>
    </row>
    <row r="27104">
      <c r="A27104" t="inlineStr">
        <is>
          <t>Zobal M 200</t>
        </is>
      </c>
      <c r="B27104">
        <f>HYPERLINK("https://www.dofusbook.net/fr/equipement/3477269-zobal-m-200/objets", "link")</f>
        <v/>
      </c>
      <c r="C27104" t="n">
        <v>2</v>
      </c>
      <c r="D27104" t="inlineStr">
        <is>
          <t>Baguette de Malléfisk; Amulette Volkorne; Bague Gloursonne; Chevalière du Roi Joueur; Bouclier d'Ilyzaelle; Ceinture Volkorne; Chapeau de Gein; Cape de Diondin; Pompes Funèbres; Dofus Pourpre; Dofus Ocre; Dofus des Glaces; Nomade; Miraculé majeur; Vigoureux majeur; Kramkram</t>
        </is>
      </c>
    </row>
    <row r="27105">
      <c r="A27105" t="inlineStr">
        <is>
          <t>Ecaflip F 200</t>
        </is>
      </c>
      <c r="B27105">
        <f>HYPERLINK("https://www.dofusbook.net/fr/equipement/3477222-ecaflip-f-200/objets", "link")</f>
        <v/>
      </c>
      <c r="C27105" t="n">
        <v>1</v>
      </c>
      <c r="D27105" t="inlineStr">
        <is>
          <t>Héqache; Amulette du Strigide; Bracelet du Piloztère; Alliance Brûlâme; Bouclier du Captain Amakna; Ceinture Volkorne; Casque Volkorne; Cape au Logis; Baleinabottes; Dofus Ocre; Dofus Pourpre; Dofus des Glaces; Dofus Turquoise; Vigoureux majeur; Enragé majeur; Dragodinde Ivoire et Pourpre</t>
        </is>
      </c>
    </row>
    <row r="27106">
      <c r="A27106" t="inlineStr">
        <is>
          <t>Eliotrope F 200</t>
        </is>
      </c>
      <c r="B27106">
        <f>HYPERLINK("https://www.dofusbook.net/fr/equipement/3475759-eliotrope-f-200/objets", "link")</f>
        <v/>
      </c>
      <c r="C27106" t="n">
        <v>2</v>
      </c>
      <c r="D27106" t="inlineStr">
        <is>
          <t>Marteau Phossile; Amulette Martegel; Anneau Tique; Anneau Toriété; Cadran de Feu; Ceinture de Vortex; Masquegel; Cape de Diondin; Chaussures Ardentes; Dofus Pourpre; Dofus Ocre; Dofus Émeraude; Miraculé majeur; Vigoureux majeur; Dragodinde Ivoire et Orchidée</t>
        </is>
      </c>
    </row>
    <row r="27107">
      <c r="A27107" t="inlineStr">
        <is>
          <t>Eliotrope F 200</t>
        </is>
      </c>
      <c r="B27107">
        <f>HYPERLINK("https://www.dofusbook.net/fr/equipement/3474582-eliotrope-f-200/objets", "link")</f>
        <v/>
      </c>
      <c r="C27107" t="n">
        <v>0</v>
      </c>
      <c r="D27107" t="inlineStr">
        <is>
          <t>Épée Brûlâme; Amulette Volkorne; Anneau Toriété; Anneau Cryochrone; Bouclier du Cycloïde; Ceintrigue; Casquette de Meno; Cape de Diondin; Bottes de Meno; Dofus Pourpre; Dofus Ocre; Guérisseur majeur; Érudit majeur; Déserteur majeur; Vigoureux majeur; Dragodinde Ivoire et Orchidée</t>
        </is>
      </c>
    </row>
    <row r="27108">
      <c r="A27108" t="inlineStr">
        <is>
          <t>Huppermage F 200</t>
        </is>
      </c>
      <c r="B27108">
        <f>HYPERLINK("https://www.dofusbook.net/fr/equipement/3475639-huppermage-f-200/objets", "link")</f>
        <v/>
      </c>
      <c r="C27108" t="n">
        <v>5</v>
      </c>
      <c r="D27108" t="inlineStr">
        <is>
          <t>Arc de Koutoulou; Amulette du Strigide; Alliance Gloursonne; Anneau Volkorne; Quatre-feuilles; Sangle Ouare; Casque Volkorne; Cape Matelassée; Bottes Voldelor; Dofus Turquoise; Dofus Ocre; Dofus Pourpre; Dofus des Glaces; Chanceux majeur; Vigoureux majeur; Dragodinde Indigo et Ivoire</t>
        </is>
      </c>
    </row>
    <row r="27109">
      <c r="A27109" t="inlineStr">
        <is>
          <t>Roublard F 200</t>
        </is>
      </c>
      <c r="B27109">
        <f>HYPERLINK("https://www.dofusbook.net/fr/equipement/3447140-roublard-f-200/objets", "link")</f>
        <v/>
      </c>
      <c r="C27109" t="n">
        <v>14</v>
      </c>
      <c r="D27109" t="inlineStr">
        <is>
          <t>Pyraguette; Amulette Volkorne; Anneau Volkorne; Lavanneau; Bouclier du Stalak; Ceinture de l'Esprit Salvateur; Masque de l'Esprit Salvateur; Voilamibe; Bottes de l'Esprit Salvateur; Dolmanax; Dofus des Glaces; Dofus Pourpre; Dofus Ocre; Féroce majeur; Robuste majeur; Dragodinde Ivoire et Orchidée</t>
        </is>
      </c>
    </row>
    <row r="27110">
      <c r="A27110" t="inlineStr">
        <is>
          <t>Ecaflip F 200</t>
        </is>
      </c>
      <c r="B27110">
        <f>HYPERLINK("https://www.dofusbook.net/fr/equipement/3472426-ecaflip-f-200/objets", "link")</f>
        <v/>
      </c>
      <c r="C27110" t="n">
        <v>0</v>
      </c>
      <c r="D27110" t="inlineStr"/>
    </row>
    <row r="27111">
      <c r="A27111" t="inlineStr">
        <is>
          <t>Huppermage F 200</t>
        </is>
      </c>
      <c r="B27111">
        <f>HYPERLINK("https://www.dofusbook.net/fr/equipement/3471730-huppermage-f-200/objets", "link")</f>
        <v/>
      </c>
      <c r="C27111" t="n">
        <v>2</v>
      </c>
      <c r="D27111" t="inlineStr">
        <is>
          <t>Marteau des égarés; Amulette du Strigide; Alliance Gloursonne; Grésilanneau; Quatre-feuilles; Ceintacé; Casque du Chalœil; Voile d'encre; Bottes du Strigide; Dolmanax; Dofus Pourpre; Dofus Turquoise; Remueur; Nomade; Vigoureux majeur; Kramkram</t>
        </is>
      </c>
    </row>
    <row r="27112">
      <c r="A27112" t="inlineStr">
        <is>
          <t>Huppermage F 200</t>
        </is>
      </c>
      <c r="B27112">
        <f>HYPERLINK("https://www.dofusbook.net/fr/equipement/3471701-huppermage-f-200/objets", "link")</f>
        <v/>
      </c>
      <c r="C27112" t="n">
        <v>3</v>
      </c>
      <c r="D27112" t="inlineStr">
        <is>
          <t>Sabres d'Atcham; Amulette Volkorne; Anneau du Père Fwetar; Anneau Volkorne; Quatre-feuilles; Ceinture du Père Fwetar; Casque Volkorne; Cape d'Atcham; Sandales  d'Atcham; Dofus Turquoise; Dofus Nébuleux; Dofus Ocre; Dolmanax; Dofus Pourpre; Dofus des Glaces; Volkorne Orchidée et Indigo</t>
        </is>
      </c>
    </row>
    <row r="27113">
      <c r="A27113" t="inlineStr">
        <is>
          <t>Huppermage F 200</t>
        </is>
      </c>
      <c r="B27113">
        <f>HYPERLINK("https://www.dofusbook.net/fr/equipement/3455379-huppermage-f-200/objets", "link")</f>
        <v/>
      </c>
      <c r="C27113" t="n">
        <v>1</v>
      </c>
      <c r="D27113" t="inlineStr">
        <is>
          <t>Arc Volkorne; Amulette Volkorne; Anneau Volkorne; Grésilanneau; Quatre-feuilles; Ceinture Volkorne; Casque du Chalœil; Cape du Chalœil; Bottes du Chalœil; Dofus Nébuleux; Dofus Pourpre; Dofus Turquoise; Dofus Ocre; Dolmanax; Dofus des Glaces; Volkorne Orchidée et Indigo</t>
        </is>
      </c>
    </row>
    <row r="27114">
      <c r="A27114" t="inlineStr">
        <is>
          <t>Ouginak F 200</t>
        </is>
      </c>
      <c r="B27114">
        <f>HYPERLINK("https://www.dofusbook.net/fr/equipement/3467641-ouginak-f-200/objets", "link")</f>
        <v/>
      </c>
      <c r="C27114" t="n">
        <v>1</v>
      </c>
      <c r="D27114" t="inlineStr">
        <is>
          <t>Arc de Koutoulou; Amulette du Strigide; Anneau Volkorne; Alliance Gloursonne; Quatre-feuilles; Ceinture du Strigide; Casque Volkorne; Chevelure de Tal Kasha; Bottes du Strigide; Dolmanax; Dofus Ocre; Dofus Pourpre; Dofus des Glaces; Dofus Turquoise; Dofus Abyssal; Muldo Doré et Emeraude</t>
        </is>
      </c>
    </row>
    <row r="27115">
      <c r="A27115" t="inlineStr">
        <is>
          <t>Eliotrope F 200</t>
        </is>
      </c>
      <c r="B27115">
        <f>HYPERLINK("https://www.dofusbook.net/fr/equipement/3451660-eliotrope-f-200/objets", "link")</f>
        <v/>
      </c>
      <c r="C27115" t="n">
        <v>0</v>
      </c>
      <c r="D27115" t="inlineStr">
        <is>
          <t>Épée Brûlâme; Amulette Volkorne; Anneau Volkorne; Lavanneau; Bouclier du Cycloïde; Ceintrigue; Casquette de Meno; Cape de Meno; Bottes de Meno; Dofus Pourpre; Dofus des Glaces; Dofus Turquoise; Dolmanax; Dofus Ocre</t>
        </is>
      </c>
    </row>
    <row r="27116">
      <c r="A27116" t="inlineStr">
        <is>
          <t>Pandawa F 200</t>
        </is>
      </c>
      <c r="B27116">
        <f>HYPERLINK("https://www.dofusbook.net/fr/equipement/3463481-pandawa-f-200/objets", "link")</f>
        <v/>
      </c>
      <c r="C27116" t="n">
        <v>0</v>
      </c>
      <c r="D27116" t="inlineStr">
        <is>
          <t>Rouleau à Pâtisserie d'Aermyne; Amulette du Strigide; Alliance Gloursonne; Anneau Toriété; Bouclier d'Anerice; Ceinture de Kongoku; Casque Dragoeuf; Cape d'Anerice; Pataugastrique; Dragodinde Indigo et Ivoire</t>
        </is>
      </c>
    </row>
    <row r="27117">
      <c r="A27117" t="inlineStr">
        <is>
          <t>Féca M 200</t>
        </is>
      </c>
      <c r="B27117">
        <f>HYPERLINK("https://www.dofusbook.net/fr/equipement/3463368-feca-m-200/objets", "link")</f>
        <v/>
      </c>
      <c r="C27117" t="n">
        <v>1</v>
      </c>
      <c r="D27117" t="inlineStr">
        <is>
          <t>Lance corrompue; Collier du Valet Veinard; Gant du Valet Veinard; Alliance Brûlâme; Bouclier Taverne; Ceintouse; Chapoulpe; Cape du Valet Veinard; Tentassons; Dofus Pourpre; Dofus Émeraude; Dofus Ocre; Dolmanax; Dofus des Glaces; Robuste majeur; Muldo Doré et Ebène</t>
        </is>
      </c>
    </row>
    <row r="27118">
      <c r="A27118" t="inlineStr">
        <is>
          <t>Zobal F 200</t>
        </is>
      </c>
      <c r="B27118">
        <f>HYPERLINK("https://www.dofusbook.net/fr/equipement/3457120-zobal-f-200/objets", "link")</f>
        <v/>
      </c>
      <c r="C27118" t="n">
        <v>2</v>
      </c>
      <c r="D27118" t="inlineStr">
        <is>
          <t>Arc de Koutoulou; Amulette d'Ilyzaelle; Alliance Gloursonne; Anneau Volkorne; Bouclier du Stalak; Sangle Ouare; Casque d'Ilyzaelle; Cape Solution; Bottes du Strigide; Dofus Ocre; Dofus des Glaces; Dofus Pourpre; Chanceux majeur; Vigoureux majeur; Nomade; Dragodinde Indigo et Ivoire</t>
        </is>
      </c>
    </row>
    <row r="27119">
      <c r="A27119" t="inlineStr">
        <is>
          <t>Osamodas F 200</t>
        </is>
      </c>
      <c r="B27119">
        <f>HYPERLINK("https://www.dofusbook.net/fr/equipement/3456728-osamodas-f-200/objets", "link")</f>
        <v/>
      </c>
      <c r="C27119" t="n">
        <v>0</v>
      </c>
      <c r="D27119" t="inlineStr"/>
    </row>
    <row r="27120">
      <c r="A27120" t="inlineStr">
        <is>
          <t>Steamer M 200</t>
        </is>
      </c>
      <c r="B27120">
        <f>HYPERLINK("https://www.dofusbook.net/fr/equipement/3452242-steamer-m-200/objets", "link")</f>
        <v/>
      </c>
      <c r="C27120" t="n">
        <v>3</v>
      </c>
      <c r="D27120" t="inlineStr">
        <is>
          <t>Hache du Chalœil; Amulette du Strigide; Grésilanneau; Alliance Gloursonne; Quatre-feuilles; Ceintacé; Le Dorado; Voile d'encre; Bottes du Strigide; Dofus Turquoise; Dofus Pourpre; Remueur; Miraculé majeur; Nomade; Vigoureux majeur; Muldo Doré et Emeraude</t>
        </is>
      </c>
    </row>
    <row r="27121">
      <c r="A27121" t="inlineStr">
        <is>
          <t>Sadida M 200</t>
        </is>
      </c>
      <c r="B27121">
        <f>HYPERLINK("https://www.dofusbook.net/fr/equipement/3451739-sadida-m-200/objets", "link")</f>
        <v/>
      </c>
      <c r="C27121" t="n">
        <v>0</v>
      </c>
      <c r="D27121" t="inlineStr">
        <is>
          <t>Marteau R'ture; Amulette Luminescente; Chevalière du Roi Joueur; Anneau de Brouce; Quatre-feuilles; Ceinture Luminescente; Couronne du Roi Joueur; Cape Luminescente; Bottes du Roi Joueur; Dofus Ocre; Dofus Vulbis; Dofus des Glaces; Dofus Pourpre; Dofus Abyssal; Forcené majeur; Kompost</t>
        </is>
      </c>
    </row>
    <row r="27122">
      <c r="A27122" t="inlineStr">
        <is>
          <t>Enutrof M 200</t>
        </is>
      </c>
      <c r="B27122">
        <f>HYPERLINK("https://www.dofusbook.net/fr/equipement/3451700-enutrof-m-200/objets", "link")</f>
        <v/>
      </c>
      <c r="C27122" t="n">
        <v>4</v>
      </c>
      <c r="D27122" t="inlineStr">
        <is>
          <t>Le Thanos; Amulette d'Ilyzaelle; Anneau Toriété; Lavanneau; Bouclier d'Ilyzaelle; Ceintrigue; Casque d'Ilyzaelle; Cape du Sinistrofu; Bottes de Meno; Dofus Pourpre; Dofus des Glaces; Dofus Turquoise; Dofus Ivoire; Dolmanax; Dofus Ocre; Dragodinde Indigo et Ivoire</t>
        </is>
      </c>
    </row>
    <row r="27123">
      <c r="A27123" t="inlineStr">
        <is>
          <t>Zobal M 200</t>
        </is>
      </c>
      <c r="B27123">
        <f>HYPERLINK("https://www.dofusbook.net/fr/equipement/3447927-zobal-m-200/objets", "link")</f>
        <v/>
      </c>
      <c r="C27123" t="n">
        <v>4</v>
      </c>
      <c r="D27123" t="inlineStr">
        <is>
          <t>Bâthon; Amulette du Strigide; Chevalière du Roi Joueur; Bague Gloursonne; Bouclier d'Ilyzaelle; Ceintacé; Chapeau de Gein; Voile d'encre; Bottes du Strigide; Dofus Ocre; Dofus Pourpre; Dofus Turquoise; Dofus des Glaces; Miraculé majeur; Vigoureux majeur; Muldo Doré et Emeraude</t>
        </is>
      </c>
    </row>
    <row r="27124">
      <c r="A27124" t="inlineStr">
        <is>
          <t>A faire 2</t>
        </is>
      </c>
      <c r="B27124">
        <f>HYPERLINK("https://www.dofusbook.net/fr/equipement/1962096-a-faire-2-/objets", "link")</f>
        <v/>
      </c>
      <c r="C27124" t="n">
        <v>0</v>
      </c>
      <c r="D27124" t="inlineStr">
        <is>
          <t>Arc du Chalœil; Torquistik; Bague Instable; Bague Trithon; Bouclier précieux; Ceinture Gence; Casque Dragoeuf; Cape d'Anerice; Bottistik; Dofus Émeraude; Remueur; Pousseur majeur; Culbuteur; Bousculeur majeur; Culbuteur majeur; Muldo Indigo et Pourpre</t>
        </is>
      </c>
    </row>
    <row r="27125">
      <c r="A27125" t="inlineStr">
        <is>
          <t>Zobal M 200</t>
        </is>
      </c>
      <c r="B27125">
        <f>HYPERLINK("https://www.dofusbook.net/fr/equipement/3447575-zobal-m-200/objets", "link")</f>
        <v/>
      </c>
      <c r="C27125" t="n">
        <v>3</v>
      </c>
      <c r="D27125" t="inlineStr">
        <is>
          <t>Pelle de la Cour Sombre; Collier du Valet Veinard; Gant du Valet Veinard; Alliance Brûlâme; Bouclier Taverne; Ceinture de la Reine des Voleurs; Coiffe de la Reine des Voleurs; Cape du Valet Veinard; Bottes de la Reine des Voleurs; Dolmanax; Dofus des Glaces; Dofus Pourpre; Dofus Émeraude; Dofus Ocre; Robuste majeur; Muldo Ebène et Orchidée</t>
        </is>
      </c>
    </row>
    <row r="27126">
      <c r="A27126" t="inlineStr">
        <is>
          <t>Crâ F 200</t>
        </is>
      </c>
      <c r="B27126">
        <f>HYPERLINK("https://www.dofusbook.net/fr/equipement/3447550-cra-f-200/objets", "link")</f>
        <v/>
      </c>
      <c r="C27126" t="n">
        <v>5</v>
      </c>
      <c r="D27126" t="inlineStr">
        <is>
          <t>Marteau Phossile; Pendentif mignon de Koutoulou; Alliance Brûlâme; Anneau Rifique; Bouclier du Stalak; Ceinture de l'Esprit Salvateur; Chapeau des Malveilleurs; Cape des Malveilleurs; Bottes des Malveilleurs; Dofus Pourpre; Dofus Ocre; Dolmanax; Dofus des Glaces; Bousculeur majeur; Robuste majeur; Volkorne Roux et Orchidée</t>
        </is>
      </c>
    </row>
    <row r="27127">
      <c r="A27127" t="inlineStr">
        <is>
          <t>Crâ M 200</t>
        </is>
      </c>
      <c r="B27127">
        <f>HYPERLINK("https://www.dofusbook.net/fr/equipement/3447522-cra-m-200/objets", "link")</f>
        <v/>
      </c>
      <c r="C27127" t="n">
        <v>10</v>
      </c>
      <c r="D27127" t="inlineStr">
        <is>
          <t>Marteau Phossile; Pendentif mignon de Koutoulou; Anneau Rifique; Alliance Brûlâme; Bouclier du Stalak; Ceinture de l'Esprit Salvateur; Casque Cyclopéen; Voilamibe; Pompes Funèbres; Dofus Ocre; Dolmanax; Dofus des Glaces; Dofus Pourpre; Féroce majeur; Robuste majeur; Dragodinde Ivoire et Orchidée</t>
        </is>
      </c>
    </row>
    <row r="27128">
      <c r="A27128" t="inlineStr">
        <is>
          <t>Terre mamene</t>
        </is>
      </c>
      <c r="B27128">
        <f>HYPERLINK("https://www.dofusbook.net/fr/equipement/3123177-terre-mamene/objets", "link")</f>
        <v/>
      </c>
      <c r="C27128" t="n">
        <v>1</v>
      </c>
      <c r="D27128" t="inlineStr">
        <is>
          <t>Arc du Chalœil; Collier de Tourthon; Anneau de Brouce; Bracelet du Piloztère; Quatre-feuilles; Ceinture de la Reine des Voleurs; Coiffe de la Reine des Voleurs; Cape au Logis; Baleinabottes; Dofus des Glaces; Dofus Pourpre; Enragé majeur; Remueur; Vigoureux majeur; Nomade; Kompost</t>
        </is>
      </c>
    </row>
    <row r="27129">
      <c r="A27129" t="inlineStr">
        <is>
          <t>Roublard F 200</t>
        </is>
      </c>
      <c r="B27129">
        <f>HYPERLINK("https://www.dofusbook.net/fr/equipement/3447254-roublard-f-200/objets", "link")</f>
        <v/>
      </c>
      <c r="C27129" t="n">
        <v>0</v>
      </c>
      <c r="D27129" t="inlineStr"/>
    </row>
    <row r="27130">
      <c r="A27130" t="inlineStr">
        <is>
          <t>Roublard F 200</t>
        </is>
      </c>
      <c r="B27130">
        <f>HYPERLINK("https://www.dofusbook.net/fr/equipement/3447293-roublard-f-200/objets", "link")</f>
        <v/>
      </c>
      <c r="C27130" t="n">
        <v>0</v>
      </c>
      <c r="D27130" t="inlineStr">
        <is>
          <t>Pyraguette; Amulette Volkorne; Bague Gloursonne; Chevalière du Roi Joueur; Bouclier du Stalak; Ceinture Séculaire; Coiffe Séculaire; Cape de Diondin; Bottes Owesli; Dofus des Glaces; Dofus Pourpre; Remueur; Dévastateur Feu majeur; Nomade; Érudit majeur; Dragodinde Ivoire et Orchidée</t>
        </is>
      </c>
    </row>
    <row r="27131">
      <c r="A27131" t="inlineStr">
        <is>
          <t>Roublard F 200</t>
        </is>
      </c>
      <c r="B27131">
        <f>HYPERLINK("https://www.dofusbook.net/fr/equipement/3447177-roublard-f-200/objets", "link")</f>
        <v/>
      </c>
      <c r="C27131" t="n">
        <v>0</v>
      </c>
      <c r="D27131" t="inlineStr">
        <is>
          <t>Baguette Héroclite; Amulette d'Ilyzaelle; Anneau Volkorne; Alliance Gloursonne; Bouclier du Stalak; Ceinture de la Reine des Voleurs; Casque d'Ilyzaelle; Cape Solution; Bottes de la Reine des Voleurs; Dofus Ocre; Dolmanax; Dofus des Glaces; Dofus Pourpre; Robuste majeur; Féroce majeur; Muldo Doré et Ebène</t>
        </is>
      </c>
    </row>
    <row r="27132">
      <c r="A27132" t="inlineStr">
        <is>
          <t>Huppermage F 200</t>
        </is>
      </c>
      <c r="B27132">
        <f>HYPERLINK("https://www.dofusbook.net/fr/equipement/3445923-huppermage-f-200/objets", "link")</f>
        <v/>
      </c>
      <c r="C27132" t="n">
        <v>0</v>
      </c>
      <c r="D27132" t="inlineStr">
        <is>
          <t>Torquistik; Baguistik; Ceinture Gence; Bottistik</t>
        </is>
      </c>
    </row>
    <row r="27133">
      <c r="A27133" t="inlineStr">
        <is>
          <t>Ouginak F 200</t>
        </is>
      </c>
      <c r="B27133">
        <f>HYPERLINK("https://www.dofusbook.net/fr/equipement/3444804-ouginak-f-200/objets", "link")</f>
        <v/>
      </c>
      <c r="C27133" t="n">
        <v>7</v>
      </c>
      <c r="D27133" t="inlineStr">
        <is>
          <t>Pelle de la Cour Sombre; Amulette Martegel; Alliance Gloursonne; Anneau de XLII; Bouclier d'Ilyzaelle; Ceinture de XLII; Masquegel; Cape Martegel; Bottes de XLII; Dofus Pourpre; Dofus des Glaces; Dolmanax; Dofus Ivoire; Dofus Émeraude; Dofus Ocre; Muldo Doré et Orchidée</t>
        </is>
      </c>
    </row>
    <row r="27134">
      <c r="A27134" t="inlineStr">
        <is>
          <t>Iop F 200</t>
        </is>
      </c>
      <c r="B27134">
        <f>HYPERLINK("https://www.dofusbook.net/fr/equipement/3444704-iop-f-200/objets", "link")</f>
        <v/>
      </c>
      <c r="C27134" t="n">
        <v>1</v>
      </c>
      <c r="D27134" t="inlineStr">
        <is>
          <t>Epée Toche; Amulette du Strigide; Bague Gloursonne; Alliance de Missiz Frizz; Bouclier du Captain Amakna; Ceinture du Strigide; Casque de Missiz Frizz; Voile d'encre; Bottes du Strigide; Dolmanax; Dofus Turquoise; Dofus Vulbis; Dofus Ocre; Dofus Pourpre; Dofus Nébuleux; Volkorne Pourpre et Orchidée</t>
        </is>
      </c>
    </row>
    <row r="27135">
      <c r="A27135" t="inlineStr">
        <is>
          <t>Huppermage F 200</t>
        </is>
      </c>
      <c r="B27135">
        <f>HYPERLINK("https://www.dofusbook.net/fr/equipement/3437382-huppermage-f-200/objets", "link")</f>
        <v/>
      </c>
      <c r="C27135" t="n">
        <v>8</v>
      </c>
      <c r="D27135" t="inlineStr">
        <is>
          <t>Sabres d'Atcham; Amulette Volkorne; Anneau Volkorne; Alliance Gloursonne; Bouclier du Captain Amakna; Ceinture du Strigide; Casque Volkorne; Cape d'Atcham; Sandales  d'Atcham; Dofus Turquoise; Dofus Ocre; Dofus Nébuleux; Dofus des Glaces; Dolmanax; Dofus Pourpre; Muldo Doré et Emeraude</t>
        </is>
      </c>
    </row>
    <row r="27136">
      <c r="A27136" t="inlineStr">
        <is>
          <t>Eliotrope M 200</t>
        </is>
      </c>
      <c r="B27136">
        <f>HYPERLINK("https://www.dofusbook.net/fr/equipement/3443375-eliotrope-m-200/objets", "link")</f>
        <v/>
      </c>
      <c r="C27136" t="n">
        <v>0</v>
      </c>
      <c r="D27136" t="inlineStr">
        <is>
          <t>Baguette Hernelle; Pendentif mignon de Koutoulou; Ceinture Séculaire; Casque Cyclopéen; Cape de Diondin; Bottes de Meno</t>
        </is>
      </c>
    </row>
    <row r="27137">
      <c r="A27137" t="inlineStr">
        <is>
          <t>Huppermage F 200</t>
        </is>
      </c>
      <c r="B27137">
        <f>HYPERLINK("https://www.dofusbook.net/fr/equipement/3443366-huppermage-f-200/objets", "link")</f>
        <v/>
      </c>
      <c r="C27137" t="n">
        <v>0</v>
      </c>
      <c r="D27137" t="inlineStr">
        <is>
          <t>Sabres d'Atcham; Amulette Volkorne; Anneau de Padgref; Anneau Volkorne; Bouclier du Captain Amakna; Ceinture du Strigide; Casque Volkorne; Cape d'Atcham; Getas de Padgref; Dofus Pourpre; Dofus Nébuleux; Dofus Ocre; Dofus Ivoire; Dolmanax; Dofus des Glaces; Muldo Doré et Emeraude</t>
        </is>
      </c>
    </row>
    <row r="27138">
      <c r="A27138" t="inlineStr">
        <is>
          <t>Huppermage F 200</t>
        </is>
      </c>
      <c r="B27138">
        <f>HYPERLINK("https://www.dofusbook.net/fr/equipement/3443338-huppermage-f-200/objets", "link")</f>
        <v/>
      </c>
      <c r="C27138" t="n">
        <v>3</v>
      </c>
      <c r="D27138" t="inlineStr">
        <is>
          <t>Arc Volkorne; Amulette du Strigide; Anneau de Padgref; Alliance Gloursonne; Quatre-feuilles; Ceintacé; Casque du Chalœil; Voile d'encre; Bottes du Strigide; Dofus Pourpre; Dolmanax; Dofus des Glaces; Nomade; Remueur; Vigoureux majeur; Kramkram</t>
        </is>
      </c>
    </row>
    <row r="27139">
      <c r="A27139" t="inlineStr">
        <is>
          <t>Huppermage F 200</t>
        </is>
      </c>
      <c r="B27139">
        <f>HYPERLINK("https://www.dofusbook.net/fr/equipement/3439993-huppermage-f-200/objets", "link")</f>
        <v/>
      </c>
      <c r="C27139" t="n">
        <v>0</v>
      </c>
      <c r="D27139" t="inlineStr">
        <is>
          <t>Amulette Volkorne; Anneau Volkorne; Ceinture Volkorne; Casque Volkorne</t>
        </is>
      </c>
    </row>
    <row r="27140">
      <c r="A27140" t="inlineStr">
        <is>
          <t>Huppermage F 200</t>
        </is>
      </c>
      <c r="B27140">
        <f>HYPERLINK("https://www.dofusbook.net/fr/equipement/3437415-huppermage-f-200/objets", "link")</f>
        <v/>
      </c>
      <c r="C27140" t="n">
        <v>1</v>
      </c>
      <c r="D27140" t="inlineStr">
        <is>
          <t>Arc Volkorne; Amulette du Strigide; Alliance Gloursonne; Grésilanneau; Quatre-feuilles; Ceinture du Strigide; Masque Brûlâme; Voile d'encre; Bottes du Chalœil; Dofus Ocre; Dofus Pourpre; Dofus des Glaces; Vigoureux majeur; Nomade; Remueur; Volkorne Améthyste et Indigo</t>
        </is>
      </c>
    </row>
    <row r="27141">
      <c r="A27141" t="inlineStr">
        <is>
          <t>Sacrieur F 200</t>
        </is>
      </c>
      <c r="B27141">
        <f>HYPERLINK("https://www.dofusbook.net/fr/equipement/3437458-sacrieur-f-200/objets", "link")</f>
        <v/>
      </c>
      <c r="C27141" t="n">
        <v>1</v>
      </c>
      <c r="D27141" t="inlineStr">
        <is>
          <t>Rapière aux Glyphes; Amulette de Shokkoth; Bracelet des Fonds marins; Anneau Glacial; Bouclier du Captain Amakna; Ceinture Glaciale; Masque des Fonds marins; Cape Glaciale; Sandales des Fonds marins; Dofus Turquoise; Dofus Nébuleux; Dofus Ocre; Dofus Abyssal; Dofus Pourpre; Dofus des Glaces</t>
        </is>
      </c>
    </row>
    <row r="27142">
      <c r="A27142" t="inlineStr">
        <is>
          <t>Osamodas F 200</t>
        </is>
      </c>
      <c r="B27142">
        <f>HYPERLINK("https://www.dofusbook.net/fr/equipement/3324630-osamodas-f-200/objets", "link")</f>
        <v/>
      </c>
      <c r="C27142" t="n">
        <v>8</v>
      </c>
      <c r="D27142" t="inlineStr">
        <is>
          <t>Sceptre du Roi Joueur; Amulette de Shokkoth; Alliance du Lévitrof; Alliance Gloursonne; Bouclier du Stalak; Sangle Ouare; Kidibonnet; Cape du Sinistrofu; Bottes du Sinistrofu; Dofus des Glaces; Dofus Pourpre; Chanceux majeur; Remueur; Vigoureux majeur; Nomade; Dehluge</t>
        </is>
      </c>
    </row>
    <row r="27143">
      <c r="A27143" t="inlineStr">
        <is>
          <t>Xélor F 200</t>
        </is>
      </c>
      <c r="B27143">
        <f>HYPERLINK("https://www.dofusbook.net/fr/equipement/3371387-xelor-f-200/objets", "link")</f>
        <v/>
      </c>
      <c r="C27143" t="n">
        <v>0</v>
      </c>
      <c r="D27143" t="inlineStr">
        <is>
          <t>Épouvante; Amulette Luminescente; Anneau Toriété; Bracelet du Piloztère; Quatre-feuilles; Ceinture de la Reine des Voleurs; Coiffe de la Reine des Voleurs; Cape des Justiciers; Pataugastrique; Dofus Pourpre; Dofus Abyssal; Dofus des Glaces; Nomade; Vigoureux majeur; Remueur; Kramkram</t>
        </is>
      </c>
    </row>
    <row r="27144">
      <c r="A27144" t="inlineStr">
        <is>
          <t>Steamer F 200</t>
        </is>
      </c>
      <c r="B27144">
        <f>HYPERLINK("https://www.dofusbook.net/fr/equipement/3367455-steamer-f-200/objets", "link")</f>
        <v/>
      </c>
      <c r="C27144" t="n">
        <v>0</v>
      </c>
      <c r="D27144" t="inlineStr">
        <is>
          <t>Hache du Chalœil; Amulette du Strigide; Pikano; Bracelet du Piloztère; Quatre-feuilles; Ceintacé; Le Dorado; Cape de la Dame du Hasard; Bottes du Strigide; Dofus Turquoise; Dofus des Glaces; Dofus Pourpre; Nomade; Vigoureux majeur; Remueur; Muldo Doré et Emeraude</t>
        </is>
      </c>
    </row>
    <row r="27145">
      <c r="A27145" t="inlineStr">
        <is>
          <t>A FAIRE</t>
        </is>
      </c>
      <c r="B27145">
        <f>HYPERLINK("https://www.dofusbook.net/fr/equipement/3124297-a-faire/objets", "link")</f>
        <v/>
      </c>
      <c r="C27145" t="n">
        <v>0</v>
      </c>
      <c r="D27145" t="inlineStr">
        <is>
          <t>Arc de Koutoulou; Amulette du Strigide; Grésilanneau; Alliance Gloursonne; Quatre-feuilles; Ceintacé; Némès de Tal Kasha; Chevelure de Tal Kasha; Bottes Voldelor; Dofus Pourpre; Dofus des Glaces; Dofus Turquoise; Nomade; Vigoureux majeur; Remueur; Muldo Prune et Emeraude</t>
        </is>
      </c>
    </row>
    <row r="27146">
      <c r="A27146" t="inlineStr">
        <is>
          <t>Huppermage F 200</t>
        </is>
      </c>
      <c r="B27146">
        <f>HYPERLINK("https://www.dofusbook.net/fr/equipement/3268345-huppermage-f-200/objets", "link")</f>
        <v/>
      </c>
      <c r="C27146" t="n">
        <v>0</v>
      </c>
      <c r="D27146" t="inlineStr">
        <is>
          <t>Baguette Range; Amulette du Strigide; Anneau de Padgref; Alliance Brûlâme; Quatre-feuilles; Ceinture du Strigide; Coiffe de Padgref; Cape d'Atcham; Getas de Padgref; Dofus Pourpre; Dofus des Glaces; Dofus Nébuleux; Dofus Turquoise; Dolmanax; Dofus Ocre; Muldo Prune et Emeraude</t>
        </is>
      </c>
    </row>
    <row r="27147">
      <c r="A27147" t="inlineStr">
        <is>
          <t>Feu air</t>
        </is>
      </c>
      <c r="B27147">
        <f>HYPERLINK("https://www.dofusbook.net/fr/equipement/3246458-feu-air-/objets", "link")</f>
        <v/>
      </c>
      <c r="C27147" t="n">
        <v>0</v>
      </c>
      <c r="D27147" t="inlineStr">
        <is>
          <t>Dagues Érhy; Pendentif mignon de Koutoulou; Chevalière du Roi Joueur; Alliance Brûlâme; Bouclier du Stalak; Ceinture de l'Esprit Salvateur; Casque Cyclopéen; Cape de Diondin; Sabots de Vortex; Dofus Pourpre; Dofus des Glaces; Vigoureux majeur; Remueur; Nomade; Muldo Doré et Pourpre</t>
        </is>
      </c>
    </row>
    <row r="27148">
      <c r="A27148" t="inlineStr">
        <is>
          <t>Eau ret pa</t>
        </is>
      </c>
      <c r="B27148">
        <f>HYPERLINK("https://www.dofusbook.net/fr/equipement/3244689-eau-ret-pa/objets", "link")</f>
        <v/>
      </c>
      <c r="C27148" t="n">
        <v>0</v>
      </c>
      <c r="D27148" t="inlineStr">
        <is>
          <t>Hache du Korriandre; Amulette Voldelor; Alliance Gloursonne; Grésilanneau; Bouclier du Stalak; Ceinture de la Reine des Voleurs; Casque d'Ilyzaelle; Cape des Justiciers; Bottes de la Reine des Voleurs; Dofus des Glaces; Dofus Pourpre; Chanceux majeur; Remueur; Vigoureux majeur; Nomade; Dehluge</t>
        </is>
      </c>
    </row>
    <row r="27149">
      <c r="A27149" t="inlineStr">
        <is>
          <t>Sacrieur F 200</t>
        </is>
      </c>
      <c r="B27149">
        <f>HYPERLINK("https://www.dofusbook.net/fr/equipement/3324027-sacrieur-f-200/objets", "link")</f>
        <v/>
      </c>
      <c r="C27149" t="n">
        <v>1</v>
      </c>
      <c r="D27149" t="inlineStr">
        <is>
          <t>Sabres d'Atcham; Amulette du Strigide; Lavanneau; Bague Gloursonne; Bouclier Taverne; Ceintacé; Capuche de l'Œil Putride; Cape d'Atcham; Getas de Padgref; Dofus des Glaces; Dofus Turquoise; Dofus Pourpre; Remueur; Vigoureux majeur; Nomade; Muldo Doré et Emeraude</t>
        </is>
      </c>
    </row>
    <row r="27150">
      <c r="A27150" t="inlineStr">
        <is>
          <t>Sacrieur F 200</t>
        </is>
      </c>
      <c r="B27150">
        <f>HYPERLINK("https://www.dofusbook.net/fr/equipement/3323972-sacrieur-f-200/objets", "link")</f>
        <v/>
      </c>
      <c r="C27150" t="n">
        <v>0</v>
      </c>
      <c r="D27150" t="inlineStr">
        <is>
          <t>Sabres d'Atcham; Amulette du Strigide; Bague Gloursonne; Anneau de Padgref; Bouclier du Captain Amakna; Ceinture du Strigide; Coiffe de Padgref; Cape d'Atcham; Getas de Padgref; Dofus Turquoise; Dolmanax; Dofus Ocre; Dofus Pourpre; Dofus des Glaces; Joueur majeur; Muldo Doré et Emeraude</t>
        </is>
      </c>
    </row>
    <row r="27151">
      <c r="A27151" t="inlineStr">
        <is>
          <t>Feu</t>
        </is>
      </c>
      <c r="B27151">
        <f>HYPERLINK("https://www.dofusbook.net/fr/equipement/3124138-feu/objets", "link")</f>
        <v/>
      </c>
      <c r="C27151" t="n">
        <v>1</v>
      </c>
      <c r="D27151" t="inlineStr">
        <is>
          <t>Arc corrompu; Pendentif mignon de Koutoulou; Chevalière du Roi Joueur; Anneauræus; Quatre-feuilles; Ceinture Séculaire; Coiffe Séculaire; Cape de Diondin; Bottes Innommables; Dofus Pourpre; Remueur; Carapace Feu majeur; Nomade; Vigoureux majeur; Érudit majeur; Brûlih</t>
        </is>
      </c>
    </row>
    <row r="27152">
      <c r="A27152" t="inlineStr">
        <is>
          <t>Sacrieur F 200</t>
        </is>
      </c>
      <c r="B27152">
        <f>HYPERLINK("https://www.dofusbook.net/fr/equipement/3316053-sacrieur-f-200/objets", "link")</f>
        <v/>
      </c>
      <c r="C27152" t="n">
        <v>0</v>
      </c>
      <c r="D27152" t="inlineStr"/>
    </row>
    <row r="27153">
      <c r="A27153" t="inlineStr">
        <is>
          <t>Huppermage F 200</t>
        </is>
      </c>
      <c r="B27153">
        <f>HYPERLINK("https://www.dofusbook.net/fr/equipement/3268163-huppermage-f-200/objets", "link")</f>
        <v/>
      </c>
      <c r="C27153" t="n">
        <v>0</v>
      </c>
      <c r="D27153" t="inlineStr">
        <is>
          <t>Hache du Chalœil; Amulette du Strigide; Alliance du Lévitrof; Bracelet du Piloztère; Bouclier du Captain Amakna; Ceintacé; Le Dorado; Cape du Chalœil; Bottes du Strigide; Dofus Ocre; Dofus Pourpre; Dofus des Glaces; Dofus Turquoise; Vigoureux majeur; Nomade; Kramkram</t>
        </is>
      </c>
    </row>
    <row r="27154">
      <c r="A27154" t="inlineStr">
        <is>
          <t>Ouginak F 200</t>
        </is>
      </c>
      <c r="B27154">
        <f>HYPERLINK("https://www.dofusbook.net/fr/equipement/3250055-ouginak-f-200/objets", "link")</f>
        <v/>
      </c>
      <c r="C27154" t="n">
        <v>0</v>
      </c>
      <c r="D27154" t="inlineStr"/>
    </row>
    <row r="27155">
      <c r="A27155" t="inlineStr">
        <is>
          <t>Tank</t>
        </is>
      </c>
      <c r="B27155">
        <f>HYPERLINK("https://www.dofusbook.net/fr/equipement/3206625-tank/objets", "link")</f>
        <v/>
      </c>
      <c r="C27155" t="n">
        <v>1</v>
      </c>
      <c r="D27155" t="inlineStr">
        <is>
          <t>Rouleau à Pâtisserie d'Aermyne; Amulette du Strigide; Alliance Gloursonne; Bague Trithon; Bouclier d'Anerice; Ceinture de Kongoku; Kidibonnet; Cape d'Anerice; Pataugastrique; Dofus Émeraude; Obstructeur majeur; Bloqueur majeur; Remueur; Miraculé majeur; Nomade; Muldo Roux et Indigo</t>
        </is>
      </c>
    </row>
    <row r="27156">
      <c r="A27156" t="inlineStr">
        <is>
          <t>Air</t>
        </is>
      </c>
      <c r="B27156">
        <f>HYPERLINK("https://www.dofusbook.net/fr/equipement/3208596-air/objets", "link")</f>
        <v/>
      </c>
      <c r="C27156" t="n">
        <v>0</v>
      </c>
      <c r="D27156" t="inlineStr">
        <is>
          <t>Manthache; Collier du Valet Veinard; Alliance Gloursonne; Gant du Valet Veinard; Bouclier Taverne; Menoture; Couronne d'Allister; Cape Indescriptible; Palmes Trithons; Muldo Doré et Ebène</t>
        </is>
      </c>
    </row>
    <row r="27157">
      <c r="A27157" t="inlineStr">
        <is>
          <t>Sans crit</t>
        </is>
      </c>
      <c r="B27157">
        <f>HYPERLINK("https://www.dofusbook.net/fr/equipement/3205995-sans-crit/objets", "link")</f>
        <v/>
      </c>
      <c r="C27157" t="n">
        <v>0</v>
      </c>
      <c r="D27157" t="inlineStr">
        <is>
          <t>Rapière aux Glyphes; Amulette de l'Œil Attentif; Bracelet des Fonds marins; Alliance Gloursonne; Bouclier d'Ilyzaelle; Sangle Ouare; Kidibonnet; Cape de Mantaze; Sandales des Fonds marins; Dofus Turquoise; Dofus Pourpre; Miraculé majeur; Chanceux majeur; Remueur; Nomade; Kramkram</t>
        </is>
      </c>
    </row>
    <row r="27158">
      <c r="A27158" t="inlineStr">
        <is>
          <t>eau air</t>
        </is>
      </c>
      <c r="B27158">
        <f>HYPERLINK("https://www.dofusbook.net/fr/equipement/3126992-eau-air-/objets", "link")</f>
        <v/>
      </c>
      <c r="C27158" t="n">
        <v>0</v>
      </c>
      <c r="D27158" t="inlineStr">
        <is>
          <t>Arc de Koutoulou; Amulette d'Ilyzaelle; Alliance Gloursonne; Bouclier du Stalak; Ceinture de l'Esprit Salvateur; Coiffe de la Reine des Voleurs; Chevelure de Tal Kasha; Bottes de la Reine des Voleurs</t>
        </is>
      </c>
    </row>
    <row r="27159">
      <c r="A27159" t="inlineStr">
        <is>
          <t>Terre eau</t>
        </is>
      </c>
      <c r="B27159">
        <f>HYPERLINK("https://www.dofusbook.net/fr/equipement/3123160-terre-eau/objets", "link")</f>
        <v/>
      </c>
      <c r="C27159" t="n">
        <v>0</v>
      </c>
      <c r="D27159" t="inlineStr">
        <is>
          <t>Dagues de Srambad; Amulette de l'Indicible; Anneau Toriété; Alliance Gloursonne; Bouclier Taverne; Ceinture de la Reine des Voleurs; Coiffe de la Reine des Voleurs; Cape du Chalœil; Baleinabottes; Dofus Pourpre; Dofus des Glaces; Remueur; Nomade; Robuste majeur; Vigoureux majeur; Kramkram</t>
        </is>
      </c>
    </row>
    <row r="27160">
      <c r="A27160" t="inlineStr">
        <is>
          <t>Air classico</t>
        </is>
      </c>
      <c r="B27160">
        <f>HYPERLINK("https://www.dofusbook.net/fr/equipement/3123129-air-classico/objets", "link")</f>
        <v/>
      </c>
      <c r="C27160" t="n">
        <v>0</v>
      </c>
      <c r="D27160" t="inlineStr">
        <is>
          <t>Manthache; Collier du Valet Veinard; Gant du Valet Veinard; Alliance Gloursonne; Menoture; Couronne d'Allister; Cape Indescriptible; Palmes Trithons; Siroko</t>
        </is>
      </c>
    </row>
    <row r="27161">
      <c r="A27161" t="inlineStr">
        <is>
          <t>Terre Ret</t>
        </is>
      </c>
      <c r="B27161">
        <f>HYPERLINK("https://www.dofusbook.net/fr/equipement/3123111-terre-ret/objets", "link")</f>
        <v/>
      </c>
      <c r="C27161" t="n">
        <v>0</v>
      </c>
      <c r="D27161" t="inlineStr"/>
    </row>
    <row r="27162">
      <c r="A27162" t="inlineStr">
        <is>
          <t>Terre air</t>
        </is>
      </c>
      <c r="B27162">
        <f>HYPERLINK("https://www.dofusbook.net/fr/equipement/3069410-terre-air/objets", "link")</f>
        <v/>
      </c>
      <c r="C27162" t="n">
        <v>0</v>
      </c>
      <c r="D27162" t="inlineStr">
        <is>
          <t>Héqache; Amulette du Strigide; Anneau des égarés; Anneau Toriété; Bouclier Taverne; Ceinture du Strigide; Coiffe de la Reine des Voleurs; Cape du Kamasterisk; Baleinabottes; Dofus Pourpre; Dofus des Veilleurs; Dofus des Glaces; Nomade; Vigoureux majeur; Remueur; Kramkram</t>
        </is>
      </c>
    </row>
    <row r="27163">
      <c r="A27163" t="inlineStr">
        <is>
          <t>A FAIRE</t>
        </is>
      </c>
      <c r="B27163">
        <f>HYPERLINK("https://www.dofusbook.net/fr/equipement/1820796-a-faire/objets", "link")</f>
        <v/>
      </c>
      <c r="C27163" t="n">
        <v>0</v>
      </c>
      <c r="D27163" t="inlineStr">
        <is>
          <t>Marteau de Katrepat; Amulette du Strigide; Chevalière du Roi Joueur; Bague Gloursonne; Bouclier Taverne; Ceinture du Strigide; Chapeau de Gein; Voile d'encre; Baleinabottes; Dofus Pourpre; Dofus Turquoise; Dofus des Glaces; Remueur; Nomade; Vigoureux majeur; Muldo Doré et Pourpre</t>
        </is>
      </c>
    </row>
    <row r="27164">
      <c r="A27164" t="inlineStr">
        <is>
          <t>Full feu</t>
        </is>
      </c>
      <c r="B27164">
        <f>HYPERLINK("https://www.dofusbook.net/fr/equipement/3059830-full-feu-/objets", "link")</f>
        <v/>
      </c>
      <c r="C27164" t="n">
        <v>0</v>
      </c>
      <c r="D27164" t="inlineStr"/>
    </row>
    <row r="27165">
      <c r="A27165" t="inlineStr">
        <is>
          <t>Terre air</t>
        </is>
      </c>
      <c r="B27165">
        <f>HYPERLINK("https://www.dofusbook.net/fr/equipement/3056033-terre-air/objets", "link")</f>
        <v/>
      </c>
      <c r="C27165" t="n">
        <v>0</v>
      </c>
      <c r="D27165" t="inlineStr">
        <is>
          <t>Lav'Hache; Collier de Tourthon; Anneau des égarés; Anneau Crustique; Bouclier d'Ilyzaelle; Ceinture de la Reine des Voleurs; Coiffe de la Reine des Voleurs; Cape du Kamasterisk; Baleinabottes; Dofus Pourpre; Dofus Émeraude; Nomade; Vigoureux majeur; Miraculé majeur; Remueur; Kramkram</t>
        </is>
      </c>
    </row>
    <row r="27166">
      <c r="A27166" t="inlineStr">
        <is>
          <t>A faire</t>
        </is>
      </c>
      <c r="B27166">
        <f>HYPERLINK("https://www.dofusbook.net/fr/equipement/2725104-a-faire/objets", "link")</f>
        <v/>
      </c>
      <c r="C27166" t="n">
        <v>0</v>
      </c>
      <c r="D27166" t="inlineStr">
        <is>
          <t>Arc Hétype; Pendentif mignon de Koutoulou; Anneauræus; Lavanneau; Carapar; Ceinture de Vortex; Casque Cyclopéen; Cape de Diondin; Bottes Innommables; Dofus Émeraude; Dofus Pourpre; Remueur; Érudit majeur; Nomade; Miraculé majeur; Muldo Doré et Orchidée</t>
        </is>
      </c>
    </row>
    <row r="27167">
      <c r="A27167" t="inlineStr">
        <is>
          <t>terre 199</t>
        </is>
      </c>
      <c r="B27167">
        <f>HYPERLINK("https://www.dofusbook.net/fr/equipement/3028850-terre-199/objets", "link")</f>
        <v/>
      </c>
      <c r="C27167" t="n">
        <v>0</v>
      </c>
      <c r="D27167" t="inlineStr">
        <is>
          <t>Bêche Asse; Kralamansion; Anneau du Professeur Xa; Alliance de Missiz Frizz; Bouclier du Stalak; Ceinture de Brouce; Casque de Missiz Frizz; Voile d'encre; Sabots Minables</t>
        </is>
      </c>
    </row>
    <row r="27168">
      <c r="A27168" t="inlineStr">
        <is>
          <t>Air 0 exos</t>
        </is>
      </c>
      <c r="B27168">
        <f>HYPERLINK("https://www.dofusbook.net/fr/equipement/3025439-air-0-exos/objets", "link")</f>
        <v/>
      </c>
      <c r="C27168" t="n">
        <v>0</v>
      </c>
      <c r="D27168" t="inlineStr"/>
    </row>
    <row r="27169">
      <c r="A27169" t="inlineStr">
        <is>
          <t>Eva</t>
        </is>
      </c>
      <c r="B27169">
        <f>HYPERLINK("https://www.dofusbook.net/fr/equipement/3015745-eva/objets", "link")</f>
        <v/>
      </c>
      <c r="C27169" t="n">
        <v>1</v>
      </c>
      <c r="D27169" t="inlineStr">
        <is>
          <t>Massier; Pendentif mignon de Koutoulou; Anneauræus; Baguistik; Bouclier du Cycloïde; Ceinture de Vortex; Casque Cyclopéen; Cape de Diondin; Bottes Innommables; Dofus Pourpre; Remueur; Guérisseur majeur; Nomade; Érudit majeur; Vigoureux majeur; Muldo Doré</t>
        </is>
      </c>
    </row>
    <row r="27170">
      <c r="A27170" t="inlineStr">
        <is>
          <t>Air</t>
        </is>
      </c>
      <c r="B27170">
        <f>HYPERLINK("https://www.dofusbook.net/fr/equipement/3012557-air/objets", "link")</f>
        <v/>
      </c>
      <c r="C27170" t="n">
        <v>2</v>
      </c>
      <c r="D27170" t="inlineStr">
        <is>
          <t>Manthache; Collier du Valet Veinard; Alliance Gloursonne; Gant du Valet Veinard; Bouclier du Stalak; Menoture; Couronne d'Allister; Cape Indescriptible; Palmes Trithons; Dofus Pourpre; Dofus des Glaces; Nomade; Cascadeur majeur; Remueur; Vigoureux majeur; Siroko</t>
        </is>
      </c>
    </row>
    <row r="27171">
      <c r="A27171" t="inlineStr">
        <is>
          <t>Feu DWS</t>
        </is>
      </c>
      <c r="B27171">
        <f>HYPERLINK("https://www.dofusbook.net/fr/equipement/2981793-feu-dws/objets", "link")</f>
        <v/>
      </c>
      <c r="C27171" t="n">
        <v>0</v>
      </c>
      <c r="D27171" t="inlineStr">
        <is>
          <t>Massier; Collier de la Dame du Hasard; Anneau de Nidas; Baguistik; Bouclier cubiste; Ceinture de Vortex; Coiffe Séculaire; Cape de Diondin; Bottes de la Dame du Hasard; Dofus Ivoire; Dofus Pourpre; Dofus des Glaces; Temporiseur majeur; Remueur; Érudit majeur; Muldo Doré et Pourpre</t>
        </is>
      </c>
    </row>
    <row r="27172">
      <c r="A27172" t="inlineStr">
        <is>
          <t>terre eau</t>
        </is>
      </c>
      <c r="B27172">
        <f>HYPERLINK("https://www.dofusbook.net/fr/equipement/2975831-terre-eau/objets", "link")</f>
        <v/>
      </c>
      <c r="C27172" t="n">
        <v>0</v>
      </c>
      <c r="D27172" t="inlineStr">
        <is>
          <t>Épouvante; Amulette du Strigide; Alliance Gloursonne; Pikano; Bouclier cubiste; Ceintacé; Le Dorado; Cape du Chalœil; Bottes du Strigide; Dofus Pourpre; Dofus Turquoise</t>
        </is>
      </c>
    </row>
    <row r="27173">
      <c r="A27173" t="inlineStr">
        <is>
          <t>full feu</t>
        </is>
      </c>
      <c r="B27173">
        <f>HYPERLINK("https://www.dofusbook.net/fr/equipement/2973628-full-feu/objets", "link")</f>
        <v/>
      </c>
      <c r="C27173" t="n">
        <v>0</v>
      </c>
      <c r="D27173" t="inlineStr">
        <is>
          <t>Arc corrompu; Talisman Igans; Bague Gloursonne; Anneau de Nidas; Bouclier du Stalak; Ceinture de l'Esprit Salvateur; Casqnoar; Cape de Diondin; Bottes Owesli; Dofus Pourpre; Dofus des Glaces; Nomade; Dévastateur Feu majeur; Remueur; Érudit majeur; Muldo Orchidée</t>
        </is>
      </c>
    </row>
    <row r="27174">
      <c r="A27174" t="inlineStr">
        <is>
          <t>Feu eau test</t>
        </is>
      </c>
      <c r="B27174">
        <f>HYPERLINK("https://www.dofusbook.net/fr/equipement/2973594-feu-eau-test/objets", "link")</f>
        <v/>
      </c>
      <c r="C27174" t="n">
        <v>1</v>
      </c>
      <c r="D27174" t="inlineStr">
        <is>
          <t>Pyraguette; Talisman Igans; Alliance Gloursonne; Lavanneau; Bouclier du Stalak; Ceinture de l'Esprit Salvateur; Casqnoar; Cape Solution; Bottes Owesli; Dofus Pourpre; Dofus des Glaces; Remueur; Sanguinaire majeur; Nomade; Vigoureux majeur; Kramkram</t>
        </is>
      </c>
    </row>
    <row r="27175">
      <c r="A27175" t="inlineStr">
        <is>
          <t>Crit test</t>
        </is>
      </c>
      <c r="B27175">
        <f>HYPERLINK("https://www.dofusbook.net/fr/equipement/2971927-crit-test/objets", "link")</f>
        <v/>
      </c>
      <c r="C27175" t="n">
        <v>0</v>
      </c>
      <c r="D27175" t="inlineStr">
        <is>
          <t>Épée Brûlâme; Collier de la Dame du Hasard; Alliance Gloursonne; Lavanneau; Quatre-feuilles; Ceinture du Strigide; Le Dorado; Cape de l'Œil Putride; Bottes de la Dame du Hasard; Dofus des Glaces; Dofus Pourpre; Dofus Turquoise; Vigoureux majeur; Remueur; Nomade; Muldo Doré et Emeraude</t>
        </is>
      </c>
    </row>
    <row r="27176">
      <c r="A27176" t="inlineStr">
        <is>
          <t>feu eau thanos</t>
        </is>
      </c>
      <c r="B27176">
        <f>HYPERLINK("https://www.dofusbook.net/fr/equipement/2971988-feu-eau-thanos/objets", "link")</f>
        <v/>
      </c>
      <c r="C27176" t="n">
        <v>0</v>
      </c>
      <c r="D27176" t="inlineStr">
        <is>
          <t>Cape de Meno; Bottes de Meno</t>
        </is>
      </c>
    </row>
    <row r="27177">
      <c r="A27177" t="inlineStr">
        <is>
          <t>Eau thanos</t>
        </is>
      </c>
      <c r="B27177">
        <f>HYPERLINK("https://www.dofusbook.net/fr/equipement/2965607-eau-thanos/objets", "link")</f>
        <v/>
      </c>
      <c r="C27177" t="n">
        <v>0</v>
      </c>
      <c r="D27177" t="inlineStr">
        <is>
          <t>Le Thanos; Amulette de Shokkoth; Alliance Gloursonne; Pikano; Poulpagne; Capuche de l'Œil Attentif; Cape du Sinistrofu; Bottes du Sinistrofu; Muldo Indigo</t>
        </is>
      </c>
    </row>
    <row r="27178">
      <c r="A27178" t="inlineStr">
        <is>
          <t>A faire</t>
        </is>
      </c>
      <c r="B27178">
        <f>HYPERLINK("https://www.dofusbook.net/fr/equipement/2964913-a-faire/objets", "link")</f>
        <v/>
      </c>
      <c r="C27178" t="n">
        <v>0</v>
      </c>
      <c r="D27178" t="inlineStr">
        <is>
          <t>Lav'Hache; Amulette du Cycloïde; Chevalière du Roi Joueur; Bague Gloursonne; Bouclier du Stalak; Ceinture de la Reine des Voleurs; Coiffe de la Reine des Voleurs; Cape du Kamasterisk; Baleinabottes; Dofus Pourpre; Dofus des Glaces; Remueur; Vigoureux majeur; Nomade; Enragé majeur; Kompost</t>
        </is>
      </c>
    </row>
    <row r="27179">
      <c r="A27179" t="inlineStr">
        <is>
          <t>A faire</t>
        </is>
      </c>
      <c r="B27179">
        <f>HYPERLINK("https://www.dofusbook.net/fr/equipement/2351793-a-faire/objets", "link")</f>
        <v/>
      </c>
      <c r="C27179" t="n">
        <v>1</v>
      </c>
      <c r="D27179" t="inlineStr">
        <is>
          <t>Baguette Hique; Collier de la Dame du Hasard; Bracelet des Fonds marins; Alliance Gloursonne; Bouclier cubiste; Ceinture Glaciale; Kidibonnet; Cape de la Dame du Hasard; Bottes de Meno; Dofus Pourpre; Ralentisseur majeur; Temporiseur majeur; Nomade; Remueur; Entraveur majeur; Muldo Doré et Amande</t>
        </is>
      </c>
    </row>
    <row r="27180">
      <c r="A27180" t="inlineStr">
        <is>
          <t>A FAIRE</t>
        </is>
      </c>
      <c r="B27180">
        <f>HYPERLINK("https://www.dofusbook.net/fr/equipement/2353782-a-faire/objets", "link")</f>
        <v/>
      </c>
      <c r="C27180" t="n">
        <v>1</v>
      </c>
      <c r="D27180" t="inlineStr">
        <is>
          <t>Dagoulinantes; Amulette du Sinistrofu; Grésilanneau; Alliance Gloursonne; Bouclier précieux; Ceintrigue; Chapeau des Malveilleurs; Cape Solution; Bottes Owesli; Dofus Pourpre; Dofus Turquoise; Nomade; Remueur; Bousculeur majeur; Culbuteur majeur; Muldo Ebène et Indigo</t>
        </is>
      </c>
    </row>
    <row r="27181">
      <c r="A27181" t="inlineStr">
        <is>
          <t>full vita</t>
        </is>
      </c>
      <c r="B27181">
        <f>HYPERLINK("https://www.dofusbook.net/fr/equipement/2931794-full-vita/objets", "link")</f>
        <v/>
      </c>
      <c r="C27181" t="n">
        <v>1</v>
      </c>
      <c r="D27181" t="inlineStr">
        <is>
          <t>Rouleau à Pâtisserie d'Aermyne; Amulette Luminescente; Alliance Gloursonne; Anneau Tique; Bouclier précieux; Poulpagne; Masque d'Anerice; Cape d'Anerice; Bottes Trithon; Dofus Ivoire; Dofus Émeraude; Culbuteur majeur; Nomade; Miraculé majeur; Remueur; Eliôme</t>
        </is>
      </c>
    </row>
    <row r="27182">
      <c r="A27182" t="inlineStr">
        <is>
          <t>Multi</t>
        </is>
      </c>
      <c r="B27182">
        <f>HYPERLINK("https://www.dofusbook.net/fr/equipement/2357529-multi/objets", "link")</f>
        <v/>
      </c>
      <c r="C27182" t="n">
        <v>0</v>
      </c>
      <c r="D27182" t="inlineStr">
        <is>
          <t>Marteau des égarés; Amulette du Strigide; Alliance Gloursonne; Grésilanneau; Bouclier Taverne; Ceintacé; Casque du Chalœil; Voile d'encre; Bottes du Strigide; Dolmanax; Dofus des Glaces; Dofus Pourpre; Nomade; Vigoureux majeur; Remueur; Muldo Doré et Emeraude</t>
        </is>
      </c>
    </row>
    <row r="27183">
      <c r="A27183" t="inlineStr">
        <is>
          <t>feu eau</t>
        </is>
      </c>
      <c r="B27183">
        <f>HYPERLINK("https://www.dofusbook.net/fr/equipement/2928684-feu-eau/objets", "link")</f>
        <v/>
      </c>
      <c r="C27183" t="n">
        <v>0</v>
      </c>
      <c r="D27183" t="inlineStr">
        <is>
          <t>Épée Brûlâme; Collier de la Dame du Hasard; Grésilanneau; Alliance Gloursonne; Ceinture du Strigide; Casquette de Meno; Cape de la Dame du Hasard; Pataugastrique</t>
        </is>
      </c>
    </row>
    <row r="27184">
      <c r="A27184" t="inlineStr">
        <is>
          <t>Terre eau</t>
        </is>
      </c>
      <c r="B27184">
        <f>HYPERLINK("https://www.dofusbook.net/fr/equipement/2924810-terre-eau/objets", "link")</f>
        <v/>
      </c>
      <c r="C27184" t="n">
        <v>0</v>
      </c>
      <c r="D27184" t="inlineStr">
        <is>
          <t>Hache du Chalœil; Amulette du Strigide; Pikano; Alliance Gloursonne; Quatre-feuilles; Culotte de Bethel; Le Dorado; Voile d'encre; Bottes du Strigide; Dofus Pourpre; Dofus Turquoise; Nomade; Sanguinaire majeur; Vigoureux majeur; Remueur; Muldo Indigo et Pourpre</t>
        </is>
      </c>
    </row>
    <row r="27185">
      <c r="A27185" t="inlineStr">
        <is>
          <t>Gneeeeeeeeu taper</t>
        </is>
      </c>
      <c r="B27185">
        <f>HYPERLINK("https://www.dofusbook.net/fr/equipement/2923879-gneeeeeeeeu-taper/objets", "link")</f>
        <v/>
      </c>
      <c r="C27185" t="n">
        <v>2</v>
      </c>
      <c r="D27185" t="inlineStr">
        <is>
          <t>Pelle de Katrepat; Talisman Igans; Lavanneau; Lavanneau; Bouclier du Stalak; Sangle Aise; Casqnoar; Cape de la Dame du Hasard; Bottes Owesli; Dofus Pourpre; Dofus des Glaces; Nomade; Vigoureux majeur; Remueur; Sanguinaire majeur; Kramkram</t>
        </is>
      </c>
    </row>
    <row r="27186">
      <c r="A27186" t="inlineStr">
        <is>
          <t>full feu</t>
        </is>
      </c>
      <c r="B27186">
        <f>HYPERLINK("https://www.dofusbook.net/fr/equipement/2919566-full-feu/objets", "link")</f>
        <v/>
      </c>
      <c r="C27186" t="n">
        <v>0</v>
      </c>
      <c r="D27186" t="inlineStr">
        <is>
          <t>Plumeau Bil; Pendentif mignon de Koutoulou; Chevalière du Roi Joueur; Anneauræus; Bouclier Taverne; Ceinture de Vortex; Casque Cyclopéen; Cape de Diondin; Bottes Innommables; Dofus Pourpre; Dofus Turquoise; Nomade; Érudit majeur; Vigoureux majeur; Remueur; Brûlih</t>
        </is>
      </c>
    </row>
    <row r="27187">
      <c r="A27187" t="inlineStr">
        <is>
          <t>Terre feu air</t>
        </is>
      </c>
      <c r="B27187">
        <f>HYPERLINK("https://www.dofusbook.net/fr/equipement/2917399-terre-feu-air/objets", "link")</f>
        <v/>
      </c>
      <c r="C27187" t="n">
        <v>2</v>
      </c>
      <c r="D27187" t="inlineStr">
        <is>
          <t>Dagues Érhy; Amulette du Strigide; Chevalière du Roi Joueur; Bracelet du Piloztère; Quatre-feuilles; Ceintacé; Masque Brûlâme; Cape du Chalœil; Bottes du Strigide; Dofus Turquoise; Dofus des Glaces; Dofus Pourpre; Nomade; Vigoureux majeur; Remueur; Muldo Doré et Emeraude</t>
        </is>
      </c>
    </row>
    <row r="27188">
      <c r="A27188" t="inlineStr">
        <is>
          <t>eau do pou</t>
        </is>
      </c>
      <c r="B27188">
        <f>HYPERLINK("https://www.dofusbook.net/fr/equipement/2913109-eau-do-pou-/objets", "link")</f>
        <v/>
      </c>
      <c r="C27188" t="n">
        <v>0</v>
      </c>
      <c r="D27188" t="inlineStr">
        <is>
          <t>Masse Ossiale; Amulette du Sinistrofu; Alliance Gloursonne; Bague Trithon; Bouclier précieux; Ceinture Luminescente; Kidibonnet; Cape Luminescente; Bottes Owesli; Dofus Pourpre; Bousculeur majeur; Miraculé majeur; Nomade; Remueur; Culbuteur majeur; Muldo Ebène et Indigo</t>
        </is>
      </c>
    </row>
    <row r="27189">
      <c r="A27189" t="inlineStr">
        <is>
          <t>feu air tank</t>
        </is>
      </c>
      <c r="B27189">
        <f>HYPERLINK("https://www.dofusbook.net/fr/equipement/2913085-feu-air-tank-/objets", "link")</f>
        <v/>
      </c>
      <c r="C27189" t="n">
        <v>0</v>
      </c>
      <c r="D27189" t="inlineStr">
        <is>
          <t>Epée Maudite du Saigneur Guerrier; Amulette du Strigide; Grésilanneau; Bracelet du Piloztère; Bouclier d'Anerice; Ceinture du Strigide; Masque d'Anerice; Cape d'Anerice; Bottes du Strigide</t>
        </is>
      </c>
    </row>
    <row r="27190">
      <c r="A27190" t="inlineStr">
        <is>
          <t>Feu air</t>
        </is>
      </c>
      <c r="B27190">
        <f>HYPERLINK("https://www.dofusbook.net/fr/equipement/2912981-feu-air-/objets", "link")</f>
        <v/>
      </c>
      <c r="C27190" t="n">
        <v>0</v>
      </c>
      <c r="D27190" t="inlineStr">
        <is>
          <t>Marteau Phossile; Pendentif mignon de Koutoulou; Alliance Brûlâme; Bracelet du Piloztère; Ceinture de Vortex; Capuche de l'Œil Putride; Cape de l'Œil Putride; Pantoufles Émar; Dofus Pourpre; Dofus Turquoise; Nomade; Miraculé majeur; Remueur; Vigoureux majeur; Kramkram</t>
        </is>
      </c>
    </row>
    <row r="27191">
      <c r="A27191" t="inlineStr">
        <is>
          <t>feu</t>
        </is>
      </c>
      <c r="B27191">
        <f>HYPERLINK("https://www.dofusbook.net/fr/equipement/2908383-feu/objets", "link")</f>
        <v/>
      </c>
      <c r="C27191" t="n">
        <v>0</v>
      </c>
      <c r="D27191" t="inlineStr">
        <is>
          <t>Harpelle; Amulette de l'Œil Putride; Chevalière du Roi Joueur; Bague Gloursonne; Bouclier d'Ilyzaelle; Ceinture de Vortex; Capuche de l'Œil Putride; Cape de Diondin; Bottes Innommables; Dofus Émeraude; Dofus Pourpre; Nomade; Miraculé majeur; Remueur; Érudit majeur; Muldo Doré et Pourpre</t>
        </is>
      </c>
    </row>
    <row r="27192">
      <c r="A27192" t="inlineStr">
        <is>
          <t>feu air</t>
        </is>
      </c>
      <c r="B27192">
        <f>HYPERLINK("https://www.dofusbook.net/fr/equipement/2900939-feu-air/objets", "link")</f>
        <v/>
      </c>
      <c r="C27192" t="n">
        <v>0</v>
      </c>
      <c r="D27192" t="inlineStr">
        <is>
          <t>Plumeau Bil; Pendentif mignon de Koutoulou; Chevalière du Roi Joueur; Anneau de Nidas; Quatre-feuilles; Ceinture de Vortex; Casque Cyclopéen; Cape de Diondin; Bottes Innommables; Dofus des Glaces; Dofus Pourpre; Dofus Turquoise; Érudit majeur; Remueur; Nomade; Brûlih</t>
        </is>
      </c>
    </row>
    <row r="27193">
      <c r="A27193" t="inlineStr">
        <is>
          <t>Terre feu eau</t>
        </is>
      </c>
      <c r="B27193">
        <f>HYPERLINK("https://www.dofusbook.net/fr/equipement/2900835-terre-feu-eau/objets", "link")</f>
        <v/>
      </c>
      <c r="C27193" t="n">
        <v>0</v>
      </c>
      <c r="D27193" t="inlineStr">
        <is>
          <t>Hache du Chalœil; Amulette du Strigide; Bracelet du Piloztère; Goulano; Quatre-feuilles; Ceintacé; Chapeau Lisson; Voile d'encre; Bottes du Strigide; Dofus Turquoise; Dofus des Glaces; Dofus Pourpre; Nomade; Vigoureux majeur; Remueur; Muldo Doré et Emeraude</t>
        </is>
      </c>
    </row>
    <row r="27194">
      <c r="A27194" t="inlineStr">
        <is>
          <t>TERRE</t>
        </is>
      </c>
      <c r="B27194">
        <f>HYPERLINK("https://www.dofusbook.net/fr/equipement/2899283-terre/objets", "link")</f>
        <v/>
      </c>
      <c r="C27194" t="n">
        <v>1</v>
      </c>
      <c r="D27194" t="inlineStr">
        <is>
          <t>Dagues d'Ilyzaelle; Amulette du Strigide; Bague Gloursonne; Alliance Brûlâme; Quatre-feuilles; Ceinture Gence; Chapeau de Gein; Cape du Cœur Saignant; Bottes du Strigide; Dofus Pourpre; Dofus Turquoise; Vigoureux majeur; Remueur; Nomade; Enragé majeur; Kompost</t>
        </is>
      </c>
    </row>
    <row r="27195">
      <c r="A27195" t="inlineStr">
        <is>
          <t>A FAIRE</t>
        </is>
      </c>
      <c r="B27195">
        <f>HYPERLINK("https://www.dofusbook.net/fr/equipement/2465263-a-faire-/objets", "link")</f>
        <v/>
      </c>
      <c r="C27195" t="n">
        <v>3</v>
      </c>
      <c r="D27195" t="inlineStr">
        <is>
          <t>Hache du Chalœil; Amulette du Strigide; Goulano; Alliance du Lévitrof; Quatre-feuilles; Ceinture du Strigide; Le Dorado; Voile d'encre; Bottes du Cycloïde; Dofus Turquoise; Dofus des Glaces; Dofus Pourpre; Nomade; Vigoureux majeur; Remueur; Muldo Doré et Emeraude</t>
        </is>
      </c>
    </row>
    <row r="27196">
      <c r="A27196" t="inlineStr">
        <is>
          <t>crit</t>
        </is>
      </c>
      <c r="B27196">
        <f>HYPERLINK("https://www.dofusbook.net/fr/equipement/2897691-crit/objets", "link")</f>
        <v/>
      </c>
      <c r="C27196" t="n">
        <v>0</v>
      </c>
      <c r="D27196" t="inlineStr">
        <is>
          <t>Sabres d'Atcham; Amulette du Strigide; Alliance Gloursonne; Anneau de Padgref; Bouclier du Stalak; Ceinture du Strigide; Coiffe de Padgref; Cape d'Atcham; Sandales  d'Atcham; Dofus Turquoise; Dofus Nébuleux; Dofus Ocre; Dofus Ivoire; Dofus Pourpre; Dofus des Glaces; Muldo Doré et Emeraude</t>
        </is>
      </c>
    </row>
    <row r="27197">
      <c r="A27197" t="inlineStr">
        <is>
          <t>crit</t>
        </is>
      </c>
      <c r="B27197">
        <f>HYPERLINK("https://www.dofusbook.net/fr/equipement/2897692-crit/objets", "link")</f>
        <v/>
      </c>
      <c r="C27197" t="n">
        <v>0</v>
      </c>
      <c r="D27197" t="inlineStr"/>
    </row>
    <row r="27198">
      <c r="A27198" t="inlineStr">
        <is>
          <t>Air</t>
        </is>
      </c>
      <c r="B27198">
        <f>HYPERLINK("https://www.dofusbook.net/fr/equipement/2872023-air/objets", "link")</f>
        <v/>
      </c>
      <c r="C27198" t="n">
        <v>1</v>
      </c>
      <c r="D27198" t="inlineStr">
        <is>
          <t>Manthache; Collier du Valet Veinard; Gant du Valet Veinard; Alliance Gloursonne; Bouclier du Stalak; Menoture; Couronne d'Allister; Cape du Kamasterisk; Palmes Trithons; Dofus Pourpre; Cascadeur majeur; Temporiseur majeur; Remueur; Vigoureux majeur; Nomade; Siroko</t>
        </is>
      </c>
    </row>
    <row r="27199">
      <c r="A27199" t="inlineStr">
        <is>
          <t>A FAIRE</t>
        </is>
      </c>
      <c r="B27199">
        <f>HYPERLINK("https://www.dofusbook.net/fr/equipement/1820647-a-faire/objets", "link")</f>
        <v/>
      </c>
      <c r="C27199" t="n">
        <v>0</v>
      </c>
      <c r="D27199" t="inlineStr">
        <is>
          <t>Pyraguette; Collier de la Dame du Hasard; Bracelet du Piloztère; Alliance du Lévitrof; Bouclier du Stalak; Ceinture de l'Esprit Salvateur; Casqnoar; Cape de la Dame du Hasard; Pataugastrique; Dofus des Glaces; Dofus Pourpre; Vigoureux majeur; Remueur; Sanguinaire majeur; Nomade; Muldo Doré et Pourpre</t>
        </is>
      </c>
    </row>
    <row r="27200">
      <c r="A27200" t="inlineStr">
        <is>
          <t>terre</t>
        </is>
      </c>
      <c r="B27200">
        <f>HYPERLINK("https://www.dofusbook.net/fr/equipement/2829636-terre/objets", "link")</f>
        <v/>
      </c>
      <c r="C27200" t="n">
        <v>0</v>
      </c>
      <c r="D27200" t="inlineStr">
        <is>
          <t>Arc du Chalœil; Collier de Tourthon; Bracelet du Piloztère; Anneau de Brouce; Bouclier du Stalak; Ceinture de la Reine des Voleurs; Coiffe de la Reine des Voleurs; Cape au Logis; Baleinabottes; Dofus Pourpre; Dofus des Glaces; Nomade; Enragé majeur; Remueur; Dévastateur Terre majeur; Kompost</t>
        </is>
      </c>
    </row>
    <row r="27201">
      <c r="A27201" t="inlineStr">
        <is>
          <t>A faire</t>
        </is>
      </c>
      <c r="B27201">
        <f>HYPERLINK("https://www.dofusbook.net/fr/equipement/2231924-a-faire-/objets", "link")</f>
        <v/>
      </c>
      <c r="C27201" t="n">
        <v>0</v>
      </c>
      <c r="D27201" t="inlineStr">
        <is>
          <t>Épée Brûlâme; Collier de la Dame du Hasard; Chevalière du Roi Joueur; Alliance Gloursonne; Bouclier du Stalak; Ceinture du Strigide; Casquette de Meno; Cape de la Dame du Hasard; Pataugastrique; Dofus Pourpre; Dofus des Glaces; Vigoureux majeur; Remueur; Nomade; Muldo Doré et Emeraude</t>
        </is>
      </c>
    </row>
    <row r="27202">
      <c r="A27202" t="inlineStr">
        <is>
          <t>feu</t>
        </is>
      </c>
      <c r="B27202">
        <f>HYPERLINK("https://www.dofusbook.net/fr/equipement/2605661-feu/objets", "link")</f>
        <v/>
      </c>
      <c r="C27202" t="n">
        <v>2</v>
      </c>
      <c r="D27202" t="inlineStr">
        <is>
          <t>Epée Toche; Amulette du Strigide; Anneau de Padgref; Bague Gloursonne; Bouclier du Stalak; Ceinture de Gein; Masque Brûlâme; Cape de Diondin; Bottes du Strigide; Dofus des Glaces; Dofus Pourpre; Nomade; Miraculé majeur; Vigoureux majeur; Remueur; Muldo Doré et Emeraude</t>
        </is>
      </c>
    </row>
    <row r="27203">
      <c r="A27203" t="inlineStr">
        <is>
          <t>DWS</t>
        </is>
      </c>
      <c r="B27203">
        <f>HYPERLINK("https://www.dofusbook.net/fr/equipement/2826098-dws/objets", "link")</f>
        <v/>
      </c>
      <c r="C27203" t="n">
        <v>0</v>
      </c>
      <c r="D27203" t="inlineStr">
        <is>
          <t>Arc Hétype; Pendentif mignon de Koutoulou; Anneau de Padgref; Anneau Rifique; Bouclier cubiste; Ceinture de Vortex; Chapeau des Malveilleurs; Voile d'encre; Pataugastrique; Dofus Ivoire; Étourdisseur majeur; Miraculé majeur; Remueur; Temporiseur majeur; Nomade; Kramkram</t>
        </is>
      </c>
    </row>
    <row r="27204">
      <c r="A27204" t="inlineStr">
        <is>
          <t>DWS</t>
        </is>
      </c>
      <c r="B27204">
        <f>HYPERLINK("https://www.dofusbook.net/fr/equipement/2823763-dws/objets", "link")</f>
        <v/>
      </c>
      <c r="C27204" t="n">
        <v>0</v>
      </c>
      <c r="D27204" t="inlineStr">
        <is>
          <t>Pyraguette; Talisman Igans; Alliance Gloursonne; Alliance du Lévitrof; Bouclier du Stalak; Ceinture de l'Esprit Salvateur; Kidibonnet; Cape de Meno; Bottes Owesli; Dofus Ivoire; Dofus Pourpre; Dofus des Glaces; Vigoureux majeur; Remueur; Nomade; Muldo Ebène et Indigo</t>
        </is>
      </c>
    </row>
    <row r="27205">
      <c r="A27205" t="inlineStr">
        <is>
          <t>feu air</t>
        </is>
      </c>
      <c r="B27205">
        <f>HYPERLINK("https://www.dofusbook.net/fr/equipement/2790642-feu-air/objets", "link")</f>
        <v/>
      </c>
      <c r="C27205" t="n">
        <v>1</v>
      </c>
      <c r="D27205" t="inlineStr">
        <is>
          <t>Manthache; Collier du Valet Veinard; Alliance Gloursonne; Gant du Valet Veinard; Quatre-feuilles; Menoture; Couronne d'Allister; Cape Indescriptible; Palmes Trithons; Dofus Nébuleux; Dofus Pourpre; Dofus des Glaces; Nomade; Remueur; Cascadeur majeur; Siroko</t>
        </is>
      </c>
    </row>
    <row r="27206">
      <c r="A27206" t="inlineStr">
        <is>
          <t>air</t>
        </is>
      </c>
      <c r="B27206">
        <f>HYPERLINK("https://www.dofusbook.net/fr/equipement/2785881-air/objets", "link")</f>
        <v/>
      </c>
      <c r="C27206" t="n">
        <v>0</v>
      </c>
      <c r="D27206" t="inlineStr">
        <is>
          <t>Lance Horselé; Collier du Valet Veinard; Gant du Valet Veinard; Anneau de Padgref; Quatre-feuilles; Sangle Oriole; Coiffe de Padgref; Cape du Valet Veinard; Getas de Padgref; Dolmanax; Dofus Ocre; Dofus Émeraude; Dofus Pourpre; Dofus Abyssal; Dofus Turquoise; Muldo Prune et Emeraude</t>
        </is>
      </c>
    </row>
    <row r="27207">
      <c r="A27207" t="inlineStr">
        <is>
          <t>Ret pa</t>
        </is>
      </c>
      <c r="B27207">
        <f>HYPERLINK("https://www.dofusbook.net/fr/equipement/2780109-ret-pa-/objets", "link")</f>
        <v/>
      </c>
      <c r="C27207" t="n">
        <v>0</v>
      </c>
      <c r="D27207" t="inlineStr">
        <is>
          <t>Sabres d'Atcham; Amulette du Strigide; Grésilanneau; Alliance Gloursonne; Sept ans de malheur; Ceinture Voldelor; Le Dorado; Cape d'Atcham; Sandales de Tal Kasha; Dofus Turquoise; Dofus Pourpre; Vigoureux majeur; Nomade; Étourdisseur majeur; Remueur; Muldo Ebène</t>
        </is>
      </c>
    </row>
    <row r="27208">
      <c r="A27208" t="inlineStr">
        <is>
          <t>Terre</t>
        </is>
      </c>
      <c r="B27208">
        <f>HYPERLINK("https://www.dofusbook.net/fr/equipement/2753061-terre/objets", "link")</f>
        <v/>
      </c>
      <c r="C27208" t="n">
        <v>0</v>
      </c>
      <c r="D27208" t="inlineStr">
        <is>
          <t>Arc du Chalœil; Amulette de Pol Ouatnos; Alliance de Missiz Frizz; Anneau de Brouce; Quatre-feuilles; Ceinture de Brouce; Casque de Missiz Frizz; Cape au Logis; Bottes de Brouce; Dofus Turquoise; Dofus Nébuleux; Dofus Abyssal; Dofus Ocre; Dofus Pourpre; Dofus des Glaces; Kompost</t>
        </is>
      </c>
    </row>
    <row r="27209">
      <c r="A27209" t="inlineStr">
        <is>
          <t>Blblbl</t>
        </is>
      </c>
      <c r="B27209">
        <f>HYPERLINK("https://www.dofusbook.net/fr/equipement/2753004-blblbl/objets", "link")</f>
        <v/>
      </c>
      <c r="C27209" t="n">
        <v>0</v>
      </c>
      <c r="D27209" t="inlineStr">
        <is>
          <t>Marteau R'ture; Amulette de Gein; Anneau Chevelu; Bague Gloursonne; Quatre-feuilles; Ceinture de Gein; Masque de Koutoulou; Voile d'encre; Bottes du Cœur Saignant; Dofus Pourpre; Dofus Turquoise; Dofus des Glaces; Nomade; Enragé majeur; Remueur; Muldo Pourpre</t>
        </is>
      </c>
    </row>
    <row r="27210">
      <c r="A27210" t="inlineStr">
        <is>
          <t>Eau</t>
        </is>
      </c>
      <c r="B27210">
        <f>HYPERLINK("https://www.dofusbook.net/fr/equipement/2747338-eau/objets", "link")</f>
        <v/>
      </c>
      <c r="C27210" t="n">
        <v>0</v>
      </c>
      <c r="D27210" t="inlineStr">
        <is>
          <t>Baguette Héroclite; Amulette du Sinistrofu; Grésilanneau; Alliance Gloursonne; Bouclier du Captain Amakna; Ceinture Glaciale; Masque des Fonds marins; Cape Solution; Sandales des Fonds marins; Dofus Turquoise; Dofus Pourpre; Dofus Nébuleux; Remueur; Nomade; Chanceux majeur; Dehluge</t>
        </is>
      </c>
    </row>
    <row r="27211">
      <c r="A27211" t="inlineStr">
        <is>
          <t>Feu</t>
        </is>
      </c>
      <c r="B27211">
        <f>HYPERLINK("https://www.dofusbook.net/fr/equipement/2746896-feu/objets", "link")</f>
        <v/>
      </c>
      <c r="C27211" t="n">
        <v>0</v>
      </c>
      <c r="D27211" t="inlineStr">
        <is>
          <t>Massier; Collier de la Dame du Hasard; Chevalière du Roi Joueur; Anneau de Padgref; Quatre-feuilles; Ceinture de Vortex; Coiffe de Padgref; Cape de la Dame du Hasard; Bottes de la Dame du Hasard; Dofus Ocre; Dofus Pourpre; Dofus des Glaces; Dofus Turquoise; Dofus Nébuleux; Dofus Abyssal; Muldo Prune et Emeraude</t>
        </is>
      </c>
    </row>
    <row r="27212">
      <c r="A27212" t="inlineStr">
        <is>
          <t>Ré crit</t>
        </is>
      </c>
      <c r="B27212">
        <f>HYPERLINK("https://www.dofusbook.net/fr/equipement/2746478-re-crit/objets", "link")</f>
        <v/>
      </c>
      <c r="C27212" t="n">
        <v>0</v>
      </c>
      <c r="D27212" t="inlineStr">
        <is>
          <t>Arc de Koutoulou; Amulette Hale; Alliance Gloursonne; Alliance Brûlâme; Goulclier; Ceinture de la Reine des Voleurs; Coiffe de la Reine des Voleurs; Cape Tif; Bottes de la Reine des Voleurs; Muldo Ebène</t>
        </is>
      </c>
    </row>
    <row r="27213">
      <c r="A27213" t="inlineStr">
        <is>
          <t>Test</t>
        </is>
      </c>
      <c r="B27213">
        <f>HYPERLINK("https://www.dofusbook.net/fr/equipement/2741368-test/objets", "link")</f>
        <v/>
      </c>
      <c r="C27213" t="n">
        <v>0</v>
      </c>
      <c r="D27213" t="inlineStr">
        <is>
          <t>Baguette Hique; Collier de la Dame du Hasard; Chevalière du Roi Joueur; Alliance Gloursonne; Bouclier cubiste; Ceinture Glaciale; Kidibonnet; Cape de la Dame du Hasard; Bottes de Meno; Dofus Pourpre; Dofus des Glaces; Nomade; Temporiseur majeur; Remueur; Vigoureux majeur; Muldo Doré et Amande</t>
        </is>
      </c>
    </row>
    <row r="27214">
      <c r="A27214" t="inlineStr">
        <is>
          <t>Feu</t>
        </is>
      </c>
      <c r="B27214">
        <f>HYPERLINK("https://www.dofusbook.net/fr/equipement/2722829-feu/objets", "link")</f>
        <v/>
      </c>
      <c r="C27214" t="n">
        <v>0</v>
      </c>
      <c r="D27214" t="inlineStr">
        <is>
          <t>Arc corrompu; Pendentif affamé; Anneau Tamie; Anneau Tamie; Bouclier du Cycloïde; Ceinture Séculaire; Coiffe Séculaire; Cape de Diondin; Pataugastrique; Dofus des Glaces; Dofus Pourpre; Érudit majeur; Remueur; Vigoureux majeur; Nomade; Brûlih</t>
        </is>
      </c>
    </row>
    <row r="27215">
      <c r="A27215" t="inlineStr">
        <is>
          <t>Stuff 1</t>
        </is>
      </c>
      <c r="B27215">
        <f>HYPERLINK("https://www.dofusbook.net/fr/equipement/27684-stuff-1/objets", "link")</f>
        <v/>
      </c>
      <c r="C27215" t="n">
        <v>0</v>
      </c>
      <c r="D27215" t="inlineStr">
        <is>
          <t>Marteau des égarés; Amulette de l'Indicible; Alliance du Lévitrof; Grésilanneau; Bouclier du Stalak; Ceinture de l'Indicible; Le Dorado; Voilamibe; Bottes de l'Esprit Salvateur; Dofus des Glaces; Dofus Pourpre; Vigoureux majeur; Remueur; Sanguinaire majeur; Nomade; Kramkram</t>
        </is>
      </c>
    </row>
    <row r="27216">
      <c r="A27216" t="inlineStr">
        <is>
          <t>Terre air</t>
        </is>
      </c>
      <c r="B27216">
        <f>HYPERLINK("https://www.dofusbook.net/fr/equipement/2713914-terre-air-/objets", "link")</f>
        <v/>
      </c>
      <c r="C27216" t="n">
        <v>0</v>
      </c>
      <c r="D27216" t="inlineStr">
        <is>
          <t>Hache Ériphe; Amulette du Strigide; Ceintacé; Cape du Kamasterisk; Bottes du Strigide</t>
        </is>
      </c>
    </row>
    <row r="27217">
      <c r="A27217" t="inlineStr">
        <is>
          <t>Feu air</t>
        </is>
      </c>
      <c r="B27217">
        <f>HYPERLINK("https://www.dofusbook.net/fr/equipement/1937837-feu-air/objets", "link")</f>
        <v/>
      </c>
      <c r="C27217" t="n">
        <v>0</v>
      </c>
      <c r="D27217" t="inlineStr">
        <is>
          <t>Baguette de Malléfisk; Pendentif affamé; Anneau de Nidas; Anneau Tique; Carapar; Ceinture de Vortex; Casque Cyclopéen; Cape de Diondin; Tongues de Nidas; Dofus Pourpre; Remueur; Guérisseur majeur; Déserteur majeur; Érudit majeur; Nomade; Muldo Orchidée et Pourpre</t>
        </is>
      </c>
    </row>
    <row r="27218">
      <c r="A27218" t="inlineStr">
        <is>
          <t>A faire</t>
        </is>
      </c>
      <c r="B27218">
        <f>HYPERLINK("https://www.dofusbook.net/fr/equipement/1127118-a-faire/objets", "link")</f>
        <v/>
      </c>
      <c r="C27218" t="n">
        <v>0</v>
      </c>
      <c r="D27218" t="inlineStr">
        <is>
          <t>Arc corrompu; Amulette de Nileza; Anneau Tamie; Anneauræus; Ceinture Séculaire; Heaume Oplate; Cape de Diondin; Bottes de Nileza</t>
        </is>
      </c>
    </row>
    <row r="27219">
      <c r="A27219" t="inlineStr">
        <is>
          <t>Air</t>
        </is>
      </c>
      <c r="B27219">
        <f>HYPERLINK("https://www.dofusbook.net/fr/equipement/1594295-air/objets", "link")</f>
        <v/>
      </c>
      <c r="C27219" t="n">
        <v>3</v>
      </c>
      <c r="D27219" t="inlineStr">
        <is>
          <t>Lance Horselé; Collier du Valet Veinard; Gant du Valet Veinard; Anneau d'Allister; Bouclier du Stalak; Ceinture du Barbétoal; Couronne d'Allister; Cape du Valet Veinard; Bottes d'Allister; Dofus Pourpre; Dofus des Glaces; Dokoko; Dofus Ocre; Equilibriste majeur; Robuste majeur; Muldo Doré et Ebène</t>
        </is>
      </c>
    </row>
    <row r="27220">
      <c r="A27220" t="inlineStr">
        <is>
          <t>A FAIRE</t>
        </is>
      </c>
      <c r="B27220">
        <f>HYPERLINK("https://www.dofusbook.net/fr/equipement/1943339-a-faire/objets", "link")</f>
        <v/>
      </c>
      <c r="C27220" t="n">
        <v>1</v>
      </c>
      <c r="D27220" t="inlineStr">
        <is>
          <t>Marteau Phossile; Amulette du Strigide; Alliance Brûlâme; Anneau de Padgref; Bouclier Taverne; Ceintacé; Casque Cyclopéen; Cape d'Atcham; Getas de Padgref; Dofus Pourpre; Dofus Turquoise; Dofus des Glaces; Remueur; Nomade; Vigoureux majeur; Muldo Doré et Emeraude</t>
        </is>
      </c>
    </row>
    <row r="27221">
      <c r="A27221" t="inlineStr">
        <is>
          <t>Terre air</t>
        </is>
      </c>
      <c r="B27221">
        <f>HYPERLINK("https://www.dofusbook.net/fr/equipement/2660677-terre-air/objets", "link")</f>
        <v/>
      </c>
      <c r="C27221" t="n">
        <v>1</v>
      </c>
      <c r="D27221" t="inlineStr">
        <is>
          <t>Héqache; Amulette du Strigide; Anneau des égarés; Bracelet du Piloztère; Bouclier Taverne; Ceinture du Strigide; Masque Brûlâme; Cape du Kamasterisk; Baleinabottes; Dofus Turquoise; Dofus des Glaces; Dofus Pourpre; Vigoureux majeur; Remueur; Nomade; Muldo Doré et Emeraude</t>
        </is>
      </c>
    </row>
    <row r="27222">
      <c r="A27222" t="inlineStr">
        <is>
          <t>Crit</t>
        </is>
      </c>
      <c r="B27222">
        <f>HYPERLINK("https://www.dofusbook.net/fr/equipement/1789382-crit/objets", "link")</f>
        <v/>
      </c>
      <c r="C27222" t="n">
        <v>2</v>
      </c>
      <c r="D27222" t="inlineStr">
        <is>
          <t>Sabres d'Atcham; Amulette du Strigide; Bracelet du Piloztère; Grésilanneau; Quatre-feuilles; Ceintacé; Capuche de l'Œil Putride; Cape d'Atcham; Pataugastrique; Dofus Turquoise; Dofus Pourpre; Dofus des Glaces; Dofus Ocre; Vigoureux majeur; Nomade; Muldo Prune et Emeraude</t>
        </is>
      </c>
    </row>
    <row r="27223">
      <c r="A27223" t="inlineStr">
        <is>
          <t>A faire</t>
        </is>
      </c>
      <c r="B27223">
        <f>HYPERLINK("https://www.dofusbook.net/fr/equipement/2231907-a-faire-/objets", "link")</f>
        <v/>
      </c>
      <c r="C27223" t="n">
        <v>0</v>
      </c>
      <c r="D27223" t="inlineStr">
        <is>
          <t>Hache du Chalœil; Amulette du Strigide; Anneau Toriété; Chevalière du Roi Joueur; Quatre-feuilles; Ceintacé; Le Dorado; Cape de la Dame du Hasard; Bottes du Strigide; Dofus des Glaces; Dofus Pourpre; Dofus Turquoise; Vigoureux majeur; Remueur; Nomade; Kramkram</t>
        </is>
      </c>
    </row>
    <row r="27224">
      <c r="A27224" t="inlineStr">
        <is>
          <t>feu eau</t>
        </is>
      </c>
      <c r="B27224">
        <f>HYPERLINK("https://www.dofusbook.net/fr/equipement/2637566-feu-eau/objets", "link")</f>
        <v/>
      </c>
      <c r="C27224" t="n">
        <v>0</v>
      </c>
      <c r="D27224" t="inlineStr">
        <is>
          <t>Sabres d'Atcham; Amulette du Strigide; Bracelet du Piloztère; Anneau de Padgref; Quatre-feuilles; Ceinture de Vortex; Coiffe de Padgref; Cape de l'Œil Putride; Pataugastrique; Dofus Turquoise; Dofus des Glaces; Dofus Pourpre; Remueur; Nomade; Vigoureux majeur; Muldo Prune et Emeraude</t>
        </is>
      </c>
    </row>
    <row r="27225">
      <c r="A27225" t="inlineStr">
        <is>
          <t>A FAIRE CRIT</t>
        </is>
      </c>
      <c r="B27225">
        <f>HYPERLINK("https://www.dofusbook.net/fr/equipement/2605683-a-faire-crit/objets", "link")</f>
        <v/>
      </c>
      <c r="C27225" t="n">
        <v>1</v>
      </c>
      <c r="D27225" t="inlineStr">
        <is>
          <t>Épée Brûlâme; Collier de la Dame du Hasard; Chevalière du Roi Joueur; Lavanneau; Bouclier du Captain Amakna; Ceinture de l'Esprit Malsain; Casquette de Meno; Cape de la Dame du Hasard; Pataugastrique; Dofus Pourpre; Dofus Turquoise; Dofus des Glaces; Remueur; Vigoureux majeur; Nomade; Muldo Doré et Orchidée</t>
        </is>
      </c>
    </row>
    <row r="27226">
      <c r="A27226" t="inlineStr">
        <is>
          <t>Eau air</t>
        </is>
      </c>
      <c r="B27226">
        <f>HYPERLINK("https://www.dofusbook.net/fr/equipement/2351914-eau-air/objets", "link")</f>
        <v/>
      </c>
      <c r="C27226" t="n">
        <v>0</v>
      </c>
      <c r="D27226" t="inlineStr">
        <is>
          <t>Manthache; Collier du Valet Veinard; Alliance Gloursonne; Gant du Valet Veinard; Bouclier du Stalak; Menoture; Couronne d'Allister; Cape Indescriptible; Palmes Trithons; Dofus des Glaces; Dofus Pourpre; Vigoureux majeur; Remueur; Nomade; Cascadeur majeur; Muldo Doré et Ebène</t>
        </is>
      </c>
    </row>
    <row r="27227">
      <c r="A27227" t="inlineStr">
        <is>
          <t>A FAIRE CRIT</t>
        </is>
      </c>
      <c r="B27227">
        <f>HYPERLINK("https://www.dofusbook.net/fr/equipement/2605609-a-faire-crit/objets", "link")</f>
        <v/>
      </c>
      <c r="C27227" t="n">
        <v>0</v>
      </c>
      <c r="D27227" t="inlineStr">
        <is>
          <t>Épée Brûlâme; Collier de la Dame du Hasard; Chevalière du Roi Joueur; Lavanneau; Bouclier du Captain Amakna; Ceinture de l'Esprit Malsain; Casquette de Meno; Cape de la Dame du Hasard; Pataugastrique; Dofus Pourpre; Dofus Turquoise; Dofus des Glaces; Remueur; Vigoureux majeur; Nomade; Muldo Doré et Orchidée</t>
        </is>
      </c>
    </row>
    <row r="27228">
      <c r="A27228" t="inlineStr">
        <is>
          <t>Air feu</t>
        </is>
      </c>
      <c r="B27228">
        <f>HYPERLINK("https://www.dofusbook.net/fr/equipement/2605577-air-feu-/objets", "link")</f>
        <v/>
      </c>
      <c r="C27228" t="n">
        <v>0</v>
      </c>
      <c r="D27228" t="inlineStr">
        <is>
          <t>Baguette Range; Pendentif mignon de Koutoulou; Anneau de Padgref; Ceinture de Vortex; Casque Cyclopéen; Pantoufles Émar</t>
        </is>
      </c>
    </row>
    <row r="27229">
      <c r="A27229" t="inlineStr">
        <is>
          <t>koutoulou</t>
        </is>
      </c>
      <c r="B27229">
        <f>HYPERLINK("https://www.dofusbook.net/fr/equipement/2585907-koutoulou/objets", "link")</f>
        <v/>
      </c>
      <c r="C27229" t="n">
        <v>0</v>
      </c>
      <c r="D27229" t="inlineStr">
        <is>
          <t>Arc de Koutoulou; Amulette du Strigide; Alliance Gloursonne; Anneau de Padgref; Quatre-feuilles; Ceinture du Strigide; Némès de Tal Kasha; Chevelure de Tal Kasha; Sandales de Tal Kasha; Dofus Nébuleux; Dofus Turquoise; Dokoko; Dofus Ocre; Dofus Pourpre; Dofus des Glaces; Muldo Prune et Emeraude</t>
        </is>
      </c>
    </row>
    <row r="27230">
      <c r="A27230" t="inlineStr">
        <is>
          <t>A faire</t>
        </is>
      </c>
      <c r="B27230">
        <f>HYPERLINK("https://www.dofusbook.net/fr/equipement/2233443-a-faire/objets", "link")</f>
        <v/>
      </c>
      <c r="C27230" t="n">
        <v>0</v>
      </c>
      <c r="D27230" t="inlineStr">
        <is>
          <t>Epée Toche; Amulette du Strigide; Grésilanneau; Bague Gloursonne; Bouclier Taverne; Ceinture de Gein; Le Dorado; Voile d'encre; Bottes du Strigide; Dofus Turquoise; Dofus des Glaces; Dofus Pourpre; Nomade; Vigoureux majeur; Remueur; Kramkram</t>
        </is>
      </c>
    </row>
    <row r="27231">
      <c r="A27231" t="inlineStr">
        <is>
          <t>A faire</t>
        </is>
      </c>
      <c r="B27231">
        <f>HYPERLINK("https://www.dofusbook.net/fr/equipement/2579362-a-faire/objets", "link")</f>
        <v/>
      </c>
      <c r="C27231" t="n">
        <v>2</v>
      </c>
      <c r="D27231" t="inlineStr">
        <is>
          <t>Pyraguette; Collier de la Dame du Hasard; Lavanneau; Alliance du Lévitrof; Bouclier du Stalak; Ceinture de l'Esprit Salvateur; Kidibonnet; Cape de la Dame du Hasard; Bottes Owesli; Dofus des Glaces; Dofus Pourpre; Remueur; Sanguinaire majeur; Nomade; Vigoureux majeur; Kramkram</t>
        </is>
      </c>
    </row>
    <row r="27232">
      <c r="A27232" t="inlineStr">
        <is>
          <t>Srambad</t>
        </is>
      </c>
      <c r="B27232">
        <f>HYPERLINK("https://www.dofusbook.net/fr/equipement/2578633-srambad/objets", "link")</f>
        <v/>
      </c>
      <c r="C27232" t="n">
        <v>0</v>
      </c>
      <c r="D27232" t="inlineStr">
        <is>
          <t>Dagues de Srambad; Masque de Funespadon</t>
        </is>
      </c>
    </row>
    <row r="27233">
      <c r="A27233" t="inlineStr">
        <is>
          <t>Mini</t>
        </is>
      </c>
      <c r="B27233">
        <f>HYPERLINK("https://www.dofusbook.net/fr/equipement/2520756-mini/objets", "link")</f>
        <v/>
      </c>
      <c r="C27233" t="n">
        <v>0</v>
      </c>
      <c r="D27233" t="inlineStr">
        <is>
          <t>Hache du Guerrier Zoth; Collier Yé; Gelano; Sceau Souverain du Roissingue; Bouclier Taverne; Ceinture Phossile; Bonnet Ko; Cape du Korriandre; Bottes Phossiles; Dofus Pourpre; Cascadeur majeur; Remueur; Chanceux majeur; Nomade; Vigoureux majeur; Muldo Doré et Amande</t>
        </is>
      </c>
    </row>
    <row r="27234">
      <c r="A27234" t="inlineStr">
        <is>
          <t>Test</t>
        </is>
      </c>
      <c r="B27234">
        <f>HYPERLINK("https://www.dofusbook.net/fr/equipement/2516863-test/objets", "link")</f>
        <v/>
      </c>
      <c r="C27234" t="n">
        <v>0</v>
      </c>
      <c r="D27234" t="inlineStr">
        <is>
          <t>Arc de Koutoulou; Amulette du Strigide; Alliance Gloursonne; Bracelet du Piloztère; Bouclier Taverne; Ceinture Voldelor; Némès de Tal Kasha; Chevelure de Tal Kasha; Pataugastrique; Dofus des Glaces; Dofus Pourpre; Dofus Turquoise; Vigoureux majeur; Remueur; Nomade; Muldo Prune et Emeraude</t>
        </is>
      </c>
    </row>
    <row r="27235">
      <c r="A27235" t="inlineStr">
        <is>
          <t>Stuff 1</t>
        </is>
      </c>
      <c r="B27235">
        <f>HYPERLINK("https://www.dofusbook.net/fr/equipement/27681-stuff-1/objets", "link")</f>
        <v/>
      </c>
      <c r="C27235" t="n">
        <v>2</v>
      </c>
      <c r="D27235" t="inlineStr">
        <is>
          <t>Lance Horselé; Collier du Valet Veinard; Gant du Valet Veinard; Anneau d'Allister; Bouclier du Stalak; Ceinture du Barbétoal; Couronne d'Allister; Cape du Valet Veinard; Bottes d'Allister; Dofus Abyssal; Dofus Pourpre; Dofus Ocre; Dokoko; Robuste majeur; Equilibriste majeur; Muldo Doré et Ebène</t>
        </is>
      </c>
    </row>
    <row r="27236">
      <c r="A27236" t="inlineStr">
        <is>
          <t>A faire</t>
        </is>
      </c>
      <c r="B27236">
        <f>HYPERLINK("https://www.dofusbook.net/fr/equipement/2513321-a-faire/objets", "link")</f>
        <v/>
      </c>
      <c r="C27236" t="n">
        <v>1</v>
      </c>
      <c r="D27236" t="inlineStr">
        <is>
          <t>Rapière aux Glyphes; Amulette de Shokkoth; Bracelet des Fonds marins; Alliance Gloursonne; Bouclier du Stalak; Sangle Ouare; Kidibonnet; Cape du Sinistrofu; Bottes du Sinistrofu; Dofus Pourpre; Dofus Turquoise; Nomade; Chanceux majeur; Vigoureux majeur; Remueur; Dehluge</t>
        </is>
      </c>
    </row>
    <row r="27237">
      <c r="A27237" t="inlineStr">
        <is>
          <t>A faire</t>
        </is>
      </c>
      <c r="B27237">
        <f>HYPERLINK("https://www.dofusbook.net/fr/equipement/27656-a-faire/objets", "link")</f>
        <v/>
      </c>
      <c r="C27237" t="n">
        <v>1</v>
      </c>
      <c r="D27237" t="inlineStr">
        <is>
          <t>Pyraguette; Talisman Igans; Lavanneau; Lavanneau; Bouclier du Stalak; Ceinture de l'Esprit Salvateur; Kidibonnet; Cape de la Dame du Hasard; Bottes Owesli; Dofus des Glaces; Dofus Pourpre; Chanceux majeur; Vigoureux majeur; Dévastateur Eau majeur; Remueur; Muldo Doré et Orchidée</t>
        </is>
      </c>
    </row>
    <row r="27238">
      <c r="A27238" t="inlineStr">
        <is>
          <t>A FAIRE CRIT</t>
        </is>
      </c>
      <c r="B27238">
        <f>HYPERLINK("https://www.dofusbook.net/fr/equipement/1448868-a-faire-crit/objets", "link")</f>
        <v/>
      </c>
      <c r="C27238" t="n">
        <v>0</v>
      </c>
      <c r="D27238" t="inlineStr">
        <is>
          <t>Épée Brûlâme; Collier de la Dame du Hasard; Lavanneau; Chevalière du Roi Joueur; Bouclier du Captain Amakna; Ceinture de l'Esprit Malsain; Casquette de Meno; Cape de la Dame du Hasard; Pataugastrique; Dofus Turquoise; Dofus des Glaces; Dofus Pourpre; Remueur; Vigoureux majeur; Nomade; Muldo Doré et Orchidée</t>
        </is>
      </c>
    </row>
    <row r="27239">
      <c r="A27239" t="inlineStr">
        <is>
          <t>Air</t>
        </is>
      </c>
      <c r="B27239">
        <f>HYPERLINK("https://www.dofusbook.net/fr/equipement/2504895-air/objets", "link")</f>
        <v/>
      </c>
      <c r="C27239" t="n">
        <v>0</v>
      </c>
      <c r="D27239" t="inlineStr"/>
    </row>
    <row r="27240">
      <c r="A27240" t="inlineStr">
        <is>
          <t>A FAIRE</t>
        </is>
      </c>
      <c r="B27240">
        <f>HYPERLINK("https://www.dofusbook.net/fr/equipement/2473473-a-faire/objets", "link")</f>
        <v/>
      </c>
      <c r="C27240" t="n">
        <v>1</v>
      </c>
      <c r="D27240" t="inlineStr">
        <is>
          <t>Hache du Chalœil; Amulette du Strigide; Alliance du Lévitrof; Chevalière du Roi Joueur; Quatre-feuilles; Ceintacé; Le Dorado; Cape de la Dame du Hasard; Bottes du Strigide; Dofus Turquoise; Dofus des Glaces; Dofus Pourpre; Nomade; Vigoureux majeur; Remueur; Muldo Doré et Emeraude</t>
        </is>
      </c>
    </row>
    <row r="27241">
      <c r="A27241" t="inlineStr">
        <is>
          <t>Terre Eau crit</t>
        </is>
      </c>
      <c r="B27241">
        <f>HYPERLINK("https://www.dofusbook.net/fr/equipement/2496907-terre-eau-crit/objets", "link")</f>
        <v/>
      </c>
      <c r="C27241" t="n">
        <v>0</v>
      </c>
      <c r="D27241" t="inlineStr">
        <is>
          <t>Hache du Chalœil; Amulette du Strigide; Bracelet du Piloztère; Goulano; Quatre-feuilles; Ceintacé; Masque de Funespadon; Cape de la Dame du Hasard; Bottes du Strigide; Dofus des Glaces; Dofus Pourpre; Dofus Turquoise; Vigoureux majeur; Remueur; Nomade; Muldo Doré et Emeraude</t>
        </is>
      </c>
    </row>
    <row r="27242">
      <c r="A27242" t="inlineStr">
        <is>
          <t>Stuff 1</t>
        </is>
      </c>
      <c r="B27242">
        <f>HYPERLINK("https://www.dofusbook.net/fr/equipement/27675-stuff-1/objets", "link")</f>
        <v/>
      </c>
      <c r="C27242" t="n">
        <v>0</v>
      </c>
      <c r="D27242" t="inlineStr">
        <is>
          <t>Héqache; Amulette du Strigide; Bracelet du Piloztère; Alliance Brûlâme; Bouclier Taverne; Ceintacé; Coiffe de la Reine des Voleurs; Cape du Kamasterisk; Bottes du Strigide; Dofus des Glaces; Dofus Pourpre; Dofus Turquoise; Vigoureux majeur; Remueur; Nomade; Kramkram</t>
        </is>
      </c>
    </row>
    <row r="27243">
      <c r="A27243" t="inlineStr">
        <is>
          <t>A faire</t>
        </is>
      </c>
      <c r="B27243">
        <f>HYPERLINK("https://www.dofusbook.net/fr/equipement/2475621-a-faire/objets", "link")</f>
        <v/>
      </c>
      <c r="C27243" t="n">
        <v>0</v>
      </c>
      <c r="D27243" t="inlineStr">
        <is>
          <t>Bague Trithon; Masque Trithon</t>
        </is>
      </c>
    </row>
    <row r="27244">
      <c r="A27244" t="inlineStr">
        <is>
          <t>A FAIRE</t>
        </is>
      </c>
      <c r="B27244">
        <f>HYPERLINK("https://www.dofusbook.net/fr/equipement/2103329-a-faire/objets", "link")</f>
        <v/>
      </c>
      <c r="C27244" t="n">
        <v>0</v>
      </c>
      <c r="D27244" t="inlineStr">
        <is>
          <t>Baguette Héroclite; Amulette de Shokkoth; Alliance Gloursonne; Bracelet des Fonds marins; Quatre-feuilles; Ceinture Glaciale; Kidibonnet; Cape du Sinistrofu; Bottes du Sinistrofu</t>
        </is>
      </c>
    </row>
    <row r="27245">
      <c r="A27245" t="inlineStr">
        <is>
          <t>A FAIREE</t>
        </is>
      </c>
      <c r="B27245">
        <f>HYPERLINK("https://www.dofusbook.net/fr/equipement/2463175-a-fairee/objets", "link")</f>
        <v/>
      </c>
      <c r="C27245" t="n">
        <v>0</v>
      </c>
      <c r="D27245" t="inlineStr">
        <is>
          <t>Marteau R'ture; Amulette Luminescente; Chevalière du Roi Joueur; Pikano; Bouclier cubiste; Casquipik; Cape du Cœur Saignant; Baleinabottes; Dofus Pourpre; Remueur; Vigoureux majeur; Nomade; Temporiseur majeur</t>
        </is>
      </c>
    </row>
    <row r="27246">
      <c r="A27246" t="inlineStr">
        <is>
          <t>eau</t>
        </is>
      </c>
      <c r="B27246">
        <f>HYPERLINK("https://www.dofusbook.net/fr/equipement/2463862-eau/objets", "link")</f>
        <v/>
      </c>
      <c r="C27246" t="n">
        <v>0</v>
      </c>
      <c r="D27246" t="inlineStr">
        <is>
          <t>Dagoulinantes; Amulette du Sinistrofu; Bague Trithon; Alliance Gloursonne; Bouclier précieux; Ceinture Luminescente; Masque de l'Esprit Malsain; Cape Luminescente; Pataugastrique; Dofus Émeraude; Dofus Pourpre; Miraculé majeur; Culbuteur majeur; Remueur; Nomade; Muldo Indigo et Pourpre</t>
        </is>
      </c>
    </row>
    <row r="27247">
      <c r="A27247" t="inlineStr">
        <is>
          <t>Feu eau</t>
        </is>
      </c>
      <c r="B27247">
        <f>HYPERLINK("https://www.dofusbook.net/fr/equipement/2457674-feu-eau-/objets", "link")</f>
        <v/>
      </c>
      <c r="C27247" t="n">
        <v>0</v>
      </c>
      <c r="D27247" t="inlineStr">
        <is>
          <t>Épée Brûlâme; Amulette du Strigide; Anneau Kturne; Alliance du Lévitrof; Quatre-feuilles; Ceintacé; Casquette de Meno; Cape de la Dame du Hasard; Bottes du Strigide; Dofus des Glaces; Dofus Pourpre; Miraculé majeur; Remueur; Vigoureux majeur; Nomade; Muldo Ebène et Orchidée</t>
        </is>
      </c>
    </row>
    <row r="27248">
      <c r="A27248" t="inlineStr">
        <is>
          <t>A faire</t>
        </is>
      </c>
      <c r="B27248">
        <f>HYPERLINK("https://www.dofusbook.net/fr/equipement/2434726-a-faire/objets", "link")</f>
        <v/>
      </c>
      <c r="C27248" t="n">
        <v>0</v>
      </c>
      <c r="D27248" t="inlineStr">
        <is>
          <t>Marteau des égarés; Amulette de l'Indicible; Alliance du Lévitrof; Grésilanneau; Bouclier du Stalak; Ceinture du Strigide; Le Dorado; Cape des Justiciers; Bottes du Strigide; Dofus Pourpre; Dofus des Glaces; Remueur; Vigoureux majeur; Nomade; Sanguinaire majeur; Muldo Doré et Pourpre</t>
        </is>
      </c>
    </row>
    <row r="27249">
      <c r="A27249" t="inlineStr">
        <is>
          <t>A faire terre feu</t>
        </is>
      </c>
      <c r="B27249">
        <f>HYPERLINK("https://www.dofusbook.net/fr/equipement/2354104-a-faire-terre-feu-/objets", "link")</f>
        <v/>
      </c>
      <c r="C27249" t="n">
        <v>0</v>
      </c>
      <c r="D27249" t="inlineStr">
        <is>
          <t>Epée Toche; Amulette du Strigide; Grésilanneau; Bague Gloursonne; Bouclier Taverne; Ceinture de Gein; Le Dorado; Voile d'encre; Bottes du Strigide; Dofus Turquoise; Dofus Pourpre; Dofus des Glaces; Remueur; Vigoureux majeur; Nomade; Kramkram</t>
        </is>
      </c>
    </row>
    <row r="27250">
      <c r="A27250" t="inlineStr">
        <is>
          <t>Terre feu</t>
        </is>
      </c>
      <c r="B27250">
        <f>HYPERLINK("https://www.dofusbook.net/fr/equipement/2430777-terre-feu/objets", "link")</f>
        <v/>
      </c>
      <c r="C27250" t="n">
        <v>0</v>
      </c>
      <c r="D27250" t="inlineStr">
        <is>
          <t>Bâthon; Amulette de Gein; Bague Gloursonne; Alliance du Lévitrof; Bouclier du Stalak; Ceinture de l'Esprit Salvateur; Le Dorado; Voile d'encre; Bottes du Lévitrof; Dofus Pourpre; Dofus des Glaces; Remueur; Vigoureux majeur; Nomade; Sanguinaire majeur</t>
        </is>
      </c>
    </row>
    <row r="27251">
      <c r="A27251" t="inlineStr">
        <is>
          <t>Terre eau</t>
        </is>
      </c>
      <c r="B27251">
        <f>HYPERLINK("https://www.dofusbook.net/fr/equipement/2430751-terre-eau/objets", "link")</f>
        <v/>
      </c>
      <c r="C27251" t="n">
        <v>0</v>
      </c>
      <c r="D27251" t="inlineStr">
        <is>
          <t>Dagues de Srambad; Amulette de l'Indicible; Pikano; Alliance Gloursonne; Ceinture de la Reine des Voleurs; Le Dorado; Cape Luminescente; Bottes de la Reine des Voleurs</t>
        </is>
      </c>
    </row>
    <row r="27252">
      <c r="A27252" t="inlineStr">
        <is>
          <t>test maj</t>
        </is>
      </c>
      <c r="B27252">
        <f>HYPERLINK("https://www.dofusbook.net/fr/equipement/2429905-test-maj/objets", "link")</f>
        <v/>
      </c>
      <c r="C27252" t="n">
        <v>0</v>
      </c>
      <c r="D27252" t="inlineStr"/>
    </row>
    <row r="27253">
      <c r="A27253" t="inlineStr">
        <is>
          <t>Tank</t>
        </is>
      </c>
      <c r="B27253">
        <f>HYPERLINK("https://www.dofusbook.net/fr/equipement/2421469-tank/objets", "link")</f>
        <v/>
      </c>
      <c r="C27253" t="n">
        <v>1</v>
      </c>
      <c r="D27253" t="inlineStr">
        <is>
          <t>Arc de Koutoulou; Amulette de Pol Ouatnos; Alliance Brûlâme; Alliance Gloursonne; Bouclier Bontarien; Ceinture Voldelor; Masque d'Anerice; Cape d'Anerice; Pataugastrique; Dofus Ivoire; Dofus Émeraude; Dofus Abyssal; Dolmanax; Miraculé majeur; Remueur; Muldo Ebène et Pourpre</t>
        </is>
      </c>
    </row>
    <row r="27254">
      <c r="A27254" t="inlineStr">
        <is>
          <t>Terre air</t>
        </is>
      </c>
      <c r="B27254">
        <f>HYPERLINK("https://www.dofusbook.net/fr/equipement/2389681-terre-air-/objets", "link")</f>
        <v/>
      </c>
      <c r="C27254" t="n">
        <v>0</v>
      </c>
      <c r="D27254" t="inlineStr">
        <is>
          <t>Lance corrompue; Amulette Ementaire Deluxe; Alliance Brûlâme; Alliance Gloursonne; Bouclier Taverne; Ceinture de la Reine des Voleurs; Coiffe de la Reine des Voleurs; Cape du Cœur Vaillant; Baleinabottes; Dolmanax; Dofus Pourpre; Dofus des Glaces; Nomade; Vigoureux majeur; Remueur; Muldo Ebène et Orchidée</t>
        </is>
      </c>
    </row>
    <row r="27255">
      <c r="A27255" t="inlineStr">
        <is>
          <t>Feu</t>
        </is>
      </c>
      <c r="B27255">
        <f>HYPERLINK("https://www.dofusbook.net/fr/equipement/1623747-feu/objets", "link")</f>
        <v/>
      </c>
      <c r="C27255" t="n">
        <v>1</v>
      </c>
      <c r="D27255" t="inlineStr">
        <is>
          <t>Arc corrompu; Pendentif mignon de Koutoulou; Bague Gloursonne; Anneau Tamie; Bouclier du Stalak; Ceinture de l'Esprit Salvateur; Casque Cyclopéen; Cape de Diondin; Bottes Innommables; Dofus Pourpre; Dofus des Glaces; Érudit majeur; Dévastateur Feu majeur; Remueur; Nomade; Brûlih</t>
        </is>
      </c>
    </row>
    <row r="27256">
      <c r="A27256" t="inlineStr">
        <is>
          <t>Full feu test</t>
        </is>
      </c>
      <c r="B27256">
        <f>HYPERLINK("https://www.dofusbook.net/fr/equipement/2355263-full-feu-test-/objets", "link")</f>
        <v/>
      </c>
      <c r="C27256" t="n">
        <v>0</v>
      </c>
      <c r="D27256" t="inlineStr">
        <is>
          <t>Arc corrompu; Amulette de Nileza; Anneau Tamie; Anneau Tamie; Bouclier du Stalak; Sangle Aise; Coiffe Séculaire; Cape de Nileza; Pataugastrique; Dofus des Glaces; Dofus Pourpre; Érudit majeur; Nomade; Dévastateur Feu majeur; Remueur; Brûlih</t>
        </is>
      </c>
    </row>
    <row r="27257">
      <c r="A27257" t="inlineStr">
        <is>
          <t>Haique</t>
        </is>
      </c>
      <c r="B27257">
        <f>HYPERLINK("https://www.dofusbook.net/fr/equipement/2286963-haique/objets", "link")</f>
        <v/>
      </c>
      <c r="C27257" t="n">
        <v>0</v>
      </c>
      <c r="D27257" t="inlineStr">
        <is>
          <t>Arc Nécrotique; Amulette de l'Œil Putride; Alliance Gloursonne; Grésilanneau; Quatre-feuilles; Ceinture de Gein; Kidibonnet; Cape de la Dame du Hasard; Bottes de la Dame du Hasard; Dofus des Glaces; Dofus Pourpre; Dofus Turquoise; Vigoureux majeur; Remueur; Nomade; Muldo Ebène et Indigo</t>
        </is>
      </c>
    </row>
    <row r="27258">
      <c r="A27258" t="inlineStr">
        <is>
          <t>Test</t>
        </is>
      </c>
      <c r="B27258">
        <f>HYPERLINK("https://www.dofusbook.net/fr/equipement/2144486-test/objets", "link")</f>
        <v/>
      </c>
      <c r="C27258" t="n">
        <v>0</v>
      </c>
      <c r="D27258" t="inlineStr"/>
    </row>
    <row r="27259">
      <c r="A27259" t="inlineStr">
        <is>
          <t>Multi 190</t>
        </is>
      </c>
      <c r="B27259">
        <f>HYPERLINK("https://www.dofusbook.net/fr/equipement/2126177-multi-190/objets", "link")</f>
        <v/>
      </c>
      <c r="C27259" t="n">
        <v>0</v>
      </c>
      <c r="D27259" t="inlineStr">
        <is>
          <t>Hache du Guerrier Zoth; Ougamulette; Bracelet Ventré; Gelano; Bouclier Taverne; Ceinture Phossile; Bonnet Ko; Cape Phossile; Bottes du Dragoeuf; Dofus Pourpre; Vigoureux majeur; Nomade; Miraculé majeur; Remueur; Muldo Doré et Ebène</t>
        </is>
      </c>
    </row>
    <row r="27260">
      <c r="A27260" t="inlineStr">
        <is>
          <t>Feu eau</t>
        </is>
      </c>
      <c r="B27260">
        <f>HYPERLINK("https://www.dofusbook.net/fr/equipement/2103296-feu-eau/objets", "link")</f>
        <v/>
      </c>
      <c r="C27260" t="n">
        <v>0</v>
      </c>
      <c r="D27260" t="inlineStr">
        <is>
          <t>Arc Nécrotique; Collier de la Dame du Hasard; Alliance du Lévitrof; Bracelet du Piloztère; Bouclier cubiste; Ceinture de Kongoku; Casqnoar; Cape de la Dame du Hasard; Pataugastrique; Dofus Pourpre; Dofus des Glaces; Remueur; Temporiseur majeur; Nomade; Vigoureux majeur; Muldo Doré et Amande</t>
        </is>
      </c>
    </row>
    <row r="27261">
      <c r="A27261" t="inlineStr">
        <is>
          <t>terre feu</t>
        </is>
      </c>
      <c r="B27261">
        <f>HYPERLINK("https://www.dofusbook.net/fr/equipement/2095619-terre-feu-/objets", "link")</f>
        <v/>
      </c>
      <c r="C27261" t="n">
        <v>0</v>
      </c>
      <c r="D27261" t="inlineStr">
        <is>
          <t>Hache Téroïde; Amulette du Strigide; Anneau Chevelu; Bague Gloursonne; Bouclier du Captain Amakna; Ceintacé; Chapeau de Gein; Voile d'encre; Bottes du Strigide; Kramkram</t>
        </is>
      </c>
    </row>
    <row r="27262">
      <c r="A27262" t="inlineStr">
        <is>
          <t>Do pou</t>
        </is>
      </c>
      <c r="B27262">
        <f>HYPERLINK("https://www.dofusbook.net/fr/equipement/2069471-do-pou-/objets", "link")</f>
        <v/>
      </c>
      <c r="C27262" t="n">
        <v>0</v>
      </c>
      <c r="D27262" t="inlineStr">
        <is>
          <t>Lance corrompue; Amulette du Strigide; Alliance Gloursonne; Bouclier précieux; Ceintouse; Chapeau des Malveilleurs; Cape du Cœur Vaillant; Baleinabottes; Dofus Pourpre; Culbuteur majeur; Nomade; Vigoureux majeur; Bousculeur majeur; Remueur; Muldo Ebène et Pourpre</t>
        </is>
      </c>
    </row>
    <row r="27263">
      <c r="A27263" t="inlineStr">
        <is>
          <t>Air triz</t>
        </is>
      </c>
      <c r="B27263">
        <f>HYPERLINK("https://www.dofusbook.net/fr/equipement/2063818-air-triz/objets", "link")</f>
        <v/>
      </c>
      <c r="C27263" t="n">
        <v>0</v>
      </c>
      <c r="D27263" t="inlineStr">
        <is>
          <t>Manthache; Amulette d'Ilyzaelle; Alliance Gloursonne; Gant du Valet Veinard; Bouclier d'Ilyzaelle; Menoture; Coiffe de la Reine des Voleurs; Cape du Valet Veinard; Bottes de la Reine des Voleurs; Dokoko; Dofus Pourpre; Dofus Émeraude; Dofus Ocre; Dolmanax; Dofus des Glaces; Muldo Ebène</t>
        </is>
      </c>
    </row>
    <row r="27264">
      <c r="A27264" t="inlineStr">
        <is>
          <t>Thanos</t>
        </is>
      </c>
      <c r="B27264">
        <f>HYPERLINK("https://www.dofusbook.net/fr/equipement/2063656-thanos/objets", "link")</f>
        <v/>
      </c>
      <c r="C27264" t="n">
        <v>0</v>
      </c>
      <c r="D27264" t="inlineStr">
        <is>
          <t>Le Thanos; Amulette d'Ilyzaelle; Alliance Gloursonne; Alliance Brûlâme; Bouclier d'Ilyzaelle; Ceinture de la Reine des Voleurs; Casque d'Ilyzaelle; Cape Matelassée; Bottes de la Reine des Voleurs; Dofus Ocre; Dolmanax; Dofus des Glaces; Dokoko; Dofus Pourpre; Dofus Émeraude; Muldo Ebène</t>
        </is>
      </c>
    </row>
    <row r="27265">
      <c r="A27265" t="inlineStr">
        <is>
          <t>feu air</t>
        </is>
      </c>
      <c r="B27265">
        <f>HYPERLINK("https://www.dofusbook.net/fr/equipement/2059901-feu-air/objets", "link")</f>
        <v/>
      </c>
      <c r="C27265" t="n">
        <v>0</v>
      </c>
      <c r="D27265" t="inlineStr">
        <is>
          <t>Sabres d'Atcham; Pendentif mignon de Koutoulou; Alliance Brûlâme; Anneau Rifique; Casque Cyclopéen; Cape d'Atcham; Sandales  d'Atcham</t>
        </is>
      </c>
    </row>
    <row r="27266">
      <c r="A27266" t="inlineStr">
        <is>
          <t>Full pano feu eau</t>
        </is>
      </c>
      <c r="B27266">
        <f>HYPERLINK("https://www.dofusbook.net/fr/equipement/2059815-full-pano-feu-eau/objets", "link")</f>
        <v/>
      </c>
      <c r="C27266" t="n">
        <v>0</v>
      </c>
      <c r="D27266" t="inlineStr">
        <is>
          <t>Pyraguette; Talisman Igans; Bague Gloursonne; Alliance Gloursonne; Bouclier du Stalak; Ceintrigue; Casquette de Meno; Cape de Meno; Bottes de Meno; Dolmanax; Dofus des Glaces; Dofus Pourpre; Dofus Ocre; Robuste majeur; Féroce majeur; Muldo Doré et Orchidée</t>
        </is>
      </c>
    </row>
    <row r="27267">
      <c r="A27267" t="inlineStr">
        <is>
          <t>Sans crit</t>
        </is>
      </c>
      <c r="B27267">
        <f>HYPERLINK("https://www.dofusbook.net/fr/equipement/2047723-sans-crit/objets", "link")</f>
        <v/>
      </c>
      <c r="C27267" t="n">
        <v>0</v>
      </c>
      <c r="D27267" t="inlineStr"/>
    </row>
    <row r="27268">
      <c r="A27268" t="inlineStr">
        <is>
          <t>eau air</t>
        </is>
      </c>
      <c r="B27268">
        <f>HYPERLINK("https://www.dofusbook.net/fr/equipement/2046872-eau-air/objets", "link")</f>
        <v/>
      </c>
      <c r="C27268" t="n">
        <v>1</v>
      </c>
      <c r="D27268" t="inlineStr">
        <is>
          <t>Arc de Koutoulou; Amulette d'Ilyzaelle; Grésilanneau; Alliance Gloursonne; Bouclier du Stalak; Ceinture de l'Esprit Salvateur; Casque d'Ilyzaelle; Cape du Chalœil; Baleinabottes; Dofus Pourpre; Dofus des Glaces; Robuste majeur; Vigoureux majeur; Remueur; Nomade; Muldo Doré et Ebène</t>
        </is>
      </c>
    </row>
    <row r="27269">
      <c r="A27269" t="inlineStr">
        <is>
          <t>Terre</t>
        </is>
      </c>
      <c r="B27269">
        <f>HYPERLINK("https://www.dofusbook.net/fr/equipement/2032844-terre/objets", "link")</f>
        <v/>
      </c>
      <c r="C27269" t="n">
        <v>0</v>
      </c>
      <c r="D27269" t="inlineStr">
        <is>
          <t>Dagues d'Ilyzaelle; Amulette Héroclite; Anneau de la Fuji Givrefoux; Goulano; Ceinture Luminescente; Coiffe de la Reine des Voleurs; Voile d'encre; Baleinabottes</t>
        </is>
      </c>
    </row>
    <row r="27270">
      <c r="A27270" t="inlineStr">
        <is>
          <t>Eau air</t>
        </is>
      </c>
      <c r="B27270">
        <f>HYPERLINK("https://www.dofusbook.net/fr/equipement/1873566-eau-air/objets", "link")</f>
        <v/>
      </c>
      <c r="C27270" t="n">
        <v>0</v>
      </c>
      <c r="D27270" t="inlineStr">
        <is>
          <t>Baguette de Malléfisk; Amulette d'Ilyzaelle; Alliance Gloursonne; Alliance Brûlâme; Carapar; Ceinture du Barbétoal; Casque d'Ilyzaelle; Cape Matelassée; Bottes de la Reine des Voleurs; Dofus Pourpre; Dofus Émeraude; Guérisseur majeur; Nomade; Remueur; Miraculé majeur; Muldo Ebène et Indigo</t>
        </is>
      </c>
    </row>
    <row r="27271">
      <c r="A27271" t="inlineStr">
        <is>
          <t>Feu pvm full doms</t>
        </is>
      </c>
      <c r="B27271">
        <f>HYPERLINK("https://www.dofusbook.net/fr/equipement/1911877-feu-pvm-full-doms/objets", "link")</f>
        <v/>
      </c>
      <c r="C27271" t="n">
        <v>0</v>
      </c>
      <c r="D27271" t="inlineStr">
        <is>
          <t>Pyraguette; Amulette de Nileza; Anneau Tamie; Anneau Tamie; Bouclier du Stalak; Sangle Aise; Coiffe Séculaire; Cape de Nileza; Pataugastrique; Dofus Pourpre; Dofus des Glaces; Nomade; Érudit majeur; Remueur; Dévastateur Feu majeur; Brûlih</t>
        </is>
      </c>
    </row>
    <row r="27272">
      <c r="A27272" t="inlineStr">
        <is>
          <t>Eau</t>
        </is>
      </c>
      <c r="B27272">
        <f>HYPERLINK("https://www.dofusbook.net/fr/equipement/1992456-eau/objets", "link")</f>
        <v/>
      </c>
      <c r="C27272" t="n">
        <v>0</v>
      </c>
      <c r="D27272" t="inlineStr">
        <is>
          <t>Dagoulinantes; Amulette de Shokkoth; Alliance Gloursonne; Bracelet des Fonds marins; Ceinture Glaciale; Kidibonnet; Cape du Sinistrofu; Bottes du Sinistrofu; Dofus Pourpre; Miraculé majeur; Remueur; Chanceux majeur; Nomade; Dévastateur Eau majeur; Muldo Indigo et Pourpre</t>
        </is>
      </c>
    </row>
    <row r="27273">
      <c r="A27273" t="inlineStr">
        <is>
          <t>A FAIRE Feu eau</t>
        </is>
      </c>
      <c r="B27273">
        <f>HYPERLINK("https://www.dofusbook.net/fr/equipement/1036165-a-faire-feu-eau-/objets", "link")</f>
        <v/>
      </c>
      <c r="C27273" t="n">
        <v>0</v>
      </c>
      <c r="D27273" t="inlineStr">
        <is>
          <t>Pyraguette; Talisman Igans; Bague Gloursonne; Anneauræus; Bouclier du Stalak; Ceinture de l'Esprit Salvateur; Casqnoar; Cape de Diondin; Bottes Owesli; Dofus Pourpre; Dofus des Glaces; Nomade; Dévastateur Feu majeur; Remueur; Vigoureux majeur; Muldo Doré et Orchidée</t>
        </is>
      </c>
    </row>
    <row r="27274">
      <c r="A27274" t="inlineStr">
        <is>
          <t>Eau resi</t>
        </is>
      </c>
      <c r="B27274">
        <f>HYPERLINK("https://www.dofusbook.net/fr/equipement/2007359-eau-resi/objets", "link")</f>
        <v/>
      </c>
      <c r="C27274" t="n">
        <v>1</v>
      </c>
      <c r="D27274" t="inlineStr">
        <is>
          <t>Rapière aux Glyphes; Amulette de Shokkoth; Alliance Gloursonne; Bracelet des Fonds marins; Bouclier du Stalak; Poulpagne; Casque Dragoeuf; Cape du Sinistrofu; Bottes du Sinistrofu; Dofus Pourpre; Dofus Émeraude; Chanceux majeur; Vigoureux majeur; Remueur; Nomade; Muldo Indigo</t>
        </is>
      </c>
    </row>
    <row r="27275">
      <c r="A27275" t="inlineStr">
        <is>
          <t>Feu sans res</t>
        </is>
      </c>
      <c r="B27275">
        <f>HYPERLINK("https://www.dofusbook.net/fr/equipement/1995040-feu-sans-res/objets", "link")</f>
        <v/>
      </c>
      <c r="C27275" t="n">
        <v>0</v>
      </c>
      <c r="D27275" t="inlineStr">
        <is>
          <t>Pyraguette; Talisman Igans; Anneau Tique; Alliance du Lévitrof; Bouclier du Stalak; Ceinture de l'Esprit Salvateur; Capuche de l'Œil Putride; Cape de Diondin; Bottes Owesli; Dofus Pourpre; Dofus des Glaces; Dévastateur Feu majeur; Remueur; Vigoureux majeur; Nomade; Brûlih</t>
        </is>
      </c>
    </row>
    <row r="27276">
      <c r="A27276" t="inlineStr">
        <is>
          <t>eau air</t>
        </is>
      </c>
      <c r="B27276">
        <f>HYPERLINK("https://www.dofusbook.net/fr/equipement/1994695-eau-air/objets", "link")</f>
        <v/>
      </c>
      <c r="C27276" t="n">
        <v>0</v>
      </c>
      <c r="D27276" t="inlineStr">
        <is>
          <t>Arc Ahique; Collier du Valet Veinard; Gant du Valet Veinard; Alliance Gloursonne; Bouclier du Stalak; Ceinture de la Reine des Voleurs; Coiffe de la Reine des Voleurs; Cape du Valet Veinard; Bottes de la Reine des Voleurs; Dofus Émeraude; Dofus Pourpre; Dolmanax; Dofus des Glaces; Dofus Ocre; Muldo Ebène</t>
        </is>
      </c>
    </row>
    <row r="27277">
      <c r="A27277" t="inlineStr">
        <is>
          <t>Elio heal</t>
        </is>
      </c>
      <c r="B27277">
        <f>HYPERLINK("https://www.dofusbook.net/fr/equipement/1992689-elio-heal/objets", "link")</f>
        <v/>
      </c>
      <c r="C27277" t="n">
        <v>0</v>
      </c>
      <c r="D27277" t="inlineStr">
        <is>
          <t>Le Thanos; Amulette d'Ilyzaelle; Alliance Gloursonne; Alliance Brûlâme; Carapar; Ceinture du Strigide; Casque d'Ilyzaelle; Cape Matelassée; Bottes de la Reine des Voleurs; Dofus Pourpre; Remueur; Miraculé majeur; Nomade; Vigoureux majeur; Guérisseur majeur; Muldo Ebène et Indigo</t>
        </is>
      </c>
    </row>
    <row r="27278">
      <c r="A27278" t="inlineStr">
        <is>
          <t>hupper new meta</t>
        </is>
      </c>
      <c r="B27278">
        <f>HYPERLINK("https://www.dofusbook.net/fr/equipement/1889865-hupper-new-meta/objets", "link")</f>
        <v/>
      </c>
      <c r="C27278" t="n">
        <v>0</v>
      </c>
      <c r="D27278" t="inlineStr">
        <is>
          <t>Marteau des égarés; Amulette du Strigide; Anneau de Padgref; Alliance Brûlâme; Bouclier du Captain Amakna; Ceinture du Strigide; Coiffe de Padgref; Cape d'Atcham; Getas de Padgref; Dofus Ocre; Dofus Pourpre; Dofus Turquoise; Dolmanax; Dofus des Glaces; Dofus Nébuleux; Muldo Prune et Emeraude</t>
        </is>
      </c>
    </row>
    <row r="27279">
      <c r="A27279" t="inlineStr">
        <is>
          <t>Tank multi</t>
        </is>
      </c>
      <c r="B27279">
        <f>HYPERLINK("https://www.dofusbook.net/fr/equipement/1594852-tank-multi/objets", "link")</f>
        <v/>
      </c>
      <c r="C27279" t="n">
        <v>0</v>
      </c>
      <c r="D27279" t="inlineStr">
        <is>
          <t>Canne Harr; Pendentif mignon de Koutoulou; Alliance Gloursonne; Alliance Brûlâme; Bouclier d'Ilyzaelle; Ceinture de l'Esprit Salvateur; Casque Cyclopéen; Cape des Justiciers; Bottes du Strigide; Dofus Turquoise; Dofus Émeraude; Dofus Pourpre; Nomade; Remueur; Vigoureux majeur</t>
        </is>
      </c>
    </row>
    <row r="27280">
      <c r="A27280" t="inlineStr">
        <is>
          <t>test 2.43</t>
        </is>
      </c>
      <c r="B27280">
        <f>HYPERLINK("https://www.dofusbook.net/fr/equipement/1936535-test-2-43/objets", "link")</f>
        <v/>
      </c>
      <c r="C27280" t="n">
        <v>0</v>
      </c>
      <c r="D27280" t="inlineStr">
        <is>
          <t>Arc corrompu; Amulette du Strigide; Alliance Gloursonne; Alliance Brûlâme; Bouclier Taverne; Ceinture de Vortex; Le Dorado; Cape de l'Œil Putride; Bottes du Strigide; Dofus Turquoise; Dofus des Glaces; Dofus Pourpre; Nomade; Vigoureux majeur; Remueur; Muldo Ebène et Pourpre</t>
        </is>
      </c>
    </row>
    <row r="27281">
      <c r="A27281" t="inlineStr">
        <is>
          <t>Multi</t>
        </is>
      </c>
      <c r="B27281">
        <f>HYPERLINK("https://www.dofusbook.net/fr/equipement/1182818-multi/objets", "link")</f>
        <v/>
      </c>
      <c r="C27281" t="n">
        <v>1</v>
      </c>
      <c r="D27281" t="inlineStr">
        <is>
          <t>Épée Brûlâme; Amulette du Strigide; Alliance du Lévitrof; Alliance Gloursonne; Bouclier d'Ilyzaelle; Ceintacé; Capuche de l'Œil Putride; Cape de l'Œil Putride; Pataugastrique; Dofus Pourpre; Dofus Turquoise; Remueur; Miraculé majeur; Vigoureux majeur; Nomade; Muldo Ebène et Orchidée</t>
        </is>
      </c>
    </row>
    <row r="27282">
      <c r="A27282" t="inlineStr">
        <is>
          <t>PvP CHER</t>
        </is>
      </c>
      <c r="B27282">
        <f>HYPERLINK("https://www.dofusbook.net/fr/equipement/1929560-pvp-cher/objets", "link")</f>
        <v/>
      </c>
      <c r="C27282" t="n">
        <v>1</v>
      </c>
      <c r="D27282" t="inlineStr">
        <is>
          <t>Arc corrompu; Pendentif mignon de Koutoulou; Anneauræus; Chevalière du Roi Joueur; Bouclier du Stalak; Ceinture de Vortex; Casque Cyclopéen; Cape de Diondin; Bottes Innommables; Dofus des Glaces; Dofus Pourpre; Remueur; Érudit majeur; Nomade; Dévastateur Feu majeur; Muldo Doré et Pourpre</t>
        </is>
      </c>
    </row>
    <row r="27283">
      <c r="A27283" t="inlineStr">
        <is>
          <t>Testst</t>
        </is>
      </c>
      <c r="B27283">
        <f>HYPERLINK("https://www.dofusbook.net/fr/equipement/1915472-testst/objets", "link")</f>
        <v/>
      </c>
      <c r="C27283" t="n">
        <v>0</v>
      </c>
      <c r="D27283" t="inlineStr">
        <is>
          <t>Dagues de Srambad; Amulette Luminescente; Alliance Gloursonne; Bague Trithon; Ceinture Luminescente; Masque d'Anerice; Cape des Justiciers; Baleinabottes; Dofus Pourpre; Dofus Émeraude; Remueur; Vigoureux majeur; Nomade; Miraculé majeur; Muldo Ebène et Indigo</t>
        </is>
      </c>
    </row>
    <row r="27284">
      <c r="A27284" t="inlineStr">
        <is>
          <t>Terre feu sans exo</t>
        </is>
      </c>
      <c r="B27284">
        <f>HYPERLINK("https://www.dofusbook.net/fr/equipement/1912635-terre-feu-sans-exo/objets", "link")</f>
        <v/>
      </c>
      <c r="C27284" t="n">
        <v>0</v>
      </c>
      <c r="D27284" t="inlineStr">
        <is>
          <t>Dagues Érhy; Amulette du Cycloïde; Bague Gloursonne; Baguistik; Bivalve; Ceinture de Gein; Chapeau de Gein; Cape de Diondin; Pantoufles Émar; Dofus Pourpre; Nomade; Vigoureux majeur; Érudit majeur; Remueur; Guérisseur majeur; Muldo Doré et Pourpre</t>
        </is>
      </c>
    </row>
    <row r="27285">
      <c r="A27285" t="inlineStr">
        <is>
          <t>Stuff a faire pauvre</t>
        </is>
      </c>
      <c r="B27285">
        <f>HYPERLINK("https://www.dofusbook.net/fr/equipement/1445972-stuff-a-faire-pauvre/objets", "link")</f>
        <v/>
      </c>
      <c r="C27285" t="n">
        <v>1</v>
      </c>
      <c r="D27285" t="inlineStr">
        <is>
          <t>Hache du Chalœil; Amulette du Strigide; Grésilanneau; Bracelet du Piloztère; Quatre-feuilles; Ceintacé; Casque du Chalœil; Cape des Justiciers; Bottes du Strigide; Dofus Pourpre; Dofus Turquoise; Remueur; Nomade; Observateur; Vigoureux majeur; Muldo Doré et Orchidée</t>
        </is>
      </c>
    </row>
    <row r="27286">
      <c r="A27286" t="inlineStr">
        <is>
          <t>feu eau 0 exo</t>
        </is>
      </c>
      <c r="B27286">
        <f>HYPERLINK("https://www.dofusbook.net/fr/equipement/1865108-feu-eau-0-exo/objets", "link")</f>
        <v/>
      </c>
      <c r="C27286" t="n">
        <v>0</v>
      </c>
      <c r="D27286" t="inlineStr">
        <is>
          <t>Baguette Hique; Collier de la Dame du Hasard; Alliance Gloursonne; Chevalière du Roi Joueur; Bouclier cubiste; Ceinture de Kongoku; Kidibonnet; Cape de la Dame du Hasard; Pantoufles Émar</t>
        </is>
      </c>
    </row>
    <row r="27287">
      <c r="A27287" t="inlineStr">
        <is>
          <t>Eau</t>
        </is>
      </c>
      <c r="B27287">
        <f>HYPERLINK("https://www.dofusbook.net/fr/equipement/1500001-eau/objets", "link")</f>
        <v/>
      </c>
      <c r="C27287" t="n">
        <v>0</v>
      </c>
      <c r="D27287" t="inlineStr">
        <is>
          <t>Baguette Hique; Collier de la Dame du Hasard; Pikano; Alliance Gloursonne; Bouclier cubiste; Ceinture de Kongoku; Casquette de Meno; Cape de la Dame du Hasard; Pataugastrique; Ralentisseur majeur; Vigoureux majeur; Remueur; Entraveur majeur; Nomade; Temporiseur majeur</t>
        </is>
      </c>
    </row>
    <row r="27288">
      <c r="A27288" t="inlineStr">
        <is>
          <t>terre feu air</t>
        </is>
      </c>
      <c r="B27288">
        <f>HYPERLINK("https://www.dofusbook.net/fr/equipement/1333762-terre-feu-air/objets", "link")</f>
        <v/>
      </c>
      <c r="C27288" t="n">
        <v>0</v>
      </c>
      <c r="D27288" t="inlineStr">
        <is>
          <t>Dagues Érhy; Amulette du Strigide; Bague Gloursonne; Chevalière du Roi Joueur; Bouclier Taverne; Ceintacé; Chapeau de Gein; Cape au Logis; Bottes du Strigide; Dofus Pourpre; Dofus Turquoise; Vigoureux majeur; Remueur; Nomade; Enragé majeur; Kramkram</t>
        </is>
      </c>
    </row>
    <row r="27289">
      <c r="A27289" t="inlineStr">
        <is>
          <t>Stuff de pauvre</t>
        </is>
      </c>
      <c r="B27289">
        <f>HYPERLINK("https://www.dofusbook.net/fr/equipement/1847564-stuff-de-pauvre/objets", "link")</f>
        <v/>
      </c>
      <c r="C27289" t="n">
        <v>0</v>
      </c>
      <c r="D27289" t="inlineStr">
        <is>
          <t>Bêche Asse; Amulette Héroclite; Alliance de Missiz Frizz; Gelano; Bouclier Taverne; Ceinture de Brouce; Casque de Missiz Frizz; Cape au Logis; Sabots Minables; Dofus Pourpre; Enragé majeur; Nomade; Miraculé majeur; Vigoureux majeur; Remueur; Dragodinde en armure</t>
        </is>
      </c>
    </row>
    <row r="27290">
      <c r="A27290" t="inlineStr">
        <is>
          <t>full eau</t>
        </is>
      </c>
      <c r="B27290">
        <f>HYPERLINK("https://www.dofusbook.net/fr/equipement/1805908-full-eau/objets", "link")</f>
        <v/>
      </c>
      <c r="C27290" t="n">
        <v>1</v>
      </c>
      <c r="D27290" t="inlineStr">
        <is>
          <t>Rapière aux Glyphes; Amulette de Shokkoth; Grésilanneau; Alliance Gloursonne; Poulpagne; Kidibonnet; Cape du Sinistrofu; Bottes du Sinistrofu; Kramkram</t>
        </is>
      </c>
    </row>
    <row r="27291">
      <c r="A27291" t="inlineStr">
        <is>
          <t>Feu eau a faire</t>
        </is>
      </c>
      <c r="B27291">
        <f>HYPERLINK("https://www.dofusbook.net/fr/equipement/1804357-feu-eau-a-faire/objets", "link")</f>
        <v/>
      </c>
      <c r="C27291" t="n">
        <v>1</v>
      </c>
      <c r="D27291" t="inlineStr">
        <is>
          <t>Arc Nécrotique; Talisman Igans; Alliance Gloursonne; Anneau Tique; Bouclier du Stalak; Ceintacé; Kidibonnet; Cape des Malveilleurs; Bottes Owesli; Dofus Pourpre; Vigoureux majeur; Nomade; Érudit majeur; Chanceux majeur; Remueur; Muldo Indigo et Orchidée</t>
        </is>
      </c>
    </row>
    <row r="27292">
      <c r="A27292" t="inlineStr">
        <is>
          <t>Koutou bien</t>
        </is>
      </c>
      <c r="B27292">
        <f>HYPERLINK("https://www.dofusbook.net/fr/equipement/697798-koutou-bien/objets", "link")</f>
        <v/>
      </c>
      <c r="C27292" t="n">
        <v>0</v>
      </c>
      <c r="D27292" t="inlineStr">
        <is>
          <t>Arc de Koutoulou; Amulette du Strigide; Alliance Gloursonne; Grésilanneau; Bouclier d'Anerice; Ceintacé; Némès de Tal Kasha; Chevelure de Tal Kasha; Bottes Voldelor; Dofus Pourpre; Dofus Turquoise; Dofus Émeraude; Nomade; Vigoureux majeur; Remueur; Muldo Ebène et Orchidée</t>
        </is>
      </c>
    </row>
    <row r="27293">
      <c r="A27293" t="inlineStr">
        <is>
          <t>Atcham</t>
        </is>
      </c>
      <c r="B27293">
        <f>HYPERLINK("https://www.dofusbook.net/fr/equipement/1728545-atcham/objets", "link")</f>
        <v/>
      </c>
      <c r="C27293" t="n">
        <v>2</v>
      </c>
      <c r="D27293" t="inlineStr">
        <is>
          <t>Sabres d'Atcham; Amulette du Strigide; Grésilanneau; Alliance Gloursonne; Bouclier d'Ilyzaelle; Ceintacé; Chapeau des Malveilleurs; Cape de l'Œil Putride; Bottes du Strigide; Dofus Émeraude; Dofus Pourpre; Érudit majeur; Vigoureux majeur; Remueur; Nomade; Muldo Doré et Ebène</t>
        </is>
      </c>
    </row>
    <row r="27294">
      <c r="A27294" t="inlineStr">
        <is>
          <t>Stuff 1</t>
        </is>
      </c>
      <c r="B27294">
        <f>HYPERLINK("https://www.dofusbook.net/fr/equipement/27696-stuff-1/objets", "link")</f>
        <v/>
      </c>
      <c r="C27294" t="n">
        <v>0</v>
      </c>
      <c r="D27294" t="inlineStr">
        <is>
          <t>Rapière aux Glyphes; Amulette de Shokkoth; Bracelet des Fonds marins; Alliance Gloursonne; Bouclier alvéolé; Ceinture Glaciale; Kidibonnet; Cape du Sinistrofu; Sandales des Fonds marins; Dofus Émeraude; Dofus Pourpre; Nomade; Chanceux majeur; Remueur; Vigoureux majeur; Muldo Doré et Indigo</t>
        </is>
      </c>
    </row>
    <row r="27295">
      <c r="A27295" t="inlineStr">
        <is>
          <t>Feu eau bl</t>
        </is>
      </c>
      <c r="B27295">
        <f>HYPERLINK("https://www.dofusbook.net/fr/equipement/1700705-feu-eau-bl/objets", "link")</f>
        <v/>
      </c>
      <c r="C27295" t="n">
        <v>0</v>
      </c>
      <c r="D27295" t="inlineStr">
        <is>
          <t>Hache du Guerrier Zoth; Médaille Kido; Alliance d'Elya Wood; Gelano; Bouclier du Sadida; Ceinture du Royalmouth; Holoune; Corbacape Mastralis; Bottes du Dragoeuf; Dofus Émeraude; Dofus Cawotte; Dofus Pourpre; Vigoureux; Remueur; Nomade; Muldo Ebène</t>
        </is>
      </c>
    </row>
    <row r="27296">
      <c r="A27296" t="inlineStr">
        <is>
          <t>Terre air</t>
        </is>
      </c>
      <c r="B27296">
        <f>HYPERLINK("https://www.dofusbook.net/fr/equipement/1703094-terre-air/objets", "link")</f>
        <v/>
      </c>
      <c r="C27296" t="n">
        <v>0</v>
      </c>
      <c r="D27296" t="inlineStr">
        <is>
          <t>Héqache; Amulette du Strigide; Bracelet du Piloztère; Grésilanneau; Bouclier du Stalak; Ceintouse; Chapoulpe; Cape du Kamasterisk; Baleinabottes; Dofus Turquoise; Dofus Pourpre; Vigoureux majeur; Enragé majeur; Remueur; Nomade; Muldo Doré et Pourpre</t>
        </is>
      </c>
    </row>
    <row r="27297">
      <c r="A27297" t="inlineStr">
        <is>
          <t>pvm feu</t>
        </is>
      </c>
      <c r="B27297">
        <f>HYPERLINK("https://www.dofusbook.net/fr/equipement/1702977-pvm-feu-/objets", "link")</f>
        <v/>
      </c>
      <c r="C27297" t="n">
        <v>0</v>
      </c>
      <c r="D27297" t="inlineStr">
        <is>
          <t>Pyraguette; Amulette de Nileza; Anneau Tamie; Anneau Tamie; Bouclier du Stalak; Ceinture Séculaire; Coiffe Séculaire; Cape de Diondin; Pataugastrique; Dofus Pourpre; Dofus des Glaces; Érudit majeur; Dévastateur Feu majeur; Nomade; Remueur; Brûlih</t>
        </is>
      </c>
    </row>
    <row r="27298">
      <c r="A27298" t="inlineStr">
        <is>
          <t>Feu pas cher</t>
        </is>
      </c>
      <c r="B27298">
        <f>HYPERLINK("https://www.dofusbook.net/fr/equipement/1689217-feu-pas-cher/objets", "link")</f>
        <v/>
      </c>
      <c r="C27298" t="n">
        <v>0</v>
      </c>
      <c r="D27298" t="inlineStr">
        <is>
          <t>Plumeau Bil; Pendentif mignon de Koutoulou; Anneau Tique; Chevalière du Roi Joueur; Bouclier du Stalak; Ceinture de Vortex; Casque Cyclopéen; Cape de Diondin; Pataugastrique; Dofus Pourpre; Remueur; Vigoureux majeur; Nomade; Dévastateur Feu majeur; Érudit majeur; Muldo Doré et Pourpre</t>
        </is>
      </c>
    </row>
    <row r="27299">
      <c r="A27299" t="inlineStr">
        <is>
          <t>Feu</t>
        </is>
      </c>
      <c r="B27299">
        <f>HYPERLINK("https://www.dofusbook.net/fr/equipement/1651321-feu/objets", "link")</f>
        <v/>
      </c>
      <c r="C27299" t="n">
        <v>0</v>
      </c>
      <c r="D27299" t="inlineStr">
        <is>
          <t>Arc Hétype; Collier de la Dame du Hasard; Anneau de Nidas; Chevalière du Roi Joueur; Bouclier cubiste; Ceinture de Kongoku; Couronne du Roi Joueur; Cape de Diondin; Pantoufles Émar; Remueur; Temporiseur majeur; Temporiseur; Ralentisseur majeur; Nomade; Entraveur majeur; Muldo Doré et Amande</t>
        </is>
      </c>
    </row>
    <row r="27300">
      <c r="A27300" t="inlineStr">
        <is>
          <t>Jessica</t>
        </is>
      </c>
      <c r="B27300">
        <f>HYPERLINK("https://www.dofusbook.net/fr/equipement/1628676-jessica/objets", "link")</f>
        <v/>
      </c>
      <c r="C27300" t="n">
        <v>0</v>
      </c>
      <c r="D27300" t="inlineStr">
        <is>
          <t>Dagues Érhy; Amulette du Strigide; Chevalière du Roi Joueur; Bracelet du Piloztère; Quatre-feuilles; Ceintacé; Casque du Chalœil; Cape des Justiciers; Bottes du Strigide; Dofus Pourpre; Dofus Turquoise; Remueur; Nomade; Enragé majeur; Vigoureux majeur; Muldo Doré et Emeraude</t>
        </is>
      </c>
    </row>
    <row r="27301">
      <c r="A27301" t="inlineStr">
        <is>
          <t>Terre feu</t>
        </is>
      </c>
      <c r="B27301">
        <f>HYPERLINK("https://www.dofusbook.net/fr/equipement/537940-terre-feu/objets", "link")</f>
        <v/>
      </c>
      <c r="C27301" t="n">
        <v>0</v>
      </c>
      <c r="D27301" t="inlineStr">
        <is>
          <t>Dagues Érhy; Amulette du Strigide; Bague Gloursonne; Baguistik; Bivalve; Ceinture de Gein; Chapeau de Gein; Cape de Diondin; Bottes Dogues; Dofus Pourpre; Érudit majeur; Guérisseur majeur; Remueur; Nomade; Vigoureux majeur; Kramkram</t>
        </is>
      </c>
    </row>
    <row r="27302">
      <c r="A27302" t="inlineStr">
        <is>
          <t>Stuff pvm a faire</t>
        </is>
      </c>
      <c r="B27302">
        <f>HYPERLINK("https://www.dofusbook.net/fr/equipement/1496045-stuff-pvm-a-faire/objets", "link")</f>
        <v/>
      </c>
      <c r="C27302" t="n">
        <v>0</v>
      </c>
      <c r="D27302" t="inlineStr">
        <is>
          <t>Harpelle; Pendentif affamé; Anneau Rifique; Anneau de Padgref; Bivalve; Ceinture de Vortex; Casque Cyclopéen; Cape de Diondin; Bottes Innommables; Dofus Pourpre; Remueur; Érudit majeur; Guérisseur majeur; Nomade; Vigoureux majeur; Muldo Doré et Pourpre</t>
        </is>
      </c>
    </row>
    <row r="27303">
      <c r="A27303" t="inlineStr">
        <is>
          <t>Pvm opti</t>
        </is>
      </c>
      <c r="B27303">
        <f>HYPERLINK("https://www.dofusbook.net/fr/equipement/1600934-pvm-opti/objets", "link")</f>
        <v/>
      </c>
      <c r="C27303" t="n">
        <v>1</v>
      </c>
      <c r="D27303" t="inlineStr">
        <is>
          <t>Hache du Chalœil; Amulette du Strigide; Alliance Gloursonne; Grésilanneau; Sept ans de malheur; Ceinture Luminescente; Le Dorado; Voile d'encre; Bottes du Strigide; Dolmanax; Dofus Pourpre; Fonceur majeur; Vigoureux majeur; Nomade; Remueur; Kramkram</t>
        </is>
      </c>
    </row>
    <row r="27304">
      <c r="A27304" t="inlineStr">
        <is>
          <t>Pvm a faire</t>
        </is>
      </c>
      <c r="B27304">
        <f>HYPERLINK("https://www.dofusbook.net/fr/equipement/1425870-pvm-a-faire/objets", "link")</f>
        <v/>
      </c>
      <c r="C27304" t="n">
        <v>0</v>
      </c>
      <c r="D27304" t="inlineStr">
        <is>
          <t>Hache du Chalœil; Amulette du Strigide; Grésilanneau; Alliance Gloursonne; Sept ans de malheur; Ceinture Luminescente; Le Dorado; Cape des Justiciers; Bottes du Strigide; Dofus Pourpre; Fonceur majeur; Vigoureux majeur; Érudit majeur; Nomade; Remueur; Muldo Doré et Indigo</t>
        </is>
      </c>
    </row>
    <row r="27305">
      <c r="A27305" t="inlineStr">
        <is>
          <t>Stuff 2</t>
        </is>
      </c>
      <c r="B27305">
        <f>HYPERLINK("https://www.dofusbook.net/fr/equipement/27658-stuff-2/objets", "link")</f>
        <v/>
      </c>
      <c r="C27305" t="n">
        <v>0</v>
      </c>
      <c r="D27305" t="inlineStr">
        <is>
          <t>Épée d'Otomaï; Amulette de Nileza; Anneau Tamie; Anneau Tamie; Sangle Aise; Coiffe Séculaire; Cape de Nileza; Pataugastrique; Dofus Pourpre; Érudit majeur; Miraculé majeur; Nomade; Remueur; Dévastateur Feu majeur; Brûlih</t>
        </is>
      </c>
    </row>
    <row r="27306">
      <c r="A27306" t="inlineStr">
        <is>
          <t>Feu eau</t>
        </is>
      </c>
      <c r="B27306">
        <f>HYPERLINK("https://www.dofusbook.net/fr/equipement/1595019-feu-eau/objets", "link")</f>
        <v/>
      </c>
      <c r="C27306" t="n">
        <v>0</v>
      </c>
      <c r="D27306" t="inlineStr">
        <is>
          <t>Épée Brûlâme; Collier de la Dame du Hasard; Alliance Gloursonne; Anneau Tique; Bouclier d'Ilyzaelle; Poulpagne; Casqnoar; Cape de la Dame du Hasard; Pataugastrique; Dofus Pourpre; Dofus Turquoise; Remueur; Vigoureux majeur; Nomade; Muldo Orchidée</t>
        </is>
      </c>
    </row>
    <row r="27307">
      <c r="A27307" t="inlineStr">
        <is>
          <t>Test tank</t>
        </is>
      </c>
      <c r="B27307">
        <f>HYPERLINK("https://www.dofusbook.net/fr/equipement/1588177-test-tank-/objets", "link")</f>
        <v/>
      </c>
      <c r="C27307" t="n">
        <v>1</v>
      </c>
      <c r="D27307" t="inlineStr">
        <is>
          <t>Rouleau à Pâtisserie d'Aermyne; Amulette du Strigide; Grésilanneau; Alliance Gloursonne; Bouclier d'Anerice; Ceintacé; Le Dorado; Cape d'Anerice; Chaussures Hau; Dolmanax; Dofus Émeraude; Fonceur majeur; Miraculé majeur; Remueur; Nomade; Kramkram</t>
        </is>
      </c>
    </row>
    <row r="27308">
      <c r="A27308" t="inlineStr">
        <is>
          <t>Full eau</t>
        </is>
      </c>
      <c r="B27308">
        <f>HYPERLINK("https://www.dofusbook.net/fr/equipement/1587220-full-eau/objets", "link")</f>
        <v/>
      </c>
      <c r="C27308" t="n">
        <v>0</v>
      </c>
      <c r="D27308" t="inlineStr">
        <is>
          <t>Épée d'Otomaï; Amulette de Nileza; Anneau Tamie; Anneau Tamie; Bouclier Taverne; Sangle Aise; Coiffe Séculaire; Cape de Nileza; Pataugastrique; Dofus des Glaces; Dofus Pourpre; Érudit majeur; Remueur; Nomade; Dévastateur Feu majeur; Muldo Doré et Amande</t>
        </is>
      </c>
    </row>
    <row r="27309">
      <c r="A27309" t="inlineStr">
        <is>
          <t>Test</t>
        </is>
      </c>
      <c r="B27309">
        <f>HYPERLINK("https://www.dofusbook.net/fr/equipement/1542211-test/objets", "link")</f>
        <v/>
      </c>
      <c r="C27309" t="n">
        <v>0</v>
      </c>
      <c r="D27309" t="inlineStr">
        <is>
          <t>Manthache; Collier du Valet Veinard; Anneau de Padgref; Alliance Gloursonne; Bouclier Taverne; Menoture; Némès de Tal Kasha; Chevelure de Tal Kasha; Bottes Voldelor; Dofus Pourpre; Remueur; Vigoureux majeur; Dévastateur Air majeur; Nomade; Cascadeur majeur; Muldo Doré et Ebène</t>
        </is>
      </c>
    </row>
    <row r="27310">
      <c r="A27310" t="inlineStr">
        <is>
          <t>Terre Feu 199</t>
        </is>
      </c>
      <c r="B27310">
        <f>HYPERLINK("https://www.dofusbook.net/fr/equipement/797624-terre-feu-199/objets", "link")</f>
        <v/>
      </c>
      <c r="C27310" t="n">
        <v>1</v>
      </c>
      <c r="D27310" t="inlineStr">
        <is>
          <t>Hache Téroïde; Amulette Hendart; Bague Gloursonne; Gelano; Bivalve; Ceinture du Comte Razof; Chapeau du Comte Razof; Cape Hiculteur; Pantoufles Émar; Observateur; Érudit majeur; Nomade; Guérisseur majeur; Remueur; Vigoureux majeur; Kramkram</t>
        </is>
      </c>
    </row>
    <row r="27311">
      <c r="A27311" t="inlineStr">
        <is>
          <t>do cri</t>
        </is>
      </c>
      <c r="B27311">
        <f>HYPERLINK("https://www.dofusbook.net/fr/equipement/1465195-do-cri/objets", "link")</f>
        <v/>
      </c>
      <c r="C27311" t="n">
        <v>1</v>
      </c>
      <c r="D27311" t="inlineStr">
        <is>
          <t>Marteau de Katrepat; Amulette du Strigide; Bracelet du Piloztère; Anneau de Padgref; Quatre-feuilles; Ceintacé; Casque du Chalœil; Cape des Justiciers; Bottes du Strigide; Dofus Pourpre; Dofus Turquoise; Nomade; Remueur; Observateur; Vigoureux majeur; Muldo Prune et Emeraude</t>
        </is>
      </c>
    </row>
    <row r="27312">
      <c r="A27312" t="inlineStr">
        <is>
          <t>full feu</t>
        </is>
      </c>
      <c r="B27312">
        <f>HYPERLINK("https://www.dofusbook.net/fr/equipement/1464330-full-feu/objets", "link")</f>
        <v/>
      </c>
      <c r="C27312" t="n">
        <v>0</v>
      </c>
      <c r="D27312" t="inlineStr">
        <is>
          <t>Harpelle; Amulette Séculaire; Chevalière du Roi Joueur; Anneauræus; Bivalve; Ceinture de Vortex; Coiffe Séculaire; Cape de Diondin; Bottes Innommables; Dofus Pourpre; Remueur; Vigoureux majeur; Guérisseur majeur; Nomade; Érudit majeur; Brûlih</t>
        </is>
      </c>
    </row>
    <row r="27313">
      <c r="A27313" t="inlineStr">
        <is>
          <t>Tank</t>
        </is>
      </c>
      <c r="B27313">
        <f>HYPERLINK("https://www.dofusbook.net/fr/equipement/1457956-tank/objets", "link")</f>
        <v/>
      </c>
      <c r="C27313" t="n">
        <v>1</v>
      </c>
      <c r="D27313" t="inlineStr">
        <is>
          <t>Marteau de Katrepat; Amulette du Strigide; Bague Gloursonne; Alliance Gloursonne; Bouclier d'Anerice; Ceinture du Strigide; Masque d'Anerice; Cape d'Anerice; Bottes du Strigide; Dofus Émeraude; Dofus des Glaces; Dofus Ocre; Dofus Pourpre; Dolmanax; Dofus Abyssal; Kramkram</t>
        </is>
      </c>
    </row>
    <row r="27314">
      <c r="A27314" t="inlineStr">
        <is>
          <t>Feu pvp final</t>
        </is>
      </c>
      <c r="B27314">
        <f>HYPERLINK("https://www.dofusbook.net/fr/equipement/1036194-feu-pvp-final/objets", "link")</f>
        <v/>
      </c>
      <c r="C27314" t="n">
        <v>0</v>
      </c>
      <c r="D27314" t="inlineStr">
        <is>
          <t>Plumeau Bil; Amulette de Nileza; Anneau Tique; Chevalière du Roi Joueur; Bouclier du Stalak; Ceinture de Vortex; Cape de Nileza; Pataugastrique; Dofus Pourpre; Dofus des Glaces; Dévastateur Feu majeur; Érudit majeur; Remueur; Nomade; Kramkram</t>
        </is>
      </c>
    </row>
    <row r="27315">
      <c r="A27315" t="inlineStr">
        <is>
          <t>AvA a faire</t>
        </is>
      </c>
      <c r="B27315">
        <f>HYPERLINK("https://www.dofusbook.net/fr/equipement/1446780-ava-a-faire-/objets", "link")</f>
        <v/>
      </c>
      <c r="C27315" t="n">
        <v>0</v>
      </c>
      <c r="D27315" t="inlineStr">
        <is>
          <t>Dagues de Srambad; Amulette du Strigide; Pikano; Alliance Gloursonne; Bouclier précieux; Ceinture Luminescente; Masque d'Anerice; Cape Luminescente; Baleinabottes; Dofus Émeraude; Dofus Pourpre; Nomade; Miraculé majeur; Vigoureux majeur; Remueur; Muldo Indigo et Pourpre</t>
        </is>
      </c>
    </row>
    <row r="27316">
      <c r="A27316" t="inlineStr">
        <is>
          <t>Phos</t>
        </is>
      </c>
      <c r="B27316">
        <f>HYPERLINK("https://www.dofusbook.net/fr/equipement/1405048-phos/objets", "link")</f>
        <v/>
      </c>
      <c r="C27316" t="n">
        <v>0</v>
      </c>
      <c r="D27316" t="inlineStr">
        <is>
          <t>Ceinture Phossile; Bonnet Ko; Bottes Phossiles</t>
        </is>
      </c>
    </row>
    <row r="27317">
      <c r="A27317" t="inlineStr">
        <is>
          <t>Meulou</t>
        </is>
      </c>
      <c r="B27317">
        <f>HYPERLINK("https://www.dofusbook.net/fr/equipement/981062-meulou/objets", "link")</f>
        <v/>
      </c>
      <c r="C27317" t="n">
        <v>0</v>
      </c>
      <c r="D27317" t="inlineStr">
        <is>
          <t>Hache du Guerrier Zoth; La Meulette; Anneau du Meulou; Gelano; Ceinture du Meulou; Coiffe du Meulou; Cape du Meulou; Bottes du Meulou; Dofus Pourpre; Puissant majeur; Survivant majeur; Furibond majeur; Muldo Doré et Pourpre</t>
        </is>
      </c>
    </row>
    <row r="27318">
      <c r="A27318" t="inlineStr">
        <is>
          <t>Pvm</t>
        </is>
      </c>
      <c r="B27318">
        <f>HYPERLINK("https://www.dofusbook.net/fr/equipement/1327941-pvm/objets", "link")</f>
        <v/>
      </c>
      <c r="C27318" t="n">
        <v>1</v>
      </c>
      <c r="D27318" t="inlineStr">
        <is>
          <t>Pelle de Katrepat; Talisman Igans; Anneau de Nidas; Anneau Cryochrone; Bivalve; Ceinture de Vortex; Casquette de Meno; Cape de Diondin; Bottes Owesli; Dofus Pourpre; Érudit majeur; Nomade; Vigoureux majeur; Guérisseur majeur; Remueur; Muldo Doré et Orchidée</t>
        </is>
      </c>
    </row>
    <row r="27319">
      <c r="A27319" t="inlineStr">
        <is>
          <t>Atcham</t>
        </is>
      </c>
      <c r="B27319">
        <f>HYPERLINK("https://www.dofusbook.net/fr/equipement/1251563-atcham/objets", "link")</f>
        <v/>
      </c>
      <c r="C27319" t="n">
        <v>1</v>
      </c>
      <c r="D27319" t="inlineStr">
        <is>
          <t>Hache du Chalœil; Amulette du Strigide; Alliance Gloursonne; Bracelet du Piloztère; Quatre-feuilles; Ceinture du Strigide; Casque du Chalœil; Voile d'encre; Pataugastrique; Dolmanax; Dofus Pourpre; Remueur; Vigoureux majeur; Nomade; Muldo Doré et Indigo</t>
        </is>
      </c>
    </row>
    <row r="27320">
      <c r="A27320" t="inlineStr">
        <is>
          <t>Terre eau</t>
        </is>
      </c>
      <c r="B27320">
        <f>HYPERLINK("https://www.dofusbook.net/fr/equipement/1248171-terre-eau/objets", "link")</f>
        <v/>
      </c>
      <c r="C27320" t="n">
        <v>0</v>
      </c>
      <c r="D27320" t="inlineStr">
        <is>
          <t>Hache du Chalœil; Amulette du Strigide; Bague Gloursonne; Bracelet du Piloztère; Quatre-feuilles; Ceinture de Gein; Le Dorado; Cape de la Dame du Hasard; Bottes du Strigide; Dofus Pourpre; Dofus des Glaces; Dofus Turquoise; Vigoureux majeur; Remueur; Nomade; Muldo Doré et Emeraude</t>
        </is>
      </c>
    </row>
    <row r="27321">
      <c r="A27321" t="inlineStr">
        <is>
          <t>Full pano</t>
        </is>
      </c>
      <c r="B27321">
        <f>HYPERLINK("https://www.dofusbook.net/fr/equipement/1236075-full-pano/objets", "link")</f>
        <v/>
      </c>
      <c r="C27321" t="n">
        <v>0</v>
      </c>
      <c r="D27321" t="inlineStr">
        <is>
          <t>Dagues de Srambad; Amulette Luminescente; Alliance Gloursonne; Bague Trithon; Bouclier alvéolé; Ceinture Luminescente; Masque Trithon; Cape Luminescente; Bottes Trithon; Dokoko; Dofus Pourpre; Dofus des Glaces; Dofus Ocre; Dofus Émeraude; Dofus des Veilleurs; Muldo Ebène</t>
        </is>
      </c>
    </row>
    <row r="27322">
      <c r="A27322" t="inlineStr">
        <is>
          <t>Perco time</t>
        </is>
      </c>
      <c r="B27322">
        <f>HYPERLINK("https://www.dofusbook.net/fr/equipement/1235918-perco-time/objets", "link")</f>
        <v/>
      </c>
      <c r="C27322" t="n">
        <v>0</v>
      </c>
      <c r="D27322" t="inlineStr">
        <is>
          <t>Dagues de Srambad; Amulette du Strigide; Alliance Gloursonne; Bague Trithon; Bouclier précieux; Ceinture Luminescente; Némès de Tal Kasha; Cape Luminescente; Baleinabottes; Dofus Émeraude; Dofus Pourpre; Miraculé majeur; Remueur; Vigoureux majeur; Nomade; Muldo Ebène et Indigo</t>
        </is>
      </c>
    </row>
    <row r="27323">
      <c r="A27323" t="inlineStr">
        <is>
          <t>Heqache</t>
        </is>
      </c>
      <c r="B27323">
        <f>HYPERLINK("https://www.dofusbook.net/fr/equipement/1235467-heqache/objets", "link")</f>
        <v/>
      </c>
      <c r="C27323" t="n">
        <v>1</v>
      </c>
      <c r="D27323" t="inlineStr">
        <is>
          <t>Héqache; Amulette du Strigide; Alliance Gloursonne; Pikano; Bouclier d'Ilyzaelle; Ceinture de la Reine des Voleurs; Coiffe de la Reine des Voleurs; Chevelure de Tal Kasha; Baleinabottes; Dofus Émeraude; Dofus Pourpre; Remueur; Vigoureux majeur; Nomade; Miraculé majeur; Muldo Ebène et Orchidée</t>
        </is>
      </c>
    </row>
    <row r="27324">
      <c r="A27324" t="inlineStr">
        <is>
          <t>PVP Multi</t>
        </is>
      </c>
      <c r="B27324">
        <f>HYPERLINK("https://www.dofusbook.net/fr/equipement/1235180-pvp-multi/objets", "link")</f>
        <v/>
      </c>
      <c r="C27324" t="n">
        <v>0</v>
      </c>
      <c r="D27324" t="inlineStr">
        <is>
          <t>Dagues de Srambad; Amulette du Strigide; Pikano; Alliance Gloursonne; Ceinture de la Reine des Voleurs; Coiffe de la Reine des Voleurs; Voile d'encre; Baleinabottes; Dofus Émeraude; Dofus Pourpre; Chanceux majeur; Remueur; Miraculé majeur; Nomade; Muldo Ebène et Indigo</t>
        </is>
      </c>
    </row>
    <row r="27325">
      <c r="A27325" t="inlineStr">
        <is>
          <t>Test 3 elem</t>
        </is>
      </c>
      <c r="B27325">
        <f>HYPERLINK("https://www.dofusbook.net/fr/equipement/1209853-test-3-elem/objets", "link")</f>
        <v/>
      </c>
      <c r="C27325" t="n">
        <v>1</v>
      </c>
      <c r="D27325" t="inlineStr">
        <is>
          <t>Marteau de Katrepat; Amulette du Strigide; Alliance Gloursonne; Bracelet du Piloztère; Sept ans de malheur; Ceintacé; Coiffe du Lévitrof; Cape des Justiciers; Bottes du Strigide; Dofus Pourpre; Vigoureux majeur; Remueur; Nomade; Muldo Doré et Orchidée</t>
        </is>
      </c>
    </row>
    <row r="27326">
      <c r="A27326" t="inlineStr">
        <is>
          <t>Terre feu</t>
        </is>
      </c>
      <c r="B27326">
        <f>HYPERLINK("https://www.dofusbook.net/fr/equipement/1209684-terre-feu/objets", "link")</f>
        <v/>
      </c>
      <c r="C27326" t="n">
        <v>0</v>
      </c>
      <c r="D27326" t="inlineStr">
        <is>
          <t>Bâthon; Amulette de Gein; Chevalière du Roi Joueur; Bague Gloursonne; Bouclier Taverne; Ceinture du Strigide; Le Dorado; Cape du Chalœil; Bottes du Strigide; Dofus Turquoise; Dofus des Glaces; Dofus Pourpre; Nomade; Remueur; Vigoureux majeur; Muldo Doré et Emeraude</t>
        </is>
      </c>
    </row>
    <row r="27327">
      <c r="A27327" t="inlineStr">
        <is>
          <t>Koutoulou</t>
        </is>
      </c>
      <c r="B27327">
        <f>HYPERLINK("https://www.dofusbook.net/fr/equipement/1209588-koutoulou/objets", "link")</f>
        <v/>
      </c>
      <c r="C27327" t="n">
        <v>0</v>
      </c>
      <c r="D27327" t="inlineStr">
        <is>
          <t>Arc de Koutoulou; Amulette du Strigide; Alliance Gloursonne; Némès de Tal Kasha; Sandales de Tal Kasha</t>
        </is>
      </c>
    </row>
    <row r="27328">
      <c r="A27328" t="inlineStr">
        <is>
          <t>Multi</t>
        </is>
      </c>
      <c r="B27328">
        <f>HYPERLINK("https://www.dofusbook.net/fr/equipement/705628-multi/objets", "link")</f>
        <v/>
      </c>
      <c r="C27328" t="n">
        <v>1</v>
      </c>
      <c r="D27328" t="inlineStr">
        <is>
          <t>Sabres d'Atcham; Amulette du Strigide; Bague Trithon; Anneau de Padgref; Quatre-feuilles; Ceinture du Strigide; Coiffe de Padgref; Cape d'Atcham; Getas de Padgref; Dofus Turquoise; Dofus des Glaces; Dofus Ocre; Dofus Nébuleux; Dofus Pourpre; Dolmanax; Muldo Prune et Emeraude</t>
        </is>
      </c>
    </row>
    <row r="27329">
      <c r="A27329" t="inlineStr">
        <is>
          <t>Srambad 2</t>
        </is>
      </c>
      <c r="B27329">
        <f>HYPERLINK("https://www.dofusbook.net/fr/equipement/1197087-srambad-2/objets", "link")</f>
        <v/>
      </c>
      <c r="C27329" t="n">
        <v>0</v>
      </c>
      <c r="D27329" t="inlineStr">
        <is>
          <t>Pelle de Nidas; Amulette du Strigide; Bracelet du Piloztère; Alliance Gloursonne; Bouclier Taverne; Ceintacé; Coiffe d'Ogivol; Cape des Justiciers; Bottes du Strigide; Dofus Turquoise; Dofus Pourpre; Nomade; Vigoureux majeur; Enragé majeur; Remueur; Muldo Doré et Emeraude</t>
        </is>
      </c>
    </row>
    <row r="27330">
      <c r="A27330" t="inlineStr">
        <is>
          <t>Tal kasha</t>
        </is>
      </c>
      <c r="B27330">
        <f>HYPERLINK("https://www.dofusbook.net/fr/equipement/1182179-tal-kasha/objets", "link")</f>
        <v/>
      </c>
      <c r="C27330" t="n">
        <v>2</v>
      </c>
      <c r="D27330" t="inlineStr">
        <is>
          <t>Arc de Koutoulou; Amulette du Strigide; Alliance Gloursonne; Grésilanneau; Bouclier Taverne; Ceintacé; Némès de Tal Kasha; Chevelure de Tal Kasha; Bottes Voldelor; Dofus Turquoise; Dofus Pourpre; Dofus des Glaces; Remueur; Nomade; Vigoureux majeur; Muldo Doré et Emeraude</t>
        </is>
      </c>
    </row>
    <row r="27331">
      <c r="A27331" t="inlineStr">
        <is>
          <t>Multi 2</t>
        </is>
      </c>
      <c r="B27331">
        <f>HYPERLINK("https://www.dofusbook.net/fr/equipement/1130646-multi-2-/objets", "link")</f>
        <v/>
      </c>
      <c r="C27331" t="n">
        <v>0</v>
      </c>
      <c r="D27331" t="inlineStr">
        <is>
          <t>Hache du Chalœil; Amulette du Strigide; Grésilanneau; Bracelet du Piloztère; Bouclier du Captain Amakna; Ceintacé; Casque du Chalœil; Cape des Justiciers; Bottes du Strigide; Dofus Pourpre; Dofus Turquoise; Remueur; Nomade; Enragé majeur; Vigoureux majeur; Muldo Doré et Orchidée</t>
        </is>
      </c>
    </row>
    <row r="27332">
      <c r="A27332" t="inlineStr">
        <is>
          <t>Air multi</t>
        </is>
      </c>
      <c r="B27332">
        <f>HYPERLINK("https://www.dofusbook.net/fr/equipement/1119430-air-multi/objets", "link")</f>
        <v/>
      </c>
      <c r="C27332" t="n">
        <v>0</v>
      </c>
      <c r="D27332" t="inlineStr">
        <is>
          <t>Manthache; Amulette du Strigide; Alliance Gloursonne; Grésilanneau; Bouclier Taverne; Menoture; Couronne d'Allister; Chevelure de Tal Kasha; Bottes du Strigide; Dofus Pourpre; Dofus des Glaces; Nomade; Cascadeur majeur; Remueur; Vigoureux majeur; Muldo Doré et Orchidée</t>
        </is>
      </c>
    </row>
    <row r="27333">
      <c r="A27333" t="inlineStr">
        <is>
          <t>Srambaad</t>
        </is>
      </c>
      <c r="B27333">
        <f>HYPERLINK("https://www.dofusbook.net/fr/equipement/1065801-srambaad/objets", "link")</f>
        <v/>
      </c>
      <c r="C27333" t="n">
        <v>0</v>
      </c>
      <c r="D27333" t="inlineStr">
        <is>
          <t>Dagues de Srambad; Amulette du Strigide; Pikano; Alliance Gloursonne; Bouclier précieux; Ceinture de la Reine des Voleurs; Coiffe de la Reine des Voleurs; Cape des Justiciers; Baleinabottes; Dofus Émeraude; Dofus Pourpre; Miraculé majeur; Remueur; Nomade; Vigoureux majeur; Muldo Doré et Indigo</t>
        </is>
      </c>
    </row>
    <row r="27334">
      <c r="A27334" t="inlineStr">
        <is>
          <t>Full air</t>
        </is>
      </c>
      <c r="B27334">
        <f>HYPERLINK("https://www.dofusbook.net/fr/equipement/1036485-full-air/objets", "link")</f>
        <v/>
      </c>
      <c r="C27334" t="n">
        <v>0</v>
      </c>
      <c r="D27334" t="inlineStr">
        <is>
          <t>Manthache; Collier du Valet Veinard; Alliance Gloursonne; Gant du Valet Veinard; Bouclier Taverne; Menoture; Couronne d'Allister; Cape Indescriptible; Palmes Trithons; Dofus Pourpre; Remueur; Vigoureux majeur; Nomade; Dévastateur Air majeur; Cascadeur majeur; Muldo Doré et Ebène</t>
        </is>
      </c>
    </row>
    <row r="27335">
      <c r="A27335" t="inlineStr">
        <is>
          <t>Stuff 2</t>
        </is>
      </c>
      <c r="B27335">
        <f>HYPERLINK("https://www.dofusbook.net/fr/equipement/27679-stuff-2/objets", "link")</f>
        <v/>
      </c>
      <c r="C27335" t="n">
        <v>0</v>
      </c>
      <c r="D27335" t="inlineStr">
        <is>
          <t>Harpelle; Pendentif affamé; Anneauræus; Anneau de Padgref; Bivalve; Ceinture de Vortex; Coiffe de Padgref; Cape de Diondin; Bottes Innommables; Dofus Pourpre; Guérisseur majeur; Remueur; Érudit majeur; Vigoureux majeur; Nomade; Brûlih</t>
        </is>
      </c>
    </row>
    <row r="27336">
      <c r="A27336" t="inlineStr">
        <is>
          <t>terre ret</t>
        </is>
      </c>
      <c r="B27336">
        <f>HYPERLINK("https://www.dofusbook.net/fr/equipement/1011453-terre-ret/objets", "link")</f>
        <v/>
      </c>
      <c r="C27336" t="n">
        <v>0</v>
      </c>
      <c r="D27336" t="inlineStr">
        <is>
          <t>Marteau R'ture; Amulette Luminescente; Bracelet du Piloztère; Pikano; Bouclier cubiste; Ceinture de Kongoku; Casquipik; Sabots Minables; Temporiseur majeur; Ralentisseur majeur; Remueur; Entraveur majeur; Temporiseur; Muldo Indigo et Pourpre</t>
        </is>
      </c>
    </row>
    <row r="27337">
      <c r="A27337" t="inlineStr">
        <is>
          <t>Hetype</t>
        </is>
      </c>
      <c r="B27337">
        <f>HYPERLINK("https://www.dofusbook.net/fr/equipement/1001449-hetype/objets", "link")</f>
        <v/>
      </c>
      <c r="C27337" t="n">
        <v>0</v>
      </c>
      <c r="D27337" t="inlineStr">
        <is>
          <t>Arc Hétype; Amulette de Nileza; Anneau Tamie; Anneau Tamie; Quatre-feuilles; Ceinture Séculaire; Coiffe Séculaire; Cape de Diondin; Bottes Innommables; Dofus des Glaces; Dofus Pourpre; Érudit majeur; Remueur; Dévastateur Feu majeur; Nomade; Brûlih</t>
        </is>
      </c>
    </row>
    <row r="27338">
      <c r="A27338" t="inlineStr">
        <is>
          <t>Srambad 2</t>
        </is>
      </c>
      <c r="B27338">
        <f>HYPERLINK("https://www.dofusbook.net/fr/equipement/1001035-srambad-2/objets", "link")</f>
        <v/>
      </c>
      <c r="C27338" t="n">
        <v>0</v>
      </c>
      <c r="D27338" t="inlineStr">
        <is>
          <t>Pelle de Nidas; Amulette du Strigide; Bracelet du Piloztère; Alliance Gloursonne; Bouclier Taverne; Ceintacé; Coiffe d'Ogivol; Cape des Justiciers; Bottes du Strigide; Dofus Émeraude; Dofus Pourpre; Nomade; Vigoureux majeur; Miraculé majeur; Remueur; Muldo Doré et Ebène</t>
        </is>
      </c>
    </row>
    <row r="27339">
      <c r="A27339" t="inlineStr">
        <is>
          <t>Srambad</t>
        </is>
      </c>
      <c r="B27339">
        <f>HYPERLINK("https://www.dofusbook.net/fr/equipement/986649-srambad/objets", "link")</f>
        <v/>
      </c>
      <c r="C27339" t="n">
        <v>0</v>
      </c>
      <c r="D27339" t="inlineStr">
        <is>
          <t>Dagues de Srambad; Amulette du Strigide; Alliance Gloursonne; Pikano; Bouclier du Captain Amakna; Ceintacé; Coiffe de la Reine des Voleurs; Cape du Chalœil; Bottes de la Reine des Voleurs; Dofus Pourpre; Dofus Émeraude; Remueur; Vigoureux majeur; Nomade; Enragé majeur; Kramkram</t>
        </is>
      </c>
    </row>
    <row r="27340">
      <c r="A27340" t="inlineStr">
        <is>
          <t>Stuff 2</t>
        </is>
      </c>
      <c r="B27340">
        <f>HYPERLINK("https://www.dofusbook.net/fr/equipement/27670-stuff-2/objets", "link")</f>
        <v/>
      </c>
      <c r="C27340" t="n">
        <v>0</v>
      </c>
      <c r="D27340" t="inlineStr">
        <is>
          <t>Marteau Phossile; Amulette du Strigide; Alliance Gloursonne; Grésilanneau; Ceinture de Vortex; Casque Cyclopéen; Cape de Diondin; Bottes du Strigide; Dofus Pourpre; Cascadeur majeur; Vigoureux majeur; Remueur; Nomade; Kramkram</t>
        </is>
      </c>
    </row>
    <row r="27341">
      <c r="A27341" t="inlineStr">
        <is>
          <t>Terre Feu 199</t>
        </is>
      </c>
      <c r="B27341">
        <f>HYPERLINK("https://www.dofusbook.net/fr/equipement/938667-terre-feu-199/objets", "link")</f>
        <v/>
      </c>
      <c r="C27341" t="n">
        <v>0</v>
      </c>
      <c r="D27341" t="inlineStr">
        <is>
          <t>Hache Téroïde; Kralamansion; Gelano; Bague Gloursonne; Bivalve; Ceinture du Comte Razof; Chapeau du Comte Razof; Cape Hiculteur; Pantoufles Émar; Dofus Pourpre; Nomade; Guérisseur majeur; Remueur; Vigoureux majeur; Observateur; Kramkram</t>
        </is>
      </c>
    </row>
    <row r="27342">
      <c r="A27342" t="inlineStr">
        <is>
          <t>Stuff 1</t>
        </is>
      </c>
      <c r="B27342">
        <f>HYPERLINK("https://www.dofusbook.net/fr/equipement/27678-stuff-1/objets", "link")</f>
        <v/>
      </c>
      <c r="C27342" t="n">
        <v>0</v>
      </c>
      <c r="D27342" t="inlineStr">
        <is>
          <t>Pyraguette; Talisman Igans; Alliance Gloursonne; Anneauræus; Bivalve; Ceinture de Vortex; Casquette de Meno; Cape de Diondin; Bottes de Meno; Dofus Pourpre; Nomade; Vigoureux majeur; Guérisseur majeur; Érudit majeur; Remueur; Kramkram</t>
        </is>
      </c>
    </row>
    <row r="27343">
      <c r="A27343" t="inlineStr">
        <is>
          <t>Multi</t>
        </is>
      </c>
      <c r="B27343">
        <f>HYPERLINK("https://www.dofusbook.net/fr/equipement/929844-multi/objets", "link")</f>
        <v/>
      </c>
      <c r="C27343" t="n">
        <v>0</v>
      </c>
      <c r="D27343" t="inlineStr">
        <is>
          <t>Epée Toche; Amulette du Strigide; Bracelet du Piloztère; Bague Gloursonne; Bouclier Taverne; Ceintacé; Couronne du Roi Joueur; Voile d'encre; Bottes du Strigide; Dofus Pourpre; Dolmanax; Dofus des Glaces; Nomade; Vigoureux majeur; Remueur</t>
        </is>
      </c>
    </row>
    <row r="27344">
      <c r="A27344" t="inlineStr">
        <is>
          <t>Atcham</t>
        </is>
      </c>
      <c r="B27344">
        <f>HYPERLINK("https://www.dofusbook.net/fr/equipement/762600-atcham/objets", "link")</f>
        <v/>
      </c>
      <c r="C27344" t="n">
        <v>1</v>
      </c>
      <c r="D27344" t="inlineStr">
        <is>
          <t>Sabres d'Atcham; Amulette du Strigide; Kralano; Alliance Gloursonne; Bivalve; Ceinture de Vortex; Casquette de Meno; Cape de Diondin; Bottes de Meno; Dofus Pourpre; Nomade; Érudit majeur; Guérisseur majeur; Remueur; Vigoureux majeur; Kramkram</t>
        </is>
      </c>
    </row>
    <row r="27345">
      <c r="A27345" t="inlineStr">
        <is>
          <t>Full feu tard</t>
        </is>
      </c>
      <c r="B27345">
        <f>HYPERLINK("https://www.dofusbook.net/fr/equipement/834652-full-feu-tard/objets", "link")</f>
        <v/>
      </c>
      <c r="C27345" t="n">
        <v>0</v>
      </c>
      <c r="D27345" t="inlineStr">
        <is>
          <t>Pyraguette; Talisman Igans; Anneau Tamie; Anneau Tamie; Quatre-feuilles; Ceintrigue; Coiffe Séculaire; Cape de Diondin; Bottes Innommables; Dofus des Glaces; Dofus Pourpre; Nomade; Dévastateur Feu majeur; Remueur; Érudit majeur; Brûlih</t>
        </is>
      </c>
    </row>
    <row r="27346">
      <c r="A27346" t="inlineStr">
        <is>
          <t>Srambad</t>
        </is>
      </c>
      <c r="B27346">
        <f>HYPERLINK("https://www.dofusbook.net/fr/equipement/819938-srambad/objets", "link")</f>
        <v/>
      </c>
      <c r="C27346" t="n">
        <v>0</v>
      </c>
      <c r="D27346" t="inlineStr">
        <is>
          <t>Arc de Koutoulou; Amulette du Strigide; Grésilanneau; Alliance Gloursonne; Quatre-feuilles; Ceinture Voldelor; Le Dorado; Cape du Chalœil; Bottes du Strigide; Dofus des Glaces; Dolmanax; Dofus Pourpre; Nomade; Vigoureux majeur; Remueur; Kramkram</t>
        </is>
      </c>
    </row>
    <row r="27347">
      <c r="A27347" t="inlineStr">
        <is>
          <t>Re crit</t>
        </is>
      </c>
      <c r="B27347">
        <f>HYPERLINK("https://www.dofusbook.net/fr/equipement/795023-re-crit/objets", "link")</f>
        <v/>
      </c>
      <c r="C27347" t="n">
        <v>0</v>
      </c>
      <c r="D27347" t="inlineStr">
        <is>
          <t>Amulette Hale; Bague Trithon; Pikano; Ceinture de la Reine des Voleurs; Coiffe de la Reine des Voleurs; Cape Tif; Bottes de la Reine des Voleurs</t>
        </is>
      </c>
    </row>
    <row r="27348">
      <c r="A27348" t="inlineStr">
        <is>
          <t>Stuff 1</t>
        </is>
      </c>
      <c r="B27348">
        <f>HYPERLINK("https://www.dofusbook.net/fr/equipement/713178-stuff-1/objets", "link")</f>
        <v/>
      </c>
      <c r="C27348" t="n">
        <v>0</v>
      </c>
      <c r="D27348" t="inlineStr">
        <is>
          <t>Dagues de Srambad; Amulette de Pol Ouatnos; Pikano; Anneau de la Fuji Givrefoux; Ceinture Luminescente; Coiffe de la Reine des Voleurs; Cape Luminescente; Baleinabottes; Dofus Pourpre; Chanceux majeur; Vigoureux majeur; Nomade; Enragé majeur; Remueur; Kramkram; Bouclier de l'Agence Touriste</t>
        </is>
      </c>
    </row>
    <row r="27349">
      <c r="A27349" t="inlineStr">
        <is>
          <t>Necro</t>
        </is>
      </c>
      <c r="B27349">
        <f>HYPERLINK("https://www.dofusbook.net/fr/equipement/690393-necro/objets", "link")</f>
        <v/>
      </c>
      <c r="C27349" t="n">
        <v>0</v>
      </c>
      <c r="D27349" t="inlineStr">
        <is>
          <t>Épée Brûlâme; Collier de la Dame du Hasard; Alliance Gloursonne; Goulano; Bouclier d'Ilyzaelle; Ceinture de Vortex; Masque de l'Esprit Malsain; Cape de la Dame du Hasard; Pataugastrique; Dofus Turquoise; Dofus Pourpre; Dofus des Glaces; Remueur; Vigoureux majeur; Nomade; Muldo Doré et Orchidée</t>
        </is>
      </c>
    </row>
    <row r="27350">
      <c r="A27350" t="inlineStr">
        <is>
          <t>Stuff 1</t>
        </is>
      </c>
      <c r="B27350">
        <f>HYPERLINK("https://www.dofusbook.net/fr/equipement/27666-stuff-1/objets", "link")</f>
        <v/>
      </c>
      <c r="C27350" t="n">
        <v>0</v>
      </c>
      <c r="D27350" t="inlineStr">
        <is>
          <t>Hache du Chalœil; Kralamansion; Alliance du Lévitrof; Grésilanneau; Ceintacé; Casque du Chalœil; Voile d'encre; Bottes du Chalœil; Dofus Pourpre; Dolmanax; Vigoureux majeur; Nomade; Enragé majeur; Remueur</t>
        </is>
      </c>
    </row>
    <row r="27351">
      <c r="A27351" t="inlineStr">
        <is>
          <t>Semi multi</t>
        </is>
      </c>
      <c r="B27351">
        <f>HYPERLINK("https://www.dofusbook.net/fr/equipement/687674-semi-multi/objets", "link")</f>
        <v/>
      </c>
      <c r="C27351" t="n">
        <v>0</v>
      </c>
      <c r="D27351" t="inlineStr">
        <is>
          <t>Marteau de Katrepat; Amulette du Strigide; Alliance Gloursonne; Grésilanneau; Bouclier Taverne; Menoture; Le Dorado; Cape d'Hel Munster; Bottes du Strigide; Dofus Pourpre; Dolmanax; Cascadeur majeur; Vigoureux majeur; Nomade; Remueur; Kramkram</t>
        </is>
      </c>
    </row>
    <row r="27352">
      <c r="A27352" t="inlineStr">
        <is>
          <t>Stuff 2</t>
        </is>
      </c>
      <c r="B27352">
        <f>HYPERLINK("https://www.dofusbook.net/fr/equipement/27673-stuff-2/objets", "link")</f>
        <v/>
      </c>
      <c r="C27352" t="n">
        <v>0</v>
      </c>
      <c r="D27352" t="inlineStr">
        <is>
          <t>Baguette Hique; Amulette du Glourséleste; Pikano; Anneau Tamie; Ceinture Instable; Casquipik; Cape Matelassée; Pantoufles Émar; Temporiseur; Temporiseur majeur; Ralentisseur majeur; Remueur; Entraveur; Entraveur majeur; Dragodinde Emeraude et Rousse</t>
        </is>
      </c>
    </row>
    <row r="27353">
      <c r="A27353" t="inlineStr">
        <is>
          <t>Stuff 2</t>
        </is>
      </c>
      <c r="B27353">
        <f>HYPERLINK("https://www.dofusbook.net/fr/equipement/27693-stuff-2/objets", "link")</f>
        <v/>
      </c>
      <c r="C27353" t="n">
        <v>0</v>
      </c>
      <c r="D27353" t="inlineStr">
        <is>
          <t>Marteau Phossile; Pendentif mignon de Koutoulou; Menoture; Casque Cyclopéen; Cape de l'Œil Putride; Pantoufles Émar</t>
        </is>
      </c>
    </row>
    <row r="27354">
      <c r="A27354" t="inlineStr">
        <is>
          <t>Stuff 2</t>
        </is>
      </c>
      <c r="B27354">
        <f>HYPERLINK("https://www.dofusbook.net/fr/equipement/27654-stuff-2/objets", "link")</f>
        <v/>
      </c>
      <c r="C27354" t="n">
        <v>0</v>
      </c>
      <c r="D27354" t="inlineStr">
        <is>
          <t>Marteau des égarés; Amulette du Strigide; Alliance Gloursonne; Grésilanneau; Bouclier Taverne; Ceintacé; Casque du Chalœil; Voile d'encre; Bottes du Strigide; Dolmanax; Dofus des Glaces; Dofus Pourpre; Remueur; Vigoureux majeur; Nomade; Muldo Doré et Emeraude</t>
        </is>
      </c>
    </row>
    <row r="27355">
      <c r="A27355" t="inlineStr">
        <is>
          <t>Stuff 3</t>
        </is>
      </c>
      <c r="B27355">
        <f>HYPERLINK("https://www.dofusbook.net/fr/equipement/27688-stuff-3/objets", "link")</f>
        <v/>
      </c>
      <c r="C27355" t="n">
        <v>0</v>
      </c>
      <c r="D27355" t="inlineStr">
        <is>
          <t>Marteau Reine; Collier du Valet Veinard; Alliance Gloursonne; Gant du Valet Veinard; Ceintouse; Chapoulpe; Cape du Valet Veinard; Tentassons; Dofus Émeraude; Dofus Pourpre; Dolmanax; Dofus des Glaces; Dofus Ocre; Robuste majeur</t>
        </is>
      </c>
    </row>
    <row r="27356">
      <c r="A27356" t="inlineStr">
        <is>
          <t>Stuff 3</t>
        </is>
      </c>
      <c r="B27356">
        <f>HYPERLINK("https://www.dofusbook.net/fr/equipement/27683-stuff-3/objets", "link")</f>
        <v/>
      </c>
      <c r="C27356" t="n">
        <v>1</v>
      </c>
      <c r="D27356" t="inlineStr">
        <is>
          <t>Le Thanos; Kralamansion; Chevalière du Roi Joueur; Anneau de Nidas; Ceinture de Vortex; Couronne de Nidas; Voile d'encre; Pantoufles Émar; Miraculé majeur; Nomade; Guérisseur majeur; Érudit majeur; Vigoureux majeur; Remueur; Brûlih</t>
        </is>
      </c>
    </row>
    <row r="27357">
      <c r="A27357" t="inlineStr">
        <is>
          <t>Stuff 2</t>
        </is>
      </c>
      <c r="B27357">
        <f>HYPERLINK("https://www.dofusbook.net/fr/equipement/27673-stuff-2/objets", "link")</f>
        <v/>
      </c>
      <c r="C27357" t="n">
        <v>0</v>
      </c>
      <c r="D27357" t="inlineStr">
        <is>
          <t>Baguette Hique; Amulette du Glourséleste; Pikano; Anneau Tamie; Ceinture Instable; Casquipik; Cape Matelassée; Pantoufles Émar; Ralentisseur majeur; Remueur; Entraveur; Entraveur majeur; Temporiseur; Temporiseur majeur; Dragodinde Emeraude et Rousse</t>
        </is>
      </c>
    </row>
    <row r="27358">
      <c r="A27358" t="inlineStr">
        <is>
          <t>Stuff 3</t>
        </is>
      </c>
      <c r="B27358">
        <f>HYPERLINK("https://www.dofusbook.net/fr/equipement/27668-stuff-3/objets", "link")</f>
        <v/>
      </c>
      <c r="C27358" t="n">
        <v>0</v>
      </c>
      <c r="D27358" t="inlineStr">
        <is>
          <t>Dagues de Srambad; Amulette de Pol Ouatnos; Pikano; Anneau de la Fuji Givrefoux; Ceinture Luminescente; Le Dorado; Cape Luminescente; Bottes du Lévitrof; Dofus Pourpre; Déserteur majeur; Remueur; Temporiseur majeur; Nomade; Vigoureux majeur; Kramkram</t>
        </is>
      </c>
    </row>
    <row r="27359">
      <c r="A27359" t="inlineStr">
        <is>
          <t>Stuff 3</t>
        </is>
      </c>
      <c r="B27359">
        <f>HYPERLINK("https://www.dofusbook.net/fr/equipement/27662-stuff-3/objets", "link")</f>
        <v/>
      </c>
      <c r="C27359" t="n">
        <v>0</v>
      </c>
      <c r="D27359" t="inlineStr">
        <is>
          <t>Bâton Champmanique; Kralamansion; Gelano; Alliance de Missiz Frizz; Ougature; Casque de Missiz Frizz; Cape Peupret; Sabots Minables; Dofus Pourpre; Déserteur majeur; Remueur; Miraculé majeur; Nomade; Vigoureux majeur; Kramkram</t>
        </is>
      </c>
    </row>
    <row r="27360">
      <c r="A27360" t="inlineStr">
        <is>
          <t>Stuff 1</t>
        </is>
      </c>
      <c r="B27360">
        <f>HYPERLINK("https://www.dofusbook.net/fr/equipement/27695-stuff-1/objets", "link")</f>
        <v/>
      </c>
      <c r="C27360" t="n">
        <v>0</v>
      </c>
      <c r="D27360" t="inlineStr">
        <is>
          <t>La Baguette des Limbes; La Meulette; Anneau du Chêne Mou; Gelano; Ceinture de Fraktale; Dora Bora; Cape Phossile; Bottes Phossiles; Remueur; Vigoureux majeur; Miraculé majeur; Nomade; Enragé majeur; Érudit majeur; Kramkram</t>
        </is>
      </c>
    </row>
    <row r="27361">
      <c r="A27361" t="inlineStr">
        <is>
          <t>Stuff 2</t>
        </is>
      </c>
      <c r="B27361">
        <f>HYPERLINK("https://www.dofusbook.net/fr/equipement/27690-stuff-2/objets", "link")</f>
        <v/>
      </c>
      <c r="C27361" t="n">
        <v>1</v>
      </c>
      <c r="D27361" t="inlineStr">
        <is>
          <t>Epée Kari; Ougamulette; Grésilanneau; Gelano; Ceinture du Père Fwetar; Casque de Missiz Frizz; Cape Matelassée; Bottes du Père Fwetar; Dofus Pourpre; Dofus Émeraude; Vigoureux majeur; Nomade; Remueur; Miraculé majeur; Kramkram</t>
        </is>
      </c>
    </row>
    <row r="27362">
      <c r="A27362" t="inlineStr">
        <is>
          <t>Stuff 2</t>
        </is>
      </c>
      <c r="B27362">
        <f>HYPERLINK("https://www.dofusbook.net/fr/equipement/27685-stuff-2/objets", "link")</f>
        <v/>
      </c>
      <c r="C27362" t="n">
        <v>0</v>
      </c>
      <c r="D27362" t="inlineStr">
        <is>
          <t>Dague Hirr; Amulette Hendart; Grésilanneau; Gelano; Ougature; Coiffe de la Fuji Givrefoux; Cape de la Fuji Givrefoux; Sabots Minables; Dofus Pourpre; Enragé majeur; Nomade; Vigoureux majeur; Miraculé majeur; Remueur; Kramkram</t>
        </is>
      </c>
    </row>
    <row r="27363">
      <c r="A27363" t="inlineStr">
        <is>
          <t>Stuff 3</t>
        </is>
      </c>
      <c r="B27363">
        <f>HYPERLINK("https://www.dofusbook.net/fr/equipement/27680-stuff-3/objets", "link")</f>
        <v/>
      </c>
      <c r="C27363" t="n">
        <v>0</v>
      </c>
      <c r="D27363" t="inlineStr">
        <is>
          <t>Sabres d'Atcham; Talisman Igans; Anneau de Padgref; Alliance Gloursonne; Bivalve; Ceinture de Vortex; Chapeau des Malveilleurs; Cape des Malveilleurs; Pataugastrique; Dofus Pourpre; Guérisseur majeur; Nomade; Vigoureux majeur; Remueur; Érudit majeur; Kramkram</t>
        </is>
      </c>
    </row>
    <row r="27364">
      <c r="A27364" t="inlineStr">
        <is>
          <t>Stuff 3</t>
        </is>
      </c>
      <c r="B27364">
        <f>HYPERLINK("https://www.dofusbook.net/fr/equipement/27665-stuff-3/objets", "link")</f>
        <v/>
      </c>
      <c r="C27364" t="n">
        <v>0</v>
      </c>
      <c r="D27364" t="inlineStr">
        <is>
          <t>Hache du Chalœil; Amulette du Strigide; Alliance du Lévitrof; Alliance Gloursonne; Bouclier Taverne; Ceinture du Strigide; Le Dorado; Voile d'encre; Pantoufles du Piloztère; Dofus Pourpre; Dofus des Glaces; Dolmanax; Nomade; Remueur; Vigoureux majeur; Kramkram</t>
        </is>
      </c>
    </row>
    <row r="27365">
      <c r="A27365" t="inlineStr">
        <is>
          <t>Stuff 1</t>
        </is>
      </c>
      <c r="B27365">
        <f>HYPERLINK("https://www.dofusbook.net/fr/equipement/27697-stuff-1/objets", "link")</f>
        <v/>
      </c>
      <c r="C27365" t="n">
        <v>0</v>
      </c>
      <c r="D27365" t="inlineStr">
        <is>
          <t>Dagues de Srambad; Amulette du Strigide; Pikano; Alliance Gloursonne; Ceinture de la Reine des Voleurs; Coiffe de la Reine des Voleurs; Cape Luminescente; Baleinabottes; Dofus Émeraude; Dofus des Glaces; Dofus Pourpre; Vigoureux majeur; Remueur; Nomade; Kramkram</t>
        </is>
      </c>
    </row>
    <row r="27366">
      <c r="A27366" t="inlineStr">
        <is>
          <t>Stuff 3</t>
        </is>
      </c>
      <c r="B27366">
        <f>HYPERLINK("https://www.dofusbook.net/fr/equipement/27659-stuff-3/objets", "link")</f>
        <v/>
      </c>
      <c r="C27366" t="n">
        <v>0</v>
      </c>
      <c r="D27366" t="inlineStr">
        <is>
          <t>Pendentif mignon de Koutoulou; Anneau Rifique; Anneau Tamie; Ceintrigue; Casque Cyclopéen; Cape de Diondin; Bottes Owesli; Dofus des Glaces; Dofus Pourpre</t>
        </is>
      </c>
    </row>
    <row r="27367">
      <c r="A27367" t="inlineStr">
        <is>
          <t>Stuff 1</t>
        </is>
      </c>
      <c r="B27367">
        <f>HYPERLINK("https://www.dofusbook.net/fr/equipement/27692-stuff-1/objets", "link")</f>
        <v/>
      </c>
      <c r="C27367" t="n">
        <v>0</v>
      </c>
      <c r="D27367" t="inlineStr">
        <is>
          <t>Hache du Chalœil; Amulette du Strigide; Anneau Toriété; Chevalière du Roi Joueur; Bouclier Taverne; Ceinture du Strigide; Casque du Chalœil; Cape de la Dame du Hasard; Baleinabottes; Dofus Turquoise; Dofus des Glaces; Dofus Pourpre; Remueur; Vigoureux majeur; Nomade; Kramkram</t>
        </is>
      </c>
    </row>
    <row r="27368">
      <c r="A27368" t="inlineStr">
        <is>
          <t>Stuff 1</t>
        </is>
      </c>
      <c r="B27368">
        <f>HYPERLINK("https://www.dofusbook.net/fr/equipement/27687-stuff-1/objets", "link")</f>
        <v/>
      </c>
      <c r="C27368" t="n">
        <v>0</v>
      </c>
      <c r="D27368" t="inlineStr">
        <is>
          <t>Hache du Chalœil; Amulette du Strigide; Bracelet du Piloztère; Chevalière du Roi Joueur; Quatre-feuilles; Ceintacé; Casque du Chalœil; Cape des Justiciers; Bottes du Strigide; Dofus des Glaces; Dolmanax; Dofus Pourpre; Vigoureux majeur; Remueur; Nomade; Muldo Indigo et Pourpre</t>
        </is>
      </c>
    </row>
    <row r="27369">
      <c r="A27369" t="inlineStr">
        <is>
          <t>Stuff 2</t>
        </is>
      </c>
      <c r="B27369">
        <f>HYPERLINK("https://www.dofusbook.net/fr/equipement/27682-stuff-2/objets", "link")</f>
        <v/>
      </c>
      <c r="C27369" t="n">
        <v>2</v>
      </c>
      <c r="D27369" t="inlineStr">
        <is>
          <t>Le Thanos; Amulette d'Otomaï; Anneau de Padgref; Gelano; Frimature; Coiffe de Padgref; Cape de Nileza; Pantoufles Émar; Déserteur majeur; Nomade; Miraculé majeur; Érudit majeur; Remueur; Vigoureux majeur; Kramkram</t>
        </is>
      </c>
    </row>
    <row r="27370">
      <c r="A27370" t="inlineStr">
        <is>
          <t>Stuff 3</t>
        </is>
      </c>
      <c r="B27370">
        <f>HYPERLINK("https://www.dofusbook.net/fr/equipement/27677-stuff-3/objets", "link")</f>
        <v/>
      </c>
      <c r="C27370" t="n">
        <v>0</v>
      </c>
      <c r="D27370" t="inlineStr">
        <is>
          <t>Dagues Érhy; Amulette du Strigide; Anneau Chevelu; Bague Gloursonne; Ceinture du Strigide; Bonnet Ko; Voile d'encre; Bottes du Cycloïde; Dofus Ocre; Dofus Turquoise; Dofus Pourpre; Nomade; Vigoureux majeur; Remueur</t>
        </is>
      </c>
    </row>
    <row r="27371">
      <c r="A27371" t="inlineStr">
        <is>
          <t>Stuff 1</t>
        </is>
      </c>
      <c r="B27371">
        <f>HYPERLINK("https://www.dofusbook.net/fr/equipement/27672-stuff-1/objets", "link")</f>
        <v/>
      </c>
      <c r="C27371" t="n">
        <v>0</v>
      </c>
      <c r="D27371" t="inlineStr">
        <is>
          <t>Arc Hétype; Collier de la Dame du Hasard; Chevalière du Roi Joueur; Anneau de Nidas; Bouclier cubiste; Ceinture de Kongoku; Casquette de Meno; Cape de la Dame du Hasard; Pataugastrique; Dofus Pourpre; Ralentisseur majeur; Nomade; Entraveur majeur; Remueur; Temporiseur majeur; Muldo Doré et Amande</t>
        </is>
      </c>
    </row>
    <row r="27372">
      <c r="A27372" t="inlineStr">
        <is>
          <t>Stuff 2</t>
        </is>
      </c>
      <c r="B27372">
        <f>HYPERLINK("https://www.dofusbook.net/fr/equipement/27667-stuff-2/objets", "link")</f>
        <v/>
      </c>
      <c r="C27372" t="n">
        <v>0</v>
      </c>
      <c r="D27372" t="inlineStr">
        <is>
          <t>Hache du Chalœil; Amulette de Pol Ouatnos; Bracelet du Piloztère; Alliance du Lévitrof; Ceinture Luminescente; Le Dorado; Cape Luminescente; Chaussures Hau; Dofus Pourpre; Nomade; Déserteur majeur; Remueur; Temporiseur majeur; Vigoureux majeur; Kramkram</t>
        </is>
      </c>
    </row>
    <row r="27373">
      <c r="A27373" t="inlineStr">
        <is>
          <t>Stuff 3</t>
        </is>
      </c>
      <c r="B27373">
        <f>HYPERLINK("https://www.dofusbook.net/fr/equipement/27688-stuff-3/objets", "link")</f>
        <v/>
      </c>
      <c r="C27373" t="n">
        <v>0</v>
      </c>
      <c r="D27373" t="inlineStr">
        <is>
          <t>Marteau Reine; Collier du Valet Veinard; Alliance Gloursonne; Gant du Valet Veinard; Ceintouse; Chapoulpe; Cape du Valet Veinard; Tentassons; Dofus des Glaces; Dofus Ocre; Dofus Émeraude; Dofus Pourpre; Dolmanax; Robuste majeur</t>
        </is>
      </c>
    </row>
    <row r="27374">
      <c r="A27374" t="inlineStr">
        <is>
          <t>Stuff 3</t>
        </is>
      </c>
      <c r="B27374">
        <f>HYPERLINK("https://www.dofusbook.net/fr/equipement/27683-stuff-3/objets", "link")</f>
        <v/>
      </c>
      <c r="C27374" t="n">
        <v>1</v>
      </c>
      <c r="D27374" t="inlineStr">
        <is>
          <t>Le Thanos; Kralamansion; Anneau de Nidas; Chevalière du Roi Joueur; Ceinture de Vortex; Couronne de Nidas; Voile d'encre; Pantoufles Émar; Miraculé majeur; Nomade; Guérisseur majeur; Érudit majeur; Vigoureux majeur; Remueur; Brûlih</t>
        </is>
      </c>
    </row>
    <row r="27375">
      <c r="A27375" t="inlineStr">
        <is>
          <t>Stuff 2</t>
        </is>
      </c>
      <c r="B27375">
        <f>HYPERLINK("https://www.dofusbook.net/fr/equipement/27673-stuff-2/objets", "link")</f>
        <v/>
      </c>
      <c r="C27375" t="n">
        <v>0</v>
      </c>
      <c r="D27375" t="inlineStr">
        <is>
          <t>Baguette Hique; Amulette du Glourséleste; Anneau Tamie; Pikano; Ceinture Instable; Casquipik; Cape Matelassée; Pantoufles Émar; Ralentisseur majeur; Remueur; Entraveur; Entraveur majeur; Temporiseur; Temporiseur majeur; Dragodinde Emeraude et Rousse</t>
        </is>
      </c>
    </row>
    <row r="27376">
      <c r="A27376" t="inlineStr">
        <is>
          <t>Stuff 3</t>
        </is>
      </c>
      <c r="B27376">
        <f>HYPERLINK("https://www.dofusbook.net/fr/equipement/27668-stuff-3/objets", "link")</f>
        <v/>
      </c>
      <c r="C27376" t="n">
        <v>0</v>
      </c>
      <c r="D27376" t="inlineStr">
        <is>
          <t>Dagues de Srambad; Amulette de Pol Ouatnos; Pikano; Anneau de la Fuji Givrefoux; Ceinture Luminescente; Le Dorado; Cape Luminescente; Bottes du Lévitrof; Dofus Pourpre; Vigoureux majeur; Déserteur majeur; Remueur; Temporiseur majeur; Nomade; Kramkram</t>
        </is>
      </c>
    </row>
    <row r="27377">
      <c r="A27377" t="inlineStr">
        <is>
          <t>Stuff 3</t>
        </is>
      </c>
      <c r="B27377">
        <f>HYPERLINK("https://www.dofusbook.net/fr/equipement/27662-stuff-3/objets", "link")</f>
        <v/>
      </c>
      <c r="C27377" t="n">
        <v>0</v>
      </c>
      <c r="D27377" t="inlineStr">
        <is>
          <t>Bâton Champmanique; Kralamansion; Gelano; Alliance de Missiz Frizz; Ougature; Casque de Missiz Frizz; Cape Peupret; Sabots Minables; Dofus Pourpre; Déserteur majeur; Remueur; Miraculé majeur; Nomade; Vigoureux majeur; Kramkram</t>
        </is>
      </c>
    </row>
    <row r="27378">
      <c r="A27378" t="inlineStr">
        <is>
          <t>Stuff 1</t>
        </is>
      </c>
      <c r="B27378">
        <f>HYPERLINK("https://www.dofusbook.net/fr/equipement/27695-stuff-1/objets", "link")</f>
        <v/>
      </c>
      <c r="C27378" t="n">
        <v>0</v>
      </c>
      <c r="D27378" t="inlineStr">
        <is>
          <t>La Baguette des Limbes; La Meulette; Gelano; Anneau du Chêne Mou; Ceinture de Fraktale; Dora Bora; Cape Phossile; Bottes Phossiles; Remueur; Vigoureux majeur; Miraculé majeur; Nomade; Enragé majeur; Érudit majeur; Kramkram</t>
        </is>
      </c>
    </row>
    <row r="27379">
      <c r="A27379" t="inlineStr">
        <is>
          <t>Stuff 2</t>
        </is>
      </c>
      <c r="B27379">
        <f>HYPERLINK("https://www.dofusbook.net/fr/equipement/27690-stuff-2/objets", "link")</f>
        <v/>
      </c>
      <c r="C27379" t="n">
        <v>1</v>
      </c>
      <c r="D27379" t="inlineStr">
        <is>
          <t>Epée Kari; Ougamulette; Gelano; Grésilanneau; Ceinture du Père Fwetar; Casque de Missiz Frizz; Cape Matelassée; Bottes du Père Fwetar; Dofus Pourpre; Dofus Émeraude; Miraculé majeur; Vigoureux majeur; Nomade; Remueur; Kramkram</t>
        </is>
      </c>
    </row>
    <row r="27380">
      <c r="A27380" t="inlineStr">
        <is>
          <t>Stuff 2</t>
        </is>
      </c>
      <c r="B27380">
        <f>HYPERLINK("https://www.dofusbook.net/fr/equipement/27685-stuff-2/objets", "link")</f>
        <v/>
      </c>
      <c r="C27380" t="n">
        <v>0</v>
      </c>
      <c r="D27380" t="inlineStr">
        <is>
          <t>Dague Hirr; Amulette Hendart; Grésilanneau; Gelano; Ougature; Coiffe de la Fuji Givrefoux; Cape de la Fuji Givrefoux; Sabots Minables; Dofus Pourpre; Nomade; Vigoureux majeur; Miraculé majeur; Remueur; Enragé majeur; Kramkram</t>
        </is>
      </c>
    </row>
    <row r="27381">
      <c r="A27381" t="inlineStr">
        <is>
          <t>Stuff 3</t>
        </is>
      </c>
      <c r="B27381">
        <f>HYPERLINK("https://www.dofusbook.net/fr/equipement/27680-stuff-3/objets", "link")</f>
        <v/>
      </c>
      <c r="C27381" t="n">
        <v>0</v>
      </c>
      <c r="D27381" t="inlineStr">
        <is>
          <t>Sabres d'Atcham; Talisman Igans; Alliance Gloursonne; Anneau de Padgref; Bivalve; Ceinture de Vortex; Chapeau des Malveilleurs; Cape des Malveilleurs; Pataugastrique; Dofus Pourpre; Vigoureux majeur; Remueur; Érudit majeur; Guérisseur majeur; Nomade; Kramkram</t>
        </is>
      </c>
    </row>
    <row r="27382">
      <c r="A27382" t="inlineStr">
        <is>
          <t>Stuff 3</t>
        </is>
      </c>
      <c r="B27382">
        <f>HYPERLINK("https://www.dofusbook.net/fr/equipement/27665-stuff-3/objets", "link")</f>
        <v/>
      </c>
      <c r="C27382" t="n">
        <v>0</v>
      </c>
      <c r="D27382" t="inlineStr">
        <is>
          <t>Hache du Chalœil; Amulette du Strigide; Alliance Gloursonne; Alliance du Lévitrof; Bouclier Taverne; Ceinture du Strigide; Le Dorado; Voile d'encre; Pantoufles du Piloztère; Dolmanax; Dofus Pourpre; Dofus des Glaces; Vigoureux majeur; Nomade; Remueur; Kramkram</t>
        </is>
      </c>
    </row>
    <row r="27383">
      <c r="A27383" t="inlineStr">
        <is>
          <t>Stuff 1</t>
        </is>
      </c>
      <c r="B27383">
        <f>HYPERLINK("https://www.dofusbook.net/fr/equipement/27697-stuff-1/objets", "link")</f>
        <v/>
      </c>
      <c r="C27383" t="n">
        <v>0</v>
      </c>
      <c r="D27383" t="inlineStr">
        <is>
          <t>Dagues de Srambad; Amulette du Strigide; Pikano; Alliance Gloursonne; Ceinture de la Reine des Voleurs; Coiffe de la Reine des Voleurs; Cape Luminescente; Baleinabottes; Dofus des Glaces; Dofus Pourpre; Dofus Émeraude; Remueur; Nomade; Vigoureux majeur; Kramkram</t>
        </is>
      </c>
    </row>
    <row r="27384">
      <c r="A27384" t="inlineStr">
        <is>
          <t>Iop F 200</t>
        </is>
      </c>
      <c r="B27384">
        <f>HYPERLINK("https://www.dofusbook.net/fr/equipement/5977206-iop-f-200/objets", "link")</f>
        <v/>
      </c>
      <c r="C27384" t="n">
        <v>1</v>
      </c>
      <c r="D27384" t="inlineStr">
        <is>
          <t>Crocobur; Amulette de l'Œil Attentif; Anneau Volkorne; Anneau Toriété; Bouclier d'Ilyzaelle; Ceinture Volkorne; Kidibonnet; Cape de Mantaze; Pataugastrique; Carapace Terre majeur; Remueur; Chanceux majeur; Carapace Feu majeur; Nomade; Kanigloups</t>
        </is>
      </c>
    </row>
    <row r="27385">
      <c r="A27385" t="inlineStr">
        <is>
          <t>Iop F 200</t>
        </is>
      </c>
      <c r="B27385">
        <f>HYPERLINK("https://www.dofusbook.net/fr/equipement/5936688-iop-f-200/objets", "link")</f>
        <v/>
      </c>
      <c r="C27385" t="n">
        <v>1</v>
      </c>
      <c r="D27385" t="inlineStr">
        <is>
          <t>Dagues d'Ilyzaelle; Amulette du Strigide; Anneau Crustique; Anneau Crustique; Bouclier du Captain Amakna; Ceinture Volkorne; Masque de Koutoulou; Cape au Logis; Bottes du Strigide; Dofus Ébène; Dofus Turquoise; Carapace Neutre majeur; Nomade; Carapace Terre majeur; Remueur; Pioute vert</t>
        </is>
      </c>
    </row>
    <row r="27386">
      <c r="A27386" t="inlineStr">
        <is>
          <t>Pandawa M 200</t>
        </is>
      </c>
      <c r="B27386">
        <f>HYPERLINK("https://www.dofusbook.net/fr/equipement/6017021-pandawa-m-200/objets", "link")</f>
        <v/>
      </c>
      <c r="C27386" t="n">
        <v>0</v>
      </c>
      <c r="D27386" t="inlineStr">
        <is>
          <t>Arc Nécrotique; Amulette Volkorne; Anneau Volkorne; Alliance Gloursonne; Quatre-feuilles; Ceinture Volkorne; Le Dorado; Cape de la Dame du Hasard; Bottes de la Dame du Hasard; Dofus Ivoire; Dofus Pourpre; Dofus Turquoise; Dofus Ébène; Dofus Ocre; Dofus des Glaces; Kokulte</t>
        </is>
      </c>
    </row>
    <row r="27387">
      <c r="A27387" t="inlineStr">
        <is>
          <t>Féca Pvm dist</t>
        </is>
      </c>
      <c r="B27387">
        <f>HYPERLINK("https://www.dofusbook.net/fr/equipement/5936122-feca-pvm-dist/objets", "link")</f>
        <v/>
      </c>
      <c r="C27387" t="n">
        <v>2</v>
      </c>
      <c r="D27387" t="inlineStr">
        <is>
          <t>Arc Nécrotique; Amulette Volkorne; Anneau Volkorne; Alliance Gloursonne; Quatre-feuilles; Ceinture Volkorne; Casquette de Meno; Voile d'encre; Bottes Honyme; Dofus Turquoise; Dofus Abyssal; Dofus Émeraude; Dofus Ocre; Dofus Pourpre; Dofus des Glaces; Walk</t>
        </is>
      </c>
    </row>
    <row r="27388">
      <c r="A27388" t="inlineStr">
        <is>
          <t>Féca Pvm Cac</t>
        </is>
      </c>
      <c r="B27388">
        <f>HYPERLINK("https://www.dofusbook.net/fr/equipement/5983103-feca-pvm-cac/objets", "link")</f>
        <v/>
      </c>
      <c r="C27388" t="n">
        <v>0</v>
      </c>
      <c r="D27388" t="inlineStr">
        <is>
          <t>Hache du Chalœil; Amulette Volkorne; Alliance Gloursonne; Anneau Volkorne; Bouclier du Captain Amakna; Ceinture Volkorne; Corne de Torkélonia; Voile d'encre; Bottes Honyme; Dofus Émeraude; Dofus Ocre; Dofus Pourpre; Dofus des Glaces; Dofus Turquoise; Dofus Abyssal; Chacha Angora</t>
        </is>
      </c>
    </row>
    <row r="27389">
      <c r="A27389" t="inlineStr">
        <is>
          <t>Crâ Pl</t>
        </is>
      </c>
      <c r="B27389">
        <f>HYPERLINK("https://www.dofusbook.net/fr/equipement/5979991-cra-pl/objets", "link")</f>
        <v/>
      </c>
      <c r="C27389" t="n">
        <v>0</v>
      </c>
      <c r="D27389" t="inlineStr">
        <is>
          <t>Arc du Chalœil; Amulette du Cœur Saignant; Bague Gloursonne; Bracelet du Piloztère; Quatre-feuilles; Ceinture Volkorne; Masque de Koutoulou; Cape au Logis; Bottes du Cœur Saignant; Dofus Pourpre; Dofus Turquoise; Enragé majeur; Forcené majeur; Nomade; Remueur; Pioute vert</t>
        </is>
      </c>
    </row>
    <row r="27390">
      <c r="A27390" t="inlineStr">
        <is>
          <t>Iop Songes</t>
        </is>
      </c>
      <c r="B27390">
        <f>HYPERLINK("https://www.dofusbook.net/fr/equipement/5936127-iop-songes/objets", "link")</f>
        <v/>
      </c>
      <c r="C27390" t="n">
        <v>1</v>
      </c>
      <c r="D27390" t="inlineStr">
        <is>
          <t>Dagues du Dragoeuf; Amulette Volkorne; Anneau Volkorne; Chevalière du Roi Joueur; Bouclier du Captain Amakna; Ceinture Volkorne; Couronne du Roi Joueur; Voile d'encre; Bottes du Roi Joueur; Dofus Turquoise; Dofus Abyssal; Dofus Émeraude; Dofus Ocre; Dofus Pourpre; Dofus des Glaces; Cromeugnon</t>
        </is>
      </c>
    </row>
    <row r="27391">
      <c r="A27391" t="inlineStr">
        <is>
          <t>Panda Pvm</t>
        </is>
      </c>
      <c r="B27391">
        <f>HYPERLINK("https://www.dofusbook.net/fr/equipement/5936123-panda-pvm-/objets", "link")</f>
        <v/>
      </c>
      <c r="C27391" t="n">
        <v>0</v>
      </c>
      <c r="D27391" t="inlineStr">
        <is>
          <t>Baguette Héroclite; Amulette de Shokkoth; Bracelet des Fonds marins; Alliance Gloursonne; Quatre-feuilles; Poulpagne; Capuche de l'Œil Attentif; Cape de l'Œil Attentif; Bottes du Nocturlabe; Dofus Pourpre; Dofus Turquoise; Dofus Abyssal; Nomade; Remueur; Chanceux majeur; Givrefoux</t>
        </is>
      </c>
    </row>
    <row r="27392">
      <c r="A27392" t="inlineStr">
        <is>
          <t>Iop Eau</t>
        </is>
      </c>
      <c r="B27392">
        <f>HYPERLINK("https://www.dofusbook.net/fr/equipement/5983128-iop-eau/objets", "link")</f>
        <v/>
      </c>
      <c r="C27392" t="n">
        <v>0</v>
      </c>
      <c r="D27392" t="inlineStr">
        <is>
          <t>Sceptre du Roi Joueur; Amulette du Sinistrofu; Bracelet des Fonds marins; Anneau Volkorne; Bouclier précieux; Poulpagne; Masque Paztek; Cape Paztek; Sandales Paztek; Dofus Ivoire; Dofus Pourpre; Dofus Ébène; Dofus Ocre; Dofus Abyssal; Dofus Émeraude; Écumouth</t>
        </is>
      </c>
    </row>
    <row r="27393">
      <c r="A27393" t="inlineStr">
        <is>
          <t>Iop Terre CaC</t>
        </is>
      </c>
      <c r="B27393">
        <f>HYPERLINK("https://www.dofusbook.net/fr/equipement/5983122-iop-terre-cac/objets", "link")</f>
        <v/>
      </c>
      <c r="C27393" t="n">
        <v>0</v>
      </c>
      <c r="D27393" t="inlineStr">
        <is>
          <t>Dagues d'Ilyzaelle; Amulette du Cœur Saignant; Anneau Chevelu; Anneau Volkorne; Bouclier d'Ilyzaelle; Ceinture Volkorne; Masque de Koutoulou; Cape au Logis; Bottes du Cœur Saignant; Dofus Pourpre; Dofus Ivoire; Dofus Turquoise; Dofus Ébène; Dofus Ocre; Dofus Abyssal; Bulbisou</t>
        </is>
      </c>
    </row>
    <row r="27394">
      <c r="A27394" t="inlineStr">
        <is>
          <t>Iop Terre Dist</t>
        </is>
      </c>
      <c r="B27394">
        <f>HYPERLINK("https://www.dofusbook.net/fr/equipement/5983125-iop-terre-dist/objets", "link")</f>
        <v/>
      </c>
      <c r="C27394" t="n">
        <v>2</v>
      </c>
      <c r="D27394" t="inlineStr">
        <is>
          <t>Arc du Chalœil; Amulette du Cœur Saignant; Anneau Chevelu; Anneau Volkorne; Quatre-feuilles; Ceinture Volkorne; Masque de Koutoulou; Cape au Logis; Bottes du Cœur Saignant; Dofus Ébène; Dofus Ocre; Dofus Abyssal; Dofus Pourpre; Dofus Ivoire; Dofus Turquoise; Bulbisou</t>
        </is>
      </c>
    </row>
    <row r="27395">
      <c r="A27395" t="inlineStr">
        <is>
          <t>Iop Feu</t>
        </is>
      </c>
      <c r="B27395">
        <f>HYPERLINK("https://www.dofusbook.net/fr/equipement/5983121-iop-feu/objets", "link")</f>
        <v/>
      </c>
      <c r="C27395" t="n">
        <v>0</v>
      </c>
      <c r="D27395" t="inlineStr">
        <is>
          <t>Arc corrompu; Amulette Volkorne; Anneauræus; Anneau Volkorne; Quatre-feuilles; Ceinture Volkorne; Heaume Oplate; Voile d'encre; Bottes Innommables; Dofus Ivoire; Dofus Turquoise; Dofus Ébène; Dofus Argenté; Dofus Ocre; Dofus Pourpre; Bisouglours</t>
        </is>
      </c>
    </row>
    <row r="27396">
      <c r="A27396" t="inlineStr">
        <is>
          <t>Iop Terre Eau</t>
        </is>
      </c>
      <c r="B27396">
        <f>HYPERLINK("https://www.dofusbook.net/fr/equipement/5983127-iop-terre-eau/objets", "link")</f>
        <v/>
      </c>
      <c r="C27396" t="n">
        <v>0</v>
      </c>
      <c r="D27396" t="inlineStr">
        <is>
          <t>Dagues de Srambad; Amulette Volkorne; Anneau en Grithril; Anneau Volkorne; Bouclier d'Ilyzaelle; Ceinture Volkorne; Casque en Grithril; Voile d'encre; Bottes Honyme; Dofus Pourpre; Dofus Ébène; Dofus Ocre; Dofus des Glaces; Dofus Ivoire; Dofus Abyssal</t>
        </is>
      </c>
    </row>
    <row r="27397">
      <c r="A27397" t="inlineStr">
        <is>
          <t>Féca Songes</t>
        </is>
      </c>
      <c r="B27397">
        <f>HYPERLINK("https://www.dofusbook.net/fr/equipement/5936144-feca-songes/objets", "link")</f>
        <v/>
      </c>
      <c r="C27397" t="n">
        <v>0</v>
      </c>
      <c r="D27397" t="inlineStr">
        <is>
          <t>Couteaux Sacrificiels; Amulette Volkorne; Alliance Gloursonne; Anneau Volkorne; Bouclier alvéolé; Ceinture Volkorne; Masque Paztek; Cape Paztek; Bottes Honyme; Dofus Émeraude; Dofus Ocre; Dofus Pourpre; Dofus des Glaces; Dofus Turquoise; Dofus Abyssal; Walk</t>
        </is>
      </c>
    </row>
    <row r="27398">
      <c r="A27398" t="inlineStr">
        <is>
          <t>Crâ Pl multi</t>
        </is>
      </c>
      <c r="B27398">
        <f>HYPERLINK("https://www.dofusbook.net/fr/equipement/5983051-cra-pl-multi/objets", "link")</f>
        <v/>
      </c>
      <c r="C27398" t="n">
        <v>0</v>
      </c>
      <c r="D27398" t="inlineStr">
        <is>
          <t>Arc Volkorne; Amulette Volkorne; Bracelet du Piloztère; Anneau Volkorne; Quatre-feuilles; Ceinture Volkorne; Casque du Chalœil; Cape du Chalœil; Bottes du Chalœil; Dofus Nébuleux; Dofus Turquoise; Dofus des Glaces; Dolmanax; Dofus Ocre; Dofus Pourpre; Sakochère</t>
        </is>
      </c>
    </row>
    <row r="27399">
      <c r="A27399" t="inlineStr">
        <is>
          <t>Eniripsa Pvm</t>
        </is>
      </c>
      <c r="B27399">
        <f>HYPERLINK("https://www.dofusbook.net/fr/equipement/5936148-eniripsa-pvm/objets", "link")</f>
        <v/>
      </c>
      <c r="C27399" t="n">
        <v>0</v>
      </c>
      <c r="D27399" t="inlineStr">
        <is>
          <t>Manthache; Collier du Valet Veinard; Gant du Valet Veinard; Alliance Gloursonne; Quatre-feuilles; Menoture; Dorabysses; Cape Indescriptible; Palmes Trithons; Dofus Turquoise; Dofus Abyssal; Dofus Pourpre; Cascadeur majeur; Nomade; Remueur; Blérodoudou</t>
        </is>
      </c>
    </row>
    <row r="27400">
      <c r="A27400" t="inlineStr">
        <is>
          <t>Panda Songes</t>
        </is>
      </c>
      <c r="B27400">
        <f>HYPERLINK("https://www.dofusbook.net/fr/equipement/5936129-panda-songes/objets", "link")</f>
        <v/>
      </c>
      <c r="C27400" t="n">
        <v>0</v>
      </c>
      <c r="D27400" t="inlineStr">
        <is>
          <t>Rouleau à Pâtisserie d'Aermyne; Collier Rophante; Alliance Gloursonne; Bague Trithon; Sept ans de malheur; Ceinture de Kongoku; Masque d'Anerice; Cape d'Anerice; Pataugastrique; Dofus Émeraude; Dofus Abyssal; Remueur; Carapace Neutre majeur; Obstructeur majeur; Miraculé majeur; Givrefoux</t>
        </is>
      </c>
    </row>
    <row r="27401">
      <c r="A27401" t="inlineStr">
        <is>
          <t>Ouginak Songes</t>
        </is>
      </c>
      <c r="B27401">
        <f>HYPERLINK("https://www.dofusbook.net/fr/equipement/5936130-ouginak-songes/objets", "link")</f>
        <v/>
      </c>
      <c r="C27401" t="n">
        <v>0</v>
      </c>
      <c r="D27401" t="inlineStr">
        <is>
          <t>Lance Horselé; Collier du Valet Veinard; Gant du Valet Veinard; Alliance Gloursonne; Bouclier d'Ilyzaelle; Menoture; Dorabysses; Cape Indescriptible; Palmes Trithons; Dofus Turquoise; Dofus Abyssal; Dofus Pourpre; Cascadeur majeur; Nomade; Remueur; Blérodoudou</t>
        </is>
      </c>
    </row>
    <row r="27402">
      <c r="A27402" t="inlineStr">
        <is>
          <t>multiroxx</t>
        </is>
      </c>
      <c r="B27402">
        <f>HYPERLINK("https://www.dofusbook.net/fr/equipement/2430249-multiroxx/objets", "link")</f>
        <v/>
      </c>
      <c r="C27402" t="n">
        <v>7</v>
      </c>
      <c r="D27402" t="inlineStr">
        <is>
          <t>Arc Volkorne; Amulette du Strigide; Anneau de Padgref; Alliance Gloursonne; Quatre-feuilles; Ceintacé; Le Dorado; Cape au Logis; Bottes du Strigide; Dofus Turquoise; Dolmanax; Dofus des Glaces; Dofus Pourpre; Remueur; Vigoureux majeur; Muldo Prune et Emeraude</t>
        </is>
      </c>
    </row>
    <row r="27403">
      <c r="A27403" t="inlineStr">
        <is>
          <t>Stuff 1</t>
        </is>
      </c>
      <c r="B27403">
        <f>HYPERLINK("https://www.dofusbook.net/fr/equipement/209145-stuff-1/objets", "link")</f>
        <v/>
      </c>
      <c r="C27403" t="n">
        <v>19</v>
      </c>
      <c r="D27403" t="inlineStr">
        <is>
          <t>Hachoirs de Viandargh; Amulette du Strigide; Alliance Gloursonne; Anneau d'Allister; Cadran d'Eau; Menoture; Coiffe de Padgref; Cape Matelassée; Getas de Padgref; Dofus Turquoise; Remueur; Equilibriste majeur; Miraculé majeur; Nomade; Cascadeur majeur; Pioute jaune</t>
        </is>
      </c>
    </row>
    <row r="27404">
      <c r="A27404" t="inlineStr">
        <is>
          <t>Terro</t>
        </is>
      </c>
      <c r="B27404">
        <f>HYPERLINK("https://www.dofusbook.net/fr/equipement/5128049-terro-/objets", "link")</f>
        <v/>
      </c>
      <c r="C27404" t="n">
        <v>4</v>
      </c>
      <c r="D27404" t="inlineStr">
        <is>
          <t>Hache Téroïde; Amulette du Strigide; Bague Trithon; Bague Gloursonne; Cadran d'Eau; Ceinture du Strigide; Masque Trithon; Cape au Logis; Bottes Trithon; Dofus Ocre; Dofus Nébuleux; Dofus Ivoire; Dofus Pourpre; Dofus Ébène; Dofus Turquoise; Kokulte</t>
        </is>
      </c>
    </row>
    <row r="27405">
      <c r="A27405" t="inlineStr">
        <is>
          <t>ane</t>
        </is>
      </c>
      <c r="B27405">
        <f>HYPERLINK("https://www.dofusbook.net/fr/equipement/1925518-ane/objets", "link")</f>
        <v/>
      </c>
      <c r="C27405" t="n">
        <v>9</v>
      </c>
      <c r="D27405" t="inlineStr">
        <is>
          <t>Arc du Chalœil; Torquistik; Bague Instable; Bague Trithon; Bouclier précieux; Ceinture Gence; Casque Dragoeuf; Cape Solution; Bottistik; Dofus Ocre; Dofus Émeraude; Dofus Ivoire; Culbuteur majeur; Culbuteur; Bousculeur majeur; Balafreux</t>
        </is>
      </c>
    </row>
    <row r="27406">
      <c r="A27406" t="inlineStr">
        <is>
          <t>Terre</t>
        </is>
      </c>
      <c r="B27406">
        <f>HYPERLINK("https://www.dofusbook.net/fr/equipement/2158128-terre-/objets", "link")</f>
        <v/>
      </c>
      <c r="C27406" t="n">
        <v>1</v>
      </c>
      <c r="D27406" t="inlineStr">
        <is>
          <t>Bêche Asse; Amulette du Strigide; Bague Gloursonne; Anneau Chevelu; Cadran d'Eau; Ceinture du Strigide; Masque de Koutoulou; Cape au Logis; Sabots Minables; Dofus Pourpre; Dofus Turquoise; Nomade; Vigoureux majeur; Remueur; Enragé majeur; Dragodinde Emeraude et Pourpre</t>
        </is>
      </c>
    </row>
    <row r="27407">
      <c r="A27407" t="inlineStr">
        <is>
          <t>feu 2.52</t>
        </is>
      </c>
      <c r="B27407">
        <f>HYPERLINK("https://www.dofusbook.net/fr/equipement/2971656-feu-2-52/objets", "link")</f>
        <v/>
      </c>
      <c r="C27407" t="n">
        <v>26</v>
      </c>
      <c r="D27407" t="inlineStr">
        <is>
          <t>Arc corrompu; Amulette Volkorne; Anneau Volkorne; Anneau de Nidas; Droiture de Fallanster; Croture; Casque Dragoeuf; Cape de Diondin; Pataugastrique; Dofus Ivoire; Dofus Ébène; Nomade; Fonceur majeur; Étourdisseur majeur; Érudit majeur; Dragodinde Amande et Orchidée</t>
        </is>
      </c>
    </row>
    <row r="27408">
      <c r="A27408" t="inlineStr">
        <is>
          <t>Iop M 200</t>
        </is>
      </c>
      <c r="B27408">
        <f>HYPERLINK("https://www.dofusbook.net/fr/equipement/5891728-iop-m-200/objets", "link")</f>
        <v/>
      </c>
      <c r="C27408" t="n">
        <v>8</v>
      </c>
      <c r="D27408" t="inlineStr">
        <is>
          <t>Arc du Chalœil; Amulette du Strigide; Bague Gloursonne; Anneau Chevelu; Quatre-feuilles; Ceinture de la Cour Sombre; Masque de Koutoulou; Cape au Logis; Bottes de la Cour Sombre; Dofus Abyssal; Dofus Ébène; Dofus Turquoise; Dofus Ivoire; Nomade; Enragé majeur; Kougnard</t>
        </is>
      </c>
    </row>
    <row r="27409">
      <c r="A27409" t="inlineStr">
        <is>
          <t>essais</t>
        </is>
      </c>
      <c r="B27409">
        <f>HYPERLINK("https://www.dofusbook.net/fr/equipement/1808957-essais/objets", "link")</f>
        <v/>
      </c>
      <c r="C27409" t="n">
        <v>13</v>
      </c>
      <c r="D27409" t="inlineStr">
        <is>
          <t>Épée Brûlâme; Amulette Volkorne; Anneau Volkorne; Alliance Gloursonne; Cadran d'Eau; Ceintacé; Casque Volkorne; Cape de la Dame du Hasard; Bottes de la Dame du Hasard; Dofus Turquoise; Dofus Pourpre; Dofus Ocre; Dofus Abyssal; Dofus Ivoire; Dofus Ébène; Kokulte</t>
        </is>
      </c>
    </row>
    <row r="27410">
      <c r="A27410" t="inlineStr">
        <is>
          <t>New</t>
        </is>
      </c>
      <c r="B27410">
        <f>HYPERLINK("https://www.dofusbook.net/fr/equipement/1826549-new-/objets", "link")</f>
        <v/>
      </c>
      <c r="C27410" t="n">
        <v>6</v>
      </c>
      <c r="D27410" t="inlineStr">
        <is>
          <t>Hache Téroïde; Amulette Volkorne; Bague Gloursonne; Chevalière du Roi Joueur; Cadran de Terre; Ceinture Volkorne; Couronne du Roi Joueur; Cape au Logis; Bottes du Roi Joueur; Dofus Nébuleux; Dofus Ébène; Dofus Turquoise; Dofus Ivoire; Dofus Pourpre; Dofus Ocre; Chaperlipopette</t>
        </is>
      </c>
    </row>
    <row r="27411">
      <c r="A27411" t="inlineStr">
        <is>
          <t>terre</t>
        </is>
      </c>
      <c r="B27411">
        <f>HYPERLINK("https://www.dofusbook.net/fr/equipement/1195918-terre/objets", "link")</f>
        <v/>
      </c>
      <c r="C27411" t="n">
        <v>2</v>
      </c>
      <c r="D27411" t="inlineStr">
        <is>
          <t>Amulette du Strigide; Anneau Chevelu; Bague Gloursonne; Quatre-feuilles; Ceinture Volkorne; Masque de Koutoulou; Cape au Logis; Bottes du Strigide; Dofus Ocre; Dofus Ivoire; Dofus Ébène; Dofus Pourpre; Dofus Nébuleux; Dofus Turquoise; Chaperlipopette</t>
        </is>
      </c>
    </row>
    <row r="27412">
      <c r="A27412" t="inlineStr">
        <is>
          <t>feu re pou</t>
        </is>
      </c>
      <c r="B27412">
        <f>HYPERLINK("https://www.dofusbook.net/fr/equipement/1037684-feu-re-pou-/objets", "link")</f>
        <v/>
      </c>
      <c r="C27412" t="n">
        <v>7</v>
      </c>
      <c r="D27412" t="inlineStr">
        <is>
          <t>Arc corrompu; Pendentif mignon de Koutoulou; Baguistik; Anneau de Nidas; Bouclier du Stalak; Ceinture de Vortex; Casque Cyclopéen; Cape de Diondin; Pompes Funèbres; Dofus Forgelave; Dofus Ébène; Dofus Vulbis; Dofus Ivoire; Dofus Ocre; Érudit majeur; Bouftor</t>
        </is>
      </c>
    </row>
    <row r="27413">
      <c r="A27413" t="inlineStr">
        <is>
          <t>esquive</t>
        </is>
      </c>
      <c r="B27413">
        <f>HYPERLINK("https://www.dofusbook.net/fr/equipement/1916318-esquive/objets", "link")</f>
        <v/>
      </c>
      <c r="C27413" t="n">
        <v>10</v>
      </c>
      <c r="D27413" t="inlineStr">
        <is>
          <t>L'Épée Nice; Collier du Valet Veinard; Gant du Valet Veinard; Alliance Gloursonne; Bouclier Feudala; Menoture; Dorabysses; Cape du Kamasterisk; Baleinabottes; Dofus Abyssal; Dofus Émeraude; Dofus Ivoire; Dofus Ébène; Cascadeur majeur; Solide majeur; Bouftor</t>
        </is>
      </c>
    </row>
    <row r="27414">
      <c r="A27414" t="inlineStr">
        <is>
          <t>eau</t>
        </is>
      </c>
      <c r="B27414">
        <f>HYPERLINK("https://www.dofusbook.net/fr/equipement/2197682-eau/objets", "link")</f>
        <v/>
      </c>
      <c r="C27414" t="n">
        <v>22</v>
      </c>
      <c r="D27414" t="inlineStr">
        <is>
          <t>Bâtonnet Ronien; Amulette du Strigide; Anneau Volkorne; Alliance Gloursonne; Quatre-feuilles; Ceinture du Strigide; Casque Volkorne; Chevelure de Tal Kasha; Bottes du Strigide; Dofus Pourpre; Dofus des Glaces; Dofus Ivoire; Dofus Ocre; Dofus Turquoise; Dofus Vulbis; Kokulte</t>
        </is>
      </c>
    </row>
    <row r="27415">
      <c r="A27415" t="inlineStr">
        <is>
          <t>pvpm</t>
        </is>
      </c>
      <c r="B27415">
        <f>HYPERLINK("https://www.dofusbook.net/fr/equipement/2833387-pvpm/objets", "link")</f>
        <v/>
      </c>
      <c r="C27415" t="n">
        <v>0</v>
      </c>
      <c r="D27415" t="inlineStr">
        <is>
          <t>Sabres d'Atcham; Amulette Volkorne; Anneau Volkorne; Bague Gloursonne; Cadran de Terre; Ceinture Volkorne; Casque Cyclopéen; Cape d'Atcham; Sandales  d'Atcham; Dofus Ivoire; Dofus des Glaces; Dofus Ébène; Dofus Ocre; Dofus Pourpre; Dofus Nébuleux; Minimino</t>
        </is>
      </c>
    </row>
    <row r="27416">
      <c r="A27416" t="inlineStr">
        <is>
          <t>Terre</t>
        </is>
      </c>
      <c r="B27416">
        <f>HYPERLINK("https://www.dofusbook.net/fr/equipement/2457807-terre-/objets", "link")</f>
        <v/>
      </c>
      <c r="C27416" t="n">
        <v>0</v>
      </c>
      <c r="D27416" t="inlineStr">
        <is>
          <t>Baguette de Torkélonia; Amulette du Strigide; Anneau Toriété; Anneau Chevelu; Quatre-feuilles; Ceintacé; Corne de Torkélonia; Carapace de Torkélonia; Baleinabottes; Dofus Nébuleux; Dofus Pourpre; Dofus Turquoise; Dofus Ébène; Dofus Ivoire; Kokulte</t>
        </is>
      </c>
    </row>
    <row r="27417">
      <c r="A27417" t="inlineStr">
        <is>
          <t>test</t>
        </is>
      </c>
      <c r="B27417">
        <f>HYPERLINK("https://www.dofusbook.net/fr/equipement/2861253-test/objets", "link")</f>
        <v/>
      </c>
      <c r="C27417" t="n">
        <v>0</v>
      </c>
      <c r="D27417" t="inlineStr">
        <is>
          <t>Dagoulinantes; Amulette Volkorne; Anneau Volkorne; Alliance Gloursonne; Cadran de Terre; Menoture; Casque Volkorne; Chevelure de Tal Kasha; Sandales de Tal Kasha; Dofus Émeraude; Dofus Abyssal; Dofus Ocre; Dofus Ivoire; Dofus des Glaces; Engourdisseur majeur; Drakopin</t>
        </is>
      </c>
    </row>
    <row r="27418">
      <c r="A27418" t="inlineStr">
        <is>
          <t>test</t>
        </is>
      </c>
      <c r="B27418">
        <f>HYPERLINK("https://www.dofusbook.net/fr/equipement/4590709-test/objets", "link")</f>
        <v/>
      </c>
      <c r="C27418" t="n">
        <v>3</v>
      </c>
      <c r="D27418" t="inlineStr">
        <is>
          <t>Amulette du Strigide; Alliance Gloursonne; Anneau de Brouce; Ceintacé; Corne de Torkélonia; Cape au Logis; Baleinabottes; Dofus des Glaces; Dofus Pourpre; Dofus Turquoise; Remueur; Vigoureux majeur; Nomade; Kokulte</t>
        </is>
      </c>
    </row>
    <row r="27419">
      <c r="A27419" t="inlineStr">
        <is>
          <t>terre ini</t>
        </is>
      </c>
      <c r="B27419">
        <f>HYPERLINK("https://www.dofusbook.net/fr/equipement/1463759-terre-ini/objets", "link")</f>
        <v/>
      </c>
      <c r="C27419" t="n">
        <v>17</v>
      </c>
      <c r="D27419" t="inlineStr">
        <is>
          <t>Marteau R'ture; Anneau Volkorne; Anneau Chevelu; Cadran d'Eau; Ceinture Volkorne; Casque Dragoeuf; Cape au Logis; Dofus Turquoise; Dofus Ivoire; Dofus Émeraude; Dofus Ébène; Dofus Ocre; Enragé majeur; Dragodinde Ivoire et Pourpre</t>
        </is>
      </c>
    </row>
    <row r="27420">
      <c r="A27420" t="inlineStr">
        <is>
          <t>Stuff zozo</t>
        </is>
      </c>
      <c r="B27420">
        <f>HYPERLINK("https://www.dofusbook.net/fr/equipement/1925560-stuff-zozo/objets", "link")</f>
        <v/>
      </c>
      <c r="C27420" t="n">
        <v>15</v>
      </c>
      <c r="D27420" t="inlineStr">
        <is>
          <t>Arc de Koutoulou; Amulette Volkorne; Anneau Volkorne; Alliance Gloursonne; Quatre-feuilles; Ceintacé; Casque Volkorne; Chevelure de Tal Kasha; Sandales de Tal Kasha; Dofus Ocre; Dofus Abyssal; Dofus Turquoise; Dofus Ivoire; Dofus Pourpre; Dofus Ébène; Kokulte</t>
        </is>
      </c>
    </row>
    <row r="27421">
      <c r="A27421" t="inlineStr">
        <is>
          <t>air</t>
        </is>
      </c>
      <c r="B27421">
        <f>HYPERLINK("https://www.dofusbook.net/fr/equipement/699374-air/objets", "link")</f>
        <v/>
      </c>
      <c r="C27421" t="n">
        <v>6</v>
      </c>
      <c r="D27421" t="inlineStr">
        <is>
          <t>Pelle de la Cour Sombre; Collier du Valet Veinard; Alliance Gloursonne; Gant du Valet Veinard; Cadran de Feu; Menoture; Chapibou; Capibou; Palmes Trithons; Dofus Vulbis; Dofus Ocre; Dofus Ébène; Dofus Abyssal; Dofus Ivoire; Muraille Feu majeure; Crocodaille</t>
        </is>
      </c>
    </row>
    <row r="27422">
      <c r="A27422" t="inlineStr">
        <is>
          <t>Sram M 200</t>
        </is>
      </c>
      <c r="B27422">
        <f>HYPERLINK("https://www.dofusbook.net/fr/equipement/5828004-sram-m-200/objets", "link")</f>
        <v/>
      </c>
      <c r="C27422" t="n">
        <v>5</v>
      </c>
      <c r="D27422" t="inlineStr">
        <is>
          <t>Bâtonnet Ronien; Amulette du Strigide; Alliance Gloursonne; Anneau Tique; Quatre-feuilles; Ceinture du Strigide; Némès de Tal Kasha; Chevelure de Tal Kasha; Sandales de Tal Kasha; Dofus Vulbis; Dofus Abyssal; Dofus Turquoise; Dofus Ivoire; Dofus Ocre; Dofus Ébène; Kokulte</t>
        </is>
      </c>
    </row>
    <row r="27423">
      <c r="A27423" t="inlineStr">
        <is>
          <t>Terre</t>
        </is>
      </c>
      <c r="B27423">
        <f>HYPERLINK("https://www.dofusbook.net/fr/equipement/2260096-terre-/objets", "link")</f>
        <v/>
      </c>
      <c r="C27423" t="n">
        <v>9</v>
      </c>
      <c r="D27423" t="inlineStr">
        <is>
          <t>Lav'Hache; Amulette du Strigide; Anneau Volkorne; Anneau Chevelu; Droiture de Fallanster; Ceinture Volkorne; Masque de Koutoulou; Cape au Logis; Bottes de la Cour Sombre; Dofus Ocre; Dofus Ébène; Dofus Émeraude; Dofus Abyssal; Dofus Ivoire; Enragé majeur; Dragodinde Amande et Pourpre</t>
        </is>
      </c>
    </row>
    <row r="27424">
      <c r="A27424" t="inlineStr">
        <is>
          <t>Feu roxx</t>
        </is>
      </c>
      <c r="B27424">
        <f>HYPERLINK("https://www.dofusbook.net/fr/equipement/2387250-feu-roxx/objets", "link")</f>
        <v/>
      </c>
      <c r="C27424" t="n">
        <v>20</v>
      </c>
      <c r="D27424" t="inlineStr">
        <is>
          <t>Arc corrompu; Amulette d'Otomaï; Anneau de Nidas; Anneauræus; Quatre-feuilles; Ceinture de Vortex; Couronne de Nidas; Cape de Diondin; Pataugastrique; Dofus Turquoise; Astucieux majeur; Érudit majeur; Nomade; Vigoureux majeur; Remueur; Pioute rouge</t>
        </is>
      </c>
    </row>
    <row r="27425">
      <c r="A27425" t="inlineStr">
        <is>
          <t>loloolo</t>
        </is>
      </c>
      <c r="B27425">
        <f>HYPERLINK("https://www.dofusbook.net/fr/equipement/698816-loloolo/objets", "link")</f>
        <v/>
      </c>
      <c r="C27425" t="n">
        <v>10</v>
      </c>
      <c r="D27425" t="inlineStr">
        <is>
          <t>Rouleau à Pâtisserie d'Aermyne; Collier Rophante; Anneau de Pol Ouatnos; Alliance Gloursonne; Sept ans de malheur; Ceinture de Kongoku; Masque d'Anerice; Cape d'Anerice; Pataugastrique; Dofus Émeraude; Remueur; Carapace Eau majeur; Bloqueur majeur; Obstructeur majeur; Miraculé majeur; Kougnard</t>
        </is>
      </c>
    </row>
    <row r="27426">
      <c r="A27426" t="inlineStr">
        <is>
          <t>Enutrof feu ini</t>
        </is>
      </c>
      <c r="B27426">
        <f>HYPERLINK("https://www.dofusbook.net/fr/equipement/4738900-enutrof-feu-ini/objets", "link")</f>
        <v/>
      </c>
      <c r="C27426" t="n">
        <v>2</v>
      </c>
      <c r="D27426" t="inlineStr">
        <is>
          <t>Arc Hétype; Amulette Volkorne; Anneau de Nidas; Anneau Tique; Bouclier cubiste; Ceinture de Vortex; Couronne de Nidas; Cape de Nileza; Pataugastrique; Dofus Abyssal; Dofus Ivoire; Dofus Ébène; Nomade; Érudit majeur; Remueur; Tofu Givré</t>
        </is>
      </c>
    </row>
    <row r="27427">
      <c r="A27427" t="inlineStr">
        <is>
          <t>Zobal M 200</t>
        </is>
      </c>
      <c r="B27427">
        <f>HYPERLINK("https://www.dofusbook.net/fr/equipement/5722981-zobal-m-200/objets", "link")</f>
        <v/>
      </c>
      <c r="C27427" t="n">
        <v>1</v>
      </c>
      <c r="D27427" t="inlineStr">
        <is>
          <t>Rapière aux Glyphes; Amulette de Shokkoth; Alliance Gloursonne; Anneau Volkorne; Bouclier Taverne; Sangle Ouare; Masque Paztek; Cape Solution; Sandales Paztek; Dofus Ébène; Dofus Ivoire; Dofus Ocre; Bousculeur majeur; Chanceux majeur; Culbuteur majeur; Écumouth</t>
        </is>
      </c>
    </row>
    <row r="27428">
      <c r="A27428" t="inlineStr">
        <is>
          <t>eau</t>
        </is>
      </c>
      <c r="B27428">
        <f>HYPERLINK("https://www.dofusbook.net/fr/equipement/2148772-eau/objets", "link")</f>
        <v/>
      </c>
      <c r="C27428" t="n">
        <v>1</v>
      </c>
      <c r="D27428" t="inlineStr">
        <is>
          <t>Dagoulinantes; Amulette de Shokkoth; Alliance Gloursonne; Anneau Volkorne; Cadran d'Eau; Ceinture Glaciale; Casque Dragoeuf; Cape Solution; Bottes du Sinistrofu; Dofus Abyssal; Dofus Ocre; Dofus Ivoire; Dofus Ébène; Dofus Vulbis; Chanceux majeur; Dragodinde Amande et Indigo</t>
        </is>
      </c>
    </row>
    <row r="27429">
      <c r="A27429" t="inlineStr">
        <is>
          <t>Air</t>
        </is>
      </c>
      <c r="B27429">
        <f>HYPERLINK("https://www.dofusbook.net/fr/equipement/1916855-air/objets", "link")</f>
        <v/>
      </c>
      <c r="C27429" t="n">
        <v>0</v>
      </c>
      <c r="D27429" t="inlineStr">
        <is>
          <t>Pelle de la Cour Sombre; Collier du Valet Veinard; Alliance Gloursonne; Gant du Valet Veinard; Bouclier d'Ilyzaelle; Menoture; Casque Dragoeuf; Cape de Jahash Jurgen; Palmes Trithons; Dofus Émeraude; Dofus Vulbis; Dofus Ébène; Dofus Ocre; Dofus Abyssal; Cascadeur majeur; Dragodinde Prune et Ebène</t>
        </is>
      </c>
    </row>
    <row r="27430">
      <c r="A27430" t="inlineStr">
        <is>
          <t>Terre do pou</t>
        </is>
      </c>
      <c r="B27430">
        <f>HYPERLINK("https://www.dofusbook.net/fr/equipement/996461-terre-do-pou-/objets", "link")</f>
        <v/>
      </c>
      <c r="C27430" t="n">
        <v>16</v>
      </c>
      <c r="D27430" t="inlineStr">
        <is>
          <t>Arc du Chalœil; Torquistik; Bague Trithon; Anneau Chevelu; Bouclier Taverne; Ceinture Gence; Casque Dragoeuf; Cape au Logis; Bottistik; Dofus Ivoire; Dofus Ocre; Dofus Ébène; Enragé majeur; Bousculeur majeur; Culbuteur majeur; Black Tiwabbit</t>
        </is>
      </c>
    </row>
    <row r="27431">
      <c r="A27431" t="inlineStr">
        <is>
          <t>feu</t>
        </is>
      </c>
      <c r="B27431">
        <f>HYPERLINK("https://www.dofusbook.net/fr/equipement/2104392-feu/objets", "link")</f>
        <v/>
      </c>
      <c r="C27431" t="n">
        <v>0</v>
      </c>
      <c r="D27431" t="inlineStr">
        <is>
          <t>Baguette de Malléfisk; Amulette de Nileza; Anneauræus; Anneau Tique; Bouclier cubiste; Ceinture Séculaire; Voile d'encre; Dofus Pourpre; Nomade; Remueur; Érudit majeur; Médugivre</t>
        </is>
      </c>
    </row>
    <row r="27432">
      <c r="A27432" t="inlineStr">
        <is>
          <t>allister</t>
        </is>
      </c>
      <c r="B27432">
        <f>HYPERLINK("https://www.dofusbook.net/fr/equipement/2921205-allister/objets", "link")</f>
        <v/>
      </c>
      <c r="C27432" t="n">
        <v>0</v>
      </c>
      <c r="D27432" t="inlineStr">
        <is>
          <t>Pelle de la Cour Sombre; Collier du Valet Veinard; Gant du Valet Veinard; Anneau d'Allister; Bouclier du Stalak; Ceintouse; Couronne d'Allister; Cape du Valet Veinard; Bottes d'Allister; Dofus Pourpre; Dofus Ocre; Dofus Abyssal; Muldo Ebène et Orchidée</t>
        </is>
      </c>
    </row>
    <row r="27433">
      <c r="A27433" t="inlineStr">
        <is>
          <t>toinou terre res crit</t>
        </is>
      </c>
      <c r="B27433">
        <f>HYPERLINK("https://www.dofusbook.net/fr/equipement/2899239-toinou-terre-res-crit/objets", "link")</f>
        <v/>
      </c>
      <c r="C27433" t="n">
        <v>21</v>
      </c>
      <c r="D27433" t="inlineStr">
        <is>
          <t>Dagues Érhy; Amulette de Pol Ouatnos; Anneau Volkorne; Alliance Gloursonne; Bouclier du Stalak; Ceinture Volkorne; Masque de Koutoulou; Voile d'encre; Pompes Funèbres; Dofus Ocre; Dofus Émeraude; Dofus Ivoire; Enragé majeur; Fortification majeure; Shushu de Rushu</t>
        </is>
      </c>
    </row>
    <row r="27434">
      <c r="A27434" t="inlineStr">
        <is>
          <t>Standby-trade</t>
        </is>
      </c>
      <c r="B27434">
        <f>HYPERLINK("https://www.dofusbook.net/fr/equipement/2397452-standby-trade/objets", "link")</f>
        <v/>
      </c>
      <c r="C27434" t="n">
        <v>34</v>
      </c>
      <c r="D27434" t="inlineStr">
        <is>
          <t>L'Épée Nice; Collier du Valet Veinard; Alliance Gloursonne; Gant du Valet Veinard; Cadran d'Eau; Menoture; Couronne d'Allister; Cape du Kamasterisk; Baleinabottes; Vigoureux majeur; Nomade; Equilibriste majeur; Remueur; Miraculé majeur; Cascadeur majeur; Siroko</t>
        </is>
      </c>
    </row>
    <row r="27435">
      <c r="A27435" t="inlineStr">
        <is>
          <t>Stuff 2</t>
        </is>
      </c>
      <c r="B27435">
        <f>HYPERLINK("https://www.dofusbook.net/fr/equipement/209164-stuff-2/objets", "link")</f>
        <v/>
      </c>
      <c r="C27435" t="n">
        <v>1</v>
      </c>
      <c r="D27435" t="inlineStr">
        <is>
          <t>Crocobur; Amulette du Strigide; Anneau d'Allister; Anneau de Padgref; Bouclier du Captain Amakna; Ceinture du Strigide; Coiffe de Padgref; Chevelure de Tal Kasha; Getas de Padgref; Dofus Nébuleux; Dofus Turquoise; Dofus des Glaces; Dofus Pourpre; Dofus Vulbis; Dofus Ébène; Kokulte</t>
        </is>
      </c>
    </row>
    <row r="27436">
      <c r="A27436" t="inlineStr">
        <is>
          <t>Féca M 200</t>
        </is>
      </c>
      <c r="B27436">
        <f>HYPERLINK("https://www.dofusbook.net/fr/equipement/5662047-feca-m-200/objets", "link")</f>
        <v/>
      </c>
      <c r="C27436" t="n">
        <v>0</v>
      </c>
      <c r="D27436" t="inlineStr"/>
    </row>
    <row r="27437">
      <c r="A27437" t="inlineStr">
        <is>
          <t>essais</t>
        </is>
      </c>
      <c r="B27437">
        <f>HYPERLINK("https://www.dofusbook.net/fr/equipement/3113696-essais-/objets", "link")</f>
        <v/>
      </c>
      <c r="C27437" t="n">
        <v>20</v>
      </c>
      <c r="D27437" t="inlineStr">
        <is>
          <t>Héqache; Amulette du Strigide; Anneau Toriété; Bague Gloursonne; Bouclier du Captain Amakna; Ceintacé; Masque de Koutoulou; Cape au Logis; Bottes du Strigide; Dofus Pourpre; Dofus Turquoise; Dofus Nébuleux; Remueur; Enragé majeur; Kokulte</t>
        </is>
      </c>
    </row>
    <row r="27438">
      <c r="A27438" t="inlineStr">
        <is>
          <t>feu pas cher</t>
        </is>
      </c>
      <c r="B27438">
        <f>HYPERLINK("https://www.dofusbook.net/fr/equipement/1064811-feu-pas-cher/objets", "link")</f>
        <v/>
      </c>
      <c r="C27438" t="n">
        <v>8</v>
      </c>
      <c r="D27438" t="inlineStr">
        <is>
          <t>La Baguette des Limbes; Amulette de Nileza; Anneau Tamie; Anneau Tamie; Cadran d'Air; Ceinture Hanium; Casqnoar; Cape de Nileza; Pantoufles Émar; Miraculé majeur; Remueur; Astucieux majeur; Érudit majeur; Vigoureux majeur; Nomade; Brûlih</t>
        </is>
      </c>
    </row>
    <row r="27439">
      <c r="A27439" t="inlineStr">
        <is>
          <t>feu air</t>
        </is>
      </c>
      <c r="B27439">
        <f>HYPERLINK("https://www.dofusbook.net/fr/equipement/2369534-feu-air/objets", "link")</f>
        <v/>
      </c>
      <c r="C27439" t="n">
        <v>14</v>
      </c>
      <c r="D27439" t="inlineStr">
        <is>
          <t>Plume de Buhorado; Collier du Valet Veinard; Alliance Gloursonne; Gant du Valet Veinard; Cadran d'Air; Menoture; Couronne d'Allister; Cape Indescriptible; Baleinabottes; Vigoureux majeur; Nomade; Equilibriste majeur; Remueur; Miraculé majeur; Cascadeur majeur; Siroko</t>
        </is>
      </c>
    </row>
    <row r="27440">
      <c r="A27440" t="inlineStr">
        <is>
          <t>essais de roxxer</t>
        </is>
      </c>
      <c r="B27440">
        <f>HYPERLINK("https://www.dofusbook.net/fr/equipement/2829821-essais-de-roxxer/objets", "link")</f>
        <v/>
      </c>
      <c r="C27440" t="n">
        <v>1</v>
      </c>
      <c r="D27440" t="inlineStr">
        <is>
          <t>Marteau des Anciens Steamers; Amulette du Strigide; Alliance Gloursonne; Anneau Toriété; Bouclier du Captain Amakna; Ceinture du Strigide; Kidibonnet; Cape d'Atcham; Sandales de Tal Kasha; Dofus Turquoise; Dolmanax; Dofus Pourpre; Nomade; Remueur; Vigoureux majeur</t>
        </is>
      </c>
    </row>
    <row r="27441">
      <c r="A27441" t="inlineStr">
        <is>
          <t>Air</t>
        </is>
      </c>
      <c r="B27441">
        <f>HYPERLINK("https://www.dofusbook.net/fr/equipement/1916814-air/objets", "link")</f>
        <v/>
      </c>
      <c r="C27441" t="n">
        <v>0</v>
      </c>
      <c r="D27441" t="inlineStr">
        <is>
          <t>Karnak; Collier du Valet Veinard; Alliance Gloursonne; Gant du Valet Veinard; Bouclier d'Ilyzaelle; Menoture; Dorabysses; Cape Indescriptible; Palmes Trithons; Dofus Ivoire; Dofus Ébène; Dofus Émeraude; Carapace Air majeur; Remueur; Cascadeur majeur; Dragodinde Ebène et Ivoire</t>
        </is>
      </c>
    </row>
    <row r="27442">
      <c r="A27442" t="inlineStr">
        <is>
          <t>eau</t>
        </is>
      </c>
      <c r="B27442">
        <f>HYPERLINK("https://www.dofusbook.net/fr/equipement/2197666-eau/objets", "link")</f>
        <v/>
      </c>
      <c r="C27442" t="n">
        <v>3</v>
      </c>
      <c r="D27442" t="inlineStr">
        <is>
          <t>Rapière aux Glyphes; Amulette de Pol Ouatnos; Anneau Glacial; Alliance Gloursonne; Cadran d'Eau; Poulpagne; Coiffe de Danathor; Cape Matelassée; Sandales Circulaires du Kimbo; Miraculé majeur; Chanceux majeur; Vigoureux majeur; Nomade; Taquin majeur; Remueur; Kanigloups</t>
        </is>
      </c>
    </row>
    <row r="27443">
      <c r="A27443" t="inlineStr">
        <is>
          <t>eauair</t>
        </is>
      </c>
      <c r="B27443">
        <f>HYPERLINK("https://www.dofusbook.net/fr/equipement/2271658-eauair/objets", "link")</f>
        <v/>
      </c>
      <c r="C27443" t="n">
        <v>9</v>
      </c>
      <c r="D27443" t="inlineStr">
        <is>
          <t>Sabres d'Atcham; Amulette du Strigide; Anneau Toriété; Alliance Gloursonne; Bouclier du Captain Amakna; Ceintacé; Coiffe de Padgref; Cape d'Atcham; Pataugastrique; Dolmanax; Dofus des Glaces; Dofus Turquoise; Dofus Pourpre; Nomade; Remueur; Kokulte</t>
        </is>
      </c>
    </row>
    <row r="27444">
      <c r="A27444" t="inlineStr">
        <is>
          <t>terre roxx</t>
        </is>
      </c>
      <c r="B27444">
        <f>HYPERLINK("https://www.dofusbook.net/fr/equipement/3651769-terre-roxx/objets", "link")</f>
        <v/>
      </c>
      <c r="C27444" t="n">
        <v>5</v>
      </c>
      <c r="D27444" t="inlineStr">
        <is>
          <t>Hache Téroïde; Amulette du Strigide; Anneau Chevelu; Bague Gloursonne; Bouclier du Captain Amakna; Ceinture du Strigide; Masque de Koutoulou; Cape au Logis; Bottes du Roi Joueur; Dofus Ébène; Dofus Pourpre; Dofus Turquoise; Remueur; Enragé majeur; Nomade; Pioute vert</t>
        </is>
      </c>
    </row>
    <row r="27445">
      <c r="A27445" t="inlineStr">
        <is>
          <t>simon</t>
        </is>
      </c>
      <c r="B27445">
        <f>HYPERLINK("https://www.dofusbook.net/fr/equipement/2971622-simon-/objets", "link")</f>
        <v/>
      </c>
      <c r="C27445" t="n">
        <v>60</v>
      </c>
      <c r="D27445" t="inlineStr">
        <is>
          <t>Baguette de Torkélonia; Amulette du Strigide; Anneau Chevelu; Bague Gloursonne; Quatre-feuilles; Ceinture du Strigide; Corne de Torkélonia; Carapace de Torkélonia; Bottes du Strigide; Dofus Pourpre; Dofus Ébène; Dofus Abyssal; Dofus Turquoise; Dofus Ocre; Dofus Ivoire; Pioute vert</t>
        </is>
      </c>
    </row>
    <row r="27446">
      <c r="A27446" t="inlineStr">
        <is>
          <t>Enutrof M 200</t>
        </is>
      </c>
      <c r="B27446">
        <f>HYPERLINK("https://www.dofusbook.net/fr/equipement/5543221-enutrof-m-200/objets", "link")</f>
        <v/>
      </c>
      <c r="C27446" t="n">
        <v>1</v>
      </c>
      <c r="D27446" t="inlineStr">
        <is>
          <t>Dagues Açantes; Amulette du Glourséleste; Anneau de Pol Ouatnos; Pikano; Bouclier cubiste; Ceinture Instable; Casquipik; Cape Matelassée; Pantoufles Émar; Entraveur; Entraveur majeur; Ralentisseur majeur; Remueur; Miraculé majeur; Temporiseur majeur; Léopardo</t>
        </is>
      </c>
    </row>
    <row r="27447">
      <c r="A27447" t="inlineStr">
        <is>
          <t>martin air crit</t>
        </is>
      </c>
      <c r="B27447">
        <f>HYPERLINK("https://www.dofusbook.net/fr/equipement/2120488-martin-air-crit/objets", "link")</f>
        <v/>
      </c>
      <c r="C27447" t="n">
        <v>5</v>
      </c>
      <c r="D27447" t="inlineStr">
        <is>
          <t>Baguette du Dragoeuf; Amulette du Strigide; Anneau d'Allister; Anneau de Padgref; Quatre-feuilles; Ceinture du Strigide; Coiffe de Padgref; Chevelure de Tal Kasha; Getas de Padgref; Dofus Nébuleux; Dofus Turquoise; Dofus des Glaces; Dofus Ocre; Dofus Vulbis; Dofus Pourpre; Kokulte</t>
        </is>
      </c>
    </row>
    <row r="27448">
      <c r="A27448" t="inlineStr">
        <is>
          <t>toinoufeu</t>
        </is>
      </c>
      <c r="B27448">
        <f>HYPERLINK("https://www.dofusbook.net/fr/equipement/3039174-toinoufeu/objets", "link")</f>
        <v/>
      </c>
      <c r="C27448" t="n">
        <v>27</v>
      </c>
      <c r="D27448" t="inlineStr">
        <is>
          <t>Arc corrompu; Amulette de Nileza; Anneauræus; Anneauræus; Bouclier du Stalak; Ceinture Séculaire; Heaume Oplate; Pataugastrique; Dofus Ivoire; Dofus Ébène; Érudit majeur; Nomade; Fonceur majeur; Remueur; Dragodinde Amande et Orchidée</t>
        </is>
      </c>
    </row>
    <row r="27449">
      <c r="A27449" t="inlineStr">
        <is>
          <t>do pou</t>
        </is>
      </c>
      <c r="B27449">
        <f>HYPERLINK("https://www.dofusbook.net/fr/equipement/2064063-do-pou/objets", "link")</f>
        <v/>
      </c>
      <c r="C27449" t="n">
        <v>53</v>
      </c>
      <c r="D27449" t="inlineStr">
        <is>
          <t>Plume de Buhorado; Torquistik; Bague Trithon; Baguistik; Droiture de Fallanster; Ceinture Gence; Casque Dragoeuf; Cape Solution; Bottes du Cul Botté; Dofus Émeraude; Dofus Ivoire; Dofus Abyssal; Bousculeur majeur; Pousseur majeur; Culbuteur majeur; Tatouf</t>
        </is>
      </c>
    </row>
    <row r="27450">
      <c r="A27450" t="inlineStr">
        <is>
          <t>feu</t>
        </is>
      </c>
      <c r="B27450">
        <f>HYPERLINK("https://www.dofusbook.net/fr/equipement/2104299-feu/objets", "link")</f>
        <v/>
      </c>
      <c r="C27450" t="n">
        <v>8</v>
      </c>
      <c r="D27450" t="inlineStr">
        <is>
          <t>Amulette Séculaire; Anneauræus; Anneauræus; Droiture de Fallanster; Ceinture Séculaire; Heaume Oplate; Voile d'encre; Pompes Funèbres; Dofus Ivoire; Dofus Émeraude; Dofus Ébène; Dofus Ocre; Nomade; Érudit majeur; Dragodinde Amande et Orchidée</t>
        </is>
      </c>
    </row>
    <row r="27451">
      <c r="A27451" t="inlineStr">
        <is>
          <t>stuff 1 look en bas</t>
        </is>
      </c>
      <c r="B27451">
        <f>HYPERLINK("https://www.dofusbook.net/fr/equipement/1812151-stuff-1-look-en-bas/objets", "link")</f>
        <v/>
      </c>
      <c r="C27451" t="n">
        <v>5</v>
      </c>
      <c r="D27451" t="inlineStr">
        <is>
          <t>Massier; Pendentif mignon de Koutoulou; Anneauræus; Anneauræus; Cadran d'Eau; Ceinture de Gein; Casque Cyclopéen; Cape de Diondin; Bottes Innommables; Dofus Émeraude; Dofus Ocre; Dofus Ivoire; Miraculé majeur; Érudit majeur; Nomade; Dragodinde Amande et Orchidée</t>
        </is>
      </c>
    </row>
    <row r="27452">
      <c r="A27452" t="inlineStr">
        <is>
          <t>test</t>
        </is>
      </c>
      <c r="B27452">
        <f>HYPERLINK("https://www.dofusbook.net/fr/equipement/2104586-test/objets", "link")</f>
        <v/>
      </c>
      <c r="C27452" t="n">
        <v>2</v>
      </c>
      <c r="D27452" t="inlineStr">
        <is>
          <t>Hache du Korriandre; Amulette du Strigide; Anneau Toriété; Alliance Gloursonne; Bouclier Taverne; Ceintacé; Kidibonnet; Chevelure de Tal Kasha; Sandales de Tal Kasha; Dofus Turquoise; Dofus Pourpre; Remueur; Vigoureux majeur; Nomade; Kokulte</t>
        </is>
      </c>
    </row>
    <row r="27453">
      <c r="A27453" t="inlineStr">
        <is>
          <t>Ecaflip M 200</t>
        </is>
      </c>
      <c r="B27453">
        <f>HYPERLINK("https://www.dofusbook.net/fr/equipement/5222240-ecaflip-m-200/objets", "link")</f>
        <v/>
      </c>
      <c r="C27453" t="n">
        <v>6</v>
      </c>
      <c r="D27453" t="inlineStr">
        <is>
          <t>Épée Brûlâme; Amulette du Strigide; Alliance Gloursonne; Anneau Toriété; Bouclier Taverne; Ceintacé; Le Dorado; Cape de la Dame du Hasard; Bottes du Strigide; Dofus Turquoise; Dofus des Glaces; Dofus Pourpre; Nomade; Remueur; Vigoureux majeur; Kokulte</t>
        </is>
      </c>
    </row>
    <row r="27454">
      <c r="A27454" t="inlineStr">
        <is>
          <t>pvm</t>
        </is>
      </c>
      <c r="B27454">
        <f>HYPERLINK("https://www.dofusbook.net/fr/equipement/2158829-pvm/objets", "link")</f>
        <v/>
      </c>
      <c r="C27454" t="n">
        <v>5</v>
      </c>
      <c r="D27454" t="inlineStr">
        <is>
          <t>Dagoulinantes; Amulette du Strigide; Bracelet des Fonds marins; Alliance Gloursonne; Cadran de Terre; Sangle Ouare; Casque Dragoeuf; Chevelure de Tal Kasha; Pataugastrique; Dofus Nébuleux; Dofus Ivoire; Chanceux majeur; Étourdisseur majeur; Remueur; Minimino</t>
        </is>
      </c>
    </row>
    <row r="27455">
      <c r="A27455" t="inlineStr">
        <is>
          <t>feu</t>
        </is>
      </c>
      <c r="B27455">
        <f>HYPERLINK("https://www.dofusbook.net/fr/equipement/2028359-feu/objets", "link")</f>
        <v/>
      </c>
      <c r="C27455" t="n">
        <v>4</v>
      </c>
      <c r="D27455" t="inlineStr">
        <is>
          <t>Plumeau Bil; Amulette Volkorne; Anneauræus; Anneau de Nidas; Ceinture de Vortex; Heaume Oplate; Voile d'encre; Bottes Innommables; Dofus Émeraude; Dofus Ivoire; Dofus Nébuleux; Nomade; Remueur</t>
        </is>
      </c>
    </row>
    <row r="27456">
      <c r="A27456" t="inlineStr">
        <is>
          <t>eau</t>
        </is>
      </c>
      <c r="B27456">
        <f>HYPERLINK("https://www.dofusbook.net/fr/equipement/2197876-eau/objets", "link")</f>
        <v/>
      </c>
      <c r="C27456" t="n">
        <v>22</v>
      </c>
      <c r="D27456" t="inlineStr">
        <is>
          <t>Dagoulinantes; Alliance Gloursonne; Bracelet des Fonds marins; Cadran de Terre; Sangle Ouare; Casque Dragoeuf; Chevelure de Tal Kasha; Pataugastrique; Dofus Ivoire; Chanceux majeur; Étourdisseur majeur; Remueur; Minimino</t>
        </is>
      </c>
    </row>
    <row r="27457">
      <c r="A27457" t="inlineStr">
        <is>
          <t>Terre bourrin</t>
        </is>
      </c>
      <c r="B27457">
        <f>HYPERLINK("https://www.dofusbook.net/fr/equipement/2158119-terre-bourrin/objets", "link")</f>
        <v/>
      </c>
      <c r="C27457" t="n">
        <v>2</v>
      </c>
      <c r="D27457" t="inlineStr">
        <is>
          <t>Arc du Chalœil; Amulette du Strigide; Anneau Crustique; Anneau Crustique; Quatre-feuilles; Ceinture Volkorne; Masque de Koutoulou; Cape au Logis; Bottes du Strigide; Dofus Ivoire; Dofus Nébuleux; Dofus Pourpre; Dofus Turquoise; Remueur; Enragé majeur; Pioute vert</t>
        </is>
      </c>
    </row>
    <row r="27458">
      <c r="A27458" t="inlineStr">
        <is>
          <t>reseau</t>
        </is>
      </c>
      <c r="B27458">
        <f>HYPERLINK("https://www.dofusbook.net/fr/equipement/758510-reseau/objets", "link")</f>
        <v/>
      </c>
      <c r="C27458" t="n">
        <v>12</v>
      </c>
      <c r="D27458" t="inlineStr">
        <is>
          <t>Bêche Asse; Amulette de Gein; Chevalière du Roi Joueur; Bague Gloursonne; Bouclier du Stalak; Ceinture de Gein; Masque Brûlâme; Voile d'encre; Bottes Honyme; Dofus des Glaces; Dofus Turquoise; Dofus Pourpre; Nomade; Vigoureux majeur; Remueur; Cromeugnon</t>
        </is>
      </c>
    </row>
    <row r="27459">
      <c r="A27459" t="inlineStr">
        <is>
          <t>valou60</t>
        </is>
      </c>
      <c r="B27459">
        <f>HYPERLINK("https://www.dofusbook.net/fr/equipement/2079057-valou60/objets", "link")</f>
        <v/>
      </c>
      <c r="C27459" t="n">
        <v>4</v>
      </c>
      <c r="D27459" t="inlineStr">
        <is>
          <t>Manthache; Collier du Valet Veinard; Alliance Gloursonne; Gant du Valet Veinard; Bouclier du Stalak; Menoture; Couronne d'Allister; Cape Indescriptible; Palmes Trithons; Dofus des Glaces; Miraculé majeur; Nomade; Remueur; Dévastateur Air majeur; Cascadeur majeur; Blérodoudou</t>
        </is>
      </c>
    </row>
    <row r="27460">
      <c r="A27460" t="inlineStr">
        <is>
          <t>feu vita</t>
        </is>
      </c>
      <c r="B27460">
        <f>HYPERLINK("https://www.dofusbook.net/fr/equipement/2979422-feu-vita/objets", "link")</f>
        <v/>
      </c>
      <c r="C27460" t="n">
        <v>3</v>
      </c>
      <c r="D27460" t="inlineStr">
        <is>
          <t>Plumeau Bil; Pendentif mignon de Koutoulou; Anneauræus; Anneauræus; Bouclier d'Ilyzaelle; Ceinture de Gein; Casque Cyclopéen; Cape de Diondin; Bottes Innommables; Dofus Ivoire; Dofus Ébène; Dofus Émeraude; Érudit majeur; Nomade; Remueur; Eliôme</t>
        </is>
      </c>
    </row>
    <row r="27461">
      <c r="A27461" t="inlineStr">
        <is>
          <t>terre</t>
        </is>
      </c>
      <c r="B27461">
        <f>HYPERLINK("https://www.dofusbook.net/fr/equipement/2158804-terre/objets", "link")</f>
        <v/>
      </c>
      <c r="C27461" t="n">
        <v>1</v>
      </c>
      <c r="D27461" t="inlineStr">
        <is>
          <t>Arc du Chalœil; Amulette du Nocturlabe; Anneau Chevelu; Anneau de Brouce; Bouclier du Stalak; Ceinture de Brouce; Casque des égarés; Cape au Logis; Sabots Minables; Furibond majeur; Enragé majeur; Vigoureux majeur; Nomade; Forcené majeur; Remueur; Kompost</t>
        </is>
      </c>
    </row>
    <row r="27462">
      <c r="A27462" t="inlineStr">
        <is>
          <t>feu</t>
        </is>
      </c>
      <c r="B27462">
        <f>HYPERLINK("https://www.dofusbook.net/fr/equipement/1975399-feu/objets", "link")</f>
        <v/>
      </c>
      <c r="C27462" t="n">
        <v>1</v>
      </c>
      <c r="D27462" t="inlineStr">
        <is>
          <t>La Baguette des Limbes; Amulette de Nileza; Anneau Tamie; Anneau Tamie; Bouclier du Stalak; Ceinture Séculaire; Casqnoar; Cape de Nileza; Pantoufles Émar; Remueur; Astucieux majeur; Érudit majeur; Vigoureux majeur; Nomade; Miraculé majeur; Brûlih</t>
        </is>
      </c>
    </row>
    <row r="27463">
      <c r="A27463" t="inlineStr">
        <is>
          <t>eau pas cher</t>
        </is>
      </c>
      <c r="B27463">
        <f>HYPERLINK("https://www.dofusbook.net/fr/equipement/2148801-eau-pas-cher/objets", "link")</f>
        <v/>
      </c>
      <c r="C27463" t="n">
        <v>0</v>
      </c>
      <c r="D27463" t="inlineStr">
        <is>
          <t>Rapière aux Glyphes; Amulette de Pol Ouatnos; Alliance Gloursonne; Anneau Glacial; Quatre-feuilles; Ceinture Glaciale; Kidibonnet; Cape Matelassée; Sandales Circulaires du Kimbo; Remueur; Chanceux majeur; Taquin majeur; Nomade; Vigoureux majeur; Dehluge</t>
        </is>
      </c>
    </row>
    <row r="27464">
      <c r="A27464" t="inlineStr">
        <is>
          <t>Enutrof M 200</t>
        </is>
      </c>
      <c r="B27464">
        <f>HYPERLINK("https://www.dofusbook.net/fr/equipement/4787554-enutrof-m-200/objets", "link")</f>
        <v/>
      </c>
      <c r="C27464" t="n">
        <v>0</v>
      </c>
      <c r="D27464" t="inlineStr">
        <is>
          <t>Marteau R'ture; Amulette du Strigide; Anneau Toriété; Anneau Chevelu; Bouclier alvéolé; Masque de Koutoulou; Cape au Logis; Bottes du Strigide; Dofus Pourpre; Dofus Ivoire; Dofus Nébuleux; Dofus Turquoise; Enragé majeur; Remueur; Kokulte</t>
        </is>
      </c>
    </row>
    <row r="27465">
      <c r="A27465" t="inlineStr">
        <is>
          <t>Air ret pa</t>
        </is>
      </c>
      <c r="B27465">
        <f>HYPERLINK("https://www.dofusbook.net/fr/equipement/2864665-air-ret-pa/objets", "link")</f>
        <v/>
      </c>
      <c r="C27465" t="n">
        <v>1</v>
      </c>
      <c r="D27465" t="inlineStr">
        <is>
          <t>Manthache; Collier du Valet Veinard; Alliance Gloursonne; Gant du Valet Veinard; Cadran de Terre; Menoture; Casque Dragoeuf; Cape du Kamasterisk; Palmes Trithons; Dofus Ivoire; Dofus Abyssal; Étourdisseur majeur; Remueur; Nomade; Cascadeur majeur; Minimino</t>
        </is>
      </c>
    </row>
    <row r="27466">
      <c r="A27466" t="inlineStr">
        <is>
          <t>flotte ret</t>
        </is>
      </c>
      <c r="B27466">
        <f>HYPERLINK("https://www.dofusbook.net/fr/equipement/1924788-flotte-ret/objets", "link")</f>
        <v/>
      </c>
      <c r="C27466" t="n">
        <v>2</v>
      </c>
      <c r="D27466" t="inlineStr">
        <is>
          <t>Baguette Hique; Amulette de Shokkoth; Anneau Toriété; Alliance Gloursonne; Bouclier cubiste; Sangle Ouare; Kidibonnet; Cape de la Dame du Hasard; Bottes de la Dame du Hasard; Dofus Nébuleux; Dofus Ivoire; Dofus Turquoise; Chanceux majeur; Remueur</t>
        </is>
      </c>
    </row>
    <row r="27467">
      <c r="A27467" t="inlineStr">
        <is>
          <t>eau do crit low res</t>
        </is>
      </c>
      <c r="B27467">
        <f>HYPERLINK("https://www.dofusbook.net/fr/equipement/1222650-eau-do-crit-low-res/objets", "link")</f>
        <v/>
      </c>
      <c r="C27467" t="n">
        <v>33</v>
      </c>
      <c r="D27467" t="inlineStr">
        <is>
          <t>Dagues Açantes; Amulette de Shokkoth; Anneau Volkorne; Alliance Gloursonne; Bouclier alvéolé; Poulpagne; Casque Dragoeuf; Cape de la Dame du Hasard; Bottes de la Dame du Hasard; Dofus Nébuleux; Dofus Ocre; Dofus Ivoire; Dofus Turquoise; Nomade; Chanceux majeur; Pioute bleu</t>
        </is>
      </c>
    </row>
    <row r="27468">
      <c r="A27468" t="inlineStr">
        <is>
          <t>docrit low po low ini</t>
        </is>
      </c>
      <c r="B27468">
        <f>HYPERLINK("https://www.dofusbook.net/fr/equipement/4406771-docrit-low-po-low-ini/objets", "link")</f>
        <v/>
      </c>
      <c r="C27468" t="n">
        <v>5</v>
      </c>
      <c r="D27468" t="inlineStr">
        <is>
          <t>Sabres d'Atcham; Amulette du Strigide; Alliance Gloursonne; Anneau Volkorne; Quatre-feuilles; Ceinture du Strigide; Casque Volkorne; Cape d'Atcham; Bottes du Strigide; Dofus Vulbis; Dofus Pourpre; Dofus des Glaces; Dofus Ocre; Dolmanax; Dofus Nébuleux; Kokulte</t>
        </is>
      </c>
    </row>
    <row r="27469">
      <c r="A27469" t="inlineStr">
        <is>
          <t>Enutrof M 200</t>
        </is>
      </c>
      <c r="B27469">
        <f>HYPERLINK("https://www.dofusbook.net/fr/equipement/4739006-enutrof-m-200/objets", "link")</f>
        <v/>
      </c>
      <c r="C27469" t="n">
        <v>0</v>
      </c>
      <c r="D27469" t="inlineStr">
        <is>
          <t>Arc Hétype; Pendentif affamé; Anneauræus; Anneau Tique; Bouclier cubiste; Ceinture Séculaire; Masque d'Anerice; Cape d'Anerice; Pataugastrique</t>
        </is>
      </c>
    </row>
    <row r="27470">
      <c r="A27470" t="inlineStr">
        <is>
          <t>dorado</t>
        </is>
      </c>
      <c r="B27470">
        <f>HYPERLINK("https://www.dofusbook.net/fr/equipement/209151-dorado/objets", "link")</f>
        <v/>
      </c>
      <c r="C27470" t="n">
        <v>2</v>
      </c>
      <c r="D27470" t="inlineStr">
        <is>
          <t>Arc du Chalœil; Amulette du Nocturlabe; Anneau de Brouce; Anneau Chevelu; Bouclier du Stalak; Ceinture de Brouce; Casque des égarés; Cape au Logis; Sabots Minables; Furibond majeur; Enragé majeur; Vigoureux majeur; Nomade; Forcené majeur; Remueur; Kompost</t>
        </is>
      </c>
    </row>
    <row r="27471">
      <c r="A27471" t="inlineStr">
        <is>
          <t>Féca M 200</t>
        </is>
      </c>
      <c r="B27471">
        <f>HYPERLINK("https://www.dofusbook.net/fr/equipement/4694412-feca-m-200/objets", "link")</f>
        <v/>
      </c>
      <c r="C27471" t="n">
        <v>0</v>
      </c>
      <c r="D27471" t="inlineStr">
        <is>
          <t>Lav'Hache; Amulette du Strigide; Anneau Crustique; Anneau Chevelu; Bouclier alvéolé; Ceinture Volkorne; Masque de Koutoulou; Voile d'encre; Bottes du Strigide; Dofus Turquoise; Dofus Ivoire; Dofus Pourpre; Dofus Ocre; Étourdisseur majeur; Nomade; Drakopin</t>
        </is>
      </c>
    </row>
    <row r="27472">
      <c r="A27472" t="inlineStr">
        <is>
          <t>dofus</t>
        </is>
      </c>
      <c r="B27472">
        <f>HYPERLINK("https://www.dofusbook.net/fr/equipement/3067202-dofus/objets", "link")</f>
        <v/>
      </c>
      <c r="C27472" t="n">
        <v>0</v>
      </c>
      <c r="D27472" t="inlineStr">
        <is>
          <t>Sabres d'Atcham; Amulette du Strigide; Alliance Gloursonne; Anneau de Padgref; Quatre-feuilles; Ceinture du Strigide; Coiffe de Padgref; Cape d'Atcham; Getas de Padgref; Dofus Pourpre; Dofus Ocre; Dofus Ivoire; Dofus des Glaces; Dofus Turquoise; Dofus Nébuleux; Muldo Prune et Emeraude</t>
        </is>
      </c>
    </row>
    <row r="27473">
      <c r="A27473" t="inlineStr">
        <is>
          <t>ini ret tacle</t>
        </is>
      </c>
      <c r="B27473">
        <f>HYPERLINK("https://www.dofusbook.net/fr/equipement/1223014-ini-ret-tacle/objets", "link")</f>
        <v/>
      </c>
      <c r="C27473" t="n">
        <v>27</v>
      </c>
      <c r="D27473" t="inlineStr">
        <is>
          <t>Lav'Hache; Amulette du Strigide; Anneau Crustique; Anneau Chevelu; Sept ans de malheur; Ceinture de la Cour Sombre; Casque Dragoeuf; Cape de la Cour Sombre; Baleinabottes; Dofus Ivoire; Obstructeur majeur; Étourdisseur majeur; Nomade; Enragé majeur; Remueur; Drakopin</t>
        </is>
      </c>
    </row>
    <row r="27474">
      <c r="A27474" t="inlineStr">
        <is>
          <t>je sais pas</t>
        </is>
      </c>
      <c r="B27474">
        <f>HYPERLINK("https://www.dofusbook.net/fr/equipement/1459267-je-sais-pas/objets", "link")</f>
        <v/>
      </c>
      <c r="C27474" t="n">
        <v>1</v>
      </c>
      <c r="D27474" t="inlineStr">
        <is>
          <t>L'Épée Nice; Amulette de l'Indicible; Alliance Gloursonne; Bague Gloursonne; Cadran de Terre; Menoture; Coiffe de la Reine des Voleurs; Voile d'encre; Bottes de la Reine des Voleurs; Dofus Pourpre; Dofus Nébuleux; Dofus Ocre; Dofus des Glaces; Dofus Abyssal; Dofus Ivoire; Boskito</t>
        </is>
      </c>
    </row>
    <row r="27475">
      <c r="A27475" t="inlineStr">
        <is>
          <t>air</t>
        </is>
      </c>
      <c r="B27475">
        <f>HYPERLINK("https://www.dofusbook.net/fr/equipement/1583183-air/objets", "link")</f>
        <v/>
      </c>
      <c r="C27475" t="n">
        <v>1</v>
      </c>
      <c r="D27475" t="inlineStr">
        <is>
          <t>Pelle de la Cour Sombre; Collier du Valet Veinard; Gant du Valet Veinard; Alliance Gloursonne; Bouclier Taverne; Menoture; Casque Dragoeuf; Cape du Kamasterisk; Baleinabottes; Dofus Émeraude; Miraculé majeur; Remueur; Vigoureux majeur; Cascadeur majeur; Nomade; Muldo Ebène</t>
        </is>
      </c>
    </row>
    <row r="27476">
      <c r="A27476" t="inlineStr">
        <is>
          <t>porcinet</t>
        </is>
      </c>
      <c r="B27476">
        <f>HYPERLINK("https://www.dofusbook.net/fr/equipement/3087660-porcinet/objets", "link")</f>
        <v/>
      </c>
      <c r="C27476" t="n">
        <v>0</v>
      </c>
      <c r="D27476" t="inlineStr">
        <is>
          <t>God Rod; Blopanneau Griotte Royal; Gelano; Bouclier Abraknyde; Blopture Griotte Royale; Caracoiffe; Cape d'Elya Wood; Bloptes Griotte Royales; Dofus Cawotte; Observateur; Savant mineur; Dragodinde Prune et Emeraude</t>
        </is>
      </c>
    </row>
    <row r="27477">
      <c r="A27477" t="inlineStr">
        <is>
          <t>srambad</t>
        </is>
      </c>
      <c r="B27477">
        <f>HYPERLINK("https://www.dofusbook.net/fr/equipement/757791-srambad/objets", "link")</f>
        <v/>
      </c>
      <c r="C27477" t="n">
        <v>2</v>
      </c>
      <c r="D27477" t="inlineStr">
        <is>
          <t>Dagues de Srambad; Amulette du Strigide; Anneau Crustique; Bracelet des Fonds marins; Bouclier du Captain Amakna; Ceinture de la Reine des Voleurs; Masque de Koutoulou; Voile d'encre; Bottes de la Reine des Voleurs; Dofus Pourpre; Dofus Nébuleux; Dofus Émeraude; Dofus des Glaces; Nomade; Remueur</t>
        </is>
      </c>
    </row>
    <row r="27478">
      <c r="A27478" t="inlineStr">
        <is>
          <t>stuff 2 look en bas</t>
        </is>
      </c>
      <c r="B27478">
        <f>HYPERLINK("https://www.dofusbook.net/fr/equipement/1378779-stuff-2-look-en-bas/objets", "link")</f>
        <v/>
      </c>
      <c r="C27478" t="n">
        <v>2</v>
      </c>
      <c r="D27478" t="inlineStr">
        <is>
          <t>Arc du Chalœil; Amulette de Pol Ouatnos; Anneau Chevelu; Bague Gloursonne; Cadran d'Air; Ceinture de la Reine des Voleurs; Coiffe de la Reine des Voleurs; Voile d'encre; Baleinabottes; Dofus Abyssal; Dofus Pourpre; Dofus Émeraude; Remueur; Enragé majeur; Nomade; Bulbisou</t>
        </is>
      </c>
    </row>
    <row r="27479">
      <c r="A27479" t="inlineStr">
        <is>
          <t>eau air</t>
        </is>
      </c>
      <c r="B27479">
        <f>HYPERLINK("https://www.dofusbook.net/fr/equipement/1161032-eau-air-/objets", "link")</f>
        <v/>
      </c>
      <c r="C27479" t="n">
        <v>0</v>
      </c>
      <c r="D27479" t="inlineStr">
        <is>
          <t>Hache du Korriandre; Amulette du Strigide; Anneau Toriété; Alliance Gloursonne; Bouclier Taverne; Ceinture du Strigide; Némès de Tal Kasha; Chevelure de Tal Kasha; Sandales de Tal Kasha; Dofus Nébuleux; Dofus Ocre; Dofus Ivoire; Dofus des Glaces; Dofus Turquoise; Dofus Abyssal</t>
        </is>
      </c>
    </row>
    <row r="27480">
      <c r="A27480" t="inlineStr">
        <is>
          <t>Féca M 200</t>
        </is>
      </c>
      <c r="B27480">
        <f>HYPERLINK("https://www.dofusbook.net/fr/equipement/4570464-feca-m-200/objets", "link")</f>
        <v/>
      </c>
      <c r="C27480" t="n">
        <v>0</v>
      </c>
      <c r="D27480" t="inlineStr">
        <is>
          <t>Sceptre du Roi Joueur; Amulette de Shokkoth; Anneau Toriété; Alliance Gloursonne; Quatre-feuilles; Sangle Ouare; Kidibonnet; Cape de la Dame du Hasard; Bottes de la Dame du Hasard; Dofus Turquoise; Dofus Ivoire; Dofus Pourpre; Dofus Nébuleux; Remueur; Chanceux majeur; Pioute bleu</t>
        </is>
      </c>
    </row>
    <row r="27481">
      <c r="A27481" t="inlineStr">
        <is>
          <t>air terre</t>
        </is>
      </c>
      <c r="B27481">
        <f>HYPERLINK("https://www.dofusbook.net/fr/equipement/3039677-air-terre/objets", "link")</f>
        <v/>
      </c>
      <c r="C27481" t="n">
        <v>0</v>
      </c>
      <c r="D27481" t="inlineStr">
        <is>
          <t>Marteau Reine; Amulette du Strigide; Anneau de Brouce; Alliance Gloursonne; Bouclier alvéolé; Ceintacé; Casque des égarés; Cape au Logis; Bottes du Strigide; Dofus Pourpre; Dofus Turquoise; Dofus Nébuleux; Remueur; Enragé majeur; Étourdisseur majeur; Drakopin</t>
        </is>
      </c>
    </row>
    <row r="27482">
      <c r="A27482" t="inlineStr">
        <is>
          <t>air crit</t>
        </is>
      </c>
      <c r="B27482">
        <f>HYPERLINK("https://www.dofusbook.net/fr/equipement/209148-air-crit/objets", "link")</f>
        <v/>
      </c>
      <c r="C27482" t="n">
        <v>0</v>
      </c>
      <c r="D27482" t="inlineStr">
        <is>
          <t>Manthache; Amulette du Strigide; Alliance Gloursonne; Anneau de Padgref; Quatre-feuilles; Menoture; Couronne d'Allister; Capibou; Getas de Padgref; Dofus Nébuleux; Dofus Turquoise; Dofus Émeraude; Nomade; Remueur; Cascadeur majeur; Pioute jaune</t>
        </is>
      </c>
    </row>
    <row r="27483">
      <c r="A27483" t="inlineStr">
        <is>
          <t>mode bat pas cher</t>
        </is>
      </c>
      <c r="B27483">
        <f>HYPERLINK("https://www.dofusbook.net/fr/equipement/2322876-mode-bat-pas-cher-/objets", "link")</f>
        <v/>
      </c>
      <c r="C27483" t="n">
        <v>15</v>
      </c>
      <c r="D27483" t="inlineStr">
        <is>
          <t>Arc du Chalœil; Amulette du Strigide; Bracelet du Piloztère; Anneau de Brouce; Quatre-feuilles; Ceinture du Strigide; Masque de Koutoulou; Cape au Logis; Baleinabottes; Dofus Turquoise; Enragé majeur; Vigoureux majeur; Nomade; Forcené majeur; Remueur; Pioute vert</t>
        </is>
      </c>
    </row>
    <row r="27484">
      <c r="A27484" t="inlineStr">
        <is>
          <t>terre</t>
        </is>
      </c>
      <c r="B27484">
        <f>HYPERLINK("https://www.dofusbook.net/fr/equipement/3111092-terre/objets", "link")</f>
        <v/>
      </c>
      <c r="C27484" t="n">
        <v>6</v>
      </c>
      <c r="D27484" t="inlineStr">
        <is>
          <t>Dagues Érhy; Amulette du Strigide; Anneau de Pol Ouatnos; Anneau de Brouce; Bouclier cubiste; Ceinture du Strigide; Chapeau de Gein; Voile d'encre; Baleinabottes; Dofus Pourpre; Dofus Turquoise; Temporiseur majeur; Remueur; Enragé majeur; Nomade; Gwo Tofu Ventripotent</t>
        </is>
      </c>
    </row>
    <row r="27485">
      <c r="A27485" t="inlineStr">
        <is>
          <t>Terre</t>
        </is>
      </c>
      <c r="B27485">
        <f>HYPERLINK("https://www.dofusbook.net/fr/equipement/2131559-terre-/objets", "link")</f>
        <v/>
      </c>
      <c r="C27485" t="n">
        <v>8</v>
      </c>
      <c r="D27485" t="inlineStr">
        <is>
          <t>L'Épée Nice; Amulette du Strigide; Anneau Crustique; Alliance Gloursonne; Cadran de Feu; Ceinture Volkorne; Masque d'Anerice; Cape d'Anerice; Baleinabottes; Dofus Ivoire; Dofus Émeraude; Survivant majeur; Remueur; Miraculé majeur; Enragé majeur; La Chose</t>
        </is>
      </c>
    </row>
    <row r="27486">
      <c r="A27486" t="inlineStr">
        <is>
          <t>air crit</t>
        </is>
      </c>
      <c r="B27486">
        <f>HYPERLINK("https://www.dofusbook.net/fr/equipement/2122896-air-crit/objets", "link")</f>
        <v/>
      </c>
      <c r="C27486" t="n">
        <v>0</v>
      </c>
      <c r="D27486" t="inlineStr">
        <is>
          <t>L'Épée Nice; Amulette du Strigide; Alliance Gloursonne; Anneau de Padgref; Quatre-feuilles; Ceinture du Strigide; Coiffe de Padgref; Capibou; Getas de Padgref; Dofus Turquoise; Dofus Abyssal; Dofus Ocre; Dofus des Glaces; Dofus Nébuleux; Dofus Pourpre; Kokulte</t>
        </is>
      </c>
    </row>
    <row r="27487">
      <c r="A27487" t="inlineStr">
        <is>
          <t>Crâ F 200</t>
        </is>
      </c>
      <c r="B27487">
        <f>HYPERLINK("https://www.dofusbook.net/fr/equipement/3901340-cra-f-200/objets", "link")</f>
        <v/>
      </c>
      <c r="C27487" t="n">
        <v>5</v>
      </c>
      <c r="D27487" t="inlineStr">
        <is>
          <t>L'Épée Nice; Amulette du Strigide; Bague Trithon; Alliance Gloursonne; Quatre-feuilles; Ceinture du Strigide; Masque Trithon; Cape des Malveilleurs; Bottes Trithon; Dofus Pourpre; Dofus des Glaces; Dofus Turquoise; Dofus Nébuleux; Dolmanax; Dofus Ocre; Kokulte</t>
        </is>
      </c>
    </row>
    <row r="27488">
      <c r="A27488" t="inlineStr">
        <is>
          <t>essais de roxxer</t>
        </is>
      </c>
      <c r="B27488">
        <f>HYPERLINK("https://www.dofusbook.net/fr/equipement/757984-essais-de-roxxer/objets", "link")</f>
        <v/>
      </c>
      <c r="C27488" t="n">
        <v>5</v>
      </c>
      <c r="D27488" t="inlineStr">
        <is>
          <t>Arc Volkorne; Amulette du Strigide; Bracelet du Piloztère; Alliance Gloursonne; Quatre-feuilles; Ceintacé; Le Dorado; Cape de la Dame du Hasard; Bottes du Strigide; Dofus Turquoise; Dofus Pourpre; Dolmanax; Remueur; Vigoureux majeur; Nomade; Chacha Angora</t>
        </is>
      </c>
    </row>
    <row r="27489">
      <c r="A27489" t="inlineStr">
        <is>
          <t>futur stuff</t>
        </is>
      </c>
      <c r="B27489">
        <f>HYPERLINK("https://www.dofusbook.net/fr/equipement/3541966-futur-stuff-/objets", "link")</f>
        <v/>
      </c>
      <c r="C27489" t="n">
        <v>7</v>
      </c>
      <c r="D27489" t="inlineStr">
        <is>
          <t>Pelle de la Cour Sombre; Collier du Valet Veinard; Alliance Gloursonne; Gant du Valet Veinard; Bouclier d'Ilyzaelle; Menoture; Dorabysses; Cape du Kamasterisk; Palmes Trithons; Dofus Émeraude; Cascadeur majeur; Nomade; Vigoureux majeur; Remueur; Miraculé majeur; Muldo Ebène et Orchidée</t>
        </is>
      </c>
    </row>
    <row r="27490">
      <c r="A27490" t="inlineStr">
        <is>
          <t>air</t>
        </is>
      </c>
      <c r="B27490">
        <f>HYPERLINK("https://www.dofusbook.net/fr/equipement/1232465-air/objets", "link")</f>
        <v/>
      </c>
      <c r="C27490" t="n">
        <v>6</v>
      </c>
      <c r="D27490" t="inlineStr">
        <is>
          <t>Pelle de la Cour Sombre; Collier du Valet Veinard; Gant du Valet Veinard; Alliance Gloursonne; Bouclier d'Ilyzaelle; Menoture; Dorabysses; Cape du Kamasterisk; Palmes Trithons; Dofus Émeraude; Vigoureux majeur; Remueur; Miraculé majeur; Cascadeur majeur; Nomade; Muldo Ebène et Orchidée</t>
        </is>
      </c>
    </row>
    <row r="27491">
      <c r="A27491" t="inlineStr">
        <is>
          <t>Ret pm</t>
        </is>
      </c>
      <c r="B27491">
        <f>HYPERLINK("https://www.dofusbook.net/fr/equipement/2689731-ret-pm/objets", "link")</f>
        <v/>
      </c>
      <c r="C27491" t="n">
        <v>3</v>
      </c>
      <c r="D27491" t="inlineStr">
        <is>
          <t>Faux Maudite du Saigneur Guerrier; Amulette du Strigide; Bracelet du Piloztère; Anneau Toriété; Quatre-feuilles; Ceinture du Strigide; Boucle d'oreille de Kongoku; Cape de la Dame du Hasard; Pataugastrique; Dofus Pourpre; Dofus Turquoise; Vigoureux majeur; Remueur; Sanguinaire majeur; Nomade; Kokulte</t>
        </is>
      </c>
    </row>
    <row r="27492">
      <c r="A27492" t="inlineStr">
        <is>
          <t>Osamodas M 200</t>
        </is>
      </c>
      <c r="B27492">
        <f>HYPERLINK("https://www.dofusbook.net/fr/equipement/3993171-osamodas-m-200/objets", "link")</f>
        <v/>
      </c>
      <c r="C27492" t="n">
        <v>6</v>
      </c>
      <c r="D27492" t="inlineStr">
        <is>
          <t>Arc corrompu; Amulette de Nileza; Anneau Tique; Anneau de Nidas; Bouclier du Stalak; Ceinture de Vortex; Couronne de Nidas; Voile d'encre; Pataugastrique; Érudit majeur; Carapace Terre majeur; Nomade; Évasif majeur; Remueur; Déserteur majeur; Minikrone</t>
        </is>
      </c>
    </row>
    <row r="27493">
      <c r="A27493" t="inlineStr">
        <is>
          <t>Crâ F 200</t>
        </is>
      </c>
      <c r="B27493">
        <f>HYPERLINK("https://www.dofusbook.net/fr/equipement/3899387-cra-f-200/objets", "link")</f>
        <v/>
      </c>
      <c r="C27493" t="n">
        <v>0</v>
      </c>
      <c r="D27493" t="inlineStr">
        <is>
          <t>Epée Kari; Amulette de Pol Ouatnos; Alliance Gloursonne; Bracelet du Piloztère; Quatre-feuilles; Ceinture du Strigide; Coiffe Ranshi; Cape Reski; Pataugastrique; Vigoureux majeur; Chanceux majeur; Nomade; Puissant majeur; Remueur; Érudit majeur; Walk</t>
        </is>
      </c>
    </row>
    <row r="27494">
      <c r="A27494" t="inlineStr">
        <is>
          <t>Crâ M 200</t>
        </is>
      </c>
      <c r="B27494">
        <f>HYPERLINK("https://www.dofusbook.net/fr/equipement/3899306-cra-m-200/objets", "link")</f>
        <v/>
      </c>
      <c r="C27494" t="n">
        <v>0</v>
      </c>
      <c r="D27494" t="inlineStr">
        <is>
          <t>Rapière aux Glyphes; Amulette de Danathor; Alliance Gloursonne; Bracelet du Piloztère; Quatre-feuilles; Sangle Ouare; Coiffe de Danathor; Cape Matelassée; Pataugastrique; Taquin majeur; Remueur; Dévastateur Eau majeur; Chanceux majeur; Vigoureux majeur; Nomade; Pioute bleu</t>
        </is>
      </c>
    </row>
    <row r="27495">
      <c r="A27495" t="inlineStr">
        <is>
          <t>essais de roxxer</t>
        </is>
      </c>
      <c r="B27495">
        <f>HYPERLINK("https://www.dofusbook.net/fr/equipement/2829678-essais-de-roxxer/objets", "link")</f>
        <v/>
      </c>
      <c r="C27495" t="n">
        <v>1</v>
      </c>
      <c r="D27495" t="inlineStr">
        <is>
          <t>Massier; Amulette de Nileza; Anneauræus; Anneau Tique; Bouclier du Captain Amakna; Ceinture Séculaire; Coiffe Séculaire; Voile d'encre; Pataugastrique; Dofus Pourpre; Nomade; Vigoureux majeur; Remueur; Astucieux majeur; Érudit majeur; Muldo Orchidée et Pourpre</t>
        </is>
      </c>
    </row>
    <row r="27496">
      <c r="A27496" t="inlineStr">
        <is>
          <t>Eliotrope M 200</t>
        </is>
      </c>
      <c r="B27496">
        <f>HYPERLINK("https://www.dofusbook.net/fr/equipement/3867555-eliotrope-m-200/objets", "link")</f>
        <v/>
      </c>
      <c r="C27496" t="n">
        <v>4</v>
      </c>
      <c r="D27496" t="inlineStr">
        <is>
          <t>Karnak; Amulette du Granduk; Alliance Gloursonne; Anneau d'Allister; Cadran d'Air; Ceinture de Klime; Couronne d'Allister; Cape Matelassée; Pantoufles Émar; Cascadeur majeur; Vigoureux majeur; Nomade; Equilibriste majeur; Remueur; Miraculé majeur; Siroko</t>
        </is>
      </c>
    </row>
    <row r="27497">
      <c r="A27497" t="inlineStr">
        <is>
          <t>Crâ F 200</t>
        </is>
      </c>
      <c r="B27497">
        <f>HYPERLINK("https://www.dofusbook.net/fr/equipement/3257379-cra-f-200/objets", "link")</f>
        <v/>
      </c>
      <c r="C27497" t="n">
        <v>6</v>
      </c>
      <c r="D27497" t="inlineStr">
        <is>
          <t>Épée Brûlâme; Amulette du Strigide; Anneau Volkorne; Anneau Tique; Quatre-feuilles; Ceinture Volkorne; Chapeau des Malveilleurs; Cape de l'Œil Putride; Pataugastrique; Dolmanax; Dofus Nébuleux; Dofus Turquoise; Dofus Ocre; Dofus Pourpre; Dofus des Glaces; Muldo Orchidée</t>
        </is>
      </c>
    </row>
    <row r="27498">
      <c r="A27498" t="inlineStr">
        <is>
          <t>Crâ M 200</t>
        </is>
      </c>
      <c r="B27498">
        <f>HYPERLINK("https://www.dofusbook.net/fr/equipement/3835093-cra-m-200/objets", "link")</f>
        <v/>
      </c>
      <c r="C27498" t="n">
        <v>9</v>
      </c>
      <c r="D27498" t="inlineStr">
        <is>
          <t>Dagues de Srambad; Amulette de l'Indicible; Alliance Gloursonne; Pikano; Bouclier du Stalak; Ceinture de la Reine des Voleurs; Coiffe de la Reine des Voleurs; Cape Luminescente; Baleinabottes; Dofus Pourpre; Robuste majeur; Remueur; Vigoureux majeur; Féroce majeur; Nomade; Bébé Pandawa</t>
        </is>
      </c>
    </row>
    <row r="27499">
      <c r="A27499" t="inlineStr">
        <is>
          <t>eau</t>
        </is>
      </c>
      <c r="B27499">
        <f>HYPERLINK("https://www.dofusbook.net/fr/equipement/2197671-eau/objets", "link")</f>
        <v/>
      </c>
      <c r="C27499" t="n">
        <v>0</v>
      </c>
      <c r="D27499" t="inlineStr">
        <is>
          <t>Sceptre du Roi Joueur; Amulette Voldelor; Anneau Toriété; Alliance Gloursonne; Bouclier du Captain Amakna; Ceinture Glaciale; Chapeau des Malveilleurs; Cape des Malveilleurs; Pataugastrique; Dofus Pourpre; Taquin majeur; Vigoureux majeur; Nomade; Chanceux majeur; Remueur; Kramkram</t>
        </is>
      </c>
    </row>
    <row r="27500">
      <c r="A27500" t="inlineStr">
        <is>
          <t>feu</t>
        </is>
      </c>
      <c r="B27500">
        <f>HYPERLINK("https://www.dofusbook.net/fr/equipement/2028335-feu/objets", "link")</f>
        <v/>
      </c>
      <c r="C27500" t="n">
        <v>0</v>
      </c>
      <c r="D27500" t="inlineStr">
        <is>
          <t>La Baguette des Limbes; Amulette de Nileza; Gelano; Anneau Tamie; Bouclier du Stalak; Ceinture Séculaire; Masque du Katcheur; Cape de Nileza; Bottes Refois; Vigoureux majeur; Miraculé majeur; Nomade; Savant majeur; Érudit majeur; Remueur; Volkorne Orchidée</t>
        </is>
      </c>
    </row>
    <row r="27501">
      <c r="A27501" t="inlineStr">
        <is>
          <t>Feu</t>
        </is>
      </c>
      <c r="B27501">
        <f>HYPERLINK("https://www.dofusbook.net/fr/equipement/1733927-feu/objets", "link")</f>
        <v/>
      </c>
      <c r="C27501" t="n">
        <v>3</v>
      </c>
      <c r="D27501" t="inlineStr">
        <is>
          <t>Arc corrompu; Pendentif affamé; Anneau Tamie; Anneau Tamie; Bouclier du Stalak; Ceinture Séculaire; Coiffe Séculaire; Cape de Diondin; Bottes Innommables; Dofus Ivoire; Dofus des Glaces; Nomade; Érudit majeur; Remueur; Dévastateur Feu majeur; Pioute rouge</t>
        </is>
      </c>
    </row>
    <row r="27502">
      <c r="A27502" t="inlineStr">
        <is>
          <t>do pou</t>
        </is>
      </c>
      <c r="B27502">
        <f>HYPERLINK("https://www.dofusbook.net/fr/equipement/2126825-do-pou/objets", "link")</f>
        <v/>
      </c>
      <c r="C27502" t="n">
        <v>0</v>
      </c>
      <c r="D27502" t="inlineStr">
        <is>
          <t>Arc du Chalœil; Amulette du Strigide; Anneau Chevelu; Anneau de Brouce; Bouclier Taverne; Ceinture du Strigide; Scaphandre Ojine; Cape au Logis; Baleinabottes; Bousculeur majeur; Enragé majeur; Culbuteur majeur; Forcené majeur; Nomade; Remueur; Kramkram</t>
        </is>
      </c>
    </row>
    <row r="27503">
      <c r="A27503" t="inlineStr">
        <is>
          <t>feu pas cher</t>
        </is>
      </c>
      <c r="B27503">
        <f>HYPERLINK("https://www.dofusbook.net/fr/equipement/3066539-feu-pas-cher/objets", "link")</f>
        <v/>
      </c>
      <c r="C27503" t="n">
        <v>0</v>
      </c>
      <c r="D27503" t="inlineStr">
        <is>
          <t>Arc corrompu; Pendentif mignon de Koutoulou; Anneau Tique; Anneauræus; Bouclier du Stalak; Ceinture de Vortex; Cagoule de Vortex; Voile d'encre; Pataugastrique; Dofus Abyssal; Dofus Pourpre; Déserteur majeur; Remueur; Érudit majeur; Nomade; Muldo Ebène et Orchidée</t>
        </is>
      </c>
    </row>
    <row r="27504">
      <c r="A27504" t="inlineStr">
        <is>
          <t>feu</t>
        </is>
      </c>
      <c r="B27504">
        <f>HYPERLINK("https://www.dofusbook.net/fr/equipement/2126756-feu/objets", "link")</f>
        <v/>
      </c>
      <c r="C27504" t="n">
        <v>5</v>
      </c>
      <c r="D27504" t="inlineStr">
        <is>
          <t>Arc Hétype; Pendentif mignon de Koutoulou; Anneau Tique; Anneauræus; Bouclier du Stalak; Ceinture de Vortex; Cagoule de Vortex; Voile d'encre; Pataugastrique; Érudit majeur; Paralyseur majeur; Nomade; Déserteur majeur; Remueur; Étourdisseur majeur; Muldo Ebène et Orchidée</t>
        </is>
      </c>
    </row>
    <row r="27505">
      <c r="A27505" t="inlineStr">
        <is>
          <t>xelor</t>
        </is>
      </c>
      <c r="B27505">
        <f>HYPERLINK("https://www.dofusbook.net/fr/equipement/977685-xelor-/objets", "link")</f>
        <v/>
      </c>
      <c r="C27505" t="n">
        <v>3</v>
      </c>
      <c r="D27505" t="inlineStr">
        <is>
          <t>Marteau R'ture; Amulette du Strigide; Anneau Chevelu; Anneau de Brouce; Bouclier du Captain Amakna; Ceinture du Strigide; Casque des égarés; Cape au Logis; Baleinabottes; Dofus Turquoise; Dofus Pourpre; Enragé majeur; Forcené majeur; Remueur; Vigoureux majeur; Kramkram</t>
        </is>
      </c>
    </row>
    <row r="27506">
      <c r="A27506" t="inlineStr">
        <is>
          <t>matt</t>
        </is>
      </c>
      <c r="B27506">
        <f>HYPERLINK("https://www.dofusbook.net/fr/equipement/3111038-matt/objets", "link")</f>
        <v/>
      </c>
      <c r="C27506" t="n">
        <v>0</v>
      </c>
      <c r="D27506" t="inlineStr">
        <is>
          <t>Marteau R'ture; Amulette Héroclite; Alliance du Lévitrof; Anneau de Brouce; Bouclier cubiste; Ceintacé; Coiffe du Lévitrof; Voile d'encre; Pompes Funèbres; Dofus Pourpre; Dofus Ivoire; Dofus Abyssal; Vigoureux majeur; Remueur; Enragé majeur; Muldo Pourpre</t>
        </is>
      </c>
    </row>
    <row r="27507">
      <c r="A27507" t="inlineStr">
        <is>
          <t>feu res</t>
        </is>
      </c>
      <c r="B27507">
        <f>HYPERLINK("https://www.dofusbook.net/fr/equipement/3108044-feu-res/objets", "link")</f>
        <v/>
      </c>
      <c r="C27507" t="n">
        <v>0</v>
      </c>
      <c r="D27507" t="inlineStr">
        <is>
          <t>Arc corrompu; Pendentif affamé; Chevalière du Roi Joueur; Anneau Tique; Bouclier du Stalak; Ceinture de Vortex; Cagoule de Vortex; Cape de Diondin; Bottes Innommables; Dofus Ivoire; Dofus Abyssal; Dofus des Glaces; Érudit majeur; Remueur; Miraculé majeur; Muldo Orchidée et Pourpre</t>
        </is>
      </c>
    </row>
    <row r="27508">
      <c r="A27508" t="inlineStr">
        <is>
          <t>nidas</t>
        </is>
      </c>
      <c r="B27508">
        <f>HYPERLINK("https://www.dofusbook.net/fr/equipement/3107961-nidas/objets", "link")</f>
        <v/>
      </c>
      <c r="C27508" t="n">
        <v>0</v>
      </c>
      <c r="D27508" t="inlineStr">
        <is>
          <t>Arc corrompu; Pendentif affamé; Anneau de Nidas; Anneau Tique; Bouclier du Stalak; Ceinture de Gein; Coiffe Séculaire; Cape de Diondin; Tongues de Nidas; Dofus Ivoire; Dofus Abyssal; Dofus des Glaces; Miraculé majeur; Érudit majeur; Remueur; Muldo Ebène et Orchidée</t>
        </is>
      </c>
    </row>
    <row r="27509">
      <c r="A27509" t="inlineStr">
        <is>
          <t>anerice</t>
        </is>
      </c>
      <c r="B27509">
        <f>HYPERLINK("https://www.dofusbook.net/fr/equipement/3030092-anerice/objets", "link")</f>
        <v/>
      </c>
      <c r="C27509" t="n">
        <v>0</v>
      </c>
      <c r="D27509" t="inlineStr">
        <is>
          <t>Arc corrompu; Pendentif affamé; Anneau Tique; Anneau Tamie; Bouclier du Stalak; Ceinture Séculaire; Masque d'Anerice; Cape d'Anerice; Pataugastrique; Dofus des Glaces; Dofus Abyssal; Dofus Ivoire; Érudit majeur; Dévastateur Feu majeur; Remueur; Muldo Orchidée et Pourpre</t>
        </is>
      </c>
    </row>
    <row r="27510">
      <c r="A27510" t="inlineStr">
        <is>
          <t>feu</t>
        </is>
      </c>
      <c r="B27510">
        <f>HYPERLINK("https://www.dofusbook.net/fr/equipement/2104405-feu/objets", "link")</f>
        <v/>
      </c>
      <c r="C27510" t="n">
        <v>1</v>
      </c>
      <c r="D27510" t="inlineStr">
        <is>
          <t>Arc Hétype; Amulette Séculaire; Anneau Tamie; Anneau Tamie; Cadran de Feu; Ceinture Séculaire; Casque Dragoeuf; Cape de Diondin; Bottes Innommables; Dofus Abyssal; Dofus Ivoire; Dofus des Glaces; Remueur; Érudit majeur; Nomade; Croum</t>
        </is>
      </c>
    </row>
    <row r="27511">
      <c r="A27511" t="inlineStr">
        <is>
          <t>cra alex</t>
        </is>
      </c>
      <c r="B27511">
        <f>HYPERLINK("https://www.dofusbook.net/fr/equipement/2260152-cra-alex/objets", "link")</f>
        <v/>
      </c>
      <c r="C27511" t="n">
        <v>0</v>
      </c>
      <c r="D27511" t="inlineStr">
        <is>
          <t>Hache du Chalœil; Amulette du Strigide; Alliance Gloursonne; Bracelet du Piloztère; Quatre-feuilles; Ceinture du Strigide; Le Dorado; Cape des Justiciers; Bottes du Chalœil; Dofus Turquoise; Dofus des Glaces; Dofus Pourpre; Nomade; Remueur; Vigoureux majeur; Muldo Prune et Emeraude</t>
        </is>
      </c>
    </row>
    <row r="27512">
      <c r="A27512" t="inlineStr">
        <is>
          <t>stuff</t>
        </is>
      </c>
      <c r="B27512">
        <f>HYPERLINK("https://www.dofusbook.net/fr/equipement/3078201-stuff-/objets", "link")</f>
        <v/>
      </c>
      <c r="C27512" t="n">
        <v>0</v>
      </c>
      <c r="D27512" t="inlineStr">
        <is>
          <t>Arc de Koutoulou; Amulette du Strigide; Bague Gloursonne; Alliance Gloursonne; Quatre-feuilles; Ceinture du Strigide; Masque d'Anerice; Cape d'Anerice; Bottes du Strigide; Dofus Abyssal; Dofus des Glaces; Dofus Ivoire; Dofus Turquoise; Dofus Pourpre; Dofus Ocre; Muldo Ebène et Orchidée</t>
        </is>
      </c>
    </row>
    <row r="27513">
      <c r="A27513" t="inlineStr">
        <is>
          <t>tank</t>
        </is>
      </c>
      <c r="B27513">
        <f>HYPERLINK("https://www.dofusbook.net/fr/equipement/3077916-tank/objets", "link")</f>
        <v/>
      </c>
      <c r="C27513" t="n">
        <v>0</v>
      </c>
      <c r="D27513" t="inlineStr">
        <is>
          <t>Arc Nécrotique; Amulette du Strigide; Bague Gloursonne; Alliance Gloursonne; Quatre-feuilles; Ceinture du Strigide; Casquette de Meno; Cape de Meno; Bottes du Strigide; Dofus Turquoise; Dofus Ocre; Dofus Nébuleux; Dofus Abyssal; Dofus Ivoire; Dofus des Glaces; Muldo Orchidée et Pourpre</t>
        </is>
      </c>
    </row>
    <row r="27514">
      <c r="A27514" t="inlineStr">
        <is>
          <t>eau</t>
        </is>
      </c>
      <c r="B27514">
        <f>HYPERLINK("https://www.dofusbook.net/fr/equipement/3073216-eau-/objets", "link")</f>
        <v/>
      </c>
      <c r="C27514" t="n">
        <v>0</v>
      </c>
      <c r="D27514" t="inlineStr">
        <is>
          <t>Sceptre du Roi Joueur; Amulette du Strigide; Pikano; Alliance Gloursonne; Bouclier d'Ilyzaelle; Ceinture du Strigide; Kidibonnet; Cape de Meno; Bottes du Strigide; Dofus Ivoire; Dofus Émeraude; Dofus Abyssal; Dofus Nébuleux; Dokoko; Dofus Pourpre; Muldo Ebène et Indigo</t>
        </is>
      </c>
    </row>
    <row r="27515">
      <c r="A27515" t="inlineStr">
        <is>
          <t>stuff res pou</t>
        </is>
      </c>
      <c r="B27515">
        <f>HYPERLINK("https://www.dofusbook.net/fr/equipement/3073066-stuff-res-pou/objets", "link")</f>
        <v/>
      </c>
      <c r="C27515" t="n">
        <v>0</v>
      </c>
      <c r="D27515" t="inlineStr">
        <is>
          <t>Pelle de la Cour Sombre; Collier du Valet Veinard; Alliance Gloursonne; Gant du Valet Veinard; Bouclier de Solar; Menoture; Dorabysses; Cape de Crânonier; Palmes Trithons; Dofus Abyssal; Dofus Ivoire; Dofus Émeraude; Remueur; Cascadeur majeur; Solide majeur; Muldo Ebène</t>
        </is>
      </c>
    </row>
    <row r="27516">
      <c r="A27516" t="inlineStr">
        <is>
          <t>feu pas cher</t>
        </is>
      </c>
      <c r="B27516">
        <f>HYPERLINK("https://www.dofusbook.net/fr/equipement/3039247-feu-pas-cher/objets", "link")</f>
        <v/>
      </c>
      <c r="C27516" t="n">
        <v>0</v>
      </c>
      <c r="D27516" t="inlineStr">
        <is>
          <t>Epée Loponèze; Amulette Voldelor; Anneau d'Allister; Alliance Gloursonne; Quatre-feuilles; Menoture; Couronne d'Allister; Cape Matelassée; Bottes de la Reine des Voleurs; Dofus Pourpre; Nomade; Fonceur majeur; Remueur; Cascadeur majeur; Vigoureux majeur; Muldo Ebène et Indigo</t>
        </is>
      </c>
    </row>
    <row r="27517">
      <c r="A27517" t="inlineStr">
        <is>
          <t>do pou</t>
        </is>
      </c>
      <c r="B27517">
        <f>HYPERLINK("https://www.dofusbook.net/fr/equipement/3039634-do-pou/objets", "link")</f>
        <v/>
      </c>
      <c r="C27517" t="n">
        <v>0</v>
      </c>
      <c r="D27517" t="inlineStr">
        <is>
          <t>Hache Euvale; Amulette Luminescente; Alliance Gloursonne; Bague Trithon; Bouclier précieux; Ceinture Luminescente; Masque Trithon; Cape Luminescente; Bottes Trithon; Dofus Pourpre; Dofus Émeraude; Dokoko; Dofus des Glaces; Dofus Ocre; Bousculeur majeur; Muldo Indigo et Pourpre</t>
        </is>
      </c>
    </row>
    <row r="27518">
      <c r="A27518" t="inlineStr">
        <is>
          <t>dofus</t>
        </is>
      </c>
      <c r="B27518">
        <f>HYPERLINK("https://www.dofusbook.net/fr/equipement/3036232-dofus/objets", "link")</f>
        <v/>
      </c>
      <c r="C27518" t="n">
        <v>0</v>
      </c>
      <c r="D27518" t="inlineStr">
        <is>
          <t>Dagues Cacterre; Amulette du Strigide; Bague Gloursonne; Anneau de Padgref; Bouclier du Captain Amakna; Ceinture du Strigide; Coiffe de Padgref; Cape d'Atcham; Getas de Padgref; Dofus Nébuleux; Dofus Pourpre; Dofus Ocre; Dofus Ivoire; Dofus des Glaces; Dofus Turquoise; Muldo Prune et Emeraude</t>
        </is>
      </c>
    </row>
    <row r="27519">
      <c r="A27519" t="inlineStr">
        <is>
          <t>Air</t>
        </is>
      </c>
      <c r="B27519">
        <f>HYPERLINK("https://www.dofusbook.net/fr/equipement/1782799-air/objets", "link")</f>
        <v/>
      </c>
      <c r="C27519" t="n">
        <v>1</v>
      </c>
      <c r="D27519" t="inlineStr">
        <is>
          <t>Manthache; Collier du Valet Veinard; Alliance Gloursonne; Gant du Valet Veinard; Bouclier du Stalak; Menoture; Couronne d'Allister; Cape du Kamasterisk; Palmes Trithons; Dofus Ocre; Dofus Ivoire; Dofus Abyssal; Dofus Pourpre; Cascadeur majeur; Vigoureux majeur; Muldo Ebène et Orchidée</t>
        </is>
      </c>
    </row>
    <row r="27520">
      <c r="A27520" t="inlineStr">
        <is>
          <t>ane</t>
        </is>
      </c>
      <c r="B27520">
        <f>HYPERLINK("https://www.dofusbook.net/fr/equipement/2946844-ane/objets", "link")</f>
        <v/>
      </c>
      <c r="C27520" t="n">
        <v>0</v>
      </c>
      <c r="D27520" t="inlineStr">
        <is>
          <t>Dagues Érhy; Collier du Valet Veinard; Gant du Valet Veinard; Alliance Gloursonne; Bouclier d'Ilyzaelle; Menoture; Casque Dragoeuf; Cape d'Anerice; Palmes Trithons; Dofus Ivoire; Dofus Abyssal; Dofus Pourpre; Dofus Ocre; Carapace Air majeur; Cascadeur majeur; Muldo Ebène et Orchidée</t>
        </is>
      </c>
    </row>
    <row r="27521">
      <c r="A27521" t="inlineStr">
        <is>
          <t>res crit</t>
        </is>
      </c>
      <c r="B27521">
        <f>HYPERLINK("https://www.dofusbook.net/fr/equipement/2925014-res-crit/objets", "link")</f>
        <v/>
      </c>
      <c r="C27521" t="n">
        <v>0</v>
      </c>
      <c r="D27521" t="inlineStr">
        <is>
          <t>Manthache; Amulette de Pol Ouatnos; Gant du Valet Veinard; Alliance Gloursonne; Bouclier du Stalak; Ceinture de la Reine des Voleurs; Masque d'Anerice; Cape d'Anerice; Baleinabottes; Dofus Ivoire; Dofus Abyssal; Fortification majeure; Cascadeur majeur; Carapace Air majeur; Croum</t>
        </is>
      </c>
    </row>
    <row r="27522">
      <c r="A27522" t="inlineStr">
        <is>
          <t>hache</t>
        </is>
      </c>
      <c r="B27522">
        <f>HYPERLINK("https://www.dofusbook.net/fr/equipement/3009704-hache/objets", "link")</f>
        <v/>
      </c>
      <c r="C27522" t="n">
        <v>0</v>
      </c>
      <c r="D27522" t="inlineStr">
        <is>
          <t>Arc Nécrotique; Amulette du Strigide; Bracelet du Piloztère; Alliance Gloursonne; Quatre-feuilles; Ceinture du Strigide; Le Dorado; Cape de Meno; Bottes de la Dame du Hasard; Dofus Pourpre; Dofus Nébuleux; Dolmanax; Déserteur majeur; Vigoureux majeur; Remueur; Muldo Indigo et Orchidée</t>
        </is>
      </c>
    </row>
    <row r="27523">
      <c r="A27523" t="inlineStr">
        <is>
          <t>eau air</t>
        </is>
      </c>
      <c r="B27523">
        <f>HYPERLINK("https://www.dofusbook.net/fr/equipement/2974720-eau-air/objets", "link")</f>
        <v/>
      </c>
      <c r="C27523" t="n">
        <v>0</v>
      </c>
      <c r="D27523" t="inlineStr">
        <is>
          <t>Arc de Koutoulou; Alliance Gloursonne; Ceinture de la Reine des Voleurs; Coiffe de la Reine des Voleurs; Bottes de la Reine des Voleurs; Dofus Ocre; Dolmanax; Dofus des Glaces; Dofus Pourpre; Dofus Abyssal</t>
        </is>
      </c>
    </row>
    <row r="27524">
      <c r="A27524" t="inlineStr">
        <is>
          <t>eau feu</t>
        </is>
      </c>
      <c r="B27524">
        <f>HYPERLINK("https://www.dofusbook.net/fr/equipement/1772183-eau-feu-/objets", "link")</f>
        <v/>
      </c>
      <c r="C27524" t="n">
        <v>0</v>
      </c>
      <c r="D27524" t="inlineStr">
        <is>
          <t>Épée Brûlâme; Talisman Igans; Alliance Gloursonne; Anneau Tique; Cadran de Feu; Sangle Ouare; Casqnoar; Cape de Meno; Bottes de Meno; Dofus des Glaces; Dofus Turquoise; Dofus Pourpre; Dofus Nébuleux; Dofus Ocre; Remueur; Muldo Ebène et Orchidée</t>
        </is>
      </c>
    </row>
    <row r="27525">
      <c r="A27525" t="inlineStr">
        <is>
          <t>Air</t>
        </is>
      </c>
      <c r="B27525">
        <f>HYPERLINK("https://www.dofusbook.net/fr/equipement/2916954-air/objets", "link")</f>
        <v/>
      </c>
      <c r="C27525" t="n">
        <v>0</v>
      </c>
      <c r="D27525" t="inlineStr">
        <is>
          <t>Dagues Érhy; Collier du Valet Veinard; Gant du Valet Veinard; Alliance Gloursonne; Bouclier d'Ilyzaelle; Menoture; Couronne d'Allister; Cape d'Anerice; Palmes Trithons; Dofus Abyssal; Dofus Pourpre; Remueur; Miraculé majeur; Fonceur majeur; Cascadeur majeur; Muldo Ebène et Orchidée</t>
        </is>
      </c>
    </row>
    <row r="27526">
      <c r="A27526" t="inlineStr">
        <is>
          <t>darkantonio94</t>
        </is>
      </c>
      <c r="B27526">
        <f>HYPERLINK("https://www.dofusbook.net/fr/equipement/2949293-darkantonio94/objets", "link")</f>
        <v/>
      </c>
      <c r="C27526" t="n">
        <v>0</v>
      </c>
      <c r="D27526" t="inlineStr">
        <is>
          <t>Bâtonnet Ronien; Amulette de Shokkoth; Alliance Gloursonne; Alliance du Lévitrof; Bouclier du Stalak; Poulpagne; Capuche de l'Œil Attentif; Cape de l'Œil Attentif; Pantoufles du Piloztère; Dofus Ocre; Dofus Pourpre; Dofus Abyssal; Nomade; Chanceux majeur; Croum</t>
        </is>
      </c>
    </row>
    <row r="27527">
      <c r="A27527" t="inlineStr">
        <is>
          <t>take</t>
        </is>
      </c>
      <c r="B27527">
        <f>HYPERLINK("https://www.dofusbook.net/fr/equipement/2936298-take/objets", "link")</f>
        <v/>
      </c>
      <c r="C27527" t="n">
        <v>0</v>
      </c>
      <c r="D27527" t="inlineStr">
        <is>
          <t>Sabres d'Atcham; Amulette du Strigide; Anneau de Padgref; Alliance Gloursonne; Quatre-feuilles; Ceinture du Strigide; Capuche de l'Œil Putride; Cape des Malveilleurs; Pataugastrique; Dofus Pourpre; Dofus Turquoise; Vigoureux majeur; Remueur; Nomade; Muldo Indigo et Emeraude</t>
        </is>
      </c>
    </row>
    <row r="27528">
      <c r="A27528" t="inlineStr">
        <is>
          <t>eau ret</t>
        </is>
      </c>
      <c r="B27528">
        <f>HYPERLINK("https://www.dofusbook.net/fr/equipement/1751966-eau-ret/objets", "link")</f>
        <v/>
      </c>
      <c r="C27528" t="n">
        <v>0</v>
      </c>
      <c r="D27528" t="inlineStr">
        <is>
          <t>Dagoulinantes; Amulette de Shokkoth; Pikano; Alliance Gloursonne; Bouclier cubiste; Ceinture Luminescente; Kidibonnet; Cape de la Dame du Hasard; Bottes de la Dame du Hasard; Dofus Pourpre; Dofus Ocre; Temporiseur majeur; Chanceux majeur; Vigoureux majeur; Entraveur majeur; Muldo Ebène et Orchidée</t>
        </is>
      </c>
    </row>
    <row r="27529">
      <c r="A27529" t="inlineStr">
        <is>
          <t>eau</t>
        </is>
      </c>
      <c r="B27529">
        <f>HYPERLINK("https://www.dofusbook.net/fr/equipement/2197766-eau/objets", "link")</f>
        <v/>
      </c>
      <c r="C27529" t="n">
        <v>0</v>
      </c>
      <c r="D27529" t="inlineStr">
        <is>
          <t>Rapière aux Glyphes; Amulette du Sinistrofu; Alliance Gloursonne; Bracelet des Fonds marins; Bouclier du Stalak; Sangle Ouare; Kidibonnet; Cape du Sinistrofu; Chaussons de Macrab; Dofus Abyssal; Dofus Émeraude; Dofus Ocre; Vigoureux majeur; Chanceux majeur; Nomade; Kramkram</t>
        </is>
      </c>
    </row>
    <row r="27530">
      <c r="A27530" t="inlineStr">
        <is>
          <t>eau</t>
        </is>
      </c>
      <c r="B27530">
        <f>HYPERLINK("https://www.dofusbook.net/fr/equipement/1298660-eau/objets", "link")</f>
        <v/>
      </c>
      <c r="C27530" t="n">
        <v>0</v>
      </c>
      <c r="D27530" t="inlineStr">
        <is>
          <t>Sceptre du Roi Joueur; Amulette de Shokkoth; Pikano; Alliance Gloursonne; Bouclier d'Ilyzaelle; Sangle Ouare; Kidibonnet; Cape du Sinistrofu; Bottes du Sinistrofu; Dofus Pourpre; Dofus Abyssal; Dolmanax; Dofus Ocre; Déserteur majeur; Chanceux majeur; Croum</t>
        </is>
      </c>
    </row>
    <row r="27531">
      <c r="A27531" t="inlineStr">
        <is>
          <t>air rdv</t>
        </is>
      </c>
      <c r="B27531">
        <f>HYPERLINK("https://www.dofusbook.net/fr/equipement/2916831-air-rdv/objets", "link")</f>
        <v/>
      </c>
      <c r="C27531" t="n">
        <v>0</v>
      </c>
      <c r="D27531" t="inlineStr">
        <is>
          <t>Arc Ahique; Collier du Valet Veinard; Alliance Gloursonne; Gant du Valet Veinard; Cadran d'Air; Ceinture de la Reine des Voleurs; Coiffe de la Reine des Voleurs; Cape du Valet Veinard; Bottes de la Reine des Voleurs; Dolmanax; Dofus des Glaces; Dofus Pourpre; Dofus Abyssal; Dofus Émeraude; Dofus Ocre; Muldo Ebène et Orchidée</t>
        </is>
      </c>
    </row>
    <row r="27532">
      <c r="A27532" t="inlineStr">
        <is>
          <t>air</t>
        </is>
      </c>
      <c r="B27532">
        <f>HYPERLINK("https://www.dofusbook.net/fr/equipement/2912818-air/objets", "link")</f>
        <v/>
      </c>
      <c r="C27532" t="n">
        <v>0</v>
      </c>
      <c r="D27532" t="inlineStr">
        <is>
          <t>Dagues Érhy; Collier du Valet Veinard; Gant du Valet Veinard; Alliance Gloursonne; Bouclier du Stalak; Ceintouse; Chapoulpe; Cape du Valet Veinard; Tentassons; Dofus Émeraude; Dofus Abyssal; Dolmanax; Dofus Pourpre; Dofus Ocre; Equilibriste majeur; Muldo Ebène et Pourpre</t>
        </is>
      </c>
    </row>
    <row r="27533">
      <c r="A27533" t="inlineStr">
        <is>
          <t>soutiens</t>
        </is>
      </c>
      <c r="B27533">
        <f>HYPERLINK("https://www.dofusbook.net/fr/equipement/1163763-soutiens/objets", "link")</f>
        <v/>
      </c>
      <c r="C27533" t="n">
        <v>0</v>
      </c>
      <c r="D27533" t="inlineStr">
        <is>
          <t>Manthache; Collier du Valet Veinard; Alliance Gloursonne; Anneau Crustique; Bouclier du Stalak; Menoture; Coiffe de la Reine des Voleurs; Cape du Kamasterisk; Bottes de la Reine des Voleurs; Dofus Abyssal; Dofus Ocre; Cascadeur majeur; Étourdisseur majeur; Nomade; Paralyseur majeur; Croum</t>
        </is>
      </c>
    </row>
    <row r="27534">
      <c r="A27534" t="inlineStr">
        <is>
          <t>Eau air</t>
        </is>
      </c>
      <c r="B27534">
        <f>HYPERLINK("https://www.dofusbook.net/fr/equipement/2158748-eau-air/objets", "link")</f>
        <v/>
      </c>
      <c r="C27534" t="n">
        <v>0</v>
      </c>
      <c r="D27534" t="inlineStr">
        <is>
          <t>Arc de Koutoulou; Amulette Voldelor; Anneau Crustique; Alliance Gloursonne; Cadran d'Air; Menoture; Masque du Barbétoal; Cape du Barbétoal; Sandales de Tal Kasha; Dofus des Glaces; Dofus Émeraude; Dofus Abyssal; Nomade; Étourdisseur majeur; Remueur; Croum</t>
        </is>
      </c>
    </row>
    <row r="27535">
      <c r="A27535" t="inlineStr">
        <is>
          <t>valou stuff roxx ret</t>
        </is>
      </c>
      <c r="B27535">
        <f>HYPERLINK("https://www.dofusbook.net/fr/equipement/1818578-valou-stuff-roxx-ret/objets", "link")</f>
        <v/>
      </c>
      <c r="C27535" t="n">
        <v>1</v>
      </c>
      <c r="D27535" t="inlineStr">
        <is>
          <t>Hache Ériphe; Amulette du Strigide; Alliance Gloursonne; Anneau Crustique; Cadran de Terre; Menoture; Chapoulpe; Voile d'encre; Tentassons; Dofus Abyssal; Dofus Pourpre; Engourdisseur majeur; Étourdisseur majeur; Cascadeur majeur; Remueur; Muldo Indigo et Pourpre</t>
        </is>
      </c>
    </row>
    <row r="27536">
      <c r="A27536" t="inlineStr">
        <is>
          <t>terre feu</t>
        </is>
      </c>
      <c r="B27536">
        <f>HYPERLINK("https://www.dofusbook.net/fr/equipement/2848095-terre-feu/objets", "link")</f>
        <v/>
      </c>
      <c r="C27536" t="n">
        <v>0</v>
      </c>
      <c r="D27536" t="inlineStr"/>
    </row>
    <row r="27537">
      <c r="A27537" t="inlineStr">
        <is>
          <t>terre pvp</t>
        </is>
      </c>
      <c r="B27537">
        <f>HYPERLINK("https://www.dofusbook.net/fr/equipement/2839450-terre-pvp/objets", "link")</f>
        <v/>
      </c>
      <c r="C27537" t="n">
        <v>0</v>
      </c>
      <c r="D27537" t="inlineStr">
        <is>
          <t>Arc du Chalœil; Amulette du Strigide; Anneau Chevelu; Anneau Crustique; Quatre-feuilles; Ceinture du Strigide; Masque de Koutoulou; Voile d'encre; Bottes de la Cour Sombre; Dofus Nébuleux; Dofus Turquoise; Dofus Abyssal; Dofus Pourpre; Dofus Ocre; Enragé majeur; Muldo Indigo et Pourpre</t>
        </is>
      </c>
    </row>
    <row r="27538">
      <c r="A27538" t="inlineStr">
        <is>
          <t>terre air roxx</t>
        </is>
      </c>
      <c r="B27538">
        <f>HYPERLINK("https://www.dofusbook.net/fr/equipement/942757-terre-air-roxx-/objets", "link")</f>
        <v/>
      </c>
      <c r="C27538" t="n">
        <v>0</v>
      </c>
      <c r="D27538" t="inlineStr">
        <is>
          <t>Héqache; Amulette du Strigide; Alliance Gloursonne; Anneau Crustique; Quatre-feuilles; Menoture; Chapoulpe; Cape du Kamasterisk; Bottes du Strigide; Dofus Nébuleux; Dolmanax; Dofus Pourpre; Dofus des Glaces; Vigoureux majeur; Remueur; Muldo Prune et Emeraude</t>
        </is>
      </c>
    </row>
    <row r="27539">
      <c r="A27539" t="inlineStr">
        <is>
          <t>terre pvm</t>
        </is>
      </c>
      <c r="B27539">
        <f>HYPERLINK("https://www.dofusbook.net/fr/equipement/2834762-terre-pvm/objets", "link")</f>
        <v/>
      </c>
      <c r="C27539" t="n">
        <v>1</v>
      </c>
      <c r="D27539" t="inlineStr">
        <is>
          <t>Hache du Chalœil; Amulette du Strigide; Anneau Crustique; Alliance Gloursonne; Quatre-feuilles; Ceintacé; Masque de Funespadon; Voile d'encre; Bottes du Strigide; Dofus Pourpre; Dofus Ocre; Dofus Abyssal; Dolmanax; Dofus Turquoise; Nomade; Kramkram</t>
        </is>
      </c>
    </row>
    <row r="27540">
      <c r="A27540" t="inlineStr">
        <is>
          <t>terre pvm</t>
        </is>
      </c>
      <c r="B27540">
        <f>HYPERLINK("https://www.dofusbook.net/fr/equipement/979375-terre-pvm/objets", "link")</f>
        <v/>
      </c>
      <c r="C27540" t="n">
        <v>0</v>
      </c>
      <c r="D27540" t="inlineStr">
        <is>
          <t>Lav'Hache; Amulette du Strigide; Anneau Chevelu; Anneau Crustique; Bouclier du Captain Amakna; Ceinture du Strigide; Masque de Koutoulou; Cape au Logis; Bottes de la Cour Sombre; Dofus Turquoise; Dofus Pourpre; Dofus Nébuleux; Enragé majeur; Remueur; Vigoureux majeur; Kompost</t>
        </is>
      </c>
    </row>
    <row r="27541">
      <c r="A27541" t="inlineStr">
        <is>
          <t>toinouh</t>
        </is>
      </c>
      <c r="B27541">
        <f>HYPERLINK("https://www.dofusbook.net/fr/equipement/2833133-toinouh/objets", "link")</f>
        <v/>
      </c>
      <c r="C27541" t="n">
        <v>0</v>
      </c>
      <c r="D27541" t="inlineStr">
        <is>
          <t>Marteau de Katrepat; Amulette du Strigide; Alliance Gloursonne; Alliance Brûlâme; Quatre-feuilles; Ceinture du Strigide; Masque Brûlâme; Voile d'encre; Pompes Funèbres; Dofus des Glaces; Dofus Turquoise; Dofus Abyssal; Dofus Ocre; Dofus Nébuleux; Dolmanax; Muldo Prune et Emeraude</t>
        </is>
      </c>
    </row>
    <row r="27542">
      <c r="A27542" t="inlineStr">
        <is>
          <t>new stuff</t>
        </is>
      </c>
      <c r="B27542">
        <f>HYPERLINK("https://www.dofusbook.net/fr/equipement/2829786-new-stuff/objets", "link")</f>
        <v/>
      </c>
      <c r="C27542" t="n">
        <v>0</v>
      </c>
      <c r="D27542" t="inlineStr">
        <is>
          <t>Marteau de Katrepat; Amulette du Strigide; Anneau de Brouce; Bracelet du Piloztère; Quatre-feuilles; Ceinture du Strigide; Bonnet Ko; Voile d'encre; Bottes du Roi Joueur; Dofus Pourpre; Dofus Turquoise; Dofus Ocre; Dofus des Glaces; Nomade; Remueur; Muldo Ebène et Pourpre</t>
        </is>
      </c>
    </row>
    <row r="27543">
      <c r="A27543" t="inlineStr">
        <is>
          <t>terre feu</t>
        </is>
      </c>
      <c r="B27543">
        <f>HYPERLINK("https://www.dofusbook.net/fr/equipement/2829768-terre-feu/objets", "link")</f>
        <v/>
      </c>
      <c r="C27543" t="n">
        <v>0</v>
      </c>
      <c r="D27543" t="inlineStr">
        <is>
          <t>Amulette du Strigide; Ceinture du Strigide; Chapeau de Gein; Voile d'encre; Dofus Nébuleux; Dofus Ocre; Dofus Abyssal; Dolmanax; Dofus des Glaces; Dofus Turquoise</t>
        </is>
      </c>
    </row>
    <row r="27544">
      <c r="A27544" t="inlineStr">
        <is>
          <t>feu</t>
        </is>
      </c>
      <c r="B27544">
        <f>HYPERLINK("https://www.dofusbook.net/fr/equipement/2825832-feu/objets", "link")</f>
        <v/>
      </c>
      <c r="C27544" t="n">
        <v>0</v>
      </c>
      <c r="D27544" t="inlineStr">
        <is>
          <t>Arc corrompu; Amulette de Nileza; Anneau de Nidas; Bague Gloursonne; Quatre-feuilles; Ceinture de Gein; Coiffe Séculaire; Voile d'encre; Pataugastrique; Dofus Pourpre; Dofus Turquoise; Dofus Abyssal; Déserteur majeur; Remueur; Érudit majeur; Muldo Pourpre et Amande</t>
        </is>
      </c>
    </row>
    <row r="27545">
      <c r="A27545" t="inlineStr">
        <is>
          <t>dofus</t>
        </is>
      </c>
      <c r="B27545">
        <f>HYPERLINK("https://www.dofusbook.net/fr/equipement/2823691-dofus/objets", "link")</f>
        <v/>
      </c>
      <c r="C27545" t="n">
        <v>0</v>
      </c>
      <c r="D27545" t="inlineStr">
        <is>
          <t>Marteau Phossile; Amulette du Strigide; Alliance Gloursonne; Anneau de Padgref; Quatre-feuilles; Ceinture du Strigide; Coiffe de Padgref; Cape d'Atcham; Getas de Padgref; Dofus des Glaces; Dofus Émeraude; Dofus Ocre; Dolmanax; Dofus Nébuleux; Dofus Turquoise; Muldo Prune et Emeraude</t>
        </is>
      </c>
    </row>
    <row r="27546">
      <c r="A27546" t="inlineStr">
        <is>
          <t>martin hecache</t>
        </is>
      </c>
      <c r="B27546">
        <f>HYPERLINK("https://www.dofusbook.net/fr/equipement/1140303-martin-hecache/objets", "link")</f>
        <v/>
      </c>
      <c r="C27546" t="n">
        <v>0</v>
      </c>
      <c r="D27546" t="inlineStr">
        <is>
          <t>Héqache; Amulette du Strigide; Anneau de Brouce; Alliance Gloursonne; Bouclier du Captain Amakna; Ceintacé; Masque Brûlâme; Cape au Logis; Bottes du Strigide; Dofus Turquoise; Dofus des Glaces; Dofus Pourpre; Remueur; Vigoureux majeur; Nomade; Kramkram</t>
        </is>
      </c>
    </row>
    <row r="27547">
      <c r="A27547" t="inlineStr">
        <is>
          <t>Air</t>
        </is>
      </c>
      <c r="B27547">
        <f>HYPERLINK("https://www.dofusbook.net/fr/equipement/1975812-air/objets", "link")</f>
        <v/>
      </c>
      <c r="C27547" t="n">
        <v>0</v>
      </c>
      <c r="D27547" t="inlineStr">
        <is>
          <t>Épée du Granduk; Amulette du Granduk; Alliance Gloursonne; Gant du Valet Veinard; Bouclier du Stalak; Menoture; Couronne d'Allister; Cape Indescriptible; Palmes Trithons; Vigoureux majeur; Nomade; Fonceur majeur; Remueur; Equilibriste majeur; Cascadeur majeur; Siroko</t>
        </is>
      </c>
    </row>
    <row r="27548">
      <c r="A27548" t="inlineStr">
        <is>
          <t>multiroxx</t>
        </is>
      </c>
      <c r="B27548">
        <f>HYPERLINK("https://www.dofusbook.net/fr/equipement/2475019-multiroxx/objets", "link")</f>
        <v/>
      </c>
      <c r="C27548" t="n">
        <v>1</v>
      </c>
      <c r="D27548" t="inlineStr">
        <is>
          <t>Epée Gloursonne; Amulette du Strigide; Bague Gloursonne; Alliance Gloursonne; Quatre-feuilles; Ceinture du Strigide; Cape de la Dame du Hasard; Bottes du Strigide; Dolmanax; Dofus des Glaces; Dofus Turquoise; Dofus Ocre; Dofus Pourpre; Dofus Abyssal; Muldo Prune et Emeraude</t>
        </is>
      </c>
    </row>
    <row r="27549">
      <c r="A27549" t="inlineStr">
        <is>
          <t>feu</t>
        </is>
      </c>
      <c r="B27549">
        <f>HYPERLINK("https://www.dofusbook.net/fr/equipement/2732090-feu/objets", "link")</f>
        <v/>
      </c>
      <c r="C27549" t="n">
        <v>0</v>
      </c>
      <c r="D27549" t="inlineStr">
        <is>
          <t>Arc corrompu; Amulette de Nileza; Anneau Tique; Chevalière du Roi Joueur; Quatre-feuilles; Ceinture Séculaire; Coiffe Séculaire; Voile d'encre; Dofus Pourpre; Remueur; Vigoureux majeur; Érudit majeur; Astucieux majeur; Nomade; Muldo Orchidée et Pourpre</t>
        </is>
      </c>
    </row>
    <row r="27550">
      <c r="A27550" t="inlineStr">
        <is>
          <t>jbhbhrbvhrbv</t>
        </is>
      </c>
      <c r="B27550">
        <f>HYPERLINK("https://www.dofusbook.net/fr/equipement/2705416-jbhbhrbvhrbv/objets", "link")</f>
        <v/>
      </c>
      <c r="C27550" t="n">
        <v>0</v>
      </c>
      <c r="D27550" t="inlineStr">
        <is>
          <t>Pelle de Nidas; Amulette du Strigide; Anneau de Brouce; Alliance Gloursonne; Quatre-feuilles; Ceintacé; Masque du Katcheur; Cape de la Dame du Hasard; Bottes du Strigide; Dofus Turquoise; Dolmanax; Dofus des Glaces; Dofus Pourpre; Remueur; Vigoureux majeur; Muldo Prune et Emeraude</t>
        </is>
      </c>
    </row>
    <row r="27551">
      <c r="A27551" t="inlineStr">
        <is>
          <t>jbhbhrbvhrbv</t>
        </is>
      </c>
      <c r="B27551">
        <f>HYPERLINK("https://www.dofusbook.net/fr/equipement/2705415-jbhbhrbvhrbv/objets", "link")</f>
        <v/>
      </c>
      <c r="C27551" t="n">
        <v>0</v>
      </c>
      <c r="D27551" t="inlineStr">
        <is>
          <t>Arc de Koutoulou; Amulette du Strigide; Bracelet du Piloztère; Alliance Gloursonne; Quatre-feuilles; Ceintacé; Capuche de l'Œil Putride; Cape de Meno; Bottes du Strigide; Dolmanax; Dofus Pourpre; Dofus Turquoise; Vigoureux majeur; Nomade; Remueur; Muldo Ebène et Pourpre</t>
        </is>
      </c>
    </row>
    <row r="27552">
      <c r="A27552" t="inlineStr">
        <is>
          <t>jbhbhrbvhrbv</t>
        </is>
      </c>
      <c r="B27552">
        <f>HYPERLINK("https://www.dofusbook.net/fr/equipement/2705413-jbhbhrbvhrbv/objets", "link")</f>
        <v/>
      </c>
      <c r="C27552" t="n">
        <v>0</v>
      </c>
      <c r="D27552" t="inlineStr">
        <is>
          <t>Arc de Koutoulou; Amulette du Strigide; Bracelet du Piloztère; Alliance Gloursonne; Quatre-feuilles; Ceintacé; Capuche de l'Œil Putride; Cape de Meno; Bottes du Strigide; Dofus Turquoise; Dolmanax; Dofus Pourpre; Remueur; Vigoureux majeur; Nomade; Muldo Ebène et Pourpre</t>
        </is>
      </c>
    </row>
    <row r="27553">
      <c r="A27553" t="inlineStr">
        <is>
          <t>terrre pk pas</t>
        </is>
      </c>
      <c r="B27553">
        <f>HYPERLINK("https://www.dofusbook.net/fr/equipement/2457692-terrre-pk-pas/objets", "link")</f>
        <v/>
      </c>
      <c r="C27553" t="n">
        <v>0</v>
      </c>
      <c r="D27553" t="inlineStr">
        <is>
          <t>Arc du Chalœil; Collier de Tourthon; Anneau de Brouce; Bague Gloursonne; Quatre-feuilles; Ceinture de Brouce; Masque de Koutoulou; Cape au Logis; Bottes de la Cour Sombre; Dofus Turquoise; Enragé majeur; Forcené majeur; Vigoureux majeur; Nomade; Remueur; Kompost</t>
        </is>
      </c>
    </row>
    <row r="27554">
      <c r="A27554" t="inlineStr">
        <is>
          <t>clem je sappelle rox</t>
        </is>
      </c>
      <c r="B27554">
        <f>HYPERLINK("https://www.dofusbook.net/fr/equipement/2131460-clem-je-sappelle-rox/objets", "link")</f>
        <v/>
      </c>
      <c r="C27554" t="n">
        <v>0</v>
      </c>
      <c r="D27554" t="inlineStr">
        <is>
          <t>Hache du Chalœil; Amulette du Strigide; Alliance Gloursonne; Anneau de Brouce; Bouclier d'Ilyzaelle; Ceinture du Strigide; Masque de Funespadon; Voile d'encre; Pataugastrique; Dofus Pourpre; Dofus Turquoise; Dofus Émeraude; Remueur; Miraculé majeur; Muldo Indigo et Pourpre</t>
        </is>
      </c>
    </row>
    <row r="27555">
      <c r="A27555" t="inlineStr">
        <is>
          <t>eau air</t>
        </is>
      </c>
      <c r="B27555">
        <f>HYPERLINK("https://www.dofusbook.net/fr/equipement/2563786-eau-air/objets", "link")</f>
        <v/>
      </c>
      <c r="C27555" t="n">
        <v>0</v>
      </c>
      <c r="D27555" t="inlineStr">
        <is>
          <t>Arc de Koutoulou; Amulette du Strigide; Bracelet du Piloztère; Alliance Gloursonne; Quatre-feuilles; Ceinture du Strigide; Chapeau des Malveilleurs; Voile d'encre; Pataugastrique; Dofus Pourpre; Dofus des Glaces; Dolmanax; Dofus Turquoise; Remueur; Nomade; Muldo Indigo et Orchidée</t>
        </is>
      </c>
    </row>
    <row r="27556">
      <c r="A27556" t="inlineStr">
        <is>
          <t>dofus</t>
        </is>
      </c>
      <c r="B27556">
        <f>HYPERLINK("https://www.dofusbook.net/fr/equipement/209153-dofus/objets", "link")</f>
        <v/>
      </c>
      <c r="C27556" t="n">
        <v>0</v>
      </c>
      <c r="D27556" t="inlineStr">
        <is>
          <t>Racine de Fécorce; Amulette du Strigide; Alliance Gloursonne; Anneau de Padgref; Quatre-feuilles; Ceinture du Strigide; Coiffe de Padgref; Cape d'Atcham; Getas de Padgref; Dofus Abyssal; Dofus Pourpre; Dofus Ocre; Dofus Ivoire; Dofus des Glaces; Dofus Turquoise; Muldo Prune et Emeraude</t>
        </is>
      </c>
    </row>
    <row r="27557">
      <c r="A27557" t="inlineStr">
        <is>
          <t>martin eau air</t>
        </is>
      </c>
      <c r="B27557">
        <f>HYPERLINK("https://www.dofusbook.net/fr/equipement/2520504-martin-eau-air/objets", "link")</f>
        <v/>
      </c>
      <c r="C27557" t="n">
        <v>0</v>
      </c>
      <c r="D27557" t="inlineStr">
        <is>
          <t>Arc de Koutoulou; Amulette du Strigide; Bague Gloursonne; Alliance Gloursonne; Quatre-feuilles; Ceinture du Strigide; Némès de Tal Kasha; Chevelure de Tal Kasha; Pataugastrique; Dofus Turquoise; Dofus Nébuleux; Dofus Abyssal; Dofus Ocre; Dolmanax; Dofus des Glaces; Muldo Indigo et Pourpre</t>
        </is>
      </c>
    </row>
    <row r="27558">
      <c r="A27558" t="inlineStr">
        <is>
          <t>martin double pano</t>
        </is>
      </c>
      <c r="B27558">
        <f>HYPERLINK("https://www.dofusbook.net/fr/equipement/2520491-martin-double-pano/objets", "link")</f>
        <v/>
      </c>
      <c r="C27558" t="n">
        <v>0</v>
      </c>
      <c r="D27558" t="inlineStr">
        <is>
          <t>Arc du Chalœil; Amulette Luminescente; Alliance Gloursonne; Bague Trithon; Bouclier précieux; Ceinture Luminescente; Masque Trithon; Cape Luminescente; Bottes Trithon; Dofus Turquoise; Dokoko; Dofus Ocre; Dofus Émeraude; Dofus Abyssal; Bousculeur majeur; Muldo Ebène et Indigo</t>
        </is>
      </c>
    </row>
    <row r="27559">
      <c r="A27559" t="inlineStr">
        <is>
          <t>martin lance corromp</t>
        </is>
      </c>
      <c r="B27559">
        <f>HYPERLINK("https://www.dofusbook.net/fr/equipement/2329747-martin-lance-corromp/objets", "link")</f>
        <v/>
      </c>
      <c r="C27559" t="n">
        <v>0</v>
      </c>
      <c r="D27559" t="inlineStr">
        <is>
          <t>Lance corrompue; Collier du Valet Veinard; Gant du Valet Veinard; Alliance Gloursonne; Bouclier alvéolé; Ceinture de la Reine des Voleurs; Casque Dragoeuf; Cape du Kamasterisk; Baleinabottes; Dofus Pourpre; Remueur; Muldo Ebène</t>
        </is>
      </c>
    </row>
    <row r="27560">
      <c r="A27560" t="inlineStr">
        <is>
          <t>martin feu air cac</t>
        </is>
      </c>
      <c r="B27560">
        <f>HYPERLINK("https://www.dofusbook.net/fr/equipement/1721971-martin-feu-air-cac/objets", "link")</f>
        <v/>
      </c>
      <c r="C27560" t="n">
        <v>0</v>
      </c>
      <c r="D27560" t="inlineStr">
        <is>
          <t>Marteau Phossile; Amulette du Strigide; Anneau d'Allister; Anneau Rifique; Bouclier du Captain Amakna; Ceintacé; Coiffe de Padgref; Bottes du Strigide; Dofus Turquoise; Dofus Nébuleux; Dofus des Glaces; Dofus Pourpre; Remueur; Vigoureux majeur; Muldo Indigo et Orchidée</t>
        </is>
      </c>
    </row>
    <row r="27561">
      <c r="A27561" t="inlineStr">
        <is>
          <t>martin do pou res</t>
        </is>
      </c>
      <c r="B27561">
        <f>HYPERLINK("https://www.dofusbook.net/fr/equipement/1383146-martin-do-pou-res-/objets", "link")</f>
        <v/>
      </c>
      <c r="C27561" t="n">
        <v>0</v>
      </c>
      <c r="D27561" t="inlineStr">
        <is>
          <t>Héqache; Torquistik; Anneau de Brouce; Anneau Chevelu; Bouclier Taverne; Ceintacé; Casque Dragoeuf; Voile d'encre; Bottistik; Dofus Turquoise; Culbuteur majeur; Bousculeur majeur; Nomade; Remueur; Enragé majeur; Muldo Ebène et Pourpre</t>
        </is>
      </c>
    </row>
    <row r="27562">
      <c r="A27562" t="inlineStr">
        <is>
          <t>martindo pou</t>
        </is>
      </c>
      <c r="B27562">
        <f>HYPERLINK("https://www.dofusbook.net/fr/equipement/2520395-martindo-pou/objets", "link")</f>
        <v/>
      </c>
      <c r="C27562" t="n">
        <v>0</v>
      </c>
      <c r="D27562" t="inlineStr">
        <is>
          <t>Hachoirs de Viandargh; Amulette du Cœur Vaillant; Bague Trithon; Alliance Gloursonne; Bouclier précieux; Sangle Ouare; Masque Trithon; Cape des Malveilleurs; Baleinabottes; Dofus Nébuleux; Dofus Ocre; Dofus Abyssal; Dofus Turquoise; Culbuteur majeur; Bousculeur majeur; Muldo Ebène et Pourpre</t>
        </is>
      </c>
    </row>
    <row r="27563">
      <c r="A27563" t="inlineStr">
        <is>
          <t>Air</t>
        </is>
      </c>
      <c r="B27563">
        <f>HYPERLINK("https://www.dofusbook.net/fr/equipement/2283187-air/objets", "link")</f>
        <v/>
      </c>
      <c r="C27563" t="n">
        <v>0</v>
      </c>
      <c r="D27563" t="inlineStr">
        <is>
          <t>Manthache; Collier du Valet Veinard; Alliance Gloursonne; Gant du Valet Veinard; Cadran d'Air; Menoture; Dorabysses; Cape du Kamasterisk; Palmes Trithons; Dofus Émeraude; Vigoureux majeur; Nomade; Étourdisseur majeur; Remueur; Cascadeur majeur; Muldo Indigo et Pourpre</t>
        </is>
      </c>
    </row>
    <row r="27564">
      <c r="A27564" t="inlineStr">
        <is>
          <t>terre air</t>
        </is>
      </c>
      <c r="B27564">
        <f>HYPERLINK("https://www.dofusbook.net/fr/equipement/2517255-terre-air/objets", "link")</f>
        <v/>
      </c>
      <c r="C27564" t="n">
        <v>0</v>
      </c>
      <c r="D27564" t="inlineStr">
        <is>
          <t>Lance corrompue; Amulette du Cœur Vaillant; Anneau de Brouce; Alliance Gloursonne; Bouclier d'Ilyzaelle; Menoture; Casque des égarés; Cape du Cœur Vaillant; Tentassons; Dolmanax; Dofus Pourpre; Dofus Émeraude; Étourdisseur majeur; Vigoureux majeur; Remueur; Muldo Ebène et Ivoire</t>
        </is>
      </c>
    </row>
    <row r="27565">
      <c r="A27565" t="inlineStr">
        <is>
          <t>valoucher</t>
        </is>
      </c>
      <c r="B27565">
        <f>HYPERLINK("https://www.dofusbook.net/fr/equipement/2500019-valoucher/objets", "link")</f>
        <v/>
      </c>
      <c r="C27565" t="n">
        <v>0</v>
      </c>
      <c r="D27565" t="inlineStr">
        <is>
          <t>Arc de Koutoulou; Amulette d'Ilyzaelle; Bague Gloursonne; Alliance Gloursonne; Bouclier d'Ilyzaelle; Ceinture de la Reine des Voleurs; Casque d'Ilyzaelle; Cape du Barbétoal; Bottes de la Reine des Voleurs; Dolmanax; Dofus Abyssal; Dofus Émeraude; Dofus Ocre; Dokoko; Dofus des Glaces; Muldo Ebène et Indigo</t>
        </is>
      </c>
    </row>
    <row r="27566">
      <c r="A27566" t="inlineStr">
        <is>
          <t>valou30</t>
        </is>
      </c>
      <c r="B27566">
        <f>HYPERLINK("https://www.dofusbook.net/fr/equipement/2499945-valou30/objets", "link")</f>
        <v/>
      </c>
      <c r="C27566" t="n">
        <v>0</v>
      </c>
      <c r="D27566" t="inlineStr">
        <is>
          <t>Pelle de la Cour Sombre; Collier du Valet Veinard; Alliance Gloursonne; Gant du Valet Veinard; Bouclier du Stalak; Menoture; Couronne d'Allister; Cape Matelassée; Baleinabottes; Dofus Émeraude; Cascadeur majeur; Saccageur Air majeur; Dévastateur Air majeur; Miraculé majeur; Nomade; Dragodinde Prune et Emeraude</t>
        </is>
      </c>
    </row>
    <row r="27567">
      <c r="A27567" t="inlineStr">
        <is>
          <t>rescrit</t>
        </is>
      </c>
      <c r="B27567">
        <f>HYPERLINK("https://www.dofusbook.net/fr/equipement/2440806-rescrit/objets", "link")</f>
        <v/>
      </c>
      <c r="C27567" t="n">
        <v>0</v>
      </c>
      <c r="D27567" t="inlineStr">
        <is>
          <t>Dagues de Srambad; Torquistik; Baguistik; Alliance Gloursonne; Bouclier d'Ilyzaelle; Ceinture de la Reine des Voleurs; Coiffe de la Reine des Voleurs; Voile d'encre; Bottes de la Reine des Voleurs; Dofus Ocre; Dofus Abyssal; Dofus Ivoire; Dofus des Glaces; Dolmanax; Dofus Nébuleux; Muldo Ebène</t>
        </is>
      </c>
    </row>
    <row r="27568">
      <c r="A27568" t="inlineStr">
        <is>
          <t>multiroxx</t>
        </is>
      </c>
      <c r="B27568">
        <f>HYPERLINK("https://www.dofusbook.net/fr/equipement/2437575-multiroxx/objets", "link")</f>
        <v/>
      </c>
      <c r="C27568" t="n">
        <v>0</v>
      </c>
      <c r="D27568" t="inlineStr">
        <is>
          <t>Marteau des égarés; Amulette du Strigide; Anneau de Padgref; Alliance Gloursonne; Quatre-feuilles; Ceinture du Strigide; Le Dorado; Voile d'encre; Pompes Funèbres; Dofus Pourpre; Dofus Nébuleux; Dofus Turquoise; Dofus des Glaces; Nomade; Remueur; Muldo Ebène et Indigo</t>
        </is>
      </c>
    </row>
    <row r="27569">
      <c r="A27569" t="inlineStr">
        <is>
          <t>Air</t>
        </is>
      </c>
      <c r="B27569">
        <f>HYPERLINK("https://www.dofusbook.net/fr/equipement/2429701-air/objets", "link")</f>
        <v/>
      </c>
      <c r="C27569" t="n">
        <v>0</v>
      </c>
      <c r="D27569" t="inlineStr">
        <is>
          <t>Manthache; Collier du Valet Veinard; Alliance Gloursonne; Gant du Valet Veinard; Bouclier Feudala; Menoture; Dorabysses; Cape du Kamasterisk; Palmes Trithons; Dofus Abyssal; Dofus Nébuleux; Remueur; Solide majeur; Cascadeur majeur; Carapace Air majeur; Muldo Indigo et Pourpre</t>
        </is>
      </c>
    </row>
    <row r="27570">
      <c r="A27570" t="inlineStr">
        <is>
          <t>dame</t>
        </is>
      </c>
      <c r="B27570">
        <f>HYPERLINK("https://www.dofusbook.net/fr/equipement/2394879-dame/objets", "link")</f>
        <v/>
      </c>
      <c r="C27570" t="n">
        <v>0</v>
      </c>
      <c r="D27570" t="inlineStr">
        <is>
          <t>Sabres d'Atcham; Amulette Cryochrone; Alliance Gloursonne; Anneau Cryochrone; Bouclier du Captain Amakna; Ceinture Voldelor; Coiffe Cryochrone; Cape d'Atcham; Sandales  d'Atcham; Dofus Pourpre; Dofus des Glaces; Dofus Turquoise; Dofus Nébuleux; Dofus Ocre; Dofus Abyssal; Muldo Ebène et Indigo</t>
        </is>
      </c>
    </row>
    <row r="27571">
      <c r="A27571" t="inlineStr">
        <is>
          <t>anerice</t>
        </is>
      </c>
      <c r="B27571">
        <f>HYPERLINK("https://www.dofusbook.net/fr/equipement/2354024-anerice/objets", "link")</f>
        <v/>
      </c>
      <c r="C27571" t="n">
        <v>0</v>
      </c>
      <c r="D27571" t="inlineStr">
        <is>
          <t>Arc de Koutoulou; Amulette du Strigide; Bague Gloursonne; Alliance Gloursonne; Quatre-feuilles; Ceinture du Strigide; Masque d'Anerice; Cape d'Anerice; Bottes du Strigide; Dofus Ocre; Dofus Abyssal; Dolmanax; Dofus des Glaces; Dofus Turquoise; Dofus Nébuleux; Muldo Indigo et Pourpre</t>
        </is>
      </c>
    </row>
    <row r="27572">
      <c r="A27572" t="inlineStr">
        <is>
          <t>nocrir</t>
        </is>
      </c>
      <c r="B27572">
        <f>HYPERLINK("https://www.dofusbook.net/fr/equipement/2322680-nocrir/objets", "link")</f>
        <v/>
      </c>
      <c r="C27572" t="n">
        <v>0</v>
      </c>
      <c r="D27572" t="inlineStr">
        <is>
          <t>Manthache; Collier du Valet Veinard; Alliance Gloursonne; Gant du Valet Veinard; Cadran d'Air; Ceinture de la Reine des Voleurs; Coiffe de la Reine des Voleurs; Cape du Valet Veinard; Bottes de la Reine des Voleurs; Dofus des Glaces; Dofus Pourpre; Dofus Nébuleux; Dolmanax; Dofus Abyssal; Dofus Ocre; Muldo Ebène et Orchidée</t>
        </is>
      </c>
    </row>
    <row r="27573">
      <c r="A27573" t="inlineStr">
        <is>
          <t>feu</t>
        </is>
      </c>
      <c r="B27573">
        <f>HYPERLINK("https://www.dofusbook.net/fr/equipement/2104412-feu/objets", "link")</f>
        <v/>
      </c>
      <c r="C27573" t="n">
        <v>0</v>
      </c>
      <c r="D27573" t="inlineStr">
        <is>
          <t>Arc Hétype; Amulette de Nileza; Anneau de Nidas; Anneau Tique; Bouclier d'Ilyzaelle; Ceinture Séculaire; Coiffe Séculaire; Cape de la Dame du Hasard; Pataugastrique; Dofus Abyssal; Dofus Nébuleux; Érudit majeur; Nomade; Déserteur majeur; Remueur; Croum</t>
        </is>
      </c>
    </row>
    <row r="27574">
      <c r="A27574" t="inlineStr">
        <is>
          <t>air crit</t>
        </is>
      </c>
      <c r="B27574">
        <f>HYPERLINK("https://www.dofusbook.net/fr/equipement/2283171-air-crit/objets", "link")</f>
        <v/>
      </c>
      <c r="C27574" t="n">
        <v>0</v>
      </c>
      <c r="D27574" t="inlineStr">
        <is>
          <t>Manthache; Amulette du Strigide; Anneau de Padgref; Alliance Gloursonne; Quatre-feuilles; Menoture; Couronne d'Allister; Capibou; Getas de Padgref; Dofus Turquoise; Dofus Émeraude; Dofus Nébuleux; Cascadeur majeur; Nomade; Remueur; Siroko</t>
        </is>
      </c>
    </row>
    <row r="27575">
      <c r="A27575" t="inlineStr">
        <is>
          <t>Air</t>
        </is>
      </c>
      <c r="B27575">
        <f>HYPERLINK("https://www.dofusbook.net/fr/equipement/2282503-air/objets", "link")</f>
        <v/>
      </c>
      <c r="C27575" t="n">
        <v>0</v>
      </c>
      <c r="D27575" t="inlineStr">
        <is>
          <t>Manthache; Amulette du Strigide; Anneau de Padgref; Alliance Gloursonne; Cadran d'Air; Menoture; Couronne d'Allister; Cape du Cœur Vaillant; Getas de Padgref; Dofus Émeraude; Dofus Nébuleux; Dofus Turquoise; Nomade; Remueur; Cascadeur majeur; Siroko</t>
        </is>
      </c>
    </row>
    <row r="27576">
      <c r="A27576" t="inlineStr">
        <is>
          <t>essais</t>
        </is>
      </c>
      <c r="B27576">
        <f>HYPERLINK("https://www.dofusbook.net/fr/equipement/2261450-essais/objets", "link")</f>
        <v/>
      </c>
      <c r="C27576" t="n">
        <v>0</v>
      </c>
      <c r="D27576" t="inlineStr">
        <is>
          <t>Epée Maudite du Saigneur Guerrier; Amulette du Strigide; Bracelet du Piloztère; Anneau de Brouce; Bouclier du Captain Amakna; Ceinture du Strigide; Le Dorado; Dofusteuse; Sandales de Tal Kasha; Dofus Pourpre; Dofus Turquoise; Dofus des Glaces; Vigoureux majeur; Nomade; Remueur; Kramkram</t>
        </is>
      </c>
    </row>
    <row r="27577">
      <c r="A27577" t="inlineStr">
        <is>
          <t>terreair</t>
        </is>
      </c>
      <c r="B27577">
        <f>HYPERLINK("https://www.dofusbook.net/fr/equipement/2260965-terreair/objets", "link")</f>
        <v/>
      </c>
      <c r="C27577" t="n">
        <v>0</v>
      </c>
      <c r="D27577" t="inlineStr">
        <is>
          <t>Héqache; Amulette du Strigide; Anneau de Brouce; Alliance Gloursonne; Bouclier du Captain Amakna; Ceinture du Strigide; Masque Brûlâme; Cape du Kamasterisk; Baleinabottes; Dofus Pourpre; Dofus Turquoise; Dofus Émeraude; Nomade; Remueur; Vigoureux majeur; Muldo Ebène et Pourpre</t>
        </is>
      </c>
    </row>
    <row r="27578">
      <c r="A27578" t="inlineStr">
        <is>
          <t>feu air</t>
        </is>
      </c>
      <c r="B27578">
        <f>HYPERLINK("https://www.dofusbook.net/fr/equipement/2260817-feu-air/objets", "link")</f>
        <v/>
      </c>
      <c r="C27578" t="n">
        <v>0</v>
      </c>
      <c r="D27578" t="inlineStr">
        <is>
          <t>Marteau Phossile; Amulette du Strigide; Anneau Tique; Alliance Gloursonne; Bouclier alvéolé; Ceinture du Strigide; Casque Cyclopéen; Voile d'encre; Pataugastrique; Dofus Pourpre; Dofus Émeraude; Nomade; Vigoureux majeur; Remueur; Miraculé majeur; Muldo Orchidée et Pourpre</t>
        </is>
      </c>
    </row>
    <row r="27579">
      <c r="A27579" t="inlineStr">
        <is>
          <t>Terre</t>
        </is>
      </c>
      <c r="B27579">
        <f>HYPERLINK("https://www.dofusbook.net/fr/equipement/2260076-terre-/objets", "link")</f>
        <v/>
      </c>
      <c r="C27579" t="n">
        <v>6</v>
      </c>
      <c r="D27579" t="inlineStr">
        <is>
          <t>Marteau R'ture; Amulette du Strigide; Anneau Chevelu; Anneau de Brouce; Quatre-feuilles; Ceintacé; Chapeau de Gein; Cape au Logis; Bottes du Strigide; Dofus Turquoise; Dofus Pourpre; Enragé majeur; Nomade; Remueur; Vigoureux majeur; Kramkram</t>
        </is>
      </c>
    </row>
    <row r="27580">
      <c r="A27580" t="inlineStr">
        <is>
          <t>tank</t>
        </is>
      </c>
      <c r="B27580">
        <f>HYPERLINK("https://www.dofusbook.net/fr/equipement/2253749-tank/objets", "link")</f>
        <v/>
      </c>
      <c r="C27580" t="n">
        <v>0</v>
      </c>
      <c r="D27580" t="inlineStr">
        <is>
          <t>Arc Nécrotique; Collier de la Dame du Hasard; Anneau Tique; Alliance Gloursonne; Quatre-feuilles; Ceinture Voldelor; Masque des Fonds marins; Cape de la Dame du Hasard; Pataugastrique; Dofus Nébuleux; Dofus Pourpre; Dofus des Glaces; Dofus Turquoise; Remueur; Nomade; Muldo Indigo et Orchidée</t>
        </is>
      </c>
    </row>
    <row r="27581">
      <c r="A27581" t="inlineStr">
        <is>
          <t>eau</t>
        </is>
      </c>
      <c r="B27581">
        <f>HYPERLINK("https://www.dofusbook.net/fr/equipement/2201703-eau/objets", "link")</f>
        <v/>
      </c>
      <c r="C27581" t="n">
        <v>1</v>
      </c>
      <c r="D27581" t="inlineStr">
        <is>
          <t>Rapière aux Glyphes; Amulette du Sinistrofu; Bracelet des Fonds marins; Alliance Gloursonne; Bouclier d'Ilyzaelle; Sangle Ouare; Kidibonnet; Cape du Sinistrofu; Pataugastrique; Taquin majeur; Nomade; Vigoureux majeur; Remueur; Miraculé majeur; Chanceux majeur; Dehluge</t>
        </is>
      </c>
    </row>
    <row r="27582">
      <c r="A27582" t="inlineStr">
        <is>
          <t>necro</t>
        </is>
      </c>
      <c r="B27582">
        <f>HYPERLINK("https://www.dofusbook.net/fr/equipement/2242596-necro/objets", "link")</f>
        <v/>
      </c>
      <c r="C27582" t="n">
        <v>0</v>
      </c>
      <c r="D27582" t="inlineStr">
        <is>
          <t>Sceptre du Roi Joueur; Amulette du Strigide; Bague Gloursonne; Alliance Gloursonne; Bouclier du Captain Amakna; Ceinture du Strigide; Casquette de Meno; Cape de Meno; Bottes du Strigide; Dolmanax; Dofus Ocre; Dofus Pourpre; Dofus des Glaces; Dofus Turquoise; Dofus Nébuleux; Muldo Ebène et Orchidée</t>
        </is>
      </c>
    </row>
    <row r="27583">
      <c r="A27583" t="inlineStr">
        <is>
          <t>eau</t>
        </is>
      </c>
      <c r="B27583">
        <f>HYPERLINK("https://www.dofusbook.net/fr/equipement/2148722-eau/objets", "link")</f>
        <v/>
      </c>
      <c r="C27583" t="n">
        <v>0</v>
      </c>
      <c r="D27583" t="inlineStr">
        <is>
          <t>Rapière aux Glyphes; Amulette de Shokkoth; Bracelet des Fonds marins; Alliance Gloursonne; Bouclier du Captain Amakna; Sangle Ouare; Kidibonnet; Cape du Sinistrofu; Bottes du Sinistrofu; Dofus Pourpre; Dofus Turquoise; Dofus Nébuleux; Nomade; Remueur; Chanceux majeur; Dehluge</t>
        </is>
      </c>
    </row>
    <row r="27584">
      <c r="A27584" t="inlineStr">
        <is>
          <t>tank</t>
        </is>
      </c>
      <c r="B27584">
        <f>HYPERLINK("https://www.dofusbook.net/fr/equipement/2228841-tank/objets", "link")</f>
        <v/>
      </c>
      <c r="C27584" t="n">
        <v>0</v>
      </c>
      <c r="D27584" t="inlineStr">
        <is>
          <t>Arc Nécrotique; Talisman Igans; Bracelet des Fonds marins; Alliance Gloursonne; Quatre-feuilles; Ceintrigue; Casqnoar; Cape de la Dame du Hasard; Pataugastrique; Dofus Nébuleux; Dofus Abyssal; Dofus des Glaces; Dofus Turquoise; Dofus Ocre; Nomade; Muldo Indigo et Orchidée</t>
        </is>
      </c>
    </row>
    <row r="27585">
      <c r="A27585" t="inlineStr">
        <is>
          <t>tank</t>
        </is>
      </c>
      <c r="B27585">
        <f>HYPERLINK("https://www.dofusbook.net/fr/equipement/2228799-tank/objets", "link")</f>
        <v/>
      </c>
      <c r="C27585" t="n">
        <v>0</v>
      </c>
      <c r="D27585" t="inlineStr">
        <is>
          <t>Épée Brûlâme; Talisman Igans; Anneau Tique; Alliance Gloursonne; Bouclier du Captain Amakna; Ceintrigue; Casque Dragoeuf; Cape de la Dame du Hasard; Pataugastrique; Dofus Nébuleux; Dofus Pourpre; Dofus des Glaces; Vigoureux majeur; Nomade; Remueur; Croum</t>
        </is>
      </c>
    </row>
    <row r="27586">
      <c r="A27586" t="inlineStr">
        <is>
          <t>katrepat</t>
        </is>
      </c>
      <c r="B27586">
        <f>HYPERLINK("https://www.dofusbook.net/fr/equipement/1376602-katrepat/objets", "link")</f>
        <v/>
      </c>
      <c r="C27586" t="n">
        <v>0</v>
      </c>
      <c r="D27586" t="inlineStr">
        <is>
          <t>Marteau de Katrepat; Amulette du Strigide; Chevalière du Roi Joueur; Anneau de Brouce; Quatre-feuilles; Ceinture du Strigide; Masque de Koutoulou; Voile d'encre; Pompes Funèbres; Dofus des Glaces; Dofus Pourpre; Dofus Turquoise; Nomade; Vigoureux majeur; Remueur; Muldo Prune et Pourpre</t>
        </is>
      </c>
    </row>
    <row r="27587">
      <c r="A27587" t="inlineStr">
        <is>
          <t>eau</t>
        </is>
      </c>
      <c r="B27587">
        <f>HYPERLINK("https://www.dofusbook.net/fr/equipement/2197873-eau/objets", "link")</f>
        <v/>
      </c>
      <c r="C27587" t="n">
        <v>0</v>
      </c>
      <c r="D27587" t="inlineStr">
        <is>
          <t>Rapière aux Glyphes; Amulette du Sinistrofu; Bracelet des Fonds marins; Alliance Gloursonne; Quatre-feuilles; Sangle Ouare; Kidibonnet; Cape du Sinistrofu; Pataugastrique; Miraculé majeur; Chanceux majeur; Taquin majeur; Nomade; Vigoureux majeur; Remueur; Dehluge</t>
        </is>
      </c>
    </row>
    <row r="27588">
      <c r="A27588" t="inlineStr">
        <is>
          <t>eau</t>
        </is>
      </c>
      <c r="B27588">
        <f>HYPERLINK("https://www.dofusbook.net/fr/equipement/2197754-eau/objets", "link")</f>
        <v/>
      </c>
      <c r="C27588" t="n">
        <v>0</v>
      </c>
      <c r="D27588" t="inlineStr">
        <is>
          <t>Rapière aux Glyphes; Amulette du Sinistrofu; Bracelet des Fonds marins; Alliance Gloursonne; Bouclier d'Ilyzaelle; Sangle Ouare; Kidibonnet; Cape du Sinistrofu; Pataugastrique; Taquin majeur; Nomade; Vigoureux majeur; Remueur; Miraculé majeur; Chanceux majeur; Dehluge</t>
        </is>
      </c>
    </row>
    <row r="27589">
      <c r="A27589" t="inlineStr">
        <is>
          <t>eau</t>
        </is>
      </c>
      <c r="B27589">
        <f>HYPERLINK("https://www.dofusbook.net/fr/equipement/2150852-eau/objets", "link")</f>
        <v/>
      </c>
      <c r="C27589" t="n">
        <v>1</v>
      </c>
      <c r="D27589" t="inlineStr">
        <is>
          <t>Rapière aux Glyphes; Amulette de Shokkoth; Bracelet des Fonds marins; Alliance Gloursonne; Bouclier d'Ilyzaelle; Sangle Ouare; Kidibonnet; Cape du Sinistrofu; Bottes du Sinistrofu; Dofus Nébuleux; Dofus Pourpre; Chanceux majeur; Nomade; Vigoureux majeur; Remueur; Kramkram</t>
        </is>
      </c>
    </row>
    <row r="27590">
      <c r="A27590" t="inlineStr">
        <is>
          <t>eau</t>
        </is>
      </c>
      <c r="B27590">
        <f>HYPERLINK("https://www.dofusbook.net/fr/equipement/2148498-eau/objets", "link")</f>
        <v/>
      </c>
      <c r="C27590" t="n">
        <v>0</v>
      </c>
      <c r="D27590" t="inlineStr">
        <is>
          <t>Rapière aux Glyphes; Amulette de Shokkoth; Goulano; Alliance Gloursonne; Bouclier du Stalak; Sangle Ouare; Kidibonnet; Cape du Sinistrofu; Pataugastrique; Miraculé majeur; Chanceux majeur; Taquin majeur; Nomade; Vigoureux majeur; Remueur; Dehluge</t>
        </is>
      </c>
    </row>
    <row r="27591">
      <c r="A27591" t="inlineStr">
        <is>
          <t>martin</t>
        </is>
      </c>
      <c r="B27591">
        <f>HYPERLINK("https://www.dofusbook.net/fr/equipement/2136868-martin/objets", "link")</f>
        <v/>
      </c>
      <c r="C27591" t="n">
        <v>1</v>
      </c>
      <c r="D27591" t="inlineStr">
        <is>
          <t>Hache du Chalœil; Amulette du Strigide; Alliance du Lévitrof; Alliance Gloursonne; Quatre-feuilles; Ceinture du Strigide; Bonnet Ko; Voile d'encre; Bottes Trithon; Dofus Ocre; Dofus Nébuleux; Dofus des Glaces; Dofus Abyssal; Nomade; Remueur; Muldo Indigo et Pourpre</t>
        </is>
      </c>
    </row>
    <row r="27592">
      <c r="A27592" t="inlineStr">
        <is>
          <t>tal</t>
        </is>
      </c>
      <c r="B27592">
        <f>HYPERLINK("https://www.dofusbook.net/fr/equipement/1031565-tal-/objets", "link")</f>
        <v/>
      </c>
      <c r="C27592" t="n">
        <v>0</v>
      </c>
      <c r="D27592" t="inlineStr">
        <is>
          <t>Dagoulinantes; Amulette de Shokkoth; Bracelet des Fonds marins; Alliance Gloursonne; Cadran de Terre; Poulpagne; Kidibonnet; Chevelure de Tal Kasha; Sandales de Tal Kasha; Étourdisseur majeur; Nomade; Chanceux majeur; Remueur; Engourdisseur majeur; Vigoureux majeur; Muldo Ebène et Indigo</t>
        </is>
      </c>
    </row>
    <row r="27593">
      <c r="A27593" t="inlineStr">
        <is>
          <t>Terre</t>
        </is>
      </c>
      <c r="B27593">
        <f>HYPERLINK("https://www.dofusbook.net/fr/equipement/2126710-terre-/objets", "link")</f>
        <v/>
      </c>
      <c r="C27593" t="n">
        <v>0</v>
      </c>
      <c r="D27593" t="inlineStr">
        <is>
          <t>Dagues d'Ilyzaelle; Amulette du Strigide; Anneau Crustique; Anneau Crustique; Bouclier du Captain Amakna; Ceinture du Strigide; Masque de Koutoulou; Voile d'encre; Bottes de la Cour Sombre; Dofus Turquoise; Dofus Nébuleux; Étourdisseur majeur; Nomade; Enragé majeur; Remueur; Muldo Prune et Emeraude</t>
        </is>
      </c>
    </row>
    <row r="27594">
      <c r="A27594" t="inlineStr">
        <is>
          <t>valou retrait cac</t>
        </is>
      </c>
      <c r="B27594">
        <f>HYPERLINK("https://www.dofusbook.net/fr/equipement/942539-valou-retrait-cac/objets", "link")</f>
        <v/>
      </c>
      <c r="C27594" t="n">
        <v>0</v>
      </c>
      <c r="D27594" t="inlineStr">
        <is>
          <t>Bêche Asse; Amulette du Strigide; Anneau Crustique; Alliance Gloursonne; Sept ans de malheur; Menoture; Chapoulpe; Cape au Logis; Tentassons; Dofus Pourpre; Nomade; Vigoureux majeur; Remueur; Étourdisseur majeur; Muldo Ebène et Indigo</t>
        </is>
      </c>
    </row>
    <row r="27595">
      <c r="A27595" t="inlineStr">
        <is>
          <t>feu</t>
        </is>
      </c>
      <c r="B27595">
        <f>HYPERLINK("https://www.dofusbook.net/fr/equipement/2104381-feu/objets", "link")</f>
        <v/>
      </c>
      <c r="C27595" t="n">
        <v>0</v>
      </c>
      <c r="D27595" t="inlineStr">
        <is>
          <t>Arc corrompu; Amulette de Nileza; Anneau de Nidas; Anneauræus; Bouclier d'Ilyzaelle; Ceinture Séculaire; Coiffe Séculaire; Voile d'encre; Pataugastrique; Dofus Pourpre; Dofus Nébuleux; Dofus Ivoire; Nomade; Remueur; Érudit majeur; Brûlih</t>
        </is>
      </c>
    </row>
    <row r="27596">
      <c r="A27596" t="inlineStr">
        <is>
          <t>hache chaloeil</t>
        </is>
      </c>
      <c r="B27596">
        <f>HYPERLINK("https://www.dofusbook.net/fr/equipement/2103543-hache-chaloeil/objets", "link")</f>
        <v/>
      </c>
      <c r="C27596" t="n">
        <v>0</v>
      </c>
      <c r="D27596" t="inlineStr">
        <is>
          <t>Hache du Chalœil; Amulette du Strigide; Goulano; Alliance Gloursonne; Bouclier du Captain Amakna; Ceintacé; Le Dorado; Voile d'encre; Bottes du Strigide; Dolmanax; Dofus des Glaces; Dofus Pourpre; Dofus Nébuleux; Vigoureux majeur; Nomade; Kramkram</t>
        </is>
      </c>
    </row>
    <row r="27597">
      <c r="A27597" t="inlineStr">
        <is>
          <t>matt</t>
        </is>
      </c>
      <c r="B27597">
        <f>HYPERLINK("https://www.dofusbook.net/fr/equipement/2101580-matt/objets", "link")</f>
        <v/>
      </c>
      <c r="C27597" t="n">
        <v>1</v>
      </c>
      <c r="D27597" t="inlineStr">
        <is>
          <t>Dagoulinantes; Amulette Voldelor; Anneau Tique; Alliance Gloursonne; Cadran de Terre; Menoture; Masque de l'Esprit Malsain; Cape d'Atcham; Sandales  d'Atcham; Dofus Pourpre; Dofus Émeraude; Dolmanax; Étourdisseur majeur; Remueur; Fonceur majeur; Muldo Ebène et Orchidée</t>
        </is>
      </c>
    </row>
    <row r="27598">
      <c r="A27598" t="inlineStr">
        <is>
          <t>eau</t>
        </is>
      </c>
      <c r="B27598">
        <f>HYPERLINK("https://www.dofusbook.net/fr/equipement/2095557-eau/objets", "link")</f>
        <v/>
      </c>
      <c r="C27598" t="n">
        <v>1</v>
      </c>
      <c r="D27598" t="inlineStr">
        <is>
          <t>Rapière aux Glyphes; Amulette de Shokkoth; Bracelet des Fonds marins; Alliance Gloursonne; Cadran d'Eau; Ceinture Glaciale; Capuche de l'Œil Attentif; Cape de l'Œil Attentif; Pataugastrique; Dofus Pourpre; Dofus Nébuleux; Dofus Turquoise; Nomade; Remueur; Chanceux majeur; Kramkram</t>
        </is>
      </c>
    </row>
    <row r="27599">
      <c r="A27599" t="inlineStr">
        <is>
          <t>Ret pm</t>
        </is>
      </c>
      <c r="B27599">
        <f>HYPERLINK("https://www.dofusbook.net/fr/equipement/2063505-ret-pm/objets", "link")</f>
        <v/>
      </c>
      <c r="C27599" t="n">
        <v>0</v>
      </c>
      <c r="D27599" t="inlineStr">
        <is>
          <t>Bâthon; Amulette du Cycloïde; Anneau de Nidas; Chevalière du Roi Joueur; Bouclier cubiste; Ceintacé; Couronne du Roi Joueur; Voile d'encre; Pompes Funèbres; Dolmanax; Dofus des Glaces; Temporiseur majeur; Remueur; Vigoureux majeur; Nomade; Croum</t>
        </is>
      </c>
    </row>
    <row r="27600">
      <c r="A27600" t="inlineStr">
        <is>
          <t>terre</t>
        </is>
      </c>
      <c r="B27600">
        <f>HYPERLINK("https://www.dofusbook.net/fr/equipement/2056301-terre/objets", "link")</f>
        <v/>
      </c>
      <c r="C27600" t="n">
        <v>0</v>
      </c>
      <c r="D27600" t="inlineStr">
        <is>
          <t>Arc du Chalœil; Collier de Tourthon; Anneau Crustique; Anneau de Brouce; Quatre-feuilles; Ceinture de Brouce; Masque de Koutoulou; Cape au Logis; Bottes de Brouce; Dofus Pourpre; Dofus des Glaces; Dofus Nébuleux; Dolmanax; Dofus Vulbis; Forcené majeur; Kompost</t>
        </is>
      </c>
    </row>
    <row r="27601">
      <c r="A27601" t="inlineStr">
        <is>
          <t>terre</t>
        </is>
      </c>
      <c r="B27601">
        <f>HYPERLINK("https://www.dofusbook.net/fr/equipement/2056292-terre/objets", "link")</f>
        <v/>
      </c>
      <c r="C27601" t="n">
        <v>0</v>
      </c>
      <c r="D27601" t="inlineStr">
        <is>
          <t>Amrothiline; Collier de Tourthon; Anneau de Brouce; Anneau Crustique; Quatre-feuilles; Ceinture de Brouce; Masque de Koutoulou; Cape au Logis; Bottes de Brouce; Dofus des Glaces; Dofus Nébuleux; Dolmanax; Dofus Vulbis; Dofus Pourpre; Forcené majeur; Kompost</t>
        </is>
      </c>
    </row>
    <row r="27602">
      <c r="A27602" t="inlineStr">
        <is>
          <t>terre</t>
        </is>
      </c>
      <c r="B27602">
        <f>HYPERLINK("https://www.dofusbook.net/fr/equipement/2056258-terre/objets", "link")</f>
        <v/>
      </c>
      <c r="C27602" t="n">
        <v>0</v>
      </c>
      <c r="D27602" t="inlineStr">
        <is>
          <t>Amrothiline; Collier de Tourthon; Anneau Crustique; Anneau de Brouce; Quatre-feuilles; Ceinture de Brouce; Masque de Koutoulou; Cape au Logis; Bottes de Brouce; Dofus Pourpre; Dofus des Glaces; Dofus Nébuleux; Dolmanax; Dofus Vulbis; Forcené majeur; Kompost</t>
        </is>
      </c>
    </row>
    <row r="27603">
      <c r="A27603" t="inlineStr">
        <is>
          <t>eau feu</t>
        </is>
      </c>
      <c r="B27603">
        <f>HYPERLINK("https://www.dofusbook.net/fr/equipement/1813346-eau-feu/objets", "link")</f>
        <v/>
      </c>
      <c r="C27603" t="n">
        <v>0</v>
      </c>
      <c r="D27603" t="inlineStr">
        <is>
          <t>Arc Nécrotique; Amulette du Strigide; Alliance Gloursonne; Bracelet du Piloztère; Quatre-feuilles; Ceinture du Strigide; Kidibonnet; Cape des Malveilleurs; Pataugastrique; Dofus Pourpre; Dolmanax; Vigoureux majeur; Nomade; Érudit majeur; Remueur; Muldo Ebène et Orchidée</t>
        </is>
      </c>
    </row>
    <row r="27604">
      <c r="A27604" t="inlineStr">
        <is>
          <t>eau feu</t>
        </is>
      </c>
      <c r="B27604">
        <f>HYPERLINK("https://www.dofusbook.net/fr/equipement/1975751-eau-feu/objets", "link")</f>
        <v/>
      </c>
      <c r="C27604" t="n">
        <v>0</v>
      </c>
      <c r="D27604" t="inlineStr">
        <is>
          <t>Rapière aux Glyphes; Amulette du Strigide; Alliance Gloursonne; Bracelet du Piloztère; Quatre-feuilles; Ceinture du Strigide; Casque Dragoeuf; Cape de la Dame du Hasard; Pataugastrique; Dofus Pourpre; Vigoureux majeur; Nomade; Miraculé majeur; Remueur; Chanceux majeur; Muldo Indigo et Orchidée</t>
        </is>
      </c>
    </row>
    <row r="27605">
      <c r="A27605" t="inlineStr">
        <is>
          <t>eau feu</t>
        </is>
      </c>
      <c r="B27605">
        <f>HYPERLINK("https://www.dofusbook.net/fr/equipement/1974675-eau-feu/objets", "link")</f>
        <v/>
      </c>
      <c r="C27605" t="n">
        <v>0</v>
      </c>
      <c r="D27605" t="inlineStr">
        <is>
          <t>Arc Nécrotique; Amulette du Strigide; Bracelet du Piloztère; Alliance Gloursonne; Sept ans de malheur; Ceinture du Strigide; Kidibonnet; Cape de la Dame du Hasard; Pataugastrique; Dofus Pourpre; Remueur; Chanceux majeur; Vigoureux majeur; Nomade; Érudit majeur; Muldo Ebène et Indigo</t>
        </is>
      </c>
    </row>
    <row r="27606">
      <c r="A27606" t="inlineStr">
        <is>
          <t>eau</t>
        </is>
      </c>
      <c r="B27606">
        <f>HYPERLINK("https://www.dofusbook.net/fr/equipement/1973279-eau/objets", "link")</f>
        <v/>
      </c>
      <c r="C27606" t="n">
        <v>0</v>
      </c>
      <c r="D27606" t="inlineStr">
        <is>
          <t>Dagoulinantes; Amulette de l'Œil Attentif; Alliance Gloursonne; Bracelet des Fonds marins; Bouclier alvéolé; Ceinture Glaciale; Némès de Tal Kasha; Cape de l'Œil Attentif; Pataugastrique; Dofus Turquoise; Dofus des Glaces; Dofus Abyssal; Dofus Pourpre; Remueur; Étourdisseur majeur; Muldo Ebène et Pourpre</t>
        </is>
      </c>
    </row>
    <row r="27607">
      <c r="A27607" t="inlineStr">
        <is>
          <t>korri</t>
        </is>
      </c>
      <c r="B27607">
        <f>HYPERLINK("https://www.dofusbook.net/fr/equipement/1962282-korri/objets", "link")</f>
        <v/>
      </c>
      <c r="C27607" t="n">
        <v>0</v>
      </c>
      <c r="D27607" t="inlineStr"/>
    </row>
    <row r="27608">
      <c r="A27608" t="inlineStr">
        <is>
          <t>korri</t>
        </is>
      </c>
      <c r="B27608">
        <f>HYPERLINK("https://www.dofusbook.net/fr/equipement/1962260-korri/objets", "link")</f>
        <v/>
      </c>
      <c r="C27608" t="n">
        <v>0</v>
      </c>
      <c r="D27608" t="inlineStr">
        <is>
          <t>Hache du Korriandre; Amulette du Strigide; Anneau Tique; Alliance Gloursonne; Bouclier du Captain Amakna; Ceintacé; Némès de Tal Kasha; Cape Matelassée; Bottes du Strigide; Dofus Turquoise; Dofus Pourpre; Dofus des Glaces; Remueur; Vigoureux majeur; Nomade; Muldo Prune et Emeraude</t>
        </is>
      </c>
    </row>
    <row r="27609">
      <c r="A27609" t="inlineStr">
        <is>
          <t>eau feu</t>
        </is>
      </c>
      <c r="B27609">
        <f>HYPERLINK("https://www.dofusbook.net/fr/equipement/1953347-eau-feu/objets", "link")</f>
        <v/>
      </c>
      <c r="C27609" t="n">
        <v>0</v>
      </c>
      <c r="D27609" t="inlineStr">
        <is>
          <t>Arc Nécrotique; Amulette du Strigide; Alliance Gloursonne; Bracelet du Piloztère; Quatre-feuilles; Ceinture du Strigide; Kidibonnet; Cape de la Dame du Hasard; Pataugastrique; Dofus Pourpre; Dofus Turquoise; Vigoureux majeur; Nomade; Remueur; Érudit majeur; Muldo Prune et Emeraude</t>
        </is>
      </c>
    </row>
    <row r="27610">
      <c r="A27610" t="inlineStr">
        <is>
          <t>feu eau soin</t>
        </is>
      </c>
      <c r="B27610">
        <f>HYPERLINK("https://www.dofusbook.net/fr/equipement/1953312-feu-eau-soin/objets", "link")</f>
        <v/>
      </c>
      <c r="C27610" t="n">
        <v>0</v>
      </c>
      <c r="D27610" t="inlineStr">
        <is>
          <t>Baguette de Malléfisk; Collier de la Dame du Hasard; Anneau de Nidas; Alliance Gloursonne; Bouclier cubiste; Sangle Ouare; Casquette de Meno; Cape de Diondin; Bottes de Meno; Dofus Pourpre; Érudit majeur; Guérisseur majeur; Temporiseur majeur; Vigoureux majeur; Remueur; Muldo Indigo et Orchidée</t>
        </is>
      </c>
    </row>
    <row r="27611">
      <c r="A27611" t="inlineStr">
        <is>
          <t>vita</t>
        </is>
      </c>
      <c r="B27611">
        <f>HYPERLINK("https://www.dofusbook.net/fr/equipement/1873416-vita/objets", "link")</f>
        <v/>
      </c>
      <c r="C27611" t="n">
        <v>0</v>
      </c>
      <c r="D27611" t="inlineStr">
        <is>
          <t>Sceptre du Roi Joueur; Amulette de Pol Ouatnos; Bague Trithon; Alliance Gloursonne; Bouclier précieux; Poulpagne; Masque d'Anerice; Cape d'Anerice; Pataugastrique; Dofus Émeraude; Dofus Nébuleux; Bousculeur majeur; Miraculé majeur; Remueur; Culbuteur majeur; Muldo Ebène et Orchidée</t>
        </is>
      </c>
    </row>
    <row r="27612">
      <c r="A27612" t="inlineStr">
        <is>
          <t>Air</t>
        </is>
      </c>
      <c r="B27612">
        <f>HYPERLINK("https://www.dofusbook.net/fr/equipement/1916858-air/objets", "link")</f>
        <v/>
      </c>
      <c r="C27612" t="n">
        <v>1</v>
      </c>
      <c r="D27612" t="inlineStr">
        <is>
          <t>Manthache; Collier du Valet Veinard; Gant du Valet Veinard; Alliance Gloursonne; Bouclier du Stalak; Menoture; Couronne d'Allister; Cape Indescriptible; Palmes Trithons; Dofus Pourpre; Dofus Abyssal; Remueur; Equilibriste majeur; Cascadeur majeur; Nomade; Siroko</t>
        </is>
      </c>
    </row>
    <row r="27613">
      <c r="A27613" t="inlineStr">
        <is>
          <t>esquive pa</t>
        </is>
      </c>
      <c r="B27613">
        <f>HYPERLINK("https://www.dofusbook.net/fr/equipement/1912041-esquive-pa/objets", "link")</f>
        <v/>
      </c>
      <c r="C27613" t="n">
        <v>0</v>
      </c>
      <c r="D27613" t="inlineStr">
        <is>
          <t>Manthache; Amulette du Strigide; Gant du Valet Veinard; Alliance Gloursonne; Bouclier cubiste; Menoture; Capuche de Moum-Ra; Cape du Kamasterisk; Bottes du Strigide; Dofus Pourpre; Nomade; Cascadeur majeur; Remueur; Vigoureux majeur; Évasif majeur; Muldo Ebène et Indigo</t>
        </is>
      </c>
    </row>
    <row r="27614">
      <c r="A27614" t="inlineStr">
        <is>
          <t>esquive m</t>
        </is>
      </c>
      <c r="B27614">
        <f>HYPERLINK("https://www.dofusbook.net/fr/equipement/1911975-esquive-m/objets", "link")</f>
        <v/>
      </c>
      <c r="C27614" t="n">
        <v>0</v>
      </c>
      <c r="D27614" t="inlineStr">
        <is>
          <t>Manthache; Collier du Valet Veinard; Gant du Valet Veinard; Alliance Gloursonne; Cadran d'Air; Menoture; Masque d'Anerice; Cape Indescriptible; Palmes Trithons; Dofus Pourpre; Cavaleur majeur; Remueur; Fonceur majeur; Cascadeur majeur; Nomade; Muldo Ebène et Pourpre</t>
        </is>
      </c>
    </row>
    <row r="27615">
      <c r="A27615" t="inlineStr">
        <is>
          <t>eau</t>
        </is>
      </c>
      <c r="B27615">
        <f>HYPERLINK("https://www.dofusbook.net/fr/equipement/1757483-eau/objets", "link")</f>
        <v/>
      </c>
      <c r="C27615" t="n">
        <v>0</v>
      </c>
      <c r="D27615" t="inlineStr">
        <is>
          <t>Rapière aux Glyphes; Amulette de Shokkoth; Alliance Gloursonne; Bracelet des Fonds marins; Quatre-feuilles; Ceinture Glaciale; Kidibonnet; Cape du Sinistrofu; Bottes du Sinistrofu; Dofus Pourpre; Dofus des Glaces; Dofus Abyssal; Chanceux majeur; Dévastateur Eau majeur; Remueur; Muldo Indigo et Pourpre</t>
        </is>
      </c>
    </row>
    <row r="27616">
      <c r="A27616" t="inlineStr">
        <is>
          <t>feu airy</t>
        </is>
      </c>
      <c r="B27616">
        <f>HYPERLINK("https://www.dofusbook.net/fr/equipement/1730468-feu-airy/objets", "link")</f>
        <v/>
      </c>
      <c r="C27616" t="n">
        <v>0</v>
      </c>
      <c r="D27616" t="inlineStr">
        <is>
          <t>Baguette Range; Amulette du Strigide; Alliance Gloursonne; Alliance Brûlâme; Quatre-feuilles; Ceinture Séculaire; Coiffe de Padgref; Cape de Diondin; Bottes du Strigide; Dofus des Glaces; Dofus Pourpre; Dofus Nébuleux; Remueur; Vigoureux majeur; Nomade; Muldo Prune et Orchidée</t>
        </is>
      </c>
    </row>
    <row r="27617">
      <c r="A27617" t="inlineStr">
        <is>
          <t>feu pas cher</t>
        </is>
      </c>
      <c r="B27617">
        <f>HYPERLINK("https://www.dofusbook.net/fr/equipement/1670408-feu-pas-cher/objets", "link")</f>
        <v/>
      </c>
      <c r="C27617" t="n">
        <v>0</v>
      </c>
      <c r="D27617" t="inlineStr">
        <is>
          <t>Arc Hétype; Amulette de Nileza; Anneau de Padgref; Anneau Tique; Bouclier du Cycloïde; Sangle Aise; Coiffe Séculaire; Cape de Nileza; Pataugastrique; Vigoureux majeur; Nomade; Savant majeur; Remueur; Astucieux majeur; Érudit majeur; Muldo Indigo et Orchidée</t>
        </is>
      </c>
    </row>
    <row r="27618">
      <c r="A27618" t="inlineStr">
        <is>
          <t>feu</t>
        </is>
      </c>
      <c r="B27618">
        <f>HYPERLINK("https://www.dofusbook.net/fr/equipement/778392-feu/objets", "link")</f>
        <v/>
      </c>
      <c r="C27618" t="n">
        <v>0</v>
      </c>
      <c r="D27618" t="inlineStr">
        <is>
          <t>Baguette de Malléfisk; Amulette de Nileza; Chevalière du Roi Joueur; Anneauræus; Carapar; Ceintacé; Casque Dragoeuf; Cape de Nileza; Bottes Innommables; Dofus Nébuleux; Dofus Pourpre; Dofus Émeraude; Miraculé majeur; Remueur; Érudit majeur; Muldo Indigo et Pourpre</t>
        </is>
      </c>
    </row>
    <row r="27619">
      <c r="A27619" t="inlineStr">
        <is>
          <t>srambad</t>
        </is>
      </c>
      <c r="B27619">
        <f>HYPERLINK("https://www.dofusbook.net/fr/equipement/1563426-srambad/objets", "link")</f>
        <v/>
      </c>
      <c r="C27619" t="n">
        <v>0</v>
      </c>
      <c r="D27619" t="inlineStr">
        <is>
          <t>Dagues de Srambad; Amulette Ementaire Deluxe; Alliance Gloursonne; Pikano; Bouclier cubiste; Ceinture de la Reine des Voleurs; Masque de Koutoulou; Voile d'encre; Bottes de la Reine des Voleurs; Dofus des Glaces; Dolmanax; Vigoureux majeur; Remueur; Nomade; Temporiseur majeur; Croum</t>
        </is>
      </c>
    </row>
    <row r="27620">
      <c r="A27620" t="inlineStr">
        <is>
          <t>srambad</t>
        </is>
      </c>
      <c r="B27620">
        <f>HYPERLINK("https://www.dofusbook.net/fr/equipement/1563429-srambad/objets", "link")</f>
        <v/>
      </c>
      <c r="C27620" t="n">
        <v>0</v>
      </c>
      <c r="D27620" t="inlineStr">
        <is>
          <t>Dagues de Srambad; Amulette de l'Indicible; Anneau Crustique; Alliance Gloursonne; Bouclier du Captain Amakna; Ceinture de la Reine des Voleurs; Masque de Koutoulou; Cape au Logis; Bottes de la Reine des Voleurs; Dofus des Glaces; Dofus Pourpre; Dofus Émeraude; Nomade; Vigoureux majeur; Remueur; Croum</t>
        </is>
      </c>
    </row>
    <row r="27621">
      <c r="A27621" t="inlineStr">
        <is>
          <t>uhuhuh</t>
        </is>
      </c>
      <c r="B27621">
        <f>HYPERLINK("https://www.dofusbook.net/fr/equipement/1376840-uhuhuh/objets", "link")</f>
        <v/>
      </c>
      <c r="C27621" t="n">
        <v>0</v>
      </c>
      <c r="D27621" t="inlineStr">
        <is>
          <t>Epée Toche; Amulette du Strigide; Anneau de Brouce; Bracelet du Piloztère; Bouclier du Captain Amakna; Ceintacé; Masque de Koutoulou; Voile d'encre; Bottes du Strigide; Dofus Turquoise; Dofus Pourpre; Vigoureux majeur; Nomade; Remueur; Enragé majeur; Croum</t>
        </is>
      </c>
    </row>
    <row r="27622">
      <c r="A27622" t="inlineStr">
        <is>
          <t>srambad</t>
        </is>
      </c>
      <c r="B27622">
        <f>HYPERLINK("https://www.dofusbook.net/fr/equipement/1376724-srambad/objets", "link")</f>
        <v/>
      </c>
      <c r="C27622" t="n">
        <v>0</v>
      </c>
      <c r="D27622" t="inlineStr">
        <is>
          <t>Dagues de Srambad; Amulette de l'Indicible; Alliance Gloursonne; Anneau Crustique; Bouclier du Captain Amakna; Ceinture de la Reine des Voleurs; Masque de Koutoulou; Cape au Logis; Bottes de la Reine des Voleurs; Dofus Nébuleux; Dofus des Glaces; Dofus Pourpre; Vigoureux majeur; Remueur; Miraculé majeur; Muldo Ebène et Pourpre</t>
        </is>
      </c>
    </row>
    <row r="27623">
      <c r="A27623" t="inlineStr">
        <is>
          <t>terre feu</t>
        </is>
      </c>
      <c r="B27623">
        <f>HYPERLINK("https://www.dofusbook.net/fr/equipement/1195816-terre-feu/objets", "link")</f>
        <v/>
      </c>
      <c r="C27623" t="n">
        <v>0</v>
      </c>
      <c r="D27623" t="inlineStr">
        <is>
          <t>Poolache; Amulette du Strigide; Anneau de Brouce; Anneau Tique; Quatre-feuilles; Ceintacé; Couronne du Roi Joueur; Voile d'encre; Bottes du Strigide; Dofus Émeraude; Dolmanax; Dofus Pourpre; Dofus Turquoise; Dofus des Glaces; Remueur; Muldo Prune et Pourpre</t>
        </is>
      </c>
    </row>
    <row r="27624">
      <c r="A27624" t="inlineStr">
        <is>
          <t>srambad</t>
        </is>
      </c>
      <c r="B27624">
        <f>HYPERLINK("https://www.dofusbook.net/fr/equipement/1181756-srambad/objets", "link")</f>
        <v/>
      </c>
      <c r="C27624" t="n">
        <v>0</v>
      </c>
      <c r="D27624" t="inlineStr">
        <is>
          <t>Dagues de Srambad; Amulette de l'Indicible; Alliance Gloursonne; Anneau Crustique; Bouclier du Captain Amakna; Ceinture de la Reine des Voleurs; Masque de Koutoulou; Cape au Logis; Bottes de la Reine des Voleurs; Dolmanax; Dofus des Glaces; Dofus Pourpre; Dofus Émeraude; Remueur; Nomade; Croum</t>
        </is>
      </c>
    </row>
    <row r="27625">
      <c r="A27625" t="inlineStr">
        <is>
          <t>srambad</t>
        </is>
      </c>
      <c r="B27625">
        <f>HYPERLINK("https://www.dofusbook.net/fr/equipement/1181393-srambad/objets", "link")</f>
        <v/>
      </c>
      <c r="C27625" t="n">
        <v>0</v>
      </c>
      <c r="D27625" t="inlineStr">
        <is>
          <t>Dagues de Srambad; Amulette de l'Indicible; Anneau Crustique; Alliance Gloursonne; Quatre-feuilles; Ceinture de la Reine des Voleurs; Masque de Koutoulou; Cape au Logis; Bottes de la Reine des Voleurs; Dofus des Glaces; Dofus Pourpre; Dofus Nébuleux; Nomade; Vigoureux majeur; Remueur; Kramkram</t>
        </is>
      </c>
    </row>
    <row r="27626">
      <c r="A27626" t="inlineStr">
        <is>
          <t>srambad</t>
        </is>
      </c>
      <c r="B27626">
        <f>HYPERLINK("https://www.dofusbook.net/fr/equipement/1180030-srambad/objets", "link")</f>
        <v/>
      </c>
      <c r="C27626" t="n">
        <v>0</v>
      </c>
      <c r="D27626" t="inlineStr">
        <is>
          <t>Dagues de Srambad; Amulette de l'Indicible; Alliance Gloursonne; Anneau Crustique; Bouclier du Captain Amakna; Ceinture de la Reine des Voleurs; Masque de Koutoulou; Cape au Logis; Bottes de la Reine des Voleurs; Dofus Pourpre; Dofus Émeraude; Vigoureux majeur; Remueur; Nomade; Sanguinaire majeur; Croum</t>
        </is>
      </c>
    </row>
    <row r="27627">
      <c r="A27627" t="inlineStr">
        <is>
          <t>feu hou</t>
        </is>
      </c>
      <c r="B27627">
        <f>HYPERLINK("https://www.dofusbook.net/fr/equipement/1175398-feu-hou/objets", "link")</f>
        <v/>
      </c>
      <c r="C27627" t="n">
        <v>0</v>
      </c>
      <c r="D27627" t="inlineStr">
        <is>
          <t>Baguette Range; Amulette du Strigide; Bague Trithon; Anneau de Padgref; Quatre-feuilles; Ceinture du Strigide; Masque Trithon; Cape de la Dame du Hasard; Bottes Trithon; Dofus Ocre; Dofus Nébuleux; Dofus Pourpre; Dolmanax; Dofus Turquoise; Dofus des Glaces; Muldo Prune et Emeraude</t>
        </is>
      </c>
    </row>
    <row r="27628">
      <c r="A27628" t="inlineStr">
        <is>
          <t>hecache</t>
        </is>
      </c>
      <c r="B27628">
        <f>HYPERLINK("https://www.dofusbook.net/fr/equipement/1140209-hecache/objets", "link")</f>
        <v/>
      </c>
      <c r="C27628" t="n">
        <v>0</v>
      </c>
      <c r="D27628" t="inlineStr">
        <is>
          <t>Héqache; Amulette du Strigide; Alliance Gloursonne; Anneau Crustique; Quatre-feuilles; Ceintacé; Chapoulpe; Cape du Kamasterisk; Bottes du Strigide; Dofus des Glaces; Dofus Pourpre; Dofus Turquoise; Dofus Nébuleux; Remueur; Vigoureux majeur; Muldo Indigo et Pourpre</t>
        </is>
      </c>
    </row>
    <row r="27629">
      <c r="A27629" t="inlineStr">
        <is>
          <t>Stuff 1</t>
        </is>
      </c>
      <c r="B27629">
        <f>HYPERLINK("https://www.dofusbook.net/fr/equipement/209163-stuff-1/objets", "link")</f>
        <v/>
      </c>
      <c r="C27629" t="n">
        <v>0</v>
      </c>
      <c r="D27629" t="inlineStr">
        <is>
          <t>Bêche Asse; Amulette du Kamasterisk; Anneau Crustique; Alliance Gloursonne; Bouclier cubiste; Ceinture Luminescente; Masque de Koutoulou; Cape du Kamasterisk; Sabots Taj; Dofus Émeraude; Dofus Pourpre; Culbuteur majeur; Temporiseur majeur; Nomade; Remueur; Muldo Indigo et Pourpre</t>
        </is>
      </c>
    </row>
    <row r="27630">
      <c r="A27630" t="inlineStr">
        <is>
          <t>ini roxx</t>
        </is>
      </c>
      <c r="B27630">
        <f>HYPERLINK("https://www.dofusbook.net/fr/equipement/1116726-ini-roxx/objets", "link")</f>
        <v/>
      </c>
      <c r="C27630" t="n">
        <v>0</v>
      </c>
      <c r="D27630" t="inlineStr">
        <is>
          <t>Héqache; Amulette du Strigide; Anneau Crustique; Alliance Gloursonne; Quatre-feuilles; Ceintacé; Casque des égarés; Cape du Kamasterisk; Bottes du Strigide; Dofus Turquoise; Dofus des Glaces; Dofus Émeraude; Dofus Pourpre; Remueur; Nomade; Muldo Ebène et Orchidée</t>
        </is>
      </c>
    </row>
    <row r="27631">
      <c r="A27631" t="inlineStr">
        <is>
          <t>air crit</t>
        </is>
      </c>
      <c r="B27631">
        <f>HYPERLINK("https://www.dofusbook.net/fr/equipement/1116688-air-crit/objets", "link")</f>
        <v/>
      </c>
      <c r="C27631" t="n">
        <v>0</v>
      </c>
      <c r="D27631" t="inlineStr">
        <is>
          <t>Manthache; Amulette de Pol Ouatnos; Anneau Crustique; Alliance Gloursonne; Quatre-feuilles; Menoture; Capuche de Moum-Ra; Cape du Kamasterisk; Bottes du Kamasterisk; Dofus Turquoise; Dofus Pourpre; Dofus Émeraude; Cascadeur majeur; Nomade; Remueur; Croum</t>
        </is>
      </c>
    </row>
    <row r="27632">
      <c r="A27632" t="inlineStr">
        <is>
          <t>Eau feu</t>
        </is>
      </c>
      <c r="B27632">
        <f>HYPERLINK("https://www.dofusbook.net/fr/equipement/1048802-eau-feu/objets", "link")</f>
        <v/>
      </c>
      <c r="C27632" t="n">
        <v>0</v>
      </c>
      <c r="D27632" t="inlineStr">
        <is>
          <t>Baguette de Malléfisk; Amulette de Nileza; Anneau Tique; Alliance Gloursonne; Bouclier d'Ilyzaelle; Ceinture Séculaire; Masque d'Anerice; Cape de Nileza; Pataugastrique; Évasif majeur; Remueur; Cavaleur majeur; Érudit majeur; Guérisseur majeur; Nomade; Muldo Orchidée et Pourpre</t>
        </is>
      </c>
    </row>
    <row r="27633">
      <c r="A27633" t="inlineStr">
        <is>
          <t>feu</t>
        </is>
      </c>
      <c r="B27633">
        <f>HYPERLINK("https://www.dofusbook.net/fr/equipement/1043644-feu/objets", "link")</f>
        <v/>
      </c>
      <c r="C27633" t="n">
        <v>0</v>
      </c>
      <c r="D27633" t="inlineStr">
        <is>
          <t>Arc Hétype; Amulette de Nileza; Alliance du Lévitrof; Anneau de Nidas; Bouclier alvéolé; Ceinture Séculaire; Coiffe Séculaire; Cape de Diondin; Pataugastrique; Dofus Émeraude; Vagabond majeur; Nomade; Déserteur majeur; Remueur; Érudit majeur; Croum</t>
        </is>
      </c>
    </row>
    <row r="27634">
      <c r="A27634" t="inlineStr">
        <is>
          <t>air</t>
        </is>
      </c>
      <c r="B27634">
        <f>HYPERLINK("https://www.dofusbook.net/fr/equipement/1043643-air/objets", "link")</f>
        <v/>
      </c>
      <c r="C27634" t="n">
        <v>0</v>
      </c>
      <c r="D27634" t="inlineStr">
        <is>
          <t>Manthache; Collier du Valet Veinard; Gant du Valet Veinard; Alliance Gloursonne; Ceinture du Barbétoal; Couronne d'Allister; Cape Indescriptible; Baleinabottes; Dofus Pourpre; Dofus Émeraude; Fonceur majeur; Remueur; Cascadeur majeur; Nomade; Muldo Ebène</t>
        </is>
      </c>
    </row>
    <row r="27635">
      <c r="A27635" t="inlineStr">
        <is>
          <t>tank</t>
        </is>
      </c>
      <c r="B27635">
        <f>HYPERLINK("https://www.dofusbook.net/fr/equipement/942807-tank/objets", "link")</f>
        <v/>
      </c>
      <c r="C27635" t="n">
        <v>0</v>
      </c>
      <c r="D27635" t="inlineStr">
        <is>
          <t>Hache Ériphe; Amulette du Strigide; Alliance Gloursonne; Anneau Crustique; Sept ans de malheur; Menoture; Casque Dragoeuf; Cape du Kamasterisk; Bottes du Strigide; Dofus Pourpre; Dofus Émeraude; Étourdisseur majeur; Obstructeur majeur; Nomade; Remueur; Muldo Indigo</t>
        </is>
      </c>
    </row>
    <row r="27636">
      <c r="A27636" t="inlineStr">
        <is>
          <t>terre air</t>
        </is>
      </c>
      <c r="B27636">
        <f>HYPERLINK("https://www.dofusbook.net/fr/equipement/942504-terre-air/objets", "link")</f>
        <v/>
      </c>
      <c r="C27636" t="n">
        <v>0</v>
      </c>
      <c r="D27636" t="inlineStr">
        <is>
          <t>Manthache; Collier du Valet Veinard; Anneau Crustique; Gant du Valet Veinard; Quatre-feuilles; Ceintouse; Chapoulpe; Cape du Valet Veinard; Tentassons; Dofus Pourpre; Dofus des Glaces; Dofus Émeraude; Dofus Ocre; Engourdisseur majeur; Muldo Indigo</t>
        </is>
      </c>
    </row>
    <row r="27637">
      <c r="A27637" t="inlineStr">
        <is>
          <t>eau air ...</t>
        </is>
      </c>
      <c r="B27637">
        <f>HYPERLINK("https://www.dofusbook.net/fr/equipement/831129-eau-air----/objets", "link")</f>
        <v/>
      </c>
      <c r="C27637" t="n">
        <v>0</v>
      </c>
      <c r="D27637" t="inlineStr">
        <is>
          <t>Arc de Koutoulou; Amulette du Strigide; Alliance Gloursonne; Bague Trithon; Quatre-feuilles; Ceinture du Strigide; Némès de Tal Kasha; Chevelure de Tal Kasha; Sandales de Tal Kasha; Dofus Nébuleux; Dofus Émeraude; Dofus des Glaces; Dofus Turquoise; Dofus Pourpre; Dofus Ocre; Muldo Ebène et Indigo</t>
        </is>
      </c>
    </row>
    <row r="27638">
      <c r="A27638" t="inlineStr">
        <is>
          <t>eau air</t>
        </is>
      </c>
      <c r="B27638">
        <f>HYPERLINK("https://www.dofusbook.net/fr/equipement/831117-eau-air/objets", "link")</f>
        <v/>
      </c>
      <c r="C27638" t="n">
        <v>0</v>
      </c>
      <c r="D27638" t="inlineStr">
        <is>
          <t>Némès de Tal Kasha</t>
        </is>
      </c>
    </row>
    <row r="27639">
      <c r="A27639" t="inlineStr">
        <is>
          <t>eau feu</t>
        </is>
      </c>
      <c r="B27639">
        <f>HYPERLINK("https://www.dofusbook.net/fr/equipement/831018-eau-feu/objets", "link")</f>
        <v/>
      </c>
      <c r="C27639" t="n">
        <v>0</v>
      </c>
      <c r="D27639" t="inlineStr">
        <is>
          <t>Arc Nécrotique; Talisman Igans; Alliance Gloursonne; Bague Trithon; Bouclier cubiste; Ceintrigue; Kidibonnet; Cape de la Dame du Hasard; Pataugastrique; Dofus Turquoise; Dofus Émeraude; Dofus des Glaces; Dofus Pourpre; Vigoureux majeur; Temporiseur majeur; Muldo Indigo et Orchidée</t>
        </is>
      </c>
    </row>
    <row r="27640">
      <c r="A27640" t="inlineStr">
        <is>
          <t>eau feu</t>
        </is>
      </c>
      <c r="B27640">
        <f>HYPERLINK("https://www.dofusbook.net/fr/equipement/779555-eau-feu/objets", "link")</f>
        <v/>
      </c>
      <c r="C27640" t="n">
        <v>2</v>
      </c>
      <c r="D27640" t="inlineStr">
        <is>
          <t>Arc Nécrotique; Talisman Igans; Alliance Gloursonne; Anneauræus; Quatre-feuilles; Ceintrigue; Kidibonnet; Cape de la Dame du Hasard; Bottes de Meno; Dofus Turquoise; Dofus Émeraude; Dofus Pourpre; Vigoureux majeur; Nomade; Remueur; Muldo Indigo et Orchidée</t>
        </is>
      </c>
    </row>
    <row r="27641">
      <c r="A27641" t="inlineStr">
        <is>
          <t>eau</t>
        </is>
      </c>
      <c r="B27641">
        <f>HYPERLINK("https://www.dofusbook.net/fr/equipement/778560-eau/objets", "link")</f>
        <v/>
      </c>
      <c r="C27641" t="n">
        <v>0</v>
      </c>
      <c r="D27641" t="inlineStr">
        <is>
          <t>Rapière aux Glyphes; Amulette de Shokkoth; Bracelet des Fonds marins; Alliance Gloursonne; Bouclier du Captain Amakna; Ceinture Glaciale; Kidibonnet; Cape du Sinistrofu; Bottes du Sinistrofu; Dofus Émeraude; Dofus Pourpre; Nomade; Vigoureux majeur; Remueur; Chanceux majeur; Muldo Indigo et Pourpre</t>
        </is>
      </c>
    </row>
    <row r="27642">
      <c r="A27642" t="inlineStr">
        <is>
          <t>Stuff 3</t>
        </is>
      </c>
      <c r="B27642">
        <f>HYPERLINK("https://www.dofusbook.net/fr/equipement/209156-stuff-3/objets", "link")</f>
        <v/>
      </c>
      <c r="C27642" t="n">
        <v>0</v>
      </c>
      <c r="D27642" t="inlineStr">
        <is>
          <t>Plumeau Bil; Amulette de Nileza; Anneau Tique; Anneauræus; Ceinture de Vortex; Cagoule de Vortex; Cape de Diondin; Pataugastrique; Dofus Émeraude; Déserteur majeur; Remueur; Érudit majeur; Étourdisseur majeur; Nomade; Muldo Orchidée et Amande</t>
        </is>
      </c>
    </row>
    <row r="27643">
      <c r="A27643" t="inlineStr">
        <is>
          <t>Stuff 3</t>
        </is>
      </c>
      <c r="B27643">
        <f>HYPERLINK("https://www.dofusbook.net/fr/equipement/209165-stuff-3/objets", "link")</f>
        <v/>
      </c>
      <c r="C27643" t="n">
        <v>0</v>
      </c>
      <c r="D27643" t="inlineStr">
        <is>
          <t>Pelle de Nidas; Amulette du Strigide; Anneau Tique; Alliance Gloursonne; Ceintacé; Casque du Chalœil; Voile d'encre; Bottes du Strigide; Dofus Pourpre; Dolmanax; Carapace Neutre majeur; Culbuteur majeur; Nomade; Remueur; Muldo Ebène et Pourpre</t>
        </is>
      </c>
    </row>
    <row r="27644">
      <c r="A27644" t="inlineStr">
        <is>
          <t>Stuff 2</t>
        </is>
      </c>
      <c r="B27644">
        <f>HYPERLINK("https://www.dofusbook.net/fr/equipement/209158-stuff-2/objets", "link")</f>
        <v/>
      </c>
      <c r="C27644" t="n">
        <v>0</v>
      </c>
      <c r="D27644" t="inlineStr">
        <is>
          <t>Arc Hétype; Amulette d'Otomaï; Alliance Boletée; Anneau de Nidas; Bouclier cubiste; Ceinture Séculaire; Casque Dragoeuf; Cape de Diondin; Tongues de Nidas; Déserteur majeur; Remueur; Vagabond majeur; Érudit majeur; Temporiseur majeur; Nomade; Muldo Orchidée et Amande</t>
        </is>
      </c>
    </row>
    <row r="27645">
      <c r="A27645" t="inlineStr">
        <is>
          <t>Stuff 1</t>
        </is>
      </c>
      <c r="B27645">
        <f>HYPERLINK("https://www.dofusbook.net/fr/equipement/209157-stuff-1/objets", "link")</f>
        <v/>
      </c>
      <c r="C27645" t="n">
        <v>0</v>
      </c>
      <c r="D27645" t="inlineStr">
        <is>
          <t>Rapière aux Glyphes; Amulette du Strigide; Pikano; Alliance Gloursonne; Bouclier cubiste; Pagne du Rykaon; Boucle d'oreille de Kongoku; Cape de la Dame du Hasard; Bottes de la Dame du Hasard; Dofus Pourpre; Dofus Ocre; Temporiseur majeur; Remueur; Vigoureux majeur; Nomade; Muldo Indigo et Orchidée</t>
        </is>
      </c>
    </row>
    <row r="27646">
      <c r="A27646" t="inlineStr">
        <is>
          <t>Stuff 3</t>
        </is>
      </c>
      <c r="B27646">
        <f>HYPERLINK("https://www.dofusbook.net/fr/equipement/209147-stuff-3/objets", "link")</f>
        <v/>
      </c>
      <c r="C27646" t="n">
        <v>0</v>
      </c>
      <c r="D27646" t="inlineStr">
        <is>
          <t>Marteau R'ture; Amulette du Strigide; Bracelet du Piloztère; Anneau de Brouce; Bouclier du Captain Amakna; Ceinture du Strigide; Masque de Koutoulou; Cape au Logis; Baleinabottes; Dofus Émeraude; Dofus Pourpre; Remueur; Enragé majeur; Vigoureux majeur; Nomade; Kramkram</t>
        </is>
      </c>
    </row>
    <row r="27647">
      <c r="A27647" t="inlineStr">
        <is>
          <t>Sacrieur M 200</t>
        </is>
      </c>
      <c r="B27647">
        <f>HYPERLINK("https://www.dofusbook.net/fr/equipement/3818417-sacrieur-m-200/objets", "link")</f>
        <v/>
      </c>
      <c r="C27647" t="n">
        <v>0</v>
      </c>
      <c r="D27647" t="inlineStr">
        <is>
          <t>Marteau des égarés; Amulette du Strigide; Bracelet du Piloztère; Anneau Toriété; Jadis; Ceintacé; Casque du Chalœil; Cape des Justiciers; Bottes du Chalœil; Dofus Pourpre; Dokoko; Dofus Émeraude; Remueur; Vigoureux majeur; Nomade; Marcassin</t>
        </is>
      </c>
    </row>
    <row r="27648">
      <c r="A27648" t="inlineStr">
        <is>
          <t>Multi Stri</t>
        </is>
      </c>
      <c r="B27648">
        <f>HYPERLINK("https://www.dofusbook.net/fr/equipement/3522867-multi-stri/objets", "link")</f>
        <v/>
      </c>
      <c r="C27648" t="n">
        <v>0</v>
      </c>
      <c r="D27648" t="inlineStr">
        <is>
          <t>Hache du Chalœil; Amulette du Strigide; Alliance Gloursonne; Bracelet du Piloztère; Bouclier du Captain Amakna; Ceintacé; Le Dorado; Voile d'encre; Bottes du Strigide; Dofus Émeraude; Dofus Pourpre; Dokoko; Nomade; Remueur; Vigoureux majeur; Kramkram</t>
        </is>
      </c>
    </row>
    <row r="27649">
      <c r="A27649" t="inlineStr">
        <is>
          <t>Sacrieur M 200</t>
        </is>
      </c>
      <c r="B27649">
        <f>HYPERLINK("https://www.dofusbook.net/fr/equipement/3818644-sacrieur-m-200/objets", "link")</f>
        <v/>
      </c>
      <c r="C27649" t="n">
        <v>1</v>
      </c>
      <c r="D27649" t="inlineStr">
        <is>
          <t>Bâton Brelle; Collier du Valet Veinard; Anneau d'Allister; Gant du Valet Veinard; Bouclier du Captain Amakna; Menoture; Couronne d'Allister; Cape du Valet Veinard; Bottes d'Allister; Dofus Émeraude; Dofus Cawotte; Dofus Pourpre; Dokoko; Muldo Ebène et Orchidée</t>
        </is>
      </c>
    </row>
    <row r="27650">
      <c r="A27650" t="inlineStr">
        <is>
          <t>Eliotrope F 200</t>
        </is>
      </c>
      <c r="B27650">
        <f>HYPERLINK("https://www.dofusbook.net/fr/equipement/6014330-eliotrope-f-200/objets", "link")</f>
        <v/>
      </c>
      <c r="C27650" t="n">
        <v>0</v>
      </c>
      <c r="D27650" t="inlineStr">
        <is>
          <t>Sceptre du Roi Joueur; Amulette de l'Œil Attentif; Anneau Toriété; Alliance Gloursonne; Bouclier du Stalak; Ceinture Glaciale; Capuche de l'Œil Attentif; Cape de l'Œil Attentif; Bottes du Sinistrofu; Dofus Ivoire; Dofus Ébène; Dofus Abyssal; Dofus Ocre; Dragodinde Indigo et Ivoire</t>
        </is>
      </c>
    </row>
    <row r="27651">
      <c r="A27651" t="inlineStr">
        <is>
          <t>Eniripsa F 200</t>
        </is>
      </c>
      <c r="B27651">
        <f>HYPERLINK("https://www.dofusbook.net/fr/equipement/5850765-eniripsa-f-200/objets", "link")</f>
        <v/>
      </c>
      <c r="C27651" t="n">
        <v>30</v>
      </c>
      <c r="D27651" t="inlineStr">
        <is>
          <t>Arc corrompu; Amulette Martegel; Anneauræus; Anneauræus; Cadran de Feu; Ceinture de Vortex; Casque Dragoeuf; Cape Martegel; Pataugastrique; Dofus Ivoire; Étourdisseur majeur; Érudit majeur; Remueur; Nomade; Ross</t>
        </is>
      </c>
    </row>
    <row r="27652">
      <c r="A27652" t="inlineStr">
        <is>
          <t>Pandawa F 200</t>
        </is>
      </c>
      <c r="B27652">
        <f>HYPERLINK("https://www.dofusbook.net/fr/equipement/5900617-pandawa-f-200/objets", "link")</f>
        <v/>
      </c>
      <c r="C27652" t="n">
        <v>1</v>
      </c>
      <c r="D27652" t="inlineStr">
        <is>
          <t>Baguette de Malléfisk; Amulette d'Otomaï; Anneau de Nidas; Bague Gloursonne; Bouclier du Cycloïde; Ceinture de Vortex; Casque Dragoeuf; Voile d'encre; Pataugastrique; Érudit majeur; Guérisseur majeur; Nomade; Remueur; Carapace Terre majeur; Miraculé majeur; Dragodinde Orchidée et Rousse</t>
        </is>
      </c>
    </row>
    <row r="27653">
      <c r="A27653" t="inlineStr">
        <is>
          <t>Xélor M 200</t>
        </is>
      </c>
      <c r="B27653">
        <f>HYPERLINK("https://www.dofusbook.net/fr/equipement/5964419-xelor-m-200/objets", "link")</f>
        <v/>
      </c>
      <c r="C27653" t="n">
        <v>0</v>
      </c>
      <c r="D27653" t="inlineStr">
        <is>
          <t>Arc corrompu; Amulette Volkorne; Anneauræus; Anneauræus; Quatre-feuilles; Ceinture Volkorne; Heaume Oplate; Cape de Diondin; Bottes Innommables; Dofus Pourpre; Dofus des Glaces; Dofus Ivoire; Dofus Nébuleux; Nomade; Érudit majeur; Bisouglours</t>
        </is>
      </c>
    </row>
    <row r="27654">
      <c r="A27654" t="inlineStr">
        <is>
          <t>Iop M 200</t>
        </is>
      </c>
      <c r="B27654">
        <f>HYPERLINK("https://www.dofusbook.net/fr/equipement/5283229-iop-m-200/objets", "link")</f>
        <v/>
      </c>
      <c r="C27654" t="n">
        <v>8</v>
      </c>
      <c r="D27654" t="inlineStr">
        <is>
          <t>Lav'Hache; Torquistik; Bague Trithon; Anneau Chevelu; Bouclier précieux; Ceinture Gence; Casque Dragoeuf; Cape au Logis; Bottistik; Dofus Ivoire; Dofus Abyssal; Dofus Émeraude; Bousculeur majeur; Culbuteur majeur; Miraculé majeur; Volkorne Roux</t>
        </is>
      </c>
    </row>
    <row r="27655">
      <c r="A27655" t="inlineStr">
        <is>
          <t>Zobal M 200</t>
        </is>
      </c>
      <c r="B27655">
        <f>HYPERLINK("https://www.dofusbook.net/fr/equipement/5748042-zobal-m-200/objets", "link")</f>
        <v/>
      </c>
      <c r="C27655" t="n">
        <v>4</v>
      </c>
      <c r="D27655" t="inlineStr">
        <is>
          <t>Epée Toche; Amulette du Strigide; Bague Gloursonne; Alliance Gloursonne; Bouclier du Captain Amakna; Ceinture du Strigide; Casque Dragoeuf; Cape au Logis; Bottes du Strigide; Dofus Pourpre; Dofus Ébène; Dofus Ocre; Dofus Turquoise; Dofus Argenté; Dofus Ivoire; Kokulte</t>
        </is>
      </c>
    </row>
    <row r="27656">
      <c r="A27656" t="inlineStr">
        <is>
          <t>multi</t>
        </is>
      </c>
      <c r="B27656">
        <f>HYPERLINK("https://www.dofusbook.net/fr/equipement/5612184-multi/objets", "link")</f>
        <v/>
      </c>
      <c r="C27656" t="n">
        <v>0</v>
      </c>
      <c r="D27656" t="inlineStr">
        <is>
          <t>Hache Téroïde; Amulette de l'Indicible; Alliance du Lévitrof; Anneau Toriété; Bouclier du Stalak; Ceinture de l'Indicible; Casque du Chalœil; Cape du Chalœil; Bottes de l'Indicible; Dofus Turquoise; Dofus Pourpre; Dofus Abyssal; Dofus Ocre; Dofus Cawotte; Dofus Émeraude; Bwak d'Eau</t>
        </is>
      </c>
    </row>
    <row r="27657">
      <c r="A27657" t="inlineStr">
        <is>
          <t>Eau air</t>
        </is>
      </c>
      <c r="B27657">
        <f>HYPERLINK("https://www.dofusbook.net/fr/equipement/5562598-eau-air/objets", "link")</f>
        <v/>
      </c>
      <c r="C27657" t="n">
        <v>0</v>
      </c>
      <c r="D27657" t="inlineStr">
        <is>
          <t>Arc de Koutoulou; Amulette d'Ilyzaelle; Gant du Valet Veinard; Alliance Gloursonne; Bouclier Taverne; Poulpagne; Casque d'Ilyzaelle; Cape du Barbétoal; Bottes de la Reine des Voleurs; Dofus Émeraude; Dofus Pourpre; Dofus Abyssal; Dofus Ocre; Nomade; Miraculé majeur; Mini Wa</t>
        </is>
      </c>
    </row>
    <row r="27658">
      <c r="A27658" t="inlineStr">
        <is>
          <t>Terre air</t>
        </is>
      </c>
      <c r="B27658">
        <f>HYPERLINK("https://www.dofusbook.net/fr/equipement/5560641-terre-air/objets", "link")</f>
        <v/>
      </c>
      <c r="C27658" t="n">
        <v>0</v>
      </c>
      <c r="D27658" t="inlineStr">
        <is>
          <t>Héqache; Amulette du Cœur Vaillant; Anneau de Pol Ouatnos; Gant du Valet Veinard; Bouclier Taverne; Ceintouse; Casque Dragoeuf; Cape du Kamasterisk; Baleinabottes; Dofus Turquoise; Dofus Ocre; Dofus Pourpre; Dofus Émeraude; Dofus Abyssal; El Scarador</t>
        </is>
      </c>
    </row>
    <row r="27659">
      <c r="A27659" t="inlineStr">
        <is>
          <t>eau/air cc</t>
        </is>
      </c>
      <c r="B27659">
        <f>HYPERLINK("https://www.dofusbook.net/fr/equipement/5232807-eau-air-cc/objets", "link")</f>
        <v/>
      </c>
      <c r="C27659" t="n">
        <v>0</v>
      </c>
      <c r="D27659" t="inlineStr">
        <is>
          <t>Arc de Koutoulou; Amulette de l'Œil Putride; Alliance Gloursonne; Anneau Toriété; Quatre-feuilles; Ceinture Voldelor; Capuche de l'Œil Putride; Cape des Malveilleurs; Pataugastrique; Dofus Pourpre; Dofus Ocre; Dofus Abyssal; Dofus Émeraude; Dofus Turquoise; Molosk</t>
        </is>
      </c>
    </row>
    <row r="27660">
      <c r="A27660" t="inlineStr">
        <is>
          <t>Tank actuel</t>
        </is>
      </c>
      <c r="B27660">
        <f>HYPERLINK("https://www.dofusbook.net/fr/equipement/5222547-tank-actuel/objets", "link")</f>
        <v/>
      </c>
      <c r="C27660" t="n">
        <v>2</v>
      </c>
      <c r="D27660" t="inlineStr">
        <is>
          <t>Epée Loponèze; Amulette d'Ilyzaelle; Gant du Valet Veinard; Alliance Gloursonne; Bouclier d'Anerice; Poulpagne; Casque Dragoeuf; Cape d'Anerice; Bottes de la Reine des Voleurs; Dofus Émeraude; Dofus Abyssal; Dofus Ocre; Fonceur majeur; Carapace Air majeur; Nomade; El Scarador</t>
        </is>
      </c>
    </row>
    <row r="27661">
      <c r="A27661" t="inlineStr">
        <is>
          <t>Multi</t>
        </is>
      </c>
      <c r="B27661">
        <f>HYPERLINK("https://www.dofusbook.net/fr/equipement/4937069-multi/objets", "link")</f>
        <v/>
      </c>
      <c r="C27661" t="n">
        <v>0</v>
      </c>
      <c r="D27661" t="inlineStr">
        <is>
          <t>Arc Volkorne; Amulette Volkorne; Bracelet du Piloztère; Anneau Volkorne; Ceinture Volkorne; Casque Volkorne; Cape des Justiciers; Bottes de l'Indicible; Dofus Pourpre; Dofus des Glaces; Dofus Turquoise; Dofus Abyssal; Dofus Ocre; Molosk</t>
        </is>
      </c>
    </row>
    <row r="27662">
      <c r="A27662" t="inlineStr">
        <is>
          <t>Stuff 2</t>
        </is>
      </c>
      <c r="B27662">
        <f>HYPERLINK("https://www.dofusbook.net/fr/equipement/626611-stuff-2/objets", "link")</f>
        <v/>
      </c>
      <c r="C27662" t="n">
        <v>12</v>
      </c>
      <c r="D27662" t="inlineStr">
        <is>
          <t>Sceptre du Roi Joueur; Amulette de Shokkoth; Anneau Toriété; Alliance Gloursonne; Poulpagne; Capuche de l'Œil Attentif; Cape de l'Œil Attentif; Bottes du Sinistrofu; Dofus Ivoire; Dofus Abyssal; Dofus Ocre; Dofus Pourpre; Chanceux majeur; Muldo Indigo</t>
        </is>
      </c>
    </row>
    <row r="27663">
      <c r="A27663" t="inlineStr">
        <is>
          <t>Sacrieur M 200</t>
        </is>
      </c>
      <c r="B27663">
        <f>HYPERLINK("https://www.dofusbook.net/fr/equipement/3532349-sacrieur-m-200/objets", "link")</f>
        <v/>
      </c>
      <c r="C27663" t="n">
        <v>7</v>
      </c>
      <c r="D27663" t="inlineStr">
        <is>
          <t>Pelle de la Cour Sombre; Collier du Valet Veinard; Alliance Gloursonne; Gant du Valet Veinard; Bouclier d'Ilyzaelle; Menoture; Couronne d'Allister; Cape Indescriptible; Palmes Trithons; Dofus Émeraude; Dokoko; Dévastateur Air majeur; Equilibriste majeur; Cascadeur majeur; Blérodoudou</t>
        </is>
      </c>
    </row>
    <row r="27664">
      <c r="A27664" t="inlineStr">
        <is>
          <t>Crâ M 200</t>
        </is>
      </c>
      <c r="B27664">
        <f>HYPERLINK("https://www.dofusbook.net/fr/equipement/3615429-cra-m-200/objets", "link")</f>
        <v/>
      </c>
      <c r="C27664" t="n">
        <v>3</v>
      </c>
      <c r="D27664" t="inlineStr">
        <is>
          <t>Arc Volkorne; Amulette Volkorne; Anneau de Padgref; Anneau Volkorne; Quatre-feuilles; Ceinture Volkorne; Coiffe de Padgref; Chevelure de Tal Kasha; Getas de Padgref; Dofus des Glaces; Dofus Ivoire; Dofus Turquoise; Dofus Ocre; Dofus Abyssal; Dofus Ébène; Kokulte</t>
        </is>
      </c>
    </row>
    <row r="27665">
      <c r="A27665" t="inlineStr">
        <is>
          <t>Féca F 200</t>
        </is>
      </c>
      <c r="B27665">
        <f>HYPERLINK("https://www.dofusbook.net/fr/equipement/5541960-feca-f-200/objets", "link")</f>
        <v/>
      </c>
      <c r="C27665" t="n">
        <v>0</v>
      </c>
      <c r="D27665" t="inlineStr">
        <is>
          <t>Lav'Hache; Collier de Tourthon; Anneau Crustique; Alliance Gloursonne; Sept ans de malheur; Menoture; Chapoulpe; Cape au Logis; Tentassons; Dofus Ivoire; Dokoko; Dofus Abyssal; Enragé majeur; Remueur; Carapace Air majeur</t>
        </is>
      </c>
    </row>
    <row r="27666">
      <c r="A27666" t="inlineStr">
        <is>
          <t>Féca uihuh</t>
        </is>
      </c>
      <c r="B27666">
        <f>HYPERLINK("https://www.dofusbook.net/fr/equipement/5454035-feca-uihuh/objets", "link")</f>
        <v/>
      </c>
      <c r="C27666" t="n">
        <v>0</v>
      </c>
      <c r="D27666" t="inlineStr">
        <is>
          <t>Anneau Chevelu; Bague Gloursonne</t>
        </is>
      </c>
    </row>
    <row r="27667">
      <c r="A27667" t="inlineStr">
        <is>
          <t>Féca M 200</t>
        </is>
      </c>
      <c r="B27667">
        <f>HYPERLINK("https://www.dofusbook.net/fr/equipement/4687188-feca-m-200/objets", "link")</f>
        <v/>
      </c>
      <c r="C27667" t="n">
        <v>4</v>
      </c>
      <c r="D27667" t="inlineStr">
        <is>
          <t>Lav'Hache; Collier de Tourthon; Anneau Crustique; Anneau Crustique; Sept ans de malheur; Ceintouse; Masque de Koutoulou; Cape au Logis; Tentassons; Dokoko; Dofus Émeraude; Remueur; Étourdisseur majeur; Carapace Terre majeur; Enragé majeur</t>
        </is>
      </c>
    </row>
    <row r="27668">
      <c r="A27668" t="inlineStr">
        <is>
          <t>Féca F 200</t>
        </is>
      </c>
      <c r="B27668">
        <f>HYPERLINK("https://www.dofusbook.net/fr/equipement/5400632-feca-f-200/objets", "link")</f>
        <v/>
      </c>
      <c r="C27668" t="n">
        <v>3</v>
      </c>
      <c r="D27668" t="inlineStr">
        <is>
          <t>Dagoulinantes; Amulette de Shokkoth; Alliance Gloursonne; Anneau Volkorne; Quatre-feuilles; Poulpagne; Capuche de l'Œil Attentif; Cape du Sinistrofu; Bottes du Sinistrofu; Dofus Turquoise; Dofus Ocre; Dofus Abyssal; Dofus Ébène; Nomade; Chanceux majeur; Kokulte</t>
        </is>
      </c>
    </row>
    <row r="27669">
      <c r="A27669" t="inlineStr">
        <is>
          <t>Eniripsa M 200</t>
        </is>
      </c>
      <c r="B27669">
        <f>HYPERLINK("https://www.dofusbook.net/fr/equipement/4897037-eniripsa-m-200/objets", "link")</f>
        <v/>
      </c>
      <c r="C27669" t="n">
        <v>4</v>
      </c>
      <c r="D27669" t="inlineStr">
        <is>
          <t>Arc corrompu; Amulette Volkorne; Anneauræus; Anneauræus; Bouclier du Stalak; Ceinture Volkorne; Cape de Diondin; Bottes Innommables; Dofus Pourpre; Nomade; Astucieux majeur; Érudit majeur; Étourdisseur majeur; Ross</t>
        </is>
      </c>
    </row>
    <row r="27670">
      <c r="A27670" t="inlineStr">
        <is>
          <t>Iop M 200</t>
        </is>
      </c>
      <c r="B27670">
        <f>HYPERLINK("https://www.dofusbook.net/fr/equipement/4852982-iop-m-200/objets", "link")</f>
        <v/>
      </c>
      <c r="C27670" t="n">
        <v>7</v>
      </c>
      <c r="D27670" t="inlineStr">
        <is>
          <t>Hache Téroïde; Amulette du Strigide; Bague Gloursonne; Bague Trithon; Bouclier du Captain Amakna; Ceinture du Strigide; Masque Trithon; Cape au Logis; Bottes Trithon; Dofus des Glaces; Dofus Pourpre; Dofus Nébuleux; Dofus Ocre; Dofus Turquoise; Dolmanax; Kokulte</t>
        </is>
      </c>
    </row>
    <row r="27671">
      <c r="A27671" t="inlineStr">
        <is>
          <t>Eniripsa M 200</t>
        </is>
      </c>
      <c r="B27671">
        <f>HYPERLINK("https://www.dofusbook.net/fr/equipement/3493631-eniripsa-m-200/objets", "link")</f>
        <v/>
      </c>
      <c r="C27671" t="n">
        <v>5</v>
      </c>
      <c r="D27671" t="inlineStr">
        <is>
          <t>Arc corrompu; Pendentif affamé; Anneau Tique; Bouclier du Mont Kipou; Ceinture de Vortex; Cagoule de Vortex; Cape de Diondin; Dofus Pourpre; Astucieux majeur; Étourdisseur majeur; Nomade; Érudit majeur; Ross</t>
        </is>
      </c>
    </row>
    <row r="27672">
      <c r="A27672" t="inlineStr">
        <is>
          <t>Pandawa M 200</t>
        </is>
      </c>
      <c r="B27672">
        <f>HYPERLINK("https://www.dofusbook.net/fr/equipement/3895940-pandawa-m-200/objets", "link")</f>
        <v/>
      </c>
      <c r="C27672" t="n">
        <v>2</v>
      </c>
      <c r="D27672" t="inlineStr"/>
    </row>
    <row r="27673">
      <c r="A27673" t="inlineStr">
        <is>
          <t>Zobal M 200</t>
        </is>
      </c>
      <c r="B27673">
        <f>HYPERLINK("https://www.dofusbook.net/fr/equipement/3833478-zobal-m-200/objets", "link")</f>
        <v/>
      </c>
      <c r="C27673" t="n">
        <v>3</v>
      </c>
      <c r="D27673" t="inlineStr">
        <is>
          <t>Hache Téroïde; Amulette du Strigide; Bague Gloursonne; Anneau Chevelu; Bouclier du Captain Amakna; Ceintacé; Masque de Koutoulou; Cape au Logis; Bottes du Strigide; Dofus Ivoire; Dofus Pourpre; Dofus des Glaces; Dofus Turquoise; Dofus Nébuleux; Vigoureux majeur; Kokulte</t>
        </is>
      </c>
    </row>
    <row r="27674">
      <c r="A27674" t="inlineStr">
        <is>
          <t>Zobal F 200</t>
        </is>
      </c>
      <c r="B27674">
        <f>HYPERLINK("https://www.dofusbook.net/fr/equipement/3931674-zobal-f-200/objets", "link")</f>
        <v/>
      </c>
      <c r="C27674" t="n">
        <v>4</v>
      </c>
      <c r="D27674" t="inlineStr">
        <is>
          <t>Hache Téroïde; Amulette du Strigide; Anneau de Padgref; Anneau Chevelu; Bouclier du Captain Amakna; Ceinture du Strigide; Coiffe de Padgref; Cape au Logis; Getas de Padgref; Dofus Nébuleux; Dofus Ivoire; Dofus Pourpre; Dofus des Glaces; Dofus Turquoise; Dofus Ocre; Kokulte</t>
        </is>
      </c>
    </row>
    <row r="27675">
      <c r="A27675" t="inlineStr">
        <is>
          <t>Sadida F 200</t>
        </is>
      </c>
      <c r="B27675">
        <f>HYPERLINK("https://www.dofusbook.net/fr/equipement/5844734-sadida-f-200/objets", "link")</f>
        <v/>
      </c>
      <c r="C27675" t="n">
        <v>0</v>
      </c>
      <c r="D27675" t="inlineStr"/>
    </row>
    <row r="27676">
      <c r="A27676" t="inlineStr">
        <is>
          <t>Enutrof M 200</t>
        </is>
      </c>
      <c r="B27676">
        <f>HYPERLINK("https://www.dofusbook.net/fr/equipement/5799587-enutrof-m-200/objets", "link")</f>
        <v/>
      </c>
      <c r="C27676" t="n">
        <v>0</v>
      </c>
      <c r="D27676" t="inlineStr">
        <is>
          <t>Bâton Champmanique; Kralamansion; Kralano; Annolamour; Ougature; Ougalurette; Voile d'encre; Sandales Circulaires du Kimbo; Dofus Cawotte; Dofus Ocre; Dofus Turquoise; Dofus Émeraude; Dofus Vulbis; Dofus Pourpre</t>
        </is>
      </c>
    </row>
    <row r="27677">
      <c r="A27677" t="inlineStr">
        <is>
          <t>Sacrieur F 200</t>
        </is>
      </c>
      <c r="B27677">
        <f>HYPERLINK("https://www.dofusbook.net/fr/equipement/5677830-sacrieur-f-200/objets", "link")</f>
        <v/>
      </c>
      <c r="C27677" t="n">
        <v>0</v>
      </c>
      <c r="D27677" t="inlineStr">
        <is>
          <t>Manthache; Collier du Valet Veinard; Alliance Gloursonne; Gant du Valet Veinard; Bouclier d'Ilyzaelle; Menoture; Dorabysses; Cape Indescriptible; Palmes Trithons; Dofus des Glaces; Dofus Émeraude; Dofus Abyssal; Dofus Pourpre; Carapace Air majeur; Remueur; Muldo Ebène et Pourpre</t>
        </is>
      </c>
    </row>
    <row r="27678">
      <c r="A27678" t="inlineStr">
        <is>
          <t>PvM cc non opti</t>
        </is>
      </c>
      <c r="B27678">
        <f>HYPERLINK("https://www.dofusbook.net/fr/equipement/5543395-pvm-cc-non-opti/objets", "link")</f>
        <v/>
      </c>
      <c r="C27678" t="n">
        <v>0</v>
      </c>
      <c r="D27678" t="inlineStr">
        <is>
          <t>Will Killson; Amulette du Strigide; Anneau d'Allister; Anneau de Padgref; Bouclier du Captain Amakna; Ceinture du Strigide; Coiffe de Padgref; Cape d'Atcham; Getas de Padgref; Dofus Abyssal; Dofus Ocre; Dofus Pourpre; Dofus des Glaces; Dolmanax; Dofus Turquoise; Muldo Prune et Emeraude</t>
        </is>
      </c>
    </row>
    <row r="27679">
      <c r="A27679" t="inlineStr">
        <is>
          <t>Crâ F 200</t>
        </is>
      </c>
      <c r="B27679">
        <f>HYPERLINK("https://www.dofusbook.net/fr/equipement/5579364-cra-f-200/objets", "link")</f>
        <v/>
      </c>
      <c r="C27679" t="n">
        <v>4</v>
      </c>
      <c r="D27679" t="inlineStr">
        <is>
          <t>Baguette de Torkélonia; Amulette du Strigide; Anneau de Padgref; Bracelet du Piloztère; Quatre-feuilles; Ceinture du Strigide; Coiffe de Padgref; Carapace de Torkélonia; Getas de Padgref; Dofus Nébuleux; Dofus des Glaces; Dofus Abyssal; Dofus Pourpre; Dofus Turquoise; Voyageur; Sakochère</t>
        </is>
      </c>
    </row>
    <row r="27680">
      <c r="A27680" t="inlineStr">
        <is>
          <t>Sadida F 200</t>
        </is>
      </c>
      <c r="B27680">
        <f>HYPERLINK("https://www.dofusbook.net/fr/equipement/5537836-sadida-f-200/objets", "link")</f>
        <v/>
      </c>
      <c r="C27680" t="n">
        <v>1</v>
      </c>
      <c r="D27680" t="inlineStr">
        <is>
          <t>Arc Hétype; Amulette des Chocomanciens; Anneau de la Fuji Givrefoux; Bouclier cubiste; Ceinture des Chocomanciens; Maskrobe; Cape Peupret; Pantoufles Émar; Gwo Tofu Ventripotent</t>
        </is>
      </c>
    </row>
    <row r="27681">
      <c r="A27681" t="inlineStr">
        <is>
          <t>Ret PM 1</t>
        </is>
      </c>
      <c r="B27681">
        <f>HYPERLINK("https://www.dofusbook.net/fr/equipement/5537721-ret-pm-1/objets", "link")</f>
        <v/>
      </c>
      <c r="C27681" t="n">
        <v>1</v>
      </c>
      <c r="D27681" t="inlineStr">
        <is>
          <t>Arc Hétype; Amulette des Chocomanciens; Anneau Pwal; Anneau de la Fuji Givrefoux; Bouclier cubiste; Ceinture des Chocomanciens; Maskrobe; Cape Peupret; Pantoufles Émar; Dofus Ocre; Dofus Pourpre; Dofus des Glaces; Ralentisseur majeur; Entraveur majeur; Temporiseur majeur; Gwo Tofu Ventripotent</t>
        </is>
      </c>
    </row>
    <row r="27682">
      <c r="A27682" t="inlineStr">
        <is>
          <t>PvM crit</t>
        </is>
      </c>
      <c r="B27682">
        <f>HYPERLINK("https://www.dofusbook.net/fr/equipement/5537500-pvm-crit/objets", "link")</f>
        <v/>
      </c>
      <c r="C27682" t="n">
        <v>1</v>
      </c>
      <c r="D27682" t="inlineStr">
        <is>
          <t>Baguette de Torkélonia; Amulette du Strigide; Bracelet du Piloztère; Anneau de Padgref; Quatre-feuilles; Ceinture du Strigide; Coiffe de Padgref; Carapace de Torkélonia; Getas de Padgref; Dofus Pourpre; Dofus Turquoise; Dofus Vulbis; Dofus des Glaces; Dolmanax; Dofus Ocre; Kokulte</t>
        </is>
      </c>
    </row>
    <row r="27683">
      <c r="A27683" t="inlineStr">
        <is>
          <t>Feu/terre Perco</t>
        </is>
      </c>
      <c r="B27683">
        <f>HYPERLINK("https://www.dofusbook.net/fr/equipement/5536958-feu-terre-perco/objets", "link")</f>
        <v/>
      </c>
      <c r="C27683" t="n">
        <v>2</v>
      </c>
      <c r="D27683" t="inlineStr">
        <is>
          <t>Bâthon; Amulette de Gein; Bague Gloursonne; Chevalière du Roi Joueur; Bouclier du Stalak; Ceinture de Gein; Chapeau de Gein; Voile d'encre; Bottes du Roi Joueur; Dofus Pourpre; Dofus Ivoire; Dofus Vulbis; Dofus Ébène; Dofus Turquoise; Dofus Ocre</t>
        </is>
      </c>
    </row>
    <row r="27684">
      <c r="A27684" t="inlineStr">
        <is>
          <t>Sadida M 200</t>
        </is>
      </c>
      <c r="B27684">
        <f>HYPERLINK("https://www.dofusbook.net/fr/equipement/5528254-sadida-m-200/objets", "link")</f>
        <v/>
      </c>
      <c r="C27684" t="n">
        <v>0</v>
      </c>
      <c r="D27684" t="inlineStr">
        <is>
          <t>Pelle de la Cour Sombre; Collier du Valet Veinard; Alliance Gloursonne; Ceinture du Barbétoal; Casque d'Ilyzaelle; Cape du Valet Veinard; Palmes Trithons</t>
        </is>
      </c>
    </row>
    <row r="27685">
      <c r="A27685" t="inlineStr">
        <is>
          <t>Terre PvP</t>
        </is>
      </c>
      <c r="B27685">
        <f>HYPERLINK("https://www.dofusbook.net/fr/equipement/5528181-terre-pvp/objets", "link")</f>
        <v/>
      </c>
      <c r="C27685" t="n">
        <v>1</v>
      </c>
      <c r="D27685" t="inlineStr">
        <is>
          <t>Lav'Hache; Amulette du Cœur Saignant; Anneau Volkorne; Chevalière du Roi Joueur; Quatre-feuilles; Ceinture Volkorne; Couronne du Roi Joueur; Cape du Cœur Saignant; Bottes du Cœur Saignant; Dofus Ocre; Dofus Ébène; Dofus Pourpre; Dofus Vulbis; Dofus Turquoise; Dofus Ivoire; Kramkram</t>
        </is>
      </c>
    </row>
    <row r="27686">
      <c r="A27686" t="inlineStr">
        <is>
          <t>Feu PvP</t>
        </is>
      </c>
      <c r="B27686">
        <f>HYPERLINK("https://www.dofusbook.net/fr/equipement/5514813-feu-pvp/objets", "link")</f>
        <v/>
      </c>
      <c r="C27686" t="n">
        <v>0</v>
      </c>
      <c r="D27686" t="inlineStr">
        <is>
          <t>Arc corrompu; Amulette Volkorne; Anneau de Nidas; Anneauræus; Bouclier du Stalak; Croture; Heaume Oplate; Voile d'encre; Bottes Innommables; Dofus Pourpre; Dofus Ivoire; Dofus Vulbis; Dofus Ébène; Dofus Abyssal; Dofus Ocre; Dragodinde Dorée et Orchidée</t>
        </is>
      </c>
    </row>
    <row r="27687">
      <c r="A27687" t="inlineStr">
        <is>
          <t>Multi PvP</t>
        </is>
      </c>
      <c r="B27687">
        <f>HYPERLINK("https://www.dofusbook.net/fr/equipement/4763403-multi-pvp/objets", "link")</f>
        <v/>
      </c>
      <c r="C27687" t="n">
        <v>117</v>
      </c>
      <c r="D27687" t="inlineStr">
        <is>
          <t>Dagues Érhy; Amulette Ementaire Deluxe; Bague Gloursonne; Alliance Gloursonne; Bouclier du Stalak; Ceinture de l'Esprit Salvateur; Masque de l'Esprit Salvateur; Voile d'encre; Bottes de l'Esprit Salvateur; Dofus Ivoire; Dofus des Glaces; Dofus Vulbis; Dofus Abyssal; Dofus Ocre; Dofus Ébène; Titard</t>
        </is>
      </c>
    </row>
    <row r="27688">
      <c r="A27688" t="inlineStr">
        <is>
          <t>Multi PvM</t>
        </is>
      </c>
      <c r="B27688">
        <f>HYPERLINK("https://www.dofusbook.net/fr/equipement/4755726-multi-pvm/objets", "link")</f>
        <v/>
      </c>
      <c r="C27688" t="n">
        <v>53</v>
      </c>
      <c r="D27688" t="inlineStr">
        <is>
          <t>Crocobur; Amulette de l'Indicible; Bague Gloursonne; Alliance Gloursonne; Bouclier du Stalak; Ceinture de l'Esprit Salvateur; Masque de l'Esprit Salvateur; Cape Reski; Bottes de l'Esprit Salvateur; Dofus Ocre; Dofus Vulbis; Dofus des Glaces; Dofus Ébène; Dofus Pourpre; Dofus Abyssal; Fëanor</t>
        </is>
      </c>
    </row>
    <row r="27689">
      <c r="A27689" t="inlineStr">
        <is>
          <t>Ecaflip M 200</t>
        </is>
      </c>
      <c r="B27689">
        <f>HYPERLINK("https://www.dofusbook.net/fr/equipement/5735572-ecaflip-m-200/objets", "link")</f>
        <v/>
      </c>
      <c r="C27689" t="n">
        <v>10</v>
      </c>
      <c r="D27689" t="inlineStr">
        <is>
          <t>Hache du Chalœil; Amulette du Strigide; Bracelet du Piloztère; Anneau Toriété; Quatre-feuilles; Ceintacé; Le Dorado; Cape au Logis; Bottes du Strigide; Dofus des Glaces; Dofus Turquoise; Dofus Pourpre; Chanceux majeur; Remueur; Vigoureux majeur; Kokulte</t>
        </is>
      </c>
    </row>
    <row r="27690">
      <c r="A27690" t="inlineStr">
        <is>
          <t>Full Feu</t>
        </is>
      </c>
      <c r="B27690">
        <f>HYPERLINK("https://www.dofusbook.net/fr/equipement/5691286-full-feu/objets", "link")</f>
        <v/>
      </c>
      <c r="C27690" t="n">
        <v>2</v>
      </c>
      <c r="D27690" t="inlineStr">
        <is>
          <t>Arc corrompu; Amulette Volkorne; Anneauræus; Anneauræus; Bouclier du Stalak; Ceinture Volkorne; Heaume Oplate; Cape de Diondin; Bottes Innommables; Dofus Pourpre; Dofus Ivoire; Dofus des Glaces; Dofus Ébène; Remueur; Nomade; Bisouglours</t>
        </is>
      </c>
    </row>
    <row r="27691">
      <c r="A27691" t="inlineStr">
        <is>
          <t>Mode classique</t>
        </is>
      </c>
      <c r="B27691">
        <f>HYPERLINK("https://www.dofusbook.net/fr/equipement/5668010-mode-classique/objets", "link")</f>
        <v/>
      </c>
      <c r="C27691" t="n">
        <v>5</v>
      </c>
      <c r="D27691" t="inlineStr">
        <is>
          <t>Pelle de la Cour Sombre; Collier du Valet Veinard; Alliance Gloursonne; Gant du Valet Veinard; Bouclier du Stalak; Menoture; Dorabysses; Cape Martegel; Palmes Trithons; Dofus Abyssal; Dokoko; Dofus Ébène; Dofus Ivoire; Nomade; Remueur; Blérodoudou</t>
        </is>
      </c>
    </row>
    <row r="27692">
      <c r="A27692" t="inlineStr">
        <is>
          <t>Iop M 200</t>
        </is>
      </c>
      <c r="B27692">
        <f>HYPERLINK("https://www.dofusbook.net/fr/equipement/5910603-iop-m-200/objets", "link")</f>
        <v/>
      </c>
      <c r="C27692" t="n">
        <v>0</v>
      </c>
      <c r="D27692" t="inlineStr">
        <is>
          <t>Dofus Argenté; Dofus Ivoire</t>
        </is>
      </c>
    </row>
    <row r="27693">
      <c r="A27693" t="inlineStr">
        <is>
          <t>Suerte</t>
        </is>
      </c>
      <c r="B27693">
        <f>HYPERLINK("https://www.dofusbook.net/fr/equipement/5840028-suerte/objets", "link")</f>
        <v/>
      </c>
      <c r="C27693" t="n">
        <v>0</v>
      </c>
      <c r="D27693" t="inlineStr">
        <is>
          <t>Rapière aux Glyphes; Talisman Glouti; Bracelet des Fonds marins; Alliance Gloursonne; Bouclier d'Ilyzaelle; Sangle Ouare; Masque des Fonds marins; Cape de Mantaze; Sandales des Fonds marins; Dofus Émeraude; Dofus Ivoire; Dofus Abyssal; Dolmanax; Dofus Turquoise; Dofus Ocre; Platypus</t>
        </is>
      </c>
    </row>
    <row r="27694">
      <c r="A27694" t="inlineStr">
        <is>
          <t>Tri Yop</t>
        </is>
      </c>
      <c r="B27694">
        <f>HYPERLINK("https://www.dofusbook.net/fr/equipement/5750384-tri-yop/objets", "link")</f>
        <v/>
      </c>
      <c r="C27694" t="n">
        <v>0</v>
      </c>
      <c r="D27694" t="inlineStr">
        <is>
          <t>Hache du Chalœil; Amulette Volkorne; Alliance du Lévitrof; Anneau Volkorne; Bouclier d'Ilyzaelle; Ceinture Volkorne; Coiffe du Lévitrof; Voile d'encre; Bottes du Lévitrof; Dofus Ocre; Dofus Ivoire; Dofus Turquoise; Dofus Nébuleux; Dofus Pourpre; Dofus Émeraude; Kramkram</t>
        </is>
      </c>
    </row>
    <row r="27695">
      <c r="A27695" t="inlineStr">
        <is>
          <t>Agi osa</t>
        </is>
      </c>
      <c r="B27695">
        <f>HYPERLINK("https://www.dofusbook.net/fr/equipement/5830215-agi-osa/objets", "link")</f>
        <v/>
      </c>
      <c r="C27695" t="n">
        <v>0</v>
      </c>
      <c r="D27695" t="inlineStr">
        <is>
          <t>Épée du Granduk; Amulette du Granduk; Anneau d'Allister; Alliance Gloursonne; Quatre-feuilles; Ceinture de Klime; Masque du Granduk; Cape de Klime; Bottes d'Allister; Dofus Turquoise; Dofus Pourpre; Dofus Ocre; Dofus Abyssal; Dolmanax; Dofus des Glaces; Dragodinde Ebène et Ivoire</t>
        </is>
      </c>
    </row>
    <row r="27696">
      <c r="A27696" t="inlineStr">
        <is>
          <t>Inte</t>
        </is>
      </c>
      <c r="B27696">
        <f>HYPERLINK("https://www.dofusbook.net/fr/equipement/5829996-inte/objets", "link")</f>
        <v/>
      </c>
      <c r="C27696" t="n">
        <v>1</v>
      </c>
      <c r="D27696" t="inlineStr">
        <is>
          <t>Baguette de Malléfisk; Amulette Séculaire; Alliance du Lévitrof; Anneau de Nidas; Carapar; Ceinture de Vortex; Coiffe Séculaire; Cape de Diondin; Bottes d'Otomaï; Érudit majeur; Dévastateur Feu majeur; Nomade; Déserteur majeur; Remueur; Guérisseur majeur; Phortiche</t>
        </is>
      </c>
    </row>
    <row r="27697">
      <c r="A27697" t="inlineStr">
        <is>
          <t>Iop M 200</t>
        </is>
      </c>
      <c r="B27697">
        <f>HYPERLINK("https://www.dofusbook.net/fr/equipement/5766002-iop-m-200/objets", "link")</f>
        <v/>
      </c>
      <c r="C27697" t="n">
        <v>1</v>
      </c>
      <c r="D27697" t="inlineStr">
        <is>
          <t>Baguette de Torkélonia; Amulette du Strigide; Anneau de Padgref; Bague Gloursonne; Quatre-feuilles; Ceinture du Strigide; Corne de Torkélonia; Carapace de Torkélonia; Bottes du Strigide; Dofus des Glaces; Dofus Ocre; Dofus Pourpre; Dofus Nébuleux; Dofus Turquoise; Dofus Ébène; Kokulte</t>
        </is>
      </c>
    </row>
    <row r="27698">
      <c r="A27698" t="inlineStr">
        <is>
          <t>Cha agi</t>
        </is>
      </c>
      <c r="B27698">
        <f>HYPERLINK("https://www.dofusbook.net/fr/equipement/5756607-cha-agi/objets", "link")</f>
        <v/>
      </c>
      <c r="C27698" t="n">
        <v>3</v>
      </c>
      <c r="D27698" t="inlineStr">
        <is>
          <t>Arc de Koutoulou; Amulette du Strigide; Alliance Gloursonne; Bague Gloursonne; Quatre-feuilles; Ceinture du Strigide; Némès de Tal Kasha; Chevelure de Tal Kasha; Sandales de Tal Kasha; Dofus Vulbis; Dofus Ocre; Dofus Pourpre; Dofus Nébuleux; Dofus Turquoise; Dofus Ébène; Kokulte</t>
        </is>
      </c>
    </row>
    <row r="27699">
      <c r="A27699" t="inlineStr">
        <is>
          <t>Tri</t>
        </is>
      </c>
      <c r="B27699">
        <f>HYPERLINK("https://www.dofusbook.net/fr/equipement/5752403-tri/objets", "link")</f>
        <v/>
      </c>
      <c r="C27699" t="n">
        <v>3</v>
      </c>
      <c r="D27699" t="inlineStr">
        <is>
          <t>Epée Gloursonne; Amulette Volkorne; Bague Gloursonne; Alliance Gloursonne; Quatre-feuilles; Ceinture Volkorne; Casque Volkorne; Cape du Chalœil; Bottes du Chalœil; Dofus Turquoise; Dofus Ébène; Dofus Ocre; Dofus des Glaces; Dofus Pourpre; Dofus Nébuleux; Fëanor</t>
        </is>
      </c>
    </row>
    <row r="27700">
      <c r="A27700" t="inlineStr">
        <is>
          <t>Nuevo Set</t>
        </is>
      </c>
      <c r="B27700">
        <f>HYPERLINK("https://www.dofusbook.net/fr/equipement/5752342-nuevo-set/objets", "link")</f>
        <v/>
      </c>
      <c r="C27700" t="n">
        <v>2</v>
      </c>
      <c r="D27700" t="inlineStr">
        <is>
          <t>Baguette de Torkélonia; Amulette du Strigide; Alliance Gloursonne; Bague Gloursonne; Bouclier du Captain Amakna; Ceinture du Strigide; Corne de Torkélonia; Carapace de Torkélonia; Bottes du Strigide; Dolmanax; Dofus Nébuleux; Dofus Pourpre; Dofus Ébène; Dofus Ocre; Dofus des Glaces; Sakochère</t>
        </is>
      </c>
    </row>
    <row r="27701">
      <c r="A27701" t="inlineStr">
        <is>
          <t>fo caza</t>
        </is>
      </c>
      <c r="B27701">
        <f>HYPERLINK("https://www.dofusbook.net/fr/equipement/3945900-fo-caza/objets", "link")</f>
        <v/>
      </c>
      <c r="C27701" t="n">
        <v>0</v>
      </c>
      <c r="D27701" t="inlineStr">
        <is>
          <t>Epée Gloursonne; Amulette du Strigide; Bague Gloursonne; Alliance Gloursonne; Bouclier d'Ilyzaelle; Ceintouse; Chapoulpe; Voile d'encre; Tentassons; Dolmanax; Dofus Ocre; Dofus Pourpre; Dofus Abyssal; Dofus Turquoise; Dofus des Glaces; El Scarador</t>
        </is>
      </c>
    </row>
    <row r="27702">
      <c r="A27702" t="inlineStr">
        <is>
          <t>Resis Fuerza</t>
        </is>
      </c>
      <c r="B27702">
        <f>HYPERLINK("https://www.dofusbook.net/fr/equipement/3848753-resis-fuerza/objets", "link")</f>
        <v/>
      </c>
      <c r="C27702" t="n">
        <v>5</v>
      </c>
      <c r="D27702" t="inlineStr">
        <is>
          <t>Lav'Hache; Collier de Tourthon; Alliance Gloursonne; Bague Gloursonne; Bouclier précieux; Ceinture de la Cour Sombre; Casque Dragoeuf; Cape au Logis; Bottes Honyme; Dofus Émeraude; Dofus Ivoire; Dofus Abyssal; Remueur; Obstructeur majeur; Bloqueur majeur; Bwak de Terre</t>
        </is>
      </c>
    </row>
    <row r="27703">
      <c r="A27703" t="inlineStr">
        <is>
          <t>retiro</t>
        </is>
      </c>
      <c r="B27703">
        <f>HYPERLINK("https://www.dofusbook.net/fr/equipement/5736429-retiro/objets", "link")</f>
        <v/>
      </c>
      <c r="C27703" t="n">
        <v>0</v>
      </c>
      <c r="D27703" t="inlineStr">
        <is>
          <t>Pelle Dorado; Amulette Hale; Pikano; Alliance Gloursonne; Cadran d'Eau; Ceinture Glaciale; Kidibonnet; Cape Peupret; Chaussures Face; Dofus Cawotte; Remueur; Ralentisseur majeur; Nomade; Entraveur majeur; Temporiseur majeur; Gwo Tofu Ventripotent</t>
        </is>
      </c>
    </row>
    <row r="27704">
      <c r="A27704" t="inlineStr">
        <is>
          <t>Resis Placaje</t>
        </is>
      </c>
      <c r="B27704">
        <f>HYPERLINK("https://www.dofusbook.net/fr/equipement/3889187-resis-placaje/objets", "link")</f>
        <v/>
      </c>
      <c r="C27704" t="n">
        <v>2</v>
      </c>
      <c r="D27704" t="inlineStr">
        <is>
          <t>Lav'Hache; Amulette de Pol Ouatnos; Anneau de Pol Ouatnos; Bague Gloursonne; Bouclier d'Anerice; Ceinture de Kongoku; Casque Dragoeuf; Cape d'Anerice; Bottes Honyme; Dofus Ivoire; Dofus Émeraude; Miraculé majeur; Remueur; Bloqueur majeur; Obstructeur majeur; Platypus</t>
        </is>
      </c>
    </row>
    <row r="27705">
      <c r="A27705" t="inlineStr">
        <is>
          <t>Yopuka</t>
        </is>
      </c>
      <c r="B27705">
        <f>HYPERLINK("https://www.dofusbook.net/fr/equipement/5734064-yopuka/objets", "link")</f>
        <v/>
      </c>
      <c r="C27705" t="n">
        <v>2</v>
      </c>
      <c r="D27705" t="inlineStr">
        <is>
          <t>Hache du Chalœil; Amulette Volkorne; Alliance du Lévitrof; Anneau Volkorne; Bouclier Taverne; Ceinture Volkorne; Coiffe du Lévitrof; Voile d'encre; Bottes du Lévitrof; Dofus Pourpre; Dofus Nébuleux; Dofus Ocre; Dofus des Glaces; Dolmanax; Dofus Turquoise; Fëanor</t>
        </is>
      </c>
    </row>
    <row r="27706">
      <c r="A27706" t="inlineStr">
        <is>
          <t>Tri Ocra</t>
        </is>
      </c>
      <c r="B27706">
        <f>HYPERLINK("https://www.dofusbook.net/fr/equipement/4722314-tri-ocra/objets", "link")</f>
        <v/>
      </c>
      <c r="C27706" t="n">
        <v>0</v>
      </c>
      <c r="D27706" t="inlineStr">
        <is>
          <t>Bâton Beau; Amulette du Strigide; Alliance Gloursonne; Bague Gloursonne; Quatre-feuilles; Ceinture du Strigide; Coiffe d'Ogivol; Voilamibe; Bottes du Strigide; Dofus Pourpre; Dofus des Glaces; Dofus Ocre; Dofus Nébuleux; Dofus Turquoise; Dofus Ébène; Chacha Angora</t>
        </is>
      </c>
    </row>
    <row r="27707">
      <c r="A27707" t="inlineStr">
        <is>
          <t>zona</t>
        </is>
      </c>
      <c r="B27707">
        <f>HYPERLINK("https://www.dofusbook.net/fr/equipement/4221687-zona/objets", "link")</f>
        <v/>
      </c>
      <c r="C27707" t="n">
        <v>0</v>
      </c>
      <c r="D27707" t="inlineStr">
        <is>
          <t>Pyraguette; Amulette de l'Œil Putride; Bague Gloursonne; Alliance Gloursonne; Bouclier du Stalak; Ceintrigue; Capuche de l'Œil Putride; Cape de l'Œil Putride; Bottes Owesli; Dofus Pourpre; Dofus des Glaces; Dofus Émeraude; Dofus Ocre; Dolmanax; Dofus Ivoire</t>
        </is>
      </c>
    </row>
    <row r="27708">
      <c r="A27708" t="inlineStr">
        <is>
          <t>Inte-Agi</t>
        </is>
      </c>
      <c r="B27708">
        <f>HYPERLINK("https://www.dofusbook.net/fr/equipement/4144486-inte-agi/objets", "link")</f>
        <v/>
      </c>
      <c r="C27708" t="n">
        <v>0</v>
      </c>
      <c r="D27708" t="inlineStr">
        <is>
          <t>Baguette Hernelle; Amulette Séculaire; Anneau Toriété; Anneau de Padgref; Quatre-feuilles; Ceinture Séculaire; Coiffe de Padgref; Cape Hiculteur; Getas de Padgref; Dofus Pourpre; Dofus des Glaces; Dolmanax; Dofus Turquoise; Dofus Émeraude; Dofus Ocre; Kokulte</t>
        </is>
      </c>
    </row>
    <row r="27709">
      <c r="A27709" t="inlineStr">
        <is>
          <t>FuerzaEco</t>
        </is>
      </c>
      <c r="B27709">
        <f>HYPERLINK("https://www.dofusbook.net/fr/equipement/4160293-fuerzaeco/objets", "link")</f>
        <v/>
      </c>
      <c r="C27709" t="n">
        <v>0</v>
      </c>
      <c r="D27709" t="inlineStr">
        <is>
          <t>Arc du Chalœil; Amulette Luminescente; Bague Gloursonne; Anneau de Brouce; Quatre-feuilles; Ceinture de Brouce; Coiffe du Comte Harebourg; Cape au Logis; Bottes de Brouce; Dofus Pourpre; Dofus des Glaces; Dofus Turquoise; Dolmanax; Dofus Ocre; Kompost</t>
        </is>
      </c>
    </row>
    <row r="27710">
      <c r="A27710" t="inlineStr">
        <is>
          <t>CACInteGC</t>
        </is>
      </c>
      <c r="B27710">
        <f>HYPERLINK("https://www.dofusbook.net/fr/equipement/4144755-cacintegc/objets", "link")</f>
        <v/>
      </c>
      <c r="C27710" t="n">
        <v>0</v>
      </c>
      <c r="D27710" t="inlineStr">
        <is>
          <t>Dagues Ricol; Amulette Séculaire; Anneau Tique; Anneau de Padgref; Bouclier du Captain Amakna; Ceinture Séculaire; Coiffe de Padgref; Cape Hiculteur; Getas de Padgref; Dolmanax; Dofus Turquoise; Dofus Émeraude; Dofus Ocre; Dofus Pourpre; Dofus des Glaces; Muldo Prune et Doré</t>
        </is>
      </c>
    </row>
    <row r="27711">
      <c r="A27711" t="inlineStr">
        <is>
          <t>Saditri</t>
        </is>
      </c>
      <c r="B27711">
        <f>HYPERLINK("https://www.dofusbook.net/fr/equipement/4116645-saditri/objets", "link")</f>
        <v/>
      </c>
      <c r="C27711" t="n">
        <v>1</v>
      </c>
      <c r="D27711" t="inlineStr">
        <is>
          <t>Hache du Chalœil; Amulette Volkorne; Anneau Volkorne; Alliance du Lévitrof; Quatre-feuilles; Ceinture Volkorne; Coiffe du Lévitrof; Voile d'encre; Bottes du Lévitrof; Dofus Pourpre; Dofus des Glaces; Dolmanax; Dofus Turquoise; Dofus Ocre</t>
        </is>
      </c>
    </row>
    <row r="27712">
      <c r="A27712" t="inlineStr">
        <is>
          <t>full feu</t>
        </is>
      </c>
      <c r="B27712">
        <f>HYPERLINK("https://www.dofusbook.net/fr/equipement/5503131-full-feu/objets", "link")</f>
        <v/>
      </c>
      <c r="C27712" t="n">
        <v>1</v>
      </c>
      <c r="D27712" t="inlineStr">
        <is>
          <t>Harpelle; Amulette Séculaire; Anneauræus; Anneauræus; Bouclier du Captain Amakna; Ceinture Séculaire; Heaume Oplate; Voile d'encre; Bottes Innommables; Dofus Ivoire; Dofus Turquoise; Dofus Ocre; Dofus Pourpre; Nomade; Érudit majeur; Pioute rouge</t>
        </is>
      </c>
    </row>
    <row r="27713">
      <c r="A27713" t="inlineStr">
        <is>
          <t>feu air</t>
        </is>
      </c>
      <c r="B27713">
        <f>HYPERLINK("https://www.dofusbook.net/fr/equipement/5510576-feu-air/objets", "link")</f>
        <v/>
      </c>
      <c r="C27713" t="n">
        <v>0</v>
      </c>
      <c r="D27713" t="inlineStr">
        <is>
          <t>Hache du Guerrier Zoth; Amulette du Strigide; Anneau de Padgref; Anneau Rifique; Bouclier du Captain Amakna; Ceinture du Strigide; Casque Cyclopéen; Cape d'Atcham; Getas de Padgref; Dolmanax; Dofus Ocre; Dofus Pourpre; Dofus Ivoire; Dofus Turquoise; Dofus des Glaces; Kokulte</t>
        </is>
      </c>
    </row>
    <row r="27714">
      <c r="A27714" t="inlineStr">
        <is>
          <t>full air</t>
        </is>
      </c>
      <c r="B27714">
        <f>HYPERLINK("https://www.dofusbook.net/fr/equipement/5510287-full-air/objets", "link")</f>
        <v/>
      </c>
      <c r="C27714" t="n">
        <v>1</v>
      </c>
      <c r="D27714" t="inlineStr">
        <is>
          <t>Manthache; Collier du Valet Veinard; Gant du Valet Veinard; Alliance Gloursonne; Bouclier du Captain Amakna; Menoture; Couronne d'Allister; Cape de Crânonier; Palmes Trithons; Dofus Turquoise; Dofus Ivoire; Dofus Pourpre; Dofus des Glaces; Dolmanax; Dofus Ocre; Blérodoudou</t>
        </is>
      </c>
    </row>
    <row r="27715">
      <c r="A27715" t="inlineStr">
        <is>
          <t>Full eau 2</t>
        </is>
      </c>
      <c r="B27715">
        <f>HYPERLINK("https://www.dofusbook.net/fr/equipement/3160449-full-eau-2-/objets", "link")</f>
        <v/>
      </c>
      <c r="C27715" t="n">
        <v>2</v>
      </c>
      <c r="D27715" t="inlineStr">
        <is>
          <t>Sceptre du Roi Joueur; Amulette Volkorne; Anneau Volkorne; Alliance Gloursonne; Bouclier du Captain Amakna; Poulpagne; Kidibonnet; Cape de l'Œil Attentif; Sandales des Fonds marins; Dofus des Glaces; Dofus Pourpre; Dofus Turquoise; Dofus Ivoire; Nomade; Chanceux majeur; Kanigloups</t>
        </is>
      </c>
    </row>
    <row r="27716">
      <c r="A27716" t="inlineStr">
        <is>
          <t>eau air</t>
        </is>
      </c>
      <c r="B27716">
        <f>HYPERLINK("https://www.dofusbook.net/fr/equipement/3157658-eau-air/objets", "link")</f>
        <v/>
      </c>
      <c r="C27716" t="n">
        <v>2</v>
      </c>
      <c r="D27716" t="inlineStr">
        <is>
          <t>Amulette du Strigide; Alliance Gloursonne; Anneau Volkorne; Bouclier du Captain Amakna; Ceintacé; Casque Volkorne; Chevelure de Tal Kasha; Bottes Voldelor; Dofus Ivoire; Dofus Ocre; Dofus Pourpre; Dofus des Glaces; Dofus Turquoise; Nomade; Kokulte</t>
        </is>
      </c>
    </row>
    <row r="27717">
      <c r="A27717" t="inlineStr">
        <is>
          <t>Full terre</t>
        </is>
      </c>
      <c r="B27717">
        <f>HYPERLINK("https://www.dofusbook.net/fr/equipement/2553559-full-terre/objets", "link")</f>
        <v/>
      </c>
      <c r="C27717" t="n">
        <v>4</v>
      </c>
      <c r="D27717" t="inlineStr">
        <is>
          <t>Héqache; Collier de Tourthon; Anneau Volkorne; Pikano; Quatre-feuilles; Ceinture Volkorne; Masque de Koutoulou; Cape du Cœur Saignant; Dofus Ivoire; Dofus Pourpre; Dofus des Glaces; Dofus Turquoise; Nomade; Enragé majeur</t>
        </is>
      </c>
    </row>
    <row r="27718">
      <c r="A27718" t="inlineStr">
        <is>
          <t>Stuff eau/air</t>
        </is>
      </c>
      <c r="B27718">
        <f>HYPERLINK("https://www.dofusbook.net/fr/equipement/4915909-stuff-eau-air/objets", "link")</f>
        <v/>
      </c>
      <c r="C27718" t="n">
        <v>1</v>
      </c>
      <c r="D27718" t="inlineStr">
        <is>
          <t>Arc de Koutoulou; Amulette du Strigide; Alliance Gloursonne; Anneau Volkorne; Quatre-feuilles; Ceintacé; Casque Volkorne; Chevelure de Tal Kasha; Bottes Voldelor; Dofus des Glaces; Dofus Turquoise; Dofus Ivoire; Dofus Ocre; Dofus Pourpre; Nomade; Kokulte</t>
        </is>
      </c>
    </row>
    <row r="27719">
      <c r="A27719" t="inlineStr">
        <is>
          <t>stuff 3 copie</t>
        </is>
      </c>
      <c r="B27719">
        <f>HYPERLINK("https://www.dofusbook.net/fr/equipement/4105615-stuff-3-copie/objets", "link")</f>
        <v/>
      </c>
      <c r="C27719" t="n">
        <v>3</v>
      </c>
      <c r="D27719" t="inlineStr">
        <is>
          <t>Amulette Volkorne; Quatre-feuilles; Ceinture de Vortex; Casque Volkorne; Dofus Ocre; Dofus Pourpre; Dofus des Glaces; Dofus Turquoise; Dofus Ivoire; Nomade; Kokulte</t>
        </is>
      </c>
    </row>
    <row r="27720">
      <c r="A27720" t="inlineStr">
        <is>
          <t>Osamodas M 200</t>
        </is>
      </c>
      <c r="B27720">
        <f>HYPERLINK("https://www.dofusbook.net/fr/equipement/5024160-osamodas-m-200/objets", "link")</f>
        <v/>
      </c>
      <c r="C27720" t="n">
        <v>1</v>
      </c>
      <c r="D27720" t="inlineStr">
        <is>
          <t>Baguette de Torkélonia; Amulette du Strigide; Alliance Gloursonne; Quatre-feuilles; Ceinture Volkorne; Casque Volkorne; Carapace de Torkélonia; Baleinabottes; Dolmanax; Dofus Ivoire; Dofus Ocre; Dofus des Glaces; Dofus Turquoise; Dofus Pourpre; Kokulte</t>
        </is>
      </c>
    </row>
    <row r="27721">
      <c r="A27721" t="inlineStr">
        <is>
          <t>Stuff 2</t>
        </is>
      </c>
      <c r="B27721">
        <f>HYPERLINK("https://www.dofusbook.net/fr/equipement/188115-stuff-2/objets", "link")</f>
        <v/>
      </c>
      <c r="C27721" t="n">
        <v>2</v>
      </c>
      <c r="D27721" t="inlineStr">
        <is>
          <t>Hache Ériphe; Amulette du Strigide; Alliance Gloursonne; Pikano; Quatre-feuilles; Ceintacé; Coiffe d'Ogivol; Cape du Kamasterisk; Bottes du Kamasterisk; Dofus Turquoise; Dofus des Glaces; Dofus Pourpre; Dofus Ocre; Nomade; Vigoureux majeur; Kokulte</t>
        </is>
      </c>
    </row>
    <row r="27722">
      <c r="A27722" t="inlineStr">
        <is>
          <t>Terre eau</t>
        </is>
      </c>
      <c r="B27722">
        <f>HYPERLINK("https://www.dofusbook.net/fr/equipement/5373359-terre-eau/objets", "link")</f>
        <v/>
      </c>
      <c r="C27722" t="n">
        <v>1</v>
      </c>
      <c r="D27722" t="inlineStr">
        <is>
          <t>Épouvante; Amulette du Strigide; Anneau Volkorne; Alliance de Missiz Frizz; Bouclier du Captain Amakna; Ceinture Volkorne; Casque de Missiz Frizz; Cape au Logis; Bottes du Strigide; Dolmanax; Dofus Turquoise; Dofus Ocre; Dofus Pourpre; Dofus des Glaces; Dofus Ivoire; Sakochère</t>
        </is>
      </c>
    </row>
    <row r="27723">
      <c r="A27723" t="inlineStr">
        <is>
          <t>Terre feu eau</t>
        </is>
      </c>
      <c r="B27723">
        <f>HYPERLINK("https://www.dofusbook.net/fr/equipement/5367199-terre-feu-eau/objets", "link")</f>
        <v/>
      </c>
      <c r="C27723" t="n">
        <v>8</v>
      </c>
      <c r="D27723" t="inlineStr">
        <is>
          <t>Hache du Chalœil; Amulette du Strigide; Alliance de Missiz Frizz; Anneau Volkorne; Bouclier du Captain Amakna; Ceinture Volkorne; Casque de Missiz Frizz; Cape au Logis; Bottes du Strigide; Dofus des Glaces; Dofus Ivoire; Dolmanax; Dofus Turquoise; Dofus Ocre; Dofus Pourpre; Sakochère</t>
        </is>
      </c>
    </row>
    <row r="27724">
      <c r="A27724" t="inlineStr">
        <is>
          <t>Terre feu</t>
        </is>
      </c>
      <c r="B27724">
        <f>HYPERLINK("https://www.dofusbook.net/fr/equipement/3099129-terre-feu/objets", "link")</f>
        <v/>
      </c>
      <c r="C27724" t="n">
        <v>8</v>
      </c>
      <c r="D27724" t="inlineStr">
        <is>
          <t>Épouvante; Amulette du Strigide; Bague Trithon; Anneau Volkorne; Bouclier du Captain Amakna; Ceinture Volkorne; Masque Trithon; Cape au Logis; Bottes Trithon; Dofus Ocre; Dofus Pourpre; Dofus des Glaces; Dofus Ivoire; Dolmanax; Dofus Turquoise; Kokulte</t>
        </is>
      </c>
    </row>
    <row r="27725">
      <c r="A27725" t="inlineStr">
        <is>
          <t>Crâ M 200</t>
        </is>
      </c>
      <c r="B27725">
        <f>HYPERLINK("https://www.dofusbook.net/fr/equipement/5073519-cra-m-200/objets", "link")</f>
        <v/>
      </c>
      <c r="C27725" t="n">
        <v>25</v>
      </c>
      <c r="D27725" t="inlineStr">
        <is>
          <t>Arc Volkorne; Amulette du Strigide; Anneau Volkorne; Alliance Gloursonne; Quatre-feuilles; Ceinture Volkorne; Casque Volkorne; Voile d'encre; Bottes du Strigide; Dofus Pourpre; Dofus Turquoise; Dofus des Glaces; Dofus Ocre; Dofus Ivoire; Turbulent; Sakochère</t>
        </is>
      </c>
    </row>
    <row r="27726">
      <c r="A27726" t="inlineStr">
        <is>
          <t>Fuffu</t>
        </is>
      </c>
      <c r="B27726">
        <f>HYPERLINK("https://www.dofusbook.net/fr/equipement/5073647-fuffu/objets", "link")</f>
        <v/>
      </c>
      <c r="C27726" t="n">
        <v>3</v>
      </c>
      <c r="D27726" t="inlineStr">
        <is>
          <t>Arc Volkorne; Amulette du Strigide; Alliance Gloursonne; Anneau Volkorne; Quatre-feuilles; Ceinture du Strigide; Casque Volkorne; Cape des Malveilleurs; Bottes du Strigide; Dofus des Glaces; Dofus Ocre; Dolmanax; Dofus Ivoire; Dofus Pourpre; Dofus Turquoise; Sakochère</t>
        </is>
      </c>
    </row>
    <row r="27727">
      <c r="A27727" t="inlineStr">
        <is>
          <t>full terre pvp</t>
        </is>
      </c>
      <c r="B27727">
        <f>HYPERLINK("https://www.dofusbook.net/fr/equipement/4940299-full-terre-pvp/objets", "link")</f>
        <v/>
      </c>
      <c r="C27727" t="n">
        <v>1</v>
      </c>
      <c r="D27727" t="inlineStr">
        <is>
          <t>Héqache; Collier de Tourthon; Pikano; Anneau Volkorne; Bouclier des Chocomanciens; Ceinture Volkorne; Masque de Koutoulou; Cape du Cœur Saignant; Sabots Minables; Dofus des Glaces; Dofus Émeraude; Dofus Ivoire; Dofus Pourpre; Nomade; Enragé majeur; Dragodinde Ivoire et Pourpre</t>
        </is>
      </c>
    </row>
    <row r="27728">
      <c r="A27728" t="inlineStr">
        <is>
          <t>Full terre 2</t>
        </is>
      </c>
      <c r="B27728">
        <f>HYPERLINK("https://www.dofusbook.net/fr/equipement/4894542-full-terre-2/objets", "link")</f>
        <v/>
      </c>
      <c r="C27728" t="n">
        <v>2</v>
      </c>
      <c r="D27728" t="inlineStr">
        <is>
          <t>Héqache; Collier de Tourthon; Pikano; Bague Gloursonne; Quatre-feuilles; Ceinture de la Reine des Voleurs; Coiffe de la Reine des Voleurs; Cape du Cœur Saignant; Sabots Minables; Dofus Ocre; Dofus Ivoire; Dofus Pourpre; Dofus des Glaces; Enragé majeur; Nomade; Pioute vert</t>
        </is>
      </c>
    </row>
    <row r="27729">
      <c r="A27729" t="inlineStr">
        <is>
          <t>Full feu 2</t>
        </is>
      </c>
      <c r="B27729">
        <f>HYPERLINK("https://www.dofusbook.net/fr/equipement/4937090-full-feu-2/objets", "link")</f>
        <v/>
      </c>
      <c r="C27729" t="n">
        <v>2</v>
      </c>
      <c r="D27729" t="inlineStr">
        <is>
          <t>Arc corrompu; Amulette Séculaire; Anneauræus; Anneauræus; Quatre-feuilles; Ceinture Séculaire; Heaume Oplate; Voile d'encre; Bottes Innommables; Dofus Ocre; Dofus Pourpre; Dofus Ivoire; Dofus Turquoise; Nomade; Érudit majeur; Pioute rouge</t>
        </is>
      </c>
    </row>
    <row r="27730">
      <c r="A27730" t="inlineStr">
        <is>
          <t>Stuff 3 actuel</t>
        </is>
      </c>
      <c r="B27730">
        <f>HYPERLINK("https://www.dofusbook.net/fr/equipement/188107-stuff-3-actuel/objets", "link")</f>
        <v/>
      </c>
      <c r="C27730" t="n">
        <v>1</v>
      </c>
      <c r="D27730" t="inlineStr">
        <is>
          <t>Arc de Koutoulou; Amulette du Strigide; Anneau Tique; Alliance Gloursonne; Quatre-feuilles; Ceinture Voldelor; Kidibonnet; Chevelure de Tal Kasha; Bottes Voldelor; Dofus Ocre; Dofus Pourpre; Dofus des Glaces; Dofus Turquoise; Dofus Ivoire; Nomade; Kokulte</t>
        </is>
      </c>
    </row>
    <row r="27731">
      <c r="A27731" t="inlineStr">
        <is>
          <t>Ecaflip M 200</t>
        </is>
      </c>
      <c r="B27731">
        <f>HYPERLINK("https://www.dofusbook.net/fr/equipement/4894823-ecaflip-m-200/objets", "link")</f>
        <v/>
      </c>
      <c r="C27731" t="n">
        <v>1</v>
      </c>
      <c r="D27731" t="inlineStr">
        <is>
          <t>Crocobur; Amulette du Strigide; Alliance Gloursonne; Bouclier du Captain Amakna; Ceinture de la Reine des Voleurs; Coiffe de la Reine des Voleurs; Bottes du Strigide; Dofus Ocre; Dofus Pourpre; Dofus Ivoire; Dofus Turquoise; Kokulte</t>
        </is>
      </c>
    </row>
    <row r="27732">
      <c r="A27732" t="inlineStr">
        <is>
          <t>Stuff 2</t>
        </is>
      </c>
      <c r="B27732">
        <f>HYPERLINK("https://www.dofusbook.net/fr/equipement/188100-stuff-2/objets", "link")</f>
        <v/>
      </c>
      <c r="C27732" t="n">
        <v>1</v>
      </c>
      <c r="D27732" t="inlineStr">
        <is>
          <t>Hache du Chalœil; Amulette du Strigide; Alliance Gloursonne; Bracelet du Piloztère; Quatre-feuilles; Ceintacé; Coiffe du Lévitrof; Voile d'encre; Bottes du Strigide; Dofus Kaliptus; Dofus Ocre; Dofus Turquoise; Dofus Pourpre; Dofus Ivoire; Nomade; Kokulte</t>
        </is>
      </c>
    </row>
    <row r="27733">
      <c r="A27733" t="inlineStr">
        <is>
          <t>Multi copie</t>
        </is>
      </c>
      <c r="B27733">
        <f>HYPERLINK("https://www.dofusbook.net/fr/equipement/4109421-multi-copie/objets", "link")</f>
        <v/>
      </c>
      <c r="C27733" t="n">
        <v>0</v>
      </c>
      <c r="D27733" t="inlineStr">
        <is>
          <t>Hache du Chalœil; Amulette du Strigide; Bague Trithon; Anneau Toriété; Quatre-feuilles; Ceinture du Strigide; Masque Trithon; Voile d'encre; Bottes du Strigide; Dofus Turquoise; Dolmanax; Dofus Pourpre; Dofus Ivoire; Dofus des Glaces; Dofus Ocre; Kokulte</t>
        </is>
      </c>
    </row>
    <row r="27734">
      <c r="A27734" t="inlineStr">
        <is>
          <t>Feu/eau</t>
        </is>
      </c>
      <c r="B27734">
        <f>HYPERLINK("https://www.dofusbook.net/fr/equipement/3159879-feu-eau/objets", "link")</f>
        <v/>
      </c>
      <c r="C27734" t="n">
        <v>1</v>
      </c>
      <c r="D27734" t="inlineStr">
        <is>
          <t>Pyraguette; Amulette du Strigide; Alliance Gloursonne; Bague Gloursonne; Quatre-feuilles; Ceinture du Strigide; Kidibonnet; Cape de la Dame du Hasard; Bottes de la Dame du Hasard; Dofus des Glaces; Dofus Turquoise; Dolmanax; Dofus Pourpre; Dofus Abyssal; Dofus Ocre; Muldo Indigo et Orchidée</t>
        </is>
      </c>
    </row>
    <row r="27735">
      <c r="A27735" t="inlineStr">
        <is>
          <t>Terre feu</t>
        </is>
      </c>
      <c r="B27735">
        <f>HYPERLINK("https://www.dofusbook.net/fr/equipement/3098500-terre-feu/objets", "link")</f>
        <v/>
      </c>
      <c r="C27735" t="n">
        <v>0</v>
      </c>
      <c r="D27735" t="inlineStr">
        <is>
          <t>Epée Toche; Amulette du Strigide; Anneau de Brouce; Bague Gloursonne; Bouclier d'Ilyzaelle; Ceinture du Strigide; Chapeau de Gein; Voile d'encre; Bottes Honyme; Dofus Pourpre; Dofus Turquoise; Dolmanax; Dofus des Glaces; Nomade; Remueur</t>
        </is>
      </c>
    </row>
    <row r="27736">
      <c r="A27736" t="inlineStr">
        <is>
          <t>Feu/eau</t>
        </is>
      </c>
      <c r="B27736">
        <f>HYPERLINK("https://www.dofusbook.net/fr/equipement/3078848-feu-eau/objets", "link")</f>
        <v/>
      </c>
      <c r="C27736" t="n">
        <v>0</v>
      </c>
      <c r="D27736" t="inlineStr">
        <is>
          <t>Arc Nécrotique; Amulette du Strigide; Alliance Gloursonne; Bague Gloursonne; Quatre-feuilles; Ceinture du Strigide; Kidibonnet; Cape de la Dame du Hasard; Bottes de la Dame du Hasard; Dolmanax; Dofus Pourpre; Dofus Abyssal; Dofus Ocre; Dofus des Glaces; Dofus Turquoise; Muldo Indigo et Orchidée</t>
        </is>
      </c>
    </row>
    <row r="27737">
      <c r="A27737" t="inlineStr">
        <is>
          <t>Full eau 2</t>
        </is>
      </c>
      <c r="B27737">
        <f>HYPERLINK("https://www.dofusbook.net/fr/equipement/2976353-full-eau-2-/objets", "link")</f>
        <v/>
      </c>
      <c r="C27737" t="n">
        <v>0</v>
      </c>
      <c r="D27737" t="inlineStr">
        <is>
          <t>Sceptre du Roi Joueur; Amulette de Shokkoth; Alliance Gloursonne; Pikano; Bouclier du Stalak; Sangle Ouare; Masque des Fonds marins; Cape Solution; Sandales des Fonds marins; Dofus des Glaces; Dofus Pourpre; Dofus Ocre; Chanceux majeur; Muldo Indigo</t>
        </is>
      </c>
    </row>
    <row r="27738">
      <c r="A27738" t="inlineStr">
        <is>
          <t>Full terre full res/</t>
        </is>
      </c>
      <c r="B27738">
        <f>HYPERLINK("https://www.dofusbook.net/fr/equipement/2939322-full-terre-full-res-/objets", "link")</f>
        <v/>
      </c>
      <c r="C27738" t="n">
        <v>1</v>
      </c>
      <c r="D27738" t="inlineStr">
        <is>
          <t>Héqache; Collier de Tourthon; Anneau Crustique; Pikano; Bouclier d'Anerice; Ceinture Gence; Coiffe de la Reine des Voleurs; Cape d'Anerice; Sabots Minables; Dofus des Glaces; Dofus Ivoire; Dofus Pourpre; Carapace Feu majeur; Miraculé majeur; Enragé majeur; Muldo Pourpre</t>
        </is>
      </c>
    </row>
    <row r="27739">
      <c r="A27739" t="inlineStr">
        <is>
          <t>Eau/air tal kasha</t>
        </is>
      </c>
      <c r="B27739">
        <f>HYPERLINK("https://www.dofusbook.net/fr/equipement/2836994-eau-air-tal-kasha/objets", "link")</f>
        <v/>
      </c>
      <c r="C27739" t="n">
        <v>0</v>
      </c>
      <c r="D27739" t="inlineStr">
        <is>
          <t>Arc de Koutoulou; Amulette du Strigide; Pikano; Alliance Gloursonne; Quatre-feuilles; Ceinture du Barbétoal; Némès de Tal Kasha; Chevelure de Tal Kasha; Bottes de la Reine des Voleurs; Dofus Pourpre; Dofus Ocre; Dofus Turquoise; Remueur; Nomade; Carapace Air majeur; Kramkram</t>
        </is>
      </c>
    </row>
    <row r="27740">
      <c r="A27740" t="inlineStr">
        <is>
          <t>Eau/air</t>
        </is>
      </c>
      <c r="B27740">
        <f>HYPERLINK("https://www.dofusbook.net/fr/equipement/2929395-eau-air/objets", "link")</f>
        <v/>
      </c>
      <c r="C27740" t="n">
        <v>0</v>
      </c>
      <c r="D27740" t="inlineStr">
        <is>
          <t>Arc de Koutoulou; Amulette du Strigide; Alliance Gloursonne; Pikano; Quatre-feuilles; Ceinture du Barbétoal; Coiffe d'Ogivol; Chevelure de Tal Kasha; Bottes du Strigide; Dofus Turquoise; Dofus Pourpre; Dofus Ocre; Carapace Air majeur; Remueur; Nomade; Kramkram</t>
        </is>
      </c>
    </row>
    <row r="27741">
      <c r="A27741" t="inlineStr">
        <is>
          <t>eau/air no crit</t>
        </is>
      </c>
      <c r="B27741">
        <f>HYPERLINK("https://www.dofusbook.net/fr/equipement/2906744-eau-air-no-crit/objets", "link")</f>
        <v/>
      </c>
      <c r="C27741" t="n">
        <v>0</v>
      </c>
      <c r="D27741" t="inlineStr">
        <is>
          <t>Arc de Koutoulou; Amulette du Strigide; Pikano; Alliance Gloursonne; Quatre-feuilles; Ceinture du Barbétoal; Coiffe de la Reine des Voleurs; Chevelure de Tal Kasha; Bottes de la Reine des Voleurs; Dofus Pourpre; Dofus Turquoise; Dofus Ocre; Remueur; Nomade; Carapace Air majeur; Kramkram</t>
        </is>
      </c>
    </row>
    <row r="27742">
      <c r="A27742" t="inlineStr">
        <is>
          <t>Nouveau test</t>
        </is>
      </c>
      <c r="B27742">
        <f>HYPERLINK("https://www.dofusbook.net/fr/equipement/2748970-nouveau-test/objets", "link")</f>
        <v/>
      </c>
      <c r="C27742" t="n">
        <v>0</v>
      </c>
      <c r="D27742" t="inlineStr">
        <is>
          <t>Héqache; Amulette du Strigide; Pikano; Alliance Gloursonne; Bouclier d'Ilyzaelle; Ceintouse; Cape du Cœur Vaillant; Bottes du Strigide; Dofus des Glaces; Dofus Turquoise; Dolmanax; Dofus Ocre; Dofus Pourpre; Dofus Abyssal; Muldo Indigo</t>
        </is>
      </c>
    </row>
    <row r="27743">
      <c r="A27743" t="inlineStr">
        <is>
          <t>Terre/eau</t>
        </is>
      </c>
      <c r="B27743">
        <f>HYPERLINK("https://www.dofusbook.net/fr/equipement/2896771-terre-eau/objets", "link")</f>
        <v/>
      </c>
      <c r="C27743" t="n">
        <v>0</v>
      </c>
      <c r="D27743" t="inlineStr">
        <is>
          <t>Épouvante; Amulette du Strigide; Alliance Gloursonne; Pikano; Quatre-feuilles; Ceinture du Strigide; Masque de Funespadon; Cape Solution; Chaussons de Macrab; Dofus Abyssal; Dofus Turquoise; Dolmanax; Dofus Pourpre; Dofus Ocre; Dofus des Glaces</t>
        </is>
      </c>
    </row>
    <row r="27744">
      <c r="A27744" t="inlineStr">
        <is>
          <t>Full air</t>
        </is>
      </c>
      <c r="B27744">
        <f>HYPERLINK("https://www.dofusbook.net/fr/equipement/2890344-full-air/objets", "link")</f>
        <v/>
      </c>
      <c r="C27744" t="n">
        <v>0</v>
      </c>
      <c r="D27744" t="inlineStr">
        <is>
          <t>Lance Horselé; Collier du Valet Veinard; Gant du Valet Veinard; Alliance Gloursonne; Bouclier du Stalak; Menoture; Couronne d'Allister; Cape du Kamasterisk; Palmes Trithons; Dofus des Glaces; Dofus Ivoire; Dofus Ocre; Dofus Pourpre; Carapace Air majeur; Cascadeur majeur; Muldo Indigo</t>
        </is>
      </c>
    </row>
    <row r="27745">
      <c r="A27745" t="inlineStr">
        <is>
          <t>Full air</t>
        </is>
      </c>
      <c r="B27745">
        <f>HYPERLINK("https://www.dofusbook.net/fr/equipement/2890345-full-air/objets", "link")</f>
        <v/>
      </c>
      <c r="C27745" t="n">
        <v>0</v>
      </c>
      <c r="D27745" t="inlineStr"/>
    </row>
    <row r="27746">
      <c r="A27746" t="inlineStr">
        <is>
          <t>terre</t>
        </is>
      </c>
      <c r="B27746">
        <f>HYPERLINK("https://www.dofusbook.net/fr/equipement/2836822-terre/objets", "link")</f>
        <v/>
      </c>
      <c r="C27746" t="n">
        <v>0</v>
      </c>
      <c r="D27746" t="inlineStr">
        <is>
          <t>Dagues Érhy; Amulette du Strigide; Alliance Gloursonne; Pikano; Bouclier cubiste; Ceinture du Strigide; Masque de Koutoulou; Cape du Kamasterisk; Bottes du Kamasterisk; Dofus Turquoise; Dolmanax; Dofus Pourpre; Dofus Abyssal; Dofus des Glaces; Dofus Ocre; Muldo Indigo</t>
        </is>
      </c>
    </row>
    <row r="27747">
      <c r="A27747" t="inlineStr">
        <is>
          <t>Test</t>
        </is>
      </c>
      <c r="B27747">
        <f>HYPERLINK("https://www.dofusbook.net/fr/equipement/2741938-test/objets", "link")</f>
        <v/>
      </c>
      <c r="C27747" t="n">
        <v>0</v>
      </c>
      <c r="D27747" t="inlineStr">
        <is>
          <t>Héqache; Amulette du Strigide; Alliance Gloursonne; Pikano; Quatre-feuilles; Ceintacé; Coiffe de la Reine des Voleurs; Cape du Kamasterisk; Bottes du Kamasterisk; Dofus des Glaces; Dofus Turquoise; Dofus Pourpre; Nomade; Remueur; Vigoureux majeur; Kramkram</t>
        </is>
      </c>
    </row>
    <row r="27748">
      <c r="A27748" t="inlineStr">
        <is>
          <t>Feu/eau</t>
        </is>
      </c>
      <c r="B27748">
        <f>HYPERLINK("https://www.dofusbook.net/fr/equipement/2742372-feu-eau/objets", "link")</f>
        <v/>
      </c>
      <c r="C27748" t="n">
        <v>0</v>
      </c>
      <c r="D27748" t="inlineStr">
        <is>
          <t>Arc Nécrotique; Amulette du Strigide; Bague Gloursonne; Alliance Gloursonne; Quatre-feuilles; Ceinture du Strigide; Kidibonnet; Cape de la Dame du Hasard; Bottes de la Dame du Hasard; Dofus Ocre; Dofus des Glaces; Dofus Turquoise; Dolmanax; Dofus Pourpre; Dofus Abyssal; Muldo Indigo et Orchidée</t>
        </is>
      </c>
    </row>
    <row r="27749">
      <c r="A27749" t="inlineStr">
        <is>
          <t>Test</t>
        </is>
      </c>
      <c r="B27749">
        <f>HYPERLINK("https://www.dofusbook.net/fr/equipement/2741952-test/objets", "link")</f>
        <v/>
      </c>
      <c r="C27749" t="n">
        <v>0</v>
      </c>
      <c r="D27749" t="inlineStr">
        <is>
          <t>Arc Nécrotique; Amulette du Strigide; Alliance Gloursonne; Bague Gloursonne; Quatre-feuilles; Ceinture du Strigide; Coiffe du Lévitrof; Voile d'encre; Bottes du Lévitrof; Dolmanax; Dofus Turquoise; Dofus Ocre; Dofus des Glaces; Dofus Abyssal; Dofus Pourpre; Muldo Indigo</t>
        </is>
      </c>
    </row>
    <row r="27750">
      <c r="A27750" t="inlineStr">
        <is>
          <t>Air/feu</t>
        </is>
      </c>
      <c r="B27750">
        <f>HYPERLINK("https://www.dofusbook.net/fr/equipement/2740400-air-feu/objets", "link")</f>
        <v/>
      </c>
      <c r="C27750" t="n">
        <v>0</v>
      </c>
      <c r="D27750" t="inlineStr">
        <is>
          <t>Sabres d'Atcham; Amulette du Strigide; Bague Gloursonne; Alliance Gloursonne; Quatre-feuilles; Ceinture du Strigide; Cape d'Atcham; Bottes Honyme; Dofus Ocre; Dofus Pourpre; Dofus Turquoise; Dofus des Glaces; Dofus Abyssal; Dolmanax; Kramkram</t>
        </is>
      </c>
    </row>
    <row r="27751">
      <c r="A27751" t="inlineStr">
        <is>
          <t>Stuff pvm test</t>
        </is>
      </c>
      <c r="B27751">
        <f>HYPERLINK("https://www.dofusbook.net/fr/equipement/2738334-stuff-pvm-test/objets", "link")</f>
        <v/>
      </c>
      <c r="C27751" t="n">
        <v>1</v>
      </c>
      <c r="D27751" t="inlineStr">
        <is>
          <t>Marteau de Katrepat; Amulette du Strigide; Bague Gloursonne; Alliance Gloursonne; Quatre-feuilles; Ceinture du Strigide; Masque Brûlâme; Voile d'encre; Bottes du Strigide; Dofus des Glaces; Dofus Abyssal; Dolmanax; Dofus Ocre; Dofus Pourpre; Dofus Turquoise; Kramkram</t>
        </is>
      </c>
    </row>
    <row r="27752">
      <c r="A27752" t="inlineStr">
        <is>
          <t>Stuff 1</t>
        </is>
      </c>
      <c r="B27752">
        <f>HYPERLINK("https://www.dofusbook.net/fr/equipement/188114-stuff-1/objets", "link")</f>
        <v/>
      </c>
      <c r="C27752" t="n">
        <v>0</v>
      </c>
      <c r="D27752" t="inlineStr">
        <is>
          <t>Hache Ériphe; Amulette du Kamasterisk; Alliance Gloursonne; Pikano; Quatre-feuilles; Ceinture du Strigide; Coiffe d'Ogivol; Cape du Kamasterisk; Baleinabottes; Dofus des Glaces; Dofus Pourpre; Dofus Turquoise; Vigoureux majeur; Nomade; Remueur; Kramkram</t>
        </is>
      </c>
    </row>
    <row r="27753">
      <c r="A27753" t="inlineStr">
        <is>
          <t>Do pou régen</t>
        </is>
      </c>
      <c r="B27753">
        <f>HYPERLINK("https://www.dofusbook.net/fr/equipement/2565896-do-pou-regen/objets", "link")</f>
        <v/>
      </c>
      <c r="C27753" t="n">
        <v>0</v>
      </c>
      <c r="D27753" t="inlineStr">
        <is>
          <t>Lance corrompue; Amulette du Strigide; Alliance Gloursonne; Bague Trithon; Bouclier précieux; Ceinture Gence; Casque Dragoeuf; Cape du Cœur Vaillant; Bottes du Strigide; Dofus Pourpre; Dofus Turquoise; Dofus Émeraude; Remueur; Culbuteur majeur; Nomade; Kramkram</t>
        </is>
      </c>
    </row>
    <row r="27754">
      <c r="A27754" t="inlineStr">
        <is>
          <t>Full eau new cape</t>
        </is>
      </c>
      <c r="B27754">
        <f>HYPERLINK("https://www.dofusbook.net/fr/equipement/2485515-full-eau-new-cape/objets", "link")</f>
        <v/>
      </c>
      <c r="C27754" t="n">
        <v>0</v>
      </c>
      <c r="D27754" t="inlineStr">
        <is>
          <t>Sceptre du Roi Joueur; Amulette de Shokkoth; Pikano; Alliance Gloursonne; Bouclier du Stalak; Ceinture du Barbétoal; Masque des Fonds marins; Cape Solution; Sandales des Fonds marins; Dolmanax; Dofus des Glaces; Dofus Pourpre; Dofus Ocre; Carapace Eau majeur; Chanceux majeur; Muldo Indigo</t>
        </is>
      </c>
    </row>
    <row r="27755">
      <c r="A27755" t="inlineStr">
        <is>
          <t>Full eau 2</t>
        </is>
      </c>
      <c r="B27755">
        <f>HYPERLINK("https://www.dofusbook.net/fr/equipement/2552412-full-eau-2-/objets", "link")</f>
        <v/>
      </c>
      <c r="C27755" t="n">
        <v>0</v>
      </c>
      <c r="D27755" t="inlineStr">
        <is>
          <t>Sceptre du Roi Joueur; Amulette de Shokkoth; Alliance Gloursonne; Pikano; Bouclier du Stalak; Poulpagne; Masque des Fonds marins; Cape de l'Œil Attentif; Sandales des Fonds marins; Dofus Ocre; Dofus des Glaces; Dofus Pourpre; Carapace Eau majeur; Chanceux majeur; Carapace Terre majeur; Muldo Indigo</t>
        </is>
      </c>
    </row>
    <row r="27756">
      <c r="A27756" t="inlineStr">
        <is>
          <t>Full eau 2 reine</t>
        </is>
      </c>
      <c r="B27756">
        <f>HYPERLINK("https://www.dofusbook.net/fr/equipement/2485436-full-eau-2-reine/objets", "link")</f>
        <v/>
      </c>
      <c r="C27756" t="n">
        <v>0</v>
      </c>
      <c r="D27756" t="inlineStr">
        <is>
          <t>Sceptre du Roi Joueur; Amulette de Shokkoth; Alliance Gloursonne; Pikano; Bouclier du Stalak; Ceinture de la Reine des Voleurs; Masque des Fonds marins; Bottes de la Reine des Voleurs; Dofus Ocre; Dolmanax; Dofus des Glaces; Dofus Pourpre; Carapace Feu majeur; Chanceux majeur; Muldo Indigo; Cape du Batailleur</t>
        </is>
      </c>
    </row>
    <row r="27757">
      <c r="A27757" t="inlineStr">
        <is>
          <t>Full air</t>
        </is>
      </c>
      <c r="B27757">
        <f>HYPERLINK("https://www.dofusbook.net/fr/equipement/2433444-full-air/objets", "link")</f>
        <v/>
      </c>
      <c r="C27757" t="n">
        <v>0</v>
      </c>
      <c r="D27757" t="inlineStr">
        <is>
          <t>Manthache; Amibou; Gant du Valet Veinard; Alliance Gloursonne; Quatre-feuilles; Menoture; Dorabysses; Capibou; Palmes Trithons; Dofus Pourpre; Dofus Turquoise; Nomade; Remueur; Cascadeur majeur; Temporiseur majeur; Kramkram</t>
        </is>
      </c>
    </row>
    <row r="27758">
      <c r="A27758" t="inlineStr">
        <is>
          <t>Eau/air</t>
        </is>
      </c>
      <c r="B27758">
        <f>HYPERLINK("https://www.dofusbook.net/fr/equipement/2425755-eau-air/objets", "link")</f>
        <v/>
      </c>
      <c r="C27758" t="n">
        <v>0</v>
      </c>
      <c r="D27758" t="inlineStr">
        <is>
          <t>Arc de Koutoulou; Amulette d'Ilyzaelle; Alliance Gloursonne; Pikano; Bouclier du Stalak; Ceinture du Barbétoal; Coiffe de la Reine des Voleurs; Cape de l'Œil Putride; Bottes de la Reine des Voleurs; Dofus Ivoire; Dofus Pourpre; Dofus Ocre; Dofus des Glaces; Dolmanax; Remueur; Muldo Ebène et Indigo</t>
        </is>
      </c>
    </row>
    <row r="27759">
      <c r="A27759" t="inlineStr">
        <is>
          <t>Eau/feu</t>
        </is>
      </c>
      <c r="B27759">
        <f>HYPERLINK("https://www.dofusbook.net/fr/equipement/2425411-eau-feu/objets", "link")</f>
        <v/>
      </c>
      <c r="C27759" t="n">
        <v>0</v>
      </c>
      <c r="D27759" t="inlineStr">
        <is>
          <t>Arc Nécrotique; Collier de la Dame du Hasard; Alliance Gloursonne; Bague Gloursonne; Quatre-feuilles; Ceinture de l'Esprit Malsain; Masque de l'Esprit Malsain; Cape de la Dame du Hasard; Bottes de la Dame du Hasard; Dolmanax; Dofus Ivoire; Dofus Turquoise; Dofus Ocre; Dofus des Glaces; Muldo Indigo et Orchidée</t>
        </is>
      </c>
    </row>
    <row r="27760">
      <c r="A27760" t="inlineStr">
        <is>
          <t>Stuff 1</t>
        </is>
      </c>
      <c r="B27760">
        <f>HYPERLINK("https://www.dofusbook.net/fr/equipement/188099-stuff-1/objets", "link")</f>
        <v/>
      </c>
      <c r="C27760" t="n">
        <v>0</v>
      </c>
      <c r="D27760" t="inlineStr">
        <is>
          <t>Hache du Chalœil; Amulette du Strigide; Alliance Gloursonne; Goulano; Goulclier; Ceinture du Strigide; Masque d'Anerice; Cape d'Anerice; Goulbottes; Dofus Émeraude; Dofus Ocre; Dofus Abyssal; Dofus Pourpre; Dofus des Glaces; Dofus Turquoise; Kramkram</t>
        </is>
      </c>
    </row>
    <row r="27761">
      <c r="A27761" t="inlineStr">
        <is>
          <t>Stuff 2</t>
        </is>
      </c>
      <c r="B27761">
        <f>HYPERLINK("https://www.dofusbook.net/fr/equipement/1488745-stuff-2/objets", "link")</f>
        <v/>
      </c>
      <c r="C27761" t="n">
        <v>0</v>
      </c>
      <c r="D27761" t="inlineStr">
        <is>
          <t>Marteau des Anciens Steamers; Amulette du Strigide; Anneau Tique; Alliance Gloursonne; Ceinture Voldelor; Kidibonnet; Chevelure de Tal Kasha; Bottes Voldelor; Dolmanax; Dofus Turquoise; Dofus Pourpre; Nomade; Remueur; Kramkram</t>
        </is>
      </c>
    </row>
    <row r="27762">
      <c r="A27762" t="inlineStr">
        <is>
          <t>Stuff 3</t>
        </is>
      </c>
      <c r="B27762">
        <f>HYPERLINK("https://www.dofusbook.net/fr/equipement/1018057-stuff-3/objets", "link")</f>
        <v/>
      </c>
      <c r="C27762" t="n">
        <v>1</v>
      </c>
      <c r="D27762" t="inlineStr">
        <is>
          <t>Marteau R'ture; Amulette du Kamasterisk; Chevalière du Roi Joueur; Pikano; Bouclier cubiste; Ceintacé; Chapeau de Gein; Cape de la Cour Sombre; Bottes du Kamasterisk; Dofus Turquoise; Dofus Pourpre; Nomade; Enragé majeur; Vigoureux majeur; Remueur; Kramkram</t>
        </is>
      </c>
    </row>
    <row r="27763">
      <c r="A27763" t="inlineStr">
        <is>
          <t>Feu/air</t>
        </is>
      </c>
      <c r="B27763">
        <f>HYPERLINK("https://www.dofusbook.net/fr/equipement/1015852-feu-air/objets", "link")</f>
        <v/>
      </c>
      <c r="C27763" t="n">
        <v>0</v>
      </c>
      <c r="D27763" t="inlineStr">
        <is>
          <t>Baguette Range; Amulette du Strigide; Anneau de Padgref; Alliance Gloursonne; Quatre-feuilles; Ceinture du Strigide; Coiffe de Padgref; Voile d'encre; Getas de Padgref; Dolmanax; Dofus Turquoise; Dofus Ocre; Dofus Abyssal; Dofus Pourpre; Dofus des Glaces; Muldo Prune et Emeraude</t>
        </is>
      </c>
    </row>
    <row r="27764">
      <c r="A27764" t="inlineStr">
        <is>
          <t>Stuff 1</t>
        </is>
      </c>
      <c r="B27764">
        <f>HYPERLINK("https://www.dofusbook.net/fr/equipement/188096-stuff-1/objets", "link")</f>
        <v/>
      </c>
      <c r="C27764" t="n">
        <v>1</v>
      </c>
      <c r="D27764" t="inlineStr">
        <is>
          <t>Arc de Koutoulou; Amulette du Strigide; Gant du Valet Veinard; Alliance Gloursonne; Kidibonnet; Chevelure de Tal Kasha; Bottes Voldelor; Dofus Pourpre; Dolmanax; Dofus Turquoise; Remueur; Nomade; Vigoureux majeur; Kramkram</t>
        </is>
      </c>
    </row>
    <row r="27765">
      <c r="A27765" t="inlineStr">
        <is>
          <t>Stuff 1</t>
        </is>
      </c>
      <c r="B27765">
        <f>HYPERLINK("https://www.dofusbook.net/fr/equipement/188105-stuff-1/objets", "link")</f>
        <v/>
      </c>
      <c r="C27765" t="n">
        <v>0</v>
      </c>
      <c r="D27765" t="inlineStr">
        <is>
          <t>Arc de Koutoulou; Amulette du Strigide; Alliance Gloursonne; Anneau Tique; Quatre-feuilles; Ceinture Voldelor; Kidibonnet; Chevelure de Tal Kasha; Sandales de Tal Kasha; Dofus des Glaces; Dofus Pourpre; Dolmanax; Dofus Turquoise; Vigoureux majeur; Remueur; Muldo Prune et Emeraude</t>
        </is>
      </c>
    </row>
    <row r="27766">
      <c r="A27766" t="inlineStr">
        <is>
          <t>Stuff 3</t>
        </is>
      </c>
      <c r="B27766">
        <f>HYPERLINK("https://www.dofusbook.net/fr/equipement/188123-stuff-3/objets", "link")</f>
        <v/>
      </c>
      <c r="C27766" t="n">
        <v>0</v>
      </c>
      <c r="D27766" t="inlineStr">
        <is>
          <t>Dagues Érhy; Collier de Tourthon; Bague Gloursonne; Pikano; Ceinture de Gein; Chapeau de Gein; Voile d'encre; Baleinabottes; Dofus Turquoise; Dolmanax; Dofus Abyssal; Nomade; Remueur; Enragé majeur; Kramkram</t>
        </is>
      </c>
    </row>
    <row r="27767">
      <c r="A27767" t="inlineStr">
        <is>
          <t>Stuff 2</t>
        </is>
      </c>
      <c r="B27767">
        <f>HYPERLINK("https://www.dofusbook.net/fr/equipement/188106-stuff-2/objets", "link")</f>
        <v/>
      </c>
      <c r="C27767" t="n">
        <v>0</v>
      </c>
      <c r="D27767" t="inlineStr">
        <is>
          <t>Sabres d'Atcham; Amulette du Strigide; Alliance Gloursonne; Anneau Tique; Quatre-feuilles; Ceinture du Strigide; Masque du Glourséleste; Cape d'Atcham; Sandales  d'Atcham; Dofus Ocre; Dolmanax; Dofus Pourpre; Dofus Turquoise; Dofus des Glaces; Puissant majeur; Muldo Doré et Indigo</t>
        </is>
      </c>
    </row>
    <row r="27768">
      <c r="A27768" t="inlineStr">
        <is>
          <t>Stuff 3</t>
        </is>
      </c>
      <c r="B27768">
        <f>HYPERLINK("https://www.dofusbook.net/fr/equipement/188101-stuff-3/objets", "link")</f>
        <v/>
      </c>
      <c r="C27768" t="n">
        <v>0</v>
      </c>
      <c r="D27768" t="inlineStr">
        <is>
          <t>Hache du Chalœil; Amulette du Strigide; Bracelet du Piloztère; Alliance Gloursonne; Quatre-feuilles; Ceintacé; Coiffe du Lévitrof; Voile d'encre; Bottes du Strigide; Dofus Pourpre; Dolmanax; Dofus Turquoise; Vigoureux majeur; Remueur; Nomade; Kramkram</t>
        </is>
      </c>
    </row>
    <row r="27769">
      <c r="A27769" t="inlineStr">
        <is>
          <t>Stuff 3</t>
        </is>
      </c>
      <c r="B27769">
        <f>HYPERLINK("https://www.dofusbook.net/fr/equipement/188125-stuff-3/objets", "link")</f>
        <v/>
      </c>
      <c r="C27769" t="n">
        <v>0</v>
      </c>
      <c r="D27769" t="inlineStr">
        <is>
          <t>Marteau des Anciens Steamers; Amulette du Strigide; Gant du Valet Veinard; Alliance Gloursonne; Ceinture Voldelor; Coiffe d'Ogivol; Cape Matelassée; Bottes Voldelor; Dolmanax; Dofus Turquoise; Dofus Pourpre; Nomade; Vigoureux majeur; Remueur; Kramkram</t>
        </is>
      </c>
    </row>
    <row r="27770">
      <c r="A27770" t="inlineStr">
        <is>
          <t>Stuff 3</t>
        </is>
      </c>
      <c r="B27770">
        <f>HYPERLINK("https://www.dofusbook.net/fr/equipement/188116-stuff-3/objets", "link")</f>
        <v/>
      </c>
      <c r="C27770" t="n">
        <v>0</v>
      </c>
      <c r="D27770" t="inlineStr">
        <is>
          <t>Marteau R'ture; Amulette du Kamasterisk; Chevalière du Roi Joueur; Pikano; Quatre-feuilles; Ceintacé; Chapeau de Gein; Cape de la Cour Sombre; Bottes du Kamasterisk; Dofus Turquoise; Dofus Pourpre; Temporiseur majeur; Remueur; Nomade; Enragé majeur; Kramkram</t>
        </is>
      </c>
    </row>
    <row r="27771">
      <c r="A27771" t="inlineStr">
        <is>
          <t>Stuff 2</t>
        </is>
      </c>
      <c r="B27771">
        <f>HYPERLINK("https://www.dofusbook.net/fr/equipement/188112-stuff-2/objets", "link")</f>
        <v/>
      </c>
      <c r="C27771" t="n">
        <v>0</v>
      </c>
      <c r="D27771" t="inlineStr">
        <is>
          <t>Arc de Koutoulou; Amulette du Strigide; Alliance Gloursonne; Gant du Valet Veinard; Quatre-feuilles; Ceinture Voldelor; Kidibonnet; Chevelure de Tal Kasha; Bottes Voldelor; Dolmanax; Dofus Turquoise; Dofus Pourpre; Nomade; Vigoureux majeur; Remueur; Kramkram</t>
        </is>
      </c>
    </row>
    <row r="27772">
      <c r="A27772" t="inlineStr">
        <is>
          <t>Stuff 3</t>
        </is>
      </c>
      <c r="B27772">
        <f>HYPERLINK("https://www.dofusbook.net/fr/equipement/188104-stuff-3/objets", "link")</f>
        <v/>
      </c>
      <c r="C27772" t="n">
        <v>0</v>
      </c>
      <c r="D27772" t="inlineStr">
        <is>
          <t>Dagues Érhy; Amulette du Strigide; Anneau du Katcheur; Bague Gloursonne; Ceinture du Strigide; Masque du Katcheur; Cape du Professeur Xa; Bottes du Strigide; Dolmanax; Dofus des Glaces; Dofus Pourpre; Dofus Turquoise; Dofus Ocre; Puissant majeur; Kramkram</t>
        </is>
      </c>
    </row>
    <row r="27773">
      <c r="A27773" t="inlineStr">
        <is>
          <t>Stuff 3</t>
        </is>
      </c>
      <c r="B27773">
        <f>HYPERLINK("https://www.dofusbook.net/fr/equipement/188123-stuff-3/objets", "link")</f>
        <v/>
      </c>
      <c r="C27773" t="n">
        <v>0</v>
      </c>
      <c r="D27773" t="inlineStr">
        <is>
          <t>Dagues Érhy; Collier de Tourthon; Bague Gloursonne; Pikano; Ceinture de Gein; Chapeau de Gein; Voile d'encre; Baleinabottes; Dofus Abyssal; Dofus Turquoise; Dolmanax; Enragé majeur; Nomade; Remueur; Kramkram</t>
        </is>
      </c>
    </row>
    <row r="27774">
      <c r="A27774" t="inlineStr">
        <is>
          <t>Stuff 2</t>
        </is>
      </c>
      <c r="B27774">
        <f>HYPERLINK("https://www.dofusbook.net/fr/equipement/188106-stuff-2/objets", "link")</f>
        <v/>
      </c>
      <c r="C27774" t="n">
        <v>0</v>
      </c>
      <c r="D27774" t="inlineStr">
        <is>
          <t>Sabres d'Atcham; Amulette du Strigide; Anneau Tique; Alliance Gloursonne; Quatre-feuilles; Ceinture du Strigide; Masque du Glourséleste; Cape d'Atcham; Sandales  d'Atcham; Dofus des Glaces; Dofus Ocre; Dolmanax; Dofus Pourpre; Dofus Turquoise; Puissant majeur; Muldo Doré et Indigo</t>
        </is>
      </c>
    </row>
    <row r="27775">
      <c r="A27775" t="inlineStr">
        <is>
          <t>Stuff 3</t>
        </is>
      </c>
      <c r="B27775">
        <f>HYPERLINK("https://www.dofusbook.net/fr/equipement/188101-stuff-3/objets", "link")</f>
        <v/>
      </c>
      <c r="C27775" t="n">
        <v>0</v>
      </c>
      <c r="D27775" t="inlineStr">
        <is>
          <t>Hache du Chalœil; Amulette du Strigide; Bracelet du Piloztère; Alliance Gloursonne; Quatre-feuilles; Ceintacé; Coiffe du Lévitrof; Voile d'encre; Bottes du Strigide; Dofus Turquoise; Dofus Pourpre; Dolmanax; Remueur; Nomade; Vigoureux majeur; Kramkram</t>
        </is>
      </c>
    </row>
    <row r="27776">
      <c r="A27776" t="inlineStr">
        <is>
          <t>Stuff 3</t>
        </is>
      </c>
      <c r="B27776">
        <f>HYPERLINK("https://www.dofusbook.net/fr/equipement/188125-stuff-3/objets", "link")</f>
        <v/>
      </c>
      <c r="C27776" t="n">
        <v>0</v>
      </c>
      <c r="D27776" t="inlineStr">
        <is>
          <t>Marteau des Anciens Steamers; Amulette du Strigide; Alliance Gloursonne; Gant du Valet Veinard; Ceinture Voldelor; Coiffe d'Ogivol; Cape Matelassée; Bottes Voldelor; Dofus Pourpre; Dolmanax; Dofus Turquoise; Remueur; Nomade; Vigoureux majeur; Kramkram</t>
        </is>
      </c>
    </row>
    <row r="27777">
      <c r="A27777" t="inlineStr">
        <is>
          <t>Stuff 3</t>
        </is>
      </c>
      <c r="B27777">
        <f>HYPERLINK("https://www.dofusbook.net/fr/equipement/188116-stuff-3/objets", "link")</f>
        <v/>
      </c>
      <c r="C27777" t="n">
        <v>0</v>
      </c>
      <c r="D27777" t="inlineStr">
        <is>
          <t>Marteau R'ture; Amulette du Kamasterisk; Pikano; Chevalière du Roi Joueur; Quatre-feuilles; Ceintacé; Chapeau de Gein; Cape de la Cour Sombre; Bottes du Kamasterisk; Dofus Pourpre; Dofus Turquoise; Enragé majeur; Temporiseur majeur; Remueur; Nomade; Kramkram</t>
        </is>
      </c>
    </row>
    <row r="27778">
      <c r="A27778" t="inlineStr">
        <is>
          <t>Stuff 1</t>
        </is>
      </c>
      <c r="B27778">
        <f>HYPERLINK("https://www.dofusbook.net/fr/equipement/188111-stuff-1/objets", "link")</f>
        <v/>
      </c>
      <c r="C27778" t="n">
        <v>0</v>
      </c>
      <c r="D27778" t="inlineStr">
        <is>
          <t>Marteau des Anciens Steamers; Amulette du Strigide; Alliance Gloursonne; Pikano; Ceinture du Strigide; Coiffe d'Ogivol; Cape Matelassée; Bottes Voldelor; Dofus des Glaces; Dofus Pourpre; Dolmanax; Dofus Turquoise; Nomade; Remueur; Kramkram</t>
        </is>
      </c>
    </row>
    <row r="27779">
      <c r="A27779" t="inlineStr">
        <is>
          <t>Stuff 2</t>
        </is>
      </c>
      <c r="B27779">
        <f>HYPERLINK("https://www.dofusbook.net/fr/equipement/188103-stuff-2/objets", "link")</f>
        <v/>
      </c>
      <c r="C27779" t="n">
        <v>0</v>
      </c>
      <c r="D27779" t="inlineStr">
        <is>
          <t>Epée Toche; Amulette du Strigide; Chevalière du Roi Joueur; Bague Gloursonne; Ceintacé; Chapeau de Gein; Voile d'encre; Bottes du Strigide; Dolmanax; Dofus Pourpre; Dofus Turquoise; Nomade; Vigoureux majeur; Remueur; Kramkram; Bouclier Verréhor</t>
        </is>
      </c>
    </row>
    <row r="27780">
      <c r="A27780" t="inlineStr">
        <is>
          <t>Stuff 3</t>
        </is>
      </c>
      <c r="B27780">
        <f>HYPERLINK("https://www.dofusbook.net/fr/equipement/188098-stuff-3/objets", "link")</f>
        <v/>
      </c>
      <c r="C27780" t="n">
        <v>0</v>
      </c>
      <c r="D27780" t="inlineStr">
        <is>
          <t>Marteau des Anciens Steamers; Amulette du Strigide; Alliance Gloursonne; Gant du Valet Veinard; Ceinture Voldelor; Kidibonnet; Chevelure de Tal Kasha; Bottes Voldelor; Dofus Pourpre; Dolmanax; Dofus Turquoise; Remueur; Nomade; Vigoureux majeur; Kramkram</t>
        </is>
      </c>
    </row>
    <row r="27781">
      <c r="A27781" t="inlineStr">
        <is>
          <t>Stuff 2</t>
        </is>
      </c>
      <c r="B27781">
        <f>HYPERLINK("https://www.dofusbook.net/fr/equipement/188097-stuff-2/objets", "link")</f>
        <v/>
      </c>
      <c r="C27781" t="n">
        <v>0</v>
      </c>
      <c r="D27781" t="inlineStr">
        <is>
          <t>Arc de Koutoulou; Amulette du Strigide; Pikano; Alliance Gloursonne; Ceintacé; Coiffe de la Reine des Voleurs; Cape du Chalœil; Bottes de la Reine des Voleurs; Dofus Pourpre; Dofus Turquoise; Dolmanax; Nomade; Remueur; Vigoureux majeur; Kramkram</t>
        </is>
      </c>
    </row>
    <row r="27782">
      <c r="A27782" t="inlineStr">
        <is>
          <t>Pandawa M 200</t>
        </is>
      </c>
      <c r="B27782">
        <f>HYPERLINK("https://www.dofusbook.net/fr/equipement/3975673-pandawa-m-200/objets", "link")</f>
        <v/>
      </c>
      <c r="C27782" t="n">
        <v>7</v>
      </c>
      <c r="D27782" t="inlineStr">
        <is>
          <t>Rouleau à Pâtisserie d'Aermyne; Collier Rophante; Alliance Gloursonne; Bague Trithon; Sept ans de malheur; Ceinture de Kongoku; Masque d'Anerice; Cape d'Anerice; Pataugastrique; Dokoko; Dofus Ivoire; Dofus Émeraude; Obstructeur majeur; Miraculé majeur; Remueur; Givrefoux</t>
        </is>
      </c>
    </row>
    <row r="27783">
      <c r="A27783" t="inlineStr">
        <is>
          <t>Crâ F 200</t>
        </is>
      </c>
      <c r="B27783">
        <f>HYPERLINK("https://www.dofusbook.net/fr/equipement/4396982-cra-f-200/objets", "link")</f>
        <v/>
      </c>
      <c r="C27783" t="n">
        <v>1</v>
      </c>
      <c r="D27783" t="inlineStr">
        <is>
          <t>Baguette de Torkélonia; Amulette du Strigide; Crocanneau; Anneau Volkorne; Quatre-feuilles; Ceinture du Strigide; Corne de Torkélonia; Carapace de Torkélonia; Bottes du Strigide; Dofus Nébuleux; Dofus Abyssal; Dofus Pourpre; Dofus Ébène; Dofus Turquoise; Dofus des Glaces; Kokulte</t>
        </is>
      </c>
    </row>
    <row r="27784">
      <c r="A27784" t="inlineStr">
        <is>
          <t>Sram M 200</t>
        </is>
      </c>
      <c r="B27784">
        <f>HYPERLINK("https://www.dofusbook.net/fr/equipement/4446734-sram-m-200/objets", "link")</f>
        <v/>
      </c>
      <c r="C27784" t="n">
        <v>3</v>
      </c>
      <c r="D27784" t="inlineStr">
        <is>
          <t>Arc de Koutoulou; Amulette de Pol Ouatnos; Alliance Gloursonne; Anneau Volkorne; Ceinture Voldelor; Casque Volkorne; Dofus Pourpre; Vigoureux majeur; Cascadeur majeur; Nomade; Chanceux majeur; Remueur</t>
        </is>
      </c>
    </row>
    <row r="27785">
      <c r="A27785" t="inlineStr">
        <is>
          <t>Sram M 200</t>
        </is>
      </c>
      <c r="B27785">
        <f>HYPERLINK("https://www.dofusbook.net/fr/equipement/5533565-sram-m-200/objets", "link")</f>
        <v/>
      </c>
      <c r="C27785" t="n">
        <v>2</v>
      </c>
      <c r="D27785" t="inlineStr">
        <is>
          <t>Arc du Chalœil; Amulette de Pol Ouatnos; Anneau des égarés; Bracelet du Piloztère; Quatre-feuilles; Ceinture Volkorne; Casque Volkorne; Cape des Justiciers; Baleinabottes; Dofus Pourpre; Observateur; Vigoureux majeur; Nomade; Enragé majeur; Remueur; Dragodinde Ivoire et Pourpre</t>
        </is>
      </c>
    </row>
    <row r="27786">
      <c r="A27786" t="inlineStr">
        <is>
          <t>Sacrieur M 200</t>
        </is>
      </c>
      <c r="B27786">
        <f>HYPERLINK("https://www.dofusbook.net/fr/equipement/5424201-sacrieur-m-200/objets", "link")</f>
        <v/>
      </c>
      <c r="C27786" t="n">
        <v>1</v>
      </c>
      <c r="D27786" t="inlineStr">
        <is>
          <t>Épée du Granduk; Amulette du Granduk; Alliance Gloursonne; Anneau d'Allister; Bouclier du Captain Amakna; Ceinture de Klime; Couronne d'Allister; Cape de Klime; Bottes d'Allister; Dofus Vulbis; Dofus Pourpre; Dofus Ébène; Dofus Ocre; Dofus Ivoire; Dofus Turquoise; Blérodoudou</t>
        </is>
      </c>
    </row>
    <row r="27787">
      <c r="A27787" t="inlineStr">
        <is>
          <t>Ecaflip M 200</t>
        </is>
      </c>
      <c r="B27787">
        <f>HYPERLINK("https://www.dofusbook.net/fr/equipement/3910487-ecaflip-m-200/objets", "link")</f>
        <v/>
      </c>
      <c r="C27787" t="n">
        <v>1</v>
      </c>
      <c r="D27787" t="inlineStr">
        <is>
          <t>Baguette de Torkélonia; Amulette du Strigide; Anneau en Grithril; Anneau de Padgref; Quatre-feuilles; Ceinture du Strigide; Corne de Torkélonia; Carapace de Torkélonia; Bottes du Strigide; Dofus Ivoire; Dofus Pourpre; Dofus des Glaces; Dofus Ocre; Dofus Ébène; Dofus Turquoise; Kokulte</t>
        </is>
      </c>
    </row>
    <row r="27788">
      <c r="A27788" t="inlineStr">
        <is>
          <t>Iop M 200</t>
        </is>
      </c>
      <c r="B27788">
        <f>HYPERLINK("https://www.dofusbook.net/fr/equipement/4930858-iop-m-200/objets", "link")</f>
        <v/>
      </c>
      <c r="C27788" t="n">
        <v>2</v>
      </c>
      <c r="D27788" t="inlineStr">
        <is>
          <t>Dagues d'Ilyzaelle; Amulette du Cœur Saignant; Anneau Volkorne; Alliance de Missiz Frizz; Bouclier du Captain Amakna; Ceinture Volkorne; Casque de Missiz Frizz; Cape du Cœur Saignant; Bottes du Cœur Saignant; Dofus Vulbis; Dofus Ocre; Dolmanax; Dofus Pourpre; Dofus des Glaces; Dofus Turquoise; Pioute vert</t>
        </is>
      </c>
    </row>
    <row r="27789">
      <c r="A27789" t="inlineStr">
        <is>
          <t>Eniripsa F 200</t>
        </is>
      </c>
      <c r="B27789">
        <f>HYPERLINK("https://www.dofusbook.net/fr/equipement/4886875-eniripsa-f-200/objets", "link")</f>
        <v/>
      </c>
      <c r="C27789" t="n">
        <v>0</v>
      </c>
      <c r="D27789" t="inlineStr">
        <is>
          <t>Arc corrompu; Pendentif affamé; Anneauræus; Anneau de Nidas; Bivalve; Ceinture de Vortex; Couronne de Nidas; Cape de Diondin; Bottes Innommables; Dofus Turquoise; Nomade; Astucieux majeur; Guérisseur majeur; Remueur; Érudit majeur; Dragodinde Orchidée et Rousse</t>
        </is>
      </c>
    </row>
    <row r="27790">
      <c r="A27790" t="inlineStr">
        <is>
          <t>Eniripsa F 200</t>
        </is>
      </c>
      <c r="B27790">
        <f>HYPERLINK("https://www.dofusbook.net/fr/equipement/3660189-eniripsa-f-200/objets", "link")</f>
        <v/>
      </c>
      <c r="C27790" t="n">
        <v>0</v>
      </c>
      <c r="D27790" t="inlineStr">
        <is>
          <t>Arc corrompu; Pendentif affamé; Anneau Rifique; Anneauræus; Bivalve; Ceinture de Vortex; Casque Cyclopéen; Cape de Diondin; Bottes Innommables; Dofus Turquoise; Dofus Abyssal; Nomade; Astucieux majeur; Remueur; Érudit majeur; Bisouglours</t>
        </is>
      </c>
    </row>
    <row r="27791">
      <c r="A27791" t="inlineStr">
        <is>
          <t>airfeu</t>
        </is>
      </c>
      <c r="B27791">
        <f>HYPERLINK("https://www.dofusbook.net/fr/equipement/4487926-airfeu/objets", "link")</f>
        <v/>
      </c>
      <c r="C27791" t="n">
        <v>0</v>
      </c>
      <c r="D27791" t="inlineStr"/>
    </row>
    <row r="27792">
      <c r="A27792" t="inlineStr">
        <is>
          <t>Ouginak M 200</t>
        </is>
      </c>
      <c r="B27792">
        <f>HYPERLINK("https://www.dofusbook.net/fr/equipement/4492603-ouginak-m-200/objets", "link")</f>
        <v/>
      </c>
      <c r="C27792" t="n">
        <v>0</v>
      </c>
      <c r="D27792" t="inlineStr">
        <is>
          <t>Dagoulinantes; Amulette de Shokkoth; Alliance Gloursonne; Anneau Volkorne; Quatre-feuilles; Poulpagne; Coiffe de Danathor; Cape du Sinistrofu; Bottes du Sinistrofu; Dofus Pourpre; Vigoureux majeur; Taquin majeur; Remueur; Chanceux majeur; Nomade; Dehluge</t>
        </is>
      </c>
    </row>
    <row r="27793">
      <c r="A27793" t="inlineStr">
        <is>
          <t>Ecaflip M 200</t>
        </is>
      </c>
      <c r="B27793">
        <f>HYPERLINK("https://www.dofusbook.net/fr/equipement/4375062-ecaflip-m-200/objets", "link")</f>
        <v/>
      </c>
      <c r="C27793" t="n">
        <v>1</v>
      </c>
      <c r="D27793" t="inlineStr">
        <is>
          <t>Sceptre du Roi Joueur; Amulette de Shokkoth; Bracelet des Fonds marins; Anneau Volkorne; Bouclier du Stalak; Sangle Ouare; Masque des Fonds marins; Cape Solution; Sandales des Fonds marins; Dofus Ivoire; Dofus Turquoise; Dofus Pourpre; Dofus des Glaces; Dofus Ébène; Dofus Ocre; Pioute bleu</t>
        </is>
      </c>
    </row>
    <row r="27794">
      <c r="A27794" t="inlineStr">
        <is>
          <t>Ecaflip M 200</t>
        </is>
      </c>
      <c r="B27794">
        <f>HYPERLINK("https://www.dofusbook.net/fr/equipement/4093634-ecaflip-m-200/objets", "link")</f>
        <v/>
      </c>
      <c r="C27794" t="n">
        <v>1</v>
      </c>
      <c r="D27794" t="inlineStr">
        <is>
          <t>Sceptre du Roi Joueur; Collier de la Dame du Hasard; Alliance Gloursonne; Anneau Volkorne; Bouclier du Stalak; Sangle Ouare; Kidibonnet; Cape de la Dame du Hasard; Bottes de la Dame du Hasard; Dofus des Glaces; Dofus Ivoire; Dofus Turquoise; Dofus Abyssal; Dofus Pourpre; Robuste majeur; Pioute bleu</t>
        </is>
      </c>
    </row>
    <row r="27795">
      <c r="A27795" t="inlineStr">
        <is>
          <t>Zobal M 200</t>
        </is>
      </c>
      <c r="B27795">
        <f>HYPERLINK("https://www.dofusbook.net/fr/equipement/3975624-zobal-m-200/objets", "link")</f>
        <v/>
      </c>
      <c r="C27795" t="n">
        <v>0</v>
      </c>
      <c r="D27795" t="inlineStr">
        <is>
          <t>Marteau R'ture; Collier de Tourthon; Anneau Volkorne; Bague Trithon; Bouclier du Captain Amakna; Ceinture Volkorne; Masque Trithon; Cape au Logis; Bottes Trithon; Dofus Ocre; Dofus Pourpre; Dofus des Glaces; Dolmanax; Dofus Émeraude; Dofus Turquoise; Kokulte</t>
        </is>
      </c>
    </row>
    <row r="27796">
      <c r="A27796" t="inlineStr">
        <is>
          <t>Crâ F 200</t>
        </is>
      </c>
      <c r="B27796">
        <f>HYPERLINK("https://www.dofusbook.net/fr/equipement/3961091-cra-f-200/objets", "link")</f>
        <v/>
      </c>
      <c r="C27796" t="n">
        <v>1</v>
      </c>
      <c r="D27796" t="inlineStr">
        <is>
          <t>Hache du Chalœil; Amulette du Strigide; Alliance de Missiz Frizz; Bague Trithon; Quatre-feuilles; Ceinture du Strigide; Masque Trithon; Cape au Logis; Bottes Trithon; Dolmanax; Dofus Pourpre; Dofus Turquoise; Dofus Ocre; Dofus des Glaces; Dofus Nébuleux</t>
        </is>
      </c>
    </row>
    <row r="27797">
      <c r="A27797" t="inlineStr">
        <is>
          <t>Ultra tank</t>
        </is>
      </c>
      <c r="B27797">
        <f>HYPERLINK("https://www.dofusbook.net/fr/equipement/3046653-ultra-tank/objets", "link")</f>
        <v/>
      </c>
      <c r="C27797" t="n">
        <v>4</v>
      </c>
      <c r="D27797" t="inlineStr">
        <is>
          <t>Rouleau à Pâtisserie d'Aermyne; Collier Rophante; Alliance Gloursonne; Bague Trithon; Bouclier précieux; Ceinture de Kongoku; Masque d'Anerice; Cape d'Anerice; Pataugastrique; Dofus Émeraude; Obstructeur majeur; Nomade; Miraculé majeur; Carapace Neutre majeur; Remueur; Platypus</t>
        </is>
      </c>
    </row>
    <row r="27798">
      <c r="A27798" t="inlineStr">
        <is>
          <t>Zobal M 200</t>
        </is>
      </c>
      <c r="B27798">
        <f>HYPERLINK("https://www.dofusbook.net/fr/equipement/3910873-zobal-m-200/objets", "link")</f>
        <v/>
      </c>
      <c r="C27798" t="n">
        <v>0</v>
      </c>
      <c r="D27798" t="inlineStr">
        <is>
          <t>Sceptre du Roi Joueur; Amulette du Sinistrofu; Anneau Volkorne; Bracelet des Fonds marins; Bouclier précieux; Sangle Ouare; Casque Dragoeuf; Cape Solution; Bottes du Sinistrofu; Dofus Ocre; Dofus Abyssal; Dofus Pourpre; Culbuteur majeur; Chanceux majeur; Bousculeur majeur; Écumouth</t>
        </is>
      </c>
    </row>
    <row r="27799">
      <c r="A27799" t="inlineStr">
        <is>
          <t>Eniripsa F 200</t>
        </is>
      </c>
      <c r="B27799">
        <f>HYPERLINK("https://www.dofusbook.net/fr/equipement/3674527-eniripsa-f-200/objets", "link")</f>
        <v/>
      </c>
      <c r="C27799" t="n">
        <v>2</v>
      </c>
      <c r="D27799" t="inlineStr">
        <is>
          <t>Arc corrompu; Anneau de Padgref; Kralano; Bouclier du Cycloïde; Ceinture Séculaire; Coiffe Séculaire; Bottes Innommables; Dolmanax; Dofus Ocre; Dofus Abyssal; Dofus Turquoise; Dofus des Glaces; Voyageur; Bisouglours</t>
        </is>
      </c>
    </row>
    <row r="27800">
      <c r="A27800" t="inlineStr">
        <is>
          <t>Ecaflip M 200</t>
        </is>
      </c>
      <c r="B27800">
        <f>HYPERLINK("https://www.dofusbook.net/fr/equipement/3658893-ecaflip-m-200/objets", "link")</f>
        <v/>
      </c>
      <c r="C27800" t="n">
        <v>1</v>
      </c>
      <c r="D27800" t="inlineStr"/>
    </row>
    <row r="27801">
      <c r="A27801" t="inlineStr">
        <is>
          <t>Sadida F 200</t>
        </is>
      </c>
      <c r="B27801">
        <f>HYPERLINK("https://www.dofusbook.net/fr/equipement/3683591-sadida-f-200/objets", "link")</f>
        <v/>
      </c>
      <c r="C27801" t="n">
        <v>2</v>
      </c>
      <c r="D27801" t="inlineStr">
        <is>
          <t>Hachoirs de Viandargh; Amulette de Nevark; Alliance Gloursonne; Anneau d'Allister; La Rondelle; Ceinture de Nevark; Couronne d'Allister; Cape de Nevark; Bottes d'Allister; Dofus Pourpre; Turbulent; Acrobate majeur; Survivant majeur; Equilibriste majeur; Voyageur; Dragodinde Ebène et Ivoire</t>
        </is>
      </c>
    </row>
    <row r="27802">
      <c r="A27802" t="inlineStr">
        <is>
          <t>Iop M 200</t>
        </is>
      </c>
      <c r="B27802">
        <f>HYPERLINK("https://www.dofusbook.net/fr/equipement/3659208-iop-m-200/objets", "link")</f>
        <v/>
      </c>
      <c r="C27802" t="n">
        <v>2</v>
      </c>
      <c r="D27802" t="inlineStr">
        <is>
          <t>Collier de Tourthon; Anneau Crustique; Anneau Crustique; Bouclier du Captain Amakna; Ceintouse; Chapoulpe; Cape au Logis; Tentassons; Dofus des Glaces; Dofus Turquoise; Dofus Ocre; Dofus Nébuleux; Dofus Pourpre; Dofus Ivoire; Volkorne Pourpre</t>
        </is>
      </c>
    </row>
    <row r="27803">
      <c r="A27803" t="inlineStr">
        <is>
          <t>Retrait PM</t>
        </is>
      </c>
      <c r="B27803">
        <f>HYPERLINK("https://www.dofusbook.net/fr/equipement/3020386-retrait-pm/objets", "link")</f>
        <v/>
      </c>
      <c r="C27803" t="n">
        <v>0</v>
      </c>
      <c r="D27803" t="inlineStr">
        <is>
          <t>Marteau R'ture; Amulette Luminescente; Pikano; Chevalière du Roi Joueur; Bouclier cubiste; Ceinture Luminescente; Couronne du Roi Joueur; Cape Luminescente; Bottes du Roi Joueur; Dofus Turquoise; Dolmanax; Dofus Ocre; Dofus Pourpre; Entraveur majeur; Robuste majeur; Muldo Doré et Emeraude</t>
        </is>
      </c>
    </row>
    <row r="27804">
      <c r="A27804" t="inlineStr">
        <is>
          <t>Pandawa F 200</t>
        </is>
      </c>
      <c r="B27804">
        <f>HYPERLINK("https://www.dofusbook.net/fr/equipement/5619199-pandawa-f-200/objets", "link")</f>
        <v/>
      </c>
      <c r="C27804" t="n">
        <v>3</v>
      </c>
      <c r="D27804" t="inlineStr">
        <is>
          <t>Rouleau à Pâtisserie d'Aermyne; Collier Rophante; Anneau de Pol Ouatnos; Alliance Gloursonne; Bouclier d'Anerice; Ceintacé; Casque Dragoeuf; Cape d'Anerice; Pataugastrique; Dofus Ocre; Dofus Émeraude; Dofus Ivoire; Obstructeur majeur; Miraculé majeur; Bloqueur majeur; Givrefoux</t>
        </is>
      </c>
    </row>
    <row r="27805">
      <c r="A27805" t="inlineStr">
        <is>
          <t>Sram F 200</t>
        </is>
      </c>
      <c r="B27805">
        <f>HYPERLINK("https://www.dofusbook.net/fr/equipement/5632261-sram-f-200/objets", "link")</f>
        <v/>
      </c>
      <c r="C27805" t="n">
        <v>1</v>
      </c>
      <c r="D27805" t="inlineStr">
        <is>
          <t>Arc corrompu; Amulette Séculaire; Anneauræus; Bague Gloursonne; Cadran d'Eau; Ceinture Séculaire; Heaume Oplate; Cape de Nileza; Pataugastrique; Dofus Turquoise; Dofus Pourpre; Savant majeur; Remueur; Nomade; Érudit majeur; Muldo Orchidée et Pourpre</t>
        </is>
      </c>
    </row>
    <row r="27806">
      <c r="A27806" t="inlineStr">
        <is>
          <t>Roublard F 200</t>
        </is>
      </c>
      <c r="B27806">
        <f>HYPERLINK("https://www.dofusbook.net/fr/equipement/5648626-roublard-f-200/objets", "link")</f>
        <v/>
      </c>
      <c r="C27806" t="n">
        <v>4</v>
      </c>
      <c r="D27806" t="inlineStr">
        <is>
          <t>Manthache; Collier du Valet Veinard; Alliance Gloursonne; Gant du Valet Veinard; Bouclier du Stalak; Menoture; Couronne d'Allister; Cape Indescriptible; Palmes Trithons; Dofus Pourpre; Dévastateur Air majeur; Remueur; Cascadeur majeur; Saccageur Air majeur; Nomade; Siroko</t>
        </is>
      </c>
    </row>
    <row r="27807">
      <c r="A27807" t="inlineStr">
        <is>
          <t>Roublard F 200</t>
        </is>
      </c>
      <c r="B27807">
        <f>HYPERLINK("https://www.dofusbook.net/fr/equipement/5617470-roublard-f-200/objets", "link")</f>
        <v/>
      </c>
      <c r="C27807" t="n">
        <v>3</v>
      </c>
      <c r="D27807" t="inlineStr">
        <is>
          <t>Arc corrompu; Amulette Volkorne; Bague Gloursonne; Anneau Tamie; Bouclier du Stalak; Ceintrigue; Heaume Oplate; Cape de Diondin; Bottes Owesli; Nomade; Saccageur Feu majeur; Astucieux majeur; Érudit majeur; Dévastateur Feu majeur; Remueur; Bisouglours</t>
        </is>
      </c>
    </row>
    <row r="27808">
      <c r="A27808" t="inlineStr">
        <is>
          <t>ikjhgfds</t>
        </is>
      </c>
      <c r="B27808">
        <f>HYPERLINK("https://www.dofusbook.net/fr/equipement/5645095-ikjhgfds/objets", "link")</f>
        <v/>
      </c>
      <c r="C27808" t="n">
        <v>1</v>
      </c>
      <c r="D27808" t="inlineStr">
        <is>
          <t>Pyraguette; Amulette Volkorne; Anneau Tamie; Anneau Tamie; Bouclier du Stalak; Ceintrigue; Heaume Oplate; Cape de Diondin; Bottes Owesli; Dofus des Glaces; Érudit majeur; Dévastateur Feu majeur; Nomade; Astucieux majeur; Saccageur Feu majeur; Bisouglours</t>
        </is>
      </c>
    </row>
    <row r="27809">
      <c r="A27809" t="inlineStr">
        <is>
          <t>Liyykkuh</t>
        </is>
      </c>
      <c r="B27809">
        <f>HYPERLINK("https://www.dofusbook.net/fr/equipement/5597953-liyykkuh/objets", "link")</f>
        <v/>
      </c>
      <c r="C27809" t="n">
        <v>0</v>
      </c>
      <c r="D27809" t="inlineStr">
        <is>
          <t>Héqache; Torquistik; Anneauræus; Anneauræus; Bouclier Taverne; Sangle Ouare; Masque Paztek; Cape Solution; Sandales Paztek; Dofus Abyssal; Dofus Ivoire; Dofus Ocre; Bousculeur majeur; Érudit majeur; Culbuteur majeur; Scarakiri</t>
        </is>
      </c>
    </row>
    <row r="27810">
      <c r="A27810" t="inlineStr">
        <is>
          <t>Pandawa F 200</t>
        </is>
      </c>
      <c r="B27810">
        <f>HYPERLINK("https://www.dofusbook.net/fr/equipement/5620795-pandawa-f-200/objets", "link")</f>
        <v/>
      </c>
      <c r="C27810" t="n">
        <v>0</v>
      </c>
      <c r="D27810" t="inlineStr">
        <is>
          <t>Manthache; Amulette d'Ilyzaelle; Gant du Valet Veinard; Alliance Gloursonne; Cadran d'Air; Menoture; Casque d'Ilyzaelle; Cape Indescriptible; Palmes Trithons; Dofus Ocre; Dofus Abyssal; Dofus Ivoire; Dofus Ébène; Cavaleur majeur; Cascadeur majeur; Muldo Ebène et Pourpre</t>
        </is>
      </c>
    </row>
    <row r="27811">
      <c r="A27811" t="inlineStr">
        <is>
          <t>Pandawa F 200</t>
        </is>
      </c>
      <c r="B27811">
        <f>HYPERLINK("https://www.dofusbook.net/fr/equipement/5620719-pandawa-f-200/objets", "link")</f>
        <v/>
      </c>
      <c r="C27811" t="n">
        <v>0</v>
      </c>
      <c r="D27811" t="inlineStr">
        <is>
          <t>Manthache; Collier du Valet Veinard; Alliance Gloursonne; Gant du Valet Veinard; Bouclier du Stalak; Menoture; Dorabysses; Cape Martegel; Palmes Trithons; Dofus Abyssal; Dofus Ocre; Dofus Ébène; Dofus Ivoire; Nomade; Cascadeur majeur; Kramkram</t>
        </is>
      </c>
    </row>
    <row r="27812">
      <c r="A27812" t="inlineStr">
        <is>
          <t>Pandawa F 200</t>
        </is>
      </c>
      <c r="B27812">
        <f>HYPERLINK("https://www.dofusbook.net/fr/equipement/5620679-pandawa-f-200/objets", "link")</f>
        <v/>
      </c>
      <c r="C27812" t="n">
        <v>0</v>
      </c>
      <c r="D27812" t="inlineStr">
        <is>
          <t>Manthache; Amulette Martegel; Gant du Valet Veinard; Alliance Gloursonne; Bouclier du Stalak; Menoture; Dorabysses; Cape Martegel; Palmes Trithons; Dofus Ocre; Dofus Ébène; Dofus Ivoire; Dofus Abyssal; Cascadeur majeur; Nomade; Kramkram</t>
        </is>
      </c>
    </row>
    <row r="27813">
      <c r="A27813" t="inlineStr">
        <is>
          <t>Zlekfbgb</t>
        </is>
      </c>
      <c r="B27813">
        <f>HYPERLINK("https://www.dofusbook.net/fr/equipement/5615953-zlekfbgb/objets", "link")</f>
        <v/>
      </c>
      <c r="C27813" t="n">
        <v>2</v>
      </c>
      <c r="D27813" t="inlineStr">
        <is>
          <t>Arc corrompu; Amulette Séculaire; Anneauræus; Bague Gloursonne; Quatre-feuilles; Ceinture Séculaire; Heaume Oplate; Voile d'encre; Pataugastrique; Dofus Turquoise; Dofus Pourpre; Savant majeur; Remueur; Nomade; Érudit majeur; Muldo Orchidée et Pourpre</t>
        </is>
      </c>
    </row>
    <row r="27814">
      <c r="A27814" t="inlineStr">
        <is>
          <t>Crâ F 200</t>
        </is>
      </c>
      <c r="B27814">
        <f>HYPERLINK("https://www.dofusbook.net/fr/equipement/5508442-cra-f-200/objets", "link")</f>
        <v/>
      </c>
      <c r="C27814" t="n">
        <v>0</v>
      </c>
      <c r="D27814" t="inlineStr">
        <is>
          <t>Arc Volkorne; Amulette du Strigide; Anneau de Padgref; Bracelet du Piloztère; Quatre-feuilles; Ceinture du Strigide; Coiffe de Padgref; Chevelure de Tal Kasha; Getas de Padgref; Dofus Ocre; Dofus Pourpre; Dofus Ivoire; Dofus Turquoise; Dolmanax; Voyageur; Kokulte</t>
        </is>
      </c>
    </row>
    <row r="27815">
      <c r="A27815" t="inlineStr">
        <is>
          <t>Enu M 200</t>
        </is>
      </c>
      <c r="B27815">
        <f>HYPERLINK("https://www.dofusbook.net/fr/equipement/5518359-enu-m-200/objets", "link")</f>
        <v/>
      </c>
      <c r="C27815" t="n">
        <v>2</v>
      </c>
      <c r="D27815" t="inlineStr">
        <is>
          <t>Baguette Hique; Collier de la Dame du Hasard; Alliance Gloursonne; Anneau des Prophètes; Bouclier cubiste; Sangle Ouare; Kidibonnet; Cape de la Dame du Hasard; Pataugastrique; Dofus Pourpre; Dofus Ocre; Nomade; Miraculé majeur; Chanceux majeur; Joueur majeur; Dehluge</t>
        </is>
      </c>
    </row>
    <row r="27816">
      <c r="A27816" t="inlineStr">
        <is>
          <t>Féca F 200</t>
        </is>
      </c>
      <c r="B27816">
        <f>HYPERLINK("https://www.dofusbook.net/fr/equipement/5414624-feca-f-200/objets", "link")</f>
        <v/>
      </c>
      <c r="C27816" t="n">
        <v>2</v>
      </c>
      <c r="D27816" t="inlineStr">
        <is>
          <t>Manthache; Collier du Valet Veinard; Gant du Valet Veinard; Alliance Gloursonne; Cadran d'Eau; Menoture; Dorabysses; Cape Indescriptible; Palmes Trithons; Dofus Émeraude; Dofus Ocre; Dofus Ivoire; Dofus Pourpre; Acrobate majeur; Cascadeur majeur; Muldo Ebène</t>
        </is>
      </c>
    </row>
    <row r="27817">
      <c r="A27817" t="inlineStr">
        <is>
          <t>hgfd</t>
        </is>
      </c>
      <c r="B27817">
        <f>HYPERLINK("https://www.dofusbook.net/fr/equipement/5445409-hgfd/objets", "link")</f>
        <v/>
      </c>
      <c r="C27817" t="n">
        <v>0</v>
      </c>
      <c r="D27817" t="inlineStr">
        <is>
          <t>Dagues Ricol; Amulette Séculaire; Bague Gloursonne; Anneauræus; Cadran d'Eau; Ceinture Séculaire; Heaume Oplate; Voile d'encre; Pataugastrique; Dofus Émeraude; Dofus Turquoise; Dofus Ivoire; Remueur; Nomade; Érudit majeur; Muldo Orchidée et Pourpre</t>
        </is>
      </c>
    </row>
    <row r="27818">
      <c r="A27818" t="inlineStr">
        <is>
          <t>Crâ F 200</t>
        </is>
      </c>
      <c r="B27818">
        <f>HYPERLINK("https://www.dofusbook.net/fr/equipement/5452585-cra-f-200/objets", "link")</f>
        <v/>
      </c>
      <c r="C27818" t="n">
        <v>0</v>
      </c>
      <c r="D27818" t="inlineStr">
        <is>
          <t>Héqache; Amulette du Strigide; Bracelet du Piloztère; Bague Gloursonne; Cadran d'Eau; Ceinture du Strigide; Casque du Chalœil; Cape du Chalœil; Bottes du Chalœil; Dofus Turquoise; Dofus des Glaces; Dofus Ocre; Dofus Abyssal; Dofus Émeraude; Dofus Ivoire; Muldo Indigo et Orchidée</t>
        </is>
      </c>
    </row>
    <row r="27819">
      <c r="A27819" t="inlineStr">
        <is>
          <t>Pandawa F 200</t>
        </is>
      </c>
      <c r="B27819">
        <f>HYPERLINK("https://www.dofusbook.net/fr/equipement/5440477-pandawa-f-200/objets", "link")</f>
        <v/>
      </c>
      <c r="C27819" t="n">
        <v>0</v>
      </c>
      <c r="D27819" t="inlineStr">
        <is>
          <t>Lav'Hache; Amulette Volkorne; Bague Gloursonne; Anneau Chevelu; Bouclier d'Ilyzaelle; Ceinture Volkorne; Masque de Koutoulou; Cape au Logis; Bottes du Katcheur; Dofus Ivoire; Dofus Turquoise; Dofus Abyssal; Dofus Émeraude; Dofus Ocre; Enragé majeur; Kramkram</t>
        </is>
      </c>
    </row>
    <row r="27820">
      <c r="A27820" t="inlineStr">
        <is>
          <t>dgffd</t>
        </is>
      </c>
      <c r="B27820">
        <f>HYPERLINK("https://www.dofusbook.net/fr/equipement/5382565-dgffd/objets", "link")</f>
        <v/>
      </c>
      <c r="C27820" t="n">
        <v>0</v>
      </c>
      <c r="D27820" t="inlineStr">
        <is>
          <t>Baguette Hique; Collier de la Dame du Hasard; Alliance Gloursonne; Anneau des Prophètes; Bouclier cubiste; Sangle Ouare; Kidibonnet; Cape de la Dame du Hasard; Pataugastrique; Dofus Ocre; Nomade; Temporiseur majeur; Ralentisseur majeur; Chanceux majeur; Entraveur majeur; Blokus</t>
        </is>
      </c>
    </row>
    <row r="27821">
      <c r="A27821" t="inlineStr">
        <is>
          <t>test eau feu</t>
        </is>
      </c>
      <c r="B27821">
        <f>HYPERLINK("https://www.dofusbook.net/fr/equipement/4953298-test-eau-feu/objets", "link")</f>
        <v/>
      </c>
      <c r="C27821" t="n">
        <v>3</v>
      </c>
      <c r="D27821" t="inlineStr">
        <is>
          <t>Couteaux Sacrificiels; Amulette Volkorne; Anneau Volkorne; Lavanneau; Bouclier d'Ilyzaelle; Ceintrigue; Casque Dragoeuf; Voilamibe; Pataugastrique; Dofus Pourpre; Dofus Ivoire; Dofus des Glaces; Dofus Émeraude; Dofus Abyssal; Remueur; Walk</t>
        </is>
      </c>
    </row>
    <row r="27822">
      <c r="A27822" t="inlineStr">
        <is>
          <t>dhf</t>
        </is>
      </c>
      <c r="B27822">
        <f>HYPERLINK("https://www.dofusbook.net/fr/equipement/4730916-dhf/objets", "link")</f>
        <v/>
      </c>
      <c r="C27822" t="n">
        <v>0</v>
      </c>
      <c r="D27822" t="inlineStr">
        <is>
          <t>Arc corrompu; Amulette Martegel; Anneauræus; Anneauræus; Bouclier du Stalak; Ceinture de Vortex; Heaume Oplate; Cape Martegel; Bottes du Chalœil; Dofus Nébuleux; Dofus Pourpre; Nomade; Robuste majeur; Vigoureux majeur; Érudit majeur; Kougnard</t>
        </is>
      </c>
    </row>
    <row r="27823">
      <c r="A27823" t="inlineStr">
        <is>
          <t>feu pvp</t>
        </is>
      </c>
      <c r="B27823">
        <f>HYPERLINK("https://www.dofusbook.net/fr/equipement/3216701-feu-pvp/objets", "link")</f>
        <v/>
      </c>
      <c r="C27823" t="n">
        <v>2</v>
      </c>
      <c r="D27823" t="inlineStr">
        <is>
          <t>Arc Hétype; Amulette de Nileza; Anneau Tique; Alliance Gloursonne; Carapar; Ceinture de Vortex; Boucle d'oreille de Kongoku; Cape de Diondin; Tongues de Nidas; Dofus Ocre; Dofus Abyssal; Miraculé majeur; Carapace Terre majeur; Érudit majeur; Savant majeur; Muldo Orchidée et Pourpre</t>
        </is>
      </c>
    </row>
    <row r="27824">
      <c r="A27824" t="inlineStr">
        <is>
          <t>Féca F 200</t>
        </is>
      </c>
      <c r="B27824">
        <f>HYPERLINK("https://www.dofusbook.net/fr/equipement/4946526-feca-f-200/objets", "link")</f>
        <v/>
      </c>
      <c r="C27824" t="n">
        <v>3</v>
      </c>
      <c r="D27824" t="inlineStr">
        <is>
          <t>Rapière aux Glyphes; Amulette de l'Œil Attentif; Alliance Gloursonne; Bracelet des Fonds marins; Bouclier du Stalak; Ceinture Glaciale; Capuche de l'Œil Attentif; Cape de l'Œil Attentif; Sandales des Fonds marins; Dofus Turquoise; Dofus Vulbis; Dofus Ocre; Dofus Ivoire; Dofus Pourpre; Dofus Ébène; Fëanor</t>
        </is>
      </c>
    </row>
    <row r="27825">
      <c r="A27825" t="inlineStr">
        <is>
          <t>Féca F 200</t>
        </is>
      </c>
      <c r="B27825">
        <f>HYPERLINK("https://www.dofusbook.net/fr/equipement/4157638-feca-f-200/objets", "link")</f>
        <v/>
      </c>
      <c r="C27825" t="n">
        <v>0</v>
      </c>
      <c r="D27825" t="inlineStr">
        <is>
          <t>Arc corrompu; Amulette Séculaire; Anneau de Nidas; Anneau Tique; Quatre-feuilles; Ceinture Séculaire; Coiffe Séculaire; Voile d'encre; Bottes Innommables; Dofus Ocre; Dofus Pourpre; Dofus des Glaces; Dofus Ivoire; Dolmanax; Dofus Turquoise; Phorror</t>
        </is>
      </c>
    </row>
    <row r="27826">
      <c r="A27826" t="inlineStr">
        <is>
          <t>Féca F 200</t>
        </is>
      </c>
      <c r="B27826">
        <f>HYPERLINK("https://www.dofusbook.net/fr/equipement/4141443-feca-f-200/objets", "link")</f>
        <v/>
      </c>
      <c r="C27826" t="n">
        <v>0</v>
      </c>
      <c r="D27826" t="inlineStr">
        <is>
          <t>Lav'Hache; Amulette du Strigide; Bague Gloursonne; Anneau Crustique; Sept ans de malheur; Ceinture Volkorne; Chapoulpe; Voile d'encre; Tentassons; Dofus Émeraude; Dofus Ocre; Dofus Abyssal; Dofus Ivoire; Remueur; Nomade; Drakopin</t>
        </is>
      </c>
    </row>
    <row r="27827">
      <c r="A27827" t="inlineStr">
        <is>
          <t>Féca F 200</t>
        </is>
      </c>
      <c r="B27827">
        <f>HYPERLINK("https://www.dofusbook.net/fr/equipement/4135287-feca-f-200/objets", "link")</f>
        <v/>
      </c>
      <c r="C27827" t="n">
        <v>0</v>
      </c>
      <c r="D27827" t="inlineStr">
        <is>
          <t>Rapière aux Glyphes; Amulette de Shokkoth; Bracelet des Fonds marins; Alliance Gloursonne; Quatre-feuilles; Sangle Ouare; Kidibonnet; Cape de l'Œil Attentif; Sandales des Fonds marins; Dofus des Glaces; Dofus Pourpre; Dofus Turquoise; Dofus Ivoire; Dofus Ocre; Chanceux majeur; Kanigloups</t>
        </is>
      </c>
    </row>
    <row r="27828">
      <c r="A27828" t="inlineStr">
        <is>
          <t>Huppermage F 200</t>
        </is>
      </c>
      <c r="B27828">
        <f>HYPERLINK("https://www.dofusbook.net/fr/equipement/4001806-huppermage-f-200/objets", "link")</f>
        <v/>
      </c>
      <c r="C27828" t="n">
        <v>0</v>
      </c>
      <c r="D27828" t="inlineStr">
        <is>
          <t>Marteau Phossile; Amulette du Strigide; Anneau Tique; Alliance Gloursonne; Ceinture du Strigide; Casque Cyclopéen; Voile d'encre; Sandales  d'Atcham; Minimino</t>
        </is>
      </c>
    </row>
    <row r="27829">
      <c r="A27829" t="inlineStr">
        <is>
          <t>Huppermage F 200</t>
        </is>
      </c>
      <c r="B27829">
        <f>HYPERLINK("https://www.dofusbook.net/fr/equipement/3988967-huppermage-f-200/objets", "link")</f>
        <v/>
      </c>
      <c r="C27829" t="n">
        <v>0</v>
      </c>
      <c r="D27829" t="inlineStr">
        <is>
          <t>Sabres d'Atcham; Amulette du Strigide; Alliance Gloursonne; Bracelet du Piloztère; Bouclier d'Ilyzaelle; Ceinture de Kongoku; Masque de Koutoulou; Voile d'encre; Sandales  d'Atcham; Dofus Ocre; Dolmanax; Dofus Abyssal; Dofus Turquoise; Dofus Ivoire; Nomade; El Scarador</t>
        </is>
      </c>
    </row>
    <row r="27830">
      <c r="A27830" t="inlineStr">
        <is>
          <t>Xélor F 200</t>
        </is>
      </c>
      <c r="B27830">
        <f>HYPERLINK("https://www.dofusbook.net/fr/equipement/3988367-xelor-f-200/objets", "link")</f>
        <v/>
      </c>
      <c r="C27830" t="n">
        <v>0</v>
      </c>
      <c r="D27830" t="inlineStr">
        <is>
          <t>Manthache; Collier du Valet Veinard; Alliance Gloursonne; Gant du Valet Veinard; Quatre-feuilles; Menoture; Couronne d'Allister; Cape Indescriptible; Palmes Trithons; Dofus Nébuleux; Dofus Turquoise; Dofus Abyssal; Dofus Pourpre; Remueur; Nomade; Blérodoudou</t>
        </is>
      </c>
    </row>
    <row r="27831">
      <c r="A27831" t="inlineStr">
        <is>
          <t>Iop M 200</t>
        </is>
      </c>
      <c r="B27831">
        <f>HYPERLINK("https://www.dofusbook.net/fr/equipement/3981950-iop-m-200/objets", "link")</f>
        <v/>
      </c>
      <c r="C27831" t="n">
        <v>0</v>
      </c>
      <c r="D27831" t="inlineStr">
        <is>
          <t>Bâthon; Amulette du Strigide; Bague Gloursonne; Bracelet du Piloztère; Quatre-feuilles; Ceinture du Strigide; Chapeau de Gein; Voile d'encre; Pompes Funèbres; Dofus Abyssal; Dofus Turquoise; Dofus Pourpre; Vigoureux majeur; Nomade; Remueur; Fëanor</t>
        </is>
      </c>
    </row>
    <row r="27832">
      <c r="A27832" t="inlineStr">
        <is>
          <t>Ecaflip M 200</t>
        </is>
      </c>
      <c r="B27832">
        <f>HYPERLINK("https://www.dofusbook.net/fr/equipement/3617010-ecaflip-m-200/objets", "link")</f>
        <v/>
      </c>
      <c r="C27832" t="n">
        <v>1</v>
      </c>
      <c r="D27832" t="inlineStr">
        <is>
          <t>Epée Maudite du Saigneur Guerrier; Amulette du Strigide; Alliance Gloursonne; Alliance Brûlâme; Bouclier du Captain Amakna; Ceintacé; Casque du Chalœil; Voile d'encre; Bottes du Strigide; Dofus Pourpre; Dofus Ivoire; Dofus Ocre; Dofus Nébuleux; Nomade; Vigoureux majeur; Chacha Angora</t>
        </is>
      </c>
    </row>
    <row r="27833">
      <c r="A27833" t="inlineStr">
        <is>
          <t>Crâ M 200</t>
        </is>
      </c>
      <c r="B27833">
        <f>HYPERLINK("https://www.dofusbook.net/fr/equipement/3949171-cra-m-200/objets", "link")</f>
        <v/>
      </c>
      <c r="C27833" t="n">
        <v>0</v>
      </c>
      <c r="D27833" t="inlineStr"/>
    </row>
    <row r="27834">
      <c r="A27834" t="inlineStr">
        <is>
          <t>Eniripsa F 200</t>
        </is>
      </c>
      <c r="B27834">
        <f>HYPERLINK("https://www.dofusbook.net/fr/equipement/3947314-eniripsa-f-200/objets", "link")</f>
        <v/>
      </c>
      <c r="C27834" t="n">
        <v>0</v>
      </c>
      <c r="D27834" t="inlineStr">
        <is>
          <t>Arc corrompu; Amulette de Nileza; Bague Gloursonne; Anneau de Nidas; Bouclier du Cycloïde; Ceinture Séculaire; Coiffe Séculaire; Voile d'encre; Bottes d'Otomaï; Dofus Abyssal; Dofus Ocre; Nomade; Guérisseur majeur; Remueur; Érudit majeur; Meuch</t>
        </is>
      </c>
    </row>
    <row r="27835">
      <c r="A27835" t="inlineStr">
        <is>
          <t>Steamer F 200</t>
        </is>
      </c>
      <c r="B27835">
        <f>HYPERLINK("https://www.dofusbook.net/fr/equipement/3805704-steamer-f-200/objets", "link")</f>
        <v/>
      </c>
      <c r="C27835" t="n">
        <v>0</v>
      </c>
      <c r="D27835" t="inlineStr">
        <is>
          <t>Arc de Koutoulou; Amulette du Strigide; Bracelet des Fonds marins; Alliance Gloursonne; Quatre-feuilles; Ceinture du Strigide; Kidibonnet; Chevelure de Tal Kasha; Bottes de la Reine des Voleurs; Dofus Pourpre; Dofus Turquoise; Dofus Ocre; Dofus des Glaces; Vigoureux majeur; Nomade; Kokulte</t>
        </is>
      </c>
    </row>
    <row r="27836">
      <c r="A27836" t="inlineStr">
        <is>
          <t>Sacrieur M 200</t>
        </is>
      </c>
      <c r="B27836">
        <f>HYPERLINK("https://www.dofusbook.net/fr/equipement/3568007-sacrieur-m-200/objets", "link")</f>
        <v/>
      </c>
      <c r="C27836" t="n">
        <v>0</v>
      </c>
      <c r="D27836" t="inlineStr"/>
    </row>
    <row r="27837">
      <c r="A27837" t="inlineStr">
        <is>
          <t>Eniripsa F 200</t>
        </is>
      </c>
      <c r="B27837">
        <f>HYPERLINK("https://www.dofusbook.net/fr/equipement/3657655-eniripsa-f-200/objets", "link")</f>
        <v/>
      </c>
      <c r="C27837" t="n">
        <v>3</v>
      </c>
      <c r="D27837" t="inlineStr">
        <is>
          <t>Dagues Ricol; Amulette de Nileza; Anneau de Nidas; Anneau Tique; Carapar; Ceinture de Gein; Heaume Oplate; Voile d'encre; Pataugastrique; Dolmanax; Dofus Émeraude; Miraculé majeur; Érudit majeur; Guérisseur majeur; Remueur; El Scarador</t>
        </is>
      </c>
    </row>
    <row r="27838">
      <c r="A27838" t="inlineStr">
        <is>
          <t>Eniripsa F 200</t>
        </is>
      </c>
      <c r="B27838">
        <f>HYPERLINK("https://www.dofusbook.net/fr/equipement/3657686-eniripsa-f-200/objets", "link")</f>
        <v/>
      </c>
      <c r="C27838" t="n">
        <v>0</v>
      </c>
      <c r="D27838" t="inlineStr"/>
    </row>
    <row r="27839">
      <c r="A27839" t="inlineStr">
        <is>
          <t>Steamer M 200</t>
        </is>
      </c>
      <c r="B27839">
        <f>HYPERLINK("https://www.dofusbook.net/fr/equipement/3614483-steamer-m-200/objets", "link")</f>
        <v/>
      </c>
      <c r="C27839" t="n">
        <v>0</v>
      </c>
      <c r="D27839" t="inlineStr">
        <is>
          <t>Hachoirs de Viandargh; Amibou; Bague Trithon; Alliance Gloursonne; Bouclier précieux; Ceinture du Nocturlabe; Couronne d'Allister; Capibou; Palmes Trithons; Dofus Ocre; Dofus Abyssal; Dofus Ivoire; Bousculeur majeur; Nomade</t>
        </is>
      </c>
    </row>
    <row r="27840">
      <c r="A27840" t="inlineStr">
        <is>
          <t>Steamer M 200</t>
        </is>
      </c>
      <c r="B27840">
        <f>HYPERLINK("https://www.dofusbook.net/fr/equipement/3613460-steamer-m-200/objets", "link")</f>
        <v/>
      </c>
      <c r="C27840" t="n">
        <v>1</v>
      </c>
      <c r="D27840" t="inlineStr">
        <is>
          <t>Lance corrompue; Amulette du Cœur Vaillant; Alliance Brûlâme; Bague Trithon; Bouclier précieux; Ceinture Gence; Casque Dragoeuf; Cape du Cœur Vaillant; Bottes Owesli; Dofus Abyssal; Dofus Ivoire; Dofus Ocre; Pousseur majeur; Bousculeur majeur; Culbuteur majeur; Muldo Ebène et Pourpre</t>
        </is>
      </c>
    </row>
    <row r="27841">
      <c r="A27841" t="inlineStr">
        <is>
          <t>Sacrieur M 200</t>
        </is>
      </c>
      <c r="B27841">
        <f>HYPERLINK("https://www.dofusbook.net/fr/equipement/3579739-sacrieur-m-200/objets", "link")</f>
        <v/>
      </c>
      <c r="C27841" t="n">
        <v>0</v>
      </c>
      <c r="D27841" t="inlineStr">
        <is>
          <t>Dagues Érhy; Amulette Volcanique; Bague Gloursonne; Chevalière du Roi Joueur; Bouclier du Captain Amakna; Ceinture de Gein; Chapeau de Gein; Voile d'encre; Bottes de la Cour Sombre; Dofus Turquoise; Dofus Émeraude; Dofus Abyssal; Dofus Pourpre; Dofus Ivoire; Miraculé majeur; Croum</t>
        </is>
      </c>
    </row>
    <row r="27842">
      <c r="A27842" t="inlineStr">
        <is>
          <t>Sacrieur M 200</t>
        </is>
      </c>
      <c r="B27842">
        <f>HYPERLINK("https://www.dofusbook.net/fr/equipement/3579182-sacrieur-m-200/objets", "link")</f>
        <v/>
      </c>
      <c r="C27842" t="n">
        <v>0</v>
      </c>
      <c r="D27842" t="inlineStr">
        <is>
          <t>Massier; Amulette d'Otomaï; Anneauræus; Anneau Tique; Quatre-feuilles; Ceinture Séculaire; Coiffe Séculaire; Voile d'encre; Bottes Innommables; Dofus Abyssal; Dofus Ocre; Dofus Ivoire; Nomade; Remueur; Miraculé majeur; Croum</t>
        </is>
      </c>
    </row>
    <row r="27843">
      <c r="A27843" t="inlineStr">
        <is>
          <t>Sacrieur M 200</t>
        </is>
      </c>
      <c r="B27843">
        <f>HYPERLINK("https://www.dofusbook.net/fr/equipement/3574533-sacrieur-m-200/objets", "link")</f>
        <v/>
      </c>
      <c r="C27843" t="n">
        <v>0</v>
      </c>
      <c r="D27843" t="inlineStr">
        <is>
          <t>Marteau R'ture; Amulette du Strigide; Anneau Chevelu; Anneau de Brouce; Bouclier du Captain Amakna; Ceinture du Strigide; Coiffe de la Reine des Voleurs; Cape au Logis; Bottes de la Cour Sombre; Dofus Ivoire; Dofus Turquoise; Dofus Ocre; Dofus Nébuleux; Dofus Pourpre; Remueur; Croum</t>
        </is>
      </c>
    </row>
    <row r="27844">
      <c r="A27844" t="inlineStr">
        <is>
          <t>Sacrieur M 200</t>
        </is>
      </c>
      <c r="B27844">
        <f>HYPERLINK("https://www.dofusbook.net/fr/equipement/3573056-sacrieur-m-200/objets", "link")</f>
        <v/>
      </c>
      <c r="C27844" t="n">
        <v>1</v>
      </c>
      <c r="D27844" t="inlineStr">
        <is>
          <t>Rouleau à Pâtisserie d'Aermyne; Amulette du Strigide; Alliance Brûlâme; Alliance Gloursonne; Bouclier d'Ilyzaelle; Protopagne; Masque d'Anerice; Cape d'Anerice; Pataugastrique; Dofus Abyssal; Dofus Ivoire; Dofus Émeraude; Obstructeur majeur; Miraculé majeur; Remueur; Homlett</t>
        </is>
      </c>
    </row>
    <row r="27845">
      <c r="A27845" t="inlineStr">
        <is>
          <t>Sacrieur M 200</t>
        </is>
      </c>
      <c r="B27845">
        <f>HYPERLINK("https://www.dofusbook.net/fr/equipement/3568626-sacrieur-m-200/objets", "link")</f>
        <v/>
      </c>
      <c r="C27845" t="n">
        <v>3</v>
      </c>
      <c r="D27845" t="inlineStr">
        <is>
          <t>Marteau des Anciens Steamers; Amulette du Strigide; Alliance Gloursonne; Bracelet des Fonds marins; Bouclier du Captain Amakna; Ceinture de la Reine des Voleurs; Kidibonnet; Chevelure de Tal Kasha; Bottes de la Reine des Voleurs; Dofus Abyssal; Dofus des Glaces; Dofus Émeraude; Dofus Ocre; Dofus Pourpre; Nomade; Croum</t>
        </is>
      </c>
    </row>
    <row r="27846">
      <c r="A27846" t="inlineStr">
        <is>
          <t>Terre rox</t>
        </is>
      </c>
      <c r="B27846">
        <f>HYPERLINK("https://www.dofusbook.net/fr/equipement/3565480-terre-rox/objets", "link")</f>
        <v/>
      </c>
      <c r="C27846" t="n">
        <v>1</v>
      </c>
      <c r="D27846" t="inlineStr">
        <is>
          <t>Lav'Hache; Amulette du Strigide; Anneau Crustique; Bague Gloursonne; Sept ans de malheur; Ceintouse; Voile d'encre; Bottes Honyme; Dofus Ivoire; Dofus Émeraude; Étourdisseur majeur; Obstructeur majeur; Nomade; Remueur; Croum</t>
        </is>
      </c>
    </row>
    <row r="27847">
      <c r="A27847" t="inlineStr">
        <is>
          <t>Terre retrait PA</t>
        </is>
      </c>
      <c r="B27847">
        <f>HYPERLINK("https://www.dofusbook.net/fr/equipement/3565425-terre-retrait-pa/objets", "link")</f>
        <v/>
      </c>
      <c r="C27847" t="n">
        <v>1</v>
      </c>
      <c r="D27847" t="inlineStr">
        <is>
          <t>Lav'Hache; Amulette du Strigide; Bague Gloursonne; Anneau Crustique; Sept ans de malheur; Ceintouse; Chapoulpe; Voile d'encre; Bottes Honyme; Dofus Ivoire; Dofus Émeraude; Étourdisseur majeur; Obstructeur majeur; Nomade; Remueur; Croum</t>
        </is>
      </c>
    </row>
    <row r="27848">
      <c r="A27848" t="inlineStr">
        <is>
          <t>Sram F 200</t>
        </is>
      </c>
      <c r="B27848">
        <f>HYPERLINK("https://www.dofusbook.net/fr/equipement/3565065-sram-f-200/objets", "link")</f>
        <v/>
      </c>
      <c r="C27848" t="n">
        <v>0</v>
      </c>
      <c r="D27848" t="inlineStr"/>
    </row>
    <row r="27849">
      <c r="A27849" t="inlineStr">
        <is>
          <t>Eniripsa M 200</t>
        </is>
      </c>
      <c r="B27849">
        <f>HYPERLINK("https://www.dofusbook.net/fr/equipement/3545830-eniripsa-m-200/objets", "link")</f>
        <v/>
      </c>
      <c r="C27849" t="n">
        <v>0</v>
      </c>
      <c r="D27849" t="inlineStr"/>
    </row>
    <row r="27850">
      <c r="A27850" t="inlineStr">
        <is>
          <t>Eni full air</t>
        </is>
      </c>
      <c r="B27850">
        <f>HYPERLINK("https://www.dofusbook.net/fr/equipement/3545669-eni-full-air/objets", "link")</f>
        <v/>
      </c>
      <c r="C27850" t="n">
        <v>0</v>
      </c>
      <c r="D27850" t="inlineStr">
        <is>
          <t>Manthache; Collier du Valet Veinard; Gant du Valet Veinard; Alliance Gloursonne; Bouclier cubiste; Menoture; Couronne d'Allister; Cape de Crânonier; Palmes Trithons; Dofus Ivoire; Dofus Abyssal; Remueur; Carapace Neutre majeur; Cascadeur majeur; Nomade; Croum</t>
        </is>
      </c>
    </row>
    <row r="27851">
      <c r="A27851" t="inlineStr">
        <is>
          <t>Eni full feu</t>
        </is>
      </c>
      <c r="B27851">
        <f>HYPERLINK("https://www.dofusbook.net/fr/equipement/3545568-eni-full-feu/objets", "link")</f>
        <v/>
      </c>
      <c r="C27851" t="n">
        <v>0</v>
      </c>
      <c r="D27851" t="inlineStr">
        <is>
          <t>Arc corrompu; Amulette de Nileza; Anneau Tique; Anneau de Nidas; Sept ans de malheur; Ceinture Séculaire; Coiffe Séculaire; Voile d'encre; Bottes d'Otomaï; Dofus Ocre; Dofus Ivoire; Dofus Pourpre; Nomade; Remueur; Érudit majeur; Croum</t>
        </is>
      </c>
    </row>
    <row r="27852">
      <c r="A27852" t="inlineStr">
        <is>
          <t>Air</t>
        </is>
      </c>
      <c r="B27852">
        <f>HYPERLINK("https://www.dofusbook.net/fr/equipement/5874022-air/objets", "link")</f>
        <v/>
      </c>
      <c r="C27852" t="n">
        <v>0</v>
      </c>
      <c r="D27852" t="inlineStr">
        <is>
          <t>Manthache; Collier du Valet Veinard; Anneau d'Allister; Gant du Valet Veinard; Bouclier du Stalak; Sangle Oriole; Couronne d'Allister; Cape du Valet Veinard; Bottes d'Allister; Dofus Vulbis; Dofus Nébuleux; Dofus Pourpre; Dofus Ivoire; Dofus Ocre; Dofus Ébène; Blérodoudou</t>
        </is>
      </c>
    </row>
    <row r="27853">
      <c r="A27853" t="inlineStr">
        <is>
          <t>Air200</t>
        </is>
      </c>
      <c r="B27853">
        <f>HYPERLINK("https://www.dofusbook.net/fr/equipement/5003049-air200/objets", "link")</f>
        <v/>
      </c>
      <c r="C27853" t="n">
        <v>9</v>
      </c>
      <c r="D27853" t="inlineStr">
        <is>
          <t>Manthache; Collier du Valet Veinard; Gant du Valet Veinard; Alliance Gloursonne; Bouclier du Stalak; Menoture; Couronne d'Allister; Cape Martegel; Palmes Trithons; Dofus Pourpre; Dofus Ivoire; Dofus Vulbis; Dofus Ébène; Dofus Ocre; Cascadeur majeur; Blérodoudou</t>
        </is>
      </c>
    </row>
    <row r="27854">
      <c r="A27854" t="inlineStr">
        <is>
          <t>eau</t>
        </is>
      </c>
      <c r="B27854">
        <f>HYPERLINK("https://www.dofusbook.net/fr/equipement/5503527-eau/objets", "link")</f>
        <v/>
      </c>
      <c r="C27854" t="n">
        <v>9</v>
      </c>
      <c r="D27854" t="inlineStr">
        <is>
          <t>Rapière aux Glyphes; Amulette d'Ilyzaelle; Anneau Volkorne; Alliance Gloursonne; Bouclier d'Ilyzaelle; Ceinture Glaciale; Casque d'Ilyzaelle; Cape du Sinistrofu; Bottes du Sinistrofu; Dofus Ivoire; Dofus Abyssal; Dofus Pourpre; Dofus Ébène; Dofus Ocre; Dofus Vulbis; Volkorne Rubis et Améthyste</t>
        </is>
      </c>
    </row>
    <row r="27855">
      <c r="A27855" t="inlineStr">
        <is>
          <t>cac</t>
        </is>
      </c>
      <c r="B27855">
        <f>HYPERLINK("https://www.dofusbook.net/fr/equipement/5472947-cac/objets", "link")</f>
        <v/>
      </c>
      <c r="C27855" t="n">
        <v>4</v>
      </c>
      <c r="D27855" t="inlineStr">
        <is>
          <t>Crocobur; Collier du Valet Veinard; Alliance Gloursonne; Gant du Valet Veinard; Bouclier d'Ilyzaelle; Menoture; Dorabysses; Carapace de Torkélonia; Palmes Trithons; Dofus Pourpre; Dofus Ivoire; Dofus Vulbis; Dofus Ébène; Dofus des Glaces; Dofus Ocre; Dragodinde Ebène et Ivoire</t>
        </is>
      </c>
    </row>
    <row r="27856">
      <c r="A27856" t="inlineStr">
        <is>
          <t>necro</t>
        </is>
      </c>
      <c r="B27856">
        <f>HYPERLINK("https://www.dofusbook.net/fr/equipement/5321953-necro/objets", "link")</f>
        <v/>
      </c>
      <c r="C27856" t="n">
        <v>15</v>
      </c>
      <c r="D27856" t="inlineStr">
        <is>
          <t>Arc Nécrotique; Amulette Volkorne; Bague Trithon; Anneau Volkorne; Quatre-feuilles; Ceintacé; Masque Trithon; Cape de la Dame du Hasard; Bottes de la Dame du Hasard; Dofus Ocre; Dofus Ébène; Dofus Vulbis; Dofus des Glaces; Dofus Turquoise; Dofus Ivoire; Kokulte</t>
        </is>
      </c>
    </row>
    <row r="27857">
      <c r="A27857" t="inlineStr">
        <is>
          <t>Feu</t>
        </is>
      </c>
      <c r="B27857">
        <f>HYPERLINK("https://www.dofusbook.net/fr/equipement/5388393-feu/objets", "link")</f>
        <v/>
      </c>
      <c r="C27857" t="n">
        <v>4</v>
      </c>
      <c r="D27857" t="inlineStr">
        <is>
          <t>Arc corrompu; Amulette Volkorne; Anneauræus; Anneauræus; Quatre-feuilles; Ceinture Séculaire; Coiffe Séculaire; Cape de Diondin; Bottes Innommables; Dofus Abyssal; Dofus Pourpre; Dofus des Glaces; Remueur; Érudit majeur; Nomade; Bisouglours</t>
        </is>
      </c>
    </row>
    <row r="27858">
      <c r="A27858" t="inlineStr">
        <is>
          <t>Thanos</t>
        </is>
      </c>
      <c r="B27858">
        <f>HYPERLINK("https://www.dofusbook.net/fr/equipement/5251067-thanos/objets", "link")</f>
        <v/>
      </c>
      <c r="C27858" t="n">
        <v>1</v>
      </c>
      <c r="D27858" t="inlineStr">
        <is>
          <t>Le Thanos; Amulette d'Ilyzaelle; Alliance Gloursonne; Anneau Volkorne; Bouclier d'Ilyzaelle; Ceinture Glaciale; Casque d'Ilyzaelle; Cape du Sinistrofu; Bottes du Sinistrofu; Dofus Ocre; Dofus des Glaces; Dofus Ivoire; Dofus Abyssal; Dofus Vulbis; Dofus Ébène; Kanigloups</t>
        </is>
      </c>
    </row>
    <row r="27859">
      <c r="A27859" t="inlineStr">
        <is>
          <t>Pyra</t>
        </is>
      </c>
      <c r="B27859">
        <f>HYPERLINK("https://www.dofusbook.net/fr/equipement/5186600-pyra/objets", "link")</f>
        <v/>
      </c>
      <c r="C27859" t="n">
        <v>4</v>
      </c>
      <c r="D27859" t="inlineStr">
        <is>
          <t>Pyraguette; Amulette Volkorne; Anneau Volkorne; Alliance Gloursonne; Bouclier du Stalak; Ceinture de l'Esprit Salvateur; Masque de l'Esprit Salvateur; Cape Solution; Bottes de l'Esprit Salvateur; Dofus Pourpre; Dofus Ébène; Dofus Vulbis; Dofus des Glaces; Dofus Ivoire; Dofus Abyssal; Kanigloups</t>
        </is>
      </c>
    </row>
    <row r="27860">
      <c r="A27860" t="inlineStr">
        <is>
          <t>Necro</t>
        </is>
      </c>
      <c r="B27860">
        <f>HYPERLINK("https://www.dofusbook.net/fr/equipement/5148136-necro/objets", "link")</f>
        <v/>
      </c>
      <c r="C27860" t="n">
        <v>10</v>
      </c>
      <c r="D27860" t="inlineStr">
        <is>
          <t>Arc Nécrotique; Amulette Volkorne; Bague Trithon; Anneau Volkorne; Quatre-feuilles; Ceintacé; Masque Trithon; Cape de la Dame du Hasard; Bottes de la Dame du Hasard; Dofus Turquoise; Dofus Ébène; Dofus Ocre; Dofus des Glaces; Dofus Vulbis; Dofus Ivoire; Kokulte</t>
        </is>
      </c>
    </row>
    <row r="27861">
      <c r="A27861" t="inlineStr">
        <is>
          <t>multi</t>
        </is>
      </c>
      <c r="B27861">
        <f>HYPERLINK("https://www.dofusbook.net/fr/equipement/5101446-multi/objets", "link")</f>
        <v/>
      </c>
      <c r="C27861" t="n">
        <v>5</v>
      </c>
      <c r="D27861" t="inlineStr">
        <is>
          <t>Hache du Chalœil; Amulette du Strigide; Anneau Volkorne; Alliance Gloursonne; Bouclier du Stalak; Ceinture Volkorne; Le Dorado; Voile d'encre; Bottes du Strigide; Dofus Ivoire; Dofus Ocre; Dofus Ébène; Dofus Pourpre; Dofus des Glaces; Voyageur; Chacha Angora</t>
        </is>
      </c>
    </row>
    <row r="27862">
      <c r="A27862" t="inlineStr">
        <is>
          <t>terre 200</t>
        </is>
      </c>
      <c r="B27862">
        <f>HYPERLINK("https://www.dofusbook.net/fr/equipement/5074114-terre-200/objets", "link")</f>
        <v/>
      </c>
      <c r="C27862" t="n">
        <v>6</v>
      </c>
      <c r="D27862" t="inlineStr">
        <is>
          <t>Arc du Chalœil; Amulette du Cœur Saignant; Chevalière du Roi Joueur; Anneau Volkorne; Quatre-feuilles; Ceinture Volkorne; Couronne du Roi Joueur; Cape du Cœur Saignant; Bottes du Cœur Saignant; Dofus Turquoise; Dofus des Glaces; Dofus Pourpre; Voyageur; Turbulent; Forcené majeur; Volkorne Emeraude et Pourpre</t>
        </is>
      </c>
    </row>
    <row r="27863">
      <c r="A27863" t="inlineStr">
        <is>
          <t>multi</t>
        </is>
      </c>
      <c r="B27863">
        <f>HYPERLINK("https://www.dofusbook.net/fr/equipement/5074010-multi/objets", "link")</f>
        <v/>
      </c>
      <c r="C27863" t="n">
        <v>6</v>
      </c>
      <c r="D27863" t="inlineStr">
        <is>
          <t>La Baguette des Limbes; Amulette du Strigide; Bracelet du Piloztère; Grésilanneau; Quatre-feuilles; Ceinture du Strigide; Bonnet Ko; Cape Reski; Bottes du Chalœil; Dofus Turquoise; Dofus des Glaces; Dofus Pourpre; Vigoureux majeur; Nomade; Remueur; Dragodinde Prune et Ivoire</t>
        </is>
      </c>
    </row>
    <row r="27864">
      <c r="A27864" t="inlineStr">
        <is>
          <t>Air200</t>
        </is>
      </c>
      <c r="B27864">
        <f>HYPERLINK("https://www.dofusbook.net/fr/equipement/5003050-air200/objets", "link")</f>
        <v/>
      </c>
      <c r="C27864" t="n">
        <v>1</v>
      </c>
      <c r="D27864" t="inlineStr">
        <is>
          <t>La Baguette des Limbes; Collier du Valet Veinard; Gelano; Anneau d'Allister; Bouclier du Stalak; Ceinture du Barbétoal; Couronne d'Allister; Cape du Valet Veinard; Bottes d'Allister; Dofus des Glaces; Dofus Abyssal; Ravageur Air majeur; Saccageur Air majeur; Acrobate majeur; Blérodoudou</t>
        </is>
      </c>
    </row>
    <row r="27865">
      <c r="A27865" t="inlineStr">
        <is>
          <t>ddddd</t>
        </is>
      </c>
      <c r="B27865">
        <f>HYPERLINK("https://www.dofusbook.net/fr/equipement/5048403-ddddd/objets", "link")</f>
        <v/>
      </c>
      <c r="C27865" t="n">
        <v>1</v>
      </c>
      <c r="D27865" t="inlineStr">
        <is>
          <t>Arc du Chalœil; Collier de Tourthon; Anneau Chevelu; Anneau Crustique; Quatre-feuilles; Ceinture Gence; Masque de Koutoulou; Cape au Logis; Bottes du Roi Joueur; Dofus Pourpre; Dofus des Glaces; Nomade; Remueur; Observateur; Enragé majeur; Dragodinde Prune et Pourpre</t>
        </is>
      </c>
    </row>
    <row r="27866">
      <c r="A27866" t="inlineStr">
        <is>
          <t>Sram M 200</t>
        </is>
      </c>
      <c r="B27866">
        <f>HYPERLINK("https://www.dofusbook.net/fr/equipement/5026363-sram-m-200/objets", "link")</f>
        <v/>
      </c>
      <c r="C27866" t="n">
        <v>3</v>
      </c>
      <c r="D27866" t="inlineStr">
        <is>
          <t>Arc corrompu; Amulette Volkorne; Anneauræus; Anneauræus; Quatre-feuilles; Ceinture Séculaire; Coiffe Séculaire; Cape de Diondin; Bottes Innommables; Dofus Ocre; Dofus Pourpre; Dofus Turquoise; Dofus Ivoire; Dofus Vulbis; Dofus Ébène; Bisouglours</t>
        </is>
      </c>
    </row>
    <row r="27867">
      <c r="A27867" t="inlineStr">
        <is>
          <t>crit 200</t>
        </is>
      </c>
      <c r="B27867">
        <f>HYPERLINK("https://www.dofusbook.net/fr/equipement/5042322-crit-200/objets", "link")</f>
        <v/>
      </c>
      <c r="C27867" t="n">
        <v>3</v>
      </c>
      <c r="D27867" t="inlineStr">
        <is>
          <t>Sabres d'Atcham; Amulette du Strigide; Gelano; Anneau de Padgref; Quatre-feuilles; Ceinture du Strigide; Coiffe de Padgref; Cape d'Atcham; Getas de Padgref; Dofus Abyssal; Dofus des Glaces; Dofus Pourpre; Dofus Turquoise; Voyageur; Turbulent; Kokulte</t>
        </is>
      </c>
    </row>
    <row r="27868">
      <c r="A27868" t="inlineStr">
        <is>
          <t>feu</t>
        </is>
      </c>
      <c r="B27868">
        <f>HYPERLINK("https://www.dofusbook.net/fr/equipement/4547296-feu/objets", "link")</f>
        <v/>
      </c>
      <c r="C27868" t="n">
        <v>4</v>
      </c>
      <c r="D27868" t="inlineStr">
        <is>
          <t>Arc corrompu; Amulette de Nileza; Anneau de Padgref; Chevalière du Roi Joueur; Quatre-feuilles; Ceinture Séculaire; Coiffe Séculaire; Cape de Jahash Jurgen; Pataugastrique; Vigoureux majeur; Remueur; Savant majeur; Érudit majeur; Dévastateur Feu majeur; Nomade; Pioute rouge</t>
        </is>
      </c>
    </row>
    <row r="27869">
      <c r="A27869" t="inlineStr">
        <is>
          <t>test</t>
        </is>
      </c>
      <c r="B27869">
        <f>HYPERLINK("https://www.dofusbook.net/fr/equipement/902710-test/objets", "link")</f>
        <v/>
      </c>
      <c r="C27869" t="n">
        <v>12</v>
      </c>
      <c r="D27869" t="inlineStr">
        <is>
          <t>Rapière aux Glyphes; Amulette d'Ilyzaelle; Alliance Gloursonne; Anneau Volkorne; Bouclier d'Ilyzaelle; Ceinture Volkorne; Casque d'Ilyzaelle; Cape du Sinistrofu; Bottes du Sinistrofu; Dofus Pourpre; Dofus Vulbis; Dofus des Glaces; Dofus Ébène; Dofus Abyssal; Dofus Ocre; Volkorne Améthyste</t>
        </is>
      </c>
    </row>
    <row r="27870">
      <c r="A27870" t="inlineStr">
        <is>
          <t>Zobal M 200</t>
        </is>
      </c>
      <c r="B27870">
        <f>HYPERLINK("https://www.dofusbook.net/fr/equipement/4454313-zobal-m-200/objets", "link")</f>
        <v/>
      </c>
      <c r="C27870" t="n">
        <v>1</v>
      </c>
      <c r="D27870" t="inlineStr">
        <is>
          <t>Bague Trithon; Balafreux</t>
        </is>
      </c>
    </row>
    <row r="27871">
      <c r="A27871" t="inlineStr">
        <is>
          <t>Temporis</t>
        </is>
      </c>
      <c r="B27871">
        <f>HYPERLINK("https://www.dofusbook.net/fr/equipement/3301990-temporis/objets", "link")</f>
        <v/>
      </c>
      <c r="C27871" t="n">
        <v>1</v>
      </c>
      <c r="D27871" t="inlineStr">
        <is>
          <t>Manthache; Collier du Valet Veinard; Anneau d'Allister; Gant du Valet Veinard; Bouclier du Stalak; Ceinture du Barbétoal; Couronne d'Allister; Cape du Valet Veinard; Bottes d'Allister; Dofus Ocre; Dolmanax; Dofus des Glaces; Dofus Abyssal; Saccageur Air majeur; Equilibriste majeur; Blérodoudou</t>
        </is>
      </c>
    </row>
    <row r="27872">
      <c r="A27872" t="inlineStr">
        <is>
          <t>Stuff 1</t>
        </is>
      </c>
      <c r="B27872">
        <f>HYPERLINK("https://www.dofusbook.net/fr/equipement/130903-stuff-1/objets", "link")</f>
        <v/>
      </c>
      <c r="C27872" t="n">
        <v>13</v>
      </c>
      <c r="D27872" t="inlineStr">
        <is>
          <t>Épée de la Reine des Voleurs; Amulette du Strigide; Bracelet du Piloztère; Anneau Volkorne; Bouclier du Stalak; Ceinture Volkorne; Le Dorado; Voile d'encre; Bottes du Strigide; Dofus des Glaces; Dofus Pourpre; Dofus Ivoire; Dofus Ocre; Dofus Abyssal; Robuste majeur; Chacha Angora</t>
        </is>
      </c>
    </row>
    <row r="27873">
      <c r="A27873" t="inlineStr">
        <is>
          <t>Stuff 2</t>
        </is>
      </c>
      <c r="B27873">
        <f>HYPERLINK("https://www.dofusbook.net/fr/equipement/130904-stuff-2/objets", "link")</f>
        <v/>
      </c>
      <c r="C27873" t="n">
        <v>10</v>
      </c>
      <c r="D27873" t="inlineStr">
        <is>
          <t>Lav'Hache; Amulette Luminescente; Bague Trithon; Anneau Chevelu; Bouclier Taverne; Ceinture Gence; Casque Dragoeuf; Cape au Logis; Bottes Trithon; Dofus Ocre; Dofus Ivoire; Dofus Pourpre; Dofus Abyssal; Culbuteur majeur; Bousculeur majeur; Black Tiwabbit</t>
        </is>
      </c>
    </row>
    <row r="27874">
      <c r="A27874" t="inlineStr">
        <is>
          <t>terre</t>
        </is>
      </c>
      <c r="B27874">
        <f>HYPERLINK("https://www.dofusbook.net/fr/equipement/3695247-terre/objets", "link")</f>
        <v/>
      </c>
      <c r="C27874" t="n">
        <v>5</v>
      </c>
      <c r="D27874" t="inlineStr">
        <is>
          <t>Arc du Chalœil; Collier de Tourthon; Bague Gloursonne; Bracelet du Piloztère; Cadran de Terre; Ceinture de la Reine des Voleurs; Masque de Koutoulou; Cape au Logis; Bottes de la Reine des Voleurs; Dévastateur Terre majeur; Remueur; Carapace Terre majeur; Enragé majeur; Miraculé majeur; Nomade; Kramkram</t>
        </is>
      </c>
    </row>
    <row r="27875">
      <c r="A27875" t="inlineStr">
        <is>
          <t>Ecaflip M 200</t>
        </is>
      </c>
      <c r="B27875">
        <f>HYPERLINK("https://www.dofusbook.net/fr/equipement/3664168-ecaflip-m-200/objets", "link")</f>
        <v/>
      </c>
      <c r="C27875" t="n">
        <v>34</v>
      </c>
      <c r="D27875" t="inlineStr">
        <is>
          <t>Hache du Chalœil; Amulette du Strigide; Alliance Gloursonne; Bague Trithon; Bouclier du Stalak; Ceinture du Strigide; Le Dorado; Voile d'encre; Bottes Trithon; Dofus Pourpre; Dofus Abyssal; Dofus Ocre; Dofus Ivoire; Dofus Vulbis; Robuste majeur; Kramkram</t>
        </is>
      </c>
    </row>
    <row r="27876">
      <c r="A27876" t="inlineStr">
        <is>
          <t>eau</t>
        </is>
      </c>
      <c r="B27876">
        <f>HYPERLINK("https://www.dofusbook.net/fr/equipement/3450542-eau/objets", "link")</f>
        <v/>
      </c>
      <c r="C27876" t="n">
        <v>7</v>
      </c>
      <c r="D27876" t="inlineStr">
        <is>
          <t>Rapière aux Glyphes; Amulette de Shokkoth; Pikano; Alliance Gloursonne; Bouclier du Stalak; Poulpagne; Kidibonnet; Cape du Sinistrofu; Bottes du Sinistrofu; Chanceux majeur; Remueur; Dévastateur Eau majeur; Nomade; Vigoureux majeur; Muldo Indigo</t>
        </is>
      </c>
    </row>
    <row r="27877">
      <c r="A27877" t="inlineStr">
        <is>
          <t>Stuff 1</t>
        </is>
      </c>
      <c r="B27877">
        <f>HYPERLINK("https://www.dofusbook.net/fr/equipement/130915-stuff-1/objets", "link")</f>
        <v/>
      </c>
      <c r="C27877" t="n">
        <v>10</v>
      </c>
      <c r="D27877" t="inlineStr">
        <is>
          <t>Rouleau à Pâtisserie d'Aermyne; Amulette d'Ilyzaelle; Gant du Valet Veinard; Alliance Brûlâme; Bouclier d'Ilyzaelle; Menoture; Dorabysses; Cape Indescriptible; Palmes Trithons; Dofus Ivoire; Dofus Émeraude; Dofus Abyssal; Cascadeur majeur; Remueur; Miraculé majeur; Dragodinde Emeraude et Rousse</t>
        </is>
      </c>
    </row>
    <row r="27878">
      <c r="A27878" t="inlineStr">
        <is>
          <t>tank</t>
        </is>
      </c>
      <c r="B27878">
        <f>HYPERLINK("https://www.dofusbook.net/fr/equipement/1908924-tank/objets", "link")</f>
        <v/>
      </c>
      <c r="C27878" t="n">
        <v>3</v>
      </c>
      <c r="D27878" t="inlineStr">
        <is>
          <t>Rouleau à Pâtisserie d'Aermyne; Collier Rophante; Alliance Gloursonne; Bague Trithon; Bouclier précieux; Poulpagne; Masque d'Anerice; Cape d'Anerice; Bottes Innommables; Dofus Ivoire; Dofus Émeraude; Dofus Abyssal; Obstructeur majeur; Remueur; Miraculé majeur; Dauge</t>
        </is>
      </c>
    </row>
    <row r="27879">
      <c r="A27879" t="inlineStr">
        <is>
          <t>Stuff 2</t>
        </is>
      </c>
      <c r="B27879">
        <f>HYPERLINK("https://www.dofusbook.net/fr/equipement/130907-stuff-2/objets", "link")</f>
        <v/>
      </c>
      <c r="C27879" t="n">
        <v>2</v>
      </c>
      <c r="D27879" t="inlineStr">
        <is>
          <t>Dagues Érhy; Amulette de l'Œil Putride; Bague Gloursonne; Alliance Gloursonne; Bouclier du Stalak; Ceinture de l'Esprit Salvateur; Masque de l'Esprit Salvateur; Cape de l'Œil Putride; Bottes de l'Esprit Salvateur; Dofus Pourpre; Dofus Abyssal; Dofus Ocre; Dofus Ivoire; Dofus des Glaces; Robuste majeur; Muldo Ebène et Pourpre</t>
        </is>
      </c>
    </row>
    <row r="27880">
      <c r="A27880" t="inlineStr">
        <is>
          <t>Stuff 2</t>
        </is>
      </c>
      <c r="B27880">
        <f>HYPERLINK("https://www.dofusbook.net/fr/equipement/130916-stuff-2/objets", "link")</f>
        <v/>
      </c>
      <c r="C27880" t="n">
        <v>5</v>
      </c>
      <c r="D27880" t="inlineStr">
        <is>
          <t>Manthache; Collier Rophante; Alliance Gloursonne; Gant du Valet Veinard; Bouclier d'Ilyzaelle; Menoture; Masque d'Anerice; Cape d'Anerice; Palmes Trithons; Dofus Abyssal; Dofus Ivoire; Dofus Émeraude; Miraculé majeur; Cascadeur majeur; Remueur; Dauge</t>
        </is>
      </c>
    </row>
    <row r="27881">
      <c r="A27881" t="inlineStr">
        <is>
          <t>necro</t>
        </is>
      </c>
      <c r="B27881">
        <f>HYPERLINK("https://www.dofusbook.net/fr/equipement/3013416-necro/objets", "link")</f>
        <v/>
      </c>
      <c r="C27881" t="n">
        <v>2</v>
      </c>
      <c r="D27881" t="inlineStr">
        <is>
          <t>Arc Nécrotique; Amulette du Strigide; Bague Gloursonne; Alliance Gloursonne; Quatre-feuilles; Ceinture du Strigide; Kidibonnet; Cape de la Dame du Hasard; Bottes de la Dame du Hasard; Dofus Ocre; Dofus Ivoire; Dofus Turquoise; Dofus des Glaces; Dofus Pourpre; Dofus Abyssal; Muldo Indigo</t>
        </is>
      </c>
    </row>
    <row r="27882">
      <c r="A27882" t="inlineStr">
        <is>
          <t>multilol</t>
        </is>
      </c>
      <c r="B27882">
        <f>HYPERLINK("https://www.dofusbook.net/fr/equipement/3006508-multilol/objets", "link")</f>
        <v/>
      </c>
      <c r="C27882" t="n">
        <v>5</v>
      </c>
      <c r="D27882" t="inlineStr">
        <is>
          <t>Marteau des égarés; Amulette du Strigide; Bague Gloursonne; Alliance Gloursonne; Cadran d'Eau; Ceinture de l'Esprit Salvateur; Masque de l'Esprit Salvateur; Dofusteuse; Bottes de l'Esprit Salvateur; Dolmanax; Dofus des Glaces; Dofus Pourpre; Dofus Abyssal; Dofus Ocre; Dofus Ivoire; Muldo Indigo et Orchidée</t>
        </is>
      </c>
    </row>
    <row r="27883">
      <c r="A27883" t="inlineStr">
        <is>
          <t>terre</t>
        </is>
      </c>
      <c r="B27883">
        <f>HYPERLINK("https://www.dofusbook.net/fr/equipement/2995848-terre/objets", "link")</f>
        <v/>
      </c>
      <c r="C27883" t="n">
        <v>2</v>
      </c>
      <c r="D27883" t="inlineStr">
        <is>
          <t>Lav'Hache; Collier de Tourthon; Anneau Crustique; Anneau Chevelu; Bouclier du Stalak; Ceinture Gence; Masque de Koutoulou; Cape du Cœur Vaillant; Bottes du Cœur Vaillant; Dofus Pourpre; Dofus Ivoire; Dofus des Glaces; Dofus Abyssal; Enragé majeur; Miraculé majeur; Muldo Pourpre</t>
        </is>
      </c>
    </row>
    <row r="27884">
      <c r="A27884" t="inlineStr">
        <is>
          <t>necro</t>
        </is>
      </c>
      <c r="B27884">
        <f>HYPERLINK("https://www.dofusbook.net/fr/equipement/130894-necro/objets", "link")</f>
        <v/>
      </c>
      <c r="C27884" t="n">
        <v>3</v>
      </c>
      <c r="D27884" t="inlineStr">
        <is>
          <t>Arc Nécrotique; Amulette du Strigide; Alliance Gloursonne; Bague Gloursonne; Quatre-feuilles; Ceinture du Strigide; Kidibonnet; Cape de la Dame du Hasard; Bottes de la Dame du Hasard; Dofus des Glaces; Dofus Pourpre; Dofus Ivoire; Dofus Ocre; Dofus Abyssal; Dofus Turquoise; Muldo Indigo</t>
        </is>
      </c>
    </row>
    <row r="27885">
      <c r="A27885" t="inlineStr">
        <is>
          <t>terre</t>
        </is>
      </c>
      <c r="B27885">
        <f>HYPERLINK("https://www.dofusbook.net/fr/equipement/2995835-terre/objets", "link")</f>
        <v/>
      </c>
      <c r="C27885" t="n">
        <v>6</v>
      </c>
      <c r="D27885" t="inlineStr">
        <is>
          <t>Marteau R'ture; Amulette du Strigide; Anneau de Brouce; Anneau Chevelu; Bouclier d'Ilyzaelle; Ceinture du Strigide; Masque de Koutoulou; Cape du Cœur Saignant; Bottes du Cœur Saignant; Dofus Pourpre; Dofus des Glaces; Dofus Turquoise; Dofus Abyssal; Dofus Ocre; Dofus Ivoire; Muldo Indigo</t>
        </is>
      </c>
    </row>
    <row r="27886">
      <c r="A27886" t="inlineStr">
        <is>
          <t>malle esq</t>
        </is>
      </c>
      <c r="B27886">
        <f>HYPERLINK("https://www.dofusbook.net/fr/equipement/130902-malle-esq/objets", "link")</f>
        <v/>
      </c>
      <c r="C27886" t="n">
        <v>3</v>
      </c>
      <c r="D27886" t="inlineStr">
        <is>
          <t>Baguette de Malléfisk; Pendentif mignon de Koutoulou; Anneauræus; Anneau Rifique; Bouclier du Stalak; Ceinture de Vortex; Chapeau de Gein; Cape de Diondin; Bottes Innommables; Dofus Abyssal; Dofus Ivoire; Dofus des Glaces; Érudit majeur; Cavaleur majeur; Remueur; Muldo Orchidée et Pourpre</t>
        </is>
      </c>
    </row>
    <row r="27887">
      <c r="A27887" t="inlineStr">
        <is>
          <t>malle rox</t>
        </is>
      </c>
      <c r="B27887">
        <f>HYPERLINK("https://www.dofusbook.net/fr/equipement/1565821-malle-rox/objets", "link")</f>
        <v/>
      </c>
      <c r="C27887" t="n">
        <v>5</v>
      </c>
      <c r="D27887" t="inlineStr">
        <is>
          <t>Baguette de Malléfisk; Talisman Igans; Anneauræus; Chevalière du Roi Joueur; Quatre-feuilles; Ceintrigue; Couronne du Roi Joueur; Voile d'encre; Bottes du Roi Joueur; Dolmanax; Dofus des Glaces; Dofus Ocre; Dofus Turquoise; Dofus Abyssal; Dofus Ivoire; Muldo Pourpre</t>
        </is>
      </c>
    </row>
    <row r="27888">
      <c r="A27888" t="inlineStr">
        <is>
          <t>terre</t>
        </is>
      </c>
      <c r="B27888">
        <f>HYPERLINK("https://www.dofusbook.net/fr/equipement/130933-terre/objets", "link")</f>
        <v/>
      </c>
      <c r="C27888" t="n">
        <v>0</v>
      </c>
      <c r="D27888" t="inlineStr">
        <is>
          <t>Arc du Chalœil; Collier de Tourthon; Anneau Chevelu; Anneau Crustique; Quatre-feuilles; Ceinture Gence; Masque de Koutoulou; Dofus Ivoire; Dofus Abyssal; Dofus Pourpre; Dofus des Glaces; Dofus Ocre; Dofus Turquoise; Muldo Indigo</t>
        </is>
      </c>
    </row>
    <row r="27889">
      <c r="A27889" t="inlineStr">
        <is>
          <t>terre feu</t>
        </is>
      </c>
      <c r="B27889">
        <f>HYPERLINK("https://www.dofusbook.net/fr/equipement/130952-terre-feu/objets", "link")</f>
        <v/>
      </c>
      <c r="C27889" t="n">
        <v>7</v>
      </c>
      <c r="D27889" t="inlineStr">
        <is>
          <t>Dagues Érhy; Amulette Volcanique; Alliance Gloursonne; Bague Gloursonne; Bouclier du Stalak; Ceinture de l'Esprit Salvateur; Masque de l'Esprit Salvateur; Voile d'encre; Bottes de l'Esprit Salvateur; Dofus Abyssal; Dofus Pourpre; Dofus Ivoire; Dofus Ocre; Dofus des Glaces; Robuste majeur; Muldo Pourpre</t>
        </is>
      </c>
    </row>
    <row r="27890">
      <c r="A27890" t="inlineStr">
        <is>
          <t>feu eau air dame</t>
        </is>
      </c>
      <c r="B27890">
        <f>HYPERLINK("https://www.dofusbook.net/fr/equipement/2851226-feu-eau-air-dame/objets", "link")</f>
        <v/>
      </c>
      <c r="C27890" t="n">
        <v>10</v>
      </c>
      <c r="D27890" t="inlineStr">
        <is>
          <t>Arc Honte; Collier de la Dame du Hasard; Anneau de Nidas; Alliance Gloursonne; Bouclier du Stalak; Ceinture de l'Esprit Salvateur; Masque de l'Esprit Salvateur; Cape de la Dame du Hasard; Bottes de l'Esprit Salvateur; Dofus des Glaces; Dofus Pourpre; Dofus Abyssal; Dofus Ocre; Dofus Ivoire; Robuste majeur; Muldo Ebène et Orchidée</t>
        </is>
      </c>
    </row>
    <row r="27891">
      <c r="A27891" t="inlineStr">
        <is>
          <t>feu air</t>
        </is>
      </c>
      <c r="B27891">
        <f>HYPERLINK("https://www.dofusbook.net/fr/equipement/2950763-feu-air/objets", "link")</f>
        <v/>
      </c>
      <c r="C27891" t="n">
        <v>6</v>
      </c>
      <c r="D27891" t="inlineStr">
        <is>
          <t>Arc Honte; Amulette de l'Œil Putride; Alliance Gloursonne; Anneau Rifique; Cadran de Terre; Ceinture de Vortex; Cagoule de Vortex; Cape de l'Œil Putride; Sabots de Vortex; Dofus Ocre; Dofus Ivoire; Dofus des Glaces; Dofus Pourpre; Dofus Abyssal; Paralyseur majeur; Muldo Ebène</t>
        </is>
      </c>
    </row>
    <row r="27892">
      <c r="A27892" t="inlineStr">
        <is>
          <t>terre</t>
        </is>
      </c>
      <c r="B27892">
        <f>HYPERLINK("https://www.dofusbook.net/fr/equipement/2950345-terre/objets", "link")</f>
        <v/>
      </c>
      <c r="C27892" t="n">
        <v>3</v>
      </c>
      <c r="D27892" t="inlineStr">
        <is>
          <t>Dagues Érhy; Collier de Tourthon; Pikano; Anneau Chevelu; Bouclier du Stalak; Ceinture de la Cour Sombre; Masque de Koutoulou; Cape du Cœur Saignant; Bottes de la Cour Sombre; Dofus des Glaces; Dofus Abyssal; Dofus Ivoire; Dévastateur Terre majeur; Enragé majeur; Remueur; Muldo Indigo et Pourpre</t>
        </is>
      </c>
    </row>
    <row r="27893">
      <c r="A27893" t="inlineStr">
        <is>
          <t>arc honte 2</t>
        </is>
      </c>
      <c r="B27893">
        <f>HYPERLINK("https://www.dofusbook.net/fr/equipement/2905673-arc-honte-2/objets", "link")</f>
        <v/>
      </c>
      <c r="C27893" t="n">
        <v>6</v>
      </c>
      <c r="D27893" t="inlineStr">
        <is>
          <t>Arc Honte; Amulette de l'Œil Putride; Bague Gloursonne; Alliance Gloursonne; Bouclier du Stalak; Ceinture de l'Esprit Salvateur; Masque de l'Esprit Salvateur; Cape de l'Œil Putride; Bottes de l'Esprit Salvateur; Dofus Abyssal; Dofus Ocre; Dofus Ivoire; Dolmanax; Dofus des Glaces; Dofus Pourpre; Muldo Ebène et Pourpre</t>
        </is>
      </c>
    </row>
    <row r="27894">
      <c r="A27894" t="inlineStr">
        <is>
          <t>Stuff 3</t>
        </is>
      </c>
      <c r="B27894">
        <f>HYPERLINK("https://www.dofusbook.net/fr/equipement/130935-stuff-3/objets", "link")</f>
        <v/>
      </c>
      <c r="C27894" t="n">
        <v>3</v>
      </c>
      <c r="D27894" t="inlineStr">
        <is>
          <t>Epée Maudite du Saigneur Guerrier; Amulette du Strigide; Bague Gloursonne; Anneau de Padgref; Bouclier du Captain Amakna; Ceinture du Strigide; Masque de Koutoulou; Cape du Cœur Saignant; Bottes du Cœur Saignant; Dofus Turquoise; Dofus Abyssal; Dofus Ocre; Dofus Ivoire; Dofus Pourpre; Dofus des Glaces; Muldo Prune et Emeraude</t>
        </is>
      </c>
    </row>
    <row r="27895">
      <c r="A27895" t="inlineStr">
        <is>
          <t>dopou</t>
        </is>
      </c>
      <c r="B27895">
        <f>HYPERLINK("https://www.dofusbook.net/fr/equipement/2863802-dopou/objets", "link")</f>
        <v/>
      </c>
      <c r="C27895" t="n">
        <v>0</v>
      </c>
      <c r="D27895" t="inlineStr">
        <is>
          <t>Sceptre du Roi Joueur; Amulette Luminescente; Bracelet des Fonds marins; Bague Instable; Ceinture Luminescente; Chapeau des Malveilleurs; Cape Solution; Bottes des Malveilleurs</t>
        </is>
      </c>
    </row>
    <row r="27896">
      <c r="A27896" t="inlineStr">
        <is>
          <t>feu</t>
        </is>
      </c>
      <c r="B27896">
        <f>HYPERLINK("https://www.dofusbook.net/fr/equipement/2859567-feu/objets", "link")</f>
        <v/>
      </c>
      <c r="C27896" t="n">
        <v>4</v>
      </c>
      <c r="D27896" t="inlineStr">
        <is>
          <t>Arc corrompu; Pendentif mignon de Koutoulou; Anneau Rifique; Anneauræus; Bouclier du Stalak; Ceinture de l'Esprit Malsain; Heaume Oplate; Voile d'encre; Bottes Innommables; Dofus Abyssal; Dofus Ivoire; Dofus Émeraude; Dofus des Glaces; Remueur; Érudit majeur; Muldo Orchidée et Pourpre</t>
        </is>
      </c>
    </row>
    <row r="27897">
      <c r="A27897" t="inlineStr">
        <is>
          <t>eau feu</t>
        </is>
      </c>
      <c r="B27897">
        <f>HYPERLINK("https://www.dofusbook.net/fr/equipement/2851793-eau-feu/objets", "link")</f>
        <v/>
      </c>
      <c r="C27897" t="n">
        <v>1</v>
      </c>
      <c r="D27897" t="inlineStr">
        <is>
          <t>Dagoulinantes; Amulette de l'Œil Attentif; Bracelet des Fonds marins; Pikano; Bouclier du Stalak; Poulpagne; Masque des Fonds marins; Cape du Sinistrofu; Bottes du Sinistrofu; Dofus des Glaces; Dofus Ivoire; Dofus Pourpre; Dofus Turquoise; Dofus Ocre; Dofus Abyssal; Muldo Indigo</t>
        </is>
      </c>
    </row>
    <row r="27898">
      <c r="A27898" t="inlineStr">
        <is>
          <t>thanos</t>
        </is>
      </c>
      <c r="B27898">
        <f>HYPERLINK("https://www.dofusbook.net/fr/equipement/2840904-thanos/objets", "link")</f>
        <v/>
      </c>
      <c r="C27898" t="n">
        <v>6</v>
      </c>
      <c r="D27898" t="inlineStr">
        <is>
          <t>Arc Honte; Talisman Igans; Anneau Tique; Anneau de Nidas; Bouclier du Stalak; Ceintrigue; Masque de l'Esprit Salvateur; Cape de l'Œil Putride; Pataugastrique; Dofus des Glaces; Dofus Pourpre; Dofus Abyssal; Dofus Ivoire; Remueur; Vigoureux majeur; Muldo Indigo et Pourpre</t>
        </is>
      </c>
    </row>
    <row r="27899">
      <c r="A27899" t="inlineStr">
        <is>
          <t>feu eau air</t>
        </is>
      </c>
      <c r="B27899">
        <f>HYPERLINK("https://www.dofusbook.net/fr/equipement/2837946-feu-eau-air/objets", "link")</f>
        <v/>
      </c>
      <c r="C27899" t="n">
        <v>10</v>
      </c>
      <c r="D27899" t="inlineStr">
        <is>
          <t>Arc Honte; Amulette de l'Œil Putride; Anneau Tique; Anneau de Nidas; Bouclier du Stalak; Ceinture de l'Esprit Salvateur; Masque de l'Esprit Salvateur; Cape de l'Œil Putride; Bottes de l'Esprit Salvateur; Dofus Ocre; Dofus Ivoire; Dofus des Glaces; Dofus Pourpre; Dofus Abyssal; Robuste majeur; Muldo Ebène et Orchidée</t>
        </is>
      </c>
    </row>
    <row r="27900">
      <c r="A27900" t="inlineStr">
        <is>
          <t>air</t>
        </is>
      </c>
      <c r="B27900">
        <f>HYPERLINK("https://www.dofusbook.net/fr/equipement/2831976-air/objets", "link")</f>
        <v/>
      </c>
      <c r="C27900" t="n">
        <v>1</v>
      </c>
      <c r="D27900" t="inlineStr">
        <is>
          <t>Lance Horselé; Collier du Valet Veinard; Alliance Gloursonne; Gant du Valet Veinard; Bouclier du Stalak; Menoture; Couronne d'Allister; Cape Indescriptible; Palmes Trithons; Dofus Abyssal; Dofus Pourpre; Dofus Ivoire; Dofus des Glaces; Cascadeur majeur; Remueur; Muldo Ebène</t>
        </is>
      </c>
    </row>
    <row r="27901">
      <c r="A27901" t="inlineStr">
        <is>
          <t>arc honte</t>
        </is>
      </c>
      <c r="B27901">
        <f>HYPERLINK("https://www.dofusbook.net/fr/equipement/2806809-arc-honte/objets", "link")</f>
        <v/>
      </c>
      <c r="C27901" t="n">
        <v>7</v>
      </c>
      <c r="D27901" t="inlineStr">
        <is>
          <t>Arc Honte; Talisman Igans; Anneau de Nidas; Anneau Tique; Bouclier du Stalak; Ceintrigue; Casqnoar; Cape de l'Œil Putride; Pataugastrique; Dofus Pourpre; Dofus Abyssal; Dofus Ivoire; Dofus des Glaces; Vigoureux majeur; Remueur; Muldo Orchidée et Pourpre</t>
        </is>
      </c>
    </row>
    <row r="27902">
      <c r="A27902" t="inlineStr">
        <is>
          <t>thanos</t>
        </is>
      </c>
      <c r="B27902">
        <f>HYPERLINK("https://www.dofusbook.net/fr/equipement/2830535-thanos/objets", "link")</f>
        <v/>
      </c>
      <c r="C27902" t="n">
        <v>6</v>
      </c>
      <c r="D27902" t="inlineStr">
        <is>
          <t>Le Thanos; Talisman Igans; Lavanneau; Anneau Tique; Bouclier du Stalak; Ceintrigue; Casqnoar; Cape de l'Œil Putride; Pataugastrique; Dofus Pourpre; Dofus Abyssal; Dofus Ivoire; Dofus des Glaces; Vigoureux majeur; Remueur; Muldo Indigo et Pourpre</t>
        </is>
      </c>
    </row>
    <row r="27903">
      <c r="A27903" t="inlineStr">
        <is>
          <t>multi</t>
        </is>
      </c>
      <c r="B27903">
        <f>HYPERLINK("https://www.dofusbook.net/fr/equipement/2822384-multi/objets", "link")</f>
        <v/>
      </c>
      <c r="C27903" t="n">
        <v>7</v>
      </c>
      <c r="D27903" t="inlineStr">
        <is>
          <t>Dagues Érhy; Amulette de l'Indicible; Alliance Brûlâme; Anneau du Cycloïde; Bouclier du Stalak; Ceinture de l'Indicible; Masque Brûlâme; Dofusteuse; Pompes Funèbres; Dofus Ocre; Dofus Ivoire; Dofus des Glaces; Dofus Pourpre; Dofus Abyssal; Robuste majeur; Muldo Ebène et Orchidée</t>
        </is>
      </c>
    </row>
    <row r="27904">
      <c r="A27904" t="inlineStr">
        <is>
          <t>air feu res</t>
        </is>
      </c>
      <c r="B27904">
        <f>HYPERLINK("https://www.dofusbook.net/fr/equipement/2822149-air-feu-res/objets", "link")</f>
        <v/>
      </c>
      <c r="C27904" t="n">
        <v>2</v>
      </c>
      <c r="D27904" t="inlineStr">
        <is>
          <t>Dagues Érhy; Pendentif mignon de Koutoulou; Anneau de Padgref; Anneau Rifique; Bouclier du Stalak; Menoture; Casque Dragoeuf; Cape de l'Œil Putride; Bottes de l'Esprit Salvateur; Dofus Pourpre; Dofus Abyssal; Dofus Ivoire; Dofus des Glaces; Remueur; Dévastateur Feu majeur; Muldo Ebène et Orchidée</t>
        </is>
      </c>
    </row>
    <row r="27905">
      <c r="A27905" t="inlineStr">
        <is>
          <t>air feu test</t>
        </is>
      </c>
      <c r="B27905">
        <f>HYPERLINK("https://www.dofusbook.net/fr/equipement/2823601-air-feu-test/objets", "link")</f>
        <v/>
      </c>
      <c r="C27905" t="n">
        <v>1</v>
      </c>
      <c r="D27905" t="inlineStr">
        <is>
          <t>Dagues Érhy; Pendentif mignon de Koutoulou; Anneau Rifique; Alliance Brûlâme; Cadran d'Air; Ceinture de Vortex; Casque Cyclopéen; Cape Hiculteur; Sabots de Vortex; Dofus Pourpre; Dofus Abyssal; Dofus Ocre; Dofus Ivoire; Dolmanax; Dofus des Glaces; Muldo Ebène et Pourpre</t>
        </is>
      </c>
    </row>
    <row r="27906">
      <c r="A27906" t="inlineStr">
        <is>
          <t>eau feu</t>
        </is>
      </c>
      <c r="B27906">
        <f>HYPERLINK("https://www.dofusbook.net/fr/equipement/130951-eau-feu/objets", "link")</f>
        <v/>
      </c>
      <c r="C27906" t="n">
        <v>6</v>
      </c>
      <c r="D27906" t="inlineStr">
        <is>
          <t>Arc Nécrotique; Collier de la Dame du Hasard; Alliance Gloursonne; Anneau de Padgref; Quatre-feuilles; Ceintrigue; Casqnoar; Cape de la Dame du Hasard; Bottes de Meno; Dofus Abyssal; Dofus Pourpre; Dofus Ivoire; Dofus Ocre; Dofus des Glaces; Remueur; Muldo Indigo et Orchidée</t>
        </is>
      </c>
    </row>
    <row r="27907">
      <c r="A27907" t="inlineStr">
        <is>
          <t>air feu</t>
        </is>
      </c>
      <c r="B27907">
        <f>HYPERLINK("https://www.dofusbook.net/fr/equipement/130953-air-feu/objets", "link")</f>
        <v/>
      </c>
      <c r="C27907" t="n">
        <v>1</v>
      </c>
      <c r="D27907" t="inlineStr">
        <is>
          <t>Dagues Érhy; Pendentif mignon de Koutoulou; Alliance Brûlâme; Anneau Rifique; Cadran d'Air; Ceinture de l'Esprit Salvateur; Casque Cyclopéen; Cape Hiculteur; Pompes Funèbres; Dofus Ocre; Dofus Ivoire; Dolmanax; Dofus des Glaces; Dofus Pourpre; Dofus Abyssal; Muldo Ebène et Pourpre</t>
        </is>
      </c>
    </row>
    <row r="27908">
      <c r="A27908" t="inlineStr">
        <is>
          <t>air</t>
        </is>
      </c>
      <c r="B27908">
        <f>HYPERLINK("https://www.dofusbook.net/fr/equipement/2774688-air/objets", "link")</f>
        <v/>
      </c>
      <c r="C27908" t="n">
        <v>9</v>
      </c>
      <c r="D27908" t="inlineStr">
        <is>
          <t>Lance Horselé; Collier du Valet Veinard; Anneau d'Allister; Gant du Valet Veinard; Bouclier du Stalak; Ceinture du Barbétoal; Casque Dragoeuf; Cape du Valet Veinard; Palmes Trithons; Dofus Ocre; Dofus Ivoire; Dofus des Glaces; Dofus Abyssal; Turbulent; Saccageur Air majeur; Muldo Ebène</t>
        </is>
      </c>
    </row>
    <row r="27909">
      <c r="A27909" t="inlineStr">
        <is>
          <t>full vita</t>
        </is>
      </c>
      <c r="B27909">
        <f>HYPERLINK("https://www.dofusbook.net/fr/equipement/1769391-full-vita/objets", "link")</f>
        <v/>
      </c>
      <c r="C27909" t="n">
        <v>0</v>
      </c>
      <c r="D27909" t="inlineStr">
        <is>
          <t>Sceptre du Roi Joueur; Collier Rophante; Alliance Gloursonne; Bague Trithon; Bouclier précieux; Ceinture Luminescente; Masque d'Anerice; Cape d'Anerice; Pataugastrique; Dofus Émeraude; Dofus Abyssal; Remueur; Culbuteur majeur; Miraculé majeur; Bousculeur majeur; Dauge</t>
        </is>
      </c>
    </row>
    <row r="27910">
      <c r="A27910" t="inlineStr">
        <is>
          <t>eau</t>
        </is>
      </c>
      <c r="B27910">
        <f>HYPERLINK("https://www.dofusbook.net/fr/equipement/2776124-eau/objets", "link")</f>
        <v/>
      </c>
      <c r="C27910" t="n">
        <v>9</v>
      </c>
      <c r="D27910" t="inlineStr">
        <is>
          <t>Sceptre du Roi Joueur; Amulette de Shokkoth; Bracelet des Fonds marins; Alliance Gloursonne; Bouclier d'Ilyzaelle; Ceinture Glaciale; Casque d'Ilyzaelle; Cape Solution; Sandales des Fonds marins; Dofus Abyssal; Dofus Ocre; Dofus Ivoire; Dolmanax; Dofus des Glaces; Saccageur Eau majeur; Muldo Ebène et Indigo</t>
        </is>
      </c>
    </row>
    <row r="27911">
      <c r="A27911" t="inlineStr">
        <is>
          <t>Stuff 3</t>
        </is>
      </c>
      <c r="B27911">
        <f>HYPERLINK("https://www.dofusbook.net/fr/equipement/130947-stuff-3/objets", "link")</f>
        <v/>
      </c>
      <c r="C27911" t="n">
        <v>3</v>
      </c>
      <c r="D27911" t="inlineStr">
        <is>
          <t>Lance Horselé; Amulette Ementaire Deluxe; Alliance Gloursonne; Gant du Valet Veinard; Cadran d'Air; Menoture; Couronne d'Allister; Cape du Valet Veinard; Palmes Trithons; Dofus des Glaces; Dofus Abyssal; Dofus Ivoire; Dolmanax; Cascadeur majeur; Remueur; Muldo Ebène et Indigo</t>
        </is>
      </c>
    </row>
    <row r="27912">
      <c r="A27912" t="inlineStr">
        <is>
          <t>air</t>
        </is>
      </c>
      <c r="B27912">
        <f>HYPERLINK("https://www.dofusbook.net/fr/equipement/2775078-air/objets", "link")</f>
        <v/>
      </c>
      <c r="C27912" t="n">
        <v>7</v>
      </c>
      <c r="D27912" t="inlineStr">
        <is>
          <t>Dagues Érhy; Collier du Valet Veinard; Alliance Gloursonne; Gant du Valet Veinard; Cadran d'Air; Ceinture du Barbétoal; Casque Dragoeuf; Cape du Valet Veinard; Bottes d'Allister; Dofus Ivoire; Dofus des Glaces; Dofus Abyssal; Dofus Ocre; Turbulent; Ravageur Air majeur; Muldo Ebène</t>
        </is>
      </c>
    </row>
    <row r="27913">
      <c r="A27913" t="inlineStr">
        <is>
          <t>test</t>
        </is>
      </c>
      <c r="B27913">
        <f>HYPERLINK("https://www.dofusbook.net/fr/equipement/2762082-test/objets", "link")</f>
        <v/>
      </c>
      <c r="C27913" t="n">
        <v>0</v>
      </c>
      <c r="D27913" t="inlineStr">
        <is>
          <t>Hachoirs de Viandargh; Amibou; Bague Instable; Bague Trithon; Bouclier Taverne; Menoture; Casque Dragoeuf; Capibou; Bottes du Cœur Vaillant; Dofus Pourpre; Dofus Abyssal; Remueur; Culbuteur majeur; Bousculeur majeur; Cascadeur majeur; Muldo Ebène</t>
        </is>
      </c>
    </row>
    <row r="27914">
      <c r="A27914" t="inlineStr">
        <is>
          <t>Stuff 1</t>
        </is>
      </c>
      <c r="B27914">
        <f>HYPERLINK("https://www.dofusbook.net/fr/equipement/130924-stuff-1/objets", "link")</f>
        <v/>
      </c>
      <c r="C27914" t="n">
        <v>0</v>
      </c>
      <c r="D27914" t="inlineStr">
        <is>
          <t>Manthache; Amulette d'Ilyzaelle; Alliance Gloursonne; Gant du Valet Veinard; Bouclier du Stalak; Menoture; Chapeau de Tournoyé; Cape de Crânonier; Palmes Trithons; Dofus Abyssal; Dofus Pourpre; Dofus des Glaces; Remueur; Évasif majeur; Imprenable majeur; Muldo Ebène</t>
        </is>
      </c>
    </row>
    <row r="27915">
      <c r="A27915" t="inlineStr">
        <is>
          <t>air</t>
        </is>
      </c>
      <c r="B27915">
        <f>HYPERLINK("https://www.dofusbook.net/fr/equipement/816025-air/objets", "link")</f>
        <v/>
      </c>
      <c r="C27915" t="n">
        <v>0</v>
      </c>
      <c r="D27915" t="inlineStr">
        <is>
          <t>Collier du Valet Veinard; Alliance Gloursonne; Gant du Valet Veinard; Bouclier d'Ilyzaelle; Menoture; Dorabysses; Cape Indescriptible; Palmes Trithons; Dofus des Glaces; Dofus Abyssal; Dofus Pourpre; Dofus Ivoire; Remueur; Cascadeur majeur; Muldo Ebène</t>
        </is>
      </c>
    </row>
    <row r="27916">
      <c r="A27916" t="inlineStr">
        <is>
          <t>Stuff 1</t>
        </is>
      </c>
      <c r="B27916">
        <f>HYPERLINK("https://www.dofusbook.net/fr/equipement/130912-stuff-1/objets", "link")</f>
        <v/>
      </c>
      <c r="C27916" t="n">
        <v>2</v>
      </c>
      <c r="D27916" t="inlineStr">
        <is>
          <t>Marteau R'ture; Amulette du Strigide; Anneau Crustique; Anneau Crustique; Quatre-feuilles; Ceinture du Strigide; Masque de Koutoulou; Cape du Cœur Saignant; Bottes du Cœur Saignant; Dofus Turquoise; Dofus Abyssal; Dofus Ocre; Dofus Ivoire; Dofus Pourpre; Dofus des Glaces; Muldo Indigo et Pourpre</t>
        </is>
      </c>
    </row>
    <row r="27917">
      <c r="A27917" t="inlineStr">
        <is>
          <t>air eau crit</t>
        </is>
      </c>
      <c r="B27917">
        <f>HYPERLINK("https://www.dofusbook.net/fr/equipement/2748462-air-eau-crit/objets", "link")</f>
        <v/>
      </c>
      <c r="C27917" t="n">
        <v>0</v>
      </c>
      <c r="D27917" t="inlineStr">
        <is>
          <t>Epée Loponèze; Amulette Voldelor; Alliance Gloursonne; Anneau Tique; Bouclier du Stalak; Menoture; Némès de Tal Kasha; Chevelure de Tal Kasha; Sandales de Tal Kasha; Dofus Ivoire; Dofus Pourpre; Dofus des Glaces; Dofus Émeraude; Dofus Abyssal; Dofus Turquoise; Muldo Ebène et Indigo</t>
        </is>
      </c>
    </row>
    <row r="27918">
      <c r="A27918" t="inlineStr">
        <is>
          <t>ahique</t>
        </is>
      </c>
      <c r="B27918">
        <f>HYPERLINK("https://www.dofusbook.net/fr/equipement/2714404-ahique/objets", "link")</f>
        <v/>
      </c>
      <c r="C27918" t="n">
        <v>2</v>
      </c>
      <c r="D27918" t="inlineStr">
        <is>
          <t>Arc Ahique; Collier du Valet Veinard; Alliance Gloursonne; Gant du Valet Veinard; Bouclier du Stalak; Ceinture de la Reine des Voleurs; Coiffe de la Reine des Voleurs; Cape du Valet Veinard; Bottes de la Reine des Voleurs; Dofus Pourpre; Dofus Abyssal; Dofus Ocre; Dofus Ivoire; Dofus des Glaces; Paralyseur majeur; Muldo Ebène</t>
        </is>
      </c>
    </row>
    <row r="27919">
      <c r="A27919" t="inlineStr">
        <is>
          <t>eau res</t>
        </is>
      </c>
      <c r="B27919">
        <f>HYPERLINK("https://www.dofusbook.net/fr/equipement/130914-eau-res/objets", "link")</f>
        <v/>
      </c>
      <c r="C27919" t="n">
        <v>1</v>
      </c>
      <c r="D27919" t="inlineStr">
        <is>
          <t>Sceptre du Roi Joueur; Amulette de Shokkoth; Bracelet des Fonds marins; Alliance Gloursonne; Bouclier du Stalak; Poulpagne; Casque Dragoeuf; Chevelure de Tal Kasha; Sandales de Tal Kasha; Dofus Pourpre; Dofus Abyssal; Dofus Turquoise; Étourdisseur majeur; Remueur; Muldo Ebène et Indigo</t>
        </is>
      </c>
    </row>
    <row r="27920">
      <c r="A27920" t="inlineStr">
        <is>
          <t>dopou</t>
        </is>
      </c>
      <c r="B27920">
        <f>HYPERLINK("https://www.dofusbook.net/fr/equipement/1830987-dopou/objets", "link")</f>
        <v/>
      </c>
      <c r="C27920" t="n">
        <v>2</v>
      </c>
      <c r="D27920" t="inlineStr">
        <is>
          <t>Héqache; Amibou; Alliance Gloursonne; Gant du Valet Veinard; Bouclier Taverne; Menoture; Chapibou; Cape des Malveilleurs; Bottes du Cœur Vaillant; Dofus Abyssal; Dofus Pourpre; Dofus des Glaces; Remueur; Bousculeur majeur; Culbuteur majeur; Muldo Ebène</t>
        </is>
      </c>
    </row>
    <row r="27921">
      <c r="A27921" t="inlineStr">
        <is>
          <t>Stuff 1</t>
        </is>
      </c>
      <c r="B27921">
        <f>HYPERLINK("https://www.dofusbook.net/fr/equipement/2687790-stuff-1/objets", "link")</f>
        <v/>
      </c>
      <c r="C27921" t="n">
        <v>1</v>
      </c>
      <c r="D27921" t="inlineStr">
        <is>
          <t>Lance Horselé; Collier du Valet Veinard; Gant du Valet Veinard; Alliance Gloursonne; Bouclier d'Ilyzaelle; Menoture; Némès de Tal Kasha; Chevelure de Tal Kasha; Palmes Trithons; Dofus Ivoire; Dofus Turquoise; Dofus des Glaces; Dofus Pourpre; Dofus Abyssal; Dofus Ocre; Muldo Ebène</t>
        </is>
      </c>
    </row>
    <row r="27922">
      <c r="A27922" t="inlineStr">
        <is>
          <t>terre</t>
        </is>
      </c>
      <c r="B27922">
        <f>HYPERLINK("https://www.dofusbook.net/fr/equipement/2687788-terre/objets", "link")</f>
        <v/>
      </c>
      <c r="C27922" t="n">
        <v>2</v>
      </c>
      <c r="D27922" t="inlineStr">
        <is>
          <t>Marteau R'ture; Amulette du Cœur Saignant; Anneau Crustique; Anneau Chevelu; Bouclier d'Ilyzaelle; Ceinture Gence; Casque Dragoeuf; Cape au Logis; Bottes du Cœur Saignant; Dofus Pourpre; Dofus Abyssal; Dofus Turquoise; Dofus Ivoire; Dofus des Glaces; Remueur; Kramkram</t>
        </is>
      </c>
    </row>
    <row r="27923">
      <c r="A27923" t="inlineStr">
        <is>
          <t>air eau</t>
        </is>
      </c>
      <c r="B27923">
        <f>HYPERLINK("https://www.dofusbook.net/fr/equipement/2687595-air-eau/objets", "link")</f>
        <v/>
      </c>
      <c r="C27923" t="n">
        <v>0</v>
      </c>
      <c r="D27923" t="inlineStr">
        <is>
          <t>Epée Loponèze; Amulette d'Ilyzaelle; Alliance Gloursonne; Anneau Tique; Bouclier du Stalak; Menoture; Casque d'Ilyzaelle; Chevelure de Tal Kasha; Sandales de Tal Kasha; Dofus Ivoire; Dofus Pourpre; Dofus des Glaces; Dofus Abyssal; Dofus Ocre; Paralyseur majeur; Muldo Ebène et Indigo</t>
        </is>
      </c>
    </row>
    <row r="27924">
      <c r="A27924" t="inlineStr">
        <is>
          <t>Stuff 1</t>
        </is>
      </c>
      <c r="B27924">
        <f>HYPERLINK("https://www.dofusbook.net/fr/equipement/2687521-stuff-1/objets", "link")</f>
        <v/>
      </c>
      <c r="C27924" t="n">
        <v>1</v>
      </c>
      <c r="D27924" t="inlineStr">
        <is>
          <t>Lance Horselé; Collier du Valet Veinard; Alliance Gloursonne; Gant du Valet Veinard; Cadran d'Air; Menoture; Némès de Tal Kasha; Chevelure de Tal Kasha; Palmes Trithons; Dofus Pourpre; Dofus Abyssal; Dofus Ocre; Dofus Ivoire; Dofus Turquoise; Dofus des Glaces; Muldo Ebène et Indigo</t>
        </is>
      </c>
    </row>
    <row r="27925">
      <c r="A27925" t="inlineStr">
        <is>
          <t>eau</t>
        </is>
      </c>
      <c r="B27925">
        <f>HYPERLINK("https://www.dofusbook.net/fr/equipement/2687360-eau/objets", "link")</f>
        <v/>
      </c>
      <c r="C27925" t="n">
        <v>1</v>
      </c>
      <c r="D27925" t="inlineStr">
        <is>
          <t>Sceptre du Roi Joueur; Amulette de Shokkoth; Bracelet des Fonds marins; Alliance Gloursonne; Bouclier du Stalak; Culotte de Bethel; Casque Dragoeuf; Cape Solution; Chaussons de Macrab; Dofus Ivoire; Dofus des Glaces; Dofus Abyssal; Dofus Pourpre; Étourdisseur majeur; Remueur; Muldo Ebène et Indigo</t>
        </is>
      </c>
    </row>
    <row r="27926">
      <c r="A27926" t="inlineStr">
        <is>
          <t>air dopou</t>
        </is>
      </c>
      <c r="B27926">
        <f>HYPERLINK("https://www.dofusbook.net/fr/equipement/2686341-air-dopou/objets", "link")</f>
        <v/>
      </c>
      <c r="C27926" t="n">
        <v>0</v>
      </c>
      <c r="D27926" t="inlineStr">
        <is>
          <t>Héqache; Amulette du Cœur Vaillant; Bague Trithon; Alliance Gloursonne; Menoture; Casque Dragoeuf; Cape du Cœur Vaillant; Bousculeur majeur; Culbuteur majeur</t>
        </is>
      </c>
    </row>
    <row r="27927">
      <c r="A27927" t="inlineStr">
        <is>
          <t>terre dopou</t>
        </is>
      </c>
      <c r="B27927">
        <f>HYPERLINK("https://www.dofusbook.net/fr/equipement/2669987-terre-dopou/objets", "link")</f>
        <v/>
      </c>
      <c r="C27927" t="n">
        <v>0</v>
      </c>
      <c r="D27927" t="inlineStr">
        <is>
          <t>Héqache; Collier de Tourthon; Anneau Chevelu; Bague Trithon; Bouclier Taverne; Ceinture Luminescente; Masque Trithon; Voile d'encre; Sabots Minables; Dofus Pourpre; Dofus Abyssal; Dofus Turquoise; Culbuteur majeur; Remueur; Bousculeur majeur; Muldo Pourpre</t>
        </is>
      </c>
    </row>
    <row r="27928">
      <c r="A27928" t="inlineStr">
        <is>
          <t>terre</t>
        </is>
      </c>
      <c r="B27928">
        <f>HYPERLINK("https://www.dofusbook.net/fr/equipement/2667275-terre/objets", "link")</f>
        <v/>
      </c>
      <c r="C27928" t="n">
        <v>5</v>
      </c>
      <c r="D27928" t="inlineStr">
        <is>
          <t>Marteau R'ture; Amulette du Cœur Saignant; Anneau Chevelu; Anneau Crustique; Quatre-feuilles; Ceinture Gence; Masque de Koutoulou; Cape au Logis; Bottes du Cœur Saignant; Dofus Turquoise; Dofus Ivoire; Dofus des Glaces; Dofus Pourpre; Dofus Abyssal; Enragé majeur; Kramkram</t>
        </is>
      </c>
    </row>
    <row r="27929">
      <c r="A27929" t="inlineStr">
        <is>
          <t>Stuff 3</t>
        </is>
      </c>
      <c r="B27929">
        <f>HYPERLINK("https://www.dofusbook.net/fr/equipement/2657954-stuff-3/objets", "link")</f>
        <v/>
      </c>
      <c r="C27929" t="n">
        <v>2</v>
      </c>
      <c r="D27929" t="inlineStr">
        <is>
          <t>Lance Horselé; Amulette d'Ilyzaelle; Alliance Gloursonne; Cadran de Feu; Casque d'Ilyzaelle; Cape Solution; Dofus des Glaces; Dofus Abyssal; Dofus Ivoire; Dolmanax; Cascadeur majeur; Remueur</t>
        </is>
      </c>
    </row>
    <row r="27930">
      <c r="A27930" t="inlineStr">
        <is>
          <t>Stuff 3</t>
        </is>
      </c>
      <c r="B27930">
        <f>HYPERLINK("https://www.dofusbook.net/fr/equipement/986357-stuff-3/objets", "link")</f>
        <v/>
      </c>
      <c r="C27930" t="n">
        <v>3</v>
      </c>
      <c r="D27930" t="inlineStr">
        <is>
          <t>Lance corrompue; Amulette du Kamasterisk; Bague Gloursonne; Alliance Gloursonne; Bouclier d'Ilyzaelle; Ceintouse; Masque de Koutoulou; Cape du Kamasterisk; Tentassons; Dofus Ocre; Dofus Abyssal; Dofus Nébuleux; Dofus Pourpre; Dofus des Glaces; Robuste majeur; Muldo Orchidée et Pourpre</t>
        </is>
      </c>
    </row>
    <row r="27931">
      <c r="A27931" t="inlineStr">
        <is>
          <t>necro</t>
        </is>
      </c>
      <c r="B27931">
        <f>HYPERLINK("https://www.dofusbook.net/fr/equipement/130883-necro/objets", "link")</f>
        <v/>
      </c>
      <c r="C27931" t="n">
        <v>3</v>
      </c>
      <c r="D27931" t="inlineStr">
        <is>
          <t>Arc Nécrotique; Talisman Igans; Anneau de Padgref; Anneau Tique; Quatre-feuilles; Ceintrigue; Casqnoar; Cape de la Dame du Hasard; Pataugastrique; Dofus Pourpre; Dofus Abyssal; Dofus Turquoise; Dofus Ivoire; Dofus des Glaces; Remueur; Muldo Orchidée</t>
        </is>
      </c>
    </row>
    <row r="27932">
      <c r="A27932" t="inlineStr">
        <is>
          <t>full eau</t>
        </is>
      </c>
      <c r="B27932">
        <f>HYPERLINK("https://www.dofusbook.net/fr/equipement/130882-full-eau/objets", "link")</f>
        <v/>
      </c>
      <c r="C27932" t="n">
        <v>2</v>
      </c>
      <c r="D27932" t="inlineStr">
        <is>
          <t>Sceptre du Roi Joueur; Amulette de Shokkoth; Bracelet des Fonds marins; Alliance Gloursonne; Bouclier du Stalak; Ceinture Luminescente; Casque Dragoeuf; Cape Solution; Sandales des Fonds marins; Dofus des Glaces; Dofus Pourpre; Dofus Abyssal; Dofus Ivoire; Remueur; Chanceux majeur; Muldo Indigo</t>
        </is>
      </c>
    </row>
    <row r="27933">
      <c r="A27933" t="inlineStr">
        <is>
          <t>dopou</t>
        </is>
      </c>
      <c r="B27933">
        <f>HYPERLINK("https://www.dofusbook.net/fr/equipement/2497264-dopou/objets", "link")</f>
        <v/>
      </c>
      <c r="C27933" t="n">
        <v>5</v>
      </c>
      <c r="D27933" t="inlineStr">
        <is>
          <t>Arc corrompu; Torquistik; Anneauræus; Bague Trithon; Bouclier du Stalak; Ceintrigue; Heaume Oplate; Voile d'encre; Bottistik; Dofus des Glaces; Dofus Abyssal; Remueur; Bousculeur majeur; Érudit majeur; Culbuteur majeur; Muldo Orchidée et Pourpre</t>
        </is>
      </c>
    </row>
    <row r="27934">
      <c r="A27934" t="inlineStr">
        <is>
          <t>ahique</t>
        </is>
      </c>
      <c r="B27934">
        <f>HYPERLINK("https://www.dofusbook.net/fr/equipement/2347390-ahique/objets", "link")</f>
        <v/>
      </c>
      <c r="C27934" t="n">
        <v>0</v>
      </c>
      <c r="D27934" t="inlineStr">
        <is>
          <t>Arc Ahique; Collier du Valet Veinard; Gant du Valet Veinard; Alliance Gloursonne; Cadran d'Air; Ceinture de la Reine des Voleurs; Coiffe de la Reine des Voleurs; Cape du Valet Veinard; Bottes de la Reine des Voleurs; Dofus Pourpre; Dofus Abyssal; Dofus Ocre; Dofus Ivoire; Dofus des Glaces; Robuste majeur; Muldo Ebène et Orchidée</t>
        </is>
      </c>
    </row>
    <row r="27935">
      <c r="A27935" t="inlineStr">
        <is>
          <t>ahique</t>
        </is>
      </c>
      <c r="B27935">
        <f>HYPERLINK("https://www.dofusbook.net/fr/equipement/2347336-ahique/objets", "link")</f>
        <v/>
      </c>
      <c r="C27935" t="n">
        <v>0</v>
      </c>
      <c r="D27935" t="inlineStr">
        <is>
          <t>Arc Ahique; Collier du Valet Veinard; Alliance Gloursonne; Gant du Valet Veinard; Bouclier du Stalak; Ceinture de la Reine des Voleurs; Coiffe de la Reine des Voleurs; Cape du Valet Veinard; Bottes de la Reine des Voleurs; Dofus Nébuleux; Dofus Ocre; Dofus des Glaces; Dofus Pourpre; Dofus Abyssal; Robuste majeur; Muldo Ebène</t>
        </is>
      </c>
    </row>
    <row r="27936">
      <c r="A27936" t="inlineStr">
        <is>
          <t>Stuff 3</t>
        </is>
      </c>
      <c r="B27936">
        <f>HYPERLINK("https://www.dofusbook.net/fr/equipement/2301031-stuff-3/objets", "link")</f>
        <v/>
      </c>
      <c r="C27936" t="n">
        <v>2</v>
      </c>
      <c r="D27936" t="inlineStr">
        <is>
          <t>Arc Nécrotique; Collier de la Dame du Hasard; Bague Gloursonne; Alliance Gloursonne; Quatre-feuilles; Ceintrigue; Bonnet Spairance; Cape de la Dame du Hasard; Bottes de la Dame du Hasard; Dofus Ocre; Dofus Abyssal; Dofus Pourpre; Dofus des Glaces; Dofus Turquoise; Dofus Nébuleux; Muldo Orchidée</t>
        </is>
      </c>
    </row>
    <row r="27937">
      <c r="A27937" t="inlineStr">
        <is>
          <t>Stuff 3</t>
        </is>
      </c>
      <c r="B27937">
        <f>HYPERLINK("https://www.dofusbook.net/fr/equipement/130908-stuff-3/objets", "link")</f>
        <v/>
      </c>
      <c r="C27937" t="n">
        <v>0</v>
      </c>
      <c r="D27937" t="inlineStr">
        <is>
          <t>Arc Nécrotique; Amulette du Strigide; Alliance Gloursonne; Bague Gloursonne; Quatre-feuilles; Ceinture du Strigide; Kidibonnet; Cape de la Dame du Hasard; Bottes de la Dame du Hasard; Dofus Turquoise; Dofus Nébuleux; Dofus Ocre; Dofus Abyssal; Dofus Pourpre; Dofus des Glaces; Muldo Indigo</t>
        </is>
      </c>
    </row>
    <row r="27938">
      <c r="A27938" t="inlineStr">
        <is>
          <t>Stuff 2</t>
        </is>
      </c>
      <c r="B27938">
        <f>HYPERLINK("https://www.dofusbook.net/fr/equipement/130925-stuff-2/objets", "link")</f>
        <v/>
      </c>
      <c r="C27938" t="n">
        <v>0</v>
      </c>
      <c r="D27938" t="inlineStr">
        <is>
          <t>Rapière aux Glyphes; Amulette de Shokkoth; Bracelet des Fonds marins; Alliance Gloursonne; Bouclier d'Ilyzaelle; Poulpagne; Capuche de l'Œil Attentif; Cape de l'Œil Attentif; Pantoufles du Piloztère; Dofus Pourpre; Dofus des Glaces; Dofus Abyssal; Imprenable majeur; Évasif majeur; Remueur; Muldo Indigo</t>
        </is>
      </c>
    </row>
    <row r="27939">
      <c r="A27939" t="inlineStr">
        <is>
          <t>Stuff 3</t>
        </is>
      </c>
      <c r="B27939">
        <f>HYPERLINK("https://www.dofusbook.net/fr/equipement/130926-stuff-3/objets", "link")</f>
        <v/>
      </c>
      <c r="C27939" t="n">
        <v>0</v>
      </c>
      <c r="D27939" t="inlineStr">
        <is>
          <t>Baguette de Malléfisk; Pendentif mignon de Koutoulou; Anneauræus; Anneau Rifique; Bouclier d'Ilyzaelle; Ceinture de l'Esprit Malsain; Casque Dragoeuf; Cape de Diondin; Bottes Innommables; Dofus Pourpre; Dofus des Glaces; Dofus Abyssal; Dofus Émeraude; Remueur; Érudit majeur; Muldo Orchidée</t>
        </is>
      </c>
    </row>
    <row r="27940">
      <c r="A27940" t="inlineStr">
        <is>
          <t>stuff serv mono</t>
        </is>
      </c>
      <c r="B27940">
        <f>HYPERLINK("https://www.dofusbook.net/fr/equipement/2040271-stuff-serv-mono/objets", "link")</f>
        <v/>
      </c>
      <c r="C27940" t="n">
        <v>0</v>
      </c>
      <c r="D27940" t="inlineStr">
        <is>
          <t>Arc en Racine d'Abraknyde; Amulette des Huit Yeux; Bracelet Tmotiv; Gelano; Pagne du Muloubar; Coiffe du Muloubar; Cape du Tofu Fou; Bottines du Mulou; Acrobate; Cascadeur; Equilibriste; Nomade; Remueur; Vigoureux; Siroko</t>
        </is>
      </c>
    </row>
    <row r="27941">
      <c r="A27941" t="inlineStr">
        <is>
          <t>test</t>
        </is>
      </c>
      <c r="B27941">
        <f>HYPERLINK("https://www.dofusbook.net/fr/equipement/1973406-test/objets", "link")</f>
        <v/>
      </c>
      <c r="C27941" t="n">
        <v>0</v>
      </c>
      <c r="D27941" t="inlineStr">
        <is>
          <t>Lance Horselé; Amulette du Strigide; Gant du Valet Veinard; Alliance Gloursonne; Menoture; Chapeau de Tournoyé; Chevelure de Tal Kasha; Sandales de Tal Kasha</t>
        </is>
      </c>
    </row>
    <row r="27942">
      <c r="A27942" t="inlineStr">
        <is>
          <t>feu2</t>
        </is>
      </c>
      <c r="B27942">
        <f>HYPERLINK("https://www.dofusbook.net/fr/equipement/1967451-feu2/objets", "link")</f>
        <v/>
      </c>
      <c r="C27942" t="n">
        <v>1</v>
      </c>
      <c r="D27942" t="inlineStr">
        <is>
          <t>Talisman Igans; Anneauræus; Anneauræus; Cadran d'Eau; Ceintrigue; Casque Dragoeuf; Cape de Diondin; Bottes Innommables; Dofus Émeraude; Dofus Abyssal; Dofus Pourpre; Dofus des Glaces; Remueur; Érudit majeur; Muldo Orchidée</t>
        </is>
      </c>
    </row>
    <row r="27943">
      <c r="A27943" t="inlineStr">
        <is>
          <t>feu</t>
        </is>
      </c>
      <c r="B27943">
        <f>HYPERLINK("https://www.dofusbook.net/fr/equipement/1967377-feu/objets", "link")</f>
        <v/>
      </c>
      <c r="C27943" t="n">
        <v>4</v>
      </c>
      <c r="D27943" t="inlineStr">
        <is>
          <t>Massier; Pendentif affamé; Anneauræus; Anneauræus; Bouclier d'Ilyzaelle; Ceintrigue; Heaume Oplate; Voile d'encre; Bottes Owesli; Dofus Ivoire; Dofus des Glaces; Dofus Abyssal; Remueur; Érudit majeur; Muldo Orchidée</t>
        </is>
      </c>
    </row>
    <row r="27944">
      <c r="A27944" t="inlineStr">
        <is>
          <t>gsfd</t>
        </is>
      </c>
      <c r="B27944">
        <f>HYPERLINK("https://www.dofusbook.net/fr/equipement/816024-gsfd/objets", "link")</f>
        <v/>
      </c>
      <c r="C27944" t="n">
        <v>0</v>
      </c>
      <c r="D27944" t="inlineStr">
        <is>
          <t>Baguette de Malléfisk; Pendentif mignon de Koutoulou; Anneau Rifique; Anneauræus; Bouclier d'Ilyzaelle; Ceinture de l'Esprit Malsain; Casque Dragoeuf; Cape de Diondin; Bottes Innommables; Dofus Émeraude; Dofus Abyssal; Dofus des Glaces; Dofus Pourpre; Érudit majeur; Remueur; Muldo Orchidée</t>
        </is>
      </c>
    </row>
    <row r="27945">
      <c r="A27945" t="inlineStr">
        <is>
          <t>Stuff 2</t>
        </is>
      </c>
      <c r="B27945">
        <f>HYPERLINK("https://www.dofusbook.net/fr/equipement/1935845-stuff-2/objets", "link")</f>
        <v/>
      </c>
      <c r="C27945" t="n">
        <v>0</v>
      </c>
      <c r="D27945" t="inlineStr">
        <is>
          <t>Lance corrompue; Amulette du Kamasterisk; Alliance Gloursonne; Bague Gloursonne; Bouclier d'Ilyzaelle; Ceinture de la Reine des Voleurs; Coiffe de la Reine des Voleurs; Cape du Kamasterisk; Bottes du Kamasterisk; Dofus Abyssal; Dofus des Glaces; Dofus Émeraude; Dofus Ocre; Dofus Ivoire; Dofus Pourpre; Muldo Ebène et Pourpre</t>
        </is>
      </c>
    </row>
    <row r="27946">
      <c r="A27946" t="inlineStr">
        <is>
          <t>Stuff 2</t>
        </is>
      </c>
      <c r="B27946">
        <f>HYPERLINK("https://www.dofusbook.net/fr/equipement/130922-stuff-2/objets", "link")</f>
        <v/>
      </c>
      <c r="C27946" t="n">
        <v>0</v>
      </c>
      <c r="D27946" t="inlineStr">
        <is>
          <t>Lance corrompue; Amulette du Kamasterisk; Bague Gloursonne; Alliance Gloursonne; Bouclier d'Ilyzaelle; Ceinture de la Reine des Voleurs; Coiffe de la Reine des Voleurs; Cape du Kamasterisk; Bottes du Kamasterisk; Dofus Ivoire; Dofus Pourpre; Dofus Abyssal; Dofus des Glaces; Dofus Émeraude; Dofus Ocre; Muldo Ebène et Pourpre</t>
        </is>
      </c>
    </row>
    <row r="27947">
      <c r="A27947" t="inlineStr">
        <is>
          <t>dopou</t>
        </is>
      </c>
      <c r="B27947">
        <f>HYPERLINK("https://www.dofusbook.net/fr/equipement/1830942-dopou/objets", "link")</f>
        <v/>
      </c>
      <c r="C27947" t="n">
        <v>0</v>
      </c>
      <c r="D27947" t="inlineStr">
        <is>
          <t>Héqache; Torquistik; Bague Instable; Bague Trithon; Bouclier précieux; Ceintacé; Casque Dragoeuf; Voile d'encre; Bottistik; Dofus Émeraude; Dofus Abyssal; Culbuteur majeur; Remueur; Bousculeur majeur; Muldo Ebène et Pourpre</t>
        </is>
      </c>
    </row>
    <row r="27948">
      <c r="A27948" t="inlineStr">
        <is>
          <t>Stuff 1</t>
        </is>
      </c>
      <c r="B27948">
        <f>HYPERLINK("https://www.dofusbook.net/fr/equipement/130906-stuff-1/objets", "link")</f>
        <v/>
      </c>
      <c r="C27948" t="n">
        <v>0</v>
      </c>
      <c r="D27948" t="inlineStr">
        <is>
          <t>Sceptre du Roi Joueur; Amulette de Shokkoth; Bracelet des Fonds marins; Alliance Gloursonne; Bouclier du Stalak; Poulpagne; Casque Dragoeuf; Cape de Mantaze; Sandales des Fonds marins; Dofus Abyssal; Dofus des Glaces; Dofus Pourpre; Remueur; Miraculé majeur; Chanceux majeur; Muldo Indigo</t>
        </is>
      </c>
    </row>
    <row r="27949">
      <c r="A27949" t="inlineStr">
        <is>
          <t>test hequache</t>
        </is>
      </c>
      <c r="B27949">
        <f>HYPERLINK("https://www.dofusbook.net/fr/equipement/661700-test-hequache/objets", "link")</f>
        <v/>
      </c>
      <c r="C27949" t="n">
        <v>0</v>
      </c>
      <c r="D27949" t="inlineStr">
        <is>
          <t>Héqache; Amulette du Strigide; Bague Gloursonne; Alliance Gloursonne; Ceintacé; Masque d'Anerice; Cape d'Anerice; Bottes du Strigide; Dofus Ocre; Dofus des Glaces; Dofus Émeraude; Dofus Turquoise; Dofus Abyssal; Dofus Pourpre; Muldo Ebène et Pourpre</t>
        </is>
      </c>
    </row>
    <row r="27950">
      <c r="A27950" t="inlineStr">
        <is>
          <t>Stuff 1</t>
        </is>
      </c>
      <c r="B27950">
        <f>HYPERLINK("https://www.dofusbook.net/fr/equipement/130921-stuff-1/objets", "link")</f>
        <v/>
      </c>
      <c r="C27950" t="n">
        <v>0</v>
      </c>
      <c r="D27950" t="inlineStr">
        <is>
          <t>Manthache; Collier du Valet Veinard; Gant du Valet Veinard; Alliance Gloursonne; Cadran d'Eau; Menoture; Casque Dragoeuf; Cape Indescriptible; Palmes Trithons; Dofus Abyssal; Dofus Pourpre; Dofus des Veilleurs; Dofus des Glaces; Remueur; Cascadeur majeur; Muldo Ebène</t>
        </is>
      </c>
    </row>
    <row r="27951">
      <c r="A27951" t="inlineStr">
        <is>
          <t>Terre Arc Chaloeil</t>
        </is>
      </c>
      <c r="B27951">
        <f>HYPERLINK("https://www.dofusbook.net/fr/equipement/1589684-terre-arc-chaloeil/objets", "link")</f>
        <v/>
      </c>
      <c r="C27951" t="n">
        <v>0</v>
      </c>
      <c r="D27951" t="inlineStr">
        <is>
          <t>Marteau R'ture; Collier de Tourthon; Anneau Crustique; Bracelet du Piloztère; Bouclier du Stalak; Ceintouse; Masque de Koutoulou; Voile d'encre; Tentassons; Dofus des Glaces; Dofus Abyssal; Dofus Pourpre; Enragé majeur; Carapace Terre majeur; Remueur; Muldo Indigo et Pourpre</t>
        </is>
      </c>
    </row>
    <row r="27952">
      <c r="A27952" t="inlineStr">
        <is>
          <t>Stuff 2</t>
        </is>
      </c>
      <c r="B27952">
        <f>HYPERLINK("https://www.dofusbook.net/fr/equipement/1664333-stuff-2/objets", "link")</f>
        <v/>
      </c>
      <c r="C27952" t="n">
        <v>0</v>
      </c>
      <c r="D27952" t="inlineStr">
        <is>
          <t>Arc Hétype; Pendentif mignon de Koutoulou; Anneau Rifique; Anneau Tique; Carapar; Ceinture de Vortex; Casque Dragoeuf; Cape de Diondin; Bottes Innommables; Dofus Émeraude; Dokoko; Dofus Abyssal; Érudit majeur; Remueur; Obstructeur majeur; Muldo Roux et Pourpre</t>
        </is>
      </c>
    </row>
    <row r="27953">
      <c r="A27953" t="inlineStr">
        <is>
          <t>Stuff 3</t>
        </is>
      </c>
      <c r="B27953">
        <f>HYPERLINK("https://www.dofusbook.net/fr/equipement/130905-stuff-3/objets", "link")</f>
        <v/>
      </c>
      <c r="C27953" t="n">
        <v>1</v>
      </c>
      <c r="D27953" t="inlineStr">
        <is>
          <t>Héqache; Amulette du Strigide; Alliance Gloursonne; Bague Gloursonne; Ceinture du Strigide; Masque de Koutoulou; Voile d'encre; Bottes de la Cour Sombre; Dolmanax; Dofus Ocre; Dofus Pourpre; Dofus des Glaces; Dofus Turquoise; Dofus Abyssal; Muldo Indigo et Pourpre</t>
        </is>
      </c>
    </row>
    <row r="27954">
      <c r="A27954" t="inlineStr">
        <is>
          <t>feu</t>
        </is>
      </c>
      <c r="B27954">
        <f>HYPERLINK("https://www.dofusbook.net/fr/equipement/1633218-feu/objets", "link")</f>
        <v/>
      </c>
      <c r="C27954" t="n">
        <v>1</v>
      </c>
      <c r="D27954" t="inlineStr">
        <is>
          <t>Arc corrompu; Pendentif mignon de Koutoulou; Anneauræus; Anneau Rifique; Bouclier du Stalak; Ceinture de l'Esprit Malsain; Casque Dragoeuf; Cape de Diondin; Bottes Innommables; Dofus Pourpre; Dofus des Glaces; Dofus Abyssal; Dofus Ivoire; Érudit majeur; Remueur; Muldo Orchidée</t>
        </is>
      </c>
    </row>
    <row r="27955">
      <c r="A27955" t="inlineStr">
        <is>
          <t>hequache-ret-PA</t>
        </is>
      </c>
      <c r="B27955">
        <f>HYPERLINK("https://www.dofusbook.net/fr/equipement/130887-hequache-ret-pa/objets", "link")</f>
        <v/>
      </c>
      <c r="C27955" t="n">
        <v>0</v>
      </c>
      <c r="D27955" t="inlineStr">
        <is>
          <t>Héqache; Amulette du Strigide; Anneau Crustique; Alliance Gloursonne; Sept ans de malheur; Ceintouse; Masque de Koutoulou; Voile d'encre; Tentassons; Dofus Pourpre; Dofus des Veilleurs; Dofus des Glaces; Dofus Abyssal; Dofus Ocre; Étourdisseur majeur; Muldo Indigo et Pourpre</t>
        </is>
      </c>
    </row>
    <row r="27956">
      <c r="A27956" t="inlineStr">
        <is>
          <t>erhy</t>
        </is>
      </c>
      <c r="B27956">
        <f>HYPERLINK("https://www.dofusbook.net/fr/equipement/514180-erhy/objets", "link")</f>
        <v/>
      </c>
      <c r="C27956" t="n">
        <v>1</v>
      </c>
      <c r="D27956" t="inlineStr">
        <is>
          <t>Hache du Chalœil; Amulette du Strigide; Alliance Gloursonne; Bague Gloursonne; Quatre-feuilles; Ceintacé; Masque de Koutoulou; Voile d'encre; Bottes du Strigide; Dofus des Veilleurs; Dofus des Glaces; Dofus Pourpre; Dofus Abyssal; Dofus Turquoise; Dofus Ocre; Muldo Orchidée et Pourpre</t>
        </is>
      </c>
    </row>
    <row r="27957">
      <c r="A27957" t="inlineStr">
        <is>
          <t>rox</t>
        </is>
      </c>
      <c r="B27957">
        <f>HYPERLINK("https://www.dofusbook.net/fr/equipement/1508220-rox/objets", "link")</f>
        <v/>
      </c>
      <c r="C27957" t="n">
        <v>0</v>
      </c>
      <c r="D27957" t="inlineStr">
        <is>
          <t>Arc du Chalœil; Amulette du Strigide; Anneau Chevelu; Anneau Crustique; Écorce de Brouce; Ceinture du Strigide; Masque de Koutoulou; Cape au Logis; Bottes de la Cour Sombre; Dofus Turquoise; Dofus Abyssal; Dofus Pourpre; Dofus Ocre; Dofus des Glaces; Évasif majeur; Kramkram</t>
        </is>
      </c>
    </row>
    <row r="27958">
      <c r="A27958" t="inlineStr">
        <is>
          <t>Stuff 1</t>
        </is>
      </c>
      <c r="B27958">
        <f>HYPERLINK("https://www.dofusbook.net/fr/equipement/130885-stuff-1/objets", "link")</f>
        <v/>
      </c>
      <c r="C27958" t="n">
        <v>0</v>
      </c>
      <c r="D27958" t="inlineStr">
        <is>
          <t>Hache du Korriandre; Amulette du Strigide; Pikano; Alliance Gloursonne; Sept ans de malheur; Menoture; Némès de Tal Kasha; Chevelure de Tal Kasha; Pataugastrique; Dofus Turquoise; Dofus des Glaces; Miraculé majeur; Carapace Feu majeur; Étourdisseur majeur; Obstructeur majeur; Muldo Indigo</t>
        </is>
      </c>
    </row>
    <row r="27959">
      <c r="A27959" t="inlineStr">
        <is>
          <t>Stuff 2</t>
        </is>
      </c>
      <c r="B27959">
        <f>HYPERLINK("https://www.dofusbook.net/fr/equipement/130898-stuff-2/objets", "link")</f>
        <v/>
      </c>
      <c r="C27959" t="n">
        <v>4</v>
      </c>
      <c r="D27959" t="inlineStr">
        <is>
          <t>Baguette Range; Amulette du Strigide; Anneau de Padgref; Chevalière du Roi Joueur; Quatre-feuilles; Ceinture du Strigide; Coiffe de Padgref; Voile d'encre; Getas de Padgref; Dofus Ocre; Dofus Abyssal; Dofus Turquoise; Dofus des Glaces; Dofus Pourpre; Turbulent; Muldo Prune et Emeraude</t>
        </is>
      </c>
    </row>
    <row r="27960">
      <c r="A27960" t="inlineStr">
        <is>
          <t>Stuff 1</t>
        </is>
      </c>
      <c r="B27960">
        <f>HYPERLINK("https://www.dofusbook.net/fr/equipement/130897-stuff-1/objets", "link")</f>
        <v/>
      </c>
      <c r="C27960" t="n">
        <v>2</v>
      </c>
      <c r="D27960" t="inlineStr">
        <is>
          <t>Baguette Range; Amulette du Strigide; Chevalière du Roi Joueur; Anneau de Padgref; Quatre-feuilles; Ceinture du Strigide; Coiffe de Padgref; Cape d'Atcham; Getas de Padgref; Dofus des Glaces; Dofus Abyssal; Dofus Ocre; Dofus Nébuleux; Dofus Turquoise; Turbulent; Muldo Prune et Emeraude</t>
        </is>
      </c>
    </row>
    <row r="27961">
      <c r="A27961" t="inlineStr">
        <is>
          <t>Stuff 3</t>
        </is>
      </c>
      <c r="B27961">
        <f>HYPERLINK("https://www.dofusbook.net/fr/equipement/130923-stuff-3/objets", "link")</f>
        <v/>
      </c>
      <c r="C27961" t="n">
        <v>1</v>
      </c>
      <c r="D27961" t="inlineStr">
        <is>
          <t>Héqache; Amulette du Strigide; Bague Gloursonne; Anneau Chevelu; Cadran d'Eau; Ceinture du Strigide; Masque de Koutoulou; Voile d'encre; Bottes de la Cour Sombre; Dofus Turquoise; Dofus Abyssal; Dofus Pourpre; Enragé majeur; Remueur; Vigoureux majeur; Muldo Pourpre</t>
        </is>
      </c>
    </row>
    <row r="27962">
      <c r="A27962" t="inlineStr">
        <is>
          <t>Stuff 1</t>
        </is>
      </c>
      <c r="B27962">
        <f>HYPERLINK("https://www.dofusbook.net/fr/equipement/130918-stuff-1/objets", "link")</f>
        <v/>
      </c>
      <c r="C27962" t="n">
        <v>1</v>
      </c>
      <c r="D27962" t="inlineStr">
        <is>
          <t>Arc de Koutoulou; Amulette du Strigide; Bague Gloursonne; Alliance Gloursonne; Quatre-feuilles; Ceinture du Strigide; Némès de Tal Kasha; Chevelure de Tal Kasha; Sandales de Tal Kasha; Dofus Pourpre; Dofus Émeraude; Dofus Turquoise; Dofus Abyssal; Vigoureux majeur; Remueur; Muldo Ebène et Indigo</t>
        </is>
      </c>
    </row>
    <row r="27963">
      <c r="A27963" t="inlineStr">
        <is>
          <t>Stuff 1</t>
        </is>
      </c>
      <c r="B27963">
        <f>HYPERLINK("https://www.dofusbook.net/fr/equipement/130945-stuff-1/objets", "link")</f>
        <v/>
      </c>
      <c r="C27963" t="n">
        <v>0</v>
      </c>
      <c r="D27963" t="inlineStr">
        <is>
          <t>Baguette de Malléfisk; Alliance Boletée; Carapar; Ceinture de Vortex; Casque Dragoeuf; Cape de Diondin; Bottes Innommables; Dolmanax; Érudit majeur; Remueur; Carapace Feu majeur; Carapace Neutre majeur; Miraculé majeur</t>
        </is>
      </c>
    </row>
    <row r="27964">
      <c r="A27964" t="inlineStr">
        <is>
          <t>srambad</t>
        </is>
      </c>
      <c r="B27964">
        <f>HYPERLINK("https://www.dofusbook.net/fr/equipement/512697-srambad/objets", "link")</f>
        <v/>
      </c>
      <c r="C27964" t="n">
        <v>0</v>
      </c>
      <c r="D27964" t="inlineStr">
        <is>
          <t>Dagues de Srambad; Collier de Tourthon; Anneau Chevelu; Anneau Crustique; Sept ans de malheur; Ceinture de la Reine des Voleurs; Casque Dragoeuf; Voile d'encre; Bottes de la Reine des Voleurs; Dofus des Glaces; Dofus Émeraude; Dofus des Veilleurs; Dofus Ocre; Obstructeur majeur; Remueur; Muldo Ebène et Orchidée</t>
        </is>
      </c>
    </row>
    <row r="27965">
      <c r="A27965" t="inlineStr">
        <is>
          <t>multi-bl</t>
        </is>
      </c>
      <c r="B27965">
        <f>HYPERLINK("https://www.dofusbook.net/fr/equipement/840650-multi-bl/objets", "link")</f>
        <v/>
      </c>
      <c r="C27965" t="n">
        <v>0</v>
      </c>
      <c r="D27965" t="inlineStr">
        <is>
          <t>Hache du Guerrier Zoth; La Meulette; Gelano; Anneau Nobstant; Bouclier du Sadida; Ceinture Phossile; Bonnet Ko; Caracape Minotoris; Bottes Phossiles; Dofus Pourpre; Dofus Émeraude; Dofus Ocre; Dokoko; Vigoureux majeur; Nomade; Dragodinde Emeraude et Rousse</t>
        </is>
      </c>
    </row>
    <row r="27966">
      <c r="A27966" t="inlineStr">
        <is>
          <t>bl-eau</t>
        </is>
      </c>
      <c r="B27966">
        <f>HYPERLINK("https://www.dofusbook.net/fr/equipement/822374-bl-eau/objets", "link")</f>
        <v/>
      </c>
      <c r="C27966" t="n">
        <v>0</v>
      </c>
      <c r="D27966" t="inlineStr">
        <is>
          <t>Ares; La Feuille de Printemps; Gelano; Bague Moutheuze; Pagniglou; Solomonk; Corbacape Mastralis; Sandales Humeuses; Dofus des Glaces; Dofus Pourpre; Dofus Abyssal; Dofus Émeraude; Nomade; Remueur; Kramkram</t>
        </is>
      </c>
    </row>
    <row r="27967">
      <c r="A27967" t="inlineStr">
        <is>
          <t>srambad</t>
        </is>
      </c>
      <c r="B27967">
        <f>HYPERLINK("https://www.dofusbook.net/fr/equipement/564388-srambad/objets", "link")</f>
        <v/>
      </c>
      <c r="C27967" t="n">
        <v>2</v>
      </c>
      <c r="D27967" t="inlineStr">
        <is>
          <t>Dagues de Srambad; Amulette de l'Indicible; Pikano; Alliance Gloursonne; Ceinture de la Reine des Voleurs; Casque Dragoeuf; Voile d'encre; Bottes de la Reine des Voleurs; Dokoko; Dofus Ocre; Dofus Nébuleux; Dofus des Glaces; Dofus Pourpre; Remueur; Muldo Indigo et Pourpre</t>
        </is>
      </c>
    </row>
    <row r="27968">
      <c r="A27968" t="inlineStr">
        <is>
          <t>Stuff 2</t>
        </is>
      </c>
      <c r="B27968">
        <f>HYPERLINK("https://www.dofusbook.net/fr/equipement/130946-stuff-2/objets", "link")</f>
        <v/>
      </c>
      <c r="C27968" t="n">
        <v>1</v>
      </c>
      <c r="D27968" t="inlineStr">
        <is>
          <t>Dagues Érhy; Amulette Ementaire Deluxe; Anneau Chevelu; Chevalière du Roi Joueur; Ceinture Luminescente; Masque de Koutoulou; Voile d'encre; Bottes du Roi Joueur; Dofus Émeraude; Dolmanax; Carapace Neutre majeur; Enragé majeur; Miraculé majeur; Remueur</t>
        </is>
      </c>
    </row>
    <row r="27969">
      <c r="A27969" t="inlineStr">
        <is>
          <t>Stuff 3</t>
        </is>
      </c>
      <c r="B27969">
        <f>HYPERLINK("https://www.dofusbook.net/fr/equipement/130917-stuff-3/objets", "link")</f>
        <v/>
      </c>
      <c r="C27969" t="n">
        <v>0</v>
      </c>
      <c r="D27969" t="inlineStr">
        <is>
          <t>La Baguette des Limbes; Médaille Kido; Gelano; Alliance d'Elya Wood; Xénature; Holoune; Ortiz; Bottes du Pounicheur; Dofus des Glaces; Dofus Pourpre; Dofus Ocre; Dofus Émeraude; Remueur; Homlett</t>
        </is>
      </c>
    </row>
    <row r="27970">
      <c r="A27970" t="inlineStr">
        <is>
          <t>Stuff 2</t>
        </is>
      </c>
      <c r="B27970">
        <f>HYPERLINK("https://www.dofusbook.net/fr/equipement/130919-stuff-2/objets", "link")</f>
        <v/>
      </c>
      <c r="C27970" t="n">
        <v>0</v>
      </c>
      <c r="D27970" t="inlineStr">
        <is>
          <t>Manthache; Collier du Valet Veinard; Alliance Gloursonne; Gant du Valet Veinard; Menoture; Couronne d'Allister; Cape Indescriptible; Palmes Trithons; Dofus Pourpre; Equilibriste majeur; Remueur; Vigoureux majeur; Nomade; Cascadeur majeur</t>
        </is>
      </c>
    </row>
    <row r="27971">
      <c r="A27971" t="inlineStr">
        <is>
          <t>Stuff 2</t>
        </is>
      </c>
      <c r="B27971">
        <f>HYPERLINK("https://www.dofusbook.net/fr/equipement/130934-stuff-2/objets", "link")</f>
        <v/>
      </c>
      <c r="C27971" t="n">
        <v>0</v>
      </c>
      <c r="D27971" t="inlineStr">
        <is>
          <t>Héqache; Amulette Luminescente; Bague Trithon; Alliance Gloursonne; Bouclier précieux; Ceinture Luminescente; Masque Trithon; Cape Luminescente; Bottes Trithon; Dofus des Glaces; Dofus Pourpre; Dofus Émeraude; Dofus Abyssal; Dolmanax; Bousculeur majeur; Muldo Ebène</t>
        </is>
      </c>
    </row>
    <row r="27972">
      <c r="A27972" t="inlineStr">
        <is>
          <t>Stuff 3</t>
        </is>
      </c>
      <c r="B27972">
        <f>HYPERLINK("https://www.dofusbook.net/fr/equipement/130920-stuff-3/objets", "link")</f>
        <v/>
      </c>
      <c r="C27972" t="n">
        <v>2</v>
      </c>
      <c r="D27972" t="inlineStr">
        <is>
          <t>Rapière aux Glyphes; Amulette de Shokkoth; Alliance Gloursonne; Bracelet des Fonds marins; Poulpagne; Casque Dragoeuf; Cape du Sinistrofu; Bottes du Sinistrofu; Dofus des Glaces; Dofus Pourpre; Miraculé majeur; Chanceux majeur; Vigoureux majeur; Remueur</t>
        </is>
      </c>
    </row>
    <row r="27973">
      <c r="A27973" t="inlineStr">
        <is>
          <t>Enutrof M 200</t>
        </is>
      </c>
      <c r="B27973">
        <f>HYPERLINK("https://www.dofusbook.net/fr/equipement/6015063-enutrof-m-200/objets", "link")</f>
        <v/>
      </c>
      <c r="C27973" t="n">
        <v>0</v>
      </c>
      <c r="D27973" t="inlineStr"/>
    </row>
    <row r="27974">
      <c r="A27974" t="inlineStr">
        <is>
          <t>Stuff 3</t>
        </is>
      </c>
      <c r="B27974">
        <f>HYPERLINK("https://www.dofusbook.net/fr/equipement/1118343-stuff-3/objets", "link")</f>
        <v/>
      </c>
      <c r="C27974" t="n">
        <v>0</v>
      </c>
      <c r="D27974" t="inlineStr">
        <is>
          <t>Sabres d'Atcham; Amulette de Pol Ouatnos; Bague Gloursonne; Alliance Gloursonne; Ceintacé; Chapeau des Malveilleurs; Cape des Malveilleurs; Sandales  d'Atcham; Dokoko; Dofus Pourpre; Dolmanax; Dofus Ocre; Dofus des Glaces; Dofus Turquoise; Kramkram</t>
        </is>
      </c>
    </row>
    <row r="27975">
      <c r="A27975" t="inlineStr">
        <is>
          <t>Stuff 3</t>
        </is>
      </c>
      <c r="B27975">
        <f>HYPERLINK("https://www.dofusbook.net/fr/equipement/1118306-stuff-3/objets", "link")</f>
        <v/>
      </c>
      <c r="C27975" t="n">
        <v>2</v>
      </c>
      <c r="D27975" t="inlineStr">
        <is>
          <t>Rapière aux Glyphes; Amulette de Pol Ouatnos; Bracelet du Piloztère; Pikano; Ceinture Glaciale; Kidibonnet; Cape de Meno; Bottes de Meno; Dofus Turquoise; Temporiseur majeur; Remueur; Vigoureux majeur; Chanceux majeur; Déserteur majeur; Kramkram</t>
        </is>
      </c>
    </row>
    <row r="27976">
      <c r="A27976" t="inlineStr">
        <is>
          <t>Stuff 1</t>
        </is>
      </c>
      <c r="B27976">
        <f>HYPERLINK("https://www.dofusbook.net/fr/equipement/1118301-stuff-1/objets", "link")</f>
        <v/>
      </c>
      <c r="C27976" t="n">
        <v>0</v>
      </c>
      <c r="D27976" t="inlineStr">
        <is>
          <t>Arc Hétype; Amulette de Nileza; Bague Gloursonne; Anneau Tique; Ceinture Séculaire; Couronne de Nidas; Voile d'encre; Tongues de Nidas; Dofus Ocre; Remueur; Nomade; Érudit majeur; Miraculé majeur; Savant majeur; Dragodinde Emeraude et Rousse</t>
        </is>
      </c>
    </row>
    <row r="27977">
      <c r="A27977" t="inlineStr">
        <is>
          <t>Stuff 2</t>
        </is>
      </c>
      <c r="B27977">
        <f>HYPERLINK("https://www.dofusbook.net/fr/equipement/1118333-stuff-2/objets", "link")</f>
        <v/>
      </c>
      <c r="C27977" t="n">
        <v>0</v>
      </c>
      <c r="D27977" t="inlineStr">
        <is>
          <t>Hache Ériphe; Amulette du Kamasterisk; Alliance Gloursonne; Anneau des égarés; Ceinture de Nevark; Coiffe de la Reine des Voleurs; Cape du Kamasterisk; Baleinabottes; Dofus Pourpre; Sanguinaire majeur; Nomade; Vigoureux majeur; Remueur; Kramkram</t>
        </is>
      </c>
    </row>
    <row r="27978">
      <c r="A27978" t="inlineStr">
        <is>
          <t>Stuff 2</t>
        </is>
      </c>
      <c r="B27978">
        <f>HYPERLINK("https://www.dofusbook.net/fr/equipement/1118296-stuff-2/objets", "link")</f>
        <v/>
      </c>
      <c r="C27978" t="n">
        <v>1</v>
      </c>
      <c r="D27978" t="inlineStr">
        <is>
          <t>Arc Hétype; Amulette Séculaire; Anneau de Padgref; Kralano; Sangle Aise; Coiffe Séculaire; Cape de Nileza; Bottes d'Otomaï; Savant majeur; Nomade; Vigoureux majeur; Remueur; Érudit majeur; Dévastateur Feu majeur; Brûlih</t>
        </is>
      </c>
    </row>
    <row r="27979">
      <c r="A27979" t="inlineStr">
        <is>
          <t>Stuff 2</t>
        </is>
      </c>
      <c r="B27979">
        <f>HYPERLINK("https://www.dofusbook.net/fr/equipement/1118336-stuff-2/objets", "link")</f>
        <v/>
      </c>
      <c r="C27979" t="n">
        <v>0</v>
      </c>
      <c r="D27979" t="inlineStr">
        <is>
          <t>Dagues Érhy; Amulette Ementaire Deluxe; Bracelet du Piloztère; Alliance Gloursonne; Protopagne; Chapeau de Gein; Voile d'encre; Baleinabottes; Dokoko; Dolmanax; Dofus Pourpre; Vigoureux majeur; Remueur; Nomade; Kramkram</t>
        </is>
      </c>
    </row>
    <row r="27980">
      <c r="A27980" t="inlineStr">
        <is>
          <t>Stuff 1</t>
        </is>
      </c>
      <c r="B27980">
        <f>HYPERLINK("https://www.dofusbook.net/fr/equipement/1118331-stuff-1/objets", "link")</f>
        <v/>
      </c>
      <c r="C27980" t="n">
        <v>0</v>
      </c>
      <c r="D27980" t="inlineStr">
        <is>
          <t>Marteau Phossile; Amulette Séculaire; Anneau Tique; Kralano; Ceinture de Vortex; Cagoule de Vortex; Cape du Chalœil; Pantoufles Émar; Dofus Pourpre; Remueur; Vigoureux majeur; Nomade; Kramkram</t>
        </is>
      </c>
    </row>
    <row r="27981">
      <c r="A27981" t="inlineStr">
        <is>
          <t>Stuff 2</t>
        </is>
      </c>
      <c r="B27981">
        <f>HYPERLINK("https://www.dofusbook.net/fr/equipement/1118299-stuff-2/objets", "link")</f>
        <v/>
      </c>
      <c r="C27981" t="n">
        <v>0</v>
      </c>
      <c r="D27981" t="inlineStr">
        <is>
          <t>Marteau des Anciens Steamers; Amulette de Pol Ouatnos; Alliance Gloursonne; Bracelet du Piloztère; Ceinture Voldelor; Kidibonnet; Cape des Malveilleurs; Bottes Voldelor; Dofus Pourpre; Dofus Turquoise; Vigoureux majeur; Remueur; Cascadeur majeur; Kramkram</t>
        </is>
      </c>
    </row>
    <row r="27982">
      <c r="A27982" t="inlineStr">
        <is>
          <t>Stuff 2</t>
        </is>
      </c>
      <c r="B27982">
        <f>HYPERLINK("https://www.dofusbook.net/fr/equipement/1118326-stuff-2/objets", "link")</f>
        <v/>
      </c>
      <c r="C27982" t="n">
        <v>0</v>
      </c>
      <c r="D27982" t="inlineStr">
        <is>
          <t>Baguette de Malléfisk; Amulette de Nileza; Anneau Tique; Anneau de Nidas; Ceinture de Vortex; Chapeau de Gein; Cape de Nileza; Pataugastrique; Miraculé majeur; Remueur; Carapace Neutre majeur; Érudit majeur; Nomade; Bontique</t>
        </is>
      </c>
    </row>
    <row r="27983">
      <c r="A27983" t="inlineStr">
        <is>
          <t>Stuff 3</t>
        </is>
      </c>
      <c r="B27983">
        <f>HYPERLINK("https://www.dofusbook.net/fr/equipement/1118321-stuff-3/objets", "link")</f>
        <v/>
      </c>
      <c r="C27983" t="n">
        <v>0</v>
      </c>
      <c r="D27983" t="inlineStr">
        <is>
          <t>Rapière aux Glyphes; Amulette de Pol Ouatnos; Bracelet du Piloztère; Pikano; Ceinture Glaciale; Kidibonnet; Cape de Meno; Bottes de Meno; Dofus Turquoise; Dofus Ocre; Dofus des Glaces; Dofus Émeraude; Dokoko; Vigoureux majeur; Kramkram</t>
        </is>
      </c>
    </row>
    <row r="27984">
      <c r="A27984" t="inlineStr">
        <is>
          <t>Stuff 1</t>
        </is>
      </c>
      <c r="B27984">
        <f>HYPERLINK("https://www.dofusbook.net/fr/equipement/1118316-stuff-1/objets", "link")</f>
        <v/>
      </c>
      <c r="C27984" t="n">
        <v>0</v>
      </c>
      <c r="D27984" t="inlineStr">
        <is>
          <t>Pelle de Nidas; Talisman Glouti; Alliance Gloursonne; Anneau Tique; Ceinture Glaciale; Casqnoar; Cape Matelassée; Bottes du Sinistrofu; Dofus Pourpre; Dolmanax; Chanceux majeur; Nomade; Vigoureux majeur; Remueur; Kramkram</t>
        </is>
      </c>
    </row>
    <row r="27985">
      <c r="A27985" t="inlineStr">
        <is>
          <t>Stuff 1</t>
        </is>
      </c>
      <c r="B27985">
        <f>HYPERLINK("https://www.dofusbook.net/fr/equipement/1118348-stuff-1/objets", "link")</f>
        <v/>
      </c>
      <c r="C27985" t="n">
        <v>0</v>
      </c>
      <c r="D27985" t="inlineStr">
        <is>
          <t>Harpelle; Amulette du Strigide; Kralano; Anneau Rifique; Ceinture de Vortex; Cagoule de Vortex; Voile d'encre; Baleinabottes; Dofus des Glaces; Dofus Pourpre; Dofus Turquoise; Nomade; Remueur; Vigoureux majeur; El Scarador</t>
        </is>
      </c>
    </row>
    <row r="27986">
      <c r="A27986" t="inlineStr">
        <is>
          <t>Stuff 3</t>
        </is>
      </c>
      <c r="B27986">
        <f>HYPERLINK("https://www.dofusbook.net/fr/equipement/1118343-stuff-3/objets", "link")</f>
        <v/>
      </c>
      <c r="C27986" t="n">
        <v>0</v>
      </c>
      <c r="D27986" t="inlineStr">
        <is>
          <t>Sabres d'Atcham; Amulette de Pol Ouatnos; Alliance Gloursonne; Bague Gloursonne; Ceintacé; Chapeau des Malveilleurs; Cape des Malveilleurs; Sandales  d'Atcham; Dolmanax; Dofus Ocre; Dofus des Glaces; Dofus Turquoise; Dokoko; Dofus Pourpre; Kramkram</t>
        </is>
      </c>
    </row>
    <row r="27987">
      <c r="A27987" t="inlineStr">
        <is>
          <t>Stuff 3</t>
        </is>
      </c>
      <c r="B27987">
        <f>HYPERLINK("https://www.dofusbook.net/fr/equipement/1118306-stuff-3/objets", "link")</f>
        <v/>
      </c>
      <c r="C27987" t="n">
        <v>2</v>
      </c>
      <c r="D27987" t="inlineStr">
        <is>
          <t>Rapière aux Glyphes; Amulette de Pol Ouatnos; Pikano; Bracelet du Piloztère; Ceinture Glaciale; Kidibonnet; Cape de Meno; Bottes de Meno; Dofus Turquoise; Déserteur majeur; Temporiseur majeur; Remueur; Vigoureux majeur; Chanceux majeur; Kramkram</t>
        </is>
      </c>
    </row>
    <row r="27988">
      <c r="A27988" t="inlineStr">
        <is>
          <t>Stuff 2</t>
        </is>
      </c>
      <c r="B27988">
        <f>HYPERLINK("https://www.dofusbook.net/fr/equipement/1118333-stuff-2/objets", "link")</f>
        <v/>
      </c>
      <c r="C27988" t="n">
        <v>0</v>
      </c>
      <c r="D27988" t="inlineStr">
        <is>
          <t>Hache Ériphe; Amulette du Kamasterisk; Anneau des égarés; Alliance Gloursonne; Ceinture de Nevark; Coiffe de la Reine des Voleurs; Cape du Kamasterisk; Baleinabottes; Dofus Pourpre; Sanguinaire majeur; Nomade; Vigoureux majeur; Remueur; Kramkram</t>
        </is>
      </c>
    </row>
    <row r="27989">
      <c r="A27989" t="inlineStr">
        <is>
          <t>Stuff 1</t>
        </is>
      </c>
      <c r="B27989">
        <f>HYPERLINK("https://www.dofusbook.net/fr/equipement/1118301-stuff-1/objets", "link")</f>
        <v/>
      </c>
      <c r="C27989" t="n">
        <v>0</v>
      </c>
      <c r="D27989" t="inlineStr">
        <is>
          <t>Arc Hétype; Amulette de Nileza; Bague Gloursonne; Anneau Tique; Ceinture Séculaire; Couronne de Nidas; Voile d'encre; Tongues de Nidas; Dofus Ocre; Nomade; Érudit majeur; Miraculé majeur; Savant majeur; Remueur; Dragodinde Emeraude et Rousse</t>
        </is>
      </c>
    </row>
    <row r="27990">
      <c r="A27990" t="inlineStr">
        <is>
          <t>Stuff 1</t>
        </is>
      </c>
      <c r="B27990">
        <f>HYPERLINK("https://www.dofusbook.net/fr/equipement/1118328-stuff-1/objets", "link")</f>
        <v/>
      </c>
      <c r="C27990" t="n">
        <v>0</v>
      </c>
      <c r="D27990" t="inlineStr">
        <is>
          <t>Sceptre du Roi Joueur; Amulette de Pol Ouatnos; Pikano; Bracelet du Piloztère; Ceinture de Kongoku; Boucle d'oreille de Kongoku; Cape de Kongoku; Pikottes; Dofus des Glaces; Dofus Ocre; Dolmanax; Dofus Pourpre; Dofus Cawotte; Dofus Turquoise; Kramkram</t>
        </is>
      </c>
    </row>
    <row r="27991">
      <c r="A27991" t="inlineStr">
        <is>
          <t>Stuff 2</t>
        </is>
      </c>
      <c r="B27991">
        <f>HYPERLINK("https://www.dofusbook.net/fr/equipement/1118296-stuff-2/objets", "link")</f>
        <v/>
      </c>
      <c r="C27991" t="n">
        <v>1</v>
      </c>
      <c r="D27991" t="inlineStr">
        <is>
          <t>Arc Hétype; Amulette Séculaire; Anneau de Padgref; Kralano; Sangle Aise; Coiffe Séculaire; Cape de Nileza; Bottes d'Otomaï; Dévastateur Feu majeur; Savant majeur; Nomade; Vigoureux majeur; Remueur; Érudit majeur; Brûlih</t>
        </is>
      </c>
    </row>
    <row r="27992">
      <c r="A27992" t="inlineStr">
        <is>
          <t>Stuff 2</t>
        </is>
      </c>
      <c r="B27992">
        <f>HYPERLINK("https://www.dofusbook.net/fr/equipement/1118323-stuff-2/objets", "link")</f>
        <v/>
      </c>
      <c r="C27992" t="n">
        <v>0</v>
      </c>
      <c r="D27992" t="inlineStr">
        <is>
          <t>Marteau R'ture; Amulette de Pol Ouatnos; Anneau Chevelu; Bracelet du Piloztère; Ceinture de la Cour Sombre; Masque de Koutoulou; Voile d'encre; Bottes de la Cour Sombre; Dofus des Glaces; Dofus Pourpre; Dofus Turquoise; Vigoureux majeur; Remueur; Enragé majeur; Croum</t>
        </is>
      </c>
    </row>
    <row r="27993">
      <c r="A27993" t="inlineStr">
        <is>
          <t>Stuff 3</t>
        </is>
      </c>
      <c r="B27993">
        <f>HYPERLINK("https://www.dofusbook.net/fr/equipement/1118318-stuff-3/objets", "link")</f>
        <v/>
      </c>
      <c r="C27993" t="n">
        <v>0</v>
      </c>
      <c r="D27993" t="inlineStr">
        <is>
          <t>Sceptre du Roi Joueur; Amulette Voldelor; Alliance Gloursonne; Anneau Tique; Ceinture du Barbétoal; Masque des Fonds marins; Cape Matelassée; Sandales des Fonds marins; Dofus Pourpre; Miraculé majeur; Nomade; Remueur; Chanceux majeur; Vigoureux majeur; Kramkram</t>
        </is>
      </c>
    </row>
    <row r="27994">
      <c r="A27994" t="inlineStr">
        <is>
          <t>Stuff 3</t>
        </is>
      </c>
      <c r="B27994">
        <f>HYPERLINK("https://www.dofusbook.net/fr/equipement/1118350-stuff-3/objets", "link")</f>
        <v/>
      </c>
      <c r="C27994" t="n">
        <v>0</v>
      </c>
      <c r="D27994" t="inlineStr">
        <is>
          <t>Harpelle; Pendentif mignon de Koutoulou; Anneau de Pol Ouatnos; Anneau Rifique; Ceinture de Vortex; Cagoule de Vortex; Voile d'encre; Sabots de Vortex; Dofus Turquoise; Dofus Pourpre; Dofus des Glaces; Dokoko; Dofus Ocre; Kramkram</t>
        </is>
      </c>
    </row>
    <row r="27995">
      <c r="A27995" t="inlineStr">
        <is>
          <t>Stuff 1</t>
        </is>
      </c>
      <c r="B27995">
        <f>HYPERLINK("https://www.dofusbook.net/fr/equipement/1118313-stuff-1/objets", "link")</f>
        <v/>
      </c>
      <c r="C27995" t="n">
        <v>0</v>
      </c>
      <c r="D27995" t="inlineStr">
        <is>
          <t>Sabres d'Atcham; Talisman Glouti; Anneau Tique; Alliance Gloursonne; Bouclier de Guilde; Sangle Ouare; Dorabysses; Cape d'Atcham; Sandales  d'Atcham; Dokoko; Dofus Ocre; Dofus des Glaces; Dofus Pourpre; Dofus Turquoise; Dolmanax; Kramkram</t>
        </is>
      </c>
    </row>
    <row r="27996">
      <c r="A27996" t="inlineStr">
        <is>
          <t>Stuff 1</t>
        </is>
      </c>
      <c r="B27996">
        <f>HYPERLINK("https://www.dofusbook.net/fr/equipement/1118345-stuff-1/objets", "link")</f>
        <v/>
      </c>
      <c r="C27996" t="n">
        <v>0</v>
      </c>
      <c r="D27996" t="inlineStr">
        <is>
          <t>Bêche Asse; Amulette de Pol Ouatnos; Bague Gloursonne; Anneau Chevelu; Ceintouse; Masque de Koutoulou; Voile d'encre; Tentassons; Dokoko; Dofus Turquoise; Dofus des Glaces; Dofus Pourpre; Enragé majeur; Remueur; Kramkram</t>
        </is>
      </c>
    </row>
    <row r="27997">
      <c r="A27997" t="inlineStr">
        <is>
          <t>Stuff 2</t>
        </is>
      </c>
      <c r="B27997">
        <f>HYPERLINK("https://www.dofusbook.net/fr/equipement/1118308-stuff-2/objets", "link")</f>
        <v/>
      </c>
      <c r="C27997" t="n">
        <v>0</v>
      </c>
      <c r="D27997" t="inlineStr">
        <is>
          <t>Pelle de la Cour Sombre; Amulette de Pol Ouatnos; Alliance Gloursonne; Bague Gloursonne; Ceintouse; Chapoulpe; Cape du Kamasterisk; Tentassons; Dofus Ocre; Dofus Turquoise; Dofus Pourpre; Dofus Émeraude; Dolmanax; Dofus des Glaces; Kramkram</t>
        </is>
      </c>
    </row>
    <row r="27998">
      <c r="A27998" t="inlineStr">
        <is>
          <t>Stuff 1</t>
        </is>
      </c>
      <c r="B27998">
        <f>HYPERLINK("https://www.dofusbook.net/fr/equipement/1118298-stuff-1/objets", "link")</f>
        <v/>
      </c>
      <c r="C27998" t="n">
        <v>0</v>
      </c>
      <c r="D27998" t="inlineStr">
        <is>
          <t>Marteau des Anciens Steamers; Amulette de Pol Ouatnos; Alliance Gloursonne; Bracelet du Piloztère; Ceinture Voldelor; Kidibonnet; Cape des Malveilleurs; Bottes Voldelor; Dofus Pourpre; Dofus Turquoise; Nomade; Vigoureux majeur; Remueur; Cascadeur majeur; Kramkram</t>
        </is>
      </c>
    </row>
    <row r="27999">
      <c r="A27999" t="inlineStr">
        <is>
          <t>Stuff 3</t>
        </is>
      </c>
      <c r="B27999">
        <f>HYPERLINK("https://www.dofusbook.net/fr/equipement/1118330-stuff-3/objets", "link")</f>
        <v/>
      </c>
      <c r="C27999" t="n">
        <v>0</v>
      </c>
      <c r="D27999" t="inlineStr">
        <is>
          <t>Sceptre du Roi Joueur; Amulette Luminescente; Pikano; Bracelet du Piloztère; Ceinture Luminescente; Casquipik; Cape Luminescente; Pikottes; Dofus Turquoise; Dofus des Glaces; Dofus Ocre; Dolmanax; Dofus Pourpre; Kramkram</t>
        </is>
      </c>
    </row>
    <row r="28000">
      <c r="A28000" t="inlineStr">
        <is>
          <t>Stuff 1</t>
        </is>
      </c>
      <c r="B28000">
        <f>HYPERLINK("https://www.dofusbook.net/fr/equipement/1118325-stuff-1/objets", "link")</f>
        <v/>
      </c>
      <c r="C28000" t="n">
        <v>0</v>
      </c>
      <c r="D28000" t="inlineStr">
        <is>
          <t>Sceptre du Roi Joueur; Talisman Glouti; Anneau Tique; Alliance Gloursonne; Ceinture du Barbétoal; Kidibonnet; Cape des Malveilleurs; Bottes de la Reine des Voleurs; Dofus Pourpre; Chanceux majeur; Miraculé majeur; Nomade; Vigoureux majeur; Remueur; Kramkram</t>
        </is>
      </c>
    </row>
    <row r="28001">
      <c r="A28001" t="inlineStr">
        <is>
          <t>Stuff 2</t>
        </is>
      </c>
      <c r="B28001">
        <f>HYPERLINK("https://www.dofusbook.net/fr/equipement/1118320-stuff-2/objets", "link")</f>
        <v/>
      </c>
      <c r="C28001" t="n">
        <v>0</v>
      </c>
      <c r="D28001" t="inlineStr">
        <is>
          <t>Dagues de Srambad; Amulette de Pol Ouatnos; Pikano; Bracelet du Piloztère; Ceinture de la Reine des Voleurs; Coiffe de la Reine des Voleurs; Cape des Justiciers; Pantoufles du Piloztère; Dofus des Glaces; Dofus Émeraude; Dokoko; Dofus Pourpre; Dofus Turquoise; Dofus Ocre; Kramkram</t>
        </is>
      </c>
    </row>
    <row r="28002">
      <c r="A28002" t="inlineStr">
        <is>
          <t>Stuff 3</t>
        </is>
      </c>
      <c r="B28002">
        <f>HYPERLINK("https://www.dofusbook.net/fr/equipement/1118315-stuff-3/objets", "link")</f>
        <v/>
      </c>
      <c r="C28002" t="n">
        <v>0</v>
      </c>
      <c r="D28002" t="inlineStr">
        <is>
          <t>Sabres d'Atcham; Amulette de Pol Ouatnos; Alliance Gloursonne; Anneau Tique; Bouclier de Guilde; Ceinture de Kongoku; Boucle d'oreille de Kongoku; Cape de Kongoku; Sandales  d'Atcham; Dofus des Glaces; Dofus Pourpre; Dofus Turquoise; Dolmanax; Dokoko; Dofus Ocre; Kramkram</t>
        </is>
      </c>
    </row>
    <row r="28003">
      <c r="A28003" t="inlineStr">
        <is>
          <t>Stuff 3</t>
        </is>
      </c>
      <c r="B28003">
        <f>HYPERLINK("https://www.dofusbook.net/fr/equipement/1118347-stuff-3/objets", "link")</f>
        <v/>
      </c>
      <c r="C28003" t="n">
        <v>0</v>
      </c>
      <c r="D28003" t="inlineStr">
        <is>
          <t>Bêche Asse; Amulette Luminescente; Anneau Chevelu; Bague Gloursonne; Ceintouse; Masque de Koutoulou; Cape au Logis; Tentassons; Dofus des Glaces; Dofus Pourpre; Dofus Turquoise; Dokoko; Remueur; Enragé majeur; Kramkram</t>
        </is>
      </c>
    </row>
    <row r="28004">
      <c r="A28004" t="inlineStr">
        <is>
          <t>Stuff 1</t>
        </is>
      </c>
      <c r="B28004">
        <f>HYPERLINK("https://www.dofusbook.net/fr/equipement/1118310-stuff-1/objets", "link")</f>
        <v/>
      </c>
      <c r="C28004" t="n">
        <v>0</v>
      </c>
      <c r="D28004" t="inlineStr">
        <is>
          <t>Arc Nécrotique; Amulette de Pol Ouatnos; Alliance Gloursonne; Bracelet du Piloztère; Ceintrigue; Chapeau des Malveilleurs; Voile d'encre; Bottes Owesli; Dofus Ocre; Dofus Turquoise; Dofus des Glaces; Dofus Pourpre; Remueur; Vigoureux majeur; Kramkram</t>
        </is>
      </c>
    </row>
    <row r="28005">
      <c r="A28005" t="inlineStr">
        <is>
          <t>Stuff 2</t>
        </is>
      </c>
      <c r="B28005">
        <f>HYPERLINK("https://www.dofusbook.net/fr/equipement/1118342-stuff-2/objets", "link")</f>
        <v/>
      </c>
      <c r="C28005" t="n">
        <v>0</v>
      </c>
      <c r="D28005" t="inlineStr">
        <is>
          <t>Sabres d'Atcham; Amulette du Strigide; Alliance Gloursonne; Bague Gloursonne; Ceinture du Strigide; Chapeau des Malveilleurs; Voilamibe; Bottes du Strigide; Dolmanax; Dofus Ocre; Dofus des Glaces; Dofus Turquoise; Dokoko; Dofus Pourpre; Kramkram</t>
        </is>
      </c>
    </row>
    <row r="28006">
      <c r="A28006" t="inlineStr">
        <is>
          <t>Stuff 2</t>
        </is>
      </c>
      <c r="B28006">
        <f>HYPERLINK("https://www.dofusbook.net/fr/equipement/1118305-stuff-2/objets", "link")</f>
        <v/>
      </c>
      <c r="C28006" t="n">
        <v>0</v>
      </c>
      <c r="D28006" t="inlineStr">
        <is>
          <t>Dagoulinantes; Amulette de Pol Ouatnos; Bracelet du Piloztère; Pikano; Ceinture Glaciale; Kidibonnet; Cape de Meno; Bottes de Meno; Dofus Turquoise; Temporiseur majeur; Remueur; Vigoureux majeur; Chanceux majeur; Déserteur majeur; El Scarador</t>
        </is>
      </c>
    </row>
    <row r="28007">
      <c r="A28007" t="inlineStr">
        <is>
          <t>Stuff 3</t>
        </is>
      </c>
      <c r="B28007">
        <f>HYPERLINK("https://www.dofusbook.net/fr/equipement/1118337-stuff-3/objets", "link")</f>
        <v/>
      </c>
      <c r="C28007" t="n">
        <v>1</v>
      </c>
      <c r="D28007" t="inlineStr">
        <is>
          <t>Harpelle; Amulette Ementaire Deluxe; Bague Trithon; Anneau Rifique; Ceinture de Vortex; Kidibonnet; Cape du Chalœil; Bottes Trithon; Dofus Turquoise; Dolmanax; Dokoko; Nomade; Remueur; Vigoureux majeur; Kramkram</t>
        </is>
      </c>
    </row>
    <row r="28008">
      <c r="A28008" t="inlineStr">
        <is>
          <t>Stuff 3</t>
        </is>
      </c>
      <c r="B28008">
        <f>HYPERLINK("https://www.dofusbook.net/fr/equipement/1118300-stuff-3/objets", "link")</f>
        <v/>
      </c>
      <c r="C28008" t="n">
        <v>0</v>
      </c>
      <c r="D28008" t="inlineStr">
        <is>
          <t>Hache Ériphe; Amulette du Nocturlabe; Bracelet du Piloztère; Alliance Gloursonne; Ceinture du Nocturlabe; Coiffe de la Reine des Voleurs; Cape de Nevark; Baleinabottes; Dofus Pourpre; Vigoureux majeur; Remueur; Cascadeur majeur; Robuste majeur; Nomade; Kramkram</t>
        </is>
      </c>
    </row>
    <row r="28009">
      <c r="A28009" t="inlineStr">
        <is>
          <t>Stuff 1</t>
        </is>
      </c>
      <c r="B28009">
        <f>HYPERLINK("https://www.dofusbook.net/fr/equipement/1118332-stuff-1/objets", "link")</f>
        <v/>
      </c>
      <c r="C28009" t="n">
        <v>0</v>
      </c>
      <c r="D28009" t="inlineStr">
        <is>
          <t>Epée Maudite du Saigneur Guerrier; Amulette du Strigide; Bague Gloursonne; Alliance de Missiz Frizz; Ceinture du Strigide; Casque de Missiz Frizz; Cape au Logis; Bottes du Strigide; Dofus Émeraude; Dofus Pourpre; Dofus des Glaces; Dokoko; Dofus Turquoise; Dofus Ocre; Kramkram</t>
        </is>
      </c>
    </row>
    <row r="28010">
      <c r="A28010" t="inlineStr">
        <is>
          <t>Stuff 1</t>
        </is>
      </c>
      <c r="B28010">
        <f>HYPERLINK("https://www.dofusbook.net/fr/equipement/1118295-stuff-1/objets", "link")</f>
        <v/>
      </c>
      <c r="C28010" t="n">
        <v>0</v>
      </c>
      <c r="D28010" t="inlineStr">
        <is>
          <t>Arc Hétype; Pendentif affamé; Anneau de Padgref; Kralano; Ceinture Séculaire; Coiffe Séculaire; Cape de Diondin; Bottes Innommables; Savant majeur; Nomade; Vigoureux majeur; Remueur; Érudit majeur; Dévastateur Feu majeur; Brûlih</t>
        </is>
      </c>
    </row>
    <row r="28011">
      <c r="A28011" t="inlineStr">
        <is>
          <t>Stuff 3</t>
        </is>
      </c>
      <c r="B28011">
        <f>HYPERLINK("https://www.dofusbook.net/fr/equipement/1118327-stuff-3/objets", "link")</f>
        <v/>
      </c>
      <c r="C28011" t="n">
        <v>0</v>
      </c>
      <c r="D28011" t="inlineStr">
        <is>
          <t>Sceptre du Roi Joueur; Amulette Voldelor; Alliance Gloursonne; Anneau Tique; Ceinture Glaciale; Masque des Fonds marins; Cape Matelassée; Sandales des Fonds marins; Dofus Pourpre; Culbuteur majeur; Vigoureux majeur; Miraculé majeur; Nomade; Remueur; Kramkram</t>
        </is>
      </c>
    </row>
    <row r="28012">
      <c r="A28012" t="inlineStr">
        <is>
          <t>Stuff 1</t>
        </is>
      </c>
      <c r="B28012">
        <f>HYPERLINK("https://www.dofusbook.net/fr/equipement/1118322-stuff-1/objets", "link")</f>
        <v/>
      </c>
      <c r="C28012" t="n">
        <v>0</v>
      </c>
      <c r="D28012" t="inlineStr">
        <is>
          <t>Bêche Asse; Amulette Luminescente; Anneau Chevelu; Bague Gloursonne; Ceintouse; Masque de Koutoulou; Cape au Logis; Tentassons; Dofus Pourpre; Dofus des Glaces; Dofus Turquoise; Kramkram</t>
        </is>
      </c>
    </row>
    <row r="28013">
      <c r="A28013" t="inlineStr">
        <is>
          <t>Stuff 2</t>
        </is>
      </c>
      <c r="B28013">
        <f>HYPERLINK("https://www.dofusbook.net/fr/equipement/1118317-stuff-2/objets", "link")</f>
        <v/>
      </c>
      <c r="C28013" t="n">
        <v>0</v>
      </c>
      <c r="D28013" t="inlineStr">
        <is>
          <t>Rapière aux Glyphes; Amulette Voldelor; Alliance Gloursonne; Anneau Tique; Ceinture du Barbétoal; Kidibonnet; Cape du Sinistrofu; Bottes du Sinistrofu; Dofus Pourpre; Dofus Turquoise; Nomade; Vigoureux majeur; Remueur; Chanceux majeur; Kramkram</t>
        </is>
      </c>
    </row>
    <row r="28014">
      <c r="A28014" t="inlineStr">
        <is>
          <t>Stuff 2</t>
        </is>
      </c>
      <c r="B28014">
        <f>HYPERLINK("https://www.dofusbook.net/fr/equipement/1118349-stuff-2/objets", "link")</f>
        <v/>
      </c>
      <c r="C28014" t="n">
        <v>0</v>
      </c>
      <c r="D28014" t="inlineStr">
        <is>
          <t>Arc Hétype; Amulette de Nileza; Frimanneau; Alliance Boletée; Slip du Roi de Bonta; Chapeau de Dremoan; Voile d'encre; Bottes de Dremoan; Dofus Ocre; Remueur; Carapace Eau majeur; Érudit majeur; Nomade; Carapace Terre majeur; Kramkram</t>
        </is>
      </c>
    </row>
    <row r="28015">
      <c r="A28015" t="inlineStr">
        <is>
          <t>Stuff 3</t>
        </is>
      </c>
      <c r="B28015">
        <f>HYPERLINK("https://www.dofusbook.net/fr/equipement/1118312-stuff-3/objets", "link")</f>
        <v/>
      </c>
      <c r="C28015" t="n">
        <v>0</v>
      </c>
      <c r="D28015" t="inlineStr">
        <is>
          <t>Arc du Chalœil; Amulette de Pol Ouatnos; Bracelet du Piloztère; Bague Gloursonne; Ceintouse; Masque de Koutoulou; Voile d'encre; Tentassons; Dofus Turquoise; Dofus des Glaces; Dofus Pourpre; Remueur; Enragé majeur; Vigoureux majeur</t>
        </is>
      </c>
    </row>
    <row r="28016">
      <c r="A28016" t="inlineStr">
        <is>
          <t>Stuff 1</t>
        </is>
      </c>
      <c r="B28016">
        <f>HYPERLINK("https://www.dofusbook.net/fr/equipement/1118307-stuff-1/objets", "link")</f>
        <v/>
      </c>
      <c r="C28016" t="n">
        <v>3</v>
      </c>
      <c r="D28016" t="inlineStr">
        <is>
          <t>Sabres d'Atcham; Amulette Voldelor; Bague Gloursonne; Alliance Gloursonne; Ceinture Voldelor; Chapeau des Malveilleurs; Cape du Kanimate; Pataugastrique; Dolmanax; Dofus des Glaces; Dofus Ocre; Dofus Turquoise; Dofus Pourpre; Dofus Émeraude; Kramkram</t>
        </is>
      </c>
    </row>
    <row r="28017">
      <c r="A28017" t="inlineStr">
        <is>
          <t>Stuff 1</t>
        </is>
      </c>
      <c r="B28017">
        <f>HYPERLINK("https://www.dofusbook.net/fr/equipement/1118328-stuff-1/objets", "link")</f>
        <v/>
      </c>
      <c r="C28017" t="n">
        <v>0</v>
      </c>
      <c r="D28017" t="inlineStr">
        <is>
          <t>Sceptre du Roi Joueur; Amulette de Pol Ouatnos; Bracelet du Piloztère; Pikano; Ceinture de Kongoku; Boucle d'oreille de Kongoku; Cape de Kongoku; Pikottes; Dofus des Glaces; Dofus Ocre; Dolmanax; Dofus Pourpre; Dofus Cawotte; Dofus Turquoise; Kramkram</t>
        </is>
      </c>
    </row>
    <row r="28018">
      <c r="A28018" t="inlineStr">
        <is>
          <t>Stuff 2</t>
        </is>
      </c>
      <c r="B28018">
        <f>HYPERLINK("https://www.dofusbook.net/fr/equipement/1118296-stuff-2/objets", "link")</f>
        <v/>
      </c>
      <c r="C28018" t="n">
        <v>1</v>
      </c>
      <c r="D28018" t="inlineStr">
        <is>
          <t>Arc Hétype; Amulette Séculaire; Kralano; Anneau de Padgref; Sangle Aise; Coiffe Séculaire; Cape de Nileza; Bottes d'Otomaï; Vigoureux majeur; Remueur; Érudit majeur; Dévastateur Feu majeur; Savant majeur; Nomade; Brûlih</t>
        </is>
      </c>
    </row>
    <row r="28019">
      <c r="A28019" t="inlineStr">
        <is>
          <t>Stuff 2</t>
        </is>
      </c>
      <c r="B28019">
        <f>HYPERLINK("https://www.dofusbook.net/fr/equipement/1118323-stuff-2/objets", "link")</f>
        <v/>
      </c>
      <c r="C28019" t="n">
        <v>0</v>
      </c>
      <c r="D28019" t="inlineStr">
        <is>
          <t>Marteau R'ture; Amulette de Pol Ouatnos; Bracelet du Piloztère; Anneau Chevelu; Ceinture de la Cour Sombre; Masque de Koutoulou; Voile d'encre; Bottes de la Cour Sombre; Dofus des Glaces; Dofus Pourpre; Dofus Turquoise; Vigoureux majeur; Remueur; Enragé majeur; Croum</t>
        </is>
      </c>
    </row>
    <row r="28020">
      <c r="A28020" t="inlineStr">
        <is>
          <t>Stuff 3</t>
        </is>
      </c>
      <c r="B28020">
        <f>HYPERLINK("https://www.dofusbook.net/fr/equipement/1118318-stuff-3/objets", "link")</f>
        <v/>
      </c>
      <c r="C28020" t="n">
        <v>0</v>
      </c>
      <c r="D28020" t="inlineStr">
        <is>
          <t>Sceptre du Roi Joueur; Amulette Voldelor; Alliance Gloursonne; Anneau Tique; Ceinture du Barbétoal; Masque des Fonds marins; Cape Matelassée; Sandales des Fonds marins; Dofus Pourpre; Nomade; Remueur; Chanceux majeur; Vigoureux majeur; Miraculé majeur; Kramkram</t>
        </is>
      </c>
    </row>
    <row r="28021">
      <c r="A28021" t="inlineStr">
        <is>
          <t>Stuff 3</t>
        </is>
      </c>
      <c r="B28021">
        <f>HYPERLINK("https://www.dofusbook.net/fr/equipement/1118350-stuff-3/objets", "link")</f>
        <v/>
      </c>
      <c r="C28021" t="n">
        <v>0</v>
      </c>
      <c r="D28021" t="inlineStr">
        <is>
          <t>Harpelle; Pendentif mignon de Koutoulou; Anneau Rifique; Anneau de Pol Ouatnos; Ceinture de Vortex; Cagoule de Vortex; Voile d'encre; Sabots de Vortex; Dofus Ocre; Dofus Turquoise; Dofus Pourpre; Dofus des Glaces; Dokoko; Kramkram</t>
        </is>
      </c>
    </row>
    <row r="28022">
      <c r="A28022" t="inlineStr">
        <is>
          <t>Stuff 1</t>
        </is>
      </c>
      <c r="B28022">
        <f>HYPERLINK("https://www.dofusbook.net/fr/equipement/1118313-stuff-1/objets", "link")</f>
        <v/>
      </c>
      <c r="C28022" t="n">
        <v>0</v>
      </c>
      <c r="D28022" t="inlineStr">
        <is>
          <t>Sabres d'Atcham; Talisman Glouti; Alliance Gloursonne; Anneau Tique; Bouclier de Guilde; Sangle Ouare; Dorabysses; Cape d'Atcham; Sandales  d'Atcham; Dofus des Glaces; Dofus Pourpre; Dofus Turquoise; Dolmanax; Dokoko; Dofus Ocre; Kramkram</t>
        </is>
      </c>
    </row>
    <row r="28023">
      <c r="A28023" t="inlineStr">
        <is>
          <t>Stuff 1</t>
        </is>
      </c>
      <c r="B28023">
        <f>HYPERLINK("https://www.dofusbook.net/fr/equipement/1118345-stuff-1/objets", "link")</f>
        <v/>
      </c>
      <c r="C28023" t="n">
        <v>0</v>
      </c>
      <c r="D28023" t="inlineStr">
        <is>
          <t>Bêche Asse; Amulette de Pol Ouatnos; Bague Gloursonne; Anneau Chevelu; Ceintouse; Masque de Koutoulou; Voile d'encre; Tentassons; Dofus des Glaces; Dofus Pourpre; Dokoko; Dofus Turquoise; Enragé majeur; Remueur; Kramkram</t>
        </is>
      </c>
    </row>
    <row r="28024">
      <c r="A28024" t="inlineStr">
        <is>
          <t>Stuff 2</t>
        </is>
      </c>
      <c r="B28024">
        <f>HYPERLINK("https://www.dofusbook.net/fr/equipement/1118308-stuff-2/objets", "link")</f>
        <v/>
      </c>
      <c r="C28024" t="n">
        <v>0</v>
      </c>
      <c r="D28024" t="inlineStr">
        <is>
          <t>Pelle de la Cour Sombre; Amulette de Pol Ouatnos; Bague Gloursonne; Alliance Gloursonne; Ceintouse; Chapoulpe; Cape du Kamasterisk; Tentassons; Dofus Émeraude; Dolmanax; Dofus des Glaces; Dofus Ocre; Dofus Turquoise; Dofus Pourpre; Kramkram</t>
        </is>
      </c>
    </row>
    <row r="28025">
      <c r="A28025" t="inlineStr">
        <is>
          <t>Féca M 200</t>
        </is>
      </c>
      <c r="B28025">
        <f>HYPERLINK("https://www.dofusbook.net/fr/equipement/5973143-feca-m-200/objets", "link")</f>
        <v/>
      </c>
      <c r="C28025" t="n">
        <v>0</v>
      </c>
      <c r="D28025" t="inlineStr"/>
    </row>
    <row r="28026">
      <c r="A28026" t="inlineStr">
        <is>
          <t>Terre</t>
        </is>
      </c>
      <c r="B28026">
        <f>HYPERLINK("https://www.dofusbook.net/fr/equipement/2681611-terre/objets", "link")</f>
        <v/>
      </c>
      <c r="C28026" t="n">
        <v>5</v>
      </c>
      <c r="D28026" t="inlineStr">
        <is>
          <t>Arc Volkorne; Amulette Volkorne; Anneau Volkorne; Bague Trithon; Quatre-feuilles; Ceinture Volkorne; Masque Trithon; Voile d'encre; Bottes Trithon; Dofus Ocre; Dofus Ivoire; Dofus Abyssal; Dofus Turquoise; Dofus Pourpre; Dofus des Glaces; Kokulte</t>
        </is>
      </c>
    </row>
    <row r="28027">
      <c r="A28027" t="inlineStr">
        <is>
          <t>Eliotrope F 200</t>
        </is>
      </c>
      <c r="B28027">
        <f>HYPERLINK("https://www.dofusbook.net/fr/equipement/3416019-eliotrope-f-200/objets", "link")</f>
        <v/>
      </c>
      <c r="C28027" t="n">
        <v>15</v>
      </c>
      <c r="D28027" t="inlineStr">
        <is>
          <t>Lance Horselé; Amulette Martegel; Alliance Gloursonne; Gant du Valet Veinard; Bouclier du Stalak; Sangle Oriole; Casque Volkorne; Cape Martegel; Baleinabottes; Dofus Pourpre; Dofus des Glaces; Dofus Ivoire; Nomade; Remueur; Cascadeur majeur; Blérodoudou</t>
        </is>
      </c>
    </row>
    <row r="28028">
      <c r="A28028" t="inlineStr">
        <is>
          <t>DO Pou</t>
        </is>
      </c>
      <c r="B28028">
        <f>HYPERLINK("https://www.dofusbook.net/fr/equipement/2210165-do-pou/objets", "link")</f>
        <v/>
      </c>
      <c r="C28028" t="n">
        <v>6</v>
      </c>
      <c r="D28028" t="inlineStr">
        <is>
          <t>Pelle de la Cour Sombre; Collier du Valet Veinard; Alliance Gloursonne; Gant du Valet Veinard; Bouclier du Captain Amakna; Sangle Oriole; Casque Volkorne; Cape Indescriptible; Baleinabottes; Dofus Ivoire; Dofus Pourpre; Dofus des Glaces; Cascadeur majeur; Blérodoudou</t>
        </is>
      </c>
    </row>
    <row r="28029">
      <c r="A28029" t="inlineStr">
        <is>
          <t>Elio terre</t>
        </is>
      </c>
      <c r="B28029">
        <f>HYPERLINK("https://www.dofusbook.net/fr/equipement/3849432-elio-terre/objets", "link")</f>
        <v/>
      </c>
      <c r="C28029" t="n">
        <v>14</v>
      </c>
      <c r="D28029" t="inlineStr"/>
    </row>
    <row r="28030">
      <c r="A28030" t="inlineStr">
        <is>
          <t>Eniripsa F 200</t>
        </is>
      </c>
      <c r="B28030">
        <f>HYPERLINK("https://www.dofusbook.net/fr/equipement/3303553-eniripsa-f-200/objets", "link")</f>
        <v/>
      </c>
      <c r="C28030" t="n">
        <v>7</v>
      </c>
      <c r="D28030" t="inlineStr">
        <is>
          <t>Arc corrompu; Pendentif affamé; Anneau de Nidas; Bague Gloursonne; Quatre-feuilles; Ceinture de Vortex; Cagoule de Vortex; Voile d'encre; Bottes Dogues; Dofus Turquoise; Érudit majeur; Dévastateur Feu majeur; Nomade; Guérisseur majeur; Remueur; Bisouglours</t>
        </is>
      </c>
    </row>
    <row r="28031">
      <c r="A28031" t="inlineStr">
        <is>
          <t>Eliotrope F 200</t>
        </is>
      </c>
      <c r="B28031">
        <f>HYPERLINK("https://www.dofusbook.net/fr/equipement/3533907-eliotrope-f-200/objets", "link")</f>
        <v/>
      </c>
      <c r="C28031" t="n">
        <v>28</v>
      </c>
      <c r="D28031" t="inlineStr">
        <is>
          <t>Sceptre du Roi Joueur; Amulette du Sinistrofu; Alliance Gloursonne; Bracelet des Fonds marins; Bouclier du Stalak; Sangle Ouare; Capuche de l'Œil Attentif; Cape du Sinistrofu; Bottes du Sinistrofu; Dofus Pourpre; Dofus Abyssal; Dofus Ivoire; Dofus Ocre; Kanigloups</t>
        </is>
      </c>
    </row>
    <row r="28032">
      <c r="A28032" t="inlineStr">
        <is>
          <t>Eliotrope F 200</t>
        </is>
      </c>
      <c r="B28032">
        <f>HYPERLINK("https://www.dofusbook.net/fr/equipement/3841426-eliotrope-f-200/objets", "link")</f>
        <v/>
      </c>
      <c r="C28032" t="n">
        <v>3</v>
      </c>
      <c r="D28032" t="inlineStr">
        <is>
          <t>Epée Loponèze; Amulette de Shokkoth; Alliance Gloursonne; Gant du Valet Veinard; Bouclier du Stalak; Poulpagne; Capuche de l'Œil Attentif; Cape de l'Œil Attentif; Bottes de la Reine des Voleurs; Dofus Pourpre; Dévastateur Eau majeur; Remueur; Chanceux majeur; Carapace Eau majeur; Nomade; Kanigloups</t>
        </is>
      </c>
    </row>
    <row r="28033">
      <c r="A28033" t="inlineStr">
        <is>
          <t>deluxe</t>
        </is>
      </c>
      <c r="B28033">
        <f>HYPERLINK("https://www.dofusbook.net/fr/equipement/2279970-deluxe/objets", "link")</f>
        <v/>
      </c>
      <c r="C28033" t="n">
        <v>6</v>
      </c>
      <c r="D28033" t="inlineStr">
        <is>
          <t>Amulette Volkorne; Anneauræus; Baguistik; Ceinture Séculaire; Coiffe Séculaire; Pataugastrique</t>
        </is>
      </c>
    </row>
    <row r="28034">
      <c r="A28034" t="inlineStr">
        <is>
          <t>Stuff 1</t>
        </is>
      </c>
      <c r="B28034">
        <f>HYPERLINK("https://www.dofusbook.net/fr/equipement/177938-stuff-1/objets", "link")</f>
        <v/>
      </c>
      <c r="C28034" t="n">
        <v>1</v>
      </c>
      <c r="D28034" t="inlineStr">
        <is>
          <t>Baguette Hique; Amulette du Glourséleste; Anneau Aimgéroks; Anneau Tamie; Ceinture du Glourséleste; Masque du Glourséleste; Cape du Glourséleste; Bottes du Glourséleste; Dofus Cawotte; Dolmanax; Dofus Kaliptus; Dofus des Glaces; Entraveur majeur; Ralentisseur majeur</t>
        </is>
      </c>
    </row>
    <row r="28035">
      <c r="A28035" t="inlineStr">
        <is>
          <t>Eniripsa F 200</t>
        </is>
      </c>
      <c r="B28035">
        <f>HYPERLINK("https://www.dofusbook.net/fr/equipement/3258547-eniripsa-f-200/objets", "link")</f>
        <v/>
      </c>
      <c r="C28035" t="n">
        <v>4</v>
      </c>
      <c r="D28035" t="inlineStr">
        <is>
          <t>Dagues Érhy; Amulette du Cycloïde; Anneau Aimgéroks; Anneau de Padgref; Ceinture Séculaire; Coiffe de Padgref; Voile d'encre; Bottes Dogues; Dolmanax; Dofus des Glaces; Érudit majeur; Remueur; Guérisseur majeur; Nomade; Pioute rouge</t>
        </is>
      </c>
    </row>
    <row r="28036">
      <c r="A28036" t="inlineStr">
        <is>
          <t>Stuff 3</t>
        </is>
      </c>
      <c r="B28036">
        <f>HYPERLINK("https://www.dofusbook.net/fr/equipement/177940-stuff-3/objets", "link")</f>
        <v/>
      </c>
      <c r="C28036" t="n">
        <v>1</v>
      </c>
      <c r="D28036" t="inlineStr">
        <is>
          <t>La Baguette des Limbes; Amulette du Glourséleste; Bague Gloursonne; Alliance Gloursonne; Ceinture du Glourséleste; Masque du Glourséleste; Cape du Glourséleste; Bottes du Glourséleste; Dolmanax; Dofus des Glaces; Dofus Cawotte; Entraveur majeur; Entraveur; Ralentisseur majeur; Dragoune Dorée</t>
        </is>
      </c>
    </row>
    <row r="28037">
      <c r="A28037" t="inlineStr">
        <is>
          <t>Stuff 2</t>
        </is>
      </c>
      <c r="B28037">
        <f>HYPERLINK("https://www.dofusbook.net/fr/equipement/177939-stuff-2/objets", "link")</f>
        <v/>
      </c>
      <c r="C28037" t="n">
        <v>0</v>
      </c>
      <c r="D28037" t="inlineStr">
        <is>
          <t>Amulette du Glourséleste; Ceinture du Glourséleste; Masque du Glourséleste; Cape du Glourséleste; Bottes du Glourséleste</t>
        </is>
      </c>
    </row>
    <row r="28038">
      <c r="A28038" t="inlineStr">
        <is>
          <t>Feu</t>
        </is>
      </c>
      <c r="B28038">
        <f>HYPERLINK("https://www.dofusbook.net/fr/equipement/3094564-feu/objets", "link")</f>
        <v/>
      </c>
      <c r="C28038" t="n">
        <v>2</v>
      </c>
      <c r="D28038" t="inlineStr">
        <is>
          <t>Épée d'Otomaï; Amulette Séculaire; Anneau Tamie; Anneau Aimgéroks; Ceinture Séculaire; Coiffe Séculaire; Voile d'encre; Bottes Dogues; Dofus Cawotte; Dolmanax; Dofus des Glaces; Savant majeur; Soigneur majeur; Docteur majeur; Dragodinde Prune et Orchidée</t>
        </is>
      </c>
    </row>
    <row r="28039">
      <c r="A28039" t="inlineStr">
        <is>
          <t>Air</t>
        </is>
      </c>
      <c r="B28039">
        <f>HYPERLINK("https://www.dofusbook.net/fr/equipement/2681542-air/objets", "link")</f>
        <v/>
      </c>
      <c r="C28039" t="n">
        <v>2</v>
      </c>
      <c r="D28039" t="inlineStr">
        <is>
          <t>Hache du Guerrier Zoth; Amulette de Danathor; Alliance Gloursonne; Gelano; Ceinture de Danathor; Coiffe de Danathor; Cape de Léthaline; Getas Bernacle; Dolmanax; Dofus des Glaces; Dofus Kaliptus; Dofus Cawotte; Examinateur; Joueur majeur; Dragodinde Prune et Indigo</t>
        </is>
      </c>
    </row>
    <row r="28040">
      <c r="A28040" t="inlineStr">
        <is>
          <t>Stri glou</t>
        </is>
      </c>
      <c r="B28040">
        <f>HYPERLINK("https://www.dofusbook.net/fr/equipement/2127730-stri-glou/objets", "link")</f>
        <v/>
      </c>
      <c r="C28040" t="n">
        <v>1</v>
      </c>
      <c r="D28040" t="inlineStr">
        <is>
          <t>Épée du Granduk; Amulette du Granduk; Alliance Gloursonne; Bague Gloursonne; Ceinture Rasboulaire du Rasboul; Masque du Granduk; Voile d'encre; Bottes du Cycloïde; Dofus des Glaces; Dolmanax; Dofus Turquoise; Dofus Ocre; Acrobate majeur; Puissant majeur; Pioute jaune</t>
        </is>
      </c>
    </row>
    <row r="28041">
      <c r="A28041" t="inlineStr">
        <is>
          <t>Goule</t>
        </is>
      </c>
      <c r="B28041">
        <f>HYPERLINK("https://www.dofusbook.net/fr/equipement/2352204-goule/objets", "link")</f>
        <v/>
      </c>
      <c r="C28041" t="n">
        <v>0</v>
      </c>
      <c r="D28041" t="inlineStr">
        <is>
          <t>Arc Hétype; Amulette Séculaire; Alliance de Missiz Frizz; Gelano; Ceinture Séculaire; Coiffe Séculaire; Voile d'encre; Bottes de Léthaline; Dofus Turquoise; Dofus Ocre; Dofus des Glaces; Dolmanax; Puissant majeur; Savant majeur; Croum</t>
        </is>
      </c>
    </row>
    <row r="28042">
      <c r="A28042" t="inlineStr">
        <is>
          <t>Resi</t>
        </is>
      </c>
      <c r="B28042">
        <f>HYPERLINK("https://www.dofusbook.net/fr/equipement/2681704-resi/objets", "link")</f>
        <v/>
      </c>
      <c r="C28042" t="n">
        <v>0</v>
      </c>
      <c r="D28042" t="inlineStr">
        <is>
          <t>La Baguette des Limbes; Talisman Choh; Alliance d'Elya Wood; Piruk; Corbacape Mastralis; Bottes du Dragoeuf</t>
        </is>
      </c>
    </row>
    <row r="28043">
      <c r="A28043" t="inlineStr">
        <is>
          <t>Epee maudite</t>
        </is>
      </c>
      <c r="B28043">
        <f>HYPERLINK("https://www.dofusbook.net/fr/equipement/2128764-epee-maudite/objets", "link")</f>
        <v/>
      </c>
      <c r="C28043" t="n">
        <v>0</v>
      </c>
      <c r="D28043" t="inlineStr">
        <is>
          <t>Epée Maudite du Saigneur Guerrier; Amulette du Strigide; Bague Gloursonne; Alliance de Missiz Frizz; Ceinture du Strigide; Casque de Missiz Frizz; Voile d'encre; Bottes du Strigide; Dolmanax; Dofus des Glaces; Dofus Turquoise; Dofus Ocre; Croum</t>
        </is>
      </c>
    </row>
    <row r="28044">
      <c r="A28044" t="inlineStr">
        <is>
          <t>Strigide guten</t>
        </is>
      </c>
      <c r="B28044">
        <f>HYPERLINK("https://www.dofusbook.net/fr/equipement/2127510-strigide-guten/objets", "link")</f>
        <v/>
      </c>
      <c r="C28044" t="n">
        <v>0</v>
      </c>
      <c r="D28044" t="inlineStr">
        <is>
          <t>Poolache; Amulette Ementaire Deluxe; Anneau du Père Fwetar; Gelano; Ceinture du Père Fwetar; Masque du Glourséleste; Voile d'encre; Bottes du Père Fwetar; Dofus Ocre; Dolmanax; Dofus des Glaces; Dofus Turquoise; Puissant majeur; Turbulent; Kramkram</t>
        </is>
      </c>
    </row>
    <row r="28045">
      <c r="A28045" t="inlineStr">
        <is>
          <t>Feu hetype</t>
        </is>
      </c>
      <c r="B28045">
        <f>HYPERLINK("https://www.dofusbook.net/fr/equipement/2127372-feu-hetype/objets", "link")</f>
        <v/>
      </c>
      <c r="C28045" t="n">
        <v>3</v>
      </c>
      <c r="D28045" t="inlineStr">
        <is>
          <t>Epée Gloursonne; Amulette du Strigide; Bague Gloursonne; Alliance Gloursonne; Ceinture du Strigide; Voile d'encre; Bottes du Strigide</t>
        </is>
      </c>
    </row>
    <row r="28046">
      <c r="A28046" t="inlineStr">
        <is>
          <t>Zobal M 200</t>
        </is>
      </c>
      <c r="B28046">
        <f>HYPERLINK("https://www.dofusbook.net/fr/equipement/3987680-zobal-m-200/objets", "link")</f>
        <v/>
      </c>
      <c r="C28046" t="n">
        <v>4</v>
      </c>
      <c r="D28046" t="inlineStr">
        <is>
          <t>Dagues Érhy; Amulette du Strigide; Chevalière du Roi Joueur; Bague Gloursonne; Cadran d'Eau; Ceintacé; Chapeau de Gein; Cape des Justiciers; Bottes du Strigide; Dofus Émeraude; Dofus Turquoise; Érudit majeur; Remueur; Nomade; Enragé majeur; Muldo Doré</t>
        </is>
      </c>
    </row>
    <row r="28047">
      <c r="A28047" t="inlineStr">
        <is>
          <t>Pandawa F 200</t>
        </is>
      </c>
      <c r="B28047">
        <f>HYPERLINK("https://www.dofusbook.net/fr/equipement/3991305-pandawa-f-200/objets", "link")</f>
        <v/>
      </c>
      <c r="C28047" t="n">
        <v>2</v>
      </c>
      <c r="D28047" t="inlineStr">
        <is>
          <t>Rapière aux Glyphes; Amulette de Danathor; Alliance Gloursonne; Bracelet du Piloztère; Cadran d'Air; Ceinture de Danathor; Kidibonnet; Cape Matelassée; Sandales Circulaires du Kimbo; Dofus des Glaces; Dofus Émeraude; Dofus Pourpre; Chanceux majeur; Remueur; Nomade; Muldo Doré</t>
        </is>
      </c>
    </row>
    <row r="28048">
      <c r="A28048" t="inlineStr">
        <is>
          <t>Stuff 1</t>
        </is>
      </c>
      <c r="B28048">
        <f>HYPERLINK("https://www.dofusbook.net/fr/equipement/648605-stuff-1/objets", "link")</f>
        <v/>
      </c>
      <c r="C28048" t="n">
        <v>1</v>
      </c>
      <c r="D28048" t="inlineStr">
        <is>
          <t>Arc corrompu; Amulette d'Otomaï; Anneau Tique; Anneau de Padgref; Cadran de Terre; Sangle Aise; Coiffe Séculaire; Cape de Nileza; Pantoufles Émar; Dofus Pourpre; Dofus Turquoise; Vigoureux majeur; Nomade; Érudit majeur; Remueur; Muldo Doré</t>
        </is>
      </c>
    </row>
    <row r="28049">
      <c r="A28049" t="inlineStr">
        <is>
          <t>terre 11PA</t>
        </is>
      </c>
      <c r="B28049">
        <f>HYPERLINK("https://www.dofusbook.net/fr/equipement/5745063-terre-11pa/objets", "link")</f>
        <v/>
      </c>
      <c r="C28049" t="n">
        <v>0</v>
      </c>
      <c r="D28049" t="inlineStr">
        <is>
          <t>Héqache; Amulette du Strigide; Anneau de Brouce; Bague Gloursonne; Cadran d'Eau; Ceintacé; Casque de Missiz Frizz; Cape au Logis; Bottes du Strigide; Dofus Turquoise; Dofus Pourpre; Vigoureux majeur; Nomade; Remueur; Enragé majeur; Bulbisou</t>
        </is>
      </c>
    </row>
    <row r="28050">
      <c r="A28050" t="inlineStr">
        <is>
          <t>Eniripsa F 200</t>
        </is>
      </c>
      <c r="B28050">
        <f>HYPERLINK("https://www.dofusbook.net/fr/equipement/5715580-eniripsa-f-200/objets", "link")</f>
        <v/>
      </c>
      <c r="C28050" t="n">
        <v>0</v>
      </c>
      <c r="D28050" t="inlineStr">
        <is>
          <t>Arc corrompu; Amulette Volkorne; Anneau Tique; Anneau de Padgref; Ceinture Volkorne; Coiffe Séculaire; Cape de Diondin; Pataugastrique; Nomade</t>
        </is>
      </c>
    </row>
    <row r="28051">
      <c r="A28051" t="inlineStr">
        <is>
          <t>Stuff 3</t>
        </is>
      </c>
      <c r="B28051">
        <f>HYPERLINK("https://www.dofusbook.net/fr/equipement/648610-stuff-3/objets", "link")</f>
        <v/>
      </c>
      <c r="C28051" t="n">
        <v>3</v>
      </c>
      <c r="D28051" t="inlineStr">
        <is>
          <t>Dagues du Dragoeuf; Amulette du Strigide; Anneau Chevelu; Bague Gloursonne; Ceinture du Strigide; Casque de Missiz Frizz; Cape du Professeur Xa; Bottes du Cycloïde; Dofus Pourpre; Dofus Turquoise; Dofus Émeraude; Nomade; Remueur; Enragé majeur; Pioute vert</t>
        </is>
      </c>
    </row>
    <row r="28052">
      <c r="A28052" t="inlineStr">
        <is>
          <t>Crâ F 200</t>
        </is>
      </c>
      <c r="B28052">
        <f>HYPERLINK("https://www.dofusbook.net/fr/equipement/5133745-cra-f-200/objets", "link")</f>
        <v/>
      </c>
      <c r="C28052" t="n">
        <v>8</v>
      </c>
      <c r="D28052" t="inlineStr">
        <is>
          <t>Amulette Séculaire; Anneauræus; Anneau Tamie; Quatre-feuilles; Ceinture Séculaire; Couronne du Roi Joueur; Cape de Diondin; Pataugastrique; Dofus Pourpre; Érudit majeur; Astucieux majeur; Remueur; Voyageur; Nomade; Dragodinde Ivoire et Orchidée</t>
        </is>
      </c>
    </row>
    <row r="28053">
      <c r="A28053" t="inlineStr">
        <is>
          <t>Full soin</t>
        </is>
      </c>
      <c r="B28053">
        <f>HYPERLINK("https://www.dofusbook.net/fr/equipement/5998634-full-soin/objets", "link")</f>
        <v/>
      </c>
      <c r="C28053" t="n">
        <v>0</v>
      </c>
      <c r="D28053" t="inlineStr">
        <is>
          <t>Baguette du Chêne Mou; Amunite; Alliance Boletée; Kralano; String Tue-Mouche; Casque Harnage; Capignon; Bottes Répané</t>
        </is>
      </c>
    </row>
    <row r="28054">
      <c r="A28054" t="inlineStr">
        <is>
          <t>Enutrof M 200</t>
        </is>
      </c>
      <c r="B28054">
        <f>HYPERLINK("https://www.dofusbook.net/fr/equipement/3529198-enutrof-m-200/objets", "link")</f>
        <v/>
      </c>
      <c r="C28054" t="n">
        <v>1</v>
      </c>
      <c r="D28054" t="inlineStr">
        <is>
          <t>Hache à Lamelles; Collier du Minotot; Anneau Bliteré; Bracelet du Minotot; Tranche des Sous-bois; Casque Harnage; Cape du Minotot; Bottines des sous-bois; Dofus Kaliptus; Dofus Cawotte; Nomoon</t>
        </is>
      </c>
    </row>
    <row r="28055">
      <c r="A28055" t="inlineStr">
        <is>
          <t>Air-cc</t>
        </is>
      </c>
      <c r="B28055">
        <f>HYPERLINK("https://www.dofusbook.net/fr/equipement/2202962-air-cc/objets", "link")</f>
        <v/>
      </c>
      <c r="C28055" t="n">
        <v>3</v>
      </c>
      <c r="D28055" t="inlineStr">
        <is>
          <t>Lance Horselé; Amulette du Strigide; Alliance Gloursonne; Gant du Valet Veinard; Bouclier d'Ilyzaelle; Ceinture du Strigide; Cape de Klime; Palmes Trithons; Dofus Abyssal; Dofus Pourpre; Dofus Ivoire; Dofus Turquoise; Remueur; Cascadeur majeur</t>
        </is>
      </c>
    </row>
    <row r="28056">
      <c r="A28056" t="inlineStr">
        <is>
          <t>Iop M 200</t>
        </is>
      </c>
      <c r="B28056">
        <f>HYPERLINK("https://www.dofusbook.net/fr/equipement/3294531-iop-m-200/objets", "link")</f>
        <v/>
      </c>
      <c r="C28056" t="n">
        <v>0</v>
      </c>
      <c r="D28056" t="inlineStr">
        <is>
          <t>Ougarteau; Kralamansion; Annolamour; Kralano; Ceinture Mycosine; Le Kim; Voile d'encre; Chaussons Pignons; Dofus Émeraude; Dofus Ocre; Dofus Kaliptus; Dofus Pourpre; Dofus Cawotte; Dofus Turquoise</t>
        </is>
      </c>
    </row>
    <row r="28057">
      <c r="A28057" t="inlineStr">
        <is>
          <t>Anti Do-pou</t>
        </is>
      </c>
      <c r="B28057">
        <f>HYPERLINK("https://www.dofusbook.net/fr/equipement/210227-anti-do-pou/objets", "link")</f>
        <v/>
      </c>
      <c r="C28057" t="n">
        <v>2</v>
      </c>
      <c r="D28057" t="inlineStr">
        <is>
          <t>Manthache; Collier du Valet Veinard; Gant du Valet Veinard; Alliance Gloursonne; Bouclier d'Ilyzaelle; Menoture; Capuche de Moum-Ra; Cape Indescriptible; Palmes Trithons; Dofus Émeraude; Miraculé mineur; Miraculé; Survivant majeur; Miraculé majeur; Remueur; Péki</t>
        </is>
      </c>
    </row>
    <row r="28058">
      <c r="A28058" t="inlineStr">
        <is>
          <t>Full vita-air</t>
        </is>
      </c>
      <c r="B28058">
        <f>HYPERLINK("https://www.dofusbook.net/fr/equipement/1649120-full-vita-air/objets", "link")</f>
        <v/>
      </c>
      <c r="C28058" t="n">
        <v>0</v>
      </c>
      <c r="D28058" t="inlineStr">
        <is>
          <t>Hachoirs de Viandargh; Collier du Valet Veinard; Gant du Valet Veinard; Alliance Gloursonne; Bouclier d'Ilyzaelle; Menoture; Masque du Granduk; Cape de Crânonier; Palmes Trithons; Dofus Abyssal; Dokoko; Dofus Ivoire; Dofus Émeraude; Cascadeur majeur; Remueur; Siroko</t>
        </is>
      </c>
    </row>
    <row r="28059">
      <c r="A28059" t="inlineStr">
        <is>
          <t>Stuff 1</t>
        </is>
      </c>
      <c r="B28059">
        <f>HYPERLINK("https://www.dofusbook.net/fr/equipement/210172-stuff-1/objets", "link")</f>
        <v/>
      </c>
      <c r="C28059" t="n">
        <v>0</v>
      </c>
      <c r="D28059" t="inlineStr">
        <is>
          <t>Arc Hétype; Amulette de Nileza; Kralano; Anneau de Nidas; Cadran d'Air; Ceinture Séculaire; Couronne de Nidas; Voile d'encre; Pataugastrique; Dofus Ivoire; Dofus Abyssal; Remueur; Carapace Neutre majeur; Érudit majeur; Déserteur majeur; Muldo Indigo</t>
        </is>
      </c>
    </row>
    <row r="28060">
      <c r="A28060" t="inlineStr">
        <is>
          <t>Stuff 3</t>
        </is>
      </c>
      <c r="B28060">
        <f>HYPERLINK("https://www.dofusbook.net/fr/equipement/210165-stuff-3/objets", "link")</f>
        <v/>
      </c>
      <c r="C28060" t="n">
        <v>2</v>
      </c>
      <c r="D28060" t="inlineStr">
        <is>
          <t>Héqache; Torquistik; Bague Instable; Bague Trithon; Bouclier précieux; Ceinture Gence; Casque Dragoeuf; Cape du Cœur Vaillant; Bottistik; Dofus Abyssal; Remueur; Bousculeur majeur; Culbuteur; Culbuteur majeur; Pousseur majeur; Muldo Pourpre</t>
        </is>
      </c>
    </row>
    <row r="28061">
      <c r="A28061" t="inlineStr">
        <is>
          <t>Stuff 2</t>
        </is>
      </c>
      <c r="B28061">
        <f>HYPERLINK("https://www.dofusbook.net/fr/equipement/210164-stuff-2/objets", "link")</f>
        <v/>
      </c>
      <c r="C28061" t="n">
        <v>6</v>
      </c>
      <c r="D28061" t="inlineStr">
        <is>
          <t>Marteau R'ture; Amulette du Strigide; Bague Gloursonne; Anneau Chevelu; Bouclier d'Ilyzaelle; Ceinture du Strigide; Masque de Koutoulou; Cape au Logis; Sabots Minables; Dofus Abyssal; Dofus Pourpre; Dofus des Glaces; Dofus Turquoise; Enragé majeur; Dévastateur Terre majeur; Croum</t>
        </is>
      </c>
    </row>
    <row r="28062">
      <c r="A28062" t="inlineStr">
        <is>
          <t>Kikoo-feca</t>
        </is>
      </c>
      <c r="B28062">
        <f>HYPERLINK("https://www.dofusbook.net/fr/equipement/1974966-kikoo-feca/objets", "link")</f>
        <v/>
      </c>
      <c r="C28062" t="n">
        <v>4</v>
      </c>
      <c r="D28062" t="inlineStr">
        <is>
          <t>Lav'Hache; Amulette du Cœur Vaillant; Anneau Crustique; Anneau Crustique; Sept ans de malheur; Menoture; Casque Dragoeuf; Cape du Cœur Vaillant; Tentassons; Dofus Ivoire; Dofus Émeraude; Dofus Abyssal; Remueur; Enragé majeur; Étourdisseur majeur; Muldo Ebène</t>
        </is>
      </c>
    </row>
    <row r="28063">
      <c r="A28063" t="inlineStr">
        <is>
          <t>Rail</t>
        </is>
      </c>
      <c r="B28063">
        <f>HYPERLINK("https://www.dofusbook.net/fr/equipement/2813714-rail/objets", "link")</f>
        <v/>
      </c>
      <c r="C28063" t="n">
        <v>1</v>
      </c>
      <c r="D28063" t="inlineStr">
        <is>
          <t>Arc du Chalœil; Torquistik; Bague Trithon; Bague Instable; Bouclier précieux; Ceinture Gence; Masque de Koutoulou; Cape Luminescente; Bottistik; Dofus Abyssal; Bousculeur majeur; Culbuteur; Enragé majeur; Culbuteur majeur; Pousseur majeur; Muldo Pourpre</t>
        </is>
      </c>
    </row>
    <row r="28064">
      <c r="A28064" t="inlineStr">
        <is>
          <t>Anti-pute</t>
        </is>
      </c>
      <c r="B28064">
        <f>HYPERLINK("https://www.dofusbook.net/fr/equipement/1261693-anti-pute/objets", "link")</f>
        <v/>
      </c>
      <c r="C28064" t="n">
        <v>0</v>
      </c>
      <c r="D28064" t="inlineStr">
        <is>
          <t>Manthache; Collier du Valet Veinard; Alliance Gloursonne; Gant du Valet Veinard; Bouclier d'Ilyzaelle; Menoture; Couronne d'Allister; Cape du Kamasterisk; Sandales Ouzi; Dofus Ivoire; Dofus Émeraude; Dofus Abyssal; Remueur; Muraille Air majeure; Cascadeur majeur; Muldo Ebène</t>
        </is>
      </c>
    </row>
    <row r="28065">
      <c r="A28065" t="inlineStr">
        <is>
          <t>Flotte</t>
        </is>
      </c>
      <c r="B28065">
        <f>HYPERLINK("https://www.dofusbook.net/fr/equipement/1683721-flotte/objets", "link")</f>
        <v/>
      </c>
      <c r="C28065" t="n">
        <v>0</v>
      </c>
      <c r="D28065" t="inlineStr">
        <is>
          <t>Rapière aux Glyphes; Amulette de Shokkoth; Alliance Gloursonne; Bracelet des Fonds marins; Bouclier d'Ilyzaelle; Poulpagne; Capuche de l'Œil Attentif; Cape de l'Œil Attentif; Bottes du Sinistrofu; Dofus Abyssal; Dofus Ivoire; Dofus Émeraude; Chanceux majeur; Miraculé majeur; Remueur; Muldo Indigo</t>
        </is>
      </c>
    </row>
    <row r="28066">
      <c r="A28066" t="inlineStr">
        <is>
          <t>Eau</t>
        </is>
      </c>
      <c r="B28066">
        <f>HYPERLINK("https://www.dofusbook.net/fr/equipement/2769494-eau/objets", "link")</f>
        <v/>
      </c>
      <c r="C28066" t="n">
        <v>0</v>
      </c>
      <c r="D28066" t="inlineStr">
        <is>
          <t>Sceptre du Roi Joueur; Amulette de Shokkoth; Bracelet des Fonds marins; Alliance Gloursonne; Bouclier du Stalak; Poulpagne; Kidibonnet; Cape du Sinistrofu; Bottes du Sinistrofu; Muldo Indigo</t>
        </is>
      </c>
    </row>
    <row r="28067">
      <c r="A28067" t="inlineStr">
        <is>
          <t>Chaprin</t>
        </is>
      </c>
      <c r="B28067">
        <f>HYPERLINK("https://www.dofusbook.net/fr/equipement/2765624-chaprin/objets", "link")</f>
        <v/>
      </c>
      <c r="C28067" t="n">
        <v>0</v>
      </c>
      <c r="D28067" t="inlineStr">
        <is>
          <t>Couteaux à Champignons; Amulette Ripage; Gelano; Anneau Colerette; Ceinture Rasboulaire du Rasboul; Chapignon; Caprin; Bottes Harry</t>
        </is>
      </c>
    </row>
    <row r="28068">
      <c r="A28068" t="inlineStr">
        <is>
          <t>Cérémonial</t>
        </is>
      </c>
      <c r="B28068">
        <f>HYPERLINK("https://www.dofusbook.net/fr/equipement/2765587-ceremonial/objets", "link")</f>
        <v/>
      </c>
      <c r="C28068" t="n">
        <v>0</v>
      </c>
      <c r="D28068" t="inlineStr">
        <is>
          <t>Marteau de la Gamine Zoth; Collier Cérémonial du Seigneur des Rats; Anneau Cérémonial du Seigneur des Rats; Gelano; Ceinture Cérémoniale du Seigneur des Rats; Coiffe Cérémoniale du Seigneur des Rats; Cape Cérémoniale du Seigneur des Rats; Bottes Cérémoniales du Seigneur des Rats</t>
        </is>
      </c>
    </row>
    <row r="28069">
      <c r="A28069" t="inlineStr">
        <is>
          <t>Stuff 1</t>
        </is>
      </c>
      <c r="B28069">
        <f>HYPERLINK("https://www.dofusbook.net/fr/equipement/210163-stuff-1/objets", "link")</f>
        <v/>
      </c>
      <c r="C28069" t="n">
        <v>3</v>
      </c>
      <c r="D28069" t="inlineStr">
        <is>
          <t>Marteau R'ture; Amulette du Strigide; Anneau Chevelu; Bague Trithon; Bouclier d'Ilyzaelle; Ceinture du Strigide; Masque de Koutoulou; Cape au Logis; Sabots Minables; Dofus Pourpre; Dofus Ivoire; Dofus Turquoise; Dofus des Glaces; Dofus Abyssal; Enragé majeur; El Scarador</t>
        </is>
      </c>
    </row>
    <row r="28070">
      <c r="A28070" t="inlineStr">
        <is>
          <t>Pvp</t>
        </is>
      </c>
      <c r="B28070">
        <f>HYPERLINK("https://www.dofusbook.net/fr/equipement/1655127-pvp/objets", "link")</f>
        <v/>
      </c>
      <c r="C28070" t="n">
        <v>0</v>
      </c>
      <c r="D28070" t="inlineStr">
        <is>
          <t>Arc corrompu; Pendentif mignon de Koutoulou; Anneau de Nidas; Chevalière du Roi Joueur; Sept ans de malheur; Ceinture de Vortex; Cagoule de Vortex; Cape de Diondin; Bottes Innommables; Étourdisseur majeur; Érudit majeur; Remueur; Paralyseur majeur; Carapace Feu majeur; Déserteur majeur; Muldo Ebène et Indigo</t>
        </is>
      </c>
    </row>
    <row r="28071">
      <c r="A28071" t="inlineStr">
        <is>
          <t>Terre</t>
        </is>
      </c>
      <c r="B28071">
        <f>HYPERLINK("https://www.dofusbook.net/fr/equipement/2467886-terre/objets", "link")</f>
        <v/>
      </c>
      <c r="C28071" t="n">
        <v>0</v>
      </c>
      <c r="D28071" t="inlineStr">
        <is>
          <t>Marteau R'ture; Collier de Tourthon; Anneau Chevelu; Bague Gloursonne; Bouclier d'Ilyzaelle; Ceinture Gence; Casque Dragoeuf; Cape de la Cour Sombre; Bottes de la Cour Sombre; Dofus Abyssal; Dofus Ivoire</t>
        </is>
      </c>
    </row>
    <row r="28072">
      <c r="A28072" t="inlineStr">
        <is>
          <t>Fuji</t>
        </is>
      </c>
      <c r="B28072">
        <f>HYPERLINK("https://www.dofusbook.net/fr/equipement/1321973-fuji/objets", "link")</f>
        <v/>
      </c>
      <c r="C28072" t="n">
        <v>0</v>
      </c>
      <c r="D28072" t="inlineStr">
        <is>
          <t>Bâton Brelle; Kralamansion; Gelano; Anneau de la Fuji Givrefoux; Bouclier du Captain Amakna; Ceinture Rasboulaire du Rasboul; Coiffe de la Fuji Givrefoux; Cape de la Fuji Givrefoux; Bottes de la Fuji Givrefoux; Dofus Cawotte; Dofus Émeraude; Dofus Vulbis; Dofus Turquoise; Dofus Pourpre; Dofus Ocre; Dragodinde en armure</t>
        </is>
      </c>
    </row>
    <row r="28073">
      <c r="A28073" t="inlineStr">
        <is>
          <t>Brouce</t>
        </is>
      </c>
      <c r="B28073">
        <f>HYPERLINK("https://www.dofusbook.net/fr/equipement/1322067-brouce/objets", "link")</f>
        <v/>
      </c>
      <c r="C28073" t="n">
        <v>0</v>
      </c>
      <c r="D28073" t="inlineStr">
        <is>
          <t>Canne Hassukre; Kralamansion; Gelano; Anneau de Brouce; Bouclier du Captain Amakna; Ceinture de Brouce; Casque Dragoeuf; Voile d'encre; Bottes de Brouce; Dofus Turquoise; Dofus Pourpre; Dofus Ocre; Dofus Cawotte; Dofus Émeraude; Dofus Vulbis; Dragodinde en armure</t>
        </is>
      </c>
    </row>
    <row r="28074">
      <c r="A28074" t="inlineStr">
        <is>
          <t>Danathor</t>
        </is>
      </c>
      <c r="B28074">
        <f>HYPERLINK("https://www.dofusbook.net/fr/equipement/1322026-danathor/objets", "link")</f>
        <v/>
      </c>
      <c r="C28074" t="n">
        <v>0</v>
      </c>
      <c r="D28074" t="inlineStr">
        <is>
          <t>Dagues Açantes; Amulette de Danathor; Gelano; Alliance Gloursonne; Bouclier du Captain Amakna; Ceinture de Danathor; Coiffe de Danathor; Voile d'encre; Sandales Circulaires du Kimbo; Dofus Cawotte; Dofus Émeraude; Dofus Vulbis; Dofus Turquoise; Dofus Pourpre; Dofus Ocre; Dragodinde en armure</t>
        </is>
      </c>
    </row>
    <row r="28075">
      <c r="A28075" t="inlineStr">
        <is>
          <t>Allister</t>
        </is>
      </c>
      <c r="B28075">
        <f>HYPERLINK("https://www.dofusbook.net/fr/equipement/1321982-allister/objets", "link")</f>
        <v/>
      </c>
      <c r="C28075" t="n">
        <v>0</v>
      </c>
      <c r="D28075" t="inlineStr">
        <is>
          <t>Bâton Brelle; Frimamulette; Gelano; Anneau d'Allister; Bouclier du Captain Amakna; Ceinture Rasboulaire du Rasboul; Couronne d'Allister; Cape de la Fuji Givrefoux; Bottes d'Allister; Dofus Turquoise; Dofus Pourpre; Dofus Ocre; Dofus Cawotte; Dofus Émeraude; Dofus Vulbis; Dragodinde en armure</t>
        </is>
      </c>
    </row>
    <row r="28076">
      <c r="A28076" t="inlineStr">
        <is>
          <t>Otomai</t>
        </is>
      </c>
      <c r="B28076">
        <f>HYPERLINK("https://www.dofusbook.net/fr/equipement/1321995-otomai/objets", "link")</f>
        <v/>
      </c>
      <c r="C28076" t="n">
        <v>0</v>
      </c>
      <c r="D28076" t="inlineStr">
        <is>
          <t>Épée d'Otomaï; Amulette d'Otomaï; Gelano; Kralano; Bouclier du Captain Amakna; Slip Iholo; Casque Dragoeuf; Voile d'encre; Bottes d'Otomaï; Dofus Vulbis; Dofus Turquoise; Dofus Pourpre; Dofus Ocre; Dofus Émeraude; Savant majeur; Dragodinde en armure</t>
        </is>
      </c>
    </row>
    <row r="28077">
      <c r="A28077" t="inlineStr">
        <is>
          <t>Veinard</t>
        </is>
      </c>
      <c r="B28077">
        <f>HYPERLINK("https://www.dofusbook.net/fr/equipement/1273973-veinard/objets", "link")</f>
        <v/>
      </c>
      <c r="C28077" t="n">
        <v>0</v>
      </c>
      <c r="D28077" t="inlineStr">
        <is>
          <t>Manthache; Collier du Valet Veinard; Alliance Gloursonne; Gant du Valet Veinard; Bouclier d'Ilyzaelle; Menoture; Casque Dragoeuf; Cape Indescriptible; Palmes Trithons; Dofus Abyssal; Dofus Ivoire; Dofus Émeraude; Miraculé majeur; Remueur; Cascadeur majeur; Muldo Ebène</t>
        </is>
      </c>
    </row>
    <row r="28078">
      <c r="A28078" t="inlineStr">
        <is>
          <t>Eau</t>
        </is>
      </c>
      <c r="B28078">
        <f>HYPERLINK("https://www.dofusbook.net/fr/equipement/1515804-eau/objets", "link")</f>
        <v/>
      </c>
      <c r="C28078" t="n">
        <v>0</v>
      </c>
      <c r="D28078" t="inlineStr">
        <is>
          <t>Dagues Açantes; Amulette de Shokkoth; Bracelet des Fonds marins; Alliance Gloursonne; Bouclier du Captain Amakna; Ceinture Voldelor; Capuche de l'Œil Attentif; Cape de l'Œil Attentif; Pataugastrique; Dofus Ivoire; Dofus Abyssal; Dofus Émeraude; Remueur; Miraculé majeur; Chanceux majeur; Muldo Indigo</t>
        </is>
      </c>
    </row>
    <row r="28079">
      <c r="A28079" t="inlineStr">
        <is>
          <t>Anti-roub</t>
        </is>
      </c>
      <c r="B28079">
        <f>HYPERLINK("https://www.dofusbook.net/fr/equipement/210225-anti-roub/objets", "link")</f>
        <v/>
      </c>
      <c r="C28079" t="n">
        <v>0</v>
      </c>
      <c r="D28079" t="inlineStr">
        <is>
          <t>Dagoulinantes; Amulette de Shokkoth; Bracelet des Fonds marins; Alliance Gloursonne; Cadran d'Eau; Ceinture Voldelor; Masque des Fonds marins; Cape de l'Œil Attentif; Pataugastrique; Dofus Turquoise; Dofus Abyssal; Remueur; Chanceux majeur; Miraculé majeur; Nomade; Croum</t>
        </is>
      </c>
    </row>
    <row r="28080">
      <c r="A28080" t="inlineStr">
        <is>
          <t>Stuff 1</t>
        </is>
      </c>
      <c r="B28080">
        <f>HYPERLINK("https://www.dofusbook.net/fr/equipement/210181-stuff-1/objets", "link")</f>
        <v/>
      </c>
      <c r="C28080" t="n">
        <v>0</v>
      </c>
      <c r="D28080" t="inlineStr">
        <is>
          <t>Arc Ahique; Amulette d'Hel Munster; Bracelet des Fonds marins; Alliance Gloursonne; Bouclier du Stalak; Ceinture de la Reine des Voleurs; Coiffe d'Hel Munster; Cape d'Hel Munster; Bottes de la Reine des Voleurs; Dofus Ocre; Dofus Nébuleux; Dofus des Glaces; Saccageur Eau majeur; Taquin majeur; Ravageur Eau majeur; Dehluge</t>
        </is>
      </c>
    </row>
    <row r="28081">
      <c r="A28081" t="inlineStr">
        <is>
          <t>Stuff 2</t>
        </is>
      </c>
      <c r="B28081">
        <f>HYPERLINK("https://www.dofusbook.net/fr/equipement/210182-stuff-2/objets", "link")</f>
        <v/>
      </c>
      <c r="C28081" t="n">
        <v>0</v>
      </c>
      <c r="D28081" t="inlineStr">
        <is>
          <t>Dagoulinantes; Amulette de Shokkoth; Alliance Gloursonne; Bracelet des Fonds marins; Bouclier du Stalak; Ceinture de la Reine des Voleurs; Kidibonnet; Cape de Mantaze; Bottes de la Reine des Voleurs; Dofus Nébuleux; Dofus des Glaces; Dévastateur Eau majeur; Nomade; Remueur; Saccageur Eau majeur; Kanigloups</t>
        </is>
      </c>
    </row>
    <row r="28082">
      <c r="A28082" t="inlineStr">
        <is>
          <t>krala</t>
        </is>
      </c>
      <c r="B28082">
        <f>HYPERLINK("https://www.dofusbook.net/fr/equipement/1321956-krala/objets", "link")</f>
        <v/>
      </c>
      <c r="C28082" t="n">
        <v>0</v>
      </c>
      <c r="D28082" t="inlineStr">
        <is>
          <t>Grésilosceptre; Kralamansion; Kralano; Annolamour; Bouclier du Captain Amakna; Ceinture Rasboulaire du Rasboul; Chapignon; Voile d'encre; Sandales Circulaires du Kimbo; Dofus Ocre; Dofus Cawotte; Dofus Émeraude; Dofus Vulbis; Dofus Turquoise; Dofus Pourpre; Croum</t>
        </is>
      </c>
    </row>
    <row r="28083">
      <c r="A28083" t="inlineStr">
        <is>
          <t>Tal-kasha</t>
        </is>
      </c>
      <c r="B28083">
        <f>HYPERLINK("https://www.dofusbook.net/fr/equipement/1657439-tal-kasha/objets", "link")</f>
        <v/>
      </c>
      <c r="C28083" t="n">
        <v>0</v>
      </c>
      <c r="D28083" t="inlineStr">
        <is>
          <t>Rapière aux Glyphes; Amulette de Shokkoth; Bracelet des Fonds marins; Alliance Gloursonne; Bouclier d'Ilyzaelle; Poulpagne; Casque Dragoeuf; Cape de Mantaze; Sandales des Fonds marins; Dofus Abyssal; Dofus Émeraude; Dofus Turquoise; Miraculé majeur; Remueur; Chanceux majeur; Muldo Indigo et Pourpre</t>
        </is>
      </c>
    </row>
    <row r="28084">
      <c r="A28084" t="inlineStr">
        <is>
          <t>Attentif</t>
        </is>
      </c>
      <c r="B28084">
        <f>HYPERLINK("https://www.dofusbook.net/fr/equipement/1491330-attentif/objets", "link")</f>
        <v/>
      </c>
      <c r="C28084" t="n">
        <v>1</v>
      </c>
      <c r="D28084" t="inlineStr">
        <is>
          <t>Rapière aux Glyphes; Amulette de Shokkoth; Bracelet des Fonds marins; Alliance Gloursonne; Bouclier d'Ilyzaelle; Poulpagne; Capuche de l'Œil Attentif; Cape de l'Œil Attentif; Bottes du Sinistrofu; Dofus Émeraude; Dofus Abyssal; Dofus Ivoire; Remueur; Miraculé majeur; Chanceux majeur; Muldo Indigo</t>
        </is>
      </c>
    </row>
    <row r="28085">
      <c r="A28085" t="inlineStr">
        <is>
          <t>Stuff 2</t>
        </is>
      </c>
      <c r="B28085">
        <f>HYPERLINK("https://www.dofusbook.net/fr/equipement/210173-stuff-2/objets", "link")</f>
        <v/>
      </c>
      <c r="C28085" t="n">
        <v>1</v>
      </c>
      <c r="D28085" t="inlineStr">
        <is>
          <t>Arc Hétype; Pendentif affamé; Anneau de Nidas; Anneau Tique; Bouclier cubiste; Ceinture Séculaire; Couronne de Nidas; Voile d'encre; Bottes Innommables; Dofus Ocre; Déserteur majeur; Fonceur majeur; Remueur; Érudit majeur; Temporiseur majeur; Muldo Indigo et Orchidée</t>
        </is>
      </c>
    </row>
    <row r="28086">
      <c r="A28086" t="inlineStr">
        <is>
          <t>Pvm</t>
        </is>
      </c>
      <c r="B28086">
        <f>HYPERLINK("https://www.dofusbook.net/fr/equipement/1972979-pvm/objets", "link")</f>
        <v/>
      </c>
      <c r="C28086" t="n">
        <v>1</v>
      </c>
      <c r="D28086" t="inlineStr">
        <is>
          <t>Baguette Houffe-Craitien; Amulette du Strigide; Bague Gloursonne; Anneau de Padgref; Quatre-feuilles; Ceinture du Strigide; Coiffe de Padgref; Cape Reski; Getas de Padgref; Dofus Nébuleux; Dofus Turquoise; Dolmanax; Dofus Ocre; Dofus des Glaces; Dofus Pourpre; Muldo Prune et Emeraude</t>
        </is>
      </c>
    </row>
    <row r="28087">
      <c r="A28087" t="inlineStr">
        <is>
          <t>Terre</t>
        </is>
      </c>
      <c r="B28087">
        <f>HYPERLINK("https://www.dofusbook.net/fr/equipement/1902693-terre/objets", "link")</f>
        <v/>
      </c>
      <c r="C28087" t="n">
        <v>0</v>
      </c>
      <c r="D28087" t="inlineStr">
        <is>
          <t>Marteau R'ture; Amulette d'Oshimo; Anneau Chevelu; Anneau Crustique; Bouclier du Captain Amakna; Ceinture de la Cour Sombre; Masque de Koutoulou; Cape de la Cour Sombre; Tentassons; Dofus Nébuleux; Dofus Turquoise; Dofus Abyssal; Dofus des Glaces; Muldo Prune et Emeraude</t>
        </is>
      </c>
    </row>
    <row r="28088">
      <c r="A28088" t="inlineStr">
        <is>
          <t>Terre-Feu</t>
        </is>
      </c>
      <c r="B28088">
        <f>HYPERLINK("https://www.dofusbook.net/fr/equipement/1682254-terre-feu/objets", "link")</f>
        <v/>
      </c>
      <c r="C28088" t="n">
        <v>4</v>
      </c>
      <c r="D28088" t="inlineStr">
        <is>
          <t>Marteau R'ture; Amulette de Gein; Chevalière du Roi Joueur; Anneau Chevelu; Quatre-feuilles; Ceinture de Gein; Couronne du Roi Joueur; Voile d'encre; Bottes du Roi Joueur; Dofus Ocre; Dofus Nébuleux; Dofus Turquoise; Dofus Pourpre; Dofus Abyssal; Entraveur majeur; Muldo Prune et Pourpre</t>
        </is>
      </c>
    </row>
    <row r="28089">
      <c r="A28089" t="inlineStr">
        <is>
          <t>Pvp</t>
        </is>
      </c>
      <c r="B28089">
        <f>HYPERLINK("https://www.dofusbook.net/fr/equipement/1070285-pvp/objets", "link")</f>
        <v/>
      </c>
      <c r="C28089" t="n">
        <v>13</v>
      </c>
      <c r="D28089" t="inlineStr">
        <is>
          <t>Héqache; Amulette Luminescente; Alliance Gloursonne; Bague Trithon; Bouclier précieux; Ceintacé; Masque d'Anerice; Cape d'Anerice; Bottistik; Dofus Émeraude; Dofus Abyssal; Dofus Ivoire; Culbuteur majeur; Remueur; Miraculé majeur; Muldo Ebène et Orchidée</t>
        </is>
      </c>
    </row>
    <row r="28090">
      <c r="A28090" t="inlineStr">
        <is>
          <t>Stuff 3</t>
        </is>
      </c>
      <c r="B28090">
        <f>HYPERLINK("https://www.dofusbook.net/fr/equipement/210171-stuff-3/objets", "link")</f>
        <v/>
      </c>
      <c r="C28090" t="n">
        <v>4</v>
      </c>
      <c r="D28090" t="inlineStr">
        <is>
          <t>Rapière aux Glyphes; Amulette de Shokkoth; Bracelet des Fonds marins; Alliance Gloursonne; Poulpagne; Casque Dragoeuf; Cape du Sinistrofu; Bottes du Sinistrofu; Dofus Ocre; Dofus Pourpre; Dofus Turquoise; Remueur; Chanceux majeur; Déserteur majeur; Muldo Indigo</t>
        </is>
      </c>
    </row>
    <row r="28091">
      <c r="A28091" t="inlineStr">
        <is>
          <t>Feu</t>
        </is>
      </c>
      <c r="B28091">
        <f>HYPERLINK("https://www.dofusbook.net/fr/equipement/1515953-feu/objets", "link")</f>
        <v/>
      </c>
      <c r="C28091" t="n">
        <v>0</v>
      </c>
      <c r="D28091" t="inlineStr">
        <is>
          <t>Baguette de Malléfisk; Amulette de Nileza; Chevalière du Roi Joueur; Anneau de Nidas; Carapar; Ceinture Séculaire; Casque Dragoeuf; Cape de Diondin; Bottes Innommables; Dofus Abyssal; Dofus Ivoire; Dofus Émeraude; Miraculé majeur; Remueur; Érudit majeur; Muldo Indigo et Pourpre</t>
        </is>
      </c>
    </row>
    <row r="28092">
      <c r="A28092" t="inlineStr">
        <is>
          <t>Pvp1</t>
        </is>
      </c>
      <c r="B28092">
        <f>HYPERLINK("https://www.dofusbook.net/fr/equipement/1101073-pvp1/objets", "link")</f>
        <v/>
      </c>
      <c r="C28092" t="n">
        <v>5</v>
      </c>
      <c r="D28092" t="inlineStr">
        <is>
          <t>Héqache; Amulette Luminescente; Bague Instable; Bague Trithon; Bouclier précieux; Poulpagne; Casque Dragoeuf; Cape des Malveilleurs; Bottes Trithon; Remueur; Culbuteur; Miraculé majeur; Bousculeur majeur; Carapace Air majeur; Culbuteur majeur; Muldo Orchidée et Pourpre</t>
        </is>
      </c>
    </row>
    <row r="28093">
      <c r="A28093" t="inlineStr">
        <is>
          <t>Feu</t>
        </is>
      </c>
      <c r="B28093">
        <f>HYPERLINK("https://www.dofusbook.net/fr/equipement/1552154-feu/objets", "link")</f>
        <v/>
      </c>
      <c r="C28093" t="n">
        <v>0</v>
      </c>
      <c r="D28093" t="inlineStr">
        <is>
          <t>Dagues Ricol; Pendentif affamé; Bague Gloursonne; Anneau de Padgref; Bouclier du Captain Amakna; Ceinture Séculaire; Coiffe de Padgref; Voile d'encre; Pataugastrique; Dofus Pourpre; Dofus Turquoise; Dokoko; Dévastateur Feu majeur; Érudit majeur; Remueur; Muldo Orchidée et Pourpre</t>
        </is>
      </c>
    </row>
    <row r="28094">
      <c r="A28094" t="inlineStr">
        <is>
          <t>Kikoo retrait/air</t>
        </is>
      </c>
      <c r="B28094">
        <f>HYPERLINK("https://www.dofusbook.net/fr/equipement/1494251-kikoo-retrait-air/objets", "link")</f>
        <v/>
      </c>
      <c r="C28094" t="n">
        <v>0</v>
      </c>
      <c r="D28094" t="inlineStr">
        <is>
          <t>Manthache; Collier du Valet Veinard; Alliance Gloursonne; Gant du Valet Veinard; Sept ans de malheur; Menoture; Casque Dragoeuf; Chevelure de Tal Kasha; Palmes Trithons; Dofus Abyssal; Dofus Émeraude; Étourdisseur majeur; Cascadeur majeur; Remueur; Paralyseur majeur; Muldo Ebène et Orchidée</t>
        </is>
      </c>
    </row>
    <row r="28095">
      <c r="A28095" t="inlineStr">
        <is>
          <t>Crit</t>
        </is>
      </c>
      <c r="B28095">
        <f>HYPERLINK("https://www.dofusbook.net/fr/equipement/1365080-crit/objets", "link")</f>
        <v/>
      </c>
      <c r="C28095" t="n">
        <v>1</v>
      </c>
      <c r="D28095" t="inlineStr">
        <is>
          <t>Baguette Houffe-Craitien; Amulette du Strigide; Anneau de Padgref; Kralano; Quatre-feuilles; Ceinture du Strigide; Coiffe de Padgref; Voile d'encre; Getas de Padgref; Dofus des Glaces; Dofus Ocre; Dofus Abyssal; Dofus Pourpre; Dofus Nébuleux; Dofus Turquoise; Muldo Prune et Emeraude</t>
        </is>
      </c>
    </row>
    <row r="28096">
      <c r="A28096" t="inlineStr">
        <is>
          <t>Stuff 3</t>
        </is>
      </c>
      <c r="B28096">
        <f>HYPERLINK("https://www.dofusbook.net/fr/equipement/210174-stuff-3/objets", "link")</f>
        <v/>
      </c>
      <c r="C28096" t="n">
        <v>0</v>
      </c>
      <c r="D28096" t="inlineStr">
        <is>
          <t>Canne Hassukre; Phylactère Mic; Anneau Aimgéroks; Anneau de Brouce; Quatre-feuilles; Ceinture de Brouce; Masque Vaudou Eth; Cape de la Fuji Givrefoux; Bottes de Brouce; Dofus Turquoise; Ravageur Terre majeur; Furibond majeur; Saccageur Terre majeur; Saccageur Terre; Forcené majeur; Kompost</t>
        </is>
      </c>
    </row>
    <row r="28097">
      <c r="A28097" t="inlineStr">
        <is>
          <t>Guten</t>
        </is>
      </c>
      <c r="B28097">
        <f>HYPERLINK("https://www.dofusbook.net/fr/equipement/1447500-guten/objets", "link")</f>
        <v/>
      </c>
      <c r="C28097" t="n">
        <v>0</v>
      </c>
      <c r="D28097" t="inlineStr">
        <is>
          <t>Arc de Guten Tak; Amulette de Pol Ouatnos; Anneau Chevelu; Alliance Gloursonne; Ceinture de la Reine des Voleurs; Coiffe de la Reine des Voleurs; Cape au Logis; Sabots Minables; Dokoko; Dofus des Glaces; Muraille Eau majeure; Muraille Feu majeure; Muraille Terre majeure; Remueur; Kramkram</t>
        </is>
      </c>
    </row>
    <row r="28098">
      <c r="A28098" t="inlineStr">
        <is>
          <t>ambucac</t>
        </is>
      </c>
      <c r="B28098">
        <f>HYPERLINK("https://www.dofusbook.net/fr/equipement/1384094-ambucac/objets", "link")</f>
        <v/>
      </c>
      <c r="C28098" t="n">
        <v>0</v>
      </c>
      <c r="D28098" t="inlineStr">
        <is>
          <t>Hache du Chalœil; Amulette du Strigide; Alliance du Lévitrof; Goulano; Ceinture du Strigide; Coiffe du Lévitrof; Voile d'encre; Bottes du Strigide; Muldo Prune et Emeraude</t>
        </is>
      </c>
    </row>
    <row r="28099">
      <c r="A28099" t="inlineStr">
        <is>
          <t>Pvp</t>
        </is>
      </c>
      <c r="B28099">
        <f>HYPERLINK("https://www.dofusbook.net/fr/equipement/1263055-pvp/objets", "link")</f>
        <v/>
      </c>
      <c r="C28099" t="n">
        <v>2</v>
      </c>
      <c r="D28099" t="inlineStr">
        <is>
          <t>Manthache; Collier du Valet Veinard; Alliance Gloursonne; Gant du Valet Veinard; Bouclier d'Ilyzaelle; Menoture; Casque Dragoeuf; Cape du Kamasterisk; Palmes Trithons; Dofus des Glaces; Dofus Pourpre; Cascadeur majeur; Dévastateur Air majeur; Remueur; Vigoureux majeur; Muldo Ebène et Orchidée</t>
        </is>
      </c>
    </row>
    <row r="28100">
      <c r="A28100" t="inlineStr">
        <is>
          <t>Pvp2</t>
        </is>
      </c>
      <c r="B28100">
        <f>HYPERLINK("https://www.dofusbook.net/fr/equipement/1125959-pvp2/objets", "link")</f>
        <v/>
      </c>
      <c r="C28100" t="n">
        <v>1</v>
      </c>
      <c r="D28100" t="inlineStr">
        <is>
          <t>Arc du Chalœil; Amulette du Strigide; Anneau Chevelu; Anneau Crustique; Ceintacé; Casque de Missiz Frizz; Voile d'encre; Bottes du Strigide; Remueur; Kramkram</t>
        </is>
      </c>
    </row>
    <row r="28101">
      <c r="A28101" t="inlineStr">
        <is>
          <t>Pvp1</t>
        </is>
      </c>
      <c r="B28101">
        <f>HYPERLINK("https://www.dofusbook.net/fr/equipement/1083026-pvp1/objets", "link")</f>
        <v/>
      </c>
      <c r="C28101" t="n">
        <v>2</v>
      </c>
      <c r="D28101" t="inlineStr">
        <is>
          <t>Arc de Koutoulou; Amulette du Strigide; Gant du Valet Veinard; Alliance Gloursonne; Quatre-feuilles; Ceintacé; Dorabysses; Chevelure de Tal Kasha; Sandales de Tal Kasha; Kramkram</t>
        </is>
      </c>
    </row>
    <row r="28102">
      <c r="A28102" t="inlineStr">
        <is>
          <t>Pvp</t>
        </is>
      </c>
      <c r="B28102">
        <f>HYPERLINK("https://www.dofusbook.net/fr/equipement/928137-pvp/objets", "link")</f>
        <v/>
      </c>
      <c r="C28102" t="n">
        <v>2</v>
      </c>
      <c r="D28102" t="inlineStr">
        <is>
          <t>Dague Adou; Amulette du Strigide; Gelano; Alliance Gloursonne; Bouclier du Captain Amakna; Ceinture du Strigide; Coiffe d'Hel Munster; Cape Matelassée; Sandales Ouzi; Dofus Kaliptus; Dofus Turquoise; Dofus Pourpre; Nomade; Remueur; Sanguinaire majeur; Tifoux Tigré</t>
        </is>
      </c>
    </row>
    <row r="28103">
      <c r="A28103" t="inlineStr">
        <is>
          <t>Stuff 1</t>
        </is>
      </c>
      <c r="B28103">
        <f>HYPERLINK("https://www.dofusbook.net/fr/equipement/210169-stuff-1/objets", "link")</f>
        <v/>
      </c>
      <c r="C28103" t="n">
        <v>1</v>
      </c>
      <c r="D28103" t="inlineStr">
        <is>
          <t>Rapière aux Glyphes; Amulette du Sinistrofu; Gelano; Alliance Gloursonne; Quatre-feuilles; Ceinture Glaciale; Coiffe de Danathor; Cape du Sinistrofu; Getas Bernacle; Dofus Kaliptus; Dofus Ocre; Miraculé majeur; Nomade; Chanceux majeur; Remueur; Tifoux Tigré</t>
        </is>
      </c>
    </row>
    <row r="28104">
      <c r="A28104" t="inlineStr">
        <is>
          <t>jfghjgf</t>
        </is>
      </c>
      <c r="B28104">
        <f>HYPERLINK("https://www.dofusbook.net/fr/equipement/1079837-jfghjgf/objets", "link")</f>
        <v/>
      </c>
      <c r="C28104" t="n">
        <v>0</v>
      </c>
      <c r="D28104" t="inlineStr">
        <is>
          <t>Baguette Hernelle; Amulette du Strigide; Anneau de Padgref; Gelano; Quatre-feuilles; Sangle Aise; Coiffe de Padgref; Cape Lati; Bottes du Cycloïde; Dofus Turquoise; Dofus Kaliptus; Dofus Pourpre; Érudit majeur; Nomade; Remueur; Tifoux Tigré</t>
        </is>
      </c>
    </row>
    <row r="28105">
      <c r="A28105" t="inlineStr">
        <is>
          <t>Stuff 3</t>
        </is>
      </c>
      <c r="B28105">
        <f>HYPERLINK("https://www.dofusbook.net/fr/equipement/210201-stuff-3/objets", "link")</f>
        <v/>
      </c>
      <c r="C28105" t="n">
        <v>0</v>
      </c>
      <c r="D28105" t="inlineStr">
        <is>
          <t>Arc Hétype; Amulette Ementaire Deluxe; Anneau de Nidas; Anneau Rifique; Ceinture de Vortex; Casque Cyclopéen; Voile d'encre; Pataugastrique; Dolmanax; Carapace Neutre majeur; Déserteur majeur; Érudit majeur; Miraculé majeur; Remueur; Muldo Indigo et Pourpre</t>
        </is>
      </c>
    </row>
    <row r="28106">
      <c r="A28106" t="inlineStr">
        <is>
          <t>Stuff 3</t>
        </is>
      </c>
      <c r="B28106">
        <f>HYPERLINK("https://www.dofusbook.net/fr/equipement/210183-stuff-3/objets", "link")</f>
        <v/>
      </c>
      <c r="C28106" t="n">
        <v>0</v>
      </c>
      <c r="D28106" t="inlineStr">
        <is>
          <t>Arc de Koutoulou; Amulette d'Ilyzaelle; Alliance Gloursonne; Bracelet des Fonds marins; Bouclier du Stalak; Poulpagne; Casque d'Ilyzaelle; Cape de l'Œil Attentif; Bottes du Sinistrofu; Dofus Pourpre; Dofus des Glaces; Chanceux majeur; Remueur; Miraculé majeur; Dévastateur Eau majeur; Muldo Indigo et Pourpre</t>
        </is>
      </c>
    </row>
    <row r="28107">
      <c r="A28107" t="inlineStr">
        <is>
          <t>Stuff 2</t>
        </is>
      </c>
      <c r="B28107">
        <f>HYPERLINK("https://www.dofusbook.net/fr/equipement/210200-stuff-2/objets", "link")</f>
        <v/>
      </c>
      <c r="C28107" t="n">
        <v>0</v>
      </c>
      <c r="D28107" t="inlineStr">
        <is>
          <t>Épée d'Otomaï; Pendentif affamé; Chevalière du Roi Joueur; Anneau de Nidas; Bouclier du Captain Amakna cassé; Ceinture Séculaire; Coiffe Séculaire; Cape de Diondin; Bottes Innommables; Dofus Ocre; Dofus des Glaces; Dévastateur Feu majeur; Astucieux majeur; Saccageur Feu majeur; Érudit majeur; Pioute rouge</t>
        </is>
      </c>
    </row>
    <row r="28108">
      <c r="A28108" t="inlineStr">
        <is>
          <t>Stuff 1</t>
        </is>
      </c>
      <c r="B28108">
        <f>HYPERLINK("https://www.dofusbook.net/fr/equipement/210199-stuff-1/objets", "link")</f>
        <v/>
      </c>
      <c r="C28108" t="n">
        <v>0</v>
      </c>
      <c r="D28108" t="inlineStr">
        <is>
          <t>Baguette de Malléfisk; Amulette du Cycloïde; Anneau de Nidas; Anneau Rifique; Carapar; Ceinture de Vortex; Masque d'Anerice; Cape d'Anerice; Pataugastrique; Guérisseur majeur; Érudit majeur; Remueur; Miraculé majeur</t>
        </is>
      </c>
    </row>
    <row r="28109">
      <c r="A28109" t="inlineStr">
        <is>
          <t>Stuff 2</t>
        </is>
      </c>
      <c r="B28109">
        <f>HYPERLINK("https://www.dofusbook.net/fr/equipement/210170-stuff-2/objets", "link")</f>
        <v/>
      </c>
      <c r="C28109" t="n">
        <v>2</v>
      </c>
      <c r="D28109" t="inlineStr">
        <is>
          <t>Arc Nécrotique; Talisman Igans; Bracelet des Fonds marins; Alliance Gloursonne; Quatre-feuilles; Ceintrigue; Casquette de Meno; Voile d'encre; Pataugastrique; Dolmanax; Dofus Turquoise; Dofus des Glaces; Dofus Pourpre; Dokoko; Remueur; Muldo Prune et Emeraude</t>
        </is>
      </c>
    </row>
    <row r="28110">
      <c r="A28110" t="inlineStr">
        <is>
          <t>Ecaflip M 200</t>
        </is>
      </c>
      <c r="B28110">
        <f>HYPERLINK("https://www.dofusbook.net/fr/equipement/5861814-ecaflip-m-200/objets", "link")</f>
        <v/>
      </c>
      <c r="C28110" t="n">
        <v>0</v>
      </c>
      <c r="D28110" t="inlineStr">
        <is>
          <t>Baguette de Torkélonia; Amulette du Cœur Vaillant; Alliance Gloursonne; Bague Trithon; Quatre-feuilles; Ceintouse; Corne de Torkélonia; Cape du Cœur Vaillant; Bottes du Cœur Vaillant; Dofus Nébuleux; Dofus Turquoise; Dofus Pourpre; Dofus des Glaces; Dofus Ocre; Muldo Ebène et Indigo</t>
        </is>
      </c>
    </row>
    <row r="28111">
      <c r="A28111" t="inlineStr">
        <is>
          <t>Steamer M 200</t>
        </is>
      </c>
      <c r="B28111">
        <f>HYPERLINK("https://www.dofusbook.net/fr/equipement/3910547-steamer-m-200/objets", "link")</f>
        <v/>
      </c>
      <c r="C28111" t="n">
        <v>0</v>
      </c>
      <c r="D28111" t="inlineStr">
        <is>
          <t>Hache du Chalœil; Bague Trithon; Alliance Gloursonne; Le Dorado; Voile d'encre</t>
        </is>
      </c>
    </row>
    <row r="28112">
      <c r="A28112" t="inlineStr">
        <is>
          <t>terre</t>
        </is>
      </c>
      <c r="B28112">
        <f>HYPERLINK("https://www.dofusbook.net/fr/equipement/3150065-terre/objets", "link")</f>
        <v/>
      </c>
      <c r="C28112" t="n">
        <v>0</v>
      </c>
      <c r="D28112" t="inlineStr">
        <is>
          <t>Héqache; Anneau Chevelu; Masque de Koutoulou; Voile d'encre</t>
        </is>
      </c>
    </row>
    <row r="28113">
      <c r="A28113" t="inlineStr">
        <is>
          <t>xelterre</t>
        </is>
      </c>
      <c r="B28113">
        <f>HYPERLINK("https://www.dofusbook.net/fr/equipement/3150061-xelterre/objets", "link")</f>
        <v/>
      </c>
      <c r="C28113" t="n">
        <v>0</v>
      </c>
      <c r="D28113" t="inlineStr"/>
    </row>
    <row r="28114">
      <c r="A28114" t="inlineStr">
        <is>
          <t>bourrin</t>
        </is>
      </c>
      <c r="B28114">
        <f>HYPERLINK("https://www.dofusbook.net/fr/equipement/1347229-bourrin/objets", "link")</f>
        <v/>
      </c>
      <c r="C28114" t="n">
        <v>0</v>
      </c>
      <c r="D28114" t="inlineStr">
        <is>
          <t>Épée Brûlâme; Collier de la Dame du Hasard; Goulano; Alliance Gloursonne; Bouclier du Captain Amakna; Ceinture de Vortex; Kidibonnet; Voile d'encre; Bottes de la Dame du Hasard; Muldo Indigo et Pourpre</t>
        </is>
      </c>
    </row>
    <row r="28115">
      <c r="A28115" t="inlineStr">
        <is>
          <t>eau feu malle</t>
        </is>
      </c>
      <c r="B28115">
        <f>HYPERLINK("https://www.dofusbook.net/fr/equipement/2022301-eau-feu-malle/objets", "link")</f>
        <v/>
      </c>
      <c r="C28115" t="n">
        <v>0</v>
      </c>
      <c r="D28115" t="inlineStr">
        <is>
          <t>Baguette de Malléfisk; Amulette Cryochrone; Bracelet des Fonds marins; Alliance Gloursonne; Bivalve; Ceintrigue; Kidibonnet; Cape de Meno; Bottes Owesli; Dofus Émeraude; Bousculeur majeur; Remueur; Guérisseur majeur; Culbuteur majeur; Muldo Indigo et Pourpre</t>
        </is>
      </c>
    </row>
    <row r="28116">
      <c r="A28116" t="inlineStr">
        <is>
          <t>nécro</t>
        </is>
      </c>
      <c r="B28116">
        <f>HYPERLINK("https://www.dofusbook.net/fr/equipement/2958336-necro/objets", "link")</f>
        <v/>
      </c>
      <c r="C28116" t="n">
        <v>0</v>
      </c>
      <c r="D28116" t="inlineStr">
        <is>
          <t>Arc Nécrotique; Talisman Igans; Alliance Gloursonne; Bague Trithon; Bouclier Taverne; Poulpagne; Casquette de Meno; Voile d'encre; Bottes de Meno; Dofus Turquoise; Dofus Pourpre; Dofus des Glaces; Érudit majeur; Remueur; Muldo Ebène et Orchidée</t>
        </is>
      </c>
    </row>
    <row r="28117">
      <c r="A28117" t="inlineStr">
        <is>
          <t>mode koutoulou</t>
        </is>
      </c>
      <c r="B28117">
        <f>HYPERLINK("https://www.dofusbook.net/fr/equipement/1130027-mode-koutoulou/objets", "link")</f>
        <v/>
      </c>
      <c r="C28117" t="n">
        <v>0</v>
      </c>
      <c r="D28117" t="inlineStr">
        <is>
          <t>Arc de Koutoulou; Amulette du Strigide; Bague Trithon; Alliance Gloursonne; Bouclier Taverne; Ceinture du Strigide; Kidibonnet; Chevelure de Tal Kasha; Bottes de la Reine des Voleurs; Dofus Pourpre; Dofus Turquoise; Dofus des Glaces; Vigoureux majeur; Cascadeur majeur; Remueur; Muldo Ebène et Orchidée</t>
        </is>
      </c>
    </row>
    <row r="28118">
      <c r="A28118" t="inlineStr">
        <is>
          <t>tank</t>
        </is>
      </c>
      <c r="B28118">
        <f>HYPERLINK("https://www.dofusbook.net/fr/equipement/2229127-tank/objets", "link")</f>
        <v/>
      </c>
      <c r="C28118" t="n">
        <v>0</v>
      </c>
      <c r="D28118" t="inlineStr">
        <is>
          <t>Sceptre du Roi Joueur; Amulette du Sinistrofu; Bague Trithon; Alliance Gloursonne; Bouclier Taverne; Ceinture Glaciale; Masque des Fonds marins; Cape Solution; Bottes Trithon; Muldo Ebène et Orchidée</t>
        </is>
      </c>
    </row>
    <row r="28119">
      <c r="A28119" t="inlineStr">
        <is>
          <t>eau ral pa</t>
        </is>
      </c>
      <c r="B28119">
        <f>HYPERLINK("https://www.dofusbook.net/fr/equipement/2083558-eau-ral-pa/objets", "link")</f>
        <v/>
      </c>
      <c r="C28119" t="n">
        <v>0</v>
      </c>
      <c r="D28119" t="inlineStr">
        <is>
          <t>Arc du Chalœil; Collier de Tourthon; Anneau Chevelu; Bague Gloursonne; Quatre-feuilles; Ceinture de Brouce; Masque de Koutoulou; Cape au Logis; Bottes de Brouce; Dofus Nébuleux; Dofus Turquoise; Dofus Ocre; Dofus des Glaces; Enragé majeur; Fonceur majeur; Muldo Indigo et Pourpre</t>
        </is>
      </c>
    </row>
    <row r="28120">
      <c r="A28120" t="inlineStr">
        <is>
          <t>terre</t>
        </is>
      </c>
      <c r="B28120">
        <f>HYPERLINK("https://www.dofusbook.net/fr/equipement/2458303-terre/objets", "link")</f>
        <v/>
      </c>
      <c r="C28120" t="n">
        <v>0</v>
      </c>
      <c r="D28120" t="inlineStr">
        <is>
          <t>Baguette Range; Pendentif mignon de Koutoulou; Bague Gloursonne; Anneau Rifique; Quatre-feuilles; Ceinture de Vortex; Casque Cyclopéen; Cape Hiculteur; Sabots de Vortex; Dolmanax; Dofus Ocre; Dofus Pourpre; Dofus des Glaces; Dofus Nébuleux; Dofus Turquoise</t>
        </is>
      </c>
    </row>
    <row r="28121">
      <c r="A28121" t="inlineStr">
        <is>
          <t>mode 200 ret</t>
        </is>
      </c>
      <c r="B28121">
        <f>HYPERLINK("https://www.dofusbook.net/fr/equipement/2613576-mode-200-ret/objets", "link")</f>
        <v/>
      </c>
      <c r="C28121" t="n">
        <v>0</v>
      </c>
      <c r="D28121" t="inlineStr">
        <is>
          <t>Collier de la Dame du Hasard; Alliance Gloursonne; Anneau de Nidas; Bouclier cubiste; Ceinture Instable; Kidibonnet; Cape de Meno; Bottes de la Dame du Hasard; Entraveur; Entraveur majeur; Temporiseur; Temporiseur majeur; Ralentisseur majeur</t>
        </is>
      </c>
    </row>
    <row r="28122">
      <c r="A28122" t="inlineStr">
        <is>
          <t>terre air</t>
        </is>
      </c>
      <c r="B28122">
        <f>HYPERLINK("https://www.dofusbook.net/fr/equipement/2572104-terre-air/objets", "link")</f>
        <v/>
      </c>
      <c r="C28122" t="n">
        <v>0</v>
      </c>
      <c r="D28122" t="inlineStr">
        <is>
          <t>Héqache; Amulette du Strigide; Alliance Gloursonne; Bague Trithon; Quatre-feuilles; Ceinture du Strigide; Coiffe de la Reine des Voleurs; Cape de la Fuji Givrefoux; Bottes du Strigide; Dofus Pourpre; Dofus Turquoise; Dofus des Glaces; Dofus Nébuleux; Dolmanax; Dofus Ocre</t>
        </is>
      </c>
    </row>
    <row r="28123">
      <c r="A28123" t="inlineStr">
        <is>
          <t>terre</t>
        </is>
      </c>
      <c r="B28123">
        <f>HYPERLINK("https://www.dofusbook.net/fr/equipement/2572065-terre/objets", "link")</f>
        <v/>
      </c>
      <c r="C28123" t="n">
        <v>0</v>
      </c>
      <c r="D28123" t="inlineStr">
        <is>
          <t>Héqache; Amulette du Strigide; Bague Gloursonne; Bague Trithon; Bouclier du Captain Amakna; Ceinture Gence; Masque de Koutoulou; Cape au Logis; Bottes du Strigide; Dofus Nébuleux; Dofus Turquoise; Dolmanax; Dofus des Glaces; Dofus Pourpre; Croum</t>
        </is>
      </c>
    </row>
    <row r="28124">
      <c r="A28124" t="inlineStr">
        <is>
          <t>mode air</t>
        </is>
      </c>
      <c r="B28124">
        <f>HYPERLINK("https://www.dofusbook.net/fr/equipement/2572052-mode-air/objets", "link")</f>
        <v/>
      </c>
      <c r="C28124" t="n">
        <v>0</v>
      </c>
      <c r="D28124" t="inlineStr">
        <is>
          <t>Manthache; Amulette du Strigide; Bague Trithon; Alliance Gloursonne; Quatre-feuilles; Ceinture du Barbétoal; Némès de Tal Kasha; Chevelure de Tal Kasha; Sandales de Tal Kasha; Dofus Pourpre; Dofus des Glaces; Dofus Turquoise; Dolmanax; Dofus Ocre</t>
        </is>
      </c>
    </row>
    <row r="28125">
      <c r="A28125" t="inlineStr">
        <is>
          <t>new mode</t>
        </is>
      </c>
      <c r="B28125">
        <f>HYPERLINK("https://www.dofusbook.net/fr/equipement/2319583-new-mode/objets", "link")</f>
        <v/>
      </c>
      <c r="C28125" t="n">
        <v>0</v>
      </c>
      <c r="D28125" t="inlineStr">
        <is>
          <t>Héqache; Amulette du Strigide; Chevalière du Roi Joueur; Bague Trithon; Bouclier du Captain Amakna; Ceinture Gence; Casque de Missiz Frizz; Cape au Logis; Bottes du Strigide; Dofus Nébuleux; Dofus Turquoise; Dolmanax; Dofus des Glaces; Dofus Ocre; Dofus Pourpre</t>
        </is>
      </c>
    </row>
    <row r="28126">
      <c r="A28126" t="inlineStr">
        <is>
          <t>atcham</t>
        </is>
      </c>
      <c r="B28126">
        <f>HYPERLINK("https://www.dofusbook.net/fr/equipement/2566387-atcham/objets", "link")</f>
        <v/>
      </c>
      <c r="C28126" t="n">
        <v>0</v>
      </c>
      <c r="D28126" t="inlineStr">
        <is>
          <t>Sabres d'Atcham; Amulette du Strigide; Alliance Gloursonne; Bague Trithon; Quatre-feuilles; Ceinture du Strigide; Coiffe de Padgref; Cape d'Atcham; Sandales  d'Atcham; Dofus Émeraude; Dofus Turquoise; Dolmanax; Dofus Ocre; Dofus Pourpre; Dofus des Glaces; Kramkram</t>
        </is>
      </c>
    </row>
    <row r="28127">
      <c r="A28127" t="inlineStr">
        <is>
          <t>Stuff 2</t>
        </is>
      </c>
      <c r="B28127">
        <f>HYPERLINK("https://www.dofusbook.net/fr/equipement/91132-stuff-2/objets", "link")</f>
        <v/>
      </c>
      <c r="C28127" t="n">
        <v>0</v>
      </c>
      <c r="D28127" t="inlineStr">
        <is>
          <t>Baguette Hique; Amulette du Glourséleste; Anneau Tamie; Pikano; Bouclier cubiste; Ceinture Instable; Casquipik; Cape Matelassée; Pantoufles Émar; Fonceur majeur; Entraveur majeur; Remueur; Temporiseur majeur; Temporiseur; Ralentisseur majeur; Muldo Indigo et Amande</t>
        </is>
      </c>
    </row>
    <row r="28128">
      <c r="A28128" t="inlineStr">
        <is>
          <t>terre</t>
        </is>
      </c>
      <c r="B28128">
        <f>HYPERLINK("https://www.dofusbook.net/fr/equipement/91141-terre/objets", "link")</f>
        <v/>
      </c>
      <c r="C28128" t="n">
        <v>0</v>
      </c>
      <c r="D28128" t="inlineStr">
        <is>
          <t>Dagues d'Ilyzaelle; Amulette du Strigide; Anneau de Brouce; Anneau Chevelu; Bouclier du Captain Amakna; Ceinture Gence; Chapeau de Gein; Voile d'encre; Bottes de Brouce; Dofus des Glaces; Dofus Pourpre; Dofus Turquoise; Remueur; Forcené majeur; Enragé majeur; Muldo Ebène et Indigo</t>
        </is>
      </c>
    </row>
    <row r="28129">
      <c r="A28129" t="inlineStr">
        <is>
          <t>terre air arc</t>
        </is>
      </c>
      <c r="B28129">
        <f>HYPERLINK("https://www.dofusbook.net/fr/equipement/2468390-terre-air-arc/objets", "link")</f>
        <v/>
      </c>
      <c r="C28129" t="n">
        <v>0</v>
      </c>
      <c r="D28129" t="inlineStr">
        <is>
          <t>L'Épée Nice; Amulette du Strigide; Gant du Valet Veinard; Alliance Gloursonne; Quatre-feuilles; Ceinture Rasboulaire du Rasboul; Bonnet Ko; Chevelure de Tal Kasha; Sandales de Tal Kasha; Dofus des Glaces; Dofus Nébuleux; Dofus Ocre; Dofus Turquoise; Remueur; Cascadeur majeur; Muldo Ebène et Indigo</t>
        </is>
      </c>
    </row>
    <row r="28130">
      <c r="A28130" t="inlineStr">
        <is>
          <t>air</t>
        </is>
      </c>
      <c r="B28130">
        <f>HYPERLINK("https://www.dofusbook.net/fr/equipement/91140-air/objets", "link")</f>
        <v/>
      </c>
      <c r="C28130" t="n">
        <v>0</v>
      </c>
      <c r="D28130" t="inlineStr">
        <is>
          <t>Lance Horselé; Amulette du Strigide; Alliance Gloursonne; Bracelet du Piloztère; Quatre-feuilles; Sangle Oriole; Dorabysses; Cape de Crânonier; Baleinabottes; Dofus Émeraude; Dofus Pourpre; Dofus Turquoise; Dofus des Glaces; Remueur; Cascadeur majeur; Muldo Ebène et Orchidée</t>
        </is>
      </c>
    </row>
    <row r="28131">
      <c r="A28131" t="inlineStr">
        <is>
          <t>réseau</t>
        </is>
      </c>
      <c r="B28131">
        <f>HYPERLINK("https://www.dofusbook.net/fr/equipement/2463438-reseau/objets", "link")</f>
        <v/>
      </c>
      <c r="C28131" t="n">
        <v>0</v>
      </c>
      <c r="D28131" t="inlineStr">
        <is>
          <t>Marteau de Katrepat; Amulette du Strigide; Alliance Brûlâme; Alliance Gloursonne; Bouclier du Stalak; Ceinture du Strigide; Masque Brûlâme; Voile d'encre; Pompes Funèbres; Dofus Ocre; Dofus Émeraude; Dolmanax; Dofus des Glaces; Dofus Turquoise; Dofus Pourpre</t>
        </is>
      </c>
    </row>
    <row r="28132">
      <c r="A28132" t="inlineStr">
        <is>
          <t>testbeta</t>
        </is>
      </c>
      <c r="B28132">
        <f>HYPERLINK("https://www.dofusbook.net/fr/equipement/2461798-testbeta/objets", "link")</f>
        <v/>
      </c>
      <c r="C28132" t="n">
        <v>0</v>
      </c>
      <c r="D28132" t="inlineStr">
        <is>
          <t>Héqache; Amulette du Strigide; Bague Trithon; Bague Gloursonne; Bouclier du Captain Amakna; Ceinture Gence; Masque de Koutoulou; Cape au Logis; Bottes du Strigide; Dofus Turquoise; Dofus Nébuleux; Dofus Pourpre; Dofus Ocre; Dolmanax; Dofus des Glaces</t>
        </is>
      </c>
    </row>
    <row r="28133">
      <c r="A28133" t="inlineStr">
        <is>
          <t>mode reine</t>
        </is>
      </c>
      <c r="B28133">
        <f>HYPERLINK("https://www.dofusbook.net/fr/equipement/2450048-mode-reine-/objets", "link")</f>
        <v/>
      </c>
      <c r="C28133" t="n">
        <v>0</v>
      </c>
      <c r="D28133" t="inlineStr">
        <is>
          <t>Lance corrompue; Amulette du Kamasterisk; Ceinture de la Reine des Voleurs; Coiffe de la Reine des Voleurs; Cape du Kamasterisk; Bottes de la Reine des Voleurs</t>
        </is>
      </c>
    </row>
    <row r="28134">
      <c r="A28134" t="inlineStr">
        <is>
          <t>full eau</t>
        </is>
      </c>
      <c r="B28134">
        <f>HYPERLINK("https://www.dofusbook.net/fr/equipement/1110761-full-eau/objets", "link")</f>
        <v/>
      </c>
      <c r="C28134" t="n">
        <v>0</v>
      </c>
      <c r="D28134" t="inlineStr">
        <is>
          <t>Arc Ontanporin; Amulette de Shokkoth; Alliance Gloursonne; Bracelet des Fonds marins; Quatre-feuilles; Poulpagne; Casque Dragoeuf; Cape du Sinistrofu; Bottes du Sinistrofu; Dofus Pourpre; Dofus Émeraude; Dofus Turquoise; Chanceux majeur; Fonceur majeur; Remueur; Muldo Indigo et Orchidée</t>
        </is>
      </c>
    </row>
    <row r="28135">
      <c r="A28135" t="inlineStr">
        <is>
          <t>cri</t>
        </is>
      </c>
      <c r="B28135">
        <f>HYPERLINK("https://www.dofusbook.net/fr/equipement/2348006-cri/objets", "link")</f>
        <v/>
      </c>
      <c r="C28135" t="n">
        <v>0</v>
      </c>
      <c r="D28135" t="inlineStr">
        <is>
          <t>Dagoulinantes; Amulette du Sinistrofu; Bague Trithon; Alliance Gloursonne; Bouclier Ventaille; Ceinture du Barbétoal; Kidibonnet; Cape du Sinistrofu; Bottes du Sinistrofu; Dofus Ocre; Dolmanax; Dofus des Glaces; Dofus Pourpre; Joueur majeur; Muldo Ebène et Indigo</t>
        </is>
      </c>
    </row>
    <row r="28136">
      <c r="A28136" t="inlineStr">
        <is>
          <t>intel</t>
        </is>
      </c>
      <c r="B28136">
        <f>HYPERLINK("https://www.dofusbook.net/fr/equipement/2341166-intel/objets", "link")</f>
        <v/>
      </c>
      <c r="C28136" t="n">
        <v>0</v>
      </c>
      <c r="D28136" t="inlineStr">
        <is>
          <t>Épée Brûlâme; Amulette du Strigide; Alliance Gloursonne; Bague Trithon; Bouclier cubiste; Ceintacé; Casquette de Meno; Cape de Meno; Bottes du Strigide; Dolmanax; Dofus Ocre; Dofus Pourpre; Dofus des Glaces; Dofus Turquoise; Muldo Ebène et Indigo</t>
        </is>
      </c>
    </row>
    <row r="28137">
      <c r="A28137" t="inlineStr">
        <is>
          <t>full air</t>
        </is>
      </c>
      <c r="B28137">
        <f>HYPERLINK("https://www.dofusbook.net/fr/equipement/2340324-full-air/objets", "link")</f>
        <v/>
      </c>
      <c r="C28137" t="n">
        <v>0</v>
      </c>
      <c r="D28137" t="inlineStr">
        <is>
          <t>Hachoirs de Viandargh; Amibou; Alliance Gloursonne; Bague Trithon; Bouclier Taverne; Menoture; Némès de Tal Kasha; Chevelure de Tal Kasha; Sandales de Tal Kasha; Dofus Turquoise; Dolmanax; Dofus Ocre; Dofus Pourpre; Dofus des Glaces; Muldo Ebène et Indigo</t>
        </is>
      </c>
    </row>
    <row r="28138">
      <c r="A28138" t="inlineStr">
        <is>
          <t>arc</t>
        </is>
      </c>
      <c r="B28138">
        <f>HYPERLINK("https://www.dofusbook.net/fr/equipement/2322278-arc/objets", "link")</f>
        <v/>
      </c>
      <c r="C28138" t="n">
        <v>0</v>
      </c>
      <c r="D28138" t="inlineStr">
        <is>
          <t>Sabres d'Atcham; Amulette du Strigide; Bague Trithon; Alliance Gloursonne; Bouclier Taverne; Ceinture du Strigide; Coiffe de Padgref; Cape d'Atcham; Bottes du Strigide; Dofus Turquoise; Dolmanax; Dofus Ocre; Dofus Pourpre; Dofus des Glaces; Muldo Orchidée et Pourpre</t>
        </is>
      </c>
    </row>
    <row r="28139">
      <c r="A28139" t="inlineStr">
        <is>
          <t>cancer</t>
        </is>
      </c>
      <c r="B28139">
        <f>HYPERLINK("https://www.dofusbook.net/fr/equipement/2322275-cancer/objets", "link")</f>
        <v/>
      </c>
      <c r="C28139" t="n">
        <v>0</v>
      </c>
      <c r="D28139" t="inlineStr"/>
    </row>
    <row r="28140">
      <c r="A28140" t="inlineStr">
        <is>
          <t>arc</t>
        </is>
      </c>
      <c r="B28140">
        <f>HYPERLINK("https://www.dofusbook.net/fr/equipement/2319933-arc/objets", "link")</f>
        <v/>
      </c>
      <c r="C28140" t="n">
        <v>0</v>
      </c>
      <c r="D28140" t="inlineStr">
        <is>
          <t>Arc de Koutoulou; Amulette du Strigide; Bague Trithon; Alliance Gloursonne; Ceinture du Strigide; Némès de Tal Kasha; Chevelure de Tal Kasha; Sandales de Tal Kasha; Dolmanax; Dofus Ocre; Dofus Pourpre; Dofus des Glaces; Dofus Émeraude; Dofus Turquoise; Muldo Ebène et Indigo</t>
        </is>
      </c>
    </row>
    <row r="28141">
      <c r="A28141" t="inlineStr">
        <is>
          <t>arc</t>
        </is>
      </c>
      <c r="B28141">
        <f>HYPERLINK("https://www.dofusbook.net/fr/equipement/2319690-arc/objets", "link")</f>
        <v/>
      </c>
      <c r="C28141" t="n">
        <v>0</v>
      </c>
      <c r="D28141" t="inlineStr">
        <is>
          <t>Dagues d'Ilyzaelle; Amulette du Cœur Vaillant; Bague Trithon; Alliance Gloursonne; Ceinture du Strigide; Masque de Koutoulou; Cape du Cœur Vaillant; Bottes du Cœur Vaillant; Dofus Pourpre; Dofus Turquoise; Dofus des Glaces; Dolmanax</t>
        </is>
      </c>
    </row>
    <row r="28142">
      <c r="A28142" t="inlineStr">
        <is>
          <t>fullterre</t>
        </is>
      </c>
      <c r="B28142">
        <f>HYPERLINK("https://www.dofusbook.net/fr/equipement/2201011-fullterre/objets", "link")</f>
        <v/>
      </c>
      <c r="C28142" t="n">
        <v>0</v>
      </c>
      <c r="D28142" t="inlineStr">
        <is>
          <t>Dagues d'Ilyzaelle; Amulette du Strigide; Anneau de Brouce; Anneau Chevelu; Bouclier du Captain Amakna; Ceinture du Strigide; Masque de Koutoulou; Cape au Logis; Bottes du Cœur Saignant; Dofus Nébuleux; Dofus Turquoise; Dofus Pourpre; Dofus des Glaces; Enragé majeur; Remueur; Muldo Indigo et Pourpre</t>
        </is>
      </c>
    </row>
    <row r="28143">
      <c r="A28143" t="inlineStr">
        <is>
          <t>chaloeil</t>
        </is>
      </c>
      <c r="B28143">
        <f>HYPERLINK("https://www.dofusbook.net/fr/equipement/2196097-chaloeil/objets", "link")</f>
        <v/>
      </c>
      <c r="C28143" t="n">
        <v>0</v>
      </c>
      <c r="D28143" t="inlineStr">
        <is>
          <t>Dagues de Srambad; Collier du Valet Veinard; Gant du Valet Veinard; Anneau de Brouce; Bouclier du Captain Amakna; Ceinture de la Reine des Voleurs; Coiffe de la Reine des Voleurs; Cape du Valet Veinard; Bottes de la Reine des Voleurs; Dofus Ocre; Dofus Turquoise; Dolmanax; Dofus des Glaces; Dofus Nébuleux; Dofus Pourpre; Muldo Ebène</t>
        </is>
      </c>
    </row>
    <row r="28144">
      <c r="A28144" t="inlineStr">
        <is>
          <t>sramabd</t>
        </is>
      </c>
      <c r="B28144">
        <f>HYPERLINK("https://www.dofusbook.net/fr/equipement/2196091-sramabd/objets", "link")</f>
        <v/>
      </c>
      <c r="C28144" t="n">
        <v>0</v>
      </c>
      <c r="D28144" t="inlineStr"/>
    </row>
    <row r="28145">
      <c r="A28145" t="inlineStr">
        <is>
          <t>eau feu</t>
        </is>
      </c>
      <c r="B28145">
        <f>HYPERLINK("https://www.dofusbook.net/fr/equipement/1107993-eau-feu/objets", "link")</f>
        <v/>
      </c>
      <c r="C28145" t="n">
        <v>0</v>
      </c>
      <c r="D28145" t="inlineStr">
        <is>
          <t>Arc Nécrotique; Amulette de Shokkoth; Anneau Tique; Alliance Gloursonne; Quatre-feuilles; Pagne du Rykaon; Kidibonnet; Cape de la Dame du Hasard; Bottes de la Dame du Hasard; Dofus Turquoise; Dofus Pourpre; Fonceur majeur; Remueur; Vigoureux majeur; Érudit majeur; Muldo Indigo et Orchidée</t>
        </is>
      </c>
    </row>
    <row r="28146">
      <c r="A28146" t="inlineStr">
        <is>
          <t>pvm</t>
        </is>
      </c>
      <c r="B28146">
        <f>HYPERLINK("https://www.dofusbook.net/fr/equipement/1779538-pvm/objets", "link")</f>
        <v/>
      </c>
      <c r="C28146" t="n">
        <v>0</v>
      </c>
      <c r="D28146" t="inlineStr">
        <is>
          <t>Dague Adou; Amulette du Strigide; Bracelet du Piloztère; Alliance Gloursonne; Bouclier du Captain Amakna; Ceinture du Strigide; Coiffe d'Ogivol; Cape de Sylargh; Baleinabottes; Dofus des Glaces; Dofus Turquoise; Dofus Pourpre; Vigoureux majeur; Miraculé majeur; Remueur; Muldo Ebène et Pourpre</t>
        </is>
      </c>
    </row>
    <row r="28147">
      <c r="A28147" t="inlineStr">
        <is>
          <t>air</t>
        </is>
      </c>
      <c r="B28147">
        <f>HYPERLINK("https://www.dofusbook.net/fr/equipement/91135-air/objets", "link")</f>
        <v/>
      </c>
      <c r="C28147" t="n">
        <v>0</v>
      </c>
      <c r="D28147" t="inlineStr">
        <is>
          <t>Manthache; Collier du Valet Veinard; Alliance Gloursonne; Gant du Valet Veinard; Bouclier du Cycloïde; Menoture; Dorabysses; Cape du Kamasterisk; Bottes du Cycloïde; Dofus Pourpre; Cascadeur majeur; Fonceur majeur; Carapace Neutre majeur; Remueur; Muldo Amande et Ivoire</t>
        </is>
      </c>
    </row>
    <row r="28148">
      <c r="A28148" t="inlineStr">
        <is>
          <t>tri elem rox</t>
        </is>
      </c>
      <c r="B28148">
        <f>HYPERLINK("https://www.dofusbook.net/fr/equipement/1531092-tri-elem-rox/objets", "link")</f>
        <v/>
      </c>
      <c r="C28148" t="n">
        <v>0</v>
      </c>
      <c r="D28148" t="inlineStr">
        <is>
          <t>Arc Nécrotique; Amulette de l'Œil Attentif; Alliance Gloursonne; Ceinture de l'Esprit Malsain; Le Dorado; Chevelure de Tal Kasha; Bottes de l'Esprit Malsain; Muldo Ivoire</t>
        </is>
      </c>
    </row>
    <row r="28149">
      <c r="A28149" t="inlineStr">
        <is>
          <t>tri elem ral pa</t>
        </is>
      </c>
      <c r="B28149">
        <f>HYPERLINK("https://www.dofusbook.net/fr/equipement/1441438-tri-elem-ral-pa/objets", "link")</f>
        <v/>
      </c>
      <c r="C28149" t="n">
        <v>0</v>
      </c>
      <c r="D28149" t="inlineStr">
        <is>
          <t>Sabres d'Atcham; Amulette de l'Indicible; Alliance Gloursonne; Anneau Tique; Sept ans de malheur; Poulpagne; Chapeau des Malveilleurs; Chevelure de Tal Kasha; Sandales  d'Atcham; Fonceur majeur; Remueur; Engourdisseur majeur; Étourdisseur majeur; Cavaleur majeur; Muldo Amande et Ivoire</t>
        </is>
      </c>
    </row>
    <row r="28150">
      <c r="A28150" t="inlineStr">
        <is>
          <t>arc koutou</t>
        </is>
      </c>
      <c r="B28150">
        <f>HYPERLINK("https://www.dofusbook.net/fr/equipement/1357303-arc-koutou/objets", "link")</f>
        <v/>
      </c>
      <c r="C28150" t="n">
        <v>0</v>
      </c>
      <c r="D28150" t="inlineStr">
        <is>
          <t>Arc de Koutoulou; Alliance Gloursonne; Anneau Crustique; Chevelure de Tal Kasha; Dofus Turquoise; Dofus Pourpre; Dofus des Glaces; Chanceux majeur; Remueur; Muldo Ebène et Pourpre</t>
        </is>
      </c>
    </row>
    <row r="28151">
      <c r="A28151" t="inlineStr">
        <is>
          <t>eau air</t>
        </is>
      </c>
      <c r="B28151">
        <f>HYPERLINK("https://www.dofusbook.net/fr/equipement/91123-eau-air/objets", "link")</f>
        <v/>
      </c>
      <c r="C28151" t="n">
        <v>0</v>
      </c>
      <c r="D28151" t="inlineStr">
        <is>
          <t>Marteau des Anciens Steamers; Amulette du Sinistrofu; Anneau Crustique; Alliance Gloursonne; Bivalve; Ceintacé; Masque Trithon; Cape du Barbétoal; Bottes Trithon; Dofus des Glaces; Dofus Turquoise; Remueur; Miraculé majeur; Culbuteur majeur; Cascadeur majeur; Muldo Ebène et Pourpre</t>
        </is>
      </c>
    </row>
    <row r="28152">
      <c r="A28152" t="inlineStr">
        <is>
          <t>esq pm</t>
        </is>
      </c>
      <c r="B28152">
        <f>HYPERLINK("https://www.dofusbook.net/fr/equipement/1283962-esq-pm/objets", "link")</f>
        <v/>
      </c>
      <c r="C28152" t="n">
        <v>0</v>
      </c>
      <c r="D28152" t="inlineStr">
        <is>
          <t>Baguette de Malléfisk; Amulette d'Otomaï; Anneau Crustique; Alliance Gloursonne; Bouclier du Cycloïde; Ceintrigue; Cape de Diondin; Bottes Owesli; Cavaleur majeur; Culbuteur majeur; Bousculeur majeur; Chanceux majeur; Guérisseur majeur; Remueur; Muldo Ebène et Pourpre</t>
        </is>
      </c>
    </row>
    <row r="28153">
      <c r="A28153" t="inlineStr">
        <is>
          <t>esq pa</t>
        </is>
      </c>
      <c r="B28153">
        <f>HYPERLINK("https://www.dofusbook.net/fr/equipement/1283651-esq-pa/objets", "link")</f>
        <v/>
      </c>
      <c r="C28153" t="n">
        <v>0</v>
      </c>
      <c r="D28153" t="inlineStr">
        <is>
          <t>Arc de Koutoulou; Amulette du Strigide; Anneau Crustique; Alliance Gloursonne; Ftalmo; Poulpagne; Masque Trithon; Chevelure de Tal Kasha; Bottes Trithon; Dofus des Glaces; Dofus Turquoise; Miraculé majeur; Cascadeur majeur; Remueur; Muldo Ebène et Pourpre</t>
        </is>
      </c>
    </row>
    <row r="28154">
      <c r="A28154" t="inlineStr">
        <is>
          <t>terre</t>
        </is>
      </c>
      <c r="B28154">
        <f>HYPERLINK("https://www.dofusbook.net/fr/equipement/1196008-terre/objets", "link")</f>
        <v/>
      </c>
      <c r="C28154" t="n">
        <v>0</v>
      </c>
      <c r="D28154" t="inlineStr">
        <is>
          <t>L'Épée Nice; Amulette du Strigide; Anneau Crustique; Alliance Gloursonne; Bouclier du Captain Amakna; Ceintacé; Masque Trithon; Cape d'Anerice; Bottes Trithon; Dofus Pourpre; Dofus des Glaces; Dofus Turquoise; Culbuteur majeur; Remueur; Miraculé majeur; Muldo Ebène et Pourpre</t>
        </is>
      </c>
    </row>
    <row r="28155">
      <c r="A28155" t="inlineStr">
        <is>
          <t>srambad</t>
        </is>
      </c>
      <c r="B28155">
        <f>HYPERLINK("https://www.dofusbook.net/fr/equipement/1195755-srambad/objets", "link")</f>
        <v/>
      </c>
      <c r="C28155" t="n">
        <v>0</v>
      </c>
      <c r="D28155" t="inlineStr">
        <is>
          <t>Dagues de Srambad; Amulette de l'Indicible; Anneau Crustique; Alliance Gloursonne; Bouclier du Captain Amakna; Ceinture de la Reine des Voleurs; Masque de Koutoulou; Cape Luminescente; Bottes de la Reine des Voleurs; Dofus Pourpre; Dofus des Glaces; Culbuteur majeur; Miraculé majeur; Remueur; Muldo Ebène et Pourpre</t>
        </is>
      </c>
    </row>
    <row r="28156">
      <c r="A28156" t="inlineStr">
        <is>
          <t>terre air heqache</t>
        </is>
      </c>
      <c r="B28156">
        <f>HYPERLINK("https://www.dofusbook.net/fr/equipement/1195150-terre-air-heqache/objets", "link")</f>
        <v/>
      </c>
      <c r="C28156" t="n">
        <v>0</v>
      </c>
      <c r="D28156" t="inlineStr">
        <is>
          <t>Héqache; Amulette du Strigide; Anneau Crustique; Alliance Gloursonne; Ceintacé; Voile d'encre; Dofus Turquoise; Dofus des Glaces; Dofus Émeraude; Dofus Pourpre; Remueur; Muldo Ebène et Pourpre</t>
        </is>
      </c>
    </row>
    <row r="28157">
      <c r="A28157" t="inlineStr">
        <is>
          <t>tank resi tak</t>
        </is>
      </c>
      <c r="B28157">
        <f>HYPERLINK("https://www.dofusbook.net/fr/equipement/1194663-tank-resi-tak/objets", "link")</f>
        <v/>
      </c>
      <c r="C28157" t="n">
        <v>0</v>
      </c>
      <c r="D28157" t="inlineStr">
        <is>
          <t>Sceptre du Roi Joueur; Amulette de Shokkoth; Alliance Gloursonne; Anneau Tique; Ftalmo; Ceinture de XLII; Casque Dragoeuf; Cape Matelassée; Bottes de XLII; Dofus Émeraude; Fonceur majeur; Obstructeur majeur; Remueur; Miraculé majeur; Muldo Indigo et Orchidée</t>
        </is>
      </c>
    </row>
    <row r="28158">
      <c r="A28158" t="inlineStr">
        <is>
          <t>necrotique</t>
        </is>
      </c>
      <c r="B28158">
        <f>HYPERLINK("https://www.dofusbook.net/fr/equipement/1189535-necrotique/objets", "link")</f>
        <v/>
      </c>
      <c r="C28158" t="n">
        <v>0</v>
      </c>
      <c r="D28158" t="inlineStr">
        <is>
          <t>Arc Nécrotique; Talisman Igans; Alliance Gloursonne; Anneau Tique; Kidibonnet; Cape de la Dame du Hasard; Bottes Owesli; Muldo Indigo et Orchidée</t>
        </is>
      </c>
    </row>
    <row r="28159">
      <c r="A28159" t="inlineStr">
        <is>
          <t>terre botte de class</t>
        </is>
      </c>
      <c r="B28159">
        <f>HYPERLINK("https://www.dofusbook.net/fr/equipement/1132906-terre-botte-de-class/objets", "link")</f>
        <v/>
      </c>
      <c r="C28159" t="n">
        <v>0</v>
      </c>
      <c r="D28159" t="inlineStr">
        <is>
          <t>Héqache; Amulette du Cœur Saignant; Anneau Crustique; Alliance Gloursonne; Bouclier cubiste; Ceintacé; Coiffe de la Reine des Voleurs; Cape du Cœur Saignant; Sabots Taj; Dofus Pourpre; Déserteur majeur; Remueur; Miraculé majeur; Temporiseur majeur; Enragé majeur; Muldo Ebène et Pourpre</t>
        </is>
      </c>
    </row>
    <row r="28160">
      <c r="A28160" t="inlineStr">
        <is>
          <t>test full eau</t>
        </is>
      </c>
      <c r="B28160">
        <f>HYPERLINK("https://www.dofusbook.net/fr/equipement/1120491-test-full-eau/objets", "link")</f>
        <v/>
      </c>
      <c r="C28160" t="n">
        <v>0</v>
      </c>
      <c r="D28160" t="inlineStr">
        <is>
          <t>Sceptre du Roi Joueur; Amulette de Shokkoth; Alliance Gloursonne; Anneau Tique; Quatre-feuilles; Poulpagne; Casque Dragoeuf; Cape du Sinistrofu; Bottes du Sinistrofu; Dofus Émeraude; Remueur; Vigoureux majeur; Chanceux majeur; Fonceur majeur; Muldo Indigo et Orchidée</t>
        </is>
      </c>
    </row>
    <row r="28161">
      <c r="A28161" t="inlineStr">
        <is>
          <t>hetype</t>
        </is>
      </c>
      <c r="B28161">
        <f>HYPERLINK("https://www.dofusbook.net/fr/equipement/1020371-hetype/objets", "link")</f>
        <v/>
      </c>
      <c r="C28161" t="n">
        <v>0</v>
      </c>
      <c r="D28161" t="inlineStr">
        <is>
          <t>Arc Hétype; Amulette de Nileza; Anneau Tique; Alliance Gloursonne; Ceinture de Vortex; Couronne de Nidas; Cape de Nileza; Pataugastrique; Savant majeur; Érudit majeur; Remueur; Miraculé majeur; Muldo Indigo et Orchidée</t>
        </is>
      </c>
    </row>
    <row r="28162">
      <c r="A28162" t="inlineStr">
        <is>
          <t>srambad</t>
        </is>
      </c>
      <c r="B28162">
        <f>HYPERLINK("https://www.dofusbook.net/fr/equipement/91131-srambad/objets", "link")</f>
        <v/>
      </c>
      <c r="C28162" t="n">
        <v>0</v>
      </c>
      <c r="D28162" t="inlineStr">
        <is>
          <t>Dagues de Srambad; Amulette de l'Indicible; Alliance Gloursonne; Anneau Tique; Bouclier cubiste; Ceinture de la Reine des Voleurs; Coiffe de la Reine des Voleurs; Cape Luminescente; Baleinabottes; Déserteur majeur; Enragé majeur; Remueur; Chanceux majeur</t>
        </is>
      </c>
    </row>
    <row r="28163">
      <c r="A28163" t="inlineStr">
        <is>
          <t>necrotique</t>
        </is>
      </c>
      <c r="B28163">
        <f>HYPERLINK("https://www.dofusbook.net/fr/equipement/91133-necrotique/objets", "link")</f>
        <v/>
      </c>
      <c r="C28163" t="n">
        <v>0</v>
      </c>
      <c r="D28163" t="inlineStr">
        <is>
          <t>Arc Nécrotique; Amulette de Shokkoth; Anneau Tique; Alliance Gloursonne; Poulpagne; Casquette de Meno; Cape de la Dame du Hasard; Bottes de Meno; Dofus Turquoise; Chanceux majeur; Remueur; Érudit majeur; Déserteur majeur</t>
        </is>
      </c>
    </row>
    <row r="28164">
      <c r="A28164" t="inlineStr">
        <is>
          <t>eau do pou</t>
        </is>
      </c>
      <c r="B28164">
        <f>HYPERLINK("https://www.dofusbook.net/fr/equipement/91122-eau-do-pou/objets", "link")</f>
        <v/>
      </c>
      <c r="C28164" t="n">
        <v>0</v>
      </c>
      <c r="D28164" t="inlineStr"/>
    </row>
    <row r="28165">
      <c r="A28165" t="inlineStr">
        <is>
          <t>eni feu</t>
        </is>
      </c>
      <c r="B28165">
        <f>HYPERLINK("https://www.dofusbook.net/fr/equipement/1082882-eni-feu/objets", "link")</f>
        <v/>
      </c>
      <c r="C28165" t="n">
        <v>0</v>
      </c>
      <c r="D28165" t="inlineStr">
        <is>
          <t>Dagues Cacterre</t>
        </is>
      </c>
    </row>
    <row r="28166">
      <c r="A28166" t="inlineStr">
        <is>
          <t>Stuff 3</t>
        </is>
      </c>
      <c r="B28166">
        <f>HYPERLINK("https://www.dofusbook.net/fr/equipement/91121-stuff-3/objets", "link")</f>
        <v/>
      </c>
      <c r="C28166" t="n">
        <v>0</v>
      </c>
      <c r="D28166" t="inlineStr">
        <is>
          <t>Pelle de la Cour Sombre; Amulette de l'Indicible; Alliance Gloursonne; Anneau Tique; Bouclier du Sadida; Menoture; Dorabysses; Cape Indescriptible; Tentassons; Dofus des Glaces; Dofus Émeraude; Dévastateur Air majeur; Cascadeur majeur; Remueur; Muldo Orchidée et Amande</t>
        </is>
      </c>
    </row>
    <row r="28167">
      <c r="A28167" t="inlineStr">
        <is>
          <t>eau air</t>
        </is>
      </c>
      <c r="B28167">
        <f>HYPERLINK("https://www.dofusbook.net/fr/equipement/1025957-eau-air/objets", "link")</f>
        <v/>
      </c>
      <c r="C28167" t="n">
        <v>0</v>
      </c>
      <c r="D28167" t="inlineStr">
        <is>
          <t>Arc de Koutoulou; Amulette de Shokkoth; Alliance Gloursonne; Anneau Tique; Ceinture du Barbétoal; Némès de Tal Kasha; Chevelure de Tal Kasha; Baleinabottes; Dofus Émeraude; Sanguinaire majeur; Cascadeur majeur; Remueur; Muldo Orchidée et Amande</t>
        </is>
      </c>
    </row>
    <row r="28168">
      <c r="A28168" t="inlineStr">
        <is>
          <t>alexbeta</t>
        </is>
      </c>
      <c r="B28168">
        <f>HYPERLINK("https://www.dofusbook.net/fr/equipement/978376-alexbeta/objets", "link")</f>
        <v/>
      </c>
      <c r="C28168" t="n">
        <v>0</v>
      </c>
      <c r="D28168" t="inlineStr">
        <is>
          <t>Arc Nécrotique; Amulette du Strigide; Alliance Gloursonne; Quatre-feuilles; Ceinture du Strigide; Casquette de Meno; Voile d'encre; Pataugastrique; Dofus Ocre; Dofus Nébuleux; Dofus Pourpre; Dolmanax; Dofus Turquoise; Dofus des Glaces; Muldo Orchidée et Pourpre</t>
        </is>
      </c>
    </row>
    <row r="28169">
      <c r="A28169" t="inlineStr">
        <is>
          <t>hetype</t>
        </is>
      </c>
      <c r="B28169">
        <f>HYPERLINK("https://www.dofusbook.net/fr/equipement/934529-hetype/objets", "link")</f>
        <v/>
      </c>
      <c r="C28169" t="n">
        <v>0</v>
      </c>
      <c r="D28169" t="inlineStr">
        <is>
          <t>Arc Hétype; Amulette de Nileza; Anneau Tamie; Anneau Tamie; Bouclier du Stalak; Ceinture de Vortex; Heaume Oplate; Cape de Nileza; Bottes Innommables; Dofus des Glaces; Remueur; Nomade; Dévastateur Feu majeur; Astucieux majeur; Érudit majeur</t>
        </is>
      </c>
    </row>
    <row r="28170">
      <c r="A28170" t="inlineStr">
        <is>
          <t>eau feu</t>
        </is>
      </c>
      <c r="B28170">
        <f>HYPERLINK("https://www.dofusbook.net/fr/equipement/650305-eau-feu/objets", "link")</f>
        <v/>
      </c>
      <c r="C28170" t="n">
        <v>0</v>
      </c>
      <c r="D28170" t="inlineStr">
        <is>
          <t>Arc Nécrotique; Talisman Igans; Anneau Tique; Alliance Gloursonne; Ceinture Voldelor; Kidibonnet; Cape de la Dame du Hasard; Bottes Owesli; Dofus Émeraude; Déserteur majeur; Remueur; Chanceux majeur; Érudit majeur; Muldo Orchidée et Amande</t>
        </is>
      </c>
    </row>
    <row r="28171">
      <c r="A28171" t="inlineStr">
        <is>
          <t>Stuff 1</t>
        </is>
      </c>
      <c r="B28171">
        <f>HYPERLINK("https://www.dofusbook.net/fr/equipement/91128-stuff-1/objets", "link")</f>
        <v/>
      </c>
      <c r="C28171" t="n">
        <v>0</v>
      </c>
      <c r="D28171" t="inlineStr">
        <is>
          <t>Hache du Chalœil; Amulette du Strigide; Bague Trithon; Alliance Gloursonne; Quatre-feuilles; Ceinture du Strigide; Le Dorado; Voile d'encre; Bottes du Chalœil; Dofus Émeraude; Dofus Pourpre; Dolmanax; Dofus Turquoise; Dofus des Glaces; Remueur; Muldo Indigo et Pourpre</t>
        </is>
      </c>
    </row>
    <row r="28172">
      <c r="A28172" t="inlineStr">
        <is>
          <t>Stuff 1</t>
        </is>
      </c>
      <c r="B28172">
        <f>HYPERLINK("https://www.dofusbook.net/fr/equipement/91119-stuff-1/objets", "link")</f>
        <v/>
      </c>
      <c r="C28172" t="n">
        <v>0</v>
      </c>
      <c r="D28172" t="inlineStr">
        <is>
          <t>Sceptre du Roi Joueur; Amulette de Shokkoth; Alliance Gloursonne; Anneau Tique; Bouclier du Sadida; Ceinture Voldelor; Kidibonnet; Cape du Sinistrofu; Bottes du Sinistrofu; Dofus Émeraude; Chanceux majeur; Remueur; Dévastateur Eau majeur; Muldo Orchidée et Amande</t>
        </is>
      </c>
    </row>
    <row r="28173">
      <c r="A28173" t="inlineStr">
        <is>
          <t>Stuff 3</t>
        </is>
      </c>
      <c r="B28173">
        <f>HYPERLINK("https://www.dofusbook.net/fr/equipement/91130-stuff-3/objets", "link")</f>
        <v/>
      </c>
      <c r="C28173" t="n">
        <v>0</v>
      </c>
      <c r="D28173" t="inlineStr">
        <is>
          <t>Hache du Chalœil; Amulette du Strigide; Alliance Gloursonne; Bague Trithon; Quatre-feuilles; Ceinture du Strigide; Le Dorado; Voile d'encre; Bottes du Chalœil; Dofus Turquoise; Dolmanax; Dofus Pourpre; Dofus des Glaces; Vigoureux majeur; Remueur; Muldo Indigo et Pourpre</t>
        </is>
      </c>
    </row>
    <row r="28174">
      <c r="A28174" t="inlineStr">
        <is>
          <t>Stuff 2</t>
        </is>
      </c>
      <c r="B28174">
        <f>HYPERLINK("https://www.dofusbook.net/fr/equipement/91129-stuff-2/objets", "link")</f>
        <v/>
      </c>
      <c r="C28174" t="n">
        <v>0</v>
      </c>
      <c r="D28174" t="inlineStr">
        <is>
          <t>Hache du Chalœil; Amulette du Strigide; Bague Gloursonne; Bracelet du Piloztère; Ceinture du Strigide; Casque de Missiz Frizz; Voile d'encre; Baleinabottes; Dofus Pourpre; Nomade; Vigoureux majeur; Remueur; Érudit majeur; Chanceux majeur</t>
        </is>
      </c>
    </row>
    <row r="28175">
      <c r="A28175" t="inlineStr">
        <is>
          <t>Stuff 2</t>
        </is>
      </c>
      <c r="B28175">
        <f>HYPERLINK("https://www.dofusbook.net/fr/equipement/91120-stuff-2/objets", "link")</f>
        <v/>
      </c>
      <c r="C28175" t="n">
        <v>0</v>
      </c>
      <c r="D28175" t="inlineStr">
        <is>
          <t>Arc Hétype; Amulette de Nileza; Anneau Tique; Alliance Gloursonne; Bouclier du Sadida; Ceinture de Vortex; Coiffe Séculaire; Cape de Nileza; Pataugastrique; Dofus Émeraude; Dévastateur Feu majeur; Déserteur majeur; Remueur; Érudit majeur; Muldo Orchidée et Amande</t>
        </is>
      </c>
    </row>
    <row r="28176">
      <c r="A28176" t="inlineStr">
        <is>
          <t>Enutrof M 200</t>
        </is>
      </c>
      <c r="B28176">
        <f>HYPERLINK("https://www.dofusbook.net/fr/equipement/5062274-enutrof-m-200/objets", "link")</f>
        <v/>
      </c>
      <c r="C28176" t="n">
        <v>0</v>
      </c>
      <c r="D28176" t="inlineStr"/>
    </row>
    <row r="28177">
      <c r="A28177" t="inlineStr">
        <is>
          <t>Steamer M 200</t>
        </is>
      </c>
      <c r="B28177">
        <f>HYPERLINK("https://www.dofusbook.net/fr/equipement/4580828-steamer-m-200/objets", "link")</f>
        <v/>
      </c>
      <c r="C28177" t="n">
        <v>0</v>
      </c>
      <c r="D28177" t="inlineStr">
        <is>
          <t>Amulette Volkorne; Anneau Volkorne; Goulano; Goulclier; Ceinture Volkorne; Casque Volkorne; Cape du Chalœil; Goulbottes; Dofus Ocre; Dolmanax; Dofus des Glaces; Dofus Pourpre; Robuste majeur</t>
        </is>
      </c>
    </row>
    <row r="28178">
      <c r="A28178" t="inlineStr">
        <is>
          <t>Steamer M 200</t>
        </is>
      </c>
      <c r="B28178">
        <f>HYPERLINK("https://www.dofusbook.net/fr/equipement/3911584-steamer-m-200/objets", "link")</f>
        <v/>
      </c>
      <c r="C28178" t="n">
        <v>1</v>
      </c>
      <c r="D28178" t="inlineStr"/>
    </row>
    <row r="28179">
      <c r="A28179" t="inlineStr">
        <is>
          <t>Stuff 2</t>
        </is>
      </c>
      <c r="B28179">
        <f>HYPERLINK("https://www.dofusbook.net/fr/equipement/1507108-stuff-2/objets", "link")</f>
        <v/>
      </c>
      <c r="C28179" t="n">
        <v>2</v>
      </c>
      <c r="D28179" t="inlineStr">
        <is>
          <t>Pelle de Nidas; Amulette du Strigide; Bracelet du Piloztère; Alliance Gloursonne; Bouclier du Captain Amakna; Ceintacé; Coiffe Ranshi; Voilamibe; Bottes du Strigide; Dofus Turquoise; Dolmanax; Dofus Pourpre; Nomade; Vigoureux majeur; Enragé majeur; Kramkram</t>
        </is>
      </c>
    </row>
    <row r="28180">
      <c r="A28180" t="inlineStr">
        <is>
          <t>Stuff 2</t>
        </is>
      </c>
      <c r="B28180">
        <f>HYPERLINK("https://www.dofusbook.net/fr/equipement/1507096-stuff-2/objets", "link")</f>
        <v/>
      </c>
      <c r="C28180" t="n">
        <v>1</v>
      </c>
      <c r="D28180" t="inlineStr">
        <is>
          <t>Dagues de Srambad; Amulette d'Oshimo; Pikano; Anneau du Père Fwetar; Ceinture du Père Fwetar; Kidibonnet; Cape au Logis; Sabots Minables; Miraculé majeur; Vigoureux majeur; Remueur; Nomade; Enragé majeur; Chanceux majeur; Péki</t>
        </is>
      </c>
    </row>
    <row r="28181">
      <c r="A28181" t="inlineStr">
        <is>
          <t>Stuff 1</t>
        </is>
      </c>
      <c r="B28181">
        <f>HYPERLINK("https://www.dofusbook.net/fr/equipement/1507113-stuff-1/objets", "link")</f>
        <v/>
      </c>
      <c r="C28181" t="n">
        <v>0</v>
      </c>
      <c r="D28181" t="inlineStr">
        <is>
          <t>Pelle de Nidas; Amulette du Strigide; Alliance Gloursonne; Bracelet du Piloztère; Ceintacé; Coiffe Ranshi; Voilamibe; Bottes du Strigide; Dofus Pourpre; Dofus des Glaces; Remueur; Chanceux majeur; Nomade; Vigoureux majeur; Kramkram</t>
        </is>
      </c>
    </row>
    <row r="28182">
      <c r="A28182" t="inlineStr">
        <is>
          <t>Stuff 3</t>
        </is>
      </c>
      <c r="B28182">
        <f>HYPERLINK("https://www.dofusbook.net/fr/equipement/1507103-stuff-3/objets", "link")</f>
        <v/>
      </c>
      <c r="C28182" t="n">
        <v>1</v>
      </c>
      <c r="D28182" t="inlineStr">
        <is>
          <t>Pelle Vice; Amulette Cryochrone; Anneau Cryochrone; Bracelet du Piloztère; Ceintacé; Chapeau des Malveilleurs; Voilamibe; Pataugastrique; Dofus Pourpre; Robuste majeur; Nomade; Remueur; Chanceux majeur; Vigoureux majeur; Dragodinde Prune et Amande</t>
        </is>
      </c>
    </row>
    <row r="28183">
      <c r="A28183" t="inlineStr">
        <is>
          <t>Stuff 1</t>
        </is>
      </c>
      <c r="B28183">
        <f>HYPERLINK("https://www.dofusbook.net/fr/equipement/1507098-stuff-1/objets", "link")</f>
        <v/>
      </c>
      <c r="C28183" t="n">
        <v>0</v>
      </c>
      <c r="D28183" t="inlineStr">
        <is>
          <t>Marteau Phossile; Frimamulette; Anneau de Padgref; Anneau Tique; Ceinture de Vortex; Coiffe Séculaire; Cape de Diondin; Getas de Padgref; Dofus Pourpre; Dofus Turquoise; Miraculé majeur; Remueur; Érudit majeur; Nomade; Kramkram</t>
        </is>
      </c>
    </row>
    <row r="28184">
      <c r="A28184" t="inlineStr">
        <is>
          <t>Stuff 2</t>
        </is>
      </c>
      <c r="B28184">
        <f>HYPERLINK("https://www.dofusbook.net/fr/equipement/1507093-stuff-2/objets", "link")</f>
        <v/>
      </c>
      <c r="C28184" t="n">
        <v>1</v>
      </c>
      <c r="D28184" t="inlineStr">
        <is>
          <t>Pelle Vice; Kralamansion; Bracelet du Piloztère; Alliance du Lévitrof; Ceintacé; Coiffe du Lévitrof; Voilamibe; Pataugastrique; Dofus Pourpre; Vigoureux majeur; Érudit majeur; Remueur; Chanceux majeur; Nomade; Kramkram</t>
        </is>
      </c>
    </row>
    <row r="28185">
      <c r="A28185" t="inlineStr">
        <is>
          <t>Stuff 3</t>
        </is>
      </c>
      <c r="B28185">
        <f>HYPERLINK("https://www.dofusbook.net/fr/equipement/1507115-stuff-3/objets", "link")</f>
        <v/>
      </c>
      <c r="C28185" t="n">
        <v>0</v>
      </c>
      <c r="D28185" t="inlineStr">
        <is>
          <t>Dagoulinantes; Amulette de Pol Ouatnos; Bracelet du Piloztère; Alliance Gloursonne; Ceinture Voldelor; Kidibonnet; Cape Matelassée; Bottes Voldelor; Dofus Turquoise; Dofus Pourpre; Cascadeur majeur; Nomade; Chanceux majeur; Vigoureux majeur; Kramkram</t>
        </is>
      </c>
    </row>
    <row r="28186">
      <c r="A28186" t="inlineStr">
        <is>
          <t>Stuff 1</t>
        </is>
      </c>
      <c r="B28186">
        <f>HYPERLINK("https://www.dofusbook.net/fr/equipement/1507110-stuff-1/objets", "link")</f>
        <v/>
      </c>
      <c r="C28186" t="n">
        <v>0</v>
      </c>
      <c r="D28186" t="inlineStr">
        <is>
          <t>Canne Harr; Amulette du Strigide; Anneau Tique; Anneau de Padgref; Ceintacé; Coiffe Ranshi; Voilamibe; Bottes du Strigide; Dofus Pourpre; Robuste majeur; Remueur; Cascadeur majeur; Nomade; Vigoureux majeur; Kramkram</t>
        </is>
      </c>
    </row>
    <row r="28187">
      <c r="A28187" t="inlineStr">
        <is>
          <t>Stuff 2</t>
        </is>
      </c>
      <c r="B28187">
        <f>HYPERLINK("https://www.dofusbook.net/fr/equipement/1507105-stuff-2/objets", "link")</f>
        <v/>
      </c>
      <c r="C28187" t="n">
        <v>0</v>
      </c>
      <c r="D28187" t="inlineStr">
        <is>
          <t>Arc Hétype; Amulette de Nileza; Anneau Tamie; Anneau Tamie; Sangle Aise; Couronne de Nidas; Cape de Nileza; Pantoufles Émar; Entraveur majeur; Nomade; Ralentisseur majeur; Temporiseur majeur; Remueur; Érudit majeur; Dragodinde Prune et Emeraude</t>
        </is>
      </c>
    </row>
    <row r="28188">
      <c r="A28188" t="inlineStr">
        <is>
          <t>Stuff 3</t>
        </is>
      </c>
      <c r="B28188">
        <f>HYPERLINK("https://www.dofusbook.net/fr/equipement/1507100-stuff-3/objets", "link")</f>
        <v/>
      </c>
      <c r="C28188" t="n">
        <v>1</v>
      </c>
      <c r="D28188" t="inlineStr">
        <is>
          <t>Dagues Érhy; Amulette d'Otomaï; Anneau de Padgref; Anneau Tique; Sangle Aise; Coiffe de Padgref; Cape Hiculteur; Pantoufles Émar; Remueur; Savant majeur; Miraculé majeur; Astucieux majeur; Nomade; Érudit majeur; Dragodinde Prune et Emeraude</t>
        </is>
      </c>
    </row>
    <row r="28189">
      <c r="A28189" t="inlineStr">
        <is>
          <t>Stuff 1</t>
        </is>
      </c>
      <c r="B28189">
        <f>HYPERLINK("https://www.dofusbook.net/fr/equipement/1507095-stuff-1/objets", "link")</f>
        <v/>
      </c>
      <c r="C28189" t="n">
        <v>0</v>
      </c>
      <c r="D28189" t="inlineStr">
        <is>
          <t>Dague Adou; Amulette du Strigide; Pikano; Bracelet du Piloztère; Ceinture du Strigide; Coiffe d'Ogivol; Cape Matelassée; Baleinabottes; Dofus Pourpre; Enragé majeur; Miraculé majeur; Remueur; Nomade; Vigoureux majeur; Dragodinde Emeraude et Rousse</t>
        </is>
      </c>
    </row>
    <row r="28190">
      <c r="A28190" t="inlineStr">
        <is>
          <t>Stuff 2</t>
        </is>
      </c>
      <c r="B28190">
        <f>HYPERLINK("https://www.dofusbook.net/fr/equipement/1507111-stuff-2/objets", "link")</f>
        <v/>
      </c>
      <c r="C28190" t="n">
        <v>0</v>
      </c>
      <c r="D28190" t="inlineStr">
        <is>
          <t>Arc Hétype; Pendentif affamé; Anneau Tique; Bague Gloursonne; Ceinture Séculaire; Coiffe Séculaire; Cape de Diondin; Bottes Innommables; Dofus Pourpre; Savant majeur; Nomade; Astucieux majeur; Remueur; Érudit majeur; Kramkram</t>
        </is>
      </c>
    </row>
    <row r="28191">
      <c r="A28191" t="inlineStr">
        <is>
          <t>Stuff 3</t>
        </is>
      </c>
      <c r="B28191">
        <f>HYPERLINK("https://www.dofusbook.net/fr/equipement/1507106-stuff-3/objets", "link")</f>
        <v/>
      </c>
      <c r="C28191" t="n">
        <v>1</v>
      </c>
      <c r="D28191" t="inlineStr">
        <is>
          <t>Dagues Açantes; Kralamansion; Bracelet du Piloztère; Pikano; Ceinture Glaciale; Kidibonnet; Cape Glaciale; Pataugastrique; Remueur; Chanceux majeur; Entraveur majeur; Nomade; Temporiseur majeur; Ralentisseur majeur; Dragodinde Prune et Emeraude</t>
        </is>
      </c>
    </row>
    <row r="28192">
      <c r="A28192" t="inlineStr">
        <is>
          <t>Stuff 1</t>
        </is>
      </c>
      <c r="B28192">
        <f>HYPERLINK("https://www.dofusbook.net/fr/equipement/1507101-stuff-1/objets", "link")</f>
        <v/>
      </c>
      <c r="C28192" t="n">
        <v>0</v>
      </c>
      <c r="D28192" t="inlineStr">
        <is>
          <t>Canne Harr; Amulette du Strigide; Bracelet du Piloztère; Alliance Gloursonne; Ceinture du Strigide; Coiffe Ranshi; Voilamibe; Pataugastrique; Dofus Pourpre; Vigoureux majeur; Remueur; Observateur; Robuste majeur; Nomade; Kramkram</t>
        </is>
      </c>
    </row>
    <row r="28193">
      <c r="A28193" t="inlineStr">
        <is>
          <t>Stuff 2</t>
        </is>
      </c>
      <c r="B28193">
        <f>HYPERLINK("https://www.dofusbook.net/fr/equipement/1507096-stuff-2/objets", "link")</f>
        <v/>
      </c>
      <c r="C28193" t="n">
        <v>1</v>
      </c>
      <c r="D28193" t="inlineStr">
        <is>
          <t>Dagues de Srambad; Amulette d'Oshimo; Anneau du Père Fwetar; Pikano; Ceinture du Père Fwetar; Kidibonnet; Cape au Logis; Sabots Minables; Remueur; Nomade; Enragé majeur; Chanceux majeur; Miraculé majeur; Vigoureux majeur; Péki</t>
        </is>
      </c>
    </row>
    <row r="28194">
      <c r="A28194" t="inlineStr">
        <is>
          <t>Stuff 1</t>
        </is>
      </c>
      <c r="B28194">
        <f>HYPERLINK("https://www.dofusbook.net/fr/equipement/1507113-stuff-1/objets", "link")</f>
        <v/>
      </c>
      <c r="C28194" t="n">
        <v>0</v>
      </c>
      <c r="D28194" t="inlineStr">
        <is>
          <t>Pelle de Nidas; Amulette du Strigide; Alliance Gloursonne; Bracelet du Piloztère; Ceintacé; Coiffe Ranshi; Voilamibe; Bottes du Strigide; Dofus des Glaces; Dofus Pourpre; Chanceux majeur; Nomade; Vigoureux majeur; Remueur; Kramkram</t>
        </is>
      </c>
    </row>
    <row r="28195">
      <c r="A28195" t="inlineStr">
        <is>
          <t>Stuff 3</t>
        </is>
      </c>
      <c r="B28195">
        <f>HYPERLINK("https://www.dofusbook.net/fr/equipement/1507103-stuff-3/objets", "link")</f>
        <v/>
      </c>
      <c r="C28195" t="n">
        <v>1</v>
      </c>
      <c r="D28195" t="inlineStr">
        <is>
          <t>Pelle Vice; Amulette Cryochrone; Bracelet du Piloztère; Anneau Cryochrone; Ceintacé; Chapeau des Malveilleurs; Voilamibe; Pataugastrique; Dofus Pourpre; Chanceux majeur; Vigoureux majeur; Robuste majeur; Nomade; Remueur; Dragodinde Prune et Amande</t>
        </is>
      </c>
    </row>
    <row r="28196">
      <c r="A28196" t="inlineStr">
        <is>
          <t>Stuff 1</t>
        </is>
      </c>
      <c r="B28196">
        <f>HYPERLINK("https://www.dofusbook.net/fr/equipement/1507098-stuff-1/objets", "link")</f>
        <v/>
      </c>
      <c r="C28196" t="n">
        <v>0</v>
      </c>
      <c r="D28196" t="inlineStr">
        <is>
          <t>Marteau Phossile; Frimamulette; Anneau Tique; Anneau de Padgref; Ceinture de Vortex; Coiffe Séculaire; Cape de Diondin; Getas de Padgref; Dofus Turquoise; Dofus Pourpre; Nomade; Miraculé majeur; Remueur; Érudit majeur; Kramkram</t>
        </is>
      </c>
    </row>
    <row r="28197">
      <c r="A28197" t="inlineStr">
        <is>
          <t>Stuff 2</t>
        </is>
      </c>
      <c r="B28197">
        <f>HYPERLINK("https://www.dofusbook.net/fr/equipement/1507093-stuff-2/objets", "link")</f>
        <v/>
      </c>
      <c r="C28197" t="n">
        <v>1</v>
      </c>
      <c r="D28197" t="inlineStr">
        <is>
          <t>Pelle Vice; Kralamansion; Alliance du Lévitrof; Bracelet du Piloztère; Ceintacé; Coiffe du Lévitrof; Voilamibe; Pataugastrique; Dofus Pourpre; Remueur; Chanceux majeur; Nomade; Vigoureux majeur; Érudit majeur; Kramkram</t>
        </is>
      </c>
    </row>
    <row r="28198">
      <c r="A28198" t="inlineStr">
        <is>
          <t>Stuff 3</t>
        </is>
      </c>
      <c r="B28198">
        <f>HYPERLINK("https://www.dofusbook.net/fr/equipement/1507115-stuff-3/objets", "link")</f>
        <v/>
      </c>
      <c r="C28198" t="n">
        <v>0</v>
      </c>
      <c r="D28198" t="inlineStr">
        <is>
          <t>Dagoulinantes; Amulette de Pol Ouatnos; Alliance Gloursonne; Bracelet du Piloztère; Ceinture Voldelor; Kidibonnet; Cape Matelassée; Bottes Voldelor; Dofus Turquoise; Dofus Pourpre; Chanceux majeur; Vigoureux majeur; Cascadeur majeur; Nomade; Kramkram</t>
        </is>
      </c>
    </row>
    <row r="28199">
      <c r="A28199" t="inlineStr">
        <is>
          <t>Stuff 1</t>
        </is>
      </c>
      <c r="B28199">
        <f>HYPERLINK("https://www.dofusbook.net/fr/equipement/1507110-stuff-1/objets", "link")</f>
        <v/>
      </c>
      <c r="C28199" t="n">
        <v>0</v>
      </c>
      <c r="D28199" t="inlineStr">
        <is>
          <t>Canne Harr; Amulette du Strigide; Anneau de Padgref; Anneau Tique; Ceintacé; Coiffe Ranshi; Voilamibe; Bottes du Strigide; Dofus Pourpre; Robuste majeur; Remueur; Cascadeur majeur; Nomade; Vigoureux majeur; Kramkram</t>
        </is>
      </c>
    </row>
    <row r="28200">
      <c r="A28200" t="inlineStr">
        <is>
          <t>Stuff 2</t>
        </is>
      </c>
      <c r="B28200">
        <f>HYPERLINK("https://www.dofusbook.net/fr/equipement/1507105-stuff-2/objets", "link")</f>
        <v/>
      </c>
      <c r="C28200" t="n">
        <v>0</v>
      </c>
      <c r="D28200" t="inlineStr">
        <is>
          <t>Arc Hétype; Amulette de Nileza; Anneau Tamie; Anneau Tamie; Sangle Aise; Couronne de Nidas; Cape de Nileza; Pantoufles Émar; Temporiseur majeur; Remueur; Érudit majeur; Entraveur majeur; Nomade; Ralentisseur majeur; Dragodinde Prune et Emeraude</t>
        </is>
      </c>
    </row>
    <row r="28201">
      <c r="A28201" t="inlineStr">
        <is>
          <t>Stuff 3</t>
        </is>
      </c>
      <c r="B28201">
        <f>HYPERLINK("https://www.dofusbook.net/fr/equipement/1507100-stuff-3/objets", "link")</f>
        <v/>
      </c>
      <c r="C28201" t="n">
        <v>1</v>
      </c>
      <c r="D28201" t="inlineStr">
        <is>
          <t>Dagues Érhy; Amulette d'Otomaï; Anneau Tique; Anneau de Padgref; Sangle Aise; Coiffe de Padgref; Cape Hiculteur; Pantoufles Émar; Miraculé majeur; Astucieux majeur; Nomade; Érudit majeur; Remueur; Savant majeur; Dragodinde Prune et Emeraude</t>
        </is>
      </c>
    </row>
    <row r="28202">
      <c r="A28202" t="inlineStr">
        <is>
          <t>Stuff 1</t>
        </is>
      </c>
      <c r="B28202">
        <f>HYPERLINK("https://www.dofusbook.net/fr/equipement/1507095-stuff-1/objets", "link")</f>
        <v/>
      </c>
      <c r="C28202" t="n">
        <v>0</v>
      </c>
      <c r="D28202" t="inlineStr">
        <is>
          <t>Dague Adou; Amulette du Strigide; Bracelet du Piloztère; Pikano; Ceinture du Strigide; Coiffe d'Ogivol; Cape Matelassée; Baleinabottes; Dofus Pourpre; Vigoureux majeur; Enragé majeur; Miraculé majeur; Remueur; Nomade; Dragodinde Emeraude et Rousse</t>
        </is>
      </c>
    </row>
    <row r="28203">
      <c r="A28203" t="inlineStr">
        <is>
          <t>Iop M 200</t>
        </is>
      </c>
      <c r="B28203">
        <f>HYPERLINK("https://www.dofusbook.net/fr/equipement/5950671-iop-m-200/objets", "link")</f>
        <v/>
      </c>
      <c r="C28203" t="n">
        <v>0</v>
      </c>
      <c r="D28203" t="inlineStr"/>
    </row>
    <row r="28204">
      <c r="A28204" t="inlineStr">
        <is>
          <t>panda feu</t>
        </is>
      </c>
      <c r="B28204">
        <f>HYPERLINK("https://www.dofusbook.net/fr/equipement/2426907-panda-feu/objets", "link")</f>
        <v/>
      </c>
      <c r="C28204" t="n">
        <v>2</v>
      </c>
      <c r="D28204" t="inlineStr">
        <is>
          <t>Arc corrompu; Amulette Volkorne; Anneauræus; Anneau Volkorne; Bouclier du Stalak; Croture; Heaume Oplate; Cape de Diondin; Bottes Innommables; Dofus Pourpre; Dofus Vulbis; Dofus Ébène; Dofus Ivoire; Vigoureux majeur; Érudit majeur; Bisouglours</t>
        </is>
      </c>
    </row>
    <row r="28205">
      <c r="A28205" t="inlineStr">
        <is>
          <t>Féca eau</t>
        </is>
      </c>
      <c r="B28205">
        <f>HYPERLINK("https://www.dofusbook.net/fr/equipement/5875463-feca-eau-/objets", "link")</f>
        <v/>
      </c>
      <c r="C28205" t="n">
        <v>0</v>
      </c>
      <c r="D28205" t="inlineStr">
        <is>
          <t>Baguette Hique; Amulette de Shokkoth; Anneau Volkorne; Alliance Gloursonne; Quatre-feuilles; Sangle Ouare; Kidibonnet; Cape de la Dame du Hasard; Bottes de la Dame du Hasard; Dofus Pourpre; Dofus Ébène; Dofus Ocre; Dofus Turquoise; Dofus des Glaces; Chanceux majeur; Kanigloups</t>
        </is>
      </c>
    </row>
    <row r="28206">
      <c r="A28206" t="inlineStr">
        <is>
          <t>Féca M 200</t>
        </is>
      </c>
      <c r="B28206">
        <f>HYPERLINK("https://www.dofusbook.net/fr/equipement/5878060-feca-m-200/objets", "link")</f>
        <v/>
      </c>
      <c r="C28206" t="n">
        <v>0</v>
      </c>
      <c r="D28206" t="inlineStr">
        <is>
          <t>Collier de la Dame du Hasard; Alliance Gloursonne; Anneau Volkorne; Sangle Ouare; Casque Volkorne; Cape de la Dame du Hasard; Bottes de la Dame du Hasard</t>
        </is>
      </c>
    </row>
    <row r="28207">
      <c r="A28207" t="inlineStr">
        <is>
          <t>Zobal M 200</t>
        </is>
      </c>
      <c r="B28207">
        <f>HYPERLINK("https://www.dofusbook.net/fr/equipement/5893931-zobal-m-200/objets", "link")</f>
        <v/>
      </c>
      <c r="C28207" t="n">
        <v>0</v>
      </c>
      <c r="D28207" t="inlineStr"/>
    </row>
    <row r="28208">
      <c r="A28208" t="inlineStr">
        <is>
          <t>Iop M 200</t>
        </is>
      </c>
      <c r="B28208">
        <f>HYPERLINK("https://www.dofusbook.net/fr/equipement/5889695-iop-m-200/objets", "link")</f>
        <v/>
      </c>
      <c r="C28208" t="n">
        <v>0</v>
      </c>
      <c r="D28208" t="inlineStr"/>
    </row>
    <row r="28209">
      <c r="A28209" t="inlineStr">
        <is>
          <t>Eniripsa M 200</t>
        </is>
      </c>
      <c r="B28209">
        <f>HYPERLINK("https://www.dofusbook.net/fr/equipement/5883558-eniripsa-m-200/objets", "link")</f>
        <v/>
      </c>
      <c r="C28209" t="n">
        <v>1</v>
      </c>
      <c r="D28209" t="inlineStr">
        <is>
          <t>Plume de Buhorado; Collier du Valet Veinard; Gant du Valet Veinard; Anneau Volkorne; Quatre-feuilles; Menoture; Casque Volkorne; Cape Indescriptible; Palmes Trithons; Dofus Nébuleux; Dofus Ivoire; Dofus Turquoise; Dofus Ébène; Dofus Pourpre; Dofus Ocre; Blérodoudou</t>
        </is>
      </c>
    </row>
    <row r="28210">
      <c r="A28210" t="inlineStr">
        <is>
          <t>Pandawa res crit</t>
        </is>
      </c>
      <c r="B28210">
        <f>HYPERLINK("https://www.dofusbook.net/fr/equipement/5826555-pandawa-res-crit/objets", "link")</f>
        <v/>
      </c>
      <c r="C28210" t="n">
        <v>0</v>
      </c>
      <c r="D28210" t="inlineStr">
        <is>
          <t>Lav'Hache; Amulette du Strigide; Anneau de Brouce; Anneau Volkorne; Cadran d'Eau; Ceinture Volkorne; Masque de Koutoulou; Cape au Logis; Bottes de la Cour Sombre; Dofus Pourpre; Dofus Ocre; Dofus Turquoise; Dofus Ébène; Dofus Ivoire; Enragé majeur; Bulbisou</t>
        </is>
      </c>
    </row>
    <row r="28211">
      <c r="A28211" t="inlineStr">
        <is>
          <t>Enu 200 retrait</t>
        </is>
      </c>
      <c r="B28211">
        <f>HYPERLINK("https://www.dofusbook.net/fr/equipement/3833051-enu-200-retrait/objets", "link")</f>
        <v/>
      </c>
      <c r="C28211" t="n">
        <v>0</v>
      </c>
      <c r="D28211" t="inlineStr">
        <is>
          <t>Sceptre du Roi Joueur; Amulette de Shokkoth; Alliance Gloursonne; Pikano; Bouclier cubiste; Ceinture Glaciale; Capuche de l'Œil Putride; Cape de Meno; Bottes de Meno; Nomade; Entraveur majeur; Remueur; Temporiseur majeur; Ralentisseur majeur; Chanceux majeur; Volkorne Turquoise</t>
        </is>
      </c>
    </row>
    <row r="28212">
      <c r="A28212" t="inlineStr">
        <is>
          <t>Pandawa F 200</t>
        </is>
      </c>
      <c r="B28212">
        <f>HYPERLINK("https://www.dofusbook.net/fr/equipement/5718781-pandawa-f-200/objets", "link")</f>
        <v/>
      </c>
      <c r="C28212" t="n">
        <v>1</v>
      </c>
      <c r="D28212" t="inlineStr">
        <is>
          <t>Arc du Chalœil; Amulette du Cœur Saignant; Anneau Volkorne; Chevalière du Roi Joueur; Quatre-feuilles; Ceinture Volkorne; Couronne du Roi Joueur; Cape du Cœur Saignant; Bottes du Roi Joueur; Dofus Pourpre; Dofus Ébène; Dofus Ocre; Dofus Abyssal; Dofus Turquoise; Dofus Ivoire; Bulbisou</t>
        </is>
      </c>
    </row>
    <row r="28213">
      <c r="A28213" t="inlineStr">
        <is>
          <t>Pandawa eau</t>
        </is>
      </c>
      <c r="B28213">
        <f>HYPERLINK("https://www.dofusbook.net/fr/equipement/5032221-pandawa-eau/objets", "link")</f>
        <v/>
      </c>
      <c r="C28213" t="n">
        <v>0</v>
      </c>
      <c r="D28213" t="inlineStr">
        <is>
          <t>Dagoulinantes; Amulette de l'Œil Attentif; Anneau Volkorne; Bracelet des Fonds marins; Bouclier du Stalak; Ceinture Volkorne; Masque des Fonds marins; Cape de l'Œil Attentif; Sandales des Fonds marins; Dofus Vulbis; Dofus Ocre; Dofus Abyssal; Dofus Ébène; Dofus Pourpre; Dofus Ivoire; Kanigloups</t>
        </is>
      </c>
    </row>
    <row r="28214">
      <c r="A28214" t="inlineStr">
        <is>
          <t>Sram M 200</t>
        </is>
      </c>
      <c r="B28214">
        <f>HYPERLINK("https://www.dofusbook.net/fr/equipement/5537523-sram-m-200/objets", "link")</f>
        <v/>
      </c>
      <c r="C28214" t="n">
        <v>0</v>
      </c>
      <c r="D28214" t="inlineStr">
        <is>
          <t>Arc du Chalœil; Amulette du Strigide; Anneau Volkorne; Anneau de Brouce; Bouclier d'Ilyzaelle; Ceinture Volkorne; Coiffe de la Reine des Voleurs; Cape au Logis; Dofus des Glaces; Dofus Ébène; Dofus Ivoire; Dofus Pourpre; Dofus Ocre; Enragé majeur; Bulbisou</t>
        </is>
      </c>
    </row>
    <row r="28215">
      <c r="A28215" t="inlineStr">
        <is>
          <t>Pandawa esquive pa</t>
        </is>
      </c>
      <c r="B28215">
        <f>HYPERLINK("https://www.dofusbook.net/fr/equipement/5824091-pandawa-esquive-pa/objets", "link")</f>
        <v/>
      </c>
      <c r="C28215" t="n">
        <v>0</v>
      </c>
      <c r="D28215" t="inlineStr">
        <is>
          <t>Dagoulinantes; Amulette de Shokkoth; Alliance Gloursonne; Bracelet des Fonds marins; Bouclier du Stalak; Poulpagne; Capuche de l'Œil Attentif; Cape de l'Œil Attentif; Bottes de la Reine des Voleurs; Dofus Ébène; Dofus Abyssal; Dofus Ivoire; Dofus Ocre; Nomade; Évasif majeur; Kanigloups</t>
        </is>
      </c>
    </row>
    <row r="28216">
      <c r="A28216" t="inlineStr">
        <is>
          <t>Steamer M 200</t>
        </is>
      </c>
      <c r="B28216">
        <f>HYPERLINK("https://www.dofusbook.net/fr/equipement/5821885-steamer-m-200/objets", "link")</f>
        <v/>
      </c>
      <c r="C28216" t="n">
        <v>0</v>
      </c>
      <c r="D28216" t="inlineStr">
        <is>
          <t>Arc corrompu; Amulette Volkorne; Anneau Volkorne; Anneauræus; Bouclier du Stalak; Ceinture Volkorne; Heaume Oplate; Cape de Diondin; Bottes Innommables; Dofus Pourpre; Dofus Turquoise; Dofus Ébène; Dofus Ivoire; Dofus des Glaces; Dofus Abyssal; Bisouglours</t>
        </is>
      </c>
    </row>
    <row r="28217">
      <c r="A28217" t="inlineStr">
        <is>
          <t>Pandawa air</t>
        </is>
      </c>
      <c r="B28217">
        <f>HYPERLINK("https://www.dofusbook.net/fr/equipement/5076449-pandawa-air/objets", "link")</f>
        <v/>
      </c>
      <c r="C28217" t="n">
        <v>0</v>
      </c>
      <c r="D28217" t="inlineStr">
        <is>
          <t>Plume de Buhorado; Collier du Valet Veinard; Alliance Gloursonne; Gant du Valet Veinard; Bouclier du Stalak; Menoture; Casque Volkorne; Cape Indescriptible; Palmes Trithons; Dofus Abyssal; Dofus Ivoire; Dofus Pourpre; Dofus Ébène; Dofus Ocre; Dofus des Glaces; Blérodoudou</t>
        </is>
      </c>
    </row>
    <row r="28218">
      <c r="A28218" t="inlineStr">
        <is>
          <t>Iop M 200</t>
        </is>
      </c>
      <c r="B28218">
        <f>HYPERLINK("https://www.dofusbook.net/fr/equipement/5708425-iop-m-200/objets", "link")</f>
        <v/>
      </c>
      <c r="C28218" t="n">
        <v>1</v>
      </c>
      <c r="D28218" t="inlineStr">
        <is>
          <t>Dagues d'Ilyzaelle; Amulette du Strigide; Anneau Volkorne; Anneau Crustique; Bouclier du Captain Amakna; Ceinture Volkorne; Masque de Koutoulou; Cape au Logis; Bottes du Strigide; Dofus Émeraude; Dofus Ocre; Dofus Pourpre; Dofus Ivoire; Dofus Turquoise; Dofus Ébène; Bulbisou</t>
        </is>
      </c>
    </row>
    <row r="28219">
      <c r="A28219" t="inlineStr">
        <is>
          <t>Pandawa F 200</t>
        </is>
      </c>
      <c r="B28219">
        <f>HYPERLINK("https://www.dofusbook.net/fr/equipement/5471618-pandawa-f-200/objets", "link")</f>
        <v/>
      </c>
      <c r="C28219" t="n">
        <v>1</v>
      </c>
      <c r="D28219" t="inlineStr">
        <is>
          <t>Pyraguette; Amulette Volkorne; Anneauræus; Anneau Volkorne; Bouclier du Stalak; Ceinture de l'Esprit Salvateur; Masque de l'Esprit Salvateur; Cape de Jahash Jurgen; Bottes de l'Esprit Salvateur; Dofus Pourpre; Dofus Ivoire; Dofus Ocre; Dofus Ébène; Dofus Abyssal; Dofus Turquoise; Walk</t>
        </is>
      </c>
    </row>
    <row r="28220">
      <c r="A28220" t="inlineStr">
        <is>
          <t>Pandawa aire</t>
        </is>
      </c>
      <c r="B28220">
        <f>HYPERLINK("https://www.dofusbook.net/fr/equipement/5458959-pandawa--aire/objets", "link")</f>
        <v/>
      </c>
      <c r="C28220" t="n">
        <v>0</v>
      </c>
      <c r="D28220" t="inlineStr">
        <is>
          <t>Arc de Koutoulou; Collier du Valet Veinard; Anneau Volkorne; Gant du Valet Veinard; Bouclier du Stalak; Ceinture Volkorne; Casque Volkorne; Cape du Valet Veinard; Palmes Trithons; Dofus Pourpre; Dofus Ivoire; Dofus des Glaces; Dofus Ocre; Dofus Abyssal; Dofus Ébène; Blérodoudou</t>
        </is>
      </c>
    </row>
    <row r="28221">
      <c r="A28221" t="inlineStr">
        <is>
          <t>Hupperm feu</t>
        </is>
      </c>
      <c r="B28221">
        <f>HYPERLINK("https://www.dofusbook.net/fr/equipement/5278009-hupperm-feu/objets", "link")</f>
        <v/>
      </c>
      <c r="C28221" t="n">
        <v>3</v>
      </c>
      <c r="D28221" t="inlineStr">
        <is>
          <t>Arc corrompu; Amulette Volkorne; Anneauræus; Anneauræus; Quatre-feuilles; Ceinture Volkorne; Heaume Oplate; Cape de Diondin; Bottes Innommables; Dofus des Glaces; Dofus Abyssal; Dofus Ivoire; Dofus Vulbis; Dofus Ébène; Bisouglours</t>
        </is>
      </c>
    </row>
    <row r="28222">
      <c r="A28222" t="inlineStr">
        <is>
          <t>hupper feu terre</t>
        </is>
      </c>
      <c r="B28222">
        <f>HYPERLINK("https://www.dofusbook.net/fr/equipement/36116-hupper-feu-terre/objets", "link")</f>
        <v/>
      </c>
      <c r="C28222" t="n">
        <v>1</v>
      </c>
      <c r="D28222" t="inlineStr">
        <is>
          <t>Arc corrompu; Amulette Volkorne; Anneau Volkorne; Anneauræus; Bouclier du Stalak; Ceinture Volkorne; Couronne du Roi Joueur; Cape de Diondin; Bottes du Roi Joueur; Dofus Ébène; Dofus Ivoire; Dokoko; Dofus Abyssal; Dofus Turquoise; Dofus Ocre; Bisouglours</t>
        </is>
      </c>
    </row>
    <row r="28223">
      <c r="A28223" t="inlineStr">
        <is>
          <t>hper terre</t>
        </is>
      </c>
      <c r="B28223">
        <f>HYPERLINK("https://www.dofusbook.net/fr/equipement/5313830-hper-terre/objets", "link")</f>
        <v/>
      </c>
      <c r="C28223" t="n">
        <v>2</v>
      </c>
      <c r="D28223" t="inlineStr">
        <is>
          <t>Arc du Chalœil; Amulette Volkorne; Anneau Crustique; Anneau de Brouce; Quatre-feuilles; Ceinture Volkorne; Masque de Koutoulou; Cape au Logis; Bottes de Brouce; Dofus Turquoise; Dofus Ébène; Dofus Ocre; Dofus Abyssal; Dofus Pourpre; Dofus Ivoire; Bulbisou</t>
        </is>
      </c>
    </row>
    <row r="28224">
      <c r="A28224" t="inlineStr">
        <is>
          <t>feu</t>
        </is>
      </c>
      <c r="B28224">
        <f>HYPERLINK("https://www.dofusbook.net/fr/equipement/3325200-feu/objets", "link")</f>
        <v/>
      </c>
      <c r="C28224" t="n">
        <v>78</v>
      </c>
      <c r="D28224" t="inlineStr">
        <is>
          <t>Hache du Chalœil; Amulette Volkorne; Bague Trithon; Anneau Volkorne; Quatre-feuilles; Ceinture Volkorne; Masque Trithon; Bottes Trithon; Dofus des Glaces; Dofus Pourpre; Dofus Abyssal; Dofus Ocre</t>
        </is>
      </c>
    </row>
    <row r="28225">
      <c r="A28225" t="inlineStr">
        <is>
          <t>Huppermage air</t>
        </is>
      </c>
      <c r="B28225">
        <f>HYPERLINK("https://www.dofusbook.net/fr/equipement/5268291-huppermage--air/objets", "link")</f>
        <v/>
      </c>
      <c r="C28225" t="n">
        <v>0</v>
      </c>
      <c r="D28225" t="inlineStr">
        <is>
          <t>Plume de Buhorado; Collier du Valet Veinard; Gant du Valet Veinard; Alliance Gloursonne; Bouclier du Stalak; Menoture; Couronne d'Allister; Cape de Jahash Jurgen; Palmes Trithons; Dofus Pourpre; Dofus Ocre; Dofus des Glaces; Dofus Ivoire; Dofus Ébène; Dofus Abyssal; Blérodoudou</t>
        </is>
      </c>
    </row>
    <row r="28226">
      <c r="A28226" t="inlineStr">
        <is>
          <t>Ecaflip eben</t>
        </is>
      </c>
      <c r="B28226">
        <f>HYPERLINK("https://www.dofusbook.net/fr/equipement/4773478-ecaflip-eben/objets", "link")</f>
        <v/>
      </c>
      <c r="C28226" t="n">
        <v>1</v>
      </c>
      <c r="D28226" t="inlineStr">
        <is>
          <t>Arc du Chalœil; Amulette Volkorne; Anneau Crustique; Anneau Crustique; Bouclier du Stalak; Ceinture Volkorne; Masque de Koutoulou; Cape au Logis; Bottes de la Cour Sombre; Dofus Ébène; Dofus Ocre; Dofus Abyssal; Dofus Turquoise; Dofus Ivoire; Enragé majeur; Dragodinde Ivoire et Pourpre</t>
        </is>
      </c>
    </row>
    <row r="28227">
      <c r="A28227" t="inlineStr">
        <is>
          <t>Pandawa F 200</t>
        </is>
      </c>
      <c r="B28227">
        <f>HYPERLINK("https://www.dofusbook.net/fr/equipement/5031899-pandawa-f-200/objets", "link")</f>
        <v/>
      </c>
      <c r="C28227" t="n">
        <v>1</v>
      </c>
      <c r="D28227" t="inlineStr">
        <is>
          <t>Marteau R'ture; Amulette du Strigide; Anneau Crustique; Anneau Volkorne; Bouclier d'Ilyzaelle; Ceinture Volkorne; Masque de Koutoulou; Cape au Logis; Bottes de la Cour Sombre; Dofus Ébène; Dofus Ocre; Dofus Abyssal; Dofus des Glaces; Dofus Ivoire; Enragé majeur; Dragodinde Amande et Pourpre</t>
        </is>
      </c>
    </row>
    <row r="28228">
      <c r="A28228" t="inlineStr">
        <is>
          <t>Iop eau aire</t>
        </is>
      </c>
      <c r="B28228">
        <f>HYPERLINK("https://www.dofusbook.net/fr/equipement/4293319-iop-eau-aire/objets", "link")</f>
        <v/>
      </c>
      <c r="C28228" t="n">
        <v>0</v>
      </c>
      <c r="D28228" t="inlineStr">
        <is>
          <t>Hache du Korriandre; Amulette du Strigide; Anneau Toriété; Anneau Volkorne; Bouclier d'Ilyzaelle; Ceinture du Nocturlabe; Casque Volkorne; Cape Solution; Bottes du Nocturlabe; Dofus Turquoise; Dofus des Glaces; Dofus Ocre; Dofus Ivoire; Dofus Abyssal; Dofus Ébène; Dragodinde Indigo et Ivoire</t>
        </is>
      </c>
    </row>
    <row r="28229">
      <c r="A28229" t="inlineStr">
        <is>
          <t>Iop terre eau</t>
        </is>
      </c>
      <c r="B28229">
        <f>HYPERLINK("https://www.dofusbook.net/fr/equipement/5030941-iop-terre-eau-/objets", "link")</f>
        <v/>
      </c>
      <c r="C28229" t="n">
        <v>0</v>
      </c>
      <c r="D28229" t="inlineStr">
        <is>
          <t>Dagues de Srambad; Amulette du Strigide; Anneau Volkorne; Pikano; Bouclier d'Ilyzaelle; Ceinture Volkorne; Masque de Koutoulou; Cape au Logis; Bottes du Strigide; Dofus Pourpre; Dofus Ivoire; Dofus Ocre; Dofus Abyssal; Dofus Ébène; Dofus des Glaces; Dragodinde Ivoire et Pourpre</t>
        </is>
      </c>
    </row>
    <row r="28230">
      <c r="A28230" t="inlineStr">
        <is>
          <t>Eca 6</t>
        </is>
      </c>
      <c r="B28230">
        <f>HYPERLINK("https://www.dofusbook.net/fr/equipement/4014992-eca-6/objets", "link")</f>
        <v/>
      </c>
      <c r="C28230" t="n">
        <v>0</v>
      </c>
      <c r="D28230" t="inlineStr">
        <is>
          <t>Arc du Chalœil; Amulette du Nocturlabe; Anneau Volkorne; Pikano; Quatre-feuilles; Ceinture Volkorne; Masque de Koutoulou; Cape au Logis; Bottes du Nocturlabe; Dofus Pourpre; Dofus Ivoire; Dofus Ocre; Dofus Abyssal; Dofus Ébène; Dofus des Glaces; Dragodinde Ivoire et Pourpre</t>
        </is>
      </c>
    </row>
    <row r="28231">
      <c r="A28231" t="inlineStr">
        <is>
          <t>Ecaflip F 200</t>
        </is>
      </c>
      <c r="B28231">
        <f>HYPERLINK("https://www.dofusbook.net/fr/equipement/4728600-ecaflip-f-200/objets", "link")</f>
        <v/>
      </c>
      <c r="C28231" t="n">
        <v>3</v>
      </c>
      <c r="D28231" t="inlineStr">
        <is>
          <t>Baguette des égarés; Amulette du Nocturlabe; Anneau Volkorne; Pikano; Bouclier du Stalak; Ceinture Volkorne; Masque de Koutoulou; Cape au Logis; Bottes du Nocturlabe; Dofus Pourpre; Dofus Ivoire; Dofus Ocre; Dofus Abyssal; Dofus Ébène; Dofus des Glaces; Dragodinde Ivoire et Pourpre</t>
        </is>
      </c>
    </row>
    <row r="28232">
      <c r="A28232" t="inlineStr">
        <is>
          <t>Ecaflip esquive pm</t>
        </is>
      </c>
      <c r="B28232">
        <f>HYPERLINK("https://www.dofusbook.net/fr/equipement/4946125-ecaflip-esquive-pm-/objets", "link")</f>
        <v/>
      </c>
      <c r="C28232" t="n">
        <v>0</v>
      </c>
      <c r="D28232" t="inlineStr">
        <is>
          <t>Arc du Chalœil; Collier de Tourthon; Anneau des égarés; Anneau de Brouce; Bouclier du Stalak; Ceinture Gence; Casque de Missiz Frizz; Ankhape; Bottes de Brouce; Dofus Ocre; Dofus Ivoire; Dofus Turquoise; Dofus Ébène; Dofus Pourpre; Cavaleur majeur; Muldo Turquoise et Doré</t>
        </is>
      </c>
    </row>
    <row r="28233">
      <c r="A28233" t="inlineStr">
        <is>
          <t>Ecaflip esquive pa</t>
        </is>
      </c>
      <c r="B28233">
        <f>HYPERLINK("https://www.dofusbook.net/fr/equipement/4945995-ecaflip-esquive-pa/objets", "link")</f>
        <v/>
      </c>
      <c r="C28233" t="n">
        <v>0</v>
      </c>
      <c r="D28233" t="inlineStr">
        <is>
          <t>Sceptre du Roi Joueur; Amulette de Shokkoth; Anneau Volkorne; Alliance Gloursonne; Bouclier du Stalak; Poulpagne; Capuche de l'Œil Attentif; Cape de l'Œil Attentif; Pantoufles du Piloztère; Dofus Pourpre; Dofus Ivoire; Dofus Turquoise; Dofus Ébène; Dofus Ocre; Évasif majeur; Muldo Doré et Ivoire</t>
        </is>
      </c>
    </row>
    <row r="28234">
      <c r="A28234" t="inlineStr">
        <is>
          <t>ECA 5 terre crit</t>
        </is>
      </c>
      <c r="B28234">
        <f>HYPERLINK("https://www.dofusbook.net/fr/equipement/3808221-eca-5-terre-crit/objets", "link")</f>
        <v/>
      </c>
      <c r="C28234" t="n">
        <v>0</v>
      </c>
      <c r="D28234" t="inlineStr">
        <is>
          <t>Arc du Chalœil; Amulette du Strigide; Bague Trithon; Anneau Volkorne; Bouclier du Stalak; Ceinture Volkorne; Masque Trithon; Cape au Logis; Bottes du Strigide; Dofus Ébène; Dofus Pourpre; Dofus Ocre; Dofus Abyssal; Dofus Ivoire; Dofus Turquoise; Sakochère</t>
        </is>
      </c>
    </row>
    <row r="28235">
      <c r="A28235" t="inlineStr">
        <is>
          <t>eca full eau</t>
        </is>
      </c>
      <c r="B28235">
        <f>HYPERLINK("https://www.dofusbook.net/fr/equipement/3766957-eca-full-eau/objets", "link")</f>
        <v/>
      </c>
      <c r="C28235" t="n">
        <v>1</v>
      </c>
      <c r="D28235" t="inlineStr">
        <is>
          <t>Dagoulinantes; Collier de la Dame du Hasard; Anneau Volkorne; Alliance Gloursonne; Bouclier du Stalak; Poulpagne; Capuche de l'Œil Attentif; Cape de l'Œil Attentif; Bottes de la Dame du Hasard; Dofus Turquoise; Dofus Pourpre; Dofus Ébène; Dofus Ivoire; Dofus Ocre; Dofus des Glaces; Muldo Doré et Emeraude</t>
        </is>
      </c>
    </row>
    <row r="28236">
      <c r="A28236" t="inlineStr">
        <is>
          <t>Sram_terre</t>
        </is>
      </c>
      <c r="B28236">
        <f>HYPERLINK("https://www.dofusbook.net/fr/equipement/4750911-sram-terre/objets", "link")</f>
        <v/>
      </c>
      <c r="C28236" t="n">
        <v>3</v>
      </c>
      <c r="D28236" t="inlineStr">
        <is>
          <t>Arc du Chalœil; Amulette du Cœur Saignant; Anneau Volkorne; Bague Gloursonne; Bouclier du Stalak; Ceinture Volkorne; Masque de Koutoulou; Cape du Cœur Saignant; Bottes du Cœur Saignant; Dofus Pourpre; Dofus Abyssal; Dofus Turquoise; Dofus Ivoire; Dofus Vulbis; Dofus Ébène; Kokulte</t>
        </is>
      </c>
    </row>
    <row r="28237">
      <c r="A28237" t="inlineStr">
        <is>
          <t>Sram_Feu</t>
        </is>
      </c>
      <c r="B28237">
        <f>HYPERLINK("https://www.dofusbook.net/fr/equipement/4750729-sram-feu-/objets", "link")</f>
        <v/>
      </c>
      <c r="C28237" t="n">
        <v>0</v>
      </c>
      <c r="D28237" t="inlineStr">
        <is>
          <t>Arc Honte; Amulette Séculaire; Anneau Tamie; Anneau Tamie; Bouclier du Stalak; Ceinture Séculaire; Coiffe Séculaire; Cape de Diondin; Bottes Innommables; Dofus Pourpre; Dofus Nébuleux; Dofus des Glaces; Dofus Abyssal; Dofus Vulbis; Dofus Ébène; Bisouglours</t>
        </is>
      </c>
    </row>
    <row r="28238">
      <c r="A28238" t="inlineStr">
        <is>
          <t>Féca M 200</t>
        </is>
      </c>
      <c r="B28238">
        <f>HYPERLINK("https://www.dofusbook.net/fr/equipement/4014990-feca-m-200/objets", "link")</f>
        <v/>
      </c>
      <c r="C28238" t="n">
        <v>0</v>
      </c>
      <c r="D28238" t="inlineStr">
        <is>
          <t>Arc de Koutoulou; Amulette d'Ilyzaelle; Cadran de Feu; Menoture; Coiffe de la Reine des Voleurs; Chevelure de Tal Kasha; Bottes de la Reine des Voleurs; Dofus des Glaces; Dolmanax; Dofus Pourpre; Dofus Ocre; Nomade; Étourdisseur majeur</t>
        </is>
      </c>
    </row>
    <row r="28239">
      <c r="A28239" t="inlineStr">
        <is>
          <t>Iop_1</t>
        </is>
      </c>
      <c r="B28239">
        <f>HYPERLINK("https://www.dofusbook.net/fr/equipement/4281708-iop-1/objets", "link")</f>
        <v/>
      </c>
      <c r="C28239" t="n">
        <v>0</v>
      </c>
      <c r="D28239" t="inlineStr">
        <is>
          <t>Épée Brûlâme; Amulette Volkorne; Lavanneau; Anneau Volkorne; Bouclier de Choudini; Ceintacé; Casque Volkorne; Cape de la Dame du Hasard; Bottes de la Dame du Hasard; Dofus Turquoise; Dofus Ivoire; Dofus Ocre; Dofus Ébène; Dofus Pourpre; Dofus Émeraude; Kokulte</t>
        </is>
      </c>
    </row>
    <row r="28240">
      <c r="A28240" t="inlineStr">
        <is>
          <t>Iop_4</t>
        </is>
      </c>
      <c r="B28240">
        <f>HYPERLINK("https://www.dofusbook.net/fr/equipement/4303586-iop-4/objets", "link")</f>
        <v/>
      </c>
      <c r="C28240" t="n">
        <v>1</v>
      </c>
      <c r="D28240" t="inlineStr">
        <is>
          <t>Marteau R'ture; Amulette Volkorne; Anneau Volkorne; Chevalière du Roi Joueur; Bouclier du Captain Amakna; Ceinture Volkorne; Couronne du Roi Joueur; Cape du Cœur Saignant; Bottes du Roi Joueur; Dofus Pourpre; Dofus Ivoire; Dofus Turquoise; Dofus Ébène; Dolmanax; Dofus Ocre; Volkorne Emeraude et Pourpre</t>
        </is>
      </c>
    </row>
    <row r="28241">
      <c r="A28241" t="inlineStr">
        <is>
          <t>Iop_5</t>
        </is>
      </c>
      <c r="B28241">
        <f>HYPERLINK("https://www.dofusbook.net/fr/equipement/4330336-iop-5/objets", "link")</f>
        <v/>
      </c>
      <c r="C28241" t="n">
        <v>0</v>
      </c>
      <c r="D28241" t="inlineStr">
        <is>
          <t>Hache du Chalœil; Amulette Volkorne; Alliance du Lévitrof; Anneau Volkorne; Cadran d'Eau; Ceinture Volkorne; Coiffe du Lévitrof; Cape des Justiciers; Bottes du Lévitrof; Dofus Turquoise; Dofus Ivoire; Dolmanax; Dofus Ébène; Dofus Pourpre; Dofus des Glaces; Kokulte</t>
        </is>
      </c>
    </row>
    <row r="28242">
      <c r="A28242" t="inlineStr">
        <is>
          <t>Iop_3</t>
        </is>
      </c>
      <c r="B28242">
        <f>HYPERLINK("https://www.dofusbook.net/fr/equipement/4293187-iop-3/objets", "link")</f>
        <v/>
      </c>
      <c r="C28242" t="n">
        <v>1</v>
      </c>
      <c r="D28242" t="inlineStr">
        <is>
          <t>Epée Toche; Amulette Volkorne; Anneau Volkorne; Chevalière du Roi Joueur; Bouclier du Captain Amakna; Ceinture Volkorne; Couronne du Roi Joueur; Voile d'encre; Bottes du Roi Joueur; Dofus Pourpre; Dofus Nébuleux; Dofus des Glaces; Dofus Turquoise; Dofus Ivoire; Dofus Ocre; Fëanor</t>
        </is>
      </c>
    </row>
    <row r="28243">
      <c r="A28243" t="inlineStr">
        <is>
          <t>Sram_2.49</t>
        </is>
      </c>
      <c r="B28243">
        <f>HYPERLINK("https://www.dofusbook.net/fr/equipement/4170212-sram-2-49/objets", "link")</f>
        <v/>
      </c>
      <c r="C28243" t="n">
        <v>0</v>
      </c>
      <c r="D28243" t="inlineStr">
        <is>
          <t>Arc de Koutoulou; Collier du Valet Veinard; Alliance Gloursonne; Gant du Valet Veinard; Bouclier du Stalak; Ceinture de l'Esprit Salvateur; Masque de l'Esprit Salvateur; Cape du Valet Veinard; Bottes de l'Esprit Salvateur; Dofus des Glaces; Dofus Ébène; Dofus Pourpre; Dofus Abyssal; Dofus Ivoire; Robuste majeur; Muldo Ebène</t>
        </is>
      </c>
    </row>
    <row r="28244">
      <c r="A28244" t="inlineStr">
        <is>
          <t>Crâ M 200</t>
        </is>
      </c>
      <c r="B28244">
        <f>HYPERLINK("https://www.dofusbook.net/fr/equipement/4279210-cra-m-200/objets", "link")</f>
        <v/>
      </c>
      <c r="C28244" t="n">
        <v>1</v>
      </c>
      <c r="D28244" t="inlineStr">
        <is>
          <t>Arc du Chalœil; Amulette du Strigide; Chevalière du Roi Joueur; Anneau Volkorne; Quatre-feuilles; Ceinture Volkorne; Couronne du Roi Joueur; Cape au Logis; Bottes du Roi Joueur; Dofus Pourpre; Dofus des Glaces; Dofus Ocre; Dofus Abyssal; Dofus Turquoise; Forcené majeur; Dragodinde Amande et Pourpre</t>
        </is>
      </c>
    </row>
    <row r="28245">
      <c r="A28245" t="inlineStr">
        <is>
          <t>Sram M 200</t>
        </is>
      </c>
      <c r="B28245">
        <f>HYPERLINK("https://www.dofusbook.net/fr/equipement/4293294-sram-m-200/objets", "link")</f>
        <v/>
      </c>
      <c r="C28245" t="n">
        <v>0</v>
      </c>
      <c r="D28245" t="inlineStr"/>
    </row>
    <row r="28246">
      <c r="A28246" t="inlineStr">
        <is>
          <t>DoPou</t>
        </is>
      </c>
      <c r="B28246">
        <f>HYPERLINK("https://www.dofusbook.net/fr/equipement/2709819-dopou/objets", "link")</f>
        <v/>
      </c>
      <c r="C28246" t="n">
        <v>0</v>
      </c>
      <c r="D28246" t="inlineStr">
        <is>
          <t>Arc du Chalœil; Torquistik; Bague Instable; Bague Trithon; Bouclier précieux; Ceinture Gence; Masque du Barbétoal; Cape Solution; Bottistik; Dofus Émeraude; Dofus Abyssal; Dofus Ocre; Bousculeur majeur; Pousseur majeur; Culbuteur majeur; Balafreux</t>
        </is>
      </c>
    </row>
    <row r="28247">
      <c r="A28247" t="inlineStr">
        <is>
          <t>Crâ M 200</t>
        </is>
      </c>
      <c r="B28247">
        <f>HYPERLINK("https://www.dofusbook.net/fr/equipement/4160854-cra-m-200/objets", "link")</f>
        <v/>
      </c>
      <c r="C28247" t="n">
        <v>2</v>
      </c>
      <c r="D28247" t="inlineStr">
        <is>
          <t>Arc Volkorne; Bracelet du Piloztère; Anneau Volkorne; Ceinture Volkorne; Casque Volkorne; Dofus Abyssal; Dofus Ocre; Dofus Pourpre; Dofus Turquoise; Dofus des Glaces</t>
        </is>
      </c>
    </row>
    <row r="28248">
      <c r="A28248" t="inlineStr">
        <is>
          <t>cgjcfgb</t>
        </is>
      </c>
      <c r="B28248">
        <f>HYPERLINK("https://www.dofusbook.net/fr/equipement/2709957-cgjcfgb/objets", "link")</f>
        <v/>
      </c>
      <c r="C28248" t="n">
        <v>0</v>
      </c>
      <c r="D28248" t="inlineStr">
        <is>
          <t>Arc du Chalœil; Amulette du Strigide; Anneau Volkorne; Anneau de Brouce; Quatre-feuilles; Ceinture Volkorne; Masque Trithon; Cape au Logis; Bottes de la Cour Sombre; Dofus Ocre; Dofus Pourpre; Dofus Abyssal; Dofus Turquoise; Dofus des Glaces; Remueur; Dragodinde Emeraude et Pourpre</t>
        </is>
      </c>
    </row>
    <row r="28249">
      <c r="A28249" t="inlineStr">
        <is>
          <t>2.49_test_2</t>
        </is>
      </c>
      <c r="B28249">
        <f>HYPERLINK("https://www.dofusbook.net/fr/equipement/4212818-2-49-test-2/objets", "link")</f>
        <v/>
      </c>
      <c r="C28249" t="n">
        <v>0</v>
      </c>
      <c r="D28249" t="inlineStr">
        <is>
          <t>Arc de Koutoulou; Collier du Valet Veinard; Gant du Valet Veinard; Alliance Gloursonne; Bouclier du Stalak; Ceinture de l'Esprit Salvateur; Masque de l'Esprit Salvateur; Cape du Valet Veinard; Bottes de l'Esprit Salvateur; Dofus Pourpre; Dofus Abyssal; Dofus Ivoire; Dofus des Glaces; Dofus Ébène; Robuste majeur; Muldo Ebène</t>
        </is>
      </c>
    </row>
    <row r="28250">
      <c r="A28250" t="inlineStr">
        <is>
          <t>2.49_test</t>
        </is>
      </c>
      <c r="B28250">
        <f>HYPERLINK("https://www.dofusbook.net/fr/equipement/4211018-2-49-test/objets", "link")</f>
        <v/>
      </c>
      <c r="C28250" t="n">
        <v>0</v>
      </c>
      <c r="D28250" t="inlineStr">
        <is>
          <t>Arc de Koutoulou; Collier du Valet Veinard; Alliance Gloursonne; Gant du Valet Veinard; Bouclier du Stalak; Ceinture de l'Esprit Salvateur; Masque de l'Esprit Salvateur; Cape du Valet Veinard; Bottes de l'Esprit Salvateur; Dofus des Glaces; Dofus Ébène; Dofus Pourpre; Dofus Abyssal; Dofus Ivoire; Robuste majeur; Muldo Ebène</t>
        </is>
      </c>
    </row>
    <row r="28251">
      <c r="A28251" t="inlineStr">
        <is>
          <t>Sram_feu_piege</t>
        </is>
      </c>
      <c r="B28251">
        <f>HYPERLINK("https://www.dofusbook.net/fr/equipement/4170381-sram-feu-piege/objets", "link")</f>
        <v/>
      </c>
      <c r="C28251" t="n">
        <v>1</v>
      </c>
      <c r="D28251" t="inlineStr">
        <is>
          <t>Massier; Talisman Igans; Anneau Tamie; Anneau Tamie; Bouclier du Stalak; Ceintrigue; Maskrobe; Cape de Diondin; Bottes Innommables; Dofus Pourpre; Dofus Nébuleux; Dofus des Glaces; Érudit majeur; Dévastateur Feu majeur; Vigoureux majeur; Bisouglours</t>
        </is>
      </c>
    </row>
    <row r="28252">
      <c r="A28252" t="inlineStr">
        <is>
          <t>Iop M 200</t>
        </is>
      </c>
      <c r="B28252">
        <f>HYPERLINK("https://www.dofusbook.net/fr/equipement/4210933-iop-m-200/objets", "link")</f>
        <v/>
      </c>
      <c r="C28252" t="n">
        <v>2</v>
      </c>
      <c r="D28252" t="inlineStr">
        <is>
          <t>Marteau R'ture; Amulette du Cœur Saignant; Bague Gloursonne; Bouclier du Captain Amakna; Casque en Grithril; Cape du Cœur Saignant; Bottes du Cœur Saignant; Dofus Turquoise; Dofus Ébène; Dofus Émeraude; Dofus Ocre; Dofus Pourpre; Dofus Ivoire; Bulbisou</t>
        </is>
      </c>
    </row>
    <row r="28253">
      <c r="A28253" t="inlineStr">
        <is>
          <t>Sram-ultime_2.49</t>
        </is>
      </c>
      <c r="B28253">
        <f>HYPERLINK("https://www.dofusbook.net/fr/equipement/4142727-sram-ultime-2-49/objets", "link")</f>
        <v/>
      </c>
      <c r="C28253" t="n">
        <v>0</v>
      </c>
      <c r="D28253" t="inlineStr"/>
    </row>
    <row r="28254">
      <c r="A28254" t="inlineStr">
        <is>
          <t>Sram M 200</t>
        </is>
      </c>
      <c r="B28254">
        <f>HYPERLINK("https://www.dofusbook.net/fr/equipement/4160905-sram-m-200/objets", "link")</f>
        <v/>
      </c>
      <c r="C28254" t="n">
        <v>2</v>
      </c>
      <c r="D28254" t="inlineStr">
        <is>
          <t>Marteau R'ture; Collier de Tourthon; Anneau Crustique; Anneau Crustique; Bouclier du Stalak; Ceinture de Brouce; Masque de Koutoulou; Cape au Logis; Bottes de Brouce; Dofus Nébuleux; Dofus Ocre; Dofus Abyssal; Dofus Pourpre; Furibond majeur; Enragé majeur; Bulbisou</t>
        </is>
      </c>
    </row>
    <row r="28255">
      <c r="A28255" t="inlineStr">
        <is>
          <t>Terre_2_49</t>
        </is>
      </c>
      <c r="B28255">
        <f>HYPERLINK("https://www.dofusbook.net/fr/equipement/4156406-terre-2-49/objets", "link")</f>
        <v/>
      </c>
      <c r="C28255" t="n">
        <v>2</v>
      </c>
      <c r="D28255" t="inlineStr">
        <is>
          <t>Arc du Chalœil; Amulette du Cœur Saignant; Chevalière du Roi Joueur; Anneau Crustique; Quatre-feuilles; Ceinture Volkorne; Couronne du Roi Joueur; Cape au Logis; Bottes du Roi Joueur; Dofus Forgelave; Dofus Ivoire; Dofus Ocre; Dofus Pourpre; Dofus Abyssal; Dofus Turquoise; Bulbisou</t>
        </is>
      </c>
    </row>
    <row r="28256">
      <c r="A28256" t="inlineStr">
        <is>
          <t>Prospection</t>
        </is>
      </c>
      <c r="B28256">
        <f>HYPERLINK("https://www.dofusbook.net/fr/equipement/3659762-prospection/objets", "link")</f>
        <v/>
      </c>
      <c r="C28256" t="n">
        <v>0</v>
      </c>
      <c r="D28256" t="inlineStr">
        <is>
          <t>Hache à Lamelles; Collier du Minotot; Anneau Tique; Anneau Chevelu; Bouclier du Bûcheron; Tranche des Sous-bois; Casque Harnage; Cape du Minotot; Bottines des sous-bois; Dokille; Dofus Kaliptus; Taquin; Joueur majeur; Joueur; Taquin majeur; Nomoon</t>
        </is>
      </c>
    </row>
    <row r="28257">
      <c r="A28257" t="inlineStr">
        <is>
          <t>Terre_2.48</t>
        </is>
      </c>
      <c r="B28257">
        <f>HYPERLINK("https://www.dofusbook.net/fr/equipement/4122476-terre-2-48/objets", "link")</f>
        <v/>
      </c>
      <c r="C28257" t="n">
        <v>2</v>
      </c>
      <c r="D28257" t="inlineStr">
        <is>
          <t>Arc du Chalœil; Collier de Tourthon; Chevalière du Roi Joueur; Anneau de Brouce; Quatre-feuilles; Ceinture de Brouce; Couronne du Roi Joueur; Cape au Logis; Bottes de Brouce; Dofus Pourpre; Dofus Abyssal; Dofus Ocre; Dofus Ivoire; Dofus Turquoise; Dofus Nébuleux; Bwak de Terre</t>
        </is>
      </c>
    </row>
    <row r="28258">
      <c r="A28258" t="inlineStr">
        <is>
          <t>Feu_2.48</t>
        </is>
      </c>
      <c r="B28258">
        <f>HYPERLINK("https://www.dofusbook.net/fr/equipement/4122373-feu-2-48/objets", "link")</f>
        <v/>
      </c>
      <c r="C28258" t="n">
        <v>0</v>
      </c>
      <c r="D28258" t="inlineStr">
        <is>
          <t>Arc corrompu; Amulette Séculaire; Anneau Toriété; Anneau de Nidas; Bouclier du Stalak; Ceinture Séculaire; Coiffe Séculaire; Cape de Diondin; Bottes Innommables; Dofus Pourpre; Dofus des Glaces; Dofus Nébuleux; Dofus Abyssal; Dolmanax; Dofus Ivoire; Bisouglours</t>
        </is>
      </c>
    </row>
    <row r="28259">
      <c r="A28259" t="inlineStr">
        <is>
          <t>ECA 2 TERRE DO POU</t>
        </is>
      </c>
      <c r="B28259">
        <f>HYPERLINK("https://www.dofusbook.net/fr/equipement/3738017-eca-2-terre-do-pou/objets", "link")</f>
        <v/>
      </c>
      <c r="C28259" t="n">
        <v>0</v>
      </c>
      <c r="D28259" t="inlineStr">
        <is>
          <t>Arc du Chalœil; Collier de Tourthon; Anneau Crustique; Bague Trithon; Bouclier du Stalak; Ceinture Gence; Masque Trithon; Cape au Logis; Bottes de la Cour Sombre; Dofus des Glaces; Dofus Abyssal; Dofus Pourpre; Remueur; Enragé majeur; Carapace Terre majeur; Pioute vert</t>
        </is>
      </c>
    </row>
    <row r="28260">
      <c r="A28260" t="inlineStr">
        <is>
          <t>ECA 3 FULL eau</t>
        </is>
      </c>
      <c r="B28260">
        <f>HYPERLINK("https://www.dofusbook.net/fr/equipement/3737467-eca-3-full-eau/objets", "link")</f>
        <v/>
      </c>
      <c r="C28260" t="n">
        <v>0</v>
      </c>
      <c r="D28260" t="inlineStr">
        <is>
          <t>Sceptre du Roi Joueur; Amulette Voldelor; Alliance Gloursonne; Bague Trithon; Bouclier du Stalak; Sangle Ouare; Masque Trithon; Cape Solution; Bottes du Sinistrofu; Dofus Abyssal; Dofus Pourpre; Dofus des Glaces; Vigoureux majeur; Remueur; Chanceux majeur; Pioute bleu</t>
        </is>
      </c>
    </row>
    <row r="28261">
      <c r="A28261" t="inlineStr">
        <is>
          <t>ECA 4 tromprie</t>
        </is>
      </c>
      <c r="B28261">
        <f>HYPERLINK("https://www.dofusbook.net/fr/equipement/3784059-eca-4-tromprie/objets", "link")</f>
        <v/>
      </c>
      <c r="C28261" t="n">
        <v>0</v>
      </c>
      <c r="D28261" t="inlineStr">
        <is>
          <t>Arc du Chalœil; Amulette Volkorne; Anneau Volkorne; Chevalière du Roi Joueur; Bouclier du Stalak; Ceinture Volkorne; Couronne du Roi Joueur; Voile d'encre; Bottes du Roi Joueur; Dofus Ocre; Dofus Abyssal; Dofus Pourpre; Dofus des Glaces; Pioute vert</t>
        </is>
      </c>
    </row>
    <row r="28262">
      <c r="A28262" t="inlineStr">
        <is>
          <t>ECA 1 Terre</t>
        </is>
      </c>
      <c r="B28262">
        <f>HYPERLINK("https://www.dofusbook.net/fr/equipement/3744573-eca-1-terre/objets", "link")</f>
        <v/>
      </c>
      <c r="C28262" t="n">
        <v>0</v>
      </c>
      <c r="D28262" t="inlineStr">
        <is>
          <t>Arc du Chalœil; Collier de Tourthon; Anneau de Brouce; Bracelet du Piloztère; Bouclier du Stalak; Ceinture Gence; Couronne du Roi Joueur; Cape au Logis; Bottes du Roi Joueur; Dofus Abyssal; Dofus Pourpre; Dofus des Glaces; Enragé majeur; Remueur; Carapace Terre majeur; Pioute vert</t>
        </is>
      </c>
    </row>
    <row r="28263">
      <c r="A28263" t="inlineStr">
        <is>
          <t>Sadida F 200</t>
        </is>
      </c>
      <c r="B28263">
        <f>HYPERLINK("https://www.dofusbook.net/fr/equipement/3919827-sadida-f-200/objets", "link")</f>
        <v/>
      </c>
      <c r="C28263" t="n">
        <v>1</v>
      </c>
      <c r="D28263" t="inlineStr"/>
    </row>
    <row r="28264">
      <c r="A28264" t="inlineStr">
        <is>
          <t>Feu_2.48</t>
        </is>
      </c>
      <c r="B28264">
        <f>HYPERLINK("https://www.dofusbook.net/fr/equipement/3838730-feu-2-48/objets", "link")</f>
        <v/>
      </c>
      <c r="C28264" t="n">
        <v>0</v>
      </c>
      <c r="D28264" t="inlineStr">
        <is>
          <t>Massier; Pendentif affamé; Anneau Tamie; Anneau Tamie; Bouclier du Stalak; Ceinture Séculaire; Coiffe Séculaire; Cape de Diondin; Bottes Innommables; Dofus Abyssal; Dofus des Glaces; Dofus Nébuleux; Dofus Ocre; Nomade; Érudit majeur; Bisouglours</t>
        </is>
      </c>
    </row>
    <row r="28265">
      <c r="A28265" t="inlineStr">
        <is>
          <t>Terre_2.48</t>
        </is>
      </c>
      <c r="B28265">
        <f>HYPERLINK("https://www.dofusbook.net/fr/equipement/3838557-terre-2-48/objets", "link")</f>
        <v/>
      </c>
      <c r="C28265" t="n">
        <v>0</v>
      </c>
      <c r="D28265" t="inlineStr">
        <is>
          <t>Arc du Chalœil; Amulette du Strigide; Anneau Crustique; Anneau Crustique; Bouclier du Stalak; Ceinture de Brouce; Masque de Koutoulou; Cape au Logis; Bottes du Strigide; Dofus Abyssal; Dofus Ivoire; Dofus Ocre; Enragé majeur; Carapace Terre majeur; Observateur; Bulbisou</t>
        </is>
      </c>
    </row>
    <row r="28266">
      <c r="A28266" t="inlineStr">
        <is>
          <t>Sram M 200</t>
        </is>
      </c>
      <c r="B28266">
        <f>HYPERLINK("https://www.dofusbook.net/fr/equipement/3780847-sram-m-200/objets", "link")</f>
        <v/>
      </c>
      <c r="C28266" t="n">
        <v>0</v>
      </c>
      <c r="D28266" t="inlineStr">
        <is>
          <t>Manthache; Collier du Valet Veinard; Alliance Gloursonne; Gant du Valet Veinard; Bouclier du Stalak; Menoture; Couronne d'Allister; Cape Indescriptible; Palmes Trithons; Dofus Abyssal; Dofus des Glaces; Dofus Ocre; Cascadeur majeur; Nomade; Carapace Air majeur; Blérodoudou</t>
        </is>
      </c>
    </row>
    <row r="28267">
      <c r="A28267" t="inlineStr">
        <is>
          <t>terre aire</t>
        </is>
      </c>
      <c r="B28267">
        <f>HYPERLINK("https://www.dofusbook.net/fr/equipement/3028455-terre-aire/objets", "link")</f>
        <v/>
      </c>
      <c r="C28267" t="n">
        <v>2</v>
      </c>
      <c r="D28267" t="inlineStr">
        <is>
          <t>Arc du Chalœil; Collier de Tourthon; Anneau Crustique; Bague Trithon; Quatre-feuilles; Ceinture de la Cour Sombre; Masque de Koutoulou; Cape au Logis; Bottes Trithon; Dofus Pourpre; Dofus des Glaces; Dofus Abyssal; Enragé majeur; Remueur; Forcené majeur; Muldo Pourpre</t>
        </is>
      </c>
    </row>
    <row r="28268">
      <c r="A28268" t="inlineStr">
        <is>
          <t>Pandawa M 200</t>
        </is>
      </c>
      <c r="B28268">
        <f>HYPERLINK("https://www.dofusbook.net/fr/equipement/3673057-pandawa-m-200/objets", "link")</f>
        <v/>
      </c>
      <c r="C28268" t="n">
        <v>0</v>
      </c>
      <c r="D28268" t="inlineStr">
        <is>
          <t>Rapière aux Glyphes; Pendentif Oton; Pikano; Alliance Gloursonne; Bouclier Taverne; Ceinture Glaciale; Casquipik; Cape Matelassée; Sandales Circulaires du Kimbo; Miraculé majeur; Remueur; Vigoureux majeur; Nomade; Joueur majeur; Chanceux majeur; Muldo Indigo</t>
        </is>
      </c>
    </row>
    <row r="28269">
      <c r="A28269" t="inlineStr">
        <is>
          <t>Iop M 200</t>
        </is>
      </c>
      <c r="B28269">
        <f>HYPERLINK("https://www.dofusbook.net/fr/equipement/3666914-iop-m-200/objets", "link")</f>
        <v/>
      </c>
      <c r="C28269" t="n">
        <v>1</v>
      </c>
      <c r="D28269" t="inlineStr">
        <is>
          <t>Marteau R'ture; Collier de Tourthon; Anneau Crustique; Anneau Crustique; Bouclier du Captain Amakna; Ceinture de Brouce; Coiffe du Comte Harebourg; Cape au Logis; Bottes du Comte Harebourg; Dofus Pourpre; Dofus Ocre; Dofus Nébuleux; Dofus Turquoise; Vigoureux majeur; Enragé majeur; Dragodinde Ivoire et Pourpre</t>
        </is>
      </c>
    </row>
    <row r="28270">
      <c r="A28270" t="inlineStr">
        <is>
          <t>Iop M 200</t>
        </is>
      </c>
      <c r="B28270">
        <f>HYPERLINK("https://www.dofusbook.net/fr/equipement/3666885-iop-m-200/objets", "link")</f>
        <v/>
      </c>
      <c r="C28270" t="n">
        <v>0</v>
      </c>
      <c r="D28270" t="inlineStr">
        <is>
          <t>Arc corrompu; Amulette Séculaire; Anneau de Nidas; Bague Gloursonne; Bouclier du Captain Amakna; Ceinture Séculaire; Coiffe Séculaire; Cape de Diondin; Bottes Innommables; Dofus Pourpre; Dofus Ivoire; Dofus Turquoise; Dofus Nébuleux; Dofus Émeraude; Dofus Abyssal; Muldo Orchidée</t>
        </is>
      </c>
    </row>
    <row r="28271">
      <c r="A28271" t="inlineStr">
        <is>
          <t>Iop M 200</t>
        </is>
      </c>
      <c r="B28271">
        <f>HYPERLINK("https://www.dofusbook.net/fr/equipement/3658693-iop-m-200/objets", "link")</f>
        <v/>
      </c>
      <c r="C28271" t="n">
        <v>1</v>
      </c>
      <c r="D28271" t="inlineStr">
        <is>
          <t>Arc Volkorne; Amulette Volkorne; Alliance Gloursonne; Bague Gloursonne; Bouclier du Stalak; Ceintacé; Casque Volkorne; Chevelure de Tal Kasha; Sandales de Tal Kasha; Dofus Abyssal; Dofus des Glaces; Dofus Turquoise; Dofus Nébuleux; Dofus Ivoire; Dofus Ocre; Muldo Prune et Emeraude</t>
        </is>
      </c>
    </row>
    <row r="28272">
      <c r="A28272" t="inlineStr">
        <is>
          <t>Sram M 200</t>
        </is>
      </c>
      <c r="B28272">
        <f>HYPERLINK("https://www.dofusbook.net/fr/equipement/3657843-sram-m-200/objets", "link")</f>
        <v/>
      </c>
      <c r="C28272" t="n">
        <v>1</v>
      </c>
      <c r="D28272" t="inlineStr">
        <is>
          <t>Marteau des égarés; Amulette Volkorne; Bague Trithon; Bracelet du Piloztère; Bouclier du Stalak; Ceinture Volkorne; Casque Volkorne; Chevelure de Tal Kasha; Bottes Trithon; Dofus Ocre; Dofus Ivoire; Dolmanax; Dofus des Glaces; Dofus Turquoise; Dofus Abyssal; Volkorne Rubis et Emeraude</t>
        </is>
      </c>
    </row>
    <row r="28273">
      <c r="A28273" t="inlineStr">
        <is>
          <t>Steamer M 200</t>
        </is>
      </c>
      <c r="B28273">
        <f>HYPERLINK("https://www.dofusbook.net/fr/equipement/3635693-steamer-m-200/objets", "link")</f>
        <v/>
      </c>
      <c r="C28273" t="n">
        <v>3</v>
      </c>
      <c r="D28273" t="inlineStr">
        <is>
          <t>Arc Volkorne; Amulette du Strigide; Alliance Gloursonne; Bague Trithon; Bouclier du Stalak; Ceinture du Strigide; Masque Trithon; Voile d'encre; Bottes du Strigide; Dolmanax; Dofus Pourpre; Dofus Ocre; Dofus des Glaces; Dofus Nébuleux; Dofus Turquoise; Muldo Ebène et Indigo</t>
        </is>
      </c>
    </row>
    <row r="28274">
      <c r="A28274" t="inlineStr">
        <is>
          <t>Sram M 200</t>
        </is>
      </c>
      <c r="B28274">
        <f>HYPERLINK("https://www.dofusbook.net/fr/equipement/3631629-sram-m-200/objets", "link")</f>
        <v/>
      </c>
      <c r="C28274" t="n">
        <v>0</v>
      </c>
      <c r="D28274" t="inlineStr">
        <is>
          <t>Arc corrompu; Amulette Séculaire; Anneau Tamie; Bague Gloursonne; Bouclier du Stalak; Ceinture Séculaire; Cagoule de Vortex; Cape de Diondin; Sabots de Vortex; Dofus Ocre; Dofus Abyssal; Dofus Pourpre; Dofus Nébuleux; Dofus Ivoire; Dofus des Glaces; Muldo Orchidée et Pourpre</t>
        </is>
      </c>
    </row>
    <row r="28275">
      <c r="A28275" t="inlineStr">
        <is>
          <t>Sram M 200</t>
        </is>
      </c>
      <c r="B28275">
        <f>HYPERLINK("https://www.dofusbook.net/fr/equipement/3631087-sram-m-200/objets", "link")</f>
        <v/>
      </c>
      <c r="C28275" t="n">
        <v>0</v>
      </c>
      <c r="D28275" t="inlineStr">
        <is>
          <t>Arc de Koutoulou; Amulette du Strigide; Bracelet du Piloztère; Alliance Gloursonne; Bouclier du Stalak; Ceinture du Strigide; Némès de Tal Kasha; Chevelure de Tal Kasha; Sandales de Tal Kasha; Dofus Abyssal; Dofus des Glaces; Dofus Pourpre; Dofus Ocre; Dofus Ivoire; Dofus Turquoise; Muldo Indigo et Emeraude</t>
        </is>
      </c>
    </row>
    <row r="28276">
      <c r="A28276" t="inlineStr">
        <is>
          <t>Sram M 200</t>
        </is>
      </c>
      <c r="B28276">
        <f>HYPERLINK("https://www.dofusbook.net/fr/equipement/3631027-sram-m-200/objets", "link")</f>
        <v/>
      </c>
      <c r="C28276" t="n">
        <v>1</v>
      </c>
      <c r="D28276" t="inlineStr">
        <is>
          <t>Arc Honte; Amulette de l'Indicible; Anneauræus; Bague Gloursonne; Bouclier du Stalak; Ceinture de l'Esprit Salvateur; Masque de l'Esprit Salvateur; Cape de Diondin; Bottes de l'Indicible; Dofus Ocre; Dofus Abyssal; Dofus Pourpre; Dofus Nébuleux; Dofus Ivoire; Dofus des Glaces; Muldo Orchidée et Pourpre</t>
        </is>
      </c>
    </row>
    <row r="28277">
      <c r="A28277" t="inlineStr">
        <is>
          <t>Terre_nébuleux</t>
        </is>
      </c>
      <c r="B28277">
        <f>HYPERLINK("https://www.dofusbook.net/fr/equipement/3628895-terre-nebuleux-/objets", "link")</f>
        <v/>
      </c>
      <c r="C28277" t="n">
        <v>2</v>
      </c>
      <c r="D28277" t="inlineStr">
        <is>
          <t>Marteau R'ture; Amulette du Strigide; Anneau Crustique; Bracelet du Piloztère; Quatre-feuilles; Ceinture Volkorne; Masque de Koutoulou; Cape au Logis; Bottes du Strigide; Dofus Abyssal; Dofus Ocre; Dofus Ivoire; Dofus Turquoise; Dolmanax; Dofus Pourpre; Dragodinde Prune et Emeraude</t>
        </is>
      </c>
    </row>
    <row r="28278">
      <c r="A28278" t="inlineStr">
        <is>
          <t>Pano_Rapacenoob</t>
        </is>
      </c>
      <c r="B28278">
        <f>HYPERLINK("https://www.dofusbook.net/fr/equipement/2853567-pano-rapacenoob/objets", "link")</f>
        <v/>
      </c>
      <c r="C28278" t="n">
        <v>1</v>
      </c>
      <c r="D28278" t="inlineStr">
        <is>
          <t>Arc de Koutoulou; Collier du Valet Veinard; Gant du Valet Veinard; Alliance Gloursonne; Bouclier du Stalak; Ceinture de l'Esprit Salvateur; Masque de l'Esprit Salvateur; Cape du Valet Veinard; Bottes de l'Esprit Salvateur; Dofus Abyssal; Dofus des Glaces; Dolmanax; Dofus Ocre; Dofus Pourpre; Robuste majeur; Muldo Ebène</t>
        </is>
      </c>
    </row>
    <row r="28279">
      <c r="A28279" t="inlineStr">
        <is>
          <t>full air</t>
        </is>
      </c>
      <c r="B28279">
        <f>HYPERLINK("https://www.dofusbook.net/fr/equipement/3620167-full-air/objets", "link")</f>
        <v/>
      </c>
      <c r="C28279" t="n">
        <v>0</v>
      </c>
      <c r="D28279" t="inlineStr">
        <is>
          <t>Manthache; Collier du Valet Veinard; Alliance Gloursonne; Gant du Valet Veinard; Bouclier du Stalak; Menoture; Couronne d'Allister; Cape Indescriptible; Palmes Trithons; Dofus Ocre; Dofus des Glaces; Dofus Pourpre; Vigoureux majeur; Nomade; Cascadeur majeur; Dragodinde Ebène et Ivoire</t>
        </is>
      </c>
    </row>
    <row r="28280">
      <c r="A28280" t="inlineStr">
        <is>
          <t>Sram M 200</t>
        </is>
      </c>
      <c r="B28280">
        <f>HYPERLINK("https://www.dofusbook.net/fr/equipement/3618709-sram-m-200/objets", "link")</f>
        <v/>
      </c>
      <c r="C28280" t="n">
        <v>2</v>
      </c>
      <c r="D28280" t="inlineStr">
        <is>
          <t>Massier; Amulette Martegel; Bague Gloursonne; Anneau Tamie; Bouclier du Stalak; Ceintrigue; Masquegel; Cape Martegel; Bottes Owesli; Dofus des Glaces; Dolmanax; Dofus Nébuleux; Dofus Ocre; Dofus Pourpre; Dofus Abyssal; Muldo Orchidée</t>
        </is>
      </c>
    </row>
    <row r="28281">
      <c r="A28281" t="inlineStr">
        <is>
          <t>Full terre</t>
        </is>
      </c>
      <c r="B28281">
        <f>HYPERLINK("https://www.dofusbook.net/fr/equipement/3615283-full-terre/objets", "link")</f>
        <v/>
      </c>
      <c r="C28281" t="n">
        <v>2</v>
      </c>
      <c r="D28281" t="inlineStr">
        <is>
          <t>Dagues d'Ilyzaelle; Amulette du Cœur Saignant; Bague Gloursonne; Anneau Crustique; Bouclier du Stalak; Ceinture Volkorne; Masque de Koutoulou; Cape au Logis; Bottes du Cœur Saignant; Dofus Ocre; Dofus des Glaces; Dofus Pourpre; Dofus Abyssal; Dofus Turquoise; Dofus Nébuleux; Dragodinde Ivoire et Pourpre</t>
        </is>
      </c>
    </row>
    <row r="28282">
      <c r="A28282" t="inlineStr">
        <is>
          <t>Full feu</t>
        </is>
      </c>
      <c r="B28282">
        <f>HYPERLINK("https://www.dofusbook.net/fr/equipement/3615103-full-feu/objets", "link")</f>
        <v/>
      </c>
      <c r="C28282" t="n">
        <v>1</v>
      </c>
      <c r="D28282" t="inlineStr">
        <is>
          <t>Arc corrompu; Amulette Séculaire; Anneau Tamie; Anneau Hell; Bouclier du Stalak; Sangle Glinglin; Chapeau Grave; Cape Routh; Bottes Hox; Dofus Ocre; Dofus Abyssal; Dofus des Glaces; Dofus Turquoise; Dofus Pourpre; Dofus Ivoire; Muldo Orchidée</t>
        </is>
      </c>
    </row>
    <row r="28283">
      <c r="A28283" t="inlineStr">
        <is>
          <t>multi crit</t>
        </is>
      </c>
      <c r="B28283">
        <f>HYPERLINK("https://www.dofusbook.net/fr/equipement/3423288-multi-crit/objets", "link")</f>
        <v/>
      </c>
      <c r="C28283" t="n">
        <v>0</v>
      </c>
      <c r="D28283" t="inlineStr">
        <is>
          <t>Arc du Chalœil; Amulette du Strigide; Alliance Gloursonne; Anneau Crustique; Bouclier Taverne; Ceinture de la Reine des Voleurs; Coiffe de la Reine des Voleurs; Cape au Logis; Bottes Honyme; Dofus des Glaces; Dofus Pourpre; Dofus Abyssal; Remueur; Enragé majeur; Muldo Indigo et Pourpre</t>
        </is>
      </c>
    </row>
    <row r="28284">
      <c r="A28284" t="inlineStr">
        <is>
          <t>Iop M 200</t>
        </is>
      </c>
      <c r="B28284">
        <f>HYPERLINK("https://www.dofusbook.net/fr/equipement/3595772-iop-m-200/objets", "link")</f>
        <v/>
      </c>
      <c r="C28284" t="n">
        <v>1</v>
      </c>
      <c r="D28284" t="inlineStr">
        <is>
          <t>Dagues d'Ilyzaelle; Amulette du Cœur Saignant; Anneau Crustique; Bague Trithon; Bouclier du Captain Amakna; Sangle de Sylargh; Masque Trithon; Cape du Cœur Saignant; Bottes du Cœur Saignant; Dofus Pourpre; Dofus Ocre; Dofus Turquoise; Dofus des Glaces; Dolmanax; Dofus Nébuleux; Muldo Prune et Emeraude</t>
        </is>
      </c>
    </row>
    <row r="28285">
      <c r="A28285" t="inlineStr">
        <is>
          <t>Sram_terre</t>
        </is>
      </c>
      <c r="B28285">
        <f>HYPERLINK("https://www.dofusbook.net/fr/equipement/3590811-sram-terre/objets", "link")</f>
        <v/>
      </c>
      <c r="C28285" t="n">
        <v>1</v>
      </c>
      <c r="D28285" t="inlineStr">
        <is>
          <t>Marteau R'ture; Amulette du Cœur Saignant; Baguistik; Chevalière du Roi Joueur; Bouclier cubiste; Ceinture Volkorne; Couronne du Roi Joueur; Cape du Cœur Saignant; Bottes du Cœur Saignant; Dofus Abyssal; Dofus Turquoise; Dofus Ivoire; Dofus Ocre; Dofus des Glaces; Dofus Pourpre; Muldo Indigo</t>
        </is>
      </c>
    </row>
    <row r="28286">
      <c r="A28286" t="inlineStr">
        <is>
          <t>Sram_erosion</t>
        </is>
      </c>
      <c r="B28286">
        <f>HYPERLINK("https://www.dofusbook.net/fr/equipement/3590751-sram-erosion/objets", "link")</f>
        <v/>
      </c>
      <c r="C28286" t="n">
        <v>1</v>
      </c>
      <c r="D28286" t="inlineStr">
        <is>
          <t>Bâton Beau; Amulette du Strigide; Bague Trithon; Bracelet du Piloztère; Bouclier du Captain Amakna; Ceinture du Strigide; Coiffe de la Reine des Voleurs; Chevelure de Tal Kasha; Bottes du Strigide; Dofus Pourpre; Dofus des Glaces; Dofus Turquoise; Dofus Abyssal; Dofus Ocre; Dofus Ivoire; Muldo Indigo et Orchidée</t>
        </is>
      </c>
    </row>
    <row r="28287">
      <c r="A28287" t="inlineStr">
        <is>
          <t>eca full terre</t>
        </is>
      </c>
      <c r="B28287">
        <f>HYPERLINK("https://www.dofusbook.net/fr/equipement/3545899-eca-full-terre/objets", "link")</f>
        <v/>
      </c>
      <c r="C28287" t="n">
        <v>0</v>
      </c>
      <c r="D28287" t="inlineStr">
        <is>
          <t>Arc du Chalœil; Collier de Tourthon; Anneau Crustique; Bague Trithon; Bouclier Taverne; Ceinture Gence; Masque Trithon; Cape au Logis; Bottes de la Cour Sombre; Dofus Pourpre; Dofus des Glaces; Dofus Abyssal; Culbuteur majeur; Remueur; Enragé majeur; Muldo Pourpre</t>
        </is>
      </c>
    </row>
    <row r="28288">
      <c r="A28288" t="inlineStr">
        <is>
          <t>terre aire</t>
        </is>
      </c>
      <c r="B28288">
        <f>HYPERLINK("https://www.dofusbook.net/fr/equipement/2706313-terre-aire/objets", "link")</f>
        <v/>
      </c>
      <c r="C28288" t="n">
        <v>3</v>
      </c>
      <c r="D28288" t="inlineStr">
        <is>
          <t>Héqache; Collier de Tourthon; Anneau Crustique; Bague Trithon; Bouclier Taverne; Ceinture Gence; Masque Trithon; Cape au Logis; Bottes de la Cour Sombre; Dofus Pourpre; Dofus des Glaces; Dofus Abyssal; Enragé majeur; Culbuteur majeur; Remueur; Muldo Pourpre</t>
        </is>
      </c>
    </row>
    <row r="28289">
      <c r="A28289" t="inlineStr">
        <is>
          <t>do pou</t>
        </is>
      </c>
      <c r="B28289">
        <f>HYPERLINK("https://www.dofusbook.net/fr/equipement/2856216-do-pou-/objets", "link")</f>
        <v/>
      </c>
      <c r="C28289" t="n">
        <v>1</v>
      </c>
      <c r="D28289" t="inlineStr">
        <is>
          <t>Héqache; Collier de Tourthon; Bague Trithon; Anneau de Brouce; Bouclier Taverne; Ceinture Gence; Masque Trithon; Cape au Logis; Bottistik; Dofus des Glaces; Dofus Abyssal; Dofus Pourpre; Remueur; Enragé majeur; Culbuteur majeur; Muldo Pourpre</t>
        </is>
      </c>
    </row>
    <row r="28290">
      <c r="A28290" t="inlineStr">
        <is>
          <t>Multi</t>
        </is>
      </c>
      <c r="B28290">
        <f>HYPERLINK("https://www.dofusbook.net/fr/equipement/2606261-multi/objets", "link")</f>
        <v/>
      </c>
      <c r="C28290" t="n">
        <v>2</v>
      </c>
      <c r="D28290" t="inlineStr">
        <is>
          <t>Héqache; Collier de Tourthon; Anneau des égarés; Alliance Gloursonne; Bouclier Taverne; Ceinture de la Reine des Voleurs; Coiffe de la Reine des Voleurs; Ankhape; Baleinabottes; Dofus des Glaces; Dofus Abyssal; Dofus Pourpre; Remueur; Enragé majeur; Culbuteur majeur; Muldo Ebène et Orchidée</t>
        </is>
      </c>
    </row>
    <row r="28291">
      <c r="A28291" t="inlineStr">
        <is>
          <t>eau feu</t>
        </is>
      </c>
      <c r="B28291">
        <f>HYPERLINK("https://www.dofusbook.net/fr/equipement/2837192-eau-feu/objets", "link")</f>
        <v/>
      </c>
      <c r="C28291" t="n">
        <v>0</v>
      </c>
      <c r="D28291" t="inlineStr">
        <is>
          <t>Arc Nécrotique; Pendentif affamé; Alliance Gloursonne; Anneauræus; Quatre-feuilles; Ceinture du Strigide; Heaume Oplate; Cape de la Dame du Hasard; Bottes de la Dame du Hasard; Dofus Turquoise; Dofus Abyssal; Dofus Pourpre; Dofus des Glaces; Remueur; Vigoureux majeur; Muldo Orchidée</t>
        </is>
      </c>
    </row>
    <row r="28292">
      <c r="A28292" t="inlineStr">
        <is>
          <t>eau</t>
        </is>
      </c>
      <c r="B28292">
        <f>HYPERLINK("https://www.dofusbook.net/fr/equipement/2934015-eau/objets", "link")</f>
        <v/>
      </c>
      <c r="C28292" t="n">
        <v>0</v>
      </c>
      <c r="D28292" t="inlineStr">
        <is>
          <t>Sceptre du Roi Joueur; Amulette du Sinistrofu; Alliance Gloursonne; Lavanneau; Bouclier Taverne; Poulpagne; Capuche de l'Œil Attentif; Cape de l'Œil Attentif; Sandales des Fonds marins; Dofus des Glaces; Dofus Émeraude; Dofus Abyssal; Dofus Pourpre; Remueur; Chanceux majeur; Muldo Indigo et Orchidée</t>
        </is>
      </c>
    </row>
    <row r="28293">
      <c r="A28293" t="inlineStr">
        <is>
          <t>Iop M 200</t>
        </is>
      </c>
      <c r="B28293">
        <f>HYPERLINK("https://www.dofusbook.net/fr/equipement/3320346-iop-m-200/objets", "link")</f>
        <v/>
      </c>
      <c r="C28293" t="n">
        <v>0</v>
      </c>
      <c r="D28293" t="inlineStr">
        <is>
          <t>Arc corrompu; Amulette de Nileza; Anneau Tique; Anneauræus; Bouclier du Stalak; Ceintacé; Cape de Nileza; Bottes Innommables; Dofus Abyssal; Dofus Pourpre; Dofus des Glaces; Dokoko; Remueur; Érudit majeur; Muldo Orchidée et Pourpre</t>
        </is>
      </c>
    </row>
    <row r="28294">
      <c r="A28294" t="inlineStr">
        <is>
          <t>terre do crit</t>
        </is>
      </c>
      <c r="B28294">
        <f>HYPERLINK("https://www.dofusbook.net/fr/equipement/2981187-terre-do-crit/objets", "link")</f>
        <v/>
      </c>
      <c r="C28294" t="n">
        <v>2</v>
      </c>
      <c r="D28294" t="inlineStr">
        <is>
          <t>Héqache; Amulette du Strigide; Anneau de Brouce; Anneau Crustique; Bouclier Taverne; Ceinture Gence; Masque Trithon; Cape au Logis; Bottes Trithon; Dofus Turquoise; Dofus Abyssal; Dofus Pourpre; Dofus des Glaces; Enragé majeur; Remueur; Muldo Ebène et Pourpre</t>
        </is>
      </c>
    </row>
    <row r="28295">
      <c r="A28295" t="inlineStr">
        <is>
          <t>Ouginak M 200</t>
        </is>
      </c>
      <c r="B28295">
        <f>HYPERLINK("https://www.dofusbook.net/fr/equipement/3302114-ouginak-m-200/objets", "link")</f>
        <v/>
      </c>
      <c r="C28295" t="n">
        <v>0</v>
      </c>
      <c r="D28295" t="inlineStr">
        <is>
          <t>Rapière aux Glyphes; Amulette de l'Œil Attentif; Alliance Gloursonne; Lavanneau; Bouclier Taverne; Ceinture Glaciale; Capuche de l'Œil Attentif; Cape Solution; Sandales des Fonds marins; Dofus Abyssal; Dofus des Glaces; Dokoko; Dofus Pourpre; Chanceux majeur; Remueur; Muldo Orchidée</t>
        </is>
      </c>
    </row>
    <row r="28296">
      <c r="A28296" t="inlineStr">
        <is>
          <t>Iop M 200</t>
        </is>
      </c>
      <c r="B28296">
        <f>HYPERLINK("https://www.dofusbook.net/fr/equipement/3266599-iop-m-200/objets", "link")</f>
        <v/>
      </c>
      <c r="C28296" t="n">
        <v>0</v>
      </c>
      <c r="D28296" t="inlineStr">
        <is>
          <t>Arc corrompu; Amulette Séculaire; Anneau Tique; Anneau de Padgref; Quatre-feuilles; Ceinture Séculaire; Coiffe Séculaire; Cape de la Dame du Hasard; Getas de Padgref; Dofus Pourpre; Dofus des Glaces; Dofus Turquoise; Dofus Abyssal; Dolmanax; Dofus Ocre; Muldo Pourpre</t>
        </is>
      </c>
    </row>
    <row r="28297">
      <c r="A28297" t="inlineStr">
        <is>
          <t>terre do crit</t>
        </is>
      </c>
      <c r="B28297">
        <f>HYPERLINK("https://www.dofusbook.net/fr/equipement/3133425-terre-do-crit/objets", "link")</f>
        <v/>
      </c>
      <c r="C28297" t="n">
        <v>0</v>
      </c>
      <c r="D28297" t="inlineStr">
        <is>
          <t>Héqache; Amulette du Strigide; Bague Trithon; Alliance Gloursonne; Bouclier Taverne; Ceinture du Strigide; Masque Trithon; Cape au Logis; Bottes Trithon; Dofus Turquoise; Dofus Abyssal; Dofus Ocre; Dokoko; Dofus Pourpre; Dofus des Glaces; Muldo Ebène et Pourpre</t>
        </is>
      </c>
    </row>
    <row r="28298">
      <c r="A28298" t="inlineStr">
        <is>
          <t>Multi</t>
        </is>
      </c>
      <c r="B28298">
        <f>HYPERLINK("https://www.dofusbook.net/fr/equipement/2949762-multi/objets", "link")</f>
        <v/>
      </c>
      <c r="C28298" t="n">
        <v>1</v>
      </c>
      <c r="D28298" t="inlineStr">
        <is>
          <t>Arc de Koutoulou; Amulette du Strigide; Alliance Gloursonne; Bague Gloursonne; Quatre-feuilles; Ceinture du Strigide; Némès de Tal Kasha; Chevelure de Tal Kasha; Sandales de Tal Kasha; Dofus Ocre; Dofus des Glaces; Dofus Abyssal; Dofus Turquoise; Dolmanax; Dofus Pourpre; Muldo Ebène et Indigo</t>
        </is>
      </c>
    </row>
    <row r="28299">
      <c r="A28299" t="inlineStr">
        <is>
          <t>mkjhbg</t>
        </is>
      </c>
      <c r="B28299">
        <f>HYPERLINK("https://www.dofusbook.net/fr/equipement/3048012-mkjhbg/objets", "link")</f>
        <v/>
      </c>
      <c r="C28299" t="n">
        <v>1</v>
      </c>
      <c r="D28299" t="inlineStr">
        <is>
          <t>Arc Nécrotique; Collier de la Dame du Hasard; Anneau Tique; Alliance Gloursonne; Quatre-feuilles; Ceinture du Strigide; Casquette de Meno; Cape de la Dame du Hasard; Pataugastrique; Dolmanax; Dofus des Glaces; Dofus Pourpre; Dofus Abyssal; Dofus Turquoise; Remueur; Muldo Orchidée</t>
        </is>
      </c>
    </row>
    <row r="28300">
      <c r="A28300" t="inlineStr">
        <is>
          <t>Eau</t>
        </is>
      </c>
      <c r="B28300">
        <f>HYPERLINK("https://www.dofusbook.net/fr/equipement/2949996-eau/objets", "link")</f>
        <v/>
      </c>
      <c r="C28300" t="n">
        <v>0</v>
      </c>
      <c r="D28300" t="inlineStr">
        <is>
          <t>Dagoulinantes; Amulette d'Ilyzaelle; Alliance Gloursonne; Bracelet des Fonds marins; Bouclier d'Ilyzaelle; Poulpagne; Capuche de l'Œil Attentif; Cape de l'Œil Attentif; Sandales des Fonds marins; Dolmanax; Dofus Abyssal; Dofus Ivoire; Dofus Pourpre; Dofus Ocre; Dofus des Glaces; Muldo Ebène et Indigo</t>
        </is>
      </c>
    </row>
    <row r="28301">
      <c r="A28301" t="inlineStr">
        <is>
          <t>Sramleretour4</t>
        </is>
      </c>
      <c r="B28301">
        <f>HYPERLINK("https://www.dofusbook.net/fr/equipement/2875337-sramleretour4/objets", "link")</f>
        <v/>
      </c>
      <c r="C28301" t="n">
        <v>0</v>
      </c>
      <c r="D28301" t="inlineStr">
        <is>
          <t>Épée Brûlâme; Collier de la Dame du Hasard; Bague Gloursonne; Alliance Gloursonne; Bouclier cubiste; Ceinture de l'Esprit Malsain; Masque de l'Esprit Malsain; Cape de la Dame du Hasard; Bottes de la Dame du Hasard; Dofus Pourpre; Dofus des Glaces; Dofus Turquoise; Dofus Abyssal; Dolmanax; Dofus Ocre; Muldo Indigo et Orchidée</t>
        </is>
      </c>
    </row>
    <row r="28302">
      <c r="A28302" t="inlineStr">
        <is>
          <t>Multi</t>
        </is>
      </c>
      <c r="B28302">
        <f>HYPERLINK("https://www.dofusbook.net/fr/equipement/2949825-multi/objets", "link")</f>
        <v/>
      </c>
      <c r="C28302" t="n">
        <v>0</v>
      </c>
      <c r="D28302" t="inlineStr">
        <is>
          <t>Marteau des égarés; Amulette de l'Indicible; Bague Gloursonne; Alliance Gloursonne; Bouclier cubiste; Ceinture de l'Indicible; Casque du Chalœil; Cape du Chalœil; Bottes du Chalœil; Dolmanax; Dofus Ocre; Dofus Pourpre; Dofus des Glaces; Dofus Abyssal; Dofus Turquoise; Muldo Indigo</t>
        </is>
      </c>
    </row>
    <row r="28303">
      <c r="A28303" t="inlineStr">
        <is>
          <t>Sramleretour_3</t>
        </is>
      </c>
      <c r="B28303">
        <f>HYPERLINK("https://www.dofusbook.net/fr/equipement/2853621-sramleretour-3/objets", "link")</f>
        <v/>
      </c>
      <c r="C28303" t="n">
        <v>0</v>
      </c>
      <c r="D28303" t="inlineStr">
        <is>
          <t>Dagues Érhy; Amulette du Strigide; Chevalière du Roi Joueur; Bague Gloursonne; Bouclier cubiste; Ceinture du Strigide; Couronne du Roi Joueur; Voile d'encre; Bottes du Roi Joueur; Dofus Ocre; Dofus Abyssal; Dofus Pourpre; Dofus des Glaces; Dofus Turquoise; Dofus Nébuleux; Muldo Pourpre</t>
        </is>
      </c>
    </row>
    <row r="28304">
      <c r="A28304" t="inlineStr">
        <is>
          <t>Sramleretour_1</t>
        </is>
      </c>
      <c r="B28304">
        <f>HYPERLINK("https://www.dofusbook.net/fr/equipement/2853315-sramleretour-1/objets", "link")</f>
        <v/>
      </c>
      <c r="C28304" t="n">
        <v>1</v>
      </c>
      <c r="D28304" t="inlineStr">
        <is>
          <t>Dagues de Srambad; Amulette Luminescente; Pikano; Bracelet du Piloztère; Bouclier cubiste; Ceinture de la Reine des Voleurs; Coiffe de la Reine des Voleurs; Cape Luminescente; Bottes de la Reine des Voleurs; Dofus Abyssal; Dofus Ocre; Dolmanax; Dofus des Glaces; Dofus Nébuleux; Dofus Pourpre; Muldo Ebène</t>
        </is>
      </c>
    </row>
    <row r="28305">
      <c r="A28305" t="inlineStr">
        <is>
          <t>Air_2</t>
        </is>
      </c>
      <c r="B28305">
        <f>HYPERLINK("https://www.dofusbook.net/fr/equipement/2848055-air-2/objets", "link")</f>
        <v/>
      </c>
      <c r="C28305" t="n">
        <v>0</v>
      </c>
      <c r="D28305" t="inlineStr">
        <is>
          <t>Manthache; Collier du Valet Veinard; Alliance Gloursonne; Gant du Valet Veinard; Bouclier du Stalak; Menoture; Couronne d'Allister; Cape Indescriptible; Palmes Trithons; Dofus Ocre; Dofus des Glaces; Dofus Abyssal; Temporiseur majeur; Nomade; Carapace Air majeur; Kramkram</t>
        </is>
      </c>
    </row>
    <row r="28306">
      <c r="A28306" t="inlineStr">
        <is>
          <t>Air</t>
        </is>
      </c>
      <c r="B28306">
        <f>HYPERLINK("https://www.dofusbook.net/fr/equipement/2846836-air/objets", "link")</f>
        <v/>
      </c>
      <c r="C28306" t="n">
        <v>0</v>
      </c>
      <c r="D28306" t="inlineStr">
        <is>
          <t>Pelle de la Cour Sombre; Collier du Valet Veinard; Alliance Gloursonne; Gant du Valet Veinard; Bouclier cubiste; Sangle Oriole; Chapeau de Tournoyé; Cape du Valet Veinard; Palmes Trithons; Dolmanax; Dofus Ocre; Dofus Émeraude; Dofus des Glaces; Dofus Pourpre; Dofus Abyssal; Muldo Ebène</t>
        </is>
      </c>
    </row>
    <row r="28307">
      <c r="A28307" t="inlineStr">
        <is>
          <t>Feu</t>
        </is>
      </c>
      <c r="B28307">
        <f>HYPERLINK("https://www.dofusbook.net/fr/equipement/2846711-feu/objets", "link")</f>
        <v/>
      </c>
      <c r="C28307" t="n">
        <v>0</v>
      </c>
      <c r="D28307" t="inlineStr">
        <is>
          <t>Massier; Pendentif affamé; Bague Gloursonne; Anneau Tamie; Quatre-feuilles; Ceinture Séculaire; Coiffe Séculaire; Cape de Diondin; Bottes Innommables; Dofus Pourpre; Dofus Abyssal; Dolmanax; Dofus Ocre; Dofus des Glaces; Carapace Feu majeur; Muldo Indigo et Orchidée</t>
        </is>
      </c>
    </row>
    <row r="28308">
      <c r="A28308" t="inlineStr">
        <is>
          <t>terre feu</t>
        </is>
      </c>
      <c r="B28308">
        <f>HYPERLINK("https://www.dofusbook.net/fr/equipement/2837289-terre-feu/objets", "link")</f>
        <v/>
      </c>
      <c r="C28308" t="n">
        <v>1</v>
      </c>
      <c r="D28308" t="inlineStr">
        <is>
          <t>Hache Achinecride; Amulette de Gein; Baguistik; Bague Gloursonne; Bouclier Taverne; Ceintacé; Chapeau de Gein; Voile d'encre; Bottes du Roi Joueur; Dofus Pourpre; Dofus Émeraude; Dofus des Glaces; Dofus Abyssal; Remueur; Enragé majeur; Muldo Ebène et Indigo</t>
        </is>
      </c>
    </row>
    <row r="28309">
      <c r="A28309" t="inlineStr">
        <is>
          <t>full terre</t>
        </is>
      </c>
      <c r="B28309">
        <f>HYPERLINK("https://www.dofusbook.net/fr/equipement/2711297-full-terre/objets", "link")</f>
        <v/>
      </c>
      <c r="C28309" t="n">
        <v>3</v>
      </c>
      <c r="D28309" t="inlineStr">
        <is>
          <t>Marteau R'ture; Collier de Tourthon; Anneau de Brouce; Anneau Crustique; Bouclier du Captain Amakna; Ceinture de la Cour Sombre; Masque de Koutoulou; Cape du Cœur Saignant; Bottes de la Cour Sombre; Dofus Émeraude; Dofus Pourpre; Dofus Abyssal; Dofus des Glaces; Dofus Turquoise; Remueur; Muldo Indigo et Pourpre</t>
        </is>
      </c>
    </row>
    <row r="28310">
      <c r="A28310" t="inlineStr">
        <is>
          <t>TerreFeu</t>
        </is>
      </c>
      <c r="B28310">
        <f>HYPERLINK("https://www.dofusbook.net/fr/equipement/2836951-terrefeu/objets", "link")</f>
        <v/>
      </c>
      <c r="C28310" t="n">
        <v>0</v>
      </c>
      <c r="D28310" t="inlineStr">
        <is>
          <t>Dagues Érhy; Amulette du Strigide; Chevalière du Roi Joueur; Bague Gloursonne; Quatre-feuilles; Ceinture du Strigide; Couronne du Roi Joueur; Voile d'encre; Bottes du Roi Joueur; Dofus Émeraude; Dofus des Glaces; Dofus Abyssal; Dofus Ocre; Dofus Pourpre; Dofus Nébuleux; Muldo Doré et Pourpre</t>
        </is>
      </c>
    </row>
    <row r="28311">
      <c r="A28311" t="inlineStr">
        <is>
          <t>Terre</t>
        </is>
      </c>
      <c r="B28311">
        <f>HYPERLINK("https://www.dofusbook.net/fr/equipement/2836689-terre/objets", "link")</f>
        <v/>
      </c>
      <c r="C28311" t="n">
        <v>0</v>
      </c>
      <c r="D28311" t="inlineStr">
        <is>
          <t>Arc de Koutoulou; Amulette d'Ilyzaelle; Grésilanneau; Alliance Gloursonne; Bouclier d'Ilyzaelle; Ceinture de l'Esprit Salvateur; Masque de l'Esprit Salvateur; Cape du Chalœil; Bottes de l'Esprit Salvateur; Dofus Pourpre; Dofus Abyssal; Dofus Ocre; Dofus Émeraude; Dolmanax; Dofus des Glaces; Muldo Ebène et Indigo</t>
        </is>
      </c>
    </row>
    <row r="28312">
      <c r="A28312" t="inlineStr">
        <is>
          <t>EauFeu</t>
        </is>
      </c>
      <c r="B28312">
        <f>HYPERLINK("https://www.dofusbook.net/fr/equipement/2836342-eaufeu/objets", "link")</f>
        <v/>
      </c>
      <c r="C28312" t="n">
        <v>0</v>
      </c>
      <c r="D28312" t="inlineStr">
        <is>
          <t>Épée Brûlâme; Amulette de l'Œil Putride; Lavanneau; Lavanneau; Bouclier Taverne; Ceinture de l'Esprit Malsain; Capuche de l'Œil Putride; Cape de l'Œil Putride; Bottes de l'Esprit Malsain; Dofus Ocre; Dofus Abyssal; Dofus Pourpre; Dofus des Glaces; Dofus Turquoise; Dofus Nébuleux; Muldo Prune et Indigo</t>
        </is>
      </c>
    </row>
    <row r="28313">
      <c r="A28313" t="inlineStr">
        <is>
          <t>Air</t>
        </is>
      </c>
      <c r="B28313">
        <f>HYPERLINK("https://www.dofusbook.net/fr/equipement/2834264-air/objets", "link")</f>
        <v/>
      </c>
      <c r="C28313" t="n">
        <v>0</v>
      </c>
      <c r="D28313" t="inlineStr">
        <is>
          <t>Plumeau Bil; Amulette Séculaire; Anneau Tamie; Bague Gloursonne; Bouclier cubiste; Ceinture Séculaire; Heaume Oplate; Voile d'encre; Bottes Innommables; Dofus Émeraude; Dofus Nébuleux; Dofus Ocre; Dofus Pourpre; Dofus des Glaces; Carapace Eau majeur; Muldo Orchidée et Pourpre</t>
        </is>
      </c>
    </row>
    <row r="28314">
      <c r="A28314" t="inlineStr">
        <is>
          <t>TerreFeu</t>
        </is>
      </c>
      <c r="B28314">
        <f>HYPERLINK("https://www.dofusbook.net/fr/equipement/2813108-terrefeu/objets", "link")</f>
        <v/>
      </c>
      <c r="C28314" t="n">
        <v>0</v>
      </c>
      <c r="D28314" t="inlineStr">
        <is>
          <t>Dagues Érhy; Amulette du Strigide; Chevalière du Roi Joueur; Bague Gloursonne; Bouclier Taverne; Ceinture du Strigide; Couronne du Roi Joueur; Voile d'encre; Bottes du Roi Joueur; Dolmanax; Dofus des Glaces; Dofus Abyssal; Dofus Ocre; Dofus Pourpre; Dofus Nébuleux; Muldo Doré et Pourpre</t>
        </is>
      </c>
    </row>
    <row r="28315">
      <c r="A28315" t="inlineStr">
        <is>
          <t>TriPad</t>
        </is>
      </c>
      <c r="B28315">
        <f>HYPERLINK("https://www.dofusbook.net/fr/equipement/2792350-tripad/objets", "link")</f>
        <v/>
      </c>
      <c r="C28315" t="n">
        <v>0</v>
      </c>
      <c r="D28315" t="inlineStr">
        <is>
          <t>Sabres d'Atcham; Amulette du Strigide; Bracelet du Piloztère; Anneau de Padgref; Quatre-feuilles; Ceinture du Strigide; Coiffe de Padgref; Cape d'Atcham; Getas de Padgref; Dolmanax; Dofus Ocre; Dofus Pourpre; Dofus des Glaces; Dofus Nébuleux; Dofus Turquoise; Muldo Turquoise et Indigo</t>
        </is>
      </c>
    </row>
    <row r="28316">
      <c r="A28316" t="inlineStr">
        <is>
          <t>EauTerre</t>
        </is>
      </c>
      <c r="B28316">
        <f>HYPERLINK("https://www.dofusbook.net/fr/equipement/2769970-eauterre/objets", "link")</f>
        <v/>
      </c>
      <c r="C28316" t="n">
        <v>0</v>
      </c>
      <c r="D28316" t="inlineStr">
        <is>
          <t>Dagoulinantes; Amulette de Shokkoth; Bracelet des Fonds marins; Alliance Gloursonne; Quatre-feuilles; Pagne du Rykaon; Masque des Fonds marins; Cape de Mantaze; Sandales des Fonds marins; Dofus Ocre; Dofus Abyssal; Dofus Pourpre; Dofus des Glaces; Dofus Turquoise; Dofus Nébuleux; Muldo Indigo</t>
        </is>
      </c>
    </row>
    <row r="28317">
      <c r="A28317" t="inlineStr">
        <is>
          <t>TerreFeu</t>
        </is>
      </c>
      <c r="B28317">
        <f>HYPERLINK("https://www.dofusbook.net/fr/equipement/2754123-terrefeu/objets", "link")</f>
        <v/>
      </c>
      <c r="C28317" t="n">
        <v>0</v>
      </c>
      <c r="D28317" t="inlineStr">
        <is>
          <t>Dagues Érhy; Amulette du Strigide; Bague Gloursonne; Chevalière du Roi Joueur; Quatre-feuilles; Ceinture du Strigide; Couronne du Roi Joueur; Voile d'encre; Bottes du Roi Joueur; Dofus Pourpre; Dofus Nébuleux; Dofus Turquoise; Dofus des Glaces; Dofus Abyssal; Dofus Ocre; Muldo Doré et Pourpre</t>
        </is>
      </c>
    </row>
    <row r="28318">
      <c r="A28318" t="inlineStr">
        <is>
          <t>Feu_2</t>
        </is>
      </c>
      <c r="B28318">
        <f>HYPERLINK("https://www.dofusbook.net/fr/equipement/2752410-feu-2/objets", "link")</f>
        <v/>
      </c>
      <c r="C28318" t="n">
        <v>0</v>
      </c>
      <c r="D28318" t="inlineStr">
        <is>
          <t>Massier; Amulette Séculaire; Anneau Tamie; Anneau Tamie; Quatre-feuilles; Ceinture Séculaire; Couronne de Nidas; Cape de Diondin; Tongues de Nidas; Dofus Turquoise; Dofus Nébuleux; Dofus Ocre; Dofus Abyssal; Dofus Pourpre; Dofus des Glaces; Muldo Prune et Orchidée</t>
        </is>
      </c>
    </row>
    <row r="28319">
      <c r="A28319" t="inlineStr">
        <is>
          <t>Eau</t>
        </is>
      </c>
      <c r="B28319">
        <f>HYPERLINK("https://www.dofusbook.net/fr/equipement/2753523-eau/objets", "link")</f>
        <v/>
      </c>
      <c r="C28319" t="n">
        <v>0</v>
      </c>
      <c r="D28319" t="inlineStr">
        <is>
          <t>Rapière aux Glyphes; Amulette de l'Œil Attentif; Bracelet du Piloztère; Bracelet des Fonds marins; Quatre-feuilles; Pagne du Rykaon; Capuche de l'Œil Attentif; Cape de l'Œil Attentif; Sandales des Fonds marins; Dofus Ocre; Dofus Abyssal; Dofus Pourpre; Dofus des Glaces; Dofus Turquoise; Dofus Nébuleux; Muldo Prune et Indigo</t>
        </is>
      </c>
    </row>
    <row r="28320">
      <c r="A28320" t="inlineStr">
        <is>
          <t>Terre</t>
        </is>
      </c>
      <c r="B28320">
        <f>HYPERLINK("https://www.dofusbook.net/fr/equipement/2752267-terre/objets", "link")</f>
        <v/>
      </c>
      <c r="C28320" t="n">
        <v>0</v>
      </c>
      <c r="D28320" t="inlineStr">
        <is>
          <t>Arc du Chalœil; Amulette du Cœur Saignant; Bracelet du Piloztère; Anneau Crustique; Bouclier du Stalak; Sangle de Sylargh; Capuche de Sylargh; Cape du Cœur Saignant; Bottes du Cœur Saignant; Dofus Turquoise; Dofus Abyssal; Dofus des Glaces; Dofus Ocre; Dofus Pourpre; Dofus Nébuleux; Muldo Ebène et Pourpre</t>
        </is>
      </c>
    </row>
    <row r="28321">
      <c r="A28321" t="inlineStr">
        <is>
          <t>EauAir_2</t>
        </is>
      </c>
      <c r="B28321">
        <f>HYPERLINK("https://www.dofusbook.net/fr/equipement/2716477-eauair-2/objets", "link")</f>
        <v/>
      </c>
      <c r="C28321" t="n">
        <v>0</v>
      </c>
      <c r="D28321" t="inlineStr">
        <is>
          <t>Arc de Koutoulou; Amulette d'Ilyzaelle; Bracelet du Piloztère; Alliance Gloursonne; Bouclier du Stalak; Ceinture de l'Esprit Salvateur; Casque d'Ilyzaelle; Cape des Justiciers; Bottes de la Reine des Voleurs; Dofus Pourpre; Dofus Ocre; Dofus des Glaces; Robuste majeur; Cascadeur majeur; Vigoureux majeur; Muldo Ebène et Indigo</t>
        </is>
      </c>
    </row>
    <row r="28322">
      <c r="A28322" t="inlineStr">
        <is>
          <t>EauAir</t>
        </is>
      </c>
      <c r="B28322">
        <f>HYPERLINK("https://www.dofusbook.net/fr/equipement/2630435-eauair/objets", "link")</f>
        <v/>
      </c>
      <c r="C28322" t="n">
        <v>0</v>
      </c>
      <c r="D28322" t="inlineStr">
        <is>
          <t>Arc de Koutoulou; Amulette du Strigide; Alliance Gloursonne; Bracelet des Fonds marins; Quatre-feuilles; Ceintacé; Némès de Tal Kasha; Chevelure de Tal Kasha; Bottes Voldelor; Dofus Pourpre; Dofus Turquoise; Dofus Ocre; Dofus des Glaces; Nomade; Observateur; Kramkram</t>
        </is>
      </c>
    </row>
    <row r="28323">
      <c r="A28323" t="inlineStr">
        <is>
          <t>Feu_eau</t>
        </is>
      </c>
      <c r="B28323">
        <f>HYPERLINK("https://www.dofusbook.net/fr/equipement/2715345-feu-eau/objets", "link")</f>
        <v/>
      </c>
      <c r="C28323" t="n">
        <v>0</v>
      </c>
      <c r="D28323" t="inlineStr">
        <is>
          <t>Pyraguette; Talisman Igans; Lavanneau; Lavanneau; Bouclier du Stalak; Ceintacé; Casquette de Meno; Cape de la Dame du Hasard; Bottes de Meno; Dofus Pourpre; Dofus Ocre; Dofus des Glaces; Sanguinaire majeur; Vigoureux majeur; Miraculé majeur; Muldo Orchidée</t>
        </is>
      </c>
    </row>
    <row r="28324">
      <c r="A28324" t="inlineStr">
        <is>
          <t>Re_fix</t>
        </is>
      </c>
      <c r="B28324">
        <f>HYPERLINK("https://www.dofusbook.net/fr/equipement/2715195-re-fix/objets", "link")</f>
        <v/>
      </c>
      <c r="C28324" t="n">
        <v>0</v>
      </c>
      <c r="D28324" t="inlineStr">
        <is>
          <t>Epée Gloursonne; Amulette du Glourséleste; Alliance Gloursonne; Bague Gloursonne; Écorce de Brouce; Ceinture du Glourséleste; Masque du Glourséleste; Cape du Glourséleste; Bottes du Glourséleste; Dofus des Glaces; Dofus Ivoire; Dofus Pourpre; Cuirassé Neutre majeur; Cuirassé Feu majeur; Cuirassé Air majeur; Toukancre</t>
        </is>
      </c>
    </row>
    <row r="28325">
      <c r="A28325" t="inlineStr">
        <is>
          <t>Multi</t>
        </is>
      </c>
      <c r="B28325">
        <f>HYPERLINK("https://www.dofusbook.net/fr/equipement/2710595-multi/objets", "link")</f>
        <v/>
      </c>
      <c r="C28325" t="n">
        <v>0</v>
      </c>
      <c r="D28325" t="inlineStr">
        <is>
          <t>Arc Honte; Amulette du Strigide; Anneau Toriété; Alliance Gloursonne; Bouclier à hélice; Ceintacé; Masque d'Anerice; Cape d'Anerice; Bottes Innommables; Dofus Ocre; Dofus Pourpre; Dofus des Glaces; Vigoureux majeur; Érudit majeur; Muldo Ebène et Pourpre</t>
        </is>
      </c>
    </row>
    <row r="28326">
      <c r="A28326" t="inlineStr">
        <is>
          <t>ascvbn</t>
        </is>
      </c>
      <c r="B28326">
        <f>HYPERLINK("https://www.dofusbook.net/fr/equipement/2490894-ascvbn/objets", "link")</f>
        <v/>
      </c>
      <c r="C28326" t="n">
        <v>0</v>
      </c>
      <c r="D28326" t="inlineStr">
        <is>
          <t>Arc Ahique; Collier du Valet Veinard; Alliance Gloursonne; Gant du Valet Veinard; Bouclier du Stalak; Menoture; Casque d'Ilyzaelle; Cape Indescriptible; Palmes Trithons; Dofus Pourpre; Remueur; Cascadeur majeur; Dévastateur Air majeur; Vigoureux majeur; Miraculé majeur; Muldo Ebène</t>
        </is>
      </c>
    </row>
    <row r="28327">
      <c r="A28327" t="inlineStr">
        <is>
          <t>air eau no crit</t>
        </is>
      </c>
      <c r="B28327">
        <f>HYPERLINK("https://www.dofusbook.net/fr/equipement/2294114-air-eau-no-crit-/objets", "link")</f>
        <v/>
      </c>
      <c r="C28327" t="n">
        <v>0</v>
      </c>
      <c r="D28327" t="inlineStr">
        <is>
          <t>Manthache; Collier du Valet Veinard; Gant du Valet Veinard; Alliance Gloursonne; Bouclier du Stalak; Menoture; Casque d'Ilyzaelle; Cape Indescriptible; Palmes Trithons; Dofus Pourpre; Dolmanax; Vigoureux majeur; Remueur; Dévastateur Air majeur; Cascadeur majeur; Muldo Ebène</t>
        </is>
      </c>
    </row>
    <row r="28328">
      <c r="A28328" t="inlineStr">
        <is>
          <t>terre eau</t>
        </is>
      </c>
      <c r="B28328">
        <f>HYPERLINK("https://www.dofusbook.net/fr/equipement/2428215-terre-eau-/objets", "link")</f>
        <v/>
      </c>
      <c r="C28328" t="n">
        <v>0</v>
      </c>
      <c r="D28328" t="inlineStr">
        <is>
          <t>Collier de Tourthon; Anneau Crustique; Alliance Gloursonne; Bouclier Taverne; Ceintacé; Masque de l'Esprit Salvateur; Cape Luminescente; Bottes de l'Esprit Salvateur; Dolmanax; Dofus Pourpre; Féroce majeur; Remueur; Nomade; Vigoureux majeur</t>
        </is>
      </c>
    </row>
    <row r="28329">
      <c r="A28329" t="inlineStr">
        <is>
          <t>ini</t>
        </is>
      </c>
      <c r="B28329">
        <f>HYPERLINK("https://www.dofusbook.net/fr/equipement/2182109-ini/objets", "link")</f>
        <v/>
      </c>
      <c r="C28329" t="n">
        <v>0</v>
      </c>
      <c r="D28329" t="inlineStr">
        <is>
          <t>Epée Loponèze; Collier du Tanukouï San; Bague Instable; Anneau Instable; Bouclier Brâkmarien; Ceinture de la Cour Sombre; Billréole; Cape Lati; Bottes du Katcheur; Dolmanax; Fonceur majeur; Précurseur majeur; Précurseur; Fonceur; Initiateur majeur; Dragodinde Amande</t>
        </is>
      </c>
    </row>
    <row r="28330">
      <c r="A28330" t="inlineStr">
        <is>
          <t>feu actuel</t>
        </is>
      </c>
      <c r="B28330">
        <f>HYPERLINK("https://www.dofusbook.net/fr/equipement/36119-feu-actuel/objets", "link")</f>
        <v/>
      </c>
      <c r="C28330" t="n">
        <v>0</v>
      </c>
      <c r="D28330" t="inlineStr">
        <is>
          <t>Arc corrompu; Pendentif affamé; Anneau Tique; Anneau de Padgref; Bouclier Taverne; Ceinture de Vortex; Coiffe de Padgref; Cape de Diondin; Bottes Innommables; Dofus Pourpre; Dolmanax; Dofus Turquoise; Remueur; Vigoureux majeur; Érudit majeur; Muldo Orchidée</t>
        </is>
      </c>
    </row>
    <row r="28331">
      <c r="A28331" t="inlineStr">
        <is>
          <t>AIR</t>
        </is>
      </c>
      <c r="B28331">
        <f>HYPERLINK("https://www.dofusbook.net/fr/equipement/1386814-air-/objets", "link")</f>
        <v/>
      </c>
      <c r="C28331" t="n">
        <v>0</v>
      </c>
      <c r="D28331" t="inlineStr">
        <is>
          <t>Manthache; Collier du Valet Veinard; Gant du Valet Veinard; Alliance Gloursonne; Bouclier du Stalak; Menoture; Couronne d'Allister; Cape Indescriptible; Palmes Trithons; Dofus Pourpre; Dofus des Glaces; Acrobate majeur; Carapace Neutre majeur; Cascadeur majeur; Remueur; Muldo Ebène</t>
        </is>
      </c>
    </row>
    <row r="28332">
      <c r="A28332" t="inlineStr">
        <is>
          <t>Air</t>
        </is>
      </c>
      <c r="B28332">
        <f>HYPERLINK("https://www.dofusbook.net/fr/equipement/424603-air/objets", "link")</f>
        <v/>
      </c>
      <c r="C28332" t="n">
        <v>0</v>
      </c>
      <c r="D28332" t="inlineStr">
        <is>
          <t>Pelle de la Cour Sombre; Collier du Valet Veinard; Alliance Gloursonne; Gant du Valet Veinard; Menoture; Capuche de Moum-Ra; Cape Indescriptible; Palmes Trithons; Dofus Émeraude; Carapace Neutre majeur; Obstructeur majeur; Cascadeur majeur; Carapace Air majeur; Remueur; Muldo Ebène</t>
        </is>
      </c>
    </row>
    <row r="28333">
      <c r="A28333" t="inlineStr">
        <is>
          <t>Feu</t>
        </is>
      </c>
      <c r="B28333">
        <f>HYPERLINK("https://www.dofusbook.net/fr/equipement/1096061-feu/objets", "link")</f>
        <v/>
      </c>
      <c r="C28333" t="n">
        <v>0</v>
      </c>
      <c r="D28333" t="inlineStr">
        <is>
          <t>Harpelle; Amulette Séculaire; Anneau Tamie; Bague Gloursonne; Bouclier du Stalak; Ceinture Séculaire; Couronne de Nidas; Cape de Diondin; Bottes Innommables; Dofus Ocre; Dofus Turquoise; Dofus Pourpre; Érudit majeur; Observateur; Vigoureux majeur; Muldo Prune et Doré</t>
        </is>
      </c>
    </row>
    <row r="28334">
      <c r="A28334" t="inlineStr">
        <is>
          <t>Féca M 200</t>
        </is>
      </c>
      <c r="B28334">
        <f>HYPERLINK("https://www.dofusbook.net/fr/equipement/5183425-feca-m-200/objets", "link")</f>
        <v/>
      </c>
      <c r="C28334" t="n">
        <v>1</v>
      </c>
      <c r="D28334" t="inlineStr">
        <is>
          <t>Dagoulinantes; Amulette d'Ilyzaelle; Bouclier d'Ilyzaelle; Casque d'Ilyzaelle</t>
        </is>
      </c>
    </row>
    <row r="28335">
      <c r="A28335" t="inlineStr">
        <is>
          <t>Crâ F 200</t>
        </is>
      </c>
      <c r="B28335">
        <f>HYPERLINK("https://www.dofusbook.net/fr/equipement/4355120-cra-f-200/objets", "link")</f>
        <v/>
      </c>
      <c r="C28335" t="n">
        <v>0</v>
      </c>
      <c r="D28335" t="inlineStr"/>
    </row>
    <row r="28336">
      <c r="A28336" t="inlineStr">
        <is>
          <t>Crâ F 200</t>
        </is>
      </c>
      <c r="B28336">
        <f>HYPERLINK("https://www.dofusbook.net/fr/equipement/4243750-cra-f-200/objets", "link")</f>
        <v/>
      </c>
      <c r="C28336" t="n">
        <v>2</v>
      </c>
      <c r="D28336" t="inlineStr">
        <is>
          <t>Sceptre du Roi Joueur; Amulette de l'Œil Attentif; Bracelet du Piloztère; Anneau Volkorne; Bouclier du Stalak; Pagne du Rykaon; Capuche de l'Œil Attentif; Cape de l'Œil Attentif; Bottes de la Dame du Hasard; Dofus Pourpre; Dofus Ocre; Dofus Turquoise; Dofus Abyssal; Dofus des Glaces</t>
        </is>
      </c>
    </row>
    <row r="28337">
      <c r="A28337" t="inlineStr">
        <is>
          <t>iop multi</t>
        </is>
      </c>
      <c r="B28337">
        <f>HYPERLINK("https://www.dofusbook.net/fr/equipement/2837748-iop-multi/objets", "link")</f>
        <v/>
      </c>
      <c r="C28337" t="n">
        <v>1</v>
      </c>
      <c r="D28337" t="inlineStr">
        <is>
          <t>Baguette Hernelle; Collier du Valet Veinard; Anneau d'Allister; Gant du Valet Veinard; Bouclier du Stalak; Ceinture de Vortex; Couronne d'Allister; Cape du Valet Veinard; Bottes d'Allister; Dofus Ocre; Dofus des Glaces; Dofus Pourpre; Ravageur Air majeur; Robuste majeur; Blérodoudou</t>
        </is>
      </c>
    </row>
    <row r="28338">
      <c r="A28338" t="inlineStr">
        <is>
          <t>Sram F 200</t>
        </is>
      </c>
      <c r="B28338">
        <f>HYPERLINK("https://www.dofusbook.net/fr/equipement/4181368-sram-f-200/objets", "link")</f>
        <v/>
      </c>
      <c r="C28338" t="n">
        <v>2</v>
      </c>
      <c r="D28338" t="inlineStr">
        <is>
          <t>Marteau des égarés; Amulette Volkorne; Bague Trithon; Anneau Volkorne; Bouclier cubiste; Ceinture Volkorne; Masque Trithon; Dofusteuse; Bottes Trithon; Dofus Turquoise; Dofus des Glaces; Dofus Pourpre; Dofus Ivoire; Dofus Ocre; Tanuk</t>
        </is>
      </c>
    </row>
    <row r="28339">
      <c r="A28339" t="inlineStr">
        <is>
          <t>Sacrieur M 200</t>
        </is>
      </c>
      <c r="B28339">
        <f>HYPERLINK("https://www.dofusbook.net/fr/equipement/3869365-sacrieur-m-200/objets", "link")</f>
        <v/>
      </c>
      <c r="C28339" t="n">
        <v>0</v>
      </c>
      <c r="D28339" t="inlineStr"/>
    </row>
    <row r="28340">
      <c r="A28340" t="inlineStr">
        <is>
          <t>Ecaflip M 200</t>
        </is>
      </c>
      <c r="B28340">
        <f>HYPERLINK("https://www.dofusbook.net/fr/equipement/3859895-ecaflip-m-200/objets", "link")</f>
        <v/>
      </c>
      <c r="C28340" t="n">
        <v>2</v>
      </c>
      <c r="D28340" t="inlineStr"/>
    </row>
    <row r="28341">
      <c r="A28341" t="inlineStr">
        <is>
          <t>Roublard F 200</t>
        </is>
      </c>
      <c r="B28341">
        <f>HYPERLINK("https://www.dofusbook.net/fr/equipement/3334134-roublard-f-200/objets", "link")</f>
        <v/>
      </c>
      <c r="C28341" t="n">
        <v>2</v>
      </c>
      <c r="D28341" t="inlineStr">
        <is>
          <t>Arc du Chalœil; Collier de Tourthon; Anneau de Brouce; Bracelet du Piloztère; Bouclier du Stalak; Ceinture Gence; Masque de Koutoulou; Ankhape; Baleinabottes; Dofus Pourpre; Dofus des Glaces; Enragé majeur; Robuste majeur; Nomade; Vigoureux majeur; Kompost</t>
        </is>
      </c>
    </row>
    <row r="28342">
      <c r="A28342" t="inlineStr">
        <is>
          <t>multi diferent</t>
        </is>
      </c>
      <c r="B28342">
        <f>HYPERLINK("https://www.dofusbook.net/fr/equipement/2518778-multi-diferent/objets", "link")</f>
        <v/>
      </c>
      <c r="C28342" t="n">
        <v>0</v>
      </c>
      <c r="D28342" t="inlineStr">
        <is>
          <t>Arc du Chalœil; Collier de Tourthon; Anneau de Brouce; Bracelet du Piloztère; Bouclier du Stalak; Ceinture Gence; Masque de Koutoulou; Ankhape; Baleinabottes; Dofus Pourpre; Dofus des Glaces; Nomade; Vigoureux majeur; Enragé majeur; Robuste majeur; Kompost</t>
        </is>
      </c>
    </row>
    <row r="28343">
      <c r="A28343" t="inlineStr">
        <is>
          <t>Iop multi full do</t>
        </is>
      </c>
      <c r="B28343">
        <f>HYPERLINK("https://www.dofusbook.net/fr/equipement/2896262-iop-multi-full-do/objets", "link")</f>
        <v/>
      </c>
      <c r="C28343" t="n">
        <v>1</v>
      </c>
      <c r="D28343" t="inlineStr">
        <is>
          <t>Arc du Chalœil; Collier de Tourthon; Anneau de Brouce; Bracelet du Piloztère; Bouclier du Stalak; Ceinture Gence; Masque de Koutoulou; Ankhape; Baleinabottes; Dofus Pourpre; Dofus des Glaces; Enragé majeur; Robuste majeur; Nomade; Vigoureux majeur; Kompost</t>
        </is>
      </c>
    </row>
    <row r="28344">
      <c r="A28344" t="inlineStr">
        <is>
          <t>pano do cri opti all</t>
        </is>
      </c>
      <c r="B28344">
        <f>HYPERLINK("https://www.dofusbook.net/fr/equipement/3004141-pano-do-cri-opti-all/objets", "link")</f>
        <v/>
      </c>
      <c r="C28344" t="n">
        <v>3</v>
      </c>
      <c r="D28344" t="inlineStr">
        <is>
          <t>Arc du Chalœil; Collier de Tourthon; Anneau de Brouce; Bracelet du Piloztère; Bouclier du Stalak; Ceinture Gence; Masque de Koutoulou; Ankhape; Baleinabottes; Dofus Pourpre; Dofus Nébuleux; Enragé majeur; Robuste majeur; Nomade; Vigoureux majeur; Kompost</t>
        </is>
      </c>
    </row>
    <row r="28345">
      <c r="A28345" t="inlineStr">
        <is>
          <t>terre</t>
        </is>
      </c>
      <c r="B28345">
        <f>HYPERLINK("https://www.dofusbook.net/fr/equipement/3174804-terre/objets", "link")</f>
        <v/>
      </c>
      <c r="C28345" t="n">
        <v>0</v>
      </c>
      <c r="D28345" t="inlineStr">
        <is>
          <t>Arc du Chalœil; Collier de Tourthon; Anneau de Brouce; Bracelet du Piloztère; Bouclier du Stalak; Ceinture Gence; Masque de Koutoulou; Ankhape; Baleinabottes; Dofus Pourpre; Miraculé majeur; Robuste majeur; Nomade; Vigoureux majeur; Enragé majeur; Kompost</t>
        </is>
      </c>
    </row>
    <row r="28346">
      <c r="A28346" t="inlineStr">
        <is>
          <t>Iop multi full do</t>
        </is>
      </c>
      <c r="B28346">
        <f>HYPERLINK("https://www.dofusbook.net/fr/equipement/2896319-iop-multi-full-do/objets", "link")</f>
        <v/>
      </c>
      <c r="C28346" t="n">
        <v>2</v>
      </c>
      <c r="D28346" t="inlineStr">
        <is>
          <t>Baguette Hernelle; Collier du Valet Veinard; Gant du Valet Veinard; Anneau d'Allister; Bouclier du Stalak; Ceinture de Vortex; Couronne d'Allister; Cape du Valet Veinard; Bottes d'Allister; Dofus Ocre; Dofus des Glaces; Dofus Pourpre; Ravageur Air majeur; Saccageur Air majeur; Robuste majeur; Muldo Ebène et Orchidée</t>
        </is>
      </c>
    </row>
    <row r="28347">
      <c r="A28347" t="inlineStr">
        <is>
          <t>Féca M 200</t>
        </is>
      </c>
      <c r="B28347">
        <f>HYPERLINK("https://www.dofusbook.net/fr/equipement/3447703-feca-m-200/objets", "link")</f>
        <v/>
      </c>
      <c r="C28347" t="n">
        <v>0</v>
      </c>
      <c r="D28347" t="inlineStr">
        <is>
          <t>Baguette Hernelle; Collier du Valet Veinard; Anneau d'Allister; Gant du Valet Veinard; Bouclier du Stalak; Ceinture de Vortex; Couronne d'Allister; Cape du Valet Veinard; Bottes d'Allister; Dofus Pourpre; Dofus Ocre; Dofus des Glaces; Robuste majeur; Ravageur Air majeur; Saccageur Air majeur; Muldo Ebène et Orchidée</t>
        </is>
      </c>
    </row>
    <row r="28348">
      <c r="A28348" t="inlineStr">
        <is>
          <t>Sram M 200</t>
        </is>
      </c>
      <c r="B28348">
        <f>HYPERLINK("https://www.dofusbook.net/fr/equipement/3561654-sram-m-200/objets", "link")</f>
        <v/>
      </c>
      <c r="C28348" t="n">
        <v>0</v>
      </c>
      <c r="D28348" t="inlineStr">
        <is>
          <t>Épée de la Reine des Voleurs; Amulette du Strigide; Anneau des égarés; Bouclier du Captain Amakna; Ceinture du Strigide; Coiffe de la Reine des Voleurs; Cape du Kamasterisk; Bottes de la Reine des Voleurs; Dofus Turquoise; Dofus Pourpre; Dofus Abyssal; Dolmanax; Dofus Ocre; Dofus des Glaces</t>
        </is>
      </c>
    </row>
    <row r="28349">
      <c r="A28349" t="inlineStr">
        <is>
          <t>Féca M 200</t>
        </is>
      </c>
      <c r="B28349">
        <f>HYPERLINK("https://www.dofusbook.net/fr/equipement/3530297-feca-m-200/objets", "link")</f>
        <v/>
      </c>
      <c r="C28349" t="n">
        <v>1</v>
      </c>
      <c r="D28349" t="inlineStr"/>
    </row>
    <row r="28350">
      <c r="A28350" t="inlineStr">
        <is>
          <t>Roublard F 200</t>
        </is>
      </c>
      <c r="B28350">
        <f>HYPERLINK("https://www.dofusbook.net/fr/equipement/3418759-roublard-f-200/objets", "link")</f>
        <v/>
      </c>
      <c r="C28350" t="n">
        <v>0</v>
      </c>
      <c r="D28350" t="inlineStr"/>
    </row>
    <row r="28351">
      <c r="A28351" t="inlineStr">
        <is>
          <t>iop multi</t>
        </is>
      </c>
      <c r="B28351">
        <f>HYPERLINK("https://www.dofusbook.net/fr/equipement/2837803-iop-multi/objets", "link")</f>
        <v/>
      </c>
      <c r="C28351" t="n">
        <v>3</v>
      </c>
      <c r="D28351" t="inlineStr">
        <is>
          <t>Marteau des égarés; Amulette de l'Indicible; Grésilanneau; Anneau du Père Fwetar; Bouclier du Stalak; Ceinture de l'Esprit Salvateur; Le Dorado; Cape des Justiciers; Bottes de l'Indicible; Dofus Pourpre; Dofus des Glaces; Féroce majeur; Vigoureux majeur; Sanguinaire majeur; Robuste majeur; Muldo Doré et Pourpre</t>
        </is>
      </c>
    </row>
    <row r="28352">
      <c r="A28352" t="inlineStr">
        <is>
          <t>Féca M 200</t>
        </is>
      </c>
      <c r="B28352">
        <f>HYPERLINK("https://www.dofusbook.net/fr/equipement/3390826-feca-m-200/objets", "link")</f>
        <v/>
      </c>
      <c r="C28352" t="n">
        <v>1</v>
      </c>
      <c r="D28352" t="inlineStr">
        <is>
          <t>Epée Maudite du Saigneur Guerrier; Amulette du Strigide; Bague Trithon; Anneau de Padgref; Bouclier du Captain Amakna; Ceinture du Strigide; Masque Trithon; Cape des Justiciers; Getas de Padgref; Dofus des Glaces; Dofus Abyssal; Dofus Pourpre; Dofus Ocre; Dofus Nébuleux; Dofus Turquoise; Muldo Doré et Emeraude</t>
        </is>
      </c>
    </row>
    <row r="28353">
      <c r="A28353" t="inlineStr">
        <is>
          <t>Sram F 200</t>
        </is>
      </c>
      <c r="B28353">
        <f>HYPERLINK("https://www.dofusbook.net/fr/equipement/3404265-sram-f-200/objets", "link")</f>
        <v/>
      </c>
      <c r="C28353" t="n">
        <v>2</v>
      </c>
      <c r="D28353" t="inlineStr">
        <is>
          <t>Epée Gloursonne; Amulette de Gein; Bague Gloursonne; Alliance Gloursonne; Goulclier; Ceinture de Gein; Chapeau de Gein; Cape Peupret; Goulbottes; Dofus Pourpre; Dofus Nébuleux; Dofus Ocre; Dolmanax; Dofus des Glaces; Robuste majeur</t>
        </is>
      </c>
    </row>
    <row r="28354">
      <c r="A28354" t="inlineStr">
        <is>
          <t>iop multi</t>
        </is>
      </c>
      <c r="B28354">
        <f>HYPERLINK("https://www.dofusbook.net/fr/equipement/1990161-iop-multi/objets", "link")</f>
        <v/>
      </c>
      <c r="C28354" t="n">
        <v>0</v>
      </c>
      <c r="D28354" t="inlineStr">
        <is>
          <t>Epée Gloursonne; Amulette de l'Indicible; Bague Gloursonne; Alliance Gloursonne; Bouclier d'Anerice; Ceinture de l'Indicible; Masque d'Anerice; Cape d'Anerice; Bottes de l'Indicible; Dolmanax; Dofus Forgelave; Dofus Émeraude; Dofus des Glaces; Dofus Pourpre; Dofus Ivoire; Muldo Indigo et Orchidée</t>
        </is>
      </c>
    </row>
    <row r="28355">
      <c r="A28355" t="inlineStr">
        <is>
          <t>Iop multi full do</t>
        </is>
      </c>
      <c r="B28355">
        <f>HYPERLINK("https://www.dofusbook.net/fr/equipement/2966180-iop-multi-full-do/objets", "link")</f>
        <v/>
      </c>
      <c r="C28355" t="n">
        <v>3</v>
      </c>
      <c r="D28355" t="inlineStr">
        <is>
          <t>Baguette Hernelle; Collier du Valet Veinard; Gant du Valet Veinard; Anneau d'Allister; Bouclier du Stalak; Ceinture de Vortex; Couronne d'Allister; Cape du Valet Veinard; Bottes d'Allister; Dofus des Glaces; Dofus Pourpre; Dofus Ocre; Saccageur Air majeur; Robuste majeur; Ravageur Air majeur; Muldo Ebène et Orchidée</t>
        </is>
      </c>
    </row>
    <row r="28356">
      <c r="A28356" t="inlineStr">
        <is>
          <t>Iop multi full do</t>
        </is>
      </c>
      <c r="B28356">
        <f>HYPERLINK("https://www.dofusbook.net/fr/equipement/2966213-iop-multi-full-do/objets", "link")</f>
        <v/>
      </c>
      <c r="C28356" t="n">
        <v>0</v>
      </c>
      <c r="D28356" t="inlineStr">
        <is>
          <t>Dagues Lassay; Amulette de l'Indicible; Anneau Hell; Grésilanneau; Bouclier cubiste; Ceinture de l'Indicible; Solomonk; Cape Routh; Bottes de l'Indicible; Dokoko; Dofus des Glaces; Dofus Pourpre; Dolmanax; Dofus Ocre; Robuste majeur; Kwaltess</t>
        </is>
      </c>
    </row>
    <row r="28357">
      <c r="A28357" t="inlineStr">
        <is>
          <t>iop multi</t>
        </is>
      </c>
      <c r="B28357">
        <f>HYPERLINK("https://www.dofusbook.net/fr/equipement/2842657-iop-multi/objets", "link")</f>
        <v/>
      </c>
      <c r="C28357" t="n">
        <v>1</v>
      </c>
      <c r="D28357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Prune</t>
        </is>
      </c>
    </row>
    <row r="28358">
      <c r="A28358" t="inlineStr">
        <is>
          <t>vvffvv</t>
        </is>
      </c>
      <c r="B28358">
        <f>HYPERLINK("https://www.dofusbook.net/fr/equipement/3383961-vvffvv/objets", "link")</f>
        <v/>
      </c>
      <c r="C28358" t="n">
        <v>0</v>
      </c>
      <c r="D28358" t="inlineStr">
        <is>
          <t>Baguette Hernelle; Collier du Valet Veinard; Anneau d'Allister; Gant du Valet Veinard; Bouclier du Stalak; Ceinture de Vortex; Couronne d'Allister; Cape du Valet Veinard; Bottes d'Allister; Dofus Ocre; Dofus des Glaces; Dofus Pourpre; Robuste majeur; Ravageur Air majeur; Saccageur Air majeur; Muldo Ebène et Orchidée</t>
        </is>
      </c>
    </row>
    <row r="28359">
      <c r="A28359" t="inlineStr">
        <is>
          <t>Full feu</t>
        </is>
      </c>
      <c r="B28359">
        <f>HYPERLINK("https://www.dofusbook.net/fr/equipement/1708784-full-feu/objets", "link")</f>
        <v/>
      </c>
      <c r="C28359" t="n">
        <v>1</v>
      </c>
      <c r="D28359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Prune</t>
        </is>
      </c>
    </row>
    <row r="28360">
      <c r="A28360" t="inlineStr">
        <is>
          <t>Iop multi full do</t>
        </is>
      </c>
      <c r="B28360">
        <f>HYPERLINK("https://www.dofusbook.net/fr/equipement/2963317-iop-multi-full-do/objets", "link")</f>
        <v/>
      </c>
      <c r="C28360" t="n">
        <v>4</v>
      </c>
      <c r="D28360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Prune</t>
        </is>
      </c>
    </row>
    <row r="28361">
      <c r="A28361" t="inlineStr">
        <is>
          <t>Iop multi full do</t>
        </is>
      </c>
      <c r="B28361">
        <f>HYPERLINK("https://www.dofusbook.net/fr/equipement/2903123-iop-multi-full-do/objets", "link")</f>
        <v/>
      </c>
      <c r="C28361" t="n">
        <v>0</v>
      </c>
      <c r="D28361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Prune</t>
        </is>
      </c>
    </row>
    <row r="28362">
      <c r="A28362" t="inlineStr">
        <is>
          <t>pano do cri opti all</t>
        </is>
      </c>
      <c r="B28362">
        <f>HYPERLINK("https://www.dofusbook.net/fr/equipement/3006038-pano-do-cri-opti-all/objets", "link")</f>
        <v/>
      </c>
      <c r="C28362" t="n">
        <v>0</v>
      </c>
      <c r="D28362" t="inlineStr">
        <is>
          <t>Arc du Chalœil; Collier de Tourthon; Bracelet du Piloztère; Bague Gloursonne; Bouclier d'Ilyzaelle; Ceinture de la Reine des Voleurs; Coiffe de la Reine des Voleurs; Ankhape; Baleinabottes; Dofus Ocre; Dofus Pourpre; Nomade; Robuste majeur; Vigoureux majeur; Enragé majeur; Kompost</t>
        </is>
      </c>
    </row>
    <row r="28363">
      <c r="A28363" t="inlineStr">
        <is>
          <t>Iop M 200</t>
        </is>
      </c>
      <c r="B28363">
        <f>HYPERLINK("https://www.dofusbook.net/fr/equipement/3377672-iop-m-200/objets", "link")</f>
        <v/>
      </c>
      <c r="C28363" t="n">
        <v>4</v>
      </c>
      <c r="D28363" t="inlineStr">
        <is>
          <t>Arc du Chalœil; Collier de Tourthon; Bracelet du Piloztère; Bague Gloursonne; Bouclier d'Ilyzaelle; Ceinture de la Reine des Voleurs; Coiffe de la Reine des Voleurs; Ankhape; Baleinabottes; Dofus Ocre; Dofus Pourpre; Nomade; Robuste majeur; Vigoureux majeur; Enragé majeur; Kompost</t>
        </is>
      </c>
    </row>
    <row r="28364">
      <c r="A28364" t="inlineStr">
        <is>
          <t>iop multi</t>
        </is>
      </c>
      <c r="B28364">
        <f>HYPERLINK("https://www.dofusbook.net/fr/equipement/2841238-iop-multi/objets", "link")</f>
        <v/>
      </c>
      <c r="C28364" t="n">
        <v>0</v>
      </c>
      <c r="D28364" t="inlineStr">
        <is>
          <t>Amulette du Strigide; Bague Trithon; Bracelet du Piloztère; Bouclier Taverne; Ceinture du Strigide; Masque Trithon; Cape d'Atcham; Bottes Trithon; Dolmanax; Dofus Nébuleux; Dofus Turquoise; Dofus des Glaces; Dofus Pourpre; Dofus Ocre; Muldo Prune</t>
        </is>
      </c>
    </row>
    <row r="28365">
      <c r="A28365" t="inlineStr">
        <is>
          <t>iop multi</t>
        </is>
      </c>
      <c r="B28365">
        <f>HYPERLINK("https://www.dofusbook.net/fr/equipement/2841338-iop-multi/objets", "link")</f>
        <v/>
      </c>
      <c r="C28365" t="n">
        <v>0</v>
      </c>
      <c r="D28365" t="inlineStr">
        <is>
          <t>Sabres d'Atcham; Amulette du Strigide; Bague Trithon; Bracelet du Piloztère; Bouclier Taverne; Ceinture du Strigide; Masque Trithon; Cape d'Atcham; Bottes Trithon; Dofus Turquoise; Dofus des Glaces; Dofus Pourpre; Dofus Ocre; Dolmanax; Dofus Nébuleux; Muldo Prune</t>
        </is>
      </c>
    </row>
    <row r="28366">
      <c r="A28366" t="inlineStr">
        <is>
          <t>Sram F 200</t>
        </is>
      </c>
      <c r="B28366">
        <f>HYPERLINK("https://www.dofusbook.net/fr/equipement/3373071-sram-f-200/objets", "link")</f>
        <v/>
      </c>
      <c r="C28366" t="n">
        <v>0</v>
      </c>
      <c r="D28366" t="inlineStr">
        <is>
          <t>Marteau des égarés; Amulette de l'Indicible; Anneau du Père Fwetar; Grésilanneau; Bivalve; Ceintacé; Le Dorado; Voilamibe; Bottes de l'Indicible; Dofus des Glaces; Dolmanax; Dofus Pourpre; Vigoureux majeur; Nomade; Robuste majeur; Dragodinde en armure</t>
        </is>
      </c>
    </row>
    <row r="28367">
      <c r="A28367" t="inlineStr">
        <is>
          <t>Iop multi full do</t>
        </is>
      </c>
      <c r="B28367">
        <f>HYPERLINK("https://www.dofusbook.net/fr/equipement/2896230-iop-multi-full-do/objets", "link")</f>
        <v/>
      </c>
      <c r="C28367" t="n">
        <v>3</v>
      </c>
      <c r="D28367" t="inlineStr">
        <is>
          <t>Manthache; Amibou; Alliance Gloursonne; Anneau Rifique; Bouclier cubiste; Menoture; Casque Cyclopéen; Cape Indescriptible; Baleinabottes; Dofus Ivoire; Carapace Feu majeur; Carapace Neutre majeur; Carapace Eau majeur; Carapace Terre majeur; Carapace Air majeur; Muldo Ebène et Pourpre</t>
        </is>
      </c>
    </row>
    <row r="28368">
      <c r="A28368" t="inlineStr">
        <is>
          <t>Stuff 3</t>
        </is>
      </c>
      <c r="B28368">
        <f>HYPERLINK("https://www.dofusbook.net/fr/equipement/1597845-stuff-3/objets", "link")</f>
        <v/>
      </c>
      <c r="C28368" t="n">
        <v>0</v>
      </c>
      <c r="D28368" t="inlineStr">
        <is>
          <t>Manthache; Amibou; Anneau Rifique; Alliance Gloursonne; Bouclier cubiste; Menoture; Casque Cyclopéen; Cape Indescriptible; Baleinabottes; Dofus Ivoire; Carapace Eau majeur; Carapace Terre majeur; Carapace Air majeur; Carapace Feu majeur; Carapace Neutre majeur; Muldo Ebène et Pourpre</t>
        </is>
      </c>
    </row>
    <row r="28369">
      <c r="A28369" t="inlineStr">
        <is>
          <t>gggtg</t>
        </is>
      </c>
      <c r="B28369">
        <f>HYPERLINK("https://www.dofusbook.net/fr/equipement/3270720-gggtg/objets", "link")</f>
        <v/>
      </c>
      <c r="C28369" t="n">
        <v>1</v>
      </c>
      <c r="D28369" t="inlineStr">
        <is>
          <t>Arc du Chalœil; Collier de Tourthon; Bracelet du Piloztère; Bague Gloursonne; Bouclier du Stalak; Ceinture de la Reine des Voleurs; Coiffe de la Reine des Voleurs; Ankhape; Baleinabottes; Dofus Ocre; Dofus Pourpre; Nomade; Robuste majeur; Vigoureux majeur; Enragé majeur; Muldo Indigo et Pourpre</t>
        </is>
      </c>
    </row>
    <row r="28370">
      <c r="A28370" t="inlineStr">
        <is>
          <t>Sram F 200</t>
        </is>
      </c>
      <c r="B28370">
        <f>HYPERLINK("https://www.dofusbook.net/fr/equipement/3355253-sram-f-200/objets", "link")</f>
        <v/>
      </c>
      <c r="C28370" t="n">
        <v>1</v>
      </c>
      <c r="D28370" t="inlineStr">
        <is>
          <t>Dagues d'Ilyzaelle; Amulette du Cœur Saignant; Anneau du Comte Harebourg; Bracelet du Piloztère; Ceinture Gence; Cape du Cœur Saignant; Bottes du Cœur Saignant</t>
        </is>
      </c>
    </row>
    <row r="28371">
      <c r="A28371" t="inlineStr">
        <is>
          <t>Roublard F 200</t>
        </is>
      </c>
      <c r="B28371">
        <f>HYPERLINK("https://www.dofusbook.net/fr/equipement/3343178-roublard-f-200/objets", "link")</f>
        <v/>
      </c>
      <c r="C28371" t="n">
        <v>2</v>
      </c>
      <c r="D28371" t="inlineStr">
        <is>
          <t>Pelle de la Cour Sombre; Collier du Valet Veinard; Gant du Valet Veinard; Alliance Gloursonne; Bouclier cubiste; Menoture; Dorabysses; Cape de Crânonier; Bottes Opsy; Dofus des Glaces; Dokoko; Temporiseur majeur; Remueur; Cascadeur majeur; Dévastateur Air majeur; Muldo Ebène</t>
        </is>
      </c>
    </row>
    <row r="28372">
      <c r="A28372" t="inlineStr">
        <is>
          <t>Sram M 200</t>
        </is>
      </c>
      <c r="B28372">
        <f>HYPERLINK("https://www.dofusbook.net/fr/equipement/3342167-sram-m-200/objets", "link")</f>
        <v/>
      </c>
      <c r="C28372" t="n">
        <v>0</v>
      </c>
      <c r="D28372" t="inlineStr">
        <is>
          <t>Baguette de Malléfisk; Kralamansion; Grésilanneau; Anneau du Père Fwetar; Bouclier du Stalak; Sangle Glinglin; Le Dorado; Cape Routh; Bottes de l'Esprit Salvateur; Dofus des Glaces; Dokoko; Dofus Pourpre; Dofus Ocre; Vigoureux majeur; Robuste majeur</t>
        </is>
      </c>
    </row>
    <row r="28373">
      <c r="A28373" t="inlineStr">
        <is>
          <t>grgeg</t>
        </is>
      </c>
      <c r="B28373">
        <f>HYPERLINK("https://www.dofusbook.net/fr/equipement/3270705-grgeg/objets", "link")</f>
        <v/>
      </c>
      <c r="C28373" t="n">
        <v>3</v>
      </c>
      <c r="D28373" t="inlineStr">
        <is>
          <t>Epée Maudite du Saigneur Guerrier; Amulette du Strigide; Anneau de Padgref; Bague Trithon; Bouclier du Captain Amakna; Ceinture du Strigide; Masque Trithon; Cape des Justiciers; Getas de Padgref; Dofus Nébuleux; Dofus Turquoise; Dofus des Glaces; Dofus Abyssal; Dofus Pourpre; Dofus Ocre; Muldo Doré et Emeraude</t>
        </is>
      </c>
    </row>
    <row r="28374">
      <c r="A28374" t="inlineStr">
        <is>
          <t>pano do cri opti all</t>
        </is>
      </c>
      <c r="B28374">
        <f>HYPERLINK("https://www.dofusbook.net/fr/equipement/3000708-pano-do-cri-opti-all/objets", "link")</f>
        <v/>
      </c>
      <c r="C28374" t="n">
        <v>1</v>
      </c>
      <c r="D28374" t="inlineStr">
        <is>
          <t>Sabres d'Atcham; Amulette du Strigide; Bracelet du Piloztère; Bague Trithon; Bouclier Taverne; Ceinture du Strigide; Masque Trithon; Cape d'Atcham; Bottes Trithon; Dolmanax; Dofus Nébuleux; Dofus Turquoise; Dofus des Glaces; Dofus Pourpre; Dofus Ocre; Muldo Prune</t>
        </is>
      </c>
    </row>
    <row r="28375">
      <c r="A28375" t="inlineStr">
        <is>
          <t>Multi</t>
        </is>
      </c>
      <c r="B28375">
        <f>HYPERLINK("https://www.dofusbook.net/fr/equipement/2835681-multi/objets", "link")</f>
        <v/>
      </c>
      <c r="C28375" t="n">
        <v>0</v>
      </c>
      <c r="D28375" t="inlineStr">
        <is>
          <t>Sabres d'Atcham; Amulette du Strigide; Bracelet du Piloztère; Bague Trithon; Bouclier Taverne; Ceinture du Strigide; Masque Trithon; Cape d'Atcham; Bottes Trithon; Dolmanax; Dofus Nébuleux; Dofus Turquoise; Dofus des Glaces; Dofus Pourpre; Dofus Ocre; Muldo Prune</t>
        </is>
      </c>
    </row>
    <row r="28376">
      <c r="A28376" t="inlineStr">
        <is>
          <t>Multi pas cher resis</t>
        </is>
      </c>
      <c r="B28376">
        <f>HYPERLINK("https://www.dofusbook.net/fr/equipement/2908485-multi-pas-cher-resis/objets", "link")</f>
        <v/>
      </c>
      <c r="C28376" t="n">
        <v>0</v>
      </c>
      <c r="D28376" t="inlineStr">
        <is>
          <t>Sabres d'Atcham; Amulette du Strigide; Bracelet du Piloztère; Bague Trithon; Bouclier Taverne; Ceinture du Strigide; Masque Trithon; Cape d'Atcham; Bottes Trithon; Dolmanax; Dofus Nébuleux; Dofus Turquoise; Dofus des Glaces; Dofus Pourpre; Dofus Ocre; Muldo Prune</t>
        </is>
      </c>
    </row>
    <row r="28377">
      <c r="A28377" t="inlineStr">
        <is>
          <t>Pandawa F 200</t>
        </is>
      </c>
      <c r="B28377">
        <f>HYPERLINK("https://www.dofusbook.net/fr/equipement/3334328-pandawa-f-200/objets", "link")</f>
        <v/>
      </c>
      <c r="C28377" t="n">
        <v>0</v>
      </c>
      <c r="D28377" t="inlineStr">
        <is>
          <t>Arc Ahique; Collier du Valet Veinard; Anneau Raille; Gant du Valet Veinard; Bouclier du Stalak; Ceinture de la Reine des Voleurs; Coiffe de la Reine des Voleurs; Cape du Valet Veinard; Bottes de la Reine des Voleurs; Dokoko; Dofus Ocre; Dolmanax; Dofus des Glaces; Dofus Pourpre; Dofus Abyssal</t>
        </is>
      </c>
    </row>
    <row r="28378">
      <c r="A28378" t="inlineStr">
        <is>
          <t>Multi pas cher resis</t>
        </is>
      </c>
      <c r="B28378">
        <f>HYPERLINK("https://www.dofusbook.net/fr/equipement/2908173-multi-pas-cher-resis/objets", "link")</f>
        <v/>
      </c>
      <c r="C28378" t="n">
        <v>1</v>
      </c>
      <c r="D28378" t="inlineStr">
        <is>
          <t>Manthache; Collier du Valet Veinard; Gant du Valet Veinard; Alliance Gloursonne; Bouclier du Stalak; Menoture; Chapeau de Tournoyé; Cape Indescriptible; Palmes Trithons; Dofus Pourpre; Dofus des Glaces; Dofus Ocre; Nomade; Cascadeur majeur; Robuste majeur; Siroko</t>
        </is>
      </c>
    </row>
    <row r="28379">
      <c r="A28379" t="inlineStr">
        <is>
          <t>full air poison</t>
        </is>
      </c>
      <c r="B28379">
        <f>HYPERLINK("https://www.dofusbook.net/fr/equipement/2993838-full-air-poison/objets", "link")</f>
        <v/>
      </c>
      <c r="C28379" t="n">
        <v>0</v>
      </c>
      <c r="D28379" t="inlineStr">
        <is>
          <t>Manthache; Collier du Valet Veinard; Gant du Valet Veinard; Alliance Gloursonne; Bouclier du Stalak; Menoture; Chapeau de Tournoyé; Cape Indescriptible; Palmes Trithons; Dofus Pourpre; Dofus des Glaces; Dofus Ocre; Nomade; Cascadeur majeur; Robuste majeur; Siroko</t>
        </is>
      </c>
    </row>
    <row r="28380">
      <c r="A28380" t="inlineStr">
        <is>
          <t>Xélor F 200</t>
        </is>
      </c>
      <c r="B28380">
        <f>HYPERLINK("https://www.dofusbook.net/fr/equipement/3332896-xelor-f-200/objets", "link")</f>
        <v/>
      </c>
      <c r="C28380" t="n">
        <v>0</v>
      </c>
      <c r="D28380" t="inlineStr">
        <is>
          <t>Dagoulinantes; Bracelet des Fonds marins; Alliance Gloursonne</t>
        </is>
      </c>
    </row>
    <row r="28381">
      <c r="A28381" t="inlineStr">
        <is>
          <t>Sram M 200</t>
        </is>
      </c>
      <c r="B28381">
        <f>HYPERLINK("https://www.dofusbook.net/fr/equipement/3311852-sram-m-200/objets", "link")</f>
        <v/>
      </c>
      <c r="C28381" t="n">
        <v>1</v>
      </c>
      <c r="D28381" t="inlineStr">
        <is>
          <t>Lance corrompue; Amulette de Nevark; Bracelet du Piloztère; Alliance Brûlâme; Bouclier cubiste; Ceinture de Nevark; Masque Brûlâme; Cape de Nevark; Pompes Funèbres; Dolmanax; Dofus des Glaces; Dofus Pourpre; Dofus Émeraude; Dofus Ocre; Robuste majeur; Muldo Doré et Ebène</t>
        </is>
      </c>
    </row>
    <row r="28382">
      <c r="A28382" t="inlineStr">
        <is>
          <t>Sram M 200</t>
        </is>
      </c>
      <c r="B28382">
        <f>HYPERLINK("https://www.dofusbook.net/fr/equipement/3310617-sram-m-200/objets", "link")</f>
        <v/>
      </c>
      <c r="C28382" t="n">
        <v>1</v>
      </c>
      <c r="D28382" t="inlineStr">
        <is>
          <t>Lance corrompue; Amulette du Kamasterisk; Grésilanneau; Anneau de Pol Ouatnos; Bouclier d'Ilyzaelle; Ceinture de la Reine des Voleurs; Coiffe de la Reine des Voleurs; Cape du Kamasterisk; Bottes du Kamasterisk; Dofus Émeraude; Dofus des Glaces; Dofus Pourpre; Dofus Abyssal; Dokoko; Dofus Ocre</t>
        </is>
      </c>
    </row>
    <row r="28383">
      <c r="A28383" t="inlineStr">
        <is>
          <t>Multi</t>
        </is>
      </c>
      <c r="B28383">
        <f>HYPERLINK("https://www.dofusbook.net/fr/equipement/2656496-multi/objets", "link")</f>
        <v/>
      </c>
      <c r="C28383" t="n">
        <v>2</v>
      </c>
      <c r="D28383" t="inlineStr">
        <is>
          <t>Epée Gloursonne; Amulette Ementaire Deluxe; Alliance Gloursonne; Bague Gloursonne; Bouclier cubiste; Ceinture de l'Esprit Salvateur; Masque de l'Esprit Salvateur; Dofusteuse; Bottes de l'Esprit Salvateur; Dofus Émeraude; Dofus Pourpre; Dofus des Glaces; Dofus Ocre; Dolmanax; Dofus Ivoire; Muldo Ebène et Pourpre</t>
        </is>
      </c>
    </row>
    <row r="28384">
      <c r="A28384" t="inlineStr">
        <is>
          <t>Agi opti</t>
        </is>
      </c>
      <c r="B28384">
        <f>HYPERLINK("https://www.dofusbook.net/fr/equipement/3030129-agi-opti/objets", "link")</f>
        <v/>
      </c>
      <c r="C28384" t="n">
        <v>2</v>
      </c>
      <c r="D28384" t="inlineStr">
        <is>
          <t>Manthache; Collier du Valet Veinard; Alliance Gloursonne; Gant du Valet Veinard; Bouclier d'Ilyzaelle; Menoture; Chapeau de Tournoyé; Cape Indescriptible; Palmes Trithons; Dofus Pourpre; Dofus des Glaces; Dofus Ocre; Robuste majeur; Nomade; Cascadeur majeur; Siroko</t>
        </is>
      </c>
    </row>
    <row r="28385">
      <c r="A28385" t="inlineStr">
        <is>
          <t>Sram M 200</t>
        </is>
      </c>
      <c r="B28385">
        <f>HYPERLINK("https://www.dofusbook.net/fr/equipement/3288958-sram-m-200/objets", "link")</f>
        <v/>
      </c>
      <c r="C28385" t="n">
        <v>0</v>
      </c>
      <c r="D28385" t="inlineStr">
        <is>
          <t>Epée Maudite du Saigneur Guerrier; Kralamansion; Kralano; Annolamour; Bouclier cubiste; Ceinture de l'Esprit Salvateur; Masque de l'Esprit Salvateur; Cape Routh; Bottes de l'Esprit Salvateur; Dofus Pourpre; Dokoko; Dofus Ocre; Dolmanax; Dofus des Glaces; Robuste majeur; Muldo Ebène et Indigo</t>
        </is>
      </c>
    </row>
    <row r="28386">
      <c r="A28386" t="inlineStr">
        <is>
          <t>mppmp</t>
        </is>
      </c>
      <c r="B28386">
        <f>HYPERLINK("https://www.dofusbook.net/fr/equipement/3270122-mppmp/objets", "link")</f>
        <v/>
      </c>
      <c r="C28386" t="n">
        <v>1</v>
      </c>
      <c r="D28386" t="inlineStr">
        <is>
          <t>Arc Hétype; Pendentif affamé; Anneau Tique; Anneauræus; Cadran de Feu; Ceinture Séculaire; Coiffe Séculaire; Cape de Diondin; Pataugastrique; Carapace Eau majeur; Érudit majeur; Carapace Feu majeur; Dévastateur Feu majeur; Remueur; Miraculé majeur; Muldo Orchidée</t>
        </is>
      </c>
    </row>
    <row r="28387">
      <c r="A28387" t="inlineStr">
        <is>
          <t>pano do cri opti all</t>
        </is>
      </c>
      <c r="B28387">
        <f>HYPERLINK("https://www.dofusbook.net/fr/equipement/3016810-pano-do-cri-opti-all/objets", "link")</f>
        <v/>
      </c>
      <c r="C28387" t="n">
        <v>6</v>
      </c>
      <c r="D28387" t="inlineStr">
        <is>
          <t>Sabres d'Atcham; Amulette du Strigide; Bague Trithon; Bracelet du Piloztère; Bouclier cubiste; Ceinture du Strigide; Masque Trithon; Cape d'Atcham; Bottes Trithon; Dofus Pourpre; Dofus Ocre; Dolmanax; Dofus des Glaces; Robuste majeur; Puissant majeur; Muldo Doré et Ebène</t>
        </is>
      </c>
    </row>
    <row r="28388">
      <c r="A28388" t="inlineStr">
        <is>
          <t>Iop multi full do</t>
        </is>
      </c>
      <c r="B28388">
        <f>HYPERLINK("https://www.dofusbook.net/fr/equipement/2874095-iop-multi-full-do/objets", "link")</f>
        <v/>
      </c>
      <c r="C28388" t="n">
        <v>0</v>
      </c>
      <c r="D28388" t="inlineStr">
        <is>
          <t>Epée Gloursonne; Amulette de l'Indicible; Alliance Gloursonne; Bague Gloursonne; Bouclier d'Anerice; Ceinture de l'Indicible; Masque d'Anerice; Cape d'Anerice; Bottes de l'Indicible; Dofus des Glaces; Dofus Ivoire; Dofus Pourpre; Dokoko; Dofus Émeraude; Dofus Forgelave; Muldo Indigo et Orchidée</t>
        </is>
      </c>
    </row>
    <row r="28389">
      <c r="A28389" t="inlineStr">
        <is>
          <t>multi full resis</t>
        </is>
      </c>
      <c r="B28389">
        <f>HYPERLINK("https://www.dofusbook.net/fr/equipement/2904457-multi-full-resis/objets", "link")</f>
        <v/>
      </c>
      <c r="C28389" t="n">
        <v>0</v>
      </c>
      <c r="D28389" t="inlineStr">
        <is>
          <t>Epée Gloursonne; Amulette de l'Indicible; Bague Gloursonne; Alliance Gloursonne; Bouclier d'Anerice; Ceinture de l'Indicible; Masque d'Anerice; Cape d'Anerice; Bottes de l'Indicible; Dofus Pourpre; Dokoko; Dofus Émeraude; Dofus Forgelave; Dofus des Glaces; Dofus Ivoire; Muldo Indigo et Orchidée</t>
        </is>
      </c>
    </row>
    <row r="28390">
      <c r="A28390" t="inlineStr">
        <is>
          <t>Stuff 3</t>
        </is>
      </c>
      <c r="B28390">
        <f>HYPERLINK("https://www.dofusbook.net/fr/equipement/27429-stuff-3/objets", "link")</f>
        <v/>
      </c>
      <c r="C28390" t="n">
        <v>2</v>
      </c>
      <c r="D28390" t="inlineStr">
        <is>
          <t>Baguette de Malléfisk; Pendentif affamé; Kralano; Anneau Tique; Cadran de Feu; Ceinture de Gein; Heaume Oplate; Cape de Diondin; Bottes Innommables; Dofus Ivoire; Carapace Eau majeur; Carapace Feu majeur; Érudit majeur; Carapace Neutre majeur; Carapace Terre majeur; Muldo Indigo et Pourpre</t>
        </is>
      </c>
    </row>
    <row r="28391">
      <c r="A28391" t="inlineStr">
        <is>
          <t>pano do cri opti all</t>
        </is>
      </c>
      <c r="B28391">
        <f>HYPERLINK("https://www.dofusbook.net/fr/equipement/3161638-pano-do-cri-opti-all/objets", "link")</f>
        <v/>
      </c>
      <c r="C28391" t="n">
        <v>3</v>
      </c>
      <c r="D28391" t="inlineStr">
        <is>
          <t>Sabres d'Atcham; Amulette du Strigide; Bracelet du Piloztère; Bague Trithon; Cadran d'Air; Ceinture du Strigide; Masque Trithon; Cape d'Atcham; Bottes Trithon; Dolmanax; Dofus Abyssal; Dofus Turquoise; Dofus des Glaces; Dofus Pourpre; Dofus Ocre; Dragodinde Prune et Emeraude</t>
        </is>
      </c>
    </row>
    <row r="28392">
      <c r="A28392" t="inlineStr">
        <is>
          <t>multi opti pas cher</t>
        </is>
      </c>
      <c r="B28392">
        <f>HYPERLINK("https://www.dofusbook.net/fr/equipement/3161030-multi-opti-pas-cher/objets", "link")</f>
        <v/>
      </c>
      <c r="C28392" t="n">
        <v>0</v>
      </c>
      <c r="D28392" t="inlineStr">
        <is>
          <t>Epée Gloursonne; Amulette de l'Indicible; Alliance Gloursonne; Bague Gloursonne; Bouclier d'Anerice; Ceinture de l'Indicible; Masque d'Anerice; Cape d'Anerice; Bottes de l'Indicible; Dofus Ivoire; Dokoko; Dofus Émeraude; Dofus des Glaces; Dofus Pourpre; Dofus Abyssal; Muldo Indigo et Orchidée</t>
        </is>
      </c>
    </row>
    <row r="28393">
      <c r="A28393" t="inlineStr">
        <is>
          <t>terre</t>
        </is>
      </c>
      <c r="B28393">
        <f>HYPERLINK("https://www.dofusbook.net/fr/equipement/3174780-terre/objets", "link")</f>
        <v/>
      </c>
      <c r="C28393" t="n">
        <v>0</v>
      </c>
      <c r="D28393" t="inlineStr">
        <is>
          <t>Arc du Chalœil; Collier de Tourthon; Bracelet du Piloztère; Anneau de Brouce; Bouclier cubiste; Ceinture Gence; Masque de Koutoulou; Ankhape; Baleinabottes; Dofus des Glaces; Dofus Pourpre; Dévastateur Terre majeur; Robuste majeur; Vigoureux majeur; Enragé majeur; Muldo Pourpre</t>
        </is>
      </c>
    </row>
    <row r="28394">
      <c r="A28394" t="inlineStr">
        <is>
          <t>terre</t>
        </is>
      </c>
      <c r="B28394">
        <f>HYPERLINK("https://www.dofusbook.net/fr/equipement/3174765-terre/objets", "link")</f>
        <v/>
      </c>
      <c r="C28394" t="n">
        <v>0</v>
      </c>
      <c r="D28394" t="inlineStr">
        <is>
          <t>Arc du Chalœil; Collier de Tourthon; Bracelet du Piloztère; Anneau de Brouce; Bouclier d'Ilyzaelle; Ceinture Gence; Masque de Koutoulou; Ankhape; Baleinabottes; Dofus des Glaces; Dofus Pourpre; Dévastateur Terre majeur; Robuste majeur; Vigoureux majeur; Enragé majeur; Muldo Pourpre</t>
        </is>
      </c>
    </row>
    <row r="28395">
      <c r="A28395" t="inlineStr">
        <is>
          <t>terre</t>
        </is>
      </c>
      <c r="B28395">
        <f>HYPERLINK("https://www.dofusbook.net/fr/equipement/3174556-terre/objets", "link")</f>
        <v/>
      </c>
      <c r="C28395" t="n">
        <v>0</v>
      </c>
      <c r="D28395" t="inlineStr">
        <is>
          <t>Arc du Chalœil; Collier de Tourthon; Anneau de Brouce; Bracelet du Piloztère; Bouclier d'Ilyzaelle; Ceinture Gence; Masque de Koutoulou; Ankhape; Baleinabottes; Dofus des Glaces; Dofus Pourpre; Vigoureux majeur; Enragé majeur; Dévastateur Terre majeur; Robuste majeur; Muldo Pourpre</t>
        </is>
      </c>
    </row>
    <row r="28396">
      <c r="A28396" t="inlineStr">
        <is>
          <t>pano do cri opti all</t>
        </is>
      </c>
      <c r="B28396">
        <f>HYPERLINK("https://www.dofusbook.net/fr/equipement/3083471-pano-do-cri-opti-all/objets", "link")</f>
        <v/>
      </c>
      <c r="C28396" t="n">
        <v>0</v>
      </c>
      <c r="D28396" t="inlineStr">
        <is>
          <t>Sabres d'Atcham; Amulette du Strigide; Bague Trithon; Bracelet du Piloztère; Bouclier d'Ilyzaelle; Ceinture du Strigide; Masque Trithon; Cape d'Atcham; Bottes Trithon; Dofus Pourpre; Dofus Ocre; Dolmanax; Dofus Nébuleux; Dofus Abyssal; Dofus Turquoise; Dragodinde Prune et Emeraude</t>
        </is>
      </c>
    </row>
    <row r="28397">
      <c r="A28397" t="inlineStr">
        <is>
          <t>pano do cri opti all</t>
        </is>
      </c>
      <c r="B28397">
        <f>HYPERLINK("https://www.dofusbook.net/fr/equipement/3077230-pano-do-cri-opti-all/objets", "link")</f>
        <v/>
      </c>
      <c r="C28397" t="n">
        <v>0</v>
      </c>
      <c r="D28397" t="inlineStr">
        <is>
          <t>Sabres d'Atcham; Amulette du Strigide; Bracelet du Piloztère; Bague Trithon; Bouclier d'Ilyzaelle; Ceinture du Strigide; Masque Trithon; Cape d'Atcham; Bottes Trithon; Dolmanax; Dofus Nébuleux; Dofus Abyssal; Dofus des Glaces; Dofus Pourpre; Dofus Ocre; Muldo Prune et Turquoise</t>
        </is>
      </c>
    </row>
    <row r="28398">
      <c r="A28398" t="inlineStr">
        <is>
          <t>pano do cri opti all</t>
        </is>
      </c>
      <c r="B28398">
        <f>HYPERLINK("https://www.dofusbook.net/fr/equipement/3076757-pano-do-cri-opti-all/objets", "link")</f>
        <v/>
      </c>
      <c r="C28398" t="n">
        <v>1</v>
      </c>
      <c r="D28398" t="inlineStr">
        <is>
          <t>Sabres d'Atcham; Amulette du Strigide; Bracelet du Piloztère; Bague Trithon; Bouclier d'Ilyzaelle; Ceinture du Strigide; Masque Trithon; Cape d'Atcham; Bottes Trithon; Dofus Pourpre; Dofus Ocre; Dolmanax; Dofus des Glaces; Dofus Abyssal; Muldo Turquoise et Doré</t>
        </is>
      </c>
    </row>
    <row r="28399">
      <c r="A28399" t="inlineStr">
        <is>
          <t>pano do cri opti all</t>
        </is>
      </c>
      <c r="B28399">
        <f>HYPERLINK("https://www.dofusbook.net/fr/equipement/3006021-pano-do-cri-opti-all/objets", "link")</f>
        <v/>
      </c>
      <c r="C28399" t="n">
        <v>0</v>
      </c>
      <c r="D28399" t="inlineStr">
        <is>
          <t>Sabres d'Atcham; Amulette du Strigide; Bague Trithon; Bracelet du Piloztère; Bouclier Pandawa; Ceinture du Strigide; Masque Trithon; Cape d'Atcham; Bottes Trithon; Dofus Turquoise; Dofus des Glaces; Dofus Pourpre; Dofus Ocre; Dolmanax; Dofus Nébuleux; Muldo Ebène et Emeraude</t>
        </is>
      </c>
    </row>
    <row r="28400">
      <c r="A28400" t="inlineStr">
        <is>
          <t>pano do cri opti all</t>
        </is>
      </c>
      <c r="B28400">
        <f>HYPERLINK("https://www.dofusbook.net/fr/equipement/3004163-pano-do-cri-opti-all/objets", "link")</f>
        <v/>
      </c>
      <c r="C28400" t="n">
        <v>0</v>
      </c>
      <c r="D28400" t="inlineStr">
        <is>
          <t>Sabres d'Atcham; Amulette du Strigide; Bracelet du Piloztère; Bague Trithon; Bouclier cubiste; Ceinture du Strigide; Masque Trithon; Cape d'Atcham; Bottes Trithon; Dolmanax; Dofus Abyssal; Dofus Turquoise; Dofus des Glaces; Dofus Pourpre; Dofus Ocre; Muldo Turquoise et Ebène</t>
        </is>
      </c>
    </row>
    <row r="28401">
      <c r="A28401" t="inlineStr">
        <is>
          <t>pano do cri opti all</t>
        </is>
      </c>
      <c r="B28401">
        <f>HYPERLINK("https://www.dofusbook.net/fr/equipement/2996191-pano-do-cri-opti-all/objets", "link")</f>
        <v/>
      </c>
      <c r="C28401" t="n">
        <v>0</v>
      </c>
      <c r="D28401" t="inlineStr">
        <is>
          <t>Sabres d'Atcham; Amulette du Strigide; Bracelet du Piloztère; Bague Trithon; Bouclier Pandawa; Ceinture du Strigide; Masque Trithon; Cape d'Atcham; Bottes Trithon; Dofus Turquoise; Dofus Pourpre; Dofus Ocre; Dolmanax; Dofus des Glaces; Muldo Ebène et Emeraude</t>
        </is>
      </c>
    </row>
    <row r="28402">
      <c r="A28402" t="inlineStr">
        <is>
          <t>pano do cri opti all</t>
        </is>
      </c>
      <c r="B28402">
        <f>HYPERLINK("https://www.dofusbook.net/fr/equipement/2996189-pano-do-cri-opti-all/objets", "link")</f>
        <v/>
      </c>
      <c r="C28402" t="n">
        <v>0</v>
      </c>
      <c r="D28402" t="inlineStr">
        <is>
          <t>Sabres d'Atcham; Amulette du Strigide; Bague Trithon; Bracelet du Piloztère; Bouclier Pandawa; Ceinture du Strigide; Masque Trithon; Cape d'Atcham; Bottes Trithon; Dofus Turquoise; Dofus des Glaces; Dofus Pourpre; Dofus Ocre; Dolmanax; Dofus Nébuleux; Muldo Ebène et Emeraude</t>
        </is>
      </c>
    </row>
    <row r="28403">
      <c r="A28403" t="inlineStr">
        <is>
          <t>pano do cri opti all</t>
        </is>
      </c>
      <c r="B28403">
        <f>HYPERLINK("https://www.dofusbook.net/fr/equipement/2996183-pano-do-cri-opti-all/objets", "link")</f>
        <v/>
      </c>
      <c r="C28403" t="n">
        <v>2</v>
      </c>
      <c r="D28403" t="inlineStr">
        <is>
          <t>Sabres d'Atcham; Amulette du Strigide; Bracelet du Piloztère; Bague Trithon; Bouclier Pandawa; Ceinture du Strigide; Masque Trithon; Cape d'Atcham; Bottes Trithon; Dofus Pourpre; Dofus Ocre; Dolmanax; Dofus Nébuleux; Dofus Turquoise; Dofus des Glaces; Muldo Ebène et Emeraude</t>
        </is>
      </c>
    </row>
    <row r="28404">
      <c r="A28404" t="inlineStr">
        <is>
          <t>pano do cri opti all</t>
        </is>
      </c>
      <c r="B28404">
        <f>HYPERLINK("https://www.dofusbook.net/fr/equipement/2995536-pano-do-cri-opti-all/objets", "link")</f>
        <v/>
      </c>
      <c r="C28404" t="n">
        <v>0</v>
      </c>
      <c r="D28404" t="inlineStr">
        <is>
          <t>Sabres d'Atcham; Amulette du Strigide; Bague Trithon; Bracelet du Piloztère; Bouclier Pandawa; Ceinture du Strigide; Masque Trithon; Cape d'Atcham; Bottes Trithon; Dofus Turquoise; Dofus des Glaces; Dofus Pourpre; Dofus Ocre; Dolmanax; Dofus Nébuleux; Muldo Ebène et Emeraude</t>
        </is>
      </c>
    </row>
    <row r="28405">
      <c r="A28405" t="inlineStr">
        <is>
          <t>pano do cri opti all</t>
        </is>
      </c>
      <c r="B28405">
        <f>HYPERLINK("https://www.dofusbook.net/fr/equipement/2903105-pano-do-cri-opti-all/objets", "link")</f>
        <v/>
      </c>
      <c r="C28405" t="n">
        <v>0</v>
      </c>
      <c r="D28405" t="inlineStr">
        <is>
          <t>Sabres d'Atcham; Amulette du Strigide; Bague Trithon; Bracelet du Piloztère; Bouclier Pandawa; Ceinture du Strigide; Masque Trithon; Cape d'Atcham; Bottes Trithon; Dofus Turquoise; Dofus des Glaces; Dofus Pourpre; Dofus Ocre; Dolmanax; Dofus Ivoire; Muldo Ebène et Emeraude</t>
        </is>
      </c>
    </row>
    <row r="28406">
      <c r="A28406" t="inlineStr">
        <is>
          <t>botte de classe eau</t>
        </is>
      </c>
      <c r="B28406">
        <f>HYPERLINK("https://www.dofusbook.net/fr/equipement/2992003-botte--de-classe-eau/objets", "link")</f>
        <v/>
      </c>
      <c r="C28406" t="n">
        <v>0</v>
      </c>
      <c r="D28406" t="inlineStr">
        <is>
          <t>Epée Gloursonne; Amulette d'Ilyzaelle; Bague Gloursonne; Alliance Gloursonne; Bouclier d'Ilyzaelle; Ceinture Glaciale; Casque d'Ilyzaelle; Cape Glaciale; Bottes Harcie; Dokoko; Dofus Ocre; Dofus Émeraude; Dofus Nébuleux; Dofus Pourpre; Dofus Abyssal; Muldo Ebène et Pourpre</t>
        </is>
      </c>
    </row>
    <row r="28407">
      <c r="A28407" t="inlineStr">
        <is>
          <t>full terre</t>
        </is>
      </c>
      <c r="B28407">
        <f>HYPERLINK("https://www.dofusbook.net/fr/equipement/2981794-full-terre/objets", "link")</f>
        <v/>
      </c>
      <c r="C28407" t="n">
        <v>0</v>
      </c>
      <c r="D28407" t="inlineStr">
        <is>
          <t>Marteau R'ture; Amulette du Cœur Saignant; Anneau de Brouce; Bracelet du Piloztère; Bouclier d'Ilyzaelle; Ceinture Gence; Masque de Koutoulou; Cape du Cœur Saignant; Bottes du Cœur Saignant; Dofus des Glaces; Dofus Pourpre; Dolmanax; Ravageur Terre majeur; Furibond majeur</t>
        </is>
      </c>
    </row>
    <row r="28408">
      <c r="A28408" t="inlineStr">
        <is>
          <t>Iop multi full do</t>
        </is>
      </c>
      <c r="B28408">
        <f>HYPERLINK("https://www.dofusbook.net/fr/equipement/2966209-iop-multi-full-do/objets", "link")</f>
        <v/>
      </c>
      <c r="C28408" t="n">
        <v>0</v>
      </c>
      <c r="D28408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Nébuleux; Muldo Ebène</t>
        </is>
      </c>
    </row>
    <row r="28409">
      <c r="A28409" t="inlineStr">
        <is>
          <t>Iop multi full do</t>
        </is>
      </c>
      <c r="B28409">
        <f>HYPERLINK("https://www.dofusbook.net/fr/equipement/2963376-iop-multi-full-do/objets", "link")</f>
        <v/>
      </c>
      <c r="C28409" t="n">
        <v>0</v>
      </c>
      <c r="D28409" t="inlineStr">
        <is>
          <t>Sabres d'Atcham; Amulette du Strigide; Bracelet du Piloztère; Bague Trithon; Bouclier d'Ilyzaelle; Ceinture du Strigide; Masque Trithon; Cape d'Atcham; Bottes Trithon; Dolmanax; Dofus Émeraude; Dofus Turquoise; Dofus des Glaces; Dofus Pourpre; Dofus Ocre; Muldo Ebène</t>
        </is>
      </c>
    </row>
    <row r="28410">
      <c r="A28410" t="inlineStr">
        <is>
          <t>Multi résiste pacher</t>
        </is>
      </c>
      <c r="B28410">
        <f>HYPERLINK("https://www.dofusbook.net/fr/equipement/2906880-multi-resiste-pacher/objets", "link")</f>
        <v/>
      </c>
      <c r="C28410" t="n">
        <v>0</v>
      </c>
      <c r="D28410" t="inlineStr">
        <is>
          <t>Epée Gloursonne; Amulette du Strigide; Bague Gloursonne; Alliance Gloursonne; Bouclier cubiste; Ceinture du Strigide; Casque du Chalœil; Cape du Chalœil; Bottes du Chalœil; Dokoko; Dofus Turquoise; Dofus Émeraude; Dofus Ocre; Dofus des Glaces; Dofus Pourpre; Muldo Indigo et Orchidée</t>
        </is>
      </c>
    </row>
    <row r="28411">
      <c r="A28411" t="inlineStr">
        <is>
          <t>Multi pas cher resis</t>
        </is>
      </c>
      <c r="B28411">
        <f>HYPERLINK("https://www.dofusbook.net/fr/equipement/2908673-multi-pas-cher-resis/objets", "link")</f>
        <v/>
      </c>
      <c r="C28411" t="n">
        <v>0</v>
      </c>
      <c r="D28411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Émeraude; Muldo Ebène</t>
        </is>
      </c>
    </row>
    <row r="28412">
      <c r="A28412" t="inlineStr">
        <is>
          <t>Multi pas cher resis</t>
        </is>
      </c>
      <c r="B28412">
        <f>HYPERLINK("https://www.dofusbook.net/fr/equipement/2908667-multi-pas-cher-resis/objets", "link")</f>
        <v/>
      </c>
      <c r="C28412" t="n">
        <v>0</v>
      </c>
      <c r="D28412" t="inlineStr">
        <is>
          <t>Sabres d'Atcham; Amulette du Strigide; Bracelet du Piloztère; Bague Trithon; Bouclier d'Ilyzaelle; Ceinture du Strigide; Masque Trithon; Cape d'Atcham; Bottes Trithon; Dolmanax; Dofus Émeraude; Dofus Turquoise; Dofus des Glaces; Dofus Pourpre; Dofus Ocre; Muldo Ebène</t>
        </is>
      </c>
    </row>
    <row r="28413">
      <c r="A28413" t="inlineStr">
        <is>
          <t>Multi pas cher resis</t>
        </is>
      </c>
      <c r="B28413">
        <f>HYPERLINK("https://www.dofusbook.net/fr/equipement/2908546-multi-pas-cher-resis/objets", "link")</f>
        <v/>
      </c>
      <c r="C28413" t="n">
        <v>0</v>
      </c>
      <c r="D28413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Émeraude; Muldo Ebène</t>
        </is>
      </c>
    </row>
    <row r="28414">
      <c r="A28414" t="inlineStr">
        <is>
          <t>Multi pas cher resis</t>
        </is>
      </c>
      <c r="B28414">
        <f>HYPERLINK("https://www.dofusbook.net/fr/equipement/2908518-multi-pas-cher-resis/objets", "link")</f>
        <v/>
      </c>
      <c r="C28414" t="n">
        <v>0</v>
      </c>
      <c r="D28414" t="inlineStr">
        <is>
          <t>Sabres d'Atcham; Amulette du Strigide; Bracelet du Piloztère; Bague Trithon; Bouclier d'Ilyzaelle; Ceinture du Strigide; Masque Trithon; Cape d'Atcham; Bottes Trithon; Dolmanax; Dofus Émeraude; Dofus Turquoise; Dokoko; Dofus Pourpre; Dofus Ocre; Muldo Ebène</t>
        </is>
      </c>
    </row>
    <row r="28415">
      <c r="A28415" t="inlineStr">
        <is>
          <t>Multi pas cher resis</t>
        </is>
      </c>
      <c r="B28415">
        <f>HYPERLINK("https://www.dofusbook.net/fr/equipement/2908104-multi-pas-cher-resis/objets", "link")</f>
        <v/>
      </c>
      <c r="C28415" t="n">
        <v>0</v>
      </c>
      <c r="D28415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Émeraude; Muldo Ebène</t>
        </is>
      </c>
    </row>
    <row r="28416">
      <c r="A28416" t="inlineStr">
        <is>
          <t>Multi pas cher resis</t>
        </is>
      </c>
      <c r="B28416">
        <f>HYPERLINK("https://www.dofusbook.net/fr/equipement/2908007-multi-pas-cher-resis/objets", "link")</f>
        <v/>
      </c>
      <c r="C28416" t="n">
        <v>0</v>
      </c>
      <c r="D28416" t="inlineStr">
        <is>
          <t>Sabres d'Atcham; Amulette du Strigide; Bracelet du Piloztère; Bague Trithon; Bouclier d'Ilyzaelle; Ceinture du Strigide; Masque Trithon; Cape d'Atcham; Bottes Trithon; Dolmanax; Dofus Émeraude; Dofus Turquoise; Dofus des Glaces; Dofus Pourpre; Dofus Ocre; Muldo Ebène</t>
        </is>
      </c>
    </row>
    <row r="28417">
      <c r="A28417" t="inlineStr">
        <is>
          <t>Iop multi full do</t>
        </is>
      </c>
      <c r="B28417">
        <f>HYPERLINK("https://www.dofusbook.net/fr/equipement/2907339-iop-multi-full-do/objets", "link")</f>
        <v/>
      </c>
      <c r="C28417" t="n">
        <v>0</v>
      </c>
      <c r="D28417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Nébuleux; Muldo Ebène</t>
        </is>
      </c>
    </row>
    <row r="28418">
      <c r="A28418" t="inlineStr">
        <is>
          <t>Iop multi full do</t>
        </is>
      </c>
      <c r="B28418">
        <f>HYPERLINK("https://www.dofusbook.net/fr/equipement/2907285-iop-multi-full-do/objets", "link")</f>
        <v/>
      </c>
      <c r="C28418" t="n">
        <v>1</v>
      </c>
      <c r="D28418" t="inlineStr">
        <is>
          <t>Sabres d'Atcham; Amulette du Strigide; Bracelet du Piloztère; Bague Trithon; Bouclier d'Ilyzaelle; Ceinture du Strigide; Masque Trithon; Cape d'Atcham; Bottes Trithon; Dolmanax; Dofus Nébuleux; Dofus Turquoise; Dofus des Glaces; Dofus Pourpre; Dofus Ocre; Muldo Ebène</t>
        </is>
      </c>
    </row>
    <row r="28419">
      <c r="A28419" t="inlineStr">
        <is>
          <t>Iop multi full do</t>
        </is>
      </c>
      <c r="B28419">
        <f>HYPERLINK("https://www.dofusbook.net/fr/equipement/2907277-iop-multi-full-do/objets", "link")</f>
        <v/>
      </c>
      <c r="C28419" t="n">
        <v>0</v>
      </c>
      <c r="D28419" t="inlineStr">
        <is>
          <t>Sabres d'Atcham; Amulette du Strigide; Bague Trithon; Bracelet du Piloztère; Bouclier d'Ilyzaelle; Ceinture du Strigide; Masque Trithon; Cape d'Atcham; Bottes Trithon; Dofus Turquoise; Dofus des Glaces; Dofus Pourpre; Dofus Ocre; Dolmanax; Dofus Nébuleux; Muldo Ebène</t>
        </is>
      </c>
    </row>
    <row r="28420">
      <c r="A28420" t="inlineStr">
        <is>
          <t>multi full resis</t>
        </is>
      </c>
      <c r="B28420">
        <f>HYPERLINK("https://www.dofusbook.net/fr/equipement/2904646-multi-full-resis/objets", "link")</f>
        <v/>
      </c>
      <c r="C28420" t="n">
        <v>4</v>
      </c>
      <c r="D28420" t="inlineStr">
        <is>
          <t>Epée Gloursonne; Amulette de l'Indicible; Bague Gloursonne; Alliance Gloursonne; Bouclier d'Anerice; Ceinture de l'Indicible; Masque d'Anerice; Cape d'Anerice; Bottes de l'Indicible; Dofus Émeraude; Dofus Nébuleux; Dofus Pourpre; Dofus Ivoire; Dolmanax; Dofus Forgelave; Muldo Indigo et Orchidée</t>
        </is>
      </c>
    </row>
    <row r="28421">
      <c r="A28421" t="inlineStr">
        <is>
          <t>multi full resis</t>
        </is>
      </c>
      <c r="B28421">
        <f>HYPERLINK("https://www.dofusbook.net/fr/equipement/2904611-multi-full-resis/objets", "link")</f>
        <v/>
      </c>
      <c r="C28421" t="n">
        <v>0</v>
      </c>
      <c r="D28421" t="inlineStr">
        <is>
          <t>Epée Gloursonne; Amulette de l'Indicible; Alliance Gloursonne; Bague Gloursonne; Bouclier d'Anerice; Ceinture de l'Indicible; Masque d'Anerice; Cape d'Anerice; Bottes de l'Indicible; Dofus Pourpre; Dofus Ivoire; Dolmanax; Dofus Forgelave; Dofus Émeraude; Dofus Nébuleux; Muldo Indigo et Orchidée</t>
        </is>
      </c>
    </row>
    <row r="28422">
      <c r="A28422" t="inlineStr">
        <is>
          <t>pano multi do resis</t>
        </is>
      </c>
      <c r="B28422">
        <f>HYPERLINK("https://www.dofusbook.net/fr/equipement/2904357-pano-multi-do-resis/objets", "link")</f>
        <v/>
      </c>
      <c r="C28422" t="n">
        <v>0</v>
      </c>
      <c r="D28422" t="inlineStr">
        <is>
          <t>Epée Gloursonne; Amulette du Strigide; Bague Gloursonne; Alliance Gloursonne; Bouclier cubiste; Ceinture du Strigide; Casque du Chalœil; Cape du Chalœil; Bottes du Chalœil; Dofus Pourpre; Dofus des Glaces; Dofus Turquoise; Dofus Nébuleux; Dofus Émeraude; Dofus Ocre; Muldo Turquoise et Indigo</t>
        </is>
      </c>
    </row>
    <row r="28423">
      <c r="A28423" t="inlineStr">
        <is>
          <t>Iop multi full do</t>
        </is>
      </c>
      <c r="B28423">
        <f>HYPERLINK("https://www.dofusbook.net/fr/equipement/2903137-iop-multi-full-do/objets", "link")</f>
        <v/>
      </c>
      <c r="C28423" t="n">
        <v>0</v>
      </c>
      <c r="D28423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24">
      <c r="A28424" t="inlineStr">
        <is>
          <t>Iop multi full do</t>
        </is>
      </c>
      <c r="B28424">
        <f>HYPERLINK("https://www.dofusbook.net/fr/equipement/2896306-iop-multi-full-do/objets", "link")</f>
        <v/>
      </c>
      <c r="C28424" t="n">
        <v>0</v>
      </c>
      <c r="D28424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25">
      <c r="A28425" t="inlineStr">
        <is>
          <t>Iop multi full do</t>
        </is>
      </c>
      <c r="B28425">
        <f>HYPERLINK("https://www.dofusbook.net/fr/equipement/2896236-iop-multi-full-do/objets", "link")</f>
        <v/>
      </c>
      <c r="C28425" t="n">
        <v>2</v>
      </c>
      <c r="D28425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26">
      <c r="A28426" t="inlineStr">
        <is>
          <t>Iop multi full do</t>
        </is>
      </c>
      <c r="B28426">
        <f>HYPERLINK("https://www.dofusbook.net/fr/equipement/2876217-iop-multi-full-do/objets", "link")</f>
        <v/>
      </c>
      <c r="C28426" t="n">
        <v>0</v>
      </c>
      <c r="D28426" t="inlineStr">
        <is>
          <t>Sabres d'Atcham; Amulette du Strigide; Bracelet du Piloztère; Bague Trithon; Bouclier cubiste; Ceinture du Strigide; Masque Trithon; Cape d'Atcham; Bottes Trithon; Dolmanax; Dofus des Glaces; Dofus Pourpre; Dofus Ocre; Féroce majeur; Robuste majeur; Muldo Doré et Emeraude</t>
        </is>
      </c>
    </row>
    <row r="28427">
      <c r="A28427" t="inlineStr">
        <is>
          <t>Iop multi full do</t>
        </is>
      </c>
      <c r="B28427">
        <f>HYPERLINK("https://www.dofusbook.net/fr/equipement/2876077-iop-multi-full-do/objets", "link")</f>
        <v/>
      </c>
      <c r="C28427" t="n">
        <v>0</v>
      </c>
      <c r="D28427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28">
      <c r="A28428" t="inlineStr">
        <is>
          <t>Iop multi full do</t>
        </is>
      </c>
      <c r="B28428">
        <f>HYPERLINK("https://www.dofusbook.net/fr/equipement/2874827-iop-multi-full-do/objets", "link")</f>
        <v/>
      </c>
      <c r="C28428" t="n">
        <v>0</v>
      </c>
      <c r="D28428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29">
      <c r="A28429" t="inlineStr">
        <is>
          <t>Iop multi full do</t>
        </is>
      </c>
      <c r="B28429">
        <f>HYPERLINK("https://www.dofusbook.net/fr/equipement/2874478-iop-multi-full-do/objets", "link")</f>
        <v/>
      </c>
      <c r="C28429" t="n">
        <v>1</v>
      </c>
      <c r="D28429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30">
      <c r="A28430" t="inlineStr">
        <is>
          <t>Iop multi full do</t>
        </is>
      </c>
      <c r="B28430">
        <f>HYPERLINK("https://www.dofusbook.net/fr/equipement/2874094-iop-multi-full-do/objets", "link")</f>
        <v/>
      </c>
      <c r="C28430" t="n">
        <v>0</v>
      </c>
      <c r="D28430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31">
      <c r="A28431" t="inlineStr">
        <is>
          <t>Iop multi full do</t>
        </is>
      </c>
      <c r="B28431">
        <f>HYPERLINK("https://www.dofusbook.net/fr/equipement/2874057-iop-multi-full-do/objets", "link")</f>
        <v/>
      </c>
      <c r="C28431" t="n">
        <v>0</v>
      </c>
      <c r="D28431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32">
      <c r="A28432" t="inlineStr">
        <is>
          <t>Iop multi full do</t>
        </is>
      </c>
      <c r="B28432">
        <f>HYPERLINK("https://www.dofusbook.net/fr/equipement/2873066-iop-multi-full-do/objets", "link")</f>
        <v/>
      </c>
      <c r="C28432" t="n">
        <v>0</v>
      </c>
      <c r="D28432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33">
      <c r="A28433" t="inlineStr">
        <is>
          <t>Iop multi full do</t>
        </is>
      </c>
      <c r="B28433">
        <f>HYPERLINK("https://www.dofusbook.net/fr/equipement/2857968-iop-multi-full-do/objets", "link")</f>
        <v/>
      </c>
      <c r="C28433" t="n">
        <v>0</v>
      </c>
      <c r="D28433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Doré et Emeraude</t>
        </is>
      </c>
    </row>
    <row r="28434">
      <c r="A28434" t="inlineStr">
        <is>
          <t>iop multi</t>
        </is>
      </c>
      <c r="B28434">
        <f>HYPERLINK("https://www.dofusbook.net/fr/equipement/2842669-iop-multi/objets", "link")</f>
        <v/>
      </c>
      <c r="C28434" t="n">
        <v>0</v>
      </c>
      <c r="D28434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Puissant majeur; Muldo Doré et Emeraude</t>
        </is>
      </c>
    </row>
    <row r="28435">
      <c r="A28435" t="inlineStr">
        <is>
          <t>iop multi</t>
        </is>
      </c>
      <c r="B28435">
        <f>HYPERLINK("https://www.dofusbook.net/fr/equipement/2841518-iop-multi/objets", "link")</f>
        <v/>
      </c>
      <c r="C28435" t="n">
        <v>0</v>
      </c>
      <c r="D28435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36">
      <c r="A28436" t="inlineStr">
        <is>
          <t>iop multi</t>
        </is>
      </c>
      <c r="B28436">
        <f>HYPERLINK("https://www.dofusbook.net/fr/equipement/2841414-iop-multi/objets", "link")</f>
        <v/>
      </c>
      <c r="C28436" t="n">
        <v>0</v>
      </c>
      <c r="D28436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Puissant majeur; Muldo Doré et Emeraude</t>
        </is>
      </c>
    </row>
    <row r="28437">
      <c r="A28437" t="inlineStr">
        <is>
          <t>iop multi</t>
        </is>
      </c>
      <c r="B28437">
        <f>HYPERLINK("https://www.dofusbook.net/fr/equipement/2841040-iop-multi/objets", "link")</f>
        <v/>
      </c>
      <c r="C28437" t="n">
        <v>0</v>
      </c>
      <c r="D28437" t="inlineStr">
        <is>
          <t>Sabres d'Atcham; Amulette du Strigide; Bracelet du Piloztère; Bague Trithon; Bouclier cubiste; Ceinture du Strigide; Masque Trithon; Cape d'Atcham; Bottes Trithon; Dolmanax; Dofus Turquoise; Dofus des Glaces; Dofus Pourpre; Dofus Ocre; Puissant majeur; Muldo Doré et Emeraude</t>
        </is>
      </c>
    </row>
    <row r="28438">
      <c r="A28438" t="inlineStr">
        <is>
          <t>iop multi</t>
        </is>
      </c>
      <c r="B28438">
        <f>HYPERLINK("https://www.dofusbook.net/fr/equipement/2837811-iop-multi/objets", "link")</f>
        <v/>
      </c>
      <c r="C28438" t="n">
        <v>0</v>
      </c>
      <c r="D28438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Puissant majeur; Muldo Turquoise et Doré</t>
        </is>
      </c>
    </row>
    <row r="28439">
      <c r="A28439" t="inlineStr">
        <is>
          <t>iop multi</t>
        </is>
      </c>
      <c r="B28439">
        <f>HYPERLINK("https://www.dofusbook.net/fr/equipement/2837764-iop-multi/objets", "link")</f>
        <v/>
      </c>
      <c r="C28439" t="n">
        <v>0</v>
      </c>
      <c r="D28439" t="inlineStr">
        <is>
          <t>Sabres d'Atcham; Amulette du Strigide; Bracelet du Piloztère; Bague Trithon; Bouclier cubiste; Ceinture du Strigide; Masque Trithon; Cape d'Atcham; Bottes Trithon; Dolmanax; Dofus Turquoise; Dofus des Glaces; Dofus Pourpre; Dofus Ocre; Puissant majeur; Muldo Turquoise et Doré</t>
        </is>
      </c>
    </row>
    <row r="28440">
      <c r="A28440" t="inlineStr">
        <is>
          <t>iop multi</t>
        </is>
      </c>
      <c r="B28440">
        <f>HYPERLINK("https://www.dofusbook.net/fr/equipement/2836386-iop-multi/objets", "link")</f>
        <v/>
      </c>
      <c r="C28440" t="n">
        <v>0</v>
      </c>
      <c r="D28440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Dragodinde Prune et Emeraude</t>
        </is>
      </c>
    </row>
    <row r="28441">
      <c r="A28441" t="inlineStr">
        <is>
          <t>iop multi</t>
        </is>
      </c>
      <c r="B28441">
        <f>HYPERLINK("https://www.dofusbook.net/fr/equipement/2836383-iop-multi/objets", "link")</f>
        <v/>
      </c>
      <c r="C28441" t="n">
        <v>0</v>
      </c>
      <c r="D28441" t="inlineStr">
        <is>
          <t>Sabres d'Atcham; Amulette du Strigide; Bracelet du Piloztère; Bague Trithon; Bouclier cubiste; Ceinture du Strigide; Masque Trithon; Cape d'Atcham; Bottes Trithon; Dolmanax; Dofus Turquoise; Dofus des Glaces; Dofus Pourpre; Dofus Ocre; Puissant majeur; Muldo Turquoise et Doré</t>
        </is>
      </c>
    </row>
    <row r="28442">
      <c r="A28442" t="inlineStr">
        <is>
          <t>iop multi</t>
        </is>
      </c>
      <c r="B28442">
        <f>HYPERLINK("https://www.dofusbook.net/fr/equipement/2836382-iop-multi/objets", "link")</f>
        <v/>
      </c>
      <c r="C28442" t="n">
        <v>0</v>
      </c>
      <c r="D28442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Dragodinde Prune et Emeraude</t>
        </is>
      </c>
    </row>
    <row r="28443">
      <c r="A28443" t="inlineStr">
        <is>
          <t>iop multi</t>
        </is>
      </c>
      <c r="B28443">
        <f>HYPERLINK("https://www.dofusbook.net/fr/equipement/2836374-iop-multi/objets", "link")</f>
        <v/>
      </c>
      <c r="C28443" t="n">
        <v>0</v>
      </c>
      <c r="D28443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Dragodinde Prune et Emeraude</t>
        </is>
      </c>
    </row>
    <row r="28444">
      <c r="A28444" t="inlineStr">
        <is>
          <t>iop multi</t>
        </is>
      </c>
      <c r="B28444">
        <f>HYPERLINK("https://www.dofusbook.net/fr/equipement/2836325-iop-multi/objets", "link")</f>
        <v/>
      </c>
      <c r="C28444" t="n">
        <v>0</v>
      </c>
      <c r="D28444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Dragodinde Prune et Emeraude</t>
        </is>
      </c>
    </row>
    <row r="28445">
      <c r="A28445" t="inlineStr">
        <is>
          <t>iop multi</t>
        </is>
      </c>
      <c r="B28445">
        <f>HYPERLINK("https://www.dofusbook.net/fr/equipement/2836311-iop-multi/objets", "link")</f>
        <v/>
      </c>
      <c r="C28445" t="n">
        <v>0</v>
      </c>
      <c r="D28445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Dragodinde Prune et Emeraude</t>
        </is>
      </c>
    </row>
    <row r="28446">
      <c r="A28446" t="inlineStr">
        <is>
          <t>iop multi</t>
        </is>
      </c>
      <c r="B28446">
        <f>HYPERLINK("https://www.dofusbook.net/fr/equipement/2836303-iop-multi/objets", "link")</f>
        <v/>
      </c>
      <c r="C28446" t="n">
        <v>0</v>
      </c>
      <c r="D28446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Dragodinde Prune et Emeraude</t>
        </is>
      </c>
    </row>
    <row r="28447">
      <c r="A28447" t="inlineStr">
        <is>
          <t>iop multi</t>
        </is>
      </c>
      <c r="B28447">
        <f>HYPERLINK("https://www.dofusbook.net/fr/equipement/2836215-iop-multi/objets", "link")</f>
        <v/>
      </c>
      <c r="C28447" t="n">
        <v>0</v>
      </c>
      <c r="D28447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Dragodinde Prune et Emeraude</t>
        </is>
      </c>
    </row>
    <row r="28448">
      <c r="A28448" t="inlineStr">
        <is>
          <t>Multi</t>
        </is>
      </c>
      <c r="B28448">
        <f>HYPERLINK("https://www.dofusbook.net/fr/equipement/2835744-multi/objets", "link")</f>
        <v/>
      </c>
      <c r="C28448" t="n">
        <v>0</v>
      </c>
      <c r="D28448" t="inlineStr">
        <is>
          <t>Epée Gloursonne; Amulette Ementaire Deluxe; Alliance Gloursonne; Bague Gloursonne; Bouclier cubiste; Ceinture de l'Esprit Salvateur; Masque de l'Esprit Salvateur; Dofusteuse; Bottes de l'Esprit Salvateur; Dolmanax; Dofus Ivoire; Dofus Émeraude; Dofus Pourpre; Dofus des Glaces; Dofus Ocre; Muldo Ebène et Pourpre</t>
        </is>
      </c>
    </row>
    <row r="28449">
      <c r="A28449" t="inlineStr">
        <is>
          <t>Multi</t>
        </is>
      </c>
      <c r="B28449">
        <f>HYPERLINK("https://www.dofusbook.net/fr/equipement/2628507-multi/objets", "link")</f>
        <v/>
      </c>
      <c r="C28449" t="n">
        <v>0</v>
      </c>
      <c r="D28449" t="inlineStr">
        <is>
          <t>Epée Maudite du Saigneur Guerrier; Amulette de l'Indicible; Grésilanneau; Anneau Toriété; Bouclier cubiste; Ceinture de l'Esprit Salvateur; Masque de l'Esprit Salvateur; Voilamibe; Bottes de l'Esprit Salvateur; Dofus Pourpre; Dofus des Glaces; Dofus Nébuleux; Dofus Ocre; Dolmanax; Dofus Ivoire</t>
        </is>
      </c>
    </row>
    <row r="28450">
      <c r="A28450" t="inlineStr">
        <is>
          <t>multi diferent</t>
        </is>
      </c>
      <c r="B28450">
        <f>HYPERLINK("https://www.dofusbook.net/fr/equipement/2524112-multi-diferent/objets", "link")</f>
        <v/>
      </c>
      <c r="C28450" t="n">
        <v>0</v>
      </c>
      <c r="D28450" t="inlineStr">
        <is>
          <t>Epée Gloursonne; Amulette du Strigide; Bague Gloursonne; Alliance Gloursonne; Bouclier d'Anerice; Ceinture du Strigide; Masque d'Anerice; Cape d'Anerice; Bottes du Strigide; Dofus Ocre; Dofus des Glaces; Dolmanax; Dofus Nébuleux; Dofus Pourpre; Dofus Ivoire; Dragodinde Prune et Emeraude</t>
        </is>
      </c>
    </row>
    <row r="28451">
      <c r="A28451" t="inlineStr">
        <is>
          <t>multi diferent</t>
        </is>
      </c>
      <c r="B28451">
        <f>HYPERLINK("https://www.dofusbook.net/fr/equipement/2524064-multi-diferent/objets", "link")</f>
        <v/>
      </c>
      <c r="C28451" t="n">
        <v>0</v>
      </c>
      <c r="D28451" t="inlineStr">
        <is>
          <t>Epée Gloursonne; Amulette du Strigide; Alliance Gloursonne; Bague Gloursonne; Bouclier d'Anerice; Ceinture du Strigide; Masque d'Anerice; Cape d'Anerice; Bottes du Strigide; Dofus Pourpre; Dofus Ivoire; Dofus Émeraude; Dofus des Glaces; Dolmanax; Dofus Nébuleux; Dragodinde Prune et Emeraude</t>
        </is>
      </c>
    </row>
    <row r="28452">
      <c r="A28452" t="inlineStr">
        <is>
          <t>multi diferent</t>
        </is>
      </c>
      <c r="B28452">
        <f>HYPERLINK("https://www.dofusbook.net/fr/equipement/2524025-multi-diferent/objets", "link")</f>
        <v/>
      </c>
      <c r="C28452" t="n">
        <v>0</v>
      </c>
      <c r="D28452" t="inlineStr">
        <is>
          <t>Epée Gloursonne; Amulette du Strigide; Bague Gloursonne; Alliance Gloursonne; Bouclier d'Anerice; Ceinture du Strigide; Masque d'Anerice; Cape d'Anerice; Bottes du Strigide; Dofus Émeraude; Dofus des Glaces; Dolmanax; Dofus Nébuleux; Dofus Pourpre; Dofus Ivoire; Dragodinde Prune et Emeraude</t>
        </is>
      </c>
    </row>
    <row r="28453">
      <c r="A28453" t="inlineStr">
        <is>
          <t>multi diferent</t>
        </is>
      </c>
      <c r="B28453">
        <f>HYPERLINK("https://www.dofusbook.net/fr/equipement/2522335-multi-diferent/objets", "link")</f>
        <v/>
      </c>
      <c r="C28453" t="n">
        <v>0</v>
      </c>
      <c r="D28453" t="inlineStr">
        <is>
          <t>Epée Gloursonne; Amulette du Strigide; Alliance Gloursonne; Bague Gloursonne; Bouclier d'Anerice; Ceinture du Strigide; Masque d'Anerice; Cape d'Anerice; Bottes du Strigide; Dofus Pourpre; Dofus Ivoire; Dofus Émeraude; Dofus des Glaces; Dolmanax; Dofus Nébuleux; Dragodinde Prune et Emeraude</t>
        </is>
      </c>
    </row>
    <row r="28454">
      <c r="A28454" t="inlineStr">
        <is>
          <t>multi diferent</t>
        </is>
      </c>
      <c r="B28454">
        <f>HYPERLINK("https://www.dofusbook.net/fr/equipement/2518698-multi-diferent/objets", "link")</f>
        <v/>
      </c>
      <c r="C28454" t="n">
        <v>1</v>
      </c>
      <c r="D28454" t="inlineStr">
        <is>
          <t>Epée Gloursonne; Amulette du Strigide; Bague Gloursonne; Alliance Gloursonne; Bouclier d'Anerice; Ceinture du Strigide; Masque d'Anerice; Cape d'Anerice; Bottes du Strigide; Dolmanax; Dofus Nébuleux; Dofus Pourpre; Dofus Ivoire; Dofus Vulbis; Dofus des Glaces; Dragodinde Prune</t>
        </is>
      </c>
    </row>
    <row r="28455">
      <c r="A28455" t="inlineStr">
        <is>
          <t>iop multi</t>
        </is>
      </c>
      <c r="B28455">
        <f>HYPERLINK("https://www.dofusbook.net/fr/equipement/2402460-iop-multi/objets", "link")</f>
        <v/>
      </c>
      <c r="C28455" t="n">
        <v>0</v>
      </c>
      <c r="D28455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Dragodinde Prune et Emeraude</t>
        </is>
      </c>
    </row>
    <row r="28456">
      <c r="A28456" t="inlineStr">
        <is>
          <t>iop multi</t>
        </is>
      </c>
      <c r="B28456">
        <f>HYPERLINK("https://www.dofusbook.net/fr/equipement/2335701-iop-multi/objets", "link")</f>
        <v/>
      </c>
      <c r="C28456" t="n">
        <v>0</v>
      </c>
      <c r="D28456" t="inlineStr">
        <is>
          <t>Sabres d'Atcham; Amulette du Strigide; Bracelet du Piloztère; Bague Trithon; Bouclier cubiste; Ceinture du Strigide; Masque Trithon; Cape d'Atcham; Bottes Trithon; Dolmanax; Dofus Nébuleux; Dofus Turquoise; Dofus Ivoire; Dofus Pourpre; Dofus Ocre; Muldo Ebène et Indigo</t>
        </is>
      </c>
    </row>
    <row r="28457">
      <c r="A28457" t="inlineStr">
        <is>
          <t>multi</t>
        </is>
      </c>
      <c r="B28457">
        <f>HYPERLINK("https://www.dofusbook.net/fr/equipement/2517656-multi-/objets", "link")</f>
        <v/>
      </c>
      <c r="C28457" t="n">
        <v>0</v>
      </c>
      <c r="D28457" t="inlineStr">
        <is>
          <t>Marteau des égarés; Kralamansion; Kralano; Annolamour; Bouclier cubiste; Ceinture de l'Esprit Salvateur; Masque de l'Esprit Salvateur; Dofusteuse; Bottes de l'Esprit Salvateur; Dofus Ocre; Dofus Ivoire; Dolmanax; Dofus Nébuleux; Dofus Pourpre; Dofus des Glaces; Muldo Ebène et Pourpre</t>
        </is>
      </c>
    </row>
    <row r="28458">
      <c r="A28458" t="inlineStr">
        <is>
          <t>iop multi</t>
        </is>
      </c>
      <c r="B28458">
        <f>HYPERLINK("https://www.dofusbook.net/fr/equipement/2509961-iop-multi/objets", "link")</f>
        <v/>
      </c>
      <c r="C28458" t="n">
        <v>0</v>
      </c>
      <c r="D28458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59">
      <c r="A28459" t="inlineStr">
        <is>
          <t>multi</t>
        </is>
      </c>
      <c r="B28459">
        <f>HYPERLINK("https://www.dofusbook.net/fr/equipement/2509864-multi/objets", "link")</f>
        <v/>
      </c>
      <c r="C28459" t="n">
        <v>0</v>
      </c>
      <c r="D28459" t="inlineStr">
        <is>
          <t>Epée Gloursonne; Amulette Ementaire Deluxe; Alliance Gloursonne; Bague Gloursonne; Bouclier cubiste; Ceinture de l'Esprit Salvateur; Masque de l'Esprit Salvateur; Dofusteuse; Bottes de l'Esprit Salvateur; Dofus Pourpre; Dofus Ivoire; Dofus Émeraude; Dofus Ocre; Dolmanax; Dofus des Glaces; Muldo Roux et Doré</t>
        </is>
      </c>
    </row>
    <row r="28460">
      <c r="A28460" t="inlineStr">
        <is>
          <t>iop multi</t>
        </is>
      </c>
      <c r="B28460">
        <f>HYPERLINK("https://www.dofusbook.net/fr/equipement/2474246-iop-multi/objets", "link")</f>
        <v/>
      </c>
      <c r="C28460" t="n">
        <v>0</v>
      </c>
      <c r="D28460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61">
      <c r="A28461" t="inlineStr">
        <is>
          <t>Multi piano variante</t>
        </is>
      </c>
      <c r="B28461">
        <f>HYPERLINK("https://www.dofusbook.net/fr/equipement/2426153-multi-piano-variante/objets", "link")</f>
        <v/>
      </c>
      <c r="C28461" t="n">
        <v>0</v>
      </c>
      <c r="D28461" t="inlineStr">
        <is>
          <t>Epée Gloursonne; Amulette Ementaire Deluxe; Alliance Gloursonne; Bague Gloursonne; Bouclier cubiste; Ceinture de l'Esprit Salvateur; Masque de l'Esprit Salvateur; Dofusteuse; Bottes de l'Esprit Salvateur; Dofus Pourpre; Dofus Ivoire; Dofus Émeraude; Dofus Ocre; Dofus des Glaces; Dofus Nébuleux; Muldo Roux et Doré</t>
        </is>
      </c>
    </row>
    <row r="28462">
      <c r="A28462" t="inlineStr">
        <is>
          <t>Stuff 3</t>
        </is>
      </c>
      <c r="B28462">
        <f>HYPERLINK("https://www.dofusbook.net/fr/equipement/2395209-stuff-3/objets", "link")</f>
        <v/>
      </c>
      <c r="C28462" t="n">
        <v>0</v>
      </c>
      <c r="D28462" t="inlineStr">
        <is>
          <t>Manthache; Amibou; Alliance Gloursonne; Anneau Rifique; Bouclier cubiste; Menoture; Casque Cyclopéen; Cape Indescriptible; Baleinabottes; Dofus Ivoire; Carapace Feu majeur; Carapace Neutre majeur; Carapace Eau majeur; Carapace Terre majeur; Carapace Air majeur; Muldo Ebène et Pourpre</t>
        </is>
      </c>
    </row>
    <row r="28463">
      <c r="A28463" t="inlineStr">
        <is>
          <t>Stuff 3</t>
        </is>
      </c>
      <c r="B28463">
        <f>HYPERLINK("https://www.dofusbook.net/fr/equipement/2395132-stuff-3/objets", "link")</f>
        <v/>
      </c>
      <c r="C28463" t="n">
        <v>0</v>
      </c>
      <c r="D28463" t="inlineStr">
        <is>
          <t>Manthache; Amibou; Anneau Rifique; Alliance Gloursonne; Bouclier cubiste; Menoture; Casque Cyclopéen; Cape Indescriptible; Baleinabottes; Dofus Ivoire; Carapace Air majeur; Carapace Feu majeur; Carapace Neutre majeur; Carapace Eau majeur; Carapace Terre majeur; Muldo Ebène et Pourpre</t>
        </is>
      </c>
    </row>
    <row r="28464">
      <c r="A28464" t="inlineStr">
        <is>
          <t>Stuff 3</t>
        </is>
      </c>
      <c r="B28464">
        <f>HYPERLINK("https://www.dofusbook.net/fr/equipement/2381298-stuff-3/objets", "link")</f>
        <v/>
      </c>
      <c r="C28464" t="n">
        <v>0</v>
      </c>
      <c r="D28464" t="inlineStr">
        <is>
          <t>Manthache; Amibou; Alliance Gloursonne; Anneau Rifique; Bouclier cubiste; Menoture; Casque Cyclopéen; Cape Indescriptible; Baleinabottes; Dofus Ivoire; Carapace Feu majeur; Carapace Neutre majeur; Carapace Eau majeur; Carapace Terre majeur; Carapace Air majeur; Muldo Ebène et Pourpre</t>
        </is>
      </c>
    </row>
    <row r="28465">
      <c r="A28465" t="inlineStr">
        <is>
          <t>Stuff 3</t>
        </is>
      </c>
      <c r="B28465">
        <f>HYPERLINK("https://www.dofusbook.net/fr/equipement/2381281-stuff-3/objets", "link")</f>
        <v/>
      </c>
      <c r="C28465" t="n">
        <v>0</v>
      </c>
      <c r="D28465" t="inlineStr">
        <is>
          <t>Manthache; Amibou; Anneau Rifique; Alliance Gloursonne; Bouclier cubiste; Menoture; Casque Cyclopéen; Cape Indescriptible; Baleinabottes; Dofus Ivoire; Carapace Air majeur; Carapace Feu majeur; Carapace Neutre majeur; Carapace Eau majeur; Carapace Terre majeur; Muldo Ebène et Pourpre</t>
        </is>
      </c>
    </row>
    <row r="28466">
      <c r="A28466" t="inlineStr">
        <is>
          <t>Air full do resi</t>
        </is>
      </c>
      <c r="B28466">
        <f>HYPERLINK("https://www.dofusbook.net/fr/equipement/2381079-air-full-do-resi/objets", "link")</f>
        <v/>
      </c>
      <c r="C28466" t="n">
        <v>0</v>
      </c>
      <c r="D28466" t="inlineStr">
        <is>
          <t>Manthache; Amibou; Alliance Gloursonne; Gant du Valet Veinard; Bouclier cubiste; Menoture; Chapibou; Cape Indescriptible; Palmes Trithons; Dofus Émeraude; Dofus Pourpre; Dolmanax; Dofus Ivoire; Dofus Ocre; Cascadeur majeur; Muldo Ebène</t>
        </is>
      </c>
    </row>
    <row r="28467">
      <c r="A28467" t="inlineStr">
        <is>
          <t>iop multi</t>
        </is>
      </c>
      <c r="B28467">
        <f>HYPERLINK("https://www.dofusbook.net/fr/equipement/2335798-iop-multi/objets", "link")</f>
        <v/>
      </c>
      <c r="C28467" t="n">
        <v>0</v>
      </c>
      <c r="D28467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68">
      <c r="A28468" t="inlineStr">
        <is>
          <t>iop multi</t>
        </is>
      </c>
      <c r="B28468">
        <f>HYPERLINK("https://www.dofusbook.net/fr/equipement/2335780-iop-multi/objets", "link")</f>
        <v/>
      </c>
      <c r="C28468" t="n">
        <v>0</v>
      </c>
      <c r="D28468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69">
      <c r="A28469" t="inlineStr">
        <is>
          <t>Air terre feu classe</t>
        </is>
      </c>
      <c r="B28469">
        <f>HYPERLINK("https://www.dofusbook.net/fr/equipement/2003363-air-terre-feu-classe/objets", "link")</f>
        <v/>
      </c>
      <c r="C28469" t="n">
        <v>0</v>
      </c>
      <c r="D28469" t="inlineStr">
        <is>
          <t>Dagues Érhy; Amulette de l'Indicible; Alliance Brûlâme; Grésilanneau; Bouclier d'Anerice; Ceinture de l'Indicible; Masque Brûlâme; Cape d'Anerice; Pompes Funèbres; Dofus Pourpre; Dofus Ivoire; Dolmanax; Dofus Ocre; Dokoko; Dofus des Glaces; Muldo Orchidée</t>
        </is>
      </c>
    </row>
    <row r="28470">
      <c r="A28470" t="inlineStr">
        <is>
          <t>iop multi</t>
        </is>
      </c>
      <c r="B28470">
        <f>HYPERLINK("https://www.dofusbook.net/fr/equipement/1990712-iop-multi/objets", "link")</f>
        <v/>
      </c>
      <c r="C28470" t="n">
        <v>0</v>
      </c>
      <c r="D28470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71">
      <c r="A28471" t="inlineStr">
        <is>
          <t>iop multi</t>
        </is>
      </c>
      <c r="B28471">
        <f>HYPERLINK("https://www.dofusbook.net/fr/equipement/1990667-iop-multi/objets", "link")</f>
        <v/>
      </c>
      <c r="C28471" t="n">
        <v>0</v>
      </c>
      <c r="D28471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72">
      <c r="A28472" t="inlineStr">
        <is>
          <t>iop multi</t>
        </is>
      </c>
      <c r="B28472">
        <f>HYPERLINK("https://www.dofusbook.net/fr/equipement/1990627-iop-multi/objets", "link")</f>
        <v/>
      </c>
      <c r="C28472" t="n">
        <v>0</v>
      </c>
      <c r="D28472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73">
      <c r="A28473" t="inlineStr">
        <is>
          <t>iop multi</t>
        </is>
      </c>
      <c r="B28473">
        <f>HYPERLINK("https://www.dofusbook.net/fr/equipement/1990606-iop-multi/objets", "link")</f>
        <v/>
      </c>
      <c r="C28473" t="n">
        <v>0</v>
      </c>
      <c r="D28473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74">
      <c r="A28474" t="inlineStr">
        <is>
          <t>iop multi</t>
        </is>
      </c>
      <c r="B28474">
        <f>HYPERLINK("https://www.dofusbook.net/fr/equipement/1844566-iop-multi/objets", "link")</f>
        <v/>
      </c>
      <c r="C28474" t="n">
        <v>0</v>
      </c>
      <c r="D28474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75">
      <c r="A28475" t="inlineStr">
        <is>
          <t>iop multi</t>
        </is>
      </c>
      <c r="B28475">
        <f>HYPERLINK("https://www.dofusbook.net/fr/equipement/1838010-iop-multi/objets", "link")</f>
        <v/>
      </c>
      <c r="C28475" t="n">
        <v>0</v>
      </c>
      <c r="D28475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Doré et Emeraude</t>
        </is>
      </c>
    </row>
    <row r="28476">
      <c r="A28476" t="inlineStr">
        <is>
          <t>iop multi</t>
        </is>
      </c>
      <c r="B28476">
        <f>HYPERLINK("https://www.dofusbook.net/fr/equipement/1834657-iop-multi/objets", "link")</f>
        <v/>
      </c>
      <c r="C28476" t="n">
        <v>0</v>
      </c>
      <c r="D28476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77">
      <c r="A28477" t="inlineStr">
        <is>
          <t>iop multi</t>
        </is>
      </c>
      <c r="B28477">
        <f>HYPERLINK("https://www.dofusbook.net/fr/equipement/1834638-iop-multi/objets", "link")</f>
        <v/>
      </c>
      <c r="C28477" t="n">
        <v>1</v>
      </c>
      <c r="D28477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78">
      <c r="A28478" t="inlineStr">
        <is>
          <t>iop multi</t>
        </is>
      </c>
      <c r="B28478">
        <f>HYPERLINK("https://www.dofusbook.net/fr/equipement/1834570-iop-multi/objets", "link")</f>
        <v/>
      </c>
      <c r="C28478" t="n">
        <v>0</v>
      </c>
      <c r="D28478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79">
      <c r="A28479" t="inlineStr">
        <is>
          <t>iop multi</t>
        </is>
      </c>
      <c r="B28479">
        <f>HYPERLINK("https://www.dofusbook.net/fr/equipement/1834537-iop-multi/objets", "link")</f>
        <v/>
      </c>
      <c r="C28479" t="n">
        <v>0</v>
      </c>
      <c r="D28479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80">
      <c r="A28480" t="inlineStr">
        <is>
          <t>iop multi</t>
        </is>
      </c>
      <c r="B28480">
        <f>HYPERLINK("https://www.dofusbook.net/fr/equipement/1834523-iop-multi/objets", "link")</f>
        <v/>
      </c>
      <c r="C28480" t="n">
        <v>0</v>
      </c>
      <c r="D28480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81">
      <c r="A28481" t="inlineStr">
        <is>
          <t>Feu le 200</t>
        </is>
      </c>
      <c r="B28481">
        <f>HYPERLINK("https://www.dofusbook.net/fr/equipement/1832773-feu-le-200/objets", "link")</f>
        <v/>
      </c>
      <c r="C28481" t="n">
        <v>0</v>
      </c>
      <c r="D28481" t="inlineStr">
        <is>
          <t>Baguette de Malléfisk; Pendentif affamé; Baguistik; Anneau Tamie; Carapar; Ceinture Séculaire; Coiffe Séculaire; Cape de Diondin; Bottes Innommables; Dolmanax; Érudit; Érudit majeur; Savant majeur; Guérisseur majeur; Remueur; Muldo Orchidée</t>
        </is>
      </c>
    </row>
    <row r="28482">
      <c r="A28482" t="inlineStr">
        <is>
          <t>iop multi</t>
        </is>
      </c>
      <c r="B28482">
        <f>HYPERLINK("https://www.dofusbook.net/fr/equipement/1795761-iop-multi/objets", "link")</f>
        <v/>
      </c>
      <c r="C28482" t="n">
        <v>0</v>
      </c>
      <c r="D28482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83">
      <c r="A28483" t="inlineStr">
        <is>
          <t>iop multi</t>
        </is>
      </c>
      <c r="B28483">
        <f>HYPERLINK("https://www.dofusbook.net/fr/equipement/1797003-iop-multi/objets", "link")</f>
        <v/>
      </c>
      <c r="C28483" t="n">
        <v>0</v>
      </c>
      <c r="D28483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84">
      <c r="A28484" t="inlineStr">
        <is>
          <t>iop multi</t>
        </is>
      </c>
      <c r="B28484">
        <f>HYPERLINK("https://www.dofusbook.net/fr/equipement/1796999-iop-multi/objets", "link")</f>
        <v/>
      </c>
      <c r="C28484" t="n">
        <v>0</v>
      </c>
      <c r="D28484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85">
      <c r="A28485" t="inlineStr">
        <is>
          <t>iop multi</t>
        </is>
      </c>
      <c r="B28485">
        <f>HYPERLINK("https://www.dofusbook.net/fr/equipement/1796990-iop-multi/objets", "link")</f>
        <v/>
      </c>
      <c r="C28485" t="n">
        <v>0</v>
      </c>
      <c r="D28485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86">
      <c r="A28486" t="inlineStr">
        <is>
          <t>iop multi</t>
        </is>
      </c>
      <c r="B28486">
        <f>HYPERLINK("https://www.dofusbook.net/fr/equipement/1796980-iop-multi/objets", "link")</f>
        <v/>
      </c>
      <c r="C28486" t="n">
        <v>0</v>
      </c>
      <c r="D28486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87">
      <c r="A28487" t="inlineStr">
        <is>
          <t>iop multi</t>
        </is>
      </c>
      <c r="B28487">
        <f>HYPERLINK("https://www.dofusbook.net/fr/equipement/1796977-iop-multi/objets", "link")</f>
        <v/>
      </c>
      <c r="C28487" t="n">
        <v>0</v>
      </c>
      <c r="D28487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88">
      <c r="A28488" t="inlineStr">
        <is>
          <t>iop multi</t>
        </is>
      </c>
      <c r="B28488">
        <f>HYPERLINK("https://www.dofusbook.net/fr/equipement/1796975-iop-multi/objets", "link")</f>
        <v/>
      </c>
      <c r="C28488" t="n">
        <v>0</v>
      </c>
      <c r="D28488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89">
      <c r="A28489" t="inlineStr">
        <is>
          <t>iop multi</t>
        </is>
      </c>
      <c r="B28489">
        <f>HYPERLINK("https://www.dofusbook.net/fr/equipement/1796968-iop-multi/objets", "link")</f>
        <v/>
      </c>
      <c r="C28489" t="n">
        <v>0</v>
      </c>
      <c r="D28489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90">
      <c r="A28490" t="inlineStr">
        <is>
          <t>iop multi</t>
        </is>
      </c>
      <c r="B28490">
        <f>HYPERLINK("https://www.dofusbook.net/fr/equipement/1796937-iop-multi/objets", "link")</f>
        <v/>
      </c>
      <c r="C28490" t="n">
        <v>1</v>
      </c>
      <c r="D28490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91">
      <c r="A28491" t="inlineStr">
        <is>
          <t>iop multi</t>
        </is>
      </c>
      <c r="B28491">
        <f>HYPERLINK("https://www.dofusbook.net/fr/equipement/1795610-iop-multi/objets", "link")</f>
        <v/>
      </c>
      <c r="C28491" t="n">
        <v>0</v>
      </c>
      <c r="D28491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92">
      <c r="A28492" t="inlineStr">
        <is>
          <t>iop multi</t>
        </is>
      </c>
      <c r="B28492">
        <f>HYPERLINK("https://www.dofusbook.net/fr/equipement/1795548-iop-multi/objets", "link")</f>
        <v/>
      </c>
      <c r="C28492" t="n">
        <v>0</v>
      </c>
      <c r="D28492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93">
      <c r="A28493" t="inlineStr">
        <is>
          <t>iop multi</t>
        </is>
      </c>
      <c r="B28493">
        <f>HYPERLINK("https://www.dofusbook.net/fr/equipement/1795537-iop-multi/objets", "link")</f>
        <v/>
      </c>
      <c r="C28493" t="n">
        <v>0</v>
      </c>
      <c r="D28493" t="inlineStr">
        <is>
          <t>Sabres d'Atcham; Amulette du Strigide; Bracelet du Piloztère; Bague Trithon; Bouclier cubiste; Ceinture du Strigide; Masque Trithon; Cape d'Atcham; Bottes Trithon; Dolmanax; Dofus Nébuleux; Dofus Turquoise; Dofus des Glaces; Dofus Pourpre; Dofus Ocre; Muldo Ebène et Indigo</t>
        </is>
      </c>
    </row>
    <row r="28494">
      <c r="A28494" t="inlineStr">
        <is>
          <t>iop multi</t>
        </is>
      </c>
      <c r="B28494">
        <f>HYPERLINK("https://www.dofusbook.net/fr/equipement/1795526-iop-multi/objets", "link")</f>
        <v/>
      </c>
      <c r="C28494" t="n">
        <v>0</v>
      </c>
      <c r="D28494" t="inlineStr">
        <is>
          <t>Sabres d'Atcham; Amulette du Strigide; Bague Trithon; Bracelet du Piloztère; Bouclier cubiste; Ceinture du Strigide; Masque Trithon; Cape d'Atcham; Bottes Trithon; Dofus Pourpre; Dofus Ocre; Dolmanax; Dofus Nébuleux; Dofus Turquoise; Dofus des Glaces; Muldo Ebène et Indigo</t>
        </is>
      </c>
    </row>
    <row r="28495">
      <c r="A28495" t="inlineStr">
        <is>
          <t>iop multi</t>
        </is>
      </c>
      <c r="B28495">
        <f>HYPERLINK("https://www.dofusbook.net/fr/equipement/1318839-iop-multi/objets", "link")</f>
        <v/>
      </c>
      <c r="C28495" t="n">
        <v>0</v>
      </c>
      <c r="D28495" t="inlineStr">
        <is>
          <t>Sabres d'Atcham; Amulette du Strigide; Bague Trithon; Bracelet du Piloztère; Bouclier cubiste; Ceinture du Strigide; Masque Trithon; Cape d'Atcham; Bottes Trithon; Dofus Turquoise; Dofus des Glaces; Dofus Pourpre; Dofus Ocre; Dolmanax; Dofus Nébuleux; Muldo Ebène et Indigo</t>
        </is>
      </c>
    </row>
    <row r="28496">
      <c r="A28496" t="inlineStr">
        <is>
          <t>iop multi</t>
        </is>
      </c>
      <c r="B28496">
        <f>HYPERLINK("https://www.dofusbook.net/fr/equipement/1794720-iop-multi/objets", "link")</f>
        <v/>
      </c>
      <c r="C28496" t="n">
        <v>0</v>
      </c>
      <c r="D28496" t="inlineStr">
        <is>
          <t>Rouleau à Pâtisserie d'Aermyne; Amulette du Strigide; Alliance Gloursonne; Bague Trithon; Bouclier cubiste; Ceinture du Strigide; Masque Trithon; Dofusteuse; Bottes Trithon; Dofus Abyssal; Dolmanax; Dofus Turquoise; Dofus des Glaces; Dofus Pourpre; Dofus Ocre; Muldo Turquoise et Ebène</t>
        </is>
      </c>
    </row>
    <row r="28497">
      <c r="A28497" t="inlineStr">
        <is>
          <t>iop multi</t>
        </is>
      </c>
      <c r="B28497">
        <f>HYPERLINK("https://www.dofusbook.net/fr/equipement/1301823-iop-multi/objets", "link")</f>
        <v/>
      </c>
      <c r="C28497" t="n">
        <v>0</v>
      </c>
      <c r="D28497" t="inlineStr">
        <is>
          <t>Rouleau à Pâtisserie d'Aermyne; Amulette du Strigide; Alliance Gloursonne; Bague Trithon; Bouclier cubiste; Ceinture du Strigide; Masque Trithon; Dofusteuse; Bottes Trithon; Dolmanax; Dofus Nébuleux; Dofus Turquoise; Dofus des Glaces; Dofus Pourpre; Dofus Ocre; Muldo Turquoise et Ebène</t>
        </is>
      </c>
    </row>
    <row r="28498">
      <c r="A28498" t="inlineStr">
        <is>
          <t>iop multi</t>
        </is>
      </c>
      <c r="B28498">
        <f>HYPERLINK("https://www.dofusbook.net/fr/equipement/1699936-iop-multi/objets", "link")</f>
        <v/>
      </c>
      <c r="C28498" t="n">
        <v>0</v>
      </c>
      <c r="D28498" t="inlineStr">
        <is>
          <t>Epée Maudite du Saigneur Guerrier; Amulette du Strigide; Bracelet du Piloztère; Bague Trithon; Bouclier cubiste; Ceinture du Strigide; Masque Trithon; Dofusteuse; Bottes Trithon; Dofus Nébuleux; Dolmanax; Dofus Turquoise; Dofus des Glaces; Dofus Pourpre; Dofus Ocre; Muldo Turquoise et Ebène</t>
        </is>
      </c>
    </row>
    <row r="28499">
      <c r="A28499" t="inlineStr">
        <is>
          <t>Stuff 3</t>
        </is>
      </c>
      <c r="B28499">
        <f>HYPERLINK("https://www.dofusbook.net/fr/equipement/27411-stuff-3/objets", "link")</f>
        <v/>
      </c>
      <c r="C28499" t="n">
        <v>0</v>
      </c>
      <c r="D28499" t="inlineStr">
        <is>
          <t>Dagues Érhy; Kralamansion; Grésilanneau; Anneau du Katcheur; Bouclier cubiste; Sangle Glinglin; Masque du Katcheur; Cape Routh; Bottes du Katcheur; Dolmanax; Dofus Ocre; Dofus des Glaces; Dofus Pourpre; Dokoko; Robuste majeur; Muldo Roux et Doré</t>
        </is>
      </c>
    </row>
    <row r="28500">
      <c r="A28500" t="inlineStr">
        <is>
          <t>Troispano</t>
        </is>
      </c>
      <c r="B28500">
        <f>HYPERLINK("https://www.dofusbook.net/fr/equipement/1765142-troispano/objets", "link")</f>
        <v/>
      </c>
      <c r="C28500" t="n">
        <v>1</v>
      </c>
      <c r="D28500" t="inlineStr">
        <is>
          <t>Epée Maudite du Saigneur Guerrier; Amulette Ementaire Deluxe; Anneau de Pol Ouatnos; Bracelet du Piloztère; Bouclier d'Anerice; Ceintacé; Masque d'Anerice; Dofusteuse; Bottes du Chalœil; Dolmanax; Dofus Ocre; Dofus Pourpre; Dofus des Glaces; Dofus Émeraude; Dofus Nébuleux; Dragodinde en armure</t>
        </is>
      </c>
    </row>
    <row r="28501">
      <c r="A28501" t="inlineStr">
        <is>
          <t>iop multi</t>
        </is>
      </c>
      <c r="B28501">
        <f>HYPERLINK("https://www.dofusbook.net/fr/equipement/1764590-iop-multi/objets", "link")</f>
        <v/>
      </c>
      <c r="C28501" t="n">
        <v>0</v>
      </c>
      <c r="D28501" t="inlineStr">
        <is>
          <t>Epée Maudite du Saigneur Guerrier; Amulette du Strigide; Bracelet du Piloztère; Bague Trithon; Bouclier cubiste; Ceinture du Strigide; Masque Trithon; Dofusteuse; Bottes Trithon; Dofus Émeraude; Dofus Nébuleux; Dofus Turquoise; Dofus des Glaces; Dofus Pourpre; Dofus Ocre; Muldo Turquoise et Ebène</t>
        </is>
      </c>
    </row>
    <row r="28502">
      <c r="A28502" t="inlineStr">
        <is>
          <t>iop multi</t>
        </is>
      </c>
      <c r="B28502">
        <f>HYPERLINK("https://www.dofusbook.net/fr/equipement/1758440-iop-multi/objets", "link")</f>
        <v/>
      </c>
      <c r="C28502" t="n">
        <v>0</v>
      </c>
      <c r="D28502" t="inlineStr">
        <is>
          <t>Epée Maudite du Saigneur Guerrier; Amulette du Strigide; Bague Trithon; Bracelet du Piloztère; Bouclier cubiste; Ceinture du Strigide; Masque Trithon; Dofusteuse; Bottes Trithon; Dofus Pourpre; Dofus Ocre; Dofus Émeraude; Dofus Nébuleux; Dofus Turquoise; Dofus des Glaces; Muldo Turquoise et Ebène</t>
        </is>
      </c>
    </row>
    <row r="28503">
      <c r="A28503" t="inlineStr">
        <is>
          <t>iop multi</t>
        </is>
      </c>
      <c r="B28503">
        <f>HYPERLINK("https://www.dofusbook.net/fr/equipement/1758188-iop-multi/objets", "link")</f>
        <v/>
      </c>
      <c r="C28503" t="n">
        <v>0</v>
      </c>
      <c r="D28503" t="inlineStr">
        <is>
          <t>Epée Maudite du Saigneur Guerrier; Amulette du Strigide; Bracelet du Piloztère; Bague Trithon; Bouclier cubiste; Ceinture du Strigide; Masque Trithon; Dofusteuse; Bottes Trithon; Dolmanax; Dofus Nébuleux; Dofus Turquoise; Dofus des Glaces; Dofus Pourpre; Dofus Ocre; Muldo Doré et Ebène</t>
        </is>
      </c>
    </row>
    <row r="28504">
      <c r="A28504" t="inlineStr">
        <is>
          <t>iop multi</t>
        </is>
      </c>
      <c r="B28504">
        <f>HYPERLINK("https://www.dofusbook.net/fr/equipement/1758184-iop-multi/objets", "link")</f>
        <v/>
      </c>
      <c r="C28504" t="n">
        <v>0</v>
      </c>
      <c r="D28504" t="inlineStr">
        <is>
          <t>Epée Maudite du Saigneur Guerrier; Amulette du Strigide; Bague Trithon; Bracelet du Piloztère; Bouclier cubiste; Ceinture du Strigide; Masque Trithon; Dofusteuse; Bottes Trithon; Dofus Pourpre; Dofus Ocre; Dolmanax; Dofus Nébuleux; Dofus Turquoise; Dofus des Glaces; Muldo Turquoise et Ebène</t>
        </is>
      </c>
    </row>
    <row r="28505">
      <c r="A28505" t="inlineStr">
        <is>
          <t>Full feu</t>
        </is>
      </c>
      <c r="B28505">
        <f>HYPERLINK("https://www.dofusbook.net/fr/equipement/1709145-full-feu/objets", "link")</f>
        <v/>
      </c>
      <c r="C28505" t="n">
        <v>0</v>
      </c>
      <c r="D28505" t="inlineStr">
        <is>
          <t>Baguette de Malléfisk; Amulette de Nileza; Anneau Tique; Anneau Rifique; Bouclier cubiste; Ceinture de Vortex; Casque Cyclopéen; Cape de Diondin; Bottes Innommables; Dofus Ocre; Carapace Terre majeur; Carapace Neutre majeur; Carapace Feu majeur; Érudit majeur; Carapace Eau majeur; Muldo Indigo et Pourpre</t>
        </is>
      </c>
    </row>
    <row r="28506">
      <c r="A28506" t="inlineStr">
        <is>
          <t>Full feu</t>
        </is>
      </c>
      <c r="B28506">
        <f>HYPERLINK("https://www.dofusbook.net/fr/equipement/1709114-full-feu/objets", "link")</f>
        <v/>
      </c>
      <c r="C28506" t="n">
        <v>0</v>
      </c>
      <c r="D28506" t="inlineStr">
        <is>
          <t>Baguette de Malléfisk; Amulette de Nileza; Anneau Rifique; Anneau Tique; Bouclier cubiste; Ceinture de Vortex; Casque Cyclopéen; Cape de Diondin; Bottes Innommables; Dofus Ocre; Carapace Eau majeur; Carapace Terre majeur; Carapace Neutre majeur; Carapace Feu majeur; Érudit majeur; Muldo Indigo et Pourpre</t>
        </is>
      </c>
    </row>
    <row r="28507">
      <c r="A28507" t="inlineStr">
        <is>
          <t>Full feu</t>
        </is>
      </c>
      <c r="B28507">
        <f>HYPERLINK("https://www.dofusbook.net/fr/equipement/1709104-full-feu/objets", "link")</f>
        <v/>
      </c>
      <c r="C28507" t="n">
        <v>0</v>
      </c>
      <c r="D28507" t="inlineStr">
        <is>
          <t>Baguette de Malléfisk; Amulette de Nileza; Anneau Tique; Anneau Rifique; Bouclier cubiste; Ceinture de Vortex; Casque Cyclopéen; Cape de Diondin; Bottes Innommables; Dofus Ocre; Carapace Terre majeur; Carapace Neutre majeur; Carapace Feu majeur; Érudit majeur; Carapace Eau majeur; Muldo Indigo et Pourpre</t>
        </is>
      </c>
    </row>
    <row r="28508">
      <c r="A28508" t="inlineStr">
        <is>
          <t>Full feu</t>
        </is>
      </c>
      <c r="B28508">
        <f>HYPERLINK("https://www.dofusbook.net/fr/equipement/1709094-full-feu/objets", "link")</f>
        <v/>
      </c>
      <c r="C28508" t="n">
        <v>0</v>
      </c>
      <c r="D28508" t="inlineStr">
        <is>
          <t>Baguette de Malléfisk; Amulette de Nileza; Anneau Rifique; Anneau Tique; Bouclier cubiste; Ceinture de Vortex; Casque Cyclopéen; Cape de Diondin; Bottes Innommables; Dofus Ocre; Carapace Eau majeur; Carapace Terre majeur; Carapace Neutre majeur; Carapace Feu majeur; Érudit majeur; Muldo Indigo et Pourpre</t>
        </is>
      </c>
    </row>
    <row r="28509">
      <c r="A28509" t="inlineStr">
        <is>
          <t>Full feu</t>
        </is>
      </c>
      <c r="B28509">
        <f>HYPERLINK("https://www.dofusbook.net/fr/equipement/1708769-full-feu/objets", "link")</f>
        <v/>
      </c>
      <c r="C28509" t="n">
        <v>1</v>
      </c>
      <c r="D28509" t="inlineStr">
        <is>
          <t>Baguette de Malléfisk; Amulette de Nileza; Anneau Tique; Anneau Rifique; Bouclier cubiste; Ceinture de Vortex; Casque Cyclopéen; Cape de Diondin; Bottes Innommables; Dofus Ocre; Carapace Terre majeur; Carapace Neutre majeur; Carapace Feu majeur; Érudit majeur; Carapace Eau majeur; Muldo Indigo et Pourpre</t>
        </is>
      </c>
    </row>
    <row r="28510">
      <c r="A28510" t="inlineStr">
        <is>
          <t>Full feu</t>
        </is>
      </c>
      <c r="B28510">
        <f>HYPERLINK("https://www.dofusbook.net/fr/equipement/1707442-full-feu/objets", "link")</f>
        <v/>
      </c>
      <c r="C28510" t="n">
        <v>0</v>
      </c>
      <c r="D28510" t="inlineStr">
        <is>
          <t>Baguette de Malléfisk; Amulette de Nileza; Anneau Rifique; Anneau Tique; Bouclier cubiste; Ceinture de Vortex; Casque Cyclopéen; Cape de Diondin; Bottes Innommables; Dofus Ocre; Carapace Eau majeur; Carapace Terre majeur; Carapace Neutre majeur; Carapace Feu majeur; Érudit majeur; Muldo Indigo et Pourpre</t>
        </is>
      </c>
    </row>
    <row r="28511">
      <c r="A28511" t="inlineStr">
        <is>
          <t>iop multi</t>
        </is>
      </c>
      <c r="B28511">
        <f>HYPERLINK("https://www.dofusbook.net/fr/equipement/1704829-iop-multi/objets", "link")</f>
        <v/>
      </c>
      <c r="C28511" t="n">
        <v>0</v>
      </c>
      <c r="D28511" t="inlineStr">
        <is>
          <t>Epée Maudite du Saigneur Guerrier; Amulette du Strigide; Bracelet du Piloztère; Bague Trithon; Bouclier cubiste; Ceinture du Strigide; Masque Trithon; Dofusteuse; Bottes Trithon; Dolmanax; Dofus Nébuleux; Dofus Turquoise; Dofus des Glaces; Dofus Pourpre; Dofus Ocre; Muldo Turquoise et Ebène</t>
        </is>
      </c>
    </row>
    <row r="28512">
      <c r="A28512" t="inlineStr">
        <is>
          <t>iop multi</t>
        </is>
      </c>
      <c r="B28512">
        <f>HYPERLINK("https://www.dofusbook.net/fr/equipement/1702939-iop-multi/objets", "link")</f>
        <v/>
      </c>
      <c r="C28512" t="n">
        <v>0</v>
      </c>
      <c r="D28512" t="inlineStr">
        <is>
          <t>Rouleau à Pâtisserie d'Aermyne; Amulette du Strigide; Bague Trithon; Grésilanneau; Bouclier cubiste; Ceinture du Strigide; Masque Trithon; Dofusteuse; Bottes Trithon; Dofus Pourpre; Dofus Ocre; Dolmanax; Dofus Nébuleux; Dofus Turquoise; Dofus des Glaces; Muldo Ebène et Orchidée</t>
        </is>
      </c>
    </row>
    <row r="28513">
      <c r="A28513" t="inlineStr">
        <is>
          <t>Frfhurfur</t>
        </is>
      </c>
      <c r="B28513">
        <f>HYPERLINK("https://www.dofusbook.net/fr/equipement/1701391-frfhurfur/objets", "link")</f>
        <v/>
      </c>
      <c r="C28513" t="n">
        <v>0</v>
      </c>
      <c r="D28513" t="inlineStr">
        <is>
          <t>Baguette de Malléfisk; Kralamansion; Kralano; Annolamour; Cadran de Feu; Ceinture de Léthaline; Casque du Chalœil; Cape du Chalœil; Bottes du Chalœil; Dofus Ocre; Dofus Émeraude; Dolmanax; Dofus Pourpre; Dofus des Glaces; Muldo Ebène et Indigo</t>
        </is>
      </c>
    </row>
    <row r="28514">
      <c r="A28514" t="inlineStr">
        <is>
          <t>Frfhurfur</t>
        </is>
      </c>
      <c r="B28514">
        <f>HYPERLINK("https://www.dofusbook.net/fr/equipement/1701256-frfhurfur/objets", "link")</f>
        <v/>
      </c>
      <c r="C28514" t="n">
        <v>0</v>
      </c>
      <c r="D28514" t="inlineStr">
        <is>
          <t>Baguette de Malléfisk; Amulette de l'Indicible; Alliance Gloursonne; Bague Gloursonne; Cadran de Feu; Ceinture de l'Indicible; Casque du Chalœil; Cape du Chalœil; Bottes du Chalœil; Dofus Pourpre; Dolmanax; Dofus Turquoise; Dofus des Glaces; Dofus Ocre; Dofus Émeraude; Muldo Prune et Indigo</t>
        </is>
      </c>
    </row>
    <row r="28515">
      <c r="A28515" t="inlineStr">
        <is>
          <t>iop multi</t>
        </is>
      </c>
      <c r="B28515">
        <f>HYPERLINK("https://www.dofusbook.net/fr/equipement/1701207-iop-multi/objets", "link")</f>
        <v/>
      </c>
      <c r="C28515" t="n">
        <v>0</v>
      </c>
      <c r="D28515" t="inlineStr">
        <is>
          <t>Baguette de Malléfisk; Amulette du Strigide; Bracelet du Piloztère; Bague Trithon; Bouclier cubiste; Ceinture du Strigide; Masque Trithon; Dofusteuse; Bottes Trithon; Dolmanax; Dofus Nébuleux; Dofus Turquoise; Dofus des Glaces; Dofus Pourpre; Dofus Ocre; Muldo Ebène et Indigo</t>
        </is>
      </c>
    </row>
    <row r="28516">
      <c r="A28516" t="inlineStr">
        <is>
          <t>iop multi</t>
        </is>
      </c>
      <c r="B28516">
        <f>HYPERLINK("https://www.dofusbook.net/fr/equipement/1700232-iop-multi/objets", "link")</f>
        <v/>
      </c>
      <c r="C28516" t="n">
        <v>0</v>
      </c>
      <c r="D28516" t="inlineStr">
        <is>
          <t>Marteau des égarés; Amulette du Strigide; Bague Trithon; Alliance Gloursonne; Bouclier cubiste; Ceinture du Strigide; Masque Trithon; Dofusteuse; Bottes Trithon; Dofus Pourpre; Dofus Ocre; Dolmanax; Dofus Nébuleux; Dofus Turquoise; Dofus des Glaces; Muldo Ebène et Indigo</t>
        </is>
      </c>
    </row>
    <row r="28517">
      <c r="A28517" t="inlineStr">
        <is>
          <t>iop multi</t>
        </is>
      </c>
      <c r="B28517">
        <f>HYPERLINK("https://www.dofusbook.net/fr/equipement/1700214-iop-multi/objets", "link")</f>
        <v/>
      </c>
      <c r="C28517" t="n">
        <v>0</v>
      </c>
      <c r="D28517" t="inlineStr">
        <is>
          <t>Marteau des égarés;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18">
      <c r="A28518" t="inlineStr">
        <is>
          <t>iop multi</t>
        </is>
      </c>
      <c r="B28518">
        <f>HYPERLINK("https://www.dofusbook.net/fr/equipement/1699979-iop-multi/objets", "link")</f>
        <v/>
      </c>
      <c r="C28518" t="n">
        <v>0</v>
      </c>
      <c r="D28518" t="inlineStr">
        <is>
          <t>Marteau des égarés; Amulette du Strigide; Bague Trithon; Alliance Gloursonne; Bouclier cubiste; Ceinture du Strigide; Masque Trithon; Dofusteuse; Bottes Trithon; Dofus Pourpre; Dofus Ocre; Dolmanax; Dofus Nébuleux; Dofus Turquoise; Dofus des Glaces; Muldo Ebène et Indigo</t>
        </is>
      </c>
    </row>
    <row r="28519">
      <c r="A28519" t="inlineStr">
        <is>
          <t>iop multi</t>
        </is>
      </c>
      <c r="B28519">
        <f>HYPERLINK("https://www.dofusbook.net/fr/equipement/1699964-iop-multi/objets", "link")</f>
        <v/>
      </c>
      <c r="C28519" t="n">
        <v>0</v>
      </c>
      <c r="D28519" t="inlineStr">
        <is>
          <t>Marteau des égarés;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20">
      <c r="A28520" t="inlineStr">
        <is>
          <t>iop multi</t>
        </is>
      </c>
      <c r="B28520">
        <f>HYPERLINK("https://www.dofusbook.net/fr/equipement/1699950-iop-multi/objets", "link")</f>
        <v/>
      </c>
      <c r="C28520" t="n">
        <v>1</v>
      </c>
      <c r="D28520" t="inlineStr">
        <is>
          <t>Marteau des égarés; Amulette du Strigide; Bague Trithon; Alliance Gloursonne; Bouclier cubiste; Ceinture du Strigide; Masque Trithon; Dofusteuse; Bottes Trithon; Dofus Pourpre; Dofus Ocre; Dolmanax; Dofus Nébuleux; Dofus Turquoise; Dofus des Glaces; Muldo Ebène et Indigo</t>
        </is>
      </c>
    </row>
    <row r="28521">
      <c r="A28521" t="inlineStr">
        <is>
          <t>iop multi</t>
        </is>
      </c>
      <c r="B28521">
        <f>HYPERLINK("https://www.dofusbook.net/fr/equipement/1699942-iop-multi/objets", "link")</f>
        <v/>
      </c>
      <c r="C28521" t="n">
        <v>0</v>
      </c>
      <c r="D28521" t="inlineStr">
        <is>
          <t>Marteau des égarés;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22">
      <c r="A28522" t="inlineStr">
        <is>
          <t>ddfgdfgfdg</t>
        </is>
      </c>
      <c r="B28522">
        <f>HYPERLINK("https://www.dofusbook.net/fr/equipement/1685303-ddfgdfgfdg/objets", "link")</f>
        <v/>
      </c>
      <c r="C28522" t="n">
        <v>0</v>
      </c>
      <c r="D28522" t="inlineStr">
        <is>
          <t>Epée Gloursonne; Amulette du Strigide; Alliance Gloursonne; Bague Gloursonne; Bouclier cubiste; Ceinture du Strigide; Casque du Chalœil; Cape du Chalœil; Bottes du Chalœil; Dofus Pourpre; Dofus Ocre; Dofus Émeraude; Dofus des Glaces; Dofus Turquoise; Dofus Nébuleux; Muldo Ebène et Indigo</t>
        </is>
      </c>
    </row>
    <row r="28523">
      <c r="A28523" t="inlineStr">
        <is>
          <t>ddfgdfgfdg</t>
        </is>
      </c>
      <c r="B28523">
        <f>HYPERLINK("https://www.dofusbook.net/fr/equipement/1073060-ddfgdfgfdg/objets", "link")</f>
        <v/>
      </c>
      <c r="C28523" t="n">
        <v>0</v>
      </c>
      <c r="D28523" t="inlineStr">
        <is>
          <t>Epée Gloursonne; Amulette du Strigide; Bague Gloursonne; Alliance Gloursonne; Bouclier cubiste; Ceinture du Strigide; Casque du Chalœil; Cape du Chalœil; Bottes du Chalœil; Dofus Émeraude; Dofus des Glaces; Dofus Turquoise; Dofus Nébuleux; Dofus Pourpre; Dofus Ocre; Muldo Ebène et Indigo</t>
        </is>
      </c>
    </row>
    <row r="28524">
      <c r="A28524" t="inlineStr">
        <is>
          <t>ddfgdfgfdg</t>
        </is>
      </c>
      <c r="B28524">
        <f>HYPERLINK("https://www.dofusbook.net/fr/equipement/1382853-ddfgdfgfdg/objets", "link")</f>
        <v/>
      </c>
      <c r="C28524" t="n">
        <v>0</v>
      </c>
      <c r="D28524" t="inlineStr">
        <is>
          <t>Epée Gloursonne; Amulette du Strigide; Alliance Gloursonne; Bague Gloursonne; Bouclier cubiste; Ceinture du Strigide; Casque du Chalœil; Cape du Chalœil; Bottes du Chalœil; Dofus Turquoise; Dofus des Glaces; Dofus Pourpre; Dofus Ocre; Dofus Émeraude; Dolmanax; Muldo Ebène et Indigo</t>
        </is>
      </c>
    </row>
    <row r="28525">
      <c r="A28525" t="inlineStr">
        <is>
          <t>blkmlml</t>
        </is>
      </c>
      <c r="B28525">
        <f>HYPERLINK("https://www.dofusbook.net/fr/equipement/1648871-blkmlml/objets", "link")</f>
        <v/>
      </c>
      <c r="C28525" t="n">
        <v>0</v>
      </c>
      <c r="D28525" t="inlineStr"/>
    </row>
    <row r="28526">
      <c r="A28526" t="inlineStr">
        <is>
          <t>fhfghgfhfh</t>
        </is>
      </c>
      <c r="B28526">
        <f>HYPERLINK("https://www.dofusbook.net/fr/equipement/1648769-fhfghgfhfh/objets", "link")</f>
        <v/>
      </c>
      <c r="C28526" t="n">
        <v>0</v>
      </c>
      <c r="D28526" t="inlineStr">
        <is>
          <t>Epée Gloursonne; Amulette du Strigide; Bague Gloursonne; Alliance Gloursonne; Bouclier d'Anerice; Ceinture du Strigide; Masque d'Anerice; Cape d'Anerice; Bottes du Strigide; Dofus Turquoise; Dofus des Glaces; Dofus Vulbis; Dofus Nébuleux; Dofus Pourpre; Dolmanax; Dragodinde Prune</t>
        </is>
      </c>
    </row>
    <row r="28527">
      <c r="A28527" t="inlineStr">
        <is>
          <t>pano bas lv pas cher</t>
        </is>
      </c>
      <c r="B28527">
        <f>HYPERLINK("https://www.dofusbook.net/fr/equipement/1635513-pano-bas-lv-pas-cher/objets", "link")</f>
        <v/>
      </c>
      <c r="C28527" t="n">
        <v>0</v>
      </c>
      <c r="D28527" t="inlineStr">
        <is>
          <t>Amulette du Dragoeuf; Anneau du Dragoeuf; Gant du Capitaine Ekarlatte; Bouclier d'Asse; Ceinture du Capitaine Ekarlatte; Chapeau de la Gamine Zoth; Bottes du Capitaine Ekarlatte; Dofus Cawotte; Saccageur Terre; Robuste; Saccageur Feu; Féroce; Saccageur Eau; Muldo Doré</t>
        </is>
      </c>
    </row>
    <row r="28528">
      <c r="A28528" t="inlineStr">
        <is>
          <t>pano meulou</t>
        </is>
      </c>
      <c r="B28528">
        <f>HYPERLINK("https://www.dofusbook.net/fr/equipement/1635231-pano-meulou/objets", "link")</f>
        <v/>
      </c>
      <c r="C28528" t="n">
        <v>0</v>
      </c>
      <c r="D28528" t="inlineStr">
        <is>
          <t>La Baguette des Limbes; La Meulette; Anneau du Dragoeuf; Anneau du Meulou; Bouclier d'Asse; Ceinture du Meulou; Coiffe du Meulou; Cape du Meulou; Bottes du Meulou; Dofus Cawotte; Saccageur Terre; Robuste; Saccageur Feu; Féroce; Saccageur Eau; Muldo Doré</t>
        </is>
      </c>
    </row>
    <row r="28529">
      <c r="A28529" t="inlineStr">
        <is>
          <t>pano dragoeuf</t>
        </is>
      </c>
      <c r="B28529">
        <f>HYPERLINK("https://www.dofusbook.net/fr/equipement/1634922-pano-dragoeuf/objets", "link")</f>
        <v/>
      </c>
      <c r="C28529" t="n">
        <v>0</v>
      </c>
      <c r="D28529" t="inlineStr">
        <is>
          <t>Dagues du Dragoeuf; Amulette du Dragoeuf; Anneau du Dragoeuf; Anneau du Dragon Cochon; Bouclier d'Asse; Ceinture du Dragoeuf; Casque Dragoeuf; Cape Dragoeuf; Bottes du Dragoeuf; Dofus Cawotte; Robuste; Saccageur Terre; Féroce; Saccageur Eau; Muldo Doré et Amande</t>
        </is>
      </c>
    </row>
    <row r="28530">
      <c r="A28530" t="inlineStr">
        <is>
          <t>haut lv</t>
        </is>
      </c>
      <c r="B28530">
        <f>HYPERLINK("https://www.dofusbook.net/fr/equipement/1620705-haut-lv/objets", "link")</f>
        <v/>
      </c>
      <c r="C28530" t="n">
        <v>0</v>
      </c>
      <c r="D28530" t="inlineStr">
        <is>
          <t>Hache du Chalœil; Amulette de l'Indicible; Bracelet du Piloztère; Goulano; Goulclier; Ceinture de Kongoku; Boucle d'oreille de Kongoku; Cape de Kongoku; Goulbottes; Dofus Pourpre; Dofus des Glaces; Dofus Turquoise; Dofus Nébuleux; Dofus Abyssal; Dofus Ocre; Muldo Indigo et Orchidée</t>
        </is>
      </c>
    </row>
    <row r="28531">
      <c r="A28531" t="inlineStr">
        <is>
          <t>bas lv</t>
        </is>
      </c>
      <c r="B28531">
        <f>HYPERLINK("https://www.dofusbook.net/fr/equipement/1619751-bas-lv/objets", "link")</f>
        <v/>
      </c>
      <c r="C28531" t="n">
        <v>0</v>
      </c>
      <c r="D28531" t="inlineStr">
        <is>
          <t>Kask'Arc Go; Torque Ancestral; Anneau Skargo; Anneau Ancestral; Bouclier d'Asse; Abrature Ancestrale; Kaskargo; Abracapa Ancestrale; Protège-Tibias Ancestraux; Dofus Cawotte; Turbulent; Bousculeur; Voyageur; Robuste; Féroce; Dragodinde Prune et Emeraude</t>
        </is>
      </c>
    </row>
    <row r="28532">
      <c r="A28532" t="inlineStr">
        <is>
          <t>Stuff 3</t>
        </is>
      </c>
      <c r="B28532">
        <f>HYPERLINK("https://www.dofusbook.net/fr/equipement/1607740-stuff-3/objets", "link")</f>
        <v/>
      </c>
      <c r="C28532" t="n">
        <v>0</v>
      </c>
      <c r="D28532" t="inlineStr">
        <is>
          <t>Manthache; Amibou; Anneau Rifique; Alliance Gloursonne; Sept ans de malheur; Menoture; Casque Cyclopéen; Cape Indescriptible; Baleinabottes; Carapace Air majeur; Étourdisseur majeur; Carapace Feu majeur; Carapace Neutre majeur; Carapace Eau majeur; Carapace Terre majeur; Muldo Ebène et Orchidée</t>
        </is>
      </c>
    </row>
    <row r="28533">
      <c r="A28533" t="inlineStr">
        <is>
          <t>Stuff 3</t>
        </is>
      </c>
      <c r="B28533">
        <f>HYPERLINK("https://www.dofusbook.net/fr/equipement/1599167-stuff-3/objets", "link")</f>
        <v/>
      </c>
      <c r="C28533" t="n">
        <v>0</v>
      </c>
      <c r="D28533" t="inlineStr">
        <is>
          <t>Manthache; Amibou; Anneau Rifique; Alliance Gloursonne; Bouclier cubiste; Menoture; Casque Cyclopéen; Cape Indescriptible; Baleinabottes; Carapace Eau majeur; Carapace Terre majeur; Carapace Air majeur; Carapace Neutre majeur; Carapace Feu majeur; Muldo Ebène et Pourpre</t>
        </is>
      </c>
    </row>
    <row r="28534">
      <c r="A28534" t="inlineStr">
        <is>
          <t>Stuff 3</t>
        </is>
      </c>
      <c r="B28534">
        <f>HYPERLINK("https://www.dofusbook.net/fr/equipement/1599160-stuff-3/objets", "link")</f>
        <v/>
      </c>
      <c r="C28534" t="n">
        <v>0</v>
      </c>
      <c r="D28534" t="inlineStr">
        <is>
          <t>Manthache; Amibou; Alliance Gloursonne; Anneau Rifique; Bouclier cubiste; Menoture; Casque Cyclopéen; Cape Indescriptible; Baleinabottes; Carapace Feu majeur; Carapace Neutre majeur; Carapace Eau majeur; Carapace Terre majeur; Carapace Air majeur; Cascadeur majeur; Muldo Ebène et Pourpre</t>
        </is>
      </c>
    </row>
    <row r="28535">
      <c r="A28535" t="inlineStr">
        <is>
          <t>Stuff 3</t>
        </is>
      </c>
      <c r="B28535">
        <f>HYPERLINK("https://www.dofusbook.net/fr/equipement/1599157-stuff-3/objets", "link")</f>
        <v/>
      </c>
      <c r="C28535" t="n">
        <v>0</v>
      </c>
      <c r="D28535" t="inlineStr">
        <is>
          <t>Manthache; Amibou; Anneau Rifique; Alliance Gloursonne; Bouclier cubiste; Menoture; Casque Cyclopéen; Cape Indescriptible; Baleinabottes; Carapace Air majeur; Cascadeur majeur; Carapace Feu majeur; Carapace Neutre majeur; Carapace Eau majeur; Carapace Terre majeur; Muldo Ebène et Pourpre</t>
        </is>
      </c>
    </row>
    <row r="28536">
      <c r="A28536" t="inlineStr">
        <is>
          <t>Stuff 3</t>
        </is>
      </c>
      <c r="B28536">
        <f>HYPERLINK("https://www.dofusbook.net/fr/equipement/1599151-stuff-3/objets", "link")</f>
        <v/>
      </c>
      <c r="C28536" t="n">
        <v>0</v>
      </c>
      <c r="D28536" t="inlineStr">
        <is>
          <t>Manthache; Amibou; Alliance Gloursonne; Anneau Rifique; Bouclier cubiste; Menoture; Casque Cyclopéen; Cape Indescriptible; Baleinabottes; Carapace Feu majeur; Carapace Neutre majeur; Carapace Eau majeur; Carapace Terre majeur; Carapace Air majeur; Cascadeur majeur; Muldo Ebène et Pourpre</t>
        </is>
      </c>
    </row>
    <row r="28537">
      <c r="A28537" t="inlineStr">
        <is>
          <t>Stuff 3</t>
        </is>
      </c>
      <c r="B28537">
        <f>HYPERLINK("https://www.dofusbook.net/fr/equipement/1599148-stuff-3/objets", "link")</f>
        <v/>
      </c>
      <c r="C28537" t="n">
        <v>0</v>
      </c>
      <c r="D28537" t="inlineStr">
        <is>
          <t>Manthache; Amibou; Anneau Rifique; Alliance Gloursonne; Bouclier cubiste; Menoture; Casque Cyclopéen; Cape Indescriptible; Baleinabottes; Carapace Air majeur; Cascadeur majeur; Carapace Feu majeur; Carapace Neutre majeur; Carapace Eau majeur; Carapace Terre majeur; Muldo Ebène et Pourpre</t>
        </is>
      </c>
    </row>
    <row r="28538">
      <c r="A28538" t="inlineStr">
        <is>
          <t>Stuff 3</t>
        </is>
      </c>
      <c r="B28538">
        <f>HYPERLINK("https://www.dofusbook.net/fr/equipement/1597805-stuff-3/objets", "link")</f>
        <v/>
      </c>
      <c r="C28538" t="n">
        <v>0</v>
      </c>
      <c r="D28538" t="inlineStr">
        <is>
          <t>Manthache; Amibou; Alliance Gloursonne; Anneau Rifique; Bouclier cubiste; Menoture; Casque Cyclopéen; Cape Indescriptible; Baleinabottes; Carapace Feu majeur; Carapace Neutre majeur; Carapace Eau majeur; Carapace Terre majeur; Carapace Air majeur; Solide majeur; Muldo Ebène et Pourpre</t>
        </is>
      </c>
    </row>
    <row r="28539">
      <c r="A28539" t="inlineStr">
        <is>
          <t>Stuff 3</t>
        </is>
      </c>
      <c r="B28539">
        <f>HYPERLINK("https://www.dofusbook.net/fr/equipement/1597782-stuff-3/objets", "link")</f>
        <v/>
      </c>
      <c r="C28539" t="n">
        <v>0</v>
      </c>
      <c r="D28539" t="inlineStr">
        <is>
          <t>Manthache; Amibou; Anneau Rifique; Alliance Gloursonne; Bouclier cubiste; Menoture; Casque Cyclopéen; Cape Indescriptible; Baleinabottes; Carapace Air majeur; Solide majeur; Carapace Feu majeur; Carapace Neutre majeur; Carapace Eau majeur; Carapace Terre majeur; Muldo Ebène et Pourpre</t>
        </is>
      </c>
    </row>
    <row r="28540">
      <c r="A28540" t="inlineStr">
        <is>
          <t>Stuff 3</t>
        </is>
      </c>
      <c r="B28540">
        <f>HYPERLINK("https://www.dofusbook.net/fr/equipement/1596806-stuff-3/objets", "link")</f>
        <v/>
      </c>
      <c r="C28540" t="n">
        <v>0</v>
      </c>
      <c r="D28540" t="inlineStr">
        <is>
          <t>Manthache; Amibou; Alliance Gloursonne; Anneau Rifique; Bouclier cubiste; Menoture; Casque Cyclopéen; Cape Indescriptible; Baleinabottes; Carapace Feu majeur; Carapace Neutre majeur; Carapace Eau majeur; Carapace Terre majeur; Carapace Air majeur; Solide majeur; Muldo Ebène et Pourpre</t>
        </is>
      </c>
    </row>
    <row r="28541">
      <c r="A28541" t="inlineStr">
        <is>
          <t>uhihuihu</t>
        </is>
      </c>
      <c r="B28541">
        <f>HYPERLINK("https://www.dofusbook.net/fr/equipement/1589603-uhihuihu/objets", "link")</f>
        <v/>
      </c>
      <c r="C28541" t="n">
        <v>1</v>
      </c>
      <c r="D28541" t="inlineStr">
        <is>
          <t>Arc Nécrotique; Collier de la Dame du Hasard; Anneau de Padgref; Bracelet du Piloztère; Bouclier cubiste; Ceintrigue; Casquette de Meno; Cape de la Dame du Hasard; Bottes de la Dame du Hasard; Dofus Émeraude; Dofus des Glaces; Dofus Turquoise; Dofus Nébuleux; Dofus Pourpre; Dofus Ocre; Muldo Orchidée et Pourpre</t>
        </is>
      </c>
    </row>
    <row r="28542">
      <c r="A28542" t="inlineStr">
        <is>
          <t>uhihuihu</t>
        </is>
      </c>
      <c r="B28542">
        <f>HYPERLINK("https://www.dofusbook.net/fr/equipement/1213680-uhihuihu/objets", "link")</f>
        <v/>
      </c>
      <c r="C28542" t="n">
        <v>0</v>
      </c>
      <c r="D28542" t="inlineStr">
        <is>
          <t>Arc Nécrotique; Collier de la Dame du Hasard; Bracelet du Piloztère; Anneau du Père Fwetar; Bouclier cubiste; Ceinture du Père Fwetar; Casquette de Meno; Cape de la Dame du Hasard; Bottes de la Dame du Hasard; Dofus Turquoise; Dofus Nébuleux; Dofus Pourpre; Dofus Ocre; Dofus Émeraude; Dofus des Glaces; Muldo Orchidée et Pourpre</t>
        </is>
      </c>
    </row>
    <row r="28543">
      <c r="A28543" t="inlineStr">
        <is>
          <t>iop multi</t>
        </is>
      </c>
      <c r="B28543">
        <f>HYPERLINK("https://www.dofusbook.net/fr/equipement/1553384-iop-multi/objets", "link")</f>
        <v/>
      </c>
      <c r="C28543" t="n">
        <v>0</v>
      </c>
      <c r="D28543" t="inlineStr">
        <is>
          <t>Marteau des égarés; Amulette du Strigide; Bague Trithon; Alliance Gloursonne; Bouclier cubiste; Ceinture du Strigide; Masque Trithon; Dofusteuse; Bottes Trithon; Dofus Turquoise; Dofus des Glaces; Dofus Pourpre; Dofus Ocre; Dolmanax; Dofus Nébuleux; Muldo Ebène et Indigo</t>
        </is>
      </c>
    </row>
    <row r="28544">
      <c r="A28544" t="inlineStr">
        <is>
          <t>iop multi</t>
        </is>
      </c>
      <c r="B28544">
        <f>HYPERLINK("https://www.dofusbook.net/fr/equipement/1553348-iop-multi/objets", "link")</f>
        <v/>
      </c>
      <c r="C28544" t="n">
        <v>0</v>
      </c>
      <c r="D28544" t="inlineStr">
        <is>
          <t>Marteau des égarés;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45">
      <c r="A28545" t="inlineStr">
        <is>
          <t>Stuff 3</t>
        </is>
      </c>
      <c r="B28545">
        <f>HYPERLINK("https://www.dofusbook.net/fr/equipement/1550665-stuff-3/objets", "link")</f>
        <v/>
      </c>
      <c r="C28545" t="n">
        <v>0</v>
      </c>
      <c r="D28545" t="inlineStr">
        <is>
          <t>Manthache; Amibou; Alliance Gloursonne; Anneau Rifique; Bouclier cubiste; Menoture; Casque Cyclopéen; Cape Indescriptible; Baleinabottes; Carapace Feu majeur; Carapace Neutre majeur; Carapace Eau majeur; Carapace Terre majeur; Carapace Air majeur; Temporiseur majeur; Muldo Ebène et Pourpre</t>
        </is>
      </c>
    </row>
    <row r="28546">
      <c r="A28546" t="inlineStr">
        <is>
          <t>Stuff 3</t>
        </is>
      </c>
      <c r="B28546">
        <f>HYPERLINK("https://www.dofusbook.net/fr/equipement/1549510-stuff-3/objets", "link")</f>
        <v/>
      </c>
      <c r="C28546" t="n">
        <v>0</v>
      </c>
      <c r="D28546" t="inlineStr">
        <is>
          <t>Manthache; Amibou; Anneau Rifique; Alliance Gloursonne; Bouclier cubiste; Menoture; Casque Cyclopéen; Cape Indescriptible; Baleinabottes; Carapace Air majeur; Temporiseur majeur; Carapace Feu majeur; Carapace Neutre majeur; Carapace Eau majeur; Carapace Terre majeur; Muldo Ebène et Pourpre</t>
        </is>
      </c>
    </row>
    <row r="28547">
      <c r="A28547" t="inlineStr">
        <is>
          <t>Stuff 3</t>
        </is>
      </c>
      <c r="B28547">
        <f>HYPERLINK("https://www.dofusbook.net/fr/equipement/1549504-stuff-3/objets", "link")</f>
        <v/>
      </c>
      <c r="C28547" t="n">
        <v>0</v>
      </c>
      <c r="D28547" t="inlineStr"/>
    </row>
    <row r="28548">
      <c r="A28548" t="inlineStr">
        <is>
          <t>Stuff 3</t>
        </is>
      </c>
      <c r="B28548">
        <f>HYPERLINK("https://www.dofusbook.net/fr/equipement/1548943-stuff-3/objets", "link")</f>
        <v/>
      </c>
      <c r="C28548" t="n">
        <v>0</v>
      </c>
      <c r="D28548" t="inlineStr">
        <is>
          <t>Manthache; Amibou; Alliance Gloursonne; Anneau Rifique; Bouclier cubiste; Menoture; Casque Cyclopéen; Cape Indescriptible; Baleinabottes; Dofus Abyssal; Carapace Feu majeur; Carapace Neutre majeur; Carapace Eau majeur; Carapace Terre majeur; Carapace Air majeur; Muldo Ebène et Pourpre</t>
        </is>
      </c>
    </row>
    <row r="28549">
      <c r="A28549" t="inlineStr">
        <is>
          <t>ddfgdfgfdg</t>
        </is>
      </c>
      <c r="B28549">
        <f>HYPERLINK("https://www.dofusbook.net/fr/equipement/1243376-ddfgdfgfdg/objets", "link")</f>
        <v/>
      </c>
      <c r="C28549" t="n">
        <v>0</v>
      </c>
      <c r="D28549" t="inlineStr">
        <is>
          <t>Epée Gloursonne; Amulette du Strigide; Bague Gloursonne; Alliance Gloursonne; Bouclier cubiste; Ceinture du Strigide; Casque du Chalœil; Cape du Chalœil; Bottes du Chalœil; Dofus Émeraude; Dolmanax; Dofus Turquoise; Dofus des Glaces; Dofus Pourpre; Dofus Ocre; Muldo Ebène et Indigo</t>
        </is>
      </c>
    </row>
    <row r="28550">
      <c r="A28550" t="inlineStr">
        <is>
          <t>pano sasa lv 15X</t>
        </is>
      </c>
      <c r="B28550">
        <f>HYPERLINK("https://www.dofusbook.net/fr/equipement/1414166-pano-sasa-lv-15x/objets", "link")</f>
        <v/>
      </c>
      <c r="C28550" t="n">
        <v>0</v>
      </c>
      <c r="D28550" t="inlineStr">
        <is>
          <t>Griffe Pourpre; Amublop Multicolore Royale; Anneau Nobstant; Anneau Tranchant; Bouclier d'Asse; String Fouetteur; Masque de Pantèroz; Puissante Cape Fulgurante; Bottes Phossiles; Dofus Cawotte; Dofus des Glaces; Dofus Ocre; Dofus Nébuleux; Dofus Pourpre; Dolmanax; Muldo Doré</t>
        </is>
      </c>
    </row>
    <row r="28551">
      <c r="A28551" t="inlineStr">
        <is>
          <t>iop multi</t>
        </is>
      </c>
      <c r="B28551">
        <f>HYPERLINK("https://www.dofusbook.net/fr/equipement/1385079-iop-multi/objets", "link")</f>
        <v/>
      </c>
      <c r="C28551" t="n">
        <v>0</v>
      </c>
      <c r="D28551" t="inlineStr">
        <is>
          <t>Marteau des égarés; Amulette du Strigide; Bague Trithon; Alliance Gloursonne; Bouclier cubiste; Ceinture du Strigide; Masque Trithon; Dofusteuse; Bottes Trithon; Dofus Turquoise; Dofus des Glaces; Dofus Pourpre; Dofus Ocre; Dolmanax; Dofus Nébuleux; Muldo Ebène et Indigo</t>
        </is>
      </c>
    </row>
    <row r="28552">
      <c r="A28552" t="inlineStr">
        <is>
          <t>iop multi</t>
        </is>
      </c>
      <c r="B28552">
        <f>HYPERLINK("https://www.dofusbook.net/fr/equipement/1385069-iop-multi/objets", "link")</f>
        <v/>
      </c>
      <c r="C28552" t="n">
        <v>0</v>
      </c>
      <c r="D28552" t="inlineStr">
        <is>
          <t>Marteau des égarés;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53">
      <c r="A28553" t="inlineStr">
        <is>
          <t>iop multi</t>
        </is>
      </c>
      <c r="B28553">
        <f>HYPERLINK("https://www.dofusbook.net/fr/equipement/1383345-iop-multi/objets", "link")</f>
        <v/>
      </c>
      <c r="C28553" t="n">
        <v>0</v>
      </c>
      <c r="D28553" t="inlineStr">
        <is>
          <t>Marteau des égarés; Amulette du Strigide; Bague Trithon; Alliance Gloursonne; Bouclier cubiste; Ceinture du Strigide; Masque Trithon; Dofusteuse; Bottes Trithon; Dofus Turquoise; Dofus des Glaces; Dofus Pourpre; Dofus Ocre; Dolmanax; Dofus Nébuleux; Muldo Ebène et Indigo</t>
        </is>
      </c>
    </row>
    <row r="28554">
      <c r="A28554" t="inlineStr">
        <is>
          <t>pano combat bas lv</t>
        </is>
      </c>
      <c r="B28554">
        <f>HYPERLINK("https://www.dofusbook.net/fr/equipement/1339113-pano-combat-bas-lv/objets", "link")</f>
        <v/>
      </c>
      <c r="C28554" t="n">
        <v>0</v>
      </c>
      <c r="D28554" t="inlineStr">
        <is>
          <t>Hache du Guerrier Zoth; Porte-Malheur du Nowel Cauchemardesque; Anneau Nobstant; Gant du Capitaine Ekarlatte; Bouclier d'Asse; Ceinture du Capitaine Ekarlatte; Masque du Nowel Cauchemardesque; Cape du Nowel Cauchemardesque; Bottes du Nowel Cauchemardesque; Dofus Pourpre; Dofus des Glaces; Dofus Ocre; Dofus Nébuleux; Dofus Cawotte; Dolmanax; Muldo Doré et Amande</t>
        </is>
      </c>
    </row>
    <row r="28555">
      <c r="A28555" t="inlineStr">
        <is>
          <t>iop multi</t>
        </is>
      </c>
      <c r="B28555">
        <f>HYPERLINK("https://www.dofusbook.net/fr/equipement/1332770-iop-multi/objets", "link")</f>
        <v/>
      </c>
      <c r="C28555" t="n">
        <v>0</v>
      </c>
      <c r="D28555" t="inlineStr">
        <is>
          <t>Amulette du Strigide; Bague Trithon; Bracelet du Piloztère; Ceinture du Strigide; Masque Trithon; Bottes Trithon; Dofus Turquoise; Dofus des Glaces; Dofus Pourpre; Dofus Ocre; Dolmanax; Dofus Nébuleux; Muldo Ebène et Indigo</t>
        </is>
      </c>
    </row>
    <row r="28556">
      <c r="A28556" t="inlineStr">
        <is>
          <t>iop multi</t>
        </is>
      </c>
      <c r="B28556">
        <f>HYPERLINK("https://www.dofusbook.net/fr/equipement/1331811-iop-multi/objets", "link")</f>
        <v/>
      </c>
      <c r="C28556" t="n">
        <v>0</v>
      </c>
      <c r="D28556" t="inlineStr">
        <is>
          <t>Arc de Koutoulou; Amulette du Strigide; Alliance Gloursonne; Bague Trithon; Bouclier cubiste; Ceinture du Strigide; Masque Trithon; Dofusteuse; Bottes Trithon; Dolmanax; Dofus Nébuleux; Dofus Turquoise; Dofus des Glaces; Dofus Pourpre; Dofus Ocre; Muldo Ebène et Indigo</t>
        </is>
      </c>
    </row>
    <row r="28557">
      <c r="A28557" t="inlineStr">
        <is>
          <t>iop multi</t>
        </is>
      </c>
      <c r="B28557">
        <f>HYPERLINK("https://www.dofusbook.net/fr/equipement/1286280-iop-multi/objets", "link")</f>
        <v/>
      </c>
      <c r="C28557" t="n">
        <v>0</v>
      </c>
      <c r="D28557" t="inlineStr">
        <is>
          <t>Epée Maudite du Saigneur Guerrier; Amulette du Strigide; Bague Trithon; Anneau de Padgref; Bouclier du Captain Amakna; Ceinture du Strigide; Masque Trithon; Voile d'encre; Bottes Trithon; Dofus Turquoise; Dofus Abyssal; Dofus Pourpre; Dofus Ocre; Dofus Émeraude; Dofus Nébuleux; Muldo Prune et Emeraude</t>
        </is>
      </c>
    </row>
    <row r="28558">
      <c r="A28558" t="inlineStr">
        <is>
          <t>ddfgdfgfdg</t>
        </is>
      </c>
      <c r="B28558">
        <f>HYPERLINK("https://www.dofusbook.net/fr/equipement/1243288-ddfgdfgfdg/objets", "link")</f>
        <v/>
      </c>
      <c r="C28558" t="n">
        <v>0</v>
      </c>
      <c r="D28558" t="inlineStr">
        <is>
          <t>Epée Gloursonne; Amulette du Strigide; Bague Gloursonne; Alliance Gloursonne; Bouclier cubiste; Ceinture du Strigide; Casque du Chalœil; Cape du Chalœil; Bottes du Chalœil; Dofus Émeraude; Dolmanax; Dofus Turquoise; Dofus des Glaces; Dofus Pourpre; Dofus Ocre; Muldo Ebène et Indigo</t>
        </is>
      </c>
    </row>
    <row r="28559">
      <c r="A28559" t="inlineStr">
        <is>
          <t>pano sagesse 18X</t>
        </is>
      </c>
      <c r="B28559">
        <f>HYPERLINK("https://www.dofusbook.net/fr/equipement/1233444-pano-sagesse-18x/objets", "link")</f>
        <v/>
      </c>
      <c r="C28559" t="n">
        <v>0</v>
      </c>
      <c r="D28559" t="inlineStr">
        <is>
          <t>Ougarteau; Ougamulette; Anneau Nobstant; Anneau Nobstant; La Rondelle; Ougature; Ougalurette; Cape Peupret; Bottes Phossiles; Dofus Cawotte; Dofus Nébuleux; Dofus Turquoise; Dofus Ocre; Dofus Pourpre; Dofus des Glaces; Dragoune Noire</t>
        </is>
      </c>
    </row>
    <row r="28560">
      <c r="A28560" t="inlineStr">
        <is>
          <t>uhihuihu</t>
        </is>
      </c>
      <c r="B28560">
        <f>HYPERLINK("https://www.dofusbook.net/fr/equipement/1204968-uhihuihu/objets", "link")</f>
        <v/>
      </c>
      <c r="C28560" t="n">
        <v>0</v>
      </c>
      <c r="D28560" t="inlineStr">
        <is>
          <t>Arc Nécrotique; Collier de la Dame du Hasard; Anneau Cryochrone; Anneau du Père Fwetar; Bouclier cubiste; Ceinture du Père Fwetar; Coiffe Cryochrone; Cape de la Dame du Hasard; Bottes de la Dame du Hasard; Dofus Pourpre; Dofus Ocre; Dofus Émeraude; Dofus des Glaces; Dofus Turquoise; Dofus Nébuleux; Muldo Indigo et Orchidée</t>
        </is>
      </c>
    </row>
    <row r="28561">
      <c r="A28561" t="inlineStr">
        <is>
          <t>terrefeu botteclasse</t>
        </is>
      </c>
      <c r="B28561">
        <f>HYPERLINK("https://www.dofusbook.net/fr/equipement/1201965-terrefeu-botteclasse/objets", "link")</f>
        <v/>
      </c>
      <c r="C28561" t="n">
        <v>0</v>
      </c>
      <c r="D28561" t="inlineStr">
        <is>
          <t>Epée Gloursonne; Amulette de Gein; Alliance Gloursonne; Bague Gloursonne; Bouclier cubiste; Ceinture de Gein; Chapeau de Gein; Voile d'encre; Getas Bernacle; Dofus Turquoise; Dofus Pourpre; Dofus Nébuleux; Dofus Émeraude; Dofus des Glaces; Dofus Ocre; Muldo Ebène et Pourpre</t>
        </is>
      </c>
    </row>
    <row r="28562">
      <c r="A28562" t="inlineStr">
        <is>
          <t>botte classe feu eau</t>
        </is>
      </c>
      <c r="B28562">
        <f>HYPERLINK("https://www.dofusbook.net/fr/equipement/1207828-botte-classe-feu-eau/objets", "link")</f>
        <v/>
      </c>
      <c r="C28562" t="n">
        <v>0</v>
      </c>
      <c r="D28562" t="inlineStr">
        <is>
          <t>Arc Hétype; Collier de la Dame du Hasard; Anneau de Padgref; Anneau Rifique; Cadran de Feu; Sangle Aise; Coiffe de Padgref; Cape de la Dame du Hasard; Getas Bernacle; Dofus Abyssal; Dofus Émeraude; Dofus Ocre; Dolmanax; Dofus Turquoise; Muldo Orchidée</t>
        </is>
      </c>
    </row>
    <row r="28563">
      <c r="A28563" t="inlineStr">
        <is>
          <t>rrgrtgrtgr</t>
        </is>
      </c>
      <c r="B28563">
        <f>HYPERLINK("https://www.dofusbook.net/fr/equipement/1201968-rrgrtgrtgr/objets", "link")</f>
        <v/>
      </c>
      <c r="C28563" t="n">
        <v>0</v>
      </c>
      <c r="D28563" t="inlineStr">
        <is>
          <t>Baguette de Malléfisk; Pendentif affamé; Anneau Tique; Chevalière du Roi Joueur; Bouclier du serrurier; Sangle Aise; Couronne du Roi Joueur; Cape de Diondin; Getas Bernacle; Dofus Émeraude; Dolmanax; Carapace Terre majeur; Érudit majeur; Carapace Eau majeur; Carapace Feu majeur; Muldo Indigo et Orchidée</t>
        </is>
      </c>
    </row>
    <row r="28564">
      <c r="A28564" t="inlineStr">
        <is>
          <t>Stuff 1</t>
        </is>
      </c>
      <c r="B28564">
        <f>HYPERLINK("https://www.dofusbook.net/fr/equipement/27421-stuff-1/objets", "link")</f>
        <v/>
      </c>
      <c r="C28564" t="n">
        <v>0</v>
      </c>
      <c r="D28564" t="inlineStr">
        <is>
          <t>Dagoulinantes; Amulette de Shokkoth; Bracelet des Fonds marins; Alliance Gloursonne; Bouclier du Stalak; Poulpagne; Masque des Fonds marins; Cape de Mantaze; Getas Bernacle; Dofus Pourpre; Remueur; Carapace Terre majeur; Carapace Eau majeur; Carapace Neutre majeur; Chanceux majeur; Muldo Indigo et Pourpre</t>
        </is>
      </c>
    </row>
    <row r="28565">
      <c r="A28565" t="inlineStr">
        <is>
          <t>feu feu</t>
        </is>
      </c>
      <c r="B28565">
        <f>HYPERLINK("https://www.dofusbook.net/fr/equipement/1202266-feu-feu/objets", "link")</f>
        <v/>
      </c>
      <c r="C28565" t="n">
        <v>0</v>
      </c>
      <c r="D28565" t="inlineStr">
        <is>
          <t>Dagoulinantes; Amulette de Shokkoth; Bracelet des Fonds marins; Alliance Gloursonne; Cadran d'Air; Poulpagne; Masque des Fonds marins; Cape de Mantaze; Getas Bernacle; Dofus Turquoise; Dolmanax; Dofus Ocre; Dofus Émeraude; Dofus Nébuleux; Muldo Indigo</t>
        </is>
      </c>
    </row>
    <row r="28566">
      <c r="A28566" t="inlineStr">
        <is>
          <t>efevevervr</t>
        </is>
      </c>
      <c r="B28566">
        <f>HYPERLINK("https://www.dofusbook.net/fr/equipement/1201950-efevevervr/objets", "link")</f>
        <v/>
      </c>
      <c r="C28566" t="n">
        <v>0</v>
      </c>
      <c r="D28566" t="inlineStr">
        <is>
          <t>Dagues Érhy; Amulette de Gein; Bague Gloursonne; Baguistik; Bouclier cubiste; Ceinture de Gein; Chapeau de Gein; Voile d'encre; Getas Bernacle; Dofus Nébuleux; Dofus Émeraude; Dofus des Glaces; Dofus Ocre; Dofus Turquoise; Dofus Pourpre; Muldo Ebène et Pourpre</t>
        </is>
      </c>
    </row>
    <row r="28567">
      <c r="A28567" t="inlineStr">
        <is>
          <t>vyvhvhcucuj</t>
        </is>
      </c>
      <c r="B28567">
        <f>HYPERLINK("https://www.dofusbook.net/fr/equipement/1162132-vyvhvhcucuj/objets", "link")</f>
        <v/>
      </c>
      <c r="C28567" t="n">
        <v>0</v>
      </c>
      <c r="D28567" t="inlineStr">
        <is>
          <t>Bouclier du Stalak</t>
        </is>
      </c>
    </row>
    <row r="28568">
      <c r="A28568" t="inlineStr">
        <is>
          <t>szaaz</t>
        </is>
      </c>
      <c r="B28568">
        <f>HYPERLINK("https://www.dofusbook.net/fr/equipement/1130332-szaaz/objets", "link")</f>
        <v/>
      </c>
      <c r="C28568" t="n">
        <v>0</v>
      </c>
      <c r="D28568" t="inlineStr"/>
    </row>
    <row r="28569">
      <c r="A28569" t="inlineStr">
        <is>
          <t>Eau</t>
        </is>
      </c>
      <c r="B28569">
        <f>HYPERLINK("https://www.dofusbook.net/fr/equipement/1100586-eau/objets", "link")</f>
        <v/>
      </c>
      <c r="C28569" t="n">
        <v>0</v>
      </c>
      <c r="D28569" t="inlineStr">
        <is>
          <t>Dagoulinantes; Amulette de Shokkoth; Alliance Gloursonne; Bracelet des Fonds marins; Cadran d'Air; Poulpagne; Kidibonnet; Cape de Mantaze; Sandales des Fonds marins; Dofus Émeraude; Carapace Air majeur; Carapace Terre majeur; Carapace Neutre majeur; Carapace Eau majeur; Carapace Feu majeur; Muldo Indigo</t>
        </is>
      </c>
    </row>
    <row r="28570">
      <c r="A28570" t="inlineStr">
        <is>
          <t>Ieididiei</t>
        </is>
      </c>
      <c r="B28570">
        <f>HYPERLINK("https://www.dofusbook.net/fr/equipement/1100455-ieididiei/objets", "link")</f>
        <v/>
      </c>
      <c r="C28570" t="n">
        <v>0</v>
      </c>
      <c r="D28570" t="inlineStr">
        <is>
          <t>Arc de Koutoulou; Kralamansion; Annolamour; Kralano; Cadran d'Air; Pagne du Rykaon; Némès de Tal Kasha; Chevelure de Tal Kasha; Sandales de Tal Kasha; Dofus Pourpre; Dofus Ocre; Dofus Abyssal; Dofus Nébuleux; Dofus Turquoise; Dofus Émeraude; Muldo Ebène et Indigo</t>
        </is>
      </c>
    </row>
    <row r="28571">
      <c r="A28571" t="inlineStr">
        <is>
          <t>ddfgdfgfdg</t>
        </is>
      </c>
      <c r="B28571">
        <f>HYPERLINK("https://www.dofusbook.net/fr/equipement/1099818-ddfgdfgfdg/objets", "link")</f>
        <v/>
      </c>
      <c r="C28571" t="n">
        <v>0</v>
      </c>
      <c r="D28571" t="inlineStr">
        <is>
          <t>Epée Gloursonne; Amulette du Strigide; Bague Gloursonne; Alliance Gloursonne; Bouclier cubiste; Ceinture du Strigide; Casque du Chalœil; Cape du Chalœil; Bottes du Chalœil; Dofus Turquoise; Dofus des Glaces; Dofus Pourpre; Dofus Ocre; Dofus Émeraude; Dolmanax; Muldo Ebène et Indigo</t>
        </is>
      </c>
    </row>
    <row r="28572">
      <c r="A28572" t="inlineStr">
        <is>
          <t>ddfgdfgfdg</t>
        </is>
      </c>
      <c r="B28572">
        <f>HYPERLINK("https://www.dofusbook.net/fr/equipement/1099796-ddfgdfgfdg/objets", "link")</f>
        <v/>
      </c>
      <c r="C28572" t="n">
        <v>0</v>
      </c>
      <c r="D28572" t="inlineStr">
        <is>
          <t>Epée Gloursonne; Amulette du Strigide; Bague Gloursonne; Alliance Gloursonne; Bouclier cubiste; Ceinture du Strigide; Casque du Chalœil; Cape du Chalœil; Bottes du Chalœil; Dofus Pourpre; Dofus Ocre; Dofus Émeraude; Dolmanax; Dofus Turquoise; Dofus des Glaces; Muldo Ebène et Indigo</t>
        </is>
      </c>
    </row>
    <row r="28573">
      <c r="A28573" t="inlineStr">
        <is>
          <t>ddfgdfgfdg</t>
        </is>
      </c>
      <c r="B28573">
        <f>HYPERLINK("https://www.dofusbook.net/fr/equipement/1099711-ddfgdfgfdg/objets", "link")</f>
        <v/>
      </c>
      <c r="C28573" t="n">
        <v>1</v>
      </c>
      <c r="D28573" t="inlineStr">
        <is>
          <t>Epée Gloursonne; Amulette du Strigide; Bague Gloursonne; Alliance Gloursonne; Bouclier cubiste; Ceinture du Strigide; Casque du Chalœil; Cape du Chalœil; Bottes du Chalœil; Dofus Turquoise; Dofus des Glaces; Dofus Pourpre; Dofus Ocre; Dofus Émeraude; Dolmanax; Muldo Ebène et Indigo</t>
        </is>
      </c>
    </row>
    <row r="28574">
      <c r="A28574" t="inlineStr">
        <is>
          <t>ddfgdfgfdg</t>
        </is>
      </c>
      <c r="B28574">
        <f>HYPERLINK("https://www.dofusbook.net/fr/equipement/1076168-ddfgdfgfdg/objets", "link")</f>
        <v/>
      </c>
      <c r="C28574" t="n">
        <v>0</v>
      </c>
      <c r="D28574" t="inlineStr">
        <is>
          <t>Epée Gloursonne; Amulette du Strigide; Bague Gloursonne; Alliance Gloursonne; Bouclier cubiste; Ceinture du Strigide; Casque du Chalœil; Cape du Chalœil; Bottes du Chalœil; Dofus Émeraude; Dofus Cawotte; Dofus Turquoise; Dofus Nébuleux; Dofus Pourpre; Dofus Ocre; Muldo Ebène et Indigo</t>
        </is>
      </c>
    </row>
    <row r="28575">
      <c r="A28575" t="inlineStr">
        <is>
          <t>ddfgdfgfdg</t>
        </is>
      </c>
      <c r="B28575">
        <f>HYPERLINK("https://www.dofusbook.net/fr/equipement/1076163-ddfgdfgfdg/objets", "link")</f>
        <v/>
      </c>
      <c r="C28575" t="n">
        <v>0</v>
      </c>
      <c r="D28575" t="inlineStr">
        <is>
          <t>Epée Gloursonne; Amulette du Strigide; Alliance Gloursonne; Bague Gloursonne; Bouclier cubiste; Ceinture du Strigide; Casque du Chalœil; Cape du Chalœil; Bottes du Chalœil; Dofus Turquoise; Dofus Nébuleux; Dofus Pourpre; Dofus Ocre; Dofus Émeraude; Dofus Cawotte; Dragodinde Prune et Emeraude</t>
        </is>
      </c>
    </row>
    <row r="28576">
      <c r="A28576" t="inlineStr">
        <is>
          <t>zefzefezf</t>
        </is>
      </c>
      <c r="B28576">
        <f>HYPERLINK("https://www.dofusbook.net/fr/equipement/1076158-zefzefezf/objets", "link")</f>
        <v/>
      </c>
      <c r="C28576" t="n">
        <v>0</v>
      </c>
      <c r="D28576" t="inlineStr"/>
    </row>
    <row r="28577">
      <c r="A28577" t="inlineStr">
        <is>
          <t>ddfgdfgfdg</t>
        </is>
      </c>
      <c r="B28577">
        <f>HYPERLINK("https://www.dofusbook.net/fr/equipement/1073084-ddfgdfgfdg/objets", "link")</f>
        <v/>
      </c>
      <c r="C28577" t="n">
        <v>0</v>
      </c>
      <c r="D28577" t="inlineStr">
        <is>
          <t>Epée Gloursonne; Amulette du Strigide; Bague Gloursonne; Alliance Gloursonne; Bouclier cubiste; Ceinture du Strigide; Casque du Chalœil; Cape du Chalœil; Bottes du Chalœil; Dofus Émeraude; Dofus des Glaces; Dofus Turquoise; Dofus Nébuleux; Dofus Pourpre; Dofus Ocre; Muldo Ebène et Indigo</t>
        </is>
      </c>
    </row>
    <row r="28578">
      <c r="A28578" t="inlineStr">
        <is>
          <t>ddfgdfgfdg</t>
        </is>
      </c>
      <c r="B28578">
        <f>HYPERLINK("https://www.dofusbook.net/fr/equipement/1072840-ddfgdfgfdg/objets", "link")</f>
        <v/>
      </c>
      <c r="C28578" t="n">
        <v>0</v>
      </c>
      <c r="D28578" t="inlineStr">
        <is>
          <t>Epée Gloursonne; Amulette du Strigide; Alliance Gloursonne; Bague Gloursonne; Bouclier cubiste; Ceinture du Strigide; Casque du Chalœil; Cape du Chalœil; Bottes du Chalœil; Dofus Turquoise; Dolmanax; Dofus Pourpre; Dofus Ocre; Dofus Émeraude; Dofus des Glaces; Dragodinde Prune et Emeraude</t>
        </is>
      </c>
    </row>
    <row r="28579">
      <c r="A28579" t="inlineStr">
        <is>
          <t>ddfgdfgfdg</t>
        </is>
      </c>
      <c r="B28579">
        <f>HYPERLINK("https://www.dofusbook.net/fr/equipement/1070861-ddfgdfgfdg/objets", "link")</f>
        <v/>
      </c>
      <c r="C28579" t="n">
        <v>0</v>
      </c>
      <c r="D28579" t="inlineStr">
        <is>
          <t>Epée Gloursonne; Amulette du Strigide; Alliance Gloursonne; Bague Gloursonne; Bouclier cubiste; Ceinture du Strigide; Casque du Chalœil; Cape du Chalœil; Bottes du Chalœil; Dofus Turquoise; Dolmanax; Dofus Pourpre; Dofus Ocre; Dofus Émeraude; Dofus des Glaces; Dragodinde Prune et Emeraude</t>
        </is>
      </c>
    </row>
    <row r="28580">
      <c r="A28580" t="inlineStr">
        <is>
          <t>ddfgdfgfdg</t>
        </is>
      </c>
      <c r="B28580">
        <f>HYPERLINK("https://www.dofusbook.net/fr/equipement/1072055-ddfgdfgfdg/objets", "link")</f>
        <v/>
      </c>
      <c r="C28580" t="n">
        <v>0</v>
      </c>
      <c r="D28580" t="inlineStr">
        <is>
          <t>Epée Gloursonne; Amulette du Strigide; Bague Gloursonne; Alliance Gloursonne; Bouclier cubiste; Ceinture du Strigide; Casque du Chalœil; Cape du Chalœil; Bottes du Chalœil; Dofus Émeraude; Dofus des Glaces; Dofus Turquoise; Dofus Nébuleux; Dofus Pourpre; Dofus Ocre; Dragodinde Prune et Emeraude</t>
        </is>
      </c>
    </row>
    <row r="28581">
      <c r="A28581" t="inlineStr">
        <is>
          <t>ddfgdfgfdg</t>
        </is>
      </c>
      <c r="B28581">
        <f>HYPERLINK("https://www.dofusbook.net/fr/equipement/1070915-ddfgdfgfdg/objets", "link")</f>
        <v/>
      </c>
      <c r="C28581" t="n">
        <v>0</v>
      </c>
      <c r="D28581" t="inlineStr">
        <is>
          <t>Epée Gloursonne; Amulette du Strigide; Alliance Gloursonne; Bague Gloursonne; Bouclier cubiste; Ceinture du Strigide; Casque du Chalœil; Cape du Chalœil; Bottes du Chalœil; Dofus Turquoise; Dofus Nébuleux; Dofus Pourpre; Dofus Ocre; Dofus Émeraude; Dofus des Glaces; Dragodinde Prune et Emeraude</t>
        </is>
      </c>
    </row>
    <row r="28582">
      <c r="A28582" t="inlineStr">
        <is>
          <t>ddfgdfgfdg</t>
        </is>
      </c>
      <c r="B28582">
        <f>HYPERLINK("https://www.dofusbook.net/fr/equipement/1070900-ddfgdfgfdg/objets", "link")</f>
        <v/>
      </c>
      <c r="C28582" t="n">
        <v>0</v>
      </c>
      <c r="D28582" t="inlineStr">
        <is>
          <t>Epée Gloursonne; Amulette du Strigide; Bague Gloursonne; Alliance Gloursonne; Bouclier cubiste; Ceinture du Strigide; Casque du Chalœil; Cape du Chalœil; Bottes du Chalœil; Dofus Émeraude; Dofus Nébuleux; Dofus Turquoise; Dofus Abyssal; Dofus Pourpre; Dofus Ocre; Dragodinde Prune et Emeraude</t>
        </is>
      </c>
    </row>
    <row r="28583">
      <c r="A28583" t="inlineStr">
        <is>
          <t>ddfgdfgfdg</t>
        </is>
      </c>
      <c r="B28583">
        <f>HYPERLINK("https://www.dofusbook.net/fr/equipement/1062578-ddfgdfgfdg/objets", "link")</f>
        <v/>
      </c>
      <c r="C28583" t="n">
        <v>0</v>
      </c>
      <c r="D28583" t="inlineStr">
        <is>
          <t>Epée Gloursonne; Amulette du Strigide; Alliance Gloursonne; Bague Gloursonne; Bouclier cubiste; Ceinture du Strigide; Casque du Chalœil; Cape du Chalœil; Bottes du Chalœil; Dofus Turquoise; Dofus Nébuleux; Dofus Pourpre; Dofus Ocre; Dofus Émeraude; Dofus des Glaces; Dragodinde Prune et Emeraude</t>
        </is>
      </c>
    </row>
    <row r="28584">
      <c r="A28584" t="inlineStr">
        <is>
          <t>ddfgdfgfdg</t>
        </is>
      </c>
      <c r="B28584">
        <f>HYPERLINK("https://www.dofusbook.net/fr/equipement/1064791-ddfgdfgfdg/objets", "link")</f>
        <v/>
      </c>
      <c r="C28584" t="n">
        <v>1</v>
      </c>
      <c r="D28584" t="inlineStr">
        <is>
          <t>Epée Gloursonne; Amulette du Strigide; Bague Gloursonne; Alliance Gloursonne; Bouclier cubiste; Ceinture du Strigide; Casque du Chalœil; Cape du Chalœil; Bottes du Chalœil; Dofus Émeraude; Dofus des Glaces; Dofus Turquoise; Dofus Nébuleux; Dofus Pourpre; Dofus Ocre; Dragodinde Prune et Emeraude</t>
        </is>
      </c>
    </row>
    <row r="28585">
      <c r="A28585" t="inlineStr">
        <is>
          <t>ddfgdfgfdg</t>
        </is>
      </c>
      <c r="B28585">
        <f>HYPERLINK("https://www.dofusbook.net/fr/equipement/1064705-ddfgdfgfdg/objets", "link")</f>
        <v/>
      </c>
      <c r="C28585" t="n">
        <v>0</v>
      </c>
      <c r="D28585" t="inlineStr">
        <is>
          <t>Epée Gloursonne; Amulette du Strigide; Alliance Gloursonne; Bague Gloursonne; Bouclier cubiste; Ceinture du Strigide; Casque du Chalœil; Cape du Chalœil; Bottes du Chalœil; Dofus Turquoise; Dofus Nébuleux; Dofus Pourpre; Dofus Ocre; Dofus Émeraude; Dofus des Glaces; Dragodinde Prune et Emeraude</t>
        </is>
      </c>
    </row>
    <row r="28586">
      <c r="A28586" t="inlineStr">
        <is>
          <t>ddfgdfgfdg</t>
        </is>
      </c>
      <c r="B28586">
        <f>HYPERLINK("https://www.dofusbook.net/fr/equipement/1062671-ddfgdfgfdg/objets", "link")</f>
        <v/>
      </c>
      <c r="C28586" t="n">
        <v>0</v>
      </c>
      <c r="D28586" t="inlineStr">
        <is>
          <t>Epée Gloursonne; Amulette du Strigide; Bague Gloursonne; Alliance Gloursonne; Bouclier cubiste; Ceinture du Strigide; Casque du Chalœil; Cape du Chalœil; Bottes du Chalœil; Dolmanax; Dofus des Glaces; Dofus Turquoise; Dofus Nébuleux; Dofus Pourpre; Dofus Ocre; Muldo Indigo</t>
        </is>
      </c>
    </row>
    <row r="28587">
      <c r="A28587" t="inlineStr">
        <is>
          <t>ddfgdfgfdg</t>
        </is>
      </c>
      <c r="B28587">
        <f>HYPERLINK("https://www.dofusbook.net/fr/equipement/1062618-ddfgdfgfdg/objets", "link")</f>
        <v/>
      </c>
      <c r="C28587" t="n">
        <v>0</v>
      </c>
      <c r="D28587" t="inlineStr">
        <is>
          <t>Epée Gloursonne; Amulette du Strigide; Bague Gloursonne; Alliance Gloursonne; Ceinture du Strigide; Casque du Chalœil; Cape du Chalœil; Bottes du Chalœil; Dofus Turquoise; Dofus Nébuleux; Dofus Pourpre; Dofus Ocre; Dofus Émeraude; Dofus des Glaces; Dragodinde Prune et Emeraude</t>
        </is>
      </c>
    </row>
    <row r="28588">
      <c r="A28588" t="inlineStr">
        <is>
          <t>Stuff 3</t>
        </is>
      </c>
      <c r="B28588">
        <f>HYPERLINK("https://www.dofusbook.net/fr/equipement/1007286-stuff-3/objets", "link")</f>
        <v/>
      </c>
      <c r="C28588" t="n">
        <v>0</v>
      </c>
      <c r="D28588" t="inlineStr">
        <is>
          <t>Pelle de la Cour Sombre; Amibou; Anneau Rifique; Alliance Gloursonne; Cadran de Feu; Menoture; Casque Cyclopéen; Cape Indescriptible; Baleinabottes; Dofus Émeraude; Carapace Terre majeur; Miraculé majeur; Carapace Air majeur; Carapace Neutre majeur; Carapace Eau majeur; Muldo Ebène et Orchidée</t>
        </is>
      </c>
    </row>
    <row r="28589">
      <c r="A28589" t="inlineStr">
        <is>
          <t>ikhjkhjk</t>
        </is>
      </c>
      <c r="B28589">
        <f>HYPERLINK("https://www.dofusbook.net/fr/equipement/1007283-ikhjkhjk/objets", "link")</f>
        <v/>
      </c>
      <c r="C28589" t="n">
        <v>0</v>
      </c>
      <c r="D28589" t="inlineStr"/>
    </row>
    <row r="28590">
      <c r="A28590" t="inlineStr">
        <is>
          <t>Stuff 3</t>
        </is>
      </c>
      <c r="B28590">
        <f>HYPERLINK("https://www.dofusbook.net/fr/equipement/1003799-stuff-3/objets", "link")</f>
        <v/>
      </c>
      <c r="C28590" t="n">
        <v>0</v>
      </c>
      <c r="D28590" t="inlineStr">
        <is>
          <t>Pelle de la Cour Sombre; Amibou; Anneau Rifique; Alliance Gloursonne; Écorce de Brouce; Menoture; Casque Cyclopéen; Cape Indescriptible; Baleinabottes; Dofus Émeraude; Carapace Air majeur; Carapace Neutre majeur; Carapace Terre majeur; Cascadeur majeur; Muldo Ebène et Orchidée</t>
        </is>
      </c>
    </row>
    <row r="28591">
      <c r="A28591" t="inlineStr">
        <is>
          <t>Stuff 3</t>
        </is>
      </c>
      <c r="B28591">
        <f>HYPERLINK("https://www.dofusbook.net/fr/equipement/1004419-stuff-3/objets", "link")</f>
        <v/>
      </c>
      <c r="C28591" t="n">
        <v>0</v>
      </c>
      <c r="D28591" t="inlineStr">
        <is>
          <t>Pelle de la Cour Sombre; Amibou; Alliance Gloursonne; Anneau Rifique; Cadran de Feu; Menoture; Casque Cyclopéen; Cape Indescriptible; Baleinabottes; Dofus Cawotte; Dofus Émeraude; Carapace Air majeur; Carapace Neutre majeur; Carapace Eau majeur; Carapace Terre majeur; Muldo Ebène et Orchidée</t>
        </is>
      </c>
    </row>
    <row r="28592">
      <c r="A28592" t="inlineStr">
        <is>
          <t>Stuff 3</t>
        </is>
      </c>
      <c r="B28592">
        <f>HYPERLINK("https://www.dofusbook.net/fr/equipement/1003615-stuff-3/objets", "link")</f>
        <v/>
      </c>
      <c r="C28592" t="n">
        <v>0</v>
      </c>
      <c r="D28592" t="inlineStr">
        <is>
          <t>Pelle de la Cour Sombre; Amibou; Anneau Rifique; Alliance Gloursonne; Cadran d'Air; Menoture; Casque Cyclopéen; Cape Indescriptible; Baleinabottes; Dofus Ocre; Dofus Émeraude; Carapace Eau majeur; Carapace Terre majeur; Carapace Feu majeur; Carapace Neutre majeur; Muldo Ebène et Orchidée</t>
        </is>
      </c>
    </row>
    <row r="28593">
      <c r="A28593" t="inlineStr">
        <is>
          <t>Stuff 3</t>
        </is>
      </c>
      <c r="B28593">
        <f>HYPERLINK("https://www.dofusbook.net/fr/equipement/1003374-stuff-3/objets", "link")</f>
        <v/>
      </c>
      <c r="C28593" t="n">
        <v>0</v>
      </c>
      <c r="D28593" t="inlineStr">
        <is>
          <t>Amibou; Anneau Rifique; Alliance Gloursonne; Cadran d'Air; Menoture; Casque Cyclopéen; Cape Indescriptible; Baleinabottes; Dofus Émeraude; Carapace Neutre majeur; Carapace Terre majeur; Carapace Eau majeur; Carapace Feu majeur; Muldo Ebène et Orchidée</t>
        </is>
      </c>
    </row>
    <row r="28594">
      <c r="A28594" t="inlineStr">
        <is>
          <t>Stuff 3</t>
        </is>
      </c>
      <c r="B28594">
        <f>HYPERLINK("https://www.dofusbook.net/fr/equipement/1001826-stuff-3/objets", "link")</f>
        <v/>
      </c>
      <c r="C28594" t="n">
        <v>0</v>
      </c>
      <c r="D28594" t="inlineStr">
        <is>
          <t>Manthache; Amibou; Anneau Rifique; Alliance Gloursonne; Bouclier cubiste; Menoture; Casque Cyclopéen; Cape Indescriptible; Baleinabottes; Dofus Émeraude; Carapace Feu majeur; Carapace Neutre majeur; Carapace Eau majeur; Carapace Terre majeur; Carapace Air majeur; Muldo Ebène et Pourpre</t>
        </is>
      </c>
    </row>
    <row r="28595">
      <c r="A28595" t="inlineStr">
        <is>
          <t>Stuff 3</t>
        </is>
      </c>
      <c r="B28595">
        <f>HYPERLINK("https://www.dofusbook.net/fr/equipement/1001755-stuff-3/objets", "link")</f>
        <v/>
      </c>
      <c r="C28595" t="n">
        <v>0</v>
      </c>
      <c r="D28595" t="inlineStr">
        <is>
          <t>Manthache; Amibou; Anneau Rifique; Alliance Gloursonne; Bouclier cubiste; Menoture; Casque Cyclopéen; Cape Indescriptible; Baleinabottes; Dofus Émeraude; Carapace Eau majeur; Carapace Terre majeur; Carapace Air majeur; Carapace Feu majeur; Carapace Neutre majeur; Muldo Ebène et Pourpre</t>
        </is>
      </c>
    </row>
    <row r="28596">
      <c r="A28596" t="inlineStr">
        <is>
          <t>Stuff 3</t>
        </is>
      </c>
      <c r="B28596">
        <f>HYPERLINK("https://www.dofusbook.net/fr/equipement/1001714-stuff-3/objets", "link")</f>
        <v/>
      </c>
      <c r="C28596" t="n">
        <v>0</v>
      </c>
      <c r="D28596" t="inlineStr">
        <is>
          <t>Manthache; Amibou; Anneau Rifique; Alliance Gloursonne; Bouclier cubiste; Menoture; Casque Cyclopéen; Cape Indescriptible; Baleinabottes; Dofus Émeraude; Carapace Feu majeur; Carapace Neutre majeur; Carapace Eau majeur; Carapace Terre majeur; Carapace Air majeur; Muldo Ebène et Pourpre</t>
        </is>
      </c>
    </row>
    <row r="28597">
      <c r="A28597" t="inlineStr">
        <is>
          <t>cra multi</t>
        </is>
      </c>
      <c r="B28597">
        <f>HYPERLINK("https://www.dofusbook.net/fr/equipement/992856-cra-multi-/objets", "link")</f>
        <v/>
      </c>
      <c r="C28597" t="n">
        <v>0</v>
      </c>
      <c r="D28597" t="inlineStr">
        <is>
          <t>Sabres d'Atcham; Amulette du Strigide; Bracelet du Piloztère; Anneau de Padgref; Bouclier du Captain Amakna; Ceinture du Strigide; Coiffe de Padgref; Cape d'Atcham; Sandales  d'Atcham; Dofus des Glaces; Dofus Turquoise; Dofus Pourpre; Dofus Ocre; Dofus Émeraude; Dofus Nébuleux; Muldo Prune et Turquoise</t>
        </is>
      </c>
    </row>
    <row r="28598">
      <c r="A28598" t="inlineStr">
        <is>
          <t>dbdfbdfbdb</t>
        </is>
      </c>
      <c r="B28598">
        <f>HYPERLINK("https://www.dofusbook.net/fr/equipement/992494-dbdfbdfbdb/objets", "link")</f>
        <v/>
      </c>
      <c r="C28598" t="n">
        <v>0</v>
      </c>
      <c r="D28598" t="inlineStr">
        <is>
          <t>Dagues Érhy; Amulette de l'Indicible; Grésilanneau; Anneau du Katcheur; Bouclier cubiste; Sangle Glinglin; Masque du Katcheur; Cape Routh; Bottes du Katcheur; Dofus Pourpre; Dofus Nébuleux; Dokoko; Dofus Ocre; Dofus Émeraude; Dofus des Glaces; Muldo Doré et Pourpre</t>
        </is>
      </c>
    </row>
    <row r="28599">
      <c r="A28599" t="inlineStr">
        <is>
          <t>Ueirjrjrb</t>
        </is>
      </c>
      <c r="B28599">
        <f>HYPERLINK("https://www.dofusbook.net/fr/equipement/970867-ueirjrjrb/objets", "link")</f>
        <v/>
      </c>
      <c r="C28599" t="n">
        <v>1</v>
      </c>
      <c r="D28599" t="inlineStr">
        <is>
          <t>Dagues Érhy; Amulette de Gein; Bague Gloursonne; Chevalière du Roi Joueur; Bouclier du Captain Amakna; Ceintacé; Chapeau de Gein; Voile d'encre; Bottistik; Dofus Pourpre; Dofus Émeraude; Dofus Turquoise; Dofus Abyssal; Dofus Ocre; Dofus Nébuleux; Muldo Pourpre</t>
        </is>
      </c>
    </row>
    <row r="28600">
      <c r="A28600" t="inlineStr">
        <is>
          <t>Stuff 1</t>
        </is>
      </c>
      <c r="B28600">
        <f>HYPERLINK("https://www.dofusbook.net/fr/equipement/27409-stuff-1/objets", "link")</f>
        <v/>
      </c>
      <c r="C28600" t="n">
        <v>0</v>
      </c>
      <c r="D28600" t="inlineStr">
        <is>
          <t>Dagues Érhy; Amulette de l'Indicible; Grésilanneau; Bouclier cubiste; Ceinture de l'Esprit Salvateur; Masque de l'Esprit Salvateur; Voilamibe; Bottes de l'Esprit Salvateur; Dofus Ocre; Dofus Abyssal; Dolmanax; Dofus Pourpre; Dofus Nébuleux; Dofus des Glaces; Muldo Orchidée et Pourpre</t>
        </is>
      </c>
    </row>
    <row r="28601">
      <c r="A28601" t="inlineStr">
        <is>
          <t>ebrtbrbtr</t>
        </is>
      </c>
      <c r="B28601">
        <f>HYPERLINK("https://www.dofusbook.net/fr/equipement/955570-ebrtbrbtr/objets", "link")</f>
        <v/>
      </c>
      <c r="C28601" t="n">
        <v>0</v>
      </c>
      <c r="D28601" t="inlineStr">
        <is>
          <t>Marteau R'ture; Collier de Tourthon; Bracelet du Piloztère; Anneau de Brouce; La Rondelle; Ceinture de la Reine des Voleurs; Coiffe de la Reine des Voleurs; Cape de la Cour Sombre; Baleinabottes; Dofus Émeraude; Dofus Nébuleux; Dofus des Glaces; Dofus Pourpre; Dofus Turquoise; Dofus Ocre; Muldo Indigo et Orchidée</t>
        </is>
      </c>
    </row>
    <row r="28602">
      <c r="A28602" t="inlineStr">
        <is>
          <t>Jduejeu</t>
        </is>
      </c>
      <c r="B28602">
        <f>HYPERLINK("https://www.dofusbook.net/fr/equipement/901999-jduejeu/objets", "link")</f>
        <v/>
      </c>
      <c r="C28602" t="n">
        <v>0</v>
      </c>
      <c r="D28602" t="inlineStr"/>
    </row>
    <row r="28603">
      <c r="A28603" t="inlineStr">
        <is>
          <t>Stuff 2</t>
        </is>
      </c>
      <c r="B28603">
        <f>HYPERLINK("https://www.dofusbook.net/fr/equipement/886515-stuff-2/objets", "link")</f>
        <v/>
      </c>
      <c r="C28603" t="n">
        <v>0</v>
      </c>
      <c r="D28603" t="inlineStr">
        <is>
          <t>Pelle de la Cour Sombre; Amibou; Anneau Rifique; Alliance Gloursonne; Bouclier du Stalak; Menoture; Casque Cyclopéen; Cape Indescriptible; Baleinabottes; Dofus Abyssal; Carapace Eau majeur; Carapace Air majeur; Cascadeur majeur; Carapace Terre majeur; Carapace Neutre majeur; Muldo Ebène et Orchidée</t>
        </is>
      </c>
    </row>
    <row r="28604">
      <c r="A28604" t="inlineStr">
        <is>
          <t>fngfnghj</t>
        </is>
      </c>
      <c r="B28604">
        <f>HYPERLINK("https://www.dofusbook.net/fr/equipement/536737-fngfnghj/objets", "link")</f>
        <v/>
      </c>
      <c r="C28604" t="n">
        <v>0</v>
      </c>
      <c r="D28604" t="inlineStr">
        <is>
          <t>Arc Nécrotique; Collier de la Dame du Hasard; Bracelet du Piloztère; Bouclier du Stalak; Ceintrigue; Casquette de Meno; Cape de la Dame du Hasard; Bottes de la Dame du Hasard; Dofus des Glaces; Dofus Turquoise; Dofus Pourpre; Dofus Ocre; Dofus Émeraude; Dofus Nébuleux; Muldo Orchidée</t>
        </is>
      </c>
    </row>
    <row r="28605">
      <c r="A28605" t="inlineStr">
        <is>
          <t>rsthfhfghfgh</t>
        </is>
      </c>
      <c r="B28605">
        <f>HYPERLINK("https://www.dofusbook.net/fr/equipement/700451-rsthfhfghfgh/objets", "link")</f>
        <v/>
      </c>
      <c r="C28605" t="n">
        <v>1</v>
      </c>
      <c r="D28605" t="inlineStr">
        <is>
          <t>Baguette Range; Amulette du Strigide; Bracelet du Piloztère; Anneau de Padgref; Bouclier du Captain Amakna; Ceinture du Strigide; Coiffe de Padgref; Cape d'Atcham; Getas de Padgref; Dofus Turquoise; Dofus Nébuleux; Dofus Pourpre; Dofus Ocre; Dofus Émeraude; Dofus des Glaces; Muldo Turquoise et Orchidée</t>
        </is>
      </c>
    </row>
    <row r="28606">
      <c r="A28606" t="inlineStr">
        <is>
          <t>Jdjduudjd</t>
        </is>
      </c>
      <c r="B28606">
        <f>HYPERLINK("https://www.dofusbook.net/fr/equipement/601994-jdjduudjd/objets", "link")</f>
        <v/>
      </c>
      <c r="C28606" t="n">
        <v>0</v>
      </c>
      <c r="D28606" t="inlineStr">
        <is>
          <t>Manthache; Amibou; Alliance Gloursonne; Gant du Valet Veinard; Menoture; Capuche de Moum-Ra; Cape Indescriptible; Palmes Trithons</t>
        </is>
      </c>
    </row>
    <row r="28607">
      <c r="A28607" t="inlineStr">
        <is>
          <t>qrgrtgrsthtrhty</t>
        </is>
      </c>
      <c r="B28607">
        <f>HYPERLINK("https://www.dofusbook.net/fr/equipement/589130-qrgrtgrsthtrhty/objets", "link")</f>
        <v/>
      </c>
      <c r="C28607" t="n">
        <v>0</v>
      </c>
      <c r="D28607" t="inlineStr">
        <is>
          <t>Némès de Tal Kasha</t>
        </is>
      </c>
    </row>
    <row r="28608">
      <c r="A28608" t="inlineStr">
        <is>
          <t>Stuff 2</t>
        </is>
      </c>
      <c r="B28608">
        <f>HYPERLINK("https://www.dofusbook.net/fr/equipement/27422-stuff-2/objets", "link")</f>
        <v/>
      </c>
      <c r="C28608" t="n">
        <v>1</v>
      </c>
      <c r="D28608" t="inlineStr">
        <is>
          <t>Hachoirs de Viandargh; Amibou; Anneau Rifique; Alliance Gloursonne; Bouclier alvéolé; Menoture; Casque Cyclopéen; Cape Indescriptible; Baleinabottes; Dofus Émeraude; Carapace Terre majeur; Carapace Neutre majeur; Carapace Air majeur; Cascadeur majeur; Muldo Ebène</t>
        </is>
      </c>
    </row>
    <row r="28609">
      <c r="A28609" t="inlineStr">
        <is>
          <t>Stuff 3</t>
        </is>
      </c>
      <c r="B28609">
        <f>HYPERLINK("https://www.dofusbook.net/fr/equipement/27435-stuff-3/objets", "link")</f>
        <v/>
      </c>
      <c r="C28609" t="n">
        <v>0</v>
      </c>
      <c r="D28609" t="inlineStr">
        <is>
          <t>Dagues Érhy; Amulette du Cycloïde; Chevalière du Roi Joueur; Anneau Crustique; Ceinture de Gein; Couronne du Roi Joueur; Voile d'encre; Bottes Dogues; Dofus Ocre; Dofus Pourpre; Dofus Cawotte; Miraculé majeur; Remueur; Obstructeur majeur</t>
        </is>
      </c>
    </row>
    <row r="28610">
      <c r="A28610" t="inlineStr">
        <is>
          <t>Stuff 3</t>
        </is>
      </c>
      <c r="B28610">
        <f>HYPERLINK("https://www.dofusbook.net/fr/equipement/27423-stuff-3/objets", "link")</f>
        <v/>
      </c>
      <c r="C28610" t="n">
        <v>0</v>
      </c>
      <c r="D28610" t="inlineStr">
        <is>
          <t>Sabres d'Atcham; Amulette du Strigide; Anneau Cryochrone; Anneau de Padgref; Ceinture du Strigide; Coiffe de Padgref; Cape d'Atcham; Sandales  d'Atcham; Dofus des Glaces; Dofus Turquoise; Dolmanax; Dofus Pourpre; Dofus Émeraude; Dofus Ocre</t>
        </is>
      </c>
    </row>
    <row r="28611">
      <c r="A28611" t="inlineStr">
        <is>
          <t>Stuff 1</t>
        </is>
      </c>
      <c r="B28611">
        <f>HYPERLINK("https://www.dofusbook.net/fr/equipement/27418-stuff-1/objets", "link")</f>
        <v/>
      </c>
      <c r="C28611" t="n">
        <v>0</v>
      </c>
      <c r="D28611" t="inlineStr">
        <is>
          <t>Pelle de la Cour Sombre; Amibou; Alliance Gloursonne; Anneau Rifique; Menoture; Casque Cyclopéen; Cape Indescriptible; Baleinabottes; Carapace Terre majeur; Carapace Neutre majeur; Carapace Eau majeur; Carapace Feu majeur; Carapace Air majeur; Cascadeur majeur</t>
        </is>
      </c>
    </row>
    <row r="28612">
      <c r="A28612" t="inlineStr">
        <is>
          <t>Stuff 3</t>
        </is>
      </c>
      <c r="B28612">
        <f>HYPERLINK("https://www.dofusbook.net/fr/equipement/27420-stuff-3/objets", "link")</f>
        <v/>
      </c>
      <c r="C28612" t="n">
        <v>0</v>
      </c>
      <c r="D28612" t="inlineStr">
        <is>
          <t>Pelle de la Cour Sombre; Pendentif mignon de Koutoulou; Anneau Rifique; Alliance Gloursonne; Menoture; Capuche de Moum-Ra; Cape Indescriptible; Baleinabottes; Carapace Air majeur; Carapace Terre majeur; Carapace Eau majeur; Carapace Neutre majeur; Cascadeur majeur; Carapace Feu majeur</t>
        </is>
      </c>
    </row>
    <row r="28613">
      <c r="A28613" t="inlineStr">
        <is>
          <t>Stuff 2</t>
        </is>
      </c>
      <c r="B28613">
        <f>HYPERLINK("https://www.dofusbook.net/fr/equipement/27410-stuff-2/objets", "link")</f>
        <v/>
      </c>
      <c r="C28613" t="n">
        <v>0</v>
      </c>
      <c r="D28613" t="inlineStr">
        <is>
          <t>Hache Ériphe; Amulette du Kamasterisk; Bracelet du Piloztère; Anneau des égarés; Jadis; Ceinture de la Reine des Voleurs; Coiffe de la Reine des Voleurs; Cape du Kamasterisk; Bottes du Kamasterisk; Dofus des Glaces; Dofus Émeraude; Dofus Ocre; Dofus Pourpre; Dolmanax; Dofus Turquoise; Muldo Turquoise et Indigo</t>
        </is>
      </c>
    </row>
    <row r="28614">
      <c r="A28614" t="inlineStr">
        <is>
          <t>Stuff 1</t>
        </is>
      </c>
      <c r="B28614">
        <f>HYPERLINK("https://www.dofusbook.net/fr/equipement/27425-stuff-1/objets", "link")</f>
        <v/>
      </c>
      <c r="C28614" t="n">
        <v>1</v>
      </c>
      <c r="D28614" t="inlineStr">
        <is>
          <t>Arc du Chalœil; Collier de Tourthon; Chevalière du Roi Joueur; Bracelet du Piloztère; Ceinture de la Reine des Voleurs; Couronne du Roi Joueur; Cape au Logis; Baleinabottes; Dofus Pourpre; Remueur; Carapace Neutre majeur; Vigoureux majeur; Temporiseur majeur; Enragé majeur</t>
        </is>
      </c>
    </row>
    <row r="28615">
      <c r="A28615" t="inlineStr">
        <is>
          <t>Stuff 2</t>
        </is>
      </c>
      <c r="B28615">
        <f>HYPERLINK("https://www.dofusbook.net/fr/equipement/27419-stuff-2/objets", "link")</f>
        <v/>
      </c>
      <c r="C28615" t="n">
        <v>0</v>
      </c>
      <c r="D28615" t="inlineStr">
        <is>
          <t>Pelle de la Cour Sombre; Amibou; Gant du Valet Veinard; Alliance Gloursonne; Menoture; Dorabysses; Chevelure de Tal Kasha; Sandales de Tal Kasha; Carapace Neutre; Carapace Eau majeur; Carapace Neutre majeur; Carapace Air majeur; Carapace Feu majeur; Remueur</t>
        </is>
      </c>
    </row>
    <row r="28616">
      <c r="A28616" t="inlineStr">
        <is>
          <t>Stuff 1</t>
        </is>
      </c>
      <c r="B28616">
        <f>HYPERLINK("https://www.dofusbook.net/fr/equipement/27431-stuff-1/objets", "link")</f>
        <v/>
      </c>
      <c r="C28616" t="n">
        <v>0</v>
      </c>
      <c r="D28616" t="inlineStr">
        <is>
          <t>Pelle de la Cour Sombre; Amibou; Alliance Gloursonne; Anneau Rifique; Menoture; Casque Cyclopéen; Cape Indescriptible; Baleinabottes; Dofus Émeraude; Carapace Air majeur; Carapace Terre majeur; Carapace Neutre majeur; Carapace Eau majeur; Carapace Feu majeur</t>
        </is>
      </c>
    </row>
    <row r="28617">
      <c r="A28617" t="inlineStr">
        <is>
          <t>Stuff 3</t>
        </is>
      </c>
      <c r="B28617">
        <f>HYPERLINK("https://www.dofusbook.net/fr/equipement/27435-stuff-3/objets", "link")</f>
        <v/>
      </c>
      <c r="C28617" t="n">
        <v>0</v>
      </c>
      <c r="D28617" t="inlineStr">
        <is>
          <t>Dagues Érhy; Amulette du Cycloïde; Chevalière du Roi Joueur; Anneau Crustique; Ceinture de Gein; Couronne du Roi Joueur; Voile d'encre; Bottes Dogues; Dofus Ocre; Dofus Pourpre; Dofus Cawotte; Miraculé majeur; Remueur; Obstructeur majeur</t>
        </is>
      </c>
    </row>
    <row r="28618">
      <c r="A28618" t="inlineStr">
        <is>
          <t>Stuff 3</t>
        </is>
      </c>
      <c r="B28618">
        <f>HYPERLINK("https://www.dofusbook.net/fr/equipement/27423-stuff-3/objets", "link")</f>
        <v/>
      </c>
      <c r="C28618" t="n">
        <v>0</v>
      </c>
      <c r="D28618" t="inlineStr">
        <is>
          <t>Sabres d'Atcham; Amulette du Strigide; Anneau de Padgref; Anneau Cryochrone; Ceinture du Strigide; Coiffe de Padgref; Cape d'Atcham; Sandales  d'Atcham; Dolmanax; Dofus Pourpre; Dofus Émeraude; Dofus Ocre; Dofus des Glaces; Dofus Turquoise</t>
        </is>
      </c>
    </row>
    <row r="28619">
      <c r="A28619" t="inlineStr">
        <is>
          <t>Stuff 1</t>
        </is>
      </c>
      <c r="B28619">
        <f>HYPERLINK("https://www.dofusbook.net/fr/equipement/27418-stuff-1/objets", "link")</f>
        <v/>
      </c>
      <c r="C28619" t="n">
        <v>0</v>
      </c>
      <c r="D28619" t="inlineStr">
        <is>
          <t>Pelle de la Cour Sombre; Amibou; Anneau Rifique; Alliance Gloursonne; Menoture; Casque Cyclopéen; Cape Indescriptible; Baleinabottes; Carapace Eau majeur; Carapace Feu majeur; Carapace Air majeur; Cascadeur majeur; Carapace Terre majeur; Carapace Neutre majeur</t>
        </is>
      </c>
    </row>
    <row r="28620">
      <c r="A28620" t="inlineStr">
        <is>
          <t>Ecaflip M 200</t>
        </is>
      </c>
      <c r="B28620">
        <f>HYPERLINK("https://www.dofusbook.net/fr/equipement/5776261-ecaflip-m-200/objets", "link")</f>
        <v/>
      </c>
      <c r="C28620" t="n">
        <v>0</v>
      </c>
      <c r="D28620" t="inlineStr"/>
    </row>
    <row r="28621">
      <c r="A28621" t="inlineStr">
        <is>
          <t>Stuff pour Ayu</t>
        </is>
      </c>
      <c r="B28621">
        <f>HYPERLINK("https://www.dofusbook.net/fr/equipement/2586741-stuff-pour-ayu/objets", "link")</f>
        <v/>
      </c>
      <c r="C28621" t="n">
        <v>0</v>
      </c>
      <c r="D28621" t="inlineStr">
        <is>
          <t>Epée du Dragoeuf; Cacture; Cascterre; Capterre</t>
        </is>
      </c>
    </row>
    <row r="28622">
      <c r="A28622" t="inlineStr">
        <is>
          <t>Stuff 1</t>
        </is>
      </c>
      <c r="B28622">
        <f>HYPERLINK("https://www.dofusbook.net/fr/equipement/2438085-stuff-1/objets", "link")</f>
        <v/>
      </c>
      <c r="C28622" t="n">
        <v>0</v>
      </c>
      <c r="D28622" t="inlineStr">
        <is>
          <t>Marteau R'ture; Amulette de Nevark; Anneau Crustique; Anneau de Brouce; Ceinture de Nevark; Masque de Koutoulou; Voilamibe; Bottes de l'Indicible; Dofus Ocre; Dévastateur Terre majeur; Temporiseur majeur; Enragé majeur; Kompost</t>
        </is>
      </c>
    </row>
    <row r="28623">
      <c r="A28623" t="inlineStr">
        <is>
          <t>Stuff 2</t>
        </is>
      </c>
      <c r="B28623">
        <f>HYPERLINK("https://www.dofusbook.net/fr/equipement/2438080-stuff-2/objets", "link")</f>
        <v/>
      </c>
      <c r="C28623" t="n">
        <v>0</v>
      </c>
      <c r="D28623" t="inlineStr">
        <is>
          <t>Marteau des Anciens Steamers; ; Alliance Gloursonne; Bracelet du Piloztère; Ceinture du Barbétoal; Masque du Barbétoal; Cape du Barbétoal; Bottes de la Reine des Voleurs; Dofus Ocre; Dofus Émeraude; Dofus des Glaces; Dofus Turquoise; Dofus Cawotte; Dofus Pourpre; Dragodinde en armure</t>
        </is>
      </c>
    </row>
    <row r="28624">
      <c r="A28624" t="inlineStr">
        <is>
          <t>Stuff 1</t>
        </is>
      </c>
      <c r="B28624">
        <f>HYPERLINK("https://www.dofusbook.net/fr/equipement/2438082-stuff-1/objets", "link")</f>
        <v/>
      </c>
      <c r="C28624" t="n">
        <v>0</v>
      </c>
      <c r="D28624" t="inlineStr">
        <is>
          <t>Hache Ériphe; Amulette du Strigide; Anneau de la Fuji Givrefoux; Anneau des égarés; Ceinture du Strigide; Casque des égarés; Cape de la Fuji Givrefoux; Bottes des égarés; Dofus des Glaces; Dofus Ocre; Dofus Turquoise; Dofus Pourpre; Dofus Émeraude; Robuste majeur; Homlett</t>
        </is>
      </c>
    </row>
    <row r="28625">
      <c r="A28625" t="inlineStr">
        <is>
          <t>Stuff 2</t>
        </is>
      </c>
      <c r="B28625">
        <f>HYPERLINK("https://www.dofusbook.net/fr/equipement/2438080-stuff-2/objets", "link")</f>
        <v/>
      </c>
      <c r="C28625" t="n">
        <v>0</v>
      </c>
      <c r="D28625" t="inlineStr">
        <is>
          <t>Marteau des Anciens Steamers; ; Alliance Gloursonne; Bracelet du Piloztère; Ceinture du Barbétoal; Masque du Barbétoal; Cape du Barbétoal; Bottes de la Reine des Voleurs; Dofus Ocre; Dofus Émeraude; Dofus des Glaces; Dofus Turquoise; Dofus Cawotte; Dofus Pourpre; Dragodinde en armure</t>
        </is>
      </c>
    </row>
    <row r="28626">
      <c r="A28626" t="inlineStr">
        <is>
          <t>Stuff 1</t>
        </is>
      </c>
      <c r="B28626">
        <f>HYPERLINK("https://www.dofusbook.net/fr/equipement/2438082-stuff-1/objets", "link")</f>
        <v/>
      </c>
      <c r="C28626" t="n">
        <v>0</v>
      </c>
      <c r="D28626" t="inlineStr">
        <is>
          <t>Hache Ériphe; Amulette du Strigide; Anneau des égarés; Anneau de la Fuji Givrefoux; Ceinture du Strigide; Casque des égarés; Cape de la Fuji Givrefoux; Bottes des égarés; Dofus Turquoise; Dofus Pourpre; Dofus Émeraude; Dofus des Glaces; Dofus Ocre; Robuste majeur; Homlett</t>
        </is>
      </c>
    </row>
    <row r="28627">
      <c r="A28627" t="inlineStr">
        <is>
          <t>Stuff 2</t>
        </is>
      </c>
      <c r="B28627">
        <f>HYPERLINK("https://www.dofusbook.net/fr/equipement/2438077-stuff-2/objets", "link")</f>
        <v/>
      </c>
      <c r="C28627" t="n">
        <v>0</v>
      </c>
      <c r="D28627" t="inlineStr">
        <is>
          <t>Marteau des Anciens Steamers; Amulette d'Hel Munster; Alliance Gloursonne; Anneau du Professeur Xa; Ceinture Rasboulaire du Rasboul; Coiffe d'Hel Munster; Cape d'Hel Munster; Sabots Minables; Dragodinde Emeraude et Rousse</t>
        </is>
      </c>
    </row>
    <row r="28628">
      <c r="A28628" t="inlineStr">
        <is>
          <t>Stuff 1</t>
        </is>
      </c>
      <c r="B28628">
        <f>HYPERLINK("https://www.dofusbook.net/fr/equipement/2438084-stuff-1/objets", "link")</f>
        <v/>
      </c>
      <c r="C28628" t="n">
        <v>4</v>
      </c>
      <c r="D28628" t="inlineStr">
        <is>
          <t>Rapière aux Glyphes; Amulette du Sinistrofu; Alliance de Missiz Frizz; Bracelet du Piloztère; Sangle Ouare; Casque de Missiz Frizz; Cape du Sinistrofu; Bottes du Sinistrofu; Dofus Ocre; Dofus Turquoise; Dofus Cawotte; Dofus des Glaces; Joueur majeur; Dragodinde Prune et Ivoire</t>
        </is>
      </c>
    </row>
    <row r="28629">
      <c r="A28629" t="inlineStr">
        <is>
          <t>Stuff 1</t>
        </is>
      </c>
      <c r="B28629">
        <f>HYPERLINK("https://www.dofusbook.net/fr/equipement/2438079-stuff-1/objets", "link")</f>
        <v/>
      </c>
      <c r="C28629" t="n">
        <v>0</v>
      </c>
      <c r="D28629" t="inlineStr"/>
    </row>
    <row r="28630">
      <c r="A28630" t="inlineStr">
        <is>
          <t>Stuff 3</t>
        </is>
      </c>
      <c r="B28630">
        <f>HYPERLINK("https://www.dofusbook.net/fr/equipement/2438081-stuff-3/objets", "link")</f>
        <v/>
      </c>
      <c r="C28630" t="n">
        <v>0</v>
      </c>
      <c r="D28630" t="inlineStr">
        <is>
          <t>Canne Harr; Amulette de Pol Ouatnos; Bague Gloursonne; Alliance Gloursonne; Ceinture de Vortex; Cagoule de Vortex; Cape Hiculteur; Sabots de Vortex; Dofus Pourpre; Dofus des Glaces; Dofus Ocre; Dofus Cawotte; Dolmanax; Savant majeur; Dragodinde en armure</t>
        </is>
      </c>
    </row>
    <row r="28631">
      <c r="A28631" t="inlineStr">
        <is>
          <t>Stuff 1</t>
        </is>
      </c>
      <c r="B28631">
        <f>HYPERLINK("https://www.dofusbook.net/fr/equipement/2438076-stuff-1/objets", "link")</f>
        <v/>
      </c>
      <c r="C28631" t="n">
        <v>1</v>
      </c>
      <c r="D28631" t="inlineStr">
        <is>
          <t>Rapière aux Glyphes; Pendentif Oton; Anneau du Professeur Xa; Alliance Gloursonne; Ceinture Glaciale; Binocle Airvoyant; Cape Matelassée; Sandales Circulaires du Kimbo; Dofus Cawotte; Évasif majeur; Remueur; Chanceux majeur; Miraculé majeur; Nomade; Kwaltess</t>
        </is>
      </c>
    </row>
    <row r="28632">
      <c r="A28632" t="inlineStr">
        <is>
          <t>opti pvm</t>
        </is>
      </c>
      <c r="B28632">
        <f>HYPERLINK("https://www.dofusbook.net/fr/equipement/5714845-opti-pvm/objets", "link")</f>
        <v/>
      </c>
      <c r="C28632" t="n">
        <v>1</v>
      </c>
      <c r="D28632" t="inlineStr">
        <is>
          <t>Arc Volkorne; Amulette Volkorne; Anneau Volkorne; Anneau de Padgref; Quatre-feuilles; Ceinture du Strigide; Coiffe de Padgref; Chevelure de Tal Kasha; Getas de Padgref; Dofus Turquoise; Dofus Ébène; Dolmanax; Dofus des Glaces; Dofus Pourpre; Dofus Ocre; Sakochère</t>
        </is>
      </c>
    </row>
    <row r="28633">
      <c r="A28633" t="inlineStr">
        <is>
          <t>Anihilis</t>
        </is>
      </c>
      <c r="B28633">
        <f>HYPERLINK("https://www.dofusbook.net/fr/equipement/5437023-anihilis/objets", "link")</f>
        <v/>
      </c>
      <c r="C28633" t="n">
        <v>1</v>
      </c>
      <c r="D28633" t="inlineStr">
        <is>
          <t>Arc du Chalœil; Collier de Tourthon; Anneau du Comte Harebourg; Anneau de Brouce; Quatre-feuilles; Ceinture Volkorne; Masque de Koutoulou; Cape du Cœur Saignant; Bottes de Brouce; Dofus Turquoise; Dofus Pourpre; Enragé majeur; Remueur; Vigoureux majeur; Nomade; Bulbisou</t>
        </is>
      </c>
    </row>
    <row r="28634">
      <c r="A28634" t="inlineStr">
        <is>
          <t>Pandaccro</t>
        </is>
      </c>
      <c r="B28634">
        <f>HYPERLINK("https://www.dofusbook.net/fr/equipement/5436749-pandaccro/objets", "link")</f>
        <v/>
      </c>
      <c r="C28634" t="n">
        <v>9</v>
      </c>
      <c r="D28634" t="inlineStr">
        <is>
          <t>Manthache; Collier du Valet Veinard; Alliance Gloursonne; Gant du Valet Veinard; Bouclier du Stalak; Menoture; Couronne d'Allister; Cape Martegel; Palmes Trithons; Dofus Pourpre; Cascadeur majeur; Miraculé majeur; Nomade; Fonceur majeur; Remueur; Siroko</t>
        </is>
      </c>
    </row>
    <row r="28635">
      <c r="A28635" t="inlineStr">
        <is>
          <t>Exihilis</t>
        </is>
      </c>
      <c r="B28635">
        <f>HYPERLINK("https://www.dofusbook.net/fr/equipement/5436966-exihilis/objets", "link")</f>
        <v/>
      </c>
      <c r="C28635" t="n">
        <v>1</v>
      </c>
      <c r="D28635" t="inlineStr">
        <is>
          <t>Baguette Hique; Collier de la Dame du Hasard; Anneau Tamie; Anneau Tamie; Bouclier cubiste; Ceinture du Glourséleste; Capuche de l'Œil Putride; Cape de la Dame du Hasard; Pataugastrique; Miraculé majeur; Chanceux majeur; Érudit majeur; Nomade; Temporiseur majeur; Remueur; Léopardo</t>
        </is>
      </c>
    </row>
    <row r="28636">
      <c r="A28636" t="inlineStr">
        <is>
          <t>Iop Feu</t>
        </is>
      </c>
      <c r="B28636">
        <f>HYPERLINK("https://www.dofusbook.net/fr/equipement/5591112-iop-feu/objets", "link")</f>
        <v/>
      </c>
      <c r="C28636" t="n">
        <v>5</v>
      </c>
      <c r="D28636" t="inlineStr">
        <is>
          <t>Lav'Hache; Torquistik; Bague Trithon; Anneau Chevelu; Bouclier précieux; Ceinture Gence; Masque de Koutoulou; Cape au Logis; Bottistik; Dofus Abyssal; Dofus Ivoire; Enragé majeur; Bousculeur majeur; Carapace Terre majeur; Culbuteur majeur; Black Tiwabbit</t>
        </is>
      </c>
    </row>
    <row r="28637">
      <c r="A28637" t="inlineStr">
        <is>
          <t>Feca</t>
        </is>
      </c>
      <c r="B28637">
        <f>HYPERLINK("https://www.dofusbook.net/fr/equipement/5508370-feca-/objets", "link")</f>
        <v/>
      </c>
      <c r="C28637" t="n">
        <v>6</v>
      </c>
      <c r="D28637" t="inlineStr">
        <is>
          <t>Arc corrompu; Amulette Volkorne; Anneauræus; Anneau de Nidas; Bouclier du Stalak; Croture; Couronne de Nidas; Cape de Diondin; Bottes Innommables; Dofus Ivoire; Dofus Ocre; Dofus Pourpre; Temporiseur majeur; Érudit majeur; Nomade; Bisouglours</t>
        </is>
      </c>
    </row>
    <row r="28638">
      <c r="A28638" t="inlineStr">
        <is>
          <t>Sadida F 195</t>
        </is>
      </c>
      <c r="B28638">
        <f>HYPERLINK("https://www.dofusbook.net/fr/equipement/5757571-sadida-f-195/objets", "link")</f>
        <v/>
      </c>
      <c r="C28638" t="n">
        <v>1</v>
      </c>
      <c r="D28638" t="inlineStr">
        <is>
          <t>Arc corrompu; Pendentif affamé; Anneau Toriété; Anneauræus; Bouclier du Stalak; Ceinture Séculaire; Casque Dragoeuf; Cape de Diondin; Bottes Innommables; Dofus Ébène; Dofus Pourpre; Remueur; Vigoureux majeur; Érudit majeur; Carapace Feu majeur; Bisouglours</t>
        </is>
      </c>
    </row>
    <row r="28639">
      <c r="A28639" t="inlineStr">
        <is>
          <t>Boubibou</t>
        </is>
      </c>
      <c r="B28639">
        <f>HYPERLINK("https://www.dofusbook.net/fr/equipement/4655872-boubibou/objets", "link")</f>
        <v/>
      </c>
      <c r="C28639" t="n">
        <v>27</v>
      </c>
      <c r="D28639" t="inlineStr">
        <is>
          <t>Arc Volkorne; Amulette Volkorne; Bague Trithon; Anneau Volkorne; Quatre-feuilles; Ceinture Volkorne; Masque Trithon; Cape du Chalœil; Bottes Trithon; Dofus Ébène; Dofus Ocre; Dofus Turquoise; Dofus des Glaces; Dofus Nébuleux; Dofus Pourpre; Kokulte</t>
        </is>
      </c>
    </row>
    <row r="28640">
      <c r="A28640" t="inlineStr">
        <is>
          <t>Steamer</t>
        </is>
      </c>
      <c r="B28640">
        <f>HYPERLINK("https://www.dofusbook.net/fr/equipement/5615947-steamer/objets", "link")</f>
        <v/>
      </c>
      <c r="C28640" t="n">
        <v>17</v>
      </c>
      <c r="D28640" t="inlineStr">
        <is>
          <t>Dagues d'Ilyzaelle; Amulette du Strigide; Anneau Chevelu; Bague Trithon; Cadran d'Eau; Ceinture du Strigide; Masque Trithon; Cape au Logis; Bottes Trithon; Dofus Abyssal; Dofus Ivoire; Dofus Pourpre; Dofus Ocre; Dofus des Glaces; Dofus Turquoise; Kokulte</t>
        </is>
      </c>
    </row>
    <row r="28641">
      <c r="A28641" t="inlineStr">
        <is>
          <t>Zobal M 200</t>
        </is>
      </c>
      <c r="B28641">
        <f>HYPERLINK("https://www.dofusbook.net/fr/equipement/5622721-zobal-m-200/objets", "link")</f>
        <v/>
      </c>
      <c r="C28641" t="n">
        <v>0</v>
      </c>
      <c r="D28641" t="inlineStr">
        <is>
          <t>Dagues Ricol; Amulette du Strigide; Anneau Chevelu; Bague Trithon; Cadran d'Eau; Ceinture du Strigide; Masque Trithon; Cape au Logis; Bottes Trithon; Dofus des Glaces; Dofus Turquoise; Dofus Abyssal; Dofus Ivoire; Dofus Pourpre; Dofus Ocre; Kokulte</t>
        </is>
      </c>
    </row>
    <row r="28642">
      <c r="A28642" t="inlineStr">
        <is>
          <t>Bouillabesse</t>
        </is>
      </c>
      <c r="B28642">
        <f>HYPERLINK("https://www.dofusbook.net/fr/equipement/5435744-bouillabesse/objets", "link")</f>
        <v/>
      </c>
      <c r="C28642" t="n">
        <v>0</v>
      </c>
      <c r="D28642" t="inlineStr">
        <is>
          <t>Arc du Chalœil; Amulette de Gein; Anneau Chevelu; Bracelet du Piloztère; Bouclier du Stalak; Ceinture Volkorne; Masque de Koutoulou; Cape au Logis; Bottes de la Cour Sombre; Dofus Ivoire; Dofus Ocre; Dofus Pourpre; Dofus Abyssal; Enragé majeur; Vigoureux majeur; Bulbisou</t>
        </is>
      </c>
    </row>
    <row r="28643">
      <c r="A28643" t="inlineStr">
        <is>
          <t>Steamer</t>
        </is>
      </c>
      <c r="B28643">
        <f>HYPERLINK("https://www.dofusbook.net/fr/equipement/5568516-steamer/objets", "link")</f>
        <v/>
      </c>
      <c r="C28643" t="n">
        <v>0</v>
      </c>
      <c r="D28643" t="inlineStr">
        <is>
          <t>Karnak; Collier du Valet Veinard; Gant du Valet Veinard; Alliance Gloursonne; Bouclier du Stalak; Menoture; Casque Dragoeuf; Cape Indescriptible; Palmes Trithons; Dofus Abyssal; Dofus Ocre; Dofus Ivoire; Dofus Pourpre; Cascadeur majeur; Blérodoudou</t>
        </is>
      </c>
    </row>
    <row r="28644">
      <c r="A28644" t="inlineStr">
        <is>
          <t>Feu</t>
        </is>
      </c>
      <c r="B28644">
        <f>HYPERLINK("https://www.dofusbook.net/fr/equipement/3906269-feu/objets", "link")</f>
        <v/>
      </c>
      <c r="C28644" t="n">
        <v>0</v>
      </c>
      <c r="D28644" t="inlineStr">
        <is>
          <t>Arc corrompu; Amulette de l'Œil Putride; Anneau Tique; Bague Gloursonne; Sept ans de malheur; Ceinture de Vortex; Cagoule de Vortex; Cape d'Atcham; Pataugastrique; Dofus Turquoise; Dofus Pourpre; Remueur; Vigoureux majeur; Nomade; Érudit majeur; Koalak Sanguin</t>
        </is>
      </c>
    </row>
    <row r="28645">
      <c r="A28645" t="inlineStr">
        <is>
          <t>Terre</t>
        </is>
      </c>
      <c r="B28645">
        <f>HYPERLINK("https://www.dofusbook.net/fr/equipement/3906138-terre/objets", "link")</f>
        <v/>
      </c>
      <c r="C28645" t="n">
        <v>0</v>
      </c>
      <c r="D28645" t="inlineStr">
        <is>
          <t>Dagues d'Ilyzaelle; Amulette du Cœur Saignant; Anneau Crustique; Chevalière du Roi Joueur; Bouclier cubiste; Ceintacé; Masque de Koutoulou; Cape au Logis; Bottes du Cœur Saignant; Dofus Pourpre; Dofus Turquoise; Remueur; Enragé majeur; Nomade; Vigoureux majeur; Léopardo</t>
        </is>
      </c>
    </row>
    <row r="28646">
      <c r="A28646" t="inlineStr">
        <is>
          <t>Terre Air Eau</t>
        </is>
      </c>
      <c r="B28646">
        <f>HYPERLINK("https://www.dofusbook.net/fr/equipement/3209809-terre-air-eau/objets", "link")</f>
        <v/>
      </c>
      <c r="C28646" t="n">
        <v>2</v>
      </c>
      <c r="D28646" t="inlineStr">
        <is>
          <t>Dague Hirr; Amulette du Strigide; Alliance Gloursonne; Pikano; Quatre-feuilles; Ceinture du Strigide; Kidibonnet; Cape au Logis; Baleinabottes; Enragé majeur; Vigoureux majeur; Miraculé majeur; Cascadeur majeur; Remueur; Chanceux majeur; Muldo Doré et Emeraude</t>
        </is>
      </c>
    </row>
    <row r="28647">
      <c r="A28647" t="inlineStr">
        <is>
          <t>Terre Retrait PA 200</t>
        </is>
      </c>
      <c r="B28647">
        <f>HYPERLINK("https://www.dofusbook.net/fr/equipement/3897837-terre-retrait-pa-200/objets", "link")</f>
        <v/>
      </c>
      <c r="C28647" t="n">
        <v>1</v>
      </c>
      <c r="D28647" t="inlineStr">
        <is>
          <t>Lav'Hache; Amulette du Strigide; Anneau Crustique; Bague Gloursonne; Sept ans de malheur; Ceintouse; Masque de Koutoulou; Cape au Logis; Tentassons; Dofus Abyssal; Dofus Ivoire; Dofus Ocre; Enragé majeur; Vigoureux majeur; Observateur; Koalak Sanguin</t>
        </is>
      </c>
    </row>
    <row r="28648">
      <c r="A28648" t="inlineStr">
        <is>
          <t>Feu Air Do Crit 200</t>
        </is>
      </c>
      <c r="B28648">
        <f>HYPERLINK("https://www.dofusbook.net/fr/equipement/3894852-feu-air-do-crit-200/objets", "link")</f>
        <v/>
      </c>
      <c r="C28648" t="n">
        <v>0</v>
      </c>
      <c r="D28648" t="inlineStr">
        <is>
          <t>Lance Horselé; Amulette du Strigide; Alliance Gloursonne; Anneau Tique; Sept ans de malheur; Menoture; Coiffe de Padgref; Cape d'Atcham; Sandales  d'Atcham; Dofus Pourpre; Dofus Turquoise; Dofus des Glaces; Nomade; Vigoureux majeur; Remueur; Dragodinde Ivoire et Orchidée</t>
        </is>
      </c>
    </row>
    <row r="28649">
      <c r="A28649" t="inlineStr">
        <is>
          <t>Zobal M 200</t>
        </is>
      </c>
      <c r="B28649">
        <f>HYPERLINK("https://www.dofusbook.net/fr/equipement/3877483-zobal-m-200/objets", "link")</f>
        <v/>
      </c>
      <c r="C28649" t="n">
        <v>0</v>
      </c>
      <c r="D28649" t="inlineStr">
        <is>
          <t>Sceptre du Roi Joueur; Amulette du Strigide; Bague Trithon; Alliance Gloursonne; Bouclier précieux; Sangle Ouare; Kidibonnet; Cape des Malveilleurs; Bottes Trithon; Dofus Turquoise; Nomade; Vigoureux majeur; Culbuteur majeur; Remueur; Chanceux majeur; Écumouth</t>
        </is>
      </c>
    </row>
    <row r="28650">
      <c r="A28650" t="inlineStr">
        <is>
          <t>Air Terre Feu 200</t>
        </is>
      </c>
      <c r="B28650">
        <f>HYPERLINK("https://www.dofusbook.net/fr/equipement/3841863-air-terre-feu-200/objets", "link")</f>
        <v/>
      </c>
      <c r="C28650" t="n">
        <v>0</v>
      </c>
      <c r="D28650" t="inlineStr">
        <is>
          <t>Dague Hirr; Amulette du Strigide; Bracelet du Piloztère; Bague Gloursonne; Bouclier du Captain Amakna; Ceinture du Strigide; Masque Brûlâme; Cape du Chalœil; Baleinabottes; Cascadeur majeur; Vigoureux majeur; Remueur; Érudit majeur; Nomade; Enragé majeur; Bwak de Feu</t>
        </is>
      </c>
    </row>
    <row r="28651">
      <c r="A28651" t="inlineStr">
        <is>
          <t>Eliotrope F 200</t>
        </is>
      </c>
      <c r="B28651">
        <f>HYPERLINK("https://www.dofusbook.net/fr/equipement/3847550-eliotrope-f-200/objets", "link")</f>
        <v/>
      </c>
      <c r="C28651" t="n">
        <v>0</v>
      </c>
      <c r="D28651" t="inlineStr">
        <is>
          <t>Arc corrompu; Amulette Séculaire; Anneauræus; Chevalière du Roi Joueur; Quatre-feuilles; Ceinture Séculaire; Coiffe Séculaire; Cape de Diondin; Pataugastrique; Dofus Pourpre; Dofus Émeraude; Dofus Turquoise; Dolmanax; Dofus Abyssal; Savant majeur; Muldo Prune et Emeraude</t>
        </is>
      </c>
    </row>
    <row r="28652">
      <c r="A28652" t="inlineStr">
        <is>
          <t>Eliotrope F 200</t>
        </is>
      </c>
      <c r="B28652">
        <f>HYPERLINK("https://www.dofusbook.net/fr/equipement/3847325-eliotrope-f-200/objets", "link")</f>
        <v/>
      </c>
      <c r="C28652" t="n">
        <v>0</v>
      </c>
      <c r="D28652" t="inlineStr">
        <is>
          <t>Arc corrompu; Amulette Séculaire; Bague Gloursonne; Anneau Tique; Quatre-feuilles; Ceinture Séculaire; Heaume Oplate; Cape de la Dame du Hasard; Pataugastrique; Dofus Pourpre; Remueur; Dévastateur Feu majeur; Nomade; Vigoureux majeur; Érudit majeur; Muldo Orchidée et Pourpre</t>
        </is>
      </c>
    </row>
    <row r="28653">
      <c r="A28653" t="inlineStr">
        <is>
          <t>Air/Terre DoCrit 200</t>
        </is>
      </c>
      <c r="B28653">
        <f>HYPERLINK("https://www.dofusbook.net/fr/equipement/1555181-air-terre-docrit-200/objets", "link")</f>
        <v/>
      </c>
      <c r="C28653" t="n">
        <v>0</v>
      </c>
      <c r="D28653" t="inlineStr">
        <is>
          <t>Dague Hirr; Amulette du Strigide; Alliance Gloursonne; Anneau Vicieux; Bouclier du Captain Amakna; Ceinture du Strigide; Chapoulpe; Cape Indescriptible; Baleinabottes; Dévastateur Terre majeur; Cascadeur majeur; Nomade; Vigoureux majeur; Remueur; Enragé majeur; Muldo Prune et Emeraude</t>
        </is>
      </c>
    </row>
    <row r="28654">
      <c r="A28654" t="inlineStr">
        <is>
          <t>Feu Air Do Crit 200</t>
        </is>
      </c>
      <c r="B28654">
        <f>HYPERLINK("https://www.dofusbook.net/fr/equipement/3812015-feu-air-do-crit-200/objets", "link")</f>
        <v/>
      </c>
      <c r="C28654" t="n">
        <v>0</v>
      </c>
      <c r="D28654" t="inlineStr">
        <is>
          <t>Hachoirs de Viandargh; Amulette de l'Œil Putride; Anneau de Padgref; Alliance Gloursonne; Bouclier du Captain Amakna; Ceinture Séculaire; Coiffe Séculaire; Cape des Justiciers; Bottes Trithon; Miraculé majeur; Vigoureux majeur; Carapace Neutre majeur; Cascadeur majeur; Remueur; Érudit majeur; Muldo Prune et Orchidée</t>
        </is>
      </c>
    </row>
    <row r="28655">
      <c r="A28655" t="inlineStr">
        <is>
          <t>Feu Air Do Crit</t>
        </is>
      </c>
      <c r="B28655">
        <f>HYPERLINK("https://www.dofusbook.net/fr/equipement/3797822-feu-air-do-crit/objets", "link")</f>
        <v/>
      </c>
      <c r="C28655" t="n">
        <v>0</v>
      </c>
      <c r="D28655" t="inlineStr">
        <is>
          <t>Hachoirs de Viandargh; Amulette du Strigide; Anneau Rifique; Anneau Tique; Bouclier du Captain Amakna; Ceintacé; Coiffe de Padgref; Cape des Malveilleurs; Getas de Padgref; Remueur; Érudit majeur; Nomade; Vigoureux majeur; Miraculé majeur; Cascadeur majeur; Muldo Roux et Orchidée</t>
        </is>
      </c>
    </row>
    <row r="28656">
      <c r="A28656" t="inlineStr">
        <is>
          <t>Air 200</t>
        </is>
      </c>
      <c r="B28656">
        <f>HYPERLINK("https://www.dofusbook.net/fr/equipement/3788831-air-200/objets", "link")</f>
        <v/>
      </c>
      <c r="C28656" t="n">
        <v>0</v>
      </c>
      <c r="D28656" t="inlineStr">
        <is>
          <t>Hachoirs de Viandargh; Amulette du Granduk; Alliance Gloursonne; Anneau de Padgref; Bouclier du Captain Amakna; Menoture; Chapibou; Capibou; Baleinabottes; Remueur; Miraculé majeur; Nomade; Vigoureux majeur; Culbuteur majeur; Cascadeur majeur; Muldo Prune et Emeraude</t>
        </is>
      </c>
    </row>
    <row r="28657">
      <c r="A28657" t="inlineStr">
        <is>
          <t>Multi</t>
        </is>
      </c>
      <c r="B28657">
        <f>HYPERLINK("https://www.dofusbook.net/fr/equipement/3747073-multi/objets", "link")</f>
        <v/>
      </c>
      <c r="C28657" t="n">
        <v>0</v>
      </c>
      <c r="D28657" t="inlineStr">
        <is>
          <t>Sabres d'Atcham; Amulette du Strigide; Bracelet du Piloztère; Alliance Gloursonne; Quatre-feuilles; Ceintacé; Masque du Glourséleste; Cape de la Dame du Hasard; Bottes du Strigide; Chanceux majeur; Vigoureux majeur; Remueur; Cascadeur majeur; Nomade; Enragé majeur; Muldo Doré et Emeraude</t>
        </is>
      </c>
    </row>
    <row r="28658">
      <c r="A28658" t="inlineStr">
        <is>
          <t>Terre Do Crit RetPM</t>
        </is>
      </c>
      <c r="B28658">
        <f>HYPERLINK("https://www.dofusbook.net/fr/equipement/3735641-terre-do-crit-retpm/objets", "link")</f>
        <v/>
      </c>
      <c r="C28658" t="n">
        <v>1</v>
      </c>
      <c r="D28658" t="inlineStr">
        <is>
          <t>Arc du Chalœil; Amulette de Gein; Bague Gloursonne; Anneau Crustique; Quatre-feuilles; Ceintacé; Masque de Koutoulou; Cape du Cœur Saignant; Bottes du Cœur Saignant; Remueur; Enragé majeur; Nomade; Vigoureux majeur; Miraculé majeur; Dévastateur Terre majeur; Muldo Prune et Emeraude</t>
        </is>
      </c>
    </row>
    <row r="28659">
      <c r="A28659" t="inlineStr">
        <is>
          <t>Multi Do Crit</t>
        </is>
      </c>
      <c r="B28659">
        <f>HYPERLINK("https://www.dofusbook.net/fr/equipement/3735514-multi-do-crit/objets", "link")</f>
        <v/>
      </c>
      <c r="C28659" t="n">
        <v>0</v>
      </c>
      <c r="D28659" t="inlineStr">
        <is>
          <t>Sabres d'Atcham; Amulette du Strigide; Alliance Gloursonne; Bracelet du Piloztère; Quatre-feuilles; Ceintacé; Masque du Glourséleste; Cape de la Dame du Hasard; Bottes du Strigide; Érudit majeur; Vigoureux majeur; Remueur; Enragé majeur; Nomade; Cascadeur majeur; Muldo Doré et Emeraude</t>
        </is>
      </c>
    </row>
    <row r="28660">
      <c r="A28660" t="inlineStr">
        <is>
          <t>Air Eau Terre</t>
        </is>
      </c>
      <c r="B28660">
        <f>HYPERLINK("https://www.dofusbook.net/fr/equipement/3663195-air-eau-terre/objets", "link")</f>
        <v/>
      </c>
      <c r="C28660" t="n">
        <v>0</v>
      </c>
      <c r="D28660" t="inlineStr">
        <is>
          <t>Bâtonnet Ronien; Amulette du Strigide; Alliance Gloursonne; Bracelet du Piloztère; Quatre-feuilles; Ceinture du Strigide; Dorabysses; Cape au Logis; Baleinabottes; Dolmanax; Remueur; Nomade; Vigoureux majeur; Miraculé majeur; Chanceux majeur; Dragodinde Indigo et Ivoire</t>
        </is>
      </c>
    </row>
    <row r="28661">
      <c r="A28661" t="inlineStr">
        <is>
          <t>Terre Feu PM</t>
        </is>
      </c>
      <c r="B28661">
        <f>HYPERLINK("https://www.dofusbook.net/fr/equipement/3733412-terre-feu-pm/objets", "link")</f>
        <v/>
      </c>
      <c r="C28661" t="n">
        <v>0</v>
      </c>
      <c r="D28661" t="inlineStr">
        <is>
          <t>Epée Toche; Amulette du Cœur Saignant; Anneau de Nidas; Bague Gloursonne; Bouclier cubiste; Ceintacé; Couronne du Roi Joueur; Voile d'encre; Bottes du Roi Joueur; Remueur; Temporiseur majeur; Érudit majeur; Vigoureux majeur; Nomade; Enragé majeur; Muldo Prune et Emeraude</t>
        </is>
      </c>
    </row>
    <row r="28662">
      <c r="A28662" t="inlineStr">
        <is>
          <t>Air</t>
        </is>
      </c>
      <c r="B28662">
        <f>HYPERLINK("https://www.dofusbook.net/fr/equipement/3728203-air/objets", "link")</f>
        <v/>
      </c>
      <c r="C28662" t="n">
        <v>0</v>
      </c>
      <c r="D28662" t="inlineStr">
        <is>
          <t>Hachoirs de Viandargh; Amibou; Anneau de Padgref; Alliance Gloursonne; Bouclier du Captain Amakna; Menoture; Dorabysses; Cape des Malveilleurs; Baleinabottes; Remueur; Vigoureux majeur; Acrobate majeur; Nomade; Miraculé majeur; Cascadeur majeur; Muldo Prune et Emeraude</t>
        </is>
      </c>
    </row>
    <row r="28663">
      <c r="A28663" t="inlineStr">
        <is>
          <t>Eau Do Crit</t>
        </is>
      </c>
      <c r="B28663">
        <f>HYPERLINK("https://www.dofusbook.net/fr/equipement/3715316-eau-do-crit/objets", "link")</f>
        <v/>
      </c>
      <c r="C28663" t="n">
        <v>1</v>
      </c>
      <c r="D28663" t="inlineStr">
        <is>
          <t>Dagoulinantes; Amulette Voldelor; Alliance Gloursonne; Bracelet des Fonds marins; Quatre-feuilles; Ceinture Voldelor; Kidibonnet; Cape de la Dame du Hasard; Pataugastrique; Remueur; Chanceux majeur; Nomade; Vigoureux majeur; Carapace Air majeur; Puissant majeur; Muldo Prune et Emeraude</t>
        </is>
      </c>
    </row>
    <row r="28664">
      <c r="A28664" t="inlineStr">
        <is>
          <t>Feu</t>
        </is>
      </c>
      <c r="B28664">
        <f>HYPERLINK("https://www.dofusbook.net/fr/equipement/3712075-feu/objets", "link")</f>
        <v/>
      </c>
      <c r="C28664" t="n">
        <v>0</v>
      </c>
      <c r="D28664" t="inlineStr">
        <is>
          <t>Arc corrompu; Amulette du Strigide; Anneau Tique; Bague Gloursonne; Quatre-feuilles; Ceinture Séculaire; Coiffe Séculaire; Cape de la Dame du Hasard; Pataugastrique; Dolmanax; Nomade; Vigoureux majeur; Carapace Feu majeur; Remueur; Érudit majeur; Muldo Prune et Emeraude</t>
        </is>
      </c>
    </row>
    <row r="28665">
      <c r="A28665" t="inlineStr">
        <is>
          <t>PVM</t>
        </is>
      </c>
      <c r="B28665">
        <f>HYPERLINK("https://www.dofusbook.net/fr/equipement/472339-pvm/objets", "link")</f>
        <v/>
      </c>
      <c r="C28665" t="n">
        <v>0</v>
      </c>
      <c r="D28665" t="inlineStr">
        <is>
          <t>Harpelle; Amulette de Nileza; Bague Gloursonne; Anneau de Nidas; Bivalve; Ceinture Séculaire; Coiffe Séculaire; Cape de Meno; Pataugastrique; Dofus des Glaces; Dofus Pourpre; Dofus Turquoise; Nomade; Érudit majeur; Remueur; Dragodinde Ivoire et Orchidée</t>
        </is>
      </c>
    </row>
    <row r="28666">
      <c r="A28666" t="inlineStr">
        <is>
          <t>Feu DoCrit 200</t>
        </is>
      </c>
      <c r="B28666">
        <f>HYPERLINK("https://www.dofusbook.net/fr/equipement/1560669-feu-docrit-200/objets", "link")</f>
        <v/>
      </c>
      <c r="C28666" t="n">
        <v>0</v>
      </c>
      <c r="D28666" t="inlineStr">
        <is>
          <t>Harpelle; Amulette Séculaire; Anneau Tique; Bague Gloursonne; Bivalve; Ceinture Séculaire; Cagoule de Vortex; Cape de Meno; Pataugastrique; Dofus des Glaces; Dofus Pourpre; Dofus Turquoise; Vigoureux majeur; Nomade; Remueur; Muldo Orchidée et Emeraude</t>
        </is>
      </c>
    </row>
    <row r="28667">
      <c r="A28667" t="inlineStr">
        <is>
          <t>Tacle Feu</t>
        </is>
      </c>
      <c r="B28667">
        <f>HYPERLINK("https://www.dofusbook.net/fr/equipement/3708562-tacle-feu-/objets", "link")</f>
        <v/>
      </c>
      <c r="C28667" t="n">
        <v>0</v>
      </c>
      <c r="D28667" t="inlineStr">
        <is>
          <t>Harpelle; Amulette du Strigide; Bague Gloursonne; Anneau Tique; Quatre-feuilles; Ceinture Séculaire; Coiffe Séculaire; Voile d'encre; Pataugastrique; Carapace Feu majeur; Érudit majeur; Remueur; Vigoureux majeur; Obstructeur majeur; Nomade; Muldo Prune et Emeraude</t>
        </is>
      </c>
    </row>
    <row r="28668">
      <c r="A28668" t="inlineStr">
        <is>
          <t>Terre/Eau/Feu DoCrit</t>
        </is>
      </c>
      <c r="B28668">
        <f>HYPERLINK("https://www.dofusbook.net/fr/equipement/1558495-terre-eau-feu-docrit/objets", "link")</f>
        <v/>
      </c>
      <c r="C28668" t="n">
        <v>0</v>
      </c>
      <c r="D28668" t="inlineStr">
        <is>
          <t>Hache du Chalœil; Amulette du Strigide; Bracelet du Piloztère; Alliance de Missiz Frizz; Bouclier du Captain Amakna; Ceintacé; Coiffe du Lévitrof; Cape du Chalœil; Bottes du Strigide; Dolmanax; Carapace Feu majeur; Nomade; Carapace Eau majeur; Vigoureux majeur; Remueur; Muldo Prune et Emeraude</t>
        </is>
      </c>
    </row>
    <row r="28669">
      <c r="A28669" t="inlineStr">
        <is>
          <t>Féca F 200</t>
        </is>
      </c>
      <c r="B28669">
        <f>HYPERLINK("https://www.dofusbook.net/fr/equipement/3663270-feca-f-200/objets", "link")</f>
        <v/>
      </c>
      <c r="C28669" t="n">
        <v>0</v>
      </c>
      <c r="D28669" t="inlineStr">
        <is>
          <t>Epée Toche; Amulette de Gein; Chevalière du Roi Joueur; Bague Gloursonne; Bouclier du Captain Amakna; Ceinture de Gein; Masque de Koutoulou; Voile d'encre; Bottes du Cœur Saignant; Dofus Turquoise; Dofus des Glaces; Dofus Pourpre; Vigoureux majeur; Remueur; Obstructeur majeur; Muldo Doré et Emeraude</t>
        </is>
      </c>
    </row>
    <row r="28670">
      <c r="A28670" t="inlineStr">
        <is>
          <t>Multi Hupper M 200</t>
        </is>
      </c>
      <c r="B28670">
        <f>HYPERLINK("https://www.dofusbook.net/fr/equipement/3661563-multi-hupper-m-200/objets", "link")</f>
        <v/>
      </c>
      <c r="C28670" t="n">
        <v>0</v>
      </c>
      <c r="D28670" t="inlineStr">
        <is>
          <t>Hache du Chalœil; Amulette de Pol Ouatnos; Bracelet du Piloztère; Alliance Gloursonne; Bouclier du Captain Amakna; Ceintacé; Casque du Chalœil; Cape des Justiciers; Bottes du Chalœil; Dofus Pourpre; Dofus des Glaces; Dofus Turquoise; Miraculé majeur; Vigoureux majeur; Remueur; Muldo Doré et Emeraude</t>
        </is>
      </c>
    </row>
    <row r="28671">
      <c r="A28671" t="inlineStr">
        <is>
          <t>Tacle FEU</t>
        </is>
      </c>
      <c r="B28671">
        <f>HYPERLINK("https://www.dofusbook.net/fr/equipement/3216934-tacle-feu/objets", "link")</f>
        <v/>
      </c>
      <c r="C28671" t="n">
        <v>0</v>
      </c>
      <c r="D28671" t="inlineStr">
        <is>
          <t>Harpelle; Amulette Cryochrone; Anneau Rifique; Anneau Tique; Quatre-feuilles; Ceinture Séculaire; Chapeau des Malveilleurs; Cape des Malveilleurs; Pataugastrique; Dofus Pourpre; Obstructeur majeur; Érudit majeur; Remueur; Vigoureux majeur; Nomade; Muldo Prune et Emeraude</t>
        </is>
      </c>
    </row>
    <row r="28672">
      <c r="A28672" t="inlineStr">
        <is>
          <t>Terre Tacle</t>
        </is>
      </c>
      <c r="B28672">
        <f>HYPERLINK("https://www.dofusbook.net/fr/equipement/3646801-terre-tacle/objets", "link")</f>
        <v/>
      </c>
      <c r="C28672" t="n">
        <v>1</v>
      </c>
      <c r="D28672" t="inlineStr">
        <is>
          <t>Dagues d'Ilyzaelle; Amulette du Cœur Saignant; Anneau Crustique; Anneau Crustique; Sept ans de malheur; Ceintacé; Chapoulpe; Cape au Logis; Bottes du Cœur Saignant; Dofus Pourpre; Dofus Turquoise; Remueur; Enragé majeur; Vigoureux majeur; Obstructeur majeur; Muldo Prune et Emeraude</t>
        </is>
      </c>
    </row>
    <row r="28673">
      <c r="A28673" t="inlineStr">
        <is>
          <t>Terre Do Crit</t>
        </is>
      </c>
      <c r="B28673">
        <f>HYPERLINK("https://www.dofusbook.net/fr/equipement/3642468-terre-do-crit/objets", "link")</f>
        <v/>
      </c>
      <c r="C28673" t="n">
        <v>0</v>
      </c>
      <c r="D28673" t="inlineStr">
        <is>
          <t>Marteau R'ture; Amulette du Strigide; Anneau Crustique; Bague Gloursonne; Bouclier du Captain Amakna; Ceinture du Strigide; Masque de Koutoulou; Cape au Logis; Bottes du Cœur Saignant; Dolmanax; Dofus Pourpre; Dofus Turquoise; Vigoureux majeur; Remueur; Enragé majeur; Muldo Prune et Emeraude</t>
        </is>
      </c>
    </row>
    <row r="28674">
      <c r="A28674" t="inlineStr">
        <is>
          <t>Air Do Crit</t>
        </is>
      </c>
      <c r="B28674">
        <f>HYPERLINK("https://www.dofusbook.net/fr/equipement/3642475-air-do-crit/objets", "link")</f>
        <v/>
      </c>
      <c r="C28674" t="n">
        <v>0</v>
      </c>
      <c r="D28674" t="inlineStr">
        <is>
          <t>Manthache; Amulette du Strigide; Anneau d'Allister; Anneau de Padgref; Quatre-feuilles; Menoture; Capuche de Moum-Ra; Cape Indescriptible; Getas de Padgref; Dofus Pourpre; Dofus Turquoise; Remueur; Vigoureux majeur; Obstructeur majeur; Cascadeur majeur; Muldo Prune et Emeraude</t>
        </is>
      </c>
    </row>
    <row r="28675">
      <c r="A28675" t="inlineStr">
        <is>
          <t>Eniripsa F 200</t>
        </is>
      </c>
      <c r="B28675">
        <f>HYPERLINK("https://www.dofusbook.net/fr/equipement/3629663-eniripsa-f-200/objets", "link")</f>
        <v/>
      </c>
      <c r="C28675" t="n">
        <v>0</v>
      </c>
      <c r="D28675" t="inlineStr">
        <is>
          <t>Arc de Koutoulou; Amulette de l'Œil Putride; Bracelet des Fonds marins; Bracelet du Piloztère; Bouclier du Captain Amakna; Ceintacé; Kidibonnet; Chevelure de Tal Kasha; Sandales de Tal Kasha; Dofus Turquoise; Chanceux majeur; Remueur; Cascadeur majeur; Nomade; Vigoureux majeur; Muldo Prune et Emeraude</t>
        </is>
      </c>
    </row>
    <row r="28676">
      <c r="A28676" t="inlineStr">
        <is>
          <t>Full Terre 200</t>
        </is>
      </c>
      <c r="B28676">
        <f>HYPERLINK("https://www.dofusbook.net/fr/equipement/3216671-full-terre-200/objets", "link")</f>
        <v/>
      </c>
      <c r="C28676" t="n">
        <v>1</v>
      </c>
      <c r="D28676" t="inlineStr">
        <is>
          <t>Marteau R'ture; Collier de Tourthon; Anneau de Brouce; Bague Gloursonne; Bouclier du Captain Amakna; Ceinture de la Cour Sombre; Masque de Koutoulou; Cape au Logis; Bottes de Brouce; Dofus Pourpre; Dofus Ocre; Miraculé majeur; Remueur; Vigoureux majeur; Enragé majeur; Dragodinde Ivoire et Pourpre</t>
        </is>
      </c>
    </row>
    <row r="28677">
      <c r="A28677" t="inlineStr">
        <is>
          <t>TERRE</t>
        </is>
      </c>
      <c r="B28677">
        <f>HYPERLINK("https://www.dofusbook.net/fr/equipement/433760-terre/objets", "link")</f>
        <v/>
      </c>
      <c r="C28677" t="n">
        <v>0</v>
      </c>
      <c r="D28677" t="inlineStr">
        <is>
          <t>Marteau R'ture; Amulette du Strigide; Anneau Crustique; Anneau Crustique; Cadran d'Eau; Ceinture du Strigide; Masque de Koutoulou; Bottes de la Cour Sombre; Dofus Turquoise; Dofus Pourpre; Dofus Nébuleux; Remueur; Vigoureux majeur; Enragé majeur; Muldo Prune et Emeraude</t>
        </is>
      </c>
    </row>
    <row r="28678">
      <c r="A28678" t="inlineStr">
        <is>
          <t>Feu Eau Air</t>
        </is>
      </c>
      <c r="B28678">
        <f>HYPERLINK("https://www.dofusbook.net/fr/equipement/3216582-feu-eau-air/objets", "link")</f>
        <v/>
      </c>
      <c r="C28678" t="n">
        <v>0</v>
      </c>
      <c r="D28678" t="inlineStr">
        <is>
          <t>Hache du Korriandre; Amulette de l'Œil Putride; Alliance Gloursonne; Bracelet du Piloztère; Bouclier du Captain Amakna; Ceinture Voldelor; Capuche de l'Œil Putride; Cape des Malveilleurs; Pataugastrique; Dofus Turquoise; Dofus Pourpre; Dofus des Glaces; Vigoureux majeur; Remueur; Nomade; Muldo Prune et Emeraude</t>
        </is>
      </c>
    </row>
    <row r="28679">
      <c r="A28679" t="inlineStr">
        <is>
          <t>Feu Do Crit 200</t>
        </is>
      </c>
      <c r="B28679">
        <f>HYPERLINK("https://www.dofusbook.net/fr/equipement/3603982-feu-do-crit-200/objets", "link")</f>
        <v/>
      </c>
      <c r="C28679" t="n">
        <v>0</v>
      </c>
      <c r="D28679" t="inlineStr">
        <is>
          <t>Arc corrompu; Pendentif affamé; Anneau Toriété; Anneau de Padgref; Quatre-feuilles; Ceinture Séculaire; Heaume Oplate; Cape de la Dame du Hasard; Getas de Padgref; Dofus Pourpre; Dofus Turquoise; Dofus Nébuleux; Érudit majeur; Vigoureux majeur; Remueur; Brûlih</t>
        </is>
      </c>
    </row>
    <row r="28680">
      <c r="A28680" t="inlineStr">
        <is>
          <t>Huppermage M 190</t>
        </is>
      </c>
      <c r="B28680">
        <f>HYPERLINK("https://www.dofusbook.net/fr/equipement/3600725-huppermage-m-190/objets", "link")</f>
        <v/>
      </c>
      <c r="C28680" t="n">
        <v>0</v>
      </c>
      <c r="D28680" t="inlineStr">
        <is>
          <t>Dagues Eudin; Amulette Nécrotique; Anneau Chevelu; Bracelet Ventré; Bouclier Pandawa; Ceinture Rasboulaire du Rasboul; Chapignon; Cape Nécrotique; Bottes de XLII; Dofus Ocre; Cascadeur majeur; Remueur; Enragé majeur; Nomade; Vigoureux majeur; Muldo Prune et Emeraude</t>
        </is>
      </c>
    </row>
    <row r="28681">
      <c r="A28681" t="inlineStr">
        <is>
          <t>Air/Eau 199</t>
        </is>
      </c>
      <c r="B28681">
        <f>HYPERLINK("https://www.dofusbook.net/fr/equipement/1412902-air-eau-199/objets", "link")</f>
        <v/>
      </c>
      <c r="C28681" t="n">
        <v>0</v>
      </c>
      <c r="D28681" t="inlineStr">
        <is>
          <t>Hache du Korriandre; Pendentif Oton; Anneau de Padgref; Alliance Gloursonne; Bouclier Pandawa; Slip du Roi de Bonta; Binocle Airvoyant; Cape Matelassée; Sandales Ouzi; Dofus Pourpre; Dofus Turquoise; Cascadeur majeur; Remueur; Nomade; Vigoureux majeur; Muldo Prune et Indigo</t>
        </is>
      </c>
    </row>
    <row r="28682">
      <c r="A28682" t="inlineStr">
        <is>
          <t>Air/Eau 200 DoCrit</t>
        </is>
      </c>
      <c r="B28682">
        <f>HYPERLINK("https://www.dofusbook.net/fr/equipement/1558742-air-eau-200-docrit/objets", "link")</f>
        <v/>
      </c>
      <c r="C28682" t="n">
        <v>0</v>
      </c>
      <c r="D28682" t="inlineStr">
        <is>
          <t>Hache du Korriandre; Amulette Voldelor; Bracelet du Piloztère; Alliance Gloursonne; Bouclier du Captain Amakna; Ceintacé; Dorabysses; Chevelure de Tal Kasha; Sandales de Tal Kasha; Dofus Pourpre; Dofus Turquoise; Dofus des Glaces; Remueur; Chanceux majeur; Vigoureux majeur; Muldo Prune et Doré</t>
        </is>
      </c>
    </row>
    <row r="28683">
      <c r="A28683" t="inlineStr">
        <is>
          <t>Terre Eau Do Crit</t>
        </is>
      </c>
      <c r="B28683">
        <f>HYPERLINK("https://www.dofusbook.net/fr/equipement/3580975-terre-eau-do-crit/objets", "link")</f>
        <v/>
      </c>
      <c r="C28683" t="n">
        <v>0</v>
      </c>
      <c r="D28683" t="inlineStr">
        <is>
          <t>Dagues d'Ilyzaelle; Amulette du Strigide; Anneau Crustique; Bague Trithon; Bouclier du Captain Amakna; Ceinture du Strigide; Kidibonnet; Voile d'encre; Bottes du Cœur Saignant; Dofus Pourpre; Dolmanax; Dofus Turquoise; Vigoureux majeur; Remueur; Nomade; Muldo Prune et Emeraude</t>
        </is>
      </c>
    </row>
    <row r="28684">
      <c r="A28684" t="inlineStr">
        <is>
          <t>EAU AIR RONNIEN DOCR</t>
        </is>
      </c>
      <c r="B28684">
        <f>HYPERLINK("https://www.dofusbook.net/fr/equipement/3312393-eau-air-ronnien-docr/objets", "link")</f>
        <v/>
      </c>
      <c r="C28684" t="n">
        <v>2</v>
      </c>
      <c r="D28684" t="inlineStr">
        <is>
          <t>Bâtonnet Ronien; Amulette du Strigide; Alliance Gloursonne; Bague Trithon; Quatre-feuilles; Ceinture du Strigide; Némès de Tal Kasha; Chevelure de Tal Kasha; Sandales de Tal Kasha; Dolmanax; Dofus Ocre; Dofus Pourpre; Dofus des Glaces; Dofus Turquoise; Dofus Ivoire; Muldo Prune et Emeraude</t>
        </is>
      </c>
    </row>
    <row r="28685">
      <c r="A28685" t="inlineStr">
        <is>
          <t>Terre 200</t>
        </is>
      </c>
      <c r="B28685">
        <f>HYPERLINK("https://www.dofusbook.net/fr/equipement/3549527-terre-200/objets", "link")</f>
        <v/>
      </c>
      <c r="C28685" t="n">
        <v>0</v>
      </c>
      <c r="D28685" t="inlineStr">
        <is>
          <t>Arc du Chalœil; Amulette du Strigide; Anneau Crustique; Anneau Crustique; Bouclier du Captain Amakna; Ceinture du Strigide; Masque de Koutoulou; Cape au Logis; Bottes de la Cour Sombre; Dolmanax; Dofus Pourpre; Dofus Turquoise; Enragé majeur; Remueur; Vigoureux majeur; Muldo Prune et Emeraude</t>
        </is>
      </c>
    </row>
    <row r="28686">
      <c r="A28686" t="inlineStr">
        <is>
          <t>Multi 200 Do Cri</t>
        </is>
      </c>
      <c r="B28686">
        <f>HYPERLINK("https://www.dofusbook.net/fr/equipement/1436847-multi-200-do-cri/objets", "link")</f>
        <v/>
      </c>
      <c r="C28686" t="n">
        <v>0</v>
      </c>
      <c r="D28686" t="inlineStr">
        <is>
          <t>Sabres d'Atcham; Amulette du Strigide; Bracelet des Fonds marins; Bracelet du Piloztère; Bouclier du Captain Amakna; Ceinture du Strigide; Masque Brûlâme; Voile d'encre; Pataugastrique; Dofus Turquoise; Dofus des Glaces; Dofus Pourpre; Dolmanax; Remueur; Vigoureux majeur; Muldo Caméléon</t>
        </is>
      </c>
    </row>
    <row r="28687">
      <c r="A28687" t="inlineStr">
        <is>
          <t>Terre Eau Do Crit</t>
        </is>
      </c>
      <c r="B28687">
        <f>HYPERLINK("https://www.dofusbook.net/fr/equipement/3333023-terre-eau-do-crit/objets", "link")</f>
        <v/>
      </c>
      <c r="C28687" t="n">
        <v>0</v>
      </c>
      <c r="D28687" t="inlineStr">
        <is>
          <t>Dagues Érhy; Amulette du Strigide; Bracelet du Piloztère; Bague Trithon; Bouclier du Captain Amakna; Ceinture du Strigide; Masque Trithon; Cape au Logis; Bottes Trithon; Dofus Turquoise; Dofus Ivoire; Dolmanax; Dofus Ocre; Dofus Pourpre; Dofus des Glaces; Muldo Prune et Emeraude</t>
        </is>
      </c>
    </row>
    <row r="28688">
      <c r="A28688" t="inlineStr">
        <is>
          <t>FEU EAU BRULAME</t>
        </is>
      </c>
      <c r="B28688">
        <f>HYPERLINK("https://www.dofusbook.net/fr/equipement/3318137-feu-eau-brulame/objets", "link")</f>
        <v/>
      </c>
      <c r="C28688" t="n">
        <v>0</v>
      </c>
      <c r="D28688" t="inlineStr">
        <is>
          <t>Épée Brûlâme; Amulette du Strigide; Bracelet des Fonds marins; Bague Trithon; Bouclier du Captain Amakna; Ceintacé; Masque Trithon; Cape de la Dame du Hasard; Bottes de la Dame du Hasard; Dolmanax; Dofus Ocre; Dofus Pourpre; Dofus des Glaces; Dofus Turquoise; Dofus Abyssal; Muldo Prune et Ebène</t>
        </is>
      </c>
    </row>
    <row r="28689">
      <c r="A28689" t="inlineStr">
        <is>
          <t>Multi Tangente Docri</t>
        </is>
      </c>
      <c r="B28689">
        <f>HYPERLINK("https://www.dofusbook.net/fr/equipement/433771-multi-tangente-docri/objets", "link")</f>
        <v/>
      </c>
      <c r="C28689" t="n">
        <v>1</v>
      </c>
      <c r="D28689" t="inlineStr">
        <is>
          <t>Arc Tangente; Amulette du Strigide; Bracelet du Piloztère; Bague Trithon; Bouclier du Captain Amakna; Ceinture du Strigide; Masque Trithon; Cape de la Dame du Hasard; Bottes Trithon; Dofus Turquoise; Dofus Ivoire; Dolmanax; Dofus Ocre; Dofus Pourpre; Dofus des Glaces; Muldo Prune et Ebène</t>
        </is>
      </c>
    </row>
    <row r="28690">
      <c r="A28690" t="inlineStr">
        <is>
          <t>Terre Air Hékache</t>
        </is>
      </c>
      <c r="B28690">
        <f>HYPERLINK("https://www.dofusbook.net/fr/equipement/3312371-terre-air-hekache/objets", "link")</f>
        <v/>
      </c>
      <c r="C28690" t="n">
        <v>0</v>
      </c>
      <c r="D28690" t="inlineStr">
        <is>
          <t>Héqache; Amulette du Strigide; Bracelet du Piloztère; Bague Trithon; Bouclier du Captain Amakna; Ceinture du Strigide; Masque Trithon; Cape au Logis; Bottes Trithon; Dofus Turquoise; Dofus Ivoire; Dolmanax; Dofus Ocre; Dofus Pourpre; Dofus des Glaces; Muldo Prune et Emeraude</t>
        </is>
      </c>
    </row>
    <row r="28691">
      <c r="A28691" t="inlineStr">
        <is>
          <t>FEU</t>
        </is>
      </c>
      <c r="B28691">
        <f>HYPERLINK("https://www.dofusbook.net/fr/equipement/3312869-feu/objets", "link")</f>
        <v/>
      </c>
      <c r="C28691" t="n">
        <v>0</v>
      </c>
      <c r="D28691" t="inlineStr">
        <is>
          <t>Arc corrompu; Pendentif affamé; Anneau Tique; Anneau de Padgref; Quatre-feuilles; Ceinture Séculaire; Chapeau Lithique; Cape de Diondin; Getas de Padgref; Dofus Ivoire; Dofus Turquoise; Dofus Pourpre; Dofus Nébuleux; Érudit majeur; Remueur; Muldo Prune et Emeraude</t>
        </is>
      </c>
    </row>
    <row r="28692">
      <c r="A28692" t="inlineStr">
        <is>
          <t>AIR 200 DO CRI</t>
        </is>
      </c>
      <c r="B28692">
        <f>HYPERLINK("https://www.dofusbook.net/fr/equipement/1292641-air-200-do-cri/objets", "link")</f>
        <v/>
      </c>
      <c r="C28692" t="n">
        <v>0</v>
      </c>
      <c r="D28692" t="inlineStr">
        <is>
          <t>Manthache; Amulette du Strigide; Alliance Gloursonne; Bague Trithon; Quatre-feuilles; Ceinture du Strigide; Masque Trithon; Cape d'Atcham; Bottes Trithon; Dofus Ocre; Dofus Ivoire; Dofus Pourpre; Dofus des Glaces; Dofus Turquoise; Dofus Nébuleux; Muldo Prune et Ebène</t>
        </is>
      </c>
    </row>
    <row r="28693">
      <c r="A28693" t="inlineStr">
        <is>
          <t>Multi</t>
        </is>
      </c>
      <c r="B28693">
        <f>HYPERLINK("https://www.dofusbook.net/fr/equipement/853538-multi/objets", "link")</f>
        <v/>
      </c>
      <c r="C28693" t="n">
        <v>0</v>
      </c>
      <c r="D28693" t="inlineStr">
        <is>
          <t>Dagues Érhy; Amulette du Strigide; Bague Gloursonne; Bague Trithon; Bouclier du Captain Amakna; Ceinture du Strigide; Masque Trithon; Voile d'encre; Bottes Trithon; Dofus Abyssal; Dofus Turquoise; Dofus Pourpre; Dofus Ocre; Dofus Nébuleux; Dofus des Glaces; Muldo Prune et Emeraude</t>
        </is>
      </c>
    </row>
    <row r="28694">
      <c r="A28694" t="inlineStr">
        <is>
          <t>Chaloeil</t>
        </is>
      </c>
      <c r="B28694">
        <f>HYPERLINK("https://www.dofusbook.net/fr/equipement/3151035-chaloeil/objets", "link")</f>
        <v/>
      </c>
      <c r="C28694" t="n">
        <v>0</v>
      </c>
      <c r="D28694" t="inlineStr">
        <is>
          <t>Arc du Chalœil; Amulette du Strigide; Anneau Crustique; Anneau Crustique; Quatre-feuilles; Ceinture du Strigide; Masque de Koutoulou; Cape au Logis; Bottes de la Cour Sombre; Dofus Turquoise; Dofus des Glaces; Dofus Pourpre; Dofus Nébuleux; Remueur; Enragé majeur; Muldo Prune et Ebène</t>
        </is>
      </c>
    </row>
    <row r="28695">
      <c r="A28695" t="inlineStr">
        <is>
          <t>TERRE FEU DOCRIT</t>
        </is>
      </c>
      <c r="B28695">
        <f>HYPERLINK("https://www.dofusbook.net/fr/equipement/3312468-terre-feu-docrit/objets", "link")</f>
        <v/>
      </c>
      <c r="C28695" t="n">
        <v>0</v>
      </c>
      <c r="D28695" t="inlineStr">
        <is>
          <t>Bâton Brageut; Amulette du Strigide; Bague Gloursonne; Bague Trithon; Bouclier du Captain Amakna; Ceinture du Strigide; Masque Trithon; Voile d'encre; Bottes Trithon; Dofus Ocre; Dofus Abyssal; Dofus des Glaces; Dolmanax; Dofus Turquoise; Dofus Nébuleux; Muldo Prune et Ebène</t>
        </is>
      </c>
    </row>
    <row r="28696">
      <c r="A28696" t="inlineStr">
        <is>
          <t>Feu/Terre 200 DoCrit</t>
        </is>
      </c>
      <c r="B28696">
        <f>HYPERLINK("https://www.dofusbook.net/fr/equipement/1558680-feu-terre-200-docrit/objets", "link")</f>
        <v/>
      </c>
      <c r="C28696" t="n">
        <v>0</v>
      </c>
      <c r="D28696" t="inlineStr">
        <is>
          <t>Epée Toche; Amulette de Gein; Bague Gloursonne; Alliance de Missiz Frizz; Bouclier du Captain Amakna; Ceinture de Gein; Couronne du Roi Joueur; Voile d'encre; Bottes Honyme; Dofus Pourpre; Dofus Turquoise; Dofus des Glaces; Remueur; Carapace Neutre majeur; Vigoureux majeur; Muldo Doré et Pourpre</t>
        </is>
      </c>
    </row>
    <row r="28697">
      <c r="A28697" t="inlineStr">
        <is>
          <t>Rall PM</t>
        </is>
      </c>
      <c r="B28697">
        <f>HYPERLINK("https://www.dofusbook.net/fr/equipement/3216685-rall-pm/objets", "link")</f>
        <v/>
      </c>
      <c r="C28697" t="n">
        <v>0</v>
      </c>
      <c r="D28697" t="inlineStr">
        <is>
          <t>Pelle de Nidas; Amulette Luminescente; Pikano; Alliance Gloursonne; Ambrouclier; Ceinture Luminescente; Couronne du Roi Joueur; Cape Ovri; Baleinabottes; Dolmanax; Dofus Pourpre; Remueur; Vigoureux majeur; Nomade; Temporiseur majeur; Muldo Prune et Doré</t>
        </is>
      </c>
    </row>
    <row r="28698">
      <c r="A28698" t="inlineStr">
        <is>
          <t>Tacle</t>
        </is>
      </c>
      <c r="B28698">
        <f>HYPERLINK("https://www.dofusbook.net/fr/equipement/3208102-tacle/objets", "link")</f>
        <v/>
      </c>
      <c r="C28698" t="n">
        <v>0</v>
      </c>
      <c r="D28698" t="inlineStr">
        <is>
          <t>Héqache; Amibou; Alliance Gloursonne; Anneau de Padgref; Bouclier d'Asse; Menoture; Chapoulpe; Cape des Malveilleurs; Tentassons; Dofus Turquoise; Remueur; Cascadeur majeur; Nomade; Vigoureux majeur; Obstructeur majeur; Muldo Prune et Ebène</t>
        </is>
      </c>
    </row>
    <row r="28699">
      <c r="A28699" t="inlineStr">
        <is>
          <t>Eau Retrait</t>
        </is>
      </c>
      <c r="B28699">
        <f>HYPERLINK("https://www.dofusbook.net/fr/equipement/3207264-eau-retrait/objets", "link")</f>
        <v/>
      </c>
      <c r="C28699" t="n">
        <v>0</v>
      </c>
      <c r="D28699" t="inlineStr">
        <is>
          <t>Dagoulinantes; Collier de la Dame du Hasard; Alliance Gloursonne; Bracelet des Fonds marins; Ambrouclier; Ceinture Luminescente; Kidibonnet; Cape de la Dame du Hasard; Bottes de Meno; Dofus Pourpre; Nomade; Vigoureux majeur; Temporiseur majeur; Remueur; Chanceux majeur; Muldo Prune et Indigo</t>
        </is>
      </c>
    </row>
    <row r="28700">
      <c r="A28700" t="inlineStr">
        <is>
          <t>Air Feu Eau</t>
        </is>
      </c>
      <c r="B28700">
        <f>HYPERLINK("https://www.dofusbook.net/fr/equipement/3200299-air-feu-eau/objets", "link")</f>
        <v/>
      </c>
      <c r="C28700" t="n">
        <v>1</v>
      </c>
      <c r="D28700" t="inlineStr">
        <is>
          <t>Sabres d'Atcham; Amulette du Strigide; Anneau Tique; Bracelet du Piloztère; Bouclier du Captain Amakna; Ceinture du Strigide; Capuche de l'Œil Putride; Cape des Malveilleurs; Pataugastrique; Dofus Pourpre; Dofus des Glaces; Dolmanax; Nomade; Vigoureux majeur; Remueur; Muldo Doré et Pourpre</t>
        </is>
      </c>
    </row>
    <row r="28701">
      <c r="A28701" t="inlineStr">
        <is>
          <t>Terre</t>
        </is>
      </c>
      <c r="B28701">
        <f>HYPERLINK("https://www.dofusbook.net/fr/equipement/3198712-terre/objets", "link")</f>
        <v/>
      </c>
      <c r="C28701" t="n">
        <v>1</v>
      </c>
      <c r="D28701" t="inlineStr">
        <is>
          <t>Dagues d'Ilyzaelle; Amulette du Cœur Saignant; Bracelet du Piloztère; Bague Gloursonne; Bouclier du Captain Amakna; Ceinture de Gein; Couronne du Roi Joueur; Cape Luminescente; Bottes du Cœur Saignant; Dofus Ocre; Dofus Pourpre; Vigoureux majeur; Nomade; Remueur; Enragé majeur; Kwaltess</t>
        </is>
      </c>
    </row>
    <row r="28702">
      <c r="A28702" t="inlineStr">
        <is>
          <t>Terre/Eau 200 Do Cri</t>
        </is>
      </c>
      <c r="B28702">
        <f>HYPERLINK("https://www.dofusbook.net/fr/equipement/1555128-terre-eau-200-do-cri/objets", "link")</f>
        <v/>
      </c>
      <c r="C28702" t="n">
        <v>0</v>
      </c>
      <c r="D28702" t="inlineStr">
        <is>
          <t>Épouvante; Amulette du Strigide; Alliance de Missiz Frizz; Bracelet du Piloztère; Bouclier du Captain Amakna; Ceinture de la Reine des Voleurs; Kidibonnet; Cape Luminescente; Pantoufles du Piloztère; Dofus Turquoise; Dofus des Glaces; Dofus Pourpre; Dolmanax; Nomade; Remueur; Muldo Doré et Ebène</t>
        </is>
      </c>
    </row>
    <row r="28703">
      <c r="A28703" t="inlineStr">
        <is>
          <t>Terre Feu</t>
        </is>
      </c>
      <c r="B28703">
        <f>HYPERLINK("https://www.dofusbook.net/fr/equipement/3197511-terre-feu/objets", "link")</f>
        <v/>
      </c>
      <c r="C28703" t="n">
        <v>0</v>
      </c>
      <c r="D28703" t="inlineStr">
        <is>
          <t>Epée Toche; Amulette du Strigide; Bague Gloursonne; Chevalière du Roi Joueur; Bouclier du Captain Amakna; Ceintacé; Couronne du Roi Joueur; Voile d'encre; Bottes Honyme; Dolmanax; Dofus Pourpre; Dofus des Glaces; Remueur; Vigoureux majeur; Nomade; Dragodinde en armure</t>
        </is>
      </c>
    </row>
    <row r="28704">
      <c r="A28704" t="inlineStr">
        <is>
          <t>FEU EAU DO CRIT</t>
        </is>
      </c>
      <c r="B28704">
        <f>HYPERLINK("https://www.dofusbook.net/fr/equipement/3193613-feu-eau-do-crit/objets", "link")</f>
        <v/>
      </c>
      <c r="C28704" t="n">
        <v>2</v>
      </c>
      <c r="D28704" t="inlineStr">
        <is>
          <t>Épée Brûlâme; Talisman Igans; Anneau Tique; Anneau Cryochrone; Bouclier du Captain Amakna; Ceintacé; Kidibonnet; Cape de la Dame du Hasard; Bottes de la Dame du Hasard; Dofus Turquoise; Dolmanax; Dofus Pourpre; Nomade; Vigoureux majeur; Remueur; Muldo Orchidée et Emeraude</t>
        </is>
      </c>
    </row>
    <row r="28705">
      <c r="A28705" t="inlineStr">
        <is>
          <t>Terre Feu</t>
        </is>
      </c>
      <c r="B28705">
        <f>HYPERLINK("https://www.dofusbook.net/fr/equipement/3159164-terre-feu-/objets", "link")</f>
        <v/>
      </c>
      <c r="C28705" t="n">
        <v>0</v>
      </c>
      <c r="D28705" t="inlineStr">
        <is>
          <t>Epée Toche; Amulette de Gein; Bague Gloursonne; Chevalière du Roi Joueur; Ceintacé; Chapeau de Gein; Voile d'encre; Bottes Honyme; Dolmanax; Dofus des Glaces; Dofus Pourpre; Dofus Turquoise; Nomade; Vigoureux majeur; Muldo Prune et Doré</t>
        </is>
      </c>
    </row>
    <row r="28706">
      <c r="A28706" t="inlineStr">
        <is>
          <t>Feu 200</t>
        </is>
      </c>
      <c r="B28706">
        <f>HYPERLINK("https://www.dofusbook.net/fr/equipement/1302163-feu-200/objets", "link")</f>
        <v/>
      </c>
      <c r="C28706" t="n">
        <v>0</v>
      </c>
      <c r="D28706" t="inlineStr">
        <is>
          <t>Harpelle; Pendentif affamé; Bague Gloursonne; Anneau Tique; Bouclier cubiste; Ceinture Séculaire; Coiffe Séculaire; Cape de Diondin; Bottes Innommables; Dofus Pourpre; Dofus Turquoise; Érudit majeur; Vigoureux majeur; Remueur; Nomade; Muldo Doré et Orchidée</t>
        </is>
      </c>
    </row>
    <row r="28707">
      <c r="A28707" t="inlineStr">
        <is>
          <t>Air/Feu 200</t>
        </is>
      </c>
      <c r="B28707">
        <f>HYPERLINK("https://www.dofusbook.net/fr/equipement/1553800-air-feu-200/objets", "link")</f>
        <v/>
      </c>
      <c r="C28707" t="n">
        <v>0</v>
      </c>
      <c r="D28707" t="inlineStr">
        <is>
          <t>Harpelle; Amulette du Strigide; Anneau Rifique; Anneau de Padgref; Bouclier du Captain Amakna; Ceintacé; Cagoule de Vortex; Cape Lati; Sabots de Vortex; Dofus Turquoise; Dofus des Glaces; Dofus Pourpre; Dolmanax; Remueur; Nomade; Muldo Ebène et Orchidée</t>
        </is>
      </c>
    </row>
    <row r="28708">
      <c r="A28708" t="inlineStr">
        <is>
          <t>Terre Air Feu 200</t>
        </is>
      </c>
      <c r="B28708">
        <f>HYPERLINK("https://www.dofusbook.net/fr/equipement/3156079-terre-air-feu-200/objets", "link")</f>
        <v/>
      </c>
      <c r="C28708" t="n">
        <v>0</v>
      </c>
      <c r="D28708" t="inlineStr">
        <is>
          <t>Marteau de Katrepat; Amulette du Strigide; Bracelet du Piloztère; Alliance Brûlâme; Bouclier du Captain Amakna; Ceintacé; Masque Brûlâme; Voile d'encre; Baleinabottes; Dofus Turquoise; Dolmanax; Dofus Pourpre; Dofus des Glaces; Remueur; Nomade; Muldo Prune et Orchidée</t>
        </is>
      </c>
    </row>
    <row r="28709">
      <c r="A28709" t="inlineStr">
        <is>
          <t>FEU 200 DOCRIT</t>
        </is>
      </c>
      <c r="B28709">
        <f>HYPERLINK("https://www.dofusbook.net/fr/equipement/3151174-feu-200-docrit/objets", "link")</f>
        <v/>
      </c>
      <c r="C28709" t="n">
        <v>0</v>
      </c>
      <c r="D28709" t="inlineStr">
        <is>
          <t>Dagues Érhy; Amulette du Strigide; Bague Gloursonne; Alliance de Missiz Frizz; Bouclier du Captain Amakna; Ceinture du Strigide; Couronne du Roi Joueur; Voile d'encre; Pataugastrique; Dofus Pourpre; Dofus des Glaces; Dofus Turquoise; Vigoureux majeur; Nomade; Remueur; Muldo Doré et Emeraude</t>
        </is>
      </c>
    </row>
    <row r="28710">
      <c r="A28710" t="inlineStr">
        <is>
          <t>Terre 200 DoCrit</t>
        </is>
      </c>
      <c r="B28710">
        <f>HYPERLINK("https://www.dofusbook.net/fr/equipement/1658787-terre-200-docrit/objets", "link")</f>
        <v/>
      </c>
      <c r="C28710" t="n">
        <v>0</v>
      </c>
      <c r="D28710" t="inlineStr">
        <is>
          <t>Epée Toche; Amulette du Strigide; Bague Gloursonne; Alliance de Missiz Frizz; Bouclier du Captain Amakna; Ceinture du Strigide; Couronne du Roi Joueur; Voile d'encre; Baleinabottes; Dofus Pourpre; Dofus des Glaces; Dofus Turquoise; Vigoureux majeur; Nomade; Remueur; Muldo Doré et Emeraude</t>
        </is>
      </c>
    </row>
    <row r="28711">
      <c r="A28711" t="inlineStr">
        <is>
          <t>Feu/Eau 200 PM</t>
        </is>
      </c>
      <c r="B28711">
        <f>HYPERLINK("https://www.dofusbook.net/fr/equipement/1309327-feu-eau-200-pm/objets", "link")</f>
        <v/>
      </c>
      <c r="C28711" t="n">
        <v>0</v>
      </c>
      <c r="D28711" t="inlineStr">
        <is>
          <t>Arc Nécrotique; Talisman Igans; Bracelet du Piloztère; Anneau Tamie; Bouclier cubiste; Ceinture du Glourséleste; Casquette de Meno; Cape de Meno; Pataugastrique; Dofus Turquoise; Dofus Cawotte; Remueur; Temporiseur majeur; Nomade; Vigoureux majeur; Muldo Prune et Pourpre</t>
        </is>
      </c>
    </row>
    <row r="28712">
      <c r="A28712" t="inlineStr">
        <is>
          <t>Feu/Air 200 DoCrit</t>
        </is>
      </c>
      <c r="B28712">
        <f>HYPERLINK("https://www.dofusbook.net/fr/equipement/1560802-feu-air-200-docrit/objets", "link")</f>
        <v/>
      </c>
      <c r="C28712" t="n">
        <v>0</v>
      </c>
      <c r="D28712" t="inlineStr">
        <is>
          <t>Harpelle; Amulette du Strigide; Anneau Rifique; Anneau de Padgref; Bouclier du Captain Amakna; Ceintacé; Cagoule de Vortex; Cape Lati; Sabots de Vortex; Dofus Turquoise; Dofus des Glaces; Dofus Pourpre; Dolmanax; Remueur; Nomade; Muldo Ebène et Orchidée</t>
        </is>
      </c>
    </row>
    <row r="28713">
      <c r="A28713" t="inlineStr">
        <is>
          <t>Eau/Feu 200 DoCrit</t>
        </is>
      </c>
      <c r="B28713">
        <f>HYPERLINK("https://www.dofusbook.net/fr/equipement/1558913-eau-feu-200-docrit/objets", "link")</f>
        <v/>
      </c>
      <c r="C28713" t="n">
        <v>0</v>
      </c>
      <c r="D28713" t="inlineStr">
        <is>
          <t>Arc Nécrotique; Talisman Igans; Anneau Tique; Alliance de Missiz Frizz; Bouclier du Captain Amakna; Ceintrigue; Casquette de Meno; Cape de la Dame du Hasard; Pataugastrique; Dofus des Glaces; Dofus Pourpre; Dofus Turquoise; Vigoureux majeur; Nomade; Remueur; Muldo Prune et Orchidée</t>
        </is>
      </c>
    </row>
    <row r="28714">
      <c r="A28714" t="inlineStr">
        <is>
          <t>Air 200 DoCrit</t>
        </is>
      </c>
      <c r="B28714">
        <f>HYPERLINK("https://www.dofusbook.net/fr/equipement/1555383-air-200-docrit/objets", "link")</f>
        <v/>
      </c>
      <c r="C28714" t="n">
        <v>0</v>
      </c>
      <c r="D28714" t="inlineStr">
        <is>
          <t>Hachoirs de Viandargh; Amulette du Granduk; Kralano; Anneau de Padgref; Bouclier du Captain Amakna; Ceintacé; Capuche de Moum-Ra; Cape Indescriptible; Bottes du Cycloïde; Dofus Pourpre; Dofus Turquoise; Dofus des Glaces; Remueur; Nomade; Cascadeur majeur; Siroko</t>
        </is>
      </c>
    </row>
    <row r="28715">
      <c r="A28715" t="inlineStr">
        <is>
          <t>Air/Eau 200</t>
        </is>
      </c>
      <c r="B28715">
        <f>HYPERLINK("https://www.dofusbook.net/fr/equipement/1445654-air-eau-200/objets", "link")</f>
        <v/>
      </c>
      <c r="C28715" t="n">
        <v>0</v>
      </c>
      <c r="D28715" t="inlineStr">
        <is>
          <t>Arc de Koutoulou; Amulette du Strigide; Alliance Gloursonne; Bracelet du Piloztère; Bouclier du Captain Amakna; Ceinture du Strigide; Némès de Tal Kasha; Chevelure de Tal Kasha; Sandales de Tal Kasha; Dofus Turquoise; Dolmanax; Dofus Pourpre; Dofus des Glaces; Dofus Émeraude; Dofus Ocre; Muldo Indigo</t>
        </is>
      </c>
    </row>
    <row r="28716">
      <c r="A28716" t="inlineStr">
        <is>
          <t>Air/Eau 200</t>
        </is>
      </c>
      <c r="B28716">
        <f>HYPERLINK("https://www.dofusbook.net/fr/equipement/1436706-air-eau-200/objets", "link")</f>
        <v/>
      </c>
      <c r="C28716" t="n">
        <v>0</v>
      </c>
      <c r="D28716" t="inlineStr">
        <is>
          <t>Arc de Koutoulou; Amulette du Strigide; Bracelet du Piloztère; Alliance Gloursonne; Bouclier du Captain Amakna; Ceinture du Strigide; Némès de Tal Kasha; Chevelure de Tal Kasha; Sandales de Tal Kasha; Dofus Émeraude; Dofus Ocre; Dofus Turquoise; Dolmanax; Dofus Pourpre; Dofus des Glaces; Muldo Indigo</t>
        </is>
      </c>
    </row>
    <row r="28717">
      <c r="A28717" t="inlineStr">
        <is>
          <t>Terre/Air 200</t>
        </is>
      </c>
      <c r="B28717">
        <f>HYPERLINK("https://www.dofusbook.net/fr/equipement/1436163-terre-air-200/objets", "link")</f>
        <v/>
      </c>
      <c r="C28717" t="n">
        <v>0</v>
      </c>
      <c r="D28717" t="inlineStr">
        <is>
          <t>Dague Hirr; Amibou; Anneau Crustique; Gant du Valet Veinard; Bouclier du Captain Amakna; Ceintouse; Chapoulpe; Cape au Logis; Baleinabottes; Dofus Pourpre; Remueur; Cascadeur majeur; Nomade; Vigoureux majeur; Enragé majeur; Muldo Prune et Doré</t>
        </is>
      </c>
    </row>
    <row r="28718">
      <c r="A28718" t="inlineStr">
        <is>
          <t>Air/Feu 200</t>
        </is>
      </c>
      <c r="B28718">
        <f>HYPERLINK("https://www.dofusbook.net/fr/equipement/1425404-air-feu-200/objets", "link")</f>
        <v/>
      </c>
      <c r="C28718" t="n">
        <v>0</v>
      </c>
      <c r="D28718" t="inlineStr">
        <is>
          <t>Baguette Range; Pendentif mignon de Koutoulou; Anneau Tique; Anneau de Padgref; Quatre-feuilles; Ceintacé; Cagoule de Vortex; Cape Lati; Sabots de Vortex; Dofus Pourpre; Dofus Turquoise; Dofus des Glaces; Remueur; Nomade; Vigoureux majeur; Dragodinde en armure</t>
        </is>
      </c>
    </row>
    <row r="28719">
      <c r="A28719" t="inlineStr">
        <is>
          <t>Air 199</t>
        </is>
      </c>
      <c r="B28719">
        <f>HYPERLINK("https://www.dofusbook.net/fr/equipement/1320113-air-199/objets", "link")</f>
        <v/>
      </c>
      <c r="C28719" t="n">
        <v>0</v>
      </c>
      <c r="D28719" t="inlineStr">
        <is>
          <t>Hachoirs de Viandargh; Pendentif Oton; Anneau de Padgref; Alliance Gloursonne; Quatre-feuilles; Ceinture de Klime; Couronne d'Allister; Cape de Klime; Pantoufles Émar; Dofus Turquoise; Dofus Pourpre; Cascadeur majeur; Remueur; Vigoureux majeur; Nomade; Muldo Prune et Doré</t>
        </is>
      </c>
    </row>
    <row r="28720">
      <c r="A28720" t="inlineStr">
        <is>
          <t>Terre 200 Pvm</t>
        </is>
      </c>
      <c r="B28720">
        <f>HYPERLINK("https://www.dofusbook.net/fr/equipement/1308492-terre-200-pvm/objets", "link")</f>
        <v/>
      </c>
      <c r="C28720" t="n">
        <v>0</v>
      </c>
      <c r="D28720" t="inlineStr">
        <is>
          <t>Arc du Chalœil; Amulette Luminescente; Anneau du Comte Harebourg; Bague Gloursonne; Bouclier du Captain Amakna; Ceinture Luminescente; Coiffe du Comte Harebourg; Cape Luminescente; Bottes du Comte Harebourg; Dofus Ocre; Dofus Pourpre; Dolmanax; Dofus Turquoise; Forcené majeur; Furibond majeur; Muldo Prune et Doré</t>
        </is>
      </c>
    </row>
    <row r="28721">
      <c r="A28721" t="inlineStr">
        <is>
          <t>Terre/Feu 200 Pvm</t>
        </is>
      </c>
      <c r="B28721">
        <f>HYPERLINK("https://www.dofusbook.net/fr/equipement/1308410-terre-feu-200-pvm/objets", "link")</f>
        <v/>
      </c>
      <c r="C28721" t="n">
        <v>0</v>
      </c>
      <c r="D28721" t="inlineStr">
        <is>
          <t>Marteau d'Henual; Amulette de Gein; Chevalière du Roi Joueur; Anneau d'Henual; Bouclier du Captain Amakna; Ceinture d'Henual; Couronne du Roi Joueur; Voile d'encre; Bottes du Roi Joueur; Dofus Pourpre; Dofus des Glaces; Dofus Turquoise; Dolmanax; Dofus Ocre; Furibond majeur; Kwaltess</t>
        </is>
      </c>
    </row>
    <row r="28722">
      <c r="A28722" t="inlineStr">
        <is>
          <t>Eau 200</t>
        </is>
      </c>
      <c r="B28722">
        <f>HYPERLINK("https://www.dofusbook.net/fr/equipement/1307150-eau-200/objets", "link")</f>
        <v/>
      </c>
      <c r="C28722" t="n">
        <v>1</v>
      </c>
      <c r="D28722" t="inlineStr">
        <is>
          <t>Rapière aux Glyphes; Amulette de Danathor; Bracelet des Fonds marins; Alliance Gloursonne; Bouclier cubiste; Ceinture de Danathor; Coiffe de Danathor; Cape du Sinistrofu; Bottes du Sinistrofu; Dofus Ocre; Dofus Pourpre; Dolmanax; Dofus Turquoise; Dofus des Glaces; Entraveur majeur; Muldo Doré et Indigo</t>
        </is>
      </c>
    </row>
    <row r="28723">
      <c r="A28723" t="inlineStr">
        <is>
          <t>Feu 200</t>
        </is>
      </c>
      <c r="B28723">
        <f>HYPERLINK("https://www.dofusbook.net/fr/equipement/1307119-feu-200/objets", "link")</f>
        <v/>
      </c>
      <c r="C28723" t="n">
        <v>0</v>
      </c>
      <c r="D28723" t="inlineStr">
        <is>
          <t>Harpelle; Amulette Séculaire; Bague Gloursonne; Alliance de Missiz Frizz; Bouclier du Captain Amakna; Ceinture Séculaire; Coiffe Séculaire; Cape de Nileza; Bottes de Nileza; Dofus Pourpre; Dolmanax; Dofus Turquoise; Dofus des Glaces; Dofus Ocre; Savant majeur; Muldo Doré et Orchidée</t>
        </is>
      </c>
    </row>
    <row r="28724">
      <c r="A28724" t="inlineStr">
        <is>
          <t>Terre 200 12 PA</t>
        </is>
      </c>
      <c r="B28724">
        <f>HYPERLINK("https://www.dofusbook.net/fr/equipement/1307081-terre-200-12-pa/objets", "link")</f>
        <v/>
      </c>
      <c r="C28724" t="n">
        <v>0</v>
      </c>
      <c r="D28724" t="inlineStr">
        <is>
          <t>Héqache; Amulette de Gein; Anneau de Brouce; Bague Gloursonne; Bouclier du Captain Amakna; Ceinture de Brouce; Couronne du Roi Joueur; Voile d'encre; Bottes de Brouce; Dofus Ocre; Dofus Pourpre; Dofus des Glaces; Dofus Turquoise; Dolmanax; Turbulent; Muldo Doré et Pourpre</t>
        </is>
      </c>
    </row>
    <row r="28725">
      <c r="A28725" t="inlineStr">
        <is>
          <t>Air 200</t>
        </is>
      </c>
      <c r="B28725">
        <f>HYPERLINK("https://www.dofusbook.net/fr/equipement/1307056-air-200/objets", "link")</f>
        <v/>
      </c>
      <c r="C28725" t="n">
        <v>0</v>
      </c>
      <c r="D28725" t="inlineStr">
        <is>
          <t>Épée du Granduk; Amulette du Granduk; Alliance Gloursonne; Anneau d'Allister; Bouclier du Captain Amakna; Ceinture de Klime; Masque du Granduk; Cape de Klime; Bottes d'Allister; Dolmanax; Dofus Turquoise; Dofus des Glaces; Dofus Pourpre; Dofus Ocre; Acrobate majeur; Dragodinde Prune et Ebène</t>
        </is>
      </c>
    </row>
    <row r="28726">
      <c r="A28726" t="inlineStr">
        <is>
          <t>Terre/Feu 200</t>
        </is>
      </c>
      <c r="B28726">
        <f>HYPERLINK("https://www.dofusbook.net/fr/equipement/1306998-terre-feu-200/objets", "link")</f>
        <v/>
      </c>
      <c r="C28726" t="n">
        <v>0</v>
      </c>
      <c r="D28726" t="inlineStr">
        <is>
          <t>Hache Téroïde; Amulette de Gein; Bague Gloursonne; Chevalière du Roi Joueur; Ceinture d'Henual; Couronne du Roi Joueur; Voile d'encre; Pataugastrique; Dolmanax; Dofus Turquoise; Dofus Pourpre; Vigoureux majeur; Remueur; Nomade; Muldo Doré et Pourpre</t>
        </is>
      </c>
    </row>
    <row r="28727">
      <c r="A28727" t="inlineStr">
        <is>
          <t>Terre/Eau 200</t>
        </is>
      </c>
      <c r="B28727">
        <f>HYPERLINK("https://www.dofusbook.net/fr/equipement/1306875-terre-eau-200/objets", "link")</f>
        <v/>
      </c>
      <c r="C28727" t="n">
        <v>1</v>
      </c>
      <c r="D28727" t="inlineStr">
        <is>
          <t>Dagues de Srambad; Amulette du Strigide; Bracelet du Piloztère; Alliance de Missiz Frizz; Bouclier cubiste; Ceinture de la Reine des Voleurs; Kidibonnet; Cape Ovri; Pantoufles du Piloztère; Dolmanax; Dofus Pourpre; Dofus Turquoise; Nomade; Vigoureux majeur; Remueur; Muldo Doré et Ebène</t>
        </is>
      </c>
    </row>
    <row r="28728">
      <c r="A28728" t="inlineStr">
        <is>
          <t>Terre 200</t>
        </is>
      </c>
      <c r="B28728">
        <f>HYPERLINK("https://www.dofusbook.net/fr/equipement/1306820-terre-200/objets", "link")</f>
        <v/>
      </c>
      <c r="C28728" t="n">
        <v>0</v>
      </c>
      <c r="D28728" t="inlineStr">
        <is>
          <t>Arc du Chalœil; Amulette du Strigide; Bague Gloursonne; Chevalière du Roi Joueur; Ceinture de la Cour Sombre; Chapeau de Gein; Cape de la Cour Sombre; Baleinabottes; Dofus Turquoise; Dofus Pourpre; Nomade; Enragé majeur; Remueur; Vigoureux majeur; Muldo Doré et Indigo</t>
        </is>
      </c>
    </row>
    <row r="28729">
      <c r="A28729" t="inlineStr">
        <is>
          <t>Terre 200</t>
        </is>
      </c>
      <c r="B28729">
        <f>HYPERLINK("https://www.dofusbook.net/fr/equipement/1304473-terre-200/objets", "link")</f>
        <v/>
      </c>
      <c r="C28729" t="n">
        <v>1</v>
      </c>
      <c r="D28729" t="inlineStr">
        <is>
          <t>Marteau R'ture; Collier de Tourthon; Bague Gloursonne; Chevalière du Roi Joueur; Sept ans de malheur; Ceinture de la Reine des Voleurs; Couronne du Roi Joueur; Voile d'encre; Baleinabottes; Dofus Turquoise; Dofus Pourpre; Remueur; Vigoureux majeur; Nomade; Enragé majeur; Dragodinde en armure</t>
        </is>
      </c>
    </row>
    <row r="28730">
      <c r="A28730" t="inlineStr">
        <is>
          <t>Air 200</t>
        </is>
      </c>
      <c r="B28730">
        <f>HYPERLINK("https://www.dofusbook.net/fr/equipement/1302212-air-200/objets", "link")</f>
        <v/>
      </c>
      <c r="C28730" t="n">
        <v>1</v>
      </c>
      <c r="D28730" t="inlineStr">
        <is>
          <t>Manthache; Amibou; Alliance Gloursonne; Anneau d'Allister; Bouclier cubiste; Menoture; Capuche de Moum-Ra; Capibou; Palmes Trithons; Dofus Pourpre; Dofus Turquoise; Cascadeur majeur; Remueur; Vigoureux majeur; Nomade; Muldo Prune et Ebène</t>
        </is>
      </c>
    </row>
    <row r="28731">
      <c r="A28731" t="inlineStr">
        <is>
          <t>Multi 200</t>
        </is>
      </c>
      <c r="B28731">
        <f>HYPERLINK("https://www.dofusbook.net/fr/equipement/1299753-multi-200/objets", "link")</f>
        <v/>
      </c>
      <c r="C28731" t="n">
        <v>0</v>
      </c>
      <c r="D28731" t="inlineStr">
        <is>
          <t>Dagues Érhy; Amulette du Strigide; Alliance Gloursonne; Bracelet du Piloztère; Quatre-feuilles; Ceinture du Strigide; Le Dorado; Voile d'encre; Bottes Voldelor; Dofus Pourpre; Dofus Turquoise; Dolmanax; Remueur; Nomade; Vigoureux majeur; Kramkram</t>
        </is>
      </c>
    </row>
    <row r="28732">
      <c r="A28732" t="inlineStr">
        <is>
          <t>Terre/Eau</t>
        </is>
      </c>
      <c r="B28732">
        <f>HYPERLINK("https://www.dofusbook.net/fr/equipement/1225199-terre-eau/objets", "link")</f>
        <v/>
      </c>
      <c r="C28732" t="n">
        <v>0</v>
      </c>
      <c r="D28732" t="inlineStr">
        <is>
          <t>Bâton Beau; Amulette Héroclite; Alliance de Missiz Frizz; Pikano; Quatre-feuilles; Obscture; Casque de Missiz Frizz; Cape au Logis; Sabots Minables; Dofus Pourpre; Dofus Turquoise; Chanceux majeur; Nomade; Vigoureux majeur; Remueur; Kramkram</t>
        </is>
      </c>
    </row>
    <row r="28733">
      <c r="A28733" t="inlineStr">
        <is>
          <t>Air</t>
        </is>
      </c>
      <c r="B28733">
        <f>HYPERLINK("https://www.dofusbook.net/fr/equipement/1225195-air/objets", "link")</f>
        <v/>
      </c>
      <c r="C28733" t="n">
        <v>0</v>
      </c>
      <c r="D28733" t="inlineStr">
        <is>
          <t>Hachoirs de Viandargh; Pendentif Oton; Anneau d'Allister; Kralano; Ceinture Rasboulaire du Rasboul; Masque de Klime; Cape de Klime; Pantoufles Émar; Dofus Émeraude; Dofus Pourpre; Remueur; Cascadeur majeur; Nomade; Vigoureux majeur; Muldo Prune et Ebène</t>
        </is>
      </c>
    </row>
    <row r="28734">
      <c r="A28734" t="inlineStr">
        <is>
          <t>Feu</t>
        </is>
      </c>
      <c r="B28734">
        <f>HYPERLINK("https://www.dofusbook.net/fr/equipement/1225133-feu/objets", "link")</f>
        <v/>
      </c>
      <c r="C28734" t="n">
        <v>0</v>
      </c>
      <c r="D28734" t="inlineStr">
        <is>
          <t>Epée Toche; Amulette d'Otomaï; Bague Gloursonne; Alliance de Missiz Frizz; Obscture; Casqnoar; Voile d'encre; Pantoufles Émar; Dofus Pourpre; Vigoureux majeur; Remueur; Nomade; Astucieux majeur; Érudit majeur; Muldo Prune et Orchidée</t>
        </is>
      </c>
    </row>
    <row r="28735">
      <c r="A28735" t="inlineStr">
        <is>
          <t>Air</t>
        </is>
      </c>
      <c r="B28735">
        <f>HYPERLINK("https://www.dofusbook.net/fr/equipement/1225135-air/objets", "link")</f>
        <v/>
      </c>
      <c r="C28735" t="n">
        <v>0</v>
      </c>
      <c r="D28735" t="inlineStr">
        <is>
          <t>Hachoirs de Viandargh; Pendentif Oton; Anneau d'Allister; Kralano; Ceinture Rasboulaire du Rasboul; Masque de Klime; Cape de Klime; Pantoufles Émar; Dofus Émeraude; Dofus Pourpre; Remueur; Cascadeur majeur; Nomade; Vigoureux majeur; Muldo Prune et Ebène</t>
        </is>
      </c>
    </row>
    <row r="28736">
      <c r="A28736" t="inlineStr">
        <is>
          <t>Multi</t>
        </is>
      </c>
      <c r="B28736">
        <f>HYPERLINK("https://www.dofusbook.net/fr/equipement/1224047-multi/objets", "link")</f>
        <v/>
      </c>
      <c r="C28736" t="n">
        <v>0</v>
      </c>
      <c r="D28736" t="inlineStr">
        <is>
          <t>Epée Toche; Amulette d'Otomaï; Bague Gloursonne; Alliance de Missiz Frizz; Ceinture d'Henual; Casque de Missiz Frizz; Voile d'encre; Sabots Minables; Dofus Pourpre; Dolmanax; Dofus Turquoise; Nomade; Vigoureux majeur; Remueur; Muldo Doré et Pourpre</t>
        </is>
      </c>
    </row>
    <row r="28737">
      <c r="A28737" t="inlineStr">
        <is>
          <t>Air Eau 198</t>
        </is>
      </c>
      <c r="B28737">
        <f>HYPERLINK("https://www.dofusbook.net/fr/equipement/1148452-air-eau-198/objets", "link")</f>
        <v/>
      </c>
      <c r="C28737" t="n">
        <v>0</v>
      </c>
      <c r="D28737" t="inlineStr">
        <is>
          <t>Hache du Korriandre; Pendentif Oton; Pikano; Alliance Gloursonne; Ceinture d'Ogivol; Coiffe d'Hel Munster; Cape d'Hel Munster; Pantoufles Émar; Dofus Émeraude; Dofus Pourpre; Nomade; Vigoureux majeur; Remueur; Miraculé majeur; Muldo Doré et Indigo</t>
        </is>
      </c>
    </row>
    <row r="28738">
      <c r="A28738" t="inlineStr">
        <is>
          <t>Terre190</t>
        </is>
      </c>
      <c r="B28738">
        <f>HYPERLINK("https://www.dofusbook.net/fr/equipement/960804-terre190/objets", "link")</f>
        <v/>
      </c>
      <c r="C28738" t="n">
        <v>1</v>
      </c>
      <c r="D28738" t="inlineStr">
        <is>
          <t>Dagues Eudin; Amulette Héroclite; Anneau Chevelu; Gelano; Ceinture Mycosine; Chapeau Lichinelle; Cape d'Ogivol; Pantoufles de Soissanth; Nomade; Enragé majeur; Furibond majeur; Vigoureux majeur; Remueur; Déserteur majeur; Muldo Doré et Ebène</t>
        </is>
      </c>
    </row>
    <row r="28739">
      <c r="A28739" t="inlineStr">
        <is>
          <t>Sram 180</t>
        </is>
      </c>
      <c r="B28739">
        <f>HYPERLINK("https://www.dofusbook.net/fr/equipement/960409-sram-180/objets", "link")</f>
        <v/>
      </c>
      <c r="C28739" t="n">
        <v>1</v>
      </c>
      <c r="D28739" t="inlineStr">
        <is>
          <t>Youyettes; Collier Yé; Bracelet Ventré; Anneau Chevelu; Ceinture Mycosine; Chapeau Tiche; Cape Surde; Bottines Hertie; Nomade; Vigoureux majeur; Enragé majeur; Remueur; Cascadeur majeur; Muldo Doré et Indigo</t>
        </is>
      </c>
    </row>
    <row r="28740">
      <c r="A28740" t="inlineStr">
        <is>
          <t>Sram 160</t>
        </is>
      </c>
      <c r="B28740">
        <f>HYPERLINK("https://www.dofusbook.net/fr/equipement/960089-sram-160/objets", "link")</f>
        <v/>
      </c>
      <c r="C28740" t="n">
        <v>0</v>
      </c>
      <c r="D28740" t="inlineStr">
        <is>
          <t>Youyettes; Amulette de Cantile; Anneau de Cantile; Gelano; Ceinture Bitoufale de Prosper Youpla; Masque Vaudou Eth; Cape Itaineflam; Sandales Gorithme; Remueur; Cascadeur majeur; Nomade; Vigoureux majeur; Déserteur majeur; Enragé majeur; Muldo Doré et Indigo</t>
        </is>
      </c>
    </row>
    <row r="28741">
      <c r="A28741" t="inlineStr">
        <is>
          <t>Opti</t>
        </is>
      </c>
      <c r="B28741">
        <f>HYPERLINK("https://www.dofusbook.net/fr/equipement/866241-opti/objets", "link")</f>
        <v/>
      </c>
      <c r="C28741" t="n">
        <v>1</v>
      </c>
      <c r="D28741" t="inlineStr">
        <is>
          <t>Epée Gloursonne; Amulette du Strigide; Bague Gloursonne; Alliance Gloursonne; Bouclier du Captain Amakna; Ceinture du Strigide; Casque de Missiz Frizz; Cape Reski; Bottes du Strigide; Dofus Émeraude; Dofus Ocre; Dofus Pourpre; Dofus des Glaces; Dolmanax; Dofus Turquoise; Muldo Doré et Indigo</t>
        </is>
      </c>
    </row>
    <row r="28742">
      <c r="A28742" t="inlineStr">
        <is>
          <t>Stuff 1</t>
        </is>
      </c>
      <c r="B28742">
        <f>HYPERLINK("https://www.dofusbook.net/fr/equipement/433783-stuff-1/objets", "link")</f>
        <v/>
      </c>
      <c r="C28742" t="n">
        <v>0</v>
      </c>
      <c r="D28742" t="inlineStr">
        <is>
          <t>Pyraguette; Collier de la Dame du Hasard; Anneau Tique; Alliance Gloursonne; Sangle Ouare; Kidibonnet; Cape de la Dame du Hasard; Pataugastrique; Dofus Pourpre; Dolmanax; Nomade; Vigoureux majeur; Remueur; Chanceux majeur; Kramkram</t>
        </is>
      </c>
    </row>
    <row r="28743">
      <c r="A28743" t="inlineStr">
        <is>
          <t>Stuff 3</t>
        </is>
      </c>
      <c r="B28743">
        <f>HYPERLINK("https://www.dofusbook.net/fr/equipement/433759-stuff-3/objets", "link")</f>
        <v/>
      </c>
      <c r="C28743" t="n">
        <v>0</v>
      </c>
      <c r="D28743" t="inlineStr">
        <is>
          <t>Dagues Érhy; Amulette du Strigide; Bague Gloursonne; Bracelet du Piloztère; Bouclier du Captain Amakna; Ceintacé; Casque de Missiz Frizz; Voile d'encre; Bottes du Strigide; Dofus Pourpre; Dolmanax; Dofus des Glaces; Vigoureux majeur; Remueur; Nomade; Kramkram</t>
        </is>
      </c>
    </row>
    <row r="28744">
      <c r="A28744" t="inlineStr">
        <is>
          <t>Pandawa F 200</t>
        </is>
      </c>
      <c r="B28744">
        <f>HYPERLINK("https://www.dofusbook.net/fr/equipement/5990772-pandawa-f-200/objets", "link")</f>
        <v/>
      </c>
      <c r="C28744" t="n">
        <v>2</v>
      </c>
      <c r="D28744" t="inlineStr">
        <is>
          <t>Rouleau à Pâtisserie d'Aermyne; Collier du Valet Veinard; Bracelet du Piloztère; Alliance Gloursonne; Sept ans de malheur; Ceintacé; Masque d'Anerice; Cape d'Anerice; Pataugastrique; Dofus Émeraude; Dokoko; Obstructeur majeur; Miraculé majeur; Nomade; Remueur; Platypus</t>
        </is>
      </c>
    </row>
    <row r="28745">
      <c r="A28745" t="inlineStr">
        <is>
          <t>maherlatchoin</t>
        </is>
      </c>
      <c r="B28745">
        <f>HYPERLINK("https://www.dofusbook.net/fr/equipement/5953727-maherlatchoin/objets", "link")</f>
        <v/>
      </c>
      <c r="C28745" t="n">
        <v>20</v>
      </c>
      <c r="D28745" t="inlineStr">
        <is>
          <t>Baguette de Torkélonia; Amulette du Kamasterisk; Anneau Volkorne; Bracelet du Piloztère; Quatre-feuilles; Ceinture Volkorne; Casque Volkorne; Cape du Kamasterisk; Bottes du Kamasterisk; Dokoko; Dofus Turquoise; Dolmanax; Dofus Ocre; Dofus des Glaces; Dofus Pourpre; Mékrabe</t>
        </is>
      </c>
    </row>
    <row r="28746">
      <c r="A28746" t="inlineStr">
        <is>
          <t>Eniripsa M 200</t>
        </is>
      </c>
      <c r="B28746">
        <f>HYPERLINK("https://www.dofusbook.net/fr/equipement/5990566-eniripsa-m-200/objets", "link")</f>
        <v/>
      </c>
      <c r="C28746" t="n">
        <v>4</v>
      </c>
      <c r="D28746" t="inlineStr">
        <is>
          <t>Pyraguette; Talisman Igans; Anneauræus; Anneauræus; Bouclier du Cycloïde; Ceintrigue; Masque de l'Esprit Malsain; Cape de Diondin; Pataugastrique; Dofus Émeraude; Nomade; Remueur; Chanceux majeur; Érudit majeur; Guérisseur majeur; Muldo Orchidée</t>
        </is>
      </c>
    </row>
    <row r="28747">
      <c r="A28747" t="inlineStr">
        <is>
          <t>elsadido</t>
        </is>
      </c>
      <c r="B28747">
        <f>HYPERLINK("https://www.dofusbook.net/fr/equipement/5983070-elsadido/objets", "link")</f>
        <v/>
      </c>
      <c r="C28747" t="n">
        <v>0</v>
      </c>
      <c r="D28747" t="inlineStr">
        <is>
          <t>Amulette du Strigide; Ceintacé</t>
        </is>
      </c>
    </row>
    <row r="28748">
      <c r="A28748" t="inlineStr">
        <is>
          <t>Iop F 200</t>
        </is>
      </c>
      <c r="B28748">
        <f>HYPERLINK("https://www.dofusbook.net/fr/equipement/5924486-iop-f-200/objets", "link")</f>
        <v/>
      </c>
      <c r="C28748" t="n">
        <v>22</v>
      </c>
      <c r="D28748" t="inlineStr">
        <is>
          <t>Crocobur; Amulette du Strigide; Anneau Chevelu; Anneau Crustique; Bouclier du Captain Amakna; Ceintacé; Masque de Koutoulou; Cape au Logis; Bottes du Strigide; Dofus Turquoise; Dofus des Glaces; Dofus Pourpre; Nomade; Remueur; Enragé majeur; Pioute vert</t>
        </is>
      </c>
    </row>
    <row r="28749">
      <c r="A28749" t="inlineStr">
        <is>
          <t>Zobal M 200</t>
        </is>
      </c>
      <c r="B28749">
        <f>HYPERLINK("https://www.dofusbook.net/fr/equipement/5862852-zobal-m-200/objets", "link")</f>
        <v/>
      </c>
      <c r="C28749" t="n">
        <v>5</v>
      </c>
      <c r="D28749" t="inlineStr">
        <is>
          <t>Hache Téroïde; Amulette du Strigide; Bague Trithon; Bague Gloursonne; Bouclier du Captain Amakna; Ceintacé; Masque Trithon; Voile d'encre; Bottes Trithon; Dofus Pourpre; Dofus Ocre; Dolmanax; Dofus des Glaces; Dofus Turquoise; Voyageur; Muldo Doré et Emeraude</t>
        </is>
      </c>
    </row>
    <row r="28750">
      <c r="A28750" t="inlineStr">
        <is>
          <t>Iop F 20000</t>
        </is>
      </c>
      <c r="B28750">
        <f>HYPERLINK("https://www.dofusbook.net/fr/equipement/5924516-iop-f-20000/objets", "link")</f>
        <v/>
      </c>
      <c r="C28750" t="n">
        <v>0</v>
      </c>
      <c r="D28750" t="inlineStr">
        <is>
          <t>Arc de Koutoulou; Amulette du Strigide; Anneau Toriété; Crocanneau; Quatre-feuilles; Ceintacé; Némès de Tal Kasha; Cape d'Atcham; Sandales de Tal Kasha; Dofus Turquoise; Dolmanax; Dofus des Glaces; Dofus Pourpre; Remueur; Nomade; Mini Wa</t>
        </is>
      </c>
    </row>
    <row r="28751">
      <c r="A28751" t="inlineStr">
        <is>
          <t>Zobal M 200</t>
        </is>
      </c>
      <c r="B28751">
        <f>HYPERLINK("https://www.dofusbook.net/fr/equipement/5842582-zobal-m-200/objets", "link")</f>
        <v/>
      </c>
      <c r="C28751" t="n">
        <v>12</v>
      </c>
      <c r="D28751" t="inlineStr">
        <is>
          <t>Arc Nécrotique; Amulette Volkorne; Anneau Volkorne; Bague Trithon; Quatre-feuilles; Ceintacé; Masque Trithon; Cape de la Dame du Hasard; Bottes de la Dame du Hasard; Dofus Turquoise; Dofus Ocre; Dofus Pourpre; Dofus Émeraude; Dolmanax; Dofus des Glaces; Muldo Prune et Emeraude</t>
        </is>
      </c>
    </row>
    <row r="28752">
      <c r="A28752" t="inlineStr">
        <is>
          <t>Sram M 200</t>
        </is>
      </c>
      <c r="B28752">
        <f>HYPERLINK("https://www.dofusbook.net/fr/equipement/5830075-sram-m-200/objets", "link")</f>
        <v/>
      </c>
      <c r="C28752" t="n">
        <v>0</v>
      </c>
      <c r="D28752" t="inlineStr">
        <is>
          <t>Masque Trithon; Bottes Trithon</t>
        </is>
      </c>
    </row>
    <row r="28753">
      <c r="A28753" t="inlineStr">
        <is>
          <t>Osamodas F 200</t>
        </is>
      </c>
      <c r="B28753">
        <f>HYPERLINK("https://www.dofusbook.net/fr/equipement/3476645-osamodas-f-200/objets", "link")</f>
        <v/>
      </c>
      <c r="C28753" t="n">
        <v>0</v>
      </c>
      <c r="D28753" t="inlineStr">
        <is>
          <t>Dagues du Rat Noir; Collier du Rat Noir; Gelano; Anneau du Rat Noir; Ceinture du Rat Noir; Masque du Rat Noir; Cape du Rat Noir; Bottes du Rat Noir</t>
        </is>
      </c>
    </row>
    <row r="28754">
      <c r="A28754" t="inlineStr">
        <is>
          <t>FEUUUU</t>
        </is>
      </c>
      <c r="B28754">
        <f>HYPERLINK("https://www.dofusbook.net/fr/equipement/3068092-feuuuu/objets", "link")</f>
        <v/>
      </c>
      <c r="C28754" t="n">
        <v>1</v>
      </c>
      <c r="D28754" t="inlineStr">
        <is>
          <t>Arc corrompu; Pendentif mignon de Koutoulou; Anneauræus; Anneauræus; Bouclier du Stalak; Ceinture de Vortex; Cagoule de Vortex; Voile d'encre; Pataugastrique; Dofus des Glaces; Dofus Turquoise; Dofus Pourpre; Érudit majeur; Astucieux majeur; Remueur; Muldo Orchidée</t>
        </is>
      </c>
    </row>
    <row r="28755">
      <c r="A28755" t="inlineStr">
        <is>
          <t>full feu no brain</t>
        </is>
      </c>
      <c r="B28755">
        <f>HYPERLINK("https://www.dofusbook.net/fr/equipement/3068080-full-feu-no-brain-/objets", "link")</f>
        <v/>
      </c>
      <c r="C28755" t="n">
        <v>6</v>
      </c>
      <c r="D28755" t="inlineStr">
        <is>
          <t>Arc corrompu; Amulette Séculaire; Anneauræus; Anneauræus; Bouclier du Stalak; Ceinture Séculaire; Coiffe Séculaire; Cape Ardente; Chaussures Ardentes; Dolmanax; Dofus Ocre; Dofus Pourpre; Dofus des Glaces; Dofus Émeraude; Dofus Turquoise; Muldo Orchidée</t>
        </is>
      </c>
    </row>
    <row r="28756">
      <c r="A28756" t="inlineStr">
        <is>
          <t>feufeufeufeu</t>
        </is>
      </c>
      <c r="B28756">
        <f>HYPERLINK("https://www.dofusbook.net/fr/equipement/3068045-feufeufeufeu/objets", "link")</f>
        <v/>
      </c>
      <c r="C28756" t="n">
        <v>9</v>
      </c>
      <c r="D28756" t="inlineStr">
        <is>
          <t>Arc corrompu; Amulette de Gein; Bague Gloursonne; Anneau Rifique; Quatre-feuilles; Ceinture de Gein; Heaume Oplate; Voile d'encre; Bottes Innommables; Dofus Pourpre; Dofus Turquoise; Dofus des Glaces; Remueur; Nomade; Érudit majeur; Muldo Pourpre</t>
        </is>
      </c>
    </row>
    <row r="28757">
      <c r="A28757" t="inlineStr">
        <is>
          <t>ari</t>
        </is>
      </c>
      <c r="B28757">
        <f>HYPERLINK("https://www.dofusbook.net/fr/equipement/2963481-ari/objets", "link")</f>
        <v/>
      </c>
      <c r="C28757" t="n">
        <v>2</v>
      </c>
      <c r="D28757" t="inlineStr">
        <is>
          <t>Lance Horselé; Amulette Ementaire Deluxe; Alliance Gloursonne; Gant du Valet Veinard; Bouclier de Solar; Protopagne; Casque Dragoeuf; Cape du Valet Veinard; Baleinabottes; Dofus Ivoire; Dofus Émeraude; Dolmanax; Remueur; Miraculé majeur; Croum</t>
        </is>
      </c>
    </row>
    <row r="28758">
      <c r="A28758" t="inlineStr">
        <is>
          <t>ikjbkbkh</t>
        </is>
      </c>
      <c r="B28758">
        <f>HYPERLINK("https://www.dofusbook.net/fr/equipement/2934687-ikjbkbkh/objets", "link")</f>
        <v/>
      </c>
      <c r="C28758" t="n">
        <v>2</v>
      </c>
      <c r="D28758" t="inlineStr">
        <is>
          <t>Epée Gloursonne; Collier Rophante; Bague Gloursonne; Alliance Gloursonne; Ceinture de la Reine des Voleurs; Coiffe du Glourséleste; Voile d'encre; Bottes de la Reine des Voleurs; Dofus Turquoise; Dofus Abyssal; Dofus Ocre; Dofus Ivoire; Dofus Pourpre; Dofus des Glaces; Kramkram</t>
        </is>
      </c>
    </row>
    <row r="28759">
      <c r="A28759" t="inlineStr">
        <is>
          <t>dlidkjndlk</t>
        </is>
      </c>
      <c r="B28759">
        <f>HYPERLINK("https://www.dofusbook.net/fr/equipement/2934339-dlidkjndlk/objets", "link")</f>
        <v/>
      </c>
      <c r="C28759" t="n">
        <v>0</v>
      </c>
      <c r="D28759" t="inlineStr">
        <is>
          <t>Héqache; Amulette du Strigide; Alliance Gloursonne; Bague Trithon; Bivalve; Ceinture Gence; Masque Trithon; Voile d'encre; Bottes du Cœur Vaillant; Dofus Pourpre; Dofus Abyssal; Dofus des Glaces; Remueur; Bousculeur majeur; Culbuteur majeur; Muldo Ebène et Pourpre</t>
        </is>
      </c>
    </row>
    <row r="28760">
      <c r="A28760" t="inlineStr">
        <is>
          <t>eauuuu</t>
        </is>
      </c>
      <c r="B28760">
        <f>HYPERLINK("https://www.dofusbook.net/fr/equipement/2929770-eauuuu/objets", "link")</f>
        <v/>
      </c>
      <c r="C28760" t="n">
        <v>0</v>
      </c>
      <c r="D28760" t="inlineStr">
        <is>
          <t>Dagoulinantes; Amulette de Shokkoth; Alliance Gloursonne; Bracelet des Fonds marins; Bouclier d'Ilyzaelle; Poulpagne; Capuche de l'Œil Attentif; Cape de l'Œil Attentif; Bottes du Sinistrofu; Dofus Pourpre; Dofus Nébuleux; Dofus des Glaces; Chanceux majeur; Nomade; Remueur; Kramkram</t>
        </is>
      </c>
    </row>
    <row r="28761">
      <c r="A28761" t="inlineStr">
        <is>
          <t>gougougougou</t>
        </is>
      </c>
      <c r="B28761">
        <f>HYPERLINK("https://www.dofusbook.net/fr/equipement/2832687-gougougougou/objets", "link")</f>
        <v/>
      </c>
      <c r="C28761" t="n">
        <v>1</v>
      </c>
      <c r="D28761" t="inlineStr">
        <is>
          <t>Epée Gloursonne; Amulette du Strigide; Alliance Gloursonne; Bague Gloursonne; Bouclier d'Ilyzaelle; Ceinture du Strigide; Némès de Tal Kasha; Chevelure de Tal Kasha; Sandales de Tal Kasha; Dofus Ocre; Dofus Abyssal; Dofus Pourpre; Dofus des Glaces; Dofus Turquoise; Dofus Nébuleux; Muldo Ebène et Orchidée</t>
        </is>
      </c>
    </row>
    <row r="28762">
      <c r="A28762" t="inlineStr">
        <is>
          <t>qkoqsjpqsq</t>
        </is>
      </c>
      <c r="B28762">
        <f>HYPERLINK("https://www.dofusbook.net/fr/equipement/2789977-qkoqsjpqsq/objets", "link")</f>
        <v/>
      </c>
      <c r="C28762" t="n">
        <v>0</v>
      </c>
      <c r="D28762" t="inlineStr">
        <is>
          <t>Dagues d'Ilyzaelle; Amulette du Strigide; Bague Gloursonne; Anneau Chevelu; Bouclier du Captain Amakna; Ceinture du Strigide; Masque de Koutoulou; Cape au Logis; Baleinabottes; Dofus Pourpre; Dofus Turquoise; Vigoureux majeur; Enragé majeur; Nomade; Remueur; Croum</t>
        </is>
      </c>
    </row>
    <row r="28763">
      <c r="A28763" t="inlineStr">
        <is>
          <t>tzlkaka</t>
        </is>
      </c>
      <c r="B28763">
        <f>HYPERLINK("https://www.dofusbook.net/fr/equipement/2709192-tzlkaka/objets", "link")</f>
        <v/>
      </c>
      <c r="C28763" t="n">
        <v>0</v>
      </c>
      <c r="D28763" t="inlineStr">
        <is>
          <t>Arc de Koutoulou; Amulette du Strigide; Alliance Gloursonne; Gant du Valet Veinard; Quatre-feuilles; Ceintacé; Némès de Tal Kasha; Chevelure de Tal Kasha; Bottes de la Reine des Voleurs; Muldo Ebène</t>
        </is>
      </c>
    </row>
    <row r="28764">
      <c r="A28764" t="inlineStr">
        <is>
          <t>Lance Corrompue</t>
        </is>
      </c>
      <c r="B28764">
        <f>HYPERLINK("https://www.dofusbook.net/fr/equipement/2708385-lance-corrompue/objets", "link")</f>
        <v/>
      </c>
      <c r="C28764" t="n">
        <v>0</v>
      </c>
      <c r="D28764" t="inlineStr">
        <is>
          <t>Lance corrompue; Amulette de l'Indicible; Alliance Gloursonne; Cadran d'Eau; Ceinture de la Reine des Voleurs; Coiffe de la Reine des Voleurs; Voile d'encre; Baleinabottes; Dofus Abyssal; Dofus Pourpre; Dofus des Glaces; Vigoureux majeur; Remueur; Muldo Pourpre</t>
        </is>
      </c>
    </row>
    <row r="28765">
      <c r="A28765" t="inlineStr">
        <is>
          <t>Lance Corrompue</t>
        </is>
      </c>
      <c r="B28765">
        <f>HYPERLINK("https://www.dofusbook.net/fr/equipement/2708384-lance-corrompue/objets", "link")</f>
        <v/>
      </c>
      <c r="C28765" t="n">
        <v>0</v>
      </c>
      <c r="D28765" t="inlineStr">
        <is>
          <t>Lance corrompue; Amulette de Nevark; Alliance Gloursonne; Cadran d'Eau; Ankhape; Baleinabottes; Dofus Nébuleux; Dofus Pourpre; Dofus des Glaces; Vigoureux majeur; Remueur; Muldo Pourpre</t>
        </is>
      </c>
    </row>
    <row r="28766">
      <c r="A28766" t="inlineStr">
        <is>
          <t>sknskjss</t>
        </is>
      </c>
      <c r="B28766">
        <f>HYPERLINK("https://www.dofusbook.net/fr/equipement/2704504-sknskjss/objets", "link")</f>
        <v/>
      </c>
      <c r="C28766" t="n">
        <v>0</v>
      </c>
      <c r="D28766" t="inlineStr">
        <is>
          <t>Lance corrompue; Amulette du Kamasterisk; Gant du Valet Veinard; Alliance Gloursonne; Bouclier d'Ilyzaelle; Ceinture de la Reine des Voleurs; Coiffe de la Reine des Voleurs; Voile d'encre; Baleinabottes; Dofus des Glaces; Dofus Émeraude; Dofus Abyssal; Dofus Pourpre; Remueur; Carapace Feu majeur; Muldo Ebène</t>
        </is>
      </c>
    </row>
    <row r="28767">
      <c r="A28767" t="inlineStr">
        <is>
          <t>sdd</t>
        </is>
      </c>
      <c r="B28767">
        <f>HYPERLINK("https://www.dofusbook.net/fr/equipement/2490637-sdd/objets", "link")</f>
        <v/>
      </c>
      <c r="C28767" t="n">
        <v>0</v>
      </c>
      <c r="D28767" t="inlineStr"/>
    </row>
    <row r="28768">
      <c r="A28768" t="inlineStr">
        <is>
          <t>dopljkdlk</t>
        </is>
      </c>
      <c r="B28768">
        <f>HYPERLINK("https://www.dofusbook.net/fr/equipement/2226711-dopljkdlk/objets", "link")</f>
        <v/>
      </c>
      <c r="C28768" t="n">
        <v>2</v>
      </c>
      <c r="D28768" t="inlineStr">
        <is>
          <t>Arc Ahique; Collier du Valet Veinard; Gant du Valet Veinard; Bouclier du Stalak; Ceinture de la Reine des Voleurs; Coiffe de la Reine des Voleurs; Cape du Valet Veinard; Bottes de la Reine des Voleurs; Dofus Pourpre; Dofus Abyssal; Dolmanax; Dofus Ocre; Dokoko; Dofus des Glaces; Muldo Doré</t>
        </is>
      </c>
    </row>
    <row r="28769">
      <c r="A28769" t="inlineStr">
        <is>
          <t>qzfz</t>
        </is>
      </c>
      <c r="B28769">
        <f>HYPERLINK("https://www.dofusbook.net/fr/equipement/2198390-qzfz/objets", "link")</f>
        <v/>
      </c>
      <c r="C28769" t="n">
        <v>0</v>
      </c>
      <c r="D28769" t="inlineStr">
        <is>
          <t>Arc Nécrotique; Talisman Igans; Anneau Tique; Alliance Gloursonne; Quatre-feuilles; Ceinture de l'Esprit Malsain; Masque de l'Esprit Malsain; Voile d'encre; Bottes de l'Esprit Malsain; Dofus Turquoise; Dofus Abyssal; Dofus Émeraude; Dofus Ocre; Dofus Pourpre; Dofus des Glaces; Muldo Indigo et Orchidée</t>
        </is>
      </c>
    </row>
    <row r="28770">
      <c r="A28770" t="inlineStr">
        <is>
          <t>feu eau tank</t>
        </is>
      </c>
      <c r="B28770">
        <f>HYPERLINK("https://www.dofusbook.net/fr/equipement/2178421-feu-eau-tank/objets", "link")</f>
        <v/>
      </c>
      <c r="C28770" t="n">
        <v>1</v>
      </c>
      <c r="D28770" t="inlineStr">
        <is>
          <t>Arc Nécrotique; Collier de la Dame du Hasard; Alliance Gloursonne; Anneau Tique; Quatre-feuilles; Poulpagne; Casque Dragoeuf; Voile d'encre; Bottes de la Dame du Hasard; Dofus Pourpre; Dofus Abyssal; Dofus Turquoise; Dofus des Glaces; Miraculé majeur; Remueur; Muldo Pourpre</t>
        </is>
      </c>
    </row>
    <row r="28771">
      <c r="A28771" t="inlineStr">
        <is>
          <t>feu o</t>
        </is>
      </c>
      <c r="B28771">
        <f>HYPERLINK("https://www.dofusbook.net/fr/equipement/2178384-feu-o/objets", "link")</f>
        <v/>
      </c>
      <c r="C28771" t="n">
        <v>0</v>
      </c>
      <c r="D28771" t="inlineStr">
        <is>
          <t>Pyraguette; Talisman Igans; Alliance Gloursonne; Bracelet des Fonds marins; Bouclier du Stalak; Ceintrigue; Casqnoar; Cape de la Dame du Hasard; Pataugastrique; Dofus des Glaces; Dofus Émeraude; Dofus Pourpre; Carapace Feu majeur; Nomade; Remueur; Kramkram</t>
        </is>
      </c>
    </row>
    <row r="28772">
      <c r="A28772" t="inlineStr">
        <is>
          <t>O FEU</t>
        </is>
      </c>
      <c r="B28772">
        <f>HYPERLINK("https://www.dofusbook.net/fr/equipement/2178389-o-feu/objets", "link")</f>
        <v/>
      </c>
      <c r="C28772" t="n">
        <v>1</v>
      </c>
      <c r="D28772" t="inlineStr">
        <is>
          <t>Arc Nécrotique; Amulette du Strigide; Alliance Gloursonne; Baguistik; Quatre-feuilles; Ceinture du Strigide; Casquette de Meno; Voile d'encre; Pataugastrique; Dofus Pourpre; Dolmanax; Dofus Turquoise; Dofus des Glaces; Remueur; Observateur; Muldo Orchidée et Pourpre</t>
        </is>
      </c>
    </row>
    <row r="28773">
      <c r="A28773" t="inlineStr">
        <is>
          <t>hihi</t>
        </is>
      </c>
      <c r="B28773">
        <f>HYPERLINK("https://www.dofusbook.net/fr/equipement/2178291-hihi/objets", "link")</f>
        <v/>
      </c>
      <c r="C28773" t="n">
        <v>0</v>
      </c>
      <c r="D28773" t="inlineStr">
        <is>
          <t>Baguette de Malléfisk; Amulette de Nileza; Anneau Tique; Anneau de Nidas; Carapar; Ceinture Séculaire; Couronne de Nidas; Voile d'encre; Pataugastrique; Dofus Abyssal; Dofus Émeraude; Remueur; Érudit majeur; Carapace Terre majeur; Miraculé majeur; Muldo Indigo et Orchidée</t>
        </is>
      </c>
    </row>
    <row r="28774">
      <c r="A28774" t="inlineStr">
        <is>
          <t>petite pute</t>
        </is>
      </c>
      <c r="B28774">
        <f>HYPERLINK("https://www.dofusbook.net/fr/equipement/2174145-petite-pute/objets", "link")</f>
        <v/>
      </c>
      <c r="C28774" t="n">
        <v>0</v>
      </c>
      <c r="D28774" t="inlineStr">
        <is>
          <t>Baguette Range; Amulette du Strigide; Alliance Gloursonne; Anneau de Padgref; Goulclier; Ceinture du Strigide; Casque Dragoeuf; Voile d'encre; Bottes du Strigide; Dofus Vulbis; Dofus Ocre; Dofus Nébuleux; Dofus Turquoise; Dofus des Glaces; Dolmanax; Kramkram</t>
        </is>
      </c>
    </row>
    <row r="28775">
      <c r="A28775" t="inlineStr">
        <is>
          <t>feu HETY</t>
        </is>
      </c>
      <c r="B28775">
        <f>HYPERLINK("https://www.dofusbook.net/fr/equipement/2174113-feu-hety/objets", "link")</f>
        <v/>
      </c>
      <c r="C28775" t="n">
        <v>0</v>
      </c>
      <c r="D28775" t="inlineStr">
        <is>
          <t>Baguette de Malléfisk; Amulette de Nileza; Anneau Tique; Anneau Rifique; Sept ans de malheur; Ceinture de Vortex; Casque Cyclopéen; Voile d'encre; Bottes Innommables; Dofus Ocre; Dofus Abyssal; Remueur; Miraculé majeur; Érudit majeur; Carapace Terre majeur; Muldo Pourpre</t>
        </is>
      </c>
    </row>
    <row r="28776">
      <c r="A28776" t="inlineStr">
        <is>
          <t>eau tkt</t>
        </is>
      </c>
      <c r="B28776">
        <f>HYPERLINK("https://www.dofusbook.net/fr/equipement/2174074-eau-tkt/objets", "link")</f>
        <v/>
      </c>
      <c r="C28776" t="n">
        <v>0</v>
      </c>
      <c r="D28776" t="inlineStr">
        <is>
          <t>Dagoulinantes; Amulette de Shokkoth; Alliance Gloursonne; Anneau de Pol Ouatnos; Bouclier d'Ilyzaelle; Poulpagne; Masque des Fonds marins; Cape de Mantaze; Sandales des Fonds marins; Dolmanax; Dofus Pourpre; Dofus des Glaces; Dofus Turquoise; Carapace Eau majeur; Remueur; Croum</t>
        </is>
      </c>
    </row>
    <row r="28777">
      <c r="A28777" t="inlineStr">
        <is>
          <t>FEUUUU</t>
        </is>
      </c>
      <c r="B28777">
        <f>HYPERLINK("https://www.dofusbook.net/fr/equipement/2157261-feuuuu/objets", "link")</f>
        <v/>
      </c>
      <c r="C28777" t="n">
        <v>0</v>
      </c>
      <c r="D28777" t="inlineStr">
        <is>
          <t>Arc corrompu; Pendentif mignon de Koutoulou; Anneauræus; Anneauræus; Bouclier du Stalak; Ceinture de Vortex; Cagoule de Vortex; Voile d'encre; Pataugastrique; Dofus Turquoise; Dofus Pourpre; Dofus des Glaces; Érudit majeur; Astucieux majeur; Remueur; Muldo Orchidée</t>
        </is>
      </c>
    </row>
    <row r="28778">
      <c r="A28778" t="inlineStr">
        <is>
          <t>cheto</t>
        </is>
      </c>
      <c r="B28778">
        <f>HYPERLINK("https://www.dofusbook.net/fr/equipement/2154199-cheto/objets", "link")</f>
        <v/>
      </c>
      <c r="C28778" t="n">
        <v>1</v>
      </c>
      <c r="D28778" t="inlineStr">
        <is>
          <t>Epée Toche; Amulette de Gein; Bague Gloursonne; Bague Trithon; Bouclier du Captain Amakna; Ceinture de Gein; Masque Trithon; Voile d'encre; Bottes Trithon; Dofus Pourpre; Dofus des Glaces; Dofus Turquoise; Dolmanax; Dofus Ocre; Muldo Ebène et Pourpre</t>
        </is>
      </c>
    </row>
    <row r="28779">
      <c r="A28779" t="inlineStr">
        <is>
          <t>hihi</t>
        </is>
      </c>
      <c r="B28779">
        <f>HYPERLINK("https://www.dofusbook.net/fr/equipement/2137445-hihi/objets", "link")</f>
        <v/>
      </c>
      <c r="C28779" t="n">
        <v>0</v>
      </c>
      <c r="D28779" t="inlineStr">
        <is>
          <t>Arc Hétype; Amulette de Nileza; Anneau Tique; Anneau de Nidas; Bouclier cubiste; Ceinture Séculaire; Couronne de Nidas; Voile d'encre; Pataugastrique; Temporiseur majeur; Déserteur majeur; Remueur; Vagabond majeur; Érudit majeur; Carapace Neutre majeur; Muldo Indigo et Orchidée</t>
        </is>
      </c>
    </row>
    <row r="28780">
      <c r="A28780" t="inlineStr">
        <is>
          <t>fghfgh</t>
        </is>
      </c>
      <c r="B28780">
        <f>HYPERLINK("https://www.dofusbook.net/fr/equipement/2137437-fghfgh/objets", "link")</f>
        <v/>
      </c>
      <c r="C28780" t="n">
        <v>0</v>
      </c>
      <c r="D28780" t="inlineStr">
        <is>
          <t>Sceptre du Roi Joueur; Amulette de l'Œil Attentif; Bracelet des Fonds marins; Alliance Gloursonne; Bouclier du Stalak; Ceinture de l'Indicible; Capuche de l'Œil Attentif; Cape de l'Œil Attentif; Bottes de l'Indicible; Dolmanax; Dofus Ocre; Dofus Pourpre; Dofus des Glaces; Dofus Turquoise; Dofus Abyssal; Muldo Indigo</t>
        </is>
      </c>
    </row>
    <row r="28781">
      <c r="A28781" t="inlineStr">
        <is>
          <t>tkt</t>
        </is>
      </c>
      <c r="B28781">
        <f>HYPERLINK("https://www.dofusbook.net/fr/equipement/2133459-tkt/objets", "link")</f>
        <v/>
      </c>
      <c r="C28781" t="n">
        <v>0</v>
      </c>
      <c r="D28781" t="inlineStr">
        <is>
          <t>Sceptre du Roi Joueur; Amulette de l'Indicible; Bracelet des Fonds marins; Alliance Gloursonne; Bouclier du Stalak; Poulpagne; Capuche de l'Œil Attentif; Cape de l'Œil Attentif; Bottes de Meno; Dofus Abyssal; Dofus Pourpre; Dofus des Glaces; Chanceux majeur; Remueur; Déserteur majeur; Muldo Indigo</t>
        </is>
      </c>
    </row>
    <row r="28782">
      <c r="A28782" t="inlineStr">
        <is>
          <t>ebekdkd</t>
        </is>
      </c>
      <c r="B28782">
        <f>HYPERLINK("https://www.dofusbook.net/fr/equipement/2127777-ebekdkd/objets", "link")</f>
        <v/>
      </c>
      <c r="C28782" t="n">
        <v>0</v>
      </c>
      <c r="D28782" t="inlineStr">
        <is>
          <t>Héqache; Amulette du Strigide; Anneau Chevelu; Alliance Gloursonne; Quatre-feuilles; Ceintacé; Chapeau Lisson; Voile d'encre; Bottes du Strigide; Dolmanax; Dofus Turquoise; Dofus des Glaces; Dofus Pourpre; Dofus Abyssal; Remueur; Muldo Ebène et Pourpre</t>
        </is>
      </c>
    </row>
    <row r="28783">
      <c r="A28783" t="inlineStr">
        <is>
          <t>dans la jungle</t>
        </is>
      </c>
      <c r="B28783">
        <f>HYPERLINK("https://www.dofusbook.net/fr/equipement/2127646-dans-la-jungle/objets", "link")</f>
        <v/>
      </c>
      <c r="C28783" t="n">
        <v>0</v>
      </c>
      <c r="D28783" t="inlineStr">
        <is>
          <t>Dagues Ricol; Collier de la Dame du Hasard; Bague Gloursonne; Anneau Rifique; Bouclier alvéolé; Ceinture de Gein; Chapeau de Gein; Voile d'encre; Pataugastrique; Croum</t>
        </is>
      </c>
    </row>
    <row r="28784">
      <c r="A28784" t="inlineStr">
        <is>
          <t>hnbjkbj</t>
        </is>
      </c>
      <c r="B28784">
        <f>HYPERLINK("https://www.dofusbook.net/fr/equipement/2122707-hnbjkbj/objets", "link")</f>
        <v/>
      </c>
      <c r="C28784" t="n">
        <v>0</v>
      </c>
      <c r="D28784" t="inlineStr">
        <is>
          <t>Amulette de Nileza; Anneau Tique; Anneau de Nidas; Carapar; Ceinture de Vortex; Cagoule de Vortex; Voile d'encre; Pataugastrique; Dofus Émeraude; Guérisseur majeur; Érudit majeur; Remueur; Miraculé majeur; Muldo Pourpre</t>
        </is>
      </c>
    </row>
    <row r="28785">
      <c r="A28785" t="inlineStr">
        <is>
          <t>feu HETY</t>
        </is>
      </c>
      <c r="B28785">
        <f>HYPERLINK("https://www.dofusbook.net/fr/equipement/2110183-feu-hety/objets", "link")</f>
        <v/>
      </c>
      <c r="C28785" t="n">
        <v>0</v>
      </c>
      <c r="D28785" t="inlineStr">
        <is>
          <t>Arc corrompu; Amulette de Nileza; Anneau Rifique; Baguistik; Bouclier du Stalak; Ceinture de Vortex; Casque Cyclopéen; Voile d'encre; Bottes Innommables; Dofus Ocre; Dofus des Glaces; Remueur; Miraculé majeur; Érudit majeur; Dévastateur Feu majeur; Muldo Pourpre</t>
        </is>
      </c>
    </row>
    <row r="28786">
      <c r="A28786" t="inlineStr">
        <is>
          <t>multii</t>
        </is>
      </c>
      <c r="B28786">
        <f>HYPERLINK("https://www.dofusbook.net/fr/equipement/2110081-multii/objets", "link")</f>
        <v/>
      </c>
      <c r="C28786" t="n">
        <v>0</v>
      </c>
      <c r="D28786" t="inlineStr">
        <is>
          <t>Arc Honte; Amulette de l'Indicible; Alliance Gloursonne; Anneau Rifique; Bouclier du Stalak; Ceinture de l'Indicible; Dorabysses; Cape d'Atcham; Pataugastrique; Dofus Émeraude; Dofus des Glaces; Dofus Pourpre; Miraculé majeur; Remueur; Sanguinaire majeur; Muldo Indigo et Orchidée</t>
        </is>
      </c>
    </row>
    <row r="28787">
      <c r="A28787" t="inlineStr">
        <is>
          <t>o r</t>
        </is>
      </c>
      <c r="B28787">
        <f>HYPERLINK("https://www.dofusbook.net/fr/equipement/2108228-o-r/objets", "link")</f>
        <v/>
      </c>
      <c r="C28787" t="n">
        <v>0</v>
      </c>
      <c r="D28787" t="inlineStr">
        <is>
          <t>Amulette du Strigide; Alliance Gloursonne; Bague Trithon; Quatre-feuilles; Ceinture du Strigide; Némès de Tal Kasha; Chevelure de Tal Kasha; Sandales de Tal Kasha; Dofus Turquoise; Dofus Pourpre; Dofus des Glaces; Dofus Ocre; Dofus Abyssal; Muldo Ebène et Indigo</t>
        </is>
      </c>
    </row>
    <row r="28788">
      <c r="A28788" t="inlineStr">
        <is>
          <t>TAPER EAU</t>
        </is>
      </c>
      <c r="B28788">
        <f>HYPERLINK("https://www.dofusbook.net/fr/equipement/2108207-taper-eau/objets", "link")</f>
        <v/>
      </c>
      <c r="C28788" t="n">
        <v>0</v>
      </c>
      <c r="D28788" t="inlineStr">
        <is>
          <t>Dagoulinantes; Amulette de Shokkoth; Anneau de Pol Ouatnos; Alliance Gloursonne; Quatre-feuilles; Poulpagne; Masque des Fonds marins; Cape de Mantaze; Sandales des Fonds marins; Dofus Pourpre; Dofus Turquoise; Carapace Eau majeur; Chanceux majeur; Dévastateur Eau majeur; Remueur; Croum</t>
        </is>
      </c>
    </row>
    <row r="28789">
      <c r="A28789" t="inlineStr">
        <is>
          <t>nsm</t>
        </is>
      </c>
      <c r="B28789">
        <f>HYPERLINK("https://www.dofusbook.net/fr/equipement/2086587-nsm/objets", "link")</f>
        <v/>
      </c>
      <c r="C28789" t="n">
        <v>0</v>
      </c>
      <c r="D28789" t="inlineStr">
        <is>
          <t>Hache Euvale; Amulette Luminescente; Alliance Gloursonne; Bague Trithon; Bouclier du Stalak; Ceinture Luminescente; Masque Trithon; Cape Luminescente; Bottes Trithon; Dofus Pourpre; Dolmanax; Dofus Émeraude; Dofus des Glaces; Dofus Turquoise; Dofus Ocre; Muldo Ebène et Pourpre</t>
        </is>
      </c>
    </row>
    <row r="28790">
      <c r="A28790" t="inlineStr">
        <is>
          <t>old school</t>
        </is>
      </c>
      <c r="B28790">
        <f>HYPERLINK("https://www.dofusbook.net/fr/equipement/2057555-old-school/objets", "link")</f>
        <v/>
      </c>
      <c r="C28790" t="n">
        <v>0</v>
      </c>
      <c r="D28790" t="inlineStr">
        <is>
          <t>Rapière aux Glyphes; Amulette Voldelor; Bracelet des Fonds marins; Alliance Gloursonne; Bouclier précieux; Sangle Ouare; Kidibonnet; Cape des Malveilleurs; Bottes des Malveilleurs; Dofus Émeraude; Culbuteur majeur; Carapace Terre majeur; Miraculé majeur; Bousculeur majeur; Remueur; Péki</t>
        </is>
      </c>
    </row>
    <row r="28791">
      <c r="A28791" t="inlineStr">
        <is>
          <t>pou</t>
        </is>
      </c>
      <c r="B28791">
        <f>HYPERLINK("https://www.dofusbook.net/fr/equipement/2057541-pou/objets", "link")</f>
        <v/>
      </c>
      <c r="C28791" t="n">
        <v>0</v>
      </c>
      <c r="D28791" t="inlineStr">
        <is>
          <t>Héqache; Amulette Luminescente; Bague Trithon; Alliance Gloursonne; Bouclier d'Anerice; Ceinture Luminescente; Masque d'Anerice; Cape d'Anerice; Bottes Trithon; Dofus Vulbis; Dofus Ocre; Dofus Émeraude; Bousculeur majeur; Survivant majeur; Bousculeur; Péki</t>
        </is>
      </c>
    </row>
    <row r="28792">
      <c r="A28792" t="inlineStr">
        <is>
          <t>LAFAMILLE</t>
        </is>
      </c>
      <c r="B28792">
        <f>HYPERLINK("https://www.dofusbook.net/fr/equipement/2051733-lafamille/objets", "link")</f>
        <v/>
      </c>
      <c r="C28792" t="n">
        <v>0</v>
      </c>
      <c r="D28792" t="inlineStr">
        <is>
          <t>Marteau de Katrepat; Amulette du Strigide; Alliance Gloursonne; Alliance Brûlâme; Quatre-feuilles; Ceinture du Strigide; Masque Brûlâme; Voile d'encre; Pompes Funèbres; Dofus des Glaces; Dofus Turquoise; Dolmanax; Dofus Ocre; Dofus Émeraude; Dofus Pourpre; Muldo Prune et Emeraude</t>
        </is>
      </c>
    </row>
    <row r="28793">
      <c r="A28793" t="inlineStr">
        <is>
          <t>airbitch</t>
        </is>
      </c>
      <c r="B28793">
        <f>HYPERLINK("https://www.dofusbook.net/fr/equipement/2036872-airbitch/objets", "link")</f>
        <v/>
      </c>
      <c r="C28793" t="n">
        <v>0</v>
      </c>
      <c r="D28793" t="inlineStr">
        <is>
          <t>Hachoirs de Viandargh; Amulette du Strigide; Alliance Gloursonne; Bague Trithon; Bouclier Taverne; Ceinture du Strigide; Némès de Tal Kasha; Chevelure de Tal Kasha; Sandales de Tal Kasha; Dofus Ocre; Dofus Nébuleux; Dofus Turquoise; Dofus Pourpre; Dofus Vulbis; Dofus des Glaces; Muldo Ebène et Indigo</t>
        </is>
      </c>
    </row>
    <row r="28794">
      <c r="A28794" t="inlineStr">
        <is>
          <t>pvm</t>
        </is>
      </c>
      <c r="B28794">
        <f>HYPERLINK("https://www.dofusbook.net/fr/equipement/2009258-pvm/objets", "link")</f>
        <v/>
      </c>
      <c r="C28794" t="n">
        <v>1</v>
      </c>
      <c r="D28794" t="inlineStr">
        <is>
          <t>Hache Téroïde; Amulette du Strigide; Alliance de Missiz Frizz; Bague Gloursonne; Bouclier du Captain Amakna; Ceinture du Strigide; Bonnet Ko; Voile d'encre; Bottes du Cycloïde; Dofus Turquoise; Dofus Ocre; Dofus des Glaces; Dofus Pourpre; Nomade; Remueur; Muldo Prune et Emeraude</t>
        </is>
      </c>
    </row>
    <row r="28795">
      <c r="A28795" t="inlineStr">
        <is>
          <t>nsm</t>
        </is>
      </c>
      <c r="B28795">
        <f>HYPERLINK("https://www.dofusbook.net/fr/equipement/1930504-nsm/objets", "link")</f>
        <v/>
      </c>
      <c r="C28795" t="n">
        <v>1</v>
      </c>
      <c r="D28795" t="inlineStr">
        <is>
          <t>Hache Euvale; Amulette Luminescente; Bague Trithon; Alliance Gloursonne; Bouclier Taverne; Ceinture Luminescente; Masque Trithon; Cape Luminescente; Bottes Trithon; Dofus Émeraude; Dofus des Glaces; Dofus Turquoise; Dofus Ocre; Dofus Pourpre; Dolmanax; Muldo Ebène et Pourpre</t>
        </is>
      </c>
    </row>
    <row r="28796">
      <c r="A28796" t="inlineStr">
        <is>
          <t>eau</t>
        </is>
      </c>
      <c r="B28796">
        <f>HYPERLINK("https://www.dofusbook.net/fr/equipement/1929268-eau/objets", "link")</f>
        <v/>
      </c>
      <c r="C28796" t="n">
        <v>0</v>
      </c>
      <c r="D28796" t="inlineStr">
        <is>
          <t>Dagoulinantes; Amulette de Shokkoth; Bracelet des Fonds marins; Alliance Gloursonne; Bouclier du Stalak; Ceinture du Barbétoal; Kidibonnet; Cape de Mantaze; Sandales des Fonds marins; Dofus des Glaces; Dofus Pourpre; Nomade; Remueur; Chanceux majeur; Dévastateur Eau majeur; Croum</t>
        </is>
      </c>
    </row>
    <row r="28797">
      <c r="A28797" t="inlineStr">
        <is>
          <t>TERRE FEU HETYPE</t>
        </is>
      </c>
      <c r="B28797">
        <f>HYPERLINK("https://www.dofusbook.net/fr/equipement/1913397-terre-feu-hetype/objets", "link")</f>
        <v/>
      </c>
      <c r="C28797" t="n">
        <v>0</v>
      </c>
      <c r="D28797" t="inlineStr">
        <is>
          <t>Arc Hétype; Amulette de Gein; Bague Gloursonne; Chevalière du Roi Joueur; Sept ans de malheur; Ceinture de Gein; Chapeau de Gein; Voile d'encre; Bottes du Roi Joueur; Dofus Turquoise; Dofus Abyssal; Dofus Pourpre; Dofus Ocre; Dofus Émeraude; Dolmanax; Muldo Ebène et Orchidée</t>
        </is>
      </c>
    </row>
    <row r="28798">
      <c r="A28798" t="inlineStr">
        <is>
          <t>feu HETY</t>
        </is>
      </c>
      <c r="B28798">
        <f>HYPERLINK("https://www.dofusbook.net/fr/equipement/1913384-feu-hety/objets", "link")</f>
        <v/>
      </c>
      <c r="C28798" t="n">
        <v>0</v>
      </c>
      <c r="D28798" t="inlineStr">
        <is>
          <t>Arc Hétype; Amulette de Nileza; Anneau Tique; Anneau Rifique; Sept ans de malheur; Ceinture de Vortex; Casque Cyclopéen; Voile d'encre; Bottes Innommables; Dofus Abyssal; Dofus Émeraude; Dofus Ocre; Miraculé majeur; Érudit majeur; Remueur; Muldo Pourpre</t>
        </is>
      </c>
    </row>
    <row r="28799">
      <c r="A28799" t="inlineStr">
        <is>
          <t>feu o</t>
        </is>
      </c>
      <c r="B28799">
        <f>HYPERLINK("https://www.dofusbook.net/fr/equipement/1913290-feu-o/objets", "link")</f>
        <v/>
      </c>
      <c r="C28799" t="n">
        <v>0</v>
      </c>
      <c r="D28799" t="inlineStr">
        <is>
          <t>Pyraguette; Talisman Igans; Alliance Gloursonne; Bracelet des Fonds marins; Bouclier du Stalak; Ceintrigue; Casqnoar; Cape de la Dame du Hasard; Pataugastrique; Dofus Pourpre; Dofus des Glaces; Dofus Émeraude; Remueur; Carapace Feu majeur; Nomade; Kramkram</t>
        </is>
      </c>
    </row>
    <row r="28800">
      <c r="A28800" t="inlineStr">
        <is>
          <t>feu HETY</t>
        </is>
      </c>
      <c r="B28800">
        <f>HYPERLINK("https://www.dofusbook.net/fr/equipement/1911426-feu-hety/objets", "link")</f>
        <v/>
      </c>
      <c r="C28800" t="n">
        <v>0</v>
      </c>
      <c r="D28800" t="inlineStr">
        <is>
          <t>Arc Hétype; Amulette de Nileza; Anneau Tique; Anneau Rifique; Sept ans de malheur; Ceinture de Vortex; Casque Cyclopéen; Voile d'encre; Bottes Innommables; Dofus Abyssal; Dofus Émeraude; Dofus Ocre; Miraculé majeur; Érudit majeur; Remueur; Muldo Pourpre</t>
        </is>
      </c>
    </row>
    <row r="28801">
      <c r="A28801" t="inlineStr">
        <is>
          <t>TERRE TAPER</t>
        </is>
      </c>
      <c r="B28801">
        <f>HYPERLINK("https://www.dofusbook.net/fr/equipement/1671569-terre-taper/objets", "link")</f>
        <v/>
      </c>
      <c r="C28801" t="n">
        <v>0</v>
      </c>
      <c r="D28801" t="inlineStr">
        <is>
          <t>Arc du Chalœil; Amulette du Strigide; Anneau Chevelu; Anneau Crustique; Bouclier du Stalak; Ceinture du Strigide; Masque de Koutoulou; Voile d'encre; Baleinabottes; Dofus Vulbis; Dofus Abyssal; Dofus Pourpre; Dofus des Glaces; Dofus Turquoise; Dofus Nébuleux; Croum</t>
        </is>
      </c>
    </row>
    <row r="28802">
      <c r="A28802" t="inlineStr">
        <is>
          <t>agi</t>
        </is>
      </c>
      <c r="B28802">
        <f>HYPERLINK("https://www.dofusbook.net/fr/equipement/1913213-agi/objets", "link")</f>
        <v/>
      </c>
      <c r="C28802" t="n">
        <v>0</v>
      </c>
      <c r="D28802" t="inlineStr">
        <is>
          <t>Manthache; Collier du Valet Veinard; Alliance Gloursonne; Gant du Valet Veinard; Bouclier du Stalak; Menoture; Casque Dragoeuf; Cape Indescriptible; Palmes Trithons; Dofus Pourpre; Dofus Abyssal; Dofus Vulbis; Dofus des Glaces; Cascadeur majeur; Remueur; Croum</t>
        </is>
      </c>
    </row>
    <row r="28803">
      <c r="A28803" t="inlineStr">
        <is>
          <t>TAPER EAU</t>
        </is>
      </c>
      <c r="B28803">
        <f>HYPERLINK("https://www.dofusbook.net/fr/equipement/1671489-taper-eau/objets", "link")</f>
        <v/>
      </c>
      <c r="C28803" t="n">
        <v>0</v>
      </c>
      <c r="D28803" t="inlineStr">
        <is>
          <t>Dagoulinantes; Amulette de Shokkoth; Alliance Gloursonne; Bracelet des Fonds marins; Quatre-feuilles; Poulpagne; Casquette de Meno; Cape de Mantaze; Sandales des Fonds marins; Dofus des Glaces; Dofus Pourpre; Dofus Vulbis; Dofus Turquoise; Chanceux majeur; Remueur; Croum</t>
        </is>
      </c>
    </row>
    <row r="28804">
      <c r="A28804" t="inlineStr">
        <is>
          <t>o r</t>
        </is>
      </c>
      <c r="B28804">
        <f>HYPERLINK("https://www.dofusbook.net/fr/equipement/1912805-o-r/objets", "link")</f>
        <v/>
      </c>
      <c r="C28804" t="n">
        <v>0</v>
      </c>
      <c r="D28804" t="inlineStr">
        <is>
          <t>Héqache; Amulette de Shokkoth; Alliance Gloursonne; Bague Trithon; Bouclier précieux; Protopagne; Masque d'Anerice; Cape d'Anerice; Bottes Owesli; Dofus Émeraude; Dofus Ocre; Miraculé majeur; Culbuteur majeur; Bousculeur majeur; Remueur; Péki</t>
        </is>
      </c>
    </row>
    <row r="28805">
      <c r="A28805" t="inlineStr">
        <is>
          <t>hihi</t>
        </is>
      </c>
      <c r="B28805">
        <f>HYPERLINK("https://www.dofusbook.net/fr/equipement/1911552-hihi/objets", "link")</f>
        <v/>
      </c>
      <c r="C28805" t="n">
        <v>1</v>
      </c>
      <c r="D28805" t="inlineStr">
        <is>
          <t>Baguette de Malléfisk; Amulette de Nileza; Anneau Tique; Anneau de Nidas; Carapar; Protopagne; Couronne de Nidas; Voile d'encre; Pataugastrique; Vagabond majeur; Érudit majeur; Carapace Neutre majeur; Miraculé majeur; Déserteur majeur; Remueur; Croum</t>
        </is>
      </c>
    </row>
    <row r="28806">
      <c r="A28806" t="inlineStr">
        <is>
          <t>feu o</t>
        </is>
      </c>
      <c r="B28806">
        <f>HYPERLINK("https://www.dofusbook.net/fr/equipement/1911440-feu-o/objets", "link")</f>
        <v/>
      </c>
      <c r="C28806" t="n">
        <v>1</v>
      </c>
      <c r="D28806" t="inlineStr">
        <is>
          <t>Pyraguette; Talisman Igans; Alliance Gloursonne; Bracelet des Fonds marins; Bouclier du Stalak; Ceintrigue; Casqnoar; Cape de la Dame du Hasard; Pataugastrique; Dofus Pourpre; Dofus des Glaces; Dofus Émeraude; Remueur; Carapace Feu majeur; Nomade; Kramkram</t>
        </is>
      </c>
    </row>
    <row r="28807">
      <c r="A28807" t="inlineStr">
        <is>
          <t>feu ret</t>
        </is>
      </c>
      <c r="B28807">
        <f>HYPERLINK("https://www.dofusbook.net/fr/equipement/1911414-feu-ret/objets", "link")</f>
        <v/>
      </c>
      <c r="C28807" t="n">
        <v>1</v>
      </c>
      <c r="D28807" t="inlineStr">
        <is>
          <t>Harpelle; Amulette de Nileza; Anneau de Nidas; Anneau Rifique; Sept ans de malheur; Protopagne; Cagoule de Vortex; Voile d'encre; Sabots de Vortex; Dofus Ocre; Dofus Abyssal; Remueur; Étourdisseur majeur; Guérisseur majeur; Érudit majeur; Croum</t>
        </is>
      </c>
    </row>
    <row r="28808">
      <c r="A28808" t="inlineStr">
        <is>
          <t>TAPE EAU</t>
        </is>
      </c>
      <c r="B28808">
        <f>HYPERLINK("https://www.dofusbook.net/fr/equipement/1884397-tape-eau/objets", "link")</f>
        <v/>
      </c>
      <c r="C28808" t="n">
        <v>0</v>
      </c>
      <c r="D28808" t="inlineStr">
        <is>
          <t>Hache Rot; Amulette de Shokkoth; Bracelet des Fonds marins; Alliance Gloursonne; Quatre-feuilles; Pagne du Rykaon; Masque des Fonds marins; Cape de Mantaze; Sandales des Fonds marins; Dofus Turquoise; Dofus des Glaces; Dofus Pourpre; Dofus Ocre; Dofus Émeraude; Dolmanax; Muldo Indigo et Pourpre</t>
        </is>
      </c>
    </row>
    <row r="28809">
      <c r="A28809" t="inlineStr">
        <is>
          <t>feu o</t>
        </is>
      </c>
      <c r="B28809">
        <f>HYPERLINK("https://www.dofusbook.net/fr/equipement/1884391-feu-o/objets", "link")</f>
        <v/>
      </c>
      <c r="C28809" t="n">
        <v>0</v>
      </c>
      <c r="D28809" t="inlineStr">
        <is>
          <t>Arc Nécrotique; Collier de la Dame du Hasard; Anneau de Padgref; Bague Trithon; Quatre-feuilles; Ceintacé; Masque Trithon; Cape de la Dame du Hasard; Bottes Trithon; Dofus Pourpre; Dofus Ocre; Dofus Émeraude; Dolmanax; Dofus Turquoise; Dofus des Glaces; Muldo Orchidée et Pourpre</t>
        </is>
      </c>
    </row>
    <row r="28810">
      <c r="A28810" t="inlineStr">
        <is>
          <t>levi</t>
        </is>
      </c>
      <c r="B28810">
        <f>HYPERLINK("https://www.dofusbook.net/fr/equipement/1884357-levi/objets", "link")</f>
        <v/>
      </c>
      <c r="C28810" t="n">
        <v>0</v>
      </c>
      <c r="D28810" t="inlineStr">
        <is>
          <t>Hache du Chalœil; Amulette du Strigide; Alliance du Lévitrof; Alliance Gloursonne; Bouclier du Stalak; Ceinture du Strigide; Coiffe du Lévitrof; Voile d'encre; Bottes du Lévitrof; Dofus Turquoise; Dofus des Glaces; Dofus Pourpre; Dofus Ocre; Dofus Émeraude; Dolmanax; Muldo Indigo et Pourpre</t>
        </is>
      </c>
    </row>
    <row r="28811">
      <c r="A28811" t="inlineStr">
        <is>
          <t>lowcost</t>
        </is>
      </c>
      <c r="B28811">
        <f>HYPERLINK("https://www.dofusbook.net/fr/equipement/1884348-lowcost/objets", "link")</f>
        <v/>
      </c>
      <c r="C28811" t="n">
        <v>0</v>
      </c>
      <c r="D28811" t="inlineStr">
        <is>
          <t>Hache du Chalœil; Amulette du Strigide; Bague Gloursonne; Alliance Gloursonne; Quatre-feuilles; Ceinture du Strigide; Casque du Chalœil; Voile d'encre; Bottes du Strigide; Dofus Turquoise; Dofus Émeraude; Dofus Ocre; Dolmanax; Dofus Pourpre; Dofus des Glaces; Muldo Indigo et Pourpre</t>
        </is>
      </c>
    </row>
    <row r="28812">
      <c r="A28812" t="inlineStr">
        <is>
          <t>qpomjln</t>
        </is>
      </c>
      <c r="B28812">
        <f>HYPERLINK("https://www.dofusbook.net/fr/equipement/1871185-qpomjln/objets", "link")</f>
        <v/>
      </c>
      <c r="C28812" t="n">
        <v>0</v>
      </c>
      <c r="D28812" t="inlineStr">
        <is>
          <t>Pelle Hikule; Amulette du Strigide; Anneau Chevelu; Anneau Crustique; Bouclier alvéolé; Ceinture du Strigide; Masque de Koutoulou; Cape au Logis; Baleinabottes; Dofus Pourpre; Dofus des Glaces; Dofus Turquoise; Dolmanax; Enragé majeur; Miraculé majeur; Croum</t>
        </is>
      </c>
    </row>
    <row r="28813">
      <c r="A28813" t="inlineStr">
        <is>
          <t>pad</t>
        </is>
      </c>
      <c r="B28813">
        <f>HYPERLINK("https://www.dofusbook.net/fr/equipement/1863620-pad/objets", "link")</f>
        <v/>
      </c>
      <c r="C28813" t="n">
        <v>0</v>
      </c>
      <c r="D28813" t="inlineStr">
        <is>
          <t>Baguette Range; Amulette du Strigide; Alliance Gloursonne; Anneau de Padgref; Quatre-feuilles; Ceintacé; Cape Lati; Pataugastrique; Dofus Turquoise; Dolmanax; Dofus Pourpre; Dofus des Glaces; Remueur; Nomade; Muldo Prune et Emeraude</t>
        </is>
      </c>
    </row>
    <row r="28814">
      <c r="A28814" t="inlineStr">
        <is>
          <t>no tp chui noob</t>
        </is>
      </c>
      <c r="B28814">
        <f>HYPERLINK("https://www.dofusbook.net/fr/equipement/1850392-no-tp-chui-noob/objets", "link")</f>
        <v/>
      </c>
      <c r="C28814" t="n">
        <v>2</v>
      </c>
      <c r="D28814" t="inlineStr">
        <is>
          <t>Epée Loponèze; Amulette de Pol Ouatnos; Alliance Gloursonne; Anneau de Pol Ouatnos; Sept ans de malheur; Ceinture du Barbétoal; Masque du Barbétoal; Cape Matelassée; Pataugastrique; Cavaleur majeur; Engourdisseur majeur; Carapace Feu majeur; Étourdisseur; Paralyseur majeur; Étourdisseur majeur; Croum</t>
        </is>
      </c>
    </row>
    <row r="28815">
      <c r="A28815" t="inlineStr">
        <is>
          <t>kjghk</t>
        </is>
      </c>
      <c r="B28815">
        <f>HYPERLINK("https://www.dofusbook.net/fr/equipement/1795492-kjghk/objets", "link")</f>
        <v/>
      </c>
      <c r="C28815" t="n">
        <v>0</v>
      </c>
      <c r="D28815" t="inlineStr">
        <is>
          <t>Baguette Hique; Amulette du Glourséleste; Anneau Tamie; Anneau Instable; Bouclier cubiste; Ceinture Instable; Casquipik; Cape de Meno; Pantoufles Émar; Entraveur majeur; Ralentisseur majeur; Temporiseur; Remueur; Entraveur; Temporiseur majeur; Muldo Prune et Doré</t>
        </is>
      </c>
    </row>
    <row r="28816">
      <c r="A28816" t="inlineStr">
        <is>
          <t>negro</t>
        </is>
      </c>
      <c r="B28816">
        <f>HYPERLINK("https://www.dofusbook.net/fr/equipement/1782706-negro/objets", "link")</f>
        <v/>
      </c>
      <c r="C28816" t="n">
        <v>0</v>
      </c>
      <c r="D28816" t="inlineStr">
        <is>
          <t>Arc Nécrotique; Amulette du Strigide; Baguistik; Alliance Gloursonne; Bouclier du Cycloïde; Ceinture du Strigide; Casque Dragoeuf; Voile d'encre; Pataugastrique; Dofus Pourpre; Dolmanax; Dofus Turquoise; Dofus des Glaces; Dofus Ocre; Dofus Abyssal; Muldo Indigo et Orchidée</t>
        </is>
      </c>
    </row>
    <row r="28817">
      <c r="A28817" t="inlineStr">
        <is>
          <t>euh</t>
        </is>
      </c>
      <c r="B28817">
        <f>HYPERLINK("https://www.dofusbook.net/fr/equipement/1782516-euh/objets", "link")</f>
        <v/>
      </c>
      <c r="C28817" t="n">
        <v>2</v>
      </c>
      <c r="D28817" t="inlineStr">
        <is>
          <t>Dagues de Srambad; Torquistik; Baguistik; Goulano; Goulclier; Ceinture de la Reine des Voleurs; Coiffe de la Reine des Voleurs; Cape de Kongoku; Bottes de la Reine des Voleurs; Dofus Pourpre; Dofus des Glaces; Dofus Ocre; Dofus Abyssal; Dofus Émeraude; Dolmanax; Muldo Ebène</t>
        </is>
      </c>
    </row>
    <row r="28818">
      <c r="A28818" t="inlineStr">
        <is>
          <t>ffeuuuu</t>
        </is>
      </c>
      <c r="B28818">
        <f>HYPERLINK("https://www.dofusbook.net/fr/equipement/1775922-ffeuuuu/objets", "link")</f>
        <v/>
      </c>
      <c r="C28818" t="n">
        <v>0</v>
      </c>
      <c r="D28818" t="inlineStr">
        <is>
          <t>Baguette Range; Amulette du Strigide; Alliance Gloursonne; Anneau de Padgref; Quatre-feuilles; Ceintacé; Coiffe de Padgref; Voile d'encre; Pataugastrique; Muldo Prune et Emeraude</t>
        </is>
      </c>
    </row>
    <row r="28819">
      <c r="A28819" t="inlineStr">
        <is>
          <t>eau</t>
        </is>
      </c>
      <c r="B28819">
        <f>HYPERLINK("https://www.dofusbook.net/fr/equipement/1509095-eau/objets", "link")</f>
        <v/>
      </c>
      <c r="C28819" t="n">
        <v>0</v>
      </c>
      <c r="D28819" t="inlineStr">
        <is>
          <t>Dagoulinantes; Alliance Gloursonne; Bracelet des Fonds marins; Bouclier du Cycloïde; Poulpagne; Casquette de Meno; Capchalot; Sandales des Fonds marins; Dofus Turquoise; Dofus des Glaces; Dofus Pourpre; Évasif majeur; Chanceux majeur; Carapace Air majeur; Muldo Ebène et Pourpre</t>
        </is>
      </c>
    </row>
    <row r="28820">
      <c r="A28820" t="inlineStr">
        <is>
          <t>kjghjbjh</t>
        </is>
      </c>
      <c r="B28820">
        <f>HYPERLINK("https://www.dofusbook.net/fr/equipement/1749124-kjghjbjh/objets", "link")</f>
        <v/>
      </c>
      <c r="C28820" t="n">
        <v>0</v>
      </c>
      <c r="D28820" t="inlineStr">
        <is>
          <t>Héqache; Amulette du Strigide; Alliance Gloursonne; Bouclier à hélice; Ceintacé; Casque des égarés; Dofusteuse; Bottes du Strigide; Dofus Vulbis; Dofus Abyssal; Dofus Pourpre; Dofus Ocre; Dofus Turquoise; Dofus des Glaces; Kramkram</t>
        </is>
      </c>
    </row>
    <row r="28821">
      <c r="A28821" t="inlineStr">
        <is>
          <t>FEUUUU</t>
        </is>
      </c>
      <c r="B28821">
        <f>HYPERLINK("https://www.dofusbook.net/fr/equipement/1741779-feuuuu/objets", "link")</f>
        <v/>
      </c>
      <c r="C28821" t="n">
        <v>0</v>
      </c>
      <c r="D28821" t="inlineStr">
        <is>
          <t>Arc corrompu; Pendentif mignon de Koutoulou; Anneauræus; Anneauræus; Bouclier du Stalak; Ceinture de Vortex; Cagoule de Vortex; Voile d'encre; Pataugastrique; Dofus Pourpre; Dofus des Glaces; Dofus Turquoise; Érudit majeur; Astucieux majeur; Remueur; Muldo Orchidée</t>
        </is>
      </c>
    </row>
    <row r="28822">
      <c r="A28822" t="inlineStr">
        <is>
          <t>Tour 1</t>
        </is>
      </c>
      <c r="B28822">
        <f>HYPERLINK("https://www.dofusbook.net/fr/equipement/1678753-tour-1/objets", "link")</f>
        <v/>
      </c>
      <c r="C28822" t="n">
        <v>0</v>
      </c>
      <c r="D28822" t="inlineStr">
        <is>
          <t>Dagues de Srambad; Amulette du Piloztère; Alliance Gloursonne; Jadis; Ceinture de la Reine des Voleurs; Masque de Koutoulou; Voile d'encre; Bottes de la Reine des Voleurs; Dofus Ocre; Dofus des Glaces; Dofus Pourpre; Dofus Nébuleux; Sanguinaire majeur; Remueur; Muldo Pourpre</t>
        </is>
      </c>
    </row>
    <row r="28823">
      <c r="A28823" t="inlineStr">
        <is>
          <t>chacha</t>
        </is>
      </c>
      <c r="B28823">
        <f>HYPERLINK("https://www.dofusbook.net/fr/equipement/1732327-chacha/objets", "link")</f>
        <v/>
      </c>
      <c r="C28823" t="n">
        <v>0</v>
      </c>
      <c r="D28823" t="inlineStr">
        <is>
          <t>Hache du Chalœil; Amulette du Strigide; Bracelet des Fonds marins; Alliance Gloursonne; Bouclier du Stalak; Ceintacé; Masque d'Anerice; Voile d'encre; Bottes du Strigide; Dofus des Glaces; Dofus Pourpre; Dofus Abyssal; Dofus Turquoise; Cavaleur majeur; Remueur; Muldo Indigo et Pourpre</t>
        </is>
      </c>
    </row>
    <row r="28824">
      <c r="A28824" t="inlineStr">
        <is>
          <t>dopou</t>
        </is>
      </c>
      <c r="B28824">
        <f>HYPERLINK("https://www.dofusbook.net/fr/equipement/1721949-dopou/objets", "link")</f>
        <v/>
      </c>
      <c r="C28824" t="n">
        <v>0</v>
      </c>
      <c r="D28824" t="inlineStr">
        <is>
          <t>Hachoirs de Viandargh; Amibou; Gant du Valet Veinard; Alliance Gloursonne; Bivalve; Menoture; Chapibou; Cape des Malveilleurs; Bottes Trithon; Dofus Pourpre; Cascadeur majeur; Culbuteur majeur; Pousseur majeur; Remueur; Bousculeur majeur; Muldo Ebène et Orchidée</t>
        </is>
      </c>
    </row>
    <row r="28825">
      <c r="A28825" t="inlineStr">
        <is>
          <t>BIM</t>
        </is>
      </c>
      <c r="B28825">
        <f>HYPERLINK("https://www.dofusbook.net/fr/equipement/1721880-bim/objets", "link")</f>
        <v/>
      </c>
      <c r="C28825" t="n">
        <v>0</v>
      </c>
      <c r="D28825" t="inlineStr">
        <is>
          <t>Dague Adou; Amulette du Strigide; Bague Trithon; Alliance Gloursonne; Bouclier du Captain Amakna; Ceinture du Strigide; Némès de Tal Kasha; Chevelure de Tal Kasha; Sandales de Tal Kasha; Dofus Pourpre; Dolmanax; Dofus Turquoise; Dofus des Glaces; Dofus Ocre; Dofus Nébuleux; Muldo Prune et Emeraude</t>
        </is>
      </c>
    </row>
    <row r="28826">
      <c r="A28826" t="inlineStr">
        <is>
          <t>BIM</t>
        </is>
      </c>
      <c r="B28826">
        <f>HYPERLINK("https://www.dofusbook.net/fr/equipement/1721706-bim/objets", "link")</f>
        <v/>
      </c>
      <c r="C28826" t="n">
        <v>0</v>
      </c>
      <c r="D28826" t="inlineStr">
        <is>
          <t>Dague Adou; Amulette du Strigide; Alliance Gloursonne; Bague Trithon; Bouclier du Captain Amakna; Ceinture du Strigide; Némès de Tal Kasha; Chevelure de Tal Kasha; Sandales de Tal Kasha; Dofus Turquoise; Dofus des Glaces; Dofus Ocre; Dofus Nébuleux; Dofus Pourpre; Dolmanax; Muldo Prune et Emeraude</t>
        </is>
      </c>
    </row>
    <row r="28827">
      <c r="A28827" t="inlineStr">
        <is>
          <t>khjhdh</t>
        </is>
      </c>
      <c r="B28827">
        <f>HYPERLINK("https://www.dofusbook.net/fr/equipement/1683857-khjhdh/objets", "link")</f>
        <v/>
      </c>
      <c r="C28827" t="n">
        <v>0</v>
      </c>
      <c r="D28827" t="inlineStr">
        <is>
          <t>Epée Gloursonne; Amulette du Strigide; Bague Gloursonne; Alliance Gloursonne; Quatre-feuilles; Ceinture du Strigide; Coiffe du Glourséleste; Cape de Léthaline; Bottes du Strigide; Dofus Ivoire; Dolmanax; Dofus Turquoise; Dofus des Glaces; Dofus Pourpre; Dofus Ocre; Kramkram</t>
        </is>
      </c>
    </row>
    <row r="28828">
      <c r="A28828" t="inlineStr">
        <is>
          <t>O FEU</t>
        </is>
      </c>
      <c r="B28828">
        <f>HYPERLINK("https://www.dofusbook.net/fr/equipement/1671583-o-feu/objets", "link")</f>
        <v/>
      </c>
      <c r="C28828" t="n">
        <v>0</v>
      </c>
      <c r="D28828" t="inlineStr">
        <is>
          <t>Arc Nécrotique; Amulette du Strigide; Baguistik; Alliance Gloursonne; Quatre-feuilles; Ceinture du Strigide; Casquette de Meno; Voile d'encre; Pataugastrique; Dolmanax; Dofus Turquoise; Dofus des Glaces; Dofus Pourpre; Dofus Ocre; Observateur; Muldo Orchidée et Pourpre</t>
        </is>
      </c>
    </row>
    <row r="28829">
      <c r="A28829" t="inlineStr">
        <is>
          <t>ugf</t>
        </is>
      </c>
      <c r="B28829">
        <f>HYPERLINK("https://www.dofusbook.net/fr/equipement/1671115-ugf/objets", "link")</f>
        <v/>
      </c>
      <c r="C28829" t="n">
        <v>0</v>
      </c>
      <c r="D28829" t="inlineStr">
        <is>
          <t>Arc corrompu; Amulette de Nileza; Anneau Tique; Anneau de Nidas; Sept ans de malheur; Protopagne; Cagoule de Vortex; Voile d'encre; Sabots de Vortex; Dofus Ocre; Carapace Air majeur; Étourdisseur majeur; Déserteur majeur; Remueur; Guérisseur majeur; Croum</t>
        </is>
      </c>
    </row>
    <row r="28830">
      <c r="A28830" t="inlineStr">
        <is>
          <t>hum</t>
        </is>
      </c>
      <c r="B28830">
        <f>HYPERLINK("https://www.dofusbook.net/fr/equipement/1650426-hum/objets", "link")</f>
        <v/>
      </c>
      <c r="C28830" t="n">
        <v>0</v>
      </c>
      <c r="D28830" t="inlineStr">
        <is>
          <t>Marteau des Anciens Steamers; Amulette du Strigide; Anneau de Pol Ouatnos; Alliance Gloursonne; Ceintacé; Casque du Chalœil; Chevelure de Tal Kasha; Bottes du Strigide; Dofus Turquoise; Dofus Pourpre; Cascadeur majeur; Vigoureux majeur; Chanceux majeur; Remueur; Muldo Indigo et Orchidée</t>
        </is>
      </c>
    </row>
    <row r="28831">
      <c r="A28831" t="inlineStr">
        <is>
          <t>krkrkrkr</t>
        </is>
      </c>
      <c r="B28831">
        <f>HYPERLINK("https://www.dofusbook.net/fr/equipement/1636545-krkrkrkr/objets", "link")</f>
        <v/>
      </c>
      <c r="C28831" t="n">
        <v>1</v>
      </c>
      <c r="D28831" t="inlineStr">
        <is>
          <t>Hache du Chalœil; Amulette du Strigide; Bague Trithon; Bague Gloursonne; Bouclier Taverne; Ceinture du Strigide; Masque Trithon; Voile d'encre; Bottes Trithon; Dolmanax; Dofus Pourpre; Dofus Turquoise; Dofus des Glaces; Dofus Ocre; Dofus Nébuleux; Muldo Pourpre</t>
        </is>
      </c>
    </row>
    <row r="28832">
      <c r="A28832" t="inlineStr">
        <is>
          <t>mdr</t>
        </is>
      </c>
      <c r="B28832">
        <f>HYPERLINK("https://www.dofusbook.net/fr/equipement/1628105-mdr/objets", "link")</f>
        <v/>
      </c>
      <c r="C28832" t="n">
        <v>0</v>
      </c>
      <c r="D28832" t="inlineStr">
        <is>
          <t>Rapière aux Glyphes; Amulette du Sinistrofu; Alliance Gloursonne; Bracelet du Piloztère; Ceinture du Barbétoal; Kidibonnet; Cape de Mantaze; Bottes du Sinistrofu; Dofus Pourpre; Chanceux majeur; Nomade; Fonceur majeur; Dévastateur Eau majeur; Remueur; Muldo Indigo</t>
        </is>
      </c>
    </row>
    <row r="28833">
      <c r="A28833" t="inlineStr">
        <is>
          <t>dopouuu</t>
        </is>
      </c>
      <c r="B28833">
        <f>HYPERLINK("https://www.dofusbook.net/fr/equipement/1623130-dopouuu/objets", "link")</f>
        <v/>
      </c>
      <c r="C28833" t="n">
        <v>0</v>
      </c>
      <c r="D28833" t="inlineStr">
        <is>
          <t>Héqache; Torquistik; Bague Trithon; Alliance Gloursonne; Bouclier précieux; Ceintacé; Casque Dragoeuf; Voile d'encre; Bottistik; Dofus Abyssal; Bousculeur majeur; Pousseur majeur; Culbuteur majeur; Culbuteur; Remueur; Muldo Ebène et Pourpre</t>
        </is>
      </c>
    </row>
    <row r="28834">
      <c r="A28834" t="inlineStr">
        <is>
          <t>HABADACHABAHABADA</t>
        </is>
      </c>
      <c r="B28834">
        <f>HYPERLINK("https://www.dofusbook.net/fr/equipement/1614530-habadachabahabada/objets", "link")</f>
        <v/>
      </c>
      <c r="C28834" t="n">
        <v>0</v>
      </c>
      <c r="D28834" t="inlineStr">
        <is>
          <t>Marteau R'ture; Amulette de Gein; Anneau Crustique; Anneau Crustique; Sept ans de malheur; Ceinture de Gein; Chapeau de Gein; Ankhape; Bottes de la Cour Sombre; Dolmanax; Dofus Nébuleux; Dofus Ocre; Dofus Pourpre; Dofus des Glaces; Forcené majeur; Muldo Ebène et Pourpre</t>
        </is>
      </c>
    </row>
    <row r="28835">
      <c r="A28835" t="inlineStr">
        <is>
          <t>kzhkhz</t>
        </is>
      </c>
      <c r="B28835">
        <f>HYPERLINK("https://www.dofusbook.net/fr/equipement/1578505-kzhkhz/objets", "link")</f>
        <v/>
      </c>
      <c r="C28835" t="n">
        <v>1</v>
      </c>
      <c r="D28835" t="inlineStr">
        <is>
          <t>Epée Toche; Amulette du Strigide; Bague Trithon; Chevalière du Roi Joueur; Bouclier du Captain Amakna; Ceinture du Strigide; Couronne du Roi Joueur; Voile d'encre; Bottes du Roi Joueur; Dofus Turquoise; Dofus des Glaces; Dofus Vulbis; Dofus Nébuleux; Dofus Ocre; Dofus Abyssal; Kramkram</t>
        </is>
      </c>
    </row>
    <row r="28836">
      <c r="A28836" t="inlineStr">
        <is>
          <t>o r</t>
        </is>
      </c>
      <c r="B28836">
        <f>HYPERLINK("https://www.dofusbook.net/fr/equipement/1572914-o-r/objets", "link")</f>
        <v/>
      </c>
      <c r="C28836" t="n">
        <v>1</v>
      </c>
      <c r="D28836" t="inlineStr">
        <is>
          <t>Arc de Koutoulou; Amulette du Strigide; Bague Trithon; Alliance Gloursonne; Quatre-feuilles; Ceinture du Strigide; Némès de Tal Kasha; Chevelure de Tal Kasha; Sandales de Tal Kasha; Dofus Turquoise; Dokoko; Dofus Pourpre; Dofus des Glaces; Dofus Ocre; Dofus Abyssal; Muldo Ebène et Indigo</t>
        </is>
      </c>
    </row>
    <row r="28837">
      <c r="A28837" t="inlineStr">
        <is>
          <t>dlksjjkl</t>
        </is>
      </c>
      <c r="B28837">
        <f>HYPERLINK("https://www.dofusbook.net/fr/equipement/1572868-dlksjjkl/objets", "link")</f>
        <v/>
      </c>
      <c r="C28837" t="n">
        <v>0</v>
      </c>
      <c r="D28837" t="inlineStr">
        <is>
          <t>Arc Ahique; Amulette de l'Indicible; Bague Gloursonne; Alliance Gloursonne; Bouclier d'Anerice; Ceinture de l'Indicible; Masque d'Anerice; Cape d'Anerice; Bottes du Chalœil; Dolmanax; Dofus Ocre; Dokoko; Dofus des Glaces; Dofus Pourpre; Dofus Abyssal; Muldo Indigo et Pourpre</t>
        </is>
      </c>
    </row>
    <row r="28838">
      <c r="A28838" t="inlineStr">
        <is>
          <t>fourre tout nsm</t>
        </is>
      </c>
      <c r="B28838">
        <f>HYPERLINK("https://www.dofusbook.net/fr/equipement/1540335-fourre-tout-nsm/objets", "link")</f>
        <v/>
      </c>
      <c r="C28838" t="n">
        <v>0</v>
      </c>
      <c r="D28838" t="inlineStr">
        <is>
          <t>Manthache; Collier du Valet Veinard; Anneau de Pol Ouatnos; Alliance Gloursonne; Menoture; Casque Dragoeuf; Cape du Valet Veinard; Palmes Trithons; Miraculé majeur; Vigoureux majeur; Cascadeur majeur; Dévastateur Air majeur; Remueur; Muldo Ebène</t>
        </is>
      </c>
    </row>
    <row r="28839">
      <c r="A28839" t="inlineStr">
        <is>
          <t>airbitch</t>
        </is>
      </c>
      <c r="B28839">
        <f>HYPERLINK("https://www.dofusbook.net/fr/equipement/1509143-airbitch/objets", "link")</f>
        <v/>
      </c>
      <c r="C28839" t="n">
        <v>0</v>
      </c>
      <c r="D28839" t="inlineStr">
        <is>
          <t>Hachoirs de Viandargh; Amulette du Strigide; Alliance Gloursonne; Bague Trithon; Bouclier alvéolé; Ceinture du Strigide; Némès de Tal Kasha; Chevelure de Tal Kasha; Sandales de Tal Kasha; Dofus Ocre; Dofus Nébuleux; Dofus Turquoise; Dofus Pourpre; Dofus Vulbis; Dofus des Glaces; Muldo Ebène et Indigo</t>
        </is>
      </c>
    </row>
    <row r="28840">
      <c r="A28840" t="inlineStr">
        <is>
          <t>Eliotrope F 200</t>
        </is>
      </c>
      <c r="B28840">
        <f>HYPERLINK("https://www.dofusbook.net/fr/equipement/5516502-eliotrope-f-200/objets", "link")</f>
        <v/>
      </c>
      <c r="C28840" t="n">
        <v>3</v>
      </c>
      <c r="D28840" t="inlineStr">
        <is>
          <t>Arc corrompu; Amulette de Nileza; Anneauræus; Anneauræus; Bouclier du Stalak; Croture; Heaume Oplate; Cape de Nileza; Bottes Innommables; Dofus Pourpre; Dofus Ivoire; Dofus Vulbis; Dofus Ébène; Dofus Ocre; Érudit majeur; Bisouglours</t>
        </is>
      </c>
    </row>
    <row r="28841">
      <c r="A28841" t="inlineStr">
        <is>
          <t>Test Zho</t>
        </is>
      </c>
      <c r="B28841">
        <f>HYPERLINK("https://www.dofusbook.net/fr/equipement/5706011-test-zho/objets", "link")</f>
        <v/>
      </c>
      <c r="C28841" t="n">
        <v>0</v>
      </c>
      <c r="D28841" t="inlineStr">
        <is>
          <t>Dagoulinantes; Amulette de Shokkoth; Anneau Volkorne; Alliance Gloursonne; Bouclier du Stalak; Poulpagne; Capuche de l'Œil Attentif; Cape de l'Œil Attentif; Bottes du Sinistrofu; Dofus Pourpre; Dofus Ébène; Dofus Ocre; Dofus Ivoire; Chanceux majeur; Nomade; Kanigloups</t>
        </is>
      </c>
    </row>
    <row r="28842">
      <c r="A28842" t="inlineStr">
        <is>
          <t>Test-feu1v1</t>
        </is>
      </c>
      <c r="B28842">
        <f>HYPERLINK("https://www.dofusbook.net/fr/equipement/5888219-test-feu1v1/objets", "link")</f>
        <v/>
      </c>
      <c r="C28842" t="n">
        <v>0</v>
      </c>
      <c r="D28842" t="inlineStr">
        <is>
          <t>Arc corrompu; Amulette Volkorne; Anneauræus; Anneau Volkorne; Bouclier du Stalak; Croture; Heaume Oplate; Cape de Jahash Jurgen; Pataugastrique; Dofus Ébène; Dofus Pourpre; Dofus Ivoire; Dofus Vulbis; Érudit majeur; Bisouglours</t>
        </is>
      </c>
    </row>
    <row r="28843">
      <c r="A28843" t="inlineStr">
        <is>
          <t>Terre-docrit-2</t>
        </is>
      </c>
      <c r="B28843">
        <f>HYPERLINK("https://www.dofusbook.net/fr/equipement/5641939-terre-docrit-2/objets", "link")</f>
        <v/>
      </c>
      <c r="C28843" t="n">
        <v>3</v>
      </c>
      <c r="D28843" t="inlineStr">
        <is>
          <t>Arc du Chalœil; Amulette du Cœur Saignant; Chevalière du Roi Joueur; Anneau Volkorne; Quatre-feuilles; Ceinture Volkorne; Couronne du Roi Joueur; Cape du Cœur Saignant; Bottes du Cœur Saignant; Dofus Turquoise; Dofus Vulbis; Dofus Pourpre; Dofus Ébène; Dofus Ocre; Dofus Ivoire; Pioute vert</t>
        </is>
      </c>
    </row>
    <row r="28844">
      <c r="A28844" t="inlineStr">
        <is>
          <t>Terre-docrit</t>
        </is>
      </c>
      <c r="B28844">
        <f>HYPERLINK("https://www.dofusbook.net/fr/equipement/5581472-terre-docrit/objets", "link")</f>
        <v/>
      </c>
      <c r="C28844" t="n">
        <v>2</v>
      </c>
      <c r="D28844" t="inlineStr">
        <is>
          <t>Baguette de Torkélonia; Amulette du Cœur Saignant; Bague Gloursonne; Anneau Volkorne; Quatre-feuilles; Ceinture Volkorne; Corne de Torkélonia; Cape du Cœur Saignant; Bottes du Cœur Saignant; Dofus Turquoise; Dofus Ébène; Dofus Vulbis; Dofus Ocre; Dofus Ivoire; Dofus Pourpre; Pioute vert</t>
        </is>
      </c>
    </row>
    <row r="28845">
      <c r="A28845" t="inlineStr">
        <is>
          <t>Eliotrope F 200</t>
        </is>
      </c>
      <c r="B28845">
        <f>HYPERLINK("https://www.dofusbook.net/fr/equipement/5716999-eliotrope-f-200/objets", "link")</f>
        <v/>
      </c>
      <c r="C28845" t="n">
        <v>0</v>
      </c>
      <c r="D28845" t="inlineStr">
        <is>
          <t>Manthache; Collier du Valet Veinard; Alliance Gloursonne; Gant du Valet Veinard; Bouclier du Stalak; Menoture; Dorabysses; Cape Indescriptible; Palmes Trithons; Dofus Pourpre; Dofus Ivoire; Dofus Ocre; Dofus Ébène; Dofus Vulbis; Cascadeur majeur; Blérodoudou</t>
        </is>
      </c>
    </row>
    <row r="28846">
      <c r="A28846" t="inlineStr">
        <is>
          <t>Eau PVP</t>
        </is>
      </c>
      <c r="B28846">
        <f>HYPERLINK("https://www.dofusbook.net/fr/equipement/4753796-eau-pvp/objets", "link")</f>
        <v/>
      </c>
      <c r="C28846" t="n">
        <v>4</v>
      </c>
      <c r="D28846" t="inlineStr">
        <is>
          <t>Dagoulinantes; Amulette de Shokkoth; Alliance Gloursonne; Anneau Volkorne; Bouclier du Stalak; Poulpagne; Casque d'Ilyzaelle; Cape du Sinistrofu; Bottes du Sinistrofu; Dofus Ocre; Dofus Ébène; Dofus Ivoire; Dofus Pourpre; Nomade; Chanceux majeur; Kanigloups</t>
        </is>
      </c>
    </row>
    <row r="28847">
      <c r="A28847" t="inlineStr">
        <is>
          <t>Terre PVP</t>
        </is>
      </c>
      <c r="B28847">
        <f>HYPERLINK("https://www.dofusbook.net/fr/equipement/4756436-terre-pvp/objets", "link")</f>
        <v/>
      </c>
      <c r="C28847" t="n">
        <v>6</v>
      </c>
      <c r="D28847" t="inlineStr">
        <is>
          <t>Arc du Chalœil; Collier de Tourthon; Anneau Volkorne; Anneau de Brouce; Bouclier du Stalak; Ceinture Volkorne; Coiffe de la Reine des Voleurs; Cape au Logis; Bottes du Cœur Saignant; Dofus Ébène; Dofus Ivoire; Dofus Pourpre; Dofus Ocre; Enragé majeur; Remueur; Bulbisou</t>
        </is>
      </c>
    </row>
    <row r="28848">
      <c r="A28848" t="inlineStr">
        <is>
          <t>Terre test elio</t>
        </is>
      </c>
      <c r="B28848">
        <f>HYPERLINK("https://www.dofusbook.net/fr/equipement/5664566-terre-test-elio/objets", "link")</f>
        <v/>
      </c>
      <c r="C28848" t="n">
        <v>0</v>
      </c>
      <c r="D28848" t="inlineStr">
        <is>
          <t>Arc du Chalœil; Collier de Tourthon; Anneau Crustique; Anneau de Brouce; Bouclier du Stalak; Ceinture Gence; Coiffe de la Reine des Voleurs; Ankhape; Bottes de Brouce; Dofus Ébène; Dofus Pourpre; Enragé majeur; Bulbisou</t>
        </is>
      </c>
    </row>
    <row r="28849">
      <c r="A28849" t="inlineStr">
        <is>
          <t>Féca F 200</t>
        </is>
      </c>
      <c r="B28849">
        <f>HYPERLINK("https://www.dofusbook.net/fr/equipement/5361274-feca-f-200/objets", "link")</f>
        <v/>
      </c>
      <c r="C28849" t="n">
        <v>1</v>
      </c>
      <c r="D28849" t="inlineStr">
        <is>
          <t>Baguette Hique; Amulette de Shokkoth; Alliance Gloursonne; Anneau Volkorne; Quatre-feuilles; Pagne du Rykaon; Kidibonnet; Cape de la Dame du Hasard; Bottes de la Dame du Hasard; Dofus Turquoise; Dofus Pourpre; Dofus Vulbis; Dofus Ocre; Dofus Ivoire; Dofus Ébène; Pioute bleu</t>
        </is>
      </c>
    </row>
    <row r="28850">
      <c r="A28850" t="inlineStr">
        <is>
          <t>Huppermage F 200</t>
        </is>
      </c>
      <c r="B28850">
        <f>HYPERLINK("https://www.dofusbook.net/fr/equipement/5580836-huppermage-f-200/objets", "link")</f>
        <v/>
      </c>
      <c r="C28850" t="n">
        <v>0</v>
      </c>
      <c r="D28850" t="inlineStr">
        <is>
          <t>Arc corrompu; Amulette de Nileza; Anneauræus; Anneauræus; Bouclier du Stalak; Croture; Heaume Oplate; Cape de Nileza; Bottes Innommables; Dofus Ivoire; Dofus des Glaces; Dofus Pourpre; Dofus Ocre; Érudit majeur; Bisouglours</t>
        </is>
      </c>
    </row>
    <row r="28851">
      <c r="A28851" t="inlineStr">
        <is>
          <t>Eliotrope F 200</t>
        </is>
      </c>
      <c r="B28851">
        <f>HYPERLINK("https://www.dofusbook.net/fr/equipement/5557545-eliotrope-f-200/objets", "link")</f>
        <v/>
      </c>
      <c r="C28851" t="n">
        <v>1</v>
      </c>
      <c r="D28851" t="inlineStr">
        <is>
          <t>Baguette de Torkélonia; Corne de Torkélonia; Carapace de Torkélonia</t>
        </is>
      </c>
    </row>
    <row r="28852">
      <c r="A28852" t="inlineStr">
        <is>
          <t>Huppermage F 200</t>
        </is>
      </c>
      <c r="B28852">
        <f>HYPERLINK("https://www.dofusbook.net/fr/equipement/5386370-huppermage-f-200/objets", "link")</f>
        <v/>
      </c>
      <c r="C28852" t="n">
        <v>2</v>
      </c>
      <c r="D28852" t="inlineStr">
        <is>
          <t>Baguette de Torkélonia; Amulette du Strigide; Alliance Gloursonne; Bague Gloursonne; Bouclier du Stalak; Ceinture du Strigide; Corne de Torkélonia; Carapace de Torkélonia; Bottes du Strigide; Dofus Pourpre; Dofus Vulbis; Dofus Turquoise; Dofus Ivoire; Dofus Ocre; Dofus Ébène; Mékrabe</t>
        </is>
      </c>
    </row>
    <row r="28853">
      <c r="A28853" t="inlineStr">
        <is>
          <t>Sadida F 200</t>
        </is>
      </c>
      <c r="B28853">
        <f>HYPERLINK("https://www.dofusbook.net/fr/equipement/5124844-sadida-f-200/objets", "link")</f>
        <v/>
      </c>
      <c r="C28853" t="n">
        <v>2</v>
      </c>
      <c r="D28853" t="inlineStr">
        <is>
          <t>Arc du Chalœil; Collier de Tourthon; Anneau du Comte Harebourg; Anneau de Brouce; Bivalve; Ceinture de Brouce; Coiffe du Comte Harebourg; Cape Reski; Bottes de Brouce; Dofus Abyssal; Dofus Pourpre; Dofus Ocre; Forcené majeur; Volkorne Pourpre</t>
        </is>
      </c>
    </row>
    <row r="28854">
      <c r="A28854" t="inlineStr">
        <is>
          <t>Sadida F 200</t>
        </is>
      </c>
      <c r="B28854">
        <f>HYPERLINK("https://www.dofusbook.net/fr/equipement/5348421-sadida-f-200/objets", "link")</f>
        <v/>
      </c>
      <c r="C28854" t="n">
        <v>1</v>
      </c>
      <c r="D28854" t="inlineStr">
        <is>
          <t>Arc du Chalœil; Collier de Tourthon; Anneau Volkorne; Anneau du Comte Harebourg; Bivalve; Ceinture Volkorne; Coiffe du Comte Harebourg; Cape Reski; Bottes du Comte Harebourg; Dofus Pourpre; Forcené majeur; Volkorne Pourpre</t>
        </is>
      </c>
    </row>
    <row r="28855">
      <c r="A28855" t="inlineStr">
        <is>
          <t>Féca F 200</t>
        </is>
      </c>
      <c r="B28855">
        <f>HYPERLINK("https://www.dofusbook.net/fr/equipement/4973133-feca-f-200/objets", "link")</f>
        <v/>
      </c>
      <c r="C28855" t="n">
        <v>1</v>
      </c>
      <c r="D28855" t="inlineStr">
        <is>
          <t>Couteaux Sacrificiels; Amulette Volkorne; Alliance Gloursonne; Anneau Volkorne; Bouclier alvéolé; Ceinture Volkorne; Masque Paztek; Cape Paztek; Pataugastrique; Dofus Ivoire; Dofus Pourpre; Dofus Ocre; Eliôme</t>
        </is>
      </c>
    </row>
    <row r="28856">
      <c r="A28856" t="inlineStr">
        <is>
          <t>Eliotrope F 200</t>
        </is>
      </c>
      <c r="B28856">
        <f>HYPERLINK("https://www.dofusbook.net/fr/equipement/4784774-eliotrope-f-200/objets", "link")</f>
        <v/>
      </c>
      <c r="C28856" t="n">
        <v>0</v>
      </c>
      <c r="D28856" t="inlineStr">
        <is>
          <t>Dagoulinantes; Amulette de Shokkoth; Alliance Gloursonne; Bracelet des Fonds marins; Bouclier du Stalak; Ceinture Glaciale; Capuche de l'Œil Attentif; Cape du Sinistrofu; Bottes du Sinistrofu; Dofus Ocre; Dofus Ivoire; Dofus Pourpre; Nomade; Remueur; Chanceux majeur; Kanigloups</t>
        </is>
      </c>
    </row>
    <row r="28857">
      <c r="A28857" t="inlineStr">
        <is>
          <t>Eliotrope F 200</t>
        </is>
      </c>
      <c r="B28857">
        <f>HYPERLINK("https://www.dofusbook.net/fr/equipement/4757312-eliotrope-f-200/objets", "link")</f>
        <v/>
      </c>
      <c r="C28857" t="n">
        <v>0</v>
      </c>
      <c r="D28857" t="inlineStr">
        <is>
          <t>Manthache; Collier du Valet Veinard; Alliance Gloursonne; Gant du Valet Veinard; Droiture de Fallanster; Menoture; Dorabysses; Cape Martegel; Palmes Trithons; La Chose</t>
        </is>
      </c>
    </row>
    <row r="28858">
      <c r="A28858" t="inlineStr">
        <is>
          <t>Iop F 200</t>
        </is>
      </c>
      <c r="B28858">
        <f>HYPERLINK("https://www.dofusbook.net/fr/equipement/4313655-iop-f-200/objets", "link")</f>
        <v/>
      </c>
      <c r="C28858" t="n">
        <v>1</v>
      </c>
      <c r="D28858" t="inlineStr">
        <is>
          <t>Rapière aux Glyphes; Amulette de Shokkoth; Bracelet des Fonds marins; Alliance Gloursonne; Bouclier du Stalak; Poulpagne; Casque d'Ilyzaelle; Cape du Sinistrofu; Bottes du Sinistrofu; Dofus Ocre; Dofus Pourpre; Chanceux majeur; Nomade; Kanigloups</t>
        </is>
      </c>
    </row>
    <row r="28859">
      <c r="A28859" t="inlineStr">
        <is>
          <t>Sadida F 200</t>
        </is>
      </c>
      <c r="B28859">
        <f>HYPERLINK("https://www.dofusbook.net/fr/equipement/3774643-sadida-f-200/objets", "link")</f>
        <v/>
      </c>
      <c r="C28859" t="n">
        <v>2</v>
      </c>
      <c r="D28859" t="inlineStr">
        <is>
          <t>Dagues Érhy; Collier de Tourthon; Bague Gloursonne; Baguistik; Bouclier du Stalak; Ceinture de la Cour Sombre; Masque de Koutoulou; Cape au Logis; Bottes de la Cour Sombre; Dofus Pourpre; Dofus Turquoise; Enragé majeur; Carapace Terre majeur; Remueur; Dragodinde Ivoire et Pourpre</t>
        </is>
      </c>
    </row>
    <row r="28860">
      <c r="A28860" t="inlineStr">
        <is>
          <t>Stuff 2</t>
        </is>
      </c>
      <c r="B28860">
        <f>HYPERLINK("https://www.dofusbook.net/fr/equipement/743802-stuff-2/objets", "link")</f>
        <v/>
      </c>
      <c r="C28860" t="n">
        <v>0</v>
      </c>
      <c r="D28860" t="inlineStr">
        <is>
          <t>Hache du Chalœil; Amulette de l'Indicible; Bague Trithon; Bracelet du Piloztère; Bouclier cubiste; Ceintacé; Coiffe du Lévitrof; Voile d'encre; Bottes de l'Indicible; Dofus des Glaces; Dofus Turquoise; Dofus Pourpre; Vigoureux majeur; Remueur; Nomade</t>
        </is>
      </c>
    </row>
    <row r="28861">
      <c r="A28861" t="inlineStr">
        <is>
          <t>Soin/eau PvPm</t>
        </is>
      </c>
      <c r="B28861">
        <f>HYPERLINK("https://www.dofusbook.net/fr/equipement/1994215-soin-eau-pvpm/objets", "link")</f>
        <v/>
      </c>
      <c r="C28861" t="n">
        <v>1</v>
      </c>
      <c r="D28861" t="inlineStr">
        <is>
          <t>Le Thanos; Amulette d'Ilyzaelle; Alliance Gloursonne; Alliance du Lévitrof; Bivalve; Ceintrigue; Casque d'Ilyzaelle; Cape de Mantaze; Pataugastrique; Dolmanax; Guérisseur majeur; Remueur; Chanceux majeur; Déserteur majeur; Nomade; Croum</t>
        </is>
      </c>
    </row>
    <row r="28862">
      <c r="A28862" t="inlineStr">
        <is>
          <t>eau air ini</t>
        </is>
      </c>
      <c r="B28862">
        <f>HYPERLINK("https://www.dofusbook.net/fr/equipement/1853141-eau-air-ini/objets", "link")</f>
        <v/>
      </c>
      <c r="C28862" t="n">
        <v>0</v>
      </c>
      <c r="D28862" t="inlineStr"/>
    </row>
    <row r="28863">
      <c r="A28863" t="inlineStr">
        <is>
          <t>PvP multi2</t>
        </is>
      </c>
      <c r="B28863">
        <f>HYPERLINK("https://www.dofusbook.net/fr/equipement/1779380-pvp-multi2/objets", "link")</f>
        <v/>
      </c>
      <c r="C28863" t="n">
        <v>0</v>
      </c>
      <c r="D28863" t="inlineStr">
        <is>
          <t>Epée Loponèze; Amulette de Pol Ouatnos; Anneau Rifique; Alliance Gloursonne; Bouclier du Stalak; Menoture; Coiffe de la Reine des Voleurs; Cape Lati; Bottes de la Reine des Voleurs; Dofus Abyssal; Dolmanax; Dofus Ocre; Carapace Feu majeur; Fonceur majeur; Cascadeur majeur; Muldo Ebène</t>
        </is>
      </c>
    </row>
    <row r="28864">
      <c r="A28864" t="inlineStr">
        <is>
          <t>Agi PvPm</t>
        </is>
      </c>
      <c r="B28864">
        <f>HYPERLINK("https://www.dofusbook.net/fr/equipement/743997-agi-pvpm/objets", "link")</f>
        <v/>
      </c>
      <c r="C28864" t="n">
        <v>0</v>
      </c>
      <c r="D28864" t="inlineStr">
        <is>
          <t>Pelle de la Cour Sombre; Amulette Voldelor; Anneau de Padgref; Alliance Gloursonne; Bouclier du Stalak; Ceinture du Nocturlabe; Chapibou; Capibou; Pantoufles Émar; Dofus des Glaces; Miraculé majeur; Cascadeur majeur; Vigoureux majeur; Nomade; Remueur; Croum</t>
        </is>
      </c>
    </row>
    <row r="28865">
      <c r="A28865" t="inlineStr">
        <is>
          <t>PvPm</t>
        </is>
      </c>
      <c r="B28865">
        <f>HYPERLINK("https://www.dofusbook.net/fr/equipement/867877-pvpm/objets", "link")</f>
        <v/>
      </c>
      <c r="C28865" t="n">
        <v>0</v>
      </c>
      <c r="D28865" t="inlineStr">
        <is>
          <t>Arc Nécrotique; Collier de la Dame du Hasard; Anneauræus; Alliance du Lévitrof; Bouclier cubiste; Ceintrigue; Cape de la Dame du Hasard; Pataugastrique; Dofus Turquoise; Temporiseur majeur; Remueur; Observateur; Vigoureux majeur; Nomade; Muldo Indigo et Orchidée</t>
        </is>
      </c>
    </row>
    <row r="28866">
      <c r="A28866" t="inlineStr">
        <is>
          <t>Stuff 2</t>
        </is>
      </c>
      <c r="B28866">
        <f>HYPERLINK("https://www.dofusbook.net/fr/equipement/743841-stuff-2/objets", "link")</f>
        <v/>
      </c>
      <c r="C28866" t="n">
        <v>0</v>
      </c>
      <c r="D28866" t="inlineStr">
        <is>
          <t>Dagues Ricol; Amulette de Gein; Bague Gloursonne; Chevalière du Roi Joueur; Bouclier du Stalak; Ceinture de Gein; Couronne du Roi Joueur; Voile d'encre; Bottes du Roi Joueur; Dofus Vulbis; Dofus des Glaces; Dofus Ocre; Dofus Nébuleux; Dofus Pourpre; Robuste majeur; Croum</t>
        </is>
      </c>
    </row>
    <row r="28867">
      <c r="A28867" t="inlineStr">
        <is>
          <t>Stuff 2</t>
        </is>
      </c>
      <c r="B28867">
        <f>HYPERLINK("https://www.dofusbook.net/fr/equipement/743836-stuff-2/objets", "link")</f>
        <v/>
      </c>
      <c r="C28867" t="n">
        <v>1</v>
      </c>
      <c r="D28867" t="inlineStr">
        <is>
          <t>Hache du Chalœil; Talisman Igans; Alliance Gloursonne; Bracelet du Piloztère; Ceinture du Strigide; Coiffe du Lévitrof; Voile d'encre; Bottes du Lévitrof; Dofus Pourpre; Dofus Ocre; Dofus Nébuleux; Vigoureux majeur; Nomade; Remueur; Dragodinde en armure</t>
        </is>
      </c>
    </row>
    <row r="28868">
      <c r="A28868" t="inlineStr">
        <is>
          <t>Stuff 1</t>
        </is>
      </c>
      <c r="B28868">
        <f>HYPERLINK("https://www.dofusbook.net/fr/equipement/743843-stuff-1/objets", "link")</f>
        <v/>
      </c>
      <c r="C28868" t="n">
        <v>0</v>
      </c>
      <c r="D28868" t="inlineStr">
        <is>
          <t>Arc du Chalœil; Collier de Tourthon; Anneau Chevelu; Bracelet du Piloztère; Bouclier du Stalak; Ceintacé; Coiffe de la Reine des Voleurs; Voile d'encre; Bottes Ransitoires; Dofus des Glaces; Dofus Pourpre; Enragé majeur; Vigoureux majeur; Nomade; Remueur; Dragodinde en armure</t>
        </is>
      </c>
    </row>
    <row r="28869">
      <c r="A28869" t="inlineStr">
        <is>
          <t>Stuff 3</t>
        </is>
      </c>
      <c r="B28869">
        <f>HYPERLINK("https://www.dofusbook.net/fr/equipement/743845-stuff-3/objets", "link")</f>
        <v/>
      </c>
      <c r="C28869" t="n">
        <v>0</v>
      </c>
      <c r="D28869" t="inlineStr">
        <is>
          <t>Sabres d'Atcham; Amulette de Pol Ouatnos; Bracelet du Piloztère; Alliance Gloursonne; Ceintacé; Chapeau des Malveilleurs; Cape des Malveilleurs; Pataugastrique; Dofus Turquoise; Dofus des Glaces; Dofus Pourpre; Nomade; Vigoureux majeur; Remueur; Dragodinde en armure</t>
        </is>
      </c>
    </row>
    <row r="28870">
      <c r="A28870" t="inlineStr">
        <is>
          <t>Stuff 1</t>
        </is>
      </c>
      <c r="B28870">
        <f>HYPERLINK("https://www.dofusbook.net/fr/equipement/743840-stuff-1/objets", "link")</f>
        <v/>
      </c>
      <c r="C28870" t="n">
        <v>0</v>
      </c>
      <c r="D28870" t="inlineStr">
        <is>
          <t>Épée du Granduk; Amulette du Granduk; Alliance Gloursonne; Anneau de Padgref; Bouclier du Stalak; Menoture; Couronne d'Allister; Cape Indescriptible; Palmes Trithons; Dofus Pourpre; Dofus Turquoise; Nomade; Cascadeur majeur; Remueur; Dragodinde en armure</t>
        </is>
      </c>
    </row>
    <row r="28871">
      <c r="A28871" t="inlineStr">
        <is>
          <t>Stuff 1</t>
        </is>
      </c>
      <c r="B28871">
        <f>HYPERLINK("https://www.dofusbook.net/fr/equipement/743835-stuff-1/objets", "link")</f>
        <v/>
      </c>
      <c r="C28871" t="n">
        <v>0</v>
      </c>
      <c r="D28871" t="inlineStr">
        <is>
          <t>Sabres d'Atcham; Amulette du Strigide; Alliance Gloursonne; Anneau de Padgref; Ceintacé; Chapeau des Malveilleurs; Chevelure de Tal Kasha; Sandales de Tal Kasha; Dofus des Glaces; Dofus Pourpre; Dofus Turquoise; Nomade; Remueur; Vigoureux majeur; Muldo Doré et Emeraude</t>
        </is>
      </c>
    </row>
    <row r="28872">
      <c r="A28872" t="inlineStr">
        <is>
          <t>Stuff 3</t>
        </is>
      </c>
      <c r="B28872">
        <f>HYPERLINK("https://www.dofusbook.net/fr/equipement/743842-stuff-3/objets", "link")</f>
        <v/>
      </c>
      <c r="C28872" t="n">
        <v>0</v>
      </c>
      <c r="D28872" t="inlineStr">
        <is>
          <t>Marteau R'ture; Collier de Tourthon; Anneau de Brouce; Anneau Crustique; Ceinture de Brouce; Chapeau de Gein; Cape au Logis; Bottes de Brouce; Dofus Pourpre; Dofus Nébuleux; Dofus Turquoise; Dofus Ocre; Forcené majeur; Robuste majeur; Croum</t>
        </is>
      </c>
    </row>
    <row r="28873">
      <c r="A28873" t="inlineStr">
        <is>
          <t>Stuff 3</t>
        </is>
      </c>
      <c r="B28873">
        <f>HYPERLINK("https://www.dofusbook.net/fr/equipement/743837-stuff-3/objets", "link")</f>
        <v/>
      </c>
      <c r="C28873" t="n">
        <v>0</v>
      </c>
      <c r="D28873" t="inlineStr">
        <is>
          <t>Harpelle; Amulette de Gein; Anneauræus; Chevalière du Roi Joueur; Ceinture Séculaire; Coiffe Séculaire; Cape de Diondin; Pataugastrique; Dofus Pourpre; Dofus Turquoise; Remueur; Dévastateur Feu majeur; Érudit majeur; Nomade; Muldo Doré et Orchidée</t>
        </is>
      </c>
    </row>
    <row r="28874">
      <c r="A28874" t="inlineStr">
        <is>
          <t>Stuff 1</t>
        </is>
      </c>
      <c r="B28874">
        <f>HYPERLINK("https://www.dofusbook.net/fr/equipement/743843-stuff-1/objets", "link")</f>
        <v/>
      </c>
      <c r="C28874" t="n">
        <v>0</v>
      </c>
      <c r="D28874" t="inlineStr">
        <is>
          <t>Arc du Chalœil; Collier de Tourthon; Bracelet du Piloztère; Anneau Chevelu; Bouclier du Stalak; Ceintacé; Coiffe de la Reine des Voleurs; Voile d'encre; Bottes Ransitoires; Dofus Pourpre; Dofus des Glaces; Remueur; Enragé majeur; Vigoureux majeur; Nomade; Dragodinde en armure</t>
        </is>
      </c>
    </row>
    <row r="28875">
      <c r="A28875" t="inlineStr">
        <is>
          <t>Stuff 3</t>
        </is>
      </c>
      <c r="B28875">
        <f>HYPERLINK("https://www.dofusbook.net/fr/equipement/743845-stuff-3/objets", "link")</f>
        <v/>
      </c>
      <c r="C28875" t="n">
        <v>0</v>
      </c>
      <c r="D28875" t="inlineStr">
        <is>
          <t>Sabres d'Atcham; Amulette de Pol Ouatnos; Bracelet du Piloztère; Alliance Gloursonne; Ceintacé; Chapeau des Malveilleurs; Cape des Malveilleurs; Pataugastrique; Dofus des Glaces; Dofus Pourpre; Dofus Turquoise; Vigoureux majeur; Remueur; Nomade; Dragodinde en armure</t>
        </is>
      </c>
    </row>
    <row r="28876">
      <c r="A28876" t="inlineStr">
        <is>
          <t>Stuff 2</t>
        </is>
      </c>
      <c r="B28876">
        <f>HYPERLINK("https://www.dofusbook.net/fr/equipement/743808-stuff-2/objets", "link")</f>
        <v/>
      </c>
      <c r="C28876" t="n">
        <v>0</v>
      </c>
      <c r="D28876" t="inlineStr">
        <is>
          <t>La Baguette des Limbes; Amulette de Moon; Alliance des Forestiers; Alliance des Forestiers; Ceinture du Berserkoffre; Cape de Moon; Fourbabottes; Dévastateur Feu; Remueur; Érudit; Observateur; Nomade; Pioute rouge; Krosmapeau</t>
        </is>
      </c>
    </row>
    <row r="28877">
      <c r="A28877" t="inlineStr">
        <is>
          <t>Stuff 3</t>
        </is>
      </c>
      <c r="B28877">
        <f>HYPERLINK("https://www.dofusbook.net/fr/equipement/743803-stuff-3/objets", "link")</f>
        <v/>
      </c>
      <c r="C28877" t="n">
        <v>0</v>
      </c>
      <c r="D28877" t="inlineStr">
        <is>
          <t>Epée Gloursonne; Collier de la Dame du Hasard; Alliance Gloursonne; Bague Gloursonne; Ceinture de Gein; Chapeau de Gein; Cape de la Dame du Hasard; Bottes de la Dame du Hasard; Dofus Ocre; Dofus des Glaces; Dofus Vulbis; Dolmanax; Dofus Pourpre; Dofus Turquoise; Dragodinde en armure</t>
        </is>
      </c>
    </row>
    <row r="28878">
      <c r="A28878" t="inlineStr">
        <is>
          <t>Stuff 1</t>
        </is>
      </c>
      <c r="B28878">
        <f>HYPERLINK("https://www.dofusbook.net/fr/equipement/743798-stuff-1/objets", "link")</f>
        <v/>
      </c>
      <c r="C28878" t="n">
        <v>0</v>
      </c>
      <c r="D28878" t="inlineStr">
        <is>
          <t>Arc de Koutoulou; Amulette d'Hel Munster; Alliance Gloursonne; Bracelet du Piloztère; Ceinture du Barbétoal; Coiffe d'Hel Munster; Cape Matelassée; Bottes de la Reine des Voleurs; Dofus Pourpre; Chanceux majeur; Remueur; Cascadeur majeur; Carapace Air majeur; Nomade; Dragodinde en armure</t>
        </is>
      </c>
    </row>
    <row r="28879">
      <c r="A28879" t="inlineStr">
        <is>
          <t>Stuff 2</t>
        </is>
      </c>
      <c r="B28879">
        <f>HYPERLINK("https://www.dofusbook.net/fr/equipement/743830-stuff-2/objets", "link")</f>
        <v/>
      </c>
      <c r="C28879" t="n">
        <v>0</v>
      </c>
      <c r="D28879" t="inlineStr">
        <is>
          <t>Épée d'Otomaï; Amulette d'Otomaï; Anneau de Nidas; Bague Gloursonne; Ceinture Séculaire; Coiffe Séculaire; Cape de Nileza; Bottes d'Otomaï; Dofus Ocre; Dofus Pourpre; Astucieux majeur; Saccageur Feu majeur; Ravageur Feu majeur; Pioute rouge</t>
        </is>
      </c>
    </row>
    <row r="28880">
      <c r="A28880" t="inlineStr">
        <is>
          <t>Stuff 2</t>
        </is>
      </c>
      <c r="B28880">
        <f>HYPERLINK("https://www.dofusbook.net/fr/equipement/743825-stuff-2/objets", "link")</f>
        <v/>
      </c>
      <c r="C28880" t="n">
        <v>0</v>
      </c>
      <c r="D28880" t="inlineStr">
        <is>
          <t>Arc du Chalœil; Amulette du Strigide; Anneau Crustique; Anneau Crustique; Ceinture du Strigide; Bonnet Ko; Voile d'encre; Bottes de Brouce; Dofus Pourpre; Dofus Ocre; Remueur; Vigoureux majeur; Nomade; Dragodinde en armure</t>
        </is>
      </c>
    </row>
    <row r="28881">
      <c r="A28881" t="inlineStr">
        <is>
          <t>Stuff 2</t>
        </is>
      </c>
      <c r="B28881">
        <f>HYPERLINK("https://www.dofusbook.net/fr/equipement/743820-stuff-2/objets", "link")</f>
        <v/>
      </c>
      <c r="C28881" t="n">
        <v>0</v>
      </c>
      <c r="D28881" t="inlineStr">
        <is>
          <t>La Racine Hagogue; Amulette de Nevark; Anneau d'Allister; Kralano; Ceinture de Nevark; Couronne d'Allister; Cape de Nevark; Bottes d'Allister; Dofus Ocre; Equilibriste majeur; Acrobate majeur; Saccageur Air majeur; Féroce majeur; Ravageur Air majeur; Siroko</t>
        </is>
      </c>
    </row>
    <row r="28882">
      <c r="A28882" t="inlineStr">
        <is>
          <t>Stuff 3</t>
        </is>
      </c>
      <c r="B28882">
        <f>HYPERLINK("https://www.dofusbook.net/fr/equipement/743815-stuff-3/objets", "link")</f>
        <v/>
      </c>
      <c r="C28882" t="n">
        <v>0</v>
      </c>
      <c r="D28882" t="inlineStr">
        <is>
          <t>Dagues Érhy; Amulette de Gein; Alliance du Lévitrof; Bague Gloursonne; Ceintacé; Chapeau de Gein; Voile d'encre; Bottes du Cycloïde; Dofus Turquoise; Vigoureux majeur; Enragé majeur; Nomade; Érudit majeur; Remueur; Dragodinde en armure</t>
        </is>
      </c>
    </row>
    <row r="28883">
      <c r="A28883" t="inlineStr">
        <is>
          <t>Stuff 1</t>
        </is>
      </c>
      <c r="B28883">
        <f>HYPERLINK("https://www.dofusbook.net/fr/equipement/743810-stuff-1/objets", "link")</f>
        <v/>
      </c>
      <c r="C28883" t="n">
        <v>0</v>
      </c>
      <c r="D28883" t="inlineStr">
        <is>
          <t>Bâton Beau; Amulette Ementaire Deluxe; Alliance Gloursonne; Bague Gloursonne; Bouclier du Chouque cassé; Slip du Roi de Bonta; Casque de Missiz Frizz; Voile d'encre; Sandales Circulaires du Kimbo; Dofus Pourpre; Dofus Ocre; Dofus Turquoise; Vigoureux majeur; Remueur; Nomade; Dragodinde en armure</t>
        </is>
      </c>
    </row>
    <row r="28884">
      <c r="A28884" t="inlineStr">
        <is>
          <t>Stuff 2</t>
        </is>
      </c>
      <c r="B28884">
        <f>HYPERLINK("https://www.dofusbook.net/fr/equipement/743805-stuff-2/objets", "link")</f>
        <v/>
      </c>
      <c r="C28884" t="n">
        <v>0</v>
      </c>
      <c r="D28884" t="inlineStr">
        <is>
          <t>Épée d'Otomaï; Amulette d'Otomaï; Anneau Tamie; Bague Gloursonne; Frimature; Calotte Spot; Cape Routh; Pantoufles Émar; Astucieux majeur; Érudit majeur; Remueur; Dévastateur Feu majeur; Nomade; Brûlih</t>
        </is>
      </c>
    </row>
    <row r="28885">
      <c r="A28885" t="inlineStr">
        <is>
          <t>Stuff 3</t>
        </is>
      </c>
      <c r="B28885">
        <f>HYPERLINK("https://www.dofusbook.net/fr/equipement/743800-stuff-3/objets", "link")</f>
        <v/>
      </c>
      <c r="C28885" t="n">
        <v>0</v>
      </c>
      <c r="D28885" t="inlineStr">
        <is>
          <t>Epée Kari; Amulette de Pol Ouatnos; Alliance du Lévitrof; Bracelet du Piloztère; Sangle Aise; Coiffe Ranshi; Voile d'encre; Bottes du Lévitrof; Dofus Pourpre; Nomade; Miraculé majeur; Remueur; Sanguinaire majeur; Vigoureux majeur</t>
        </is>
      </c>
    </row>
    <row r="28886">
      <c r="A28886" t="inlineStr">
        <is>
          <t>Stuff 1</t>
        </is>
      </c>
      <c r="B28886">
        <f>HYPERLINK("https://www.dofusbook.net/fr/equipement/743832-stuff-1/objets", "link")</f>
        <v/>
      </c>
      <c r="C28886" t="n">
        <v>0</v>
      </c>
      <c r="D28886" t="inlineStr">
        <is>
          <t>Dagues Érhy; Amulette de Gein; Alliance du Lévitrof; Bracelet du Piloztère; Bouclier du Stalak; Ceintacé; Chapeau de Gein; Voile d'encre; Pataugastrique; Dofus Turquoise; Dofus Pourpre; Enragé majeur; Remueur; Vigoureux majeur; Nomade; Muldo Orchidée et Pourpre</t>
        </is>
      </c>
    </row>
    <row r="28887">
      <c r="A28887" t="inlineStr">
        <is>
          <t>Stuff 1</t>
        </is>
      </c>
      <c r="B28887">
        <f>HYPERLINK("https://www.dofusbook.net/fr/equipement/743827-stuff-1/objets", "link")</f>
        <v/>
      </c>
      <c r="C28887" t="n">
        <v>0</v>
      </c>
      <c r="D28887" t="inlineStr">
        <is>
          <t>Sabres d'Atcham; Collier de la Dame du Hasard; Bracelet du Piloztère; Alliance Gloursonne; Ceintacé; Casque de Missiz Frizz; Cape de la Dame du Hasard; Baleinabottes; Dofus Turquoise; Dofus Pourpre; Nomade; Sanguinaire majeur; Remueur; Vigoureux majeur; Dragodinde en armure</t>
        </is>
      </c>
    </row>
    <row r="28888">
      <c r="A28888" t="inlineStr">
        <is>
          <t>Stuff 1</t>
        </is>
      </c>
      <c r="B28888">
        <f>HYPERLINK("https://www.dofusbook.net/fr/equipement/743822-stuff-1/objets", "link")</f>
        <v/>
      </c>
      <c r="C28888" t="n">
        <v>0</v>
      </c>
      <c r="D28888" t="inlineStr">
        <is>
          <t>Baguette Range; Pendentif mignon de Koutoulou; Anneau de Padgref; Kralano; Ceinture Séculaire; Casque Cyclopéen; Cape Ytale; Pantoufles Émar; Cascadeur majeur; Remueur; Miraculé majeur; Carapace Feu majeur; Érudit majeur; Nomade; Dragodinde en armure</t>
        </is>
      </c>
    </row>
    <row r="28889">
      <c r="A28889" t="inlineStr">
        <is>
          <t>Stuff 2</t>
        </is>
      </c>
      <c r="B28889">
        <f>HYPERLINK("https://www.dofusbook.net/fr/equipement/743817-stuff-2/objets", "link")</f>
        <v/>
      </c>
      <c r="C28889" t="n">
        <v>0</v>
      </c>
      <c r="D28889" t="inlineStr">
        <is>
          <t>Bêche Asse; Amulette Ementaire Deluxe; Bague Gloursonne; Anneau de Brouce; Ceinture de la Reine des Voleurs; Coiffe de la Reine des Voleurs; Voile d'encre; Baleinabottes; Dofus Pourpre; Dofus Turquoise; Remueur; Vigoureux majeur; Nomade; Carapace Feu majeur; Dragodinde en armure</t>
        </is>
      </c>
    </row>
    <row r="28890">
      <c r="A28890" t="inlineStr">
        <is>
          <t>Stuff 3</t>
        </is>
      </c>
      <c r="B28890">
        <f>HYPERLINK("https://www.dofusbook.net/fr/equipement/743812-stuff-3/objets", "link")</f>
        <v/>
      </c>
      <c r="C28890" t="n">
        <v>0</v>
      </c>
      <c r="D28890" t="inlineStr">
        <is>
          <t>Manthache; Collier du Valet Veinard; Alliance Gloursonne; Gant du Valet Veinard; Menoture; Couronne d'Allister; Cape Indescriptible; Palmes Trithons; Dofus Pourpre; Dofus des Glaces; Cascadeur majeur; Dévastateur Air majeur; Nomade; Remueur; Siroko</t>
        </is>
      </c>
    </row>
    <row r="28891">
      <c r="A28891" t="inlineStr">
        <is>
          <t>Stuff 1</t>
        </is>
      </c>
      <c r="B28891">
        <f>HYPERLINK("https://www.dofusbook.net/fr/equipement/743807-stuff-1/objets", "link")</f>
        <v/>
      </c>
      <c r="C28891" t="n">
        <v>0</v>
      </c>
      <c r="D28891" t="inlineStr">
        <is>
          <t>Pelle du Professeur Xa; Amulette Hendart; Anneau du Père Fwetar; Alliance Gloursonne; Ceinture du Père Fwetar; Casque de Missiz Frizz; Cape Reski; Sabots Minables; Dofus Pourpre; Enragé majeur; Vigoureux majeur; Nomade; Chanceux majeur; Remueur; Dragodinde en armure</t>
        </is>
      </c>
    </row>
    <row r="28892">
      <c r="A28892" t="inlineStr">
        <is>
          <t>Stuff 1</t>
        </is>
      </c>
      <c r="B28892">
        <f>HYPERLINK("https://www.dofusbook.net/fr/equipement/743829-stuff-1/objets", "link")</f>
        <v/>
      </c>
      <c r="C28892" t="n">
        <v>0</v>
      </c>
      <c r="D28892" t="inlineStr">
        <is>
          <t>Épée d'Otomaï; Amulette de Nileza; Anneau de Nidas; Bague Gloursonne; Ceinture de Gein; Calotte Spot; Cape de Diondin; Bottes d'Otomaï; Astucieux majeur; Remueur; Dévastateur Feu majeur; Érudit majeur; Saccageur Feu majeur; Nomade; Pioute rouge</t>
        </is>
      </c>
    </row>
    <row r="28893">
      <c r="A28893" t="inlineStr">
        <is>
          <t>Stuff 3</t>
        </is>
      </c>
      <c r="B28893">
        <f>HYPERLINK("https://www.dofusbook.net/fr/equipement/743803-stuff-3/objets", "link")</f>
        <v/>
      </c>
      <c r="C28893" t="n">
        <v>0</v>
      </c>
      <c r="D28893" t="inlineStr">
        <is>
          <t>Epée Gloursonne; Collier de la Dame du Hasard; Bague Gloursonne; Alliance Gloursonne; Ceinture de Gein; Chapeau de Gein; Cape de la Dame du Hasard; Bottes de la Dame du Hasard; Dolmanax; Dofus Pourpre; Dofus Turquoise; Dofus Ocre; Dofus des Glaces; Dofus Vulbis; Dragodinde en armure</t>
        </is>
      </c>
    </row>
    <row r="28894">
      <c r="A28894" t="inlineStr">
        <is>
          <t>Stuff 1</t>
        </is>
      </c>
      <c r="B28894">
        <f>HYPERLINK("https://www.dofusbook.net/fr/equipement/743798-stuff-1/objets", "link")</f>
        <v/>
      </c>
      <c r="C28894" t="n">
        <v>0</v>
      </c>
      <c r="D28894" t="inlineStr">
        <is>
          <t>Arc de Koutoulou; Amulette d'Hel Munster; Bracelet du Piloztère; Alliance Gloursonne; Ceinture du Barbétoal; Coiffe d'Hel Munster; Cape Matelassée; Bottes de la Reine des Voleurs; Dofus Pourpre; Cascadeur majeur; Carapace Air majeur; Nomade; Chanceux majeur; Remueur; Dragodinde en armure</t>
        </is>
      </c>
    </row>
    <row r="28895">
      <c r="A28895" t="inlineStr">
        <is>
          <t>Stuff 2</t>
        </is>
      </c>
      <c r="B28895">
        <f>HYPERLINK("https://www.dofusbook.net/fr/equipement/743830-stuff-2/objets", "link")</f>
        <v/>
      </c>
      <c r="C28895" t="n">
        <v>0</v>
      </c>
      <c r="D28895" t="inlineStr">
        <is>
          <t>Épée d'Otomaï; Amulette d'Otomaï; Anneau de Nidas; Bague Gloursonne; Ceinture Séculaire; Coiffe Séculaire; Cape de Nileza; Bottes d'Otomaï; Dofus Pourpre; Dofus Ocre; Astucieux majeur; Saccageur Feu majeur; Ravageur Feu majeur; Pioute rouge</t>
        </is>
      </c>
    </row>
    <row r="28896">
      <c r="A28896" t="inlineStr">
        <is>
          <t>Stuff 2</t>
        </is>
      </c>
      <c r="B28896">
        <f>HYPERLINK("https://www.dofusbook.net/fr/equipement/743825-stuff-2/objets", "link")</f>
        <v/>
      </c>
      <c r="C28896" t="n">
        <v>0</v>
      </c>
      <c r="D28896" t="inlineStr">
        <is>
          <t>Arc du Chalœil; Amulette du Strigide; Anneau Crustique; Anneau Crustique; Ceinture du Strigide; Bonnet Ko; Voile d'encre; Bottes de Brouce; Dofus Pourpre; Dofus Ocre; Remueur; Vigoureux majeur; Nomade; Dragodinde en armure</t>
        </is>
      </c>
    </row>
    <row r="28897">
      <c r="A28897" t="inlineStr">
        <is>
          <t>Stuff 2</t>
        </is>
      </c>
      <c r="B28897">
        <f>HYPERLINK("https://www.dofusbook.net/fr/equipement/743820-stuff-2/objets", "link")</f>
        <v/>
      </c>
      <c r="C28897" t="n">
        <v>0</v>
      </c>
      <c r="D28897" t="inlineStr">
        <is>
          <t>La Racine Hagogue; Amulette de Nevark; Anneau d'Allister; Kralano; Ceinture de Nevark; Couronne d'Allister; Cape de Nevark; Bottes d'Allister; Dofus Ocre; Equilibriste majeur; Acrobate majeur; Saccageur Air majeur; Féroce majeur; Ravageur Air majeur; Siroko</t>
        </is>
      </c>
    </row>
    <row r="28898">
      <c r="A28898" t="inlineStr">
        <is>
          <t>Stuff 3</t>
        </is>
      </c>
      <c r="B28898">
        <f>HYPERLINK("https://www.dofusbook.net/fr/equipement/743815-stuff-3/objets", "link")</f>
        <v/>
      </c>
      <c r="C28898" t="n">
        <v>0</v>
      </c>
      <c r="D28898" t="inlineStr">
        <is>
          <t>Dagues Érhy; Amulette de Gein; Alliance du Lévitrof; Bague Gloursonne; Ceintacé; Chapeau de Gein; Voile d'encre; Bottes du Cycloïde; Dofus Turquoise; Remueur; Vigoureux majeur; Enragé majeur; Nomade; Érudit majeur; Dragodinde en armure</t>
        </is>
      </c>
    </row>
    <row r="28899">
      <c r="A28899" t="inlineStr">
        <is>
          <t>Stuff 1</t>
        </is>
      </c>
      <c r="B28899">
        <f>HYPERLINK("https://www.dofusbook.net/fr/equipement/743810-stuff-1/objets", "link")</f>
        <v/>
      </c>
      <c r="C28899" t="n">
        <v>0</v>
      </c>
      <c r="D28899" t="inlineStr">
        <is>
          <t>Bâton Beau; Amulette Ementaire Deluxe; Bague Gloursonne; Alliance Gloursonne; Bouclier du Chouque cassé; Slip du Roi de Bonta; Casque de Missiz Frizz; Voile d'encre; Sandales Circulaires du Kimbo; Dofus Pourpre; Dofus Ocre; Dofus Turquoise; Vigoureux majeur; Remueur; Nomade; Dragodinde en armure</t>
        </is>
      </c>
    </row>
    <row r="28900">
      <c r="A28900" t="inlineStr">
        <is>
          <t>Stuff 2</t>
        </is>
      </c>
      <c r="B28900">
        <f>HYPERLINK("https://www.dofusbook.net/fr/equipement/743805-stuff-2/objets", "link")</f>
        <v/>
      </c>
      <c r="C28900" t="n">
        <v>0</v>
      </c>
      <c r="D28900" t="inlineStr">
        <is>
          <t>Épée d'Otomaï; Amulette d'Otomaï; Anneau Tamie; Bague Gloursonne; Frimature; Calotte Spot; Cape Routh; Pantoufles Émar; Dévastateur Feu majeur; Nomade; Astucieux majeur; Érudit majeur; Remueur; Brûlih</t>
        </is>
      </c>
    </row>
    <row r="28901">
      <c r="A28901" t="inlineStr">
        <is>
          <t>Stuff 3</t>
        </is>
      </c>
      <c r="B28901">
        <f>HYPERLINK("https://www.dofusbook.net/fr/equipement/743800-stuff-3/objets", "link")</f>
        <v/>
      </c>
      <c r="C28901" t="n">
        <v>0</v>
      </c>
      <c r="D28901" t="inlineStr">
        <is>
          <t>Epée Kari; Amulette de Pol Ouatnos; Alliance du Lévitrof; Bracelet du Piloztère; Sangle Aise; Coiffe Ranshi; Voile d'encre; Bottes du Lévitrof; Dofus Pourpre; Sanguinaire majeur; Vigoureux majeur; Nomade; Miraculé majeur; Remueur</t>
        </is>
      </c>
    </row>
    <row r="28902">
      <c r="A28902" t="inlineStr">
        <is>
          <t>Stuff 1</t>
        </is>
      </c>
      <c r="B28902">
        <f>HYPERLINK("https://www.dofusbook.net/fr/equipement/743832-stuff-1/objets", "link")</f>
        <v/>
      </c>
      <c r="C28902" t="n">
        <v>0</v>
      </c>
      <c r="D28902" t="inlineStr">
        <is>
          <t>Dagues Érhy; Amulette de Gein; Alliance du Lévitrof; Bracelet du Piloztère; Bouclier du Stalak; Ceintacé; Chapeau de Gein; Voile d'encre; Pataugastrique; Dofus Turquoise; Dofus Pourpre; Enragé majeur; Remueur; Vigoureux majeur; Nomade; Muldo Orchidée et Pourpre</t>
        </is>
      </c>
    </row>
    <row r="28903">
      <c r="A28903" t="inlineStr">
        <is>
          <t>Stuff 1</t>
        </is>
      </c>
      <c r="B28903">
        <f>HYPERLINK("https://www.dofusbook.net/fr/equipement/743827-stuff-1/objets", "link")</f>
        <v/>
      </c>
      <c r="C28903" t="n">
        <v>0</v>
      </c>
      <c r="D28903" t="inlineStr">
        <is>
          <t>Sabres d'Atcham; Collier de la Dame du Hasard; Bracelet du Piloztère; Alliance Gloursonne; Ceintacé; Casque de Missiz Frizz; Cape de la Dame du Hasard; Baleinabottes; Dofus Turquoise; Dofus Pourpre; Nomade; Sanguinaire majeur; Remueur; Vigoureux majeur; Dragodinde en armure</t>
        </is>
      </c>
    </row>
    <row r="28904">
      <c r="A28904" t="inlineStr">
        <is>
          <t>Stuff 1</t>
        </is>
      </c>
      <c r="B28904">
        <f>HYPERLINK("https://www.dofusbook.net/fr/equipement/743822-stuff-1/objets", "link")</f>
        <v/>
      </c>
      <c r="C28904" t="n">
        <v>0</v>
      </c>
      <c r="D28904" t="inlineStr">
        <is>
          <t>Baguette Range; Pendentif mignon de Koutoulou; Anneau de Padgref; Kralano; Ceinture Séculaire; Casque Cyclopéen; Cape Ytale; Pantoufles Émar; Érudit majeur; Nomade; Cascadeur majeur; Remueur; Miraculé majeur; Carapace Feu majeur; Dragodinde en armure</t>
        </is>
      </c>
    </row>
    <row r="28905">
      <c r="A28905" t="inlineStr">
        <is>
          <t>Stuff 2</t>
        </is>
      </c>
      <c r="B28905">
        <f>HYPERLINK("https://www.dofusbook.net/fr/equipement/743817-stuff-2/objets", "link")</f>
        <v/>
      </c>
      <c r="C28905" t="n">
        <v>0</v>
      </c>
      <c r="D28905" t="inlineStr">
        <is>
          <t>Bêche Asse; Amulette Ementaire Deluxe; Bague Gloursonne; Anneau de Brouce; Ceinture de la Reine des Voleurs; Coiffe de la Reine des Voleurs; Voile d'encre; Baleinabottes; Dofus Turquoise; Dofus Pourpre; Carapace Feu majeur; Remueur; Vigoureux majeur; Nomade; Dragodinde en armure</t>
        </is>
      </c>
    </row>
    <row r="28906">
      <c r="A28906" t="inlineStr">
        <is>
          <t>Stuff 3</t>
        </is>
      </c>
      <c r="B28906">
        <f>HYPERLINK("https://www.dofusbook.net/fr/equipement/743812-stuff-3/objets", "link")</f>
        <v/>
      </c>
      <c r="C28906" t="n">
        <v>0</v>
      </c>
      <c r="D28906" t="inlineStr">
        <is>
          <t>Manthache; Collier du Valet Veinard; Alliance Gloursonne; Gant du Valet Veinard; Menoture; Couronne d'Allister; Cape Indescriptible; Palmes Trithons; Dofus des Glaces; Dofus Pourpre; Remueur; Cascadeur majeur; Dévastateur Air majeur; Nomade; Siroko</t>
        </is>
      </c>
    </row>
    <row r="28907">
      <c r="A28907" t="inlineStr">
        <is>
          <t>Stuff 1</t>
        </is>
      </c>
      <c r="B28907">
        <f>HYPERLINK("https://www.dofusbook.net/fr/equipement/743807-stuff-1/objets", "link")</f>
        <v/>
      </c>
      <c r="C28907" t="n">
        <v>0</v>
      </c>
      <c r="D28907" t="inlineStr">
        <is>
          <t>Pelle du Professeur Xa; Amulette Hendart; Alliance Gloursonne; Anneau du Père Fwetar; Ceinture du Père Fwetar; Casque de Missiz Frizz; Cape Reski; Sabots Minables; Dofus Pourpre; Chanceux majeur; Remueur; Enragé majeur; Vigoureux majeur; Nomade; Dragodinde en armure</t>
        </is>
      </c>
    </row>
    <row r="28908">
      <c r="A28908" t="inlineStr">
        <is>
          <t>Stuff 1</t>
        </is>
      </c>
      <c r="B28908">
        <f>HYPERLINK("https://www.dofusbook.net/fr/equipement/743829-stuff-1/objets", "link")</f>
        <v/>
      </c>
      <c r="C28908" t="n">
        <v>0</v>
      </c>
      <c r="D28908" t="inlineStr">
        <is>
          <t>Épée d'Otomaï; Amulette de Nileza; Anneau de Nidas; Bague Gloursonne; Ceinture de Gein; Calotte Spot; Cape de Diondin; Bottes d'Otomaï; Astucieux majeur; Remueur; Dévastateur Feu majeur; Érudit majeur; Saccageur Feu majeur; Nomade; Pioute rouge</t>
        </is>
      </c>
    </row>
    <row r="28909">
      <c r="A28909" t="inlineStr">
        <is>
          <t>Stuff 1</t>
        </is>
      </c>
      <c r="B28909">
        <f>HYPERLINK("https://www.dofusbook.net/fr/equipement/743824-stuff-1/objets", "link")</f>
        <v/>
      </c>
      <c r="C28909" t="n">
        <v>0</v>
      </c>
      <c r="D28909" t="inlineStr">
        <is>
          <t>Epée Gloursonne; Amulette de l'Indicible; Bague Gloursonne; Alliance Gloursonne; Ceinture de l'Indicible; Coiffe du Comte Harebourg; Voile d'encre; Bottes de l'Indicible; Dofus Pourpre; Dofus des Glaces; Dofus Ocre; Dofus Émeraude; Dofus Turquoise; Voyageur; Dragodinde en armure</t>
        </is>
      </c>
    </row>
    <row r="28910">
      <c r="A28910" t="inlineStr">
        <is>
          <t>Stuff 1</t>
        </is>
      </c>
      <c r="B28910">
        <f>HYPERLINK("https://www.dofusbook.net/fr/equipement/743819-stuff-1/objets", "link")</f>
        <v/>
      </c>
      <c r="C28910" t="n">
        <v>0</v>
      </c>
      <c r="D28910" t="inlineStr">
        <is>
          <t>Arc Honte; Amulette du Strigide; Bague Gloursonne; Anneau de Padgref; Ceinture du Strigide; Coiffe de Padgref; Voile d'encre; Bottes du Strigide; Dofus Vulbis; Dofus Émeraude; Dofus Pourpre; Dofus Ocre; Astucieux majeur; Savant majeur; Dragodinde en armure</t>
        </is>
      </c>
    </row>
    <row r="28911">
      <c r="A28911" t="inlineStr">
        <is>
          <t>Stuff 1</t>
        </is>
      </c>
      <c r="B28911">
        <f>HYPERLINK("https://www.dofusbook.net/fr/equipement/307873-stuff-1/objets", "link")</f>
        <v/>
      </c>
      <c r="C28911" t="n">
        <v>3</v>
      </c>
      <c r="D28911" t="inlineStr">
        <is>
          <t>Arc du Chalœil; Torquistik; Anneau Instable; Bague Instable; Bouclier précieux; Ceinture Gence; Casque Dragoeuf; Cape Solution; Bottes du Cœur Vaillant; Dofus Ivoire; Bousculeur; Bousculeur majeur; Culbuteur majeur; Pousseur majeur; Culbuteur; Balafreux</t>
        </is>
      </c>
    </row>
    <row r="28912">
      <c r="A28912" t="inlineStr">
        <is>
          <t>Stuff 3</t>
        </is>
      </c>
      <c r="B28912">
        <f>HYPERLINK("https://www.dofusbook.net/fr/equipement/307887-stuff-3/objets", "link")</f>
        <v/>
      </c>
      <c r="C28912" t="n">
        <v>1</v>
      </c>
      <c r="D28912" t="inlineStr">
        <is>
          <t>Arc corrompu; Amulette Volkorne; Anneauræus; Anneauræus; Croture; Heaume Oplate; Voile d'encre; Pataugastrique; Dofus Pourpre; Dofus Ivoire; Dofus Turquoise; Dofus Vulbis; Vigoureux majeur; Érudit majeur; Dragodinde Emeraude et Orchidée</t>
        </is>
      </c>
    </row>
    <row r="28913">
      <c r="A28913" t="inlineStr">
        <is>
          <t>Zobal M 200</t>
        </is>
      </c>
      <c r="B28913">
        <f>HYPERLINK("https://www.dofusbook.net/fr/equipement/3637626-zobal-m-200/objets", "link")</f>
        <v/>
      </c>
      <c r="C28913" t="n">
        <v>5</v>
      </c>
      <c r="D28913" t="inlineStr">
        <is>
          <t>Pelle de la Cour Sombre; Collier du Valet Veinard; Gant du Valet Veinard; Alliance Gloursonne; Bouclier du Stalak; Menoture; Casque d'Ilyzaelle; Cape Indescriptible; Palmes Trithons; Dofus Ivoire; Dofus Vulbis; Dofus Pourpre; Dofus Ocre; Dofus Nébuleux; Cascadeur majeur; Dragodinde Ebène et Ivoire</t>
        </is>
      </c>
    </row>
    <row r="28914">
      <c r="A28914" t="inlineStr">
        <is>
          <t>Huppermage F 200</t>
        </is>
      </c>
      <c r="B28914">
        <f>HYPERLINK("https://www.dofusbook.net/fr/equipement/3634653-huppermage-f-200/objets", "link")</f>
        <v/>
      </c>
      <c r="C28914" t="n">
        <v>9</v>
      </c>
      <c r="D28914" t="inlineStr">
        <is>
          <t>Arc du Chalœil; Amulette du Strigide; Anneau Crustique; Anneau Crustique; Quatre-feuilles; Ceinture Gence; Masque de Koutoulou; Cape au Logis; Bottes du Strigide; Dofus Ivoire; Dofus Pourpre; Dofus Turquoise; Miraculé majeur; Vigoureux majeur; Enragé majeur; Dragodinde Ivoire et Pourpre</t>
        </is>
      </c>
    </row>
    <row r="28915">
      <c r="A28915" t="inlineStr">
        <is>
          <t>Eliotrope F 200</t>
        </is>
      </c>
      <c r="B28915">
        <f>HYPERLINK("https://www.dofusbook.net/fr/equipement/3636944-eliotrope-f-200/objets", "link")</f>
        <v/>
      </c>
      <c r="C28915" t="n">
        <v>24</v>
      </c>
      <c r="D28915" t="inlineStr">
        <is>
          <t>Arc du Chalœil; Amulette du Strigide; Anneau Crustique; Anneau Crustique; Quatre-feuilles; Ceinture Gence; Masque de Koutoulou; Cape de Jahash Jurgen; Bottes du Strigide; Dofus Pourpre; Dofus Turquoise; Dofus Vulbis; Enragé majeur; Vigoureux majeur; Forcené majeur; Dragodinde Ivoire et Pourpre</t>
        </is>
      </c>
    </row>
    <row r="28916">
      <c r="A28916" t="inlineStr">
        <is>
          <t>Eliotrope M 200</t>
        </is>
      </c>
      <c r="B28916">
        <f>HYPERLINK("https://www.dofusbook.net/fr/equipement/3634624-eliotrope-m-200/objets", "link")</f>
        <v/>
      </c>
      <c r="C28916" t="n">
        <v>15</v>
      </c>
      <c r="D28916" t="inlineStr">
        <is>
          <t>Baguette de Malléfisk; Amulette Volkorne; Anneauræus; Anneauræus; Carapar; Croture; Heaume Oplate; Voile d'encre; Pataugastrique; Dofus Ivoire; Dofus Abyssal; Dofus Émeraude; Guérisseur majeur; Miraculé majeur; Érudit majeur; Muldo Orchidée et Pourpre</t>
        </is>
      </c>
    </row>
    <row r="28917">
      <c r="A28917" t="inlineStr">
        <is>
          <t>Stuff 1</t>
        </is>
      </c>
      <c r="B28917">
        <f>HYPERLINK("https://www.dofusbook.net/fr/equipement/307885-stuff-1/objets", "link")</f>
        <v/>
      </c>
      <c r="C28917" t="n">
        <v>2</v>
      </c>
      <c r="D28917" t="inlineStr">
        <is>
          <t>Rouleau à Pâtisserie d'Aermyne; Amulette de Pol Ouatnos; Alliance Gloursonne; Anneau Tique; Bouclier précieux; Ceinture Gence; Casque Dragoeuf; Cape d'Aermyne; Sabots Minables; Dokoko; Dofus Émeraude; Dofus Ivoire; Miraculé majeur; Obstructeur majeur; Bloqueur majeur; Muldo Roux</t>
        </is>
      </c>
    </row>
    <row r="28918">
      <c r="A28918" t="inlineStr">
        <is>
          <t>Stuff 2</t>
        </is>
      </c>
      <c r="B28918">
        <f>HYPERLINK("https://www.dofusbook.net/fr/equipement/307886-stuff-2/objets", "link")</f>
        <v/>
      </c>
      <c r="C28918" t="n">
        <v>0</v>
      </c>
      <c r="D28918" t="inlineStr">
        <is>
          <t>Amulette de l'Indicible; Anneau Tique; Bague Gloursonne; Bouclier du Stalak; Ceinture de l'Indicible; Heaume Oplate; Voile d'encre; Dofus Abyssal; Dofus Vulbis; Dofus Ocre; Dofus Pourpre; Dofus des Glaces; Dolmanax; Kramkram</t>
        </is>
      </c>
    </row>
    <row r="28919">
      <c r="A28919" t="inlineStr">
        <is>
          <t>Stuff 3</t>
        </is>
      </c>
      <c r="B28919">
        <f>HYPERLINK("https://www.dofusbook.net/fr/equipement/307878-stuff-3/objets", "link")</f>
        <v/>
      </c>
      <c r="C28919" t="n">
        <v>2</v>
      </c>
      <c r="D28919" t="inlineStr">
        <is>
          <t>Hache du Guerrier Zoth; Amulette du Strigide; Anneau de Padgref; Bracelet du Piloztère; Quatre-feuilles; Ceinture du Strigide; Coiffe de Padgref; Getas de Padgref; Dofus Pourpre; Dofus des Glaces; Dofus Turquoise; Dofus Nébuleux; Dofus Ocre; Muldo Doré et Emeraude</t>
        </is>
      </c>
    </row>
    <row r="28920">
      <c r="A28920" t="inlineStr">
        <is>
          <t>Stuff 2</t>
        </is>
      </c>
      <c r="B28920">
        <f>HYPERLINK("https://www.dofusbook.net/fr/equipement/307877-stuff-2/objets", "link")</f>
        <v/>
      </c>
      <c r="C28920" t="n">
        <v>4</v>
      </c>
      <c r="D28920" t="inlineStr">
        <is>
          <t>Baguette de Malléfisk; Pendentif mignon de Koutoulou; Anneau Tique; Anneau Rifique; Cadran de Terre; Ceinture de Vortex; Casque Dragoeuf; Cape de Diondin; Bottes Innommables; Dofus Abyssal; Miraculé majeur; Carapace Terre majeur; Remueur; Carapace Neutre majeur; Érudit majeur; Muldo Orchidée</t>
        </is>
      </c>
    </row>
    <row r="28921">
      <c r="A28921" t="inlineStr">
        <is>
          <t>Stuff 2</t>
        </is>
      </c>
      <c r="B28921">
        <f>HYPERLINK("https://www.dofusbook.net/fr/equipement/307874-stuff-2/objets", "link")</f>
        <v/>
      </c>
      <c r="C28921" t="n">
        <v>0</v>
      </c>
      <c r="D28921" t="inlineStr">
        <is>
          <t>L'Épée Nice; Amulette Ementaire Deluxe; Anneau de XLII; Veranneau; Cadran de Terre; Ceinture de XLII; Chapeau Lichinelle; Capikténia; Bottes de XLII; Dofus Turquoise; Dofus Nébuleux; Dofus Ocre; Dokoko; Dofus des Glaces; Dofus Abyssal; Kramkram</t>
        </is>
      </c>
    </row>
    <row r="28922">
      <c r="A28922" t="inlineStr">
        <is>
          <t>Stuff 1</t>
        </is>
      </c>
      <c r="B28922">
        <f>HYPERLINK("https://www.dofusbook.net/fr/equipement/307876-stuff-1/objets", "link")</f>
        <v/>
      </c>
      <c r="C28922" t="n">
        <v>0</v>
      </c>
      <c r="D28922" t="inlineStr">
        <is>
          <t>Sabres d'Atcham; Amulette d'Otomaï; Alliance Gloursonne; Anneau de Brouce; Bouclier d'Asse cassé; Ceinture de Brouce; Masque du Granduk; Cape d'Atcham; Sandales  d'Atcham; Dofus Turquoise; Dofus Pourpre; Dolmanax; Dofus Ocre; Dofus des Glaces; Dofus Émeraude; Pioute vert</t>
        </is>
      </c>
    </row>
    <row r="28923">
      <c r="A28923" t="inlineStr">
        <is>
          <t>Stuff 3</t>
        </is>
      </c>
      <c r="B28923">
        <f>HYPERLINK("https://www.dofusbook.net/fr/equipement/307875-stuff-3/objets", "link")</f>
        <v/>
      </c>
      <c r="C28923" t="n">
        <v>0</v>
      </c>
      <c r="D28923" t="inlineStr">
        <is>
          <t>La Baguette des Limbes; Col de Ush; Bague Gloursonne; Anneau de Padgref; Ceinture du Tengu Givrefoux; Casqnoar; Cape de Dremoan; Getas de Padgref; Dofus des Glaces; Dofus Ocre; Dofus Nébuleux; Cavaleur majeur; Remueur; Érudit majeur; Pioute rouge</t>
        </is>
      </c>
    </row>
    <row r="28924">
      <c r="A28924" t="inlineStr">
        <is>
          <t>12PA 6PM 50RES</t>
        </is>
      </c>
      <c r="B28924">
        <f>HYPERLINK("https://www.dofusbook.net/fr/equipement/5632339-12pa-6pm-50res/objets", "link")</f>
        <v/>
      </c>
      <c r="C28924" t="n">
        <v>6</v>
      </c>
      <c r="D28924" t="inlineStr">
        <is>
          <t>Épée Brûlâme; Amulette Ementaire Deluxe; Alliance Gloursonne; Anneau Tique; Droiture de Fallanster; Ceinture des Chocomanciens; Masque d'Anerice; Cape d'Anerice; Chaussons de Macrab; Dofus Ivoire; Dofus Turquoise; Dofus Vulbis; Dofus Abyssal; Dofus Ocre; Remueur; Fëanor</t>
        </is>
      </c>
    </row>
    <row r="28925">
      <c r="A28925" t="inlineStr">
        <is>
          <t>Sadida M 200</t>
        </is>
      </c>
      <c r="B28925">
        <f>HYPERLINK("https://www.dofusbook.net/fr/equipement/4979828-sadida-m-200/objets", "link")</f>
        <v/>
      </c>
      <c r="C28925" t="n">
        <v>2</v>
      </c>
      <c r="D28925" t="inlineStr"/>
    </row>
    <row r="28926">
      <c r="A28926" t="inlineStr">
        <is>
          <t>Eniripsa M 200</t>
        </is>
      </c>
      <c r="B28926">
        <f>HYPERLINK("https://www.dofusbook.net/fr/equipement/5655635-eniripsa-m-200/objets", "link")</f>
        <v/>
      </c>
      <c r="C28926" t="n">
        <v>0</v>
      </c>
      <c r="D28926" t="inlineStr">
        <is>
          <t>Couteaux Sacrificiels; Amulette du Strigide; Alliance Gloursonne; Anneau Tique; Droiture de Fallanster; Masque Paztek; Cape Paztek; Sandales Paztek</t>
        </is>
      </c>
    </row>
    <row r="28927">
      <c r="A28927" t="inlineStr">
        <is>
          <t>Ret PM</t>
        </is>
      </c>
      <c r="B28927">
        <f>HYPERLINK("https://www.dofusbook.net/fr/equipement/5515833-ret-pm/objets", "link")</f>
        <v/>
      </c>
      <c r="C28927" t="n">
        <v>1</v>
      </c>
      <c r="D28927" t="inlineStr">
        <is>
          <t>Marteau R'ture; Amulette des Chocomanciens; Anneau Tamie; Anneau Tamie; Bouclier cubiste; Ceinture des Chocomanciens; Maskrobe; Cape Peupret; Pantoufles Émar; Dofus Ocre; Entraveur; Entraveur majeur; Ralentisseur majeur; Temporiseur; Temporiseur majeur; Gwo Tofu Ventripotent</t>
        </is>
      </c>
    </row>
    <row r="28928">
      <c r="A28928" t="inlineStr">
        <is>
          <t>Basique Pui</t>
        </is>
      </c>
      <c r="B28928">
        <f>HYPERLINK("https://www.dofusbook.net/fr/equipement/5516252-basique-pui/objets", "link")</f>
        <v/>
      </c>
      <c r="C28928" t="n">
        <v>0</v>
      </c>
      <c r="D28928" t="inlineStr">
        <is>
          <t>Arc Volkorne; Amulette du Strigide; Bracelet du Piloztère; Anneau Volkorne; Quatre-feuilles; Ceinture du Strigide; Casque Volkorne; Cape de Jahash Jurgen; Bottes du Strigide; Dofus Vulbis; Dofus Turquoise; Dofus Nébuleux; Dofus Ocre; Dofus Ébène; Dofus Pourpre; Fëanor</t>
        </is>
      </c>
    </row>
    <row r="28929">
      <c r="A28929" t="inlineStr">
        <is>
          <t>11PA 6PM 50RES TAC</t>
        </is>
      </c>
      <c r="B28929">
        <f>HYPERLINK("https://www.dofusbook.net/fr/equipement/223687-11pa-6pm-50res-tac/objets", "link")</f>
        <v/>
      </c>
      <c r="C28929" t="n">
        <v>0</v>
      </c>
      <c r="D28929" t="inlineStr">
        <is>
          <t>Rouleau à Pâtisserie d'Aermyne; Collier Rophante; Alliance Gloursonne; Bague Trithon; Droiture de Fallanster; Ceinture de Dame Jhessica; Masque d'Anerice; Cape d'Anerice; Pataugastrique; Dofus Émeraude; Dofus Abyssal; Dofus Ivoire; Remueur; Bloqueur majeur; Obstructeur majeur; Givrefoux</t>
        </is>
      </c>
    </row>
    <row r="28930">
      <c r="A28930" t="inlineStr">
        <is>
          <t>Eniripsa M 200</t>
        </is>
      </c>
      <c r="B28930">
        <f>HYPERLINK("https://www.dofusbook.net/fr/equipement/5679964-eniripsa-m-200/objets", "link")</f>
        <v/>
      </c>
      <c r="C28930" t="n">
        <v>0</v>
      </c>
      <c r="D28930" t="inlineStr">
        <is>
          <t>Rouleau à Pâtisserie d'Aermyne; Amulette de Pol Ouatnos; Anneau Chevelu; Alliance Gloursonne; Droiture de Fallanster; Ceintacé; Masque d'Anerice; Cape d'Anerice; Bottes Honyme; Dofus Émeraude; Dofus Pourpre; Dofus Ivoire; Dofus Abyssal; Dofus Turquoise; Carapace Feu majeur; La Chose</t>
        </is>
      </c>
    </row>
    <row r="28931">
      <c r="A28931" t="inlineStr">
        <is>
          <t>Pandawa M 200</t>
        </is>
      </c>
      <c r="B28931">
        <f>HYPERLINK("https://www.dofusbook.net/fr/equipement/5626673-pandawa-m-200/objets", "link")</f>
        <v/>
      </c>
      <c r="C28931" t="n">
        <v>2</v>
      </c>
      <c r="D28931" t="inlineStr">
        <is>
          <t>Rouleau à Pâtisserie d'Aermyne; Collier Rophante; Alliance Gloursonne; Bague Trithon; Droiture de Fallanster; Ceinture de Dame Jhessica; Masque d'Anerice; Cape d'Anerice; Pataugastrique; Dofus Argenté; Dokoko; Dofus Émeraude; Dofus Ivoire; Remueur; Givrefoux</t>
        </is>
      </c>
    </row>
    <row r="28932">
      <c r="A28932" t="inlineStr">
        <is>
          <t>Pandawa M 200</t>
        </is>
      </c>
      <c r="B28932">
        <f>HYPERLINK("https://www.dofusbook.net/fr/equipement/5495484-pandawa-m-200/objets", "link")</f>
        <v/>
      </c>
      <c r="C28932" t="n">
        <v>0</v>
      </c>
      <c r="D28932" t="inlineStr">
        <is>
          <t>Manthache; Collier du Valet Veinard; Gant du Valet Veinard; Alliance Gloursonne; Bouclier du Stalak; Menoture; Couronne d'Allister; Cape Indescriptible; Baleinabottes; Dofus Ébène; Dofus Pourpre; Dévastateur Air majeur; Vigoureux majeur; Cascadeur majeur; Nomade; Blérodoudou</t>
        </is>
      </c>
    </row>
    <row r="28933">
      <c r="A28933" t="inlineStr">
        <is>
          <t>DC1</t>
        </is>
      </c>
      <c r="B28933">
        <f>HYPERLINK("https://www.dofusbook.net/fr/equipement/819025-dc1/objets", "link")</f>
        <v/>
      </c>
      <c r="C28933" t="n">
        <v>3</v>
      </c>
      <c r="D28933" t="inlineStr">
        <is>
          <t>Manthache; Collier du Valet Veinard; Alliance Gloursonne; Gant du Valet Veinard; Bouclier précieux; Menoture; Couronne d'Allister; Cape Indescriptible; Palmes Trithons; Dofus Ébène; Dofus Ivoire; Dofus Émeraude; Déserteur majeur; Cascadeur majeur; Remueur; Blérodoudou</t>
        </is>
      </c>
    </row>
    <row r="28934">
      <c r="A28934" t="inlineStr">
        <is>
          <t>Iop M 200</t>
        </is>
      </c>
      <c r="B28934">
        <f>HYPERLINK("https://www.dofusbook.net/fr/equipement/4837408-iop-m-200/objets", "link")</f>
        <v/>
      </c>
      <c r="C28934" t="n">
        <v>0</v>
      </c>
      <c r="D28934" t="inlineStr">
        <is>
          <t>Amulette Volkorne; Chevalière du Roi Joueur; Bague Gloursonne; Quatre-feuilles; Ceinture Volkorne; Couronne du Roi Joueur; Cape de Jahash Jurgen; Bottes du Roi Joueur</t>
        </is>
      </c>
    </row>
    <row r="28935">
      <c r="A28935" t="inlineStr">
        <is>
          <t>deux</t>
        </is>
      </c>
      <c r="B28935">
        <f>HYPERLINK("https://www.dofusbook.net/fr/equipement/1829467-deux/objets", "link")</f>
        <v/>
      </c>
      <c r="C28935" t="n">
        <v>0</v>
      </c>
      <c r="D28935" t="inlineStr">
        <is>
          <t>Arc corrompu; Pendentif affamé; Anneauræus; Anneauræus; Quatre-feuilles; Ceinture Séculaire; Coiffe Séculaire; Cape de Diondin; Pataugastrique; Dofus Pourpre; Dofus Abyssal; Dofus Turquoise; Érudit majeur; Savant majeur; Nomade; Dragodinde Orchidée</t>
        </is>
      </c>
    </row>
    <row r="28936">
      <c r="A28936" t="inlineStr">
        <is>
          <t>Crâ M 200</t>
        </is>
      </c>
      <c r="B28936">
        <f>HYPERLINK("https://www.dofusbook.net/fr/equipement/4620627-cra-m-200/objets", "link")</f>
        <v/>
      </c>
      <c r="C28936" t="n">
        <v>0</v>
      </c>
      <c r="D28936" t="inlineStr">
        <is>
          <t>Epée Gloursonne; Amulette du Strigide; Bague Gloursonne; Alliance Gloursonne; Quatre-feuilles; Ceinture du Strigide; Masque Vaudou Tam; Cape Reski; Bottes du Strigide; Dofus Ocre; Dofus Pourpre; Dofus Ébène; Dofus Vulbis; Dofus Turquoise; Dofus Nébuleux; Kokulte</t>
        </is>
      </c>
    </row>
    <row r="28937">
      <c r="A28937" t="inlineStr">
        <is>
          <t>aaaa</t>
        </is>
      </c>
      <c r="B28937">
        <f>HYPERLINK("https://www.dofusbook.net/fr/equipement/1646122-aaaa/objets", "link")</f>
        <v/>
      </c>
      <c r="C28937" t="n">
        <v>1</v>
      </c>
      <c r="D28937" t="inlineStr">
        <is>
          <t>Arc Volkorne; Amulette du Strigide; Anneau Volkorne; Bracelet du Piloztère; Quatre-feuilles; Ceinture du Strigide; Casque Volkorne; Cape Reski; Bottes du Strigide; Dofus Vulbis; Dofus Pourpre; Dofus Ébène; Dofus Turquoise; Dofus Nébuleux; Dofus Ocre; Fëanor</t>
        </is>
      </c>
    </row>
    <row r="28938">
      <c r="A28938" t="inlineStr">
        <is>
          <t>Féca M 200</t>
        </is>
      </c>
      <c r="B28938">
        <f>HYPERLINK("https://www.dofusbook.net/fr/equipement/4587104-feca-m-200/objets", "link")</f>
        <v/>
      </c>
      <c r="C28938" t="n">
        <v>0</v>
      </c>
      <c r="D28938" t="inlineStr">
        <is>
          <t>Arc de Laikteur; Amulette de Shokkoth; Bracelet des Fonds marins; Anneau Volkorne; Quatre-feuilles; Poulpagne; Maskrobe; Cape du Sinistrofu; Sandales des Fonds marins; Dofus Abyssal; Dofus Ivoire; Dofus Pourpre; Dofus Turquoise; Vigoureux majeur; Chanceux majeur; Kokulte</t>
        </is>
      </c>
    </row>
    <row r="28939">
      <c r="A28939" t="inlineStr">
        <is>
          <t>Sram M 200</t>
        </is>
      </c>
      <c r="B28939">
        <f>HYPERLINK("https://www.dofusbook.net/fr/equipement/4583239-sram-m-200/objets", "link")</f>
        <v/>
      </c>
      <c r="C28939" t="n">
        <v>2</v>
      </c>
      <c r="D28939" t="inlineStr">
        <is>
          <t>Dagues Lassay; Collier du Valet Veinard; Alliance Gloursonne; Gant du Valet Veinard; Bouclier du Stalak; Menoture; Couronne d'Allister; Cape Routh; Palmes Trithons; Dofus des Glaces; Dofus Pourpre; Dofus Abyssal; Dofus Ocre; Cascadeur majeur; Dévastateur Air majeur; Blérodoudou</t>
        </is>
      </c>
    </row>
    <row r="28940">
      <c r="A28940" t="inlineStr">
        <is>
          <t>Pandawa M 200</t>
        </is>
      </c>
      <c r="B28940">
        <f>HYPERLINK("https://www.dofusbook.net/fr/equipement/4564654-pandawa-m-200/objets", "link")</f>
        <v/>
      </c>
      <c r="C28940" t="n">
        <v>2</v>
      </c>
      <c r="D28940" t="inlineStr">
        <is>
          <t>Manthache; Collier du Valet Veinard; Alliance Gloursonne; Gant du Valet Veinard; Bouclier du Stalak; Menoture; Couronne d'Allister; Cape Indescriptible; Palmes Trithons; Dofus Émeraude; Acrobate majeur; Cascadeur majeur; Remueur; Obstructeur majeur; Déserteur majeur; Muldo Roux et Amande</t>
        </is>
      </c>
    </row>
    <row r="28941">
      <c r="A28941" t="inlineStr">
        <is>
          <t>Sram M 200</t>
        </is>
      </c>
      <c r="B28941">
        <f>HYPERLINK("https://www.dofusbook.net/fr/equipement/4552835-sram-m-200/objets", "link")</f>
        <v/>
      </c>
      <c r="C28941" t="n">
        <v>1</v>
      </c>
      <c r="D28941" t="inlineStr">
        <is>
          <t>Manthache; Collier du Valet Veinard; Alliance Gloursonne; Gant du Valet Veinard; Bouclier du Stalak; Menoture; Casque Volkorne; Cape Routh; Palmes Trithons; Dofus Pourpre; Dofus Ocre; Dofus des Glaces; Cascadeur majeur; Nomade; Dévastateur Air majeur; Siroko</t>
        </is>
      </c>
    </row>
    <row r="28942">
      <c r="A28942" t="inlineStr">
        <is>
          <t>kr1</t>
        </is>
      </c>
      <c r="B28942">
        <f>HYPERLINK("https://www.dofusbook.net/fr/equipement/1926726-kr1/objets", "link")</f>
        <v/>
      </c>
      <c r="C28942" t="n">
        <v>0</v>
      </c>
      <c r="D28942" t="inlineStr">
        <is>
          <t>Marteau R'ture; Amulette Volcanique; Chevalière du Roi Joueur; Pikano; Bouclier cubiste; Sangle Cible; Maskrobe; Cape des Justiciers; Sabots Volcaniques; Dofus Ocre; Dofus Pourpre; Nomade; Enragé majeur; Temporiseur majeur; Entraveur majeur; Gwo Tofu Ventripotent</t>
        </is>
      </c>
    </row>
    <row r="28943">
      <c r="A28943" t="inlineStr">
        <is>
          <t>Stuff 1</t>
        </is>
      </c>
      <c r="B28943">
        <f>HYPERLINK("https://www.dofusbook.net/fr/equipement/223685-stuff-1/objets", "link")</f>
        <v/>
      </c>
      <c r="C28943" t="n">
        <v>0</v>
      </c>
      <c r="D28943" t="inlineStr"/>
    </row>
    <row r="28944">
      <c r="A28944" t="inlineStr">
        <is>
          <t>Stuff 3</t>
        </is>
      </c>
      <c r="B28944">
        <f>HYPERLINK("https://www.dofusbook.net/fr/equipement/223690-stuff-3/objets", "link")</f>
        <v/>
      </c>
      <c r="C28944" t="n">
        <v>0</v>
      </c>
      <c r="D28944" t="inlineStr">
        <is>
          <t>Epée Gloursonne; Amulette du Strigide; Alliance Gloursonne; Bague Gloursonne; Ceinture du Strigide; Couronne du Roi Joueur; Cape Routh; Bottes du Strigide; Dofus Nébuleux; Dofus Ocre; Dofus Pourpre; Dofus Abyssal; Dofus Vulbis; Dofus des Glaces; Gwo Tofu Ventripotent</t>
        </is>
      </c>
    </row>
    <row r="28945">
      <c r="A28945" t="inlineStr">
        <is>
          <t>Enutrof M 200</t>
        </is>
      </c>
      <c r="B28945">
        <f>HYPERLINK("https://www.dofusbook.net/fr/equipement/4479626-enutrof-m-200/objets", "link")</f>
        <v/>
      </c>
      <c r="C28945" t="n">
        <v>0</v>
      </c>
      <c r="D28945" t="inlineStr">
        <is>
          <t>Baguette Hique; Amulette de Shokkoth; Anneau des Prophètes; Pikano; Bouclier cubiste; Poulpagne; Maskrobe; Cape de Meno; Bottes de Meno; Dofus Abyssal; Dofus Ocre; Dofus Pourpre; Temporiseur majeur; Entraveur majeur; Chanceux majeur; Léopardo</t>
        </is>
      </c>
    </row>
    <row r="28946">
      <c r="A28946" t="inlineStr">
        <is>
          <t>Crâ M 200</t>
        </is>
      </c>
      <c r="B28946">
        <f>HYPERLINK("https://www.dofusbook.net/fr/equipement/4430061-cra-m-200/objets", "link")</f>
        <v/>
      </c>
      <c r="C28946" t="n">
        <v>1</v>
      </c>
      <c r="D28946" t="inlineStr">
        <is>
          <t>Epée Gloursonne; Amulette du Strigide; Alliance Gloursonne; Bague Gloursonne; Quatre-feuilles; Ceinture du Strigide; Masque Vaudou Tam; Cape Reski; Bottes du Strigide; Dofus Ocre; Dofus Ébène; Dofus Pourpre; Dofus Nébuleux; Dofus Turquoise; Dofus Vulbis; Kokulte</t>
        </is>
      </c>
    </row>
    <row r="28947">
      <c r="A28947" t="inlineStr">
        <is>
          <t>Pandawa M 200</t>
        </is>
      </c>
      <c r="B28947">
        <f>HYPERLINK("https://www.dofusbook.net/fr/equipement/3357794-pandawa-m-200/objets", "link")</f>
        <v/>
      </c>
      <c r="C28947" t="n">
        <v>0</v>
      </c>
      <c r="D28947" t="inlineStr">
        <is>
          <t>Arc du Chalœil</t>
        </is>
      </c>
    </row>
    <row r="28948">
      <c r="A28948" t="inlineStr">
        <is>
          <t>Pandawa M 200</t>
        </is>
      </c>
      <c r="B28948">
        <f>HYPERLINK("https://www.dofusbook.net/fr/equipement/3387532-pandawa-m-200/objets", "link")</f>
        <v/>
      </c>
      <c r="C28948" t="n">
        <v>0</v>
      </c>
      <c r="D28948" t="inlineStr">
        <is>
          <t>Gelano</t>
        </is>
      </c>
    </row>
    <row r="28949">
      <c r="A28949" t="inlineStr">
        <is>
          <t>kr3</t>
        </is>
      </c>
      <c r="B28949">
        <f>HYPERLINK("https://www.dofusbook.net/fr/equipement/1926965-kr3/objets", "link")</f>
        <v/>
      </c>
      <c r="C28949" t="n">
        <v>1</v>
      </c>
      <c r="D28949" t="inlineStr">
        <is>
          <t>Bâton Beau; Amulette du Strigide; Alliance de Missiz Frizz; Bracelet du Piloztère; Quatre-feuilles; Ceinture du Strigide; Casque de Missiz Frizz; Cape Reski; Bottes du Strigide; Dofus Turquoise; Dofus Abyssal; Dofus Ocre; Dofus des Glaces; Dofus Pourpre; Dofus Nébuleux; Phortiche</t>
        </is>
      </c>
    </row>
    <row r="28950">
      <c r="A28950" t="inlineStr">
        <is>
          <t>kr2</t>
        </is>
      </c>
      <c r="B28950">
        <f>HYPERLINK("https://www.dofusbook.net/fr/equipement/1926743-kr2/objets", "link")</f>
        <v/>
      </c>
      <c r="C28950" t="n">
        <v>0</v>
      </c>
      <c r="D28950" t="inlineStr">
        <is>
          <t>Rapière aux Glyphes; Amulette de Shokkoth; Bracelet des Fonds marins; Alliance Gloursonne; Quatre-feuilles; Poulpagne; Kidibonnet; Cape du Sinistrofu; Bottes du Sinistrofu; Dofus Turquoise; Dofus Pourpre; Dofus Nébuleux; Dofus Abyssal; Chanceux majeur; Nomade; Dehluge</t>
        </is>
      </c>
    </row>
    <row r="28951">
      <c r="A28951" t="inlineStr">
        <is>
          <t>test</t>
        </is>
      </c>
      <c r="B28951">
        <f>HYPERLINK("https://www.dofusbook.net/fr/equipement/1713488-test/objets", "link")</f>
        <v/>
      </c>
      <c r="C28951" t="n">
        <v>0</v>
      </c>
      <c r="D28951" t="inlineStr">
        <is>
          <t>Rapière aux Glyphes; Amulette de Shokkoth; Bracelet des Fonds marins; Alliance Gloursonne; Bouclier du Stalak; Poulpagne; Casque Dragoeuf; Cape Indescriptible; Bottes du Sinistrofu; Dolmanax; Dofus Abyssal; Dofus Pourpre; Remueur; Chanceux majeur</t>
        </is>
      </c>
    </row>
    <row r="28952">
      <c r="A28952" t="inlineStr">
        <is>
          <t>DC1</t>
        </is>
      </c>
      <c r="B28952">
        <f>HYPERLINK("https://www.dofusbook.net/fr/equipement/1543946-dc1/objets", "link")</f>
        <v/>
      </c>
      <c r="C28952" t="n">
        <v>0</v>
      </c>
      <c r="D28952" t="inlineStr">
        <is>
          <t>Arc de Koutoulou; Amulette Voldelor; Alliance Gloursonne; Gant du Valet Veinard; Quatre-feuilles; Ceintacé; Kidibonnet; Chevelure de Tal Kasha; Sandales de Tal Kasha; Dofus des Glaces; Dofus Abyssal; Dofus Pourpre; Dofus Turquoise; Vigoureux majeur; Évasif majeur</t>
        </is>
      </c>
    </row>
    <row r="28953">
      <c r="A28953" t="inlineStr">
        <is>
          <t>dddddd</t>
        </is>
      </c>
      <c r="B28953">
        <f>HYPERLINK("https://www.dofusbook.net/fr/equipement/1799952-dddddd/objets", "link")</f>
        <v/>
      </c>
      <c r="C28953" t="n">
        <v>0</v>
      </c>
      <c r="D28953" t="inlineStr">
        <is>
          <t>Hache du Chalœil; Amulette du Strigide; Anneau Chevelu; Alliance Gloursonne; Quatre-feuilles; Ceintacé; Chapeau de Gein; Voile d'encre; Bottes du Strigide; Dofus Pourpre; Dolmanax; Dofus Turquoise; Dofus Abyssal; Vigoureux majeur; Remueur</t>
        </is>
      </c>
    </row>
    <row r="28954">
      <c r="A28954" t="inlineStr">
        <is>
          <t>aaaaaaaaaaaaaaa</t>
        </is>
      </c>
      <c r="B28954">
        <f>HYPERLINK("https://www.dofusbook.net/fr/equipement/1806677-aaaaaaaaaaaaaaa/objets", "link")</f>
        <v/>
      </c>
      <c r="C28954" t="n">
        <v>0</v>
      </c>
      <c r="D28954" t="inlineStr">
        <is>
          <t>Rapière aux Glyphes; Amulette de Shokkoth; Bracelet des Fonds marins; Alliance Gloursonne; Quatre-feuilles; Poulpagne; Kidibonnet; Cape du Sinistrofu; Bottes du Sinistrofu; Dofus Pourpre; Dofus Turquoise; Dofus Abyssal; Dofus Nébuleux; Chanceux majeur; Vigoureux majeur; Muldo Indigo</t>
        </is>
      </c>
    </row>
    <row r="28955">
      <c r="A28955" t="inlineStr">
        <is>
          <t>ccccc</t>
        </is>
      </c>
      <c r="B28955">
        <f>HYPERLINK("https://www.dofusbook.net/fr/equipement/1759306-ccccc/objets", "link")</f>
        <v/>
      </c>
      <c r="C28955" t="n">
        <v>0</v>
      </c>
      <c r="D28955" t="inlineStr">
        <is>
          <t>Manthache; Collier du Valet Veinard; Gant du Valet Veinard; Alliance Gloursonne; Bouclier du Stalak; Menoture; Casque Dragoeuf; Cape Indescriptible; Palmes Trithons; Dofus Pourpre; Dofus Abyssal; Remueur; Cascadeur majeur; Évasif majeur; Cavaleur majeur</t>
        </is>
      </c>
    </row>
    <row r="28956">
      <c r="A28956" t="inlineStr">
        <is>
          <t>bbbb</t>
        </is>
      </c>
      <c r="B28956">
        <f>HYPERLINK("https://www.dofusbook.net/fr/equipement/1655324-bbbb/objets", "link")</f>
        <v/>
      </c>
      <c r="C28956" t="n">
        <v>0</v>
      </c>
      <c r="D28956" t="inlineStr">
        <is>
          <t>Arc du Chalœil; Collier de Tourthon; Anneau Chevelu; Bague Gloursonne; Bouclier Taverne; Ceinture de la Reine des Voleurs; Coiffe de la Reine des Voleurs; Cape au Logis; Sabots Minables; Dofus Turquoise; Dofus Abyssal; Dofus Pourpre; Enragé majeur; Vigoureux majeur; Remueur; Muldo Orchidée et Pourpre</t>
        </is>
      </c>
    </row>
    <row r="28957">
      <c r="A28957" t="inlineStr">
        <is>
          <t>aaaaaaaaaaa</t>
        </is>
      </c>
      <c r="B28957">
        <f>HYPERLINK("https://www.dofusbook.net/fr/equipement/1702685-aaaaaaaaaaa/objets", "link")</f>
        <v/>
      </c>
      <c r="C28957" t="n">
        <v>0</v>
      </c>
      <c r="D28957" t="inlineStr">
        <is>
          <t>Rapière aux Glyphes; Amulette de Shokkoth; Alliance Gloursonne; Bracelet des Fonds marins; Bouclier cubiste; Poulpagne; Kidibonnet; Cape du Sinistrofu; Bottes du Sinistrofu; Dofus Turquoise; Dofus des Glaces; Dofus Pourpre; Temporiseur majeur; Vigoureux majeur; Chanceux majeur; Muldo Indigo</t>
        </is>
      </c>
    </row>
    <row r="28958">
      <c r="A28958" t="inlineStr">
        <is>
          <t>aaaaaaaaa</t>
        </is>
      </c>
      <c r="B28958">
        <f>HYPERLINK("https://www.dofusbook.net/fr/equipement/1702588-aaaaaaaaa/objets", "link")</f>
        <v/>
      </c>
      <c r="C28958" t="n">
        <v>0</v>
      </c>
      <c r="D28958" t="inlineStr">
        <is>
          <t>Héqache; Collier du Valet Veinard; Alliance Gloursonne; Gant du Valet Veinard; Sept ans de malheur; Ceintouse; Chapoulpe; Cape du Valet Veinard; Tentassons; Dofus Pourpre; Dofus des Glaces; Dofus Turquoise; Dofus Abyssal; Dofus Émeraude; Dofus Ocre; Muldo Ebène</t>
        </is>
      </c>
    </row>
    <row r="28959">
      <c r="A28959" t="inlineStr">
        <is>
          <t>aaaaaaa</t>
        </is>
      </c>
      <c r="B28959">
        <f>HYPERLINK("https://www.dofusbook.net/fr/equipement/1702477-aaaaaaa/objets", "link")</f>
        <v/>
      </c>
      <c r="C28959" t="n">
        <v>0</v>
      </c>
      <c r="D28959" t="inlineStr">
        <is>
          <t>Baguette Range; Amulette du Strigide; Anneau de Padgref; Anneau Rifique; Quatre-feuilles; Ceinture du Strigide; Coiffe de Padgref; Voile d'encre; Getas de Padgref; Dofus Pourpre; Dofus des Glaces; Dofus Turquoise; Dofus Nébuleux; Dofus Ocre; Dofus Abyssal; Muldo Orchidée et Pourpre</t>
        </is>
      </c>
    </row>
    <row r="28960">
      <c r="A28960" t="inlineStr">
        <is>
          <t>eau air</t>
        </is>
      </c>
      <c r="B28960">
        <f>HYPERLINK("https://www.dofusbook.net/fr/equipement/1655283-eau-air/objets", "link")</f>
        <v/>
      </c>
      <c r="C28960" t="n">
        <v>0</v>
      </c>
      <c r="D28960" t="inlineStr">
        <is>
          <t>Arc de Koutoulou; Amulette Voldelor; Alliance Gloursonne; Ceinture du Barbétoal; Némès de Tal Kasha; Cape Matelassée; Sandales de Tal Kasha; Cavaleur majeur</t>
        </is>
      </c>
    </row>
    <row r="28961">
      <c r="A28961" t="inlineStr">
        <is>
          <t>aaaaaa</t>
        </is>
      </c>
      <c r="B28961">
        <f>HYPERLINK("https://www.dofusbook.net/fr/equipement/1650254-aaaaaa/objets", "link")</f>
        <v/>
      </c>
      <c r="C28961" t="n">
        <v>0</v>
      </c>
      <c r="D28961" t="inlineStr">
        <is>
          <t>Héqache; Collier du Valet Veinard; Alliance Gloursonne; Gant du Valet Veinard; Bouclier du Stalak; Ceintouse; Chapoulpe; Cape du Valet Veinard; Tentassons; Dolmanax; Dofus Émeraude; Dofus des Glaces; Dofus Ocre; Dofus Abyssal; Dofus Pourpre; Muldo Ebène et Pourpre</t>
        </is>
      </c>
    </row>
    <row r="28962">
      <c r="A28962" t="inlineStr">
        <is>
          <t>aaaa</t>
        </is>
      </c>
      <c r="B28962">
        <f>HYPERLINK("https://www.dofusbook.net/fr/equipement/1650208-aaaa/objets", "link")</f>
        <v/>
      </c>
      <c r="C28962" t="n">
        <v>0</v>
      </c>
      <c r="D28962" t="inlineStr">
        <is>
          <t>Arc de Koutoulou; Amulette de l'Indicible; Bague Gloursonne; Alliance Gloursonne; Quatre-feuilles; Ceinture de l'Indicible; Némès de Tal Kasha; Chevelure de Tal Kasha; Sandales de Tal Kasha; Dofus Ocre; Dofus Turquoise; Dolmanax; Dofus des Glaces; Dofus Pourpre; Dofus Abyssal</t>
        </is>
      </c>
    </row>
    <row r="28963">
      <c r="A28963" t="inlineStr">
        <is>
          <t>DC3</t>
        </is>
      </c>
      <c r="B28963">
        <f>HYPERLINK("https://www.dofusbook.net/fr/equipement/1562276-dc3/objets", "link")</f>
        <v/>
      </c>
      <c r="C28963" t="n">
        <v>2</v>
      </c>
      <c r="D28963" t="inlineStr">
        <is>
          <t>Arc Nécrotique; Amulette du Strigide; Alliance Gloursonne; Bracelet du Piloztère; Quatre-feuilles; Ceinture du Strigide; Casqnoar; Voile d'encre; Bottes du Strigide; Dofus Ocre; Dofus Abyssal; Dofus Pourpre; Dolmanax; Dofus Turquoise; Dofus des Glaces; Muldo Indigo et Pourpre</t>
        </is>
      </c>
    </row>
    <row r="28964">
      <c r="A28964" t="inlineStr">
        <is>
          <t>DC4</t>
        </is>
      </c>
      <c r="B28964">
        <f>HYPERLINK("https://www.dofusbook.net/fr/equipement/1563983-dc4/objets", "link")</f>
        <v/>
      </c>
      <c r="C28964" t="n">
        <v>0</v>
      </c>
      <c r="D28964" t="inlineStr">
        <is>
          <t>Arc de Koutoulou; Amulette du Strigide; Alliance Gloursonne; Bague Gloursonne; Ceinture du Strigide; Némès de Tal Kasha; Chevelure de Tal Kasha; Sandales de Tal Kasha; Dofus Turquoise; Dofus Abyssal; Dofus Émeraude; Dofus Ocre; Dofus Pourpre; Dofus des Glaces; Muldo Ebène et Indigo</t>
        </is>
      </c>
    </row>
    <row r="28965">
      <c r="A28965" t="inlineStr">
        <is>
          <t>DC2</t>
        </is>
      </c>
      <c r="B28965">
        <f>HYPERLINK("https://www.dofusbook.net/fr/equipement/1543835-dc2/objets", "link")</f>
        <v/>
      </c>
      <c r="C28965" t="n">
        <v>0</v>
      </c>
      <c r="D28965" t="inlineStr">
        <is>
          <t>Amulette de Gein; Bague Gloursonne; Chevalière du Roi Joueur; Quatre-feuilles; Ceinture de Gein; Chapeau de Gein; Voile d'encre; Bottes du Roi Joueur; Dofus Ocre; Dolmanax; Dofus Turquoise; Dofus Émeraude; Dofus Pourpre; Dofus Abyssal; Muldo Ebène et Pourpre</t>
        </is>
      </c>
    </row>
    <row r="28966">
      <c r="A28966" t="inlineStr">
        <is>
          <t>Stuff 2</t>
        </is>
      </c>
      <c r="B28966">
        <f>HYPERLINK("https://www.dofusbook.net/fr/equipement/223689-stuff-2/objets", "link")</f>
        <v/>
      </c>
      <c r="C28966" t="n">
        <v>0</v>
      </c>
      <c r="D28966" t="inlineStr">
        <is>
          <t>Héqache; Alliance Gloursonne; Ceintouse; Cape du Kamasterisk; Tentassons; Dofus Abyssal; Dofus Émeraude; Dofus Ocre</t>
        </is>
      </c>
    </row>
    <row r="28967">
      <c r="A28967" t="inlineStr">
        <is>
          <t>test</t>
        </is>
      </c>
      <c r="B28967">
        <f>HYPERLINK("https://www.dofusbook.net/fr/equipement/561333-test/objets", "link")</f>
        <v/>
      </c>
      <c r="C28967" t="n">
        <v>0</v>
      </c>
      <c r="D28967" t="inlineStr">
        <is>
          <t>Baguette de Malléfisk; Dofus Abyssal; Dofus Émeraude; Érudit majeur; Miraculé majeur</t>
        </is>
      </c>
    </row>
    <row r="28968">
      <c r="A28968" t="inlineStr">
        <is>
          <t>Stuff 1</t>
        </is>
      </c>
      <c r="B28968">
        <f>HYPERLINK("https://www.dofusbook.net/fr/equipement/223686-stuff-1/objets", "link")</f>
        <v/>
      </c>
      <c r="C28968" t="n">
        <v>1</v>
      </c>
      <c r="D28968" t="inlineStr">
        <is>
          <t>Baguette de Malléfisk; Amulette de Nileza; Alliance Boletée; Anneau de Nidas; Ceinture de Vortex; Couronne de Nidas; Voile d'encre; Pataugastrique; Dofus Abyssal; Dofus Émeraude; Remueur; Déserteur majeur; Érudit majeur; Vagabond majeur; Muldo Indigo et Pourpre</t>
        </is>
      </c>
    </row>
    <row r="28969">
      <c r="A28969" t="inlineStr">
        <is>
          <t>abc</t>
        </is>
      </c>
      <c r="B28969">
        <f>HYPERLINK("https://www.dofusbook.net/fr/equipement/338014-abc/objets", "link")</f>
        <v/>
      </c>
      <c r="C28969" t="n">
        <v>0</v>
      </c>
      <c r="D28969" t="inlineStr">
        <is>
          <t>Amulette du Strigide; Ceintacé</t>
        </is>
      </c>
    </row>
    <row r="28970">
      <c r="A28970" t="inlineStr">
        <is>
          <t>aaa</t>
        </is>
      </c>
      <c r="B28970">
        <f>HYPERLINK("https://www.dofusbook.net/fr/equipement/241681-aaa/objets", "link")</f>
        <v/>
      </c>
      <c r="C28970" t="n">
        <v>1</v>
      </c>
      <c r="D28970" t="inlineStr">
        <is>
          <t>Baguette de Malléfisk; Pendentif affamé; Anneau Tique; Anneau Rifique; Ceinture de Vortex; Casque Cyclopéen; Voile d'encre; Bottes Innommables; Dofus Émeraude; Dofus Abyssal; Dofus Ocre; Miraculé majeur; Érudit majeur; Remueur; Muldo Pourpre</t>
        </is>
      </c>
    </row>
    <row r="28971">
      <c r="A28971" t="inlineStr">
        <is>
          <t>Stuff 1</t>
        </is>
      </c>
      <c r="B28971">
        <f>HYPERLINK("https://www.dofusbook.net/fr/equipement/223688-stuff-1/objets", "link")</f>
        <v/>
      </c>
      <c r="C28971" t="n">
        <v>0</v>
      </c>
      <c r="D28971" t="inlineStr">
        <is>
          <t>Héqache; Amulette du Kamasterisk; Bracelet du Piloztère; Alliance Gloursonne; Ceintouse; Chapoulpe; Cape du Kamasterisk; Tentassons; Dofus Ocre; Dofus Pourpre; Dofus Abyssal; Dolmanax; Dofus des Glaces; Dofus Émeraude</t>
        </is>
      </c>
    </row>
    <row r="28972">
      <c r="A28972" t="inlineStr">
        <is>
          <t>Stuff 3</t>
        </is>
      </c>
      <c r="B28972">
        <f>HYPERLINK("https://www.dofusbook.net/fr/equipement/223684-stuff-3/objets", "link")</f>
        <v/>
      </c>
      <c r="C28972" t="n">
        <v>0</v>
      </c>
      <c r="D28972" t="inlineStr">
        <is>
          <t>Manthache; Collier du Valet Veinard; Gant du Valet Veinard; Alliance Gloursonne; Casque Dragoeuf; Palmes Trithons; Miraculé majeur; Cascadeur majeur; Cavaleur majeur; Déserteur majeur</t>
        </is>
      </c>
    </row>
    <row r="28973">
      <c r="A28973" t="inlineStr">
        <is>
          <t>Stuff 2</t>
        </is>
      </c>
      <c r="B28973">
        <f>HYPERLINK("https://www.dofusbook.net/fr/equipement/223683-stuff-2/objets", "link")</f>
        <v/>
      </c>
      <c r="C28973" t="n">
        <v>0</v>
      </c>
      <c r="D28973" t="inlineStr">
        <is>
          <t>Manthache; Collier du Valet Veinard; Alliance Gloursonne; Gant du Valet Veinard; Casque Dragoeuf; Cape Matelassée; Palmes Trithons; Cavaleur majeur; Déserteur majeur; Miraculé majeur; Cascadeur majeur</t>
        </is>
      </c>
    </row>
    <row r="28974">
      <c r="A28974" t="inlineStr">
        <is>
          <t>Stuff 1</t>
        </is>
      </c>
      <c r="B28974">
        <f>HYPERLINK("https://www.dofusbook.net/fr/equipement/223682-stuff-1/objets", "link")</f>
        <v/>
      </c>
      <c r="C28974" t="n">
        <v>0</v>
      </c>
      <c r="D28974" t="inlineStr">
        <is>
          <t>Épée du Granduk; Collier du Valet Veinard; Alliance Gloursonne; Gant du Valet Veinard; Menoture; Dorabysses; Cape Indescriptible; Palmes Trithons; Dolmanax; Dofus Pourpre; Vigoureux majeur; Nomade; Cascadeur majeur; Remueur</t>
        </is>
      </c>
    </row>
    <row r="28975">
      <c r="A28975" t="inlineStr">
        <is>
          <t>Enutrof F 60</t>
        </is>
      </c>
      <c r="B28975">
        <f>HYPERLINK("https://www.dofusbook.net/fr/equipement/5991439-enutrof-f-60/objets", "link")</f>
        <v/>
      </c>
      <c r="C28975" t="n">
        <v>0</v>
      </c>
      <c r="D28975" t="inlineStr"/>
    </row>
    <row r="28976">
      <c r="A28976" t="inlineStr">
        <is>
          <t>Eniripsa F 200</t>
        </is>
      </c>
      <c r="B28976">
        <f>HYPERLINK("https://www.dofusbook.net/fr/equipement/5515992-eniripsa-f-200/objets", "link")</f>
        <v/>
      </c>
      <c r="C28976" t="n">
        <v>1</v>
      </c>
      <c r="D28976" t="inlineStr">
        <is>
          <t>Arc du Chalœil; Amulette du Strigide; Anneau Chevelu; Anneau Volkorne; Quatre-feuilles; Ceinture Volkorne; Masque de Koutoulou; Cape au Logis; Bottes du Strigide; Dofus Ocre; Dofus Ébène; Dofus Pourpre; Dofus Abyssal; Dofus Turquoise; Dofus Ivoire; Dragodinde Ivoire et Pourpre</t>
        </is>
      </c>
    </row>
    <row r="28977">
      <c r="A28977" t="inlineStr">
        <is>
          <t>Crâ M 200</t>
        </is>
      </c>
      <c r="B28977">
        <f>HYPERLINK("https://www.dofusbook.net/fr/equipement/3809081-cra-m-200/objets", "link")</f>
        <v/>
      </c>
      <c r="C28977" t="n">
        <v>13</v>
      </c>
      <c r="D28977" t="inlineStr">
        <is>
          <t>Arc du Chalœil; Amulette du Strigide; Bracelet du Piloztère; Anneau Volkorne; Quatre-feuilles; Ceinture Volkorne; Masque de Koutoulou; Cape de Jahash Jurgen; Bottes du Strigide; Dofus Ocre; Dofus Turquoise; Dofus Vulbis; Dofus Nébuleux; Dofus Pourpre; Dofus Ébène; Dragodinde Ivoire et Pourpre</t>
        </is>
      </c>
    </row>
    <row r="28978">
      <c r="A28978" t="inlineStr">
        <is>
          <t>Sram M 200</t>
        </is>
      </c>
      <c r="B28978">
        <f>HYPERLINK("https://www.dofusbook.net/fr/equipement/3984563-sram-m-200/objets", "link")</f>
        <v/>
      </c>
      <c r="C28978" t="n">
        <v>22</v>
      </c>
      <c r="D28978" t="inlineStr">
        <is>
          <t>Marteau R'ture; Amulette du Strigide; Cadran d'Eau; Ceinture du Strigide; Masque de Koutoulou; Dofusteuse; Bottes de la Cour Sombre; Dofus Pourpre; Dofus Turquoise; Dofus Ivoire; Dofus Vulbis; Dofus Ocre; Enragé majeur; Dragodinde Ivoire et Pourpre</t>
        </is>
      </c>
    </row>
    <row r="28979">
      <c r="A28979" t="inlineStr">
        <is>
          <t>Féca M 200</t>
        </is>
      </c>
      <c r="B28979">
        <f>HYPERLINK("https://www.dofusbook.net/fr/equipement/4807579-feca-m-200/objets", "link")</f>
        <v/>
      </c>
      <c r="C28979" t="n">
        <v>0</v>
      </c>
      <c r="D28979" t="inlineStr">
        <is>
          <t>Arc corrompu; Amulette Volkorne; Anneauræus; Anneauræus; Bouclier du Stalak; Ceinture Volkorne; Casque Dragoeuf; Cape de Diondin; Bottes Innommables; Dofus Ocre; Dofus Ébène; Dofus Vulbis; Dofus Abyssal; Dofus Pourpre; Dofus Ivoire; Bisouglours</t>
        </is>
      </c>
    </row>
    <row r="28980">
      <c r="A28980" t="inlineStr">
        <is>
          <t>Féca M 200</t>
        </is>
      </c>
      <c r="B28980">
        <f>HYPERLINK("https://www.dofusbook.net/fr/equipement/4473226-feca-m-200/objets", "link")</f>
        <v/>
      </c>
      <c r="C28980" t="n">
        <v>2</v>
      </c>
      <c r="D28980" t="inlineStr">
        <is>
          <t>Lav'Hache; Collier de Tourthon; Anneau Crustique; Bouclier d'Ilyzaelle; Ceinture Volkorne; Masque de Koutoulou; Cape de la Cour Sombre; Bottes de la Cour Sombre; Dofus Ocre; Dofus Ivoire; Dofus Ébène; Enragé majeur; Étourdisseur majeur; Drakopin</t>
        </is>
      </c>
    </row>
    <row r="28981">
      <c r="A28981" t="inlineStr">
        <is>
          <t>Xélor F 200</t>
        </is>
      </c>
      <c r="B28981">
        <f>HYPERLINK("https://www.dofusbook.net/fr/equipement/4744969-xelor-f-200/objets", "link")</f>
        <v/>
      </c>
      <c r="C28981" t="n">
        <v>5</v>
      </c>
      <c r="D28981" t="inlineStr">
        <is>
          <t>Dagoulinantes; Collier Rophante; Anneau Crustique; Anneau Crustique; Cadran de Terre; Menoture; Casque Dragoeuf; Cape Ardente; Chaussures Ardentes; Dofus Abyssal; Dofus Ivoire; Étourdisseur; Paralyseur majeur; Étourdisseur majeur; Engourdisseur majeur; Volkorne Ivoire</t>
        </is>
      </c>
    </row>
    <row r="28982">
      <c r="A28982" t="inlineStr">
        <is>
          <t>Steamer M 200</t>
        </is>
      </c>
      <c r="B28982">
        <f>HYPERLINK("https://www.dofusbook.net/fr/equipement/4731463-steamer-m-200/objets", "link")</f>
        <v/>
      </c>
      <c r="C28982" t="n">
        <v>1</v>
      </c>
      <c r="D28982" t="inlineStr">
        <is>
          <t>Arc corrompu; Amulette Volkorne; Anneauræus; Anneauræus; Bouclier du Stalak; Ceinture Séculaire; Coiffe Séculaire; Cape de Diondin; Bottes Innommables; Dofus Pourpre; Dofus Ivoire; Dofus Ocre; Dofus Vulbis; Dofus Abyssal; Érudit majeur; Dragodinde Ivoire et Orchidée</t>
        </is>
      </c>
    </row>
    <row r="28983">
      <c r="A28983" t="inlineStr">
        <is>
          <t>Ecaflip M 200</t>
        </is>
      </c>
      <c r="B28983">
        <f>HYPERLINK("https://www.dofusbook.net/fr/equipement/4501890-ecaflip-m-200/objets", "link")</f>
        <v/>
      </c>
      <c r="C28983" t="n">
        <v>1</v>
      </c>
      <c r="D28983" t="inlineStr">
        <is>
          <t>Plume de Buhorado; Bague Gloursonne; Bague Trithon; Bouclier Taverne; Ceinture Gence; Masque de Koutoulou; Bravoure de Rykke Errel; Bottes Trithon; Dofus Pourpre; Dofus Ébène; Dofus Abyssal; Dofus Ivoire; Culbuteur majeur; Bousculeur majeur; Bouflux</t>
        </is>
      </c>
    </row>
    <row r="28984">
      <c r="A28984" t="inlineStr">
        <is>
          <t>Osamodas F 200</t>
        </is>
      </c>
      <c r="B28984">
        <f>HYPERLINK("https://www.dofusbook.net/fr/equipement/4489728-osamodas-f-200/objets", "link")</f>
        <v/>
      </c>
      <c r="C28984" t="n">
        <v>16</v>
      </c>
      <c r="D28984" t="inlineStr">
        <is>
          <t>Dagues Érhy; Amulette Volkorne; Anneau Chevelu; Pikano; Droiture de Fallanster; Ceinture Volkorne; Masque de Koutoulou; Bravoure de Rykke Errel; Chaussures Ardentes; Dofus Ivoire; Dofus Ocre; Dofus Vulbis; Dolmanax; Dofus Abyssal; Enragé majeur; Dragodinde Ivoire et Pourpre</t>
        </is>
      </c>
    </row>
    <row r="28985">
      <c r="A28985" t="inlineStr">
        <is>
          <t>Ouginak M 200</t>
        </is>
      </c>
      <c r="B28985">
        <f>HYPERLINK("https://www.dofusbook.net/fr/equipement/4469365-ouginak-m-200/objets", "link")</f>
        <v/>
      </c>
      <c r="C28985" t="n">
        <v>21</v>
      </c>
      <c r="D28985" t="inlineStr">
        <is>
          <t>Manthache; Collier du Valet Veinard; Gant du Valet Veinard; Alliance Gloursonne; Bouclier d'Ilyzaelle; Menoture; Dorabysses; Cape de Crânonier; Palmes Trithons; Dofus Ocre; Dofus Ébène; Dofus Forgelave; Dofus Ivoire; Cascadeur majeur; Nomade; Bwak d'Air</t>
        </is>
      </c>
    </row>
    <row r="28986">
      <c r="A28986" t="inlineStr">
        <is>
          <t>Pandawa F 200</t>
        </is>
      </c>
      <c r="B28986">
        <f>HYPERLINK("https://www.dofusbook.net/fr/equipement/4502183-pandawa-f-200/objets", "link")</f>
        <v/>
      </c>
      <c r="C28986" t="n">
        <v>1</v>
      </c>
      <c r="D28986" t="inlineStr">
        <is>
          <t>Lav'Hache; Amulette du Strigide; Anneau Chevelu; Bague Gloursonne; Bouclier d'Ilyzaelle; Ceinture du Strigide; Masque de Koutoulou; Cape au Logis; Bottes du Strigide; Dofus Émeraude; Dofus Ivoire; Dofus Pourpre; Dofus Ébène; Dofus Abyssal; Bloqueur majeur; Givrefoux</t>
        </is>
      </c>
    </row>
    <row r="28987">
      <c r="A28987" t="inlineStr">
        <is>
          <t>Eniripsa F 200</t>
        </is>
      </c>
      <c r="B28987">
        <f>HYPERLINK("https://www.dofusbook.net/fr/equipement/4261674-eniripsa-f-200/objets", "link")</f>
        <v/>
      </c>
      <c r="C28987" t="n">
        <v>8</v>
      </c>
      <c r="D28987" t="inlineStr">
        <is>
          <t>Arc corrompu; Amulette Volkorne; Anneauræus; Anneauræus; Bouclier du Stalak; Ceinture Volkorne; Casque Dragoeuf; Bravoure de Rykke Errel; Pataugastrique; Dofus Vulbis; Dofus Ivoire; Dofus Ébène; Dofus Abyssal; Évasif majeur; Érudit majeur; Chienchien Tigré</t>
        </is>
      </c>
    </row>
    <row r="28988">
      <c r="A28988" t="inlineStr">
        <is>
          <t>Sram M 200</t>
        </is>
      </c>
      <c r="B28988">
        <f>HYPERLINK("https://www.dofusbook.net/fr/equipement/4479726-sram-m-200/objets", "link")</f>
        <v/>
      </c>
      <c r="C28988" t="n">
        <v>0</v>
      </c>
      <c r="D28988" t="inlineStr">
        <is>
          <t>Manthache; Collier du Valet Veinard; Alliance Gloursonne; Gant du Valet Veinard; Bouclier du Stalak; Sangle Oriole; Casque Dragoeuf; Cape de Crânonier; Palmes Trithons; Dofus Pourpre; Dofus Abyssal; Dofus Vulbis; Dofus Ivoire; Dofus Ocre; Dofus Ébène; Chienchien Tigré</t>
        </is>
      </c>
    </row>
    <row r="28989">
      <c r="A28989" t="inlineStr">
        <is>
          <t>Sram M 200</t>
        </is>
      </c>
      <c r="B28989">
        <f>HYPERLINK("https://www.dofusbook.net/fr/equipement/4468376-sram-m-200/objets", "link")</f>
        <v/>
      </c>
      <c r="C28989" t="n">
        <v>6</v>
      </c>
      <c r="D28989" t="inlineStr">
        <is>
          <t>Marteau R'ture; Amulette du Strigide; Anneau Chevelu; Anneau Volkorne; Cadran d'Eau; Ceinture Volkorne; Masque de Koutoulou; Cape au Logis; Bottes de la Cour Sombre; Dofus Nébuleux; Dofus Turquoise; Dofus Ébène; Dofus Vulbis; Dofus Ocre; Dofus Ivoire; Dragodinde Ivoire et Pourpre</t>
        </is>
      </c>
    </row>
    <row r="28990">
      <c r="A28990" t="inlineStr">
        <is>
          <t>feu volkorne</t>
        </is>
      </c>
      <c r="B28990">
        <f>HYPERLINK("https://www.dofusbook.net/fr/equipement/2520257-feu-volkorne/objets", "link")</f>
        <v/>
      </c>
      <c r="C28990" t="n">
        <v>21</v>
      </c>
      <c r="D28990" t="inlineStr">
        <is>
          <t>Arc corrompu; Pendentif mignon de Koutoulou; Anneauræus; Anneau Rifique; Bouclier du Stalak; Ceinture Séculaire; Casque Dragoeuf; Cape de Diondin; Bottes Innommables; Dofus Abyssal; Dofus Vulbis; Dofus Ivoire; Dofus Ocre; Déserteur majeur; Érudit majeur; Dragoune Rose</t>
        </is>
      </c>
    </row>
    <row r="28991">
      <c r="A28991" t="inlineStr">
        <is>
          <t>Enutrof F 200</t>
        </is>
      </c>
      <c r="B28991">
        <f>HYPERLINK("https://www.dofusbook.net/fr/equipement/3843649-enutrof-f-200/objets", "link")</f>
        <v/>
      </c>
      <c r="C28991" t="n">
        <v>1</v>
      </c>
      <c r="D28991" t="inlineStr">
        <is>
          <t>Marteau R'ture; Amulette Volcanique; Bague Instable; Anneau Tamie; Bouclier cubiste; Ceinture Instable; Casquipik; Cape de Léthaline; Pantoufles Émar; Dofus Ocre; Ralentisseur majeur; Entraveur; Temporiseur; Entraveur majeur; Temporiseur majeur; Gwo Tofu Ventripotent</t>
        </is>
      </c>
    </row>
    <row r="28992">
      <c r="A28992" t="inlineStr">
        <is>
          <t>do cri</t>
        </is>
      </c>
      <c r="B28992">
        <f>HYPERLINK("https://www.dofusbook.net/fr/equipement/3983207-do-cri-/objets", "link")</f>
        <v/>
      </c>
      <c r="C28992" t="n">
        <v>10</v>
      </c>
      <c r="D28992" t="inlineStr">
        <is>
          <t>Bâtonnet Ronien; Amulette du Strigide; Anneau Volkorne; Alliance Gloursonne; Quatre-feuilles; Ceinture du Strigide; Némès de Tal Kasha; Chevelure de Tal Kasha; Sandales de Tal Kasha; Dofus Pourpre; Dofus Abyssal; Dofus Turquoise; Dofus Ivoire; Dofus Ocre; Dofus Vulbis; Kokulte</t>
        </is>
      </c>
    </row>
    <row r="28993">
      <c r="A28993" t="inlineStr">
        <is>
          <t>Stuff 1</t>
        </is>
      </c>
      <c r="B28993">
        <f>HYPERLINK("https://www.dofusbook.net/fr/equipement/304660-stuff-1/objets", "link")</f>
        <v/>
      </c>
      <c r="C28993" t="n">
        <v>1</v>
      </c>
      <c r="D28993" t="inlineStr">
        <is>
          <t>Sceptre du Roi Joueur; Anneau Volkorne; Alliance Gloursonne; Bouclier du Stalak; Culotte de Bethel; Masque de Funespadon; Cape de l'Œil Attentif; Chaussons de Macrab; Dofus Abyssal; Dofus Ocre; Dofus Ivoire; Dofus Pourpre; Dofus Vulbis; Dragodinde Indigo et Ivoire</t>
        </is>
      </c>
    </row>
    <row r="28994">
      <c r="A28994" t="inlineStr">
        <is>
          <t>drag</t>
        </is>
      </c>
      <c r="B28994">
        <f>HYPERLINK("https://www.dofusbook.net/fr/equipement/304657-drag/objets", "link")</f>
        <v/>
      </c>
      <c r="C28994" t="n">
        <v>7</v>
      </c>
      <c r="D28994" t="inlineStr">
        <is>
          <t>Lav'Hache; Amulette Volkorne; Anneau Chevelu; Bague Gloursonne; Cadran de Feu; Ceinture Volkorne; Casque Dragoeuf; Cape au Logis; Bottes Honyme; Dofus des Glaces; Dofus Abyssal; Dolmanax; Dofus Ivoire; Dofus Ocre; Miraculé majeur; Dragodinde Dorée et Pourpre</t>
        </is>
      </c>
    </row>
    <row r="28995">
      <c r="A28995" t="inlineStr">
        <is>
          <t>Stuff 2</t>
        </is>
      </c>
      <c r="B28995">
        <f>HYPERLINK("https://www.dofusbook.net/fr/equipement/304623-stuff-2/objets", "link")</f>
        <v/>
      </c>
      <c r="C28995" t="n">
        <v>0</v>
      </c>
      <c r="D28995" t="inlineStr">
        <is>
          <t>Arc Volkorne; Amulette du Strigide; Anneau Volkorne; Bague Trithon; Quatre-feuilles; Ceinture Volkorne; Masque Trithon; Cape des Justiciers; Bottes du Strigide; Dofus Vulbis; Dofus des Glaces; Dofus Turquoise; Dolmanax; Dofus Pourpre; Dofus Ocre; Kokulte</t>
        </is>
      </c>
    </row>
    <row r="28996">
      <c r="A28996" t="inlineStr">
        <is>
          <t>Stuff 2</t>
        </is>
      </c>
      <c r="B28996">
        <f>HYPERLINK("https://www.dofusbook.net/fr/equipement/304658-stuff-2/objets", "link")</f>
        <v/>
      </c>
      <c r="C28996" t="n">
        <v>1</v>
      </c>
      <c r="D28996" t="inlineStr">
        <is>
          <t>Baguette de Malléfisk; Amulette Volkorne; Anneauræus; Anneauræus; Cadran de Feu; Protopagne; Casque Dragoeuf; Cape de Diondin; Chaussures Ardentes; Dofus Abyssal; Dofus Ivoire; Évasif majeur; Érudit majeur; Miraculé majeur; Chienchien Tigré</t>
        </is>
      </c>
    </row>
    <row r="28997">
      <c r="A28997" t="inlineStr">
        <is>
          <t>stri</t>
        </is>
      </c>
      <c r="B28997">
        <f>HYPERLINK("https://www.dofusbook.net/fr/equipement/4048556-stri/objets", "link")</f>
        <v/>
      </c>
      <c r="C28997" t="n">
        <v>2</v>
      </c>
      <c r="D28997" t="inlineStr">
        <is>
          <t>Bâtonnet Ronien; Amulette du Strigide; Alliance Gloursonne; Anneau Volkorne; Quatre-feuilles; Ceinture du Strigide; Némès de Tal Kasha; Chevelure de Tal Kasha; Sandales de Tal Kasha; Dofus Vulbis; Dofus Ocre; Dofus Turquoise; Dofus Ivoire; Dofus des Glaces; Dofus Pourpre; Kokulte</t>
        </is>
      </c>
    </row>
    <row r="28998">
      <c r="A28998" t="inlineStr">
        <is>
          <t>iop draft</t>
        </is>
      </c>
      <c r="B28998">
        <f>HYPERLINK("https://www.dofusbook.net/fr/equipement/2629891-iop-draft/objets", "link")</f>
        <v/>
      </c>
      <c r="C28998" t="n">
        <v>19</v>
      </c>
      <c r="D28998" t="inlineStr">
        <is>
          <t>Arc corrompu; Amulette Volkorne; Anneauræus; Anneauræus; Bouclier du Stalak; Ceinture Volkorne; Heaume Oplate; Cape de Diondin; Bottes Innommables; Dofus Pourpre; Dofus Vulbis; Dolmanax; Dofus Ivoire; Vigoureux majeur; Érudit majeur; Chaperlipopette</t>
        </is>
      </c>
    </row>
    <row r="28999">
      <c r="A28999" t="inlineStr">
        <is>
          <t>air tank ini</t>
        </is>
      </c>
      <c r="B28999">
        <f>HYPERLINK("https://www.dofusbook.net/fr/equipement/3983231-air-tank-ini/objets", "link")</f>
        <v/>
      </c>
      <c r="C28999" t="n">
        <v>12</v>
      </c>
      <c r="D28999" t="inlineStr">
        <is>
          <t>Manthache; Amulette Martegel; Alliance Gloursonne; Gant du Valet Veinard; Bouclier d'Ilyzaelle; Menoture; Casque Dragoeuf; Cape Martegel; Palmes Trithons; Dofus Ivoire; Dofus Vulbis; Dofus Abyssal; Cavaleur majeur; Fonceur majeur; Miraculé majeur; Tanuk</t>
        </is>
      </c>
    </row>
    <row r="29000">
      <c r="A29000" t="inlineStr">
        <is>
          <t>Sadida M 200</t>
        </is>
      </c>
      <c r="B29000">
        <f>HYPERLINK("https://www.dofusbook.net/fr/equipement/4035909-sadida-m-200/objets", "link")</f>
        <v/>
      </c>
      <c r="C29000" t="n">
        <v>3</v>
      </c>
      <c r="D29000" t="inlineStr">
        <is>
          <t>Arc Honte; Amulette de l'Œil Putride; Anneau Volkorne; Alliance Gloursonne; Bouclier du Stalak; Ceinture Volkorne; Capuche de l'Œil Putride; Cape de l'Œil Putride; Bottes de l'Indicible; Dofus des Glaces; Dofus Vulbis; Dofus Abyssal; Dofus Ocre; Dofus Ivoire; Entraveur majeur; Gwo Tofu Ventripotent</t>
        </is>
      </c>
    </row>
    <row r="29001">
      <c r="A29001" t="inlineStr">
        <is>
          <t>Enutrof F 200</t>
        </is>
      </c>
      <c r="B29001">
        <f>HYPERLINK("https://www.dofusbook.net/fr/equipement/3840582-enutrof-f-200/objets", "link")</f>
        <v/>
      </c>
      <c r="C29001" t="n">
        <v>36</v>
      </c>
      <c r="D29001" t="inlineStr">
        <is>
          <t>Manthache; Amulette Martegel; Alliance Gloursonne; Gant du Valet Veinard; Bouclier du Stalak; Menoture; Dorabysses; Cape Martegel; Palmes Trithons; Dofus Ocre; Dofus Ivoire; Dofus Abyssal; Étourdisseur majeur; Nomade; Cascadeur majeur; Dragodinde Amande et Ebène</t>
        </is>
      </c>
    </row>
    <row r="29002">
      <c r="A29002" t="inlineStr">
        <is>
          <t>Huppermage M 200</t>
        </is>
      </c>
      <c r="B29002">
        <f>HYPERLINK("https://www.dofusbook.net/fr/equipement/3991166-huppermage-m-200/objets", "link")</f>
        <v/>
      </c>
      <c r="C29002" t="n">
        <v>0</v>
      </c>
      <c r="D29002" t="inlineStr">
        <is>
          <t>Pendentif mignon de Koutoulou; Anneauræus; Anneau Rifique; Ceinture de Vortex; Cape de Diondin; Bottes Innommables</t>
        </is>
      </c>
    </row>
    <row r="29003">
      <c r="A29003" t="inlineStr">
        <is>
          <t>do pou</t>
        </is>
      </c>
      <c r="B29003">
        <f>HYPERLINK("https://www.dofusbook.net/fr/equipement/3983219-do-pou/objets", "link")</f>
        <v/>
      </c>
      <c r="C29003" t="n">
        <v>3</v>
      </c>
      <c r="D29003" t="inlineStr">
        <is>
          <t>Arc du Chalœil; Torquistik; Bague Instable; Bague Trithon; Bouclier précieux; Ceinture Gence; Casque Dragoeuf; Cape Solution; Bottistik; Dofus Abyssal; Dofus Ivoire; Culbuteur; Pousseur majeur; Bousculeur majeur; Culbuteur majeur; Balafreux</t>
        </is>
      </c>
    </row>
    <row r="29004">
      <c r="A29004" t="inlineStr">
        <is>
          <t>Zobal M 200</t>
        </is>
      </c>
      <c r="B29004">
        <f>HYPERLINK("https://www.dofusbook.net/fr/equipement/3939067-zobal-m-200/objets", "link")</f>
        <v/>
      </c>
      <c r="C29004" t="n">
        <v>0</v>
      </c>
      <c r="D29004" t="inlineStr">
        <is>
          <t>Sceptre du Roi Joueur; Amulette de Shokkoth; Alliance Gloursonne; Anneau Volkorne; Bouclier Taverne; Sangle Ouare; Capuche de l'Œil Attentif; Cape de l'Œil Attentif; Bottes Owesli; Dofus Abyssal; Dofus Pourpre; Dofus Ivoire; Dofus Ocre; Culbuteur majeur; Bousculeur majeur; Écumouth</t>
        </is>
      </c>
    </row>
    <row r="29005">
      <c r="A29005" t="inlineStr">
        <is>
          <t>air</t>
        </is>
      </c>
      <c r="B29005">
        <f>HYPERLINK("https://www.dofusbook.net/fr/equipement/3873957-air/objets", "link")</f>
        <v/>
      </c>
      <c r="C29005" t="n">
        <v>3</v>
      </c>
      <c r="D29005" t="inlineStr">
        <is>
          <t>Manthache; Collier du Valet Veinard; Alliance Gloursonne; Gant du Valet Veinard; Bouclier d'Ilyzaelle; Menoture; Dorabysses; Cape du Kamasterisk; Palmes Trithons; Dofus Pourpre; Dofus Ivoire; Nomade; Cascadeur majeur; Miraculé majeur; Cavaleur majeur; Tanuk</t>
        </is>
      </c>
    </row>
    <row r="29006">
      <c r="A29006" t="inlineStr">
        <is>
          <t>Ecaflip eau no vulbis</t>
        </is>
      </c>
      <c r="B29006">
        <f>HYPERLINK("https://www.dofusbook.net/fr/equipement/3813139-ecaflip-eau-no-vulbis/objets", "link")</f>
        <v/>
      </c>
      <c r="C29006" t="n">
        <v>40</v>
      </c>
      <c r="D29006" t="inlineStr">
        <is>
          <t>Sceptre du Roi Joueur; Amulette du Strigide; Anneau Volkorne; Alliance Gloursonne; Bouclier du Stalak; Sangle Ouare; Capuche de l'Œil Attentif; Cape de l'Œil Attentif; Pataugastrique; Dofus Turquoise; Dofus des Glaces; Dofus Ivoire; Dofus Ocre; Dofus Pourpre; Dofus Vulbis</t>
        </is>
      </c>
    </row>
    <row r="29007">
      <c r="A29007" t="inlineStr">
        <is>
          <t>Féca M 200</t>
        </is>
      </c>
      <c r="B29007">
        <f>HYPERLINK("https://www.dofusbook.net/fr/equipement/3808573-feca-m-200/objets", "link")</f>
        <v/>
      </c>
      <c r="C29007" t="n">
        <v>10</v>
      </c>
      <c r="D29007" t="inlineStr">
        <is>
          <t>Lav'Hache; Amulette du Strigide; Anneau Chevelu; Anneau Crustique; Bouclier d'Ilyzaelle; Ceinture Volkorne; Masque de Koutoulou; Cape au Logis; Bottes du Strigide; Dofus Abyssal; Dofus Pourpre; Dofus Ivoire; Dofus Ocre; Enragé majeur; Étourdisseur majeur; Drakopin</t>
        </is>
      </c>
    </row>
    <row r="29008">
      <c r="A29008" t="inlineStr">
        <is>
          <t>feu</t>
        </is>
      </c>
      <c r="B29008">
        <f>HYPERLINK("https://www.dofusbook.net/fr/equipement/3955977-feu/objets", "link")</f>
        <v/>
      </c>
      <c r="C29008" t="n">
        <v>0</v>
      </c>
      <c r="D29008" t="inlineStr">
        <is>
          <t>Arc corrompu; Amulette Volkorne; Anneau Volkorne; Anneauræus; Quatre-feuilles; Ceinture Séculaire; Coiffe Séculaire; Cape de Diondin; Bottes Innommables; Dofus Pourpre; Dofus Nébuleux; Dofus Vulbis; Dofus Turquoise; Dofus Ocre; Dofus Ivoire; Dragodinde Ivoire et Orchidée</t>
        </is>
      </c>
    </row>
    <row r="29009">
      <c r="A29009" t="inlineStr">
        <is>
          <t>eau ret</t>
        </is>
      </c>
      <c r="B29009">
        <f>HYPERLINK("https://www.dofusbook.net/fr/equipement/372967-eau-ret/objets", "link")</f>
        <v/>
      </c>
      <c r="C29009" t="n">
        <v>5</v>
      </c>
      <c r="D29009" t="inlineStr">
        <is>
          <t>Dagoulinantes; Amulette du Strigide; Alliance Gloursonne; Anneau Volkorne; Bouclier du Stalak; Sangle Ouare; Masque de Funespadon; Cape Solution; Chaussons de Macrab; Dofus Pourpre; Dofus Ivoire; Dofus Ocre; Dofus des Glaces; Dofus Abyssal; Étourdisseur majeur; Dragodinde Indigo et Ivoire</t>
        </is>
      </c>
    </row>
    <row r="29010">
      <c r="A29010" t="inlineStr">
        <is>
          <t>Stuff 3</t>
        </is>
      </c>
      <c r="B29010">
        <f>HYPERLINK("https://www.dofusbook.net/fr/equipement/304621-stuff-3/objets", "link")</f>
        <v/>
      </c>
      <c r="C29010" t="n">
        <v>5</v>
      </c>
      <c r="D29010" t="inlineStr">
        <is>
          <t>Arc du Chalœil; Amulette du Cœur Saignant; Anneau Volkorne; Alliance de Missiz Frizz; Quatre-feuilles; Ceinture Volkorne; Casque de Missiz Frizz; Cape au Logis; Bottes du Cœur Saignant; Dofus Turquoise; Dofus Ivoire; Dofus Pourpre; Dofus Ocre; Dofus des Glaces; Dofus Abyssal; Sakochère</t>
        </is>
      </c>
    </row>
    <row r="29011">
      <c r="A29011" t="inlineStr">
        <is>
          <t>Zobal M 200</t>
        </is>
      </c>
      <c r="B29011">
        <f>HYPERLINK("https://www.dofusbook.net/fr/equipement/3939024-zobal-m-200/objets", "link")</f>
        <v/>
      </c>
      <c r="C29011" t="n">
        <v>0</v>
      </c>
      <c r="D29011" t="inlineStr">
        <is>
          <t>Hache Téroïde; Amulette Volkorne; Chevalière du Roi Joueur; Bague Gloursonne; Bouclier du Captain Amakna; Ceinture Volkorne; Couronne du Roi Joueur; Cape au Logis; Bottes du Roi Joueur; Dofus Pourpre; Dofus des Glaces; Dofus Turquoise; Dofus Abyssal; Dofus Ocre; Dofus Ivoire; Kokulte</t>
        </is>
      </c>
    </row>
    <row r="29012">
      <c r="A29012" t="inlineStr">
        <is>
          <t>Stuff 2</t>
        </is>
      </c>
      <c r="B29012">
        <f>HYPERLINK("https://www.dofusbook.net/fr/equipement/304620-stuff-2/objets", "link")</f>
        <v/>
      </c>
      <c r="C29012" t="n">
        <v>1</v>
      </c>
      <c r="D29012" t="inlineStr">
        <is>
          <t>Arc Honte; Amulette de l'Indicible; Bague Gloursonne; Alliance Gloursonne; Bouclier du Stalak; Ceinture de l'Indicible; Masque d'Anerice; Cape d'Anerice; Bottes de l'Indicible; Dofus Vulbis; Dofus Ocre; Dolmanax; Dofus Abyssal; Dofus des Glaces; Dofus Ivoire; Gwo Tofu Ventripotent</t>
        </is>
      </c>
    </row>
    <row r="29013">
      <c r="A29013" t="inlineStr">
        <is>
          <t>Zobal M 200</t>
        </is>
      </c>
      <c r="B29013">
        <f>HYPERLINK("https://www.dofusbook.net/fr/equipement/3863749-zobal-m-200/objets", "link")</f>
        <v/>
      </c>
      <c r="C29013" t="n">
        <v>0</v>
      </c>
      <c r="D29013" t="inlineStr"/>
    </row>
    <row r="29014">
      <c r="A29014" t="inlineStr">
        <is>
          <t>Ecaflip M 200</t>
        </is>
      </c>
      <c r="B29014">
        <f>HYPERLINK("https://www.dofusbook.net/fr/equipement/3856963-ecaflip-m-200/objets", "link")</f>
        <v/>
      </c>
      <c r="C29014" t="n">
        <v>5</v>
      </c>
      <c r="D29014" t="inlineStr">
        <is>
          <t>Sceptre du Roi Joueur; Amulette du Strigide; Anneau Volkorne; Alliance Gloursonne; Bouclier du Stalak; Sangle Ouare; Kidibonnet; Cape de l'Œil Attentif; Bottes du Strigide; Dofus Turquoise; Dofus Ivoire; Dofus Ocre; Dofus Pourpre; Dofus Nébuleux; Chanceux majeur; Wabbit</t>
        </is>
      </c>
    </row>
    <row r="29015">
      <c r="A29015" t="inlineStr">
        <is>
          <t>Ecaflip M 200</t>
        </is>
      </c>
      <c r="B29015">
        <f>HYPERLINK("https://www.dofusbook.net/fr/equipement/3850302-ecaflip-m-200/objets", "link")</f>
        <v/>
      </c>
      <c r="C29015" t="n">
        <v>0</v>
      </c>
      <c r="D29015" t="inlineStr">
        <is>
          <t>Sceptre du Roi Joueur; Amulette du Strigide; Alliance Gloursonne; Anneau Volkorne; Bouclier du Stalak; Ceinture du Strigide; Kidibonnet; Chevelure de Tal Kasha; Sandales de Tal Kasha; Dofus Pourpre; Dofus Abyssal; Dofus Turquoise; Dofus Ivoire; Dofus Vulbis; Dofus Ocre; Pioute bleu</t>
        </is>
      </c>
    </row>
    <row r="29016">
      <c r="A29016" t="inlineStr">
        <is>
          <t>Enutrof F 200</t>
        </is>
      </c>
      <c r="B29016">
        <f>HYPERLINK("https://www.dofusbook.net/fr/equipement/3843611-enutrof-f-200/objets", "link")</f>
        <v/>
      </c>
      <c r="C29016" t="n">
        <v>0</v>
      </c>
      <c r="D29016" t="inlineStr">
        <is>
          <t>Arc du Chalœil; Amulette du Strigide; Anneau Volkorne; Anneau Chevelu; Bouclier du Stalak; Ceinture Volkorne; Masque de Koutoulou; Cape au Logis; Bottes du Cœur Saignant; Dofus Turquoise; Dofus Ivoire; Dofus Ocre; Dofus Pourpre; Dofus Abyssal; Enragé majeur; Dragodinde Amande et Pourpre</t>
        </is>
      </c>
    </row>
    <row r="29017">
      <c r="A29017" t="inlineStr">
        <is>
          <t>eca terre no vulbis</t>
        </is>
      </c>
      <c r="B29017">
        <f>HYPERLINK("https://www.dofusbook.net/fr/equipement/3837274-eca-terre-no-vulbis/objets", "link")</f>
        <v/>
      </c>
      <c r="C29017" t="n">
        <v>4</v>
      </c>
      <c r="D29017" t="inlineStr">
        <is>
          <t>Arc du Chalœil; Amulette du Strigide; Anneau Chevelu; Anneau Volkorne; Bouclier du Stalak; Ceinture Volkorne; Masque de Koutoulou; Cape au Logis; Bottes du Strigide; Dofus Pourpre; Dofus Ivoire; Dofus Turquoise; Dofus Ocre; Dofus des Glaces; Dofus Nébuleux; Pioute jaune</t>
        </is>
      </c>
    </row>
    <row r="29018">
      <c r="A29018" t="inlineStr">
        <is>
          <t>Ecaflip feu</t>
        </is>
      </c>
      <c r="B29018">
        <f>HYPERLINK("https://www.dofusbook.net/fr/equipement/3837300-ecaflip-feu/objets", "link")</f>
        <v/>
      </c>
      <c r="C29018" t="n">
        <v>3</v>
      </c>
      <c r="D29018" t="inlineStr">
        <is>
          <t>Arc corrompu; Amulette Volkorne; Anneauræus; Anneauræus; Bouclier du Stalak; Ceinture Volkorne; Heaume Oplate; Cape de Diondin; Bottes Innommables; Dofus Pourpre; Dofus Ivoire; Dofus Turquoise; Dofus Nébuleux; Érudit majeur; Nomade; Pioute rouge</t>
        </is>
      </c>
    </row>
    <row r="29019">
      <c r="A29019" t="inlineStr">
        <is>
          <t>eca terre vulbis</t>
        </is>
      </c>
      <c r="B29019">
        <f>HYPERLINK("https://www.dofusbook.net/fr/equipement/3834395-eca-terre-vulbis/objets", "link")</f>
        <v/>
      </c>
      <c r="C29019" t="n">
        <v>3</v>
      </c>
      <c r="D29019" t="inlineStr">
        <is>
          <t>Arc du Chalœil; Amulette du Cœur Saignant; Anneau Volkorne; Alliance de Missiz Frizz; Bouclier du Stalak; Ceinture Volkorne; Casque de Missiz Frizz; Cape du Cœur Saignant; Bottes du Cœur Saignant; Dofus Vulbis; Dofus Nébuleux; Dofus Pourpre; Dofus Ivoire; Dofus Turquoise; Dofus Ocre; Pioute jaune</t>
        </is>
      </c>
    </row>
    <row r="29020">
      <c r="A29020" t="inlineStr">
        <is>
          <t>eau air</t>
        </is>
      </c>
      <c r="B29020">
        <f>HYPERLINK("https://www.dofusbook.net/fr/equipement/2513512-eau-air-/objets", "link")</f>
        <v/>
      </c>
      <c r="C29020" t="n">
        <v>1</v>
      </c>
      <c r="D29020" t="inlineStr">
        <is>
          <t>Amulette de Shokkoth; Anneau Volkorne; Alliance Gloursonne; Bouclier du Stalak; Ceinture du Barbétoal; Casque Volkorne; Cape du Barbétoal; Sandales de Tal Kasha; Dofus Ivoire; Dofus Ocre; Dofus Turquoise; Dofus Abyssal; Dofus Pourpre; Étourdisseur majeur; Dragodinde Indigo et Ivoire</t>
        </is>
      </c>
    </row>
    <row r="29021">
      <c r="A29021" t="inlineStr">
        <is>
          <t>Ecaflip M 200</t>
        </is>
      </c>
      <c r="B29021">
        <f>HYPERLINK("https://www.dofusbook.net/fr/equipement/3782340-ecaflip-m-200/objets", "link")</f>
        <v/>
      </c>
      <c r="C29021" t="n">
        <v>0</v>
      </c>
      <c r="D29021" t="inlineStr">
        <is>
          <t>Arc du Chalœil; Amulette du Strigide; Bague Trithon; Bague Gloursonne; Bouclier d'Ilyzaelle; Ceinture Gence; Masque de Koutoulou; Cape au Logis; Bottes Trithon; Dofus Abyssal; Dofus Pourpre; Dofus Ivoire; Enragé majeur; Culbuteur majeur; Bousculeur majeur; Black Tiwabbit</t>
        </is>
      </c>
    </row>
    <row r="29022">
      <c r="A29022" t="inlineStr">
        <is>
          <t>Stuff 3</t>
        </is>
      </c>
      <c r="B29022">
        <f>HYPERLINK("https://www.dofusbook.net/fr/equipement/304635-stuff-3/objets", "link")</f>
        <v/>
      </c>
      <c r="C29022" t="n">
        <v>0</v>
      </c>
      <c r="D29022" t="inlineStr">
        <is>
          <t>Sabres d'Atcham; Amulette Séculaire; Anneau de Padgref; Bague Gloursonne; Quatre-feuilles; Ceinture Séculaire; Coiffe Séculaire; Cape d'Atcham; Sandales  d'Atcham; Dofus Pourpre; Dofus Ocre; Dofus Vulbis; Dofus Turquoise; Dolmanax; Dofus des Glaces; Bisouglours</t>
        </is>
      </c>
    </row>
    <row r="29023">
      <c r="A29023" t="inlineStr">
        <is>
          <t>Iop M 200</t>
        </is>
      </c>
      <c r="B29023">
        <f>HYPERLINK("https://www.dofusbook.net/fr/equipement/3720831-iop-m-200/objets", "link")</f>
        <v/>
      </c>
      <c r="C29023" t="n">
        <v>2</v>
      </c>
      <c r="D29023" t="inlineStr">
        <is>
          <t>Sabres d'Atcham; Amulette d'Ilyzaelle; Anneau Volkorne; Alliance Gloursonne; Bouclier d'Ilyzaelle; Ceinture Séculaire; Casque d'Ilyzaelle; Cape d'Atcham; Sandales  d'Atcham; Dofus Ivoire; Dofus Ocre; Dofus Vulbis; Dolmanax; Dofus Abyssal; Dofus Pourpre; Croum</t>
        </is>
      </c>
    </row>
    <row r="29024">
      <c r="A29024" t="inlineStr">
        <is>
          <t>eau ret</t>
        </is>
      </c>
      <c r="B29024">
        <f>HYPERLINK("https://www.dofusbook.net/fr/equipement/304619-eau-ret/objets", "link")</f>
        <v/>
      </c>
      <c r="C29024" t="n">
        <v>2</v>
      </c>
      <c r="D29024" t="inlineStr">
        <is>
          <t>Dagoulinantes; Amulette de Shokkoth; Alliance Gloursonne; Bracelet des Fonds marins; Bouclier du Stalak; Culotte de Bethel; Capuche de l'Œil Attentif; Cape Solution; Chaussons de Macrab; Dofus Pourpre; Dofus Abyssal; Dofus Ivoire; Étourdisseur majeur; Remueur; Chanceux majeur; Muldo Ebène et Indigo</t>
        </is>
      </c>
    </row>
    <row r="29025">
      <c r="A29025" t="inlineStr">
        <is>
          <t>Air no drag</t>
        </is>
      </c>
      <c r="B29025">
        <f>HYPERLINK("https://www.dofusbook.net/fr/equipement/1889697-air-no-drag/objets", "link")</f>
        <v/>
      </c>
      <c r="C29025" t="n">
        <v>2</v>
      </c>
      <c r="D29025" t="inlineStr">
        <is>
          <t>Manthache; Collier du Valet Veinard; Alliance Gloursonne; Gant du Valet Veinard; Bouclier du Stalak; Menoture; Chapeau de Tournoyé; Cape Indescriptible; Palmes Trithons; Dofus Ivoire; Dolmanax; Dofus Abyssal; Remueur; Étourdisseur majeur; Cascadeur majeur; Muldo Ebène</t>
        </is>
      </c>
    </row>
    <row r="29026">
      <c r="A29026" t="inlineStr">
        <is>
          <t>terre stri</t>
        </is>
      </c>
      <c r="B29026">
        <f>HYPERLINK("https://www.dofusbook.net/fr/equipement/2629889-terre-stri/objets", "link")</f>
        <v/>
      </c>
      <c r="C29026" t="n">
        <v>0</v>
      </c>
      <c r="D29026" t="inlineStr">
        <is>
          <t>Arc du Chalœil; Amulette du Strigide; Bague Gloursonne; Anneau Chevelu; Bouclier du Stalak; Ceinture Gence; Masque de Koutoulou; Voile d'encre; Bottes du Strigide; Dofus Pourpre; Dofus Abyssal; Dolmanax; Dofus Turquoise; Enragé majeur; Vigoureux majeur; Muldo Indigo et Pourpre</t>
        </is>
      </c>
    </row>
    <row r="29027">
      <c r="A29027" t="inlineStr">
        <is>
          <t>eau</t>
        </is>
      </c>
      <c r="B29027">
        <f>HYPERLINK("https://www.dofusbook.net/fr/equipement/2080978-eau/objets", "link")</f>
        <v/>
      </c>
      <c r="C29027" t="n">
        <v>0</v>
      </c>
      <c r="D29027" t="inlineStr">
        <is>
          <t>Baguette Héroclite; Amulette de Shokkoth; Anneau Tique; Bracelet des Fonds marins; Bouclier du Stalak; Poulpagne; Casque Dragoeuf; Cape Solution; Sandales des Fonds marins; Dofus Pourpre; Dofus Abyssal; Dofus Émeraude; Dofus Ivoire; Miraculé majeur; Chanceux majeur; Muldo Orchidée et Pourpre</t>
        </is>
      </c>
    </row>
    <row r="29028">
      <c r="A29028" t="inlineStr">
        <is>
          <t>ggg</t>
        </is>
      </c>
      <c r="B29028">
        <f>HYPERLINK("https://www.dofusbook.net/fr/equipement/1897754-ggg/objets", "link")</f>
        <v/>
      </c>
      <c r="C29028" t="n">
        <v>0</v>
      </c>
      <c r="D29028" t="inlineStr"/>
    </row>
    <row r="29029">
      <c r="A29029" t="inlineStr">
        <is>
          <t>Panda chaloeil</t>
        </is>
      </c>
      <c r="B29029">
        <f>HYPERLINK("https://www.dofusbook.net/fr/equipement/718354-panda-chaloeil/objets", "link")</f>
        <v/>
      </c>
      <c r="C29029" t="n">
        <v>0</v>
      </c>
      <c r="D29029" t="inlineStr">
        <is>
          <t>Epée Gloursonne; Amulette du Strigide; Bague Gloursonne; Alliance Gloursonne; Bouclier Taverne; Ceinture du Strigide; Masque du Barbétoal; Voile d'encre; Bottes du Strigide; Dofus Turquoise; Dofus Pourpre; Dofus Ocre; Dofus Émeraude; Dolmanax; Voyageur; Nomoon</t>
        </is>
      </c>
    </row>
    <row r="29030">
      <c r="A29030" t="inlineStr">
        <is>
          <t>Stuff 1</t>
        </is>
      </c>
      <c r="B29030">
        <f>HYPERLINK("https://www.dofusbook.net/fr/equipement/304651-stuff-1/objets", "link")</f>
        <v/>
      </c>
      <c r="C29030" t="n">
        <v>0</v>
      </c>
      <c r="D29030" t="inlineStr">
        <is>
          <t>Arc de Koutoulou; Amulette du Strigide; Anneau Tique; Alliance Gloursonne; Ceinture du Barbétoal; Kidibonnet; Chevelure de Tal Kasha; Sandales de Tal Kasha; Dofus Pourpre; Dofus des Glaces; Dolmanax; Dofus Turquoise; Nomade; Remueur; Kramkram</t>
        </is>
      </c>
    </row>
    <row r="29031">
      <c r="A29031" t="inlineStr">
        <is>
          <t>Stuff 2</t>
        </is>
      </c>
      <c r="B29031">
        <f>HYPERLINK("https://www.dofusbook.net/fr/equipement/304637-stuff-2/objets", "link")</f>
        <v/>
      </c>
      <c r="C29031" t="n">
        <v>0</v>
      </c>
      <c r="D29031" t="inlineStr">
        <is>
          <t>Dagoulinantes; Amulette de Shokkoth; Alliance Gloursonne; Anneau Tique; Poulpagne; Kidibonnet; Cape de la Dame du Hasard; Bottes de la Dame du Hasard; Dofus Turquoise; Dofus Pourpre; Dolmanax; Carapace Terre majeur; Vigoureux majeur; Muldo Indigo et Pourpre</t>
        </is>
      </c>
    </row>
    <row r="29032">
      <c r="A29032" t="inlineStr">
        <is>
          <t>Stuff 1</t>
        </is>
      </c>
      <c r="B29032">
        <f>HYPERLINK("https://www.dofusbook.net/fr/equipement/304659-stuff-1/objets", "link")</f>
        <v/>
      </c>
      <c r="C29032" t="n">
        <v>0</v>
      </c>
      <c r="D29032" t="inlineStr">
        <is>
          <t>Épée d'Otomaï; Amulette de Nileza; Anneau Tamie; Anneau Tamie; Sangle Aise; Calotte Spot; Cape de Nileza; Pataugastrique; Dofus des Glaces; Astucieux majeur; Dévastateur Feu majeur; Érudit majeur; Dévastateur Feu majeur; Nomade; Brûlih</t>
        </is>
      </c>
    </row>
    <row r="29033">
      <c r="A29033" t="inlineStr">
        <is>
          <t>Stuff 1</t>
        </is>
      </c>
      <c r="B29033">
        <f>HYPERLINK("https://www.dofusbook.net/fr/equipement/304622-stuff-1/objets", "link")</f>
        <v/>
      </c>
      <c r="C29033" t="n">
        <v>0</v>
      </c>
      <c r="D29033" t="inlineStr">
        <is>
          <t>Baguette Range; Amulette Séculaire; Anneau de Padgref; Anneau Tique; Ceinture Séculaire; Coiffe de Padgref; Voile d'encre; Getas de Padgref; Dofus Ocre; Dofus Pourpre; Dofus des Glaces; Dolmanax; Dofus Turquoise; Muldo Orchidée et Pourpre</t>
        </is>
      </c>
    </row>
    <row r="29034">
      <c r="A29034" t="inlineStr">
        <is>
          <t>Stuff 1</t>
        </is>
      </c>
      <c r="B29034">
        <f>HYPERLINK("https://www.dofusbook.net/fr/equipement/304654-stuff-1/objets", "link")</f>
        <v/>
      </c>
      <c r="C29034" t="n">
        <v>0</v>
      </c>
      <c r="D29034" t="inlineStr">
        <is>
          <t>Arc Hétype; Amulette d'Otomaï; Anneau Tamie; Anneau de Nidas; Ceinture du Glourséleste; Couronne de Nidas; Cape des Justiciers; Pantoufles Émar; Nomade; Érudit majeur; Ralentisseur majeur; Remueur; Entraveur majeur; Temporiseur majeur; Dragodinde Prune et Emeraude</t>
        </is>
      </c>
    </row>
    <row r="29035">
      <c r="A29035" t="inlineStr">
        <is>
          <t>Stuff 2</t>
        </is>
      </c>
      <c r="B29035">
        <f>HYPERLINK("https://www.dofusbook.net/fr/equipement/304649-stuff-2/objets", "link")</f>
        <v/>
      </c>
      <c r="C29035" t="n">
        <v>0</v>
      </c>
      <c r="D29035" t="inlineStr">
        <is>
          <t>Sceptre du Roi Joueur; Amulette de Shokkoth; Bracelet des Fonds marins; Alliance Gloursonne; Protopagne; Casque Dragoeuf; Cape Matelassée; Pataugastrique; Carapace Neutre majeur; Carapace Air majeur; Engourdisseur majeur; Étourdisseur majeur; Miraculé majeur; Fonceur majeur; Croum</t>
        </is>
      </c>
    </row>
    <row r="29036">
      <c r="A29036" t="inlineStr">
        <is>
          <t>Stuff 3</t>
        </is>
      </c>
      <c r="B29036">
        <f>HYPERLINK("https://www.dofusbook.net/fr/equipement/304644-stuff-3/objets", "link")</f>
        <v/>
      </c>
      <c r="C29036" t="n">
        <v>1</v>
      </c>
      <c r="D29036" t="inlineStr">
        <is>
          <t>Dagues Érhy; Amulette du Strigide; Bague Gloursonne; Gant du Valet Veinard; Ceinture du Strigide; Masque de Koutoulou; Voile d'encre; Bottes du Cycloïde; Dofus Pourpre; Dofus Turquoise; Carapace Neutre majeur; Remueur; Vigoureux majeur; Muldo Orchidée et Pourpre</t>
        </is>
      </c>
    </row>
    <row r="29037">
      <c r="A29037" t="inlineStr">
        <is>
          <t>Stuff 1</t>
        </is>
      </c>
      <c r="B29037">
        <f>HYPERLINK("https://www.dofusbook.net/fr/equipement/304639-stuff-1/objets", "link")</f>
        <v/>
      </c>
      <c r="C29037" t="n">
        <v>0</v>
      </c>
      <c r="D29037" t="inlineStr">
        <is>
          <t>Sceptre du Roi Joueur; Amulette du Strigide; Alliance Gloursonne; Bague Trithon; Poulpagne; Kidibonnet; Voile d'encre; Bottes Trithon; Dolmanax; Culbuteur majeur; Miraculé majeur; Cavaleur majeur; Bousculeur majeur; Nomade; Croum</t>
        </is>
      </c>
    </row>
    <row r="29038">
      <c r="A29038" t="inlineStr">
        <is>
          <t>Stuff 2</t>
        </is>
      </c>
      <c r="B29038">
        <f>HYPERLINK("https://www.dofusbook.net/fr/equipement/304634-stuff-2/objets", "link")</f>
        <v/>
      </c>
      <c r="C29038" t="n">
        <v>1</v>
      </c>
      <c r="D29038" t="inlineStr">
        <is>
          <t>Dagues Érhy; Amulette du Strigide; Bague Gloursonne; Bague Trithon; Ceinture du Strigide; Masque Trithon; Cape du Professeur Xa; Bottes du Strigide; Dofus Turquoise; Dofus Ocre; Dofus Pourpre; Dofus des Glaces; Dofus Nébuleux; Imprenable majeur; Kramkram</t>
        </is>
      </c>
    </row>
    <row r="29039">
      <c r="A29039" t="inlineStr">
        <is>
          <t>Stuff 3</t>
        </is>
      </c>
      <c r="B29039">
        <f>HYPERLINK("https://www.dofusbook.net/fr/equipement/304629-stuff-3/objets", "link")</f>
        <v/>
      </c>
      <c r="C29039" t="n">
        <v>0</v>
      </c>
      <c r="D29039" t="inlineStr">
        <is>
          <t>Dagoulinantes; Amulette de Shokkoth; Alliance Gloursonne; Anneau Tique; Poulpagne; Kidibonnet; Cape de la Dame du Hasard; Bottes de la Dame du Hasard; Dolmanax; Dofus Turquoise; Obstructeur majeur; Vigoureux majeur; Carapace Terre majeur; Muldo Indigo et Pourpre</t>
        </is>
      </c>
    </row>
    <row r="29040">
      <c r="A29040" t="inlineStr">
        <is>
          <t>Stuff 1</t>
        </is>
      </c>
      <c r="B29040">
        <f>HYPERLINK("https://www.dofusbook.net/fr/equipement/304661-stuff-1/objets", "link")</f>
        <v/>
      </c>
      <c r="C29040" t="n">
        <v>2</v>
      </c>
      <c r="D29040" t="inlineStr">
        <is>
          <t>Épouvante; Amulette Luminescente; Pikano; Ceinture Luminescente; Casquipik; Cape Luminescente; Pikottes; Dofus des Glaces; Dofus Turquoise; Dofus Ocre; Dofus Pourpre; Dolmanax; Entraveur majeur; Muldo Prune et Doré</t>
        </is>
      </c>
    </row>
    <row r="29041">
      <c r="A29041" t="inlineStr">
        <is>
          <t>Stuff 3</t>
        </is>
      </c>
      <c r="B29041">
        <f>HYPERLINK("https://www.dofusbook.net/fr/equipement/304624-stuff-3/objets", "link")</f>
        <v/>
      </c>
      <c r="C29041" t="n">
        <v>0</v>
      </c>
      <c r="D29041" t="inlineStr">
        <is>
          <t>Sabres d'Atcham; Amulette du Strigide; Alliance Gloursonne; Anneau Tique; Ceintacé; Chapeau des Malveilleurs; Cape de la Dame du Hasard; Bottes de la Dame du Hasard; Dofus des Glaces; Dofus Turquoise; Dofus Pourpre; Dolmanax; Remueur; Muldo Ebène et Orchidée</t>
        </is>
      </c>
    </row>
    <row r="29042">
      <c r="A29042" t="inlineStr">
        <is>
          <t>Stuff 3</t>
        </is>
      </c>
      <c r="B29042">
        <f>HYPERLINK("https://www.dofusbook.net/fr/equipement/304656-stuff-3/objets", "link")</f>
        <v/>
      </c>
      <c r="C29042" t="n">
        <v>0</v>
      </c>
      <c r="D29042" t="inlineStr">
        <is>
          <t>Marteau R'ture; Amulette du Glourséleste; Anneau Tamie; Anneau Tamie; Ceinture Instable; Casquipik; Cape de Kongoku; Pikottes; Temporiseur majeur; Ralentisseur majeur; Remueur; Entraveur majeur; Temporiseur; Entraveur; Kwaltess</t>
        </is>
      </c>
    </row>
    <row r="29043">
      <c r="A29043" t="inlineStr">
        <is>
          <t>Stuff 2</t>
        </is>
      </c>
      <c r="B29043">
        <f>HYPERLINK("https://www.dofusbook.net/fr/equipement/304646-stuff-2/objets", "link")</f>
        <v/>
      </c>
      <c r="C29043" t="n">
        <v>0</v>
      </c>
      <c r="D29043" t="inlineStr">
        <is>
          <t>Arc du Chalœil; Collier de Tourthon; Anneau Chevelu; Anneau de Brouce; Ceinture de Brouce; Masque de Koutoulou; Cape au Logis; Sabots Minables; Dofus Pourpre; Dofus des Glaces; Vigoureux majeur; Enragé majeur; Nomade; Dévastateur Terre majeur; Croum</t>
        </is>
      </c>
    </row>
    <row r="29044">
      <c r="A29044" t="inlineStr">
        <is>
          <t>Stuff 3</t>
        </is>
      </c>
      <c r="B29044">
        <f>HYPERLINK("https://www.dofusbook.net/fr/equipement/304641-stuff-3/objets", "link")</f>
        <v/>
      </c>
      <c r="C29044" t="n">
        <v>0</v>
      </c>
      <c r="D29044" t="inlineStr">
        <is>
          <t>Epée Gloursonne; Amulette du Strigide; Bague Gloursonne; Alliance Gloursonne; Ceinture du Strigide; Casque de Missiz Frizz; Voile d'encre; Bottes du Strigide; Dofus Kaliptus; Dofus Turquoise; Dofus Ocre; Dofus Émeraude; Dofus Pourpre; Voyageur</t>
        </is>
      </c>
    </row>
    <row r="29045">
      <c r="A29045" t="inlineStr">
        <is>
          <t>Stuff 1</t>
        </is>
      </c>
      <c r="B29045">
        <f>HYPERLINK("https://www.dofusbook.net/fr/equipement/304636-stuff-1/objets", "link")</f>
        <v/>
      </c>
      <c r="C29045" t="n">
        <v>0</v>
      </c>
      <c r="D29045" t="inlineStr">
        <is>
          <t>Epée Gloursonne; Amulette de Gein; Bague Gloursonne; Alliance Gloursonne; Ceinture de Gein; Chapeau de Gein; Voile d'encre; Bottistik; Dolmanax; Dofus Ocre; Dofus Turquoise; Dofus des Glaces; Dofus Pourpre; Voyageur; Kramkram</t>
        </is>
      </c>
    </row>
    <row r="29046">
      <c r="A29046" t="inlineStr">
        <is>
          <t>Stuff 2</t>
        </is>
      </c>
      <c r="B29046">
        <f>HYPERLINK("https://www.dofusbook.net/fr/equipement/304631-stuff-2/objets", "link")</f>
        <v/>
      </c>
      <c r="C29046" t="n">
        <v>0</v>
      </c>
      <c r="D29046" t="inlineStr">
        <is>
          <t>Manthache; Collier du Valet Veinard; Alliance Gloursonne; Gant du Valet Veinard; Menoture; Couronne d'Allister; Cape Indescriptible; Palmes Trithons; Dofus des Glaces; Cascadeur majeur; Carapace Air majeur; Remueur; Nomade; Croum</t>
        </is>
      </c>
    </row>
    <row r="29047">
      <c r="A29047" t="inlineStr">
        <is>
          <t>Stuff 2</t>
        </is>
      </c>
      <c r="B29047">
        <f>HYPERLINK("https://www.dofusbook.net/fr/equipement/304626-stuff-2/objets", "link")</f>
        <v/>
      </c>
      <c r="C29047" t="n">
        <v>0</v>
      </c>
      <c r="D29047" t="inlineStr">
        <is>
          <t>Épée d'Otomaï; Amulette Séculaire; Bague Gloursonne; Anneau de Padgref; Ceinture Séculaire; Coiffe de Padgref; Cape de Diondin; Getas de Padgref; Dofus des Glaces; Dofus Turquoise; Dofus Pourpre; Saccageur Feu majeur; Astucieux majeur; Voyageur; Brûlih</t>
        </is>
      </c>
    </row>
    <row r="29048">
      <c r="A29048" t="inlineStr">
        <is>
          <t>Stuff 3</t>
        </is>
      </c>
      <c r="B29048">
        <f>HYPERLINK("https://www.dofusbook.net/fr/equipement/304653-stuff-3/objets", "link")</f>
        <v/>
      </c>
      <c r="C29048" t="n">
        <v>0</v>
      </c>
      <c r="D29048" t="inlineStr">
        <is>
          <t>Rapière aux Glyphes; Amulette de Shokkoth; Alliance Gloursonne; Bracelet des Fonds marins; Poulpagne; Kidibonnet; Cape du Sinistrofu; Bottes du Sinistrofu; Dofus Pourpre; Dofus des Glaces; Dofus Turquoise; Dévastateur Eau majeur; Chanceux majeur; Nomade; Kramkram</t>
        </is>
      </c>
    </row>
    <row r="29049">
      <c r="A29049" t="inlineStr">
        <is>
          <t>Stuff 1</t>
        </is>
      </c>
      <c r="B29049">
        <f>HYPERLINK("https://www.dofusbook.net/fr/equipement/304648-stuff-1/objets", "link")</f>
        <v/>
      </c>
      <c r="C29049" t="n">
        <v>0</v>
      </c>
      <c r="D29049" t="inlineStr">
        <is>
          <t>Pelle de la Cour Sombre; Collier du Valet Veinard; Alliance Gloursonne; Gant du Valet Veinard; Menoture; Casque Dragoeuf; Cape Matelassée; Palmes Trithons; Dofus des Glaces; Dofus Pourpre; Étourdisseur majeur; Nomade; Cascadeur majeur; Miraculé majeur; Croum</t>
        </is>
      </c>
    </row>
    <row r="29050">
      <c r="A29050" t="inlineStr">
        <is>
          <t>Stuff 2</t>
        </is>
      </c>
      <c r="B29050">
        <f>HYPERLINK("https://www.dofusbook.net/fr/equipement/304643-stuff-2/objets", "link")</f>
        <v/>
      </c>
      <c r="C29050" t="n">
        <v>0</v>
      </c>
      <c r="D29050" t="inlineStr">
        <is>
          <t>Héqache; Amulette du Strigide; Alliance Gloursonne; Bracelet du Piloztère; Ceintacé; Chapoulpe; Voile d'encre; Tentassons; Dofus Pourpre; Dofus Turquoise; Dofus des Glaces; Remueur; Vigoureux majeur; Muldo Ebène et Pourpre</t>
        </is>
      </c>
    </row>
    <row r="29051">
      <c r="A29051" t="inlineStr">
        <is>
          <t>Stuff 3</t>
        </is>
      </c>
      <c r="B29051">
        <f>HYPERLINK("https://www.dofusbook.net/fr/equipement/304638-stuff-3/objets", "link")</f>
        <v/>
      </c>
      <c r="C29051" t="n">
        <v>0</v>
      </c>
      <c r="D29051" t="inlineStr">
        <is>
          <t>Rapière aux Glyphes; Amulette de Shokkoth; Alliance Gloursonne; Anneau Tique; Poulpagne; Kidibonnet; Cape de la Dame du Hasard; Bottes de la Dame du Hasard; Dofus Pourpre; Dolmanax; Dofus Turquoise; Vigoureux majeur; Carapace Feu majeur; Muldo Indigo et Pourpre</t>
        </is>
      </c>
    </row>
    <row r="29052">
      <c r="A29052" t="inlineStr">
        <is>
          <t>Stuff 3</t>
        </is>
      </c>
      <c r="B29052">
        <f>HYPERLINK("https://www.dofusbook.net/fr/equipement/304656-stuff-3/objets", "link")</f>
        <v/>
      </c>
      <c r="C29052" t="n">
        <v>0</v>
      </c>
      <c r="D29052" t="inlineStr">
        <is>
          <t>Marteau R'ture; Amulette du Glourséleste; Anneau Tamie; Anneau Tamie; Ceinture Instable; Casquipik; Cape de Kongoku; Pikottes; Remueur; Entraveur majeur; Temporiseur; Entraveur; Temporiseur majeur; Ralentisseur majeur; Kwaltess</t>
        </is>
      </c>
    </row>
    <row r="29053">
      <c r="A29053" t="inlineStr">
        <is>
          <t>Stuff 3</t>
        </is>
      </c>
      <c r="B29053">
        <f>HYPERLINK("https://www.dofusbook.net/fr/equipement/304624-stuff-3/objets", "link")</f>
        <v/>
      </c>
      <c r="C29053" t="n">
        <v>0</v>
      </c>
      <c r="D29053" t="inlineStr">
        <is>
          <t>Sabres d'Atcham; Amulette du Strigide; Alliance Gloursonne; Anneau Tique; Ceintacé; Chapeau des Malveilleurs; Cape de la Dame du Hasard; Bottes de la Dame du Hasard; Dofus des Glaces; Dofus Turquoise; Dofus Pourpre; Dolmanax; Remueur; Muldo Ebène et Orchidée</t>
        </is>
      </c>
    </row>
    <row r="29054">
      <c r="A29054" t="inlineStr">
        <is>
          <t>Stuff 2</t>
        </is>
      </c>
      <c r="B29054">
        <f>HYPERLINK("https://www.dofusbook.net/fr/equipement/304646-stuff-2/objets", "link")</f>
        <v/>
      </c>
      <c r="C29054" t="n">
        <v>0</v>
      </c>
      <c r="D29054" t="inlineStr">
        <is>
          <t>Arc du Chalœil; Collier de Tourthon; Anneau Chevelu; Anneau de Brouce; Ceinture de Brouce; Masque de Koutoulou; Cape au Logis; Sabots Minables; Dofus Pourpre; Dofus des Glaces; Vigoureux majeur; Enragé majeur; Nomade; Dévastateur Terre majeur; Croum</t>
        </is>
      </c>
    </row>
    <row r="29055">
      <c r="A29055" t="inlineStr">
        <is>
          <t>Stuff 3</t>
        </is>
      </c>
      <c r="B29055">
        <f>HYPERLINK("https://www.dofusbook.net/fr/equipement/304641-stuff-3/objets", "link")</f>
        <v/>
      </c>
      <c r="C29055" t="n">
        <v>0</v>
      </c>
      <c r="D29055" t="inlineStr">
        <is>
          <t>Epée Gloursonne; Amulette du Strigide; Bague Gloursonne; Alliance Gloursonne; Ceinture du Strigide; Casque de Missiz Frizz; Voile d'encre; Bottes du Strigide; Dofus Pourpre; Dofus Kaliptus; Dofus Turquoise; Dofus Ocre; Dofus Émeraude; Voyageur</t>
        </is>
      </c>
    </row>
    <row r="29056">
      <c r="A29056" t="inlineStr">
        <is>
          <t>Stuff 1</t>
        </is>
      </c>
      <c r="B29056">
        <f>HYPERLINK("https://www.dofusbook.net/fr/equipement/304636-stuff-1/objets", "link")</f>
        <v/>
      </c>
      <c r="C29056" t="n">
        <v>0</v>
      </c>
      <c r="D29056" t="inlineStr">
        <is>
          <t>Epée Gloursonne; Amulette de Gein; Bague Gloursonne; Alliance Gloursonne; Ceinture de Gein; Chapeau de Gein; Voile d'encre; Bottistik; Dofus des Glaces; Dofus Pourpre; Dolmanax; Dofus Ocre; Dofus Turquoise; Voyageur; Kramkram</t>
        </is>
      </c>
    </row>
    <row r="29057">
      <c r="A29057" t="inlineStr">
        <is>
          <t>Stuff 2</t>
        </is>
      </c>
      <c r="B29057">
        <f>HYPERLINK("https://www.dofusbook.net/fr/equipement/304631-stuff-2/objets", "link")</f>
        <v/>
      </c>
      <c r="C29057" t="n">
        <v>0</v>
      </c>
      <c r="D29057" t="inlineStr">
        <is>
          <t>Manthache; Collier du Valet Veinard; Alliance Gloursonne; Gant du Valet Veinard; Menoture; Couronne d'Allister; Cape Indescriptible; Palmes Trithons; Dofus des Glaces; Nomade; Cascadeur majeur; Carapace Air majeur; Remueur; Croum</t>
        </is>
      </c>
    </row>
    <row r="29058">
      <c r="A29058" t="inlineStr">
        <is>
          <t>Stuff 2</t>
        </is>
      </c>
      <c r="B29058">
        <f>HYPERLINK("https://www.dofusbook.net/fr/equipement/304626-stuff-2/objets", "link")</f>
        <v/>
      </c>
      <c r="C29058" t="n">
        <v>0</v>
      </c>
      <c r="D29058" t="inlineStr">
        <is>
          <t>Épée d'Otomaï; Amulette Séculaire; Bague Gloursonne; Anneau de Padgref; Ceinture Séculaire; Coiffe de Padgref; Cape de Diondin; Getas de Padgref; Dofus Pourpre; Dofus des Glaces; Dofus Turquoise; Voyageur; Saccageur Feu majeur; Astucieux majeur; Brûlih</t>
        </is>
      </c>
    </row>
    <row r="29059">
      <c r="A29059" t="inlineStr">
        <is>
          <t>Stuff 3</t>
        </is>
      </c>
      <c r="B29059">
        <f>HYPERLINK("https://www.dofusbook.net/fr/equipement/304653-stuff-3/objets", "link")</f>
        <v/>
      </c>
      <c r="C29059" t="n">
        <v>0</v>
      </c>
      <c r="D29059" t="inlineStr">
        <is>
          <t>Rapière aux Glyphes; Amulette de Shokkoth; Alliance Gloursonne; Bracelet des Fonds marins; Poulpagne; Kidibonnet; Cape du Sinistrofu; Bottes du Sinistrofu; Dofus Turquoise; Dofus Pourpre; Dofus des Glaces; Nomade; Dévastateur Eau majeur; Chanceux majeur; Kramkram</t>
        </is>
      </c>
    </row>
    <row r="29060">
      <c r="A29060" t="inlineStr">
        <is>
          <t>Stuff 1</t>
        </is>
      </c>
      <c r="B29060">
        <f>HYPERLINK("https://www.dofusbook.net/fr/equipement/304648-stuff-1/objets", "link")</f>
        <v/>
      </c>
      <c r="C29060" t="n">
        <v>0</v>
      </c>
      <c r="D29060" t="inlineStr">
        <is>
          <t>Pelle de la Cour Sombre; Collier du Valet Veinard; Gant du Valet Veinard; Alliance Gloursonne; Menoture; Casque Dragoeuf; Cape Matelassée; Palmes Trithons; Dofus des Glaces; Dofus Pourpre; Cascadeur majeur; Miraculé majeur; Étourdisseur majeur; Nomade; Croum</t>
        </is>
      </c>
    </row>
    <row r="29061">
      <c r="A29061" t="inlineStr">
        <is>
          <t>Stuff 2</t>
        </is>
      </c>
      <c r="B29061">
        <f>HYPERLINK("https://www.dofusbook.net/fr/equipement/304643-stuff-2/objets", "link")</f>
        <v/>
      </c>
      <c r="C29061" t="n">
        <v>0</v>
      </c>
      <c r="D29061" t="inlineStr">
        <is>
          <t>Héqache; Amulette du Strigide; Bracelet du Piloztère; Alliance Gloursonne; Ceintacé; Chapoulpe; Voile d'encre; Tentassons; Dofus des Glaces; Dofus Pourpre; Dofus Turquoise; Vigoureux majeur; Remueur; Muldo Ebène et Pourpre</t>
        </is>
      </c>
    </row>
    <row r="29062">
      <c r="A29062" t="inlineStr">
        <is>
          <t>Stuff 3</t>
        </is>
      </c>
      <c r="B29062">
        <f>HYPERLINK("https://www.dofusbook.net/fr/equipement/304638-stuff-3/objets", "link")</f>
        <v/>
      </c>
      <c r="C29062" t="n">
        <v>0</v>
      </c>
      <c r="D29062" t="inlineStr">
        <is>
          <t>Rapière aux Glyphes; Amulette de Shokkoth; Alliance Gloursonne; Anneau Tique; Poulpagne; Kidibonnet; Cape de la Dame du Hasard; Bottes de la Dame du Hasard; Dofus Pourpre; Dolmanax; Dofus Turquoise; Vigoureux majeur; Carapace Feu majeur; Muldo Indigo et Pourpre</t>
        </is>
      </c>
    </row>
    <row r="29063">
      <c r="A29063" t="inlineStr">
        <is>
          <t>Stuff 1</t>
        </is>
      </c>
      <c r="B29063">
        <f>HYPERLINK("https://www.dofusbook.net/fr/equipement/304633-stuff-1/objets", "link")</f>
        <v/>
      </c>
      <c r="C29063" t="n">
        <v>2</v>
      </c>
      <c r="D29063" t="inlineStr">
        <is>
          <t>Héqache; Amulette du Kam Assutra; Bague Gloursonne; Alliance Gloursonne; Bouclier précieux; Ceintouse; Chapoulpe; Puissante Cape Fulgurante; Sandales Koliques; Dofus Abyssal; Dofus Ocre; Dofus des Glaces; Dofus Pourpre; Dofus Turquoise; Dolmanax</t>
        </is>
      </c>
    </row>
    <row r="29064">
      <c r="A29064" t="inlineStr">
        <is>
          <t>Stuff 2</t>
        </is>
      </c>
      <c r="B29064">
        <f>HYPERLINK("https://www.dofusbook.net/fr/equipement/304628-stuff-2/objets", "link")</f>
        <v/>
      </c>
      <c r="C29064" t="n">
        <v>0</v>
      </c>
      <c r="D29064" t="inlineStr">
        <is>
          <t>Arc de Koutoulou; Amulette du Strigide; Alliance Gloursonne; Bracelet du Piloztère; Ceinture du Barbétoal; Kidibonnet; Voile d'encre; Sandales  d'Atcham; Dofus Pourpre; Dofus Turquoise; Dolmanax; Remueur; Vigoureux majeur; Muldo Ebène et Indigo</t>
        </is>
      </c>
    </row>
    <row r="29065">
      <c r="A29065" t="inlineStr">
        <is>
          <t>Iop F 200</t>
        </is>
      </c>
      <c r="B29065">
        <f>HYPERLINK("https://www.dofusbook.net/fr/equipement/5739220-iop-f-200/objets", "link")</f>
        <v/>
      </c>
      <c r="C29065" t="n">
        <v>0</v>
      </c>
      <c r="D29065" t="inlineStr">
        <is>
          <t>Arc du Chalœil; Amulette du Strigide; Anneau Crustique; Anneau Chevelu; Droiture de Fallanster; Ceintacé; Masque de Koutoulou; Cape de la Cour Sombre; Bottes de la Cour Sombre; Dofus Vulbis; Dofus Abyssal; Dofus Argenté; Dofus Ivoire; Dofus Turquoise; Dofus Ébène; Dragodinde Amande et Pourpre</t>
        </is>
      </c>
    </row>
    <row r="29066">
      <c r="A29066" t="inlineStr">
        <is>
          <t>roublard</t>
        </is>
      </c>
      <c r="B29066">
        <f>HYPERLINK("https://www.dofusbook.net/fr/equipement/5594974-roublard/objets", "link")</f>
        <v/>
      </c>
      <c r="C29066" t="n">
        <v>5</v>
      </c>
      <c r="D29066" t="inlineStr">
        <is>
          <t>Arc corrompu; Amulette Volkorne; Anneauræus; Anneau Volkorne; Quatre-feuilles; Ceinture Volkorne; Heaume Oplate; Voile d'encre; Bottes Honyme; Dofus Argenté; Dofus Ébène; Dofus Turquoise; Dofus Abyssal; Dofus Ivoire; Dokoko; Bisouglours</t>
        </is>
      </c>
    </row>
    <row r="29067">
      <c r="A29067" t="inlineStr">
        <is>
          <t>roublard</t>
        </is>
      </c>
      <c r="B29067">
        <f>HYPERLINK("https://www.dofusbook.net/fr/equipement/5583974-roublard/objets", "link")</f>
        <v/>
      </c>
      <c r="C29067" t="n">
        <v>1</v>
      </c>
      <c r="D29067" t="inlineStr">
        <is>
          <t>Massier; Amulette Volkorne; Anneau Volkorne; Anneauræus; Bouclier du Cycloïde; Ceinture Volkorne; Heaume Oplate; Voile d'encre; Bottes Honyme; Dofus Turquoise; Dofus Abyssal; Dofus Ivoire; Dokoko; Dofus Argenté; Dofus Ébène; Bisouglours</t>
        </is>
      </c>
    </row>
    <row r="29068">
      <c r="A29068" t="inlineStr">
        <is>
          <t>Anti Féca</t>
        </is>
      </c>
      <c r="B29068">
        <f>HYPERLINK("https://www.dofusbook.net/fr/equipement/3808368-anti-feca/objets", "link")</f>
        <v/>
      </c>
      <c r="C29068" t="n">
        <v>2</v>
      </c>
      <c r="D29068" t="inlineStr">
        <is>
          <t>Lance corrompue; Collier de Tourthon; Anneau Volkorne; Anneau Chevelu; Droiture de Fallanster; Ceinture Volkorne; Corne de Torkélonia; Cape du Kamasterisk; Sabots Minables; Dofus Vulbis; Dofus Ébène; Dofus Émeraude; Dofus Argenté; Dokoko; Dofus Ivoire; Chienchien Tigré</t>
        </is>
      </c>
    </row>
    <row r="29069">
      <c r="A29069" t="inlineStr">
        <is>
          <t>PVM Bourrin</t>
        </is>
      </c>
      <c r="B29069">
        <f>HYPERLINK("https://www.dofusbook.net/fr/equipement/3964020-pvm-bourrin/objets", "link")</f>
        <v/>
      </c>
      <c r="C29069" t="n">
        <v>5</v>
      </c>
      <c r="D29069" t="inlineStr">
        <is>
          <t>Baguette de Torkélonia; Amulette du Strigide; Alliance Brûlâme; Bague Trithon; Quatre-feuilles; Ceinture du Strigide; Masque Trithon; Carapace de Torkélonia; Bottes Trithon; Dofus Turquoise; Dofus Pourpre; Dofus Ocre; Dofus Vulbis; Dofus Ivoire; Dofus Ébène; Kokulte</t>
        </is>
      </c>
    </row>
    <row r="29070">
      <c r="A29070" t="inlineStr">
        <is>
          <t>PVM</t>
        </is>
      </c>
      <c r="B29070">
        <f>HYPERLINK("https://www.dofusbook.net/fr/equipement/4047305-pvm/objets", "link")</f>
        <v/>
      </c>
      <c r="C29070" t="n">
        <v>3</v>
      </c>
      <c r="D29070" t="inlineStr">
        <is>
          <t>Arc Volkorne; Amulette Volkorne; Anneau Volkorne; Chevalière du Roi Joueur; Quatre-feuilles; Ceinture Volkorne; Couronne du Roi Joueur; Cape de Jahash Jurgen; Bottes du Roi Joueur; Dofus Turquoise; Dolmanax; Dofus Ocre; Dofus Pourpre; Dofus des Glaces; Dofus Ébène; Cromeugnon</t>
        </is>
      </c>
    </row>
    <row r="29071">
      <c r="A29071" t="inlineStr">
        <is>
          <t>Full-ini</t>
        </is>
      </c>
      <c r="B29071">
        <f>HYPERLINK("https://www.dofusbook.net/fr/equipement/4854093-full-ini/objets", "link")</f>
        <v/>
      </c>
      <c r="C29071" t="n">
        <v>0</v>
      </c>
      <c r="D29071" t="inlineStr">
        <is>
          <t>Amulette Martegel; Anneau d'Allister; Alliance Gloursonne; Bouclier du Stalak; Menoture; Couronne d'Allister; Cape Martegel; Bottes d'Allister; Dofus Vulbis; Dofus Ébène; Dofus Pourpre; Dofus des Glaces; Dofus Argenté; Dofus Ivoire; Blérodoudou</t>
        </is>
      </c>
    </row>
    <row r="29072">
      <c r="A29072" t="inlineStr">
        <is>
          <t>Terre Ret PM</t>
        </is>
      </c>
      <c r="B29072">
        <f>HYPERLINK("https://www.dofusbook.net/fr/equipement/4064272-terre-ret-pm/objets", "link")</f>
        <v/>
      </c>
      <c r="C29072" t="n">
        <v>2</v>
      </c>
      <c r="D29072" t="inlineStr">
        <is>
          <t>Arc du Chalœil; Amulette du Cœur Saignant; Anneau Volkorne; Chevalière du Roi Joueur; Quatre-feuilles; Ceinture Volkorne; Couronne du Roi Joueur; Cape du Cœur Saignant; Dofus Nébuleux; Dofus Ivoire; Dofus Turquoise; Dofus Ocre; Dofus Vulbis; Dofus Abyssal; Volkorne Turquoise et Pourpre</t>
        </is>
      </c>
    </row>
    <row r="29073">
      <c r="A29073" t="inlineStr">
        <is>
          <t>Feu-Koly</t>
        </is>
      </c>
      <c r="B29073">
        <f>HYPERLINK("https://www.dofusbook.net/fr/equipement/5118572-feu-koly/objets", "link")</f>
        <v/>
      </c>
      <c r="C29073" t="n">
        <v>1</v>
      </c>
      <c r="D29073" t="inlineStr">
        <is>
          <t>Baguette de Malléfisk; Collier Rophante; Anneauræus; Anneauræus; Sept ans de malheur; Ceinture de Vortex; Masque Ardent; Cape Ardente; Pataugastrique; Dofus Ivoire; Dofus Ébène; Dofus Ocre; Érudit majeur; Étourdisseur majeur; Dragoune Rose</t>
        </is>
      </c>
    </row>
    <row r="29074">
      <c r="A29074" t="inlineStr">
        <is>
          <t>Panda Eratz pvp</t>
        </is>
      </c>
      <c r="B29074">
        <f>HYPERLINK("https://www.dofusbook.net/fr/equipement/1784991-panda-eratz-pvp/objets", "link")</f>
        <v/>
      </c>
      <c r="C29074" t="n">
        <v>2</v>
      </c>
      <c r="D29074" t="inlineStr">
        <is>
          <t>Kralamansion; Annolamour; Kralano; Ceinture Rasboulaire du Rasboul; Voile d'encre; Dofus Émeraude; Dofus Ocre; Dofus Pourpre; Dofus Cawotte; Dofus Turquoise; Péki</t>
        </is>
      </c>
    </row>
    <row r="29075">
      <c r="A29075" t="inlineStr">
        <is>
          <t>ret PM</t>
        </is>
      </c>
      <c r="B29075">
        <f>HYPERLINK("https://www.dofusbook.net/fr/equipement/4183168-ret-pm/objets", "link")</f>
        <v/>
      </c>
      <c r="C29075" t="n">
        <v>2</v>
      </c>
      <c r="D29075" t="inlineStr">
        <is>
          <t>Marteau R'ture; Amulette Luminescente; Chevalière du Roi Joueur; Pikano; Bouclier cubiste; Ceinture Luminescente; Casquipik; Cape Luminescente; Bottes du Roi Joueur; Dofus des Glaces; Dofus Vulbis; Dofus Ocre; Dofus Pourpre; Dofus Nébuleux; Entraveur majeur; Volkorne Turquoise et Pourpre</t>
        </is>
      </c>
    </row>
    <row r="29076">
      <c r="A29076" t="inlineStr">
        <is>
          <t>Do crit</t>
        </is>
      </c>
      <c r="B29076">
        <f>HYPERLINK("https://www.dofusbook.net/fr/equipement/4078875-do-crit/objets", "link")</f>
        <v/>
      </c>
      <c r="C29076" t="n">
        <v>6</v>
      </c>
      <c r="D29076" t="inlineStr">
        <is>
          <t>Bâton Beau; Amulette du Strigide; Grésilanneau; Bracelet du Piloztère; Bouclier du Stalak; Ceintacé; Maskrobe; Cape Reski; Bottes du Strigide; Dofus Pourpre; Dofus Nébuleux; Chanceux majeur; Enragé majeur; Robuste majeur; Vigoureux majeur; Volkorne Pourpre et Indigo</t>
        </is>
      </c>
    </row>
    <row r="29077">
      <c r="A29077" t="inlineStr">
        <is>
          <t>Air Esq Pa</t>
        </is>
      </c>
      <c r="B29077">
        <f>HYPERLINK("https://www.dofusbook.net/fr/equipement/3976845-air-esq-pa/objets", "link")</f>
        <v/>
      </c>
      <c r="C29077" t="n">
        <v>2</v>
      </c>
      <c r="D29077" t="inlineStr">
        <is>
          <t>Manthache; Collier du Valet Veinard; Anneau d'Allister; Gant du Valet Veinard; Cadran d'Air; Sangle Oriole; Couronne d'Allister; Cape de Crânonier; Bottes d'Allister; Dofus Ocre; Dofus Abyssal; Dokoko; Dofus Ivoire; Dofus Vulbis; Dofus Ébène; Chienchien Tigré</t>
        </is>
      </c>
    </row>
    <row r="29078">
      <c r="A29078" t="inlineStr">
        <is>
          <t>Anti sadi</t>
        </is>
      </c>
      <c r="B29078">
        <f>HYPERLINK("https://www.dofusbook.net/fr/equipement/3916080-anti-sadi/objets", "link")</f>
        <v/>
      </c>
      <c r="C29078" t="n">
        <v>2</v>
      </c>
      <c r="D29078" t="inlineStr">
        <is>
          <t>Pelle de la Cour Sombre; Collier du Valet Veinard; Anneau des égarés; Gant du Valet Veinard; Cadran d'Air; Protopagne; Casque des égarés; Cape du Valet Veinard; Bottes des égarés; Dofus Pourpre; Dofus Abyssal; Dokoko; Dofus Ivoire; Dofus Vulbis; Dofus Ébène; Blérodoudou</t>
        </is>
      </c>
    </row>
    <row r="29079">
      <c r="A29079" t="inlineStr">
        <is>
          <t>res fixe air</t>
        </is>
      </c>
      <c r="B29079">
        <f>HYPERLINK("https://www.dofusbook.net/fr/equipement/3534702-res-fixe-air/objets", "link")</f>
        <v/>
      </c>
      <c r="C29079" t="n">
        <v>0</v>
      </c>
      <c r="D29079" t="inlineStr">
        <is>
          <t>Arc du Chalœil; Collier de Tourthon; Anneau de Brouce; Bracelet du Piloztère; Cadran d'Air; Ceinture Gence; Coiffe du Glourséleste; Cape au Logis; Bottes de Brouce; Dokoko; Dofus Nébuleux; Dofus Ivoire; Dofus Ocre; Dofus Ébène; Muraille Air majeure; Tiwabbit Kiafin</t>
        </is>
      </c>
    </row>
    <row r="29080">
      <c r="A29080" t="inlineStr">
        <is>
          <t>Marteau Rture</t>
        </is>
      </c>
      <c r="B29080">
        <f>HYPERLINK("https://www.dofusbook.net/fr/equipement/2651700-marteau-rture/objets", "link")</f>
        <v/>
      </c>
      <c r="C29080" t="n">
        <v>2</v>
      </c>
      <c r="D29080" t="inlineStr">
        <is>
          <t>Marteau R'ture; Amulette du Cœur Saignant; Anneau Chevelu; Anneau Volkorne; Bouclier d'Ilyzaelle; Ceinture Volkorne; Masque de Koutoulou; Bravoure de Rykke Errel; Bottes du Cœur Saignant; Dofus Ocre; Dofus Ivoire; Dofus Pourpre; Dofus Ébène; Dofus Turquoise; Dofus Abyssal; Dragodinde Ivoire et Pourpre</t>
        </is>
      </c>
    </row>
    <row r="29081">
      <c r="A29081" t="inlineStr">
        <is>
          <t>test res crit</t>
        </is>
      </c>
      <c r="B29081">
        <f>HYPERLINK("https://www.dofusbook.net/fr/equipement/4319390-test-res-crit/objets", "link")</f>
        <v/>
      </c>
      <c r="C29081" t="n">
        <v>1</v>
      </c>
      <c r="D29081" t="inlineStr">
        <is>
          <t>Dagues de Srambad; Amulette de Pol Ouatnos; Anneau en Grithril; Goulano; Bouclier Bontarien; Ceinture de la Reine des Voleurs; Coiffe de la Reine des Voleurs; Cape au Logis; Baleinabottes; Dofus Ivoire; Dofus Émeraude; Dofus Ocre; Dofus des Glaces; Fortification majeure; Bastion majeur; Volkorne Prune</t>
        </is>
      </c>
    </row>
    <row r="29082">
      <c r="A29082" t="inlineStr">
        <is>
          <t>Do Pou 2.48</t>
        </is>
      </c>
      <c r="B29082">
        <f>HYPERLINK("https://www.dofusbook.net/fr/equipement/3592636-do-pou-2-48/objets", "link")</f>
        <v/>
      </c>
      <c r="C29082" t="n">
        <v>5</v>
      </c>
      <c r="D29082" t="inlineStr">
        <is>
          <t>Arc du Chalœil; Torquistik; Bague Instable; Bague Trithon; Bouclier précieux; Ceinture Gence; Casque Dragoeuf; Cape Solution; Bottes du Cul Botté; Dofus Abyssal; Dofus Ivoire; Dofus Émeraude; Bousculeur majeur; Culbuteur majeur; Culbuteur; Balafreux</t>
        </is>
      </c>
    </row>
    <row r="29083">
      <c r="A29083" t="inlineStr">
        <is>
          <t>Iop M 200</t>
        </is>
      </c>
      <c r="B29083">
        <f>HYPERLINK("https://www.dofusbook.net/fr/equipement/4197842-iop-m-200/objets", "link")</f>
        <v/>
      </c>
      <c r="C29083" t="n">
        <v>4</v>
      </c>
      <c r="D29083" t="inlineStr">
        <is>
          <t>Arc Volkorne; Amulette du Cœur Saignant; Anneau Volkorne; Bague Trithon; Quatre-feuilles; Ceinture Volkorne; Masque Trithon; Cape du Cœur Saignant; Bottes du Cœur Saignant; Dofus Turquoise; Dofus Pourpre; Dofus Ocre; Dofus des Glaces; Dofus Vulbis; Dofus Nébuleux; Kokulte</t>
        </is>
      </c>
    </row>
    <row r="29084">
      <c r="A29084" t="inlineStr">
        <is>
          <t>Ret-PM</t>
        </is>
      </c>
      <c r="B29084">
        <f>HYPERLINK("https://www.dofusbook.net/fr/equipement/1095966-ret-pm/objets", "link")</f>
        <v/>
      </c>
      <c r="C29084" t="n">
        <v>3</v>
      </c>
      <c r="D29084" t="inlineStr">
        <is>
          <t>Bâtonnet Ronien; Amulette Hale; Alliance Gloursonne; Anneau de la Fuji Givrefoux; Bouclier cubiste; Ceinture Instable; Maskrobe; Cape de Léthaline; Chaussures Face; Temporiseur majeur; Remueur; Entraveur; Ralentisseur majeur; Temporiseur; Entraveur majeur; Volkorne Turquoise</t>
        </is>
      </c>
    </row>
    <row r="29085">
      <c r="A29085" t="inlineStr">
        <is>
          <t>Terre-Do pou</t>
        </is>
      </c>
      <c r="B29085">
        <f>HYPERLINK("https://www.dofusbook.net/fr/equipement/3614579-terre-do-pou/objets", "link")</f>
        <v/>
      </c>
      <c r="C29085" t="n">
        <v>4</v>
      </c>
      <c r="D29085" t="inlineStr">
        <is>
          <t>Arc du Chalœil; Amulette Luminescente; Bague Trithon; Anneau Chevelu; Bouclier Taverne; Ceinture Gence; Masque de Koutoulou; Cape au Logis; Bottes Trithon; Dofus Pourpre; Dofus Abyssal; Dofus Ivoire; Bousculeur majeur; Culbuteur majeur; Enragé majeur; Black Tiwabbit</t>
        </is>
      </c>
    </row>
    <row r="29086">
      <c r="A29086" t="inlineStr">
        <is>
          <t>Full Terre</t>
        </is>
      </c>
      <c r="B29086">
        <f>HYPERLINK("https://www.dofusbook.net/fr/equipement/4134015-full-terre/objets", "link")</f>
        <v/>
      </c>
      <c r="C29086" t="n">
        <v>6</v>
      </c>
      <c r="D29086" t="inlineStr">
        <is>
          <t>Lav'Hache; Amulette du Strigide; Anneau Crustique; Anneau Chevelu; Bouclier d'Ilyzaelle; Ceinture Gence; Masque de Koutoulou; Cape au Logis; Bottes du Strigide; Dofus Pourpre; Dofus Ivoire; Dofus Turquoise; Dofus Abyssal; Enragé majeur; Vigoureux majeur; Dragodinde Ivoire et Pourpre</t>
        </is>
      </c>
    </row>
    <row r="29087">
      <c r="A29087" t="inlineStr">
        <is>
          <t>Koly Terre</t>
        </is>
      </c>
      <c r="B29087">
        <f>HYPERLINK("https://www.dofusbook.net/fr/equipement/3848271-koly-terre/objets", "link")</f>
        <v/>
      </c>
      <c r="C29087" t="n">
        <v>64</v>
      </c>
      <c r="D29087" t="inlineStr">
        <is>
          <t>Marteau R'ture; Amulette du Cœur Saignant; Anneau Chevelu; Anneau Volkorne; Bouclier d'Ilyzaelle; Ceinture Volkorne; Masque de Koutoulou; Cape au Logis; Bottes du Cœur Saignant; Dofus Ocre; Dofus Abyssal; Dofus Turquoise; Dofus Ivoire; Dofus des Glaces; Dofus Pourpre; Dragodinde Ivoire et Pourpre</t>
        </is>
      </c>
    </row>
    <row r="29088">
      <c r="A29088" t="inlineStr">
        <is>
          <t>Do-Crit</t>
        </is>
      </c>
      <c r="B29088">
        <f>HYPERLINK("https://www.dofusbook.net/fr/equipement/4104939-do-crit/objets", "link")</f>
        <v/>
      </c>
      <c r="C29088" t="n">
        <v>0</v>
      </c>
      <c r="D29088" t="inlineStr">
        <is>
          <t>Arc Nécrotique; Amulette Volkorne; Anneau Volkorne; Bague Trithon; Quatre-feuilles; Ceintacé; Masque Trithon; Cape de la Dame du Hasard; Bottes de la Dame du Hasard; Dofus Turquoise; Dofus Abyssal; Dofus Ocre; Dofus Ivoire; Dofus Vulbis; Dofus des Glaces; Kokulte</t>
        </is>
      </c>
    </row>
    <row r="29089">
      <c r="A29089" t="inlineStr">
        <is>
          <t>Anti Sram Air</t>
        </is>
      </c>
      <c r="B29089">
        <f>HYPERLINK("https://www.dofusbook.net/fr/equipement/3942553-anti-sram-air-/objets", "link")</f>
        <v/>
      </c>
      <c r="C29089" t="n">
        <v>11</v>
      </c>
      <c r="D29089" t="inlineStr">
        <is>
          <t>Arc du Chalœil; Amulette du Kamasterisk; Bague Gloursonne; Alliance Gloursonne; Cadran d'Air; Sangle de Sylargh; Capuche de Sylargh; Cape du Kamasterisk; Bottes du Kamasterisk; Dofus Pourpre; Dofus Ivoire; Dofus Vulbis; Dofus Abyssal; Dokoko; Dofus Ocre; Tiwabbit Kiafin</t>
        </is>
      </c>
    </row>
    <row r="29090">
      <c r="A29090" t="inlineStr">
        <is>
          <t>Do Crit</t>
        </is>
      </c>
      <c r="B29090">
        <f>HYPERLINK("https://www.dofusbook.net/fr/equipement/3944513-do-crit/objets", "link")</f>
        <v/>
      </c>
      <c r="C29090" t="n">
        <v>1</v>
      </c>
      <c r="D29090" t="inlineStr">
        <is>
          <t>Héqache; Amulette du Strigide; Bague Gloursonne; Bague Trithon; Cadran d'Eau; Ceinture du Strigide; Masque Trithon; Voile d'encre; Bottes Trithon; Dofus Turquoise; Dofus Abyssal; Dofus Ocre; Dofus Ivoire; Dofus Vulbis; Dofus Pourpre; Kokulte</t>
        </is>
      </c>
    </row>
    <row r="29091">
      <c r="A29091" t="inlineStr">
        <is>
          <t>Test Eau</t>
        </is>
      </c>
      <c r="B29091">
        <f>HYPERLINK("https://www.dofusbook.net/fr/equipement/3891916-test-eau/objets", "link")</f>
        <v/>
      </c>
      <c r="C29091" t="n">
        <v>3</v>
      </c>
      <c r="D29091" t="inlineStr">
        <is>
          <t>Baguette Héroclite; Amulette d'Ilyzaelle; Anneau Volkorne; Alliance Gloursonne; Bouclier d'Ilyzaelle; Ceinture Volkorne; Casque d'Ilyzaelle; Cape de l'Œil Attentif; Bottes du Sinistrofu; Dofus Pourpre; Dofus Abyssal; Dofus Ocre; Dofus Ivoire; Dofus Vulbis; Dofus Émeraude; Kanigloups</t>
        </is>
      </c>
    </row>
    <row r="29092">
      <c r="A29092" t="inlineStr">
        <is>
          <t>Anti Roub</t>
        </is>
      </c>
      <c r="B29092">
        <f>HYPERLINK("https://www.dofusbook.net/fr/equipement/3979617-anti-roub/objets", "link")</f>
        <v/>
      </c>
      <c r="C29092" t="n">
        <v>0</v>
      </c>
      <c r="D29092" t="inlineStr">
        <is>
          <t>Arc du Chalœil; Collier de Tourthon; Alliance Gloursonne; Bague Gloursonne; Bouclier du Cycloïde; Ceinture de la Reine des Voleurs; Coiffe de la Reine des Voleurs; Cape au Logis; Baleinabottes; Dofus Ivoire; Dofus Abyssal; Dokoko; Dofus Pourpre; Dofus des Glaces; Dofus Ocre; Bulbisou</t>
        </is>
      </c>
    </row>
    <row r="29093">
      <c r="A29093" t="inlineStr">
        <is>
          <t>Test Esq PM</t>
        </is>
      </c>
      <c r="B29093">
        <f>HYPERLINK("https://www.dofusbook.net/fr/equipement/3884385-test-esq-pm/objets", "link")</f>
        <v/>
      </c>
      <c r="C29093" t="n">
        <v>10</v>
      </c>
      <c r="D29093" t="inlineStr">
        <is>
          <t>Pelle de la Cour Sombre; Collier du Valet Veinard; Anneau des égarés; Gant du Valet Veinard; Cadran d'Air; Protopagne; Casque des égarés; Cape du Valet Veinard; Bottes des égarés; Dofus Émeraude; Dofus des Glaces; Dofus Vulbis; Dofus Abyssal; Dofus Pourpre; Dofus Ivoire; Blérodoudou</t>
        </is>
      </c>
    </row>
    <row r="29094">
      <c r="A29094" t="inlineStr">
        <is>
          <t>Test Esq PA</t>
        </is>
      </c>
      <c r="B29094">
        <f>HYPERLINK("https://www.dofusbook.net/fr/equipement/3889251-test-esq-pa/objets", "link")</f>
        <v/>
      </c>
      <c r="C29094" t="n">
        <v>3</v>
      </c>
      <c r="D29094" t="inlineStr">
        <is>
          <t>Pelle de la Cour Sombre; Collier Rophante; Alliance Gloursonne; Gant du Valet Veinard; Cadran d'Air; Sangle Oriole; Dorabysses; Cape de Crânonier; Palmes Trithons; Dofus Abyssal; Dofus Ivoire; Dofus Ocre; Cascadeur majeur; Chienchien Tigré</t>
        </is>
      </c>
    </row>
    <row r="29095">
      <c r="A29095" t="inlineStr">
        <is>
          <t>Mode Anti Iop</t>
        </is>
      </c>
      <c r="B29095">
        <f>HYPERLINK("https://www.dofusbook.net/fr/equipement/3685565-mode-anti-iop/objets", "link")</f>
        <v/>
      </c>
      <c r="C29095" t="n">
        <v>14</v>
      </c>
      <c r="D29095" t="inlineStr">
        <is>
          <t>Pelle de la Cour Sombre; Collier du Valet Veinard; Alliance Gloursonne; Gant du Valet Veinard; Bouclier de Solar; Menoture; Dorabysses; Cape du Valet Veinard; Palmes Trithons; Dofus Vulbis; Dofus Ivoire; Dokoko; Dofus Abyssal; Dofus Émeraude; Dofus Forgelave; Brâkarien</t>
        </is>
      </c>
    </row>
    <row r="29096">
      <c r="A29096" t="inlineStr">
        <is>
          <t>Koly Feu</t>
        </is>
      </c>
      <c r="B29096">
        <f>HYPERLINK("https://www.dofusbook.net/fr/equipement/3711068-koly-feu/objets", "link")</f>
        <v/>
      </c>
      <c r="C29096" t="n">
        <v>5</v>
      </c>
      <c r="D29096" t="inlineStr">
        <is>
          <t>Arc corrompu; Amulette de Nileza; Anneauræus; Anneauræus; Bouclier du Stalak; Ceinture de Vortex; Heaume Oplate; Cape Ardente; Chaussures Ardentes; Dofus Abyssal; Dofus Pourpre; Dofus Vulbis; Dofus Ivoire; Dofus Ocre; Érudit majeur; Dragodinde Ivoire et Orchidée</t>
        </is>
      </c>
    </row>
    <row r="29097">
      <c r="A29097" t="inlineStr">
        <is>
          <t>Test Multi</t>
        </is>
      </c>
      <c r="B29097">
        <f>HYPERLINK("https://www.dofusbook.net/fr/equipement/3920787-test-multi/objets", "link")</f>
        <v/>
      </c>
      <c r="C29097" t="n">
        <v>3</v>
      </c>
      <c r="D29097" t="inlineStr">
        <is>
          <t>Arc Honte; Amulette Volkorne; Alliance Gloursonne; Anneau Volkorne; Cadran de Terre; Ceinture de l'Esprit Salvateur; Masque de l'Esprit Salvateur; Voile d'encre; Bottes de l'Esprit Salvateur; Dofus Vulbis; Dofus des Glaces; Dofus Pourpre; Dofus Ivoire; Dofus Abyssal; Dofus Ocre; Dragodinde Ivoire et Orchidée</t>
        </is>
      </c>
    </row>
    <row r="29098">
      <c r="A29098" t="inlineStr">
        <is>
          <t>Air</t>
        </is>
      </c>
      <c r="B29098">
        <f>HYPERLINK("https://www.dofusbook.net/fr/equipement/3913311-air/objets", "link")</f>
        <v/>
      </c>
      <c r="C29098" t="n">
        <v>2</v>
      </c>
      <c r="D29098" t="inlineStr">
        <is>
          <t>Manthache; Collier du Valet Veinard; Gant du Valet Veinard; Anneau d'Allister; Bouclier du Stalak; Menoture; Couronne d'Allister; Cape Routh; Bottes d'Allister; Dofus Abyssal; Dofus des Glaces; Dofus Vulbis; Dofus Ocre; Dofus Pourpre; Equilibriste majeur; Blérodoudou</t>
        </is>
      </c>
    </row>
    <row r="29099">
      <c r="A29099" t="inlineStr">
        <is>
          <t>Mode feu</t>
        </is>
      </c>
      <c r="B29099">
        <f>HYPERLINK("https://www.dofusbook.net/fr/equipement/3080977-mode-feu/objets", "link")</f>
        <v/>
      </c>
      <c r="C29099" t="n">
        <v>6</v>
      </c>
      <c r="D29099" t="inlineStr">
        <is>
          <t>Arc corrompu; Amulette Volkorne; Anneauræus; Anneauræus; Bouclier du Stalak; Ceinture Volkorne; Heaume Oplate; Voile d'encre; Bottes Innommables; Dofus Vulbis; Dofus Ivoire; Dofus Turquoise; Dofus Ocre; Dofus Abyssal; Érudit majeur; Bisouglours</t>
        </is>
      </c>
    </row>
    <row r="29100">
      <c r="A29100" t="inlineStr">
        <is>
          <t>Test PO</t>
        </is>
      </c>
      <c r="B29100">
        <f>HYPERLINK("https://www.dofusbook.net/fr/equipement/3897607-test-po/objets", "link")</f>
        <v/>
      </c>
      <c r="C29100" t="n">
        <v>1</v>
      </c>
      <c r="D29100" t="inlineStr">
        <is>
          <t>Hache Ériphe; Amulette du Cœur Vaillant; Bracelet du Piloztère; Anneau Crustique; Sept ans de malheur; Menoture; Chapoulpe; Voile d'encre; Bottes du Cœur Vaillant; Dofus Pourpre; Dofus Ocre; Dofus Émeraude; Dofus Abyssal; Étourdisseur majeur; Enragé majeur; Muldo Ebène et Pourpre</t>
        </is>
      </c>
    </row>
    <row r="29101">
      <c r="A29101" t="inlineStr">
        <is>
          <t>Proto Duo</t>
        </is>
      </c>
      <c r="B29101">
        <f>HYPERLINK("https://www.dofusbook.net/fr/equipement/3810561-proto-duo/objets", "link")</f>
        <v/>
      </c>
      <c r="C29101" t="n">
        <v>4</v>
      </c>
      <c r="D29101" t="inlineStr">
        <is>
          <t>Lance Horselé; Collier Rophante; Alliance Brûlâme; Alliance Gloursonne; Écorce de Brouce; Menoture; Chapeau de Tournoyé; Cape de Crânonier; Palmes Trithons; Dofus Ivoire; Dofus Émeraude; Cascadeur majeur; Carapace Feu majeur; Remueur; Carapace Air majeur; Platypus</t>
        </is>
      </c>
    </row>
    <row r="29102">
      <c r="A29102" t="inlineStr">
        <is>
          <t>Arc Chaloeil</t>
        </is>
      </c>
      <c r="B29102">
        <f>HYPERLINK("https://www.dofusbook.net/fr/equipement/937994-arc-chaloeil/objets", "link")</f>
        <v/>
      </c>
      <c r="C29102" t="n">
        <v>1</v>
      </c>
      <c r="D29102" t="inlineStr">
        <is>
          <t>Arc du Chalœil; Amulette du Strigide; Anneau Chevelu; Bague Gloursonne; Quatre-feuilles; Ceinture du Strigide; Masque de Koutoulou; Cape au Logis; Bottes de la Cour Sombre; Dofus Turquoise; Dofus Ocre; Dofus Pourpre; Dofus des Glaces; Dokoko; Dofus Abyssal; Pioute vert</t>
        </is>
      </c>
    </row>
    <row r="29103">
      <c r="A29103" t="inlineStr">
        <is>
          <t>Mode Air 2.48</t>
        </is>
      </c>
      <c r="B29103">
        <f>HYPERLINK("https://www.dofusbook.net/fr/equipement/3681533-mode-air-2-48/objets", "link")</f>
        <v/>
      </c>
      <c r="C29103" t="n">
        <v>1</v>
      </c>
      <c r="D29103" t="inlineStr">
        <is>
          <t>Manthache; Collier du Valet Veinard; Alliance Gloursonne; Gant du Valet Veinard; Cadran d'Air; Menoture; Couronne d'Allister; Cape du Valet Veinard; Palmes Trithons; Dofus Ivoire; Dofus des Glaces; Dofus Ocre; Dofus Pourpre; Dofus Abyssal; Dofus Vulbis; Blérodoudou</t>
        </is>
      </c>
    </row>
    <row r="29104">
      <c r="A29104" t="inlineStr">
        <is>
          <t>Drop</t>
        </is>
      </c>
      <c r="B29104">
        <f>HYPERLINK("https://www.dofusbook.net/fr/equipement/3836227-drop/objets", "link")</f>
        <v/>
      </c>
      <c r="C29104" t="n">
        <v>4</v>
      </c>
      <c r="D29104" t="inlineStr">
        <is>
          <t>Rapière aux Glyphes; Kralamansion; Anneau Tique; Alliance Gloursonne; Quatre-feuilles; Pagne du Rykaon; Kidibonnet; Cape du Sinistrofu; Bottes du Sinistrofu; Dokille; Dofus Kaliptus; Chanceux majeur; Taquin majeur; Nomade; Remueur; Pykur</t>
        </is>
      </c>
    </row>
    <row r="29105">
      <c r="A29105" t="inlineStr">
        <is>
          <t>Mode PVP</t>
        </is>
      </c>
      <c r="B29105">
        <f>HYPERLINK("https://www.dofusbook.net/fr/equipement/3650920-mode-pvp/objets", "link")</f>
        <v/>
      </c>
      <c r="C29105" t="n">
        <v>3</v>
      </c>
      <c r="D29105" t="inlineStr">
        <is>
          <t>Arc de Koutoulou; Amulette d'Ilyzaelle; Bague Gloursonne; Alliance Gloursonne; Bouclier du Stalak; Ceinture de la Reine des Voleurs; Casque d'Ilyzaelle; Cape Matelassée; Bottes de la Reine des Voleurs; Dofus Pourpre; Dofus Abyssal; Dofus des Glaces; Dofus Ivoire; Dofus Vulbis; Dofus Ocre; Dragodinde Ebène et Ivoire</t>
        </is>
      </c>
    </row>
    <row r="29106">
      <c r="A29106" t="inlineStr">
        <is>
          <t>Tank 2.47</t>
        </is>
      </c>
      <c r="B29106">
        <f>HYPERLINK("https://www.dofusbook.net/fr/equipement/3071604-tank-2-47/objets", "link")</f>
        <v/>
      </c>
      <c r="C29106" t="n">
        <v>11</v>
      </c>
      <c r="D29106" t="inlineStr">
        <is>
          <t>Pelle de la Cour Sombre; Collier Rophante; Alliance Gloursonne; Bague Trithon; Bouclier d'Anerice; Ceinture de Kongoku; Casque Dragoeuf; Cape d'Anerice; Pataugastrique; Dofus Abyssal; Dofus Émeraude; Dokoko; Miraculé majeur; Obstructeur majeur; Remueur; Platypus</t>
        </is>
      </c>
    </row>
    <row r="29107">
      <c r="A29107" t="inlineStr">
        <is>
          <t>Terre pvm</t>
        </is>
      </c>
      <c r="B29107">
        <f>HYPERLINK("https://www.dofusbook.net/fr/equipement/2464418-terre-pvm/objets", "link")</f>
        <v/>
      </c>
      <c r="C29107" t="n">
        <v>5</v>
      </c>
      <c r="D29107" t="inlineStr">
        <is>
          <t>Arc du Chalœil; Collier de Tourthon; Anneau de Brouce; Anneau du Comte Harebourg; Quatre-feuilles; Ceinture de Brouce; Coiffe du Comte Harebourg; Cape au Logis; Bottes du Comte Harebourg; Dofus Vulbis; Dofus Ocre; Dofus Pourpre; Dofus des Glaces; Dofus Turquoise; Forcené majeur; Bulbisou</t>
        </is>
      </c>
    </row>
    <row r="29108">
      <c r="A29108" t="inlineStr">
        <is>
          <t>test</t>
        </is>
      </c>
      <c r="B29108">
        <f>HYPERLINK("https://www.dofusbook.net/fr/equipement/3156322-test/objets", "link")</f>
        <v/>
      </c>
      <c r="C29108" t="n">
        <v>0</v>
      </c>
      <c r="D29108" t="inlineStr">
        <is>
          <t>Arc Hétype; Talisman Igans; Anneauræus; Anneauræus; Bouclier du Stalak; Ceintrigue; Heaume Oplate; Cape de Diondin; Bottes Innommables; Dofus des Glaces; Nomade; Érudit majeur; Saccageur Feu majeur; Dévastateur Feu majeur; Miraculé majeur; Dragodinde Orchidée</t>
        </is>
      </c>
    </row>
    <row r="29109">
      <c r="A29109" t="inlineStr">
        <is>
          <t>Feu</t>
        </is>
      </c>
      <c r="B29109">
        <f>HYPERLINK("https://www.dofusbook.net/fr/equipement/1820226-feu-/objets", "link")</f>
        <v/>
      </c>
      <c r="C29109" t="n">
        <v>2</v>
      </c>
      <c r="D29109" t="inlineStr">
        <is>
          <t>Arc corrompu; Pendentif mignon de Koutoulou; Anneau Rifique; Anneauræus; Bouclier du Stalak; Protopagne; Heaume Oplate; Voile d'encre; Bottes Innommables; Dofus Émeraude; Dofus Ocre; Dofus Abyssal; Dofus Pourpre; Dofus Ivoire; Érudit majeur; Dragodinde Amande et Orchidée</t>
        </is>
      </c>
    </row>
    <row r="29110">
      <c r="A29110" t="inlineStr">
        <is>
          <t>Iop F 200</t>
        </is>
      </c>
      <c r="B29110">
        <f>HYPERLINK("https://www.dofusbook.net/fr/equipement/3509410-iop-f-200/objets", "link")</f>
        <v/>
      </c>
      <c r="C29110" t="n">
        <v>1</v>
      </c>
      <c r="D29110" t="inlineStr">
        <is>
          <t>Lav'Hache; Amulette Luminescente; Bague Trithon; Bague Instable; Bouclier précieux; Ceinture Luminescente; Casque Dragoeuf; Cape Solution; Bottistik; Dofus Ivoire; Dofus Émeraude; Dofus Abyssal; Bousculeur majeur; Miraculé majeur; Culbuteur majeur; Volkorne Rubis et Roux</t>
        </is>
      </c>
    </row>
    <row r="29111">
      <c r="A29111" t="inlineStr">
        <is>
          <t>Do-Pou</t>
        </is>
      </c>
      <c r="B29111">
        <f>HYPERLINK("https://www.dofusbook.net/fr/equipement/1955911-do-pou/objets", "link")</f>
        <v/>
      </c>
      <c r="C29111" t="n">
        <v>2</v>
      </c>
      <c r="D29111" t="inlineStr">
        <is>
          <t>Bague Trithon; Bouclier précieux; Sangle Ouare; Masque d'Anerice; Cape d'Anerice; Pataugastrique; Dofus Émeraude; Dofus Abyssal; Remueur; Culbuteur majeur; Miraculé majeur; Bousculeur majeur</t>
        </is>
      </c>
    </row>
    <row r="29112">
      <c r="A29112" t="inlineStr">
        <is>
          <t>Eratz</t>
        </is>
      </c>
      <c r="B29112">
        <f>HYPERLINK("https://www.dofusbook.net/fr/equipement/1285299-eratz/objets", "link")</f>
        <v/>
      </c>
      <c r="C29112" t="n">
        <v>0</v>
      </c>
      <c r="D29112" t="inlineStr">
        <is>
          <t>La Baguette des Limbes; Talisman d'Elya Wood; Gelano; Alliance d'Elya Wood; String Automnal du Chêne Mou; Coiffe du Chêne Mou; Cape Houte; Bottes Horchons; Dofus Cawotte</t>
        </is>
      </c>
    </row>
    <row r="29113">
      <c r="A29113" t="inlineStr">
        <is>
          <t>res</t>
        </is>
      </c>
      <c r="B29113">
        <f>HYPERLINK("https://www.dofusbook.net/fr/equipement/3155862-res/objets", "link")</f>
        <v/>
      </c>
      <c r="C29113" t="n">
        <v>0</v>
      </c>
      <c r="D29113" t="inlineStr">
        <is>
          <t>Rouleau à Pâtisserie d'Aermyne; Talisman Glouti; Anneau Tique; Anneau de XLII; Bouclier d'Anerice; Ceinture de XLII; Masque d'Anerice; Cape d'Anerice; Bottes de XLII; Dofus Émeraude; Dofus Ivoire; Dofus des Veilleurs; Dofus Ocre; Dokoko; Dofus Abyssal; Dragodinde Prune et Emeraude</t>
        </is>
      </c>
    </row>
    <row r="29114">
      <c r="A29114" t="inlineStr">
        <is>
          <t>pvm</t>
        </is>
      </c>
      <c r="B29114">
        <f>HYPERLINK("https://www.dofusbook.net/fr/equipement/3071638-pvm/objets", "link")</f>
        <v/>
      </c>
      <c r="C29114" t="n">
        <v>0</v>
      </c>
      <c r="D29114" t="inlineStr">
        <is>
          <t>Epée Gloursonne; Amulette du Strigide; Bague Gloursonne; Alliance Gloursonne; Quatre-feuilles; Ceinture du Strigide; Casque du Chalœil; Cape du Chalœil; Bottes du Chalœil; Dolmanax; Dofus Ocre; Dofus Pourpre; Dofus Nébuleux; Dofus Turquoise; Dofus des Glaces; Muldo Prune et Emeraude</t>
        </is>
      </c>
    </row>
    <row r="29115">
      <c r="A29115" t="inlineStr">
        <is>
          <t>Terre-Initiative</t>
        </is>
      </c>
      <c r="B29115">
        <f>HYPERLINK("https://www.dofusbook.net/fr/equipement/3016373-terre-initiative/objets", "link")</f>
        <v/>
      </c>
      <c r="C29115" t="n">
        <v>9</v>
      </c>
      <c r="D29115" t="inlineStr">
        <is>
          <t>Bêche Asse; Amulette du Strigide; Alliance Brûlâme; Anneau Chevelu; Bouclier Taverne; Ceinture de la Cour Sombre; Masque de Koutoulou; Cape au Logis; Bottes de la Cour Sombre; Dofus Pourpre; Dofus Émeraude; Dofus Abyssal; Dolmanax; Remueur; Enragé majeur; El Scarador</t>
        </is>
      </c>
    </row>
    <row r="29116">
      <c r="A29116" t="inlineStr">
        <is>
          <t>Terre ret PA</t>
        </is>
      </c>
      <c r="B29116">
        <f>HYPERLINK("https://www.dofusbook.net/fr/equipement/2802049-terre-ret-pa/objets", "link")</f>
        <v/>
      </c>
      <c r="C29116" t="n">
        <v>3</v>
      </c>
      <c r="D29116" t="inlineStr">
        <is>
          <t>Lav'Hache; Amulette du Strigide; Anneau Crustique; Anneau Crustique; Sept ans de malheur; Ceintouse; Masque de Koutoulou; Cape du Cœur Vaillant; Tentassons; Dofus Ocre; Dofus des Glaces; Dofus Émeraude; Dofus Abyssal; Étourdisseur majeur; Enragé majeur; Muldo Ebène et Pourpre</t>
        </is>
      </c>
    </row>
    <row r="29117">
      <c r="A29117" t="inlineStr">
        <is>
          <t>Eau-Air</t>
        </is>
      </c>
      <c r="B29117">
        <f>HYPERLINK("https://www.dofusbook.net/fr/equipement/2231063-eau-air/objets", "link")</f>
        <v/>
      </c>
      <c r="C29117" t="n">
        <v>0</v>
      </c>
      <c r="D29117" t="inlineStr">
        <is>
          <t>Epée Loponèze; Amulette d'Ilyzaelle; Alliance Gloursonne; Anneau Tique; Bouclier du Stalak; Ceinture Voldelor; Casque d'Ilyzaelle; Cape Matelassée; Bottes de la Reine des Voleurs; Dofus des Glaces; Sanguinaire majeur; Cascadeur majeur; Remueur; Chanceux majeur; Muldo Ebène et Pourpre</t>
        </is>
      </c>
    </row>
    <row r="29118">
      <c r="A29118" t="inlineStr">
        <is>
          <t>Eau</t>
        </is>
      </c>
      <c r="B29118">
        <f>HYPERLINK("https://www.dofusbook.net/fr/equipement/1938230-eau/objets", "link")</f>
        <v/>
      </c>
      <c r="C29118" t="n">
        <v>0</v>
      </c>
      <c r="D29118" t="inlineStr"/>
    </row>
    <row r="29119">
      <c r="A29119" t="inlineStr">
        <is>
          <t>Vortex 199-2</t>
        </is>
      </c>
      <c r="B29119">
        <f>HYPERLINK("https://www.dofusbook.net/fr/equipement/1818448-vortex-199-2/objets", "link")</f>
        <v/>
      </c>
      <c r="C29119" t="n">
        <v>0</v>
      </c>
      <c r="D29119" t="inlineStr">
        <is>
          <t>Hachoirs de Viandargh; Amulette Hale; Alliance de Guten Tak; Anneau du Professeur Xa; Roncier; Ceinture de Klime; Masque de Klime; Cape Matelassée; Bottes Nécrotiques; Cascadeur majeur; Déserteur majeur; Fuyard majeur; Obstructeur majeur; Fonceur majeur; Remueur; Muldo Roux et Amande</t>
        </is>
      </c>
    </row>
    <row r="29120">
      <c r="A29120" t="inlineStr">
        <is>
          <t>Vortex 200 fuites</t>
        </is>
      </c>
      <c r="B29120">
        <f>HYPERLINK("https://www.dofusbook.net/fr/equipement/1778658-vortex-200-fuites/objets", "link")</f>
        <v/>
      </c>
      <c r="C29120" t="n">
        <v>0</v>
      </c>
      <c r="D29120" t="inlineStr">
        <is>
          <t>L'Épée Nice; Amulette de l'Indicible; Alliance Gloursonne; Pikano; Roncier; Ceinture de l'Indicible; Casque Dragoeuf; Cape Matelassée; Baleinabottes; Dofus Émeraude; Acrobate majeur; Miraculé majeur; Obstructeur majeur; Cascadeur majeur; Déserteur majeur; Muldo Roux et Amande</t>
        </is>
      </c>
    </row>
    <row r="29121">
      <c r="A29121" t="inlineStr">
        <is>
          <t>Vortex 300 fuites</t>
        </is>
      </c>
      <c r="B29121">
        <f>HYPERLINK("https://www.dofusbook.net/fr/equipement/1525509-vortex-300-fuites/objets", "link")</f>
        <v/>
      </c>
      <c r="C29121" t="n">
        <v>74</v>
      </c>
      <c r="D29121" t="inlineStr">
        <is>
          <t>Manthache; Amulette de l'Indicible; Alliance Gloursonne; Alliance Brûlâme; Roncier; Ceinture de l'Indicible; Masque de Klime; Cape Matelassée; Baleinabottes; Dofus Émeraude; Cascadeur majeur; Déserteur; Déserteur majeur; Fuyard majeur; Obstructeur majeur; Muldo Roux et Amande</t>
        </is>
      </c>
    </row>
    <row r="29122">
      <c r="A29122" t="inlineStr">
        <is>
          <t>Vortex 199</t>
        </is>
      </c>
      <c r="B29122">
        <f>HYPERLINK("https://www.dofusbook.net/fr/equipement/1770536-vortex-199/objets", "link")</f>
        <v/>
      </c>
      <c r="C29122" t="n">
        <v>0</v>
      </c>
      <c r="D29122" t="inlineStr">
        <is>
          <t>Arc Hétype; Amulette de Nileza; Gelano; Anneau Tamie; Quatre-feuilles; Ceinture Hyolite; Chapeau de Dremoan; Cape de Dremoan; Pantoufles Émar; Astucieux majeur; Nomade; Saccageur Feu majeur; Remueur; Érudit majeur; Dévastateur Feu majeur; Brûlih</t>
        </is>
      </c>
    </row>
    <row r="29123">
      <c r="A29123" t="inlineStr">
        <is>
          <t>Vortex 199</t>
        </is>
      </c>
      <c r="B29123">
        <f>HYPERLINK("https://www.dofusbook.net/fr/equipement/1770484-vortex-199/objets", "link")</f>
        <v/>
      </c>
      <c r="C29123" t="n">
        <v>0</v>
      </c>
      <c r="D29123" t="inlineStr">
        <is>
          <t>Rouleau à Pâtisserie d'Aermyne; Amulette du Glourséleste; Anneau de XLII; Gelano; Roncier; Ceinture de XLII; Coiffe d'Aermyne; Cape d'Aermyne; Bottes de XLII; Dokoko; Fuyard; Tacleur majeur; Précurseur majeur; Fuyard majeur; Survivant majeur; Muldo Roux et Amande</t>
        </is>
      </c>
    </row>
    <row r="29124">
      <c r="A29124" t="inlineStr">
        <is>
          <t>Chaloeil</t>
        </is>
      </c>
      <c r="B29124">
        <f>HYPERLINK("https://www.dofusbook.net/fr/equipement/1581643-chaloeil/objets", "link")</f>
        <v/>
      </c>
      <c r="C29124" t="n">
        <v>1</v>
      </c>
      <c r="D29124" t="inlineStr">
        <is>
          <t>Marteau R'ture; Collier de Tourthon; Bague Gloursonne; Anneau de Brouce; Quatre-feuilles; Ceinture de Brouce; Masque de Koutoulou; Cape au Logis; Sabots Minables; Dofus Turquoise; Dofus Nébuleux; Dofus Pourpre; Forcené majeur; Vigoureux majeur; Enragé majeur; Kompost</t>
        </is>
      </c>
    </row>
    <row r="29125">
      <c r="A29125" t="inlineStr">
        <is>
          <t>Air</t>
        </is>
      </c>
      <c r="B29125">
        <f>HYPERLINK("https://www.dofusbook.net/fr/equipement/1525400-air/objets", "link")</f>
        <v/>
      </c>
      <c r="C29125" t="n">
        <v>1</v>
      </c>
      <c r="D29125" t="inlineStr">
        <is>
          <t>Hachoirs de Viandargh; Collier du Valet Veinard; Alliance Gloursonne; Gant du Valet Veinard; Bouclier du Stalak; Menoture; Couronne d'Allister; Cape Indescriptible; Palmes Trithons; Dofus des Glaces; Dofus Ocre; Cascadeur majeur; Saccageur Air majeur; Nomade; Dévastateur Air majeur; Siroko</t>
        </is>
      </c>
    </row>
    <row r="29126">
      <c r="A29126" t="inlineStr">
        <is>
          <t>Res crit-eau-feu-air</t>
        </is>
      </c>
      <c r="B29126">
        <f>HYPERLINK("https://www.dofusbook.net/fr/equipement/1412530-res-crit-eau-feu-air/objets", "link")</f>
        <v/>
      </c>
      <c r="C29126" t="n">
        <v>2</v>
      </c>
      <c r="D29126" t="inlineStr">
        <is>
          <t>Héqache; Torquistik; Baguistik; Goulano; Goulclier; Ceintouse; Masque de Koutoulou; Cape au Logis; Goulbottes; Dofus Pourpre; Dolmanax; Dofus Émeraude; Dofus des Glaces; Dofus Turquoise; Dofus Abyssal; Kramkram</t>
        </is>
      </c>
    </row>
    <row r="29127">
      <c r="A29127" t="inlineStr">
        <is>
          <t>Anerice</t>
        </is>
      </c>
      <c r="B29127">
        <f>HYPERLINK("https://www.dofusbook.net/fr/equipement/1410454-anerice/objets", "link")</f>
        <v/>
      </c>
      <c r="C29127" t="n">
        <v>2</v>
      </c>
      <c r="D29127" t="inlineStr">
        <is>
          <t>L'Épée Nice; Amibou; Alliance Gloursonne; Anneau de XLII; Bouclier d'Anerice; Ceinture de XLII; Masque d'Anerice; Cape d'Anerice; Bottes de XLII; Dofus Pourpre; Dofus des Glaces; Dofus Émeraude; Dolmanax; Dofus Turquoise; Dofus Ocre; Muldo Roux et Amande</t>
        </is>
      </c>
    </row>
    <row r="29128">
      <c r="A29128" t="inlineStr">
        <is>
          <t>Feu</t>
        </is>
      </c>
      <c r="B29128">
        <f>HYPERLINK("https://www.dofusbook.net/fr/equipement/1095958-feu/objets", "link")</f>
        <v/>
      </c>
      <c r="C29128" t="n">
        <v>2</v>
      </c>
      <c r="D29128" t="inlineStr">
        <is>
          <t>Arc Hétype; Amulette de Nileza; Anneau de Nidas; Anneau Tique; Bouclier cubiste; Ceinture de Vortex; Couronne de Nidas; Voile d'encre; Pantoufles Émar; Dofus Abyssal; Dofus Émeraude; Déserteur majeur; Érudit majeur; Remueur; Temporiseur majeur; Muldo Ebène et Pourpre</t>
        </is>
      </c>
    </row>
    <row r="29129">
      <c r="A29129" t="inlineStr">
        <is>
          <t>Féca F 200</t>
        </is>
      </c>
      <c r="B29129">
        <f>HYPERLINK("https://www.dofusbook.net/fr/equipement/5006343-feca-f-200/objets", "link")</f>
        <v/>
      </c>
      <c r="C29129" t="n">
        <v>0</v>
      </c>
      <c r="D29129" t="inlineStr">
        <is>
          <t>Baguette Hique; Amulette du Strigide; Lavanneau; Anneau Cryochrone; Quatre-feuilles; Ceintrigue; Kidibonnet; Cape de la Dame du Hasard; Bottes de la Dame du Hasard; Dofus Pourpre; Dofus Ocre; Dofus Turquoise; Dofus des Glaces; Nomade; Chanceux majeur</t>
        </is>
      </c>
    </row>
    <row r="29130">
      <c r="A29130" t="inlineStr">
        <is>
          <t>Féca F 200</t>
        </is>
      </c>
      <c r="B29130">
        <f>HYPERLINK("https://www.dofusbook.net/fr/equipement/5295689-feca-f-200/objets", "link")</f>
        <v/>
      </c>
      <c r="C29130" t="n">
        <v>0</v>
      </c>
      <c r="D29130" t="inlineStr">
        <is>
          <t>Hachoirs de Viandargh; Amulette du Strigide; Bracelet du Piloztère; Anneau de Padgref; Bouclier du Captain Amakna; Ceinture du Strigide; Coiffe de Padgref; Cape d'Atcham; Getas de Padgref; Dofus Pourpre; Dofus Abyssal; Dofus Turquoise; Dofus des Glaces; Dofus Ocre; Kokulte</t>
        </is>
      </c>
    </row>
    <row r="29131">
      <c r="A29131" t="inlineStr">
        <is>
          <t>Zobal M 200</t>
        </is>
      </c>
      <c r="B29131">
        <f>HYPERLINK("https://www.dofusbook.net/fr/equipement/5592383-zobal-m-200/objets", "link")</f>
        <v/>
      </c>
      <c r="C29131" t="n">
        <v>0</v>
      </c>
      <c r="D29131" t="inlineStr">
        <is>
          <t>Arc du Chalœil; Torquistik; Alliance Gloursonne; Baguistik; Bouclier précieux; Sangle Ouare; Masque d'Anerice; Cape d'Anerice; Bottistik; Dofus Ocre; Dofus Abyssal; Dofus Ivoire; Dofus Émeraude; Dofus Forgelave; Balafreux</t>
        </is>
      </c>
    </row>
    <row r="29132">
      <c r="A29132" t="inlineStr">
        <is>
          <t>Steamer F 200</t>
        </is>
      </c>
      <c r="B29132">
        <f>HYPERLINK("https://www.dofusbook.net/fr/equipement/5376218-steamer-f-200/objets", "link")</f>
        <v/>
      </c>
      <c r="C29132" t="n">
        <v>0</v>
      </c>
      <c r="D29132" t="inlineStr">
        <is>
          <t>Arc Nécrotique; Amulette Volkorne; Bracelet du Piloztère; Anneau Volkorne; Quatre-feuilles; Ceinture Volkorne; Némès de Tal Kasha; Chevelure de Tal Kasha; Sandales de Tal Kasha; Dofus Ocre; Dofus des Glaces; Dofus Ivoire; Dofus Pourpre; Dofus Turquoise; Kokulte</t>
        </is>
      </c>
    </row>
    <row r="29133">
      <c r="A29133" t="inlineStr">
        <is>
          <t>Steamer M 200</t>
        </is>
      </c>
      <c r="B29133">
        <f>HYPERLINK("https://www.dofusbook.net/fr/equipement/5393056-steamer-m-200/objets", "link")</f>
        <v/>
      </c>
      <c r="C29133" t="n">
        <v>0</v>
      </c>
      <c r="D29133" t="inlineStr">
        <is>
          <t>Marteau R'ture; Collier de Tourthon; Bouclier Taverne; Masque de Koutoulou; Cape au Logis</t>
        </is>
      </c>
    </row>
    <row r="29134">
      <c r="A29134" t="inlineStr">
        <is>
          <t>Steamer F 200</t>
        </is>
      </c>
      <c r="B29134">
        <f>HYPERLINK("https://www.dofusbook.net/fr/equipement/5376309-steamer-f-200/objets", "link")</f>
        <v/>
      </c>
      <c r="C29134" t="n">
        <v>0</v>
      </c>
      <c r="D29134" t="inlineStr">
        <is>
          <t>Dagues de Srambad; Amulette de Pol Ouatnos; Alliance Gloursonne; Goulano; Bouclier du Stalak; Ceinture de la Reine des Voleurs; Coiffe de la Reine des Voleurs; Voile d'encre; Bottes de la Reine des Voleurs; Dofus Ocre; Dofus Abyssal; Dofus Ivoire; Dofus Pourpre; Dofus des Glaces; Wabbit</t>
        </is>
      </c>
    </row>
    <row r="29135">
      <c r="A29135" t="inlineStr">
        <is>
          <t>Zobal M 200</t>
        </is>
      </c>
      <c r="B29135">
        <f>HYPERLINK("https://www.dofusbook.net/fr/equipement/5250594-zobal-m-200/objets", "link")</f>
        <v/>
      </c>
      <c r="C29135" t="n">
        <v>0</v>
      </c>
      <c r="D29135" t="inlineStr">
        <is>
          <t>Hache Téroïde; Amulette du Strigide; Bracelet du Piloztère; Bague Gloursonne; Bouclier du Captain Amakna; Ceintacé; Chapeau de Gein; Cape au Logis; Bottes du Strigide; Dofus Turquoise; Dofus Ocre; Dofus Pourpre; Dofus des Glaces; Vigoureux majeur</t>
        </is>
      </c>
    </row>
    <row r="29136">
      <c r="A29136" t="inlineStr">
        <is>
          <t>Eniripsa F 200</t>
        </is>
      </c>
      <c r="B29136">
        <f>HYPERLINK("https://www.dofusbook.net/fr/equipement/5287822-eniripsa-f-200/objets", "link")</f>
        <v/>
      </c>
      <c r="C29136" t="n">
        <v>0</v>
      </c>
      <c r="D29136" t="inlineStr">
        <is>
          <t>Arc corrompu; Pendentif affamé; Anneau Tamie; Anneau Tamie; Bivalve; Ceinture Séculaire; Coiffe Séculaire; Cape de Diondin; Bottes Innommables; Dofus Abyssal; Dofus Ocre; Dofus des Glaces; Dofus Turquoise; Nomade; Érudit majeur; Bisouglours</t>
        </is>
      </c>
    </row>
    <row r="29137">
      <c r="A29137" t="inlineStr">
        <is>
          <t>Roublard M 200</t>
        </is>
      </c>
      <c r="B29137">
        <f>HYPERLINK("https://www.dofusbook.net/fr/equipement/4301745-roublard-m-200/objets", "link")</f>
        <v/>
      </c>
      <c r="C29137" t="n">
        <v>1</v>
      </c>
      <c r="D29137" t="inlineStr">
        <is>
          <t>Arc du Chalœil; Collier de Tourthon; Anneau du Comte Harebourg; Anneau Crustique; Bouclier du Stalak; Ceinture Gence; Masque de Koutoulou; Cape au Logis; Bottes du Comte Harebourg; Dofus des Glaces; Dévastateur Terre majeur; Saccageur Terre majeur; Enragé majeur; Forcené majeur; Bulbisou</t>
        </is>
      </c>
    </row>
    <row r="29138">
      <c r="A29138" t="inlineStr">
        <is>
          <t>Crâ M 200</t>
        </is>
      </c>
      <c r="B29138">
        <f>HYPERLINK("https://www.dofusbook.net/fr/equipement/4498567-cra-m-200/objets", "link")</f>
        <v/>
      </c>
      <c r="C29138" t="n">
        <v>0</v>
      </c>
      <c r="D29138" t="inlineStr">
        <is>
          <t>Sabres d'Atcham; Amulette du Strigide; Anneau de Padgref; Bracelet du Piloztère; Quatre-feuilles; Ceinture du Strigide; Coiffe de Padgref; Cape d'Atcham; Getas de Padgref; Dofus des Glaces; Dofus Ocre; Dofus Pourpre; Dofus Turquoise; Voyageur; Kokulte</t>
        </is>
      </c>
    </row>
    <row r="29139">
      <c r="A29139" t="inlineStr">
        <is>
          <t>Sadida M 200</t>
        </is>
      </c>
      <c r="B29139">
        <f>HYPERLINK("https://www.dofusbook.net/fr/equipement/4505567-sadida-m-200/objets", "link")</f>
        <v/>
      </c>
      <c r="C29139" t="n">
        <v>1</v>
      </c>
      <c r="D29139" t="inlineStr">
        <is>
          <t>Hache du Guerrier Zoth; Amulette Martegel; Alliance Gloursonne; Gant du Valet Veinard; Bivalve; Ceinture du Glourséleste; Masquegel; Cape Martegel; Palmes Trithons; Dofus Pourpre; Dofus des Glaces; Dofus Ocre; Dofus Abyssal; Vagabond majeur; Saccageur Air majeur; Muldo Amande</t>
        </is>
      </c>
    </row>
    <row r="29140">
      <c r="A29140" t="inlineStr">
        <is>
          <t>Osamodas F 200</t>
        </is>
      </c>
      <c r="B29140">
        <f>HYPERLINK("https://www.dofusbook.net/fr/equipement/5247800-osamodas-f-200/objets", "link")</f>
        <v/>
      </c>
      <c r="C29140" t="n">
        <v>1</v>
      </c>
      <c r="D29140" t="inlineStr">
        <is>
          <t>Pelle de la Cour Sombre; Collier du Valet Veinard; Gant du Valet Veinard; Alliance Gloursonne; Bouclier du Stalak; Menoture; Couronne d'Allister; Cape du Kamasterisk; Palmes Trithons; Dofus Ocre; Dofus des Glaces; Dofus Ivoire; Dofus Abyssal; Cascadeur majeur; Muldo Ebène</t>
        </is>
      </c>
    </row>
    <row r="29141">
      <c r="A29141" t="inlineStr">
        <is>
          <t>Osamodas F 200</t>
        </is>
      </c>
      <c r="B29141">
        <f>HYPERLINK("https://www.dofusbook.net/fr/equipement/5006742-osamodas-f-200/objets", "link")</f>
        <v/>
      </c>
      <c r="C29141" t="n">
        <v>4</v>
      </c>
      <c r="D29141" t="inlineStr">
        <is>
          <t>Manthache; Collier du Valet Veinard; Gant du Valet Veinard; Alliance Gloursonne; Bouclier du Stalak; Menoture; Couronne d'Allister; Cape du Kamasterisk; Palmes Trithons; Dofus Ocre; Dofus Ivoire; Dofus Abyssal; Nomade; Cascadeur majeur; Blérodoudou</t>
        </is>
      </c>
    </row>
    <row r="29142">
      <c r="A29142" t="inlineStr">
        <is>
          <t>Ecaflip M 200</t>
        </is>
      </c>
      <c r="B29142">
        <f>HYPERLINK("https://www.dofusbook.net/fr/equipement/4157141-ecaflip-m-200/objets", "link")</f>
        <v/>
      </c>
      <c r="C29142" t="n">
        <v>5</v>
      </c>
      <c r="D29142" t="inlineStr">
        <is>
          <t>Bâton Beau; Amulette du Strigide; Grésilanneau; Bracelet du Piloztère; Bouclier du Stalak; Ceintacé; Le Dorado; Cape au Logis; Bottes du Strigide; Dofus des Glaces; Dofus Abyssal; Dofus Turquoise; Dofus Pourpre; Vigoureux majeur; Robuste majeur; Chacha Angora</t>
        </is>
      </c>
    </row>
    <row r="29143">
      <c r="A29143" t="inlineStr">
        <is>
          <t>Sadida M 200</t>
        </is>
      </c>
      <c r="B29143">
        <f>HYPERLINK("https://www.dofusbook.net/fr/equipement/4769532-sadida-m-200/objets", "link")</f>
        <v/>
      </c>
      <c r="C29143" t="n">
        <v>0</v>
      </c>
      <c r="D29143" t="inlineStr">
        <is>
          <t>Marteau R'ture; Collier de Tourthon; Anneau de Brouce; Anneau du Comte Harebourg; Bivalve; Ceinture Luminescente; Coiffe du Comte Harebourg; Cape Luminescente; Bottes du Comte Harebourg; Dofus des Glaces; Dofus Pourpre; Dofus Ocre; Dofus Turquoise; Forcené majeur; Dévastateur Terre majeur; Bulbisou</t>
        </is>
      </c>
    </row>
    <row r="29144">
      <c r="A29144" t="inlineStr">
        <is>
          <t>Pandawa M 200</t>
        </is>
      </c>
      <c r="B29144">
        <f>HYPERLINK("https://www.dofusbook.net/fr/equipement/5038406-pandawa-m-200/objets", "link")</f>
        <v/>
      </c>
      <c r="C29144" t="n">
        <v>0</v>
      </c>
      <c r="D29144" t="inlineStr">
        <is>
          <t>Rouleau à Pâtisserie d'Aermyne; Collier Rophante; Anneau de Pol Ouatnos; Alliance Gloursonne; Bouclier précieux; Ceinture de Kongoku; Masque d'Anerice; Cape d'Anerice; Baleinabottes; Dofus Ocre; Dofus Ivoire; Dofus Émeraude; Dofus Abyssal; Givrefoux</t>
        </is>
      </c>
    </row>
    <row r="29145">
      <c r="A29145" t="inlineStr">
        <is>
          <t>Enutrof M 200</t>
        </is>
      </c>
      <c r="B29145">
        <f>HYPERLINK("https://www.dofusbook.net/fr/equipement/5038501-enutrof-m-200/objets", "link")</f>
        <v/>
      </c>
      <c r="C29145" t="n">
        <v>0</v>
      </c>
      <c r="D29145" t="inlineStr"/>
    </row>
    <row r="29146">
      <c r="A29146" t="inlineStr">
        <is>
          <t>Sram F 200</t>
        </is>
      </c>
      <c r="B29146">
        <f>HYPERLINK("https://www.dofusbook.net/fr/equipement/5006703-sram-f-200/objets", "link")</f>
        <v/>
      </c>
      <c r="C29146" t="n">
        <v>0</v>
      </c>
      <c r="D29146" t="inlineStr">
        <is>
          <t>Pelle de la Cour Sombre; Collier du Valet Veinard; Alliance Gloursonne; Gant du Valet Veinard; Bouclier du Stalak; Menoture; Couronne d'Allister; Palmes Trithons; Dofus Abyssal; Dofus Ocre; Dofus Ivoire</t>
        </is>
      </c>
    </row>
    <row r="29147">
      <c r="A29147" t="inlineStr">
        <is>
          <t>Pandawa F 200</t>
        </is>
      </c>
      <c r="B29147">
        <f>HYPERLINK("https://www.dofusbook.net/fr/equipement/4954636-pandawa-f-200/objets", "link")</f>
        <v/>
      </c>
      <c r="C29147" t="n">
        <v>0</v>
      </c>
      <c r="D29147" t="inlineStr">
        <is>
          <t>Rouleau à Pâtisserie d'Aermyne; Collier Rophante; Alliance Gloursonne; Anneau de Pol Ouatnos; Bouclier d'Anerice; Ceinture de Kongoku; Casque Dragoeuf; Cape d'Anerice; Baleinabottes; Dofus Émeraude; Dofus Ocre; Dofus Abyssal; Dofus Ivoire; Miraculé majeur; Givrefoux</t>
        </is>
      </c>
    </row>
    <row r="29148">
      <c r="A29148" t="inlineStr">
        <is>
          <t>Pandawa F 200</t>
        </is>
      </c>
      <c r="B29148">
        <f>HYPERLINK("https://www.dofusbook.net/fr/equipement/5005632-pandawa-f-200/objets", "link")</f>
        <v/>
      </c>
      <c r="C29148" t="n">
        <v>0</v>
      </c>
      <c r="D29148" t="inlineStr">
        <is>
          <t>Epée Gloursonne; Amulette Cryochrone; Alliance Gloursonne; Bague Gloursonne; Bouclier d'Anerice; Ceinture de Kongoku; Masque d'Anerice; Cape d'Anerice; Getas Bernacle; Dofus Émeraude; Dofus Abyssal; Dofus Ocre; Dofus Ivoire; Bloqueur majeur; Précurseur majeur; Muldo Roux</t>
        </is>
      </c>
    </row>
    <row r="29149">
      <c r="A29149" t="inlineStr">
        <is>
          <t>Iop M 200</t>
        </is>
      </c>
      <c r="B29149">
        <f>HYPERLINK("https://www.dofusbook.net/fr/equipement/4602828-iop-m-200/objets", "link")</f>
        <v/>
      </c>
      <c r="C29149" t="n">
        <v>1</v>
      </c>
      <c r="D29149" t="inlineStr">
        <is>
          <t>Dagues du Dragoeuf; Amulette Volkorne; Chevalière du Roi Joueur; Anneau Volkorne; Bivalve; Ceinture Volkorne; Couronne du Roi Joueur; Voile d'encre; Bottes du Roi Joueur; Dofus Ivoire; Dofus Nébuleux; Dofus Turquoise; Dofus Ocre; Dofus Pourpre; Dofus des Glaces; Cromeugnon</t>
        </is>
      </c>
    </row>
    <row r="29150">
      <c r="A29150" t="inlineStr">
        <is>
          <t>Pandawa M 200</t>
        </is>
      </c>
      <c r="B29150">
        <f>HYPERLINK("https://www.dofusbook.net/fr/equipement/4952846-pandawa-m-200/objets", "link")</f>
        <v/>
      </c>
      <c r="C29150" t="n">
        <v>0</v>
      </c>
      <c r="D29150" t="inlineStr">
        <is>
          <t>Hachoirs de Viandargh; Collier Rophante; Anneau de Pol Ouatnos; Alliance Gloursonne; Bouclier précieux; Ceintacé; Masque d'Anerice; Cape d'Anerice; Baleinabottes; Dofus Émeraude; Dofus Ocre; Dofus Abyssal; Dofus Ivoire; Miraculé majeur; Dauge</t>
        </is>
      </c>
    </row>
    <row r="29151">
      <c r="A29151" t="inlineStr">
        <is>
          <t>Osamodas F 200</t>
        </is>
      </c>
      <c r="B29151">
        <f>HYPERLINK("https://www.dofusbook.net/fr/equipement/4507198-osamodas-f-200/objets", "link")</f>
        <v/>
      </c>
      <c r="C29151" t="n">
        <v>0</v>
      </c>
      <c r="D29151" t="inlineStr">
        <is>
          <t>Lance Horselé; Amulette Martegel; Gant du Valet Veinard; Alliance Gloursonne; Bouclier du Stalak; Menoture; Ruskauffe; Cape Martegel; Palmes Trithons; Dofus des Glaces; Dofus Abyssal; Dofus Pourpre; Dofus Ocre; Muldo Indigo</t>
        </is>
      </c>
    </row>
    <row r="29152">
      <c r="A29152" t="inlineStr">
        <is>
          <t>Crâ M 200</t>
        </is>
      </c>
      <c r="B29152">
        <f>HYPERLINK("https://www.dofusbook.net/fr/equipement/4607557-cra-m-200/objets", "link")</f>
        <v/>
      </c>
      <c r="C29152" t="n">
        <v>0</v>
      </c>
      <c r="D29152" t="inlineStr">
        <is>
          <t>Sceptre du Roi Joueur; Amulette de Shokkoth; Alliance Gloursonne; Anneau Volkorne; Cadran de Terre; Culotte de Bethel; Masque de Funespadon; Cape de l'Œil Attentif; Chaussons de Macrab; Dofus Ivoire; Dofus Ocre; Dofus Abyssal; Dofus Pourpre; Boskito</t>
        </is>
      </c>
    </row>
    <row r="29153">
      <c r="A29153" t="inlineStr">
        <is>
          <t>Enutrof M 200</t>
        </is>
      </c>
      <c r="B29153">
        <f>HYPERLINK("https://www.dofusbook.net/fr/equipement/4592122-enutrof-m-200/objets", "link")</f>
        <v/>
      </c>
      <c r="C29153" t="n">
        <v>0</v>
      </c>
      <c r="D29153" t="inlineStr">
        <is>
          <t>Dagues Açantes; Amulette Luminescente; Anneau Volkorne; Alliance Gloursonne; Bouclier cubiste; Poulpagne; Casquipik; Cape de la Dame du Hasard; Pikottes; Entraveur majeur; Remueur; Fonceur majeur; Temporiseur majeur; Nomade; Léopardo</t>
        </is>
      </c>
    </row>
    <row r="29154">
      <c r="A29154" t="inlineStr">
        <is>
          <t>Crâ M 200</t>
        </is>
      </c>
      <c r="B29154">
        <f>HYPERLINK("https://www.dofusbook.net/fr/equipement/4505570-cra-m-200/objets", "link")</f>
        <v/>
      </c>
      <c r="C29154" t="n">
        <v>1</v>
      </c>
      <c r="D29154" t="inlineStr">
        <is>
          <t>Epée Gloursonne; Amulette du Strigide; Bague Gloursonne; Alliance Gloursonne; Cadran de Terre; Ceinture du Strigide; Casque Dragoeuf; Voile d'encre; Bottes du Strigide; Dofus Abyssal; Dofus Pourpre; Dofus des Glaces; Dofus Ocre; Dofus Ivoire; Voyageur</t>
        </is>
      </c>
    </row>
    <row r="29155">
      <c r="A29155" t="inlineStr">
        <is>
          <t>Crâ M 200</t>
        </is>
      </c>
      <c r="B29155">
        <f>HYPERLINK("https://www.dofusbook.net/fr/equipement/4505591-cra-m-200/objets", "link")</f>
        <v/>
      </c>
      <c r="C29155" t="n">
        <v>0</v>
      </c>
      <c r="D29155" t="inlineStr">
        <is>
          <t>Epée Gloursonne; Amulette Martegel; Bague Gloursonne; Alliance Gloursonne; Bouclier du Stalak; Ceinture de la Reine des Voleurs; Coiffe de la Reine des Voleurs; Cape Martegel; Bottes de la Reine des Voleurs; Dofus Ocre; Voyageur</t>
        </is>
      </c>
    </row>
    <row r="29156">
      <c r="A29156" t="inlineStr">
        <is>
          <t>Crâ M 200</t>
        </is>
      </c>
      <c r="B29156">
        <f>HYPERLINK("https://www.dofusbook.net/fr/equipement/4505451-cra-m-200/objets", "link")</f>
        <v/>
      </c>
      <c r="C29156" t="n">
        <v>1</v>
      </c>
      <c r="D29156" t="inlineStr">
        <is>
          <t>Baguette Hernelle; Amulette Volkorne; Alliance Gloursonne; Anneau Volkorne; Quatre-feuilles; Ceinture Volkorne; Némès de Tal Kasha; Chevelure de Tal Kasha; Sandales de Tal Kasha; Dofus Abyssal; Dofus Ocre; Dofus Ivoire; Dofus Pourpre; Dofus des Glaces; Dofus Turquoise; Kokulte</t>
        </is>
      </c>
    </row>
    <row r="29157">
      <c r="A29157" t="inlineStr">
        <is>
          <t>Crâ M 200</t>
        </is>
      </c>
      <c r="B29157">
        <f>HYPERLINK("https://www.dofusbook.net/fr/equipement/4504551-cra-m-200/objets", "link")</f>
        <v/>
      </c>
      <c r="C29157" t="n">
        <v>1</v>
      </c>
      <c r="D29157" t="inlineStr">
        <is>
          <t>Epée Maudite du Saigneur Guerrier; Amulette Volkorne; Anneau Volkorne; Bague Trithon; Bouclier du Captain Amakna; Ceinture Volkorne; Masque Trithon; Chevelure de Tal Kasha; Bottes Trithon; Dofus des Glaces; Dofus Pourpre; Dofus Ivoire; Dofus Turquoise; Dofus Ocre; Dofus Abyssal; Kokulte</t>
        </is>
      </c>
    </row>
    <row r="29158">
      <c r="A29158" t="inlineStr">
        <is>
          <t>Crâ M 200</t>
        </is>
      </c>
      <c r="B29158">
        <f>HYPERLINK("https://www.dofusbook.net/fr/equipement/4505239-cra-m-200/objets", "link")</f>
        <v/>
      </c>
      <c r="C29158" t="n">
        <v>0</v>
      </c>
      <c r="D29158" t="inlineStr">
        <is>
          <t>Dagues de Srambad; Amulette de Pol Ouatnos; Bague Gloursonne; Alliance Gloursonne; Cadran de Terre; Ceinture de la Reine des Voleurs; Coiffe de la Reine des Voleurs; Voile d'encre; Bottes de la Reine des Voleurs; Dokoko; Dofus Ocre; Dofus Pourpre; Dofus Abyssal; Dofus des Glaces; Dofus Ivoire; Gwo Tofu Ventripotent</t>
        </is>
      </c>
    </row>
    <row r="29159">
      <c r="A29159" t="inlineStr">
        <is>
          <t>Enutrof M 200</t>
        </is>
      </c>
      <c r="B29159">
        <f>HYPERLINK("https://www.dofusbook.net/fr/equipement/3569562-enutrof-m-200/objets", "link")</f>
        <v/>
      </c>
      <c r="C29159" t="n">
        <v>5</v>
      </c>
      <c r="D29159" t="inlineStr">
        <is>
          <t>Marteau R'ture; Amulette du Glourséleste; Bague Instable; Anneau Tamie; Bouclier cubiste; Ceinture Instable; Casquipik; Cape de Léthaline; Pantoufles Émar; Ralentisseur majeur; Remueur; Temporiseur; Entraveur; Temporiseur majeur; Entraveur majeur; Volkorne Turquoise</t>
        </is>
      </c>
    </row>
    <row r="29160">
      <c r="A29160" t="inlineStr">
        <is>
          <t>Zobal M 200</t>
        </is>
      </c>
      <c r="B29160">
        <f>HYPERLINK("https://www.dofusbook.net/fr/equipement/4233237-zobal-m-200/objets", "link")</f>
        <v/>
      </c>
      <c r="C29160" t="n">
        <v>0</v>
      </c>
      <c r="D29160" t="inlineStr">
        <is>
          <t>Arc Nécrotique; Amulette Volkorne; Bague Trithon; Anneau Volkorne; Bouclier du Captain Amakna; Ceinture Volkorne; Masque Trithon; Chevelure de Tal Kasha; Bottes Trithon; Dolmanax; Dofus Pourpre; Dofus Abyssal; Dofus Turquoise; Dofus des Glaces; Dofus Ocre</t>
        </is>
      </c>
    </row>
    <row r="29161">
      <c r="A29161" t="inlineStr">
        <is>
          <t>Roublard M 200</t>
        </is>
      </c>
      <c r="B29161">
        <f>HYPERLINK("https://www.dofusbook.net/fr/equipement/4313464-roublard-m-200/objets", "link")</f>
        <v/>
      </c>
      <c r="C29161" t="n">
        <v>2</v>
      </c>
      <c r="D29161" t="inlineStr">
        <is>
          <t>Sceptre du Roi Joueur; Amulette de Shokkoth; Alliance Gloursonne; Anneau Volkorne; Bouclier du Stalak; Ceinture de la Reine des Voleurs; Kidibonnet; Cape Solution; Bottes de la Reine des Voleurs; Dofus des Glaces; Saccageur Eau majeur; Chanceux majeur; Dévastateur Eau majeur; Nomade; Kanigloups</t>
        </is>
      </c>
    </row>
    <row r="29162">
      <c r="A29162" t="inlineStr">
        <is>
          <t>Pandawa F 200</t>
        </is>
      </c>
      <c r="B29162">
        <f>HYPERLINK("https://www.dofusbook.net/fr/equipement/4412983-pandawa-f-200/objets", "link")</f>
        <v/>
      </c>
      <c r="C29162" t="n">
        <v>0</v>
      </c>
      <c r="D29162" t="inlineStr">
        <is>
          <t>Rouleau à Pâtisserie d'Aermyne; Collier Rophante; Alliance Gloursonne; Anneau de Pol Ouatnos; Bouclier d'Anerice; Ceinture de Kongoku; Casque Dragoeuf; Cape Solution; Dofus Ocre; Dofus Abyssal; Dofus Émeraude; Dofus Ivoire; Bloqueur majeur; Obstructeur majeur; Givrefoux</t>
        </is>
      </c>
    </row>
    <row r="29163">
      <c r="A29163" t="inlineStr">
        <is>
          <t>Ecaflip M 200</t>
        </is>
      </c>
      <c r="B29163">
        <f>HYPERLINK("https://www.dofusbook.net/fr/equipement/4407730-ecaflip-m-200/objets", "link")</f>
        <v/>
      </c>
      <c r="C29163" t="n">
        <v>1</v>
      </c>
      <c r="D29163" t="inlineStr">
        <is>
          <t>Sceptre du Roi Joueur; Amulette Volkorne; Bague Trithon; Anneau Volkorne; Bouclier du Stalak; Ceinture Volkorne; Masque Trithon; Cape du Chalœil; Bottes Trithon; Dofus Ivoire; Dofus Pourpre; Dofus des Glaces; Dofus Turquoise; Dofus Abyssal; Dofus Ocre; Kramkram</t>
        </is>
      </c>
    </row>
    <row r="29164">
      <c r="A29164" t="inlineStr">
        <is>
          <t>Ecaflip M 200</t>
        </is>
      </c>
      <c r="B29164">
        <f>HYPERLINK("https://www.dofusbook.net/fr/equipement/4326091-ecaflip-m-200/objets", "link")</f>
        <v/>
      </c>
      <c r="C29164" t="n">
        <v>1</v>
      </c>
      <c r="D29164" t="inlineStr">
        <is>
          <t>Bâton Beau; Amulette Volkorne; Bracelet du Piloztère; Anneau Volkorne; Bouclier du Stalak; Ceinture Volkorne; Le Dorado; Cape du Chalœil; Bottes du Strigide; Dofus Turquoise; Dofus Nébuleux; Dofus Ocre; Dofus Abyssal; Dofus Pourpre; Dofus des Glaces; Chacha Angora</t>
        </is>
      </c>
    </row>
    <row r="29165">
      <c r="A29165" t="inlineStr">
        <is>
          <t>Pandawa F 200</t>
        </is>
      </c>
      <c r="B29165">
        <f>HYPERLINK("https://www.dofusbook.net/fr/equipement/3418411-pandawa-f-200/objets", "link")</f>
        <v/>
      </c>
      <c r="C29165" t="n">
        <v>5</v>
      </c>
      <c r="D29165" t="inlineStr">
        <is>
          <t>Rouleau à Pâtisserie d'Aermyne; Collier Rophante; Anneau de Pol Ouatnos; Alliance Gloursonne; Bouclier Bontarien; Ceinture de Kongoku; Casque Dragoeuf; Cape d'Anerice; Pataugastrique; Dofus Émeraude; Obstructeur majeur; Bloqueur majeur; Remueur; Tacleur majeur; Givrefoux</t>
        </is>
      </c>
    </row>
    <row r="29166">
      <c r="A29166" t="inlineStr">
        <is>
          <t>Roublard F 200</t>
        </is>
      </c>
      <c r="B29166">
        <f>HYPERLINK("https://www.dofusbook.net/fr/equipement/4301708-roublard-f-200/objets", "link")</f>
        <v/>
      </c>
      <c r="C29166" t="n">
        <v>1</v>
      </c>
      <c r="D29166" t="inlineStr">
        <is>
          <t>Arc corrompu; Pendentif affamé; Anneau Tamie; Anneau Tamie; Bouclier du Stalak; Ceinture Séculaire; Coiffe Séculaire; Cape de Diondin; Bottes Innommables; Dofus des Glaces; Saccageur Feu majeur; Érudit majeur; Nomade; Dévastateur Feu majeur; Remueur; Bisouglours</t>
        </is>
      </c>
    </row>
    <row r="29167">
      <c r="A29167" t="inlineStr">
        <is>
          <t>Roublard M 200</t>
        </is>
      </c>
      <c r="B29167">
        <f>HYPERLINK("https://www.dofusbook.net/fr/equipement/4375203-roublard-m-200/objets", "link")</f>
        <v/>
      </c>
      <c r="C29167" t="n">
        <v>1</v>
      </c>
      <c r="D29167" t="inlineStr">
        <is>
          <t>Manthache; Collier du Valet Veinard; Alliance Gloursonne; Gant du Valet Veinard; Bouclier du Stalak; Menoture; Couronne d'Allister; Cape Indescriptible; Palmes Trithons; Dofus des Glaces; Dofus Vulbis; Dofus Ocre; Dévastateur Air majeur; Saccageur Air majeur; Cascadeur majeur; Blérodoudou</t>
        </is>
      </c>
    </row>
    <row r="29168">
      <c r="A29168" t="inlineStr">
        <is>
          <t>Enutrof M 200</t>
        </is>
      </c>
      <c r="B29168">
        <f>HYPERLINK("https://www.dofusbook.net/fr/equipement/4370776-enutrof-m-200/objets", "link")</f>
        <v/>
      </c>
      <c r="C29168" t="n">
        <v>1</v>
      </c>
      <c r="D29168" t="inlineStr">
        <is>
          <t>Dagoulinantes; Amulette de Danathor; Anneau Volkorne; Alliance Gloursonne; Bouclier cubiste; Poulpagne; Coiffe de Danathor; Cape de Mantaze; Bottes Voldelor; Dofus Turquoise; Temporiseur majeur; Chanceux majeur; Entraveur majeur</t>
        </is>
      </c>
    </row>
    <row r="29169">
      <c r="A29169" t="inlineStr">
        <is>
          <t>Crâ M 200</t>
        </is>
      </c>
      <c r="B29169">
        <f>HYPERLINK("https://www.dofusbook.net/fr/equipement/4363768-cra-m-200/objets", "link")</f>
        <v/>
      </c>
      <c r="C29169" t="n">
        <v>0</v>
      </c>
      <c r="D29169" t="inlineStr">
        <is>
          <t>Epée Gloursonne; Amulette du Strigide; Bague Gloursonne; Alliance Gloursonne; Quatre-feuilles; Ceinture du Strigide; Masque Vaudou Tam; Cape Peupret; Bottes du Strigide; Dofus Turquoise; Dofus des Glaces; Dofus Abyssal; Dofus Pourpre; Dofus Ocre; Voyageur; Kokulte</t>
        </is>
      </c>
    </row>
    <row r="29170">
      <c r="A29170" t="inlineStr">
        <is>
          <t>Iop M 200</t>
        </is>
      </c>
      <c r="B29170">
        <f>HYPERLINK("https://www.dofusbook.net/fr/equipement/4100123-iop-m-200/objets", "link")</f>
        <v/>
      </c>
      <c r="C29170" t="n">
        <v>0</v>
      </c>
      <c r="D29170" t="inlineStr">
        <is>
          <t>Hache Téroïde; Amulette du Strigide; Bague Gloursonne; Alliance de Missiz Frizz; Quatre-feuilles; Ceinture du Strigide; Casque de Missiz Frizz; Cape du Professeur Xa; Bottes du Strigide; Dofus Turquoise; Dofus des Glaces; Dofus Ocre; Dofus Abyssal; Dofus Pourpre; Dofus Nébuleux</t>
        </is>
      </c>
    </row>
    <row r="29171">
      <c r="A29171" t="inlineStr">
        <is>
          <t>Iop M 200</t>
        </is>
      </c>
      <c r="B29171">
        <f>HYPERLINK("https://www.dofusbook.net/fr/equipement/4302902-iop-m-200/objets", "link")</f>
        <v/>
      </c>
      <c r="C29171" t="n">
        <v>0</v>
      </c>
      <c r="D29171" t="inlineStr">
        <is>
          <t>Hache Téroïde; Amulette Volkorne; Anneau Volkorne; Chevalière du Roi Joueur; Quatre-feuilles; Ceinture Volkorne; Couronne du Roi Joueur; Cape du Professeur Xa; Bottes du Roi Joueur; Dofus Nébuleux; Dofus Ocre; Dofus Pourpre; Dofus Abyssal; Dofus Turquoise; Dofus des Glaces</t>
        </is>
      </c>
    </row>
    <row r="29172">
      <c r="A29172" t="inlineStr">
        <is>
          <t>Osamodas F 200</t>
        </is>
      </c>
      <c r="B29172">
        <f>HYPERLINK("https://www.dofusbook.net/fr/equipement/4301741-osamodas-f-200/objets", "link")</f>
        <v/>
      </c>
      <c r="C29172" t="n">
        <v>0</v>
      </c>
      <c r="D29172" t="inlineStr">
        <is>
          <t>Dagues Érhy; Collier du Valet Veinard; Gant du Valet Veinard; Alliance Gloursonne; Bouclier du Stalak; Menoture; Couronne d'Allister; Cape Indescriptible; Palmes Trithons; Dofus Pourpre; Dofus Nébuleux; Dofus Ocre; Dofus des Glaces; Nomade; Equilibriste majeur; Dragodinde Ebène et Ivoire</t>
        </is>
      </c>
    </row>
    <row r="29173">
      <c r="A29173" t="inlineStr">
        <is>
          <t>Roublard M 200</t>
        </is>
      </c>
      <c r="B29173">
        <f>HYPERLINK("https://www.dofusbook.net/fr/equipement/4301723-roublard-m-200/objets", "link")</f>
        <v/>
      </c>
      <c r="C29173" t="n">
        <v>0</v>
      </c>
      <c r="D29173" t="inlineStr"/>
    </row>
    <row r="29174">
      <c r="A29174" t="inlineStr">
        <is>
          <t>Iop F 200</t>
        </is>
      </c>
      <c r="B29174">
        <f>HYPERLINK("https://www.dofusbook.net/fr/equipement/4296553-iop-f-200/objets", "link")</f>
        <v/>
      </c>
      <c r="C29174" t="n">
        <v>1</v>
      </c>
      <c r="D29174" t="inlineStr">
        <is>
          <t>Arc du Chalœil; Collier de Tourthon; Anneau Crustique; Anneau Volkorne; Quatre-feuilles; Ceinture Volkorne; Masque de Koutoulou; Cape au Logis; Bottes de la Cour Sombre; Dofus Ocre; Dofus Turquoise; Dofus Ivoire; Dofus des Glaces; Dofus Pourpre; Enragé majeur; Dragodinde Ivoire et Pourpre</t>
        </is>
      </c>
    </row>
    <row r="29175">
      <c r="A29175" t="inlineStr">
        <is>
          <t>Crâ M 200</t>
        </is>
      </c>
      <c r="B29175">
        <f>HYPERLINK("https://www.dofusbook.net/fr/equipement/4010225-cra-m-200/objets", "link")</f>
        <v/>
      </c>
      <c r="C29175" t="n">
        <v>0</v>
      </c>
      <c r="D29175" t="inlineStr">
        <is>
          <t>Baguette Hique; Amulette du Glourséleste; Anneau Tamie; Pikano; Bouclier du serrurier; Maskrobe; Cape Peupret; Pikottes; Ralentisseur majeur; Fonceur majeur; Entraveur; Entraveur majeur; Temporiseur majeur; Remueur</t>
        </is>
      </c>
    </row>
    <row r="29176">
      <c r="A29176" t="inlineStr">
        <is>
          <t>Zobal M 200</t>
        </is>
      </c>
      <c r="B29176">
        <f>HYPERLINK("https://www.dofusbook.net/fr/equipement/4030648-zobal-m-200/objets", "link")</f>
        <v/>
      </c>
      <c r="C29176" t="n">
        <v>0</v>
      </c>
      <c r="D29176" t="inlineStr">
        <is>
          <t>Hache du Korriandre; Amulette du Strigide; Alliance Gloursonne; Anneau Volkorne; Bouclier du Captain Amakna; Ceinture du Strigide; Némès de Tal Kasha; Chevelure de Tal Kasha; Sandales de Tal Kasha; Dofus Turquoise; Dofus Abyssal; Dofus Pourpre; Dofus des Glaces; Dofus Ocre</t>
        </is>
      </c>
    </row>
    <row r="29177">
      <c r="A29177" t="inlineStr">
        <is>
          <t>Iop M 200</t>
        </is>
      </c>
      <c r="B29177">
        <f>HYPERLINK("https://www.dofusbook.net/fr/equipement/4249466-iop-m-200/objets", "link")</f>
        <v/>
      </c>
      <c r="C29177" t="n">
        <v>0</v>
      </c>
      <c r="D29177" t="inlineStr">
        <is>
          <t>Marteau R'ture; Collier de Tourthon; Anneau du Comte Harebourg; Anneau de Brouce; Bouclier du Captain Amakna; Ceinture de Brouce; Coiffe du Comte Harebourg; Cape au Logis; Bottes de Brouce; Dofus Nébuleux; Dofus des Glaces; Dofus Abyssal; Dofus Turquoise; Dofus Pourpre; Dofus Ocre; Bulbisou</t>
        </is>
      </c>
    </row>
    <row r="29178">
      <c r="A29178" t="inlineStr">
        <is>
          <t>Zobal M 200</t>
        </is>
      </c>
      <c r="B29178">
        <f>HYPERLINK("https://www.dofusbook.net/fr/equipement/4242041-zobal-m-200/objets", "link")</f>
        <v/>
      </c>
      <c r="C29178" t="n">
        <v>0</v>
      </c>
      <c r="D29178" t="inlineStr">
        <is>
          <t>Arc Nécrotique; Amulette Volkorne; Anneau Volkorne; Bague Trithon; Quatre-feuilles; Ceintacé; Masque Trithon; Cape de la Dame du Hasard; Bottes de la Dame du Hasard; Dofus Ocre; Dofus Pourpre; Dofus des Glaces; Dofus Turquoise; Dofus Ivoire; Voyageur; Kokulte</t>
        </is>
      </c>
    </row>
    <row r="29179">
      <c r="A29179" t="inlineStr">
        <is>
          <t>Zobal M 200</t>
        </is>
      </c>
      <c r="B29179">
        <f>HYPERLINK("https://www.dofusbook.net/fr/equipement/4233241-zobal-m-200/objets", "link")</f>
        <v/>
      </c>
      <c r="C29179" t="n">
        <v>2</v>
      </c>
      <c r="D29179" t="inlineStr">
        <is>
          <t>Arc du Chalœil; Torquistik; Bague Instable; Bague Trithon; Bouclier précieux; Sangle Ouare; Casque Dragoeuf; Cape Solution; Bottistik; Dofus Ocre; Dofus Ivoire; Bousculeur majeur; Bousculeur; Culbuteur majeur; Culbuteur</t>
        </is>
      </c>
    </row>
    <row r="29180">
      <c r="A29180" t="inlineStr">
        <is>
          <t>Crâ M 200</t>
        </is>
      </c>
      <c r="B29180">
        <f>HYPERLINK("https://www.dofusbook.net/fr/equipement/4010266-cra-m-200/objets", "link")</f>
        <v/>
      </c>
      <c r="C29180" t="n">
        <v>2</v>
      </c>
      <c r="D29180" t="inlineStr">
        <is>
          <t>Hache du Chalœil; Amulette du Strigide; Anneau de Padgref; Bague Gloursonne; Quatre-feuilles; Ceinture du Strigide; Kidibonnet; Voile d'encre; Bottes du Chalœil; Dofus Pourpre; Dofus Turquoise; Dofus des Glaces; Nomade; Vigoureux majeur; Chacha Angora</t>
        </is>
      </c>
    </row>
    <row r="29181">
      <c r="A29181" t="inlineStr">
        <is>
          <t>Aaa</t>
        </is>
      </c>
      <c r="B29181">
        <f>HYPERLINK("https://www.dofusbook.net/fr/equipement/961269-aaa/objets", "link")</f>
        <v/>
      </c>
      <c r="C29181" t="n">
        <v>0</v>
      </c>
      <c r="D29181" t="inlineStr">
        <is>
          <t>Hache du Chalœil; Amulette du Strigide; Bague Gloursonne; Anneau de Padgref; Quatre-feuilles; Ceinture du Strigide; Coiffe du Lévitrof; Voile d'encre; Bottes Honyme; Dofus Pourpre; Dofus des Glaces; Dofus Turquoise; Dofus Ocre; Vigoureux majeur</t>
        </is>
      </c>
    </row>
    <row r="29182">
      <c r="A29182" t="inlineStr">
        <is>
          <t>Eliotrope F 200</t>
        </is>
      </c>
      <c r="B29182">
        <f>HYPERLINK("https://www.dofusbook.net/fr/equipement/4099740-eliotrope-f-200/objets", "link")</f>
        <v/>
      </c>
      <c r="C29182" t="n">
        <v>0</v>
      </c>
      <c r="D29182" t="inlineStr">
        <is>
          <t>Sceptre du Roi Joueur; Amulette de Shokkoth; Bracelet des Fonds marins; Alliance Gloursonne; Quatre-feuilles; Poulpagne; Coiffe de Danathor; Cape de la Dame du Hasard; Bottes de la Dame du Hasard; Dofus Pourpre; Dofus Abyssal; Dofus Ocre; Dofus Turquoise; Chanceux majeur</t>
        </is>
      </c>
    </row>
    <row r="29183">
      <c r="A29183" t="inlineStr">
        <is>
          <t>Ecaflip M 200</t>
        </is>
      </c>
      <c r="B29183">
        <f>HYPERLINK("https://www.dofusbook.net/fr/equipement/3468081-ecaflip-m-200/objets", "link")</f>
        <v/>
      </c>
      <c r="C29183" t="n">
        <v>3</v>
      </c>
      <c r="D29183" t="inlineStr">
        <is>
          <t>Sceptre du Roi Joueur; Amulette de Shokkoth; Bracelet des Fonds marins; Anneau Volkorne; Bouclier du Stalak; Pagne du Rykaon; Kidibonnet; Cape de la Dame du Hasard; Bottes de la Dame du Hasard; Dofus Abyssal; Dofus Pourpre; Dofus Turquoise; Dofus Ocre; Nomade; Chanceux majeur</t>
        </is>
      </c>
    </row>
    <row r="29184">
      <c r="A29184" t="inlineStr">
        <is>
          <t>Sram F 200</t>
        </is>
      </c>
      <c r="B29184">
        <f>HYPERLINK("https://www.dofusbook.net/fr/equipement/3751434-sram-f-200/objets", "link")</f>
        <v/>
      </c>
      <c r="C29184" t="n">
        <v>0</v>
      </c>
      <c r="D29184" t="inlineStr">
        <is>
          <t>Arc du Chalœil; Collier de Tourthon; Bague Gloursonne; Anneau Chevelu; Bouclier du Stalak; Ceinture Volkorne; Masque de Koutoulou; Cape au Logis; Bottes du Cœur Saignant; Dofus Pourpre; Dofus Ocre; Dofus Turquoise; Dofus Nébuleux; Dofus Ivoire; Enragé majeur; Bulbisou</t>
        </is>
      </c>
    </row>
    <row r="29185">
      <c r="A29185" t="inlineStr">
        <is>
          <t>Zobal M 200</t>
        </is>
      </c>
      <c r="B29185">
        <f>HYPERLINK("https://www.dofusbook.net/fr/equipement/4058432-zobal-m-200/objets", "link")</f>
        <v/>
      </c>
      <c r="C29185" t="n">
        <v>0</v>
      </c>
      <c r="D29185" t="inlineStr">
        <is>
          <t>Arc Nécrotique; Amulette du Strigide; Bague Trithon; Bracelet des Fonds marins; Quatre-feuilles; Ceinture du Strigide; Masque Trithon; Cape de la Dame du Hasard; Bottes de la Dame du Hasard; Dofus Pourpre; Dofus Ivoire; Dofus Turquoise; Dofus Vulbis; Dofus Abyssal; Dofus Ocre; Sakochère</t>
        </is>
      </c>
    </row>
    <row r="29186">
      <c r="A29186" t="inlineStr">
        <is>
          <t>Zobal M 200</t>
        </is>
      </c>
      <c r="B29186">
        <f>HYPERLINK("https://www.dofusbook.net/fr/equipement/4029985-zobal-m-200/objets", "link")</f>
        <v/>
      </c>
      <c r="C29186" t="n">
        <v>1</v>
      </c>
      <c r="D29186" t="inlineStr">
        <is>
          <t>Lav'Hache; Torquistik; Alliance Gloursonne; Bague Trithon; Bouclier précieux; Ceinture Gence; Casque Dragoeuf; Cape Solution; Bottistik; Dofus Émeraude; Dofus Abyssal; Pousseur majeur; Bousculeur majeur; Miraculé majeur; Culbuteur majeur; Balafreux</t>
        </is>
      </c>
    </row>
    <row r="29187">
      <c r="A29187" t="inlineStr">
        <is>
          <t>Féca M 200</t>
        </is>
      </c>
      <c r="B29187">
        <f>HYPERLINK("https://www.dofusbook.net/fr/equipement/4029984-feca-m-200/objets", "link")</f>
        <v/>
      </c>
      <c r="C29187" t="n">
        <v>0</v>
      </c>
      <c r="D29187" t="inlineStr"/>
    </row>
    <row r="29188">
      <c r="A29188" t="inlineStr">
        <is>
          <t>vitalité</t>
        </is>
      </c>
      <c r="B29188">
        <f>HYPERLINK("https://www.dofusbook.net/fr/equipement/2705044-vitalite/objets", "link")</f>
        <v/>
      </c>
      <c r="C29188" t="n">
        <v>1</v>
      </c>
      <c r="D29188" t="inlineStr">
        <is>
          <t>Arc du Chalœil; Torquistik; Alliance Gloursonne; Bague Trithon; Bouclier précieux; Ceinture Gence; Casque Dragoeuf; Cape du Cœur Vaillant; Bottistik; Dofus Ivoire; Dofus Abyssal; Bousculeur majeur; Culbuteur majeur; Remueur; Pousseur majeur; Balafreux</t>
        </is>
      </c>
    </row>
    <row r="29189">
      <c r="A29189" t="inlineStr">
        <is>
          <t>Zobal M 200</t>
        </is>
      </c>
      <c r="B29189">
        <f>HYPERLINK("https://www.dofusbook.net/fr/equipement/3774848-zobal-m-200/objets", "link")</f>
        <v/>
      </c>
      <c r="C29189" t="n">
        <v>1</v>
      </c>
      <c r="D29189" t="inlineStr">
        <is>
          <t>Hache Téroïde; Amulette du Strigide; Bague Trithon; Alliance Gloursonne; Bouclier du Captain Amakna; Ceinture du Strigide; Masque Trithon; Cape au Logis; Bottes Trithon; Dofus Turquoise; Dofus des Glaces; Dofus Pourpre; Dofus Ocre; Dofus Abyssal; Dofus Ivoire; Kokulte</t>
        </is>
      </c>
    </row>
    <row r="29190">
      <c r="A29190" t="inlineStr">
        <is>
          <t>Sadida M 200</t>
        </is>
      </c>
      <c r="B29190">
        <f>HYPERLINK("https://www.dofusbook.net/fr/equipement/3924568-sadida-m-200/objets", "link")</f>
        <v/>
      </c>
      <c r="C29190" t="n">
        <v>2</v>
      </c>
      <c r="D29190" t="inlineStr">
        <is>
          <t>Arc Honte; Amulette Martegel; Bague Gloursonne; Alliance Gloursonne; Bouclier du Stalak; Ceinture de l'Indicible; Masquegel; Cape Martegel; Bottes de l'Indicible; Dofus Ivoire; Dofus Ocre; Dofus Abyssal; Dofus des Glaces; Muldo Orchidée et Pourpre</t>
        </is>
      </c>
    </row>
    <row r="29191">
      <c r="A29191" t="inlineStr">
        <is>
          <t>Pandawa M 200</t>
        </is>
      </c>
      <c r="B29191">
        <f>HYPERLINK("https://www.dofusbook.net/fr/equipement/3369134-pandawa-m-200/objets", "link")</f>
        <v/>
      </c>
      <c r="C29191" t="n">
        <v>0</v>
      </c>
      <c r="D29191" t="inlineStr">
        <is>
          <t>Epée Gloursonne; Amulette de Danathor; Alliance Gloursonne; Bague Gloursonne; Quatre-feuilles; Ceinture de Danathor; Coiffe de Danathor; Cape de Léthaline; Getas Bernacle; Dofus Turquoise; Dofus des Glaces; Dofus Émeraude; Dofus Ocre; Dofus Pourpre; Dofus Abyssal; Dragodinde Prune et Indigo</t>
        </is>
      </c>
    </row>
    <row r="29192">
      <c r="A29192" t="inlineStr">
        <is>
          <t>huoeer</t>
        </is>
      </c>
      <c r="B29192">
        <f>HYPERLINK("https://www.dofusbook.net/fr/equipement/961565-huoeer/objets", "link")</f>
        <v/>
      </c>
      <c r="C29192" t="n">
        <v>0</v>
      </c>
      <c r="D29192" t="inlineStr">
        <is>
          <t>Marteau R'ture; Amulette Luminescente; Pikano; Anneau Vicieux; Bouclier cubiste; Maskrobe; Cape Peupret; Pikottes; Dofus Abyssal; Dofus Ocre; Fonceur majeur; Temporiseur majeur; Entraveur majeur; Remueur</t>
        </is>
      </c>
    </row>
    <row r="29193">
      <c r="A29193" t="inlineStr">
        <is>
          <t>Steamer M 200</t>
        </is>
      </c>
      <c r="B29193">
        <f>HYPERLINK("https://www.dofusbook.net/fr/equipement/3848411-steamer-m-200/objets", "link")</f>
        <v/>
      </c>
      <c r="C29193" t="n">
        <v>0</v>
      </c>
      <c r="D29193" t="inlineStr">
        <is>
          <t>Hachoirs de Viandargh; Collier du Valet Veinard; Alliance Gloursonne; Gant du Valet Veinard; Bouclier Taverne; Menoture; Dorabysses; Capibou; Palmes Trithons; Dofus Ocre; Dofus Turquoise; Culbuteur majeur; Bousculeur majeur; Cascadeur majeur; Tofoudre</t>
        </is>
      </c>
    </row>
    <row r="29194">
      <c r="A29194" t="inlineStr">
        <is>
          <t>Crâ M 200</t>
        </is>
      </c>
      <c r="B29194">
        <f>HYPERLINK("https://www.dofusbook.net/fr/equipement/3589265-cra-m-200/objets", "link")</f>
        <v/>
      </c>
      <c r="C29194" t="n">
        <v>2</v>
      </c>
      <c r="D29194" t="inlineStr">
        <is>
          <t>Epée Gloursonne; Amulette du Strigide; Alliance Gloursonne; Bague Gloursonne; Quatre-feuilles; Ceinture du Strigide; Masque Vaudou Tam; Cape de la Fuji Givrefoux; Bottes du Strigide; Dofus Kaliptus; Dofus Ocre; Dofus Turquoise; Dofus des Glaces; Dofus Nébuleux; Dofus Pourpre; Tifoux Tigré</t>
        </is>
      </c>
    </row>
    <row r="29195">
      <c r="A29195" t="inlineStr">
        <is>
          <t>Zobal M 200</t>
        </is>
      </c>
      <c r="B29195">
        <f>HYPERLINK("https://www.dofusbook.net/fr/equipement/3751256-zobal-m-200/objets", "link")</f>
        <v/>
      </c>
      <c r="C29195" t="n">
        <v>1</v>
      </c>
      <c r="D29195" t="inlineStr">
        <is>
          <t>Sceptre du Roi Joueur; Amulette du Sinistrofu; Alliance Gloursonne; Bague Trithon; Bouclier Taverne; Sangle Ouare; Casque Dragoeuf; Cape Solution; Bottes Trithon; Dofus Ocre; Dofus Ivoire; Pousseur majeur; Culbuteur majeur; Bousculeur majeur; Chanceux majeur; Écumouth</t>
        </is>
      </c>
    </row>
    <row r="29196">
      <c r="A29196" t="inlineStr">
        <is>
          <t>kiki</t>
        </is>
      </c>
      <c r="B29196">
        <f>HYPERLINK("https://www.dofusbook.net/fr/equipement/2229232-kiki/objets", "link")</f>
        <v/>
      </c>
      <c r="C29196" t="n">
        <v>7</v>
      </c>
      <c r="D29196" t="inlineStr">
        <is>
          <t>Arc corrompu; Pendentif affamé; Anneau Tique; Anneauræus; Bouclier du Stalak; Ceinture de Gein; Masquegel; Cape Martegel; Pataugastrique; Dofus Ivoire; Dofus Ocre; Dofus Pourpre; Dofus Émeraude; Déserteur majeur; Érudit majeur; Muldo Orchidée et Pourpre</t>
        </is>
      </c>
    </row>
    <row r="29197">
      <c r="A29197" t="inlineStr">
        <is>
          <t>Eniripsa F 200</t>
        </is>
      </c>
      <c r="B29197">
        <f>HYPERLINK("https://www.dofusbook.net/fr/equipement/3751370-eniripsa-f-200/objets", "link")</f>
        <v/>
      </c>
      <c r="C29197" t="n">
        <v>3</v>
      </c>
      <c r="D29197" t="inlineStr">
        <is>
          <t>Sceptre du Roi Joueur; Amulette de Shokkoth; Alliance Gloursonne; Bracelet des Fonds marins; Bouclier du Stalak; Culotte de Bethel; Masque de Funespadon; Cape de l'Œil Attentif; Chaussons de Macrab; Dofus Ivoire; Dofus Ocre; Dofus Pourpre; Dofus Abyssal</t>
        </is>
      </c>
    </row>
    <row r="29198">
      <c r="A29198" t="inlineStr">
        <is>
          <t>Roublard M 200</t>
        </is>
      </c>
      <c r="B29198">
        <f>HYPERLINK("https://www.dofusbook.net/fr/equipement/3498201-roublard-m-200/objets", "link")</f>
        <v/>
      </c>
      <c r="C29198" t="n">
        <v>5</v>
      </c>
      <c r="D29198" t="inlineStr">
        <is>
          <t>Arc Hétype; Pendentif affamé; Anneau Tamie; Anneau Tamie; Bouclier du Stalak; Ceinture Séculaire; Coiffe Séculaire; Cape de Diondin; Bottes Innommables; Dofus des Glaces; Saccageur Feu majeur; Nomade; Dévastateur Feu majeur; Érudit majeur; Remueur; Dragodinde Orchidée</t>
        </is>
      </c>
    </row>
    <row r="29199">
      <c r="A29199" t="inlineStr">
        <is>
          <t>bibopklz</t>
        </is>
      </c>
      <c r="B29199">
        <f>HYPERLINK("https://www.dofusbook.net/fr/equipement/3554502-bibopklz/objets", "link")</f>
        <v/>
      </c>
      <c r="C29199" t="n">
        <v>0</v>
      </c>
      <c r="D29199" t="inlineStr">
        <is>
          <t>Bâton Brelle; Frimamulette; Anneau Pwal; Gelano; Bouclier Taverne; Ceinture de Nevark; Couronne d'Allister; Cape Matelassée; Bottes d'Allister; Dofus Pourpre; Nomade; Dévastateur Air majeur; Remueur; Vigoureux majeur; Cascadeur majeur</t>
        </is>
      </c>
    </row>
    <row r="29200">
      <c r="A29200" t="inlineStr">
        <is>
          <t>Xélor M 200</t>
        </is>
      </c>
      <c r="B29200">
        <f>HYPERLINK("https://www.dofusbook.net/fr/equipement/3554404-xelor-m-200/objets", "link")</f>
        <v/>
      </c>
      <c r="C29200" t="n">
        <v>0</v>
      </c>
      <c r="D29200" t="inlineStr">
        <is>
          <t>Dagoulinantes; Collier Rophante; Alliance Gloursonne; Anneau du Professeur Xa; Sept ans de malheur; Ceinture de la Cour Sombre; Casque Dragoeuf; Cape Matelassée; Bottes d'Oshimo; Dofus Abyssal; Dofus Ocre; Paralyseur majeur; Étourdisseur majeur; Croum</t>
        </is>
      </c>
    </row>
    <row r="29201">
      <c r="A29201" t="inlineStr">
        <is>
          <t>Féca M 200</t>
        </is>
      </c>
      <c r="B29201">
        <f>HYPERLINK("https://www.dofusbook.net/fr/equipement/3569561-feca-m-200/objets", "link")</f>
        <v/>
      </c>
      <c r="C29201" t="n">
        <v>0</v>
      </c>
      <c r="D29201" t="inlineStr"/>
    </row>
    <row r="29202">
      <c r="A29202" t="inlineStr">
        <is>
          <t>Enutrof M 200</t>
        </is>
      </c>
      <c r="B29202">
        <f>HYPERLINK("https://www.dofusbook.net/fr/equipement/3457554-enutrof-m-200/objets", "link")</f>
        <v/>
      </c>
      <c r="C29202" t="n">
        <v>0</v>
      </c>
      <c r="D29202" t="inlineStr">
        <is>
          <t>Lance Horselé; Collier du Valet Veinard; Gant du Valet Veinard; Alliance Gloursonne; Cadran de Terre; Menoture; Dorabysses; Cape du Kamasterisk; Palmes Trithons; Dofus Ivoire; Dofus Ocre; Dofus Abyssal; Cascadeur majeur; Paralyseur majeur; Étourdisseur majeur; Muldo Ebène et Indigo</t>
        </is>
      </c>
    </row>
    <row r="29203">
      <c r="A29203" t="inlineStr">
        <is>
          <t>Pandawa F 200</t>
        </is>
      </c>
      <c r="B29203">
        <f>HYPERLINK("https://www.dofusbook.net/fr/equipement/3432469-pandawa-f-200/objets", "link")</f>
        <v/>
      </c>
      <c r="C29203" t="n">
        <v>2</v>
      </c>
      <c r="D29203" t="inlineStr">
        <is>
          <t>Rouleau à Pâtisserie d'Aermyne; Collier Rophante; Anneau de Pol Ouatnos; Alliance Gloursonne; Bouclier d'Anerice; Ceinture de Kongoku; Casque Dragoeuf; Cape d'Anerice; Pataugastrique</t>
        </is>
      </c>
    </row>
    <row r="29204">
      <c r="A29204" t="inlineStr">
        <is>
          <t>Féca M 200</t>
        </is>
      </c>
      <c r="B29204">
        <f>HYPERLINK("https://www.dofusbook.net/fr/equipement/3506968-feca-m-200/objets", "link")</f>
        <v/>
      </c>
      <c r="C29204" t="n">
        <v>0</v>
      </c>
      <c r="D29204" t="inlineStr"/>
    </row>
    <row r="29205">
      <c r="A29205" t="inlineStr">
        <is>
          <t>Ecaflip M 200</t>
        </is>
      </c>
      <c r="B29205">
        <f>HYPERLINK("https://www.dofusbook.net/fr/equipement/3396005-ecaflip-m-200/objets", "link")</f>
        <v/>
      </c>
      <c r="C29205" t="n">
        <v>0</v>
      </c>
      <c r="D29205" t="inlineStr">
        <is>
          <t>Sceptre du Roi Joueur; Amulette de Shokkoth; Alliance Gloursonne; Bracelet des Fonds marins; Bouclier du Stalak; Pagne du Rykaon; Kidibonnet; Cape de la Dame du Hasard; Bottes de la Dame du Hasard; Dofus Turquoise; Dofus Abyssal; Dofus Pourpre; Nomade; Remueur; Chanceux majeur</t>
        </is>
      </c>
    </row>
    <row r="29206">
      <c r="A29206" t="inlineStr">
        <is>
          <t>Pandawa F 200</t>
        </is>
      </c>
      <c r="B29206">
        <f>HYPERLINK("https://www.dofusbook.net/fr/equipement/3351762-pandawa-f-200/objets", "link")</f>
        <v/>
      </c>
      <c r="C29206" t="n">
        <v>1</v>
      </c>
      <c r="D29206" t="inlineStr">
        <is>
          <t>Rouleau à Pâtisserie d'Aermyne; Collier Rophante; Alliance Gloursonne; Anneau de Pol Ouatnos; Bouclier d'Anerice; Ceinture de Kongoku; Casque Dragoeuf; Cape d'Anerice; Pataugastrique; Dofus Ivoire; Dofus Émeraude; Obstructeur majeur; Bloqueur majeur; Tacleur majeur; Remueur; Blokus</t>
        </is>
      </c>
    </row>
    <row r="29207">
      <c r="A29207" t="inlineStr">
        <is>
          <t>Ecaflip F 200</t>
        </is>
      </c>
      <c r="B29207">
        <f>HYPERLINK("https://www.dofusbook.net/fr/equipement/3354347-ecaflip-f-200/objets", "link")</f>
        <v/>
      </c>
      <c r="C29207" t="n">
        <v>0</v>
      </c>
      <c r="D29207" t="inlineStr">
        <is>
          <t>Hache du Chalœil; Amulette du Strigide; Bague Gloursonne; Bracelet du Piloztère; Quatre-feuilles; Ceintacé; Coiffe du Lévitrof; Voile d'encre; Bottes du Strigide; Dofus Abyssal; Dofus Pourpre; Dofus des Glaces; Dofus Turquoise; Remueur; Nomade</t>
        </is>
      </c>
    </row>
    <row r="29208">
      <c r="A29208" t="inlineStr">
        <is>
          <t>Iop M 200</t>
        </is>
      </c>
      <c r="B29208">
        <f>HYPERLINK("https://www.dofusbook.net/fr/equipement/3366755-iop-m-200/objets", "link")</f>
        <v/>
      </c>
      <c r="C29208" t="n">
        <v>1</v>
      </c>
      <c r="D29208" t="inlineStr">
        <is>
          <t>Lav'Hache; Amulette Luminescente; Anneau du Comte Harebourg; Anneau Crustique; Quatre-feuilles; Ceinture Luminescente; Coiffe du Comte Harebourg; Cape Luminescente; Bottes du Comte Harebourg; Dofus Abyssal; Dofus Ocre; Dofus des Glaces; Dofus Pourpre; Dofus Nébuleux; Forcené majeur</t>
        </is>
      </c>
    </row>
    <row r="29209">
      <c r="A29209" t="inlineStr">
        <is>
          <t>Sram M 200</t>
        </is>
      </c>
      <c r="B29209">
        <f>HYPERLINK("https://www.dofusbook.net/fr/equipement/3265979-sram-m-200/objets", "link")</f>
        <v/>
      </c>
      <c r="C29209" t="n">
        <v>0</v>
      </c>
      <c r="D29209" t="inlineStr">
        <is>
          <t>Hache du Korriandre; Amulette d'Ilyzaelle; Bague Gloursonne; Alliance Gloursonne; Bouclier du Stalak; Ceinture de la Reine des Voleurs; Casque d'Ilyzaelle; Cape Solution; Bottes de la Reine des Voleurs; Dokoko; Dofus Ocre; Dofus Émeraude; Dofus Abyssal; Dofus Pourpre; Muldo Ebène</t>
        </is>
      </c>
    </row>
    <row r="29210">
      <c r="A29210" t="inlineStr">
        <is>
          <t>Pandawa F 200</t>
        </is>
      </c>
      <c r="B29210">
        <f>HYPERLINK("https://www.dofusbook.net/fr/equipement/3351668-pandawa-f-200/objets", "link")</f>
        <v/>
      </c>
      <c r="C29210" t="n">
        <v>1</v>
      </c>
      <c r="D29210" t="inlineStr">
        <is>
          <t>Bêche Asse; Collier de Tourthon; Anneau de Brouce; Bague Gloursonne; Quatre-feuilles; Ceinture du Strigide; Masque de Koutoulou; Voile d'encre; Bottes de Brouce; Dofus Turquoise; Dofus Émeraude; Dofus Pourpre; Enragé majeur; El Scarador</t>
        </is>
      </c>
    </row>
    <row r="29211">
      <c r="A29211" t="inlineStr">
        <is>
          <t>Féca M 200</t>
        </is>
      </c>
      <c r="B29211">
        <f>HYPERLINK("https://www.dofusbook.net/fr/equipement/3351666-feca-m-200/objets", "link")</f>
        <v/>
      </c>
      <c r="C29211" t="n">
        <v>0</v>
      </c>
      <c r="D29211" t="inlineStr"/>
    </row>
    <row r="29212">
      <c r="A29212" t="inlineStr">
        <is>
          <t>Pandawa F 200</t>
        </is>
      </c>
      <c r="B29212">
        <f>HYPERLINK("https://www.dofusbook.net/fr/equipement/3351519-pandawa-f-200/objets", "link")</f>
        <v/>
      </c>
      <c r="C29212" t="n">
        <v>0</v>
      </c>
      <c r="D29212" t="inlineStr"/>
    </row>
    <row r="29213">
      <c r="A29213" t="inlineStr">
        <is>
          <t>air</t>
        </is>
      </c>
      <c r="B29213">
        <f>HYPERLINK("https://www.dofusbook.net/fr/equipement/2604052-air/objets", "link")</f>
        <v/>
      </c>
      <c r="C29213" t="n">
        <v>0</v>
      </c>
      <c r="D29213" t="inlineStr">
        <is>
          <t>Baguette Héroclite; Amulette de Shokkoth; Bracelet des Fonds marins; Alliance Gloursonne; Bouclier du Stalak; Ceinture Voldelor; Kidibonnet; Cape Solution; Sandales des Fonds marins; Chanceux majeur; Muldo Indigo</t>
        </is>
      </c>
    </row>
    <row r="29214">
      <c r="A29214" t="inlineStr">
        <is>
          <t>frg</t>
        </is>
      </c>
      <c r="B29214">
        <f>HYPERLINK("https://www.dofusbook.net/fr/equipement/2866301-frg/objets", "link")</f>
        <v/>
      </c>
      <c r="C29214" t="n">
        <v>0</v>
      </c>
      <c r="D29214" t="inlineStr">
        <is>
          <t>Bâtonnet Ronien; Amulette du Strigide; Bague Gloursonne; Alliance Gloursonne; Quatre-feuilles; Ceinture du Strigide; Némès de Tal Kasha; Chevelure de Tal Kasha; Sandales de Tal Kasha; Dofus Pourpre; Dofus des Glaces; Dofus Turquoise; Dofus Abyssal; Dofus Émeraude; Dofus Ocre</t>
        </is>
      </c>
    </row>
    <row r="29215">
      <c r="A29215" t="inlineStr">
        <is>
          <t>pvmm</t>
        </is>
      </c>
      <c r="B29215">
        <f>HYPERLINK("https://www.dofusbook.net/fr/equipement/2510463-pvmm/objets", "link")</f>
        <v/>
      </c>
      <c r="C29215" t="n">
        <v>0</v>
      </c>
      <c r="D29215" t="inlineStr">
        <is>
          <t>Baguette de Frigostine; Collier du Valet Veinard; Alliance Gloursonne; Gant du Valet Veinard; Bouclier du Stalak; Ceintouse; Chapoulpe; Cape du Valet Veinard; Tentassons; Dofus Turquoise; Dofus des Glaces; Dofus Pourpre; Dofus Ocre; Dolmanax; Dofus Abyssal</t>
        </is>
      </c>
    </row>
    <row r="29216">
      <c r="A29216" t="inlineStr">
        <is>
          <t>terre</t>
        </is>
      </c>
      <c r="B29216">
        <f>HYPERLINK("https://www.dofusbook.net/fr/equipement/2823645-terre/objets", "link")</f>
        <v/>
      </c>
      <c r="C29216" t="n">
        <v>1</v>
      </c>
      <c r="D29216" t="inlineStr">
        <is>
          <t>Lav'Hache; Collier de Tourthon; Anneau du Comte Harebourg; Anneau de Brouce; Bouclier du Captain Amakna; Ceinture de Brouce; Coiffe du Comte Harebourg; Cape du Professeur Xa; Bottes de Brouce; Dofus Pourpre; Dofus des Glaces; Dofus Turquoise; Dofus Nébuleux; Dofus Ocre; Dofus Abyssal</t>
        </is>
      </c>
    </row>
    <row r="29217">
      <c r="A29217" t="inlineStr">
        <is>
          <t>coromp</t>
        </is>
      </c>
      <c r="B29217">
        <f>HYPERLINK("https://www.dofusbook.net/fr/equipement/2702192-coromp/objets", "link")</f>
        <v/>
      </c>
      <c r="C29217" t="n">
        <v>0</v>
      </c>
      <c r="D29217" t="inlineStr">
        <is>
          <t>Lance corrompue; Amulette du Kamasterisk; Alliance Brûlâme; Alliance Gloursonne; Bouclier du Captain Amakna; Ceinture de Nevark; Coiffe de la Reine des Voleurs; Cape du Kamasterisk; Baleinabottes; Dofus Pourpre; Dofus Abyssal; Dofus Ocre; Dofus Ivoire; Dofus des Glaces</t>
        </is>
      </c>
    </row>
    <row r="29218">
      <c r="A29218" t="inlineStr">
        <is>
          <t>terrre</t>
        </is>
      </c>
      <c r="B29218">
        <f>HYPERLINK("https://www.dofusbook.net/fr/equipement/2669910-terrre/objets", "link")</f>
        <v/>
      </c>
      <c r="C29218" t="n">
        <v>0</v>
      </c>
      <c r="D29218" t="inlineStr">
        <is>
          <t>Arc du Chalœil; Collier de Tourthon; Bracelet du Piloztère; Bague Gloursonne; Bouclier du Stalak; Ceinture de Brouce; Masque de Koutoulou; Bottes de Brouce; Dofus Pourpre; Dofus Ocre; Dofus Abyssal; Furibond majeur; Enragé majeur; Muldo Doré</t>
        </is>
      </c>
    </row>
    <row r="29219">
      <c r="A29219" t="inlineStr">
        <is>
          <t>terre air</t>
        </is>
      </c>
      <c r="B29219">
        <f>HYPERLINK("https://www.dofusbook.net/fr/equipement/2601974-terre-air/objets", "link")</f>
        <v/>
      </c>
      <c r="C29219" t="n">
        <v>0</v>
      </c>
      <c r="D29219" t="inlineStr">
        <is>
          <t>Lav'Hache; Amulette du Strigide; Alliance Gloursonne; Anneau Crustique; Sept ans de malheur; Ceintouse; Masque de Koutoulou; Voile d'encre; Tentassons; Dofus Abyssal; Dofus Ivoire; Dofus Pourpre; Dofus des Glaces; Étourdisseur majeur; Remueur; Muldo Indigo et Pourpre</t>
        </is>
      </c>
    </row>
    <row r="29220">
      <c r="A29220" t="inlineStr">
        <is>
          <t>guez</t>
        </is>
      </c>
      <c r="B29220">
        <f>HYPERLINK("https://www.dofusbook.net/fr/equipement/2601830-guez/objets", "link")</f>
        <v/>
      </c>
      <c r="C29220" t="n">
        <v>0</v>
      </c>
      <c r="D29220" t="inlineStr">
        <is>
          <t>Collier du Valet Veinard; Gant du Valet Veinard; Alliance Gloursonne; Sept ans de malheur; Menoture; Dorabysses; Cape Indescriptible; Palmes Trithons; Étourdisseur majeur; Obstructeur majeur; Cascadeur majeur; Remueur; Déserteur majeur</t>
        </is>
      </c>
    </row>
    <row r="29221">
      <c r="A29221" t="inlineStr">
        <is>
          <t>eau</t>
        </is>
      </c>
      <c r="B29221">
        <f>HYPERLINK("https://www.dofusbook.net/fr/equipement/2598529-eau/objets", "link")</f>
        <v/>
      </c>
      <c r="C29221" t="n">
        <v>0</v>
      </c>
      <c r="D29221" t="inlineStr">
        <is>
          <t>Dagoulinantes; Amulette du Strigide; Bague Trithon; Alliance Gloursonne; Bouclier précieux; Sangle Ouare; Kidibonnet; Cape de la Dame du Hasard; Bottes de la Dame du Hasard; Dofus Abyssal; Dofus Turquoise; Dofus Émeraude; Bousculeur majeur; Remueur; Culbuteur majeur; Muldo Ebène et Indigo</t>
        </is>
      </c>
    </row>
    <row r="29222">
      <c r="A29222" t="inlineStr">
        <is>
          <t>corrompu</t>
        </is>
      </c>
      <c r="B29222">
        <f>HYPERLINK("https://www.dofusbook.net/fr/equipement/2572421-corrompu/objets", "link")</f>
        <v/>
      </c>
      <c r="C29222" t="n">
        <v>0</v>
      </c>
      <c r="D29222" t="inlineStr">
        <is>
          <t>Lance corrompue; Amulette de Nevark; Bague Gloursonne; Alliance Gloursonne; Bouclier du Captain Amakna; Ceinture de la Reine des Voleurs; Coiffe de la Reine des Voleurs; Cape de Nevark; Baleinabottes; Dofus Pourpre; Dofus Ocre; Dofus des Glaces; Féroce majeur; Robuste majeur</t>
        </is>
      </c>
    </row>
    <row r="29223">
      <c r="A29223" t="inlineStr">
        <is>
          <t>pio</t>
        </is>
      </c>
      <c r="B29223">
        <f>HYPERLINK("https://www.dofusbook.net/fr/equipement/2542402-pio/objets", "link")</f>
        <v/>
      </c>
      <c r="C29223" t="n">
        <v>0</v>
      </c>
      <c r="D29223" t="inlineStr">
        <is>
          <t>Manthache; Collier du Valet Veinard; Gant du Valet Veinard; Alliance Gloursonne; Bouclier du Stalak; Ceinture de l'Esprit Salvateur; Masque de l'Esprit Salvateur; Cape du Valet Veinard; Bottes de l'Esprit Salvateur; Dolmanax; Dofus des Glaces; Dofus Ocre; Dofus Abyssal; Dofus Pourpre</t>
        </is>
      </c>
    </row>
    <row r="29224">
      <c r="A29224" t="inlineStr">
        <is>
          <t>vitality</t>
        </is>
      </c>
      <c r="B29224">
        <f>HYPERLINK("https://www.dofusbook.net/fr/equipement/2483684-vitality/objets", "link")</f>
        <v/>
      </c>
      <c r="C29224" t="n">
        <v>0</v>
      </c>
      <c r="D29224" t="inlineStr">
        <is>
          <t>Arc du Chalœil; Amulette Luminescente; Bague Trithon; Alliance Gloursonne; Bouclier précieux; Sangle Ouare; Masque d'Anerice; Cape d'Anerice; Sabots Minables; Dofus Émeraude; Dofus Abyssal; Culbuteur majeur; Bousculeur majeur; Miraculé majeur; Remueur; El Scarador</t>
        </is>
      </c>
    </row>
    <row r="29225">
      <c r="A29225" t="inlineStr">
        <is>
          <t>eaau</t>
        </is>
      </c>
      <c r="B29225">
        <f>HYPERLINK("https://www.dofusbook.net/fr/equipement/2473945-eaau/objets", "link")</f>
        <v/>
      </c>
      <c r="C29225" t="n">
        <v>0</v>
      </c>
      <c r="D29225" t="inlineStr">
        <is>
          <t>Sceptre du Roi Joueur; Amulette Luminescente; Bracelet des Fonds marins; Alliance Gloursonne; Bouclier précieux; Ceinture du Barbétoal; Kidibonnet; Cape Luminescente; Bottes du Sinistrofu; Dofus Émeraude; Dofus Abyssal; Dokoko; Remueur; Culbuteur majeur; Bousculeur majeur</t>
        </is>
      </c>
    </row>
    <row r="29226">
      <c r="A29226" t="inlineStr">
        <is>
          <t>striiii</t>
        </is>
      </c>
      <c r="B29226">
        <f>HYPERLINK("https://www.dofusbook.net/fr/equipement/2422409-striiii/objets", "link")</f>
        <v/>
      </c>
      <c r="C29226" t="n">
        <v>0</v>
      </c>
      <c r="D29226" t="inlineStr">
        <is>
          <t>Epée Gloursonne; Amulette du Strigide; Bague Gloursonne; Alliance Gloursonne; Quatre-feuilles; Ceinture du Strigide; Masque Vaudou Tam; Cape Reski; Bottes du Strigide; Dofus Pourpre; Dofus des Glaces; Dofus Abyssal; Dofus Ocre; Dofus Cawotte; Dofus Nébuleux; Muldo Doré et Emeraude</t>
        </is>
      </c>
    </row>
    <row r="29227">
      <c r="A29227" t="inlineStr">
        <is>
          <t>pvpvp</t>
        </is>
      </c>
      <c r="B29227">
        <f>HYPERLINK("https://www.dofusbook.net/fr/equipement/2287498-pvpvp/objets", "link")</f>
        <v/>
      </c>
      <c r="C29227" t="n">
        <v>1</v>
      </c>
      <c r="D29227" t="inlineStr">
        <is>
          <t>Arc Nécrotique; Amulette du Strigide; Alliance Gloursonne; Anneau Tique; Quatre-feuilles; Ceinture de l'Esprit Malsain; Masque de l'Esprit Malsain; Cape d'Atcham; Pataugastrique; Dofus des Glaces; Dofus Pourpre; Dofus Abyssal; Dofus Turquoise; Remueur</t>
        </is>
      </c>
    </row>
    <row r="29228">
      <c r="A29228" t="inlineStr">
        <is>
          <t>yhyt</t>
        </is>
      </c>
      <c r="B29228">
        <f>HYPERLINK("https://www.dofusbook.net/fr/equipement/2253987-yhyt/objets", "link")</f>
        <v/>
      </c>
      <c r="C29228" t="n">
        <v>0</v>
      </c>
      <c r="D29228" t="inlineStr">
        <is>
          <t>Dagues de Srambad; Amulette Luminescente; Goulano; Alliance du Lévitrof; Bouclier précieux; Ceinture Luminescente; Coiffe du Lévitrof; Cape Luminescente; Bottes du Lévitrof; Dofus Pourpre; Dofus Abyssal; Dofus Ocre; Dofus Émeraude; Dofus des Glaces</t>
        </is>
      </c>
    </row>
    <row r="29229">
      <c r="A29229" t="inlineStr">
        <is>
          <t>écaa</t>
        </is>
      </c>
      <c r="B29229">
        <f>HYPERLINK("https://www.dofusbook.net/fr/equipement/2238951-ecaa/objets", "link")</f>
        <v/>
      </c>
      <c r="C29229" t="n">
        <v>0</v>
      </c>
      <c r="D29229" t="inlineStr">
        <is>
          <t>Hache du Chalœil; Amulette du Strigide; Bracelet du Piloztère; Bague Gloursonne; Quatre-feuilles; Ceintacé; Coiffe du Lévitrof; Voile d'encre; Bottes du Strigide; Dofus Turquoise; Dofus Pourpre; Dofus des Glaces; Vigoureux majeur; Nomade; Remueur</t>
        </is>
      </c>
    </row>
    <row r="29230">
      <c r="A29230" t="inlineStr">
        <is>
          <t>kiu</t>
        </is>
      </c>
      <c r="B29230">
        <f>HYPERLINK("https://www.dofusbook.net/fr/equipement/2229764-kiu/objets", "link")</f>
        <v/>
      </c>
      <c r="C29230" t="n">
        <v>0</v>
      </c>
      <c r="D29230" t="inlineStr">
        <is>
          <t>Hache du Korriandre; Amulette du Strigide; Bracelet du Piloztère; Bague Gloursonne; Bouclier du Captain Amakna; Ceinture du Strigide; Némès de Tal Kasha; Chevelure de Tal Kasha; Sandales de Tal Kasha; Dofus Émeraude; Dofus Pourpre; Dofus des Glaces; Dofus Turquoise; Dofus Ocre; Péki</t>
        </is>
      </c>
    </row>
    <row r="29231">
      <c r="A29231" t="inlineStr">
        <is>
          <t>pbb</t>
        </is>
      </c>
      <c r="B29231">
        <f>HYPERLINK("https://www.dofusbook.net/fr/equipement/2238634-pbb/objets", "link")</f>
        <v/>
      </c>
      <c r="C29231" t="n">
        <v>0</v>
      </c>
      <c r="D29231" t="inlineStr">
        <is>
          <t>Dagues d'Ilyzaelle; Amulette du Cœur Saignant; Bague Gloursonne; Bracelet du Piloztère; Bouclier du Captain Amakna; Ceinture du Strigide; Masque de Koutoulou; Cape au Logis; Bottes du Cœur Saignant; Dofus Émeraude; Dofus Turquoise; Dofus des Glaces; Remueur; Miraculé majeur</t>
        </is>
      </c>
    </row>
    <row r="29232">
      <c r="A29232" t="inlineStr">
        <is>
          <t>kikpoo</t>
        </is>
      </c>
      <c r="B29232">
        <f>HYPERLINK("https://www.dofusbook.net/fr/equipement/2220836-kikpoo/objets", "link")</f>
        <v/>
      </c>
      <c r="C29232" t="n">
        <v>0</v>
      </c>
      <c r="D29232" t="inlineStr">
        <is>
          <t>Epée Gloursonne; Amulette du Strigide; Alliance Gloursonne; Bague Gloursonne; Quatre-feuilles; Ceinture du Strigide; Masque Vaudou Tam; Cape Reski; Bottes du Strigide; Dofus Pourpre; Dofus Ocre; Dofus des Glaces; Dofus Turquoise; Dofus Nébuleux; Muldo Prune et Emeraude</t>
        </is>
      </c>
    </row>
    <row r="29233">
      <c r="A29233" t="inlineStr">
        <is>
          <t>jyt</t>
        </is>
      </c>
      <c r="B29233">
        <f>HYPERLINK("https://www.dofusbook.net/fr/equipement/2219317-jyt/objets", "link")</f>
        <v/>
      </c>
      <c r="C29233" t="n">
        <v>0</v>
      </c>
      <c r="D29233" t="inlineStr">
        <is>
          <t>Rouleau à Pâtisserie d'Aermyne; Amulette du Strigide; Anneau de Pol Ouatnos; Alliance Gloursonne; Bouclier d'Anerice; Sangle Ouare; Kidibonnet; Voile d'encre; Baleinabottes; Dofus Turquoise; Dofus Émeraude; Dofus Abyssal; Dofus Pourpre</t>
        </is>
      </c>
    </row>
    <row r="29234">
      <c r="A29234" t="inlineStr">
        <is>
          <t>pour</t>
        </is>
      </c>
      <c r="B29234">
        <f>HYPERLINK("https://www.dofusbook.net/fr/equipement/2193582-pour/objets", "link")</f>
        <v/>
      </c>
      <c r="C29234" t="n">
        <v>1</v>
      </c>
      <c r="D29234" t="inlineStr">
        <is>
          <t>Harpelle; Pendentif affamé; Anneau de Padgref; Kralano; Bivalve; Ceinture Séculaire; Coiffe Séculaire; Cape de Diondin; Bottes Innommables; Dofus Émeraude; Dofus Turquoise; Astucieux majeur; Érudit majeur; Nomade; Remueur</t>
        </is>
      </c>
    </row>
    <row r="29235">
      <c r="A29235" t="inlineStr">
        <is>
          <t>lolo</t>
        </is>
      </c>
      <c r="B29235">
        <f>HYPERLINK("https://www.dofusbook.net/fr/equipement/2179852-lolo/objets", "link")</f>
        <v/>
      </c>
      <c r="C29235" t="n">
        <v>1</v>
      </c>
      <c r="D29235" t="inlineStr">
        <is>
          <t>Marteau R'ture; Collier de Tourthon; Anneau Crustique; Anneau Crustique; Ceinture de la Cour Sombre; Masque de Koutoulou; Cape du Cœur Vaillant; Bottes de la Cour Sombre; Dofus Émeraude; Dofus Abyssal; Vigoureux majeur; Remueur; Enragé majeur; Muldo Pourpre</t>
        </is>
      </c>
    </row>
    <row r="29236">
      <c r="A29236" t="inlineStr">
        <is>
          <t>pvpv</t>
        </is>
      </c>
      <c r="B29236">
        <f>HYPERLINK("https://www.dofusbook.net/fr/equipement/2168683-pvpv/objets", "link")</f>
        <v/>
      </c>
      <c r="C29236" t="n">
        <v>0</v>
      </c>
      <c r="D29236" t="inlineStr">
        <is>
          <t>Héqache; Amulette du Kamasterisk; Alliance Gloursonne; Bracelet du Piloztère; Bouclier Taverne; Ceintouse; Chapoulpe; Cape du Kamasterisk; Tentassons; Dofus Émeraude; Dofus Abyssal; Dofus Turquoise; Dofus Pourpre; Dokoko; Dofus Ocre; Muldo Ebène et Indigo</t>
        </is>
      </c>
    </row>
    <row r="29237">
      <c r="A29237" t="inlineStr">
        <is>
          <t>fghj</t>
        </is>
      </c>
      <c r="B29237">
        <f>HYPERLINK("https://www.dofusbook.net/fr/equipement/2157545-fghj/objets", "link")</f>
        <v/>
      </c>
      <c r="C29237" t="n">
        <v>0</v>
      </c>
      <c r="D29237" t="inlineStr">
        <is>
          <t>Arc du Chalœil; Amulette Luminescente; Bague Trithon; Alliance Gloursonne; Bouclier précieux; Ceintacé; Masque d'Anerice; Cape d'Anerice; Bottistik; Dofus Émeraude; Dofus Abyssal; Culbuteur majeur; Miraculé majeur; Bousculeur majeur; Remueur; Muldo Ebène et Orchidée</t>
        </is>
      </c>
    </row>
    <row r="29238">
      <c r="A29238" t="inlineStr">
        <is>
          <t>do pou</t>
        </is>
      </c>
      <c r="B29238">
        <f>HYPERLINK("https://www.dofusbook.net/fr/equipement/2146995-do-pou/objets", "link")</f>
        <v/>
      </c>
      <c r="C29238" t="n">
        <v>1</v>
      </c>
      <c r="D29238" t="inlineStr">
        <is>
          <t>Arc du Chalœil; Amulette Luminescente; Alliance Gloursonne; Bague Trithon; Bouclier précieux; Sangle Ouare; Masque d'Anerice; Cape d'Anerice; Baleinabottes; Dofus Émeraude; Culbuteur majeur; Miraculé majeur; Bousculeur majeur; Remueur; Muldo Ebène et Orchidée</t>
        </is>
      </c>
    </row>
    <row r="29239">
      <c r="A29239" t="inlineStr">
        <is>
          <t>pvp</t>
        </is>
      </c>
      <c r="B29239">
        <f>HYPERLINK("https://www.dofusbook.net/fr/equipement/2136501-pvp/objets", "link")</f>
        <v/>
      </c>
      <c r="C29239" t="n">
        <v>0</v>
      </c>
      <c r="D29239" t="inlineStr">
        <is>
          <t>Hache du Chalœil; Amulette du Strigide; Bracelet du Piloztère; Bague Gloursonne; Quatre-feuilles; Ceintacé; Casque du Chalœil; Voile d'encre; Bottes du Strigide; Dofus Pourpre; Dofus Turquoise; Dofus des Glaces</t>
        </is>
      </c>
    </row>
    <row r="29240">
      <c r="A29240" t="inlineStr">
        <is>
          <t>eca</t>
        </is>
      </c>
      <c r="B29240">
        <f>HYPERLINK("https://www.dofusbook.net/fr/equipement/2118819-eca/objets", "link")</f>
        <v/>
      </c>
      <c r="C29240" t="n">
        <v>0</v>
      </c>
      <c r="D29240" t="inlineStr">
        <is>
          <t>Dagues de Srambad; Amulette de l'Indicible; Bague Gloursonne; Alliance Gloursonne; Bouclier du Captain Amakna; Ceinture de l'Indicible; Masque de l'Esprit Salvateur; Cape Luminescente; Bottes de l'Indicible; Dofus Émeraude; Dofus Ocre; Dofus Pourpre; Dofus des Glaces; Dofus Turquoise</t>
        </is>
      </c>
    </row>
    <row r="29241">
      <c r="A29241" t="inlineStr">
        <is>
          <t>feuuuuu</t>
        </is>
      </c>
      <c r="B29241">
        <f>HYPERLINK("https://www.dofusbook.net/fr/equipement/2095807-feuuuuu/objets", "link")</f>
        <v/>
      </c>
      <c r="C29241" t="n">
        <v>1</v>
      </c>
      <c r="D29241" t="inlineStr">
        <is>
          <t>Harpelle; Pendentif affamé; Anneau de Padgref; Kralano; Bivalve; Ceinture Séculaire; Coiffe Séculaire; Cape de Diondin; Bottes Innommables; Dofus Émeraude; Dofus Turquoise; Érudit majeur; Remueur; Nomade; Astucieux majeur; Muldo Orchidée</t>
        </is>
      </c>
    </row>
    <row r="29242">
      <c r="A29242" t="inlineStr">
        <is>
          <t>achhee</t>
        </is>
      </c>
      <c r="B29242">
        <f>HYPERLINK("https://www.dofusbook.net/fr/equipement/2078322-achhee/objets", "link")</f>
        <v/>
      </c>
      <c r="C29242" t="n">
        <v>0</v>
      </c>
      <c r="D29242" t="inlineStr">
        <is>
          <t>Héqache; Amulette du Strigide; Bracelet du Piloztère; Alliance Gloursonne; Bouclier d'Ilyzaelle; Ceintouse; Masque de Koutoulou; Voile d'encre; Tentassons; Dofus Pourpre; Dofus Émeraude; Dofus Turquoise; Remueur; Vigoureux majeur; Muldo Indigo et Pourpre</t>
        </is>
      </c>
    </row>
    <row r="29243">
      <c r="A29243" t="inlineStr">
        <is>
          <t>pvpvpv</t>
        </is>
      </c>
      <c r="B29243">
        <f>HYPERLINK("https://www.dofusbook.net/fr/equipement/2038939-pvpvpv/objets", "link")</f>
        <v/>
      </c>
      <c r="C29243" t="n">
        <v>1</v>
      </c>
      <c r="D29243" t="inlineStr">
        <is>
          <t>Rapière aux Glyphes; Amulette de Shokkoth; Bracelet des Fonds marins; Alliance Gloursonne; Quatre-feuilles; Poulpagne; Masque d'Anerice; Cape d'Anerice; Bottes du Sinistrofu; Dofus Turquoise; Dofus Pourpre; Dofus Abyssal; Miraculé majeur; Chanceux majeur; Remueur; Muldo Indigo</t>
        </is>
      </c>
    </row>
    <row r="29244">
      <c r="A29244" t="inlineStr">
        <is>
          <t>vpvpp</t>
        </is>
      </c>
      <c r="B29244">
        <f>HYPERLINK("https://www.dofusbook.net/fr/equipement/2038231-vpvpp/objets", "link")</f>
        <v/>
      </c>
      <c r="C29244" t="n">
        <v>0</v>
      </c>
      <c r="D29244" t="inlineStr">
        <is>
          <t>Dagoulinantes; Amulette de Shokkoth; Alliance Gloursonne; Bracelet des Fonds marins; Sept ans de malheur; Ceintrigue; Kidibonnet; Cape de l'Œil Attentif; Sandales des Fonds marins; Dofus Turquoise; Chanceux majeur; Étourdisseur majeur; Déserteur majeur; Remueur; Muldo Indigo</t>
        </is>
      </c>
    </row>
    <row r="29245">
      <c r="A29245" t="inlineStr">
        <is>
          <t>air</t>
        </is>
      </c>
      <c r="B29245">
        <f>HYPERLINK("https://www.dofusbook.net/fr/equipement/2038198-air/objets", "link")</f>
        <v/>
      </c>
      <c r="C29245" t="n">
        <v>0</v>
      </c>
      <c r="D29245" t="inlineStr">
        <is>
          <t>Pyraguette; Amulette de Pol Ouatnos; Bague Gloursonne; Alliance Gloursonne; Ceinture de l'Esprit Salvateur; Masque de l'Esprit Salvateur; Voile d'encre; Bottes de l'Esprit Salvateur; Dofus Ocre; Dofus Ivoire; Dofus Émeraude; Dokoko; Dofus Pourpre; Dofus Abyssal</t>
        </is>
      </c>
    </row>
    <row r="29246">
      <c r="A29246" t="inlineStr">
        <is>
          <t>PUII</t>
        </is>
      </c>
      <c r="B29246">
        <f>HYPERLINK("https://www.dofusbook.net/fr/equipement/1962444-puii/objets", "link")</f>
        <v/>
      </c>
      <c r="C29246" t="n">
        <v>0</v>
      </c>
      <c r="D29246" t="inlineStr">
        <is>
          <t>Marteau des Anciens Steamers; Amulette d'Ilyzaelle; Bracelet des Fonds marins; Alliance Gloursonne; Quatre-feuilles; Ceinture Voldelor; Casque d'Ilyzaelle; Cape Matelassée; Palmes Trithons; Dofus Pourpre; Dofus des Glaces; Nomade; Remueur; Vigoureux majeur</t>
        </is>
      </c>
    </row>
    <row r="29247">
      <c r="A29247" t="inlineStr">
        <is>
          <t>pvmpvm</t>
        </is>
      </c>
      <c r="B29247">
        <f>HYPERLINK("https://www.dofusbook.net/fr/equipement/1947189-pvmpvm/objets", "link")</f>
        <v/>
      </c>
      <c r="C29247" t="n">
        <v>0</v>
      </c>
      <c r="D29247" t="inlineStr">
        <is>
          <t>Hache du Chalœil; Amulette du Strigide; Bague Gloursonne; Anneau de Padgref; Quatre-feuilles; Ceinture du Strigide; Kidibonnet; Voile d'encre; Bottes du Chalœil; Dofus Turquoise; Dofus Pourpre; Dofus des Glaces; Vigoureux majeur; Remueur; Nomade</t>
        </is>
      </c>
    </row>
    <row r="29248">
      <c r="A29248" t="inlineStr">
        <is>
          <t>eavea</t>
        </is>
      </c>
      <c r="B29248">
        <f>HYPERLINK("https://www.dofusbook.net/fr/equipement/1916869-eavea/objets", "link")</f>
        <v/>
      </c>
      <c r="C29248" t="n">
        <v>0</v>
      </c>
      <c r="D29248" t="inlineStr"/>
    </row>
    <row r="29249">
      <c r="A29249" t="inlineStr">
        <is>
          <t>pvmky</t>
        </is>
      </c>
      <c r="B29249">
        <f>HYPERLINK("https://www.dofusbook.net/fr/equipement/1914540-pvmky/objets", "link")</f>
        <v/>
      </c>
      <c r="C29249" t="n">
        <v>0</v>
      </c>
      <c r="D29249" t="inlineStr">
        <is>
          <t>Capuche de l'Œil Putride</t>
        </is>
      </c>
    </row>
    <row r="29250">
      <c r="A29250" t="inlineStr">
        <is>
          <t>pko</t>
        </is>
      </c>
      <c r="B29250">
        <f>HYPERLINK("https://www.dofusbook.net/fr/equipement/1901471-pko/objets", "link")</f>
        <v/>
      </c>
      <c r="C29250" t="n">
        <v>0</v>
      </c>
      <c r="D29250" t="inlineStr">
        <is>
          <t>Harpelle; Pendentif affamé; Kralano; Anneau de Padgref; Bivalve; Ceinture Séculaire; Coiffe Séculaire; Cape de Diondin; Bottes Innommables; Dofus Turquoise; Dofus des Glaces; Nomade; Érudit majeur; Remueur; Savant majeur; Brûlih</t>
        </is>
      </c>
    </row>
    <row r="29251">
      <c r="A29251" t="inlineStr">
        <is>
          <t>gtr</t>
        </is>
      </c>
      <c r="B29251">
        <f>HYPERLINK("https://www.dofusbook.net/fr/equipement/1897605-gtr/objets", "link")</f>
        <v/>
      </c>
      <c r="C29251" t="n">
        <v>0</v>
      </c>
      <c r="D29251" t="inlineStr">
        <is>
          <t>Arc du Chalœil; Amulette Luminescente; Bague Trithon; Alliance Gloursonne; Bouclier précieux; Poulpagne; Masque d'Anerice; Cape d'Anerice; Bottes Trithon</t>
        </is>
      </c>
    </row>
    <row r="29252">
      <c r="A29252" t="inlineStr">
        <is>
          <t>vuit</t>
        </is>
      </c>
      <c r="B29252">
        <f>HYPERLINK("https://www.dofusbook.net/fr/equipement/1883558-vuit/objets", "link")</f>
        <v/>
      </c>
      <c r="C29252" t="n">
        <v>0</v>
      </c>
      <c r="D29252" t="inlineStr">
        <is>
          <t>Marteau R'ture; Collier de Tourthon; Anneau Crustique; Anneau Crustique; Bouclier précieux; Ceintouse; Masque d'Anerice; Cape d'Anerice; Goulbottes; Dofus Ocre; Dofus Émeraude; Nomade; Survivant majeur; Remueur; Miraculé majeur; Muldo Orchidée et Pourpre</t>
        </is>
      </c>
    </row>
    <row r="29253">
      <c r="A29253" t="inlineStr">
        <is>
          <t>do pouu</t>
        </is>
      </c>
      <c r="B29253">
        <f>HYPERLINK("https://www.dofusbook.net/fr/equipement/1837649-do-pouu/objets", "link")</f>
        <v/>
      </c>
      <c r="C29253" t="n">
        <v>0</v>
      </c>
      <c r="D29253" t="inlineStr">
        <is>
          <t>Héqache; Torquistik; Bague Trithon; Alliance Gloursonne; Bouclier précieux; Ceintouse; Chapoulpe; Cape d'Anerice; Goulbottes</t>
        </is>
      </c>
    </row>
    <row r="29254">
      <c r="A29254" t="inlineStr">
        <is>
          <t>Sram</t>
        </is>
      </c>
      <c r="B29254">
        <f>HYPERLINK("https://www.dofusbook.net/fr/equipement/1820604-sram/objets", "link")</f>
        <v/>
      </c>
      <c r="C29254" t="n">
        <v>0</v>
      </c>
      <c r="D29254" t="inlineStr">
        <is>
          <t>Héqache; Collier du Valet Veinard; Gant du Valet Veinard; Alliance Gloursonne; Bouclier Taverne; Ceintouse; Chapoulpe; Cape du Valet Veinard; Tentassons; Dofus Pourpre; Dofus Abyssal; Dofus Ocre; Dolmanax; Dofus Émeraude; Dofus des Glaces; Muldo Ebène et Indigo</t>
        </is>
      </c>
    </row>
    <row r="29255">
      <c r="A29255" t="inlineStr">
        <is>
          <t>hupper</t>
        </is>
      </c>
      <c r="B29255">
        <f>HYPERLINK("https://www.dofusbook.net/fr/equipement/1820339-hupper/objets", "link")</f>
        <v/>
      </c>
      <c r="C29255" t="n">
        <v>0</v>
      </c>
      <c r="D29255" t="inlineStr">
        <is>
          <t>Dagues Érhy; Amulette du Strigide; Anneau Tique; Anneau de Padgref; Bouclier Taverne; Ceinture du Strigide; Coiffe de Padgref; Voile d'encre; Getas de Padgref; Dofus des Glaces; Dofus Turquoise; Dofus Pourpre; Dofus Ocre; Dofus Abyssal; Dofus Émeraude; Muldo Orchidée et Pourpre</t>
        </is>
      </c>
    </row>
    <row r="29256">
      <c r="A29256" t="inlineStr">
        <is>
          <t>Eni</t>
        </is>
      </c>
      <c r="B29256">
        <f>HYPERLINK("https://www.dofusbook.net/fr/equipement/1820242-eni/objets", "link")</f>
        <v/>
      </c>
      <c r="C29256" t="n">
        <v>1</v>
      </c>
      <c r="D29256" t="inlineStr">
        <is>
          <t>Arc Nécrotique; Talisman Igans; Alliance Gloursonne; Bracelet des Fonds marins; Quatre-feuilles; Ceintrigue; Kidibonnet; Voile d'encre; Bottes de la Dame du Hasard; Dofus Turquoise; Dofus Émeraude; Dofus des Glaces; Fonceur majeur; Obstructeur majeur; Remueur; Muldo Roux et Amande</t>
        </is>
      </c>
    </row>
    <row r="29257">
      <c r="A29257" t="inlineStr">
        <is>
          <t>vita</t>
        </is>
      </c>
      <c r="B29257">
        <f>HYPERLINK("https://www.dofusbook.net/fr/equipement/1820096-vita/objets", "link")</f>
        <v/>
      </c>
      <c r="C29257" t="n">
        <v>1</v>
      </c>
      <c r="D29257" t="inlineStr">
        <is>
          <t>Héqache; Amulette du Strigide; Bague Trithon; Alliance Gloursonne; Bouclier Taverne; Ceinture du Strigide; Masque de Koutoulou; Voile d'encre; Tentassons; Dofus Abyssal; Dofus Turquoise; Dofus des Glaces; Dofus Émeraude; Miraculé majeur; Remueur; Muldo Ebène et Indigo</t>
        </is>
      </c>
    </row>
    <row r="29258">
      <c r="A29258" t="inlineStr">
        <is>
          <t>vitaaaa</t>
        </is>
      </c>
      <c r="B29258">
        <f>HYPERLINK("https://www.dofusbook.net/fr/equipement/1817761-vitaaaa/objets", "link")</f>
        <v/>
      </c>
      <c r="C29258" t="n">
        <v>0</v>
      </c>
      <c r="D29258" t="inlineStr">
        <is>
          <t>Arc du Chalœil; Amulette Luminescente; Bague Trithon; Alliance Gloursonne; Bouclier précieux; Sangle Ouare; Masque d'Anerice; Cape d'Anerice; Bottistik; Dofus Émeraude; Dofus Ocre; Bousculeur majeur; Miraculé majeur; Culbuteur majeur; Remueur; Péki</t>
        </is>
      </c>
    </row>
    <row r="29259">
      <c r="A29259" t="inlineStr">
        <is>
          <t>Re cri new</t>
        </is>
      </c>
      <c r="B29259">
        <f>HYPERLINK("https://www.dofusbook.net/fr/equipement/1609831-re-cri-new/objets", "link")</f>
        <v/>
      </c>
      <c r="C29259" t="n">
        <v>0</v>
      </c>
      <c r="D29259" t="inlineStr">
        <is>
          <t>Dagues de Srambad; Amulette Luminescente; Alliance Gloursonne; Goulano; Goulclier; Masque de Koutoulou; Voile d'encre; Pantoufles du Piloztère; Dofus Abyssal; Dofus Émeraude; Dokoko; Nomade; Remueur; Carapace Eau majeur; Croum</t>
        </is>
      </c>
    </row>
    <row r="29260">
      <c r="A29260" t="inlineStr">
        <is>
          <t>Aaa</t>
        </is>
      </c>
      <c r="B29260">
        <f>HYPERLINK("https://www.dofusbook.net/fr/equipement/1562505-aaa/objets", "link")</f>
        <v/>
      </c>
      <c r="C29260" t="n">
        <v>0</v>
      </c>
      <c r="D29260" t="inlineStr">
        <is>
          <t>Hache du Chalœil; Amulette du Strigide; Anneau de Padgref; Bague Gloursonne; Quatre-feuilles; Ceinture du Strigide; Kidibonnet; Voile d'encre; Bottes du Chalœil; Dofus des Glaces; Dofus Pourpre; Dofus Turquoise; Nomade; Remueur</t>
        </is>
      </c>
    </row>
    <row r="29261">
      <c r="A29261" t="inlineStr">
        <is>
          <t>pvm</t>
        </is>
      </c>
      <c r="B29261">
        <f>HYPERLINK("https://www.dofusbook.net/fr/equipement/1504790-pvm/objets", "link")</f>
        <v/>
      </c>
      <c r="C29261" t="n">
        <v>0</v>
      </c>
      <c r="D29261" t="inlineStr">
        <is>
          <t>Harpelle; Pendentif affamé; Anneauræus; Anneau Tique; Sept ans de malheur; Ceinture Séculaire; Voile d'encre; Bottes Innommables; Dofus Turquoise; Dofus Ocre; Érudit majeur; Remueur; Savant majeur; Muldo Orchidée</t>
        </is>
      </c>
    </row>
    <row r="29262">
      <c r="A29262" t="inlineStr">
        <is>
          <t>Range</t>
        </is>
      </c>
      <c r="B29262">
        <f>HYPERLINK("https://www.dofusbook.net/fr/equipement/1158742-range/objets", "link")</f>
        <v/>
      </c>
      <c r="C29262" t="n">
        <v>0</v>
      </c>
      <c r="D29262" t="inlineStr">
        <is>
          <t>Arc Oleptik; Amulette du Strigide; Bracelet du Piloztère; Anneau de Padgref; Quatre-feuilles; Ceinture du Strigide; Coiffe de Padgref; Voile d'encre; Getas de Padgref; Dofus Ocre; Dofus Nébuleux; Dofus des Glaces; Dofus Pourpre; Dofus Turquoise; Dokoko; Muldo Ebène et Indigo</t>
        </is>
      </c>
    </row>
    <row r="29263">
      <c r="A29263" t="inlineStr">
        <is>
          <t>Srambad</t>
        </is>
      </c>
      <c r="B29263">
        <f>HYPERLINK("https://www.dofusbook.net/fr/equipement/1453697-srambad/objets", "link")</f>
        <v/>
      </c>
      <c r="C29263" t="n">
        <v>0</v>
      </c>
      <c r="D29263" t="inlineStr">
        <is>
          <t>Dagues de Srambad; Amulette du Piloztère; Alliance Gloursonne; Goulano; Goulclier; Ceinture de la Reine des Voleurs; Masque de Koutoulou; Voile d'encre; Goulbottes; Dofus Émeraude; Dofus Abyssal; Dofus des Glaces; Dofus Ocre; Dofus Pourpre; Dokoko; Muldo Ebène et Indigo</t>
        </is>
      </c>
    </row>
    <row r="29264">
      <c r="A29264" t="inlineStr">
        <is>
          <t>Vitalit</t>
        </is>
      </c>
      <c r="B29264">
        <f>HYPERLINK("https://www.dofusbook.net/fr/equipement/1451971-vitalit/objets", "link")</f>
        <v/>
      </c>
      <c r="C29264" t="n">
        <v>0</v>
      </c>
      <c r="D29264" t="inlineStr">
        <is>
          <t>Marteau R'ture; Amulette du Strigide; Bracelet du Piloztère; Alliance Gloursonne; Bouclier précieux; Ceintacé; Masque d'Anerice; Ankhape; Bottes du Strigide; Dofus Turquoise; Dofus Émeraude; Miraculé; Remueur; Survivant majeur; Miraculé majeur; Muldo Ebène et Indigo</t>
        </is>
      </c>
    </row>
    <row r="29265">
      <c r="A29265" t="inlineStr">
        <is>
          <t>Dague Srambad</t>
        </is>
      </c>
      <c r="B29265">
        <f>HYPERLINK("https://www.dofusbook.net/fr/equipement/1419581-dague-srambad/objets", "link")</f>
        <v/>
      </c>
      <c r="C29265" t="n">
        <v>0</v>
      </c>
      <c r="D29265" t="inlineStr">
        <is>
          <t>Dagues de Srambad; Amulette Luminescente; Alliance Gloursonne; Pikano; Goulclier; Ceinture de la Reine des Voleurs; Masque d'Anerice; Voile d'encre; Goulbottes; Dokoko; Dofus Émeraude; Dofus Abyssal; Dofus des Glaces; Remueur; Nomade; Croum</t>
        </is>
      </c>
    </row>
    <row r="29266">
      <c r="A29266" t="inlineStr">
        <is>
          <t>Aae</t>
        </is>
      </c>
      <c r="B29266">
        <f>HYPERLINK("https://www.dofusbook.net/fr/equipement/1050595-aae/objets", "link")</f>
        <v/>
      </c>
      <c r="C29266" t="n">
        <v>0</v>
      </c>
      <c r="D29266" t="inlineStr">
        <is>
          <t>Epée Gloursonne; Torquistik; Alliance Gloursonne; Bague Gloursonne; Bouclier du Stalak; Ceinture de la Reine des Voleurs; Coiffe de la Reine des Voleurs; Voile d'encre; Bottes de la Reine des Voleurs; Dofus Cawotte; Dofus Ocre; Dofus Émeraude; Dokoko; Dofus Turquoise; Fortification majeure; Muldo Ebène et Indigo</t>
        </is>
      </c>
    </row>
    <row r="29267">
      <c r="A29267" t="inlineStr">
        <is>
          <t>Aac</t>
        </is>
      </c>
      <c r="B29267">
        <f>HYPERLINK("https://www.dofusbook.net/fr/equipement/947861-aac/objets", "link")</f>
        <v/>
      </c>
      <c r="C29267" t="n">
        <v>0</v>
      </c>
      <c r="D29267" t="inlineStr">
        <is>
          <t>Rapière aux Glyphes; Amulette Luminescente; Alliance Gloursonne; Bracelet des Fonds marins; Bouclier précieux; Ceinture Luminescente; Masque des Fonds marins; Cape Luminescente; Sandales des Fonds marins; Dofus Turquoise; Dofus Ocre; Dokoko; Dofus Émeraude; Bousculeur majeur; Pousseur majeur; Muldo Ebène et Indigo</t>
        </is>
      </c>
    </row>
    <row r="29268">
      <c r="A29268" t="inlineStr">
        <is>
          <t>Range</t>
        </is>
      </c>
      <c r="B29268">
        <f>HYPERLINK("https://www.dofusbook.net/fr/equipement/1274071-range/objets", "link")</f>
        <v/>
      </c>
      <c r="C29268" t="n">
        <v>0</v>
      </c>
      <c r="D29268" t="inlineStr">
        <is>
          <t>Baguette Range; Amulette du Strigide; Anneau de Padgref; Anneau Tique; Quatre-feuilles; Ceinture du Strigide; Coiffe de Padgref; Voile d'encre; Getas de Padgref; Dofus Turquoise; Dokoko; Dofus Ocre; Dofus Nébuleux; Dofus des Glaces; Dofus Pourpre; Muldo Ebène et Indigo</t>
        </is>
      </c>
    </row>
    <row r="29269">
      <c r="A29269" t="inlineStr">
        <is>
          <t>AAA</t>
        </is>
      </c>
      <c r="B29269">
        <f>HYPERLINK("https://www.dofusbook.net/fr/equipement/1185029-aaa/objets", "link")</f>
        <v/>
      </c>
      <c r="C29269" t="n">
        <v>0</v>
      </c>
      <c r="D29269" t="inlineStr">
        <is>
          <t>Arc de Koutoulou; Amulette du Strigide; Alliance Gloursonne; Bague Gloursonne; Sept ans de malheur; Ceinture du Strigide; Némès de Tal Kasha; Chevelure de Tal Kasha; Sandales de Tal Kasha; Dofus Pourpre; Dofus Ocre; Dofus Cawotte; Dofus Turquoise; Dofus Émeraude; Dokoko; Muldo Ebène et Indigo</t>
        </is>
      </c>
    </row>
    <row r="29270">
      <c r="A29270" t="inlineStr">
        <is>
          <t>PvP</t>
        </is>
      </c>
      <c r="B29270">
        <f>HYPERLINK("https://www.dofusbook.net/fr/equipement/1158710-pvp/objets", "link")</f>
        <v/>
      </c>
      <c r="C29270" t="n">
        <v>0</v>
      </c>
      <c r="D29270" t="inlineStr">
        <is>
          <t>Hache du Korriandre; Amulette du Strigide; Bague Gloursonne; Alliance Gloursonne; Quatre-feuilles; Ceinture du Strigide; Némès de Tal Kasha; Chevelure de Tal Kasha; Sandales de Tal Kasha; Dofus Ocre; Dokoko; Dofus Émeraude; Dofus Abyssal; Dofus Turquoise; Dofus Nébuleux; Muldo Ebène et Indigo</t>
        </is>
      </c>
    </row>
    <row r="29271">
      <c r="A29271" t="inlineStr">
        <is>
          <t>ChangeDeStuff</t>
        </is>
      </c>
      <c r="B29271">
        <f>HYPERLINK("https://www.dofusbook.net/fr/equipement/1265155-changedestuff/objets", "link")</f>
        <v/>
      </c>
      <c r="C29271" t="n">
        <v>0</v>
      </c>
      <c r="D29271" t="inlineStr">
        <is>
          <t>Héqache; Amulette du Strigide; Bague Trithon; Alliance Gloursonne; Bouclier Taverne; Ceinture du Strigide; Masque de Koutoulou; Voile d'encre; Tentassons; Dofus Turquoise; Dofus Pourpre; Dofus des Glaces; Dofus Émeraude; Remueur; Nomade; Kramkram</t>
        </is>
      </c>
    </row>
    <row r="29272">
      <c r="A29272" t="inlineStr">
        <is>
          <t>pvm</t>
        </is>
      </c>
      <c r="B29272">
        <f>HYPERLINK("https://www.dofusbook.net/fr/equipement/1120404-pvm/objets", "link")</f>
        <v/>
      </c>
      <c r="C29272" t="n">
        <v>0</v>
      </c>
      <c r="D29272" t="inlineStr">
        <is>
          <t>Hache du Korriandre; Amulette du Strigide; Bague Gloursonne; Alliance Gloursonne; Bouclier du Captain Amakna; Ceinture du Strigide; Némès de Tal Kasha; Chevelure de Tal Kasha; Sandales de Tal Kasha; Dokoko; Dofus Turquoise; Dofus Ocre; Dofus des Glaces; Dofus Émeraude; Muldo Ebène et Indigo</t>
        </is>
      </c>
    </row>
    <row r="29273">
      <c r="A29273" t="inlineStr">
        <is>
          <t>Res cri 12pa</t>
        </is>
      </c>
      <c r="B29273">
        <f>HYPERLINK("https://www.dofusbook.net/fr/equipement/1083635-res-cri-12pa/objets", "link")</f>
        <v/>
      </c>
      <c r="C29273" t="n">
        <v>0</v>
      </c>
      <c r="D29273" t="inlineStr">
        <is>
          <t>Dagues de Srambad; Amulette du Piloztère; Alliance Gloursonne; Goulano; Bouclier précieux; Ceinture de la Reine des Voleurs; Masque de Koutoulou; Voile d'encre; Goulbottes; Dofus Abyssal; Dokoko; Dofus Ocre; Dofus Émeraude; Nomade; Remueur; El Scarador</t>
        </is>
      </c>
    </row>
    <row r="29274">
      <c r="A29274" t="inlineStr">
        <is>
          <t>Aab</t>
        </is>
      </c>
      <c r="B29274">
        <f>HYPERLINK("https://www.dofusbook.net/fr/equipement/901376-aab/objets", "link")</f>
        <v/>
      </c>
      <c r="C29274" t="n">
        <v>0</v>
      </c>
      <c r="D29274" t="inlineStr">
        <is>
          <t>Héqache; Amulette du Strigide; Alliance Gloursonne; Anneau Chevelu; Bouclier Taverne; Ceinture du Strigide; Bonnet Ko; Voile d'encre; Tentassons; Dofus Émeraude; Dofus Turquoise; Dokoko; Dofus Ocre; Nomade; Remueur; Muldo Ebène et Indigo</t>
        </is>
      </c>
    </row>
    <row r="29275">
      <c r="A29275" t="inlineStr">
        <is>
          <t>Baa</t>
        </is>
      </c>
      <c r="B29275">
        <f>HYPERLINK("https://www.dofusbook.net/fr/equipement/1041715-baa/objets", "link")</f>
        <v/>
      </c>
      <c r="C29275" t="n">
        <v>0</v>
      </c>
      <c r="D29275" t="inlineStr">
        <is>
          <t>Héqache; Amulette du Strigide; Bague Gloursonne; Anneau des égarés; Bouclier du Captain Amakna; Ceinture du Strigide; Bonnet Ko; Voile d'encre; Tentassons; Dofus Émeraude; Dofus des Glaces; Dofus Turquoise; Dofus Ocre; Nomade; Remueur</t>
        </is>
      </c>
    </row>
    <row r="29276">
      <c r="A29276" t="inlineStr">
        <is>
          <t>Aaa</t>
        </is>
      </c>
      <c r="B29276">
        <f>HYPERLINK("https://www.dofusbook.net/fr/equipement/901140-aaa/objets", "link")</f>
        <v/>
      </c>
      <c r="C29276" t="n">
        <v>0</v>
      </c>
      <c r="D29276" t="inlineStr">
        <is>
          <t>Héqache; Amulette du Strigide; Alliance Gloursonne; Anneau des égarés; Bouclier du Captain Amakna; Ceintacé; Casque des égarés; Voile d'encre; Tentassons; Dofus Pourpre; Dofus Émeraude; Dofus des Glaces; Dofus Turquoise; Remueur; Muldo Ebène et Indigo</t>
        </is>
      </c>
    </row>
    <row r="29277">
      <c r="A29277" t="inlineStr">
        <is>
          <t>Aaa</t>
        </is>
      </c>
      <c r="B29277">
        <f>HYPERLINK("https://www.dofusbook.net/fr/equipement/977868-aaa/objets", "link")</f>
        <v/>
      </c>
      <c r="C29277" t="n">
        <v>0</v>
      </c>
      <c r="D29277" t="inlineStr">
        <is>
          <t>Hache du Chalœil; Amulette du Strigide; Bracelet du Piloztère; Alliance Gloursonne; Bouclier du Captain Amakna; Ceintacé; Casque du Chalœil; Voile d'encre; Bottes du Strigide; Dofus Pourpre; Dofus des Glaces; Dofus Turquoise; Dofus Nébuleux; Dofus Ocre</t>
        </is>
      </c>
    </row>
    <row r="29278">
      <c r="A29278" t="inlineStr">
        <is>
          <t>Aad</t>
        </is>
      </c>
      <c r="B29278">
        <f>HYPERLINK("https://www.dofusbook.net/fr/equipement/947889-aad/objets", "link")</f>
        <v/>
      </c>
      <c r="C29278" t="n">
        <v>0</v>
      </c>
      <c r="D29278" t="inlineStr">
        <is>
          <t>Arc de Guten Tak; Amulette du Strigide; Alliance Gloursonne; Bague Trithon; Quatre-feuilles; Ceinture du Strigide; Masque Trithon; Voile d'encre; Bottes Trithon; Dofus Émeraude; Dofus des Glaces; Dofus Turquoise; Dofus Abyssal; Dofus Pourpre; Dofus Ocre; Muldo Ebène et Indigo</t>
        </is>
      </c>
    </row>
    <row r="29279">
      <c r="A29279" t="inlineStr">
        <is>
          <t>Zobal Pvp 1</t>
        </is>
      </c>
      <c r="B29279">
        <f>HYPERLINK("https://www.dofusbook.net/fr/equipement/771128-zobal-pvp-1/objets", "link")</f>
        <v/>
      </c>
      <c r="C29279" t="n">
        <v>0</v>
      </c>
      <c r="D29279" t="inlineStr">
        <is>
          <t>Dague Adou; Amulette du Strigide; Bague Trithon; Alliance Gloursonne; Ceinture du Strigide; Masque Trithon; Voile d'encre; Bottes Trithon; Dofus Nébuleux; Dofus Turquoise; Dofus des Glaces; Dofus Ocre; Dofus Émeraude; Muldo Ebène et Pourpre</t>
        </is>
      </c>
    </row>
    <row r="29280">
      <c r="A29280" t="inlineStr">
        <is>
          <t>ponda</t>
        </is>
      </c>
      <c r="B29280">
        <f>HYPERLINK("https://www.dofusbook.net/fr/equipement/777902-ponda/objets", "link")</f>
        <v/>
      </c>
      <c r="C29280" t="n">
        <v>1</v>
      </c>
      <c r="D29280" t="inlineStr">
        <is>
          <t>Baguette de Malléfisk; Pendentif affamé; Bague Gloursonne; Anneau Tique; Carapar; Ceintrigue; Casque Dragoeuf; Cape de Diondin; Bottes Innommables; Dofus Émeraude; Carapace Terre majeur; Carapace Feu majeur; Carapace Neutre majeur; Guérisseur majeur; Muldo Orchidée</t>
        </is>
      </c>
    </row>
    <row r="29281">
      <c r="A29281" t="inlineStr">
        <is>
          <t>Poonda</t>
        </is>
      </c>
      <c r="B29281">
        <f>HYPERLINK("https://www.dofusbook.net/fr/equipement/777308-poonda/objets", "link")</f>
        <v/>
      </c>
      <c r="C29281" t="n">
        <v>0</v>
      </c>
      <c r="D29281" t="inlineStr">
        <is>
          <t>Dagoulinantes; Amulette du Strigide; Alliance Gloursonne; Bague Gloursonne; Poulpagne; Casque Dragoeuf; Voile d'encre; Bottes du Sinistrofu; Dofus Émeraude; Dokoko; Carapace Eau majeur; Nomade; Remueur; Kramkram</t>
        </is>
      </c>
    </row>
    <row r="29282">
      <c r="A29282" t="inlineStr">
        <is>
          <t>Zoub 2</t>
        </is>
      </c>
      <c r="B29282">
        <f>HYPERLINK("https://www.dofusbook.net/fr/equipement/776360-zoub-2/objets", "link")</f>
        <v/>
      </c>
      <c r="C29282" t="n">
        <v>0</v>
      </c>
      <c r="D29282" t="inlineStr">
        <is>
          <t>Hache du Chalœil; Amulette du Strigide; Alliance Gloursonne; Bracelet du Piloztère; Ceinture du Strigide; Masque de Koutoulou; Voile d'encre; Bottes de l'Indicible</t>
        </is>
      </c>
    </row>
    <row r="29283">
      <c r="A29283" t="inlineStr">
        <is>
          <t>zoub</t>
        </is>
      </c>
      <c r="B29283">
        <f>HYPERLINK("https://www.dofusbook.net/fr/equipement/776291-zoub/objets", "link")</f>
        <v/>
      </c>
      <c r="C29283" t="n">
        <v>0</v>
      </c>
      <c r="D29283" t="inlineStr">
        <is>
          <t>Dague Adou; Amulette du Strigide; Alliance Gloursonne; Bague Trithon; Bouclier du Captain Amakna; Ceinture du Strigide; Masque Trithon; Voile d'encre; Bottes Trithon; Dokoko; Dofus Turquoise; Dolmanax; Dofus Ocre; Dofus Nébuleux; Dofus Émeraude; Muldo Ebène et Pourpre</t>
        </is>
      </c>
    </row>
    <row r="29284">
      <c r="A29284" t="inlineStr">
        <is>
          <t>huoeer</t>
        </is>
      </c>
      <c r="B29284">
        <f>HYPERLINK("https://www.dofusbook.net/fr/equipement/722804-huoeer/objets", "link")</f>
        <v/>
      </c>
      <c r="C29284" t="n">
        <v>0</v>
      </c>
      <c r="D29284" t="inlineStr">
        <is>
          <t>Bâton Beau; Amulette du Strigide; Alliance Gloursonne; Bracelet du Piloztère; Ceintacé; Coiffe du Lévitrof; Voilamibe; Bottes du Strigide; Dofus Pourpre; Dofus des Glaces; Dofus Turquoise; Dofus Nébuleux; Nomade; Remueur; Kramkram</t>
        </is>
      </c>
    </row>
    <row r="29285">
      <c r="A29285" t="inlineStr">
        <is>
          <t>Stuff 1</t>
        </is>
      </c>
      <c r="B29285">
        <f>HYPERLINK("https://www.dofusbook.net/fr/equipement/649171-stuff-1/objets", "link")</f>
        <v/>
      </c>
      <c r="C29285" t="n">
        <v>0</v>
      </c>
      <c r="D29285" t="inlineStr"/>
    </row>
    <row r="29286">
      <c r="A29286" t="inlineStr">
        <is>
          <t>Stuff 1</t>
        </is>
      </c>
      <c r="B29286">
        <f>HYPERLINK("https://www.dofusbook.net/fr/equipement/580930-stuff-1/objets", "link")</f>
        <v/>
      </c>
      <c r="C29286" t="n">
        <v>0</v>
      </c>
      <c r="D29286" t="inlineStr">
        <is>
          <t>Arc Hétype; Pendentif affamé; Bague Gloursonne; Anneau Tique; Carapar; Ceinture Séculaire; Coiffe Séculaire; Cape de Diondin; Bottes Innommables; Dofus Pourpre; Dofus des Glaces; Dofus Émeraude; Savant majeur; Érudit majeur; Remueur; Muldo Doré</t>
        </is>
      </c>
    </row>
    <row r="29287">
      <c r="A29287" t="inlineStr">
        <is>
          <t>Stuff 1</t>
        </is>
      </c>
      <c r="B29287">
        <f>HYPERLINK("https://www.dofusbook.net/fr/equipement/580920-stuff-1/objets", "link")</f>
        <v/>
      </c>
      <c r="C29287" t="n">
        <v>0</v>
      </c>
      <c r="D29287" t="inlineStr">
        <is>
          <t>Dagues Érhy; Amulette du Strigide; Bague Gloursonne; Anneau Chevelu; Ceinture du Strigide; Masque de Koutoulou; Voile d'encre; Bottes Trithon; Dofus Pourpre; Dofus des Glaces; Dofus Turquoise; Remueur; Carapace Neutre majeur; Vigoureux majeur; Muldo Orchidée et Pourpre</t>
        </is>
      </c>
    </row>
    <row r="29288">
      <c r="A29288" t="inlineStr">
        <is>
          <t>Stuff 3</t>
        </is>
      </c>
      <c r="B29288">
        <f>HYPERLINK("https://www.dofusbook.net/fr/equipement/580922-stuff-3/objets", "link")</f>
        <v/>
      </c>
      <c r="C29288" t="n">
        <v>0</v>
      </c>
      <c r="D29288" t="inlineStr">
        <is>
          <t>Manthache; Collier du Valet Veinard; Gant du Valet Veinard; Alliance Gloursonne; Menoture; Dorabysses; Cape Indescriptible; Palmes Trithons; Dofus Pourpre; Dofus des Glaces; Vigoureux majeur; Remueur; Cascadeur majeur; Muldo Ebène et Pourpre</t>
        </is>
      </c>
    </row>
    <row r="29289">
      <c r="A29289" t="inlineStr">
        <is>
          <t>Stuff 1</t>
        </is>
      </c>
      <c r="B29289">
        <f>HYPERLINK("https://www.dofusbook.net/fr/equipement/580920-stuff-1/objets", "link")</f>
        <v/>
      </c>
      <c r="C29289" t="n">
        <v>0</v>
      </c>
      <c r="D29289" t="inlineStr">
        <is>
          <t>Dagues Érhy; Amulette du Strigide; Bague Gloursonne; Anneau Chevelu; Ceinture du Strigide; Masque de Koutoulou; Voile d'encre; Bottes Trithon; Dofus Pourpre; Dofus des Glaces; Dofus Turquoise; Remueur; Carapace Neutre majeur; Vigoureux majeur; Muldo Orchidée et Pourpre</t>
        </is>
      </c>
    </row>
    <row r="29290">
      <c r="A29290" t="inlineStr">
        <is>
          <t>Stuff 3</t>
        </is>
      </c>
      <c r="B29290">
        <f>HYPERLINK("https://www.dofusbook.net/fr/equipement/580922-stuff-3/objets", "link")</f>
        <v/>
      </c>
      <c r="C29290" t="n">
        <v>0</v>
      </c>
      <c r="D29290" t="inlineStr">
        <is>
          <t>Manthache; Collier du Valet Veinard; Gant du Valet Veinard; Alliance Gloursonne; Menoture; Dorabysses; Cape Indescriptible; Palmes Trithons; Dofus Pourpre; Dofus des Glaces; Cascadeur majeur; Vigoureux majeur; Remueur; Muldo Ebène et Pourpre</t>
        </is>
      </c>
    </row>
    <row r="29291">
      <c r="A29291" t="inlineStr">
        <is>
          <t>Stuff 1</t>
        </is>
      </c>
      <c r="B29291">
        <f>HYPERLINK("https://www.dofusbook.net/fr/equipement/580929-stuff-1/objets", "link")</f>
        <v/>
      </c>
      <c r="C29291" t="n">
        <v>0</v>
      </c>
      <c r="D29291" t="inlineStr">
        <is>
          <t>Dague Adou; Amulette du Strigide; Alliance Gloursonne; Bague Trithon; Ceinture du Strigide; Masque Trithon; Voile d'encre; Bottes Trithon; Dofus Nébuleux; Dofus Ocre; Dokoko; Dofus des Glaces; Dofus Émeraude; Dofus Turquoise; Muldo Ebène et Pourpre</t>
        </is>
      </c>
    </row>
    <row r="29292">
      <c r="A29292" t="inlineStr">
        <is>
          <t>Stuff 3</t>
        </is>
      </c>
      <c r="B29292">
        <f>HYPERLINK("https://www.dofusbook.net/fr/equipement/580919-stuff-3/objets", "link")</f>
        <v/>
      </c>
      <c r="C29292" t="n">
        <v>0</v>
      </c>
      <c r="D29292" t="inlineStr">
        <is>
          <t>Sabres d'Atcham; Amulette du Strigide; Anneau Tique; Alliance Gloursonne; Ceintacé; Chapeau des Malveilleurs; Voile d'encre; Sandales  d'Atcham; Dofus des Glaces; Dofus Turquoise; Nomade; Remueur; Kramkram</t>
        </is>
      </c>
    </row>
    <row r="29293">
      <c r="A29293" t="inlineStr">
        <is>
          <t>Stuff 3</t>
        </is>
      </c>
      <c r="B29293">
        <f>HYPERLINK("https://www.dofusbook.net/fr/equipement/580914-stuff-3/objets", "link")</f>
        <v/>
      </c>
      <c r="C29293" t="n">
        <v>0</v>
      </c>
      <c r="D29293" t="inlineStr">
        <is>
          <t>Marteau des Anciens Steamers; Amulette du Strigide; Alliance Gloursonne; Bracelet des Fonds marins; Ceinture du Barbétoal; Kidibonnet; Chevelure de Tal Kasha; Sandales de Tal Kasha; Dofus Turquoise; Dolmanax; Dofus Nébuleux; Remueur; Vigoureux majeur; Muldo Ebène et Indigo</t>
        </is>
      </c>
    </row>
    <row r="29294">
      <c r="A29294" t="inlineStr">
        <is>
          <t>Stuff 1</t>
        </is>
      </c>
      <c r="B29294">
        <f>HYPERLINK("https://www.dofusbook.net/fr/equipement/580888-stuff-1/objets", "link")</f>
        <v/>
      </c>
      <c r="C29294" t="n">
        <v>0</v>
      </c>
      <c r="D29294" t="inlineStr">
        <is>
          <t>Manthache; Collier du Valet Veinard; Alliance Gloursonne; Gant du Valet Veinard; Menoture; Dorabysses; Voile d'encre; Palmes Trithons; Cavaleur majeur; Cascadeur majeur; Évasif majeur; Remueur; Obstructeur majeur; Dévastateur Air majeur; Muldo Ebène et Pourpre</t>
        </is>
      </c>
    </row>
    <row r="29295">
      <c r="A29295" t="inlineStr">
        <is>
          <t>Stuff 2</t>
        </is>
      </c>
      <c r="B29295">
        <f>HYPERLINK("https://www.dofusbook.net/fr/equipement/580918-stuff-2/objets", "link")</f>
        <v/>
      </c>
      <c r="C29295" t="n">
        <v>0</v>
      </c>
      <c r="D29295" t="inlineStr">
        <is>
          <t>Dagues Açantes; Amulette de Shokkoth; Bracelet des Fonds marins; Alliance Gloursonne; Ceinture du Barbétoal; Kidibonnet; Cape de Mantaze; Sandales des Fonds marins; Dofus Turquoise; Étourdisseur majeur; Remueur; Chanceux majeur; Nomade; Croum</t>
        </is>
      </c>
    </row>
    <row r="29296">
      <c r="A29296" t="inlineStr">
        <is>
          <t>Stuff 3</t>
        </is>
      </c>
      <c r="B29296">
        <f>HYPERLINK("https://www.dofusbook.net/fr/equipement/580890-stuff-3/objets", "link")</f>
        <v/>
      </c>
      <c r="C29296" t="n">
        <v>0</v>
      </c>
      <c r="D29296" t="inlineStr">
        <is>
          <t>Dagues Érhy; Amulette du Strigide; Alliance Gloursonne; Bracelet du Piloztère; Ceintacé; Coiffe de la Fuji Givrefoux; Voile d'encre; Bottes du Strigide; Dofus Turquoise; Dofus Pourpre; Évasif majeur; Remueur; Vigoureux majeur; Cavaleur majeur; Muldo Ebène et Pourpre</t>
        </is>
      </c>
    </row>
    <row r="29297">
      <c r="A29297" t="inlineStr">
        <is>
          <t>Stuff 2</t>
        </is>
      </c>
      <c r="B29297">
        <f>HYPERLINK("https://www.dofusbook.net/fr/equipement/580913-stuff-2/objets", "link")</f>
        <v/>
      </c>
      <c r="C29297" t="n">
        <v>0</v>
      </c>
      <c r="D29297" t="inlineStr">
        <is>
          <t>Sabres d'Atcham; Amulette du Strigide; Alliance Gloursonne; Anneau de Padgref; Ceinture du Strigide; Kidibonnet; Voile d'encre; Bottes Trithon; Dofus Pourpre; Dofus Turquoise; Remueur; Nomade; Kramkram</t>
        </is>
      </c>
    </row>
    <row r="29298">
      <c r="A29298" t="inlineStr">
        <is>
          <t>Stuff 1</t>
        </is>
      </c>
      <c r="B29298">
        <f>HYPERLINK("https://www.dofusbook.net/fr/equipement/580917-stuff-1/objets", "link")</f>
        <v/>
      </c>
      <c r="C29298" t="n">
        <v>0</v>
      </c>
      <c r="D29298" t="inlineStr">
        <is>
          <t>Dagues Lassay; Collier Cérémonial du Seigneur des Rats; Anneau Cérémonial du Seigneur des Rats; Gelano; Ceinture Bitoufale de Prosper Youpla; Solomonk; Cape Itaineflam; Bottes Harry; Dofus Cawotte; Dofus Ocre; Dofus Émeraude; Dofus Turquoise; Dofawa; Dofus Pourpre; Dragodinde Prune et Emeraude</t>
        </is>
      </c>
    </row>
    <row r="29299">
      <c r="A29299" t="inlineStr">
        <is>
          <t>Stuff 2</t>
        </is>
      </c>
      <c r="B29299">
        <f>HYPERLINK("https://www.dofusbook.net/fr/equipement/580889-stuff-2/objets", "link")</f>
        <v/>
      </c>
      <c r="C29299" t="n">
        <v>0</v>
      </c>
      <c r="D29299" t="inlineStr">
        <is>
          <t>Manthache; Collier du Valet Veinard; Alliance Gloursonne; Gant du Valet Veinard; Menoture; Dorabysses; Cape Indescriptible; Palmes Trithons; Évasif majeur; Remueur; Obstructeur majeur; Dévastateur Air majeur; Cavaleur majeur; Cascadeur majeur; Muldo Ebène et Pourpre</t>
        </is>
      </c>
    </row>
    <row r="29300">
      <c r="A29300" t="inlineStr">
        <is>
          <t>Stuff 1</t>
        </is>
      </c>
      <c r="B29300">
        <f>HYPERLINK("https://www.dofusbook.net/fr/equipement/580912-stuff-1/objets", "link")</f>
        <v/>
      </c>
      <c r="C29300" t="n">
        <v>0</v>
      </c>
      <c r="D29300" t="inlineStr">
        <is>
          <t>Dagoulinantes; Amulette du Strigide; Bracelet des Fonds marins; Alliance Gloursonne; Ceinture du Barbétoal; Kidibonnet; Cape de la Dame du Hasard; Bottes de la Dame du Hasard; Dofus Nébuleux; Dofus Turquoise; Dolmanax; Dofus des Glaces; Chanceux majeur; Remueur; Muldo Ebène et Indigo</t>
        </is>
      </c>
    </row>
    <row r="29301">
      <c r="A29301" t="inlineStr">
        <is>
          <t>Sacrieur F 200</t>
        </is>
      </c>
      <c r="B29301">
        <f>HYPERLINK("https://www.dofusbook.net/fr/equipement/5352956-sacrieur-f-200/objets", "link")</f>
        <v/>
      </c>
      <c r="C29301" t="n">
        <v>2</v>
      </c>
      <c r="D29301" t="inlineStr"/>
    </row>
    <row r="29302">
      <c r="A29302" t="inlineStr">
        <is>
          <t>Stuff 1</t>
        </is>
      </c>
      <c r="B29302">
        <f>HYPERLINK("https://www.dofusbook.net/fr/equipement/367180-stuff-1/objets", "link")</f>
        <v/>
      </c>
      <c r="C29302" t="n">
        <v>18</v>
      </c>
      <c r="D29302" t="inlineStr">
        <is>
          <t>Baguette Hique; Collier de la Dame du Hasard; Alliance Gloursonne; Anneau Tamie; Bouclier cubiste; Ceintacé; Casquette de Meno; Cape de Diondin; Bottes de Meno; Temporiseur; Temporiseur majeur; Nomade; Ralentisseur majeur; Entraveur; Entraveur majeur; Léopardo</t>
        </is>
      </c>
    </row>
    <row r="29303">
      <c r="A29303" t="inlineStr">
        <is>
          <t>Pandawa F 200</t>
        </is>
      </c>
      <c r="B29303">
        <f>HYPERLINK("https://www.dofusbook.net/fr/equipement/5119766-pandawa-f-200/objets", "link")</f>
        <v/>
      </c>
      <c r="C29303" t="n">
        <v>5</v>
      </c>
      <c r="D29303" t="inlineStr">
        <is>
          <t>Rouleau à Pâtisserie d'Aermyne; Collier Rophante; Alliance Gloursonne; Bague Gloursonne; Bouclier des Chocomanciens; Ceintacé; Casque Dragoeuf; Cape d'Anerice; Bottes Trithon; Dofus Ivoire; Dofus Argenté; Dofus Émeraude; Miraculé majeur; Remueur; Miraculé; Titard</t>
        </is>
      </c>
    </row>
    <row r="29304">
      <c r="A29304" t="inlineStr">
        <is>
          <t>Pandawa F 200</t>
        </is>
      </c>
      <c r="B29304">
        <f>HYPERLINK("https://www.dofusbook.net/fr/equipement/3608340-pandawa-f-200/objets", "link")</f>
        <v/>
      </c>
      <c r="C29304" t="n">
        <v>17</v>
      </c>
      <c r="D29304" t="inlineStr">
        <is>
          <t>Rouleau à Pâtisserie d'Aermyne; Amulette d'Otomaï; Alliance Gloursonne; Anneau de Pol Ouatnos; Bouclier Bontarien; Ceintacé; Casque Dragoeuf; Cape d'Anerice; Pataugastrique; Dofus Ivoire; Dofus Ocre; Dofus Émeraude; Dofus Argenté; Dokoko; Miraculé majeur; Moumoute</t>
        </is>
      </c>
    </row>
    <row r="29305">
      <c r="A29305" t="inlineStr">
        <is>
          <t>Fuerza/Resis/Vida</t>
        </is>
      </c>
      <c r="B29305">
        <f>HYPERLINK("https://www.dofusbook.net/fr/equipement/2185266-fuerza-resis-vida/objets", "link")</f>
        <v/>
      </c>
      <c r="C29305" t="n">
        <v>10</v>
      </c>
      <c r="D29305" t="inlineStr">
        <is>
          <t>Manthache; Collier du Valet Veinard; Gant du Valet Veinard; Alliance Gloursonne; Trompe-la-Mort; Menoture; Dorabysses; Cape Indescriptible; Palmes Trithons; Dofus Argenté; Dofus Ivoire; Dofus Vulbis; Dofus Ébène; Dofus Abyssal; Remueur; Dragodinde Ebène</t>
        </is>
      </c>
    </row>
    <row r="29306">
      <c r="A29306" t="inlineStr">
        <is>
          <t>Xélor F 200</t>
        </is>
      </c>
      <c r="B29306">
        <f>HYPERLINK("https://www.dofusbook.net/fr/equipement/3743973-xelor-f-200/objets", "link")</f>
        <v/>
      </c>
      <c r="C29306" t="n">
        <v>4</v>
      </c>
      <c r="D29306" t="inlineStr">
        <is>
          <t>Amulette du Strigide; Bague Gloursonne; Anneau de Padgref; Bouclier du Captain Amakna; Ceinture du Strigide; Coiffe de Padgref; Cape au Logis; Getas de Padgref; Dolmanax; Dofus Pourpre; Dofus Ocre; Dofus Émeraude; Dofus Abyssal; Dofus Turquoise; Kokulte</t>
        </is>
      </c>
    </row>
    <row r="29307">
      <c r="A29307" t="inlineStr">
        <is>
          <t>Sram F 200</t>
        </is>
      </c>
      <c r="B29307">
        <f>HYPERLINK("https://www.dofusbook.net/fr/equipement/4998896-sram-f-200/objets", "link")</f>
        <v/>
      </c>
      <c r="C29307" t="n">
        <v>10</v>
      </c>
      <c r="D29307" t="inlineStr">
        <is>
          <t>Dagues Érhy; Amulette du Cycloïde; Bague Gloursonne; Chevalière du Roi Joueur; Ceinture Volkorne; Couronne du Roi Joueur; Voile d'encre; Bottes du Lévitrof</t>
        </is>
      </c>
    </row>
    <row r="29308">
      <c r="A29308" t="inlineStr">
        <is>
          <t>Sacrieur F 200</t>
        </is>
      </c>
      <c r="B29308">
        <f>HYPERLINK("https://www.dofusbook.net/fr/equipement/4150571-sacrieur-f-200/objets", "link")</f>
        <v/>
      </c>
      <c r="C29308" t="n">
        <v>7</v>
      </c>
      <c r="D29308" t="inlineStr">
        <is>
          <t>Collier du Valet Veinard; Gant du Valet Veinard; Bouclier d'Ilyzaelle; Casque d'Ilyzaelle; Cape du Valet Veinard</t>
        </is>
      </c>
    </row>
    <row r="29309">
      <c r="A29309" t="inlineStr">
        <is>
          <t>Eliotrope F 200</t>
        </is>
      </c>
      <c r="B29309">
        <f>HYPERLINK("https://www.dofusbook.net/fr/equipement/5353031-eliotrope-f-200/objets", "link")</f>
        <v/>
      </c>
      <c r="C29309" t="n">
        <v>1</v>
      </c>
      <c r="D29309" t="inlineStr">
        <is>
          <t>Sabres d'Atcham; Amulette du Strigide; Ceinture du Strigide; Némès de Tal Kasha; Chevelure de Tal Kasha; Sandales  d'Atcham</t>
        </is>
      </c>
    </row>
    <row r="29310">
      <c r="A29310" t="inlineStr">
        <is>
          <t>Eniripsa M 200</t>
        </is>
      </c>
      <c r="B29310">
        <f>HYPERLINK("https://www.dofusbook.net/fr/equipement/5225775-eniripsa-m-200/objets", "link")</f>
        <v/>
      </c>
      <c r="C29310" t="n">
        <v>0</v>
      </c>
      <c r="D29310" t="inlineStr"/>
    </row>
    <row r="29311">
      <c r="A29311" t="inlineStr">
        <is>
          <t>Ouginak M 200</t>
        </is>
      </c>
      <c r="B29311">
        <f>HYPERLINK("https://www.dofusbook.net/fr/equipement/3617349-ouginak-m-200/objets", "link")</f>
        <v/>
      </c>
      <c r="C29311" t="n">
        <v>7</v>
      </c>
      <c r="D29311" t="inlineStr">
        <is>
          <t>Épée du Granduk; Amulette du Granduk; Anneau d'Allister; Gant du Valet Veinard; Bouclier du Captain Amakna; Menoture; Masque du Granduk; Cape du Valet Veinard; Bottes d'Allister; Dofus Nébuleux; Dofus Pourpre; Dofus Turquoise; Dolmanax; Equilibriste majeur; Acrobate majeur; Siroko</t>
        </is>
      </c>
    </row>
    <row r="29312">
      <c r="A29312" t="inlineStr">
        <is>
          <t>Roublard M 200</t>
        </is>
      </c>
      <c r="B29312">
        <f>HYPERLINK("https://www.dofusbook.net/fr/equipement/4099416-roublard-m-200/objets", "link")</f>
        <v/>
      </c>
      <c r="C29312" t="n">
        <v>2</v>
      </c>
      <c r="D29312" t="inlineStr"/>
    </row>
    <row r="29313">
      <c r="A29313" t="inlineStr">
        <is>
          <t>Enutrof M 200</t>
        </is>
      </c>
      <c r="B29313">
        <f>HYPERLINK("https://www.dofusbook.net/fr/equipement/3563041-enutrof-m-200/objets", "link")</f>
        <v/>
      </c>
      <c r="C29313" t="n">
        <v>4</v>
      </c>
      <c r="D29313" t="inlineStr">
        <is>
          <t>Marteau R'ture; Amulette des Chocomanciens; Anneau Tamie; Anneau Tamie; Bouclier du serrurier; Ceinture des Chocomanciens; Casquipik; Cape de Léthaline; Pataugastrique; Temporiseur; Temporiseur majeur; Remueur; Entraveur majeur; Entraveur; Gwo Tofu Ventripotent</t>
        </is>
      </c>
    </row>
    <row r="29314">
      <c r="A29314" t="inlineStr">
        <is>
          <t>Ecaflip M 200</t>
        </is>
      </c>
      <c r="B29314">
        <f>HYPERLINK("https://www.dofusbook.net/fr/equipement/3616983-ecaflip-m-200/objets", "link")</f>
        <v/>
      </c>
      <c r="C29314" t="n">
        <v>13</v>
      </c>
      <c r="D29314" t="inlineStr">
        <is>
          <t>Couteaux Sacrificiels</t>
        </is>
      </c>
    </row>
    <row r="29315">
      <c r="A29315" t="inlineStr">
        <is>
          <t>Iop M 200</t>
        </is>
      </c>
      <c r="B29315">
        <f>HYPERLINK("https://www.dofusbook.net/fr/equipement/3648929-iop-m-200/objets", "link")</f>
        <v/>
      </c>
      <c r="C29315" t="n">
        <v>2</v>
      </c>
      <c r="D29315" t="inlineStr">
        <is>
          <t>Amulette du Strigide; Anneau Crustique; Bague Trithon; Bouclier du Captain Amakna; Ceinture du Strigide; Masque Trithon; Cape au Logis; Bottes Trithon; Dolmanax; Dofus Pourpre; Dofus Ocre; Dofus Turquoise; Dofus des Glaces; Dofus Nébuleux</t>
        </is>
      </c>
    </row>
    <row r="29316">
      <c r="A29316" t="inlineStr">
        <is>
          <t>Zobal F 200</t>
        </is>
      </c>
      <c r="B29316">
        <f>HYPERLINK("https://www.dofusbook.net/fr/equipement/3878810-zobal-f-200/objets", "link")</f>
        <v/>
      </c>
      <c r="C29316" t="n">
        <v>3</v>
      </c>
      <c r="D29316" t="inlineStr">
        <is>
          <t>Baguette du Chêne Mou; Amulette Volkorne; Anneau Cryochrone; Anneau Volkorne; Quatre-feuilles; Ceintacé; Coiffe Cryochrone; Cape de la Dame du Hasard; Bottes de la Dame du Hasard; Dofus Turquoise; Dofus Ivoire; Dofus Pourpre; Dofus Ocre; Dofus Vulbis; Dofus des Glaces; Kokulte</t>
        </is>
      </c>
    </row>
    <row r="29317">
      <c r="A29317" t="inlineStr">
        <is>
          <t>Steamer M 200</t>
        </is>
      </c>
      <c r="B29317">
        <f>HYPERLINK("https://www.dofusbook.net/fr/equipement/3573946-steamer-m-200/objets", "link")</f>
        <v/>
      </c>
      <c r="C29317" t="n">
        <v>2</v>
      </c>
      <c r="D29317" t="inlineStr">
        <is>
          <t>Héqache; Amibou; Alliance Gloursonne; Bague Instable; Bouclier précieux; Menoture; Masque Trithon; Capibou; Bottistik; Culbuteur; Bousculeur majeur; Remueur; Culbuteur majeur; Pousseur majeur; Balafreux</t>
        </is>
      </c>
    </row>
    <row r="29318">
      <c r="A29318" t="inlineStr">
        <is>
          <t>Huppermage F 200</t>
        </is>
      </c>
      <c r="B29318">
        <f>HYPERLINK("https://www.dofusbook.net/fr/equipement/3617342-huppermage-f-200/objets", "link")</f>
        <v/>
      </c>
      <c r="C29318" t="n">
        <v>2</v>
      </c>
      <c r="D29318" t="inlineStr">
        <is>
          <t>Lav'Hache; Torquistik; Bague Instable; Bague Trithon; Bouclier précieux; Ceinture Gence; Casque Dragoeuf; Voile d'encre; Bottistik; Remueur; Bousculeur majeur; Nomade; Culbuteur majeur; Culbuteur; Pousseur majeur; Tatouf</t>
        </is>
      </c>
    </row>
    <row r="29319">
      <c r="A29319" t="inlineStr">
        <is>
          <t>dfgdf</t>
        </is>
      </c>
      <c r="B29319">
        <f>HYPERLINK("https://www.dofusbook.net/fr/equipement/2142716-dfgdf/objets", "link")</f>
        <v/>
      </c>
      <c r="C29319" t="n">
        <v>5</v>
      </c>
      <c r="D29319" t="inlineStr">
        <is>
          <t>Dagoulinantes; Amulette de Shokkoth; Alliance Gloursonne; Anneau Volkorne; Cadran de Terre; Culotte de Bethel; Kidibonnet; Cape de l'Œil Attentif; Chaussons de Macrab; Dofus Pourpre; Vigoureux majeur; Étourdisseur majeur; Nomade; Remueur; Chanceux majeur; Kanigloups</t>
        </is>
      </c>
    </row>
    <row r="29320">
      <c r="A29320" t="inlineStr">
        <is>
          <t>Crâ F 200</t>
        </is>
      </c>
      <c r="B29320">
        <f>HYPERLINK("https://www.dofusbook.net/fr/equipement/4002066-cra-f-200/objets", "link")</f>
        <v/>
      </c>
      <c r="C29320" t="n">
        <v>3</v>
      </c>
      <c r="D29320" t="inlineStr">
        <is>
          <t>Baguette Range; Amulette du Strigide; Anneau de Padgref; Bague Gloursonne; Quatre-feuilles; Ceinture du Strigide; Coiffe de Padgref; Cape d'Atcham; Getas de Padgref; Dofus des Glaces; Dofus Turquoise; Dofus Émeraude; Dofus Ocre; Dolmanax; Dofus Pourpre; Kokulte</t>
        </is>
      </c>
    </row>
    <row r="29321">
      <c r="A29321" t="inlineStr">
        <is>
          <t>Iop F 200</t>
        </is>
      </c>
      <c r="B29321">
        <f>HYPERLINK("https://www.dofusbook.net/fr/equipement/3476651-iop-f-200/objets", "link")</f>
        <v/>
      </c>
      <c r="C29321" t="n">
        <v>5</v>
      </c>
      <c r="D29321" t="inlineStr">
        <is>
          <t>Amulette du Strigide; Bague Gloursonne; Anneau de Padgref; Bouclier du Captain Amakna; Ceinture du Strigide; Coiffe de Padgref; Cape de la Dame du Hasard; Getas de Padgref; Dofus des Glaces; Dofus Pourpre; Dofus Émeraude; Dofus Ocre; Dolmanax; Dofus Turquoise; Muldo Prune et Emeraude</t>
        </is>
      </c>
    </row>
    <row r="29322">
      <c r="A29322" t="inlineStr">
        <is>
          <t>Zobal F 200</t>
        </is>
      </c>
      <c r="B29322">
        <f>HYPERLINK("https://www.dofusbook.net/fr/equipement/3802299-zobal-f-200/objets", "link")</f>
        <v/>
      </c>
      <c r="C29322" t="n">
        <v>3</v>
      </c>
      <c r="D29322" t="inlineStr">
        <is>
          <t>Hache Téroïde; Amulette du Strigide; Bague Trithon; Bague Gloursonne; Bouclier du Captain Amakna; Ceinture du Strigide; Masque Trithon; Bottes Trithon; Dolmanax; Dofus des Glaces; Dofus Pourpre; Dofus Ocre; Dofus Émeraude; Dofus Turquoise; Muldo Prune et Emeraude</t>
        </is>
      </c>
    </row>
    <row r="29323">
      <c r="A29323" t="inlineStr">
        <is>
          <t>Osamodas M 200</t>
        </is>
      </c>
      <c r="B29323">
        <f>HYPERLINK("https://www.dofusbook.net/fr/equipement/3873443-osamodas-m-200/objets", "link")</f>
        <v/>
      </c>
      <c r="C29323" t="n">
        <v>2</v>
      </c>
      <c r="D29323" t="inlineStr">
        <is>
          <t>Lav'Hache; Amulette Héroclite; Anneau Chevelu; Anneau de la Fuji Givrefoux; Écorce de Brouce; Ceinture de la Cour Sombre; Casque Dragoeuf; Voile d'encre; Bottes de la Cour Sombre; Dofus Ivoire; Dofus Ocre; Carapace Air majeur; Enragé majeur; Remueur; Nomade; Crocodaille</t>
        </is>
      </c>
    </row>
    <row r="29324">
      <c r="A29324" t="inlineStr">
        <is>
          <t>Zobal M 200</t>
        </is>
      </c>
      <c r="B29324">
        <f>HYPERLINK("https://www.dofusbook.net/fr/equipement/3720545-zobal-m-200/objets", "link")</f>
        <v/>
      </c>
      <c r="C29324" t="n">
        <v>0</v>
      </c>
      <c r="D29324" t="inlineStr"/>
    </row>
    <row r="29325">
      <c r="A29325" t="inlineStr">
        <is>
          <t>Xélor F 200</t>
        </is>
      </c>
      <c r="B29325">
        <f>HYPERLINK("https://www.dofusbook.net/fr/equipement/3548943-xelor-f-200/objets", "link")</f>
        <v/>
      </c>
      <c r="C29325" t="n">
        <v>4</v>
      </c>
      <c r="D29325" t="inlineStr">
        <is>
          <t>Sceptre du Roi Joueur; Amulette de Shokkoth; Anneau Volkorne; Bracelet des Fonds marins; Bouclier d'Ilyzaelle; Poulpagne; Masque des Fonds marins; Cape Solution; Bottes du Nocturlabe; Dofus Turquoise; Dofus Pourpre; Taquin majeur; Chanceux majeur; Nomade; Vigoureux majeur; Dragodinde Indigo et Ivoire</t>
        </is>
      </c>
    </row>
    <row r="29326">
      <c r="A29326" t="inlineStr">
        <is>
          <t>Sacrieur F 200</t>
        </is>
      </c>
      <c r="B29326">
        <f>HYPERLINK("https://www.dofusbook.net/fr/equipement/3507327-sacrieur-f-200/objets", "link")</f>
        <v/>
      </c>
      <c r="C29326" t="n">
        <v>5</v>
      </c>
      <c r="D29326" t="inlineStr"/>
    </row>
    <row r="29327">
      <c r="A29327" t="inlineStr">
        <is>
          <t>Eniripsa F 200</t>
        </is>
      </c>
      <c r="B29327">
        <f>HYPERLINK("https://www.dofusbook.net/fr/equipement/3536683-eniripsa-f-200/objets", "link")</f>
        <v/>
      </c>
      <c r="C29327" t="n">
        <v>0</v>
      </c>
      <c r="D29327" t="inlineStr"/>
    </row>
    <row r="29328">
      <c r="A29328" t="inlineStr">
        <is>
          <t>Xélor F 200</t>
        </is>
      </c>
      <c r="B29328">
        <f>HYPERLINK("https://www.dofusbook.net/fr/equipement/3533408-xelor-f-200/objets", "link")</f>
        <v/>
      </c>
      <c r="C29328" t="n">
        <v>0</v>
      </c>
      <c r="D29328" t="inlineStr">
        <is>
          <t>Baguette Range; Amulette du Strigide; Bague Gloursonne; Anneau de Padgref; Quatre-feuilles; Ceinture du Strigide; Coiffe de Padgref; Voile d'encre; Getas de Padgref; Dolmanax; Dofus Pourpre; Dofus Ocre; Dofus des Glaces; Dofus Émeraude; Dofus Turquoise; Muldo Orchidée et Pourpre</t>
        </is>
      </c>
    </row>
    <row r="29329">
      <c r="A29329" t="inlineStr">
        <is>
          <t>Eniripsa F 200</t>
        </is>
      </c>
      <c r="B29329">
        <f>HYPERLINK("https://www.dofusbook.net/fr/equipement/3536437-eniripsa-f-200/objets", "link")</f>
        <v/>
      </c>
      <c r="C29329" t="n">
        <v>0</v>
      </c>
      <c r="D29329" t="inlineStr">
        <is>
          <t>Amulette de Shokkoth; Sept ans de malheur; Kidibonnet; Dehluge</t>
        </is>
      </c>
    </row>
    <row r="29330">
      <c r="A29330" t="inlineStr">
        <is>
          <t>jjj</t>
        </is>
      </c>
      <c r="B29330">
        <f>HYPERLINK("https://www.dofusbook.net/fr/equipement/2738067-jjj/objets", "link")</f>
        <v/>
      </c>
      <c r="C29330" t="n">
        <v>0</v>
      </c>
      <c r="D29330" t="inlineStr"/>
    </row>
    <row r="29331">
      <c r="A29331" t="inlineStr">
        <is>
          <t>Xélor F 200</t>
        </is>
      </c>
      <c r="B29331">
        <f>HYPERLINK("https://www.dofusbook.net/fr/equipement/3512169-xelor-f-200/objets", "link")</f>
        <v/>
      </c>
      <c r="C29331" t="n">
        <v>2</v>
      </c>
      <c r="D29331" t="inlineStr">
        <is>
          <t>Héqache; Amulette du Strigide; Anneau des égarés; Alliance Gloursonne; Ceintacé; Casque des égarés; Cape du Kamasterisk; Baleinabottes; Dolmanax; Dofus Turquoise; Dofus des Glaces; Dofus Pourpre; Nomade; Vigoureux majeur; Kramkram</t>
        </is>
      </c>
    </row>
    <row r="29332">
      <c r="A29332" t="inlineStr">
        <is>
          <t>Xélor F 200</t>
        </is>
      </c>
      <c r="B29332">
        <f>HYPERLINK("https://www.dofusbook.net/fr/equipement/3510526-xelor-f-200/objets", "link")</f>
        <v/>
      </c>
      <c r="C29332" t="n">
        <v>0</v>
      </c>
      <c r="D29332" t="inlineStr">
        <is>
          <t>Epée Gloursonne; Amulette du Strigide; Bague Gloursonne; Alliance Gloursonne; Bouclier d'Ilyzaelle; Ceinture du Strigide; Coiffe de la Fuji Givrefoux; Cape de la Fuji Givrefoux; Bottes du Strigide; Dofus Pourpre; Dofus des Glaces; Dofus Émeraude; Dofus Turquoise; Dolmanax; Dofus Ocre; Kramkram</t>
        </is>
      </c>
    </row>
    <row r="29333">
      <c r="A29333" t="inlineStr">
        <is>
          <t>set wey wabbit</t>
        </is>
      </c>
      <c r="B29333">
        <f>HYPERLINK("https://www.dofusbook.net/fr/equipement/2414956-set-wey-wabbit/objets", "link")</f>
        <v/>
      </c>
      <c r="C29333" t="n">
        <v>5</v>
      </c>
      <c r="D29333" t="inlineStr">
        <is>
          <t>Sabres d'Atcham; Amulette Volkorne; Alliance Gloursonne; Anneau Volkorne; Bouclier d'Ilyzaelle; Ceinture Séculaire; Casque Volkorne; Cape d'Atcham; Sandales  d'Atcham; Dofus Émeraude; Dofus Turquoise; Dolmanax; Dofus Ocre; Dofus Pourpre; Dofus des Glaces; Volkorne Jade et Améthyste</t>
        </is>
      </c>
    </row>
    <row r="29334">
      <c r="A29334" t="inlineStr">
        <is>
          <t>Xélor F 200</t>
        </is>
      </c>
      <c r="B29334">
        <f>HYPERLINK("https://www.dofusbook.net/fr/equipement/3490501-xelor-f-200/objets", "link")</f>
        <v/>
      </c>
      <c r="C29334" t="n">
        <v>0</v>
      </c>
      <c r="D29334" t="inlineStr">
        <is>
          <t>Ceinture de l'Esprit Salvateur; Masque de l'Esprit Salvateur; Cape du Kamasterisk; Bottes du Strigide</t>
        </is>
      </c>
    </row>
    <row r="29335">
      <c r="A29335" t="inlineStr">
        <is>
          <t>Xélor M 200</t>
        </is>
      </c>
      <c r="B29335">
        <f>HYPERLINK("https://www.dofusbook.net/fr/equipement/3476642-xelor-m-200/objets", "link")</f>
        <v/>
      </c>
      <c r="C29335" t="n">
        <v>0</v>
      </c>
      <c r="D29335" t="inlineStr"/>
    </row>
    <row r="29336">
      <c r="A29336" t="inlineStr">
        <is>
          <t>Iop F 200</t>
        </is>
      </c>
      <c r="B29336">
        <f>HYPERLINK("https://www.dofusbook.net/fr/equipement/3464393-iop-f-200/objets", "link")</f>
        <v/>
      </c>
      <c r="C29336" t="n">
        <v>1</v>
      </c>
      <c r="D29336" t="inlineStr">
        <is>
          <t>Arc du Chalœil; Torquistik; Bague Instable; Baguistik; Bouclier précieux; Ceinture Gence; Casque Dragoeuf; Voile d'encre; Bottes du Cœur Vaillant; Dofus Émeraude; Remueur; Culbuteur majeur; Culbuteur; Pousseur majeur; Bousculeur majeur; Muldo Pourpre</t>
        </is>
      </c>
    </row>
    <row r="29337">
      <c r="A29337" t="inlineStr">
        <is>
          <t>Féca M 200</t>
        </is>
      </c>
      <c r="B29337">
        <f>HYPERLINK("https://www.dofusbook.net/fr/equipement/3464346-feca-m-200/objets", "link")</f>
        <v/>
      </c>
      <c r="C29337" t="n">
        <v>1</v>
      </c>
      <c r="D29337" t="inlineStr"/>
    </row>
    <row r="29338">
      <c r="A29338" t="inlineStr">
        <is>
          <t>Eliotrope M 200</t>
        </is>
      </c>
      <c r="B29338">
        <f>HYPERLINK("https://www.dofusbook.net/fr/equipement/3464247-eliotrope-m-200/objets", "link")</f>
        <v/>
      </c>
      <c r="C29338" t="n">
        <v>0</v>
      </c>
      <c r="D29338" t="inlineStr"/>
    </row>
    <row r="29339">
      <c r="A29339" t="inlineStr">
        <is>
          <t>Dhjddjdj</t>
        </is>
      </c>
      <c r="B29339">
        <f>HYPERLINK("https://www.dofusbook.net/fr/equipement/2061900-dhjddjdj/objets", "link")</f>
        <v/>
      </c>
      <c r="C29339" t="n">
        <v>0</v>
      </c>
      <c r="D29339" t="inlineStr"/>
    </row>
    <row r="29340">
      <c r="A29340" t="inlineStr">
        <is>
          <t>ddd</t>
        </is>
      </c>
      <c r="B29340">
        <f>HYPERLINK("https://www.dofusbook.net/fr/equipement/2131944-ddd/objets", "link")</f>
        <v/>
      </c>
      <c r="C29340" t="n">
        <v>0</v>
      </c>
      <c r="D29340" t="inlineStr">
        <is>
          <t>Dagoulinantes; Amulette du Sinistrofu; Alliance Gloursonne; Bracelet des Fonds marins; Bouclier d'Ilyzaelle; Ceinture Glaciale; Casque Dragoeuf; Cape Solution; Bottes du Sinistrofu; Dofus Émeraude; Dofus Pourpre; Vigoureux majeur; Miraculé majeur; Remueur; Chanceux majeur; Muldo Ebène et Indigo</t>
        </is>
      </c>
    </row>
    <row r="29341">
      <c r="A29341" t="inlineStr">
        <is>
          <t>dopuo</t>
        </is>
      </c>
      <c r="B29341">
        <f>HYPERLINK("https://www.dofusbook.net/fr/equipement/2194324-dopuo/objets", "link")</f>
        <v/>
      </c>
      <c r="C29341" t="n">
        <v>1</v>
      </c>
      <c r="D29341" t="inlineStr">
        <is>
          <t>Lav'Hache; Torquistik; Bague Trithon; Bague Instable; Bouclier précieux; Ceinture Gence; Casque Dragoeuf; Voile d'encre; Bottistik; Dokoko; Dofus Émeraude; Remueur; Pousseur majeur; Bousculeur majeur; Culbuteur majeur; Muldo Pourpre</t>
        </is>
      </c>
    </row>
    <row r="29342">
      <c r="A29342" t="inlineStr">
        <is>
          <t>stuff 1</t>
        </is>
      </c>
      <c r="B29342">
        <f>HYPERLINK("https://www.dofusbook.net/fr/equipement/2083144-stuff-1/objets", "link")</f>
        <v/>
      </c>
      <c r="C29342" t="n">
        <v>1</v>
      </c>
      <c r="D29342" t="inlineStr">
        <is>
          <t>Lav'Hache; Torquistik; Bague Instable; Bague Trithon; Bouclier précieux; Ceinture Gence; Casque Dragoeuf; Voile d'encre; Bottistik; Dofus Émeraude; Dokoko; Remueur; Pousseur majeur; Bousculeur majeur; Culbuteur majeur; Muldo Pourpre</t>
        </is>
      </c>
    </row>
    <row r="29343">
      <c r="A29343" t="inlineStr">
        <is>
          <t>Stuff 1</t>
        </is>
      </c>
      <c r="B29343">
        <f>HYPERLINK("https://www.dofusbook.net/fr/equipement/1458996-stuff-1/objets", "link")</f>
        <v/>
      </c>
      <c r="C29343" t="n">
        <v>0</v>
      </c>
      <c r="D29343" t="inlineStr"/>
    </row>
    <row r="29344">
      <c r="A29344" t="inlineStr">
        <is>
          <t>jjj</t>
        </is>
      </c>
      <c r="B29344">
        <f>HYPERLINK("https://www.dofusbook.net/fr/equipement/1499104-jjj/objets", "link")</f>
        <v/>
      </c>
      <c r="C29344" t="n">
        <v>0</v>
      </c>
      <c r="D29344" t="inlineStr">
        <is>
          <t>Baguette Héroclite; Amulette de Shokkoth; Alliance Gloursonne; Anneau Glacial; Bouclier du Stalak; Ceinture Glaciale; Kidibonnet; Cape Solution; Bottes du Sinistrofu; Muldo Indigo et Orchidée</t>
        </is>
      </c>
    </row>
    <row r="29345">
      <c r="A29345" t="inlineStr">
        <is>
          <t>Stuff 1</t>
        </is>
      </c>
      <c r="B29345">
        <f>HYPERLINK("https://www.dofusbook.net/fr/equipement/367154-stuff-1/objets", "link")</f>
        <v/>
      </c>
      <c r="C29345" t="n">
        <v>0</v>
      </c>
      <c r="D29345" t="inlineStr"/>
    </row>
    <row r="29346">
      <c r="A29346" t="inlineStr">
        <is>
          <t>cfhd</t>
        </is>
      </c>
      <c r="B29346">
        <f>HYPERLINK("https://www.dofusbook.net/fr/equipement/2149147-cfhd/objets", "link")</f>
        <v/>
      </c>
      <c r="C29346" t="n">
        <v>0</v>
      </c>
      <c r="D29346" t="inlineStr">
        <is>
          <t>Marteau des égarés; Amulette de l'Indicible; Bague Gloursonne; Alliance Gloursonne; Ceinture de l'Indicible; Masque de l'Esprit Salvateur; Cape Reski; Bottes de l'Indicible</t>
        </is>
      </c>
    </row>
    <row r="29347">
      <c r="A29347" t="inlineStr">
        <is>
          <t>Stuff 3</t>
        </is>
      </c>
      <c r="B29347">
        <f>HYPERLINK("https://www.dofusbook.net/fr/equipement/367156-stuff-3/objets", "link")</f>
        <v/>
      </c>
      <c r="C29347" t="n">
        <v>0</v>
      </c>
      <c r="D29347" t="inlineStr">
        <is>
          <t>Masque de Koutoulou; Cape au Logis</t>
        </is>
      </c>
    </row>
    <row r="29348">
      <c r="A29348" t="inlineStr">
        <is>
          <t>www</t>
        </is>
      </c>
      <c r="B29348">
        <f>HYPERLINK("https://www.dofusbook.net/fr/equipement/1499132-www/objets", "link")</f>
        <v/>
      </c>
      <c r="C29348" t="n">
        <v>2</v>
      </c>
      <c r="D29348" t="inlineStr">
        <is>
          <t>Arc Ahique; Collier du Valet Veinard; Gant du Valet Veinard; Alliance Gloursonne; Bouclier du Stalak; Menoture; Coiffe de la Reine des Voleurs; Cape Indescriptible; Baleinabottes; Dofus des Glaces; Dofus Pourpre; Dévastateur Air majeur; Vigoureux majeur; Remueur; Étourdisseur majeur; Muldo Ebène et Indigo</t>
        </is>
      </c>
    </row>
    <row r="29349">
      <c r="A29349" t="inlineStr">
        <is>
          <t>maha</t>
        </is>
      </c>
      <c r="B29349">
        <f>HYPERLINK("https://www.dofusbook.net/fr/equipement/1499066-maha/objets", "link")</f>
        <v/>
      </c>
      <c r="C29349" t="n">
        <v>0</v>
      </c>
      <c r="D29349" t="inlineStr">
        <is>
          <t>Amulette d'Ilyzaelle; Alliance Gloursonne; Gant du Valet Veinard; Menoture; Coiffe de la Reine des Voleurs; Cape Indescriptible; Bottes de la Reine des Voleurs</t>
        </is>
      </c>
    </row>
    <row r="29350">
      <c r="A29350" t="inlineStr">
        <is>
          <t>cc s</t>
        </is>
      </c>
      <c r="B29350">
        <f>HYPERLINK("https://www.dofusbook.net/fr/equipement/2084078-cc-----s/objets", "link")</f>
        <v/>
      </c>
      <c r="C29350" t="n">
        <v>0</v>
      </c>
      <c r="D29350" t="inlineStr">
        <is>
          <t>Amulette du Strigide; Ceintacé; Masque Trithon; Bottes du Strigide</t>
        </is>
      </c>
    </row>
    <row r="29351">
      <c r="A29351" t="inlineStr">
        <is>
          <t>Stuff 2</t>
        </is>
      </c>
      <c r="B29351">
        <f>HYPERLINK("https://www.dofusbook.net/fr/equipement/367155-stuff-2/objets", "link")</f>
        <v/>
      </c>
      <c r="C29351" t="n">
        <v>1</v>
      </c>
      <c r="D29351" t="inlineStr">
        <is>
          <t>Epée Maudite du Saigneur Guerrier; Amulette du Strigide; Bague Trithon; Anneau de Padgref; Bouclier du Captain Amakna; Ceinture du Strigide; Masque Trithon; Cape du Chalœil; Bottes Trithon; Dofus Pourpre; Dokoko; Dofus Turquoise; Dolmanax; Dofus Ocre; Dofus Émeraude; Muldo Prune et Emeraude</t>
        </is>
      </c>
    </row>
    <row r="29352">
      <c r="A29352" t="inlineStr">
        <is>
          <t>fhjfg</t>
        </is>
      </c>
      <c r="B29352">
        <f>HYPERLINK("https://www.dofusbook.net/fr/equipement/2083055-fhjfg/objets", "link")</f>
        <v/>
      </c>
      <c r="C29352" t="n">
        <v>0</v>
      </c>
      <c r="D29352" t="inlineStr">
        <is>
          <t>Manthache; Collier du Valet Veinard; Alliance Gloursonne; Gant du Valet Veinard; Bouclier d'Ilyzaelle; Menoture; Casque Dragoeuf; Cape Indescriptible; Palmes Trithons; Dofus Ivoire; Dofus Émeraude; Dofus des Glaces; Dokoko; Remueur; Cascadeur majeur; Muldo Ebène</t>
        </is>
      </c>
    </row>
    <row r="29353">
      <c r="A29353" t="inlineStr">
        <is>
          <t>Stuff 1</t>
        </is>
      </c>
      <c r="B29353">
        <f>HYPERLINK("https://www.dofusbook.net/fr/equipement/367145-stuff-1/objets", "link")</f>
        <v/>
      </c>
      <c r="C29353" t="n">
        <v>0</v>
      </c>
      <c r="D29353" t="inlineStr">
        <is>
          <t>Épouvante; Amulette du Strigide; Alliance Gloursonne; Bracelet du Piloztère; Quatre-feuilles; Ceinture de la Reine des Voleurs; Bonnet Ko; Cape du Cœur Saignant; Bottes du Strigide; Dofus Turquoise; Dofus Ocre; Dofus Pourpre; Nomade; Vigoureux majeur; Remueur; Muldo Ebène et Indigo</t>
        </is>
      </c>
    </row>
    <row r="29354">
      <c r="A29354" t="inlineStr">
        <is>
          <t>wregtw</t>
        </is>
      </c>
      <c r="B29354">
        <f>HYPERLINK("https://www.dofusbook.net/fr/equipement/2255474-wregtw/objets", "link")</f>
        <v/>
      </c>
      <c r="C29354" t="n">
        <v>1</v>
      </c>
      <c r="D29354" t="inlineStr">
        <is>
          <t>Manthache; Collier du Valet Veinard; Alliance Gloursonne; Gant du Valet Veinard; Bouclier du Stalak; Menoture; Couronne d'Allister; Cape Indescriptible; Palmes Trithons; Dofus Nébuleux; Dofus Pourpre; Remueur; Nomade; Vigoureux majeur; Cascadeur majeur; Siroko</t>
        </is>
      </c>
    </row>
    <row r="29355">
      <c r="A29355" t="inlineStr">
        <is>
          <t>Stuff 2</t>
        </is>
      </c>
      <c r="B29355">
        <f>HYPERLINK("https://www.dofusbook.net/fr/equipement/367146-stuff-2/objets", "link")</f>
        <v/>
      </c>
      <c r="C29355" t="n">
        <v>0</v>
      </c>
      <c r="D29355" t="inlineStr"/>
    </row>
    <row r="29356">
      <c r="A29356" t="inlineStr">
        <is>
          <t>Stuff 3</t>
        </is>
      </c>
      <c r="B29356">
        <f>HYPERLINK("https://www.dofusbook.net/fr/equipement/367147-stuff-3/objets", "link")</f>
        <v/>
      </c>
      <c r="C29356" t="n">
        <v>0</v>
      </c>
      <c r="D29356" t="inlineStr"/>
    </row>
    <row r="29357">
      <c r="A29357" t="inlineStr">
        <is>
          <t>Extra 4</t>
        </is>
      </c>
      <c r="B29357">
        <f>HYPERLINK("https://www.dofusbook.net/fr/equipement/5966649-extra-4/objets", "link")</f>
        <v/>
      </c>
      <c r="C29357" t="n">
        <v>0</v>
      </c>
      <c r="D29357" t="inlineStr">
        <is>
          <t>Manthache; Amulette d'Ilyzaelle; Gant du Valet Veinard; Bouclier du Stalak; Sangle Oriole; Casque d'Ilyzaelle; Cape Indescriptible; Palmes Trithons</t>
        </is>
      </c>
    </row>
    <row r="29358">
      <c r="A29358" t="inlineStr">
        <is>
          <t>Extra 3</t>
        </is>
      </c>
      <c r="B29358">
        <f>HYPERLINK("https://www.dofusbook.net/fr/equipement/5966567-extra-3/objets", "link")</f>
        <v/>
      </c>
      <c r="C29358" t="n">
        <v>0</v>
      </c>
      <c r="D29358" t="inlineStr">
        <is>
          <t>Arc du Chalœil; Collier de Tourthon; Bracelet du Piloztère; Anneau Crustique; Bouclier du Stalak; Ceinture Gence; Masque de Koutoulou; Cape au Logis; Bottes du Cœur Saignant; Dofus Ocre; Dofus Abyssal; Dofus Ébène; Dofus Pourpre; Dofus des Glaces; Enragé majeur; Bulbisou</t>
        </is>
      </c>
    </row>
    <row r="29359">
      <c r="A29359" t="inlineStr">
        <is>
          <t>Valou PvP 5</t>
        </is>
      </c>
      <c r="B29359">
        <f>HYPERLINK("https://www.dofusbook.net/fr/equipement/5393670-valou-pvp-5/objets", "link")</f>
        <v/>
      </c>
      <c r="C29359" t="n">
        <v>5</v>
      </c>
      <c r="D29359" t="inlineStr">
        <is>
          <t>Arc de Koutoulou; Amulette du Strigide; Bracelet du Piloztère; Alliance Gloursonne; Bouclier du Stalak; Ceintacé; Némès de Tal Kasha; Chevelure de Tal Kasha; Sandales de Tal Kasha; Dokoko; Dofus Turquoise; Dofus Émeraude; Dofus Nébuleux; Dofus Pourpre; Dofus des Glaces; Muldo Ebène et Indigo</t>
        </is>
      </c>
    </row>
    <row r="29360">
      <c r="A29360" t="inlineStr">
        <is>
          <t>Extra 4.1</t>
        </is>
      </c>
      <c r="B29360">
        <f>HYPERLINK("https://www.dofusbook.net/fr/equipement/5684542-extra-4-1/objets", "link")</f>
        <v/>
      </c>
      <c r="C29360" t="n">
        <v>0</v>
      </c>
      <c r="D29360" t="inlineStr">
        <is>
          <t>Arc corrompu; Amulette Volkorne; Anneau de Nidas; Bague Gloursonne; Bouclier du Stalak; Ceinture Volkorne; Chapeau de Gein; Voile d'encre; Bottes Innommables</t>
        </is>
      </c>
    </row>
    <row r="29361">
      <c r="A29361" t="inlineStr">
        <is>
          <t>Iopadada 2</t>
        </is>
      </c>
      <c r="B29361">
        <f>HYPERLINK("https://www.dofusbook.net/fr/equipement/5438813-iopadada-2/objets", "link")</f>
        <v/>
      </c>
      <c r="C29361" t="n">
        <v>5</v>
      </c>
      <c r="D29361" t="inlineStr">
        <is>
          <t>Marteau R'ture; Collier de Tourthon; Anneau Crustique; Anneau Crustique; Bouclier du Captain Amakna; Ceinture Gence; Masque de Koutoulou; Cape au Logis; Baleinabottes; Dokoko; Dofus Émeraude; Dofus des Glaces; Dofus Pourpre; Dofus Abyssal; Nomade; Pioute vert</t>
        </is>
      </c>
    </row>
    <row r="29362">
      <c r="A29362" t="inlineStr">
        <is>
          <t>Iopadada 1</t>
        </is>
      </c>
      <c r="B29362">
        <f>HYPERLINK("https://www.dofusbook.net/fr/equipement/5438585-iopadada-1/objets", "link")</f>
        <v/>
      </c>
      <c r="C29362" t="n">
        <v>3</v>
      </c>
      <c r="D29362" t="inlineStr">
        <is>
          <t>Arc du Chalœil; Amulette du Strigide; Anneau Crustique; Anneau Crustique; Quatre-feuilles; Ceinture du Strigide; Masque de Koutoulou; Cape au Logis; Bottes du Strigide; Dofus Pourpre; Dofus des Glaces; Dofus Abyssal; Dofus Turquoise; Dokoko; Dofus Nébuleux; Pioute vert</t>
        </is>
      </c>
    </row>
    <row r="29363">
      <c r="A29363" t="inlineStr">
        <is>
          <t>Valou PvP 4</t>
        </is>
      </c>
      <c r="B29363">
        <f>HYPERLINK("https://www.dofusbook.net/fr/equipement/5172696-valou-pvp-4/objets", "link")</f>
        <v/>
      </c>
      <c r="C29363" t="n">
        <v>14</v>
      </c>
      <c r="D29363" t="inlineStr">
        <is>
          <t>Arc de Koutoulou; Amulette de l'Indicible; Alliance Gloursonne; Bague Gloursonne; Bouclier du Stalak; Ceinture de l'Indicible; Maskrobe; Cape Matelassée; Bottes de l'Indicible; Dofus Pourpre; Dofus des Glaces; Dokoko; Dofus Turquoise; Dofus Émeraude; Dolmanax; Dauge</t>
        </is>
      </c>
    </row>
    <row r="29364">
      <c r="A29364" t="inlineStr">
        <is>
          <t>Cra-There</t>
        </is>
      </c>
      <c r="B29364">
        <f>HYPERLINK("https://www.dofusbook.net/fr/equipement/5385510-cra-there/objets", "link")</f>
        <v/>
      </c>
      <c r="C29364" t="n">
        <v>4</v>
      </c>
      <c r="D29364" t="inlineStr">
        <is>
          <t>Epée Toche; Amulette de Gein; Chevalière du Roi Joueur; Anneau Toriété; Bouclier du Captain Amakna; Ceinture de Gein; Couronne du Roi Joueur; Voile d'encre; Bottes du Roi Joueur; Dofus Ivoire; Dofus des Glaces; Dofus Ocre; Dokoko; Dofus Émeraude; Dofus Abyssal; Bwak de Terre</t>
        </is>
      </c>
    </row>
    <row r="29365">
      <c r="A29365" t="inlineStr">
        <is>
          <t>Ecadada</t>
        </is>
      </c>
      <c r="B29365">
        <f>HYPERLINK("https://www.dofusbook.net/fr/equipement/5364366-ecadada/objets", "link")</f>
        <v/>
      </c>
      <c r="C29365" t="n">
        <v>3</v>
      </c>
      <c r="D29365" t="inlineStr">
        <is>
          <t>Hache Rot; Amulette de l'Œil Attentif; Alliance Gloursonne; Anneau Volkorne; Bouclier du Stalak; Sangle Ouare; Capuche de l'Œil Attentif; Cape de l'Œil Attentif; Bottes du Sinistrofu; Dofus Émeraude; Dokoko; Dofus des Glaces; Dofus Pourpre; Dofus Abyssal; Dofus Ocre; Gupin</t>
        </is>
      </c>
    </row>
    <row r="29366">
      <c r="A29366" t="inlineStr">
        <is>
          <t>Eau</t>
        </is>
      </c>
      <c r="B29366">
        <f>HYPERLINK("https://www.dofusbook.net/fr/equipement/3734552-eau/objets", "link")</f>
        <v/>
      </c>
      <c r="C29366" t="n">
        <v>19</v>
      </c>
      <c r="D29366" t="inlineStr">
        <is>
          <t>Dagoulinantes; Amulette du Sinistrofu; Alliance Gloursonne; Grésilanneau; Bouclier cubiste; Sangle Ouare; Casque Dragoeuf; Cape Solution; Bottes du Sinistrofu; Dokoko; Dofus Émeraude; Remueur; Chanceux majeur; Miraculé majeur; Nomade; Dragodinde Amande</t>
        </is>
      </c>
    </row>
    <row r="29367">
      <c r="A29367" t="inlineStr">
        <is>
          <t>True 3</t>
        </is>
      </c>
      <c r="B29367">
        <f>HYPERLINK("https://www.dofusbook.net/fr/equipement/2818160-true-3/objets", "link")</f>
        <v/>
      </c>
      <c r="C29367" t="n">
        <v>3</v>
      </c>
      <c r="D29367" t="inlineStr">
        <is>
          <t>Arc du Chalœil; Amulette de Pol Ouatnos; Bague Gloursonne; Goulano; Goulclier; Ceinture de la Reine des Voleurs; Masque de Koutoulou; Cape au Logis; Goulbottes; Dofus Ivoire; Dofus Pourpre; Dokoko; Dofus Abyssal; Dofus Émeraude; Dofus des Glaces; Wabbit</t>
        </is>
      </c>
    </row>
    <row r="29368">
      <c r="A29368" t="inlineStr">
        <is>
          <t>Starff</t>
        </is>
      </c>
      <c r="B29368">
        <f>HYPERLINK("https://www.dofusbook.net/fr/equipement/4370156-starff/objets", "link")</f>
        <v/>
      </c>
      <c r="C29368" t="n">
        <v>2</v>
      </c>
      <c r="D29368" t="inlineStr">
        <is>
          <t>Hache du Chalœil; Amulette du Strigide; Alliance Gloursonne; Bague Gloursonne; Quatre-feuilles; Ceinture du Strigide; Maskrobe; Cape d'Atcham; Bottes du Strigide; Dofus Turquoise; Dofus des Glaces; Dokoko; Dofus Ocre; Dolmanax; Dofus Nébuleux; Kokulte</t>
        </is>
      </c>
    </row>
    <row r="29369">
      <c r="A29369" t="inlineStr">
        <is>
          <t>Multitache</t>
        </is>
      </c>
      <c r="B29369">
        <f>HYPERLINK("https://www.dofusbook.net/fr/equipement/4321301-multitache/objets", "link")</f>
        <v/>
      </c>
      <c r="C29369" t="n">
        <v>16</v>
      </c>
      <c r="D29369" t="inlineStr">
        <is>
          <t>Dagues Érhy; Amulette de l'Indicible; Bague Gloursonne; Alliance Gloursonne; Bouclier cubiste; Ceinture de l'Indicible; Casque Dragoeuf; Cape d'Anerice; Bottes de l'Indicible; Dokoko; Dofus Émeraude; Dolmanax; Dofus Ocre; Dofus Pourpre; Dofus des Glaces; Muldo Indigo et Pourpre</t>
        </is>
      </c>
    </row>
    <row r="29370">
      <c r="A29370" t="inlineStr">
        <is>
          <t>Multi dmg</t>
        </is>
      </c>
      <c r="B29370">
        <f>HYPERLINK("https://www.dofusbook.net/fr/equipement/5055209-multi-dmg/objets", "link")</f>
        <v/>
      </c>
      <c r="C29370" t="n">
        <v>5</v>
      </c>
      <c r="D29370" t="inlineStr">
        <is>
          <t>Epée Gloursonne; Amulette de l'Indicible; Bague Gloursonne; Alliance Gloursonne; Bouclier du Stalak; Ceinture de la Reine des Voleurs; Coiffe de la Reine des Voleurs; Voilamibe; Bottes de l'Indicible; Dofus Pourpre; Dofus Ocre; Dofus Nébuleux; Dolmanax; Dofus des Glaces; Saccageur Feu majeur; Bisouglours</t>
        </is>
      </c>
    </row>
    <row r="29371">
      <c r="A29371" t="inlineStr">
        <is>
          <t>Valou PvP 3</t>
        </is>
      </c>
      <c r="B29371">
        <f>HYPERLINK("https://www.dofusbook.net/fr/equipement/5159561-valou-pvp-3/objets", "link")</f>
        <v/>
      </c>
      <c r="C29371" t="n">
        <v>3</v>
      </c>
      <c r="D29371" t="inlineStr">
        <is>
          <t>Dagues de Srambad; Amulette d'Ilyzaelle; Bracelet du Piloztère; Alliance Gloursonne; Bouclier du Stalak; Ceinture de la Reine des Voleurs; Coiffe de la Reine des Voleurs; Cape au Logis; Bottes de la Reine des Voleurs; Dofus Pourpre; Dofus Nébuleux; Dofus Turquoise; Dofus Ébène; Dofus Ocre; Dofus des Glaces; La Chose</t>
        </is>
      </c>
    </row>
    <row r="29372">
      <c r="A29372" t="inlineStr">
        <is>
          <t>Valou PvP</t>
        </is>
      </c>
      <c r="B29372">
        <f>HYPERLINK("https://www.dofusbook.net/fr/equipement/4652318-valou-pvp/objets", "link")</f>
        <v/>
      </c>
      <c r="C29372" t="n">
        <v>5</v>
      </c>
      <c r="D29372" t="inlineStr">
        <is>
          <t>Hache Rot; Amulette du Strigide; Bracelet du Piloztère; Alliance Gloursonne; Bouclier du Stalak; Ceinture du Strigide; Némès de Tal Kasha; Chevelure de Tal Kasha; Sandales de Tal Kasha; Dofus Turquoise; Dofus des Glaces; Dofus Nébuleux; Dofus Ocre; Dofus Pourpre; Dofus Ivoire; Muldo Indigo et Emeraude</t>
        </is>
      </c>
    </row>
    <row r="29373">
      <c r="A29373" t="inlineStr">
        <is>
          <t>Valou PvP 2</t>
        </is>
      </c>
      <c r="B29373">
        <f>HYPERLINK("https://www.dofusbook.net/fr/equipement/4651870-valou-pvp-2/objets", "link")</f>
        <v/>
      </c>
      <c r="C29373" t="n">
        <v>33</v>
      </c>
      <c r="D29373" t="inlineStr">
        <is>
          <t>Arc de Koutoulou; Amulette Voldelor; Alliance Gloursonne; Bracelet du Piloztère; Bouclier du Stalak; Sangle Ouare; Némès de Tal Kasha; Chevelure de Tal Kasha; Sandales de Tal Kasha; Dofus Pourpre; Dofus Ocre; Dofus Turquoise; Dofus Ébène; Dofus Nébuleux; Dofus des Glaces; Pioute bleu</t>
        </is>
      </c>
    </row>
    <row r="29374">
      <c r="A29374" t="inlineStr">
        <is>
          <t>MArtin Tank</t>
        </is>
      </c>
      <c r="B29374">
        <f>HYPERLINK("https://www.dofusbook.net/fr/equipement/5148069-martin-tank/objets", "link")</f>
        <v/>
      </c>
      <c r="C29374" t="n">
        <v>0</v>
      </c>
      <c r="D29374" t="inlineStr">
        <is>
          <t>Baguette de Malléfisk; La Meulette; Anneau Tamie; Bague Gloursonne; Bouclier de Choudini; Ceinture Rasboulaire du Rasboul; Coiffe Ranshi; Cape des Malveilleurs; Bottes de Dremoan</t>
        </is>
      </c>
    </row>
    <row r="29375">
      <c r="A29375" t="inlineStr">
        <is>
          <t>Valou-tempo</t>
        </is>
      </c>
      <c r="B29375">
        <f>HYPERLINK("https://www.dofusbook.net/fr/equipement/5093000-valou-tempo/objets", "link")</f>
        <v/>
      </c>
      <c r="C29375" t="n">
        <v>12</v>
      </c>
      <c r="D29375" t="inlineStr">
        <is>
          <t>Épée de la Reine des Voleurs; Amulette du Strigide; Alliance Gloursonne; Bracelet du Piloztère; Cadran de Terre; Ceintacé; Maskrobe; Chevelure de Tal Kasha; Bottes du Strigide; Dolmanax; Volkorne Pourpre et Ebène</t>
        </is>
      </c>
    </row>
    <row r="29376">
      <c r="A29376" t="inlineStr">
        <is>
          <t>Valou</t>
        </is>
      </c>
      <c r="B29376">
        <f>HYPERLINK("https://www.dofusbook.net/fr/equipement/5054631-valou/objets", "link")</f>
        <v/>
      </c>
      <c r="C29376" t="n">
        <v>0</v>
      </c>
      <c r="D29376" t="inlineStr"/>
    </row>
    <row r="29377">
      <c r="A29377" t="inlineStr">
        <is>
          <t>Solo 7</t>
        </is>
      </c>
      <c r="B29377">
        <f>HYPERLINK("https://www.dofusbook.net/fr/equipement/4359036-solo-7/objets", "link")</f>
        <v/>
      </c>
      <c r="C29377" t="n">
        <v>3</v>
      </c>
      <c r="D29377" t="inlineStr">
        <is>
          <t>Héqache; Torquistik; Bague Instable; Bague Trithon; Bouclier précieux; Sangle Ouare; Casque Dragoeuf; Cape du Cœur Vaillant; Bottistik; Dofus Ocre; Dokoko; Dofus Ivoire; Dofus Émeraude; Remueur; Bousculeur majeur; Balafreux</t>
        </is>
      </c>
    </row>
    <row r="29378">
      <c r="A29378" t="inlineStr">
        <is>
          <t>Anti cra</t>
        </is>
      </c>
      <c r="B29378">
        <f>HYPERLINK("https://www.dofusbook.net/fr/equipement/4134973-anti-cra/objets", "link")</f>
        <v/>
      </c>
      <c r="C29378" t="n">
        <v>10</v>
      </c>
      <c r="D29378" t="inlineStr">
        <is>
          <t>Arc de Koutoulou; Amulette de l'Œil Putride; Alliance Gloursonne; Anneau Volkorne; Bouclier du Stalak; Menoture; Casque Dragoeuf; Cape de l'Œil Putride; Palmes Trithons; Dofus Émeraude; Dokoko; Dofus Ocre; Dofus Pourpre; Dofus des Glaces; Miraculé majeur; Muldo Ebène et Indigo</t>
        </is>
      </c>
    </row>
    <row r="29379">
      <c r="A29379" t="inlineStr">
        <is>
          <t>Tarré</t>
        </is>
      </c>
      <c r="B29379">
        <f>HYPERLINK("https://www.dofusbook.net/fr/equipement/4720215-tarre/objets", "link")</f>
        <v/>
      </c>
      <c r="C29379" t="n">
        <v>10</v>
      </c>
      <c r="D29379" t="inlineStr">
        <is>
          <t>Arc du Chalœil; Collier de Tourthon; Anneau Chevelu; Bracelet du Piloztère; Cadran de Terre; Ceinture de la Reine des Voleurs; Masque de Koutoulou; Cape au Logis; Baleinabottes; Dofus Nébuleux; Dofus Pourpre; Dofus des Glaces; Dofus Turquoise; Enragé majeur; Remueur; Muldo Indigo et Pourpre</t>
        </is>
      </c>
    </row>
    <row r="29380">
      <c r="A29380" t="inlineStr">
        <is>
          <t>Momoterrier</t>
        </is>
      </c>
      <c r="B29380">
        <f>HYPERLINK("https://www.dofusbook.net/fr/equipement/4732628-momoterrier/objets", "link")</f>
        <v/>
      </c>
      <c r="C29380" t="n">
        <v>2</v>
      </c>
      <c r="D29380" t="inlineStr">
        <is>
          <t>Bêche Asse; Amulette de Pol Ouatnos; Anneau de Guten Tak; Anneau des égarés; Bouclier Taverne; Ceinture de Brouce; Cape du Kamasterisk; Baleinabottes; Remueur; Robuste majeur; Enragé majeur; Miraculé majeur</t>
        </is>
      </c>
    </row>
    <row r="29381">
      <c r="A29381" t="inlineStr">
        <is>
          <t>Full Terre</t>
        </is>
      </c>
      <c r="B29381">
        <f>HYPERLINK("https://www.dofusbook.net/fr/equipement/4687667-full-terre/objets", "link")</f>
        <v/>
      </c>
      <c r="C29381" t="n">
        <v>12</v>
      </c>
      <c r="D29381" t="inlineStr">
        <is>
          <t>Marteau R'ture; Collier de Tourthon; Anneau de Brouce; Bague Gloursonne; Bouclier du Captain Amakna; Ceinture de Brouce; Masque de Koutoulou; Cape au Logis; Bottes du Comte Harebourg; Dofus Pourpre; Dofus des Glaces; Dofus Émeraude; Dofus Ocre; Obstructeur majeur; Enragé majeur; Dragodinde Prune et Pourpre</t>
        </is>
      </c>
    </row>
    <row r="29382">
      <c r="A29382" t="inlineStr">
        <is>
          <t>Eau/air</t>
        </is>
      </c>
      <c r="B29382">
        <f>HYPERLINK("https://www.dofusbook.net/fr/equipement/4685213-eau-air/objets", "link")</f>
        <v/>
      </c>
      <c r="C29382" t="n">
        <v>5</v>
      </c>
      <c r="D29382" t="inlineStr">
        <is>
          <t>Arc de Koutoulou; Amulette d'Ilyzaelle; Alliance Gloursonne; Anneau Volkorne; Cadran de Terre; Sangle Ouare; Casque d'Ilyzaelle; Chevelure de Tal Kasha; Pataugastrique; Dofus Pourpre; Dofus Turquoise; Dofus des Glaces; Remueur; Cascadeur majeur; Vigoureux majeur; Muldo Ebène et Indigo</t>
        </is>
      </c>
    </row>
    <row r="29383">
      <c r="A29383" t="inlineStr">
        <is>
          <t>Mega Wolf 3.0</t>
        </is>
      </c>
      <c r="B29383">
        <f>HYPERLINK("https://www.dofusbook.net/fr/equipement/4205850-mega-wolf-3-0/objets", "link")</f>
        <v/>
      </c>
      <c r="C29383" t="n">
        <v>51</v>
      </c>
      <c r="D29383" t="inlineStr">
        <is>
          <t>Rapière aux Glyphes; Amulette de Shokkoth; Grésilanneau; Alliance Gloursonne; Bouclier du Stalak; Sangle Ouare; Coiffe de Danathor; Cape Solution; Pataugastrique; Dofus Pourpre; Dofus des Glaces; Remueur; Chanceux majeur; Vigoureux majeur; Miraculé majeur; Muldo Orchidée et Amande</t>
        </is>
      </c>
    </row>
    <row r="29384">
      <c r="A29384" t="inlineStr">
        <is>
          <t>Dafalgans</t>
        </is>
      </c>
      <c r="B29384">
        <f>HYPERLINK("https://www.dofusbook.net/fr/equipement/4663545-dafalgans/objets", "link")</f>
        <v/>
      </c>
      <c r="C29384" t="n">
        <v>0</v>
      </c>
      <c r="D29384" t="inlineStr"/>
    </row>
    <row r="29385">
      <c r="A29385" t="inlineStr">
        <is>
          <t>Fadel-sama</t>
        </is>
      </c>
      <c r="B29385">
        <f>HYPERLINK("https://www.dofusbook.net/fr/equipement/4327808-fadel-sama/objets", "link")</f>
        <v/>
      </c>
      <c r="C29385" t="n">
        <v>27</v>
      </c>
      <c r="D29385" t="inlineStr">
        <is>
          <t>Epée Loponèze; Amulette de Pol Ouatnos; Alliance Gloursonne; Bracelet du Piloztère; Bouclier du Stalak; Ceinture de la Reine des Voleurs; Coiffe de la Reine des Voleurs; Cape du Kamasterisk; Baleinabottes; Dolmanax; Dofus Pourpre; Dokoko; Dofus des Glaces; Miraculé majeur; Remueur; Muldo Ebène et Orchidée</t>
        </is>
      </c>
    </row>
    <row r="29386">
      <c r="A29386" t="inlineStr">
        <is>
          <t>Eau/air</t>
        </is>
      </c>
      <c r="B29386">
        <f>HYPERLINK("https://www.dofusbook.net/fr/equipement/4652619-eau-air/objets", "link")</f>
        <v/>
      </c>
      <c r="C29386" t="n">
        <v>0</v>
      </c>
      <c r="D29386" t="inlineStr">
        <is>
          <t>Arc de Koutoulou; Amulette d'Ilyzaelle; Alliance Gloursonne; Anneau Volkorne; Bouclier du Stalak; Sangle Ouare; Casque d'Ilyzaelle; Chevelure de Tal Kasha; Palmes Trithons; Dofus Ocre; Dofus Pourpre; Dofus des Glaces; Dofus Turquoise; Dofus Nébuleux; Remueur; Kramkram</t>
        </is>
      </c>
    </row>
    <row r="29387">
      <c r="A29387" t="inlineStr">
        <is>
          <t>Multi eau/air</t>
        </is>
      </c>
      <c r="B29387">
        <f>HYPERLINK("https://www.dofusbook.net/fr/equipement/4652358-multi-eau-air/objets", "link")</f>
        <v/>
      </c>
      <c r="C29387" t="n">
        <v>8</v>
      </c>
      <c r="D29387" t="inlineStr">
        <is>
          <t>Arc de Koutoulou; Amulette du Strigide; Anneau Volkorne; Alliance Gloursonne; Bouclier du Stalak; Ceinture du Strigide; Némès de Tal Kasha; Chevelure de Tal Kasha; Bottes du Strigide; Dofus Pourpre; Dofus Nébuleux; Dofus Ocre; Dofus des Glaces; Dokoko; Dofus Turquoise; Muldo Ebène et Indigo</t>
        </is>
      </c>
    </row>
    <row r="29388">
      <c r="A29388" t="inlineStr">
        <is>
          <t>Multi Discount</t>
        </is>
      </c>
      <c r="B29388">
        <f>HYPERLINK("https://www.dofusbook.net/fr/equipement/3767450-multi-discount/objets", "link")</f>
        <v/>
      </c>
      <c r="C29388" t="n">
        <v>6</v>
      </c>
      <c r="D29388" t="inlineStr">
        <is>
          <t>Dagues Érhy; Racine Hueuse; Alliance Gloursonne; Gelano; Cadran de Terre; Ceintacé; Coiffe de la Reine des Voleurs; Cape Reski; Bottes de la Reine des Voleurs; Érudit majeur; Enragé majeur; Remueur; Vigoureux majeur; Chanceux majeur; Robuste majeur; Muldo Doré</t>
        </is>
      </c>
    </row>
    <row r="29389">
      <c r="A29389" t="inlineStr">
        <is>
          <t>Farming</t>
        </is>
      </c>
      <c r="B29389">
        <f>HYPERLINK("https://www.dofusbook.net/fr/equipement/4645444-farming/objets", "link")</f>
        <v/>
      </c>
      <c r="C29389" t="n">
        <v>2</v>
      </c>
      <c r="D29389" t="inlineStr">
        <is>
          <t>Epée Kari; Amulette du Strigide; Alliance Gloursonne; Bracelet du Piloztère; Bouclier du Stalak; Ceintacé; Masque du Katcheur; Cape Reski; Bottes du Strigide; Dofus Pourpre; Dofus Turquoise; Enragé majeur; Remueur; Vigoureux majeur; Nomade; Muldo Prune et Emeraude</t>
        </is>
      </c>
    </row>
    <row r="29390">
      <c r="A29390" t="inlineStr">
        <is>
          <t>Solo 3</t>
        </is>
      </c>
      <c r="B29390">
        <f>HYPERLINK("https://www.dofusbook.net/fr/equipement/4634097-solo-3/objets", "link")</f>
        <v/>
      </c>
      <c r="C29390" t="n">
        <v>4</v>
      </c>
      <c r="D29390" t="inlineStr">
        <is>
          <t>Sceptre du Roi Joueur; Amulette de Shokkoth; Alliance Gloursonne; Anneau Volkorne; Bouclier du Stalak; Sangle Ouare; Capuche de l'Œil Attentif; Cape Solution; Bottes du Sinistrofu; Dofus Pourpre; Dofus Abyssal; Dofus Ocre; Dokoko; Dofus des Glaces; Remueur</t>
        </is>
      </c>
    </row>
    <row r="29391">
      <c r="A29391" t="inlineStr">
        <is>
          <t>OTP RICH 5</t>
        </is>
      </c>
      <c r="B29391">
        <f>HYPERLINK("https://www.dofusbook.net/fr/equipement/4603298-otp-rich-5/objets", "link")</f>
        <v/>
      </c>
      <c r="C29391" t="n">
        <v>5</v>
      </c>
      <c r="D29391" t="inlineStr">
        <is>
          <t>Arc Volkorne; Amulette Volkorne; Alliance Gloursonne; Anneau Volkorne; Bouclier d'Anerice; Ceinture Volkorne; Masque d'Anerice; Cape d'Anerice; Bottes de l'Indicible; Dolmanax; Dofus Ocre; Dofus Pourpre; Dofus des Glaces; Dokoko; Dofus Ivoire; Volkorne Jade et Saphir</t>
        </is>
      </c>
    </row>
    <row r="29392">
      <c r="A29392" t="inlineStr">
        <is>
          <t>Cra-Taire</t>
        </is>
      </c>
      <c r="B29392">
        <f>HYPERLINK("https://www.dofusbook.net/fr/equipement/4599121-cra-taire/objets", "link")</f>
        <v/>
      </c>
      <c r="C29392" t="n">
        <v>2</v>
      </c>
      <c r="D29392" t="inlineStr">
        <is>
          <t>Sabres d'Atcham; Amulette du Strigide; Grésilanneau; Anneau de Padgref; Quatre-feuilles; Ceinture du Strigide; Coiffe de Padgref; Cape d'Atcham; Getas de Padgref; Dofus Ocre; Dofus Turquoise; Dofus Nébuleux; Dofus des Glaces; Dolmanax; Dofus Pourpre; Muldo Prune et Emeraude</t>
        </is>
      </c>
    </row>
    <row r="29393">
      <c r="A29393" t="inlineStr">
        <is>
          <t>Solo 5</t>
        </is>
      </c>
      <c r="B29393">
        <f>HYPERLINK("https://www.dofusbook.net/fr/equipement/4018605-solo-5/objets", "link")</f>
        <v/>
      </c>
      <c r="C29393" t="n">
        <v>3</v>
      </c>
      <c r="D29393" t="inlineStr">
        <is>
          <t>Arc corrompu; Amulette du Strigide; Anneauræus; Anneauræus; Quatre-feuilles; Ceinture du Strigide; Heaume Oplate; Cape de Diondin; Bottes Innommables; Dofus Ocre; Dofus Pourpre; Dofus Nébuleux; Dofus Turquoise; Dofus des Glaces; Nomade; Chaperlipopette</t>
        </is>
      </c>
    </row>
    <row r="29394">
      <c r="A29394" t="inlineStr">
        <is>
          <t>Duo 1</t>
        </is>
      </c>
      <c r="B29394">
        <f>HYPERLINK("https://www.dofusbook.net/fr/equipement/4581593-duo-1/objets", "link")</f>
        <v/>
      </c>
      <c r="C29394" t="n">
        <v>4</v>
      </c>
      <c r="D29394" t="inlineStr">
        <is>
          <t>Bâthon; Amulette Volkorne; Bague Gloursonne; Chevalière du Roi Joueur; Bouclier d'Ilyzaelle; Ceinture Volkorne; Couronne du Roi Joueur; Voile d'encre; Bottes du Roi Joueur; Dokoko; Dofus des Glaces; Dofus Émeraude; Dofus Abyssal; Dofus Ocre; Dofus Ivoire; Chachyène</t>
        </is>
      </c>
    </row>
    <row r="29395">
      <c r="A29395" t="inlineStr">
        <is>
          <t>Solo 1</t>
        </is>
      </c>
      <c r="B29395">
        <f>HYPERLINK("https://www.dofusbook.net/fr/equipement/3618227-solo-1/objets", "link")</f>
        <v/>
      </c>
      <c r="C29395" t="n">
        <v>8</v>
      </c>
      <c r="D29395" t="inlineStr">
        <is>
          <t>Canne Harr; Amulette Martegel; Alliance Gloursonne; Anneau Rifique; Bouclier cubiste; Sangle Ouare; Masquegel; Cape Martegel; Pompes Funèbres; Dofus Pourpre; Dofus Ocre; Dofus Abyssal; Dofus des Glaces; Dofus Émeraude; Dofus Ivoire; Dauge</t>
        </is>
      </c>
    </row>
    <row r="29396">
      <c r="A29396" t="inlineStr">
        <is>
          <t>Solo 3</t>
        </is>
      </c>
      <c r="B29396">
        <f>HYPERLINK("https://www.dofusbook.net/fr/equipement/4557839-solo-3/objets", "link")</f>
        <v/>
      </c>
      <c r="C29396" t="n">
        <v>2</v>
      </c>
      <c r="D29396" t="inlineStr">
        <is>
          <t>Sceptre du Roi Joueur; Amulette de Shokkoth; Bracelet des Fonds marins; Alliance Gloursonne; Bouclier d'Ilyzaelle; Sangle Ouare; Kidibonnet; Cape Solution; Sandales des Fonds marins; Dokoko; Dofus Abyssal; Dofus Ocre; Dofus Ivoire; Dofus Émeraude; Dofus des Glaces; Kramkram</t>
        </is>
      </c>
    </row>
    <row r="29397">
      <c r="A29397" t="inlineStr">
        <is>
          <t>Feu etype</t>
        </is>
      </c>
      <c r="B29397">
        <f>HYPERLINK("https://www.dofusbook.net/fr/equipement/2604292-feu-etype/objets", "link")</f>
        <v/>
      </c>
      <c r="C29397" t="n">
        <v>0</v>
      </c>
      <c r="D29397" t="inlineStr">
        <is>
          <t>Arc Hétype; Amulette de Nileza; Bouclier du Stalak; Heaume Oplate; Cape de Nileza; Pantoufles Émar; Muldo Ebène et Pourpre</t>
        </is>
      </c>
    </row>
    <row r="29398">
      <c r="A29398" t="inlineStr">
        <is>
          <t>OTP RICH 6</t>
        </is>
      </c>
      <c r="B29398">
        <f>HYPERLINK("https://www.dofusbook.net/fr/equipement/4556546-otp-rich-6/objets", "link")</f>
        <v/>
      </c>
      <c r="C29398" t="n">
        <v>1</v>
      </c>
      <c r="D29398" t="inlineStr">
        <is>
          <t>Hache du Chalœil; Amulette du Strigide; Bague Gloursonne; Anneau Volkorne; Bouclier du Captain Amakna; Ceinture du Strigide; Casque Volkorne; Voile d'encre; Bottes du Strigide; Dofus Nébuleux; Dolmanax; Dofus Ocre; Dofus Pourpre; Dofus des Glaces; Dofus Turquoise; Muldo Prune et Emeraude</t>
        </is>
      </c>
    </row>
    <row r="29399">
      <c r="A29399" t="inlineStr">
        <is>
          <t>OTP RICH 5</t>
        </is>
      </c>
      <c r="B29399">
        <f>HYPERLINK("https://www.dofusbook.net/fr/equipement/4547406-otp-rich-5/objets", "link")</f>
        <v/>
      </c>
      <c r="C29399" t="n">
        <v>3</v>
      </c>
      <c r="D29399" t="inlineStr">
        <is>
          <t>Sabres d'Atcham; Amulette du Strigide; Bague Gloursonne; Alliance Gloursonne; Bouclier du Captain Amakna; Ceinture du Strigide; Maskrobe; Cape d'Atcham; Bottes du Strigide; Dolmanax; Dofus Ocre; Dofus Pourpre; Dofus des Glaces; Dofus Turquoise; Dofus Nébuleux; Pioute vert</t>
        </is>
      </c>
    </row>
    <row r="29400">
      <c r="A29400" t="inlineStr">
        <is>
          <t>OTP RICH 4</t>
        </is>
      </c>
      <c r="B29400">
        <f>HYPERLINK("https://www.dofusbook.net/fr/equipement/4543995-otp-rich-4/objets", "link")</f>
        <v/>
      </c>
      <c r="C29400" t="n">
        <v>2</v>
      </c>
      <c r="D29400" t="inlineStr">
        <is>
          <t>Crocobur; Amulette du Strigide; Bracelet du Piloztère; Bague Trithon; Bouclier du Captain Amakna; Ceinture du Strigide; Masque Trithon; Dofusteuse; Bottes du Strigide; Dolmanax; Dofus Ocre; Dofus Turquoise; Dofus des Glaces; Dofus Nébuleux; Dofus Pourpre; Muldo Prune et Emeraude</t>
        </is>
      </c>
    </row>
    <row r="29401">
      <c r="A29401" t="inlineStr">
        <is>
          <t>Multi noob</t>
        </is>
      </c>
      <c r="B29401">
        <f>HYPERLINK("https://www.dofusbook.net/fr/equipement/4540518-multi-noob/objets", "link")</f>
        <v/>
      </c>
      <c r="C29401" t="n">
        <v>2</v>
      </c>
      <c r="D29401" t="inlineStr">
        <is>
          <t>Dagues Érhy; Amulette de l'Indicible; Bague Gloursonne; Alliance Gloursonne; Bouclier du Stalak; Ceinture de l'Indicible; Casque Dragoeuf; Voile d'encre; Bottes de l'Indicible; Dokoko; Dofus Émeraude; Dofus Pourpre; Dofus des Glaces; Dofus Ocre; Dofus Ivoire; Muldo Pourpre</t>
        </is>
      </c>
    </row>
    <row r="29402">
      <c r="A29402" t="inlineStr">
        <is>
          <t>OTP RICH 4</t>
        </is>
      </c>
      <c r="B29402">
        <f>HYPERLINK("https://www.dofusbook.net/fr/equipement/4536303-otp-rich-4/objets", "link")</f>
        <v/>
      </c>
      <c r="C29402" t="n">
        <v>1</v>
      </c>
      <c r="D29402" t="inlineStr">
        <is>
          <t>Hache du Chalœil; Amulette du Strigide; Bague Gloursonne; Alliance Gloursonne; Bouclier du Captain Amakna; Ceinture du Strigide; Némès de Tal Kasha; Chevelure de Tal Kasha; Bottes du Strigide; Dolmanax; Dofus Ocre; Dofus Pourpre; Dofus des Glaces; Dofus Turquoise; Dofus Nébuleux; Phorror</t>
        </is>
      </c>
    </row>
    <row r="29403">
      <c r="A29403" t="inlineStr">
        <is>
          <t>OTP RICH 3</t>
        </is>
      </c>
      <c r="B29403">
        <f>HYPERLINK("https://www.dofusbook.net/fr/equipement/4536181-otp-rich-3/objets", "link")</f>
        <v/>
      </c>
      <c r="C29403" t="n">
        <v>4</v>
      </c>
      <c r="D29403" t="inlineStr">
        <is>
          <t>Hache du Chalœil; Amulette Volkorne; Alliance Gloursonne; Anneau Volkorne; Bouclier du Captain Amakna; Ceinture de la Reine des Voleurs; Coiffe de la Reine des Voleurs; Dofusteuse; Bottes de la Reine des Voleurs; Dolmanax; Dofus Nébuleux; Dofus Pourpre; Dofus des Glaces; Dofus Émeraude; Dofus Ocre; Muldo Doré et Ebène</t>
        </is>
      </c>
    </row>
    <row r="29404">
      <c r="A29404" t="inlineStr">
        <is>
          <t>OTP RICH</t>
        </is>
      </c>
      <c r="B29404">
        <f>HYPERLINK("https://www.dofusbook.net/fr/equipement/4535993-otp-rich/objets", "link")</f>
        <v/>
      </c>
      <c r="C29404" t="n">
        <v>7</v>
      </c>
      <c r="D29404" t="inlineStr">
        <is>
          <t>Hache du Chalœil; Amulette du Strigide; Bague Gloursonne; Anneau Volkorne; Bouclier du Captain Amakna; Ceinture du Strigide; Casque Volkorne; Cape au Logis; Bottes du Strigide; Dofus Pourpre; Dofus des Glaces; Dofus Turquoise; Dofus Nébuleux; Dolmanax; Dofus Ocre; Kokulte</t>
        </is>
      </c>
    </row>
    <row r="29405">
      <c r="A29405" t="inlineStr">
        <is>
          <t>OTP RICH 2</t>
        </is>
      </c>
      <c r="B29405">
        <f>HYPERLINK("https://www.dofusbook.net/fr/equipement/4536069-otp-rich-2/objets", "link")</f>
        <v/>
      </c>
      <c r="C29405" t="n">
        <v>3</v>
      </c>
      <c r="D29405" t="inlineStr">
        <is>
          <t>Arc Volkorne; Amulette de l'Indicible; Bague Gloursonne; Alliance Gloursonne; Quatre-feuilles; Ceinture de l'Indicible; Maskrobe; Dofusteuse; Bottes de l'Indicible; Dolmanax; Dofus Ocre; Dofus Pourpre; Dofus Nébuleux; Dofus Turquoise; Dofus des Glaces; Dragodinde Prune et Ivoire</t>
        </is>
      </c>
    </row>
    <row r="29406">
      <c r="A29406" t="inlineStr">
        <is>
          <t>Féca M 200</t>
        </is>
      </c>
      <c r="B29406">
        <f>HYPERLINK("https://www.dofusbook.net/fr/equipement/4490048-feca-m-200/objets", "link")</f>
        <v/>
      </c>
      <c r="C29406" t="n">
        <v>0</v>
      </c>
      <c r="D29406" t="inlineStr"/>
    </row>
    <row r="29407">
      <c r="A29407" t="inlineStr">
        <is>
          <t>Solo 3 bis</t>
        </is>
      </c>
      <c r="B29407">
        <f>HYPERLINK("https://www.dofusbook.net/fr/equipement/4455768-solo-3-bis/objets", "link")</f>
        <v/>
      </c>
      <c r="C29407" t="n">
        <v>1</v>
      </c>
      <c r="D29407" t="inlineStr">
        <is>
          <t>Dagues d'Ilyzaelle; Collier de Tourthon; Anneau Crustique; Anneau Volkorne; Bouclier du Captain Amakna; Ceinture Volkorne; Masque de Koutoulou; Cape au Logis; Bottes du Cœur Saignant; Dokoko; Dofus Nébuleux; Dofus Ocre; Dofus Abyssal; Dofus des Glaces; Enragé majeur; Bwak de Terre</t>
        </is>
      </c>
    </row>
    <row r="29408">
      <c r="A29408" t="inlineStr">
        <is>
          <t>Terre Anti-Diablo</t>
        </is>
      </c>
      <c r="B29408">
        <f>HYPERLINK("https://www.dofusbook.net/fr/equipement/4258594-terre-anti-diablo/objets", "link")</f>
        <v/>
      </c>
      <c r="C29408" t="n">
        <v>5</v>
      </c>
      <c r="D29408" t="inlineStr">
        <is>
          <t>Arc du Chalœil; Amulette de Pol Ouatnos; Goulano; Bracelet du Piloztère; Goulclier; Ceinture de la Reine des Voleurs; Masque de Koutoulou; Cape au Logis; Baleinabottes; Dofus des Glaces; Dofus Nébuleux; Dokoko; Dofus Ocre; Fortification majeure; Observateur; Wabbit</t>
        </is>
      </c>
    </row>
    <row r="29409">
      <c r="A29409" t="inlineStr">
        <is>
          <t>Solo 3</t>
        </is>
      </c>
      <c r="B29409">
        <f>HYPERLINK("https://www.dofusbook.net/fr/equipement/3686921-solo-3/objets", "link")</f>
        <v/>
      </c>
      <c r="C29409" t="n">
        <v>3</v>
      </c>
      <c r="D29409" t="inlineStr">
        <is>
          <t>Arc du Chalœil; Amulette Héroclite; Anneau Chevelu; Anneau Crustique; Bouclier Pandawa; Ceinture Volkorne; Masque de Koutoulou; Voile d'encre; Bottes de la Cour Sombre; Dokoko; Dofus Ivoire; Dofus Émeraude; Dofus Ocre; Dofus des Glaces; Remueur; Chachyène</t>
        </is>
      </c>
    </row>
    <row r="29410">
      <c r="A29410" t="inlineStr">
        <is>
          <t>Solo 5 bis</t>
        </is>
      </c>
      <c r="B29410">
        <f>HYPERLINK("https://www.dofusbook.net/fr/equipement/4443187-solo-5-bis/objets", "link")</f>
        <v/>
      </c>
      <c r="C29410" t="n">
        <v>4</v>
      </c>
      <c r="D29410" t="inlineStr">
        <is>
          <t>Arc corrompu; Amulette Volkorne; Anneauræus; Anneau Rifique; Bouclier du Stalak; Ceinture Volkorne; Casque Dragoeuf; Voile d'encre; Chaussures Ardentes; Dofus Ocre; Dofus Ivoire; Dofus Abyssal; Dokoko; Remueur; Érudit majeur; Chachyène</t>
        </is>
      </c>
    </row>
    <row r="29411">
      <c r="A29411" t="inlineStr">
        <is>
          <t>Solo 5</t>
        </is>
      </c>
      <c r="B29411">
        <f>HYPERLINK("https://www.dofusbook.net/fr/equipement/4401092-solo-5/objets", "link")</f>
        <v/>
      </c>
      <c r="C29411" t="n">
        <v>2</v>
      </c>
      <c r="D29411" t="inlineStr">
        <is>
          <t>Pelle de Katrepat; Amulette de l'Œil Putride; Bague Gloursonne; Alliance Gloursonne; Bouclier cubiste; Ceinture de l'Esprit Salvateur; Capuche de l'Œil Putride; Cape de l'Œil Putride; Bottes de l'Esprit Salvateur; Dofus Ivoire; Dofus Ocre; Dokoko; Dofus Abyssal; Dofus Pourpre; Dofus des Glaces; Chachyène</t>
        </is>
      </c>
    </row>
    <row r="29412">
      <c r="A29412" t="inlineStr">
        <is>
          <t>Solo 3 bis</t>
        </is>
      </c>
      <c r="B29412">
        <f>HYPERLINK("https://www.dofusbook.net/fr/equipement/3858836-solo-3-bis/objets", "link")</f>
        <v/>
      </c>
      <c r="C29412" t="n">
        <v>1</v>
      </c>
      <c r="D29412" t="inlineStr">
        <is>
          <t>Bêche Asse; Collier de Tourthon; Anneau Crustique; Bague Gloursonne; Bouclier alvéolé; Ceinture Volkorne; Masque de Koutoulou; Cape au Logis; Bottes de la Cour Sombre; Dofus Ivoire; Dofus Pourpre; Dofus Nébuleux; Dofus Ocre; Dokoko; Dofus Abyssal</t>
        </is>
      </c>
    </row>
    <row r="29413">
      <c r="A29413" t="inlineStr">
        <is>
          <t>Momo panda</t>
        </is>
      </c>
      <c r="B29413">
        <f>HYPERLINK("https://www.dofusbook.net/fr/equipement/4250837-momo-panda/objets", "link")</f>
        <v/>
      </c>
      <c r="C29413" t="n">
        <v>0</v>
      </c>
      <c r="D29413" t="inlineStr">
        <is>
          <t>Ares; Amulette de Danathor; Alliance du Lévitrof; Gelano; Sangle Ouare; Coiffe de Danathor; Cape du Sinistrofu; Grésilobottes</t>
        </is>
      </c>
    </row>
    <row r="29414">
      <c r="A29414" t="inlineStr">
        <is>
          <t>Terre bourrin</t>
        </is>
      </c>
      <c r="B29414">
        <f>HYPERLINK("https://www.dofusbook.net/fr/equipement/4400755-terre-bourrin/objets", "link")</f>
        <v/>
      </c>
      <c r="C29414" t="n">
        <v>0</v>
      </c>
      <c r="D29414" t="inlineStr">
        <is>
          <t>Arc du Chalœil; Amulette Volcanique; Bracelet du Piloztère; Anneau Volkorne; Bouclier du Stalak; Ceinture Volkorne; Masque de Koutoulou; Cape au Logis; Bottes du Cœur Saignant; Dofus Ocre; Dofus Abyssal; Dofus des Glaces; Dofus Ivoire; Dofus Nébuleux; Enragé majeur; Dragodinde Amande et Pourpre</t>
        </is>
      </c>
    </row>
    <row r="29415">
      <c r="A29415" t="inlineStr">
        <is>
          <t>Solo 8</t>
        </is>
      </c>
      <c r="B29415">
        <f>HYPERLINK("https://www.dofusbook.net/fr/equipement/4394662-solo-8/objets", "link")</f>
        <v/>
      </c>
      <c r="C29415" t="n">
        <v>0</v>
      </c>
      <c r="D29415" t="inlineStr">
        <is>
          <t>Arc corrompu; Amulette du Strigide; Anneauræus; Anneauræus; Quatre-feuilles; Ceinture du Strigide; Capuche de l'Œil Putride; Cape de l'Œil Putride; Bottes du Strigide; Dofus Pourpre; Dofus des Glaces; Dofus Turquoise; Dofus Nébuleux; Dofus Ivoire; Dofus Ocre; Muldo Ebène et Pourpre</t>
        </is>
      </c>
    </row>
    <row r="29416">
      <c r="A29416" t="inlineStr">
        <is>
          <t>Prospection</t>
        </is>
      </c>
      <c r="B29416">
        <f>HYPERLINK("https://www.dofusbook.net/fr/equipement/2806160-prospection/objets", "link")</f>
        <v/>
      </c>
      <c r="C29416" t="n">
        <v>3</v>
      </c>
      <c r="D29416" t="inlineStr">
        <is>
          <t>Pelle Emélaka; Collier du Minotot; Bracelet du Minotot; Anneau Bliteré; Tranche des Sous-bois; Doro le Blak; Cape du Minotot; Bottines des sous-bois; Dokille; Dofus Kaliptus; Taquin majeur; Joueur; Joueur majeur; Taquin; Nomoon</t>
        </is>
      </c>
    </row>
    <row r="29417">
      <c r="A29417" t="inlineStr">
        <is>
          <t>terre/feu/air</t>
        </is>
      </c>
      <c r="B29417">
        <f>HYPERLINK("https://www.dofusbook.net/fr/equipement/4342743-terre-feu-air/objets", "link")</f>
        <v/>
      </c>
      <c r="C29417" t="n">
        <v>7</v>
      </c>
      <c r="D29417" t="inlineStr">
        <is>
          <t>Dagues Érhy; Amulette de Gein; Bague Gloursonne; Bracelet du Piloztère; Cadran de Terre; Ceintacé; Masque du Katcheur; Voile d'encre; Bottes du Katcheur; Remueur; Vigoureux majeur; Nomade; Temporiseur majeur; Kramkram</t>
        </is>
      </c>
    </row>
    <row r="29418">
      <c r="A29418" t="inlineStr">
        <is>
          <t>Mega wolf 2.0</t>
        </is>
      </c>
      <c r="B29418">
        <f>HYPERLINK("https://www.dofusbook.net/fr/equipement/4205765-mega-wolf-2-0/objets", "link")</f>
        <v/>
      </c>
      <c r="C29418" t="n">
        <v>19</v>
      </c>
      <c r="D29418" t="inlineStr">
        <is>
          <t>Dagues de Srambad; Collier de Tourthon; Bracelet du Piloztère; Alliance Gloursonne; Bouclier d'Ilyzaelle; Ceinture de la Reine des Voleurs; Coiffe de la Reine des Voleurs; Cape au Logis; Baleinabottes; Dokoko; Dofus des Glaces; Dofus Émeraude; Dofus Pourpre; Remueur; Miraculé majeur; Muldo Roux et Ebène</t>
        </is>
      </c>
    </row>
    <row r="29419">
      <c r="A29419" t="inlineStr">
        <is>
          <t>Solo 7</t>
        </is>
      </c>
      <c r="B29419">
        <f>HYPERLINK("https://www.dofusbook.net/fr/equipement/4337390-solo-7/objets", "link")</f>
        <v/>
      </c>
      <c r="C29419" t="n">
        <v>0</v>
      </c>
      <c r="D29419" t="inlineStr">
        <is>
          <t>Arc de Koutoulou; Amulette du Strigide; Anneau Volkorne; Alliance Gloursonne; Quatre-feuilles; Ceinture du Strigide; Némès de Tal Kasha; Chevelure de Tal Kasha; Sandales de Tal Kasha; Dofus Pourpre; Dofus des Glaces; Dofus Turquoise; Dofus Abyssal; Dokoko; Dofus Ocre; Muldo Ebène et Pourpre</t>
        </is>
      </c>
    </row>
    <row r="29420">
      <c r="A29420" t="inlineStr">
        <is>
          <t>Multi</t>
        </is>
      </c>
      <c r="B29420">
        <f>HYPERLINK("https://www.dofusbook.net/fr/equipement/4321335-multi/objets", "link")</f>
        <v/>
      </c>
      <c r="C29420" t="n">
        <v>4</v>
      </c>
      <c r="D29420" t="inlineStr">
        <is>
          <t>Jakchir Arc; Amulette de Shokkoth; Alliance Gloursonne; Anneau Volkorne; Bouclier cubiste; Menoture; Capuche de l'Œil Attentif; Chevelure de Tal Kasha; Sandales de Tal Kasha; Dofus Pourpre; Dofus des Glaces; Dofus Turquoise; Dofus Ocre; Dokoko; Étourdisseur majeur; Muldo Ebène et Indigo</t>
        </is>
      </c>
    </row>
    <row r="29421">
      <c r="A29421" t="inlineStr">
        <is>
          <t>Chavacrit</t>
        </is>
      </c>
      <c r="B29421">
        <f>HYPERLINK("https://www.dofusbook.net/fr/equipement/4241235-chavacrit/objets", "link")</f>
        <v/>
      </c>
      <c r="C29421" t="n">
        <v>5</v>
      </c>
      <c r="D29421" t="inlineStr">
        <is>
          <t>Hache du Chalœil; Amulette Volkorne; Bague Trithon; Anneau Volkorne; Quatre-feuilles; Ceinture Volkorne; Masque Trithon; Cape d'Anerice; Bottes Trithon; Dofus Ocre; Dokoko; Dofus Pourpre; Dofus des Glaces; Dofus Turquoise; Dolmanax; Kramkram</t>
        </is>
      </c>
    </row>
    <row r="29422">
      <c r="A29422" t="inlineStr">
        <is>
          <t>Multi-Flex</t>
        </is>
      </c>
      <c r="B29422">
        <f>HYPERLINK("https://www.dofusbook.net/fr/equipement/4311111-multi-flex/objets", "link")</f>
        <v/>
      </c>
      <c r="C29422" t="n">
        <v>0</v>
      </c>
      <c r="D29422" t="inlineStr">
        <is>
          <t>Epée Loponèze; Amulette du Strigide; Alliance Gloursonne; Bracelet du Piloztère; Bouclier cubiste; Ceintacé; Boucle d'oreille de Kongoku; Cape du Chalœil; Bottes du Strigide; Dofus Pourpre; Dofus Nébuleux; Dofus Turquoise; Dofus des Glaces; Nomade; Remueur; Kramkram</t>
        </is>
      </c>
    </row>
    <row r="29423">
      <c r="A29423" t="inlineStr">
        <is>
          <t>Multi</t>
        </is>
      </c>
      <c r="B29423">
        <f>HYPERLINK("https://www.dofusbook.net/fr/equipement/2885101-multi/objets", "link")</f>
        <v/>
      </c>
      <c r="C29423" t="n">
        <v>5</v>
      </c>
      <c r="D29423" t="inlineStr">
        <is>
          <t>Baguette Range; Amulette du Strigide; Bague Gloursonne; Alliance Gloursonne; Bouclier du Stalak; Ceinture du Strigide; Casque Dragoeuf; Voile d'encre; Bottes du Strigide; Dofus Ivoire; Dofus Ocre; Dolmanax; Dofus des Glaces; Dofus Émeraude; Dofus Turquoise; Muldo Orchidée et Pourpre</t>
        </is>
      </c>
    </row>
    <row r="29424">
      <c r="A29424" t="inlineStr">
        <is>
          <t>Eau/Air</t>
        </is>
      </c>
      <c r="B29424">
        <f>HYPERLINK("https://www.dofusbook.net/fr/equipement/2885827-eau-air/objets", "link")</f>
        <v/>
      </c>
      <c r="C29424" t="n">
        <v>4</v>
      </c>
      <c r="D29424" t="inlineStr">
        <is>
          <t>Arc de Koutoulou; Amulette du Strigide; Alliance Gloursonne; Bague Trithon; Bouclier du Stalak; Ceintacé; Casque Dragoeuf; Chevelure de Tal Kasha; Sandales de Tal Kasha; Dofus Turquoise; Dofus Ivoire; Dolmanax; Dofus Ocre; Dofus Pourpre; Dofus des Glaces; Muldo Prune et Emeraude</t>
        </is>
      </c>
    </row>
    <row r="29425">
      <c r="A29425" t="inlineStr">
        <is>
          <t>Multi</t>
        </is>
      </c>
      <c r="B29425">
        <f>HYPERLINK("https://www.dofusbook.net/fr/equipement/4277181-multi/objets", "link")</f>
        <v/>
      </c>
      <c r="C29425" t="n">
        <v>1</v>
      </c>
      <c r="D29425" t="inlineStr">
        <is>
          <t>Sabres d'Atcham; Amulette du Strigide; Bracelet du Piloztère; Alliance Gloursonne; Quatre-feuilles; Ceintacé; Masque du Katcheur; Cape d'Atcham; Pataugastrique; Dofus des Glaces; Dofus Pourpre; Dofus Nébuleux; Dofus Turquoise; Dofus Abyssal; Vigoureux majeur; Phorror</t>
        </is>
      </c>
    </row>
    <row r="29426">
      <c r="A29426" t="inlineStr">
        <is>
          <t>Cheva</t>
        </is>
      </c>
      <c r="B29426">
        <f>HYPERLINK("https://www.dofusbook.net/fr/equipement/3721127-cheva/objets", "link")</f>
        <v/>
      </c>
      <c r="C29426" t="n">
        <v>0</v>
      </c>
      <c r="D29426" t="inlineStr">
        <is>
          <t>Hache du Chalœil; Amulette de l'Indicible; Alliance Gloursonne; Bracelet du Piloztère; Bouclier du Stalak; Ceinture de l'Indicible; Masque Brûlâme; Voile d'encre; Bottes de l'Indicible; Dokoko; Dofus Pourpre; Dofus Émeraude; Dofus Ocre; Dolmanax; Dofus des Glaces; Muldo Indigo et Orchidée</t>
        </is>
      </c>
    </row>
    <row r="29427">
      <c r="A29427" t="inlineStr">
        <is>
          <t>Momo eliotrope</t>
        </is>
      </c>
      <c r="B29427">
        <f>HYPERLINK("https://www.dofusbook.net/fr/equipement/4250862-momo-eliotrope/objets", "link")</f>
        <v/>
      </c>
      <c r="C29427" t="n">
        <v>3</v>
      </c>
      <c r="D29427" t="inlineStr">
        <is>
          <t>Épée du Granduk; Amulette d'Hel Munster; Anneau des égarés; Gelano; Ceintouse; Chapoulpe; Cape du Kamasterisk; Pantoufles Émar</t>
        </is>
      </c>
    </row>
    <row r="29428">
      <c r="A29428" t="inlineStr">
        <is>
          <t>Momo eniripsa</t>
        </is>
      </c>
      <c r="B29428">
        <f>HYPERLINK("https://www.dofusbook.net/fr/equipement/4251094-momo-eniripsa/objets", "link")</f>
        <v/>
      </c>
      <c r="C29428" t="n">
        <v>1</v>
      </c>
      <c r="D29428" t="inlineStr">
        <is>
          <t>Épée d'Otomaï; Amulette de Nileza; Gelano; Anneau Tamie; Sangle Aise; Coiffe Séculaire; Cape de Nileza; Bottes de Dremoan</t>
        </is>
      </c>
    </row>
    <row r="29429">
      <c r="A29429" t="inlineStr">
        <is>
          <t>Mega wolf</t>
        </is>
      </c>
      <c r="B29429">
        <f>HYPERLINK("https://www.dofusbook.net/fr/equipement/4205753-mega-wolf/objets", "link")</f>
        <v/>
      </c>
      <c r="C29429" t="n">
        <v>0</v>
      </c>
      <c r="D29429" t="inlineStr">
        <is>
          <t>Bêche Asse; Collier de Tourthon; Bague Gloursonne; Anneau Crustique; Bouclier d'Ilyzaelle; Ceinture Volkorne; Masque de Koutoulou; Cape au Logis; Baleinabottes; Dofus Pourpre; Dokoko; Dofus des Glaces; Dofus Émeraude; Dofus Abyssal; Remueur; Muldo Orchidée et Pourpre</t>
        </is>
      </c>
    </row>
    <row r="29430">
      <c r="A29430" t="inlineStr">
        <is>
          <t>FEu/air</t>
        </is>
      </c>
      <c r="B29430">
        <f>HYPERLINK("https://www.dofusbook.net/fr/equipement/4196511-feu-air-/objets", "link")</f>
        <v/>
      </c>
      <c r="C29430" t="n">
        <v>12</v>
      </c>
      <c r="D29430" t="inlineStr">
        <is>
          <t>Arc corrompu; Pendentif affamé; Anneau de Nidas; Bague Gloursonne; Bouclier du Stalak; Ceinture de Vortex; Couronne de Nidas; Cape de Diondin; Bottes Innommables; Dolmanax; Dofus Pourpre; Érudit majeur; Miraculé majeur; Remueur; Nomade; Willy le Relou</t>
        </is>
      </c>
    </row>
    <row r="29431">
      <c r="A29431" t="inlineStr">
        <is>
          <t>FEu soin</t>
        </is>
      </c>
      <c r="B29431">
        <f>HYPERLINK("https://www.dofusbook.net/fr/equipement/4192296-feu-soin/objets", "link")</f>
        <v/>
      </c>
      <c r="C29431" t="n">
        <v>6</v>
      </c>
      <c r="D29431" t="inlineStr">
        <is>
          <t>Arc corrompu; Amulette Martegel; Anneau de Nidas; Anneauræus; Bouclier du Stalak; Ceinture de Vortex; Casque Cyclopéen; Cape Martegel; Pataugastrique; Dofus Pourpre; Nomade; Cascadeur majeur; Remueur; Miraculé majeur; Érudit majeur; Meuch</t>
        </is>
      </c>
    </row>
    <row r="29432">
      <c r="A29432" t="inlineStr">
        <is>
          <t>Perk</t>
        </is>
      </c>
      <c r="B29432">
        <f>HYPERLINK("https://www.dofusbook.net/fr/equipement/4142996-perk/objets", "link")</f>
        <v/>
      </c>
      <c r="C29432" t="n">
        <v>13</v>
      </c>
      <c r="D29432" t="inlineStr">
        <is>
          <t>Arc Volkorne; Amulette du Strigide; Alliance Gloursonne; Bracelet du Piloztère; Quatre-feuilles; Ceintacé; Capuche de l'Œil Putride; Cape du Chalœil; Bottes du Strigide; Dolmanax; Dofus des Glaces; Dofus Nébuleux; Dofus Pourpre; Vigoureux majeur; Nomade; Fëanor</t>
        </is>
      </c>
    </row>
    <row r="29433">
      <c r="A29433" t="inlineStr">
        <is>
          <t>Ultimate</t>
        </is>
      </c>
      <c r="B29433">
        <f>HYPERLINK("https://www.dofusbook.net/fr/equipement/3776302-ultimate/objets", "link")</f>
        <v/>
      </c>
      <c r="C29433" t="n">
        <v>2</v>
      </c>
      <c r="D29433" t="inlineStr">
        <is>
          <t>Arc du Chalœil; Amulette de Pol Ouatnos; Bracelet du Piloztère; Anneau Crustique; Bouclier du Stalak; Ceinture de la Reine des Voleurs; Coiffe de la Reine des Voleurs; Cape au Logis; Baleinabottes; Dokoko; Dofus Ocre; Dofus des Glaces; Dofus Pourpre; Dofus Nébuleux; Fortification majeure; Wabbit</t>
        </is>
      </c>
    </row>
    <row r="29434">
      <c r="A29434" t="inlineStr">
        <is>
          <t>Multi farm</t>
        </is>
      </c>
      <c r="B29434">
        <f>HYPERLINK("https://www.dofusbook.net/fr/equipement/4090185-multi-farm/objets", "link")</f>
        <v/>
      </c>
      <c r="C29434" t="n">
        <v>1</v>
      </c>
      <c r="D29434" t="inlineStr">
        <is>
          <t>Dagues Érhy; Racine Hueuse; Alliance Gloursonne; Gelano; Cadran de Terre; Ceintacé; Coiffe de la Reine des Voleurs; Cape Reski; Bottes de la Reine des Voleurs; Remueur; Érudit majeur; Nomade; Miraculé majeur; Robuste majeur; Vigoureux majeur; Muldo Doré</t>
        </is>
      </c>
    </row>
    <row r="29435">
      <c r="A29435" t="inlineStr">
        <is>
          <t>Cra Farm 3</t>
        </is>
      </c>
      <c r="B29435">
        <f>HYPERLINK("https://www.dofusbook.net/fr/equipement/2987165-cra-farm-3/objets", "link")</f>
        <v/>
      </c>
      <c r="C29435" t="n">
        <v>4</v>
      </c>
      <c r="D29435" t="inlineStr">
        <is>
          <t>Dagues Érhy; Racine Hueuse; Alliance Gloursonne; Gelano; Cadran de Terre; Ceintacé; Coiffe de la Reine des Voleurs; Cape Reski; Bottes de la Reine des Voleurs; Chanceux majeur; Robuste majeur; Enragé majeur; Remueur; Vigoureux majeur; Muldo Doré</t>
        </is>
      </c>
    </row>
    <row r="29436">
      <c r="A29436" t="inlineStr">
        <is>
          <t>Ecadox</t>
        </is>
      </c>
      <c r="B29436">
        <f>HYPERLINK("https://www.dofusbook.net/fr/equipement/3977879-ecadox/objets", "link")</f>
        <v/>
      </c>
      <c r="C29436" t="n">
        <v>4</v>
      </c>
      <c r="D29436" t="inlineStr">
        <is>
          <t>Dagues d'Ilyzaelle; Amulette du Strigide; Bague Gloursonne; Bague Trithon; Bouclier du Captain Amakna; Ceinture du Strigide; Masque de Koutoulou; Cape au Logis; Baleinabottes; Dokoko; Dofus Nébuleux; Dofus Turquoise; Dofus des Glaces; Dofus Ocre; Carapace Terre majeur; Pioute vert</t>
        </is>
      </c>
    </row>
    <row r="29437">
      <c r="A29437" t="inlineStr">
        <is>
          <t>Solo 3</t>
        </is>
      </c>
      <c r="B29437">
        <f>HYPERLINK("https://www.dofusbook.net/fr/equipement/3825502-solo-3/objets", "link")</f>
        <v/>
      </c>
      <c r="C29437" t="n">
        <v>0</v>
      </c>
      <c r="D29437" t="inlineStr">
        <is>
          <t>Epée Maudite du Saigneur Guerrier; Amulette du Strigide; Anneau de Padgref; Bague Trithon; Bouclier du Captain Amakna; Ceinture du Strigide; Masque Trithon; Chevelure de Tal Kasha; Bottes Trithon; Dofus Abyssal; Dofus des Glaces; Dofus Turquoise; Dofus Nébuleux; Dokoko; Dofus Ocre; Muldo Prune et Emeraude</t>
        </is>
      </c>
    </row>
    <row r="29438">
      <c r="A29438" t="inlineStr">
        <is>
          <t>Terre</t>
        </is>
      </c>
      <c r="B29438">
        <f>HYPERLINK("https://www.dofusbook.net/fr/equipement/3723345-terre/objets", "link")</f>
        <v/>
      </c>
      <c r="C29438" t="n">
        <v>2</v>
      </c>
      <c r="D29438" t="inlineStr">
        <is>
          <t>Bêche Asse; Collier de Tourthon; Gelano; Anneau de Brouce; Ceinture de Brouce; Coiffe du Comte Harebourg; Voile d'encre; Baleinabottes; Remueur; Miraculé majeur; Nomade; Enragé majeur; Muldo Ebène et Pourpre</t>
        </is>
      </c>
    </row>
    <row r="29439">
      <c r="A29439" t="inlineStr">
        <is>
          <t>eau/Air</t>
        </is>
      </c>
      <c r="B29439">
        <f>HYPERLINK("https://www.dofusbook.net/fr/equipement/2109770-eau-air/objets", "link")</f>
        <v/>
      </c>
      <c r="C29439" t="n">
        <v>1</v>
      </c>
      <c r="D29439" t="inlineStr">
        <is>
          <t>Arc de Koutoulou; Amulette Voldelor; Alliance Gloursonne; Gelano; Bouclier Aerdala; Ceinture Voldelor; Couronne d'Allister; Cape Matelassée; Bottes de la Reine des Voleurs; Dofus Pourpre; Cascadeur majeur; Remueur; Chanceux majeur; Vigoureux majeur; Miraculé majeur; Muldo Ebène et Pourpre</t>
        </is>
      </c>
    </row>
    <row r="29440">
      <c r="A29440" t="inlineStr">
        <is>
          <t>Roub feu</t>
        </is>
      </c>
      <c r="B29440">
        <f>HYPERLINK("https://www.dofusbook.net/fr/equipement/3908140-roub-feu/objets", "link")</f>
        <v/>
      </c>
      <c r="C29440" t="n">
        <v>4</v>
      </c>
      <c r="D29440" t="inlineStr">
        <is>
          <t>Arc corrompu; Pendentif affamé; Anneauræus; Anneau Tique; Bouclier du Stalak; Ceinture de Vortex; Cagoule de Vortex; Cape de Diondin; Bottes Innommables; Dofus Pourpre; Miraculé majeur; Nomade; Érudit majeur; Remueur; Dévastateur Feu majeur; Muldo Orchidée et Pourpre</t>
        </is>
      </c>
    </row>
    <row r="29441">
      <c r="A29441" t="inlineStr">
        <is>
          <t>Mega</t>
        </is>
      </c>
      <c r="B29441">
        <f>HYPERLINK("https://www.dofusbook.net/fr/equipement/3876614-mega/objets", "link")</f>
        <v/>
      </c>
      <c r="C29441" t="n">
        <v>2</v>
      </c>
      <c r="D29441" t="inlineStr">
        <is>
          <t>Arc de Koutoulou; Amulette Voldelor; Bracelet du Piloztère; Alliance Gloursonne; Bouclier du Stalak; Sangle Ouare; Casque Dragoeuf; Cape Matelassée; Baleinabottes; Dokoko; Dofus Émeraude; Dofus Pourpre; Miraculé majeur; Cascadeur majeur; Remueur; Muldo Ebène</t>
        </is>
      </c>
    </row>
    <row r="29442">
      <c r="A29442" t="inlineStr">
        <is>
          <t>True 3</t>
        </is>
      </c>
      <c r="B29442">
        <f>HYPERLINK("https://www.dofusbook.net/fr/equipement/3015121-true-3/objets", "link")</f>
        <v/>
      </c>
      <c r="C29442" t="n">
        <v>5</v>
      </c>
      <c r="D29442" t="inlineStr">
        <is>
          <t>Pelle de la Cour Sombre; Collier du Valet Veinard; Alliance Gloursonne; Gant du Valet Veinard; Bouclier du Stalak; Menoture; Casque d'Ilyzaelle; Cape Indescriptible; Palmes Trithons; Dofus Ocre; Dofus Pourpre; Dofus des Glaces; Dévastateur Air majeur; Cascadeur majeur; Vigoureux majeur; Muldo Ebène</t>
        </is>
      </c>
    </row>
    <row r="29443">
      <c r="A29443" t="inlineStr">
        <is>
          <t>Solo 4</t>
        </is>
      </c>
      <c r="B29443">
        <f>HYPERLINK("https://www.dofusbook.net/fr/equipement/3840417-solo-4/objets", "link")</f>
        <v/>
      </c>
      <c r="C29443" t="n">
        <v>0</v>
      </c>
      <c r="D29443" t="inlineStr">
        <is>
          <t>Marteau R'ture; Collier de Tourthon; Anneau de Brouce; Bague Gloursonne; Bouclier alvéolé; Ceinture Volkorne; Coiffe de la Reine des Voleurs; Cape au Logis; Baleinabottes; Muldo Orchidée et Pourpre</t>
        </is>
      </c>
    </row>
    <row r="29444">
      <c r="A29444" t="inlineStr">
        <is>
          <t>Feu</t>
        </is>
      </c>
      <c r="B29444">
        <f>HYPERLINK("https://www.dofusbook.net/fr/equipement/2260505-feu/objets", "link")</f>
        <v/>
      </c>
      <c r="C29444" t="n">
        <v>2</v>
      </c>
      <c r="D29444" t="inlineStr">
        <is>
          <t>Jakchir Arc; Amulette de Shokkoth; Anneau du Kaniblou; Alliance Gloursonne; Sept ans de malheur; Culotte de Bethel; Masque de Funespadon; Cape Solution; Pataugastrique; Étourdisseur majeur; Nomade; Chanceux majeur; Paralyseur majeur; Remueur; Kramkram</t>
        </is>
      </c>
    </row>
    <row r="29445">
      <c r="A29445" t="inlineStr">
        <is>
          <t>Eau</t>
        </is>
      </c>
      <c r="B29445">
        <f>HYPERLINK("https://www.dofusbook.net/fr/equipement/3065342-eau/objets", "link")</f>
        <v/>
      </c>
      <c r="C29445" t="n">
        <v>9</v>
      </c>
      <c r="D29445" t="inlineStr">
        <is>
          <t>Arc corrompu; Amulette Séculaire; Anneau de Nidas; Bracelet du Piloztère; Bouclier cubiste; Ceinture Séculaire; Casque Dragoeuf; Cape de Diondin; Pataugastrique; Dofus Pourpre; Dofus Nébuleux; Remueur; Érudit majeur; Vigoureux majeur; Miraculé majeur; Muldo Indigo et Pourpre</t>
        </is>
      </c>
    </row>
    <row r="29446">
      <c r="A29446" t="inlineStr">
        <is>
          <t>Terre/air</t>
        </is>
      </c>
      <c r="B29446">
        <f>HYPERLINK("https://www.dofusbook.net/fr/equipement/3737028-terre-air/objets", "link")</f>
        <v/>
      </c>
      <c r="C29446" t="n">
        <v>1</v>
      </c>
      <c r="D29446" t="inlineStr">
        <is>
          <t>Marteau R'ture; Collier de Tourthon; Anneau du Comte Harebourg; Anneau Chevelu; Bouclier du Captain Amakna; Ceintacé; Coiffe du Comte Harebourg; Cape au Logis; Baleinabottes; Dofus Émeraude; Dofus Turquoise; Dofus Nébuleux; Dofus Pourpre; Enragé majeur; Nomade; Kramkram</t>
        </is>
      </c>
    </row>
    <row r="29447">
      <c r="A29447" t="inlineStr">
        <is>
          <t>Eau/Air</t>
        </is>
      </c>
      <c r="B29447">
        <f>HYPERLINK("https://www.dofusbook.net/fr/equipement/3734711-eau-air/objets", "link")</f>
        <v/>
      </c>
      <c r="C29447" t="n">
        <v>8</v>
      </c>
      <c r="D29447" t="inlineStr">
        <is>
          <t>Arc de Koutoulou; Amulette d'Ilyzaelle; Alliance Brûlâme; Alliance Gloursonne; Sept ans de malheur; Sangle Ouare; Casque d'Ilyzaelle; Cape Solution; Bottes de la Reine des Voleurs; Remueur; Chanceux majeur; Cascadeur majeur; Miraculé majeur; Nomade; Vigoureux majeur; Kramkram</t>
        </is>
      </c>
    </row>
    <row r="29448">
      <c r="A29448" t="inlineStr">
        <is>
          <t>Feu/Air</t>
        </is>
      </c>
      <c r="B29448">
        <f>HYPERLINK("https://www.dofusbook.net/fr/equipement/3734605-feu-air/objets", "link")</f>
        <v/>
      </c>
      <c r="C29448" t="n">
        <v>1</v>
      </c>
      <c r="D29448" t="inlineStr">
        <is>
          <t>Arc corrompu; Amulette du Cycloïde; Alliance Gloursonne; Anneau Rifique; Bouclier du Cycloïde; Menoture; Cagoule de Vortex; Cape de Diondin; Sabots de Vortex; Dokoko; Dofus Émeraude; Nomade; Miraculé majeur; Remueur; Érudit majeur; Kramkram</t>
        </is>
      </c>
    </row>
    <row r="29449">
      <c r="A29449" t="inlineStr">
        <is>
          <t>Multi</t>
        </is>
      </c>
      <c r="B29449">
        <f>HYPERLINK("https://www.dofusbook.net/fr/equipement/3725633-multi/objets", "link")</f>
        <v/>
      </c>
      <c r="C29449" t="n">
        <v>10</v>
      </c>
      <c r="D29449" t="inlineStr">
        <is>
          <t>Epée Gloursonne; Amulette du Strigide; Bague Gloursonne; Alliance Gloursonne; Bouclier cubiste; Ceinture du Strigide; Le Dorado; Cape au Logis; Bottes du Strigide; Dofus Turquoise; Dokoko; Dofus Pourpre; Dotruche; Puissant majeur; Furibond majeur; Muldo Prune et Emeraude</t>
        </is>
      </c>
    </row>
    <row r="29450">
      <c r="A29450" t="inlineStr">
        <is>
          <t>Multi</t>
        </is>
      </c>
      <c r="B29450">
        <f>HYPERLINK("https://www.dofusbook.net/fr/equipement/3066379-multi/objets", "link")</f>
        <v/>
      </c>
      <c r="C29450" t="n">
        <v>7</v>
      </c>
      <c r="D29450" t="inlineStr">
        <is>
          <t>Epée Maudite du Saigneur Guerrier</t>
        </is>
      </c>
    </row>
    <row r="29451">
      <c r="A29451" t="inlineStr">
        <is>
          <t>Crâ F 200</t>
        </is>
      </c>
      <c r="B29451">
        <f>HYPERLINK("https://www.dofusbook.net/fr/equipement/3695818-cra-f-200/objets", "link")</f>
        <v/>
      </c>
      <c r="C29451" t="n">
        <v>1</v>
      </c>
      <c r="D29451" t="inlineStr">
        <is>
          <t>Arc de Koutoulou; Amulette de Pol Ouatnos; Bracelet du Piloztère; Alliance Gloursonne; Quatre-feuilles; Ceinture de la Reine des Voleurs; Coiffe de la Reine des Voleurs; Voile d'encre; Baleinabottes; Dofus Turquoise; Dokoko; Dofus des Glaces; Dofus Pourpre; Remueur; Vigoureux majeur; Kramkram</t>
        </is>
      </c>
    </row>
    <row r="29452">
      <c r="A29452" t="inlineStr">
        <is>
          <t>Tank</t>
        </is>
      </c>
      <c r="B29452">
        <f>HYPERLINK("https://www.dofusbook.net/fr/equipement/3074502-tank/objets", "link")</f>
        <v/>
      </c>
      <c r="C29452" t="n">
        <v>3</v>
      </c>
      <c r="D29452" t="inlineStr">
        <is>
          <t>Pelle du Professeur Xa; Collier de Tourthon; Alliance Gloursonne; Anneau des égarés; Sept ans de malheur; Ceintouse; Chapoulpe; Cape du Kamasterisk; Baleinabottes; Dokoko; Dofus Émeraude; Remueur; Étourdisseur majeur; Miraculé majeur; Obstructeur majeur; Muldo Indigo et Pourpre</t>
        </is>
      </c>
    </row>
    <row r="29453">
      <c r="A29453" t="inlineStr">
        <is>
          <t>Ecaflip M 200</t>
        </is>
      </c>
      <c r="B29453">
        <f>HYPERLINK("https://www.dofusbook.net/fr/equipement/3496950-ecaflip-m-200/objets", "link")</f>
        <v/>
      </c>
      <c r="C29453" t="n">
        <v>2</v>
      </c>
      <c r="D29453" t="inlineStr">
        <is>
          <t>Héqache; Torquistik; Anneau Crustique; Bague Instable; Bouclier Taverne; Ceinture Gence; Casque Dragoeuf; Cape au Logis; Bottistik; Dofus Ocre; Dokoko; Dofus Émeraude; Miraculé majeur; Bousculeur majeur; Culbuteur majeur; Muldo Pourpre</t>
        </is>
      </c>
    </row>
    <row r="29454">
      <c r="A29454" t="inlineStr">
        <is>
          <t>Osamodas M 200</t>
        </is>
      </c>
      <c r="B29454">
        <f>HYPERLINK("https://www.dofusbook.net/fr/equipement/3496862-osamodas-m-200/objets", "link")</f>
        <v/>
      </c>
      <c r="C29454" t="n">
        <v>1</v>
      </c>
      <c r="D29454" t="inlineStr">
        <is>
          <t>Sceptre du Roi Joueur; Amulette de Shokkoth; Bracelet des Fonds marins; Anneau Glacial; Goulclier; Ceinture Glaciale; Masque des Fonds marins; Cape Glaciale; Sandales des Fonds marins; Dolmanax; Dokoko; Dofus Ocre; Dofus Émeraude; Dofus des Glaces; Turbulent; Muldo Orchidée et Pourpre</t>
        </is>
      </c>
    </row>
    <row r="29455">
      <c r="A29455" t="inlineStr">
        <is>
          <t>Cra-Farm 1</t>
        </is>
      </c>
      <c r="B29455">
        <f>HYPERLINK("https://www.dofusbook.net/fr/equipement/3025162-cra-farm-1/objets", "link")</f>
        <v/>
      </c>
      <c r="C29455" t="n">
        <v>2</v>
      </c>
      <c r="D29455" t="inlineStr">
        <is>
          <t>Epée Kari; Amulette de Gein; Bracelet du Piloztère; Anneau Rifique; Cadran de Terre; Ceintacé; Masque du Katcheur; Cape du Kamasterisk; Bottes du Katcheur; Remueur; Vigoureux majeur; Puissant majeur; Turbulent; Sanguinaire majeur; Robuste majeur; Muldo Doré</t>
        </is>
      </c>
    </row>
    <row r="29456">
      <c r="A29456" t="inlineStr">
        <is>
          <t>Ecaflip M 200</t>
        </is>
      </c>
      <c r="B29456">
        <f>HYPERLINK("https://www.dofusbook.net/fr/equipement/3459537-ecaflip-m-200/objets", "link")</f>
        <v/>
      </c>
      <c r="C29456" t="n">
        <v>3</v>
      </c>
      <c r="D29456" t="inlineStr">
        <is>
          <t>Arc du Chalœil; Torquistik; Bague Trithon; Bague Instable; Bouclier précieux; Ceinture Luminescente; Casque Dragoeuf; Cape Luminescente; Sabots Minables; Dokoko; Dofus Émeraude; Dofus Abyssal; Dofus Ocre; Bousculeur majeur; Culbuteur majeur; Muldo Ebène et Pourpre</t>
        </is>
      </c>
    </row>
    <row r="29457">
      <c r="A29457" t="inlineStr">
        <is>
          <t>Steamer M 200</t>
        </is>
      </c>
      <c r="B29457">
        <f>HYPERLINK("https://www.dofusbook.net/fr/equipement/3440928-steamer-m-200/objets", "link")</f>
        <v/>
      </c>
      <c r="C29457" t="n">
        <v>2</v>
      </c>
      <c r="D29457" t="inlineStr">
        <is>
          <t>Epée Gloursonne; Amulette de Pol Ouatnos; Alliance Gloursonne; Bague Gloursonne; Bouclier cubiste; Ceinture de la Reine des Voleurs; Coiffe de la Reine des Voleurs; Cape des Justiciers; Bottes de la Reine des Voleurs; Dofus Émeraude; Dofus Pourpre; Dokoko; Joueur majeur; Furibond majeur; Survivant majeur; Muldo Ebène et Orchidée</t>
        </is>
      </c>
    </row>
    <row r="29458">
      <c r="A29458" t="inlineStr">
        <is>
          <t>Steamer M 200</t>
        </is>
      </c>
      <c r="B29458">
        <f>HYPERLINK("https://www.dofusbook.net/fr/equipement/3440847-steamer-m-200/objets", "link")</f>
        <v/>
      </c>
      <c r="C29458" t="n">
        <v>5</v>
      </c>
      <c r="D29458" t="inlineStr">
        <is>
          <t>Arc de Koutoulou; Amulette de l'Indicible; Alliance Gloursonne; Goulano; Bouclier du Stalak; Ceintacé; Masque de Koutoulou; Voile d'encre; Bottes de l'Indicible; Dofus Pourpre; Dokoko; Dofus Émeraude; Nomade; Remueur; Muldo Indigo et Pourpre</t>
        </is>
      </c>
    </row>
    <row r="29459">
      <c r="A29459" t="inlineStr">
        <is>
          <t>Crâ M 200</t>
        </is>
      </c>
      <c r="B29459">
        <f>HYPERLINK("https://www.dofusbook.net/fr/equipement/3433507-cra-m-200/objets", "link")</f>
        <v/>
      </c>
      <c r="C29459" t="n">
        <v>4</v>
      </c>
      <c r="D29459" t="inlineStr">
        <is>
          <t>Epée Gloursonne; Amulette de l'Indicible; Alliance Gloursonne; Bague Gloursonne; Quatre-feuilles; Ceinture de l'Indicible; Capuche de l'Œil Putride; Voile d'encre; Bottes de l'Indicible; Dofus Pourpre; Dofus des Glaces; Dofus Turquoise; Dofus Ocre; Dolmanax; Dofus Nébuleux; Muldo Indigo et Pourpre</t>
        </is>
      </c>
    </row>
    <row r="29460">
      <c r="A29460" t="inlineStr">
        <is>
          <t>Crâ M 200</t>
        </is>
      </c>
      <c r="B29460">
        <f>HYPERLINK("https://www.dofusbook.net/fr/equipement/3363098-cra-m-200/objets", "link")</f>
        <v/>
      </c>
      <c r="C29460" t="n">
        <v>7</v>
      </c>
      <c r="D29460" t="inlineStr">
        <is>
          <t>Arc de Koutoulou; Amulette de l'Œil Putride; Alliance Gloursonne; Bague Gloursonne; Bouclier du Stalak; Ceinture de la Reine des Voleurs; Coiffe de la Reine des Voleurs; Cape de l'Œil Putride; Bottes de la Reine des Voleurs; Dofus Pourpre; Dofus des Glaces; Dofus Nébuleux; Dofus Turquoise; Dolmanax; Dofus Ocre; Muldo Ebène et Orchidée</t>
        </is>
      </c>
    </row>
    <row r="29461">
      <c r="A29461" t="inlineStr">
        <is>
          <t>Crâ M 200</t>
        </is>
      </c>
      <c r="B29461">
        <f>HYPERLINK("https://www.dofusbook.net/fr/equipement/3360691-cra-m-200/objets", "link")</f>
        <v/>
      </c>
      <c r="C29461" t="n">
        <v>15</v>
      </c>
      <c r="D29461" t="inlineStr">
        <is>
          <t>Epée Loponèze; Amulette du Strigide; Alliance Gloursonne; Bracelet du Piloztère; Quatre-feuilles; Ceintacé; Masque Brûlâme; Voile d'encre; Bottes du Strigide; Dofus Turquoise; Dolmanax; Dofus des Glaces; Dofus Pourpre; Nomade; Remueur; Bouflux</t>
        </is>
      </c>
    </row>
    <row r="29462">
      <c r="A29462" t="inlineStr">
        <is>
          <t>Steamer M 200</t>
        </is>
      </c>
      <c r="B29462">
        <f>HYPERLINK("https://www.dofusbook.net/fr/equipement/3343422-steamer-m-200/objets", "link")</f>
        <v/>
      </c>
      <c r="C29462" t="n">
        <v>15</v>
      </c>
      <c r="D29462" t="inlineStr">
        <is>
          <t>Dagues de Srambad; Amulette de Pol Ouatnos; Alliance Gloursonne; Goulano; Goulclier; Ceinture de la Reine des Voleurs; Coiffe de la Reine des Voleurs; Voile d'encre; Bottes de la Reine des Voleurs; Dofus Pourpre; Dofus Émeraude; Dolmanax; Dofus Ocre; Dokoko; Dofus des Glaces; Muldo Ebène et Indigo</t>
        </is>
      </c>
    </row>
    <row r="29463">
      <c r="A29463" t="inlineStr">
        <is>
          <t>Test 1</t>
        </is>
      </c>
      <c r="B29463">
        <f>HYPERLINK("https://www.dofusbook.net/fr/equipement/3077969-test-1/objets", "link")</f>
        <v/>
      </c>
      <c r="C29463" t="n">
        <v>0</v>
      </c>
      <c r="D29463" t="inlineStr">
        <is>
          <t>Epée Gloursonne; Alliance Gloursonne; Bracelet du Piloztère; Ceinture de la Reine des Voleurs; Bonnet Ko; Cape Reski; Baleinabottes; Dofus des Glaces; Dofus Pourpre; Dofus Turquoise; Miraculé majeur; Nomade; Remueur; Muldo Doré</t>
        </is>
      </c>
    </row>
    <row r="29464">
      <c r="A29464" t="inlineStr">
        <is>
          <t>Test 2</t>
        </is>
      </c>
      <c r="B29464">
        <f>HYPERLINK("https://www.dofusbook.net/fr/equipement/3078092-test-2/objets", "link")</f>
        <v/>
      </c>
      <c r="C29464" t="n">
        <v>0</v>
      </c>
      <c r="D29464" t="inlineStr">
        <is>
          <t>Epée Gloursonne; Amulette du Strigide; Bague Gloursonne; Alliance Gloursonne; Bouclier cubiste; Ceinture du Strigide; Masque de Koutoulou; Cape au Logis; Bottes du Strigide; Dofus Turquoise; Dofus Émeraude; Dofus des Glaces; Dofus Pourpre; Dokoko; Examinateur; Muldo Doré</t>
        </is>
      </c>
    </row>
    <row r="29465">
      <c r="A29465" t="inlineStr">
        <is>
          <t>Atcham</t>
        </is>
      </c>
      <c r="B29465">
        <f>HYPERLINK("https://www.dofusbook.net/fr/equipement/2076046-atcham/objets", "link")</f>
        <v/>
      </c>
      <c r="C29465" t="n">
        <v>0</v>
      </c>
      <c r="D29465" t="inlineStr">
        <is>
          <t>Sabres d'Atcham; Amulette du Strigide; Bracelet du Piloztère; Alliance Gloursonne; Bouclier Akwadala; Ceintacé; Chapeau Lisson; Cape d'Atcham; Pataugastrique; Dofus Turquoise; Dofus des Glaces; Dofus Pourpre; Nomade; Vigoureux majeur; Remueur; Muldo Prune et Emeraude</t>
        </is>
      </c>
    </row>
    <row r="29466">
      <c r="A29466" t="inlineStr">
        <is>
          <t>Cra Farm 2</t>
        </is>
      </c>
      <c r="B29466">
        <f>HYPERLINK("https://www.dofusbook.net/fr/equipement/3011656-cra-farm-2/objets", "link")</f>
        <v/>
      </c>
      <c r="C29466" t="n">
        <v>3</v>
      </c>
      <c r="D29466" t="inlineStr">
        <is>
          <t>Épée d'Otomaï; Amulette de Nileza; Anneau Tamie; Anneau Tamie; Cadran de Terre; Sangle Aise; Coiffe Séculaire; Cape de Nileza; Pantoufles Émar; Érudit majeur; Vigoureux majeur; Remueur; Saccageur Feu majeur; Astucieux majeur; Nomade; Muldo Doré</t>
        </is>
      </c>
    </row>
    <row r="29467">
      <c r="A29467" t="inlineStr">
        <is>
          <t>Enu PvP</t>
        </is>
      </c>
      <c r="B29467">
        <f>HYPERLINK("https://www.dofusbook.net/fr/equipement/3001327-enu-pvp/objets", "link")</f>
        <v/>
      </c>
      <c r="C29467" t="n">
        <v>6</v>
      </c>
      <c r="D29467" t="inlineStr">
        <is>
          <t>Sceptre du Roi Joueur; Collier de la Dame du Hasard; Alliance Gloursonne; Bracelet des Fonds marins; Bouclier cubiste; Poulpagne; Capuche de l'Œil Attentif; Cape de la Dame du Hasard; Pataugastrique; Dokoko; Dofus Pourpre; Remueur; Temporiseur majeur; Miraculé majeur; Carapace Eau majeur; Muldo Ebène et Indigo</t>
        </is>
      </c>
    </row>
    <row r="29468">
      <c r="A29468" t="inlineStr">
        <is>
          <t>Cra 200</t>
        </is>
      </c>
      <c r="B29468">
        <f>HYPERLINK("https://www.dofusbook.net/fr/equipement/2952973-cra-200/objets", "link")</f>
        <v/>
      </c>
      <c r="C29468" t="n">
        <v>2</v>
      </c>
      <c r="D29468" t="inlineStr">
        <is>
          <t>Arc du Chalœil; Amulette du Strigide; Bracelet du Piloztère; Alliance Gloursonne; Quatre-feuilles; Ceintacé; Chapeau Lisson; Cape au Logis; Bottes du Strigide; Dofus Turquoise; Dofus des Glaces; Dofus Pourpre; Remueur; Érudit majeur; Vigoureux majeur; Muldo Doré</t>
        </is>
      </c>
    </row>
    <row r="29469">
      <c r="A29469" t="inlineStr">
        <is>
          <t>Enu 200</t>
        </is>
      </c>
      <c r="B29469">
        <f>HYPERLINK("https://www.dofusbook.net/fr/equipement/2952913-enu-200/objets", "link")</f>
        <v/>
      </c>
      <c r="C29469" t="n">
        <v>1</v>
      </c>
      <c r="D29469" t="inlineStr">
        <is>
          <t>Hache du Guerrier Zoth; Amulette de Danathor; Alliance Gloursonne; Gelano; Bouclier cubiste; Tranche des Sous-bois; Coiffe de Danathor; Cape Glaciale; Bottes du Sinistrofu; Chanceux majeur; Remueur; Ralentisseur majeur; Temporiseur majeur; Taquin majeur; Entraveur majeur; Muldo Ebène et Indigo</t>
        </is>
      </c>
    </row>
    <row r="29470">
      <c r="A29470" t="inlineStr">
        <is>
          <t>Xelor Terre</t>
        </is>
      </c>
      <c r="B29470">
        <f>HYPERLINK("https://www.dofusbook.net/fr/equipement/2893793-xelor-terre/objets", "link")</f>
        <v/>
      </c>
      <c r="C29470" t="n">
        <v>1</v>
      </c>
      <c r="D29470" t="inlineStr">
        <is>
          <t>Griffe Pourpre; La Meulette; Anneau Nobstant; Gelano; Bouclier Pandawa; Ceinture Bitoufale de Prosper Youpla; Bonnet Ko; Cape Phossile; Sandales Gorithme; Dofus Pourpre; Enragé majeur; Nomade; Miraculé majeur; Remueur; Vigoureux majeur; Muldo Indigo et Pourpre</t>
        </is>
      </c>
    </row>
    <row r="29471">
      <c r="A29471" t="inlineStr">
        <is>
          <t>Farm Enutrosor</t>
        </is>
      </c>
      <c r="B29471">
        <f>HYPERLINK("https://www.dofusbook.net/fr/equipement/2942133-farm-enutrosor/objets", "link")</f>
        <v/>
      </c>
      <c r="C29471" t="n">
        <v>0</v>
      </c>
      <c r="D29471" t="inlineStr">
        <is>
          <t>Épée d'Otomaï; Amulette de Nileza; Gelano; Anneau Tamie; Le Karde Cœur; Ceinture Séculaire; Coiffe Séculaire; Cape Reski; Pataugastrique; Nomade; Vigoureux majeur; Astucieux majeur; Sanguinaire majeur; Remueur; Érudit majeur; Brûlih</t>
        </is>
      </c>
    </row>
    <row r="29472">
      <c r="A29472" t="inlineStr">
        <is>
          <t>TITI</t>
        </is>
      </c>
      <c r="B29472">
        <f>HYPERLINK("https://www.dofusbook.net/fr/equipement/2891381-titi/objets", "link")</f>
        <v/>
      </c>
      <c r="C29472" t="n">
        <v>2</v>
      </c>
      <c r="D29472" t="inlineStr">
        <is>
          <t>Hachoirs de Viandargh; Torquistik; Bague Trithon; Bague Instable; Bouclier précieux; Ceinture Luminescente; Masque de Koutoulou; Voile d'encre; Bottes Trithon; Dokoko; Dofus Ivoire; Dofus Émeraude; Bousculeur majeur; Culbuteur majeur; Remueur; Muldo Ebène et Pourpre</t>
        </is>
      </c>
    </row>
    <row r="29473">
      <c r="A29473" t="inlineStr">
        <is>
          <t>Multi</t>
        </is>
      </c>
      <c r="B29473">
        <f>HYPERLINK("https://www.dofusbook.net/fr/equipement/2885949-multi/objets", "link")</f>
        <v/>
      </c>
      <c r="C29473" t="n">
        <v>8</v>
      </c>
      <c r="D29473" t="inlineStr">
        <is>
          <t>Epée Gloursonne; Amulette de l'Indicible; Bague Gloursonne; Alliance Gloursonne; Quatre-feuilles; Ceinture de l'Indicible; Capuche de l'Œil Putride; Cape de l'Œil Putride; Bottes de l'Indicible; Dofus Turquoise; Dofus Nébuleux; Dofus Ocre; Dolmanax; Dofus Pourpre; Dofus des Glaces; Muldo Indigo et Pourpre</t>
        </is>
      </c>
    </row>
    <row r="29474">
      <c r="A29474" t="inlineStr">
        <is>
          <t>Joker</t>
        </is>
      </c>
      <c r="B29474">
        <f>HYPERLINK("https://www.dofusbook.net/fr/equipement/2660626-joker/objets", "link")</f>
        <v/>
      </c>
      <c r="C29474" t="n">
        <v>2</v>
      </c>
      <c r="D29474" t="inlineStr">
        <is>
          <t>Epée Gloursonne; Amulette de l'Indicible; Bague Gloursonne; Alliance Gloursonne; Bouclier du Stalak; Ceinture de l'Indicible; Chapeau des Malveilleurs; Cape des Malveilleurs; Bottes de l'Indicible; Dofus Turquoise; Dofus Nébuleux; Dofus Ocre; Dofus Abyssal; Dofus Pourpre; Dofus des Glaces; Muldo Indigo et Orchidée</t>
        </is>
      </c>
    </row>
    <row r="29475">
      <c r="A29475" t="inlineStr">
        <is>
          <t>TEST</t>
        </is>
      </c>
      <c r="B29475">
        <f>HYPERLINK("https://www.dofusbook.net/fr/equipement/2081894-test/objets", "link")</f>
        <v/>
      </c>
      <c r="C29475" t="n">
        <v>0</v>
      </c>
      <c r="D29475" t="inlineStr">
        <is>
          <t>Dagues de Srambad; Amulette de Pol Ouatnos; Goulano; Alliance Gloursonne; Jadis; Ceinture de la Reine des Voleurs; Masque de Koutoulou; Capille; Bottes de la Reine des Voleurs; Dokoko; Dofus Émeraude; Remueur; Enragé majeur; Miraculé majeur; Carapace Air majeur; Muldo Ebène et Indigo</t>
        </is>
      </c>
    </row>
    <row r="29476">
      <c r="A29476" t="inlineStr">
        <is>
          <t>Resistance</t>
        </is>
      </c>
      <c r="B29476">
        <f>HYPERLINK("https://www.dofusbook.net/fr/equipement/1979056-resistance/objets", "link")</f>
        <v/>
      </c>
      <c r="C29476" t="n">
        <v>2</v>
      </c>
      <c r="D29476" t="inlineStr">
        <is>
          <t>Épée Brûlâme; Collier de la Dame du Hasard; Alliance du Lévitrof; Alliance Gloursonne; Bouclier cubiste; Ceintacé; Casque Dragoeuf; Voile d'encre; Bottes du Lévitrof; Dofus des Glaces; Dofus Pourpre; Dofus Turquoise; Nomade; Temporiseur majeur; Remueur; Muldo Pourpre et Amande</t>
        </is>
      </c>
    </row>
    <row r="29477">
      <c r="A29477" t="inlineStr">
        <is>
          <t>True 1</t>
        </is>
      </c>
      <c r="B29477">
        <f>HYPERLINK("https://www.dofusbook.net/fr/equipement/2050262-true-1/objets", "link")</f>
        <v/>
      </c>
      <c r="C29477" t="n">
        <v>1</v>
      </c>
      <c r="D29477" t="inlineStr">
        <is>
          <t>Arc Nécrotique; Talisman Igans; Anneau Toriété; Bague Gloursonne; Bouclier cubiste; Ceintacé; Casquette de Meno; Voile d'encre; Bottes de Meno; Dofus des Glaces; Remueur; Enragé majeur; Érudit majeur; Chanceux majeur; Miraculé majeur; Muldo Pourpre et Amande</t>
        </is>
      </c>
    </row>
    <row r="29478">
      <c r="A29478" t="inlineStr">
        <is>
          <t>True 1</t>
        </is>
      </c>
      <c r="B29478">
        <f>HYPERLINK("https://www.dofusbook.net/fr/equipement/2042930-true-1/objets", "link")</f>
        <v/>
      </c>
      <c r="C29478" t="n">
        <v>2</v>
      </c>
      <c r="D29478" t="inlineStr">
        <is>
          <t>Epée Toche; Amulette du Strigide; Bague Gloursonne; Bracelet du Piloztère; Bouclier du Captain Amakna; Ceintacé; Masque du Katcheur; Voile d'encre; Bottes du Katcheur; Dofus Nébuleux; Dofus Pourpre; Dofus des Glaces; Dolmanax; Dofus Turquoise; Remueur; Muldo Orchidée et Pourpre</t>
        </is>
      </c>
    </row>
    <row r="29479">
      <c r="A29479" t="inlineStr">
        <is>
          <t>Stuff 3</t>
        </is>
      </c>
      <c r="B29479">
        <f>HYPERLINK("https://www.dofusbook.net/fr/equipement/121544-stuff-3/objets", "link")</f>
        <v/>
      </c>
      <c r="C29479" t="n">
        <v>4</v>
      </c>
      <c r="D29479" t="inlineStr">
        <is>
          <t>Epée Gloursonne; Amulette du Strigide; Alliance Gloursonne; Bague Gloursonne; Bouclier du Captain Amakna; Ceinture du Strigide; Masque du Katcheur; Voile d'encre; Bottes du Strigide; Dofus Nébuleux; Dofus Ocre; Dofus Émeraude; Dofus Turquoise; Dofus des Glaces; Dofus Pourpre; Kramkram</t>
        </is>
      </c>
    </row>
    <row r="29480">
      <c r="A29480" t="inlineStr">
        <is>
          <t>Stuff 2</t>
        </is>
      </c>
      <c r="B29480">
        <f>HYPERLINK("https://www.dofusbook.net/fr/equipement/121543-stuff-2/objets", "link")</f>
        <v/>
      </c>
      <c r="C29480" t="n">
        <v>3</v>
      </c>
      <c r="D29480" t="inlineStr">
        <is>
          <t>Bêche Asse; Amulette du Strigide; Bracelet du Piloztère; Bague Gloursonne; Bouclier du Captain Amakna; Ceintacé; Casque Dragoeuf; Voile d'encre; Bottes du Strigide; Dofus Pourpre; Dofus Émeraude; Nomade; Remueur; Carapace Feu majeur; Vigoureux majeur; Croum</t>
        </is>
      </c>
    </row>
    <row r="29481">
      <c r="A29481" t="inlineStr">
        <is>
          <t>Stuff 1</t>
        </is>
      </c>
      <c r="B29481">
        <f>HYPERLINK("https://www.dofusbook.net/fr/equipement/121542-stuff-1/objets", "link")</f>
        <v/>
      </c>
      <c r="C29481" t="n">
        <v>4</v>
      </c>
      <c r="D29481" t="inlineStr">
        <is>
          <t>Marteau des égarés; Amulette du Cycloïde; Bague Gloursonne; Bracelet du Piloztère; Bouclier du Captain Amakna; Ceinture de la Reine des Voleurs; Coiffe de la Reine des Voleurs; Voile d'encre; Baleinabottes; Dofus Turquoise; Dofus des Glaces; Dofus Pourpre; Dolmanax; Nomade; Remueur; Dragodinde Prune et Pourpre</t>
        </is>
      </c>
    </row>
    <row r="29482">
      <c r="A29482" t="inlineStr">
        <is>
          <t>Stuff 1</t>
        </is>
      </c>
      <c r="B29482">
        <f>HYPERLINK("https://www.dofusbook.net/fr/equipement/121537-stuff-1/objets", "link")</f>
        <v/>
      </c>
      <c r="C29482" t="n">
        <v>2</v>
      </c>
      <c r="D29482" t="inlineStr">
        <is>
          <t>Epée Toche; Amulette du Strigide; Anneau de Brouce; Bracelet du Piloztère; Bouclier du Captain Amakna; Ceinture du Strigide; Masque du Katcheur; Voile d'encre; Baleinabottes; Dofus Nébuleux; Dofus des Glaces; Dofus Pourpre; Dofus Turquoise; Remueur; Vigoureux majeur; Muldo Prune et Emeraude</t>
        </is>
      </c>
    </row>
    <row r="29483">
      <c r="A29483" t="inlineStr">
        <is>
          <t>Stuff 3</t>
        </is>
      </c>
      <c r="B29483">
        <f>HYPERLINK("https://www.dofusbook.net/fr/equipement/121539-stuff-3/objets", "link")</f>
        <v/>
      </c>
      <c r="C29483" t="n">
        <v>2</v>
      </c>
      <c r="D29483" t="inlineStr">
        <is>
          <t>Arc du Chalœil; Amulette du Strigide; Anneau du Cycloïde; Bracelet du Piloztère; Bouclier du Captain Amakna; Ceinture du Strigide; Masque du Katcheur; Cape Routh; Baleinabottes; Dofus Pourpre; Dofus des Glaces; Dofus Ocre; Érudit majeur; Vigoureux majeur; Remueur; Muldo Prune et Emeraude</t>
        </is>
      </c>
    </row>
    <row r="29484">
      <c r="A29484" t="inlineStr">
        <is>
          <t>Stuff 2</t>
        </is>
      </c>
      <c r="B29484">
        <f>HYPERLINK("https://www.dofusbook.net/fr/equipement/121538-stuff-2/objets", "link")</f>
        <v/>
      </c>
      <c r="C29484" t="n">
        <v>1</v>
      </c>
      <c r="D29484" t="inlineStr">
        <is>
          <t>Epée Toche; Amulette du Strigide; Bracelet du Piloztère; Anneau de Brouce; Bouclier du Captain Amakna; Ceinture du Strigide; Casque Dragoeuf; Voile d'encre; Baleinabottes; Dofus des Glaces; Dofus Émeraude; Dofus Pourpre; Miraculé majeur; Remueur; Nomade; Péki</t>
        </is>
      </c>
    </row>
    <row r="29485">
      <c r="A29485" t="inlineStr">
        <is>
          <t>full terre pvm</t>
        </is>
      </c>
      <c r="B29485">
        <f>HYPERLINK("https://www.dofusbook.net/fr/equipement/3281555-full-terre-pvm/objets", "link")</f>
        <v/>
      </c>
      <c r="C29485" t="n">
        <v>9</v>
      </c>
      <c r="D29485" t="inlineStr">
        <is>
          <t>Marteau R'ture; Collier de Tourthon; Bague Gloursonne; Bracelet du Piloztère; Quatre-feuilles; Ceinture du Strigide; Masque de Koutoulou; Cape au Logis; Bottes du Strigide; Dofus Pourpre; Dofus Turquoise; Forcené majeur; Remueur; Vigoureux majeur; Enragé majeur; Bulbisou</t>
        </is>
      </c>
    </row>
    <row r="29486">
      <c r="A29486" t="inlineStr">
        <is>
          <t>Full terre pvm new</t>
        </is>
      </c>
      <c r="B29486">
        <f>HYPERLINK("https://www.dofusbook.net/fr/equipement/4542804-full-terre-pvm-new/objets", "link")</f>
        <v/>
      </c>
      <c r="C29486" t="n">
        <v>8</v>
      </c>
      <c r="D29486" t="inlineStr">
        <is>
          <t>Arc du Chalœil; Collier de Tourthon; Anneau Volkorne; Bracelet du Piloztère; Quatre-feuilles; Ceinture Volkorne; Masque de Koutoulou; Cape au Logis; Bottes du Cœur Saignant; Dofus Turquoise; Dofus Pourpre; Dofus Ocre; Enragé majeur; Forcené majeur; Vigoureux majeur; Bulbisou</t>
        </is>
      </c>
    </row>
    <row r="29487">
      <c r="A29487" t="inlineStr">
        <is>
          <t>tank tacle agi</t>
        </is>
      </c>
      <c r="B29487">
        <f>HYPERLINK("https://www.dofusbook.net/fr/equipement/5911899-tank-tacle-agi/objets", "link")</f>
        <v/>
      </c>
      <c r="C29487" t="n">
        <v>0</v>
      </c>
      <c r="D29487" t="inlineStr">
        <is>
          <t>Pelle de la Cour Sombre; Collier Rophante; Anneau Tique; Alliance Gloursonne; Sept ans de malheur; Ceinture de Kongoku; Masque d'Anerice; Cape d'Anerice; Bottes Honyme; Dofus Émeraude; Bloqueur majeur; Obstructeur majeur; Remueur; Cascadeur majeur; Carapace Feu majeur; Givrefoux</t>
        </is>
      </c>
    </row>
    <row r="29488">
      <c r="A29488" t="inlineStr">
        <is>
          <t>2019 multi pvm</t>
        </is>
      </c>
      <c r="B29488">
        <f>HYPERLINK("https://www.dofusbook.net/fr/equipement/5737648-2019-multi-pvm/objets", "link")</f>
        <v/>
      </c>
      <c r="C29488" t="n">
        <v>5</v>
      </c>
      <c r="D29488" t="inlineStr">
        <is>
          <t>Arc Volkorne; Amulette du Strigide; Alliance Gloursonne; Anneau Volkorne; Quatre-feuilles; Ceinture Volkorne; Casque Volkorne; Voile d'encre; Bottes du Strigide; Dolmanax; Dofus des Glaces; Dofus Pourpre; Dofus Turquoise; Dofus Abyssal; Dofus Ocre; Fëanor</t>
        </is>
      </c>
    </row>
    <row r="29489">
      <c r="A29489" t="inlineStr">
        <is>
          <t>Triple bonus pano</t>
        </is>
      </c>
      <c r="B29489">
        <f>HYPERLINK("https://www.dofusbook.net/fr/equipement/5883172-triple-bonus-pano/objets", "link")</f>
        <v/>
      </c>
      <c r="C29489" t="n">
        <v>1</v>
      </c>
      <c r="D29489" t="inlineStr">
        <is>
          <t>Arc du Chalœil; Amulette du Cœur Saignant; Chevalière du Roi Joueur; Anneau Volkorne; Quatre-feuilles; Ceinture Volkorne; Couronne du Roi Joueur; Cape du Cœur Saignant; Bottes du Cœur Saignant; Dofus Vulbis; Dofus Ocre; Dofus des Glaces; Dofus Turquoise; Dofus Abyssal; Dofus Pourpre; Fëanor</t>
        </is>
      </c>
    </row>
    <row r="29490">
      <c r="A29490" t="inlineStr">
        <is>
          <t>Full feu pvpm</t>
        </is>
      </c>
      <c r="B29490">
        <f>HYPERLINK("https://www.dofusbook.net/fr/equipement/5828143-full-feu-pvpm/objets", "link")</f>
        <v/>
      </c>
      <c r="C29490" t="n">
        <v>0</v>
      </c>
      <c r="D29490" t="inlineStr">
        <is>
          <t>Arc corrompu; Amulette Volkorne; Anneauræus; Anneauræus; Ceinture Volkorne; Heaume Oplate; Voile d'encre; Pataugastrique</t>
        </is>
      </c>
    </row>
    <row r="29491">
      <c r="A29491" t="inlineStr">
        <is>
          <t>Intel1000 170ret pm</t>
        </is>
      </c>
      <c r="B29491">
        <f>HYPERLINK("https://www.dofusbook.net/fr/equipement/241251-intel1000-170ret-pm/objets", "link")</f>
        <v/>
      </c>
      <c r="C29491" t="n">
        <v>3</v>
      </c>
      <c r="D29491" t="inlineStr">
        <is>
          <t>Arc Hétype; Collier de la Dame du Hasard; Anneau Tamie; Anneau Tamie; Bouclier cubiste; Sangle Aise; Couronne de Nidas; Cape de Léthaline; Tongues de Nidas; Temporiseur majeur; Remueur; Entraveur majeur; Ralentisseur majeur; Nomade; Érudit majeur; Gwo Tofu Ventripotent</t>
        </is>
      </c>
    </row>
    <row r="29492">
      <c r="A29492" t="inlineStr">
        <is>
          <t>Multi pvm</t>
        </is>
      </c>
      <c r="B29492">
        <f>HYPERLINK("https://www.dofusbook.net/fr/equipement/5800389-multi-pvm/objets", "link")</f>
        <v/>
      </c>
      <c r="C29492" t="n">
        <v>0</v>
      </c>
      <c r="D29492" t="inlineStr">
        <is>
          <t>Epée Gloursonne; Amulette du Strigide; Alliance Gloursonne; Bague Gloursonne; Quatre-feuilles; Ceinture du Strigide; Casque du Chalœil; Cape du Chalœil; Bottes du Chalœil; Dofus Pourpre; Dofus Émeraude; Dofus Turquoise; Dolmanax; Dofus Ocre; Phortiche</t>
        </is>
      </c>
    </row>
    <row r="29493">
      <c r="A29493" t="inlineStr">
        <is>
          <t>intel a donf 2019 a f</t>
        </is>
      </c>
      <c r="B29493">
        <f>HYPERLINK("https://www.dofusbook.net/fr/equipement/5787167-intel-a-donf-2019-a-f/objets", "link")</f>
        <v/>
      </c>
      <c r="C29493" t="n">
        <v>0</v>
      </c>
      <c r="D29493" t="inlineStr">
        <is>
          <t>Massier; Amulette Volkorne; Anneau Tamie; Anneauræus; Bouclier du Stalak; Ceintrigue; Heaume Oplate; Cape de Diondin; Bottes Owesli; Érudit majeur; Remueur; Nomade</t>
        </is>
      </c>
    </row>
    <row r="29494">
      <c r="A29494" t="inlineStr">
        <is>
          <t>atcham cc</t>
        </is>
      </c>
      <c r="B29494">
        <f>HYPERLINK("https://www.dofusbook.net/fr/equipement/1205733-atcham-cc/objets", "link")</f>
        <v/>
      </c>
      <c r="C29494" t="n">
        <v>0</v>
      </c>
      <c r="D29494" t="inlineStr">
        <is>
          <t>Sabres d'Atcham; Amulette du Strigide; Bracelet du Piloztère; Anneau de Padgref; Quatre-feuilles; Ceinture du Strigide; Coiffe de Padgref; Cape d'Atcham; Getas de Padgref; Dofus Émeraude; Dofus Pourpre; Dolmanax; Dofus Ocre; Dofus Turquoise; Examinateur; Muldo Prune et Emeraude</t>
        </is>
      </c>
    </row>
    <row r="29495">
      <c r="A29495" t="inlineStr">
        <is>
          <t>nouvelle pano</t>
        </is>
      </c>
      <c r="B29495">
        <f>HYPERLINK("https://www.dofusbook.net/fr/equipement/5701495-nouvelle-pano/objets", "link")</f>
        <v/>
      </c>
      <c r="C29495" t="n">
        <v>0</v>
      </c>
      <c r="D29495" t="inlineStr">
        <is>
          <t>Baguette de Torkélonia; Amulette du Strigide; Alliance Gloursonne; Bague Gloursonne; Quatre-feuilles; Ceinture du Strigide; Corne de Torkélonia; Carapace de Torkélonia; Bottes du Strigide; Dofus Turquoise</t>
        </is>
      </c>
    </row>
    <row r="29496">
      <c r="A29496" t="inlineStr">
        <is>
          <t>nordes</t>
        </is>
      </c>
      <c r="B29496">
        <f>HYPERLINK("https://www.dofusbook.net/fr/equipement/5567684-nordes/objets", "link")</f>
        <v/>
      </c>
      <c r="C29496" t="n">
        <v>0</v>
      </c>
      <c r="D29496" t="inlineStr">
        <is>
          <t>Baguette Iots; Collier du Valet Veinard; Gant du Valet Veinard; Alliance Gloursonne; Bouclier du Stalak; Menoture; Couronne d'Allister; Cape Indescriptible; Palmes Trithons; Acrobate majeur; Remueur; Dévastateur Air majeur; Cascadeur majeur; Miraculé majeur; Nomade</t>
        </is>
      </c>
    </row>
    <row r="29497">
      <c r="A29497" t="inlineStr">
        <is>
          <t>Terre res cac</t>
        </is>
      </c>
      <c r="B29497">
        <f>HYPERLINK("https://www.dofusbook.net/fr/equipement/4514328-terre-res-cac/objets", "link")</f>
        <v/>
      </c>
      <c r="C29497" t="n">
        <v>1</v>
      </c>
      <c r="D29497" t="inlineStr">
        <is>
          <t>Lav'Hache; Collier de Tourthon; Anneau Volkorne; Anneau Chevelu; Jadis; Ceinture Volkorne; Masque de Koutoulou; Cape au Logis; Sabots Minables; Dofus Émeraude; Obstructeur majeur; Remueur; Nomade; Enragé majeur; Carapace Terre majeur; Marcassin</t>
        </is>
      </c>
    </row>
    <row r="29498">
      <c r="A29498" t="inlineStr">
        <is>
          <t>Feu Eau new</t>
        </is>
      </c>
      <c r="B29498">
        <f>HYPERLINK("https://www.dofusbook.net/fr/equipement/4460850-feu-eau-new/objets", "link")</f>
        <v/>
      </c>
      <c r="C29498" t="n">
        <v>0</v>
      </c>
      <c r="D29498" t="inlineStr">
        <is>
          <t>Arc Nécrotique; Amulette Volkorne; Lavanneau; Anneau Volkorne; Bouclier cubiste; Ceinture de l'Esprit Malsain; Masque de l'Esprit Malsain; Cape de la Dame du Hasard; Bottes de l'Esprit Malsain; Dofus des Glaces; Dofus Turquoise; Dofus Abyssal; Dofus Ocre; Dofus Pourpre; Muldo Prune et Indigo</t>
        </is>
      </c>
    </row>
    <row r="29499">
      <c r="A29499" t="inlineStr">
        <is>
          <t>ret pm classique</t>
        </is>
      </c>
      <c r="B29499">
        <f>HYPERLINK("https://www.dofusbook.net/fr/equipement/241218-ret-pm-classique/objets", "link")</f>
        <v/>
      </c>
      <c r="C29499" t="n">
        <v>0</v>
      </c>
      <c r="D29499" t="inlineStr">
        <is>
          <t>Dagues Açantes; Amulette du Glourséleste; Pikano; Anneau de la Fuji Givrefoux; Bouclier cubiste; Ceinture Instable; Casquipik; Cape de Léthaline; Pantoufles Émar; Entraveur; Ralentisseur majeur; Remueur; Entraveur majeur; Temporiseur; Temporiseur majeur; Volkorne Turquoise</t>
        </is>
      </c>
    </row>
    <row r="29500">
      <c r="A29500" t="inlineStr">
        <is>
          <t>full feu pvm easy</t>
        </is>
      </c>
      <c r="B29500">
        <f>HYPERLINK("https://www.dofusbook.net/fr/equipement/4418915-full-feu-pvm-easy/objets", "link")</f>
        <v/>
      </c>
      <c r="C29500" t="n">
        <v>2</v>
      </c>
      <c r="D29500" t="inlineStr">
        <is>
          <t>Arc Hétype; Amulette Séculaire; Bague Gloursonne; Anneau Tique; Bouclier Taverne; Ceinture Séculaire; Coiffe Séculaire; Voile d'encre; Bottes d'Otomaï; Dolmanax; Dofus Turquoise; Dofus Ocre; Voyageur; Astucieux majeur; Savant majeur; Brûlih</t>
        </is>
      </c>
    </row>
    <row r="29501">
      <c r="A29501" t="inlineStr">
        <is>
          <t>multi ret pm 12.6.6</t>
        </is>
      </c>
      <c r="B29501">
        <f>HYPERLINK("https://www.dofusbook.net/fr/equipement/4358868-multi-ret-pm-12-6-6/objets", "link")</f>
        <v/>
      </c>
      <c r="C29501" t="n">
        <v>0</v>
      </c>
      <c r="D29501" t="inlineStr">
        <is>
          <t>Dagues Érhy; Amulette Volkorne; Bracelet du Piloztère; Anneau Volkorne; Bouclier cubiste; Ceinture Volkorne; Casquette de Meno; Cape de Meno; Bottes de Meno; Dofus Pourpre; Dofus des Glaces; Dofus Turquoise; Dofus Abyssal; Dofus Ocre; Dofus Ivoire; Volkorne Turquoise</t>
        </is>
      </c>
    </row>
    <row r="29502">
      <c r="A29502" t="inlineStr">
        <is>
          <t>multi terre ret pm</t>
        </is>
      </c>
      <c r="B29502">
        <f>HYPERLINK("https://www.dofusbook.net/fr/equipement/4374312-multi-terre-ret-pm/objets", "link")</f>
        <v/>
      </c>
      <c r="C29502" t="n">
        <v>0</v>
      </c>
      <c r="D29502" t="inlineStr">
        <is>
          <t>Dagues Érhy; Amulette Luminescente; Anneau Toriété; Chevalière du Roi Joueur; Bouclier cubiste; Ceinture Luminescente; Couronne du Roi Joueur; Cape Luminescente; Bottes du Roi Joueur; Dofus des Glaces; Dofus Turquoise; Dofus Abyssal; Dolmanax; Dofus Ocre; Dofus Pourpre; Léopardo</t>
        </is>
      </c>
    </row>
    <row r="29503">
      <c r="A29503" t="inlineStr">
        <is>
          <t>multi atcham</t>
        </is>
      </c>
      <c r="B29503">
        <f>HYPERLINK("https://www.dofusbook.net/fr/equipement/3459395-multi-atcham/objets", "link")</f>
        <v/>
      </c>
      <c r="C29503" t="n">
        <v>1</v>
      </c>
      <c r="D29503" t="inlineStr">
        <is>
          <t>Sabres d'Atcham; Amulette du Strigide; Anneau Tique; Alliance Gloursonne; Bivalve; Ceinture Voldelor; Chapeau des Malveilleurs; Cape d'Atcham; Pataugastrique; Dofus Turquoise; Dolmanax; Dofus Ocre; Dofus Pourpre; Vigoureux majeur; Nomade; Kramkram</t>
        </is>
      </c>
    </row>
    <row r="29504">
      <c r="A29504" t="inlineStr">
        <is>
          <t>Full force pvm</t>
        </is>
      </c>
      <c r="B29504">
        <f>HYPERLINK("https://www.dofusbook.net/fr/equipement/3443311-full-force-pvm/objets", "link")</f>
        <v/>
      </c>
      <c r="C29504" t="n">
        <v>0</v>
      </c>
      <c r="D29504" t="inlineStr">
        <is>
          <t>Marteau R'ture; Amulette Luminescente; Anneau Crustique; Anneau du Comte Harebourg; Bivalve; Ceinture Luminescente; Coiffe du Comte Harebourg; Cape Luminescente; Bottes du Comte Harebourg; Dofus Pourpre; Dofus Ocre; Dolmanax; Dofus Abyssal; Voyageur; Forcené majeur; Kompost</t>
        </is>
      </c>
    </row>
    <row r="29505">
      <c r="A29505" t="inlineStr">
        <is>
          <t>Pods</t>
        </is>
      </c>
      <c r="B29505">
        <f>HYPERLINK("https://www.dofusbook.net/fr/equipement/3273559-pods/objets", "link")</f>
        <v/>
      </c>
      <c r="C29505" t="n">
        <v>0</v>
      </c>
      <c r="D29505" t="inlineStr">
        <is>
          <t>Griffe Rose; Collier de Tourthon; Anneau de Brouce; Anneau du Comte Harebourg; Ceinture du Bouftou; Coiffe du Comte Harebourg; Sac du Staca Noviste; Bottes du Meulou; Porteur mineur; Furibond majeur; Porteur; Enragé majeur; Porteur majeur; Forcené majeur; Bulbouture</t>
        </is>
      </c>
    </row>
    <row r="29506">
      <c r="A29506" t="inlineStr">
        <is>
          <t>lance</t>
        </is>
      </c>
      <c r="B29506">
        <f>HYPERLINK("https://www.dofusbook.net/fr/equipement/2750789-lance/objets", "link")</f>
        <v/>
      </c>
      <c r="C29506" t="n">
        <v>0</v>
      </c>
      <c r="D29506" t="inlineStr">
        <is>
          <t>Lance corrompue; Amulette de Nevark; Bague Gloursonne; Alliance Gloursonne; Ceinture de la Reine des Voleurs; Coiffe de la Reine des Voleurs; Cape de Nevark; Baleinabottes; Dofus Pourpre; Dofus Ocre; Dofus des Glaces</t>
        </is>
      </c>
    </row>
    <row r="29507">
      <c r="A29507" t="inlineStr">
        <is>
          <t>stuff agi a donf</t>
        </is>
      </c>
      <c r="B29507">
        <f>HYPERLINK("https://www.dofusbook.net/fr/equipement/1687631-stuff-agi-a-donf/objets", "link")</f>
        <v/>
      </c>
      <c r="C29507" t="n">
        <v>1</v>
      </c>
      <c r="D29507" t="inlineStr">
        <is>
          <t>Manthache; Collier du Valet Veinard; Alliance Gloursonne; Gant du Valet Veinard; Bouclier du Stalak; Menoture; Couronne d'Allister; Cape Indescriptible; Palmes Trithons; Dévastateur Air majeur; Cascadeur majeur; Miraculé majeur; Nomade; Acrobate majeur; Remueur; Siroko</t>
        </is>
      </c>
    </row>
    <row r="29508">
      <c r="A29508" t="inlineStr">
        <is>
          <t>full terre ret pm</t>
        </is>
      </c>
      <c r="B29508">
        <f>HYPERLINK("https://www.dofusbook.net/fr/equipement/3113613-full-terre-ret-pm/objets", "link")</f>
        <v/>
      </c>
      <c r="C29508" t="n">
        <v>0</v>
      </c>
      <c r="D29508" t="inlineStr">
        <is>
          <t>Marteau R'ture; Amulette Luminescente; Anneau de Brouce; Chevalière du Roi Joueur; Bouclier cubiste; Ceinture Luminescente; Couronne du Roi Joueur; Cape Luminescente; Bottes du Roi Joueur; Dofus Ocre; Dofus Pourpre; Forcené majeur; Furibond majeur; Ralentisseur majeur; Entraveur majeur; Muldo Doré et Emeraude</t>
        </is>
      </c>
    </row>
    <row r="29509">
      <c r="A29509" t="inlineStr">
        <is>
          <t>max force</t>
        </is>
      </c>
      <c r="B29509">
        <f>HYPERLINK("https://www.dofusbook.net/fr/equipement/3024985-max-force/objets", "link")</f>
        <v/>
      </c>
      <c r="C29509" t="n">
        <v>0</v>
      </c>
      <c r="D29509" t="inlineStr">
        <is>
          <t>Marteau R'ture; Amulette Luminescente; Anneau du Comte Harebourg; Anneau de Brouce; Bouclier du Captain Amakna; Ceinture Luminescente; Coiffe du Comte Harebourg; Cape Luminescente; Bottes du Comte Harebourg; Dofus Ocre; Dofus Pourpre; Furibond majeur; Robuste majeur; Forcené majeur; Kompost</t>
        </is>
      </c>
    </row>
    <row r="29510">
      <c r="A29510" t="inlineStr">
        <is>
          <t>terre pui 30re All</t>
        </is>
      </c>
      <c r="B29510">
        <f>HYPERLINK("https://www.dofusbook.net/fr/equipement/3024778-terre-pui-30re-all/objets", "link")</f>
        <v/>
      </c>
      <c r="C29510" t="n">
        <v>0</v>
      </c>
      <c r="D29510" t="inlineStr">
        <is>
          <t>Marteau R'ture; Amulette du Strigide; Alliance Gloursonne; Bracelet du Piloztère; Coupe de Dragokart; Ceintacé; Coiffe de la Reine des Voleurs; Cape au Logis; Bottes du Strigide; Dofus Pourpre; Dofus des Glaces; Robuste majeur; Vigoureux majeur; Remueur; Kramkram</t>
        </is>
      </c>
    </row>
    <row r="29511">
      <c r="A29511" t="inlineStr">
        <is>
          <t>dague srambad</t>
        </is>
      </c>
      <c r="B29511">
        <f>HYPERLINK("https://www.dofusbook.net/fr/equipement/2863823-dague-srambad/objets", "link")</f>
        <v/>
      </c>
      <c r="C29511" t="n">
        <v>0</v>
      </c>
      <c r="D29511" t="inlineStr">
        <is>
          <t>Dagues de Srambad; Amulette de l'Indicible; Bague Gloursonne; Alliance Gloursonne; Coupe de Dragokart; Ceinture de la Reine des Voleurs; Coiffe de la Reine des Voleurs; Cape au Logis; Baleinabottes; Dofus Ocre; Dofus Abyssal; Dofus des Glaces; Dofus Ivoire; Dofus Nébuleux; Robuste majeur; Kramkram</t>
        </is>
      </c>
    </row>
    <row r="29512">
      <c r="A29512" t="inlineStr">
        <is>
          <t>classic</t>
        </is>
      </c>
      <c r="B29512">
        <f>HYPERLINK("https://www.dofusbook.net/fr/equipement/2209738-classic/objets", "link")</f>
        <v/>
      </c>
      <c r="C29512" t="n">
        <v>0</v>
      </c>
      <c r="D29512" t="inlineStr">
        <is>
          <t>Hache Téroïde; Amulette du Strigide; Alliance de Missiz Frizz; Bague Gloursonne; Ceinture du Strigide; Casque de Missiz Frizz; Cape du Professeur Xa; Bottes du Strigide; Dolmanax; Dofus Ocre; Dofus Pourpre; Dofus des Glaces; Dofus Turquoise</t>
        </is>
      </c>
    </row>
    <row r="29513">
      <c r="A29513" t="inlineStr">
        <is>
          <t>autre chance ret</t>
        </is>
      </c>
      <c r="B29513">
        <f>HYPERLINK("https://www.dofusbook.net/fr/equipement/2119749-autre-chance-ret/objets", "link")</f>
        <v/>
      </c>
      <c r="C29513" t="n">
        <v>0</v>
      </c>
      <c r="D29513" t="inlineStr">
        <is>
          <t>Baguette Hique; Amulette de Shokkoth; Pikano; Alliance Gloursonne; Bouclier cubiste; Ceinture Glaciale; Kidibonnet; Cape de la Dame du Hasard; Bottes de la Dame du Hasard; Chanceux majeur; Nomade; Temporiseur majeur; Remueur; Muldo Indigo et Pourpre</t>
        </is>
      </c>
    </row>
    <row r="29514">
      <c r="A29514" t="inlineStr">
        <is>
          <t>prospec</t>
        </is>
      </c>
      <c r="B29514">
        <f>HYPERLINK("https://www.dofusbook.net/fr/equipement/2060268-prospec/objets", "link")</f>
        <v/>
      </c>
      <c r="C29514" t="n">
        <v>0</v>
      </c>
      <c r="D29514" t="inlineStr">
        <is>
          <t>Dagues Açantes; Kralamansion; Alliance Gloursonne; Anneau Glacial; Bouclier cubiste; Ceinture de Danathor; Kidibonnet; Cape Glaciale; Bottines Hodore; Dofus Kaliptus; Joueur majeur; Nomade; Taquin majeur; Remueur; Chanceux majeur; Nomoon</t>
        </is>
      </c>
    </row>
    <row r="29515">
      <c r="A29515" t="inlineStr">
        <is>
          <t>full air 199</t>
        </is>
      </c>
      <c r="B29515">
        <f>HYPERLINK("https://www.dofusbook.net/fr/equipement/1989414-full-air-199/objets", "link")</f>
        <v/>
      </c>
      <c r="C29515" t="n">
        <v>0</v>
      </c>
      <c r="D29515" t="inlineStr">
        <is>
          <t>Karnak; Pendentif Oton; Alliance Gloursonne; Anneau d'Allister; Quatre-feuilles; Ceinture de Klime; Couronne d'Allister; Cape de Klime; Bottes d'Allister; Dofus Turquoise; Dofus Pourpre; Dofus Ocre; Dofus Émeraude; Acrobate majeur; Siroko</t>
        </is>
      </c>
    </row>
    <row r="29516">
      <c r="A29516" t="inlineStr">
        <is>
          <t>Koutoulou</t>
        </is>
      </c>
      <c r="B29516">
        <f>HYPERLINK("https://www.dofusbook.net/fr/equipement/1886214-koutoulou/objets", "link")</f>
        <v/>
      </c>
      <c r="C29516" t="n">
        <v>0</v>
      </c>
      <c r="D29516" t="inlineStr">
        <is>
          <t>Arc de Koutoulou; Amulette du Strigide; Bracelet du Piloztère; Alliance Gloursonne; Quatre-feuilles; Ceinture du Strigide; Némès de Tal Kasha; Chevelure de Tal Kasha; Sandales de Tal Kasha; Dofus Pourpre; Dolmanax; Dofus Turquoise; Dofus des Glaces; Dofus Ocre; Dofus Abyssal; Muldo Prune et Doré</t>
        </is>
      </c>
    </row>
    <row r="29517">
      <c r="A29517" t="inlineStr">
        <is>
          <t>chance stat ret pm</t>
        </is>
      </c>
      <c r="B29517">
        <f>HYPERLINK("https://www.dofusbook.net/fr/equipement/1762933-chance-stat-ret-pm/objets", "link")</f>
        <v/>
      </c>
      <c r="C29517" t="n">
        <v>2</v>
      </c>
      <c r="D29517" t="inlineStr">
        <is>
          <t>Dagues Açantes; Amulette de Shokkoth; Pikano; Alliance Gloursonne; Quatre-feuilles; Ceinture Glaciale; Kidibonnet; Cape de Léthaline; Pikottes; Temporiseur majeur; Remueur; Taquin majeur; Chanceux majeur; Dévastateur Eau majeur; Nomade; Dehluge</t>
        </is>
      </c>
    </row>
    <row r="29518">
      <c r="A29518" t="inlineStr">
        <is>
          <t>atcham</t>
        </is>
      </c>
      <c r="B29518">
        <f>HYPERLINK("https://www.dofusbook.net/fr/equipement/1479618-atcham/objets", "link")</f>
        <v/>
      </c>
      <c r="C29518" t="n">
        <v>0</v>
      </c>
      <c r="D29518" t="inlineStr">
        <is>
          <t>Sabres d'Atcham; Amulette du Strigide; Anneau de Padgref; Bracelet du Piloztère; Quatre-feuilles; Ceinture du Strigide; Coiffe de Padgref; Cape d'Atcham; Getas de Padgref; Dofus Turquoise; Dofus des Glaces; Dofus Ocre; Dofus Pourpre; Dolmanax; Muldo Prune et Emeraude</t>
        </is>
      </c>
    </row>
    <row r="29519">
      <c r="A29519" t="inlineStr">
        <is>
          <t>Feu-retrait pm-agi</t>
        </is>
      </c>
      <c r="B29519">
        <f>HYPERLINK("https://www.dofusbook.net/fr/equipement/1041330-feu-retrait-pm-agi/objets", "link")</f>
        <v/>
      </c>
      <c r="C29519" t="n">
        <v>0</v>
      </c>
      <c r="D29519" t="inlineStr">
        <is>
          <t>Baguette Range; Amulette du Strigide; Kralano; Anneau de Padgref; Quatre-feuilles; Ceinture du Strigide; Coiffe de Padgref; Cape d'Atcham; Getas de Padgref; Dofus Pourpre; Dolmanax; Dofus Ocre; Dofus Turquoise; Saccageur Feu majeur; Muldo Prune et Emeraude</t>
        </is>
      </c>
    </row>
    <row r="29520">
      <c r="A29520" t="inlineStr">
        <is>
          <t>koutoulou client air</t>
        </is>
      </c>
      <c r="B29520">
        <f>HYPERLINK("https://www.dofusbook.net/fr/equipement/1187026-koutoulou-client-air/objets", "link")</f>
        <v/>
      </c>
      <c r="C29520" t="n">
        <v>0</v>
      </c>
      <c r="D29520" t="inlineStr">
        <is>
          <t>Pelle de la Cour Sombre; Frimamulette; Anneau de Pol Ouatnos; Anneau d'Allister; Couronne d'Allister; Voile d'encre; Bottes d'Allister; Dokoko; Dofus Ocre; Dofus Émeraude; Tacleur majeur; Acrobate majeur; Muldo Ebène et Orchidée</t>
        </is>
      </c>
    </row>
    <row r="29521">
      <c r="A29521" t="inlineStr">
        <is>
          <t>koutoulou panda feu</t>
        </is>
      </c>
      <c r="B29521">
        <f>HYPERLINK("https://www.dofusbook.net/fr/equipement/1187009-koutoulou-panda-feu/objets", "link")</f>
        <v/>
      </c>
      <c r="C29521" t="n">
        <v>0</v>
      </c>
      <c r="D29521" t="inlineStr">
        <is>
          <t>Arc Hétype; Amulette Séculaire; Anneau de Nidas; Anneau Tique; Ceinture Séculaire; Coiffe Séculaire; Voile d'encre; Pataugastrique; Dokoko; Dofus Ocre; Dofus Émeraude; Dolmanax; Carapace Terre majeur; Voyageur; Muldo Ebène et Pourpre</t>
        </is>
      </c>
    </row>
    <row r="29522">
      <c r="A29522" t="inlineStr">
        <is>
          <t>lvl150</t>
        </is>
      </c>
      <c r="B29522">
        <f>HYPERLINK("https://www.dofusbook.net/fr/equipement/1041103-lvl150/objets", "link")</f>
        <v/>
      </c>
      <c r="C29522" t="n">
        <v>0</v>
      </c>
      <c r="D29522" t="inlineStr">
        <is>
          <t>Racine de Floribonde; Amulette de l'Obsidiantre; Sceau Souverain du Roissingue; Anneau Nobstant; Ceinture Meulante; Capuche Souveraine du Roissingue; Cape Souveraine du Roissingue; Dofus Cawotte; Dragoune Noire</t>
        </is>
      </c>
    </row>
    <row r="29523">
      <c r="A29523" t="inlineStr">
        <is>
          <t>Stuff 2</t>
        </is>
      </c>
      <c r="B29523">
        <f>HYPERLINK("https://www.dofusbook.net/fr/equipement/241246-stuff-2/objets", "link")</f>
        <v/>
      </c>
      <c r="C29523" t="n">
        <v>0</v>
      </c>
      <c r="D29523" t="inlineStr">
        <is>
          <t>Epée Toche; Amulette du K.O.; Anneau de Brouce; Bague Gloursonne; Bouclier du Captain Amakna; Ceinture de Brouce; Casque de Missiz Frizz; Cape du Professeur Xa; Bottes de Brouce; Dofus Turquoise; Dofus Pourpre; Dofus Émeraude; Dofus Ocre; Furibond majeur; Kompost</t>
        </is>
      </c>
    </row>
    <row r="29524">
      <c r="A29524" t="inlineStr">
        <is>
          <t>Stuff 1</t>
        </is>
      </c>
      <c r="B29524">
        <f>HYPERLINK("https://www.dofusbook.net/fr/equipement/241245-stuff-1/objets", "link")</f>
        <v/>
      </c>
      <c r="C29524" t="n">
        <v>0</v>
      </c>
      <c r="D29524" t="inlineStr">
        <is>
          <t>Epée Toche; Amulette du K.O.; Anneau de Brouce; Bague Gloursonne; Ceinture de Brouce; Casque de Missiz Frizz; Voile d'encre; Sabots Minables; Dofus Turquoise; Enragé majeur; Nomade; Vigoureux majeur; Miraculé majeur; Remueur; Kompost</t>
        </is>
      </c>
    </row>
    <row r="29525">
      <c r="A29525" t="inlineStr">
        <is>
          <t>Stuff 1</t>
        </is>
      </c>
      <c r="B29525">
        <f>HYPERLINK("https://www.dofusbook.net/fr/equipement/241245-stuff-1/objets", "link")</f>
        <v/>
      </c>
      <c r="C29525" t="n">
        <v>0</v>
      </c>
      <c r="D29525" t="inlineStr">
        <is>
          <t>Epée Toche; Amulette du K.O.; Bague Gloursonne; Anneau de Brouce; Ceinture de Brouce; Casque de Missiz Frizz; Voile d'encre; Sabots Minables; Dofus Turquoise; Miraculé majeur; Remueur; Enragé majeur; Nomade; Vigoureux majeur; Kompost</t>
        </is>
      </c>
    </row>
    <row r="29526">
      <c r="A29526" t="inlineStr">
        <is>
          <t>Stuff 3</t>
        </is>
      </c>
      <c r="B29526">
        <f>HYPERLINK("https://www.dofusbook.net/fr/equipement/241247-stuff-3/objets", "link")</f>
        <v/>
      </c>
      <c r="C29526" t="n">
        <v>0</v>
      </c>
      <c r="D29526" t="inlineStr">
        <is>
          <t>Dagues Érhy; Amulette du Strigide; Anneau de Brouce; Bague Gloursonne; Ceintacé; Chapeau de Gein; Voile d'encre; Bottes du Strigide; Dolmanax; Dofus Pourpre; Remueur; Nomade; Enragé majeur; Vigoureux majeur; Kramkram</t>
        </is>
      </c>
    </row>
    <row r="29527">
      <c r="A29527" t="inlineStr">
        <is>
          <t>Sadida M 200</t>
        </is>
      </c>
      <c r="B29527">
        <f>HYPERLINK("https://www.dofusbook.net/fr/equipement/5947435-sadida-m-200/objets", "link")</f>
        <v/>
      </c>
      <c r="C29527" t="n">
        <v>0</v>
      </c>
      <c r="D29527" t="inlineStr">
        <is>
          <t>Héqache; Collier de Tourthon; Bague Gloursonne; Anneau Chevelu; Bouclier d'Ilyzaelle; Ceintouse; Masque de Koutoulou; Cape au Logis; Tentassons; Dofus Turquoise; Dokoko; Dofus Nébuleux; Dofus Émeraude; Remueur; Nomade; Volkorne Pourpre</t>
        </is>
      </c>
    </row>
    <row r="29528">
      <c r="A29528" t="inlineStr">
        <is>
          <t>Sacrieur M 200</t>
        </is>
      </c>
      <c r="B29528">
        <f>HYPERLINK("https://www.dofusbook.net/fr/equipement/5971033-sacrieur-m-200/objets", "link")</f>
        <v/>
      </c>
      <c r="C29528" t="n">
        <v>0</v>
      </c>
      <c r="D29528" t="inlineStr">
        <is>
          <t>Arc de Koutoulou; Collier du Valet Veinard; Bracelet des Fonds marins; Gant du Valet Veinard; Bouclier du Stalak; Sangle Ouare; Masque des Fonds marins; Cape du Valet Veinard; Sandales des Fonds marins; Dofus Nébuleux; Dofus Ivoire; Dofus Émeraude; Dofus Ocre; Dofus Pourpre; Dofus des Glaces; Kramkram</t>
        </is>
      </c>
    </row>
    <row r="29529">
      <c r="A29529" t="inlineStr">
        <is>
          <t>Crâ M 200</t>
        </is>
      </c>
      <c r="B29529">
        <f>HYPERLINK("https://www.dofusbook.net/fr/equipement/5638912-cra-m-200/objets", "link")</f>
        <v/>
      </c>
      <c r="C29529" t="n">
        <v>0</v>
      </c>
      <c r="D29529" t="inlineStr">
        <is>
          <t>Sabres d'Atcham; Amulette du Strigide; Anneau de Padgref; Bracelet du Piloztère; Quatre-feuilles; Ceinture du Strigide; Coiffe de Padgref; Cape d'Atcham; Getas de Padgref; Dofus Ocre; Dofus des Glaces; Dofus Turquoise; Dofus Vulbis; Dofus Pourpre; Dofus Nébuleux; Sakochère</t>
        </is>
      </c>
    </row>
    <row r="29530">
      <c r="A29530" t="inlineStr">
        <is>
          <t>Crâ F 200</t>
        </is>
      </c>
      <c r="B29530">
        <f>HYPERLINK("https://www.dofusbook.net/fr/equipement/5600873-cra-f-200/objets", "link")</f>
        <v/>
      </c>
      <c r="C29530" t="n">
        <v>1</v>
      </c>
      <c r="D29530" t="inlineStr">
        <is>
          <t>Baguette de Torkélonia; Amulette Volkorne; Anneau Volkorne; Anneau de Padgref; Ceinture Volkorne; Coiffe de Padgref; Carapace de Torkélonia; Getas de Padgref; Dofus Ocre; Dofus Pourpre; Dofus Vulbis; Dofus Turquoise; Dofus Nébuleux; Dofus des Glaces; Sakochère</t>
        </is>
      </c>
    </row>
    <row r="29531">
      <c r="A29531" t="inlineStr">
        <is>
          <t>Pandawa M 200</t>
        </is>
      </c>
      <c r="B29531">
        <f>HYPERLINK("https://www.dofusbook.net/fr/equipement/3779146-pandawa-m-200/objets", "link")</f>
        <v/>
      </c>
      <c r="C29531" t="n">
        <v>0</v>
      </c>
      <c r="D29531" t="inlineStr">
        <is>
          <t>Arc corrompu; Amulette Volkorne; Anneauræus; Anneauræus; Ceinture Séculaire; Coiffe Séculaire; Cape de Diondin; Bottes Innommables</t>
        </is>
      </c>
    </row>
    <row r="29532">
      <c r="A29532" t="inlineStr">
        <is>
          <t>Pandawa M 200</t>
        </is>
      </c>
      <c r="B29532">
        <f>HYPERLINK("https://www.dofusbook.net/fr/equipement/3769509-pandawa-m-200/objets", "link")</f>
        <v/>
      </c>
      <c r="C29532" t="n">
        <v>0</v>
      </c>
      <c r="D29532" t="inlineStr">
        <is>
          <t>Arc corrompu; Pendentif mignon de Koutoulou; Anneauræus; Anneauræus; Ceinture Séculaire; Coiffe Séculaire; Cape de Diondin; Bottes Innommables</t>
        </is>
      </c>
    </row>
    <row r="29533">
      <c r="A29533" t="inlineStr">
        <is>
          <t>Osamodas M 200</t>
        </is>
      </c>
      <c r="B29533">
        <f>HYPERLINK("https://www.dofusbook.net/fr/equipement/3454413-osamodas-m-200/objets", "link")</f>
        <v/>
      </c>
      <c r="C29533" t="n">
        <v>0</v>
      </c>
      <c r="D29533" t="inlineStr">
        <is>
          <t>Razoir du Soir; Amulette d'Ilyzaelle; Alliance Brûlâme; Carapar; Casque d'Ilyzaelle</t>
        </is>
      </c>
    </row>
    <row r="29534">
      <c r="A29534" t="inlineStr">
        <is>
          <t>Osamodas F 200</t>
        </is>
      </c>
      <c r="B29534">
        <f>HYPERLINK("https://www.dofusbook.net/fr/equipement/3345898-osamodas-f-200/objets", "link")</f>
        <v/>
      </c>
      <c r="C29534" t="n">
        <v>2</v>
      </c>
      <c r="D29534" t="inlineStr">
        <is>
          <t>Dagues Érhy; Collier du Valet Veinard; Gant du Valet Veinard; Alliance Gloursonne; Bouclier de Solar; Protopagne; Casque Dragoeuf; Cape du Kamasterisk; Baleinabottes; Dofus Émeraude; Dofus Abyssal; Dokoko; Dofus des Glaces; Cascadeur majeur; Remueur; Muldo Ebène</t>
        </is>
      </c>
    </row>
    <row r="29535">
      <c r="A29535" t="inlineStr">
        <is>
          <t>Osamodas F 200</t>
        </is>
      </c>
      <c r="B29535">
        <f>HYPERLINK("https://www.dofusbook.net/fr/equipement/3279782-osamodas-f-200/objets", "link")</f>
        <v/>
      </c>
      <c r="C29535" t="n">
        <v>4</v>
      </c>
      <c r="D29535" t="inlineStr">
        <is>
          <t>Dagues Érhy; Collier du Valet Veinard; Alliance Gloursonne; Gant du Valet Veinard; Cadran de Feu; Ceinture du Barbétoal; Couronne d'Allister; Cape du Kamasterisk; Baleinabottes; Dokoko; Dofus Émeraude; Dofus Abyssal; Remueur; Nomade; Cascadeur majeur</t>
        </is>
      </c>
    </row>
    <row r="29536">
      <c r="A29536" t="inlineStr">
        <is>
          <t>sadi multi 200</t>
        </is>
      </c>
      <c r="B29536">
        <f>HYPERLINK("https://www.dofusbook.net/fr/equipement/1520306-sadi-multi-200-/objets", "link")</f>
        <v/>
      </c>
      <c r="C29536" t="n">
        <v>94</v>
      </c>
      <c r="D29536" t="inlineStr">
        <is>
          <t>Hache du Chalœil; Amulette du Strigide; Bague Trithon; Quatre-feuilles; Ceinture du Strigide; Masque Trithon; Voile d'encre; Bottes Trithon; Dofus Abyssal; Dofus des Glaces; Dofus Turquoise; Dofus Ivoire; Dofus Ébène; Dofus Ocre; Kokulte</t>
        </is>
      </c>
    </row>
    <row r="29537">
      <c r="A29537" t="inlineStr">
        <is>
          <t>enu abyss</t>
        </is>
      </c>
      <c r="B29537">
        <f>HYPERLINK("https://www.dofusbook.net/fr/equipement/1505500-enu-abyss/objets", "link")</f>
        <v/>
      </c>
      <c r="C29537" t="n">
        <v>5</v>
      </c>
      <c r="D29537" t="inlineStr">
        <is>
          <t>Hache Téroïde; Amulette du Strigide; Bague Trithon; Bague Gloursonne; Bouclier du Captain Amakna; Ceintacé; Masque Trithon; Voile d'encre; Bottes du Roi Joueur; Dofus Ébène; Dofus Turquoise; Dofus des Glaces; Dofus Pourpre; Nomade; Remueur; Kokulte</t>
        </is>
      </c>
    </row>
    <row r="29538">
      <c r="A29538" t="inlineStr">
        <is>
          <t>sadida 200 thomas</t>
        </is>
      </c>
      <c r="B29538">
        <f>HYPERLINK("https://www.dofusbook.net/fr/equipement/1546015-sadida-200-thomas/objets", "link")</f>
        <v/>
      </c>
      <c r="C29538" t="n">
        <v>0</v>
      </c>
      <c r="D29538" t="inlineStr">
        <is>
          <t>Hache Téroïde; Amulette de l'Œil Putride; Alliance Gloursonne; Bague Gloursonne; Bouclier du Stalak; Ceinture de l'Esprit Salvateur; Masque de l'Esprit Salvateur; Cape de l'Œil Putride; Bottes de l'Esprit Salvateur; Dofus Ébène; Dofus Ocre; Dofus Abyssal; Dofus des Glaces; Dofus Pourpre; Dofus Ivoire; Léopardo</t>
        </is>
      </c>
    </row>
    <row r="29539">
      <c r="A29539" t="inlineStr">
        <is>
          <t>air opti</t>
        </is>
      </c>
      <c r="B29539">
        <f>HYPERLINK("https://www.dofusbook.net/fr/equipement/1519023-air-opti/objets", "link")</f>
        <v/>
      </c>
      <c r="C29539" t="n">
        <v>2</v>
      </c>
      <c r="D29539" t="inlineStr">
        <is>
          <t>Dagoulinantes; Amulette de Shokkoth; Alliance Gloursonne; Anneau Volkorne; Cadran d'Air; Ceinture de la Reine des Voleurs; Casque Dragoeuf; Cape Solution; Bottes de la Reine des Voleurs; Dofus Ébène; Dofus Ivoire; Dofus Abyssal; Dofus Ocre; Miraculé majeur; Nomade; Kanigloups</t>
        </is>
      </c>
    </row>
    <row r="29540">
      <c r="A29540" t="inlineStr">
        <is>
          <t>retrait pa</t>
        </is>
      </c>
      <c r="B29540">
        <f>HYPERLINK("https://www.dofusbook.net/fr/equipement/1377104-retrait-pa-/objets", "link")</f>
        <v/>
      </c>
      <c r="C29540" t="n">
        <v>0</v>
      </c>
      <c r="D29540" t="inlineStr">
        <is>
          <t>Lav'Hache; Collier de Tourthon; Alliance Gloursonne; Anneau Chevelu; Bouclier d'Ilyzaelle; Ceinture de la Cour Sombre; Masque de Koutoulou; Cape de la Cour Sombre; Tentassons; Dofus Émeraude; Dofus Ivoire; Dofus Abyssal; Dofus Ocre; Dofus Ébène; Enragé majeur; Drakopin</t>
        </is>
      </c>
    </row>
    <row r="29541">
      <c r="A29541" t="inlineStr">
        <is>
          <t>terre pvp</t>
        </is>
      </c>
      <c r="B29541">
        <f>HYPERLINK("https://www.dofusbook.net/fr/equipement/1374578-terre-pvp-/objets", "link")</f>
        <v/>
      </c>
      <c r="C29541" t="n">
        <v>2</v>
      </c>
      <c r="D29541" t="inlineStr">
        <is>
          <t>Arc du Chalœil; Collier de Tourthon; Anneau Chevelu; Anneau Volkorne; Quatre-feuilles; Ceinture Volkorne; Masque de Koutoulou; Voile d'encre; Bottes de la Cour Sombre; Dofus Ébène; Dofus Ivoire; Dofus Abyssal; Dofus Ocre; Dofus Pourpre; Nomade; Bulbisou</t>
        </is>
      </c>
    </row>
    <row r="29542">
      <c r="A29542" t="inlineStr">
        <is>
          <t>boutri</t>
        </is>
      </c>
      <c r="B29542">
        <f>HYPERLINK("https://www.dofusbook.net/fr/equipement/1468866-boutri/objets", "link")</f>
        <v/>
      </c>
      <c r="C29542" t="n">
        <v>0</v>
      </c>
      <c r="D29542" t="inlineStr">
        <is>
          <t>Arc Nécrotique; Talisman Igans; Bracelet des Fonds marins; Alliance Gloursonne; Quatre-feuilles; Ceintrigue; Masque du Barbétoal; Cape de la Dame du Hasard; Pataugastrique; Dofus des Glaces; Chanceux majeur; Vigoureux majeur; Carapace Eau majeur; Nomade; Remueur; Muldo Indigo et Orchidée</t>
        </is>
      </c>
    </row>
    <row r="29543">
      <c r="A29543" t="inlineStr">
        <is>
          <t>terre / air 12/6</t>
        </is>
      </c>
      <c r="B29543">
        <f>HYPERLINK("https://www.dofusbook.net/fr/equipement/1418358-terre---air--12-6/objets", "link")</f>
        <v/>
      </c>
      <c r="C29543" t="n">
        <v>2</v>
      </c>
      <c r="D29543" t="inlineStr">
        <is>
          <t>Héqache; Amulette du Strigide; Anneau Crustique; Anneau Chevelu; Bouclier du Captain Amakna; Ceintacé; Chapoulpe; Voile d'encre; Tentassons; Dofus Émeraude; Dofus Pourpre; Dofus des Glaces; Dofus Turquoise; Remueur; Nomade; Kramkram</t>
        </is>
      </c>
    </row>
    <row r="29544">
      <c r="A29544" t="inlineStr">
        <is>
          <t>do crit</t>
        </is>
      </c>
      <c r="B29544">
        <f>HYPERLINK("https://www.dofusbook.net/fr/equipement/1381309-do-crit/objets", "link")</f>
        <v/>
      </c>
      <c r="C29544" t="n">
        <v>3</v>
      </c>
      <c r="D29544" t="inlineStr">
        <is>
          <t>Grésilosceptre; Amulette du Strigide; Gant du Valet Veinard; Alliance Gloursonne; Bouclier du Captain Amakna; Ceintacé; Némès de Tal Kasha; Chevelure de Tal Kasha; Pataugastrique; Dofus Pourpre; Dolmanax; Dofus des Glaces; Dofus Turquoise; Nomade; Vigoureux majeur; El Scarador</t>
        </is>
      </c>
    </row>
    <row r="29545">
      <c r="A29545" t="inlineStr">
        <is>
          <t>fun</t>
        </is>
      </c>
      <c r="B29545">
        <f>HYPERLINK("https://www.dofusbook.net/fr/equipement/1414417-fun/objets", "link")</f>
        <v/>
      </c>
      <c r="C29545" t="n">
        <v>0</v>
      </c>
      <c r="D29545" t="inlineStr">
        <is>
          <t>Epée Gloursonne; Amulette du Strigide; Bague Gloursonne; Alliance Gloursonne; Bouclier à hélice; Ceinture du Strigide; Coiffe du Glourséleste; Cape de Léthaline; Bottes du Strigide; Dofus des Glaces; Dofus Pourpre; Dofus Ocre; Dokoko; Muraille Terre majeure; Muraille Air majeure</t>
        </is>
      </c>
    </row>
    <row r="29546">
      <c r="A29546" t="inlineStr">
        <is>
          <t>talka</t>
        </is>
      </c>
      <c r="B29546">
        <f>HYPERLINK("https://www.dofusbook.net/fr/equipement/1406977-talka/objets", "link")</f>
        <v/>
      </c>
      <c r="C29546" t="n">
        <v>1</v>
      </c>
      <c r="D29546" t="inlineStr">
        <is>
          <t>Marteau des Anciens Steamers; Amulette du Strigide; Alliance Gloursonne; Gant du Valet Veinard; Bouclier alvéolé; Ceintacé; Kidibonnet; Chevelure de Tal Kasha; Sandales de Tal Kasha; Dofus Turquoise; Dofus des Glaces; Dofus Pourpre; Dolmanax; Dokoko; Miraculé majeur; Muldo Ebène</t>
        </is>
      </c>
    </row>
    <row r="29547">
      <c r="A29547" t="inlineStr">
        <is>
          <t>hequache</t>
        </is>
      </c>
      <c r="B29547">
        <f>HYPERLINK("https://www.dofusbook.net/fr/equipement/1396623-hequache-/objets", "link")</f>
        <v/>
      </c>
      <c r="C29547" t="n">
        <v>0</v>
      </c>
      <c r="D29547" t="inlineStr">
        <is>
          <t>Collier du Valet Veinard; Gant du Valet Veinard; Sept ans de malheur; Casque Dragoeuf; Dofus Émeraude; Étourdisseur majeur; Carapace Eau majeur; Remueur; Miraculé majeur; Obstructeur majeur; Muldo Ebène et Pourpre</t>
        </is>
      </c>
    </row>
    <row r="29548">
      <c r="A29548" t="inlineStr">
        <is>
          <t>ret pa test</t>
        </is>
      </c>
      <c r="B29548">
        <f>HYPERLINK("https://www.dofusbook.net/fr/equipement/1277413-ret-pa-test/objets", "link")</f>
        <v/>
      </c>
      <c r="C29548" t="n">
        <v>0</v>
      </c>
      <c r="D29548" t="inlineStr">
        <is>
          <t>Marteau R'ture; Amulette du Strigide; Anneau Crustique; Anneau Chevelu; Bouclier du Captain Amakna; Ceintacé; Chapoulpe; Voile d'encre; Tentassons; Dofus des Glaces; Dofus Pourpre; Dofus Turquoise; Remueur; Vigoureux majeur; Nomade; Kramkram</t>
        </is>
      </c>
    </row>
    <row r="29549">
      <c r="A29549" t="inlineStr">
        <is>
          <t>full eau</t>
        </is>
      </c>
      <c r="B29549">
        <f>HYPERLINK("https://www.dofusbook.net/fr/equipement/1365954-full-eau-/objets", "link")</f>
        <v/>
      </c>
      <c r="C29549" t="n">
        <v>1</v>
      </c>
      <c r="D29549" t="inlineStr">
        <is>
          <t>Héqache; Amulette de Nevark; Bracelet du Piloztère; Anneau des égarés; Bouclier du Stalak; Ceinture de Nevark; Casque des égarés; Cape de Nevark; Bottes des égarés; Dofus des Glaces; Dofus Nébuleux; Dofus Pourpre; Dofus Abyssal; Kramkram</t>
        </is>
      </c>
    </row>
    <row r="29550">
      <c r="A29550" t="inlineStr">
        <is>
          <t>terre pas cher</t>
        </is>
      </c>
      <c r="B29550">
        <f>HYPERLINK("https://www.dofusbook.net/fr/equipement/1380863-terre-pas-cher/objets", "link")</f>
        <v/>
      </c>
      <c r="C29550" t="n">
        <v>0</v>
      </c>
      <c r="D29550" t="inlineStr">
        <is>
          <t>Bêche Asse; Amulette du Strigide; Anneau de Brouce; Bague Gloursonne; Bouclier alvéolé; Ceinture de Brouce; Masque de Koutoulou; Cape au Logis; Sandales de Tal Kasha; Fonceur majeur; Enragé majeur; Observateur; Nomade; Vigoureux majeur; Remueur; El Scarador</t>
        </is>
      </c>
    </row>
    <row r="29551">
      <c r="A29551" t="inlineStr">
        <is>
          <t>marteau egare</t>
        </is>
      </c>
      <c r="B29551">
        <f>HYPERLINK("https://www.dofusbook.net/fr/equipement/1377036-marteau-egare/objets", "link")</f>
        <v/>
      </c>
      <c r="C29551" t="n">
        <v>0</v>
      </c>
      <c r="D29551" t="inlineStr">
        <is>
          <t>Hache du Chalœil; Amulette du Strigide; Alliance Gloursonne; Anneau de Padgref; Bouclier du Captain Amakna; Ceintacé; Casque du Chalœil; Voile d'encre; Bottes du Chalœil; Dofus Pourpre; Dolmanax; Dofus Turquoise; Dofus des Glaces; Nomade; Remueur; Kramkram</t>
        </is>
      </c>
    </row>
    <row r="29552">
      <c r="A29552" t="inlineStr">
        <is>
          <t>re pou</t>
        </is>
      </c>
      <c r="B29552">
        <f>HYPERLINK("https://www.dofusbook.net/fr/equipement/1372126-re-pou/objets", "link")</f>
        <v/>
      </c>
      <c r="C29552" t="n">
        <v>0</v>
      </c>
      <c r="D29552" t="inlineStr">
        <is>
          <t>Manthache; Torquistik; Baguistik; Anneau Rifique; Jadis; Ceinture de la Reine des Voleurs; Coiffe de la Reine des Voleurs; Cape du Chalœil; Bottistik; Dofus Abyssal; Fortification majeure; Cascadeur majeur; Nomade; Bastion majeur; Remueur; Kramkram</t>
        </is>
      </c>
    </row>
    <row r="29553">
      <c r="A29553" t="inlineStr">
        <is>
          <t>full air pvp</t>
        </is>
      </c>
      <c r="B29553">
        <f>HYPERLINK("https://www.dofusbook.net/fr/equipement/1369557-full-air-pvp/objets", "link")</f>
        <v/>
      </c>
      <c r="C29553" t="n">
        <v>1</v>
      </c>
      <c r="D29553" t="inlineStr">
        <is>
          <t>Manthache; Collier du Valet Veinard; Gant du Valet Veinard; Alliance Gloursonne; Bouclier du Stalak; Menoture; Couronne d'Allister; Cape Indescriptible; Palmes Trithons; Dofus Abyssal; Dofus Pourpre; Dofus des Glaces; Dévastateur Air majeur; Cascadeur majeur; Carapace Air majeur; Kramkram</t>
        </is>
      </c>
    </row>
    <row r="29554">
      <c r="A29554" t="inlineStr">
        <is>
          <t>Crâ F 200</t>
        </is>
      </c>
      <c r="B29554">
        <f>HYPERLINK("https://www.dofusbook.net/fr/equipement/4206990-cra-f-200/objets", "link")</f>
        <v/>
      </c>
      <c r="C29554" t="n">
        <v>2</v>
      </c>
      <c r="D29554" t="inlineStr">
        <is>
          <t>Dofus Pourpre; Dofus Turquoise</t>
        </is>
      </c>
    </row>
    <row r="29555">
      <c r="A29555" t="inlineStr">
        <is>
          <t>Féca M 200</t>
        </is>
      </c>
      <c r="B29555">
        <f>HYPERLINK("https://www.dofusbook.net/fr/equipement/4206988-feca-m-200/objets", "link")</f>
        <v/>
      </c>
      <c r="C29555" t="n">
        <v>0</v>
      </c>
      <c r="D29555" t="inlineStr"/>
    </row>
    <row r="29556">
      <c r="A29556" t="inlineStr">
        <is>
          <t>Féca M 200</t>
        </is>
      </c>
      <c r="B29556">
        <f>HYPERLINK("https://www.dofusbook.net/fr/equipement/3264940-feca-m-200/objets", "link")</f>
        <v/>
      </c>
      <c r="C29556" t="n">
        <v>0</v>
      </c>
      <c r="D29556" t="inlineStr"/>
    </row>
    <row r="29557">
      <c r="A29557" t="inlineStr">
        <is>
          <t>test</t>
        </is>
      </c>
      <c r="B29557">
        <f>HYPERLINK("https://www.dofusbook.net/fr/equipement/3023193-test/objets", "link")</f>
        <v/>
      </c>
      <c r="C29557" t="n">
        <v>0</v>
      </c>
      <c r="D29557" t="inlineStr">
        <is>
          <t>Sabres d'Atcham; Amulette Volkorne; Alliance Gloursonne; Anneau Volkorne; Bouclier du Captain Amakna; Ceinture Volkorne; Casque Volkorne; Cape d'Atcham; Sandales  d'Atcham; Dofus des Glaces; Dofus Ocre; Dofus Abyssal; Dofus Turquoise; Dofus Ivoire; Dofus Pourpre; Kokulte</t>
        </is>
      </c>
    </row>
    <row r="29558">
      <c r="A29558" t="inlineStr">
        <is>
          <t>Féca M 200</t>
        </is>
      </c>
      <c r="B29558">
        <f>HYPERLINK("https://www.dofusbook.net/fr/equipement/3838609-feca-m-200/objets", "link")</f>
        <v/>
      </c>
      <c r="C29558" t="n">
        <v>0</v>
      </c>
      <c r="D29558" t="inlineStr">
        <is>
          <t>Hache Téroïde; Amulette du Strigide; Bague Gloursonne; Bague Trithon; Bouclier du Captain Amakna; Ceinture du Strigide; Masque Trithon; Cape au Logis; Bottes Trithon; Dofus des Glaces; Dofus Ocre; Dofus Ivoire; Dofus Pourpre; Dofus Abyssal; Dofus Turquoise; Kokulte</t>
        </is>
      </c>
    </row>
    <row r="29559">
      <c r="A29559" t="inlineStr">
        <is>
          <t>ehry</t>
        </is>
      </c>
      <c r="B29559">
        <f>HYPERLINK("https://www.dofusbook.net/fr/equipement/3027203-ehry/objets", "link")</f>
        <v/>
      </c>
      <c r="C29559" t="n">
        <v>0</v>
      </c>
      <c r="D29559" t="inlineStr">
        <is>
          <t>Dagues Érhy; Amulette Volcanique; Bague Gloursonne; Anneau Chevelu; Bouclier Taverne; Ceinture de Gein; Masque de Koutoulou; Cape au Logis; Sabots Volcaniques; Dofus Abyssal; Dofus Turquoise; Dofus Émeraude; Dofus des Glaces; Dofus Pourpre; Remueur; Dragodinde en armure</t>
        </is>
      </c>
    </row>
    <row r="29560">
      <c r="A29560" t="inlineStr">
        <is>
          <t>roxxxxxx</t>
        </is>
      </c>
      <c r="B29560">
        <f>HYPERLINK("https://www.dofusbook.net/fr/equipement/3024564-roxxxxxx/objets", "link")</f>
        <v/>
      </c>
      <c r="C29560" t="n">
        <v>1</v>
      </c>
      <c r="D29560" t="inlineStr">
        <is>
          <t>Hache du Chalœil; Amulette du Strigide; Bracelet du Piloztère; Bague Trithon; Quatre-feuilles; Ceinture du Strigide; Masque Trithon; Dofusteuse; Bottes Trithon; Dofus Pourpre; Dofus des Glaces; Dofus Turquoise; Dolmanax; Dofus Ocre; Dofus Abyssal; Muldo Prune et Emeraude</t>
        </is>
      </c>
    </row>
    <row r="29561">
      <c r="A29561" t="inlineStr">
        <is>
          <t>EauMatch1</t>
        </is>
      </c>
      <c r="B29561">
        <f>HYPERLINK("https://www.dofusbook.net/fr/equipement/2956674-eaumatch1/objets", "link")</f>
        <v/>
      </c>
      <c r="C29561" t="n">
        <v>0</v>
      </c>
      <c r="D29561" t="inlineStr">
        <is>
          <t>Arc de Koutoulou; Amulette du Sinistrofu; Lavanneau; Alliance Gloursonne; Bouclier du Stalak; Ceinture Glaciale; Masque des Fonds marins; Cape Solution; Bottes du Sinistrofu; Dofus Abyssal; Dokoko; Dofus Émeraude; Chanceux majeur; Nomade; Remueur; Dragodinde en armure</t>
        </is>
      </c>
    </row>
    <row r="29562">
      <c r="A29562" t="inlineStr">
        <is>
          <t>EAU</t>
        </is>
      </c>
      <c r="B29562">
        <f>HYPERLINK("https://www.dofusbook.net/fr/equipement/3027708-eau/objets", "link")</f>
        <v/>
      </c>
      <c r="C29562" t="n">
        <v>0</v>
      </c>
      <c r="D29562" t="inlineStr">
        <is>
          <t>Rapière aux Glyphes; Amulette de Shokkoth; Alliance Gloursonne; Lavanneau; Bouclier du Stalak; Poulpagne; Kidibonnet; Cape du Sinistrofu; Bottes du Sinistrofu; Dokoko; Dofus Abyssal; Dofus Émeraude; Dofus Pourpre; Chanceux majeur; Nomade; Kramkram</t>
        </is>
      </c>
    </row>
    <row r="29563">
      <c r="A29563" t="inlineStr">
        <is>
          <t>roxxxxxx</t>
        </is>
      </c>
      <c r="B29563">
        <f>HYPERLINK("https://www.dofusbook.net/fr/equipement/3024543-roxxxxxx/objets", "link")</f>
        <v/>
      </c>
      <c r="C29563" t="n">
        <v>0</v>
      </c>
      <c r="D29563" t="inlineStr"/>
    </row>
    <row r="29564">
      <c r="A29564" t="inlineStr">
        <is>
          <t>fullroxx</t>
        </is>
      </c>
      <c r="B29564">
        <f>HYPERLINK("https://www.dofusbook.net/fr/equipement/3023186-fullroxx/objets", "link")</f>
        <v/>
      </c>
      <c r="C29564" t="n">
        <v>0</v>
      </c>
      <c r="D29564" t="inlineStr">
        <is>
          <t>Hache du Chalœil; Amulette du Strigide; Alliance Gloursonne; Alliance du Lévitrof; Quatre-feuilles; Ceinture du Strigide; Coiffe du Lévitrof; Voile d'encre; Bottes du Lévitrof; Dofus Vulbis; Dofus Ocre; Dofus Pourpre; Dofus des Glaces; Dofus Turquoise; Dofus Abyssal; Dragodinde en armure</t>
        </is>
      </c>
    </row>
    <row r="29565">
      <c r="A29565" t="inlineStr">
        <is>
          <t>fullroxx</t>
        </is>
      </c>
      <c r="B29565">
        <f>HYPERLINK("https://www.dofusbook.net/fr/equipement/3023044-fullroxx/objets", "link")</f>
        <v/>
      </c>
      <c r="C29565" t="n">
        <v>0</v>
      </c>
      <c r="D29565" t="inlineStr">
        <is>
          <t>Hache du Chalœil; Amulette du Strigide; Alliance Gloursonne; Bague Trithon; Quatre-feuilles; Ceinture du Strigide; Masque Trithon; Voile d'encre; Bottes Trithon; Dofus Pourpre; Dofus des Glaces; Dofus Turquoise; Dofus Abyssal; Dofus Ocre</t>
        </is>
      </c>
    </row>
    <row r="29566">
      <c r="A29566" t="inlineStr">
        <is>
          <t>eca</t>
        </is>
      </c>
      <c r="B29566">
        <f>HYPERLINK("https://www.dofusbook.net/fr/equipement/3018067-eca/objets", "link")</f>
        <v/>
      </c>
      <c r="C29566" t="n">
        <v>0</v>
      </c>
      <c r="D29566" t="inlineStr">
        <is>
          <t>Marteau des Anciens Steamers; Amulette du Strigide; Alliance Gloursonne; Bague Gloursonne; Bouclier Taverne; Ceinture du Strigide; Némès de Tal Kasha; Chevelure de Tal Kasha; Sandales de Tal Kasha; Dofus Turquoise; Dofus Abyssal; Dofus Vulbis; Dofus Ocre; Dofus Pourpre; Dofus des Glaces; Dragodinde en armure</t>
        </is>
      </c>
    </row>
    <row r="29567">
      <c r="A29567" t="inlineStr">
        <is>
          <t>feu</t>
        </is>
      </c>
      <c r="B29567">
        <f>HYPERLINK("https://www.dofusbook.net/fr/equipement/3017943-feu/objets", "link")</f>
        <v/>
      </c>
      <c r="C29567" t="n">
        <v>1</v>
      </c>
      <c r="D29567" t="inlineStr">
        <is>
          <t>Arc corrompu; Pendentif mignon de Koutoulou; Anneau Rifique; Anneauræus; Bouclier du Stalak; Ceinture de Vortex; Casque Dragoeuf; Cape de Diondin; Bottes Innommables; Dofus Abyssal; Dofus Pourpre; Érudit majeur; Remueur; Muldo Orchidée et Pourpre</t>
        </is>
      </c>
    </row>
    <row r="29568">
      <c r="A29568" t="inlineStr">
        <is>
          <t>meilleurstufterreair</t>
        </is>
      </c>
      <c r="B29568">
        <f>HYPERLINK("https://www.dofusbook.net/fr/equipement/3015943-meilleurstufterreair/objets", "link")</f>
        <v/>
      </c>
      <c r="C29568" t="n">
        <v>0</v>
      </c>
      <c r="D29568" t="inlineStr">
        <is>
          <t>Lav'Hache; Amulette du Strigide; Anneau Crustique; Anneau Crustique; Sept ans de malheur; Ceintouse; Masque de Koutoulou; Cape du Cœur Vaillant; Tentassons; Dofus Émeraude; Dofus Pourpre; Dofus Abyssal; Nomade; Remueur; Étourdisseur majeur; Muldo Roux et Pourpre</t>
        </is>
      </c>
    </row>
    <row r="29569">
      <c r="A29569" t="inlineStr">
        <is>
          <t>meilleurstufterairV2</t>
        </is>
      </c>
      <c r="B29569">
        <f>HYPERLINK("https://www.dofusbook.net/fr/equipement/3015940-meilleurstufterairv2/objets", "link")</f>
        <v/>
      </c>
      <c r="C29569" t="n">
        <v>0</v>
      </c>
      <c r="D29569" t="inlineStr">
        <is>
          <t>Lav'Hache; Amulette du Strigide; Anneau Crustique; Anneau Crustique; Bouclier alvéolé; Ceintouse; Masque de Koutoulou; Cape du Cœur Vaillant; Tentassons; Dofus Abyssal; Dofus Émeraude; Dofus des Glaces; Dokoko; Étourdisseur majeur; Remueur; Muldo Roux et Pourpre</t>
        </is>
      </c>
    </row>
    <row r="29570">
      <c r="A29570" t="inlineStr">
        <is>
          <t>StuffbasiqueAirDWS</t>
        </is>
      </c>
      <c r="B29570">
        <f>HYPERLINK("https://www.dofusbook.net/fr/equipement/2959645-stuffbasiqueairdws/objets", "link")</f>
        <v/>
      </c>
      <c r="C29570" t="n">
        <v>0</v>
      </c>
      <c r="D29570" t="inlineStr">
        <is>
          <t>Manthache; Collier du Valet Veinard; Alliance Gloursonne; Gant du Valet Veinard; Bouclier d'Ilyzaelle; Menoture; Casque Dragoeuf; Cape Indescriptible; Palmes Trithons; Dokoko; Dofus Abyssal; Dofus Ivoire; Dofus Émeraude; Remueur; Cascadeur majeur; Muldo Ebène</t>
        </is>
      </c>
    </row>
    <row r="29571">
      <c r="A29571" t="inlineStr">
        <is>
          <t>SupposéFeu</t>
        </is>
      </c>
      <c r="B29571">
        <f>HYPERLINK("https://www.dofusbook.net/fr/equipement/2956775-supposefeu/objets", "link")</f>
        <v/>
      </c>
      <c r="C29571" t="n">
        <v>0</v>
      </c>
      <c r="D29571" t="inlineStr">
        <is>
          <t>Arc Hétype; Collier de la Dame du Hasard; Anneau Rifique; Anneau de Nidas; Bouclier d'Ilyzaelle; Ceinture Séculaire; Casque Dragoeuf; Cape de la Dame du Hasard; Pataugastrique; Dolmanax; Dofus Ivoire; Dofus Abyssal; Érudit majeur; Temporiseur majeur; Remueur; Muldo Orchidée</t>
        </is>
      </c>
    </row>
    <row r="29572">
      <c r="A29572" t="inlineStr">
        <is>
          <t>Ouginak F 200</t>
        </is>
      </c>
      <c r="B29572">
        <f>HYPERLINK("https://www.dofusbook.net/fr/equipement/5116932-ouginak-f-200/objets", "link")</f>
        <v/>
      </c>
      <c r="C29572" t="n">
        <v>0</v>
      </c>
      <c r="D29572" t="inlineStr">
        <is>
          <t>Marteau R'ture; Collier de Tourthon; Anneau Chevelu; Anneau Volkorne; Bouclier du Captain Amakna; Ceinture Volkorne; Masque de Koutoulou; Cape au Logis; Bottes de Brouce; Dofus Ivoire; Dofus Abyssal; Dofus Ocre; Dofus Pourpre; Dofus Ébène; Enragé majeur; Kompost</t>
        </is>
      </c>
    </row>
    <row r="29573">
      <c r="A29573" t="inlineStr">
        <is>
          <t>Sram F 200</t>
        </is>
      </c>
      <c r="B29573">
        <f>HYPERLINK("https://www.dofusbook.net/fr/equipement/5406968-sram-f-200/objets", "link")</f>
        <v/>
      </c>
      <c r="C29573" t="n">
        <v>0</v>
      </c>
      <c r="D29573" t="inlineStr">
        <is>
          <t>Gelano; Bouclier Taverne; Ceinture de Brouce; Cape au Logis; Bottes de Brouce; Dolmanax; Dofus Pourpre; Vigoureux majeur; Remueur; Érudit majeur; Nomade; Brûlih</t>
        </is>
      </c>
    </row>
    <row r="29574">
      <c r="A29574" t="inlineStr">
        <is>
          <t>Sram F 200</t>
        </is>
      </c>
      <c r="B29574">
        <f>HYPERLINK("https://www.dofusbook.net/fr/equipement/5419766-sram-f-200/objets", "link")</f>
        <v/>
      </c>
      <c r="C29574" t="n">
        <v>0</v>
      </c>
      <c r="D29574" t="inlineStr">
        <is>
          <t>Dagues du Dragoeuf; Amulette du Strigide; Bracelet du Piloztère; Anneau de Padgref; Bouclier du Captain Amakna; Ceinture du Strigide; Corne de Torkélonia; Carapace de Torkélonia; Bottes du Strigide; Dofus Abyssal; Dofus Ivoire; Dofus Vulbis; Dofus Ébène; Dofus Turquoise; Dofus Ocre; Kokulte</t>
        </is>
      </c>
    </row>
    <row r="29575">
      <c r="A29575" t="inlineStr">
        <is>
          <t>Sadida F 200</t>
        </is>
      </c>
      <c r="B29575">
        <f>HYPERLINK("https://www.dofusbook.net/fr/equipement/5321066-sadida-f-200/objets", "link")</f>
        <v/>
      </c>
      <c r="C29575" t="n">
        <v>0</v>
      </c>
      <c r="D29575" t="inlineStr">
        <is>
          <t>Arc corrompu; Amulette Volkorne; Anneauræus; Anneauræus; Bouclier cubiste; Ceinture Volkorne; Masquegel; Cape de Diondin; Bottes Innommables; Dofus Ébène; Dofus Ocre; Dofus Ivoire; Dofus Abyssal; Nomade; Érudit majeur; Dragodinde Amande et Orchidée</t>
        </is>
      </c>
    </row>
    <row r="29576">
      <c r="A29576" t="inlineStr">
        <is>
          <t>Enutrof F 200</t>
        </is>
      </c>
      <c r="B29576">
        <f>HYPERLINK("https://www.dofusbook.net/fr/equipement/5257152-enutrof-f-200/objets", "link")</f>
        <v/>
      </c>
      <c r="C29576" t="n">
        <v>0</v>
      </c>
      <c r="D29576" t="inlineStr"/>
    </row>
    <row r="29577">
      <c r="A29577" t="inlineStr">
        <is>
          <t>Féca M 200</t>
        </is>
      </c>
      <c r="B29577">
        <f>HYPERLINK("https://www.dofusbook.net/fr/equipement/5257084-feca-m-200/objets", "link")</f>
        <v/>
      </c>
      <c r="C29577" t="n">
        <v>0</v>
      </c>
      <c r="D29577" t="inlineStr">
        <is>
          <t>Pyraguette; Amulette Volkorne; Bracelet des Fonds marins; Anneau Volkorne; Bouclier du Stalak; Ceinture Volkorne; Casquette de Meno; Cape de Meno; Bottes de Meno; Dofus Vulbis; Dofus Ébène; Dofus Abyssal; Dofus Ocre; Dofus des Glaces; Dofus Ivoire; Dragodinde Prune et Ivoire</t>
        </is>
      </c>
    </row>
    <row r="29578">
      <c r="A29578" t="inlineStr">
        <is>
          <t>Féca multi 200</t>
        </is>
      </c>
      <c r="B29578">
        <f>HYPERLINK("https://www.dofusbook.net/fr/equipement/5221629-feca-multi-200/objets", "link")</f>
        <v/>
      </c>
      <c r="C29578" t="n">
        <v>0</v>
      </c>
      <c r="D29578" t="inlineStr">
        <is>
          <t>Arc Nécrotique; Amulette Volkorne; Anneau Tique; Anneau Volkorne; Quatre-feuilles; Ceinture Volkorne; Heaume Oplate; Cape de la Dame du Hasard; Bottes de la Dame du Hasard; Dofus Turquoise; Dofus Abyssal; Dofus Pourpre; Dofus Ocre; Dofus des Glaces; Dofus Ivoire; Kokulte</t>
        </is>
      </c>
    </row>
    <row r="29579">
      <c r="A29579" t="inlineStr">
        <is>
          <t>Féca Feu 200 povre</t>
        </is>
      </c>
      <c r="B29579">
        <f>HYPERLINK("https://www.dofusbook.net/fr/equipement/5147947-feca-feu-200-povre/objets", "link")</f>
        <v/>
      </c>
      <c r="C29579" t="n">
        <v>2</v>
      </c>
      <c r="D29579" t="inlineStr">
        <is>
          <t>Arc corrompu; Amulette Volkorne; Anneauræus; Anneauræus; Bouclier du Stalak; Ceinture Volkorne; Heaume Oplate; Cape de Diondin; Bottes Innommables; Dofus Abyssal; Dofus Ébène; Dofus Pourpre; Nomade; Vigoureux majeur; Érudit majeur; Dragodinde Amande et Orchidée</t>
        </is>
      </c>
    </row>
    <row r="29580">
      <c r="A29580" t="inlineStr">
        <is>
          <t>Féca Feu 200 opti</t>
        </is>
      </c>
      <c r="B29580">
        <f>HYPERLINK("https://www.dofusbook.net/fr/equipement/5117209-feca-feu-200-opti/objets", "link")</f>
        <v/>
      </c>
      <c r="C29580" t="n">
        <v>0</v>
      </c>
      <c r="D29580" t="inlineStr">
        <is>
          <t>Arc corrompu; Amulette Volkorne; Anneauræus; Anneauræus; Bouclier du Stalak; Ceinture Volkorne; Heaume Oplate; Cape de Diondin; Bottes Innommables; Dofus Ivoire; Dofus Abyssal; Dofus Ébène; Érudit majeur; Nomade; Miraculé majeur; Dragodinde Amande et Orchidée</t>
        </is>
      </c>
    </row>
    <row r="29581">
      <c r="A29581" t="inlineStr">
        <is>
          <t>Féca F 200</t>
        </is>
      </c>
      <c r="B29581">
        <f>HYPERLINK("https://www.dofusbook.net/fr/equipement/5116802-feca-f-200/objets", "link")</f>
        <v/>
      </c>
      <c r="C29581" t="n">
        <v>0</v>
      </c>
      <c r="D29581" t="inlineStr">
        <is>
          <t>Baguette Héroclite; Amulette de Shokkoth; Anneau Volkorne; Alliance Gloursonne; Bouclier du Stalak; Ceinture Volkorne; Kidibonnet; Cape de l'Œil Attentif; Bottes de la Dame du Hasard; Dofus Ocre; Dofus Turquoise; Dofus Ivoire; Dofus Ébène; Chanceux majeur; Nomade; Dragodinde Amande et Indigo</t>
        </is>
      </c>
    </row>
    <row r="29582">
      <c r="A29582" t="inlineStr">
        <is>
          <t>Pandawa F 200</t>
        </is>
      </c>
      <c r="B29582">
        <f>HYPERLINK("https://www.dofusbook.net/fr/equipement/5079796-pandawa-f-200/objets", "link")</f>
        <v/>
      </c>
      <c r="C29582" t="n">
        <v>0</v>
      </c>
      <c r="D29582" t="inlineStr">
        <is>
          <t>Rapière aux Glyphes; Collier Rophante; Anneau Glacial; Anneau Volkorne; Bouclier précieux; Ceinture de Kongoku; Coiffe de Danathor; Cape d'Anerice; Pataugastrique; Dofus Émeraude; Obstructeur majeur; Remueur; Miraculé majeur; Fonceur majeur; Carapace Eau majeur; Platypus</t>
        </is>
      </c>
    </row>
    <row r="29583">
      <c r="A29583" t="inlineStr">
        <is>
          <t>Féca air 200 songes</t>
        </is>
      </c>
      <c r="B29583">
        <f>HYPERLINK("https://www.dofusbook.net/fr/equipement/5059381-feca-air-200-songes/objets", "link")</f>
        <v/>
      </c>
      <c r="C29583" t="n">
        <v>0</v>
      </c>
      <c r="D29583" t="inlineStr">
        <is>
          <t>Épée du Granduk; Amulette du Strigide; Anneau de Padgref; Anneau d'Allister; Bouclier du Captain Amakna; Menoture; Casque Volkorne; Cape de Klime; Bottes du Strigide; Dofus Pourpre; Dofus Turquoise; Nomade; Vigoureux majeur; Remueur; Cascadeur majeur; Blérodoudou</t>
        </is>
      </c>
    </row>
    <row r="29584">
      <c r="A29584" t="inlineStr">
        <is>
          <t>Sadida eau 200</t>
        </is>
      </c>
      <c r="B29584">
        <f>HYPERLINK("https://www.dofusbook.net/fr/equipement/5059793-sadida-eau-200/objets", "link")</f>
        <v/>
      </c>
      <c r="C29584" t="n">
        <v>0</v>
      </c>
      <c r="D29584" t="inlineStr">
        <is>
          <t>Baguette Héroclite; Amulette de Shokkoth; Anneau Volkorne; Alliance Gloursonne; Bouclier du Stalak; Ceinture Volkorne; Kidibonnet; Cape de l'Œil Attentif; Sandales des Fonds marins; Dofus Abyssal; Dofus Ocre; Dofus Ébène; Dofus Ivoire; Nomade; Chanceux majeur; Dragodinde Amande et Indigo</t>
        </is>
      </c>
    </row>
    <row r="29585">
      <c r="A29585" t="inlineStr">
        <is>
          <t>Enu terre 200</t>
        </is>
      </c>
      <c r="B29585">
        <f>HYPERLINK("https://www.dofusbook.net/fr/equipement/5059488-enu-terre-200/objets", "link")</f>
        <v/>
      </c>
      <c r="C29585" t="n">
        <v>1</v>
      </c>
      <c r="D29585" t="inlineStr">
        <is>
          <t>Arc du Chalœil; Collier de Tourthon; Anneau de Brouce; Anneau Volkorne; Bouclier du Stalak; Ceinture Volkorne; Masque de Koutoulou; Cape au Logis; Bottes du Cœur Saignant; Dofus Ivoire; Dofus Abyssal; Dofus Ocre; Dofus Pourpre; Dofus Ébène; Enragé majeur; Dragodinde Amande et Pourpre</t>
        </is>
      </c>
    </row>
    <row r="29586">
      <c r="A29586" t="inlineStr">
        <is>
          <t>Huppermage Ilyzaelle</t>
        </is>
      </c>
      <c r="B29586">
        <f>HYPERLINK("https://www.dofusbook.net/fr/equipement/6006284-huppermage-ilyzaelle/objets", "link")</f>
        <v/>
      </c>
      <c r="C29586" t="n">
        <v>2</v>
      </c>
      <c r="D29586" t="inlineStr">
        <is>
          <t>Crocobur; Amulette de Shokkoth; Bracelet des Fonds marins; Alliance Gloursonne; Bouclier d'Ilyzaelle; Ceinture de Dame Jhessica; Casque Dragoeuf; Cape Solution; Sandales des Fonds marins; Dofus Abyssal; Dofus Émeraude; Obstructeur majeur; Remueur; Chanceux majeur; Nomade; Dehluge</t>
        </is>
      </c>
    </row>
    <row r="29587">
      <c r="A29587" t="inlineStr">
        <is>
          <t>Hupper Ilyzaelle Eau</t>
        </is>
      </c>
      <c r="B29587">
        <f>HYPERLINK("https://www.dofusbook.net/fr/equipement/5993377-hupper-ilyzaelle-eau/objets", "link")</f>
        <v/>
      </c>
      <c r="C29587" t="n">
        <v>3</v>
      </c>
      <c r="D29587" t="inlineStr">
        <is>
          <t>Crocobur; Talisman Glouti; Alliance Gloursonne; Anneau Volkorne; Bouclier d'Ilyzaelle; Ceinture de Dame Jhessica; Casque Dragoeuf; Cape de Mantaze; Pataugastrique; Dofus Ébène; Dofus Ocre; Dofus Vulbis; Dofus Ivoire; Dofus Abyssal; Dofus Émeraude; Kanigloups</t>
        </is>
      </c>
    </row>
    <row r="29588">
      <c r="A29588" t="inlineStr">
        <is>
          <t>Hupper Ilizaelle Air</t>
        </is>
      </c>
      <c r="B29588">
        <f>HYPERLINK("https://www.dofusbook.net/fr/equipement/5969690-hupper-ilizaelle-air/objets", "link")</f>
        <v/>
      </c>
      <c r="C29588" t="n">
        <v>0</v>
      </c>
      <c r="D29588" t="inlineStr">
        <is>
          <t>Manthache; Collier du Valet Veinard; Gant du Valet Veinard; Anneau d'Allister; Bouclier du Stalak; Sangle Oriole; Couronne d'Allister; Cape du Valet Veinard; Bottes d'Allister; Dofus Ébène; Dofus Vulbis; Dofus Abyssal; Dofus Ivoire; Dofus Ocre; Equilibriste majeur; Blérodoudou</t>
        </is>
      </c>
    </row>
    <row r="29589">
      <c r="A29589" t="inlineStr">
        <is>
          <t>Pandawa Opti</t>
        </is>
      </c>
      <c r="B29589">
        <f>HYPERLINK("https://www.dofusbook.net/fr/equipement/5924420-pandawa-opti/objets", "link")</f>
        <v/>
      </c>
      <c r="C29589" t="n">
        <v>4</v>
      </c>
      <c r="D29589" t="inlineStr">
        <is>
          <t>Rouleau à Pâtisserie d'Aermyne; Collier Rophante; Bague Trithon; Alliance Gloursonne; Bouclier d'Anerice; Ceinture de Dame Jhessica; Casque Dragoeuf; Cape d'Anerice; Pataugastrique; Dofus Ivoire; Dofus Émeraude; Dofus Abyssal; Dofus Ocre; Bloqueur majeur; Obstructeur majeur; Givrefoux</t>
        </is>
      </c>
    </row>
    <row r="29590">
      <c r="A29590" t="inlineStr">
        <is>
          <t>Iop Terre/Feu</t>
        </is>
      </c>
      <c r="B29590">
        <f>HYPERLINK("https://www.dofusbook.net/fr/equipement/5672129-iop-terre-feu/objets", "link")</f>
        <v/>
      </c>
      <c r="C29590" t="n">
        <v>2</v>
      </c>
      <c r="D29590" t="inlineStr">
        <is>
          <t>Dagues du Dragoeuf; Amulette Volkorne; Anneau Volkorne; Chevalière du Roi Joueur; Bivalve; Ceinture Volkorne; Couronne du Roi Joueur; Cape de Jahash Jurgen; Bottes du Roi Joueur; Dofus Nébuleux; Dofus Pourpre; Dofus Vulbis; Dofus Turquoise; Dofus Ébène; Dofus Ocre; Cromeugnon</t>
        </is>
      </c>
    </row>
    <row r="29591">
      <c r="A29591" t="inlineStr">
        <is>
          <t>Iop Feu/Air</t>
        </is>
      </c>
      <c r="B29591">
        <f>HYPERLINK("https://www.dofusbook.net/fr/equipement/5713178-iop-feu-air/objets", "link")</f>
        <v/>
      </c>
      <c r="C29591" t="n">
        <v>0</v>
      </c>
      <c r="D29591" t="inlineStr">
        <is>
          <t>Dagues du Dragoeuf; Amulette du Strigide; Anneau de Padgref; Bracelet du Piloztère; Quatre-feuilles; Ceinture du Strigide; Coiffe de Padgref; Cape de Jahash Jurgen; Getas de Padgref; Dofus Ébène; Dofus Ocre; Dofus Nébuleux; Dofus Pourpre; Dofus Vulbis; Dofus Turquoise; Willy le Relou</t>
        </is>
      </c>
    </row>
    <row r="29592">
      <c r="A29592" t="inlineStr">
        <is>
          <t>Crâ M 200</t>
        </is>
      </c>
      <c r="B29592">
        <f>HYPERLINK("https://www.dofusbook.net/fr/equipement/5971835-cra-m-200/objets", "link")</f>
        <v/>
      </c>
      <c r="C29592" t="n">
        <v>0</v>
      </c>
      <c r="D29592" t="inlineStr"/>
    </row>
    <row r="29593">
      <c r="A29593" t="inlineStr">
        <is>
          <t>Crâ M 200</t>
        </is>
      </c>
      <c r="B29593">
        <f>HYPERLINK("https://www.dofusbook.net/fr/equipement/5775506-cra-m-200/objets", "link")</f>
        <v/>
      </c>
      <c r="C29593" t="n">
        <v>0</v>
      </c>
      <c r="D29593" t="inlineStr">
        <is>
          <t>Arc du Chalœil; Amulette du Cœur Saignant; Anneau Volkorne; Chevalière du Roi Joueur; Quatre-feuilles; Ceinture Volkorne; Couronne du Roi Joueur; Cape du Cœur Saignant; Bottes du Roi Joueur; Dofus Vulbis; Dofus Ébène; Dofus des Glaces; Dofus Turquoise; Dofus Pourpre; Dofus Ocre; Pioute vert</t>
        </is>
      </c>
    </row>
    <row r="29594">
      <c r="A29594" t="inlineStr">
        <is>
          <t>Eliotrope M 200</t>
        </is>
      </c>
      <c r="B29594">
        <f>HYPERLINK("https://www.dofusbook.net/fr/equipement/5751088-eliotrope-m-200/objets", "link")</f>
        <v/>
      </c>
      <c r="C29594" t="n">
        <v>0</v>
      </c>
      <c r="D29594" t="inlineStr">
        <is>
          <t>Epée Loponèze; Amulette Voldelor; Alliance Gloursonne; Anneau de Padgref; Quatre-feuilles; Menoture; Corne de Torkélonia; Carapace de Torkélonia; Bottes Voldelor; Dofus Turquoise; Dofus Ébène; Dofus Vulbis; Dofus Ocre; Dofus Pourpre; Dofus Ivoire; Pioute jaune</t>
        </is>
      </c>
    </row>
    <row r="29595">
      <c r="A29595" t="inlineStr">
        <is>
          <t>Pandawa M 200</t>
        </is>
      </c>
      <c r="B29595">
        <f>HYPERLINK("https://www.dofusbook.net/fr/equipement/5761929-pandawa-m-200/objets", "link")</f>
        <v/>
      </c>
      <c r="C29595" t="n">
        <v>0</v>
      </c>
      <c r="D29595" t="inlineStr">
        <is>
          <t>Epée Loponèze; Amulette de Shokkoth; Anneau Volkorne; Bracelet des Fonds marins; Quatre-feuilles; Ceinture Volkorne; Masque des Fonds marins; Cape Solution; Sandales des Fonds marins; Dofus Pourpre; Dofus Ébène; Dofus Ivoire; Dofus Abyssal; Dofus Turquoise; Dofus Vulbis; Kanigloups</t>
        </is>
      </c>
    </row>
    <row r="29596">
      <c r="A29596" t="inlineStr">
        <is>
          <t>Ouginak M 200</t>
        </is>
      </c>
      <c r="B29596">
        <f>HYPERLINK("https://www.dofusbook.net/fr/equipement/5251805-ouginak-m-200/objets", "link")</f>
        <v/>
      </c>
      <c r="C29596" t="n">
        <v>0</v>
      </c>
      <c r="D29596" t="inlineStr">
        <is>
          <t>Rapière aux Glyphes; Amulette d'Ilyzaelle; Alliance Gloursonne; Anneau Volkorne; Bouclier d'Ilyzaelle; Ceinture de Dame Jhessica; Masque de Kao; Cape Solution; Pataugastrique; Dofus Émeraude; Dofus Ébène; Dofus Abyssal; Dofus Pourpre; Dofus Ivoire; Chanceux majeur; Kanigloups</t>
        </is>
      </c>
    </row>
    <row r="29597">
      <c r="A29597" t="inlineStr">
        <is>
          <t>Féca M 200</t>
        </is>
      </c>
      <c r="B29597">
        <f>HYPERLINK("https://www.dofusbook.net/fr/equipement/6004716-feca-m-200/objets", "link")</f>
        <v/>
      </c>
      <c r="C29597" t="n">
        <v>0</v>
      </c>
      <c r="D29597" t="inlineStr">
        <is>
          <t>Arc de Koutoulou; Amulette du Strigide; Alliance Gloursonne; Bracelet du Piloztère; Quatre-feuilles; Ceintacé; Némès de Tal Kasha; Chevelure de Tal Kasha; Bottes Voldelor; Dofus des Glaces; Dofus Pourpre; Dofus Turquoise; Remueur; Vigoureux majeur; Nomade; Kokulte</t>
        </is>
      </c>
    </row>
    <row r="29598">
      <c r="A29598" t="inlineStr">
        <is>
          <t>Téroide</t>
        </is>
      </c>
      <c r="B29598">
        <f>HYPERLINK("https://www.dofusbook.net/fr/equipement/5449055-teroide/objets", "link")</f>
        <v/>
      </c>
      <c r="C29598" t="n">
        <v>0</v>
      </c>
      <c r="D29598" t="inlineStr">
        <is>
          <t>Hache Téroïde; Amulette du Strigide; Bague Trithon; Bague Gloursonne; Bouclier du Captain Amakna; Ceinture du Strigide; Masque Trithon; Cape du Professeur Xa; Bottes Trithon; Dofus Turquoise; Dofus Abyssal; Dofus Émeraude; Dofus Ocre; Dofus Pourpre; Dofus des Glaces; Kokulte</t>
        </is>
      </c>
    </row>
    <row r="29599">
      <c r="A29599" t="inlineStr">
        <is>
          <t>Téroide nx trophées</t>
        </is>
      </c>
      <c r="B29599">
        <f>HYPERLINK("https://www.dofusbook.net/fr/equipement/5734542-teroide-nx-trophees/objets", "link")</f>
        <v/>
      </c>
      <c r="C29599" t="n">
        <v>0</v>
      </c>
      <c r="D29599" t="inlineStr">
        <is>
          <t>Hache Téroïde; Amulette du Strigide; Baguistik; Bague Gloursonne; Bouclier du Captain Amakna; Ceinture du Strigide; Couronne du Roi Joueur; Voile d'encre; Bottes Honyme; Dofus des Glaces; Dofus Pourpre; Dofus Turquoise; Vigoureux majeur; Nomade; Remueur; Kokulte</t>
        </is>
      </c>
    </row>
    <row r="29600">
      <c r="A29600" t="inlineStr">
        <is>
          <t>Puissance</t>
        </is>
      </c>
      <c r="B29600">
        <f>HYPERLINK("https://www.dofusbook.net/fr/equipement/5670784-puissance/objets", "link")</f>
        <v/>
      </c>
      <c r="C29600" t="n">
        <v>0</v>
      </c>
      <c r="D29600" t="inlineStr">
        <is>
          <t>Bâton Beau; Amulette du Strigide; Bracelet du Piloztère; Anneau de Padgref; Quatre-feuilles; Ceinture du Strigide; Le Dorado; Cape de la Dame du Hasard; Bottes du Chalœil; Dofus Pourpre; Dolmanax; Dofus Turquoise; Remueur; Vigoureux majeur; Nomade; Kokulte</t>
        </is>
      </c>
    </row>
    <row r="29601">
      <c r="A29601" t="inlineStr">
        <is>
          <t>Iop M 200</t>
        </is>
      </c>
      <c r="B29601">
        <f>HYPERLINK("https://www.dofusbook.net/fr/equipement/5542052-iop-m-200/objets", "link")</f>
        <v/>
      </c>
      <c r="C29601" t="n">
        <v>1</v>
      </c>
      <c r="D29601" t="inlineStr">
        <is>
          <t>Marteau Reine; Amulette du Strigide; Bague Gloursonne; Bracelet du Piloztère; Bouclier du Captain Amakna; Ceinture du Strigide; Corne de Torkélonia; Carapace de Torkélonia; Bottes du Strigide; Dofus Turquoise; Dofus Vulbis; Dofus Ocre; Dofus des Glaces; Dofus Pourpre; Dofus Abyssal; Kokulte</t>
        </is>
      </c>
    </row>
    <row r="29602">
      <c r="A29602" t="inlineStr">
        <is>
          <t>Eau/air tal kasha</t>
        </is>
      </c>
      <c r="B29602">
        <f>HYPERLINK("https://www.dofusbook.net/fr/equipement/1740522-eau-air-tal-kasha/objets", "link")</f>
        <v/>
      </c>
      <c r="C29602" t="n">
        <v>0</v>
      </c>
      <c r="D29602" t="inlineStr">
        <is>
          <t>Arc de Koutoulou; Amulette Volkorne; Alliance Gloursonne; Anneau Volkorne; Quatre-feuilles; Ceinture Volkorne; Némès de Tal Kasha; Chevelure de Tal Kasha; Sandales de Tal Kasha; Dolmanax; Dofus Ocre; Dofus Pourpre; Dofus des Glaces; Dofus Turquoise; Dofus Abyssal; Kokulte</t>
        </is>
      </c>
    </row>
    <row r="29603">
      <c r="A29603" t="inlineStr">
        <is>
          <t>Full intell</t>
        </is>
      </c>
      <c r="B29603">
        <f>HYPERLINK("https://www.dofusbook.net/fr/equipement/5132980-full-intell/objets", "link")</f>
        <v/>
      </c>
      <c r="C29603" t="n">
        <v>0</v>
      </c>
      <c r="D29603" t="inlineStr">
        <is>
          <t>Arc corrompu; Pendentif affamé; Anneauræus; Anneauræus; Bouclier du Stalak; Ceinture Séculaire; Coiffe Séculaire; Cape de Diondin; Bottes Innommables; Dofus Turquoise; Dofus Pourpre; Remueur; Érudit majeur; Nomade; Guérisseur majeur; Bisouglours</t>
        </is>
      </c>
    </row>
    <row r="29604">
      <c r="A29604" t="inlineStr">
        <is>
          <t>Pandawa F 200</t>
        </is>
      </c>
      <c r="B29604">
        <f>HYPERLINK("https://www.dofusbook.net/fr/equipement/5631040-pandawa-f-200/objets", "link")</f>
        <v/>
      </c>
      <c r="C29604" t="n">
        <v>0</v>
      </c>
      <c r="D29604" t="inlineStr">
        <is>
          <t>Hache du Chalœil; Amulette Volkorne; Bague Trithon; Anneau Volkorne; Quatre-feuilles; Ceinture Volkorne; Masque Trithon; Voile d'encre; Bottes Trithon; Dofus Abyssal; Dofus Turquoise; Dofus des Glaces; Dofus Pourpre; Dolmanax; Dofus Ocre; Fëanor</t>
        </is>
      </c>
    </row>
    <row r="29605">
      <c r="A29605" t="inlineStr">
        <is>
          <t>Bonnet Ko</t>
        </is>
      </c>
      <c r="B29605">
        <f>HYPERLINK("https://www.dofusbook.net/fr/equipement/5398577-bonnet-ko/objets", "link")</f>
        <v/>
      </c>
      <c r="C29605" t="n">
        <v>0</v>
      </c>
      <c r="D29605" t="inlineStr">
        <is>
          <t>Hache du Chalœil; Amulette du Strigide; Alliance Gloursonne; Bracelet du Piloztère; Quatre-feuilles; Ceinture du Strigide; Bonnet Ko; Voile d'encre; Bottes du Chalœil; Dofus Pourpre; Dofus Turquoise; Dofus Ocre; Vigoureux majeur; Nomade; Remueur; Muldo Prune et Emeraude</t>
        </is>
      </c>
    </row>
    <row r="29606">
      <c r="A29606" t="inlineStr">
        <is>
          <t>téroide volkorne</t>
        </is>
      </c>
      <c r="B29606">
        <f>HYPERLINK("https://www.dofusbook.net/fr/equipement/5584085-teroide-volkorne/objets", "link")</f>
        <v/>
      </c>
      <c r="C29606" t="n">
        <v>0</v>
      </c>
      <c r="D29606" t="inlineStr">
        <is>
          <t>Hache Téroïde; Amulette Volkorne; Anneau Volkorne; Bague Trithon; Bouclier du Captain Amakna; Ceinture Volkorne; Masque Trithon; Voile d'encre; Bottes Trithon; Dofus Turquoise; Dofus Abyssal; Dofus Émeraude; Dofus Ocre; Dofus Pourpre; Dofus des Glaces; Kokulte</t>
        </is>
      </c>
    </row>
    <row r="29607">
      <c r="A29607" t="inlineStr">
        <is>
          <t>Do cri</t>
        </is>
      </c>
      <c r="B29607">
        <f>HYPERLINK("https://www.dofusbook.net/fr/equipement/5264890-do-cri/objets", "link")</f>
        <v/>
      </c>
      <c r="C29607" t="n">
        <v>1</v>
      </c>
      <c r="D29607" t="inlineStr">
        <is>
          <t>Sabres d'Atcham; Amulette du Strigide; Bague Trithon; Bracelet du Piloztère; Quatre-feuilles; Ceinture du Strigide; Masque Trithon; Cape d'Atcham; Bottes Trithon; Dofus Pourpre; Dofus des Glaces; Dofus Turquoise; Dolmanax; Dofus Ocre; Examinateur; Muldo Prune et Emeraude</t>
        </is>
      </c>
    </row>
    <row r="29608">
      <c r="A29608" t="inlineStr">
        <is>
          <t>Full eau/kick pm</t>
        </is>
      </c>
      <c r="B29608">
        <f>HYPERLINK("https://www.dofusbook.net/fr/equipement/4696251-full-eau-kick-pm/objets", "link")</f>
        <v/>
      </c>
      <c r="C29608" t="n">
        <v>1</v>
      </c>
      <c r="D29608" t="inlineStr">
        <is>
          <t>Baguette Hique; Collier de la Dame du Hasard; Pikano; Alliance Gloursonne; Bouclier cubiste; Poulpagne; Capuche de l'Œil Putride; Cape de la Dame du Hasard; Bottes de Meno; Dofus Turquoise; Dofus Pourpre; Nomade; Entraveur majeur; Remueur; Temporiseur majeur; Gwo Tofu Ventripotent</t>
        </is>
      </c>
    </row>
    <row r="29609">
      <c r="A29609" t="inlineStr">
        <is>
          <t>Roi joueur volkorne</t>
        </is>
      </c>
      <c r="B29609">
        <f>HYPERLINK("https://www.dofusbook.net/fr/equipement/4557451-roi-joueur-volkorne-/objets", "link")</f>
        <v/>
      </c>
      <c r="C29609" t="n">
        <v>2</v>
      </c>
      <c r="D29609" t="inlineStr">
        <is>
          <t>Arc du Chalœil; Amulette Volkorne; Chevalière du Roi Joueur; Anneau Volkorne; Quatre-feuilles; Ceinture Volkorne; Couronne du Roi Joueur; Voile d'encre; Bottes du Roi Joueur; Dolmanax; Dofus Ocre; Dofus Pourpre; Dofus des Glaces; Dofus Turquoise; Dofus Abyssal; Fëanor</t>
        </is>
      </c>
    </row>
    <row r="29610">
      <c r="A29610" t="inlineStr">
        <is>
          <t>full agi</t>
        </is>
      </c>
      <c r="B29610">
        <f>HYPERLINK("https://www.dofusbook.net/fr/equipement/4658877-full-agi/objets", "link")</f>
        <v/>
      </c>
      <c r="C29610" t="n">
        <v>1</v>
      </c>
      <c r="D29610" t="inlineStr">
        <is>
          <t>Manthache; Collier du Valet Veinard; Gant du Valet Veinard; Alliance Gloursonne; Bouclier du Stalak; Menoture; Couronne d'Allister; Cape Indescriptible; Palmes Trithons; Dofus Pourpre; Dofus Abyssal; Dévastateur Air majeur; Cascadeur majeur; Nomade; Remueur; Blérodoudou</t>
        </is>
      </c>
    </row>
    <row r="29611">
      <c r="A29611" t="inlineStr">
        <is>
          <t>Eca full eau</t>
        </is>
      </c>
      <c r="B29611">
        <f>HYPERLINK("https://www.dofusbook.net/fr/equipement/4608194-eca-full-eau/objets", "link")</f>
        <v/>
      </c>
      <c r="C29611" t="n">
        <v>0</v>
      </c>
      <c r="D29611" t="inlineStr">
        <is>
          <t>Sceptre du Roi Joueur; Amulette de Shokkoth; Anneau Volkorne; Alliance Gloursonne; Bouclier du Stalak; Poulpagne; Capuche de l'Œil Attentif; Cape du Sinistrofu; Bottes du Sinistrofu; Dofus Abyssal; Dofus Pourpre; Dofus Turquoise; Remueur; Chanceux majeur; Nomade; Pioute bleu</t>
        </is>
      </c>
    </row>
    <row r="29612">
      <c r="A29612" t="inlineStr">
        <is>
          <t>Agi/terre/kick pa</t>
        </is>
      </c>
      <c r="B29612">
        <f>HYPERLINK("https://www.dofusbook.net/fr/equipement/2740854-agi-terre-kick-pa/objets", "link")</f>
        <v/>
      </c>
      <c r="C29612" t="n">
        <v>1</v>
      </c>
      <c r="D29612" t="inlineStr">
        <is>
          <t>Héqache; Amulette du Strigide; Anneau Crustique; Alliance Gloursonne; Bouclier alvéolé; Menoture; Chapoulpe; Voile d'encre; Tentassons; Dofus Turquoise; Dofus Pourpre; Remueur; Étourdisseur majeur; Obstructeur majeur; Nomade; Kramkram</t>
        </is>
      </c>
    </row>
    <row r="29613">
      <c r="A29613" t="inlineStr">
        <is>
          <t>eau/Vita</t>
        </is>
      </c>
      <c r="B29613">
        <f>HYPERLINK("https://www.dofusbook.net/fr/equipement/2402977-eau-vita/objets", "link")</f>
        <v/>
      </c>
      <c r="C29613" t="n">
        <v>0</v>
      </c>
      <c r="D29613" t="inlineStr">
        <is>
          <t>Dagoulinantes; Amulette Luminescente; Bague Trithon; Alliance Gloursonne; Bouclier précieux; Poulpagne; Casque Dragoeuf; Voile d'encre; Bottes Trithon; Dofus Abyssal; Dofus Émeraude; Dokoko; Miraculé majeur; Culbuteur majeur; Remueur; Muldo Ebène et Pourpre</t>
        </is>
      </c>
    </row>
    <row r="29614">
      <c r="A29614" t="inlineStr">
        <is>
          <t>terre</t>
        </is>
      </c>
      <c r="B29614">
        <f>HYPERLINK("https://www.dofusbook.net/fr/equipement/2050513-terre/objets", "link")</f>
        <v/>
      </c>
      <c r="C29614" t="n">
        <v>1</v>
      </c>
      <c r="D29614" t="inlineStr">
        <is>
          <t>Arc du Chalœil; Amulette du Strigide; Anneau Chevelu; Anneau Crustique; Quatre-feuilles; Ceinture du Strigide; Chapeau de Gein; Voile d'encre; Sabots Minables; Dofus Pourpre; Dofus Abyssal; Dofus Turquoise; Remueur; Enragé majeur; Nomade; Kramkram</t>
        </is>
      </c>
    </row>
    <row r="29615">
      <c r="A29615" t="inlineStr">
        <is>
          <t>do pou</t>
        </is>
      </c>
      <c r="B29615">
        <f>HYPERLINK("https://www.dofusbook.net/fr/equipement/2155388-do-pou/objets", "link")</f>
        <v/>
      </c>
      <c r="C29615" t="n">
        <v>0</v>
      </c>
      <c r="D29615" t="inlineStr">
        <is>
          <t>Héqache; Torquistik; Bague Instable; Bague Trithon; Bouclier précieux; Sangle Ouare; Casque Dragoeuf; Capchalot; Bottistik; Dofus Émeraude; Dofus Abyssal; Bousculeur majeur; Culbuteur majeur; Pousseur majeur; Remueur; Croum</t>
        </is>
      </c>
    </row>
    <row r="29616">
      <c r="A29616" t="inlineStr">
        <is>
          <t>pvm</t>
        </is>
      </c>
      <c r="B29616">
        <f>HYPERLINK("https://www.dofusbook.net/fr/equipement/2234784-pvm/objets", "link")</f>
        <v/>
      </c>
      <c r="C29616" t="n">
        <v>1</v>
      </c>
      <c r="D29616" t="inlineStr">
        <is>
          <t>Héqache; Amulette du Strigide; Bracelet du Piloztère; Bague Gloursonne; Bouclier du Captain Amakna; Ceinture du Strigide; Bonnet Ko; Cape du Cœur Vaillant; Bottes du Katcheur; Dofus Ocre; Dofus Pourpre; Dofus Turquoise; Remueur; Vigoureux majeur; Nomade; Muldo Prune et Emeraude</t>
        </is>
      </c>
    </row>
    <row r="29617">
      <c r="A29617" t="inlineStr">
        <is>
          <t>Bonnet ko</t>
        </is>
      </c>
      <c r="B29617">
        <f>HYPERLINK("https://www.dofusbook.net/fr/equipement/2193309-bonnet-ko/objets", "link")</f>
        <v/>
      </c>
      <c r="C29617" t="n">
        <v>4</v>
      </c>
      <c r="D29617" t="inlineStr">
        <is>
          <t>Epée Toche; Amulette du Strigide; Bague Gloursonne; Bracelet du Piloztère; Bouclier du Captain Amakna; Ceinture du Strigide; Bonnet Ko; Voile d'encre; Bottes du Katcheur; Dofus Pourpre; Dofus Turquoise; Dofus Ocre; Nomade; Remueur; Vigoureux majeur; Muldo Prune et Emeraude</t>
        </is>
      </c>
    </row>
    <row r="29618">
      <c r="A29618" t="inlineStr">
        <is>
          <t>Full trithon</t>
        </is>
      </c>
      <c r="B29618">
        <f>HYPERLINK("https://www.dofusbook.net/fr/equipement/1227846-full-trithon/objets", "link")</f>
        <v/>
      </c>
      <c r="C29618" t="n">
        <v>0</v>
      </c>
      <c r="D29618" t="inlineStr">
        <is>
          <t>Hache du Chalœil; Amulette du Strigide; Bague Trithon; Alliance Gloursonne; Quatre-feuilles; Ceinture du Strigide; Masque Trithon; Voile d'encre; Bottes Trithon; Dofus Turquoise; Dolmanax; Dofus des Glaces; Dofus Ocre; Dofus Pourpre; Dofus Abyssal; Muldo Prune et Emeraude</t>
        </is>
      </c>
    </row>
    <row r="29619">
      <c r="A29619" t="inlineStr">
        <is>
          <t>Do pou</t>
        </is>
      </c>
      <c r="B29619">
        <f>HYPERLINK("https://www.dofusbook.net/fr/equipement/1783404-do-pou/objets", "link")</f>
        <v/>
      </c>
      <c r="C29619" t="n">
        <v>1</v>
      </c>
      <c r="D29619" t="inlineStr">
        <is>
          <t>Arc du Chalœil; Torquistik; Bague Trithon; Bague Instable; Bouclier précieux; Ceintacé; Casque Dragoeuf; Voile d'encre; Bottistik; Dofus Abyssal; Dokoko; Dofus Émeraude; Remueur; Bousculeur majeur; Culbuteur majeur; Muldo Pourpre</t>
        </is>
      </c>
    </row>
    <row r="29620">
      <c r="A29620" t="inlineStr">
        <is>
          <t>bonnet ko</t>
        </is>
      </c>
      <c r="B29620">
        <f>HYPERLINK("https://www.dofusbook.net/fr/equipement/1933771-bonnet-ko/objets", "link")</f>
        <v/>
      </c>
      <c r="C29620" t="n">
        <v>1</v>
      </c>
      <c r="D29620" t="inlineStr">
        <is>
          <t>Hache du Chalœil; Amulette du Strigide; Bracelet du Piloztère; Alliance Gloursonne; Quatre-feuilles; Ceinture du Strigide; Bonnet Ko; Voile d'encre; Bottes du Chalœil; Dofus Ocre; Dofus Turquoise; Dofus Pourpre; Vigoureux majeur; Nomade; Remueur; Muldo Prune et Emeraude</t>
        </is>
      </c>
    </row>
    <row r="29621">
      <c r="A29621" t="inlineStr">
        <is>
          <t>full agi res</t>
        </is>
      </c>
      <c r="B29621">
        <f>HYPERLINK("https://www.dofusbook.net/fr/equipement/1566029-full-agi-res/objets", "link")</f>
        <v/>
      </c>
      <c r="C29621" t="n">
        <v>0</v>
      </c>
      <c r="D29621" t="inlineStr">
        <is>
          <t>Manthache; Collier du Valet Veinard; Gant du Valet Veinard; Alliance Gloursonne; Sept ans de malheur; Menoture; Casque Dragoeuf; Voile d'encre; Palmes Trithons; Dofus Abyssal; Dofus Émeraude; Dofus Pourpre; Remueur; Cascadeur majeur; Carapace Air majeur; Muldo Ebène et Orchidée</t>
        </is>
      </c>
    </row>
    <row r="29622">
      <c r="A29622" t="inlineStr">
        <is>
          <t>Terre</t>
        </is>
      </c>
      <c r="B29622">
        <f>HYPERLINK("https://www.dofusbook.net/fr/equipement/1902901-terre/objets", "link")</f>
        <v/>
      </c>
      <c r="C29622" t="n">
        <v>0</v>
      </c>
      <c r="D29622" t="inlineStr">
        <is>
          <t>Héqache; Collier de Tourthon; Anneau Crustique; Anneau Chevelu; Quatre-feuilles; Ceinture de la Cour Sombre; Masque de Koutoulou; Voile d'encre; Bottes de la Cour Sombre; Dofus Turquoise; Dofus Abyssal; Dofus Pourpre; Enragé majeur; Vigoureux majeur; Remueur; Muldo Indigo et Pourpre</t>
        </is>
      </c>
    </row>
    <row r="29623">
      <c r="A29623" t="inlineStr">
        <is>
          <t>Agi tank</t>
        </is>
      </c>
      <c r="B29623">
        <f>HYPERLINK("https://www.dofusbook.net/fr/equipement/265419-agi-tank/objets", "link")</f>
        <v/>
      </c>
      <c r="C29623" t="n">
        <v>0</v>
      </c>
      <c r="D29623" t="inlineStr">
        <is>
          <t>Manthache; Collier du Valet Veinard; Gant du Valet Veinard; Alliance Gloursonne; Sept ans de malheur; Menoture; Casque Dragoeuf; Voile d'encre; Palmes Trithons; Déserteur majeur; Étourdisseur majeur; Obstructeur majeur; Carapace Air majeur; Cascadeur majeur; Remueur; Muldo Ebène et Orchidée</t>
        </is>
      </c>
    </row>
    <row r="29624">
      <c r="A29624" t="inlineStr">
        <is>
          <t>Kick pm</t>
        </is>
      </c>
      <c r="B29624">
        <f>HYPERLINK("https://www.dofusbook.net/fr/equipement/265414-kick-pm/objets", "link")</f>
        <v/>
      </c>
      <c r="C29624" t="n">
        <v>0</v>
      </c>
      <c r="D29624" t="inlineStr">
        <is>
          <t>Hache du Guerrier Zoth; Amulette du Glourséleste; Anneau Instable; Anneau Tamie; Bouclier cubiste; Ceinture Instable; Casquipik; Cape de Léthaline; Pantoufles Émar; Temporiseur; Temporiseur majeur; Entraveur; Ralentisseur majeur; Remueur; Entraveur majeur; Minikrone</t>
        </is>
      </c>
    </row>
    <row r="29625">
      <c r="A29625" t="inlineStr">
        <is>
          <t>Do pou</t>
        </is>
      </c>
      <c r="B29625">
        <f>HYPERLINK("https://www.dofusbook.net/fr/equipement/1809047-do-pou/objets", "link")</f>
        <v/>
      </c>
      <c r="C29625" t="n">
        <v>0</v>
      </c>
      <c r="D29625" t="inlineStr">
        <is>
          <t>Héqache; Amulette Luminescente; Bague Trithon; Anneau Chevelu; Bouclier Taverne; Ceinture Luminescente; Cape au Logis; Sabots Minables; Dofus Turquoise; Dofus Pourpre; Remueur; Bousculeur majeur; Culbuteur majeur; Pousseur majeur; Kramkram</t>
        </is>
      </c>
    </row>
    <row r="29626">
      <c r="A29626" t="inlineStr">
        <is>
          <t>pvp</t>
        </is>
      </c>
      <c r="B29626">
        <f>HYPERLINK("https://www.dofusbook.net/fr/equipement/1739061-pvp/objets", "link")</f>
        <v/>
      </c>
      <c r="C29626" t="n">
        <v>0</v>
      </c>
      <c r="D29626" t="inlineStr">
        <is>
          <t>Hache du Chalœil; Amulette du Strigide; Alliance Gloursonne; Anneau Chevelu; Quatre-feuilles; Ceintacé; Casque du Chalœil; Voile d'encre; Bottes du Chalœil; Dofus Turquoise; Dofus Pourpre; Nomade; Vigoureux majeur; Remueur; Kramkram</t>
        </is>
      </c>
    </row>
    <row r="29627">
      <c r="A29627" t="inlineStr">
        <is>
          <t>Strigide</t>
        </is>
      </c>
      <c r="B29627">
        <f>HYPERLINK("https://www.dofusbook.net/fr/equipement/1554822-strigide/objets", "link")</f>
        <v/>
      </c>
      <c r="C29627" t="n">
        <v>0</v>
      </c>
      <c r="D29627" t="inlineStr">
        <is>
          <t>Hache du Chalœil; Amulette du Strigide; Anneau Chevelu; Alliance Gloursonne; Quatre-feuilles; Ceintacé; Coiffe du Lévitrof; Voile d'encre; Bottes du Lévitrof; Dofus Turquoise; Dofus Pourpre; Culbuteur majeur; Vigoureux majeur; Nomade; Remueur; Kramkram</t>
        </is>
      </c>
    </row>
    <row r="29628">
      <c r="A29628" t="inlineStr">
        <is>
          <t>rdv</t>
        </is>
      </c>
      <c r="B29628">
        <f>HYPERLINK("https://www.dofusbook.net/fr/equipement/1738383-rdv/objets", "link")</f>
        <v/>
      </c>
      <c r="C29628" t="n">
        <v>0</v>
      </c>
      <c r="D29628" t="inlineStr">
        <is>
          <t>Dagues de Srambad; Amulette Ementaire Deluxe; Anneau Chevelu; Alliance Gloursonne; Bouclier du Stalak; Ceinture de la Reine des Voleurs; Coiffe de la Reine des Voleurs; Voile d'encre; Bottes de la Reine des Voleurs; Dofus Turquoise; Dofus des Glaces; Dofus Ocre; Dofus Pourpre; Dolmanax; Dofus Abyssal; Kramkram</t>
        </is>
      </c>
    </row>
    <row r="29629">
      <c r="A29629" t="inlineStr">
        <is>
          <t>pvp</t>
        </is>
      </c>
      <c r="B29629">
        <f>HYPERLINK("https://www.dofusbook.net/fr/equipement/1737708-pvp/objets", "link")</f>
        <v/>
      </c>
      <c r="C29629" t="n">
        <v>1</v>
      </c>
      <c r="D29629" t="inlineStr">
        <is>
          <t>Héqache; Amulette du Strigide; Chevalière du Roi Joueur; Anneau Chevelu; Bouclier Taverne; Ceintacé; Chapeau de Gein; Voile d'encre; Bottes du Strigide; Dofus Turquoise; Dofus des Glaces; Dofus Pourpre; Nomade; Remueur; Vigoureux majeur; Kramkram</t>
        </is>
      </c>
    </row>
    <row r="29630">
      <c r="A29630" t="inlineStr">
        <is>
          <t>feu 12x</t>
        </is>
      </c>
      <c r="B29630">
        <f>HYPERLINK("https://www.dofusbook.net/fr/equipement/1681650-feu-12x/objets", "link")</f>
        <v/>
      </c>
      <c r="C29630" t="n">
        <v>0</v>
      </c>
      <c r="D29630" t="inlineStr">
        <is>
          <t>Arc Chtelion; Médaille Kido; Alliance d'Elya Wood; Ceintruche; Chapeau Truche; Ortiz; Bottes du Dragoeuf</t>
        </is>
      </c>
    </row>
    <row r="29631">
      <c r="A29631" t="inlineStr">
        <is>
          <t>full air rox</t>
        </is>
      </c>
      <c r="B29631">
        <f>HYPERLINK("https://www.dofusbook.net/fr/equipement/1680131-full-air-rox/objets", "link")</f>
        <v/>
      </c>
      <c r="C29631" t="n">
        <v>0</v>
      </c>
      <c r="D29631" t="inlineStr">
        <is>
          <t>Manthache; Amulette du Granduk; Alliance Gloursonne; Anneau d'Allister; Quatre-feuilles; Menoture; Couronne d'Allister; Cape Indescriptible; Palmes Trithons; Dofus Turquoise; Dofus Pourpre; Fonceur majeur; Remueur; Cascadeur majeur; Nomade; Muldo Prune et Doré</t>
        </is>
      </c>
    </row>
    <row r="29632">
      <c r="A29632" t="inlineStr">
        <is>
          <t>Res tacle</t>
        </is>
      </c>
      <c r="B29632">
        <f>HYPERLINK("https://www.dofusbook.net/fr/equipement/1591860-res-tacle/objets", "link")</f>
        <v/>
      </c>
      <c r="C29632" t="n">
        <v>0</v>
      </c>
      <c r="D29632" t="inlineStr">
        <is>
          <t>Rouleau à Pâtisserie d'Aermyne; Amulette du Glourséleste; Alliance Gloursonne; Bague Gloursonne; Goulclier; Ceinture de XLII; Coiffe d'Aermyne; Cape d'Aermyne; Bottes de XLII; Dofus Émeraude; Dofus Ocre; Dokoko; Bloqueur; Tacleur majeur; Bloqueur majeur; Kramkram</t>
        </is>
      </c>
    </row>
    <row r="29633">
      <c r="A29633" t="inlineStr">
        <is>
          <t>toche roi joueur</t>
        </is>
      </c>
      <c r="B29633">
        <f>HYPERLINK("https://www.dofusbook.net/fr/equipement/1511834-toche-roi-joueur/objets", "link")</f>
        <v/>
      </c>
      <c r="C29633" t="n">
        <v>1</v>
      </c>
      <c r="D29633" t="inlineStr">
        <is>
          <t>Epée Toche; Amulette du Strigide; Chevalière du Roi Joueur; Bague Gloursonne; Bouclier du Captain Amakna; Ceinture du Strigide; Couronne du Roi Joueur; Voile d'encre; Bottes du Roi Joueur; Dofus Turquoise; Dofus des Glaces; Dofus Émeraude; Dofus Ocre; Dofus Pourpre; Dolmanax; Muldo Prune et Doré</t>
        </is>
      </c>
    </row>
    <row r="29634">
      <c r="A29634" t="inlineStr">
        <is>
          <t>stri atcham</t>
        </is>
      </c>
      <c r="B29634">
        <f>HYPERLINK("https://www.dofusbook.net/fr/equipement/265410-stri-atcham/objets", "link")</f>
        <v/>
      </c>
      <c r="C29634" t="n">
        <v>0</v>
      </c>
      <c r="D29634" t="inlineStr">
        <is>
          <t>Sabres d'Atcham; Amulette du Strigide; Alliance Gloursonne; Anneau de Padgref; Ceinture du Strigide; Chapeau des Malveilleurs; Voile d'encre; Pataugastrique; Dofus Pourpre; Dofus Turquoise; Vigoureux majeur; Nomade; Remueur; Kramkram</t>
        </is>
      </c>
    </row>
    <row r="29635">
      <c r="A29635" t="inlineStr">
        <is>
          <t>feu soin</t>
        </is>
      </c>
      <c r="B29635">
        <f>HYPERLINK("https://www.dofusbook.net/fr/equipement/265409-feu-soin/objets", "link")</f>
        <v/>
      </c>
      <c r="C29635" t="n">
        <v>0</v>
      </c>
      <c r="D29635" t="inlineStr">
        <is>
          <t>Harpelle; Amulette Séculaire; Kralano; Anneau de Padgref; Bouclier du Cycloïde; Ceinture Séculaire; Couronne de Nidas; Voile d'encre; Pataugastrique; Dofus Pourpre; Dofus Turquoise; Nomade; Érudit majeur; Remueur; Guérisseur majeur; Kramkram</t>
        </is>
      </c>
    </row>
    <row r="29636">
      <c r="A29636" t="inlineStr">
        <is>
          <t>eau</t>
        </is>
      </c>
      <c r="B29636">
        <f>HYPERLINK("https://www.dofusbook.net/fr/equipement/1238490-eau/objets", "link")</f>
        <v/>
      </c>
      <c r="C29636" t="n">
        <v>0</v>
      </c>
      <c r="D29636" t="inlineStr">
        <is>
          <t>Arc Nécrotique; Talisman Igans; Bracelet des Fonds marins; Alliance Gloursonne; Quatre-feuilles; Ceintrigue; Kidibonnet; Cape de la Dame du Hasard; Bottes de Meno; Dofus Turquoise; Dokoko; Dofus Pourpre; Vigoureux majeur; Remueur; Nomade; Muldo Prune et Indigo</t>
        </is>
      </c>
    </row>
    <row r="29637">
      <c r="A29637" t="inlineStr">
        <is>
          <t>poulplie</t>
        </is>
      </c>
      <c r="B29637">
        <f>HYPERLINK("https://www.dofusbook.net/fr/equipement/1405972-poulplie/objets", "link")</f>
        <v/>
      </c>
      <c r="C29637" t="n">
        <v>0</v>
      </c>
      <c r="D29637" t="inlineStr">
        <is>
          <t>Manthache; Collier du Valet Veinard; Alliance Gloursonne; Gant du Valet Veinard; Sept ans de malheur; Ceintouse; Chapoulpe; Cape du Valet Veinard; Tentassons; Dolmanax; Dofus Ocre; Dofus Pourpre; Dofus des Glaces; Dofus Émeraude; Dofus Abyssal; Muldo Ebène et Amande</t>
        </is>
      </c>
    </row>
    <row r="29638">
      <c r="A29638" t="inlineStr">
        <is>
          <t>Pvp</t>
        </is>
      </c>
      <c r="B29638">
        <f>HYPERLINK("https://www.dofusbook.net/fr/equipement/1340008-pvp/objets", "link")</f>
        <v/>
      </c>
      <c r="C29638" t="n">
        <v>0</v>
      </c>
      <c r="D29638" t="inlineStr">
        <is>
          <t>Epée Gloursonne; Amulette du Kamasterisk; Bague Gloursonne; Alliance Gloursonne; Bouclier du Captain Amakna; Ceinture de la Reine des Voleurs; Coiffe de la Reine des Voleurs; Cape du Kamasterisk; Bottes du Kamasterisk; Dofus Pourpre; Dofus des Glaces; Dofus Turquoise; Dokoko; Dolmanax; Dofus Ocre; Muldo Ebène et Orchidée</t>
        </is>
      </c>
    </row>
    <row r="29639">
      <c r="A29639" t="inlineStr">
        <is>
          <t>res crit</t>
        </is>
      </c>
      <c r="B29639">
        <f>HYPERLINK("https://www.dofusbook.net/fr/equipement/1238139-res-crit/objets", "link")</f>
        <v/>
      </c>
      <c r="C29639" t="n">
        <v>0</v>
      </c>
      <c r="D29639" t="inlineStr">
        <is>
          <t>Dagues de Srambad; Amulette de Pol Ouatnos; Pikano; Alliance Gloursonne; Ceinture de la Reine des Voleurs; Coiffe de la Reine des Voleurs; Voile d'encre; Baleinabottes; Kramkram</t>
        </is>
      </c>
    </row>
    <row r="29640">
      <c r="A29640" t="inlineStr">
        <is>
          <t>Eau</t>
        </is>
      </c>
      <c r="B29640">
        <f>HYPERLINK("https://www.dofusbook.net/fr/equipement/1167581-eau/objets", "link")</f>
        <v/>
      </c>
      <c r="C29640" t="n">
        <v>0</v>
      </c>
      <c r="D29640" t="inlineStr">
        <is>
          <t>Dagoulinantes; Amulette de Shokkoth; Bracelet des Fonds marins; Poulpagne; Masque des Fonds marins; Sandales des Fonds marins</t>
        </is>
      </c>
    </row>
    <row r="29641">
      <c r="A29641" t="inlineStr">
        <is>
          <t>Koutoulou</t>
        </is>
      </c>
      <c r="B29641">
        <f>HYPERLINK("https://www.dofusbook.net/fr/equipement/1046975-koutoulou/objets", "link")</f>
        <v/>
      </c>
      <c r="C29641" t="n">
        <v>0</v>
      </c>
      <c r="D29641" t="inlineStr">
        <is>
          <t>Arc de Koutoulou; Amulette du Strigide; Bague Gloursonne; Alliance Gloursonne; Quatre-feuilles; Ceinture du Strigide; Némès de Tal Kasha; Chevelure de Tal Kasha; Sandales de Tal Kasha; Dokoko; Dofus Turquoise; Dofus Pourpre; Dofus Ocre; Dofus des Glaces; Dofus Émeraude; Muldo Ebène et Indigo</t>
        </is>
      </c>
    </row>
    <row r="29642">
      <c r="A29642" t="inlineStr">
        <is>
          <t>Heqache</t>
        </is>
      </c>
      <c r="B29642">
        <f>HYPERLINK("https://www.dofusbook.net/fr/equipement/1057461-heqache/objets", "link")</f>
        <v/>
      </c>
      <c r="C29642" t="n">
        <v>0</v>
      </c>
      <c r="D29642" t="inlineStr">
        <is>
          <t>Héqache; Amulette du Strigide; Alliance Gloursonne; Anneau Chevelu; Bouclier du Captain Amakna; Ceinture du Strigide; Bonnet Ko; Voile d'encre; Tentassons; Dofus Ocre; Dofus Pourpre; Dofus Turquoise; Nomade; Miraculé majeur; Remueur; Muldo Ebène et Indigo</t>
        </is>
      </c>
    </row>
    <row r="29643">
      <c r="A29643" t="inlineStr">
        <is>
          <t>Marteau rture</t>
        </is>
      </c>
      <c r="B29643">
        <f>HYPERLINK("https://www.dofusbook.net/fr/equipement/1037715-marteau-rture/objets", "link")</f>
        <v/>
      </c>
      <c r="C29643" t="n">
        <v>1</v>
      </c>
      <c r="D29643" t="inlineStr">
        <is>
          <t>Marteau R'ture; Amulette du Strigide; Anneau Chevelu; Bague Gloursonne; Bouclier du Captain Amakna; Ceintacé; Chapeau de Gein; Voile d'encre; Bottes du Strigide; Dofus Turquoise; Dofus Pourpre; Dokoko; Dofus Émeraude; Remueur; Nomade; Kramkram</t>
        </is>
      </c>
    </row>
    <row r="29644">
      <c r="A29644" t="inlineStr">
        <is>
          <t>Heqache pvp</t>
        </is>
      </c>
      <c r="B29644">
        <f>HYPERLINK("https://www.dofusbook.net/fr/equipement/857880-heqache-pvp/objets", "link")</f>
        <v/>
      </c>
      <c r="C29644" t="n">
        <v>0</v>
      </c>
      <c r="D29644" t="inlineStr">
        <is>
          <t>Héqache; Amulette du Strigide; Anneau Chevelu; Bague Gloursonne; Bouclier du Captain Amakna; Ceinture du Strigide; Masque de Koutoulou; Voile d'encre; Bottes de la Cour Sombre; Dofus Pourpre; Dokoko; Dofus Émeraude; Dofus Turquoise; Dofus Ocre; Nomade; Kramkram</t>
        </is>
      </c>
    </row>
    <row r="29645">
      <c r="A29645" t="inlineStr">
        <is>
          <t>Hache chaloeil</t>
        </is>
      </c>
      <c r="B29645">
        <f>HYPERLINK("https://www.dofusbook.net/fr/equipement/265431-hache-chaloeil/objets", "link")</f>
        <v/>
      </c>
      <c r="C29645" t="n">
        <v>0</v>
      </c>
      <c r="D29645" t="inlineStr">
        <is>
          <t>Hache du Chalœil; Amulette du Strigide; Bracelet du Piloztère; Alliance Gloursonne; Bouclier du Captain Amakna; Ceintacé; Chapeau des Malveilleurs; Voile d'encre; Bottes du Strigide; Dofus des Glaces; Dofus Turquoise; Dofus Pourpre; Nomade; Remueur; Vigoureux majeur; Muldo Prune et Doré</t>
        </is>
      </c>
    </row>
    <row r="29646">
      <c r="A29646" t="inlineStr">
        <is>
          <t>Stri tal kasha adou</t>
        </is>
      </c>
      <c r="B29646">
        <f>HYPERLINK("https://www.dofusbook.net/fr/equipement/265430-stri-tal-kasha-adou/objets", "link")</f>
        <v/>
      </c>
      <c r="C29646" t="n">
        <v>0</v>
      </c>
      <c r="D29646" t="inlineStr">
        <is>
          <t>Dague Adou; Amulette du Strigide; Alliance Gloursonne; Anneau de Padgref; Bouclier du Captain Amakna; Ceinture du Strigide; Némès de Tal Kasha; Chevelure de Tal Kasha; Sandales de Tal Kasha; Dofus Ocre; Dofus Pourpre; Dolmanax; Dofus Turquoise; Dofus des Glaces; Dofus Émeraude; Muldo Prune et Doré</t>
        </is>
      </c>
    </row>
    <row r="29647">
      <c r="A29647" t="inlineStr">
        <is>
          <t>Stri glours</t>
        </is>
      </c>
      <c r="B29647">
        <f>HYPERLINK("https://www.dofusbook.net/fr/equipement/859944-stri-glours/objets", "link")</f>
        <v/>
      </c>
      <c r="C29647" t="n">
        <v>0</v>
      </c>
      <c r="D29647" t="inlineStr">
        <is>
          <t>Héqache; Amulette du Strigide; Bracelet du Piloztère; Anneau de la Fuji Givrefoux; Bouclier du Captain Amakna; Ceinture du Strigide; Coiffe de la Fuji Givrefoux; Cape de la Fuji Givrefoux; Bottes du Strigide; Dofus Émeraude; Dolmanax; Dofus Turquoise; Dofus des Glaces; Dofus Pourpre; Dofus Ocre; Muldo Prune et Doré</t>
        </is>
      </c>
    </row>
    <row r="29648">
      <c r="A29648" t="inlineStr">
        <is>
          <t>Hache chaloeil</t>
        </is>
      </c>
      <c r="B29648">
        <f>HYPERLINK("https://www.dofusbook.net/fr/equipement/854831-hache-chaloeil/objets", "link")</f>
        <v/>
      </c>
      <c r="C29648" t="n">
        <v>1</v>
      </c>
      <c r="D29648" t="inlineStr">
        <is>
          <t>Hache du Chalœil; Amulette du Strigide; Alliance du Lévitrof; Bague Trithon; Bouclier du Captain Amakna; Ceinture du Strigide; Masque Trithon; Cape de la Dame du Hasard; Bottes Trithon; Dolmanax; Dofus Turquoise; Dofus des Glaces; Dofus Pourpre; Dofus Ocre; Taquin majeur; Muldo Prune et Doré</t>
        </is>
      </c>
    </row>
    <row r="29649">
      <c r="A29649" t="inlineStr">
        <is>
          <t>Heqache</t>
        </is>
      </c>
      <c r="B29649">
        <f>HYPERLINK("https://www.dofusbook.net/fr/equipement/854072-heqache/objets", "link")</f>
        <v/>
      </c>
      <c r="C29649" t="n">
        <v>0</v>
      </c>
      <c r="D29649" t="inlineStr">
        <is>
          <t>Héqache; Amulette du Strigide; Bague Trithon; Anneau de la Fuji Givrefoux; Bouclier du Captain Amakna; Ceinture du Strigide; Masque Trithon; Cape de la Fuji Givrefoux; Bottes Trithon; Dofus Turquoise; Dofus des Glaces; Dofus Pourpre; Dofus Ocre; Dofus Émeraude; Dolmanax; Muldo Prune et Doré</t>
        </is>
      </c>
    </row>
    <row r="29650">
      <c r="A29650" t="inlineStr">
        <is>
          <t>Stuff 3</t>
        </is>
      </c>
      <c r="B29650">
        <f>HYPERLINK("https://www.dofusbook.net/fr/equipement/265417-stuff-3/objets", "link")</f>
        <v/>
      </c>
      <c r="C29650" t="n">
        <v>0</v>
      </c>
      <c r="D29650" t="inlineStr">
        <is>
          <t>Dagues de Srambad; Amulette Luminescente; Anneau Chevelu; Alliance Gloursonne; Ceinture de la Reine des Voleurs; Coiffe de la Reine des Voleurs; Voile d'encre; Baleinabottes; Dolmanax; Dofus Pourpre; Chanceux majeur; Nomade; Vigoureux majeur; Remueur; Kramkram</t>
        </is>
      </c>
    </row>
    <row r="29651">
      <c r="A29651" t="inlineStr">
        <is>
          <t>Stuff 1</t>
        </is>
      </c>
      <c r="B29651">
        <f>HYPERLINK("https://www.dofusbook.net/fr/equipement/265424-stuff-1/objets", "link")</f>
        <v/>
      </c>
      <c r="C29651" t="n">
        <v>0</v>
      </c>
      <c r="D29651" t="inlineStr">
        <is>
          <t>Pelle de la Cour Sombre; Amulette du Kamasterisk; Anneau des égarés; Alliance Gloursonne; Ceinture du Barbétoal; Casque Dragoeuf; Cape du Kamasterisk; Baleinabottes; Dofus Pourpre; Cascadeur majeur; Fonceur majeur; Nomade; Remueur; Vigoureux majeur; Kramkram</t>
        </is>
      </c>
    </row>
    <row r="29652">
      <c r="A29652" t="inlineStr">
        <is>
          <t>Stuff 1</t>
        </is>
      </c>
      <c r="B29652">
        <f>HYPERLINK("https://www.dofusbook.net/fr/equipement/265412-stuff-1/objets", "link")</f>
        <v/>
      </c>
      <c r="C29652" t="n">
        <v>0</v>
      </c>
      <c r="D29652" t="inlineStr">
        <is>
          <t>Arc Hétype; Amulette de Nileza; Anneau Tique; Chevalière du Roi Joueur; Ceinture de Vortex; Couronne de Nidas; Cape de Nileza; Pataugastrique; Remueur; Kramkram</t>
        </is>
      </c>
    </row>
    <row r="29653">
      <c r="A29653" t="inlineStr">
        <is>
          <t>Stuff 2</t>
        </is>
      </c>
      <c r="B29653">
        <f>HYPERLINK("https://www.dofusbook.net/fr/equipement/265416-stuff-2/objets", "link")</f>
        <v/>
      </c>
      <c r="C29653" t="n">
        <v>0</v>
      </c>
      <c r="D29653" t="inlineStr">
        <is>
          <t>Dagues de Srambad; Amulette Luminescente; Anneau Chevelu; Alliance Gloursonne; Ceinture de la Reine des Voleurs; Coiffe de la Reine des Voleurs; Voile d'encre; Baleinabottes; Dofus des Glaces; Dolmanax; Dofus Émeraude; Dofus Pourpre; Remueur; Nomade; Kramkram</t>
        </is>
      </c>
    </row>
    <row r="29654">
      <c r="A29654" t="inlineStr">
        <is>
          <t>Stuff 3</t>
        </is>
      </c>
      <c r="B29654">
        <f>HYPERLINK("https://www.dofusbook.net/fr/equipement/265426-stuff-3/objets", "link")</f>
        <v/>
      </c>
      <c r="C29654" t="n">
        <v>0</v>
      </c>
      <c r="D29654" t="inlineStr">
        <is>
          <t>Manthache; Collier du Valet Veinard; Alliance Gloursonne; Gant du Valet Veinard; Ceinture du Barbétoal; Casque Dragoeuf; Voile d'encre; Baleinabottes; Dofus Pourpre; Vigoureux majeur; Nomade; Cascadeur majeur; Remueur; Robuste majeur; Dragodinde en armure</t>
        </is>
      </c>
    </row>
    <row r="29655">
      <c r="A29655" t="inlineStr">
        <is>
          <t>Enu trauffe</t>
        </is>
      </c>
      <c r="B29655">
        <f>HYPERLINK("https://www.dofusbook.net/fr/equipement/4322964-enu-trauffe/objets", "link")</f>
        <v/>
      </c>
      <c r="C29655" t="n">
        <v>0</v>
      </c>
      <c r="D29655" t="inlineStr">
        <is>
          <t>Arc Hétype; Collier de la Dame du Hasard; Anneau Tamie; Anneau Tamie; Ceintrigue; Couronne de Nidas; Cape de la Dame du Hasard; Pantoufles Émar</t>
        </is>
      </c>
    </row>
    <row r="29656">
      <c r="A29656" t="inlineStr">
        <is>
          <t>Eau/Feu</t>
        </is>
      </c>
      <c r="B29656">
        <f>HYPERLINK("https://www.dofusbook.net/fr/equipement/4281312-eau-feu/objets", "link")</f>
        <v/>
      </c>
      <c r="C29656" t="n">
        <v>1</v>
      </c>
      <c r="D29656" t="inlineStr">
        <is>
          <t>Arc Nécrotique; Collier de la Dame du Hasard; Alliance Gloursonne; Bracelet du Piloztère; Bouclier du Stalak; Ceintacé; Coiffe Cryochrone; Cape de la Dame du Hasard; Getas Bernacle; Dofus Turquoise; Dofus Ocre; Dofus Abyssal; Fonceur majeur; Remueur; Nomade; Dragodinde Prune et Emeraude</t>
        </is>
      </c>
    </row>
    <row r="29657">
      <c r="A29657" t="inlineStr">
        <is>
          <t>Multi Trithon</t>
        </is>
      </c>
      <c r="B29657">
        <f>HYPERLINK("https://www.dofusbook.net/fr/equipement/4105155-multi-trithon/objets", "link")</f>
        <v/>
      </c>
      <c r="C29657" t="n">
        <v>0</v>
      </c>
      <c r="D29657" t="inlineStr">
        <is>
          <t>Bâton Beau; Amulette du Strigide; Bracelet du Piloztère; Bague Trithon; Ceinture du Strigide; Masque Trithon; Voile d'encre; Bottes Trithon; Dofus Ivoire; Dofus Pourpre; Dofus Abyssal; Dofus Ocre; Dolmanax; Dofus Vulbis; Dragodinde Emeraude et Ivoire</t>
        </is>
      </c>
    </row>
    <row r="29658">
      <c r="A29658" t="inlineStr">
        <is>
          <t>Crâ F 200</t>
        </is>
      </c>
      <c r="B29658">
        <f>HYPERLINK("https://www.dofusbook.net/fr/equipement/3564979-cra-f-200/objets", "link")</f>
        <v/>
      </c>
      <c r="C29658" t="n">
        <v>0</v>
      </c>
      <c r="D29658" t="inlineStr">
        <is>
          <t>Epée Gloursonne; Amulette du Strigide; Bague Gloursonne; Alliance Gloursonne; Bouclier du Stalak; Ceinture du Strigide; Masque du Glourséleste; Cape Reski; Bottes du Strigide; Muldo Doré et Emeraude</t>
        </is>
      </c>
    </row>
    <row r="29659">
      <c r="A29659" t="inlineStr">
        <is>
          <t>Ecaflip F 200</t>
        </is>
      </c>
      <c r="B29659">
        <f>HYPERLINK("https://www.dofusbook.net/fr/equipement/3434384-ecaflip-f-200/objets", "link")</f>
        <v/>
      </c>
      <c r="C29659" t="n">
        <v>0</v>
      </c>
      <c r="D29659" t="inlineStr"/>
    </row>
    <row r="29660">
      <c r="A29660" t="inlineStr">
        <is>
          <t>Stuff 2</t>
        </is>
      </c>
      <c r="B29660">
        <f>HYPERLINK("https://www.dofusbook.net/fr/equipement/668300-stuff-2/objets", "link")</f>
        <v/>
      </c>
      <c r="C29660" t="n">
        <v>0</v>
      </c>
      <c r="D29660" t="inlineStr">
        <is>
          <t>Arc Nécrotique; Talisman Igans; Anneau Tique; Alliance Gloursonne; Ceintrigue; Casqnoar; Voile d'encre; Pataugastrique; Dofus des Glaces; Dolmanax; Dokoko; Remueur; Vigoureux majeur; Nomade; Kramkram</t>
        </is>
      </c>
    </row>
    <row r="29661">
      <c r="A29661" t="inlineStr">
        <is>
          <t>Stuff 1</t>
        </is>
      </c>
      <c r="B29661">
        <f>HYPERLINK("https://www.dofusbook.net/fr/equipement/668295-stuff-1/objets", "link")</f>
        <v/>
      </c>
      <c r="C29661" t="n">
        <v>0</v>
      </c>
      <c r="D29661" t="inlineStr">
        <is>
          <t>Dagues Açantes; Amulette du Glourséleste; Pikano; Alliance Gloursonne; Ceinture Glaciale; Binocle Airvoyant; Cape Matelassée; Pikottes; Dragoune Noire</t>
        </is>
      </c>
    </row>
    <row r="29662">
      <c r="A29662" t="inlineStr">
        <is>
          <t>Stuff 1</t>
        </is>
      </c>
      <c r="B29662">
        <f>HYPERLINK("https://www.dofusbook.net/fr/equipement/668290-stuff-1/objets", "link")</f>
        <v/>
      </c>
      <c r="C29662" t="n">
        <v>0</v>
      </c>
      <c r="D29662" t="inlineStr">
        <is>
          <t>Arc du Chalœil; Amulette du Kamasterisk; Anneau Chevelu; Anneau de Brouce; Ceinture de la Reine des Voleurs; Coiffe de la Reine des Voleurs; Voile d'encre; Baleinabottes; Dokoko; Cavaleur majeur; Carapace Terre majeur; Nomade; Enragé majeur; Remueur; Kramkram</t>
        </is>
      </c>
    </row>
    <row r="29663">
      <c r="A29663" t="inlineStr">
        <is>
          <t>Stuff 2</t>
        </is>
      </c>
      <c r="B29663">
        <f>HYPERLINK("https://www.dofusbook.net/fr/equipement/668285-stuff-2/objets", "link")</f>
        <v/>
      </c>
      <c r="C29663" t="n">
        <v>0</v>
      </c>
      <c r="D29663" t="inlineStr">
        <is>
          <t>Pelle de la Cour Sombre; Amulette Voldelor; Anneau des égarés; Alliance Gloursonne; Ftalmo cassé; Ceinture du Barbétoal; Casque des égarés; Cape du Kamasterisk; Baleinabottes; Dofus Pourpre; Dokoko; Nomade; Remueur; Cavaleur majeur; Vigoureux majeur; Kramkram</t>
        </is>
      </c>
    </row>
    <row r="29664">
      <c r="A29664" t="inlineStr">
        <is>
          <t>Stuff 2</t>
        </is>
      </c>
      <c r="B29664">
        <f>HYPERLINK("https://www.dofusbook.net/fr/equipement/668280-stuff-2/objets", "link")</f>
        <v/>
      </c>
      <c r="C29664" t="n">
        <v>0</v>
      </c>
      <c r="D29664" t="inlineStr">
        <is>
          <t>Arc Hétype; Amulette de Nileza; Bague Gloursonne; Anneau de Nidas; Ceinture Séculaire; Couronne de Nidas; Voile d'encre; Sabots de Vortex; Dofus Ocre; Nomade; Astucieux majeur; Remueur; Érudit majeur; Dragodinde Prune et Orchidée</t>
        </is>
      </c>
    </row>
    <row r="29665">
      <c r="A29665" t="inlineStr">
        <is>
          <t>Stuff 2</t>
        </is>
      </c>
      <c r="B29665">
        <f>HYPERLINK("https://www.dofusbook.net/fr/equipement/668275-stuff-2/objets", "link")</f>
        <v/>
      </c>
      <c r="C29665" t="n">
        <v>0</v>
      </c>
      <c r="D29665" t="inlineStr">
        <is>
          <t>Dagues de Srambad; Amulette Ementaire Deluxe; Pikano; Alliance Gloursonne; Ceintacé; Coiffe de la Reine des Voleurs; Voile d'encre; Bottes de la Reine des Voleurs; Dokoko; Dofus Pourpre; Dolmanax; Miraculé majeur; Nomade; Remueur; Kramkram</t>
        </is>
      </c>
    </row>
    <row r="29666">
      <c r="A29666" t="inlineStr">
        <is>
          <t>Stuff 3</t>
        </is>
      </c>
      <c r="B29666">
        <f>HYPERLINK("https://www.dofusbook.net/fr/equipement/668270-stuff-3/objets", "link")</f>
        <v/>
      </c>
      <c r="C29666" t="n">
        <v>0</v>
      </c>
      <c r="D29666" t="inlineStr">
        <is>
          <t>Arc Hétype; Amulette d'Otomaï; Anneau Tique; Bague Gloursonne; Ceinture Séculaire; Couronne de Nidas; Voile d'encre; Tongues de Nidas; Dofus Ocre; Astucieux majeur; Remueur; Érudit majeur; Nomade; Dragodinde Prune et Orchidée</t>
        </is>
      </c>
    </row>
    <row r="29667">
      <c r="A29667" t="inlineStr">
        <is>
          <t>Stuff 1</t>
        </is>
      </c>
      <c r="B29667">
        <f>HYPERLINK("https://www.dofusbook.net/fr/equipement/668302-stuff-1/objets", "link")</f>
        <v/>
      </c>
      <c r="C29667" t="n">
        <v>0</v>
      </c>
      <c r="D29667" t="inlineStr">
        <is>
          <t>Arc Hétype; Amulette de Nileza; Anneau Tique; Bague Gloursonne; Ceintrigue; Coiffe Séculaire; Cape de Nileza; Pataugastrique; Dofus des Glaces; Remueur; Saccageur Feu majeur; Érudit majeur; Nomade; Dévastateur Feu majeur; Brûlih</t>
        </is>
      </c>
    </row>
    <row r="29668">
      <c r="A29668" t="inlineStr">
        <is>
          <t>Stuff 2</t>
        </is>
      </c>
      <c r="B29668">
        <f>HYPERLINK("https://www.dofusbook.net/fr/equipement/668297-stuff-2/objets", "link")</f>
        <v/>
      </c>
      <c r="C29668" t="n">
        <v>0</v>
      </c>
      <c r="D29668" t="inlineStr">
        <is>
          <t>Pelle de la Cour Sombre; Amulette Voldelor; Anneau des égarés; Alliance Gloursonne; Ceinture du Barbétoal; Casque des égarés; Cape du Kamasterisk; Baleinabottes; Dokoko; Cascadeur majeur; Remueur; Obstructeur majeur; Cavaleur majeur; Nomade; Kramkram</t>
        </is>
      </c>
    </row>
    <row r="29669">
      <c r="A29669" t="inlineStr">
        <is>
          <t>Stuff 3</t>
        </is>
      </c>
      <c r="B29669">
        <f>HYPERLINK("https://www.dofusbook.net/fr/equipement/668292-stuff-3/objets", "link")</f>
        <v/>
      </c>
      <c r="C29669" t="n">
        <v>0</v>
      </c>
      <c r="D29669" t="inlineStr">
        <is>
          <t>Grésilosceptre; Amulette de Pol Ouatnos; Anneau des égarés; Anneau Chevelu; Ceintacé; Casque des égarés; Cape du Kamasterisk; Pantoufles du Piloztère; Dofus Pourpre; Dokoko; Dofus Pourpre; Enragé majeur; Cavaleur majeur; Remueur; Kramkram</t>
        </is>
      </c>
    </row>
    <row r="29670">
      <c r="A29670" t="inlineStr">
        <is>
          <t>cape kama ?</t>
        </is>
      </c>
      <c r="B29670">
        <f>HYPERLINK("https://www.dofusbook.net/fr/equipement/668287-cape-kama-?/objets", "link")</f>
        <v/>
      </c>
      <c r="C29670" t="n">
        <v>0</v>
      </c>
      <c r="D29670" t="inlineStr">
        <is>
          <t>Pelle de la Cour Sombre; Amibou; Alliance Gloursonne; Anneau d'Allister; Ceinture du Barbétoal; Chapibou; Voile d'encre; Baleinabottes; Vigoureux majeur; Remueur; Cascadeur majeur; Nomade; Kramkram</t>
        </is>
      </c>
    </row>
    <row r="29671">
      <c r="A29671" t="inlineStr">
        <is>
          <t>Stuff 1</t>
        </is>
      </c>
      <c r="B29671">
        <f>HYPERLINK("https://www.dofusbook.net/fr/equipement/668282-stuff-1/objets", "link")</f>
        <v/>
      </c>
      <c r="C29671" t="n">
        <v>0</v>
      </c>
      <c r="D29671" t="inlineStr">
        <is>
          <t>Plumeau Bil; Amulette de Nileza; Anneau Tique; Bague Gloursonne; Ceinture de Vortex; Cagoule de Vortex; Voile d'encre; Pataugastrique; Miraculé majeur; Érudit majeur; Étourdisseur majeur; Nomade; Déserteur majeur; Remueur; Kramkram</t>
        </is>
      </c>
    </row>
    <row r="29672">
      <c r="A29672" t="inlineStr">
        <is>
          <t>Stuff 1</t>
        </is>
      </c>
      <c r="B29672">
        <f>HYPERLINK("https://www.dofusbook.net/fr/equipement/668277-stuff-1/objets", "link")</f>
        <v/>
      </c>
      <c r="C29672" t="n">
        <v>0</v>
      </c>
      <c r="D29672" t="inlineStr">
        <is>
          <t>Dagues Érhy; Amulette du Strigide; Bague Gloursonne; Alliance de Missiz Frizz; Ceinture du Strigide; Casque de Missiz Frizz; Cape du Professeur Xa; Bottes du Strigide; Dofus Turquoise; Dofus Pourpre; Dofus Ocre; Puissant majeur; Furibond majeur; Forcené majeur; Kramkram</t>
        </is>
      </c>
    </row>
    <row r="29673">
      <c r="A29673" t="inlineStr">
        <is>
          <t>Stuff 2</t>
        </is>
      </c>
      <c r="B29673">
        <f>HYPERLINK("https://www.dofusbook.net/fr/equipement/668272-stuff-2/objets", "link")</f>
        <v/>
      </c>
      <c r="C29673" t="n">
        <v>0</v>
      </c>
      <c r="D29673" t="inlineStr">
        <is>
          <t>Sceptre du Roi Joueur; Amulette Cryochrone; Anneau Cryochrone; Alliance Gloursonne; Ceintrigue; Masque des Fonds marins; Cape du Sinistrofu; Pataugastrique; Dofus Pourpre; Nomade; Vigoureux majeur; Remueur; Dragodinde Prune et Emeraude</t>
        </is>
      </c>
    </row>
    <row r="29674">
      <c r="A29674" t="inlineStr">
        <is>
          <t>Stuff 2</t>
        </is>
      </c>
      <c r="B29674">
        <f>HYPERLINK("https://www.dofusbook.net/fr/equipement/668269-stuff-2/objets", "link")</f>
        <v/>
      </c>
      <c r="C29674" t="n">
        <v>0</v>
      </c>
      <c r="D29674" t="inlineStr">
        <is>
          <t>Arc Hétype; Amulette de Nileza; Bague Gloursonne; Anneau de Nidas; Ceinture Séculaire; Couronne de Nidas; Voile d'encre; Sabots de Vortex; Dofus Ocre; Astucieux majeur; Remueur; Érudit majeur; Nomade; Dragodinde Prune et Orchidée</t>
        </is>
      </c>
    </row>
    <row r="29675">
      <c r="A29675" t="inlineStr">
        <is>
          <t>Stuff 3</t>
        </is>
      </c>
      <c r="B29675">
        <f>HYPERLINK("https://www.dofusbook.net/fr/equipement/668301-stuff-3/objets", "link")</f>
        <v/>
      </c>
      <c r="C29675" t="n">
        <v>0</v>
      </c>
      <c r="D29675" t="inlineStr">
        <is>
          <t>Hache Téroïde; Amulette de Gein; Bague Gloursonne; Anneau Chevelu; Bouclier du Sadida cassé; Ceinture de Gein; Casque Dragoeuf; Voile d'encre; Pataugastrique; Dokoko; Dofus des Glaces; Dofus Pourpre; Remueur; Vigoureux majeur; Nomade; Kramkram</t>
        </is>
      </c>
    </row>
    <row r="29676">
      <c r="A29676" t="inlineStr">
        <is>
          <t>Stuff 1</t>
        </is>
      </c>
      <c r="B29676">
        <f>HYPERLINK("https://www.dofusbook.net/fr/equipement/668296-stuff-1/objets", "link")</f>
        <v/>
      </c>
      <c r="C29676" t="n">
        <v>0</v>
      </c>
      <c r="D29676" t="inlineStr">
        <is>
          <t>Epée Gloursonne; Amulette de Gein; Bague Gloursonne; Alliance Gloursonne; Ceinture de Gein; Chapeau de Gein; Voile d'encre; Tong Aclou; Dofus Vulbis; Dofus des Glaces; Dokoko; Dofus Pourpre; Dofus Émeraude; Dofus Ocre; Kramkram</t>
        </is>
      </c>
    </row>
    <row r="29677">
      <c r="A29677" t="inlineStr">
        <is>
          <t>Stuff 2</t>
        </is>
      </c>
      <c r="B29677">
        <f>HYPERLINK("https://www.dofusbook.net/fr/equipement/668291-stuff-2/objets", "link")</f>
        <v/>
      </c>
      <c r="C29677" t="n">
        <v>0</v>
      </c>
      <c r="D29677" t="inlineStr">
        <is>
          <t>Grésilosceptre; Amulette de Pol Ouatnos; Anneau Chevelu; Anneau des égarés; Ceintacé; Casque des égarés; Cape du Kamasterisk; Pantoufles du Piloztère; Dofus Pourpre; Dokoko; Dolmanax; Enragé majeur; Cavaleur majeur; Remueur; Kramkram</t>
        </is>
      </c>
    </row>
    <row r="29678">
      <c r="A29678" t="inlineStr">
        <is>
          <t>Stuff 3</t>
        </is>
      </c>
      <c r="B29678">
        <f>HYPERLINK("https://www.dofusbook.net/fr/equipement/668286-stuff-3/objets", "link")</f>
        <v/>
      </c>
      <c r="C29678" t="n">
        <v>0</v>
      </c>
      <c r="D29678" t="inlineStr">
        <is>
          <t>Pelle de la Cour Sombre; Amulette du Kamasterisk; Anneau des égarés; Alliance Gloursonne; Ceinture du Barbétoal; Kidibonnet; Cape du Kamasterisk; Pantoufles du Piloztère; Dokoko; Dofus Pourpre; Vigoureux majeur; Nomade; Remueur; Évasif majeur; Kramkram</t>
        </is>
      </c>
    </row>
    <row r="29679">
      <c r="A29679" t="inlineStr">
        <is>
          <t>Stuff 3</t>
        </is>
      </c>
      <c r="B29679">
        <f>HYPERLINK("https://www.dofusbook.net/fr/equipement/668281-stuff-3/objets", "link")</f>
        <v/>
      </c>
      <c r="C29679" t="n">
        <v>0</v>
      </c>
      <c r="D29679" t="inlineStr">
        <is>
          <t>Rouleau à Pâtisserie d'Aermyne; Amulette du Cycloïde; Anneau Tique; Alliance Gloursonne; Sangle Ouare; Casque Dragoeuf; Cape d'Aermyne; Bottes du Sinistrofu; Dofus Émeraude; Dofus Ocre; Remueur; Miraculé majeur; Carapace Feu majeur; Dragodinde Prune et Amande</t>
        </is>
      </c>
    </row>
    <row r="29680">
      <c r="A29680" t="inlineStr">
        <is>
          <t>Stuff 3</t>
        </is>
      </c>
      <c r="B29680">
        <f>HYPERLINK("https://www.dofusbook.net/fr/equipement/668276-stuff-3/objets", "link")</f>
        <v/>
      </c>
      <c r="C29680" t="n">
        <v>0</v>
      </c>
      <c r="D29680" t="inlineStr">
        <is>
          <t>Marteau des Anciens Steamers; Amulette Voldelor; Anneau d'Allister; Alliance Gloursonne; Ceintacé; Masque du Barbétoal; Cape du Barbétoal; Bottes de la Reine des Voleurs; Kramkram</t>
        </is>
      </c>
    </row>
    <row r="29681">
      <c r="A29681" t="inlineStr">
        <is>
          <t>Stuff 1</t>
        </is>
      </c>
      <c r="B29681">
        <f>HYPERLINK("https://www.dofusbook.net/fr/equipement/668271-stuff-1/objets", "link")</f>
        <v/>
      </c>
      <c r="C29681" t="n">
        <v>0</v>
      </c>
      <c r="D29681" t="inlineStr">
        <is>
          <t>Rapière aux Glyphes; Talisman Igans; Alliance Gloursonne; Alliance du Lévitrof; Ceintacé; Masque des Fonds marins; Voile d'encre; Bottes Owesli; Dofus Pourpre; Dokoko; Remueur; Vigoureux majeur; Nomade; Kramkram</t>
        </is>
      </c>
    </row>
    <row r="29682">
      <c r="A29682" t="inlineStr">
        <is>
          <t>Stuff 3</t>
        </is>
      </c>
      <c r="B29682">
        <f>HYPERLINK("https://www.dofusbook.net/fr/equipement/668298-stuff-3/objets", "link")</f>
        <v/>
      </c>
      <c r="C29682" t="n">
        <v>0</v>
      </c>
      <c r="D29682" t="inlineStr">
        <is>
          <t>Épée d'Otomaï; Amulette d'Otomaï; Anneau de Nidas; Bague Gloursonne; Ceintacé; Casque Dragoeuf; Voile d'encre; Tong Aclou; Dokoko; Dofus des Glaces; Érudit majeur; Vigoureux majeur; Nomade; Remueur; Kramkram</t>
        </is>
      </c>
    </row>
    <row r="29683">
      <c r="A29683" t="inlineStr">
        <is>
          <t>Stuff 1</t>
        </is>
      </c>
      <c r="B29683">
        <f>HYPERLINK("https://www.dofusbook.net/fr/equipement/668293-stuff-1/objets", "link")</f>
        <v/>
      </c>
      <c r="C29683" t="n">
        <v>0</v>
      </c>
      <c r="D29683" t="inlineStr">
        <is>
          <t>Dagues Érhy; Amulette de Gein; Bague Gloursonne; Anneau du Cycloïde; Ceintacé; Chapeau de Gein; Voile d'encre; Bottes du Katcheur; Dofus Pourpre; Nomade; Remueur; Vigoureux majeur; Kramkram</t>
        </is>
      </c>
    </row>
    <row r="29684">
      <c r="A29684" t="inlineStr">
        <is>
          <t>Stuff 2</t>
        </is>
      </c>
      <c r="B29684">
        <f>HYPERLINK("https://www.dofusbook.net/fr/equipement/668288-stuff-2/objets", "link")</f>
        <v/>
      </c>
      <c r="C29684" t="n">
        <v>0</v>
      </c>
      <c r="D29684" t="inlineStr">
        <is>
          <t>Épée du Granduk; Amulette du Granduk; Anneau du Cycloïde; Alliance Gloursonne; Ceinture de Klime; Masque du Granduk; Cape de Klime; Bottes du Cycloïde</t>
        </is>
      </c>
    </row>
    <row r="29685">
      <c r="A29685" t="inlineStr">
        <is>
          <t>Stuff 2</t>
        </is>
      </c>
      <c r="B29685">
        <f>HYPERLINK("https://www.dofusbook.net/fr/equipement/668283-stuff-2/objets", "link")</f>
        <v/>
      </c>
      <c r="C29685" t="n">
        <v>0</v>
      </c>
      <c r="D29685" t="inlineStr">
        <is>
          <t>Sabres d'Atcham; Amulette du Strigide; Alliance Gloursonne; Anneau de Padgref; Ceintrigue; Kidibonnet; Cape des Malveilleurs; Getas de Padgref; Dofus Turquoise; Dofus Pourpre; Nomade; Vigoureux majeur; Remueur; Chanceux majeur; Dragodinde Prune et Emeraude</t>
        </is>
      </c>
    </row>
    <row r="29686">
      <c r="A29686" t="inlineStr">
        <is>
          <t>Stuff 2</t>
        </is>
      </c>
      <c r="B29686">
        <f>HYPERLINK("https://www.dofusbook.net/fr/equipement/668278-stuff-2/objets", "link")</f>
        <v/>
      </c>
      <c r="C29686" t="n">
        <v>0</v>
      </c>
      <c r="D29686" t="inlineStr">
        <is>
          <t>Arc du Chalœil; Ceinture de la Reine des Voleurs; Coiffe de la Reine des Voleurs; Voile d'encre; Baleinabottes</t>
        </is>
      </c>
    </row>
    <row r="29687">
      <c r="A29687" t="inlineStr">
        <is>
          <t>Stuff 3</t>
        </is>
      </c>
      <c r="B29687">
        <f>HYPERLINK("https://www.dofusbook.net/fr/equipement/668273-stuff-3/objets", "link")</f>
        <v/>
      </c>
      <c r="C29687" t="n">
        <v>0</v>
      </c>
      <c r="D29687" t="inlineStr">
        <is>
          <t>Arc Hétype; Amulette de Nileza; Anneau de Nidas; Anneau Tique; Ceinture de Vortex; Couronne de Nidas; Voile d'encre; Pataugastrique; Nomade; Astucieux majeur; Remueur; Érudit majeur; Dragodinde Prune et Orchidée</t>
        </is>
      </c>
    </row>
    <row r="29688">
      <c r="A29688" t="inlineStr">
        <is>
          <t>Stuff 2</t>
        </is>
      </c>
      <c r="B29688">
        <f>HYPERLINK("https://www.dofusbook.net/fr/equipement/668300-stuff-2/objets", "link")</f>
        <v/>
      </c>
      <c r="C29688" t="n">
        <v>0</v>
      </c>
      <c r="D29688" t="inlineStr">
        <is>
          <t>Arc Nécrotique; Talisman Igans; Anneau Tique; Alliance Gloursonne; Ceintrigue; Casqnoar; Voile d'encre; Pataugastrique; Dokoko; Dofus des Glaces; Dolmanax; Nomade; Remueur; Vigoureux majeur; Kramkram</t>
        </is>
      </c>
    </row>
    <row r="29689">
      <c r="A29689" t="inlineStr">
        <is>
          <t>Stuff 1</t>
        </is>
      </c>
      <c r="B29689">
        <f>HYPERLINK("https://www.dofusbook.net/fr/equipement/668295-stuff-1/objets", "link")</f>
        <v/>
      </c>
      <c r="C29689" t="n">
        <v>0</v>
      </c>
      <c r="D29689" t="inlineStr">
        <is>
          <t>Dagues Açantes; Amulette du Glourséleste; Alliance Gloursonne; Pikano; Ceinture Glaciale; Binocle Airvoyant; Cape Matelassée; Pikottes; Dragoune Noire</t>
        </is>
      </c>
    </row>
    <row r="29690">
      <c r="A29690" t="inlineStr">
        <is>
          <t>Stuff 1</t>
        </is>
      </c>
      <c r="B29690">
        <f>HYPERLINK("https://www.dofusbook.net/fr/equipement/668290-stuff-1/objets", "link")</f>
        <v/>
      </c>
      <c r="C29690" t="n">
        <v>0</v>
      </c>
      <c r="D29690" t="inlineStr">
        <is>
          <t>Arc du Chalœil; Amulette du Kamasterisk; Anneau Chevelu; Anneau de Brouce; Ceinture de la Reine des Voleurs; Coiffe de la Reine des Voleurs; Voile d'encre; Baleinabottes; Dokoko; Cavaleur majeur; Carapace Terre majeur; Nomade; Enragé majeur; Remueur; Kramkram</t>
        </is>
      </c>
    </row>
    <row r="29691">
      <c r="A29691" t="inlineStr">
        <is>
          <t>Stuff 2</t>
        </is>
      </c>
      <c r="B29691">
        <f>HYPERLINK("https://www.dofusbook.net/fr/equipement/668285-stuff-2/objets", "link")</f>
        <v/>
      </c>
      <c r="C29691" t="n">
        <v>0</v>
      </c>
      <c r="D29691" t="inlineStr">
        <is>
          <t>Pelle de la Cour Sombre; Amulette Voldelor; Anneau des égarés; Alliance Gloursonne; Ftalmo cassé; Ceinture du Barbétoal; Casque des égarés; Cape du Kamasterisk; Baleinabottes; Dokoko; Dofus Pourpre; Cavaleur majeur; Vigoureux majeur; Nomade; Remueur; Kramkram</t>
        </is>
      </c>
    </row>
    <row r="29692">
      <c r="A29692" t="inlineStr">
        <is>
          <t>Stuff 1</t>
        </is>
      </c>
      <c r="B29692">
        <f>HYPERLINK("https://www.dofusbook.net/fr/equipement/668282-stuff-1/objets", "link")</f>
        <v/>
      </c>
      <c r="C29692" t="n">
        <v>0</v>
      </c>
      <c r="D29692" t="inlineStr">
        <is>
          <t>Plumeau Bil; Amulette de Nileza; Bague Gloursonne; Anneau Tique; Ceinture de Vortex; Cagoule de Vortex; Voile d'encre; Pataugastrique; Étourdisseur majeur; Nomade; Déserteur majeur; Remueur; Miraculé majeur; Érudit majeur; Kramkram</t>
        </is>
      </c>
    </row>
    <row r="29693">
      <c r="A29693" t="inlineStr">
        <is>
          <t>Stuff 1</t>
        </is>
      </c>
      <c r="B29693">
        <f>HYPERLINK("https://www.dofusbook.net/fr/equipement/668277-stuff-1/objets", "link")</f>
        <v/>
      </c>
      <c r="C29693" t="n">
        <v>0</v>
      </c>
      <c r="D29693" t="inlineStr">
        <is>
          <t>Dagues Érhy; Amulette du Strigide; Bague Gloursonne; Alliance de Missiz Frizz; Ceinture du Strigide; Casque de Missiz Frizz; Cape du Professeur Xa; Bottes du Strigide; Dofus Turquoise; Dofus Pourpre; Dofus Ocre; Puissant majeur; Furibond majeur; Forcené majeur; Kramkram</t>
        </is>
      </c>
    </row>
    <row r="29694">
      <c r="A29694" t="inlineStr">
        <is>
          <t>Stuff 1</t>
        </is>
      </c>
      <c r="B29694">
        <f>HYPERLINK("https://www.dofusbook.net/fr/equipement/668268-stuff-1/objets", "link")</f>
        <v/>
      </c>
      <c r="C29694" t="n">
        <v>0</v>
      </c>
      <c r="D29694" t="inlineStr">
        <is>
          <t>Dagues Açantes; Amulette de Danathor; Anneau Aimgéroks; Anneau Glacial; Ceinture de Danathor; Coiffe de Danathor; Cape Glaciale; Bottes du Glourséleste; Dofus Cawotte; Dofus Kaliptus; Entraveur; Voyageur; Entraveur majeur; Ralentisseur majeur; Dragodinde Prune et Emeraude</t>
        </is>
      </c>
    </row>
    <row r="29695">
      <c r="A29695" t="inlineStr">
        <is>
          <t>Féca M 200</t>
        </is>
      </c>
      <c r="B29695">
        <f>HYPERLINK("https://www.dofusbook.net/fr/equipement/3910388-feca-m-200/objets", "link")</f>
        <v/>
      </c>
      <c r="C29695" t="n">
        <v>1</v>
      </c>
      <c r="D29695" t="inlineStr">
        <is>
          <t>Hache Téroïde; Amulette du Strigide; Bague Gloursonne; Bague Trithon; Quatre-feuilles; Ceinture du Strigide; Masque Trithon; Voile d'encre; Bottes Trithon; Dofus Pourpre; Dofus Ocre; Dofus Ivoire; Dofus Turquoise; Dofus des Glaces; Dofus Abyssal; Muldo Pourpre et Emeraude</t>
        </is>
      </c>
    </row>
    <row r="29696">
      <c r="A29696" t="inlineStr">
        <is>
          <t>Féca M 200</t>
        </is>
      </c>
      <c r="B29696">
        <f>HYPERLINK("https://www.dofusbook.net/fr/equipement/3849806-feca-m-200/objets", "link")</f>
        <v/>
      </c>
      <c r="C29696" t="n">
        <v>1</v>
      </c>
      <c r="D29696" t="inlineStr">
        <is>
          <t>Arc corrompu; Pendentif affamé; Anneauræus; Anneauræus; Bouclier du Stalak; Ceinture de Vortex; Masque Ardent; Cape de Diondin; Chaussures Ardentes; Dofus Abyssal; Dofus Pourpre; Dofus Ivoire; Dofus Ocre; Érudit majeur; Nomade; Dragoune Rose</t>
        </is>
      </c>
    </row>
    <row r="29697">
      <c r="A29697" t="inlineStr">
        <is>
          <t>Féca M 200</t>
        </is>
      </c>
      <c r="B29697">
        <f>HYPERLINK("https://www.dofusbook.net/fr/equipement/3831637-feca-m-200/objets", "link")</f>
        <v/>
      </c>
      <c r="C29697" t="n">
        <v>1</v>
      </c>
      <c r="D29697" t="inlineStr">
        <is>
          <t>Hachoirs de Viandargh; Amulette Volkorne; Gant du Valet Veinard; Alliance Gloursonne; Bouclier alvéolé; Menoture; Casque Volkorne; Cape Indescriptible; Palmes Trithons; Dofus Ivoire; Dofus Turquoise; Dofus Ocre; Dofus Abyssal; Cascadeur majeur; Nomade; Kokulte</t>
        </is>
      </c>
    </row>
    <row r="29698">
      <c r="A29698" t="inlineStr">
        <is>
          <t>Féca M 200</t>
        </is>
      </c>
      <c r="B29698">
        <f>HYPERLINK("https://www.dofusbook.net/fr/equipement/3805424-feca-m-200/objets", "link")</f>
        <v/>
      </c>
      <c r="C29698" t="n">
        <v>0</v>
      </c>
      <c r="D29698" t="inlineStr">
        <is>
          <t>Hache Téroïde; Amulette du Strigide; Bague Gloursonne; Chevalière du Roi Joueur; Cadran d'Eau; Ceinture du Strigide; Masque de Koutoulou; Voile d'encre; Sabots Volcaniques; Dofus Turquoise; Dofus Abyssal; Dofus Pourpre; Dofus Ivoire; Dofus Ocre; Carapace Terre majeur; Muldo Pourpre et Emeraude</t>
        </is>
      </c>
    </row>
    <row r="29699">
      <c r="A29699" t="inlineStr">
        <is>
          <t>Féca M 200</t>
        </is>
      </c>
      <c r="B29699">
        <f>HYPERLINK("https://www.dofusbook.net/fr/equipement/3801470-feca-m-200/objets", "link")</f>
        <v/>
      </c>
      <c r="C29699" t="n">
        <v>3</v>
      </c>
      <c r="D29699" t="inlineStr">
        <is>
          <t>Arc corrompu; Amulette Volkorne; Anneauræus; Anneauræus; Bouclier du Stalak; Ceinture Volkorne; Heaume Oplate; Voile d'encre; Chaussures Ardentes; Dofus Ivoire; Dofus Pourpre; Dofus Ocre; Dofus Abyssal; Érudit majeur; Évasif majeur; Muldo Orchidée et Ivoire</t>
        </is>
      </c>
    </row>
    <row r="29700">
      <c r="A29700" t="inlineStr">
        <is>
          <t>Féca M 200</t>
        </is>
      </c>
      <c r="B29700">
        <f>HYPERLINK("https://www.dofusbook.net/fr/equipement/3801409-feca-m-200/objets", "link")</f>
        <v/>
      </c>
      <c r="C29700" t="n">
        <v>3</v>
      </c>
      <c r="D29700" t="inlineStr">
        <is>
          <t>Marteau R'ture; Amulette du Strigide; Anneau Chevelu; Anneau Crustique; Bouclier d'Ilyzaelle; Ceinture Gence; Chapoulpe; Ankhape; Tentassons; Dofus Abyssal; Dofus Ivoire; Dofus Vulbis; Étourdisseur majeur; Cavaleur majeur; Enragé majeur; Volkorne Ivoire</t>
        </is>
      </c>
    </row>
    <row r="29701">
      <c r="A29701" t="inlineStr">
        <is>
          <t>Féca M 200</t>
        </is>
      </c>
      <c r="B29701">
        <f>HYPERLINK("https://www.dofusbook.net/fr/equipement/3778472-feca-m-200/objets", "link")</f>
        <v/>
      </c>
      <c r="C29701" t="n">
        <v>9</v>
      </c>
      <c r="D29701" t="inlineStr">
        <is>
          <t>Marteau R'ture; Amulette Volkorne; Anneau Crustique; Bracelet du Piloztère; Cadran d'Eau; Ceinture Volkorne; Masque de Koutoulou; Cape au Logis; Tentassons; Dofus Pourpre; Dofus Ivoire; Dofus Abyssal; Enragé majeur; Vigoureux majeur; Étourdisseur majeur; Volkorne Ivoire</t>
        </is>
      </c>
    </row>
    <row r="29702">
      <c r="A29702" t="inlineStr">
        <is>
          <t>Féca M 200</t>
        </is>
      </c>
      <c r="B29702">
        <f>HYPERLINK("https://www.dofusbook.net/fr/equipement/3441216-feca-m-200/objets", "link")</f>
        <v/>
      </c>
      <c r="C29702" t="n">
        <v>1</v>
      </c>
      <c r="D29702" t="inlineStr">
        <is>
          <t>Hache du Chalœil; Amulette Volkorne; Anneau Toriété; Anneau Volkorne; Bouclier Taverne; Ceinture Volkorne; Casque du Chalœil; Cape du Chalœil; Bottes du Chalœil; Dofus Pourpre; Dofus Abyssal; Dofus Turquoise; Dofus Ivoire; Dofus Émeraude; Dofus des Glaces; Dragodinde en armure</t>
        </is>
      </c>
    </row>
    <row r="29703">
      <c r="A29703" t="inlineStr">
        <is>
          <t>test pano compatible</t>
        </is>
      </c>
      <c r="B29703">
        <f>HYPERLINK("https://www.dofusbook.net/fr/equipement/2886861-test-pano-compatible/objets", "link")</f>
        <v/>
      </c>
      <c r="C29703" t="n">
        <v>0</v>
      </c>
      <c r="D29703" t="inlineStr">
        <is>
          <t>Hache du Chalœil; Amulette Volkorne; Anneau Crustique; Anneau Volkorne; Bouclier Taverne; Ceinture Volkorne; Chapoulpe; Voile d'encre; Pompes Funèbres; Dofus Vulbis; Dofus Abyssal; Dofus Pourpre; Dofus Ivoire; Dofus des Glaces; Dofus Ocre; El Scarador</t>
        </is>
      </c>
    </row>
    <row r="29704">
      <c r="A29704" t="inlineStr">
        <is>
          <t>terrelaul</t>
        </is>
      </c>
      <c r="B29704">
        <f>HYPERLINK("https://www.dofusbook.net/fr/equipement/2922698-terrelaul/objets", "link")</f>
        <v/>
      </c>
      <c r="C29704" t="n">
        <v>0</v>
      </c>
      <c r="D29704" t="inlineStr">
        <is>
          <t>Arc du Chalœil; Collier de Tourthon; Anneau Chevelu; Bague Gloursonne; Bouclier du Stalak; Cape au Logis; Dofus Pourpre; Dofus Ivoire; Dofus Ocre; Dofus des Glaces; Dofus Émeraude; Dofus Abyssal; Croum</t>
        </is>
      </c>
    </row>
    <row r="29705">
      <c r="A29705" t="inlineStr">
        <is>
          <t>gvfrzegqvzrgebtr</t>
        </is>
      </c>
      <c r="B29705">
        <f>HYPERLINK("https://www.dofusbook.net/fr/equipement/2878714-gvfrzegqvzrgebtr/objets", "link")</f>
        <v/>
      </c>
      <c r="C29705" t="n">
        <v>0</v>
      </c>
      <c r="D29705" t="inlineStr">
        <is>
          <t>Lance corrompue; Amulette du Cœur Vaillant; Alliance Gloursonne; Bague Gloursonne; Bouclier alvéolé; Ceintouse; Chapoulpe; Cape du Cœur Vaillant; Tentassons; Dofus Ocre; Dofus Ivoire; Dofus des Glaces; Dofus Émeraude; Dofus Abyssal; Paralyseur majeur; Muldo Ebène et Pourpre</t>
        </is>
      </c>
    </row>
    <row r="29706">
      <c r="A29706" t="inlineStr">
        <is>
          <t>feu terre</t>
        </is>
      </c>
      <c r="B29706">
        <f>HYPERLINK("https://www.dofusbook.net/fr/equipement/2831635-feu-terre/objets", "link")</f>
        <v/>
      </c>
      <c r="C29706" t="n">
        <v>0</v>
      </c>
      <c r="D29706" t="inlineStr">
        <is>
          <t>Dagues Érhy; Amulette du Strigide; Anneau Crustique; Bague Gloursonne; Ceinture de l'Esprit Malsain; Masque d'Anerice; Cape d'Anerice; Bottes du Cœur Saignant</t>
        </is>
      </c>
    </row>
    <row r="29707">
      <c r="A29707" t="inlineStr">
        <is>
          <t>eau/air ret pa</t>
        </is>
      </c>
      <c r="B29707">
        <f>HYPERLINK("https://www.dofusbook.net/fr/equipement/2819799-eau-air-ret-pa/objets", "link")</f>
        <v/>
      </c>
      <c r="C29707" t="n">
        <v>0</v>
      </c>
      <c r="D29707" t="inlineStr">
        <is>
          <t>Dagoulinantes; Amulette de Shokkoth; Bracelet des Fonds marins; Alliance Gloursonne; Bouclier alvéolé; Poulpagne; Chapeau Lisson; Sandales de Tal Kasha; Dofus Émeraude; Dofus Ivoire; Dofus Turquoise; Dofus Abyssal; Remueur; Étourdisseur majeur; Muldo Ebène et Indigo</t>
        </is>
      </c>
    </row>
    <row r="29708">
      <c r="A29708" t="inlineStr">
        <is>
          <t>yokke</t>
        </is>
      </c>
      <c r="B29708">
        <f>HYPERLINK("https://www.dofusbook.net/fr/equipement/2819596-yokke/objets", "link")</f>
        <v/>
      </c>
      <c r="C29708" t="n">
        <v>0</v>
      </c>
      <c r="D29708" t="inlineStr">
        <is>
          <t>Dagoulinantes; Collier de la Dame du Hasard; Lavanneau; Lavanneau; Bouclier cubiste; Poulpagne; Capuche de l'Œil Putride; Cape de la Dame du Hasard; Bottes de Meno; Dofus Abyssal; Dofus Ivoire; Dofus Turquoise; Dofus Émeraude; Remueur; Temporiseur majeur; Muldo Indigo</t>
        </is>
      </c>
    </row>
    <row r="29709">
      <c r="A29709" t="inlineStr">
        <is>
          <t>tentativesamere</t>
        </is>
      </c>
      <c r="B29709">
        <f>HYPERLINK("https://www.dofusbook.net/fr/equipement/2808271-tentativesamere/objets", "link")</f>
        <v/>
      </c>
      <c r="C29709" t="n">
        <v>0</v>
      </c>
      <c r="D29709" t="inlineStr">
        <is>
          <t>Lance Horselé; Amulette d'Ilyzaelle; Gant du Valet Veinard; Alliance Gloursonne; Bouclier du Chouque; Menoture; Chapoulpe; Cape Indescriptible; Tentassons; Dofus Pourpre; Dofus Abyssal; Dofus Ivoire; Cascadeur majeur; Remueur; Étourdisseur majeur; Muldo Ebène</t>
        </is>
      </c>
    </row>
    <row r="29710">
      <c r="A29710" t="inlineStr">
        <is>
          <t>féca air</t>
        </is>
      </c>
      <c r="B29710">
        <f>HYPERLINK("https://www.dofusbook.net/fr/equipement/2805669-feca-air/objets", "link")</f>
        <v/>
      </c>
      <c r="C29710" t="n">
        <v>0</v>
      </c>
      <c r="D29710" t="inlineStr">
        <is>
          <t>Lance Horselé; Collier du Valet Veinard; Gant du Valet Veinard; Alliance Gloursonne; Ceintouse; Chapoulpe; Cape du Valet Veinard; Tentassons; Dofus Pourpre; Dofus Abyssal; Dofus Ocre; Dofus Ivoire; Dofus Émeraude; Dofus des Glaces; Muldo Ebène</t>
        </is>
      </c>
    </row>
    <row r="29711">
      <c r="A29711" t="inlineStr">
        <is>
          <t>ret pa/pm</t>
        </is>
      </c>
      <c r="B29711">
        <f>HYPERLINK("https://www.dofusbook.net/fr/equipement/2457069-ret-pa-pm/objets", "link")</f>
        <v/>
      </c>
      <c r="C29711" t="n">
        <v>0</v>
      </c>
      <c r="D29711" t="inlineStr">
        <is>
          <t>Marteau R'ture; Amulette Luminescente; Anneau Crustique; Anneau Crustique; Menoture; Masque d'Anerice; Cape d'Anerice; Bottes du Cœur Saignant; Dofus Émeraude; Dolmanax; Remueur; Étourdisseur majeur; Obstructeur majeur; Temporiseur majeur; Muldo Roux et Orchidée</t>
        </is>
      </c>
    </row>
    <row r="29712">
      <c r="A29712" t="inlineStr">
        <is>
          <t>chaloeil</t>
        </is>
      </c>
      <c r="B29712">
        <f>HYPERLINK("https://www.dofusbook.net/fr/equipement/140374-chaloeil/objets", "link")</f>
        <v/>
      </c>
      <c r="C29712" t="n">
        <v>0</v>
      </c>
      <c r="D29712" t="inlineStr">
        <is>
          <t>Hache du Chalœil; Amulette du Strigide; Alliance du Lévitrof; Bracelet du Piloztère; Ceintacé; Casque du Chalœil; Voile d'encre; Bottes du Chalœil; Dofus Turquoise; Dofus Pourpre; Dofus Ocre; Dofus Émeraude; Temporiseur majeur; Nomade; Kramkram</t>
        </is>
      </c>
    </row>
    <row r="29713">
      <c r="A29713" t="inlineStr">
        <is>
          <t>Stuff 3</t>
        </is>
      </c>
      <c r="B29713">
        <f>HYPERLINK("https://www.dofusbook.net/fr/equipement/139836-stuff-3/objets", "link")</f>
        <v/>
      </c>
      <c r="C29713" t="n">
        <v>0</v>
      </c>
      <c r="D29713" t="inlineStr">
        <is>
          <t>Hache Ériphe; Collier du Valet Veinard; Anneau Chevelu; Anneau des égarés; Ceinture de la Cour Sombre; Casque des égarés; Cape du Kamasterisk; Sabots Minables; Obstructeur majeur; Remueur; Engourdisseur majeur; Étourdisseur majeur; Nomade; Croum</t>
        </is>
      </c>
    </row>
    <row r="29714">
      <c r="A29714" t="inlineStr">
        <is>
          <t>Stuff 1</t>
        </is>
      </c>
      <c r="B29714">
        <f>HYPERLINK("https://www.dofusbook.net/fr/equipement/139831-stuff-1/objets", "link")</f>
        <v/>
      </c>
      <c r="C29714" t="n">
        <v>0</v>
      </c>
      <c r="D29714" t="inlineStr">
        <is>
          <t>Dagoulinantes; Amulette du Strigide; Bracelet des Fonds marins; Alliance Gloursonne; Ceinture du Barbétoal; Masque du Barbétoal; Cape Matelassée; Pataugastrique; Dofus Turquoise; Remueur; Carapace Eau majeur; Étourdisseur majeur; Obstructeur majeur; Nomade; Croum</t>
        </is>
      </c>
    </row>
    <row r="29715">
      <c r="A29715" t="inlineStr">
        <is>
          <t>Stuff 3</t>
        </is>
      </c>
      <c r="B29715">
        <f>HYPERLINK("https://www.dofusbook.net/fr/equipement/139836-stuff-3/objets", "link")</f>
        <v/>
      </c>
      <c r="C29715" t="n">
        <v>0</v>
      </c>
      <c r="D29715" t="inlineStr">
        <is>
          <t>Hache Ériphe; Collier du Valet Veinard; Anneau Chevelu; Anneau des égarés; Ceinture de la Cour Sombre; Casque des égarés; Cape du Kamasterisk; Sabots Minables; Engourdisseur majeur; Étourdisseur majeur; Nomade; Obstructeur majeur; Remueur; Croum</t>
        </is>
      </c>
    </row>
    <row r="29716">
      <c r="A29716" t="inlineStr">
        <is>
          <t>Stuff 1</t>
        </is>
      </c>
      <c r="B29716">
        <f>HYPERLINK("https://www.dofusbook.net/fr/equipement/139831-stuff-1/objets", "link")</f>
        <v/>
      </c>
      <c r="C29716" t="n">
        <v>0</v>
      </c>
      <c r="D29716" t="inlineStr">
        <is>
          <t>Dagoulinantes; Amulette du Strigide; Bracelet des Fonds marins; Alliance Gloursonne; Ceinture du Barbétoal; Masque du Barbétoal; Cape Matelassée; Pataugastrique; Dofus Turquoise; Remueur; Carapace Eau majeur; Étourdisseur majeur; Obstructeur majeur; Nomade; Croum</t>
        </is>
      </c>
    </row>
    <row r="29717">
      <c r="A29717" t="inlineStr">
        <is>
          <t>Stuff 2</t>
        </is>
      </c>
      <c r="B29717">
        <f>HYPERLINK("https://www.dofusbook.net/fr/equipement/139826-stuff-2/objets", "link")</f>
        <v/>
      </c>
      <c r="C29717" t="n">
        <v>0</v>
      </c>
      <c r="D29717" t="inlineStr">
        <is>
          <t>Marteau des Anciens Steamers; Amulette du Strigide; Gant du Valet Veinard; Alliance Gloursonne; Ceinture du Barbétoal; Kidibonnet; Cape du Barbétoal; Bottes de la Reine des Voleurs; Dofus des Glaces; Dolmanax; Dofus Turquoise; Nomade; Remueur; Kramkram</t>
        </is>
      </c>
    </row>
    <row r="29718">
      <c r="A29718" t="inlineStr">
        <is>
          <t>Stuff 2</t>
        </is>
      </c>
      <c r="B29718">
        <f>HYPERLINK("https://www.dofusbook.net/fr/equipement/139820-stuff-2/objets", "link")</f>
        <v/>
      </c>
      <c r="C29718" t="n">
        <v>0</v>
      </c>
      <c r="D29718" t="inlineStr">
        <is>
          <t>Arc Nécrotique; Collier de la Dame du Hasard; Alliance Gloursonne; Anneau Tique; Ceintacé; Casqnoar; Cape de Meno; Bottes de Meno; Dofus Pourpre; Dofus Ocre; Dofus Émeraude; Dofus Turquoise; Dofus des Glaces; Temporiseur majeur; Croum</t>
        </is>
      </c>
    </row>
    <row r="29719">
      <c r="A29719" t="inlineStr">
        <is>
          <t>Stuff 2</t>
        </is>
      </c>
      <c r="B29719">
        <f>HYPERLINK("https://www.dofusbook.net/fr/equipement/139838-stuff-2/objets", "link")</f>
        <v/>
      </c>
      <c r="C29719" t="n">
        <v>0</v>
      </c>
      <c r="D29719" t="inlineStr">
        <is>
          <t>Pelle de la Cour Sombre; Amulette du Strigide; Anneau du Cycloïde; Alliance Gloursonne; Ceintacé; Casque Dragoeuf; Cape du Kamasterisk; Bottes du Kamasterisk; Dofus des Glaces; Dofus Pourpre; Cavaleur majeur; Nomade; Remueur; Évasif majeur; Croum</t>
        </is>
      </c>
    </row>
    <row r="29720">
      <c r="A29720" t="inlineStr">
        <is>
          <t>Stuff 3</t>
        </is>
      </c>
      <c r="B29720">
        <f>HYPERLINK("https://www.dofusbook.net/fr/equipement/139833-stuff-3/objets", "link")</f>
        <v/>
      </c>
      <c r="C29720" t="n">
        <v>0</v>
      </c>
      <c r="D29720" t="inlineStr">
        <is>
          <t>Épouvante; Amulette Luminescente; Alliance Gloursonne; Anneau Chevelu; Ceinture Luminescente; Masque de Koutoulou; Voile d'encre; Bottes du Chalœil; Dofus des Glaces; Dofus Turquoise; Carapace Eau majeur; Étourdisseur majeur; Remueur; Nomade; Kramkram</t>
        </is>
      </c>
    </row>
    <row r="29721">
      <c r="A29721" t="inlineStr">
        <is>
          <t>Stuff 1</t>
        </is>
      </c>
      <c r="B29721">
        <f>HYPERLINK("https://www.dofusbook.net/fr/equipement/139828-stuff-1/objets", "link")</f>
        <v/>
      </c>
      <c r="C29721" t="n">
        <v>0</v>
      </c>
      <c r="D29721" t="inlineStr">
        <is>
          <t>Lance corrompue; Amulette du Kamasterisk; Bague Gloursonne; Anneau Crustique; Cadran d'Eau; Ceintouse; Chapoulpe; Cape du Kamasterisk; Tentassons</t>
        </is>
      </c>
    </row>
    <row r="29722">
      <c r="A29722" t="inlineStr">
        <is>
          <t>Stuff 2</t>
        </is>
      </c>
      <c r="B29722">
        <f>HYPERLINK("https://www.dofusbook.net/fr/equipement/139823-stuff-2/objets", "link")</f>
        <v/>
      </c>
      <c r="C29722" t="n">
        <v>0</v>
      </c>
      <c r="D29722" t="inlineStr">
        <is>
          <t>Pelle de la Cour Sombre; Amulette du Kamasterisk; Alliance Gloursonne; Anneau des égarés; Ceinture du Barbétoal; Casque Dragoeuf; Cape du Kamasterisk; Baleinabottes; Observateur; Obstructeur majeur; Remueur; Déserteur majeur; Nomade; Croum</t>
        </is>
      </c>
    </row>
    <row r="29723">
      <c r="A29723" t="inlineStr">
        <is>
          <t>Stuff 1</t>
        </is>
      </c>
      <c r="B29723">
        <f>HYPERLINK("https://www.dofusbook.net/fr/equipement/139840-stuff-1/objets", "link")</f>
        <v/>
      </c>
      <c r="C29723" t="n">
        <v>0</v>
      </c>
      <c r="D29723" t="inlineStr">
        <is>
          <t>Dagues Érhy; Amulette du Strigide; Chevalière du Roi Joueur; Anneau Chevelu; Ceintacé; Couronne du Roi Joueur; Voile d'encre; Sabots Minables; Dofus Turquoise; Dofus Cawotte; Étourdisseur majeur; Nomade; Engourdisseur majeur; Temporiseur majeur; Croum</t>
        </is>
      </c>
    </row>
    <row r="29724">
      <c r="A29724" t="inlineStr">
        <is>
          <t>Stuff 2</t>
        </is>
      </c>
      <c r="B29724">
        <f>HYPERLINK("https://www.dofusbook.net/fr/equipement/139835-stuff-2/objets", "link")</f>
        <v/>
      </c>
      <c r="C29724" t="n">
        <v>0</v>
      </c>
      <c r="D29724" t="inlineStr">
        <is>
          <t>Dagues Érhy; Amulette du Strigide; Anneau Chevelu; Bague Gloursonne; Ceintacé; Chapeau de Gein; Voile d'encre; Bottes du Strigide; Dofus des Glaces; Dofus Turquoise; Dofus Pourpre; Dolmanax; Remueur; Nomade; Kramkram</t>
        </is>
      </c>
    </row>
    <row r="29725">
      <c r="A29725" t="inlineStr">
        <is>
          <t>Stuff 3</t>
        </is>
      </c>
      <c r="B29725">
        <f>HYPERLINK("https://www.dofusbook.net/fr/equipement/139830-stuff-3/objets", "link")</f>
        <v/>
      </c>
      <c r="C29725" t="n">
        <v>0</v>
      </c>
      <c r="D29725" t="inlineStr">
        <is>
          <t>Manthache; Collier du Valet Veinard; Gant du Valet Veinard; Alliance Gloursonne; Menoture; Dorabysses; Tentassons; Dofus Pourpre; Dofus Pourpre; Dolmanax; Étourdisseur majeur; Carapace Air majeur; Remueur; Kramkram</t>
        </is>
      </c>
    </row>
    <row r="29726">
      <c r="A29726" t="inlineStr">
        <is>
          <t>Stuff 1</t>
        </is>
      </c>
      <c r="B29726">
        <f>HYPERLINK("https://www.dofusbook.net/fr/equipement/139825-stuff-1/objets", "link")</f>
        <v/>
      </c>
      <c r="C29726" t="n">
        <v>0</v>
      </c>
      <c r="D29726" t="inlineStr">
        <is>
          <t>Hache du Chalœil; Amulette du Strigide; Chevalière du Roi Joueur; Alliance Gloursonne; Ceintacé; Casque du Chalœil; Voile d'encre; Bottes du Chalœil; Dofus Turquoise; Dofus Pourpre; Vigoureux majeur; Obstructeur majeur; Nomade; Remueur; Kramkram</t>
        </is>
      </c>
    </row>
    <row r="29727">
      <c r="A29727" t="inlineStr">
        <is>
          <t>Stuff 1</t>
        </is>
      </c>
      <c r="B29727">
        <f>HYPERLINK("https://www.dofusbook.net/fr/equipement/139819-stuff-1/objets", "link")</f>
        <v/>
      </c>
      <c r="C29727" t="n">
        <v>0</v>
      </c>
      <c r="D29727" t="inlineStr">
        <is>
          <t>Baguette de Malléfisk; Amulette Ementaire Deluxe; Alliance Gloursonne; Alliance du Lévitrof; Poulpagne; Casquette de Meno; Cape de la Dame du Hasard; Bottes de Meno; Dofus Ocre; Dolmanax; Dofus Émeraude; Érudit majeur; Ralentisseur majeur; Temporiseur majeur</t>
        </is>
      </c>
    </row>
    <row r="29728">
      <c r="A29728" t="inlineStr">
        <is>
          <t>Stuff 3</t>
        </is>
      </c>
      <c r="B29728">
        <f>HYPERLINK("https://www.dofusbook.net/fr/equipement/139842-stuff-3/objets", "link")</f>
        <v/>
      </c>
      <c r="C29728" t="n">
        <v>0</v>
      </c>
      <c r="D29728" t="inlineStr">
        <is>
          <t>Manthache; Collier du Valet Veinard; Alliance Gloursonne; Gant du Valet Veinard; Menoture; Dorabysses; Cape Indescriptible; Palmes Trithons; Dolmanax; Étourdisseur majeur; Nomade; Carapace Air majeur; Remueur; Kramkram</t>
        </is>
      </c>
    </row>
    <row r="29729">
      <c r="A29729" t="inlineStr">
        <is>
          <t>Stuff 1</t>
        </is>
      </c>
      <c r="B29729">
        <f>HYPERLINK("https://www.dofusbook.net/fr/equipement/139837-stuff-1/objets", "link")</f>
        <v/>
      </c>
      <c r="C29729" t="n">
        <v>0</v>
      </c>
      <c r="D29729" t="inlineStr">
        <is>
          <t>Plumeau Bil; Pendentif affamé; Anneau de Nidas; Anneau Tique; Ceinture de Vortex; Couronne de Nidas; Voile d'encre; Pataugastrique; Déserteur majeur; Nomade; Érudit majeur; Remueur; Étourdisseur majeur; Croum</t>
        </is>
      </c>
    </row>
    <row r="29730">
      <c r="A29730" t="inlineStr">
        <is>
          <t>Stuff 2</t>
        </is>
      </c>
      <c r="B29730">
        <f>HYPERLINK("https://www.dofusbook.net/fr/equipement/139832-stuff-2/objets", "link")</f>
        <v/>
      </c>
      <c r="C29730" t="n">
        <v>0</v>
      </c>
      <c r="D29730" t="inlineStr">
        <is>
          <t>Arc Hétype; Pendentif affamé; Anneau de Nidas; Anneau Tique; Ceinture de Vortex; Couronne de Nidas; Capchalot; Pataugastrique; Dofus Cawotte; Érudit majeur; Nomade; Déserteur majeur; Temporiseur majeur; Étourdisseur majeur; Croum</t>
        </is>
      </c>
    </row>
    <row r="29731">
      <c r="A29731" t="inlineStr">
        <is>
          <t>Stuff 3</t>
        </is>
      </c>
      <c r="B29731">
        <f>HYPERLINK("https://www.dofusbook.net/fr/equipement/139827-stuff-3/objets", "link")</f>
        <v/>
      </c>
      <c r="C29731" t="n">
        <v>0</v>
      </c>
      <c r="D29731" t="inlineStr">
        <is>
          <t>Hache du Chalœil; Amulette de l'Indicible; Anneau Chevelu; Alliance Gloursonne; Ceintacé; Casque du Chalœil; Voile d'encre; Bottes de l'Indicible; Dolmanax; Dofus Turquoise; Dofus Pourpre; Vigoureux majeur; Nomade; Remueur; Kramkram</t>
        </is>
      </c>
    </row>
    <row r="29732">
      <c r="A29732" t="inlineStr">
        <is>
          <t>Stuff 1</t>
        </is>
      </c>
      <c r="B29732">
        <f>HYPERLINK("https://www.dofusbook.net/fr/equipement/139822-stuff-1/objets", "link")</f>
        <v/>
      </c>
      <c r="C29732" t="n">
        <v>0</v>
      </c>
      <c r="D29732" t="inlineStr">
        <is>
          <t>Arc du Chalœil; Amulette du Strigide; Chevalière du Roi Joueur; Bague Gloursonne; Ceinture de Gein; Chapeau de Gein; Voile d'encre; Pataugastrique; Dolmanax; Dofus Pourpre; Dofus Turquoise; Vigoureux majeur; Nomade; Remueur; Croum</t>
        </is>
      </c>
    </row>
    <row r="29733">
      <c r="A29733" t="inlineStr">
        <is>
          <t>Stuff 3</t>
        </is>
      </c>
      <c r="B29733">
        <f>HYPERLINK("https://www.dofusbook.net/fr/equipement/139839-stuff-3/objets", "link")</f>
        <v/>
      </c>
      <c r="C29733" t="n">
        <v>0</v>
      </c>
      <c r="D29733" t="inlineStr">
        <is>
          <t>Rapière aux Glyphes; Amulette de Danathor; Anneau Glacial; Alliance Gloursonne; Sangle Cible; Kidibonnet; Cape Glaciale; Bottes d'Oshimo; Engourdisseur majeur; Remueur; Étourdisseur majeur; Carapace Air majeur; Carapace Eau majeur; Nomade; Croum</t>
        </is>
      </c>
    </row>
    <row r="29734">
      <c r="A29734" t="inlineStr">
        <is>
          <t>Stuff 1</t>
        </is>
      </c>
      <c r="B29734">
        <f>HYPERLINK("https://www.dofusbook.net/fr/equipement/139834-stuff-1/objets", "link")</f>
        <v/>
      </c>
      <c r="C29734" t="n">
        <v>0</v>
      </c>
      <c r="D29734" t="inlineStr">
        <is>
          <t>Dagoulinantes; Bracelet des Fonds marins; Pikano; Poulpagne; Coiffe du Lévitrof; Cape Luminescente</t>
        </is>
      </c>
    </row>
    <row r="29735">
      <c r="A29735" t="inlineStr">
        <is>
          <t>Stuff 1</t>
        </is>
      </c>
      <c r="B29735">
        <f>HYPERLINK("https://www.dofusbook.net/fr/equipement/139819-stuff-1/objets", "link")</f>
        <v/>
      </c>
      <c r="C29735" t="n">
        <v>0</v>
      </c>
      <c r="D29735" t="inlineStr">
        <is>
          <t>Baguette de Malléfisk; Amulette Ementaire Deluxe; Alliance Gloursonne; Alliance du Lévitrof; Poulpagne; Casquette de Meno; Cape de la Dame du Hasard; Bottes de Meno; Dofus Émeraude; Dofus Ocre; Dolmanax; Temporiseur majeur; Érudit majeur; Ralentisseur majeur</t>
        </is>
      </c>
    </row>
    <row r="29736">
      <c r="A29736" t="inlineStr">
        <is>
          <t>eau roxxx</t>
        </is>
      </c>
      <c r="B29736">
        <f>HYPERLINK("https://www.dofusbook.net/fr/equipement/2290219-eau-roxxx/objets", "link")</f>
        <v/>
      </c>
      <c r="C29736" t="n">
        <v>0</v>
      </c>
      <c r="D29736" t="inlineStr">
        <is>
          <t>Sceptre du Roi Joueur; Amulette Volkorne; Alliance Gloursonne; Anneau Volkorne; Bouclier du Stalak; Poulpagne; Coiffe de Danathor; Dofusteuse; Pataugastrique; Dofus Nébuleux; Nomade; Chanceux majeur; Remueur; Vigoureux majeur; Taquin majeur; Pioute bleu</t>
        </is>
      </c>
    </row>
    <row r="29737">
      <c r="A29737" t="inlineStr">
        <is>
          <t>Crâ F 200</t>
        </is>
      </c>
      <c r="B29737">
        <f>HYPERLINK("https://www.dofusbook.net/fr/equipement/4790787-cra-f-200/objets", "link")</f>
        <v/>
      </c>
      <c r="C29737" t="n">
        <v>2</v>
      </c>
      <c r="D29737" t="inlineStr">
        <is>
          <t>Marteau R'ture; Amulette Luminescente; Anneau Tamie; Alliance Gloursonne; Bouclier précieux; Ceinture de Kongoku; Boucle d'oreille de Kongoku; Cape de Mantaze; Pataugastrique; Dofus Ivoire; Obstructeur majeur; Entraveur majeur; Remueur; Fonceur majeur</t>
        </is>
      </c>
    </row>
    <row r="29738">
      <c r="A29738" t="inlineStr">
        <is>
          <t>Iop M 200</t>
        </is>
      </c>
      <c r="B29738">
        <f>HYPERLINK("https://www.dofusbook.net/fr/equipement/4715898-iop-m-200/objets", "link")</f>
        <v/>
      </c>
      <c r="C29738" t="n">
        <v>2</v>
      </c>
      <c r="D29738" t="inlineStr">
        <is>
          <t>Epée Maudite du Saigneur Guerrier; Amulette du Strigide; Bague Trithon; Anneau de Padgref; Bouclier du Captain Amakna; Ceinture du Strigide; Coiffe de Padgref; Chevelure de Tal Kasha; Getas de Padgref; Dofus Pourpre; Dofus Ivoire; Dofus Turquoise; Dofus des Glaces; Dofus Ocre; Voyageur</t>
        </is>
      </c>
    </row>
    <row r="29739">
      <c r="A29739" t="inlineStr">
        <is>
          <t>Pandawa M 200</t>
        </is>
      </c>
      <c r="B29739">
        <f>HYPERLINK("https://www.dofusbook.net/fr/equipement/4316147-pandawa-m-200/objets", "link")</f>
        <v/>
      </c>
      <c r="C29739" t="n">
        <v>8</v>
      </c>
      <c r="D29739" t="inlineStr">
        <is>
          <t>Crocobur; Amulette du Cœur Saignant; Chevalière du Roi Joueur; Anneau en Grithril; Bouclier d'Ilyzaelle; Ceinture en Grithril; Casque en Grithril; Cape du Cœur Saignant; Bottes du Cœur Saignant; Dofus Émeraude; Dofus Ocre; Dofus des Glaces; Dofus Pourpre; Dofus Ivoire; Dofus Turquoise; Bulbisou</t>
        </is>
      </c>
    </row>
    <row r="29740">
      <c r="A29740" t="inlineStr">
        <is>
          <t>Osamodas M 200</t>
        </is>
      </c>
      <c r="B29740">
        <f>HYPERLINK("https://www.dofusbook.net/fr/equipement/4676287-osamodas-m-200/objets", "link")</f>
        <v/>
      </c>
      <c r="C29740" t="n">
        <v>1</v>
      </c>
      <c r="D29740" t="inlineStr">
        <is>
          <t>Baguette de Malléfisk; Amulette Volkorne; Anneauræus; Anneauræus; Carapar; Protopagne; Masque d'Anerice; Cape d'Anerice; Bottes Innommables; Dofus Ivoire; Dokoko; Dofus Ocre; Guérisseur majeur; Remueur; Érudit majeur; Ploup</t>
        </is>
      </c>
    </row>
    <row r="29741">
      <c r="A29741" t="inlineStr">
        <is>
          <t>Iop M 200</t>
        </is>
      </c>
      <c r="B29741">
        <f>HYPERLINK("https://www.dofusbook.net/fr/equipement/4286460-iop-m-200/objets", "link")</f>
        <v/>
      </c>
      <c r="C29741" t="n">
        <v>8</v>
      </c>
      <c r="D29741" t="inlineStr">
        <is>
          <t>Dagues d'Ilyzaelle; Amulette du Cœur Saignant; Alliance de Missiz Frizz; Anneau Volkorne; Bouclier du Captain Amakna; Ceinture Volkorne; Casque de Missiz Frizz; Cape du Cœur Saignant; Bottes du Cœur Saignant; Dolmanax; Dofus Turquoise; Dofus Ocre; Dofus Vulbis; Dofus Pourpre; Dofus Ivoire; Pioute vert</t>
        </is>
      </c>
    </row>
    <row r="29742">
      <c r="A29742" t="inlineStr">
        <is>
          <t>Crâ M 200</t>
        </is>
      </c>
      <c r="B29742">
        <f>HYPERLINK("https://www.dofusbook.net/fr/equipement/4487166-cra-m-200/objets", "link")</f>
        <v/>
      </c>
      <c r="C29742" t="n">
        <v>0</v>
      </c>
      <c r="D29742" t="inlineStr">
        <is>
          <t>Marteau R'ture; Amulette Volcanique; Chevalière du Roi Joueur; Bouclier cubiste; Ceinture Volkorne; Masque de Koutoulou; Cape au Logis; Bottes du Roi Joueur; Dofus Turquoise; Dofus Ocre; Enragé majeur; Entraveur majeur; Temporiseur majeur; Ralentisseur majeur; Léopardo</t>
        </is>
      </c>
    </row>
    <row r="29743">
      <c r="A29743" t="inlineStr">
        <is>
          <t>Iop F 200</t>
        </is>
      </c>
      <c r="B29743">
        <f>HYPERLINK("https://www.dofusbook.net/fr/equipement/4621150-iop-f-200/objets", "link")</f>
        <v/>
      </c>
      <c r="C29743" t="n">
        <v>1</v>
      </c>
      <c r="D29743" t="inlineStr">
        <is>
          <t>Plume de Buhorado; Amibou; Bague Trithon; Bouclier Taverne; Sangle Ouare; Chapibou; Capibou; Bottes du Cœur Vaillant; Dofus Turquoise</t>
        </is>
      </c>
    </row>
    <row r="29744">
      <c r="A29744" t="inlineStr">
        <is>
          <t>Korup</t>
        </is>
      </c>
      <c r="B29744">
        <f>HYPERLINK("https://www.dofusbook.net/fr/equipement/2230349-korup/objets", "link")</f>
        <v/>
      </c>
      <c r="C29744" t="n">
        <v>2</v>
      </c>
      <c r="D29744" t="inlineStr">
        <is>
          <t>Pyraguette; Alliance Gloursonne; Bouclier cubiste; Ceintrigue; Casquette de Meno; Cape de Meno; Dofus Ocre; Dofus Ivoire; Dolmanax; Dofus Abyssal; Dofus Nébuleux; Vagabond majeur; Muldo Doré et Amande</t>
        </is>
      </c>
    </row>
    <row r="29745">
      <c r="A29745" t="inlineStr">
        <is>
          <t>osa feu</t>
        </is>
      </c>
      <c r="B29745">
        <f>HYPERLINK("https://www.dofusbook.net/fr/equipement/4531019-osa-feu/objets", "link")</f>
        <v/>
      </c>
      <c r="C29745" t="n">
        <v>1</v>
      </c>
      <c r="D29745" t="inlineStr">
        <is>
          <t>Baguette de Malléfisk; Amulette Volkorne; Anneauræus; Anneau Tique; Cadran de Feu; Protopagne; Dorabysses; Cape de Diondin; Chaussures Ardentes; Dofus Ivoire; Dokoko; Miraculé majeur; Remueur; Guérisseur majeur; Érudit majeur; Meuch</t>
        </is>
      </c>
    </row>
    <row r="29746">
      <c r="A29746" t="inlineStr">
        <is>
          <t>Ecaflip M 200</t>
        </is>
      </c>
      <c r="B29746">
        <f>HYPERLINK("https://www.dofusbook.net/fr/equipement/4266456-ecaflip-m-200/objets", "link")</f>
        <v/>
      </c>
      <c r="C29746" t="n">
        <v>0</v>
      </c>
      <c r="D29746" t="inlineStr">
        <is>
          <t>Collier du Valet Veinard; Gant du Valet Veinard; Alliance Gloursonne; Menoture; Cape Indescriptible; Palmes Trithons; Equilibriste majeur</t>
        </is>
      </c>
    </row>
    <row r="29747">
      <c r="A29747" t="inlineStr">
        <is>
          <t>Crâ F 200</t>
        </is>
      </c>
      <c r="B29747">
        <f>HYPERLINK("https://www.dofusbook.net/fr/equipement/4487243-cra-f-200/objets", "link")</f>
        <v/>
      </c>
      <c r="C29747" t="n">
        <v>0</v>
      </c>
      <c r="D29747" t="inlineStr">
        <is>
          <t>Sabres d'Atcham; Amulette du Strigide; Anneau de Padgref; Anneau Volkorne; Quatre-feuilles; Ceinture du Strigide; Coiffe de Padgref; Cape d'Atcham; Getas de Padgref; Dofus Pourpre; Dofus des Glaces; Dofus Abyssal; Dofus Turquoise; Dofus Vulbis; Dofus Ocre; Kokulte</t>
        </is>
      </c>
    </row>
    <row r="29748">
      <c r="A29748" t="inlineStr">
        <is>
          <t>Crâ M 200</t>
        </is>
      </c>
      <c r="B29748">
        <f>HYPERLINK("https://www.dofusbook.net/fr/equipement/4374596-cra-m-200/objets", "link")</f>
        <v/>
      </c>
      <c r="C29748" t="n">
        <v>0</v>
      </c>
      <c r="D29748" t="inlineStr">
        <is>
          <t>Arc Volkorne; Amulette Volkorne; Anneau Volkorne; Anneau de Padgref; Quatre-feuilles; Ceinture Volkorne; Coiffe de Padgref; Chevelure de Tal Kasha; Getas de Padgref; Dolmanax; Dofus Turquoise; Dofus Ocre; Dofus Pourpre; Dofus des Glaces; Puissant majeur; Kokulte</t>
        </is>
      </c>
    </row>
    <row r="29749">
      <c r="A29749" t="inlineStr">
        <is>
          <t>Crâ M 200</t>
        </is>
      </c>
      <c r="B29749">
        <f>HYPERLINK("https://www.dofusbook.net/fr/equipement/4478967-cra-m-200/objets", "link")</f>
        <v/>
      </c>
      <c r="C29749" t="n">
        <v>0</v>
      </c>
      <c r="D29749" t="inlineStr">
        <is>
          <t>Lance corrompue; Amulette de Pol Ouatnos; Goulano; Anneau en Grithril; Goulclier; Ceinture de la Reine des Voleurs; Coiffe de la Reine des Voleurs; Bottes de la Reine des Voleurs; Dofus Abyssal; Dofus Ocre; Dofus Ivoire; Dokoko; Dofus Émeraude; Bastion majeur; Wabbit</t>
        </is>
      </c>
    </row>
    <row r="29750">
      <c r="A29750" t="inlineStr">
        <is>
          <t>eau air</t>
        </is>
      </c>
      <c r="B29750">
        <f>HYPERLINK("https://www.dofusbook.net/fr/equipement/2034075-eau-air/objets", "link")</f>
        <v/>
      </c>
      <c r="C29750" t="n">
        <v>1</v>
      </c>
      <c r="D29750" t="inlineStr">
        <is>
          <t>Sabres d'Atcham; Amulette d'Ilyzaelle; Alliance Gloursonne; Bracelet du Piloztère; Bouclier du Stalak; Ceinture de l'Esprit Salvateur; Casque d'Ilyzaelle; Sandales  d'Atcham; Dofus des Glaces; Dofus Ocre; Dofus Abyssal; Dolmanax; Dofus Pourpre; Robuste majeur; Muldo Ebène et Indigo</t>
        </is>
      </c>
    </row>
    <row r="29751">
      <c r="A29751" t="inlineStr">
        <is>
          <t>Sadida M 200</t>
        </is>
      </c>
      <c r="B29751">
        <f>HYPERLINK("https://www.dofusbook.net/fr/equipement/4374888-sadida-m-200/objets", "link")</f>
        <v/>
      </c>
      <c r="C29751" t="n">
        <v>0</v>
      </c>
      <c r="D29751" t="inlineStr">
        <is>
          <t>Dagues d'Ilyzaelle; Amulette Luminescente; Anneau Crustique; Chevalière du Roi Joueur; Ceinture Luminescente; Couronne du Roi Joueur; Cape Luminescente; Bottes du Roi Joueur</t>
        </is>
      </c>
    </row>
    <row r="29752">
      <c r="A29752" t="inlineStr">
        <is>
          <t>Iop M 200</t>
        </is>
      </c>
      <c r="B29752">
        <f>HYPERLINK("https://www.dofusbook.net/fr/equipement/4352986-iop-m-200/objets", "link")</f>
        <v/>
      </c>
      <c r="C29752" t="n">
        <v>0</v>
      </c>
      <c r="D29752" t="inlineStr">
        <is>
          <t>Arc Volkorne; Amulette Volkorne; Anneau Volkorne; Anneau de Padgref; Quatre-feuilles; Ceinture du Strigide; Coiffe de Padgref; Chevelure de Tal Kasha; Getas de Padgref; Dolmanax; Dofus Ocre; Dofus Ivoire; Dofus Pourpre; Dofus Vulbis; Dofus Turquoise; Sakochère</t>
        </is>
      </c>
    </row>
    <row r="29753">
      <c r="A29753" t="inlineStr">
        <is>
          <t>air feu terre</t>
        </is>
      </c>
      <c r="B29753">
        <f>HYPERLINK("https://www.dofusbook.net/fr/equipement/2046783-air-feu-terre/objets", "link")</f>
        <v/>
      </c>
      <c r="C29753" t="n">
        <v>1</v>
      </c>
      <c r="D29753" t="inlineStr">
        <is>
          <t>Marteau de Katrepat; Torquistik; Baguistik; Alliance Brûlâme; Bouclier du Captain Amakna; Ceinture du Père Fwetar; Masque Brûlâme; Cape du Chalœil; Pompes Funèbres; Dofus des Glaces; Dofus Turquoise; Dofus Vulbis; Dofus Ivoire; Dofus Pourpre; Dofus Ocre; Volkorne Doré et Prune</t>
        </is>
      </c>
    </row>
    <row r="29754">
      <c r="A29754" t="inlineStr">
        <is>
          <t>Iop M 200</t>
        </is>
      </c>
      <c r="B29754">
        <f>HYPERLINK("https://www.dofusbook.net/fr/equipement/4349081-iop-m-200/objets", "link")</f>
        <v/>
      </c>
      <c r="C29754" t="n">
        <v>2</v>
      </c>
      <c r="D29754" t="inlineStr">
        <is>
          <t>Arc Volkorne; Amulette Volkorne; Anneau de Padgref; Anneau Volkorne; Quatre-feuilles; Ceinture du Strigide; Coiffe de Padgref; Chevelure de Tal Kasha; Getas de Padgref; Dofus Abyssal; Dofus Turquoise; Dofus Vulbis; Dofus Ocre; Dofus Pourpre; Dofus des Glaces; Sakochère</t>
        </is>
      </c>
    </row>
    <row r="29755">
      <c r="A29755" t="inlineStr">
        <is>
          <t>Féca M 200</t>
        </is>
      </c>
      <c r="B29755">
        <f>HYPERLINK("https://www.dofusbook.net/fr/equipement/4321533-feca-m-200/objets", "link")</f>
        <v/>
      </c>
      <c r="C29755" t="n">
        <v>0</v>
      </c>
      <c r="D29755" t="inlineStr">
        <is>
          <t>Baguette Hique; Amulette de Shokkoth; Bracelet des Fonds marins; Anneau Volkorne; Quatre-feuilles; Sangle Ouare; Kidibonnet; Cape de la Dame du Hasard; Bottes de la Dame du Hasard; Dofus Ocre; Dofus des Glaces; Dofus Turquoise; Dofus Ivoire; Dévastateur Eau majeur; Chanceux majeur; Kokulte</t>
        </is>
      </c>
    </row>
    <row r="29756">
      <c r="A29756" t="inlineStr">
        <is>
          <t>Féca F 200</t>
        </is>
      </c>
      <c r="B29756">
        <f>HYPERLINK("https://www.dofusbook.net/fr/equipement/4324096-feca-f-200/objets", "link")</f>
        <v/>
      </c>
      <c r="C29756" t="n">
        <v>1</v>
      </c>
      <c r="D29756" t="inlineStr">
        <is>
          <t>Baguette Hique; Amulette Volkorne; Bracelet du Piloztère; Anneau Volkorne; Quatre-feuilles; Pagne du Rykaon; Némès de Tal Kasha; Chevelure de Tal Kasha; Sandales de Tal Kasha; Dofus Abyssal; Dofus des Glaces; Dofus Ivoire; Dofus Pourpre; Dofus Turquoise; Dofus Ocre; Muldo Prune et Emeraude</t>
        </is>
      </c>
    </row>
    <row r="29757">
      <c r="A29757" t="inlineStr">
        <is>
          <t>newwww</t>
        </is>
      </c>
      <c r="B29757">
        <f>HYPERLINK("https://www.dofusbook.net/fr/equipement/2845806-newwww/objets", "link")</f>
        <v/>
      </c>
      <c r="C29757" t="n">
        <v>4</v>
      </c>
      <c r="D29757" t="inlineStr">
        <is>
          <t>Amulette du Cœur Saignant; Anneau de Brouce; Bague Gloursonne; Quatre-feuilles; Ceinture de Brouce; Casque de Missiz Frizz; Bottes du Cœur Saignant; Dofus Ocre; Dofus Pourpre; Dofus des Glaces; Dofus Turquoise; Voyageur; Forcené majeur; Bulbisou</t>
        </is>
      </c>
    </row>
    <row r="29758">
      <c r="A29758" t="inlineStr">
        <is>
          <t>Féca M 200</t>
        </is>
      </c>
      <c r="B29758">
        <f>HYPERLINK("https://www.dofusbook.net/fr/equipement/4321284-feca-m-200/objets", "link")</f>
        <v/>
      </c>
      <c r="C29758" t="n">
        <v>0</v>
      </c>
      <c r="D29758" t="inlineStr">
        <is>
          <t>Baguette Héroclite; Amulette de l'Œil Attentif; Bracelet des Fonds marins; Anneau Volkorne; Quatre-feuilles; Ceinture Volkorne; Capuche de l'Œil Attentif; Cape de l'Œil Attentif; Sandales des Fonds marins; Dofus Ocre; Dofus Pourpre; Dofus des Glaces; Dolmanax; Dofus Turquoise; Dofus Abyssal; Volkorne Emeraude et Indigo</t>
        </is>
      </c>
    </row>
    <row r="29759">
      <c r="A29759" t="inlineStr">
        <is>
          <t>Feu 2.43</t>
        </is>
      </c>
      <c r="B29759">
        <f>HYPERLINK("https://www.dofusbook.net/fr/equipement/2081157-feu-2-43/objets", "link")</f>
        <v/>
      </c>
      <c r="C29759" t="n">
        <v>1</v>
      </c>
      <c r="D29759" t="inlineStr">
        <is>
          <t>Arc corrompu; Amulette Volkorne; Anneau Tique; Anneau Volkorne; Quatre-feuilles; Ceinture de l'Esprit Malsain; Heaume Oplate; Cape de Diondin; Bottes de Meno; Dofus Abyssal; Dofus Turquoise; Érudit majeur; Kramkram</t>
        </is>
      </c>
    </row>
    <row r="29760">
      <c r="A29760" t="inlineStr">
        <is>
          <t>Féca F 200</t>
        </is>
      </c>
      <c r="B29760">
        <f>HYPERLINK("https://www.dofusbook.net/fr/equipement/4210063-feca-f-200/objets", "link")</f>
        <v/>
      </c>
      <c r="C29760" t="n">
        <v>2</v>
      </c>
      <c r="D29760" t="inlineStr">
        <is>
          <t>Baguette Hique; Amulette Volkorne; Anneau Volkorne; Bracelet du Piloztère; Quatre-feuilles; Pagne du Rykaon; Némès de Tal Kasha; Chevelure de Tal Kasha; Sandales de Tal Kasha; Dofus Ivoire; Dofus Turquoise; Dofus Abyssal; Dofus Pourpre; Dofus des Glaces; Dofus Ocre; Muldo Prune et Emeraude</t>
        </is>
      </c>
    </row>
    <row r="29761">
      <c r="A29761" t="inlineStr">
        <is>
          <t>Sadida F 200</t>
        </is>
      </c>
      <c r="B29761">
        <f>HYPERLINK("https://www.dofusbook.net/fr/equipement/4300408-sadida-f-200/objets", "link")</f>
        <v/>
      </c>
      <c r="C29761" t="n">
        <v>0</v>
      </c>
      <c r="D29761" t="inlineStr">
        <is>
          <t>Hachoirs de Viandargh; Amibou; Gant du Valet Veinard; Alliance Gloursonne; Bouclier cubiste; Menoture; Chapibou; Cape de l'Œil Putride; Bottes du Kamasterisk; Dofus Vulbis; Dofus Pourpre; Dofus Turquoise; Dofus Ocre; Entraveur majeur; Temporiseur majeur; Léopardo</t>
        </is>
      </c>
    </row>
    <row r="29762">
      <c r="A29762" t="inlineStr">
        <is>
          <t>Sadida F 200</t>
        </is>
      </c>
      <c r="B29762">
        <f>HYPERLINK("https://www.dofusbook.net/fr/equipement/4279063-sadida-f-200/objets", "link")</f>
        <v/>
      </c>
      <c r="C29762" t="n">
        <v>0</v>
      </c>
      <c r="D29762" t="inlineStr">
        <is>
          <t>Arc Nécrotique; Amulette du Strigide; Alliance de Missiz Frizz; Anneau Volkorne; Quatre-feuilles; Ceinture du Strigide; Cape de la Dame du Hasard; Bottes de Missiz Frizz; Dofus Pourpre; Dofus Turquoise</t>
        </is>
      </c>
    </row>
    <row r="29763">
      <c r="A29763" t="inlineStr">
        <is>
          <t>Iop M 200</t>
        </is>
      </c>
      <c r="B29763">
        <f>HYPERLINK("https://www.dofusbook.net/fr/equipement/4263044-iop-m-200/objets", "link")</f>
        <v/>
      </c>
      <c r="C29763" t="n">
        <v>0</v>
      </c>
      <c r="D29763" t="inlineStr">
        <is>
          <t>Hache Téroïde; Amulette du Strigide; Bague Gloursonne; Chevalière du Roi Joueur; Bouclier du Captain Amakna; Ceinture du Strigide; Couronne du Roi Joueur; Cape au Logis; Bottes du Roi Joueur; Dofus Pourpre; Dofus Turquoise; Dolmanax; Dofus des Glaces; Dofus Ocre; Dofus Nébuleux; Kokulte</t>
        </is>
      </c>
    </row>
    <row r="29764">
      <c r="A29764" t="inlineStr">
        <is>
          <t>Iop M 200</t>
        </is>
      </c>
      <c r="B29764">
        <f>HYPERLINK("https://www.dofusbook.net/fr/equipement/4258985-iop-m-200/objets", "link")</f>
        <v/>
      </c>
      <c r="C29764" t="n">
        <v>0</v>
      </c>
      <c r="D29764" t="inlineStr">
        <is>
          <t>Arc du Chalœil; Collier de Tourthon; Anneau Volkorne; Anneau Crustique; Quatre-feuilles; Ceinture Volkorne; Masque de Koutoulou; Cape au Logis; Bottes de la Cour Sombre; Dofus Pourpre; Dofus Ivoire; Dofus Ocre; Dofus Turquoise; Dofus Abyssal; Enragé majeur; Bulbisou</t>
        </is>
      </c>
    </row>
    <row r="29765">
      <c r="A29765" t="inlineStr">
        <is>
          <t>Féca F 200</t>
        </is>
      </c>
      <c r="B29765">
        <f>HYPERLINK("https://www.dofusbook.net/fr/equipement/4210374-feca-f-200/objets", "link")</f>
        <v/>
      </c>
      <c r="C29765" t="n">
        <v>0</v>
      </c>
      <c r="D29765" t="inlineStr">
        <is>
          <t>Arc Nécrotique; Amulette du Strigide; Bague Gloursonne; Alliance Gloursonne; Quatre-feuilles; Ceinture du Strigide; Capuche de l'Œil Putride; Cape de la Dame du Hasard; Bottes de la Dame du Hasard; Dolmanax; Dofus Ocre; Dofus Pourpre; Dofus des Glaces; Dofus Turquoise; Kokulte</t>
        </is>
      </c>
    </row>
    <row r="29766">
      <c r="A29766" t="inlineStr">
        <is>
          <t>terre</t>
        </is>
      </c>
      <c r="B29766">
        <f>HYPERLINK("https://www.dofusbook.net/fr/equipement/2972325-terre/objets", "link")</f>
        <v/>
      </c>
      <c r="C29766" t="n">
        <v>0</v>
      </c>
      <c r="D29766" t="inlineStr">
        <is>
          <t>Amulette du Cœur Saignant; Anneau de Brouce; Chevalière du Roi Joueur; Ceinture de Brouce; Couronne du Roi Joueur; Cape du Cœur Saignant; Bottes du Cœur Saignant; Dofus Pourpre; Dofus Ocre; Dofus Turquoise; Dofus Ivoire</t>
        </is>
      </c>
    </row>
    <row r="29767">
      <c r="A29767" t="inlineStr">
        <is>
          <t>Iop M 200</t>
        </is>
      </c>
      <c r="B29767">
        <f>HYPERLINK("https://www.dofusbook.net/fr/equipement/4191528-iop-m-200/objets", "link")</f>
        <v/>
      </c>
      <c r="C29767" t="n">
        <v>2</v>
      </c>
      <c r="D29767" t="inlineStr">
        <is>
          <t>Arc corrompu; Amulette Volkorne; Bague Gloursonne; Quatre-feuilles; Ceinture Séculaire; Coiffe Séculaire; Cape de Diondin; Bottes de la Dame du Hasard; Dofus Ocre; Dofus Turquoise; Dofus Pourpre; Érudit majeur; Astucieux majeur; Nomade; Pioute rouge</t>
        </is>
      </c>
    </row>
    <row r="29768">
      <c r="A29768" t="inlineStr">
        <is>
          <t>Terre</t>
        </is>
      </c>
      <c r="B29768">
        <f>HYPERLINK("https://www.dofusbook.net/fr/equipement/2967110-terre/objets", "link")</f>
        <v/>
      </c>
      <c r="C29768" t="n">
        <v>0</v>
      </c>
      <c r="D29768" t="inlineStr">
        <is>
          <t>Dagues d'Ilyzaelle; Amulette du Cœur Saignant; Bague Trithon; Anneau de Brouce; Bouclier alvéolé; Ceinture de Brouce; Masque Trithon; Cape du Cœur Saignant; Bottes Trithon; Dofus Turquoise; Dofus Ivoire; Dofus des Glaces; Dofus Ocre; Dofus Pourpre; Dofus Abyssal</t>
        </is>
      </c>
    </row>
    <row r="29769">
      <c r="A29769" t="inlineStr">
        <is>
          <t>new terre</t>
        </is>
      </c>
      <c r="B29769">
        <f>HYPERLINK("https://www.dofusbook.net/fr/equipement/2566950-new-terre/objets", "link")</f>
        <v/>
      </c>
      <c r="C29769" t="n">
        <v>0</v>
      </c>
      <c r="D29769" t="inlineStr">
        <is>
          <t>Arc du Chalœil; Amulette du Cœur Saignant; Anneau Chevelu; Anneau de Brouce; Quatre-feuilles; Ceinture de Brouce; Masque de Koutoulou; Cape au Logis; Bottes du Cœur Saignant; Dofus Abyssal; Dofus Turquoise; Dofus des Glaces; Dofus Ocre; Dofus Pourpre; Forcené majeur; Muldo Prune et Pourpre</t>
        </is>
      </c>
    </row>
    <row r="29770">
      <c r="A29770" t="inlineStr">
        <is>
          <t>Terre roxx</t>
        </is>
      </c>
      <c r="B29770">
        <f>HYPERLINK("https://www.dofusbook.net/fr/equipement/2396477-terre-roxx-/objets", "link")</f>
        <v/>
      </c>
      <c r="C29770" t="n">
        <v>0</v>
      </c>
      <c r="D29770" t="inlineStr">
        <is>
          <t>Sceptre du Roi Joueur; Amulette de l'Œil Attentif; Anneau Glacial; Bracelet des Fonds marins; Quatre-feuilles; Ceinture Glaciale; Capuche de l'Œil Attentif; Cape de l'Œil Attentif; Sandales des Fonds marins; Dofus Vulbis; Dofus Ocre; Dofus Nébuleux; Dofus Ivoire; Dofus Turquoise; Dofus Pourpre; Muldo Ebène et Indigo</t>
        </is>
      </c>
    </row>
    <row r="29771">
      <c r="A29771" t="inlineStr">
        <is>
          <t>test levi</t>
        </is>
      </c>
      <c r="B29771">
        <f>HYPERLINK("https://www.dofusbook.net/fr/equipement/2253774-test-levi/objets", "link")</f>
        <v/>
      </c>
      <c r="C29771" t="n">
        <v>0</v>
      </c>
      <c r="D29771" t="inlineStr">
        <is>
          <t>Pyraguette; Collier de la Dame du Hasard; Alliance Gloursonne; Alliance du Lévitrof; Bouclier cubiste; Coiffe du Lévitrof; Cape de la Dame du Hasard; Bottes du Lévitrof; Dofus Ocre; Dofus Ivoire; Dolmanax; Dofus des Glaces; Dofus Pourpre; Dofus Abyssal; Muldo Indigo et Amande</t>
        </is>
      </c>
    </row>
    <row r="29772">
      <c r="A29772" t="inlineStr">
        <is>
          <t>test</t>
        </is>
      </c>
      <c r="B29772">
        <f>HYPERLINK("https://www.dofusbook.net/fr/equipement/2090476-test/objets", "link")</f>
        <v/>
      </c>
      <c r="C29772" t="n">
        <v>0</v>
      </c>
      <c r="D29772" t="inlineStr">
        <is>
          <t>Épée Brûlâme; Amulette du Strigide; Bracelet du Piloztère; Alliance Gloursonne; Quatre-feuilles; Ceinture du Strigide; Capuche de l'Œil Putride; Cape de l'Œil Putride; Bottes du Strigide; Dofus Pourpre; Dofus Turquoise; Dolmanax; Dofus des Glaces; Dofus Abyssal; Dofus Ocre; Muldo Prune et Ebène</t>
        </is>
      </c>
    </row>
    <row r="29773">
      <c r="A29773" t="inlineStr">
        <is>
          <t>terre</t>
        </is>
      </c>
      <c r="B29773">
        <f>HYPERLINK("https://www.dofusbook.net/fr/equipement/2046753-terre/objets", "link")</f>
        <v/>
      </c>
      <c r="C29773" t="n">
        <v>0</v>
      </c>
      <c r="D29773" t="inlineStr">
        <is>
          <t>Dagues d'Ilyzaelle; Amulette du Cœur Saignant; Chevalière du Roi Joueur; Anneau de Brouce; Bouclier du Captain Amakna; Ceinture de Brouce; Couronne du Roi Joueur; Cape du Cœur Saignant; Bottes du Cœur Saignant; Dofus Turquoise; Dofus Ocre; Dolmanax; Dofus des Glaces; Dofus Pourpre; Kompost</t>
        </is>
      </c>
    </row>
    <row r="29774">
      <c r="A29774" t="inlineStr">
        <is>
          <t>AIR EAU koutoulou</t>
        </is>
      </c>
      <c r="B29774">
        <f>HYPERLINK("https://www.dofusbook.net/fr/equipement/1693304-air-eau-koutoulou/objets", "link")</f>
        <v/>
      </c>
      <c r="C29774" t="n">
        <v>0</v>
      </c>
      <c r="D29774" t="inlineStr">
        <is>
          <t>Arc de Koutoulou; Amulette du Strigide; Anneau de Padgref; Alliance Gloursonne; Quatre-feuilles; Ceinture du Strigide; Némès de Tal Kasha; Chevelure de Tal Kasha; Sandales de Tal Kasha; Dofus Turquoise; Dofus Nébuleux; Dofus Ocre; Dofus Abyssal; Dofus Pourpre; Dolmanax; Muldo Ebène et Indigo</t>
        </is>
      </c>
    </row>
    <row r="29775">
      <c r="A29775" t="inlineStr">
        <is>
          <t>retrait pm pm</t>
        </is>
      </c>
      <c r="B29775">
        <f>HYPERLINK("https://www.dofusbook.net/fr/equipement/1765837-retrait-pm-pm/objets", "link")</f>
        <v/>
      </c>
      <c r="C29775" t="n">
        <v>1</v>
      </c>
      <c r="D29775" t="inlineStr">
        <is>
          <t>Baguette Hique; Collier de la Dame du Hasard; Alliance Gloursonne; Bracelet des Fonds marins; Bouclier cubiste; Poulpagne; Casquette de Meno; Cape Peupret; Bottes de Meno; Remueur; Ralentisseur majeur; Entraveur; Entraveur majeur; Temporiseur; Temporiseur majeur; Muldo Prune et Indigo</t>
        </is>
      </c>
    </row>
    <row r="29776">
      <c r="A29776" t="inlineStr">
        <is>
          <t>multi</t>
        </is>
      </c>
      <c r="B29776">
        <f>HYPERLINK("https://www.dofusbook.net/fr/equipement/1693122-multi/objets", "link")</f>
        <v/>
      </c>
      <c r="C29776" t="n">
        <v>0</v>
      </c>
      <c r="D29776" t="inlineStr">
        <is>
          <t>Sabres d'Atcham; Talisman Igans; Anneau Tique; Alliance Gloursonne; Quatre-feuilles; Ceintrigue; Dorabysses; Cape d'Atcham; Sandales  d'Atcham; Dofus Nébuleux; Dofus Turquoise; Dofus des Glaces; Dolmanax; Dofus Abyssal; Dofus Ocre</t>
        </is>
      </c>
    </row>
    <row r="29777">
      <c r="A29777" t="inlineStr">
        <is>
          <t>mode arc volkorne</t>
        </is>
      </c>
      <c r="B29777">
        <f>HYPERLINK("https://www.dofusbook.net/fr/equipement/4529910-mode-arc-volkorne/objets", "link")</f>
        <v/>
      </c>
      <c r="C29777" t="n">
        <v>0</v>
      </c>
      <c r="D29777" t="inlineStr">
        <is>
          <t>Arc Volkorne; Anneau de Padgref; Anneau Volkorne; Quatre-feuilles; Ceinture du Strigide; Coiffe de Padgref; Chevelure de Tal Kasha; Getas de Padgref; Dofus Pourpre; Dofus des Glaces; Dofus Turquoise; Dofus Abyssal; Dofus Ocre; Kokulte</t>
        </is>
      </c>
    </row>
    <row r="29778">
      <c r="A29778" t="inlineStr">
        <is>
          <t>Ouginak F 200</t>
        </is>
      </c>
      <c r="B29778">
        <f>HYPERLINK("https://www.dofusbook.net/fr/equipement/4632651-ouginak-f-200/objets", "link")</f>
        <v/>
      </c>
      <c r="C29778" t="n">
        <v>0</v>
      </c>
      <c r="D29778" t="inlineStr">
        <is>
          <t>Baguette Héroclite; Amulette de Shokkoth; Alliance Gloursonne; Anneau Volkorne; Bouclier du Stalak; Ceinture de la Reine des Voleurs; Kidibonnet; Cape du Sinistrofu; Bottes de la Reine des Voleurs; Dofus Pourpre; Dofus Ivoire; Dofus Ocre; Dofus Ébène; Dofus Abyssal; Chanceux majeur; Kanigloups</t>
        </is>
      </c>
    </row>
    <row r="29779">
      <c r="A29779" t="inlineStr">
        <is>
          <t>Iop M 200</t>
        </is>
      </c>
      <c r="B29779">
        <f>HYPERLINK("https://www.dofusbook.net/fr/equipement/4529435-iop-m-200/objets", "link")</f>
        <v/>
      </c>
      <c r="C29779" t="n">
        <v>0</v>
      </c>
      <c r="D29779" t="inlineStr">
        <is>
          <t>Bâton Beau; Amulette Volkorne; Anneau Volkorne; Chevalière du Roi Joueur; Quatre-feuilles; Ceinture Volkorne; Couronne du Roi Joueur; Cape de Jahash Jurgen; Bottes du Roi Joueur; Dofus Abyssal; Dofus Ébène</t>
        </is>
      </c>
    </row>
    <row r="29780">
      <c r="A29780" t="inlineStr">
        <is>
          <t>pandatank</t>
        </is>
      </c>
      <c r="B29780">
        <f>HYPERLINK("https://www.dofusbook.net/fr/equipement/4609778-pandatank/objets", "link")</f>
        <v/>
      </c>
      <c r="C29780" t="n">
        <v>0</v>
      </c>
      <c r="D29780" t="inlineStr">
        <is>
          <t>Rouleau à Pâtisserie d'Aermyne; Amulette de Shokkoth; Alliance Gloursonne; Bracelet des Fonds marins; Droiture de Fallanster; Ceinture de Dame Jhessica; Cape Solution; Sandales des Fonds marins; Dofus Ivoire; Dofus Ocre</t>
        </is>
      </c>
    </row>
    <row r="29781">
      <c r="A29781" t="inlineStr">
        <is>
          <t>Eniripsa feu</t>
        </is>
      </c>
      <c r="B29781">
        <f>HYPERLINK("https://www.dofusbook.net/fr/equipement/4530012-eniripsa-feu-/objets", "link")</f>
        <v/>
      </c>
      <c r="C29781" t="n">
        <v>1</v>
      </c>
      <c r="D29781" t="inlineStr">
        <is>
          <t>Arc corrompu; Amulette Séculaire; Anneau Tamie; Anneau Tamie; Bouclier du Stalak; Ceinture Séculaire; Heaume Oplate; Pataugastrique; Astucieux majeur; Remueur; Érudit majeur; Nomade; Brûlih</t>
        </is>
      </c>
    </row>
    <row r="29782">
      <c r="A29782" t="inlineStr">
        <is>
          <t>FEU</t>
        </is>
      </c>
      <c r="B29782">
        <f>HYPERLINK("https://www.dofusbook.net/fr/equipement/4593809-feu/objets", "link")</f>
        <v/>
      </c>
      <c r="C29782" t="n">
        <v>1</v>
      </c>
      <c r="D29782" t="inlineStr">
        <is>
          <t>Arc corrompu; Amulette Volkorne; Anneauræus; Bague Gloursonne; Bouclier du Stalak; Ceinture Volkorne; Heaume Oplate; Voile d'encre; Bottes Innommables; Dofus Ocre; Dofus Ébène; Dofus Pourpre; Dofus Ivoire; Dofus des Glaces; Dofus Abyssal</t>
        </is>
      </c>
    </row>
    <row r="29783">
      <c r="A29783" t="inlineStr">
        <is>
          <t>Osamodas M 200</t>
        </is>
      </c>
      <c r="B29783">
        <f>HYPERLINK("https://www.dofusbook.net/fr/equipement/4588028-osamodas-m-200/objets", "link")</f>
        <v/>
      </c>
      <c r="C29783" t="n">
        <v>0</v>
      </c>
      <c r="D29783" t="inlineStr">
        <is>
          <t>Lav'Hache; Collier de Tourthon; Anneau Chevelu; Anneau Volkorne; Ceinture Volkorne; Casque Dragoeuf; Cape du Cœur Saignant; Bottes Dogues</t>
        </is>
      </c>
    </row>
    <row r="29784">
      <c r="A29784" t="inlineStr">
        <is>
          <t>Iop F 200</t>
        </is>
      </c>
      <c r="B29784">
        <f>HYPERLINK("https://www.dofusbook.net/fr/equipement/3358701-iop-f-200/objets", "link")</f>
        <v/>
      </c>
      <c r="C29784" t="n">
        <v>0</v>
      </c>
      <c r="D29784" t="inlineStr">
        <is>
          <t>Arc du Chalœil; Amulette du Strigide; Bracelet du Piloztère; Bague Gloursonne; Bouclier du Captain Amakna; Ceinture du Strigide; Masque de Koutoulou; Cape au Logis; Baleinabottes; Remueur; Sanguinaire majeur; Furibond majeur; Enragé majeur; Forcené majeur; Vigoureux majeur; Muldo Prune et Emeraude</t>
        </is>
      </c>
    </row>
    <row r="29785">
      <c r="A29785" t="inlineStr">
        <is>
          <t>Sram F 200</t>
        </is>
      </c>
      <c r="B29785">
        <f>HYPERLINK("https://www.dofusbook.net/fr/equipement/3388751-sram-f-200/objets", "link")</f>
        <v/>
      </c>
      <c r="C29785" t="n">
        <v>0</v>
      </c>
      <c r="D29785" t="inlineStr"/>
    </row>
    <row r="29786">
      <c r="A29786" t="inlineStr">
        <is>
          <t>Crâ F 200</t>
        </is>
      </c>
      <c r="B29786">
        <f>HYPERLINK("https://www.dofusbook.net/fr/equipement/3388674-cra-f-200/objets", "link")</f>
        <v/>
      </c>
      <c r="C29786" t="n">
        <v>0</v>
      </c>
      <c r="D29786" t="inlineStr">
        <is>
          <t>Amulette du Strigide; Bracelet du Piloztère; Anneau de Padgref; Quatre-feuilles; Ceintacé; Coiffe de Padgref; Cape des Justiciers; Dofus Turquoise; Enragé majeur; Remueur; Chanceux majeur; Nomade; Vigoureux majeur; Muldo Prune et Emeraude</t>
        </is>
      </c>
    </row>
    <row r="29787">
      <c r="A29787" t="inlineStr">
        <is>
          <t>Roublard M 200</t>
        </is>
      </c>
      <c r="B29787">
        <f>HYPERLINK("https://www.dofusbook.net/fr/equipement/3386415-roublard-m-200/objets", "link")</f>
        <v/>
      </c>
      <c r="C29787" t="n">
        <v>0</v>
      </c>
      <c r="D29787" t="inlineStr">
        <is>
          <t>Collier du Valet Veinard; Gant du Valet Veinard; Alliance Gloursonne; Menoture; Couronne d'Allister; Cape Indescriptible; Palmes Trithons</t>
        </is>
      </c>
    </row>
    <row r="29788">
      <c r="A29788" t="inlineStr">
        <is>
          <t>Crâ F 200</t>
        </is>
      </c>
      <c r="B29788">
        <f>HYPERLINK("https://www.dofusbook.net/fr/equipement/3315694-cra-f-200/objets", "link")</f>
        <v/>
      </c>
      <c r="C29788" t="n">
        <v>0</v>
      </c>
      <c r="D29788" t="inlineStr">
        <is>
          <t>Hache du Chalœil; Amulette du Strigide; Alliance Gloursonne; Bracelet du Piloztère; Quatre-feuilles; Ceintacé; Casque du Chalœil; Cape des Justiciers; Bottes du Chalœil; Cascadeur majeur; Nomade; Sanguinaire majeur; Vigoureux majeur; Enragé majeur; Remueur; Muldo Prune et Emeraude</t>
        </is>
      </c>
    </row>
    <row r="29789">
      <c r="A29789" t="inlineStr">
        <is>
          <t>Osamodas F 200</t>
        </is>
      </c>
      <c r="B29789">
        <f>HYPERLINK("https://www.dofusbook.net/fr/equipement/3315765-osamodas-f-200/objets", "link")</f>
        <v/>
      </c>
      <c r="C29789" t="n">
        <v>2</v>
      </c>
      <c r="D29789" t="inlineStr">
        <is>
          <t>Dagues Érhy; Amulette Ementaire Deluxe; Alliance Gloursonne; Anneau Chevelu; Bouclier d'Anerice; Ceinture Luminescente; Masque de Koutoulou; Cape d'Anerice; Bottes du Cœur Saignant; Dofus Ivoire; Dokoko; Enragé majeur; Remueur; Miraculé majeur; Nomade; Péki</t>
        </is>
      </c>
    </row>
    <row r="29790">
      <c r="A29790" t="inlineStr">
        <is>
          <t>Osamodas F 200</t>
        </is>
      </c>
      <c r="B29790">
        <f>HYPERLINK("https://www.dofusbook.net/fr/equipement/3329820-osamodas-f-200/objets", "link")</f>
        <v/>
      </c>
      <c r="C29790" t="n">
        <v>0</v>
      </c>
      <c r="D29790" t="inlineStr"/>
    </row>
    <row r="29791">
      <c r="A29791" t="inlineStr">
        <is>
          <t>Osamodas F 200</t>
        </is>
      </c>
      <c r="B29791">
        <f>HYPERLINK("https://www.dofusbook.net/fr/equipement/3317276-osamodas-f-200/objets", "link")</f>
        <v/>
      </c>
      <c r="C29791" t="n">
        <v>0</v>
      </c>
      <c r="D29791" t="inlineStr">
        <is>
          <t>Sceptre du Roi Joueur; Amulette Ementaire Deluxe; Alliance Gloursonne; Bracelet des Fonds marins; Bouclier d'Anerice; Sangle Ouare; Kidibonnet; Cape d'Anerice; Chaussons de Macrab; Dokoko; Dofus Émeraude; Dofus Ivoire; Miraculé majeur; Remueur; Carapace Air majeur; El Scarador</t>
        </is>
      </c>
    </row>
    <row r="29792">
      <c r="A29792" t="inlineStr">
        <is>
          <t>Osamodas F 200</t>
        </is>
      </c>
      <c r="B29792">
        <f>HYPERLINK("https://www.dofusbook.net/fr/equipement/3315692-osamodas-f-200/objets", "link")</f>
        <v/>
      </c>
      <c r="C29792" t="n">
        <v>1</v>
      </c>
      <c r="D29792" t="inlineStr">
        <is>
          <t>Sceptre du Roi Joueur; Collier Rophante; Bracelet des Fonds marins; Alliance Gloursonne; Bouclier d'Ilyzaelle; Sangle Ouare; Kidibonnet; Cape d'Anerice; Sandales des Fonds marins; Dokoko; Dofus Ivoire; Dofus Émeraude; Miraculé majeur; Chanceux majeur; Remueur; Croum</t>
        </is>
      </c>
    </row>
    <row r="29793">
      <c r="A29793" t="inlineStr">
        <is>
          <t>Pandawa M 200</t>
        </is>
      </c>
      <c r="B29793">
        <f>HYPERLINK("https://www.dofusbook.net/fr/equipement/5958870-pandawa-m-200/objets", "link")</f>
        <v/>
      </c>
      <c r="C29793" t="n">
        <v>0</v>
      </c>
      <c r="D29793" t="inlineStr">
        <is>
          <t>Rouleau à Pâtisserie d'Aermyne; Collier Rophante; Alliance Gloursonne; Anneau de Pol Ouatnos; Bouclier précieux; Ceintacé; Masque d'Anerice; Cape d'Anerice; Pataugastrique; Dofus Émeraude; Dofus Ivoire; Miraculé majeur; Bloqueur majeur; Tacleur majeur; Obstructeur majeur; Kougnard</t>
        </is>
      </c>
    </row>
    <row r="29794">
      <c r="A29794" t="inlineStr">
        <is>
          <t>Eliotrope M 200</t>
        </is>
      </c>
      <c r="B29794">
        <f>HYPERLINK("https://www.dofusbook.net/fr/equipement/5362520-eliotrope-m-200/objets", "link")</f>
        <v/>
      </c>
      <c r="C29794" t="n">
        <v>0</v>
      </c>
      <c r="D29794" t="inlineStr">
        <is>
          <t>Arc corrompu; Amulette Volkorne; Anneauræus; Anneauræus; Bouclier du Stalak; Ceinture Volkorne; Heaume Oplate; Voile d'encre; Bottes Innommables; Nomade; Astucieux majeur; Guérisseur majeur; Remueur; Érudit majeur; Savant majeur; Brûlih</t>
        </is>
      </c>
    </row>
    <row r="29795">
      <c r="A29795" t="inlineStr">
        <is>
          <t>Iop F 200</t>
        </is>
      </c>
      <c r="B29795">
        <f>HYPERLINK("https://www.dofusbook.net/fr/equipement/5042541-iop-f-200/objets", "link")</f>
        <v/>
      </c>
      <c r="C29795" t="n">
        <v>12</v>
      </c>
      <c r="D29795" t="inlineStr">
        <is>
          <t>Arc du Chalœil; Collier de Tourthon; Anneau de Brouce; Bague Gloursonne; Bouclier du Stalak; Ceinture Gence; Coiffe du Comte Harebourg; Cape au Logis; Bottes du Comte Harebourg; Dofus Pourpre; Forcené majeur; Vigoureux majeur; Remueur; Robuste majeur; Enragé majeur; Kompost</t>
        </is>
      </c>
    </row>
    <row r="29796">
      <c r="A29796" t="inlineStr">
        <is>
          <t>Eliotrope M 200</t>
        </is>
      </c>
      <c r="B29796">
        <f>HYPERLINK("https://www.dofusbook.net/fr/equipement/5751524-eliotrope-m-200/objets", "link")</f>
        <v/>
      </c>
      <c r="C29796" t="n">
        <v>0</v>
      </c>
      <c r="D29796" t="inlineStr">
        <is>
          <t>Manthache; Collier du Valet Veinard; Alliance Gloursonne; Gant du Valet Veinard; Bouclier du Stalak; Menoture; Dorabysses; Cape Martegel; Palmes Trithons; Dofus Ocre; Dofus Nébuleux; Dofus Ivoire; Dofus Vulbis; Dofus Ébène; Cascadeur majeur; Blérodoudou</t>
        </is>
      </c>
    </row>
    <row r="29797">
      <c r="A29797" t="inlineStr">
        <is>
          <t>Pandawa M 200</t>
        </is>
      </c>
      <c r="B29797">
        <f>HYPERLINK("https://www.dofusbook.net/fr/equipement/5958933-pandawa-m-200/objets", "link")</f>
        <v/>
      </c>
      <c r="C29797" t="n">
        <v>0</v>
      </c>
      <c r="D29797" t="inlineStr"/>
    </row>
    <row r="29798">
      <c r="A29798" t="inlineStr">
        <is>
          <t>Eliotrope M 200</t>
        </is>
      </c>
      <c r="B29798">
        <f>HYPERLINK("https://www.dofusbook.net/fr/equipement/5704202-eliotrope-m-200/objets", "link")</f>
        <v/>
      </c>
      <c r="C29798" t="n">
        <v>0</v>
      </c>
      <c r="D29798" t="inlineStr">
        <is>
          <t>Baguette de Torkélonia; Amulette du Cœur Saignant; Bague Gloursonne; Anneau Volkorne; Quatre-feuilles; Ceinture Volkorne; Corne de Torkélonia; Cape du Cœur Saignant; Bottes du Cœur Saignant; Dofus Vulbis; Dofus Abyssal; Dofus Ocre; Dofus Ivoire; Dofus Turquoise; Dofus Ébène; Pioute vert</t>
        </is>
      </c>
    </row>
    <row r="29799">
      <c r="A29799" t="inlineStr">
        <is>
          <t>Eliotrope M 200</t>
        </is>
      </c>
      <c r="B29799">
        <f>HYPERLINK("https://www.dofusbook.net/fr/equipement/4885098-eliotrope-m-200/objets", "link")</f>
        <v/>
      </c>
      <c r="C29799" t="n">
        <v>3</v>
      </c>
      <c r="D29799" t="inlineStr">
        <is>
          <t>Arc du Chalœil; Amulette du Cœur Saignant; Chevalière du Roi Joueur; Anneau Volkorne; Quatre-feuilles; Ceinture Volkorne; Couronne du Roi Joueur; Cape du Cœur Saignant; Bottes du Cœur Saignant; Dofus Ocre; Dofus Ébène; Dofus Turquoise; Dofus Pourpre; Dofus Ivoire; Voyageur; Sakochère</t>
        </is>
      </c>
    </row>
    <row r="29800">
      <c r="A29800" t="inlineStr">
        <is>
          <t>Eliotrope M 200</t>
        </is>
      </c>
      <c r="B29800">
        <f>HYPERLINK("https://www.dofusbook.net/fr/equipement/5872460-eliotrope-m-200/objets", "link")</f>
        <v/>
      </c>
      <c r="C29800" t="n">
        <v>0</v>
      </c>
      <c r="D29800" t="inlineStr">
        <is>
          <t>Hache Téroïde; Amulette du Strigide; Chevalière du Roi Joueur; Anneau Volkorne; Quatre-feuilles; Ceinture Volkorne; Couronne du Roi Joueur; Voile d'encre; Bottes du Roi Joueur; Dofus Ocre; Dofus Ébène; Dofus Abyssal; Dofus Turquoise; Dofus Vulbis; Dofus Ivoire; Sakochère</t>
        </is>
      </c>
    </row>
    <row r="29801">
      <c r="A29801" t="inlineStr">
        <is>
          <t>Eliotrope M 200</t>
        </is>
      </c>
      <c r="B29801">
        <f>HYPERLINK("https://www.dofusbook.net/fr/equipement/5820304-eliotrope-m-200/objets", "link")</f>
        <v/>
      </c>
      <c r="C29801" t="n">
        <v>0</v>
      </c>
      <c r="D29801" t="inlineStr">
        <is>
          <t>Manthache; Collier du Valet Veinard; Gant du Valet Veinard; Anneau d'Allister; Bouclier du Stalak; Ceinture du Nocturlabe; Couronne d'Allister; Cape du Valet Veinard; Bottes d'Allister; Dofus Vulbis; Dofus Pourpre; Dofus Ocre; Equilibriste majeur; Acrobate majeur; Blérodoudou</t>
        </is>
      </c>
    </row>
    <row r="29802">
      <c r="A29802" t="inlineStr">
        <is>
          <t>Huppermage M 200</t>
        </is>
      </c>
      <c r="B29802">
        <f>HYPERLINK("https://www.dofusbook.net/fr/equipement/5793777-huppermage-m-200/objets", "link")</f>
        <v/>
      </c>
      <c r="C29802" t="n">
        <v>0</v>
      </c>
      <c r="D29802" t="inlineStr">
        <is>
          <t>Hache Téroïde; Amulette du Strigide; Bague Gloursonne; Bague Trithon; Quatre-feuilles; Ceinture du Strigide; Masque Trithon; Voile d'encre; Bottes Trithon; Dofus Vulbis; Dofus Ocre; Dofus Ébène; Dofus Ivoire; Dofus Turquoise; Dofus des Glaces; Kokulte</t>
        </is>
      </c>
    </row>
    <row r="29803">
      <c r="A29803" t="inlineStr">
        <is>
          <t>Iop M 200</t>
        </is>
      </c>
      <c r="B29803">
        <f>HYPERLINK("https://www.dofusbook.net/fr/equipement/5763656-iop-m-200/objets", "link")</f>
        <v/>
      </c>
      <c r="C29803" t="n">
        <v>0</v>
      </c>
      <c r="D29803" t="inlineStr">
        <is>
          <t>Arc du Chalœil; Amulette du Strigide; Anneau du Comte Harebourg; Anneau de Brouce; Quatre-feuilles; Ceinture de Brouce; Corne de Torkélonia; Carapace de Torkélonia; Bottes de Brouce; Dofus Turquoise; Dofus des Glaces; Dofus Vulbis; Dofus Ocre; Dofus Pourpre; Dofus Ébène; Pioute vert</t>
        </is>
      </c>
    </row>
    <row r="29804">
      <c r="A29804" t="inlineStr">
        <is>
          <t>Eliotrope M 200</t>
        </is>
      </c>
      <c r="B29804">
        <f>HYPERLINK("https://www.dofusbook.net/fr/equipement/5751563-eliotrope-m-200/objets", "link")</f>
        <v/>
      </c>
      <c r="C29804" t="n">
        <v>0</v>
      </c>
      <c r="D29804" t="inlineStr">
        <is>
          <t>Arc corrompu; Pendentif affamé; Anneauræus; Anneauræus; Bouclier du Stalak; Ceinture Séculaire; Coiffe Séculaire; Voile d'encre; Pataugastrique; Dofus Ébène; Dofus Vulbis; Dofus Ocre; Dofus Abyssal; Dofus Ivoire; Érudit majeur; Bisouglours</t>
        </is>
      </c>
    </row>
    <row r="29805">
      <c r="A29805" t="inlineStr">
        <is>
          <t>Iop M 200</t>
        </is>
      </c>
      <c r="B29805">
        <f>HYPERLINK("https://www.dofusbook.net/fr/equipement/5445086-iop-m-200/objets", "link")</f>
        <v/>
      </c>
      <c r="C29805" t="n">
        <v>4</v>
      </c>
      <c r="D29805" t="inlineStr">
        <is>
          <t>Baguette Range; Amulette du Strigide; Bracelet du Piloztère; Anneau de Padgref; Quatre-feuilles; Ceinture du Strigide; Coiffe de Padgref; Chevelure de Tal Kasha; Getas de Padgref; Dofus des Glaces; Dofus Ocre; Dofus Ébène; Dofus Turquoise; Dofus Pourpre; Dofus Vulbis; Kokulte</t>
        </is>
      </c>
    </row>
    <row r="29806">
      <c r="A29806" t="inlineStr">
        <is>
          <t>Zobal M 200</t>
        </is>
      </c>
      <c r="B29806">
        <f>HYPERLINK("https://www.dofusbook.net/fr/equipement/5418102-zobal-m-200/objets", "link")</f>
        <v/>
      </c>
      <c r="C29806" t="n">
        <v>6</v>
      </c>
      <c r="D29806" t="inlineStr">
        <is>
          <t>Arc du Chalœil; Torquistik; Bague Trithon; Bague Instable; Bouclier précieux; Sangle Ouare; Casque Dragoeuf; Cape Solution; Bottistik; Dofus Émeraude; Dofus Ivoire; Dofus Ocre; Culbuteur majeur; Pousseur majeur; Bousculeur majeur; Balafreux</t>
        </is>
      </c>
    </row>
    <row r="29807">
      <c r="A29807" t="inlineStr">
        <is>
          <t>Eliotrope M 200</t>
        </is>
      </c>
      <c r="B29807">
        <f>HYPERLINK("https://www.dofusbook.net/fr/equipement/5421984-eliotrope-m-200/objets", "link")</f>
        <v/>
      </c>
      <c r="C29807" t="n">
        <v>0</v>
      </c>
      <c r="D29807" t="inlineStr">
        <is>
          <t>Hache à Lamelles; Collier du Minotot; Bracelet du Minotot; Tranche des Sous-bois; Casque Harnage; Cape du Minotot; Bottines des sous-bois; Dofus Ocre; Dofus Kaliptus; Taquin; Joueur majeur; Joueur; Taquin majeur; Nomoon</t>
        </is>
      </c>
    </row>
    <row r="29808">
      <c r="A29808" t="inlineStr">
        <is>
          <t>Ecaflip M 200</t>
        </is>
      </c>
      <c r="B29808">
        <f>HYPERLINK("https://www.dofusbook.net/fr/equipement/5421950-ecaflip-m-200/objets", "link")</f>
        <v/>
      </c>
      <c r="C29808" t="n">
        <v>1</v>
      </c>
      <c r="D29808" t="inlineStr">
        <is>
          <t>Hache du Chalœil; Amulette du Strigide; Alliance Gloursonne; Anneau Tique; Quatre-feuilles; Ceintacé; Némès de Tal Kasha; Voile d'encre; Bottes du Strigide; Dofus Turquoise; Dofus Ivoire; Dofus Pourpre; Dofus Ébène; Nomade; Remueur; Kokulte</t>
        </is>
      </c>
    </row>
    <row r="29809">
      <c r="A29809" t="inlineStr">
        <is>
          <t>Eliotrope M 200</t>
        </is>
      </c>
      <c r="B29809">
        <f>HYPERLINK("https://www.dofusbook.net/fr/equipement/5407222-eliotrope-m-200/objets", "link")</f>
        <v/>
      </c>
      <c r="C29809" t="n">
        <v>0</v>
      </c>
      <c r="D29809" t="inlineStr">
        <is>
          <t>Dagoulinantes; Amulette de Shokkoth; Anneau Volkorne; Alliance Gloursonne; Bouclier du Stalak; Poulpagne; Capuche de l'Œil Attentif; Cape du Sinistrofu; Bottes du Sinistrofu; Dofus Vulbis; Dofus Ivoire; Dofus Ocre; Dofus Ébène; Dofus Abyssal; Chanceux majeur; Kanigloups</t>
        </is>
      </c>
    </row>
    <row r="29810">
      <c r="A29810" t="inlineStr">
        <is>
          <t>Eliotrope M 200</t>
        </is>
      </c>
      <c r="B29810">
        <f>HYPERLINK("https://www.dofusbook.net/fr/equipement/5403424-eliotrope-m-200/objets", "link")</f>
        <v/>
      </c>
      <c r="C29810" t="n">
        <v>1</v>
      </c>
      <c r="D29810" t="inlineStr">
        <is>
          <t>Rapière aux Glyphes; Amulette Volkorne; Alliance Gloursonne; Anneau Volkorne; Quatre-feuilles; Pagne du Rykaon; Capuche de l'Œil Attentif; Cape de l'Œil Attentif; Pataugastrique; Dofus Turquoise; Dofus Ébène; Dofus Ocre; Dofus Abyssal; Dofus Vulbis; Dofus Ivoire; Pioute bleu</t>
        </is>
      </c>
    </row>
    <row r="29811">
      <c r="A29811" t="inlineStr">
        <is>
          <t>Zobal M 200</t>
        </is>
      </c>
      <c r="B29811">
        <f>HYPERLINK("https://www.dofusbook.net/fr/equipement/5041982-zobal-m-200/objets", "link")</f>
        <v/>
      </c>
      <c r="C29811" t="n">
        <v>121</v>
      </c>
      <c r="D29811" t="inlineStr">
        <is>
          <t>Arc Nécrotique; Amulette Volkorne; Anneau Volkorne; Bague Trithon; Quatre-feuilles; Ceintacé; Masque Trithon; Cape de la Dame du Hasard; Bottes de la Dame du Hasard; Dofus Nébuleux; Dofus Ivoire; Dofus Turquoise; Dofus Abyssal; Dofus Ocre; Dofus Ébène; Kokulte</t>
        </is>
      </c>
    </row>
    <row r="29812">
      <c r="A29812" t="inlineStr">
        <is>
          <t>Eliotrope M 200</t>
        </is>
      </c>
      <c r="B29812">
        <f>HYPERLINK("https://www.dofusbook.net/fr/equipement/5376699-eliotrope-m-200/objets", "link")</f>
        <v/>
      </c>
      <c r="C29812" t="n">
        <v>1</v>
      </c>
      <c r="D29812" t="inlineStr">
        <is>
          <t>Sceptre du Roi Joueur; Amulette de Shokkoth; Anneau Volkorne; Alliance Gloursonne; Bouclier du Stalak; Ceinture Glaciale; Diadème de Ganymède; Cape Glaciale; Sandales des Fonds marins; Dofus Ivoire; Dofus Ocre; Dofus Ébène; Dofus Vulbis; Dofus Abyssal; Chanceux majeur; Dehluge</t>
        </is>
      </c>
    </row>
    <row r="29813">
      <c r="A29813" t="inlineStr">
        <is>
          <t>Eliotrope M 200</t>
        </is>
      </c>
      <c r="B29813">
        <f>HYPERLINK("https://www.dofusbook.net/fr/equipement/5376350-eliotrope-m-200/objets", "link")</f>
        <v/>
      </c>
      <c r="C29813" t="n">
        <v>0</v>
      </c>
      <c r="D29813" t="inlineStr">
        <is>
          <t>Manthache; Collier du Valet Veinard; Alliance Gloursonne; Gant du Valet Veinard; Bouclier du Stalak; Menoture; Couronne d'Allister; Cape Martegel; Palmes Trithons; Dofus Ébène; Dofus Vulbis; Dofus Ivoire; Dofus Abyssal; Dofus Ocre; Cascadeur majeur; Blérodoudou</t>
        </is>
      </c>
    </row>
    <row r="29814">
      <c r="A29814" t="inlineStr">
        <is>
          <t>Eliotrope M 200</t>
        </is>
      </c>
      <c r="B29814">
        <f>HYPERLINK("https://www.dofusbook.net/fr/equipement/5355000-eliotrope-m-200/objets", "link")</f>
        <v/>
      </c>
      <c r="C29814" t="n">
        <v>0</v>
      </c>
      <c r="D29814" t="inlineStr">
        <is>
          <t>Arc corrompu; Amulette Volkorne; Anneau Tique; Anneau de Nidas; Quatre-feuilles; Ceinture Séculaire; Coiffe Séculaire; Voile d'encre; Pataugastrique; Dofus Ébène; Dofus Turquoise; Dofus Ivoire; Dofus Ocre; Dofus Vulbis; Érudit majeur; Pioute rouge</t>
        </is>
      </c>
    </row>
    <row r="29815">
      <c r="A29815" t="inlineStr">
        <is>
          <t>Huppermage M 200</t>
        </is>
      </c>
      <c r="B29815">
        <f>HYPERLINK("https://www.dofusbook.net/fr/equipement/5362277-huppermage-m-200/objets", "link")</f>
        <v/>
      </c>
      <c r="C29815" t="n">
        <v>0</v>
      </c>
      <c r="D29815" t="inlineStr"/>
    </row>
    <row r="29816">
      <c r="A29816" t="inlineStr">
        <is>
          <t>Eliotrope M 200</t>
        </is>
      </c>
      <c r="B29816">
        <f>HYPERLINK("https://www.dofusbook.net/fr/equipement/5295565-eliotrope-m-200/objets", "link")</f>
        <v/>
      </c>
      <c r="C29816" t="n">
        <v>0</v>
      </c>
      <c r="D29816" t="inlineStr">
        <is>
          <t>Manthache; Collier du Valet Veinard; Alliance Gloursonne; Gant du Valet Veinard; Bouclier du Stalak; Menoture; Couronne d'Allister; Cape Indescriptible; Palmes Trithons; Dofus Ébène; Dofus Pourpre; Dofus Vulbis; Dofus Ocre; Dofus Ivoire; Cascadeur majeur; Dragodinde Amande et Ebène</t>
        </is>
      </c>
    </row>
    <row r="29817">
      <c r="A29817" t="inlineStr">
        <is>
          <t>Zobal M 200</t>
        </is>
      </c>
      <c r="B29817">
        <f>HYPERLINK("https://www.dofusbook.net/fr/equipement/5276043-zobal-m-200/objets", "link")</f>
        <v/>
      </c>
      <c r="C29817" t="n">
        <v>2</v>
      </c>
      <c r="D29817" t="inlineStr">
        <is>
          <t>Dagues Cacterre; Amulette du Strigide; Anneau de Padgref; Anneau Tique; Bouclier du Captain Amakna; Ceinture du Strigide; Coiffe de Padgref; Cape d'Atcham; Getas de Padgref; Dofus Vulbis; Dofus Turquoise; Dofus Pourpre; Dofus Ivoire; Dofus des Glaces; Dofus Ocre; Kokulte</t>
        </is>
      </c>
    </row>
    <row r="29818">
      <c r="A29818" t="inlineStr">
        <is>
          <t>Iop M 200</t>
        </is>
      </c>
      <c r="B29818">
        <f>HYPERLINK("https://www.dofusbook.net/fr/equipement/5248301-iop-m-200/objets", "link")</f>
        <v/>
      </c>
      <c r="C29818" t="n">
        <v>0</v>
      </c>
      <c r="D29818" t="inlineStr">
        <is>
          <t>Marteau R'ture; Amulette du Strigide; Anneau Volkorne; Anneau Chevelu; Cadran d'Eau; Ceinture Volkorne; Masque de Koutoulou; Cape au Logis; Bottes du Cœur Saignant; Dofus Pourpre; Dofus Ivoire; Dofus Turquoise; Dofus Nébuleux; Dofus Ocre; Enragé majeur; Pioute vert</t>
        </is>
      </c>
    </row>
    <row r="29819">
      <c r="A29819" t="inlineStr">
        <is>
          <t>Eliotrope M 200</t>
        </is>
      </c>
      <c r="B29819">
        <f>HYPERLINK("https://www.dofusbook.net/fr/equipement/4885937-eliotrope-m-200/objets", "link")</f>
        <v/>
      </c>
      <c r="C29819" t="n">
        <v>0</v>
      </c>
      <c r="D29819" t="inlineStr">
        <is>
          <t>Marteau R'ture; Amulette du Cœur Saignant; Chevalière du Roi Joueur; Anneau Volkorne; Cadran d'Eau; Ceinture Volkorne; Couronne du Roi Joueur; Cape du Cœur Saignant; Bottes du Cœur Saignant; Dofus Ocre; Dofus Ébène; Dofus Turquoise; Dofus Ivoire; Dofus Pourpre; Dofus Vulbis; Pioute vert</t>
        </is>
      </c>
    </row>
    <row r="29820">
      <c r="A29820" t="inlineStr">
        <is>
          <t>Crâ M 200</t>
        </is>
      </c>
      <c r="B29820">
        <f>HYPERLINK("https://www.dofusbook.net/fr/equipement/5157465-cra-m-200/objets", "link")</f>
        <v/>
      </c>
      <c r="C29820" t="n">
        <v>1</v>
      </c>
      <c r="D29820" t="inlineStr">
        <is>
          <t>Amulette Volkorne; Anneau Volkorne; Ceinture Volkorne; Voile d'encre; Chaussons de Macrab</t>
        </is>
      </c>
    </row>
    <row r="29821">
      <c r="A29821" t="inlineStr">
        <is>
          <t>Eliotrope M 200</t>
        </is>
      </c>
      <c r="B29821">
        <f>HYPERLINK("https://www.dofusbook.net/fr/equipement/4831687-eliotrope-m-200/objets", "link")</f>
        <v/>
      </c>
      <c r="C29821" t="n">
        <v>2</v>
      </c>
      <c r="D29821" t="inlineStr">
        <is>
          <t>Arc corrompu; Amulette Volkorne; Anneauræus; Anneauræus; Bouclier du Stalak; Ceinture Séculaire; Coiffe Séculaire; Voile d'encre; Pataugastrique; Dofus Ivoire; Dofus Ocre; Dofus Ébène; Astucieux majeur; Nomade; Érudit majeur; Bisouglours</t>
        </is>
      </c>
    </row>
    <row r="29822">
      <c r="A29822" t="inlineStr">
        <is>
          <t>Eliotrope M 200</t>
        </is>
      </c>
      <c r="B29822">
        <f>HYPERLINK("https://www.dofusbook.net/fr/equipement/5103414-eliotrope-m-200/objets", "link")</f>
        <v/>
      </c>
      <c r="C29822" t="n">
        <v>0</v>
      </c>
      <c r="D29822" t="inlineStr">
        <is>
          <t>Arc du Chalœil; Amulette du Cœur Saignant; Alliance de Missiz Frizz; Anneau Volkorne; Quatre-feuilles; Ceinture Volkorne; Casque de Missiz Frizz; Cape du Cœur Saignant; Bottes du Cœur Saignant; Dofus Vulbis; Dofus Ocre; Dofus Pourpre; Dofus Ébène; Dofus Turquoise; Dofus Ivoire; Kokulte</t>
        </is>
      </c>
    </row>
    <row r="29823">
      <c r="A29823" t="inlineStr">
        <is>
          <t>Iop F 200</t>
        </is>
      </c>
      <c r="B29823">
        <f>HYPERLINK("https://www.dofusbook.net/fr/equipement/5042561-iop-f-200/objets", "link")</f>
        <v/>
      </c>
      <c r="C29823" t="n">
        <v>0</v>
      </c>
      <c r="D29823" t="inlineStr">
        <is>
          <t>Bâton Beau; Amulette du Strigide; Anneau Chevelu; Bague Gloursonne; Quatre-feuilles; Ceintacé; Masque Brûlâme; Cape au Logis; Bottes du Strigide; Dofus des Glaces; Dofus Turquoise; Dofus Pourpre; Remueur; Vigoureux majeur; Miraculé majeur; Kokulte</t>
        </is>
      </c>
    </row>
    <row r="29824">
      <c r="A29824" t="inlineStr">
        <is>
          <t>Zobal M 200</t>
        </is>
      </c>
      <c r="B29824">
        <f>HYPERLINK("https://www.dofusbook.net/fr/equipement/5026441-zobal-m-200/objets", "link")</f>
        <v/>
      </c>
      <c r="C29824" t="n">
        <v>3</v>
      </c>
      <c r="D29824" t="inlineStr">
        <is>
          <t>Arc Nécrotique; Amulette Volkorne; Bague Trithon; Anneau Volkorne; Quatre-feuilles; Ceintacé; Masque Trithon; Cape de la Dame du Hasard; Bottes de la Dame du Hasard; Dofus Turquoise; Dofus Vulbis; Dofus Abyssal; Dofus Ébène; Dofus Ocre; Dofus Ivoire; Kokulte</t>
        </is>
      </c>
    </row>
    <row r="29825">
      <c r="A29825" t="inlineStr">
        <is>
          <t>Ecaflip M 200</t>
        </is>
      </c>
      <c r="B29825">
        <f>HYPERLINK("https://www.dofusbook.net/fr/equipement/5013631-ecaflip-m-200/objets", "link")</f>
        <v/>
      </c>
      <c r="C29825" t="n">
        <v>1</v>
      </c>
      <c r="D29825" t="inlineStr">
        <is>
          <t>Bagdette Café; Amulette du Strigide; Anneau Volkorne; Alliance Gloursonne; Bouclier du Stalak; Sangle Ouare; Némès de Tal Kasha; Chevelure de Tal Kasha; Pataugastrique; Dofus Nébuleux; Dofus Pourpre; Dofus Turquoise; Dofus Ivoire; Dofus Ocre; Chanceux majeur; Pioute bleu</t>
        </is>
      </c>
    </row>
    <row r="29826">
      <c r="A29826" t="inlineStr">
        <is>
          <t>Sacrieur M 200</t>
        </is>
      </c>
      <c r="B29826">
        <f>HYPERLINK("https://www.dofusbook.net/fr/equipement/4958380-sacrieur-m-200/objets", "link")</f>
        <v/>
      </c>
      <c r="C29826" t="n">
        <v>0</v>
      </c>
      <c r="D29826" t="inlineStr">
        <is>
          <t>Pelle de la Cour Sombre; Collier du Valet Veinard; Alliance Gloursonne; Gant du Valet Veinard; Bouclier d'Ilyzaelle; Menoture; Casque Dragoeuf; Cape Indescriptible; Palmes Trithons; Dofus Ivoire; Dofus Ébène; Dofus Émeraude; Remueur; Miraculé majeur; Nomade; Bwak d'Air</t>
        </is>
      </c>
    </row>
    <row r="29827">
      <c r="A29827" t="inlineStr">
        <is>
          <t>Sacrieur M 200</t>
        </is>
      </c>
      <c r="B29827">
        <f>HYPERLINK("https://www.dofusbook.net/fr/equipement/4207759-sacrieur-m-200/objets", "link")</f>
        <v/>
      </c>
      <c r="C29827" t="n">
        <v>7</v>
      </c>
      <c r="D29827" t="inlineStr">
        <is>
          <t>Lance Horselé; Collier du Valet Veinard; Alliance Gloursonne; Gant du Valet Veinard; Bouclier d'Ilyzaelle; Menoture; Casque Dragoeuf; Cape Martegel; Palmes Trithons; Dofus Ivoire; Dofus Émeraude; Nomade; Fonceur majeur; Remueur; Cascadeur majeur; Dragodinde Amande et Ebène</t>
        </is>
      </c>
    </row>
    <row r="29828">
      <c r="A29828" t="inlineStr">
        <is>
          <t>Eliotrope M 200</t>
        </is>
      </c>
      <c r="B29828">
        <f>HYPERLINK("https://www.dofusbook.net/fr/equipement/4937280-eliotrope-m-200/objets", "link")</f>
        <v/>
      </c>
      <c r="C29828" t="n">
        <v>0</v>
      </c>
      <c r="D29828" t="inlineStr"/>
    </row>
    <row r="29829">
      <c r="A29829" t="inlineStr">
        <is>
          <t>Eliotrope M 200</t>
        </is>
      </c>
      <c r="B29829">
        <f>HYPERLINK("https://www.dofusbook.net/fr/equipement/4885057-eliotrope-m-200/objets", "link")</f>
        <v/>
      </c>
      <c r="C29829" t="n">
        <v>0</v>
      </c>
      <c r="D29829" t="inlineStr">
        <is>
          <t>Arc du Chalœil; Amulette du Cœur Saignant; Anneau Volkorne; Anneau Chevelu; Quatre-feuilles; Ceinture Volkorne; Masque de Koutoulou; Cape au Logis; Bottes du Cœur Saignant; Dofus Pourpre; Dofus Ébène; Dofus Turquoise; Dofus Abyssal; Dofus Ocre; Dofus Ivoire; Dragodinde Amande et Pourpre</t>
        </is>
      </c>
    </row>
    <row r="29830">
      <c r="A29830" t="inlineStr">
        <is>
          <t>Sacrieur M 200</t>
        </is>
      </c>
      <c r="B29830">
        <f>HYPERLINK("https://www.dofusbook.net/fr/equipement/4838461-sacrieur-m-200/objets", "link")</f>
        <v/>
      </c>
      <c r="C29830" t="n">
        <v>0</v>
      </c>
      <c r="D29830" t="inlineStr">
        <is>
          <t>Manthache; Collier du Valet Veinard; Gant du Valet Veinard; Alliance Gloursonne; Bouclier du Stalak; Menoture; Dorabysses; Cape Martegel; Palmes Trithons; Dofus Ivoire; Dofus Pourpre; Dofus Ébène; Dofus Ocre; Cascadeur majeur; Nomade; Blérodoudou</t>
        </is>
      </c>
    </row>
    <row r="29831">
      <c r="A29831" t="inlineStr">
        <is>
          <t>Crâ M 200</t>
        </is>
      </c>
      <c r="B29831">
        <f>HYPERLINK("https://www.dofusbook.net/fr/equipement/5004438-cra-m-200/objets", "link")</f>
        <v/>
      </c>
      <c r="C29831" t="n">
        <v>3</v>
      </c>
      <c r="D29831" t="inlineStr">
        <is>
          <t>Dagues de Srambad; Amulette Luminescente; Pikano; Anneau en Grithril; Quatre-feuilles; Culotte de Bethel; Masque de Funespadon; Cape Luminescente; Chaussons de Macrab; Dofus Ocre; Dofus Pourpre; Dofus Nébuleux; Dofus Turquoise; Dofus des Glaces; Dofus Vulbis; Volkorne Pourpre et Indigo</t>
        </is>
      </c>
    </row>
    <row r="29832">
      <c r="A29832" t="inlineStr">
        <is>
          <t>Stuff 2</t>
        </is>
      </c>
      <c r="B29832">
        <f>HYPERLINK("https://www.dofusbook.net/fr/equipement/420838-stuff-2/objets", "link")</f>
        <v/>
      </c>
      <c r="C29832" t="n">
        <v>0</v>
      </c>
      <c r="D29832" t="inlineStr">
        <is>
          <t>Dagoulinantes; Talisman Igans; Anneau de Nidas; Bracelet des Fonds marins; Ceinture du Nocturlabe; Masque du Granduk; Cape Indescriptible; Bottes Innommables; Dofus Cawotte; Minikrone; Colorivant 5</t>
        </is>
      </c>
    </row>
    <row r="29833">
      <c r="A29833" t="inlineStr">
        <is>
          <t>ret pa</t>
        </is>
      </c>
      <c r="B29833">
        <f>HYPERLINK("https://www.dofusbook.net/fr/equipement/2315402-ret-pa-/objets", "link")</f>
        <v/>
      </c>
      <c r="C29833" t="n">
        <v>3</v>
      </c>
      <c r="D29833" t="inlineStr">
        <is>
          <t>Dagoulinantes; Talisman Igans; Lavanneau; Lavanneau; Cadran de Terre; Sangle Ouare; Masque Ardent; Cape Ardente; Pataugastrique; Dofus Pourpre; Dofus des Glaces; Carapace Feu majeur; Remueur; Paralyseur majeur; Étourdisseur majeur; El Scarador</t>
        </is>
      </c>
    </row>
    <row r="29834">
      <c r="A29834" t="inlineStr">
        <is>
          <t>chance feu cc</t>
        </is>
      </c>
      <c r="B29834">
        <f>HYPERLINK("https://www.dofusbook.net/fr/equipement/534266-chance-feu-cc/objets", "link")</f>
        <v/>
      </c>
      <c r="C29834" t="n">
        <v>0</v>
      </c>
      <c r="D29834" t="inlineStr">
        <is>
          <t>Dagoulinantes; Amulette de l'Œil Attentif; Alliance Gloursonne; Bracelet des Fonds marins; Poulpagne; Masque des Fonds marins; Cape Matelassée; Pataugastrique; Muldo Indigo</t>
        </is>
      </c>
    </row>
    <row r="29835">
      <c r="A29835" t="inlineStr">
        <is>
          <t>eau esq pa ali</t>
        </is>
      </c>
      <c r="B29835">
        <f>HYPERLINK("https://www.dofusbook.net/fr/equipement/420839-eau-esq-pa-ali/objets", "link")</f>
        <v/>
      </c>
      <c r="C29835" t="n">
        <v>1</v>
      </c>
      <c r="D29835" t="inlineStr">
        <is>
          <t>Dagoulinantes; Amulette de l'Œil Attentif; Bracelet des Fonds marins; Alliance Gloursonne; Quatre-feuilles; Ceinture Glaciale; Capuche de l'Œil Attentif; Cape de l'Œil Attentif; Sandales des Fonds marins; Dofus Turquoise; Dofus Ivoire; Dofus Ocre; Dofus des Glaces; Dofus Pourpre; Dofus Abyssal; Muldo Ebène et Indigo</t>
        </is>
      </c>
    </row>
    <row r="29836">
      <c r="A29836" t="inlineStr">
        <is>
          <t>terre cc alignement</t>
        </is>
      </c>
      <c r="B29836">
        <f>HYPERLINK("https://www.dofusbook.net/fr/equipement/420837-terre-cc-alignement/objets", "link")</f>
        <v/>
      </c>
      <c r="C29836" t="n">
        <v>2</v>
      </c>
      <c r="D29836" t="inlineStr">
        <is>
          <t>Dagues d'Ilyzaelle; Amulette du Strigide; Chevalière du Roi Joueur; Bracelet du Piloztère; Quatre-feuilles; Ceinture du Strigide; Masque de Koutoulou; Cape du Cœur Saignant; Bottes du Cœur Saignant; Dofus Pourpre; Dofus des Glaces; Dofus Turquoise; Dofus Ocre; Dofus Ivoire; Dofus Nébuleux; Muldo Prune et Emeraude</t>
        </is>
      </c>
    </row>
    <row r="29837">
      <c r="A29837" t="inlineStr">
        <is>
          <t>Stuff 1</t>
        </is>
      </c>
      <c r="B29837">
        <f>HYPERLINK("https://www.dofusbook.net/fr/equipement/420822-stuff-1/objets", "link")</f>
        <v/>
      </c>
      <c r="C29837" t="n">
        <v>0</v>
      </c>
      <c r="D29837" t="inlineStr">
        <is>
          <t>Héqache; Collier du Valet Veinard; Anneau des égarés; Gant du Valet Veinard; Cadran d'Eau; Ceintouse; Chapoulpe; Cape du Valet Veinard; Tentassons; Dofus Pourpre; Dofus des Glaces; Dofus Ocre; Dofus Abyssal; Dofus Émeraude; Dolmanax; Muldo Ebène et Pourpre</t>
        </is>
      </c>
    </row>
    <row r="29838">
      <c r="A29838" t="inlineStr">
        <is>
          <t>steve goulta steam</t>
        </is>
      </c>
      <c r="B29838">
        <f>HYPERLINK("https://www.dofusbook.net/fr/equipement/1574808-steve-goulta-steam/objets", "link")</f>
        <v/>
      </c>
      <c r="C29838" t="n">
        <v>1</v>
      </c>
      <c r="D29838" t="inlineStr">
        <is>
          <t>Héqache; Amulette de Nevark; Alliance Gloursonne; Anneau des égarés; Cadran d'Eau; Ceinture de Nevark; Casque des égarés; Cape de Nevark; Bottes des égarés; Dofus Ocre; Dofus Émeraude; Dofus des Glaces; Dofus Pourpre; Dofus Abyssal; Dolmanax; Muldo Ebène et Pourpre</t>
        </is>
      </c>
    </row>
    <row r="29839">
      <c r="A29839" t="inlineStr">
        <is>
          <t>Stuff 1</t>
        </is>
      </c>
      <c r="B29839">
        <f>HYPERLINK("https://www.dofusbook.net/fr/equipement/420834-stuff-1/objets", "link")</f>
        <v/>
      </c>
      <c r="C29839" t="n">
        <v>0</v>
      </c>
      <c r="D29839" t="inlineStr">
        <is>
          <t>Manthache; Collier du Valet Veinard; Alliance Gloursonne; Gant du Valet Veinard; Bouclier du Stalak; Ceintouse; Chapoulpe; Cape du Valet Veinard; Tentassons; Dofus des Glaces; Dofus Pourpre; Dolmanax; Dofus Ocre; Cascadeur majeur; Acrobate majeur; Muldo Ebène</t>
        </is>
      </c>
    </row>
    <row r="29840">
      <c r="A29840" t="inlineStr">
        <is>
          <t>Stuff 2</t>
        </is>
      </c>
      <c r="B29840">
        <f>HYPERLINK("https://www.dofusbook.net/fr/equipement/420835-stuff-2/objets", "link")</f>
        <v/>
      </c>
      <c r="C29840" t="n">
        <v>0</v>
      </c>
      <c r="D29840" t="inlineStr">
        <is>
          <t>Baguette Range; Amulette du Strigide; Anneau de Padgref; Anneau Tique; Bouclier d'Anerice; Ceinture du Strigide; Coiffe de Padgref; Cape d'Anerice; Getas de Padgref; Dofus Pourpre; Dofus Ocre; Dofus Nébuleux; Dofus des Glaces; Dofus Turquoise; Dofus Vulbis; Muldo Prune et Emeraude</t>
        </is>
      </c>
    </row>
    <row r="29841">
      <c r="A29841" t="inlineStr">
        <is>
          <t>Stuff 2</t>
        </is>
      </c>
      <c r="B29841">
        <f>HYPERLINK("https://www.dofusbook.net/fr/equipement/420814-stuff-2/objets", "link")</f>
        <v/>
      </c>
      <c r="C29841" t="n">
        <v>0</v>
      </c>
      <c r="D29841" t="inlineStr">
        <is>
          <t>Hache Ériphe; Amulette de Nevark; Anneau du Cycloïde; Anneau des égarés; Ceinture de Nevark; Casque des égarés; Cape de Nevark; Baleinabottes; Dofus des Glaces; Dofus Pourpre; Dolmanax; Dofus Ocre</t>
        </is>
      </c>
    </row>
    <row r="29842">
      <c r="A29842" t="inlineStr">
        <is>
          <t>feu</t>
        </is>
      </c>
      <c r="B29842">
        <f>HYPERLINK("https://www.dofusbook.net/fr/equipement/944360-feu/objets", "link")</f>
        <v/>
      </c>
      <c r="C29842" t="n">
        <v>0</v>
      </c>
      <c r="D29842" t="inlineStr">
        <is>
          <t>Arc Hétype; Pendentif affamé; Anneau Tique; Anneau de Nidas; Ceinture de Vortex; Couronne de Nidas; Voile d'encre; Bottes Innommables</t>
        </is>
      </c>
    </row>
    <row r="29843">
      <c r="A29843" t="inlineStr">
        <is>
          <t>Stuff 2</t>
        </is>
      </c>
      <c r="B29843">
        <f>HYPERLINK("https://www.dofusbook.net/fr/equipement/420823-stuff-2/objets", "link")</f>
        <v/>
      </c>
      <c r="C29843" t="n">
        <v>0</v>
      </c>
      <c r="D29843" t="inlineStr">
        <is>
          <t>Héqache; Amulette du Kamasterisk; Anneau des égarés; Bracelet du Piloztère; Cadran d'Eau; Ceintouse; Coiffe de la Reine des Voleurs; Cape du Kamasterisk; Baleinabottes; Dofus des Glaces; Dofus Pourpre; Dofus Abyssal; Dofus Turquoise; Vigoureux majeur; Remueur; Muldo Ebène et Pourpre</t>
        </is>
      </c>
    </row>
    <row r="29844">
      <c r="A29844" t="inlineStr">
        <is>
          <t>Stuff 3</t>
        </is>
      </c>
      <c r="B29844">
        <f>HYPERLINK("https://www.dofusbook.net/fr/equipement/420836-stuff-3/objets", "link")</f>
        <v/>
      </c>
      <c r="C29844" t="n">
        <v>1</v>
      </c>
      <c r="D29844" t="inlineStr">
        <is>
          <t>Bâthon; Amulette du Strigide; Bague Gloursonne; Chevalière du Roi Joueur; Ceinture de Gein; Masque de Koutoulou; Voile d'encre; Bottes du Roi Joueur; Dofus Turquoise; Dofus Pourpre; Dofus Nébuleux; Vigoureux majeur; Carapace Neutre majeur; Remueur; Muldo Pourpre</t>
        </is>
      </c>
    </row>
    <row r="29845">
      <c r="A29845" t="inlineStr">
        <is>
          <t>Stuff 3</t>
        </is>
      </c>
      <c r="B29845">
        <f>HYPERLINK("https://www.dofusbook.net/fr/equipement/420824-stuff-3/objets", "link")</f>
        <v/>
      </c>
      <c r="C29845" t="n">
        <v>0</v>
      </c>
      <c r="D29845" t="inlineStr"/>
    </row>
    <row r="29846">
      <c r="A29846" t="inlineStr">
        <is>
          <t>Stuff 3</t>
        </is>
      </c>
      <c r="B29846">
        <f>HYPERLINK("https://www.dofusbook.net/fr/equipement/420815-stuff-3/objets", "link")</f>
        <v/>
      </c>
      <c r="C29846" t="n">
        <v>0</v>
      </c>
      <c r="D29846" t="inlineStr">
        <is>
          <t>Dagues Érhy; Amulette du Strigide; Anneau de Brouce; Bague Gloursonne; Ceinture de Gein; Chapeau de Gein; Voile d'encre; Sabots Minables; Dofus Pourpre; Évasif majeur; Déserteur majeur; Nomade; Carapace Terre majeur; Remueur; Kramkram</t>
        </is>
      </c>
    </row>
    <row r="29847">
      <c r="A29847" t="inlineStr">
        <is>
          <t>Stuff 1</t>
        </is>
      </c>
      <c r="B29847">
        <f>HYPERLINK("https://www.dofusbook.net/fr/equipement/420813-stuff-1/objets", "link")</f>
        <v/>
      </c>
      <c r="C29847" t="n">
        <v>1</v>
      </c>
      <c r="D29847" t="inlineStr">
        <is>
          <t>Arc Nécrotique; Talisman Igans; Anneau Tique; Alliance Gloursonne; Ceintrigue; Casqnoar; Cape de la Dame du Hasard; Pataugastrique; Dofus Pourpre; Dofus des Glaces; Sanguinaire majeur; Remueur; Vigoureux majeur; Féroce majeur; Muldo Orchidée</t>
        </is>
      </c>
    </row>
    <row r="29848">
      <c r="A29848" t="inlineStr">
        <is>
          <t>Steamer F 200</t>
        </is>
      </c>
      <c r="B29848">
        <f>HYPERLINK("https://www.dofusbook.net/fr/equipement/5853656-steamer-f-200/objets", "link")</f>
        <v/>
      </c>
      <c r="C29848" t="n">
        <v>0</v>
      </c>
      <c r="D29848" t="inlineStr">
        <is>
          <t>Baguette Héroclite; Amulette de Shokkoth; Bracelet des Fonds marins; Anneau Tique; Bouclier cubiste; Ceinture du Barbétoal; Maskrobe; Cape d'Atcham; Pataugastrique; Dofus Pourpre; Dofus Ivoire; Dofus Turquoise; Dofus des Glaces; Dofus Ocre; Dofus Abyssal; Kanigloups</t>
        </is>
      </c>
    </row>
    <row r="29849">
      <c r="A29849" t="inlineStr">
        <is>
          <t>xggrt</t>
        </is>
      </c>
      <c r="B29849">
        <f>HYPERLINK("https://www.dofusbook.net/fr/equipement/5074247-xggrt/objets", "link")</f>
        <v/>
      </c>
      <c r="C29849" t="n">
        <v>4</v>
      </c>
      <c r="D29849" t="inlineStr">
        <is>
          <t>Marteau R'ture; Amulette du Strigide; Anneau Chevelu; Bague Gloursonne; Bouclier d'Ilyzaelle; Ceintacé; Masque de Koutoulou; Bravoure de Rykke Errel; Bottes de la Cour Sombre; Dofus Ivoire; Dofus Pourpre; Dofus Abyssal; Dofus Nébuleux; Enragé majeur; Nomade; Dragodinde Emeraude et Pourpre</t>
        </is>
      </c>
    </row>
    <row r="29850">
      <c r="A29850" t="inlineStr">
        <is>
          <t>feu pvm opti BDG</t>
        </is>
      </c>
      <c r="B29850">
        <f>HYPERLINK("https://www.dofusbook.net/fr/equipement/4077314-feu-pvm-opti-bdg/objets", "link")</f>
        <v/>
      </c>
      <c r="C29850" t="n">
        <v>5</v>
      </c>
      <c r="D29850" t="inlineStr">
        <is>
          <t>Arc corrompu; Amulette Volkorne; Anneauræus; Bague Gloursonne; Bouclier du Stalak; Ceinture Volkorne; Heaume Oplate; Cape de Jahash Jurgen; Bottes d'Otomaï; Dofus Vulbis; Dofus Pourpre; Dofus Ocre; Dofus Nébuleux; Dofus Turquoise; Dofus Ivoire; Kramkram</t>
        </is>
      </c>
    </row>
    <row r="29851">
      <c r="A29851" t="inlineStr">
        <is>
          <t>Iop F 200</t>
        </is>
      </c>
      <c r="B29851">
        <f>HYPERLINK("https://www.dofusbook.net/fr/equipement/5116352-iop-f-200/objets", "link")</f>
        <v/>
      </c>
      <c r="C29851" t="n">
        <v>0</v>
      </c>
      <c r="D29851" t="inlineStr">
        <is>
          <t>Crocobur; Amulette du Strigide; Anneau Volkorne; Anneau Crustique; Bouclier du Captain Amakna; Ceinture Volkorne; Diadème de Ganymède; Cape de Jahash Jurgen; Bottes du Cœur Saignant; Dofus Ocre; Dofus Vulbis; Dofus Pourpre; Dofus Ébène; Enragé majeur; Vigoureux majeur; Kokulte</t>
        </is>
      </c>
    </row>
    <row r="29852">
      <c r="A29852" t="inlineStr">
        <is>
          <t>Iop F 200</t>
        </is>
      </c>
      <c r="B29852">
        <f>HYPERLINK("https://www.dofusbook.net/fr/equipement/5089771-iop-f-200/objets", "link")</f>
        <v/>
      </c>
      <c r="C29852" t="n">
        <v>6</v>
      </c>
      <c r="D29852" t="inlineStr">
        <is>
          <t>Marteau R'ture; Amulette du Strigide; Anneau Volkorne; Anneau Chevelu; Bouclier du Captain Amakna; Ceinture Volkorne; Masque de Koutoulou; Cape au Logis; Bottes du Cœur Saignant; Dofus Pourpre; Dofus Abyssal; Dofus Ivoire; Dofus Ocre; Dofus Nébuleux; Enragé majeur; Dragodinde Ivoire et Pourpre</t>
        </is>
      </c>
    </row>
    <row r="29853">
      <c r="A29853" t="inlineStr">
        <is>
          <t>Iop hybride unique</t>
        </is>
      </c>
      <c r="B29853">
        <f>HYPERLINK("https://www.dofusbook.net/fr/equipement/799394-iop-hybride-unique/objets", "link")</f>
        <v/>
      </c>
      <c r="C29853" t="n">
        <v>4</v>
      </c>
      <c r="D29853" t="inlineStr">
        <is>
          <t>Arc Hétype; Amulette Volkorne; Anneau Chevelu; Bague Gloursonne; Quatre-feuilles; Ceinture Volkorne; Couronne du Roi Joueur; Voile d'encre; Sabots Minables; Dofus Ivoire; Dofus Nébuleux; Dofus Pourpre; Remueur; Nomade; Érudit majeur; Dragodinde Ivoire et Orchidée</t>
        </is>
      </c>
    </row>
    <row r="29854">
      <c r="A29854" t="inlineStr">
        <is>
          <t>full eau</t>
        </is>
      </c>
      <c r="B29854">
        <f>HYPERLINK("https://www.dofusbook.net/fr/equipement/3838815-full-eau/objets", "link")</f>
        <v/>
      </c>
      <c r="C29854" t="n">
        <v>15</v>
      </c>
      <c r="D29854" t="inlineStr">
        <is>
          <t>Sceptre du Roi Joueur; Amulette de Shokkoth; Anneau Volkorne; Alliance Gloursonne; Bouclier du Stalak; Ceintacé; Casque d'Ilyzaelle; Cape de l'Œil Attentif; Bottes du Sinistrofu; Dofus Nébuleux; Dofus Pourpre; Dofus Ivoire; Nomade; Chanceux majeur; Remueur; Pioute bleu</t>
        </is>
      </c>
    </row>
    <row r="29855">
      <c r="A29855" t="inlineStr">
        <is>
          <t>mode chaloeil</t>
        </is>
      </c>
      <c r="B29855">
        <f>HYPERLINK("https://www.dofusbook.net/fr/equipement/3937098-mode-chaloeil/objets", "link")</f>
        <v/>
      </c>
      <c r="C29855" t="n">
        <v>25</v>
      </c>
      <c r="D29855" t="inlineStr">
        <is>
          <t>Hache du Chalœil; Amulette du Strigide; Bracelet du Piloztère; Alliance Gloursonne; Quatre-feuilles; Ceintacé; Chapeau de Gein; Voile d'encre; Bottes du Strigide; Dofus Pourpre; Dofus Turquoise; Dofus Ivoire; Remueur; Vigoureux majeur; Nomade; Kramkram</t>
        </is>
      </c>
    </row>
    <row r="29856">
      <c r="A29856" t="inlineStr">
        <is>
          <t>Pandawa Tanking</t>
        </is>
      </c>
      <c r="B29856">
        <f>HYPERLINK("https://www.dofusbook.net/fr/equipement/4677494-pandawa-tanking/objets", "link")</f>
        <v/>
      </c>
      <c r="C29856" t="n">
        <v>0</v>
      </c>
      <c r="D29856" t="inlineStr">
        <is>
          <t>Arc Nécrotique; Bracelet du Piloztère; Alliance Gloursonne; Ceintacé; Cape de la Dame du Hasard; Bottes de Meno</t>
        </is>
      </c>
    </row>
    <row r="29857">
      <c r="A29857" t="inlineStr">
        <is>
          <t>Osamodas F 200</t>
        </is>
      </c>
      <c r="B29857">
        <f>HYPERLINK("https://www.dofusbook.net/fr/equipement/5001185-osamodas-f-200/objets", "link")</f>
        <v/>
      </c>
      <c r="C29857" t="n">
        <v>0</v>
      </c>
      <c r="D29857" t="inlineStr">
        <is>
          <t>Amulette Volkorne; Bague Gloursonne; Bracelet du Piloztère; Droiture de Fallanster; Ceinture Volkorne; Casque Dragoeuf; Bravoure de Rykke Errel; Bottes Honyme; Dofus Ocre; Dofus Pourpre; Dofus Abyssal; Dofus Ivoire; Dofus Turquoise; Vigoureux majeur; Muldo Orchidée et Pourpre</t>
        </is>
      </c>
    </row>
    <row r="29858">
      <c r="A29858" t="inlineStr">
        <is>
          <t>Pandawa F 200</t>
        </is>
      </c>
      <c r="B29858">
        <f>HYPERLINK("https://www.dofusbook.net/fr/equipement/4577710-pandawa-f-200/objets", "link")</f>
        <v/>
      </c>
      <c r="C29858" t="n">
        <v>5</v>
      </c>
      <c r="D29858" t="inlineStr">
        <is>
          <t>Marteau R'ture; Amulette du Strigide; Bracelet du Piloztère; Alliance Gloursonne; Bouclier précieux; Ceintacé; Masque de Koutoulou; Cape au Logis; Bottes du Strigide; Dofus Pourpre; Dofus Turquoise; Dofus Émeraude; Miraculé majeur; Enragé majeur; Vigoureux majeur; Dragodinde Ivoire et Pourpre</t>
        </is>
      </c>
    </row>
    <row r="29859">
      <c r="A29859" t="inlineStr">
        <is>
          <t>fulmi</t>
        </is>
      </c>
      <c r="B29859">
        <f>HYPERLINK("https://www.dofusbook.net/fr/equipement/4684159-fulmi/objets", "link")</f>
        <v/>
      </c>
      <c r="C29859" t="n">
        <v>3</v>
      </c>
      <c r="D29859" t="inlineStr">
        <is>
          <t>La Baguette des Limbes; Amulette Volkorne; Anneauræus; Anneauræus; Bouclier du Stalak; Ceinture Séculaire; Coiffe Séculaire; Cape de Diondin; Bottes d'Otomaï; Dofus Pourpre; Dofus Nébuleux; Robuste majeur; Vigoureux majeur; Astucieux majeur; Érudit majeur; Bisouglours</t>
        </is>
      </c>
    </row>
    <row r="29860">
      <c r="A29860" t="inlineStr">
        <is>
          <t>Pandawa F 200</t>
        </is>
      </c>
      <c r="B29860">
        <f>HYPERLINK("https://www.dofusbook.net/fr/equipement/4621576-pandawa-f-200/objets", "link")</f>
        <v/>
      </c>
      <c r="C29860" t="n">
        <v>1</v>
      </c>
      <c r="D29860" t="inlineStr">
        <is>
          <t>Capuche de l'Œil Attentif</t>
        </is>
      </c>
    </row>
    <row r="29861">
      <c r="A29861" t="inlineStr">
        <is>
          <t>Eliotrope F 200</t>
        </is>
      </c>
      <c r="B29861">
        <f>HYPERLINK("https://www.dofusbook.net/fr/equipement/4654080-eliotrope-f-200/objets", "link")</f>
        <v/>
      </c>
      <c r="C29861" t="n">
        <v>3</v>
      </c>
      <c r="D29861" t="inlineStr">
        <is>
          <t>Arc en Racine d'Abraknyde; Amulette du Kamasterisk; Anneau de Brouce; Bracelet du Piloztère; Bouclier du Stalak; Ceinture de Nevark; Masque de Koutoulou; Cape de Nevark; Bottes du Strigide; Dofus Ivoire; Dofus Pourpre; Dofus Émeraude; Enragé majeur; Déserteur majeur; Déserteur; Muldo Indigo et Amande</t>
        </is>
      </c>
    </row>
    <row r="29862">
      <c r="A29862" t="inlineStr">
        <is>
          <t>Stufairnocc</t>
        </is>
      </c>
      <c r="B29862">
        <f>HYPERLINK("https://www.dofusbook.net/fr/equipement/3966050-stufairnocc/objets", "link")</f>
        <v/>
      </c>
      <c r="C29862" t="n">
        <v>1</v>
      </c>
      <c r="D29862" t="inlineStr">
        <is>
          <t>Amulette Voldelor; Alliance Gloursonne; Ceinture Voldelor; Masque du Granduk; Cape de Klime; Palmes Trithons</t>
        </is>
      </c>
    </row>
    <row r="29863">
      <c r="A29863" t="inlineStr">
        <is>
          <t>Pandawa F 200</t>
        </is>
      </c>
      <c r="B29863">
        <f>HYPERLINK("https://www.dofusbook.net/fr/equipement/4595003-pandawa-f-200/objets", "link")</f>
        <v/>
      </c>
      <c r="C29863" t="n">
        <v>0</v>
      </c>
      <c r="D29863" t="inlineStr">
        <is>
          <t>Arc Nécrotique; Amulette Volkorne; Anneau Volkorne; Alliance Gloursonne; Quatre-feuilles; Ceinture de l'Esprit Malsain; Masque de l'Esprit Malsain; Cape de la Dame du Hasard; Bottes de l'Esprit Malsain; Dofus Ivoire; Dofus Turquoise; Dofus Ébène; Dofus Ocre; Dofus des Glaces; Dofus Pourpre; Muldo Ebène et Indigo</t>
        </is>
      </c>
    </row>
    <row r="29864">
      <c r="A29864" t="inlineStr">
        <is>
          <t>Osamodas F 200</t>
        </is>
      </c>
      <c r="B29864">
        <f>HYPERLINK("https://www.dofusbook.net/fr/equipement/4573104-osamodas-f-200/objets", "link")</f>
        <v/>
      </c>
      <c r="C29864" t="n">
        <v>10</v>
      </c>
      <c r="D29864" t="inlineStr">
        <is>
          <t>Pelle de la Cour Sombre; Collier du Valet Veinard; Alliance Gloursonne; Gant du Valet Veinard; Bouclier du Stalak; Ceinture du Barbétoal; Couronne d'Allister; Cape du Kamasterisk; Baleinabottes; Dofus Ivoire; Dofus Ébène; Dofus Abyssal; Remueur; Cascadeur majeur; Nomade; Blérodoudou</t>
        </is>
      </c>
    </row>
    <row r="29865">
      <c r="A29865" t="inlineStr">
        <is>
          <t>feu</t>
        </is>
      </c>
      <c r="B29865">
        <f>HYPERLINK("https://www.dofusbook.net/fr/equipement/3711545-feu/objets", "link")</f>
        <v/>
      </c>
      <c r="C29865" t="n">
        <v>4</v>
      </c>
      <c r="D29865" t="inlineStr">
        <is>
          <t>Arc corrompu; Amulette Volkorne; Anneauræus; Anneau Tique; Quatre-feuilles; Ceinture Volkorne; Heaume Oplate; Voile d'encre; Bottes de Meno; Dofus Pourpre; Dofus Turquoise; Dofus Nébuleux; Dofus Ocre; Dofus Ivoire; Érudit majeur; Muldo Prune et Emeraude</t>
        </is>
      </c>
    </row>
    <row r="29866">
      <c r="A29866" t="inlineStr">
        <is>
          <t>Terre rési 200</t>
        </is>
      </c>
      <c r="B29866">
        <f>HYPERLINK("https://www.dofusbook.net/fr/equipement/3728173-terre-resi-200/objets", "link")</f>
        <v/>
      </c>
      <c r="C29866" t="n">
        <v>12</v>
      </c>
      <c r="D29866" t="inlineStr">
        <is>
          <t>Arc du Chalœil; Amulette du Strigide; Anneau Chevelu; Anneau Volkorne; Quatre-feuilles; Ceinture Volkorne; Masque de Koutoulou; Voile d'encre; Sabots Minables; Dofus Nébuleux; Dofus Turquoise; Dofus Pourpre; Vigoureux majeur; Nomade; Enragé majeur; Dragodinde Ivoire et Pourpre</t>
        </is>
      </c>
    </row>
    <row r="29867">
      <c r="A29867" t="inlineStr">
        <is>
          <t>Terre feu res</t>
        </is>
      </c>
      <c r="B29867">
        <f>HYPERLINK("https://www.dofusbook.net/fr/equipement/799376-terre-feu-res/objets", "link")</f>
        <v/>
      </c>
      <c r="C29867" t="n">
        <v>2</v>
      </c>
      <c r="D29867" t="inlineStr">
        <is>
          <t>Hache Téroïde; Amulette Volkorne; Bague Gloursonne; Anneau Chevelu; Bouclier d'Ilyzaelle; Ceinture Volkorne; Chapeau de Gein; Voile d'encre; Bottes Honyme; Dofus Turquoise; Dofus Ocre; Dofus Pourpre; Dofus Nébuleux; Nomade; Vigoureux majeur; Kramkram</t>
        </is>
      </c>
    </row>
    <row r="29868">
      <c r="A29868" t="inlineStr">
        <is>
          <t>Force</t>
        </is>
      </c>
      <c r="B29868">
        <f>HYPERLINK("https://www.dofusbook.net/fr/equipement/4075534-force/objets", "link")</f>
        <v/>
      </c>
      <c r="C29868" t="n">
        <v>2</v>
      </c>
      <c r="D29868" t="inlineStr">
        <is>
          <t>Lav'Hache; Collier de Tourthon; Anneau Crustique; Anneau Crustique; Bouclier précieux; Ceintacé; Masque de Koutoulou; Cape de la Cour Sombre; Bottes de la Cour Sombre; Dofus Pourpre; Dofus Émeraude; Dofus Nébuleux; Bloqueur majeur; Enragé majeur; Obstructeur majeur; Givrefoux</t>
        </is>
      </c>
    </row>
    <row r="29869">
      <c r="A29869" t="inlineStr">
        <is>
          <t>Eniripsa F 200</t>
        </is>
      </c>
      <c r="B29869">
        <f>HYPERLINK("https://www.dofusbook.net/fr/equipement/4326713-eniripsa-f-200/objets", "link")</f>
        <v/>
      </c>
      <c r="C29869" t="n">
        <v>0</v>
      </c>
      <c r="D29869" t="inlineStr"/>
    </row>
    <row r="29870">
      <c r="A29870" t="inlineStr">
        <is>
          <t>Terre air pvm</t>
        </is>
      </c>
      <c r="B29870">
        <f>HYPERLINK("https://www.dofusbook.net/fr/equipement/799392-terre-air-pvm/objets", "link")</f>
        <v/>
      </c>
      <c r="C29870" t="n">
        <v>12</v>
      </c>
      <c r="D29870" t="inlineStr">
        <is>
          <t>Héqache; Amulette du Strigide; Anneau d'Allister; Bracelet du Piloztère; Quatre-feuilles; Ceintacé; Coiffe de la Fuji Givrefoux; Cape du Kamasterisk; Bottes du Strigide; Dofus Pourpre; Dofus Turquoise; Enragé majeur; Vigoureux majeur; Remueur; Nomade; Muldo Prune et Emeraude</t>
        </is>
      </c>
    </row>
    <row r="29871">
      <c r="A29871" t="inlineStr">
        <is>
          <t>1600 agi pvm 50cc</t>
        </is>
      </c>
      <c r="B29871">
        <f>HYPERLINK("https://www.dofusbook.net/fr/equipement/799402-1600-agi-pvm-50cc/objets", "link")</f>
        <v/>
      </c>
      <c r="C29871" t="n">
        <v>3</v>
      </c>
      <c r="D29871" t="inlineStr">
        <is>
          <t>Épée du Granduk; Amulette du Granduk; Alliance Gloursonne; Anneau d'Allister; Bouclier Taverne; Menoture; Capuche de Moum-Ra; Cape de Klime; Palmes Trithons; Dofus Turquoise; Dofus Pourpre; Dofus Ocre; Nomade; Vigoureux majeur; Cascadeur majeur; Dragodinde Ebène et Ivoire</t>
        </is>
      </c>
    </row>
    <row r="29872">
      <c r="A29872" t="inlineStr">
        <is>
          <t>Terre resi chaloeil</t>
        </is>
      </c>
      <c r="B29872">
        <f>HYPERLINK("https://www.dofusbook.net/fr/equipement/799366-terre-resi-chaloeil/objets", "link")</f>
        <v/>
      </c>
      <c r="C29872" t="n">
        <v>0</v>
      </c>
      <c r="D29872" t="inlineStr">
        <is>
          <t>Marteau R'ture; Amulette du Strigide; Bague Gloursonne; Anneau Chevelu; Bouclier d'Ilyzaelle; Ceinture du Strigide; Chapeau de Gein; Voile d'encre; Bottes du Strigide; Dofus Turquoise; Dofus Pourpre</t>
        </is>
      </c>
    </row>
    <row r="29873">
      <c r="A29873" t="inlineStr">
        <is>
          <t>multi arc volkorne</t>
        </is>
      </c>
      <c r="B29873">
        <f>HYPERLINK("https://www.dofusbook.net/fr/equipement/2277591-multi-arc-volkorne/objets", "link")</f>
        <v/>
      </c>
      <c r="C29873" t="n">
        <v>13</v>
      </c>
      <c r="D29873" t="inlineStr">
        <is>
          <t>Arc Volkorne; Amulette Ementaire Deluxe; Bague Gloursonne; Alliance Gloursonne; Bouclier du Stalak; Ceinture de l'Esprit Salvateur; Masque de l'Esprit Salvateur; Dofusteuse; Bottes de l'Esprit Salvateur; Dofus Abyssal; Dofus Ocre; Dofus Nébuleux; Dofus des Glaces; Dofus Pourpre; Dofus Ivoire; Muldo Indigo et Orchidée</t>
        </is>
      </c>
    </row>
    <row r="29874">
      <c r="A29874" t="inlineStr">
        <is>
          <t>Mode feu hétype</t>
        </is>
      </c>
      <c r="B29874">
        <f>HYPERLINK("https://www.dofusbook.net/fr/equipement/799390-mode-feu-hetype/objets", "link")</f>
        <v/>
      </c>
      <c r="C29874" t="n">
        <v>6</v>
      </c>
      <c r="D29874" t="inlineStr">
        <is>
          <t>Voile d'encre</t>
        </is>
      </c>
    </row>
    <row r="29875">
      <c r="A29875" t="inlineStr">
        <is>
          <t>Crâ M 200</t>
        </is>
      </c>
      <c r="B29875">
        <f>HYPERLINK("https://www.dofusbook.net/fr/equipement/4136905-cra-m-200/objets", "link")</f>
        <v/>
      </c>
      <c r="C29875" t="n">
        <v>3</v>
      </c>
      <c r="D29875" t="inlineStr">
        <is>
          <t>Sceptre du Roi Joueur; Amulette de Shokkoth; Anneau Volkorne; Bracelet des Fonds marins; Cadran de Terre; Sangle Ouare; Masque de Funespadon; Cape Solution; Chaussons de Macrab; Dofus Ivoire; Dofus Ocre; Dofus Pourpre; Vigoureux majeur; Chanceux majeur; Étourdisseur majeur; Minimino</t>
        </is>
      </c>
    </row>
    <row r="29876">
      <c r="A29876" t="inlineStr">
        <is>
          <t>Eau air do fixe</t>
        </is>
      </c>
      <c r="B29876">
        <f>HYPERLINK("https://www.dofusbook.net/fr/equipement/2282664-eau-air-do-fixe/objets", "link")</f>
        <v/>
      </c>
      <c r="C29876" t="n">
        <v>1</v>
      </c>
      <c r="D29876" t="inlineStr">
        <is>
          <t>Arc de Koutoulou; Amulette d'Ilyzaelle; Alliance Gloursonne; Bague Gloursonne; Bouclier du Stalak; Ceinture du Nocturlabe; Casque d'Ilyzaelle; Cape des Justiciers; Bottes du Nocturlabe; Dofus Pourpre; Dofus Abyssal; Dofus des Glaces; Dofus Ivoire; Dofus Ocre; Dofus Nébuleux; Muldo Ebène et Indigo</t>
        </is>
      </c>
    </row>
    <row r="29877">
      <c r="A29877" t="inlineStr">
        <is>
          <t>Nécro</t>
        </is>
      </c>
      <c r="B29877">
        <f>HYPERLINK("https://www.dofusbook.net/fr/equipement/4098488-necro/objets", "link")</f>
        <v/>
      </c>
      <c r="C29877" t="n">
        <v>1</v>
      </c>
      <c r="D29877" t="inlineStr"/>
    </row>
    <row r="29878">
      <c r="A29878" t="inlineStr">
        <is>
          <t>remblai</t>
        </is>
      </c>
      <c r="B29878">
        <f>HYPERLINK("https://www.dofusbook.net/fr/equipement/4098182-remblai/objets", "link")</f>
        <v/>
      </c>
      <c r="C29878" t="n">
        <v>2</v>
      </c>
      <c r="D29878" t="inlineStr">
        <is>
          <t>Marteau R'ture; Amulette du Cœur Saignant; Chevalière du Roi Joueur; Pikano; Bouclier cubiste; Ceinture de Brouce; Masque de Koutoulou; Cape Reski; Bottes du Cœur Saignant; Dofus Pourpre; Dofus Turquoise; Enragé majeur; Vigoureux majeur; Forcené majeur; Temporiseur majeur; Volkorne Turquoise et Pourpre</t>
        </is>
      </c>
    </row>
    <row r="29879">
      <c r="A29879" t="inlineStr">
        <is>
          <t>cra feu</t>
        </is>
      </c>
      <c r="B29879">
        <f>HYPERLINK("https://www.dofusbook.net/fr/equipement/4058115-cra-feu/objets", "link")</f>
        <v/>
      </c>
      <c r="C29879" t="n">
        <v>4</v>
      </c>
      <c r="D29879" t="inlineStr">
        <is>
          <t>La Baguette des Limbes; Amulette d'Otomaï; Bracelet du Piloztère; Alliance Gloursonne; Bouclier du Stalak; Ceintacé; Dora Bora; Cape Reski; Bottes d'Otomaï; Dofus Pourpre; Dofus Nébuleux; Vigoureux majeur; Érudit; Érudit majeur; Astucieux majeur; Brûlih</t>
        </is>
      </c>
    </row>
    <row r="29880">
      <c r="A29880" t="inlineStr">
        <is>
          <t>Iop F 200</t>
        </is>
      </c>
      <c r="B29880">
        <f>HYPERLINK("https://www.dofusbook.net/fr/equipement/3817789-iop-f-200/objets", "link")</f>
        <v/>
      </c>
      <c r="C29880" t="n">
        <v>0</v>
      </c>
      <c r="D29880" t="inlineStr">
        <is>
          <t>Lav'Hache; Collier de Tourthon; Anneau Crustique; Anneau du Comte Harebourg; Quatre-feuilles; Ceinture Gence; Coiffe du Comte Harebourg; Cape au Logis; Bottes du Cœur Saignant; Dofus Pourpre; Dofus Nébuleux; Dofus Turquoise; Dofus Ocre; Dofus des Glaces; Enragé majeur; Bulbisou</t>
        </is>
      </c>
    </row>
    <row r="29881">
      <c r="A29881" t="inlineStr">
        <is>
          <t>cerfir</t>
        </is>
      </c>
      <c r="B29881">
        <f>HYPERLINK("https://www.dofusbook.net/fr/equipement/4059418-cerfir/objets", "link")</f>
        <v/>
      </c>
      <c r="C29881" t="n">
        <v>0</v>
      </c>
      <c r="D29881" t="inlineStr"/>
    </row>
    <row r="29882">
      <c r="A29882" t="inlineStr">
        <is>
          <t>Full agi</t>
        </is>
      </c>
      <c r="B29882">
        <f>HYPERLINK("https://www.dofusbook.net/fr/equipement/3896695-full-agi/objets", "link")</f>
        <v/>
      </c>
      <c r="C29882" t="n">
        <v>0</v>
      </c>
      <c r="D29882" t="inlineStr">
        <is>
          <t>Manthache; Amibou; Gant du Valet Veinard; Alliance Gloursonne; Bouclier du Stalak; Menoture; Capuche de Moum-Ra; Capibou; Palmes Trithons; Dofus Pourpre; Dofus Ivoire; Dofus Ocre; Dofus Nébuleux; Cascadeur majeur; Nomade; Bwak d'Air</t>
        </is>
      </c>
    </row>
    <row r="29883">
      <c r="A29883" t="inlineStr">
        <is>
          <t>Marteau égaré</t>
        </is>
      </c>
      <c r="B29883">
        <f>HYPERLINK("https://www.dofusbook.net/fr/equipement/799367-marteau-egare/objets", "link")</f>
        <v/>
      </c>
      <c r="C29883" t="n">
        <v>4</v>
      </c>
      <c r="D29883" t="inlineStr">
        <is>
          <t>Marteau des égarés; Amulette Ementaire Deluxe; Alliance Gloursonne; Alliance Brûlâme; Bouclier d'Anerice; Ceintacé; Masque d'Anerice; Cape du Chalœil; Bottes du Chalœil; Dofus Ivoire; Dofus Pourpre; Dofus Nébuleux; Dofus Turquoise; Dofus des Glaces; Dofus Ocre; Muldo Prune et Emeraude</t>
        </is>
      </c>
    </row>
    <row r="29884">
      <c r="A29884" t="inlineStr">
        <is>
          <t>Atcham</t>
        </is>
      </c>
      <c r="B29884">
        <f>HYPERLINK("https://www.dofusbook.net/fr/equipement/799370-atcham/objets", "link")</f>
        <v/>
      </c>
      <c r="C29884" t="n">
        <v>0</v>
      </c>
      <c r="D29884" t="inlineStr">
        <is>
          <t>Sabres d'Atcham; Amulette du Strigide; Anneau Tique; Alliance Gloursonne; Quatre-feuilles; Ceintacé; Casque du Chalœil; Cape d'Hel Munster; Bottes du Strigide; Dofus Ocre; Dofus Nébuleux; Dofus Turquoise; Dofus Ivoire; Dofus Pourpre; Vigoureux majeur; Muldo Prune et Emeraude</t>
        </is>
      </c>
    </row>
    <row r="29885">
      <c r="A29885" t="inlineStr">
        <is>
          <t>Atcham</t>
        </is>
      </c>
      <c r="B29885">
        <f>HYPERLINK("https://www.dofusbook.net/fr/equipement/799405-atcham/objets", "link")</f>
        <v/>
      </c>
      <c r="C29885" t="n">
        <v>0</v>
      </c>
      <c r="D29885" t="inlineStr">
        <is>
          <t>Sabres d'Atcham; Amulette du Strigide; Alliance Gloursonne; Bracelet du Piloztère; Ceinture de Kongoku; Dorabysses; Cape d'Atcham; Pataugastrique; Dofus Turquoise; Dofus Pourpre; Remueur; Nomade; Vigoureux majeur; Kramkram</t>
        </is>
      </c>
    </row>
    <row r="29886">
      <c r="A29886" t="inlineStr">
        <is>
          <t>atcham</t>
        </is>
      </c>
      <c r="B29886">
        <f>HYPERLINK("https://www.dofusbook.net/fr/equipement/799375-atcham/objets", "link")</f>
        <v/>
      </c>
      <c r="C29886" t="n">
        <v>0</v>
      </c>
      <c r="D29886" t="inlineStr">
        <is>
          <t>Sabres d'Atcham; Amulette du Strigide; Anneau Tique; Alliance Gloursonne; Quatre-feuilles; Ceintacé; Chapeau des Malveilleurs; Cape du Chalœil; Sandales  d'Atcham; Dofus Ocre; Dofus Turquoise; Dofus Nébuleux; Dofus Pourpre; Dofus Ivoire; Vigoureux majeur; Muldo Prune et Emeraude</t>
        </is>
      </c>
    </row>
    <row r="29887">
      <c r="A29887" t="inlineStr">
        <is>
          <t>Full tanki pvm</t>
        </is>
      </c>
      <c r="B29887">
        <f>HYPERLINK("https://www.dofusbook.net/fr/equipement/3961422-full-tanki-pvm/objets", "link")</f>
        <v/>
      </c>
      <c r="C29887" t="n">
        <v>1</v>
      </c>
      <c r="D29887" t="inlineStr">
        <is>
          <t>Bêche Asse; Amulette du Strigide; Anneau Chevelu; Bracelet du Piloztère; Bouclier d'Ilyzaelle; Ceintacé; Casque Dragoeuf; Voile d'encre; Bottes du Strigide; Dofus Pourpre; Dofus Ocre; Dofus Nébuleux; Dofus Ivoire; Enragé majeur; Vigoureux majeur; Muldo Roux et Orchidée</t>
        </is>
      </c>
    </row>
    <row r="29888">
      <c r="A29888" t="inlineStr">
        <is>
          <t>hyrro</t>
        </is>
      </c>
      <c r="B29888">
        <f>HYPERLINK("https://www.dofusbook.net/fr/equipement/799378-hyrro/objets", "link")</f>
        <v/>
      </c>
      <c r="C29888" t="n">
        <v>2</v>
      </c>
      <c r="D29888" t="inlineStr">
        <is>
          <t>Dagoulinantes; Amulette de l'Œil Attentif; Anneau Volkorne; Goulano; Goulclier; Ceinture Volkorne; Capuche de l'Œil Attentif; Cape de l'Œil Attentif; Goulbottes; Dofus Ocre; Dofus Ivoire; Dofus Turquoise; Dofus Abyssal; Dofus Pourpre; Dofus Nébuleux; Muldo Ebène et Indigo</t>
        </is>
      </c>
    </row>
    <row r="29889">
      <c r="A29889" t="inlineStr">
        <is>
          <t>magem3</t>
        </is>
      </c>
      <c r="B29889">
        <f>HYPERLINK("https://www.dofusbook.net/fr/equipement/3961363-magem3/objets", "link")</f>
        <v/>
      </c>
      <c r="C29889" t="n">
        <v>0</v>
      </c>
      <c r="D29889" t="inlineStr">
        <is>
          <t>Gelano; Kralano; Cape de Nileza; Pantoufles Émar</t>
        </is>
      </c>
    </row>
    <row r="29890">
      <c r="A29890" t="inlineStr">
        <is>
          <t>mage2</t>
        </is>
      </c>
      <c r="B29890">
        <f>HYPERLINK("https://www.dofusbook.net/fr/equipement/3961349-mage2/objets", "link")</f>
        <v/>
      </c>
      <c r="C29890" t="n">
        <v>1</v>
      </c>
      <c r="D29890" t="inlineStr">
        <is>
          <t>Baguette Hernelle; Amulette d'Otomaï; Anneau de Padgref; Gelano; Carapar; Ceinture du Comte Razof; Coiffe de Padgref; Cape Hiculteur; Pantoufles Émar; Savant majeur; Érudit majeur; Soigneur majeur; Remueur; Guérisseur majeur; Nomade; Dragodinde Orchidée et Rousse</t>
        </is>
      </c>
    </row>
    <row r="29891">
      <c r="A29891" t="inlineStr">
        <is>
          <t>terre 196</t>
        </is>
      </c>
      <c r="B29891">
        <f>HYPERLINK("https://www.dofusbook.net/fr/equipement/799374-terre-196/objets", "link")</f>
        <v/>
      </c>
      <c r="C29891" t="n">
        <v>0</v>
      </c>
      <c r="D29891" t="inlineStr">
        <is>
          <t>Bêche Asse; Racine Hueuse; Anneau de Brouce; Anneau Chevelu; Bouclier Taverne; Ceinture de Brouce; Coiffe de la Fuji Givrefoux; Cape au Logis; Sabots Minables; Furibond majeur; Remueur; Enragé majeur; Nomade; Vigoureux majeur; Dragodinde Ivoire et Pourpre</t>
        </is>
      </c>
    </row>
    <row r="29892">
      <c r="A29892" t="inlineStr">
        <is>
          <t>do crit</t>
        </is>
      </c>
      <c r="B29892">
        <f>HYPERLINK("https://www.dofusbook.net/fr/equipement/3860149-do-crit/objets", "link")</f>
        <v/>
      </c>
      <c r="C29892" t="n">
        <v>4</v>
      </c>
      <c r="D29892" t="inlineStr">
        <is>
          <t>Epée Maudite du Saigneur Guerrier; Amulette du Strigide; Bracelet du Piloztère; Bague Trithon; Quatre-feuilles; Ceinture du Strigide; Masque Trithon; Voile d'encre; Bottes Honyme; Dofus Pourpre; Dofus des Glaces; Dofus Turquoise; Dofus Nébuleux; Dofus Ocre; Dofus Ivoire; Muldo Prune et Emeraude</t>
        </is>
      </c>
    </row>
    <row r="29893">
      <c r="A29893" t="inlineStr">
        <is>
          <t>Terre res po</t>
        </is>
      </c>
      <c r="B29893">
        <f>HYPERLINK("https://www.dofusbook.net/fr/equipement/3915740-terre-res-po/objets", "link")</f>
        <v/>
      </c>
      <c r="C29893" t="n">
        <v>0</v>
      </c>
      <c r="D29893" t="inlineStr">
        <is>
          <t>Arc du Chalœil; Amulette du Strigide; Anneau Chevelu; Bracelet du Piloztère; Bouclier du Stalak; Ceintacé; Masque de Koutoulou; Cape au Logis; Bottes du Cœur Saignant; Dofus Nébuleux; Dofus Turquoise; Dofus Pourpre; Carapace Terre majeur; Vigoureux majeur; Enragé majeur; Dragodinde Ivoire et Pourpre</t>
        </is>
      </c>
    </row>
    <row r="29894">
      <c r="A29894" t="inlineStr">
        <is>
          <t>eau do pou</t>
        </is>
      </c>
      <c r="B29894">
        <f>HYPERLINK("https://www.dofusbook.net/fr/equipement/799371-eau-do-pou/objets", "link")</f>
        <v/>
      </c>
      <c r="C29894" t="n">
        <v>6</v>
      </c>
      <c r="D29894" t="inlineStr">
        <is>
          <t>Hache Euvale; Amulette Luminescente; Alliance Gloursonne; Anneau Toriété; Bouclier Taverne; Ceinture Luminescente; Masque de l'Esprit Malsain; Cape Solution; Bottes Owesli; Dofus Turquoise; Dofus Ocre; Dofus Pourpre; Culbuteur majeur; Chanceux majeur; Bousculeur majeur; Écumouth</t>
        </is>
      </c>
    </row>
    <row r="29895">
      <c r="A29895" t="inlineStr">
        <is>
          <t>eau terre</t>
        </is>
      </c>
      <c r="B29895">
        <f>HYPERLINK("https://www.dofusbook.net/fr/equipement/2003052-eau-terre/objets", "link")</f>
        <v/>
      </c>
      <c r="C29895" t="n">
        <v>4</v>
      </c>
      <c r="D29895" t="inlineStr">
        <is>
          <t>Épouvante; Amulette du Strigide; Anneau Volkorne; Anneau Toriété; Bouclier d'Ilyzaelle; Ceinture Volkorne; Masque de Koutoulou; Cape Luminescente; Bottes Honyme; Dofus Nébuleux; Dofus Turquoise; Dofus Pourpre; Vigoureux majeur; Remueur; Nomade; Dragodinde Indigo et Ivoire</t>
        </is>
      </c>
    </row>
    <row r="29896">
      <c r="A29896" t="inlineStr">
        <is>
          <t>Terre full ré cri</t>
        </is>
      </c>
      <c r="B29896">
        <f>HYPERLINK("https://www.dofusbook.net/fr/equipement/799393-terre-full-re-cri/objets", "link")</f>
        <v/>
      </c>
      <c r="C29896" t="n">
        <v>3</v>
      </c>
      <c r="D29896" t="inlineStr">
        <is>
          <t>Arc du Chalœil; Amulette du Kamasterisk; Baguistik; Goulano; Bouclier du Stalak; Ceinture de la Reine des Voleurs; Masque de Koutoulou; Cape du Chalœil; Goulbottes; Dofus Pourpre; Dofus Nébuleux; Dofus Ocre; Dofus Ivoire; Dofus Abyssal; Enragé majeur; Muldo Orchidée et Pourpre</t>
        </is>
      </c>
    </row>
    <row r="29897">
      <c r="A29897" t="inlineStr">
        <is>
          <t>feu eau ret pm</t>
        </is>
      </c>
      <c r="B29897">
        <f>HYPERLINK("https://www.dofusbook.net/fr/equipement/3794708-feu-eau-ret-pm/objets", "link")</f>
        <v/>
      </c>
      <c r="C29897" t="n">
        <v>1</v>
      </c>
      <c r="D29897" t="inlineStr">
        <is>
          <t>Héqache; Amulette de l'Indicible; Bracelet du Piloztère; Ceintacé; Chapoulpe; Cape du Cœur Vaillant; Bottes de l'Indicible</t>
        </is>
      </c>
    </row>
    <row r="29898">
      <c r="A29898" t="inlineStr">
        <is>
          <t>Feu terre</t>
        </is>
      </c>
      <c r="B29898">
        <f>HYPERLINK("https://www.dofusbook.net/fr/equipement/799401-feu-terre/objets", "link")</f>
        <v/>
      </c>
      <c r="C29898" t="n">
        <v>0</v>
      </c>
      <c r="D29898" t="inlineStr">
        <is>
          <t>Marteau d'Henual; Amulette du Strigide; Bracelet du Piloztère; Anneau Chevelu; Ceintacé; Chapeau de Gein; Voile d'encre; Bottes du Strigide; Dofus Pourpre; Dofus Turquoise; Vigoureux majeur</t>
        </is>
      </c>
    </row>
    <row r="29899">
      <c r="A29899" t="inlineStr">
        <is>
          <t>full terre</t>
        </is>
      </c>
      <c r="B29899">
        <f>HYPERLINK("https://www.dofusbook.net/fr/equipement/3830416-full-terre/objets", "link")</f>
        <v/>
      </c>
      <c r="C29899" t="n">
        <v>1</v>
      </c>
      <c r="D29899" t="inlineStr">
        <is>
          <t>Amulette du Strigide</t>
        </is>
      </c>
    </row>
    <row r="29900">
      <c r="A29900" t="inlineStr">
        <is>
          <t>Feu hétype invoc</t>
        </is>
      </c>
      <c r="B29900">
        <f>HYPERLINK("https://www.dofusbook.net/fr/equipement/799398-feu-hetype-invoc/objets", "link")</f>
        <v/>
      </c>
      <c r="C29900" t="n">
        <v>1</v>
      </c>
      <c r="D29900" t="inlineStr">
        <is>
          <t>Arc Hétype; Amulette Ikête; Bague Gloursonne; Anneau de Nidas; Ceinture de Vortex; Couronne de Nidas; Voile d'encre; Bottes du Cycloïde; Dofus Ocre; Érudit majeur; Cavaleur majeur; Remueur; Savant majeur; Nomade</t>
        </is>
      </c>
    </row>
    <row r="29901">
      <c r="A29901" t="inlineStr">
        <is>
          <t>Pandawa F 200</t>
        </is>
      </c>
      <c r="B29901">
        <f>HYPERLINK("https://www.dofusbook.net/fr/equipement/3831409-pandawa-f-200/objets", "link")</f>
        <v/>
      </c>
      <c r="C29901" t="n">
        <v>0</v>
      </c>
      <c r="D29901" t="inlineStr">
        <is>
          <t>Sangle Oriole</t>
        </is>
      </c>
    </row>
    <row r="29902">
      <c r="A29902" t="inlineStr">
        <is>
          <t>full force 12/6 pvm</t>
        </is>
      </c>
      <c r="B29902">
        <f>HYPERLINK("https://www.dofusbook.net/fr/equipement/3715699-full-force-12-6-pvm/objets", "link")</f>
        <v/>
      </c>
      <c r="C29902" t="n">
        <v>6</v>
      </c>
      <c r="D29902" t="inlineStr">
        <is>
          <t>Marteau R'ture; Amulette du Cœur Saignant; Anneau Crustique; Anneau Volkorne; Bouclier Taverne; Ceinture Volkorne; Le Kim; Cape de la Fuji Givrefoux; Bottes de la Cour Sombre; Dofus Pourpre; Dofus Turquoise; Dofus Ocre; Enragé majeur; Remueur; Vigoureux majeur; Volkorne Emeraude et Pourpre</t>
        </is>
      </c>
    </row>
    <row r="29903">
      <c r="A29903" t="inlineStr">
        <is>
          <t>Enu 198 retrait pvm</t>
        </is>
      </c>
      <c r="B29903">
        <f>HYPERLINK("https://www.dofusbook.net/fr/equipement/799369-enu-198-retrait-pvm/objets", "link")</f>
        <v/>
      </c>
      <c r="C29903" t="n">
        <v>8</v>
      </c>
      <c r="D29903" t="inlineStr">
        <is>
          <t>Dagues Açantes; Amulette Hale; Alliance Gloursonne; Pikano; Bouclier cubiste; Ceinture Glaciale; Binocle Airvoyant; Cape Matelassée; Pikottes; Entraveur majeur; Remueur; Chanceux majeur; Temporiseur majeur; Nomade; Ralentisseur majeur; Muldo Doré et Indigo</t>
        </is>
      </c>
    </row>
    <row r="29904">
      <c r="A29904" t="inlineStr">
        <is>
          <t>Feu res</t>
        </is>
      </c>
      <c r="B29904">
        <f>HYPERLINK("https://www.dofusbook.net/fr/equipement/3728765-feu-res/objets", "link")</f>
        <v/>
      </c>
      <c r="C29904" t="n">
        <v>2</v>
      </c>
      <c r="D29904" t="inlineStr">
        <is>
          <t>Arc Hétype; Pendentif affamé; Anneau Tique; Chevalière du Roi Joueur; Sept ans de malheur; Ceinture de Vortex; Casque Dragoeuf; Voile d'encre; Bottes Honyme; Dofus Ivoire; Dofus Abyssal; Dofus Ocre; Érudit majeur; Nomade; Savant majeur; Dragodinde Prune et Orchidée</t>
        </is>
      </c>
    </row>
    <row r="29905">
      <c r="A29905" t="inlineStr">
        <is>
          <t>Crâ Full do crit pvm</t>
        </is>
      </c>
      <c r="B29905">
        <f>HYPERLINK("https://www.dofusbook.net/fr/equipement/3715885-cra-full-do-crit-pvm/objets", "link")</f>
        <v/>
      </c>
      <c r="C29905" t="n">
        <v>4</v>
      </c>
      <c r="D29905" t="inlineStr">
        <is>
          <t>Canne Harr; Amulette du Strigide; Anneau Rifique; Anneau de Padgref; Quatre-feuilles; Ceinture du Strigide; Coiffe de Padgref; Cape Reski; Getas de Padgref; Dofus Nébuleux; Dofus Ocre; Dofus Turquoise; Dofus des Glaces; Dofus Abyssal; Dofus Pourpre; Muldo Prune et Emeraude</t>
        </is>
      </c>
    </row>
    <row r="29906">
      <c r="A29906" t="inlineStr">
        <is>
          <t>eau air pvm</t>
        </is>
      </c>
      <c r="B29906">
        <f>HYPERLINK("https://www.dofusbook.net/fr/equipement/799373-eau-air-pvm/objets", "link")</f>
        <v/>
      </c>
      <c r="C29906" t="n">
        <v>1</v>
      </c>
      <c r="D29906" t="inlineStr">
        <is>
          <t>Marteau des Anciens Steamers; Amulette du Strigide; Alliance Gloursonne; Bracelet du Piloztère; Quatre-feuilles; Ceinture du Barbétoal; Kidibonnet; Cape des Justiciers; Bottes du Strigide; Dofus Turquoise; Dofus Pourpre; Nomade; Vigoureux majeur; Puissant majeur; Remueur; Muldo Prune et Emeraude</t>
        </is>
      </c>
    </row>
    <row r="29907">
      <c r="A29907" t="inlineStr">
        <is>
          <t>Full vie terre</t>
        </is>
      </c>
      <c r="B29907">
        <f>HYPERLINK("https://www.dofusbook.net/fr/equipement/799372-full-vie-terre/objets", "link")</f>
        <v/>
      </c>
      <c r="C29907" t="n">
        <v>1</v>
      </c>
      <c r="D29907" t="inlineStr">
        <is>
          <t>Dagues Érhy; Amulette du Strigide; Annolamour; Alliance de Missiz Frizz; Ceintacé; Casque de Missiz Frizz; Cape au Logis; Sabots Minables; Fonceur majeur; Nomade; Enragé majeur; Remueur; Vigoureux majeur; Miraculé majeur; Péki</t>
        </is>
      </c>
    </row>
    <row r="29908">
      <c r="A29908" t="inlineStr">
        <is>
          <t>Iop multi pvm</t>
        </is>
      </c>
      <c r="B29908">
        <f>HYPERLINK("https://www.dofusbook.net/fr/equipement/799408-iop-multi-pvm/objets", "link")</f>
        <v/>
      </c>
      <c r="C29908" t="n">
        <v>146</v>
      </c>
      <c r="D29908" t="inlineStr">
        <is>
          <t>Dagues Érhy; Amulette du Strigide; Bracelet du Piloztère; Bague Gloursonne; Bouclier Taverne; Ceinture du Strigide; Casque de Missiz Frizz; Cape du Professeur Xa; Bottes du Cycloïde; Dofus Turquoise; Dofus Pourpre; Remueur; Nomade; Vigoureux majeur; Turbulent; Muldo Prune et Emeraude</t>
        </is>
      </c>
    </row>
    <row r="29909">
      <c r="A29909" t="inlineStr">
        <is>
          <t>fey hétype</t>
        </is>
      </c>
      <c r="B29909">
        <f>HYPERLINK("https://www.dofusbook.net/fr/equipement/799396-fey-hetype/objets", "link")</f>
        <v/>
      </c>
      <c r="C29909" t="n">
        <v>0</v>
      </c>
      <c r="D29909" t="inlineStr">
        <is>
          <t>Arc Hétype; Amulette d'Otomaï; Anneau de Nidas; Bague Gloursonne; Protopagne; Casque Dragoeuf; Voile d'encre; Bottes d'Otomaï; Dofus Ocre; Érudit majeur; Remueur; Savant majeur; Croum</t>
        </is>
      </c>
    </row>
    <row r="29910">
      <c r="A29910" t="inlineStr">
        <is>
          <t>Feu nidas</t>
        </is>
      </c>
      <c r="B29910">
        <f>HYPERLINK("https://www.dofusbook.net/fr/equipement/1874907-feu-nidas/objets", "link")</f>
        <v/>
      </c>
      <c r="C29910" t="n">
        <v>2</v>
      </c>
      <c r="D29910" t="inlineStr">
        <is>
          <t>Baguette de Malléfisk; Pendentif affamé; Chevalière du Roi Joueur; Anneau Rifique; Carapar; Ceinture de l'Esprit Malsain; Chapeau du Comte Razof; Voile d'encre; Dofus Abyssal; Dofus Ocre; Savant majeur; Érudit majeur; Obstructeur majeur; Guérisseur majeur</t>
        </is>
      </c>
    </row>
    <row r="29911">
      <c r="A29911" t="inlineStr">
        <is>
          <t>eau air ret pa</t>
        </is>
      </c>
      <c r="B29911">
        <f>HYPERLINK("https://www.dofusbook.net/fr/equipement/1357958-eau-air-ret-pa/objets", "link")</f>
        <v/>
      </c>
      <c r="C29911" t="n">
        <v>0</v>
      </c>
      <c r="D29911" t="inlineStr">
        <is>
          <t>Bracelet des Fonds marins; Alliance Gloursonne; Sept ans de malheur; Menoture; Chevelure de Tal Kasha; Sandales de Tal Kasha; Dofus Pourpre; Dofus Turquoise; Étourdisseur majeur; Remueur; Vigoureux majeur; Muldo Prune et Emeraude</t>
        </is>
      </c>
    </row>
    <row r="29912">
      <c r="A29912" t="inlineStr">
        <is>
          <t>feu air ret pa</t>
        </is>
      </c>
      <c r="B29912">
        <f>HYPERLINK("https://www.dofusbook.net/fr/equipement/1357306-feu-air-ret-pa/objets", "link")</f>
        <v/>
      </c>
      <c r="C29912" t="n">
        <v>0</v>
      </c>
      <c r="D29912" t="inlineStr">
        <is>
          <t>Baguette Range; Amulette du Strigide; Kralano; Anneau de Padgref; Sept ans de malheur; Slip du Roi de Bonta; Dorabysses; Cape d'Atcham; Getas de Padgref; Dofus Ocre; Dofus Turquoise; Dofus Pourpre; Étourdisseur majeur; Vigoureux majeur; Remueur; Muldo Prune et Emeraude</t>
        </is>
      </c>
    </row>
    <row r="29913">
      <c r="A29913" t="inlineStr">
        <is>
          <t>feu hétype</t>
        </is>
      </c>
      <c r="B29913">
        <f>HYPERLINK("https://www.dofusbook.net/fr/equipement/799395-feu-hetype/objets", "link")</f>
        <v/>
      </c>
      <c r="C29913" t="n">
        <v>0</v>
      </c>
      <c r="D29913" t="inlineStr">
        <is>
          <t>Arc Hétype; Talisman Igans; Kralano; Chevalière du Roi Joueur; Protopagne; Couronne du Roi Joueur; Voile d'encre; Pataugastrique; Dofus Pourpre; Vigoureux majeur; Miraculé majeur; Savant majeur; Érudit majeur; Remueur; Croum</t>
        </is>
      </c>
    </row>
    <row r="29914">
      <c r="A29914" t="inlineStr">
        <is>
          <t>Eau agi res</t>
        </is>
      </c>
      <c r="B29914">
        <f>HYPERLINK("https://www.dofusbook.net/fr/equipement/799368-eau-agi-res/objets", "link")</f>
        <v/>
      </c>
      <c r="C29914" t="n">
        <v>1</v>
      </c>
      <c r="D29914" t="inlineStr">
        <is>
          <t>Marteau des Anciens Steamers; Amulette du Strigide; Alliance Gloursonne; Bracelet des Fonds marins; Ceintacé; Dorabysses; Cape d'Hel Munster; Bottes de la Reine des Voleurs; Dofus Turquoise; Dofus Pourpre; Carapace Terre majeur; Vigoureux majeur; Remueur; Nomade; Kramkram</t>
        </is>
      </c>
    </row>
    <row r="29915">
      <c r="A29915" t="inlineStr">
        <is>
          <t>Air ret pa do crit</t>
        </is>
      </c>
      <c r="B29915">
        <f>HYPERLINK("https://www.dofusbook.net/fr/equipement/1357053-air-ret-pa-do-crit/objets", "link")</f>
        <v/>
      </c>
      <c r="C29915" t="n">
        <v>1</v>
      </c>
      <c r="D29915" t="inlineStr">
        <is>
          <t>Manthache; Amulette du Strigide; Kralano; Alliance Gloursonne; Sept ans de malheur; Menoture; Dorabysses; Chevelure de Tal Kasha; Sandales de Tal Kasha; Dofus Pourpre; Dofus Turquoise; Étourdisseur majeur; Cascadeur majeur; Remueur; Vigoureux majeur; Muldo Prune et Emeraude</t>
        </is>
      </c>
    </row>
    <row r="29916">
      <c r="A29916" t="inlineStr">
        <is>
          <t>Full agi pvm</t>
        </is>
      </c>
      <c r="B29916">
        <f>HYPERLINK("https://www.dofusbook.net/fr/equipement/938481-full-agi-pvm/objets", "link")</f>
        <v/>
      </c>
      <c r="C29916" t="n">
        <v>0</v>
      </c>
      <c r="D29916" t="inlineStr">
        <is>
          <t>Épée du Granduk; Pendentif Oton; Alliance Gloursonne; Anneau d'Allister; Ceintacé; Masque du Granduk; Cape de Klime; Pantoufles Émar; Acrobate majeur; Vigoureux majeur; Nomade; Cascadeur majeur; Remueur</t>
        </is>
      </c>
    </row>
    <row r="29917">
      <c r="A29917" t="inlineStr">
        <is>
          <t>eau air ret pa</t>
        </is>
      </c>
      <c r="B29917">
        <f>HYPERLINK("https://www.dofusbook.net/fr/equipement/1350813-eau-air-ret-pa/objets", "link")</f>
        <v/>
      </c>
      <c r="C29917" t="n">
        <v>0</v>
      </c>
      <c r="D29917" t="inlineStr">
        <is>
          <t>Dagoulinantes; Amulette Voldelor; Bracelet du Piloztère; Alliance Gloursonne; Sept ans de malheur; Menoture; Némès de Tal Kasha; Chevelure de Tal Kasha; Sandales  d'Atcham; Dofus Turquoise; Dofus Pourpre; Remueur; Nomade; Carapace Air majeur; Vigoureux majeur; Muldo Ebène et Indigo</t>
        </is>
      </c>
    </row>
    <row r="29918">
      <c r="A29918" t="inlineStr">
        <is>
          <t>Feu terre ret pa</t>
        </is>
      </c>
      <c r="B29918">
        <f>HYPERLINK("https://www.dofusbook.net/fr/equipement/799404-feu-terre-ret-pa/objets", "link")</f>
        <v/>
      </c>
      <c r="C29918" t="n">
        <v>1</v>
      </c>
      <c r="D29918" t="inlineStr">
        <is>
          <t>Bâthon; Amulette du Strigide; Chevalière du Roi Joueur; Anneau Crustique; Sept ans de malheur; Ceintacé; Chapeau du Comte Razof; Voile d'encre; Chaussons du Comte Razof; Dofus Turquoise; Dofus Pourpre; Remueur; Étourdisseur majeur; Nomade; Vigoureux majeur; Muldo Roux et Doré</t>
        </is>
      </c>
    </row>
    <row r="29919">
      <c r="A29919" t="inlineStr">
        <is>
          <t>Feu eau ret pa</t>
        </is>
      </c>
      <c r="B29919">
        <f>HYPERLINK("https://www.dofusbook.net/fr/equipement/1357683-feu-eau-ret-pa/objets", "link")</f>
        <v/>
      </c>
      <c r="C29919" t="n">
        <v>0</v>
      </c>
      <c r="D29919" t="inlineStr">
        <is>
          <t>Arc Nécrotique; Amulette Cryochrone; Bracelet des Fonds marins; Anneau Tique; Sept ans de malheur; Ceintacé; Kidibonnet; Cape d'Atcham; Sandales  d'Atcham; Dofus Pourpre; Dofus Turquoise; Étourdisseur majeur; Vigoureux majeur; Érudit majeur; Carapace Feu majeur; Muldo Doré et Emeraude</t>
        </is>
      </c>
    </row>
    <row r="29920">
      <c r="A29920" t="inlineStr">
        <is>
          <t>Terre feu</t>
        </is>
      </c>
      <c r="B29920">
        <f>HYPERLINK("https://www.dofusbook.net/fr/equipement/1989318-terre-feu/objets", "link")</f>
        <v/>
      </c>
      <c r="C29920" t="n">
        <v>0</v>
      </c>
      <c r="D29920" t="inlineStr">
        <is>
          <t>Bâthon; Amulette du Strigide; Baguistik; Alliance Brûlâme; Cadran de Feu; Ceintacé; Chapeau de Gein; Voile d'encre; Pompes Funèbres</t>
        </is>
      </c>
    </row>
    <row r="29921">
      <c r="A29921" t="inlineStr">
        <is>
          <t>Eau do crit ret pa</t>
        </is>
      </c>
      <c r="B29921">
        <f>HYPERLINK("https://www.dofusbook.net/fr/equipement/1354032-eau-do-crit-ret-pa/objets", "link")</f>
        <v/>
      </c>
      <c r="C29921" t="n">
        <v>2</v>
      </c>
      <c r="D29921" t="inlineStr">
        <is>
          <t>Dagoulinantes; Amulette du Strigide; Alliance Gloursonne; Bracelet des Fonds marins; Sept ans de malheur; Sangle Ouare; Némès de Tal Kasha; Chevelure de Tal Kasha; Sandales de Tal Kasha; Dofus Nébuleux; Dofus Ivoire; Dofus Ocre; Dofus Turquoise; Dofus Abyssal; Dofus Pourpre; Dragodinde Emeraude et Indigo</t>
        </is>
      </c>
    </row>
    <row r="29922">
      <c r="A29922" t="inlineStr">
        <is>
          <t>eau agi 198</t>
        </is>
      </c>
      <c r="B29922">
        <f>HYPERLINK("https://www.dofusbook.net/fr/equipement/2960965-eau-agi-198/objets", "link")</f>
        <v/>
      </c>
      <c r="C29922" t="n">
        <v>2</v>
      </c>
      <c r="D29922" t="inlineStr">
        <is>
          <t>Hache du Korriandre; Amulette Hale; Anneau d'Allister; Alliance Gloursonne; Bouclier du Bawbawe; Ceinture Rasboulaire du Rasboul; Coiffe d'Ogivol; Cape Matelassée; Chaussures Face; Dofus Pourpre; Chanceux majeur; Vigoureux majeur; Remueur; Puissant majeur; Nomade; Muldo Doré</t>
        </is>
      </c>
    </row>
    <row r="29923">
      <c r="A29923" t="inlineStr">
        <is>
          <t>Atcham</t>
        </is>
      </c>
      <c r="B29923">
        <f>HYPERLINK("https://www.dofusbook.net/fr/equipement/2966285-atcham/objets", "link")</f>
        <v/>
      </c>
      <c r="C29923" t="n">
        <v>0</v>
      </c>
      <c r="D29923" t="inlineStr">
        <is>
          <t>Sabres d'Atcham; Amulette du Strigide; Anneau Tique; Alliance Gloursonne; Quatre-feuilles; Ceintacé; Kidibonnet; Cape d'Hel Munster; Bottes du Strigide; Dofus Nébuleux; Dofus Turquoise; Dofus Ocre; Dofus Pourpre; Érudit majeur; Nomade; Muldo Prune et Emeraude</t>
        </is>
      </c>
    </row>
    <row r="29924">
      <c r="A29924" t="inlineStr">
        <is>
          <t>Full force pvm</t>
        </is>
      </c>
      <c r="B29924">
        <f>HYPERLINK("https://www.dofusbook.net/fr/equipement/2967724-full-force-pvm/objets", "link")</f>
        <v/>
      </c>
      <c r="C29924" t="n">
        <v>1</v>
      </c>
      <c r="D29924" t="inlineStr">
        <is>
          <t>Marteau R'ture; Amulette du Cœur Saignant; Anneau Crustique; Anneau du Comte Harebourg; Bouclier Taverne; Ceinture du Strigide; Coiffe du Comte Harebourg; Cape du Cœur Saignant; Bottes du Cœur Saignant; Dofus Nébuleux; Dofus des Glaces; Dofus Pourpre; Dofus Ocre; Dofus Vulbis; Dofus Turquoise; Volkorne Emeraude et Pourpre</t>
        </is>
      </c>
    </row>
    <row r="29925">
      <c r="A29925" t="inlineStr">
        <is>
          <t>Air eau koutoulou pvm</t>
        </is>
      </c>
      <c r="B29925">
        <f>HYPERLINK("https://www.dofusbook.net/fr/equipement/799377-air-eau-koutoulou-pvm/objets", "link")</f>
        <v/>
      </c>
      <c r="C29925" t="n">
        <v>1</v>
      </c>
      <c r="D29925" t="inlineStr">
        <is>
          <t>Arc de Koutoulou; Amulette Voldelor; Anneau Volkorne; Anneau Toriété; Quatre-feuilles; Ceinture Voldelor; Casque Volkorne; Chevelure de Tal Kasha; Bottes Voldelor; Dofus Ocre; Dofus des Glaces; Dofus Abyssal; Dofus Pourpre; Dofus Turquoise; Dofus Nébuleux; Dragodinde Prune et Ivoire</t>
        </is>
      </c>
    </row>
    <row r="29926">
      <c r="A29926" t="inlineStr">
        <is>
          <t>eau air</t>
        </is>
      </c>
      <c r="B29926">
        <f>HYPERLINK("https://www.dofusbook.net/fr/equipement/1893517-eau-air/objets", "link")</f>
        <v/>
      </c>
      <c r="C29926" t="n">
        <v>1</v>
      </c>
      <c r="D29926" t="inlineStr">
        <is>
          <t>Marteau des Anciens Steamers; Amulette du Strigide; Bracelet des Fonds marins; Alliance Gloursonne; Ceintacé; Dorabysses; Cape d'Hel Munster; Bottes de la Reine des Voleurs; Dofus Abyssal; Dofus Pourpre; Dofus Turquoise; Vigoureux majeur; Remueur</t>
        </is>
      </c>
    </row>
    <row r="29927">
      <c r="A29927" t="inlineStr">
        <is>
          <t>feu terre chaloeil</t>
        </is>
      </c>
      <c r="B29927">
        <f>HYPERLINK("https://www.dofusbook.net/fr/equipement/799391-feu-terre-chaloeil/objets", "link")</f>
        <v/>
      </c>
      <c r="C29927" t="n">
        <v>0</v>
      </c>
      <c r="D29927" t="inlineStr">
        <is>
          <t>Arc du Chalœil; Amulette du Strigide; Bague Gloursonne; Bouclier du Stalak; Ceintacé; Chapeau de Gein; Voile d'encre; Bottes de la Cour Sombre; Dofus Pourpre; Dofus Turquoise; Vigoureux majeur</t>
        </is>
      </c>
    </row>
    <row r="29928">
      <c r="A29928" t="inlineStr">
        <is>
          <t>terre air cac vdv</t>
        </is>
      </c>
      <c r="B29928">
        <f>HYPERLINK("https://www.dofusbook.net/fr/equipement/2667470-terre-air-cac-vdv/objets", "link")</f>
        <v/>
      </c>
      <c r="C29928" t="n">
        <v>0</v>
      </c>
      <c r="D29928" t="inlineStr">
        <is>
          <t>Manthache; Collier du Valet Veinard; Alliance Gloursonne; Gant du Valet Veinard; Bouclier du Stalak; Menoture; Cape Indescriptible; Palmes Trithons; Dofus Ocre; Dofus Pourpre; Dofus Ivoire; Cascadeur majeur; Carapace Air majeur; Dragodinde Ebène et Ivoire</t>
        </is>
      </c>
    </row>
    <row r="29929">
      <c r="A29929" t="inlineStr">
        <is>
          <t>Eniripsa M 200</t>
        </is>
      </c>
      <c r="B29929">
        <f>HYPERLINK("https://www.dofusbook.net/fr/equipement/4719657-eniripsa-m-200/objets", "link")</f>
        <v/>
      </c>
      <c r="C29929" t="n">
        <v>1</v>
      </c>
      <c r="D29929" t="inlineStr">
        <is>
          <t>Arc corrompu; Amulette Séculaire; Bague Gloursonne; Anneau Tique; Bouclier du serrurier; Ceinture de Vortex; Couronne de Nidas; Voile d'encre; Pataugastrique; Dofus Ocre; Dofus Ivoire; Nomade; Carapace Feu majeur; Guérisseur majeur; Érudit majeur; Muldo Pourpre</t>
        </is>
      </c>
    </row>
    <row r="29930">
      <c r="A29930" t="inlineStr">
        <is>
          <t>Eniripsa F 200</t>
        </is>
      </c>
      <c r="B29930">
        <f>HYPERLINK("https://www.dofusbook.net/fr/equipement/4640250-eniripsa-f-200/objets", "link")</f>
        <v/>
      </c>
      <c r="C29930" t="n">
        <v>5</v>
      </c>
      <c r="D29930" t="inlineStr">
        <is>
          <t>Dagoulinantes; Amulette de l'Œil Attentif; Alliance Gloursonne; Anneau Volkorne; Sept ans de malheur; Culotte de Bethel; Casque Dragoeuf; Cape de l'Œil Attentif; Bottes du Sinistrofu; Dofus Ocre; Dofus Ivoire; Étourdisseur majeur; Observateur; Remueur; Nomade; Fëanor</t>
        </is>
      </c>
    </row>
    <row r="29931">
      <c r="A29931" t="inlineStr">
        <is>
          <t>feyy</t>
        </is>
      </c>
      <c r="B29931">
        <f>HYPERLINK("https://www.dofusbook.net/fr/equipement/1668471-feyy/objets", "link")</f>
        <v/>
      </c>
      <c r="C29931" t="n">
        <v>0</v>
      </c>
      <c r="D29931" t="inlineStr">
        <is>
          <t>Arc Volkorne; Collier de la Dame du Hasard; Alliance du Lévitrof; Lavanneau; Sangle Aise; Casquette de Meno; Cape de la Dame du Hasard; Bottes de Meno</t>
        </is>
      </c>
    </row>
    <row r="29932">
      <c r="A29932" t="inlineStr">
        <is>
          <t>Eniripsa F 200</t>
        </is>
      </c>
      <c r="B29932">
        <f>HYPERLINK("https://www.dofusbook.net/fr/equipement/4114908-eniripsa-f-200/objets", "link")</f>
        <v/>
      </c>
      <c r="C29932" t="n">
        <v>2</v>
      </c>
      <c r="D29932" t="inlineStr">
        <is>
          <t>Manthache; Collier du Valet Veinard; Alliance Gloursonne; Gant du Valet Veinard; Bouclier du Stalak; Menoture; Dorabysses; Cape Indescriptible; Palmes Trithons; Dofus Pourpre; Carapace Air majeur; Nomade; Vigoureux majeur; Cascadeur majeur; Remueur; Dragodinde Ebène et Ivoire</t>
        </is>
      </c>
    </row>
    <row r="29933">
      <c r="A29933" t="inlineStr">
        <is>
          <t>Eniripsa F 200</t>
        </is>
      </c>
      <c r="B29933">
        <f>HYPERLINK("https://www.dofusbook.net/fr/equipement/4114940-eniripsa-f-200/objets", "link")</f>
        <v/>
      </c>
      <c r="C29933" t="n">
        <v>0</v>
      </c>
      <c r="D29933" t="inlineStr">
        <is>
          <t>Manthache; Amulette du Strigide; Gant du Valet Veinard; Alliance Gloursonne; Menoture; Coiffe de la Reine des Voleurs; Cape Indescriptible; Bottes de la Reine des Voleurs</t>
        </is>
      </c>
    </row>
    <row r="29934">
      <c r="A29934" t="inlineStr">
        <is>
          <t>Stuff 3</t>
        </is>
      </c>
      <c r="B29934">
        <f>HYPERLINK("https://www.dofusbook.net/fr/equipement/346165-stuff-3/objets", "link")</f>
        <v/>
      </c>
      <c r="C29934" t="n">
        <v>1</v>
      </c>
      <c r="D29934" t="inlineStr">
        <is>
          <t>Arc corrompu; Amulette de Shokkoth; Alliance Gloursonne; Bracelet des Fonds marins; Quatre-feuilles; Culotte de Bethel; Masque de Funespadon; Cape de Mantaze; Chaussons de Macrab; Dofus Turquoise; Dolmanax; Nomade; Érudit majeur; Remueur; Dragodinde Emeraude et Orchidée</t>
        </is>
      </c>
    </row>
    <row r="29935">
      <c r="A29935" t="inlineStr">
        <is>
          <t>Eniripsa F 200</t>
        </is>
      </c>
      <c r="B29935">
        <f>HYPERLINK("https://www.dofusbook.net/fr/equipement/4111765-eniripsa-f-200/objets", "link")</f>
        <v/>
      </c>
      <c r="C29935" t="n">
        <v>0</v>
      </c>
      <c r="D29935" t="inlineStr">
        <is>
          <t>Arc Nécrotique; Amulette Volkorne; Lavanneau; Anneau Volkorne; Bouclier du Cycloïde; Ceintrigue; Casque Dragoeuf; Cape d'Atcham; Bottes de Meno; Érudit majeur; Nomade; Carapace Feu majeur; Remueur; Évasif majeur; Carapace Eau majeur; Muldo Prune et Indigo</t>
        </is>
      </c>
    </row>
    <row r="29936">
      <c r="A29936" t="inlineStr">
        <is>
          <t>Ecaflip M 200</t>
        </is>
      </c>
      <c r="B29936">
        <f>HYPERLINK("https://www.dofusbook.net/fr/equipement/4068717-ecaflip-m-200/objets", "link")</f>
        <v/>
      </c>
      <c r="C29936" t="n">
        <v>2</v>
      </c>
      <c r="D29936" t="inlineStr">
        <is>
          <t>Bêche Asse; Amulette du Strigide; Bague Gloursonne; Anneau Chevelu; Cadran d'Eau; Ceintacé; Casque Dragoeuf; Cape au Logis; Bottes du Strigide; Dofus Nébuleux; Dofus Émeraude; Dofus Pourpre; Enragé majeur; Carapace Feu majeur; Vigoureux majeur; Pioute vert</t>
        </is>
      </c>
    </row>
    <row r="29937">
      <c r="A29937" t="inlineStr">
        <is>
          <t>res crit</t>
        </is>
      </c>
      <c r="B29937">
        <f>HYPERLINK("https://www.dofusbook.net/fr/equipement/1973257-res-crit/objets", "link")</f>
        <v/>
      </c>
      <c r="C29937" t="n">
        <v>0</v>
      </c>
      <c r="D29937" t="inlineStr">
        <is>
          <t>Lav'Hache; Collier de Tourthon; Anneau de Brouce; Anneau Chevelu; Bouclier du Stalak; Ceinture de la Reine des Voleurs; Coiffe de la Reine des Voleurs; Cape au Logis; Baleinabottes; Dofus Abyssal; Dofus Ocre; Dofus Ivoire; Dolmanax; Dofus Nébuleux; Dofus Pourpre; Dragodinde Prune et Pourpre</t>
        </is>
      </c>
    </row>
    <row r="29938">
      <c r="A29938" t="inlineStr">
        <is>
          <t>terre full</t>
        </is>
      </c>
      <c r="B29938">
        <f>HYPERLINK("https://www.dofusbook.net/fr/equipement/2346655-terre-full/objets", "link")</f>
        <v/>
      </c>
      <c r="C29938" t="n">
        <v>1</v>
      </c>
      <c r="D29938" t="inlineStr">
        <is>
          <t>Lav'Hache; Amulette du Cœur Saignant; Anneau Toriété; Anneau Chevelu; Bouclier Taverne; Cape du Cœur Saignant; Bottes du Cœur Saignant; Dofus Ocre; Dofus Pourpre; Dofus Nébuleux; Dofus des Glaces; Dolmanax; Volkorne Prune et Pourpre</t>
        </is>
      </c>
    </row>
    <row r="29939">
      <c r="A29939" t="inlineStr">
        <is>
          <t>cac soin</t>
        </is>
      </c>
      <c r="B29939">
        <f>HYPERLINK("https://www.dofusbook.net/fr/equipement/2684186-cac-soin/objets", "link")</f>
        <v/>
      </c>
      <c r="C29939" t="n">
        <v>0</v>
      </c>
      <c r="D29939" t="inlineStr">
        <is>
          <t>Héqache; Collier de Tourthon; Anneau de Brouce; Anneau Chevelu; Bouclier Taverne; Ceinture de la Reine des Voleurs; Coiffe de la Reine des Voleurs; Cape au Logis; Baleinabottes; Dofus Nébuleux; Dofus Ocre; Dofus Abyssal; Dofus Ivoire; Dofus Pourpre; Enragé majeur; Dragodinde Ivoire et Pourpre</t>
        </is>
      </c>
    </row>
    <row r="29940">
      <c r="A29940" t="inlineStr">
        <is>
          <t>Enutrof M 200</t>
        </is>
      </c>
      <c r="B29940">
        <f>HYPERLINK("https://www.dofusbook.net/fr/equipement/4031805-enutrof-m-200/objets", "link")</f>
        <v/>
      </c>
      <c r="C29940" t="n">
        <v>0</v>
      </c>
      <c r="D29940" t="inlineStr"/>
    </row>
    <row r="29941">
      <c r="A29941" t="inlineStr">
        <is>
          <t>Enutrof M 200</t>
        </is>
      </c>
      <c r="B29941">
        <f>HYPERLINK("https://www.dofusbook.net/fr/equipement/4030080-enutrof-m-200/objets", "link")</f>
        <v/>
      </c>
      <c r="C29941" t="n">
        <v>0</v>
      </c>
      <c r="D29941" t="inlineStr">
        <is>
          <t>Manthache; Collier du Valet Veinard; Alliance Gloursonne; Gant du Valet Veinard; Bouclier du Stalak; Menoture; Casque Dragoeuf; Cape Indescriptible; Palmes Trithons; Dofus Pourpre; Dofus Abyssal; Dofus des Glaces; Dofus Ivoire; Dolmanax; Dofus Ocre; Muldo Ebène</t>
        </is>
      </c>
    </row>
    <row r="29942">
      <c r="A29942" t="inlineStr">
        <is>
          <t>eau retrrait</t>
        </is>
      </c>
      <c r="B29942">
        <f>HYPERLINK("https://www.dofusbook.net/fr/equipement/1969659-eau-retrrait/objets", "link")</f>
        <v/>
      </c>
      <c r="C29942" t="n">
        <v>0</v>
      </c>
      <c r="D29942" t="inlineStr">
        <is>
          <t>Baguette Hique; Amulette de Shokkoth; Anneau Glacial; Alliance Gloursonne; Quatre-feuilles; Ceinture Glaciale; Casquette de Meno; Cape de Meno; Bottes de Meno; Dofus Turquoise; Dofus Ocre; Dofus des Glaces; Dofus Pourpre; Dofus Nébuleux; Entraveur majeur</t>
        </is>
      </c>
    </row>
    <row r="29943">
      <c r="A29943" t="inlineStr">
        <is>
          <t>Enutrof M 200</t>
        </is>
      </c>
      <c r="B29943">
        <f>HYPERLINK("https://www.dofusbook.net/fr/equipement/4014420-enutrof-m-200/objets", "link")</f>
        <v/>
      </c>
      <c r="C29943" t="n">
        <v>0</v>
      </c>
      <c r="D29943" t="inlineStr">
        <is>
          <t>Casque Dragoeuf</t>
        </is>
      </c>
    </row>
    <row r="29944">
      <c r="A29944" t="inlineStr">
        <is>
          <t>Eniripsa F 200</t>
        </is>
      </c>
      <c r="B29944">
        <f>HYPERLINK("https://www.dofusbook.net/fr/equipement/3993344-eniripsa-f-200/objets", "link")</f>
        <v/>
      </c>
      <c r="C29944" t="n">
        <v>0</v>
      </c>
      <c r="D29944" t="inlineStr">
        <is>
          <t>Pyraguette; Amulette Volkorne; Anneau Volkorne; Ceinture Volkorne; Casque Volkorne; Bottes de Meno; Remueur; Nomade</t>
        </is>
      </c>
    </row>
    <row r="29945">
      <c r="A29945" t="inlineStr">
        <is>
          <t>Stuff 2</t>
        </is>
      </c>
      <c r="B29945">
        <f>HYPERLINK("https://www.dofusbook.net/fr/equipement/346164-stuff-2/objets", "link")</f>
        <v/>
      </c>
      <c r="C29945" t="n">
        <v>0</v>
      </c>
      <c r="D29945" t="inlineStr">
        <is>
          <t>Arc corrompu; Amulette de Nileza; Anneau Tique; Bague Gloursonne; Bouclier du Stalak; Ceinture de Vortex; Cagoule de Vortex; Voile d'encre; Pataugastrique; Carapace Neutre majeur; Remueur; Carapace Feu majeur; Carapace Terre majeur; Nomade; Érudit majeur; Muldo Pourpre</t>
        </is>
      </c>
    </row>
    <row r="29946">
      <c r="A29946" t="inlineStr">
        <is>
          <t>feu air</t>
        </is>
      </c>
      <c r="B29946">
        <f>HYPERLINK("https://www.dofusbook.net/fr/equipement/2079233-feu-air/objets", "link")</f>
        <v/>
      </c>
      <c r="C29946" t="n">
        <v>0</v>
      </c>
      <c r="D29946" t="inlineStr">
        <is>
          <t>Arc Nécrotique; Collier de la Dame du Hasard; Bague Gloursonne; Alliance Gloursonne; Quatre-feuilles; Ceinture de l'Indicible; Cape de la Dame du Hasard; Bottes de la Dame du Hasard; Dofus Turquoise; Dofus Abyssal; Dolmanax; Dofus Ocre; Dofus Pourpre; Dofus des Glaces; Muldo Orchidée et Amande</t>
        </is>
      </c>
    </row>
    <row r="29947">
      <c r="A29947" t="inlineStr">
        <is>
          <t>terre</t>
        </is>
      </c>
      <c r="B29947">
        <f>HYPERLINK("https://www.dofusbook.net/fr/equipement/2735801-terre/objets", "link")</f>
        <v/>
      </c>
      <c r="C29947" t="n">
        <v>3</v>
      </c>
      <c r="D29947" t="inlineStr">
        <is>
          <t>Arc du Chalœil; Amulette de Gein; Anneau Chevelu; Goulano; Bouclier du Stalak; Ceinture de Gein; Masque de Koutoulou; Bottes du Cœur Saignant; Dofus Pourpre; Dofus des Glaces; Dolmanax; Vigoureux majeur; Remueur; Enragé majeur; Dragodinde en armure</t>
        </is>
      </c>
    </row>
    <row r="29948">
      <c r="A29948" t="inlineStr">
        <is>
          <t>terre</t>
        </is>
      </c>
      <c r="B29948">
        <f>HYPERLINK("https://www.dofusbook.net/fr/equipement/2735737-terre/objets", "link")</f>
        <v/>
      </c>
      <c r="C29948" t="n">
        <v>0</v>
      </c>
      <c r="D29948" t="inlineStr">
        <is>
          <t>Arc du Chalœil; Collier de Tourthon; Bracelet du Piloztère; Anneau Chevelu; Bouclier Taverne; Ceinture de la Reine des Voleurs; Coiffe de la Reine des Voleurs; Voile d'encre; Baleinabottes; Dofus Pourpre; Dofus des Glaces; Nomade; Vigoureux majeur; Remueur; Enragé majeur; Dragodinde en armure</t>
        </is>
      </c>
    </row>
    <row r="29949">
      <c r="A29949" t="inlineStr">
        <is>
          <t>feu terre</t>
        </is>
      </c>
      <c r="B29949">
        <f>HYPERLINK("https://www.dofusbook.net/fr/equipement/2640462-feu-terre/objets", "link")</f>
        <v/>
      </c>
      <c r="C29949" t="n">
        <v>0</v>
      </c>
      <c r="D29949" t="inlineStr">
        <is>
          <t>Arc du Chalœil; Amulette du Strigide; Bague Gloursonne; Chevalière du Roi Joueur; Bouclier du Stalak; Ceinture du Strigide; Couronne du Roi Joueur; Voile d'encre; Bottes du Roi Joueur; Dolmanax; Dofus Ocre; Dofus Pourpre; Dofus des Glaces; Dofus Turquoise; Dofus Nébuleux; Muldo Pourpre</t>
        </is>
      </c>
    </row>
    <row r="29950">
      <c r="A29950" t="inlineStr">
        <is>
          <t>terre</t>
        </is>
      </c>
      <c r="B29950">
        <f>HYPERLINK("https://www.dofusbook.net/fr/equipement/1694793-terre/objets", "link")</f>
        <v/>
      </c>
      <c r="C29950" t="n">
        <v>0</v>
      </c>
      <c r="D29950" t="inlineStr">
        <is>
          <t>Arc du Chalœil; Amulette de Gein; Goulano; Anneau Chevelu; Bouclier du Stalak; Ceinture de Gein; Masque de Koutoulou; Cape au Logis; Bottes du Cœur Saignant; Dofus Pourpre; Enragé majeur; Remueur; Carapace Terre majeur; Nomade; Vigoureux majeur; Dragodinde en armure</t>
        </is>
      </c>
    </row>
    <row r="29951">
      <c r="A29951" t="inlineStr">
        <is>
          <t>air</t>
        </is>
      </c>
      <c r="B29951">
        <f>HYPERLINK("https://www.dofusbook.net/fr/equipement/2616678-air/objets", "link")</f>
        <v/>
      </c>
      <c r="C29951" t="n">
        <v>0</v>
      </c>
      <c r="D29951" t="inlineStr">
        <is>
          <t>Manthache; Collier du Valet Veinard; Alliance Gloursonne; Gant du Valet Veinard; Bouclier du Stalak; Menoture; Casque Dragoeuf; Cape Indescriptible; Palmes Trithons; Dofus Pourpre; Nomade; Cascadeur majeur; Remueur; Vigoureux majeur; Muldo Ebène</t>
        </is>
      </c>
    </row>
    <row r="29952">
      <c r="A29952" t="inlineStr">
        <is>
          <t>eau</t>
        </is>
      </c>
      <c r="B29952">
        <f>HYPERLINK("https://www.dofusbook.net/fr/equipement/2521643-eau/objets", "link")</f>
        <v/>
      </c>
      <c r="C29952" t="n">
        <v>0</v>
      </c>
      <c r="D29952" t="inlineStr">
        <is>
          <t>Dagoulinantes; Amulette de Shokkoth; Alliance Gloursonne; Anneau Toriété; Bouclier Taverne; Ceinture de la Reine des Voleurs; Casque Dragoeuf; Cape Solution; Bottes de la Reine des Voleurs; Dofus Abyssal; Dolmanax; Dofus Pourpre; Remueur; Chanceux majeur; Carapace Air majeur; Dragodinde en armure</t>
        </is>
      </c>
    </row>
    <row r="29953">
      <c r="A29953" t="inlineStr">
        <is>
          <t>pop</t>
        </is>
      </c>
      <c r="B29953">
        <f>HYPERLINK("https://www.dofusbook.net/fr/equipement/347221-pop/objets", "link")</f>
        <v/>
      </c>
      <c r="C29953" t="n">
        <v>0</v>
      </c>
      <c r="D29953" t="inlineStr">
        <is>
          <t>Epée Gloursonne; Amulette du Strigide; Bague Gloursonne; Alliance Gloursonne; Quatre-feuilles; Ceinture du Strigide; Chapeau Lisson; Voile d'encre; Bottes du Strigide; Dofus Pourpre; Dolmanax; Dofus Turquoise; Dofus des Glaces; Dofus Ocre; Dofus Abyssal; Dragodinde Prune et Emeraude</t>
        </is>
      </c>
    </row>
    <row r="29954">
      <c r="A29954" t="inlineStr">
        <is>
          <t>res crit</t>
        </is>
      </c>
      <c r="B29954">
        <f>HYPERLINK("https://www.dofusbook.net/fr/equipement/1973252-res-crit/objets", "link")</f>
        <v/>
      </c>
      <c r="C29954" t="n">
        <v>0</v>
      </c>
      <c r="D29954" t="inlineStr">
        <is>
          <t>Dagues d'Ilyzaelle; Torquistik; Goulano; Baguistik; Goulclier; Ceinture de la Reine des Voleurs; Coiffe de la Reine des Voleurs; Cape de Kongoku; Bottes de la Reine des Voleurs; Dofus Nébuleux; Dofus Pourpre; Dofus Abyssal; Dofus Ocre; Dofus des Glaces; Bastion majeur; Muldo Ebène</t>
        </is>
      </c>
    </row>
    <row r="29955">
      <c r="A29955" t="inlineStr">
        <is>
          <t>feu air</t>
        </is>
      </c>
      <c r="B29955">
        <f>HYPERLINK("https://www.dofusbook.net/fr/equipement/2349713-feu-air/objets", "link")</f>
        <v/>
      </c>
      <c r="C29955" t="n">
        <v>0</v>
      </c>
      <c r="D29955" t="inlineStr">
        <is>
          <t>Arc Nécrotique; Collier de la Dame du Hasard; Bague Gloursonne; Alliance Gloursonne; Quatre-feuilles; Ceinture de l'Indicible; Chapeau Lisson; Cape de la Dame du Hasard; Bottes de la Dame du Hasard; Dolmanax; Dofus Ocre; Dofus Pourpre; Dofus des Glaces; Dofus Turquoise; Dofus Abyssal; Muldo Orchidée et Amande</t>
        </is>
      </c>
    </row>
    <row r="29956">
      <c r="A29956" t="inlineStr">
        <is>
          <t>rox eau 2</t>
        </is>
      </c>
      <c r="B29956">
        <f>HYPERLINK("https://www.dofusbook.net/fr/equipement/2340897-rox-eau-2/objets", "link")</f>
        <v/>
      </c>
      <c r="C29956" t="n">
        <v>0</v>
      </c>
      <c r="D29956" t="inlineStr">
        <is>
          <t>Dagoulinantes; Collier de la Dame du Hasard; Alliance Gloursonne; Bracelet des Fonds marins; Quatre-feuilles; Pagne du Rykaon; Casquette de Meno; Cape de la Dame du Hasard; Bottes de la Dame du Hasard; Dofus Pourpre; Dofus des Glaces; Dofus Turquoise; Dofus Nébuleux; Dofus Ocre; Entraveur majeur; Muldo Prune et Emeraude</t>
        </is>
      </c>
    </row>
    <row r="29957">
      <c r="A29957" t="inlineStr">
        <is>
          <t>eau roox</t>
        </is>
      </c>
      <c r="B29957">
        <f>HYPERLINK("https://www.dofusbook.net/fr/equipement/2340739-eau-roox/objets", "link")</f>
        <v/>
      </c>
      <c r="C29957" t="n">
        <v>0</v>
      </c>
      <c r="D29957" t="inlineStr">
        <is>
          <t>Dagoulinantes; Amulette de Shokkoth; Alliance Gloursonne; Bracelet des Fonds marins; Quatre-feuilles; Pagne du Rykaon; Coiffe de Danathor; Cape de l'Œil Attentif; Bottes de la Dame du Hasard; Dofus Turquoise; Dofus Ocre; Dofus Vulbis; Dofus des Glaces; Dofus Pourpre; Dofus Nébuleux; Muldo Prune et Emeraude</t>
        </is>
      </c>
    </row>
    <row r="29958">
      <c r="A29958" t="inlineStr">
        <is>
          <t>multi 2</t>
        </is>
      </c>
      <c r="B29958">
        <f>HYPERLINK("https://www.dofusbook.net/fr/equipement/1645726-multi-2/objets", "link")</f>
        <v/>
      </c>
      <c r="C29958" t="n">
        <v>0</v>
      </c>
      <c r="D29958" t="inlineStr">
        <is>
          <t>Dagues de Srambad; Amulette de Pol Ouatnos; Bague Gloursonne; Alliance Gloursonne; Bouclier du Stalak; Ceinture de la Reine des Voleurs; Coiffe de la Reine des Voleurs; Voile d'encre; Bottes de la Reine des Voleurs; Dofus Ocre; Dofus Abyssal; Dofus Pourpre; Dolmanax; Dofus Turquoise; Dofus des Glaces; Dragodinde en armure</t>
        </is>
      </c>
    </row>
    <row r="29959">
      <c r="A29959" t="inlineStr">
        <is>
          <t>ret terre</t>
        </is>
      </c>
      <c r="B29959">
        <f>HYPERLINK("https://www.dofusbook.net/fr/equipement/2320012-ret-terre/objets", "link")</f>
        <v/>
      </c>
      <c r="C29959" t="n">
        <v>0</v>
      </c>
      <c r="D29959" t="inlineStr">
        <is>
          <t>Dagues d'Ilyzaelle; Amulette du Cœur Saignant; Chevalière du Roi Joueur; Pikano; Ceinture Luminescente; Couronne du Roi Joueur; Cape du Cœur Saignant; Bottes du Cœur Saignant; Dofus Nébuleux; Dofus Ocre; Dolmanax; Dofus des Glaces; Dofus Turquoise; Dofus Pourpre; Dragodinde Prune et Emeraude</t>
        </is>
      </c>
    </row>
    <row r="29960">
      <c r="A29960" t="inlineStr">
        <is>
          <t>feu ret</t>
        </is>
      </c>
      <c r="B29960">
        <f>HYPERLINK("https://www.dofusbook.net/fr/equipement/2319916-feu-ret/objets", "link")</f>
        <v/>
      </c>
      <c r="C29960" t="n">
        <v>0</v>
      </c>
      <c r="D29960" t="inlineStr">
        <is>
          <t>Arc Hétype; Collier de la Dame du Hasard; Anneau de Nidas; Chevalière du Roi Joueur; Bouclier cubiste; Ceinture du Glourséleste; Capuche de l'Œil Putride; Cape de la Dame du Hasard; Pantoufles Émar; Dofus Pourpre; Dofus Turquoise; Entraveur majeur; Nomade; Temporiseur majeur; Remueur; Muldo Indigo et Orchidée</t>
        </is>
      </c>
    </row>
    <row r="29961">
      <c r="A29961" t="inlineStr">
        <is>
          <t>feu ret sans dof</t>
        </is>
      </c>
      <c r="B29961">
        <f>HYPERLINK("https://www.dofusbook.net/fr/equipement/2319841-feu-ret-sans-dof/objets", "link")</f>
        <v/>
      </c>
      <c r="C29961" t="n">
        <v>0</v>
      </c>
      <c r="D29961" t="inlineStr">
        <is>
          <t>Dagoulinantes; Collier de la Dame du Hasard; Pikano; Anneau de Nidas; Bouclier cubiste; Ceinture Glaciale; Casquette de Meno; Cape de Meno; Pantoufles Émar; Entraveur majeur; Nomade; Temporiseur majeur; Remueur; Muldo Orchidée et Pourpre</t>
        </is>
      </c>
    </row>
    <row r="29962">
      <c r="A29962" t="inlineStr">
        <is>
          <t>Stuff 1</t>
        </is>
      </c>
      <c r="B29962">
        <f>HYPERLINK("https://www.dofusbook.net/fr/equipement/346172-stuff-1/objets", "link")</f>
        <v/>
      </c>
      <c r="C29962" t="n">
        <v>0</v>
      </c>
      <c r="D29962" t="inlineStr">
        <is>
          <t>Baguette Hique; Collier de la Dame du Hasard; Pikano; Alliance Gloursonne; Bouclier cubiste; Ceinture Glaciale; Kidibonnet; Cape de Meno; Bottes de Meno; Entraveur majeur; Remueur; Temporiseur majeur; Chanceux majeur</t>
        </is>
      </c>
    </row>
    <row r="29963">
      <c r="A29963" t="inlineStr">
        <is>
          <t>Stuff 2</t>
        </is>
      </c>
      <c r="B29963">
        <f>HYPERLINK("https://www.dofusbook.net/fr/equipement/346173-stuff-2/objets", "link")</f>
        <v/>
      </c>
      <c r="C29963" t="n">
        <v>0</v>
      </c>
      <c r="D29963" t="inlineStr">
        <is>
          <t>Arc Hétype; Collier de la Dame du Hasard; Chevalière du Roi Joueur; Anneau de Nidas; Bouclier cubiste; Ceinture de Kongoku; Couronne de Nidas; Cape de Meno; Pataugastrique; Dofus Turquoise; Dolmanax; Remueur; Érudit majeur; Nomade; Temporiseur majeur; Dragodinde en armure</t>
        </is>
      </c>
    </row>
    <row r="29964">
      <c r="A29964" t="inlineStr">
        <is>
          <t>eau sans dofus</t>
        </is>
      </c>
      <c r="B29964">
        <f>HYPERLINK("https://www.dofusbook.net/fr/equipement/2155008-eau-sans-dofus/objets", "link")</f>
        <v/>
      </c>
      <c r="C29964" t="n">
        <v>0</v>
      </c>
      <c r="D29964" t="inlineStr">
        <is>
          <t>Baguette Hique; Collier de la Dame du Hasard; Pikano; Bouclier cubiste; Ceinture Glaciale; Kidibonnet; Cape de Meno; Bottes de Meno; Dofus Pourpre; Dofus Turquoise; Chanceux majeur; Remueur; Temporiseur majeur; Nomade; Dragoune Rose</t>
        </is>
      </c>
    </row>
    <row r="29965">
      <c r="A29965" t="inlineStr">
        <is>
          <t>Stuff 3</t>
        </is>
      </c>
      <c r="B29965">
        <f>HYPERLINK("https://www.dofusbook.net/fr/equipement/346174-stuff-3/objets", "link")</f>
        <v/>
      </c>
      <c r="C29965" t="n">
        <v>0</v>
      </c>
      <c r="D29965" t="inlineStr">
        <is>
          <t>Rapière aux Glyphes; Collier de la Dame du Hasard; Anneau Glacial; Pikano; Quatre-feuilles; Ceinture Glaciale; Casquette de Meno; Cape de la Dame du Hasard; Bottes de la Dame du Hasard; Dofus Nébuleux; Dofus des Glaces; Dofus Turquoise; Dofus Abyssal; Dofus Ocre; Dofus Pourpre; Dragodinde Prune et Emeraude</t>
        </is>
      </c>
    </row>
    <row r="29966">
      <c r="A29966" t="inlineStr">
        <is>
          <t>air</t>
        </is>
      </c>
      <c r="B29966">
        <f>HYPERLINK("https://www.dofusbook.net/fr/equipement/2079164-air/objets", "link")</f>
        <v/>
      </c>
      <c r="C29966" t="n">
        <v>0</v>
      </c>
      <c r="D29966" t="inlineStr">
        <is>
          <t>Pelle de la Cour Sombre; Collier du Valet Veinard; Gant du Valet Veinard; Alliance Gloursonne; Bouclier du Stalak; Menoture; Casque Dragoeuf; Cape Indescriptible; Palmes Trithons; Dofus Pourpre; Dolmanax; Cascadeur majeur; Acrobate majeur; Remueur; Vigoureux majeur; Muldo Ebène</t>
        </is>
      </c>
    </row>
    <row r="29967">
      <c r="A29967" t="inlineStr">
        <is>
          <t>feu eau</t>
        </is>
      </c>
      <c r="B29967">
        <f>HYPERLINK("https://www.dofusbook.net/fr/equipement/2032671-feu-eau/objets", "link")</f>
        <v/>
      </c>
      <c r="C29967" t="n">
        <v>1</v>
      </c>
      <c r="D29967" t="inlineStr">
        <is>
          <t>Sabres d'Atcham; Amulette de l'Œil Putride; Bague Gloursonne; Alliance Gloursonne; Ceinture de l'Indicible; Capuche de l'Œil Putride; Cape d'Atcham; Sandales  d'Atcham</t>
        </is>
      </c>
    </row>
    <row r="29968">
      <c r="A29968" t="inlineStr">
        <is>
          <t>Multi dofus</t>
        </is>
      </c>
      <c r="B29968">
        <f>HYPERLINK("https://www.dofusbook.net/fr/equipement/2000120-multi-dofus/objets", "link")</f>
        <v/>
      </c>
      <c r="C29968" t="n">
        <v>0</v>
      </c>
      <c r="D29968" t="inlineStr">
        <is>
          <t>Epée Toche; Amulette du Strigide; Bague Gloursonne; Chevalière du Roi Joueur; Bouclier du Captain Amakna; Ceinture du Strigide; Couronne du Roi Joueur; Voile d'encre; Bottes du Strigide; Dofus Turquoise; Dofus Nébuleux; Dofus Ocre; Dofus Abyssal; Dofus Pourpre; Dofus des Glaces; Dragodinde Emeraude et Rousse</t>
        </is>
      </c>
    </row>
    <row r="29969">
      <c r="A29969" t="inlineStr">
        <is>
          <t>eau air</t>
        </is>
      </c>
      <c r="B29969">
        <f>HYPERLINK("https://www.dofusbook.net/fr/equipement/1975911-eau-air/objets", "link")</f>
        <v/>
      </c>
      <c r="C29969" t="n">
        <v>0</v>
      </c>
      <c r="D29969" t="inlineStr">
        <is>
          <t>Arc de Koutoulou; Amulette du Strigide; Bracelet du Piloztère; Alliance Gloursonne; Quatre-feuilles; Ceinture du Strigide; Némès de Tal Kasha; Chevelure de Tal Kasha; Sandales de Tal Kasha; Dofus Pourpre; Dofus Nébuleux; Dofus Turquoise; Dolmanax; Dofus Ocre; Dofus des Glaces</t>
        </is>
      </c>
    </row>
    <row r="29970">
      <c r="A29970" t="inlineStr">
        <is>
          <t>res crit</t>
        </is>
      </c>
      <c r="B29970">
        <f>HYPERLINK("https://www.dofusbook.net/fr/equipement/1973255-res-crit/objets", "link")</f>
        <v/>
      </c>
      <c r="C29970" t="n">
        <v>0</v>
      </c>
      <c r="D29970" t="inlineStr"/>
    </row>
    <row r="29971">
      <c r="A29971" t="inlineStr">
        <is>
          <t>Stuff 2</t>
        </is>
      </c>
      <c r="B29971">
        <f>HYPERLINK("https://www.dofusbook.net/fr/equipement/346180-stuff-2/objets", "link")</f>
        <v/>
      </c>
      <c r="C29971" t="n">
        <v>0</v>
      </c>
      <c r="D29971" t="inlineStr">
        <is>
          <t>Dagues de Srambad; Torquistik; Baguistik; Goulano; Goulclier; Ceinture de la Reine des Voleurs; Coiffe de la Reine des Voleurs; Cape de Kongoku; Bottes de la Reine des Voleurs; Dofus Pourpre; Dofus des Glaces; Dofus Ivoire; Dofus Ocre; Dofus Émeraude; Dolmanax; Muldo Ebène</t>
        </is>
      </c>
    </row>
    <row r="29972">
      <c r="A29972" t="inlineStr">
        <is>
          <t>feu</t>
        </is>
      </c>
      <c r="B29972">
        <f>HYPERLINK("https://www.dofusbook.net/fr/equipement/1638769-feu/objets", "link")</f>
        <v/>
      </c>
      <c r="C29972" t="n">
        <v>0</v>
      </c>
      <c r="D29972" t="inlineStr">
        <is>
          <t>Arc Nécrotique; Collier de la Dame du Hasard; Alliance Gloursonne; Bague Gloursonne; Quatre-feuilles; Ceinture de l'Esprit Malsain; Masque de l'Esprit Malsain; Cape de la Dame du Hasard; Bottes de la Dame du Hasard; Dofus Émeraude; Dofus des Glaces; Dofus Ocre; Dofus Pourpre; Dofus Turquoise; Dolmanax; Muldo Indigo et Orchidée</t>
        </is>
      </c>
    </row>
    <row r="29973">
      <c r="A29973" t="inlineStr">
        <is>
          <t>opti</t>
        </is>
      </c>
      <c r="B29973">
        <f>HYPERLINK("https://www.dofusbook.net/fr/equipement/1889183-opti/objets", "link")</f>
        <v/>
      </c>
      <c r="C29973" t="n">
        <v>0</v>
      </c>
      <c r="D29973" t="inlineStr">
        <is>
          <t>Marteau Phossile; Pendentif mignon de Koutoulou; Anneau Tique; Anneau Rifique; Bouclier Taverne; Ceinture de Vortex; Casque Cyclopéen; Voile d'encre; Sabots de Vortex; Dofus Turquoise; Dolmanax; Dofus Pourpre; Dofus Abyssal; Dofus Émeraude; Dofus Ocre; Muldo Orchidée et Pourpre</t>
        </is>
      </c>
    </row>
    <row r="29974">
      <c r="A29974" t="inlineStr">
        <is>
          <t>rez crit</t>
        </is>
      </c>
      <c r="B29974">
        <f>HYPERLINK("https://www.dofusbook.net/fr/equipement/1945530-rez-crit/objets", "link")</f>
        <v/>
      </c>
      <c r="C29974" t="n">
        <v>0</v>
      </c>
      <c r="D29974" t="inlineStr">
        <is>
          <t>Alliance Brûlâme; Masque Brûlâme; Pompes Funèbres</t>
        </is>
      </c>
    </row>
    <row r="29975">
      <c r="A29975" t="inlineStr">
        <is>
          <t>nouveau</t>
        </is>
      </c>
      <c r="B29975">
        <f>HYPERLINK("https://www.dofusbook.net/fr/equipement/1935175-nouveau/objets", "link")</f>
        <v/>
      </c>
      <c r="C29975" t="n">
        <v>0</v>
      </c>
      <c r="D29975" t="inlineStr">
        <is>
          <t>Marteau de Katrepat; Torquistik; Alliance Brûlâme; Baguistik; Bouclier Taverne; Ceinture de la Reine des Voleurs; Masque Brûlâme; Voile d'encre; Pompes Funèbres; Dofus Ocre; Dofus Pourpre; Dolmanax; Dofus Turquoise; Dofus des Glaces; Muldo Orchidée et Pourpre</t>
        </is>
      </c>
    </row>
    <row r="29976">
      <c r="A29976" t="inlineStr">
        <is>
          <t>eau</t>
        </is>
      </c>
      <c r="B29976">
        <f>HYPERLINK("https://www.dofusbook.net/fr/equipement/1935607-eau/objets", "link")</f>
        <v/>
      </c>
      <c r="C29976" t="n">
        <v>0</v>
      </c>
      <c r="D29976" t="inlineStr">
        <is>
          <t>Dagoulinantes; Amulette de Shokkoth; Alliance Gloursonne; Bracelet des Fonds marins; Bouclier du Stalak; Poulpagne; Kidibonnet; Cape de Mantaze; Sandales des Fonds marins; Dofus Pourpre; Dofus des Glaces; Dolmanax; Chanceux majeur; Remueur; Nomade; Croum</t>
        </is>
      </c>
    </row>
    <row r="29977">
      <c r="A29977" t="inlineStr">
        <is>
          <t>multi</t>
        </is>
      </c>
      <c r="B29977">
        <f>HYPERLINK("https://www.dofusbook.net/fr/equipement/1935588-multi/objets", "link")</f>
        <v/>
      </c>
      <c r="C29977" t="n">
        <v>0</v>
      </c>
      <c r="D29977" t="inlineStr">
        <is>
          <t>Epée Gloursonne; Amulette de Pol Ouatnos; Bague Gloursonne; Alliance Gloursonne; Bouclier du Stalak; Ceinture de l'Esprit Salvateur; Masque de l'Esprit Salvateur; Voile d'encre; Bottes de l'Esprit Salvateur; Dofus Émeraude; Dofus Abyssal; Dofus Pourpre; Dolmanax; Dofus Ocre; Dofus des Glaces; Dragodinde en armure</t>
        </is>
      </c>
    </row>
    <row r="29978">
      <c r="A29978" t="inlineStr">
        <is>
          <t>Stuff 1</t>
        </is>
      </c>
      <c r="B29978">
        <f>HYPERLINK("https://www.dofusbook.net/fr/equipement/346176-stuff-1/objets", "link")</f>
        <v/>
      </c>
      <c r="C29978" t="n">
        <v>0</v>
      </c>
      <c r="D29978" t="inlineStr">
        <is>
          <t>Marteau de Katrepat; Amulette du Strigide; Anneau Chevelu; Baguistik; Bouclier Taverne; Ceinture de l'Indicible; Le Dorado; Voile d'encre; Bottes du Strigide; Dofus Pourpre; Dolmanax; Dofus Turquoise; Dofus des Glaces; Nomade; Remueur; Dragodinde en armure</t>
        </is>
      </c>
    </row>
    <row r="29979">
      <c r="A29979" t="inlineStr">
        <is>
          <t>multi</t>
        </is>
      </c>
      <c r="B29979">
        <f>HYPERLINK("https://www.dofusbook.net/fr/equipement/963639-multi/objets", "link")</f>
        <v/>
      </c>
      <c r="C29979" t="n">
        <v>0</v>
      </c>
      <c r="D29979" t="inlineStr">
        <is>
          <t>Héqache; Amulette du Strigide; Anneau Toriété; Bague Trithon; Quatre-feuilles; Ceinture du Strigide; Masque Trithon; Voile d'encre; Bottes Trithon; Dofus Pourpre; Dofus Nébuleux; Dofus Turquoise; Dofus des Glaces; Dolmanax; Dofus Ocre; Dragodinde en armure</t>
        </is>
      </c>
    </row>
    <row r="29980">
      <c r="A29980" t="inlineStr">
        <is>
          <t>stuff love</t>
        </is>
      </c>
      <c r="B29980">
        <f>HYPERLINK("https://www.dofusbook.net/fr/equipement/1874688-stuff-love/objets", "link")</f>
        <v/>
      </c>
      <c r="C29980" t="n">
        <v>0</v>
      </c>
      <c r="D29980" t="inlineStr">
        <is>
          <t>Epée Gloursonne; Amulette du Cycloïde; Alliance Gloursonne; Bague Gloursonne; Bouclier Taverne; Ceinture de la Reine des Voleurs; Coiffe de la Reine des Voleurs; Voile d'encre; Bottes du Cycloïde; Dofus Pourpre; Dolmanax; Dofus Turquoise; Dofus des Glaces; Dofus Ocre; Dofus Abyssal; Dragodinde Prune et Emeraude</t>
        </is>
      </c>
    </row>
    <row r="29981">
      <c r="A29981" t="inlineStr">
        <is>
          <t>Stuff 1</t>
        </is>
      </c>
      <c r="B29981">
        <f>HYPERLINK("https://www.dofusbook.net/fr/equipement/346179-stuff-1/objets", "link")</f>
        <v/>
      </c>
      <c r="C29981" t="n">
        <v>0</v>
      </c>
      <c r="D29981" t="inlineStr">
        <is>
          <t>Epée Gloursonne; Amulette de Pol Ouatnos; Bague Gloursonne; Alliance Gloursonne; Bouclier d'Anerice; Ceinture de l'Indicible; Masque d'Anerice; Voile d'encre; Bottes de l'Indicible; Dofus Turquoise; Dolmanax; Dofus Ocre; Dofus Abyssal; Dofus Pourpre; Dofus des Glaces; Dragodinde en armure</t>
        </is>
      </c>
    </row>
    <row r="29982">
      <c r="A29982" t="inlineStr">
        <is>
          <t>terre opti</t>
        </is>
      </c>
      <c r="B29982">
        <f>HYPERLINK("https://www.dofusbook.net/fr/equipement/1829976-terre-opti/objets", "link")</f>
        <v/>
      </c>
      <c r="C29982" t="n">
        <v>0</v>
      </c>
      <c r="D29982" t="inlineStr">
        <is>
          <t>Epée Gloursonne; Amulette de Pol Ouatnos; Alliance Gloursonne; Bague Gloursonne; Bouclier Taverne; Ceinture de l'Indicible; Chapeau Lisson; Voile d'encre; Bottes de l'Indicible; Dofus Turquoise; Dolmanax; Dofus Pourpre; Dofus des Glaces; Dofus Ocre; Dofus Abyssal; Dragodinde en armure</t>
        </is>
      </c>
    </row>
    <row r="29983">
      <c r="A29983" t="inlineStr">
        <is>
          <t>terre2</t>
        </is>
      </c>
      <c r="B29983">
        <f>HYPERLINK("https://www.dofusbook.net/fr/equipement/1666755-terre2/objets", "link")</f>
        <v/>
      </c>
      <c r="C29983" t="n">
        <v>0</v>
      </c>
      <c r="D29983" t="inlineStr">
        <is>
          <t>Epée Toche; Amulette de Gein; Anneau de Brouce; Anneau Crustique; Bouclier du Captain Amakna; Ceinture de Brouce; Chapeau de Gein; Cape du Professeur Xa; Bottes de Brouce; Dofus des Glaces; Dofus Pourpre; Dofus Abyssal; Dofus Ocre; Dolmanax; Dofus Turquoise; Dragodinde en armure</t>
        </is>
      </c>
    </row>
    <row r="29984">
      <c r="A29984" t="inlineStr">
        <is>
          <t>terre</t>
        </is>
      </c>
      <c r="B29984">
        <f>HYPERLINK("https://www.dofusbook.net/fr/equipement/1666677-terre/objets", "link")</f>
        <v/>
      </c>
      <c r="C29984" t="n">
        <v>0</v>
      </c>
      <c r="D29984" t="inlineStr">
        <is>
          <t>Marteau R'ture; Amulette du Strigide; Anneau de Brouce; Bouclier Taverne; Masque de Koutoulou; Cape au Logis; Dolmanax; Dofus Turquoise; Dofus Pourpre; Remueur; Vigoureux majeur; Enragé majeur; Dragodinde Prune et Pourpre</t>
        </is>
      </c>
    </row>
    <row r="29985">
      <c r="A29985" t="inlineStr">
        <is>
          <t>pvm</t>
        </is>
      </c>
      <c r="B29985">
        <f>HYPERLINK("https://www.dofusbook.net/fr/equipement/1654330-pvm/objets", "link")</f>
        <v/>
      </c>
      <c r="C29985" t="n">
        <v>0</v>
      </c>
      <c r="D29985" t="inlineStr">
        <is>
          <t>Epée Toche; Amulette du Strigide; Bague Gloursonne; Anneau Chevelu; Bouclier du Captain Amakna; Ceinture du Strigide; Bonnet Ko; Voile d'encre; Bottes du Roi Joueur; Dofus Pourpre; Dofus Ocre; Dofus Turquoise; Nomade; Remueur; Dragodinde en armure</t>
        </is>
      </c>
    </row>
    <row r="29986">
      <c r="A29986" t="inlineStr">
        <is>
          <t>terrfeu</t>
        </is>
      </c>
      <c r="B29986">
        <f>HYPERLINK("https://www.dofusbook.net/fr/equipement/584724-terrfeu/objets", "link")</f>
        <v/>
      </c>
      <c r="C29986" t="n">
        <v>0</v>
      </c>
      <c r="D29986" t="inlineStr">
        <is>
          <t>L'Épée Nice; Amulette de Gein; Chevalière du Roi Joueur; Baguistik; Bouclier du Stalak; Ceinture de Gein; Chapeau de Gein; Voile d'encre; Bottes du Roi Joueur; Dofus Ocre; Dofus Pourpre; Dolmanax; Dofus Abyssal; Dofus Turquoise; Dofus des Glaces; Croum</t>
        </is>
      </c>
    </row>
    <row r="29987">
      <c r="A29987" t="inlineStr">
        <is>
          <t>Stuff 3</t>
        </is>
      </c>
      <c r="B29987">
        <f>HYPERLINK("https://www.dofusbook.net/fr/equipement/346178-stuff-3/objets", "link")</f>
        <v/>
      </c>
      <c r="C29987" t="n">
        <v>0</v>
      </c>
      <c r="D29987" t="inlineStr">
        <is>
          <t>Marteau de Katrepat; Amulette du Strigide; Alliance Gloursonne; Bague Gloursonne; Bouclier Taverne; Ceinture du Strigide; Chapeau Lisson; Voile d'encre; Bottes du Strigide; Dofus Turquoise; Dofus Ocre; Dofus Abyssal; Dolmanax; Dofus des Glaces; Dofus Émeraude; Muldo Pourpre</t>
        </is>
      </c>
    </row>
    <row r="29988">
      <c r="A29988" t="inlineStr">
        <is>
          <t>Stuff 1</t>
        </is>
      </c>
      <c r="B29988">
        <f>HYPERLINK("https://www.dofusbook.net/fr/equipement/346175-stuff-1/objets", "link")</f>
        <v/>
      </c>
      <c r="C29988" t="n">
        <v>0</v>
      </c>
      <c r="D29988" t="inlineStr">
        <is>
          <t>Manthache; Collier du Valet Veinard; Alliance Gloursonne; Gant du Valet Veinard; Bouclier du Chouque cassé; Menoture; Couronne d'Allister; Cape Indescriptible; Palmes Trithons; Dolmanax; Dofus Ocre; Dofus Pourpre; Dofus Abyssal; Dofus des Glaces; Cascadeur majeur; Dragodinde en armure</t>
        </is>
      </c>
    </row>
    <row r="29989">
      <c r="A29989" t="inlineStr">
        <is>
          <t>Stuff 2</t>
        </is>
      </c>
      <c r="B29989">
        <f>HYPERLINK("https://www.dofusbook.net/fr/equipement/346170-stuff-2/objets", "link")</f>
        <v/>
      </c>
      <c r="C29989" t="n">
        <v>0</v>
      </c>
      <c r="D29989" t="inlineStr">
        <is>
          <t>Epée Gloursonne; Amulette de l'Indicible; Alliance Gloursonne; Bague Gloursonne; Ceinture de l'Indicible; Coiffe du Lévitrof; Cape de Léthaline; Bottes de l'Indicible; Dolmanax; Dofus Turquoise; Dofus des Glaces; Dofus Pourpre; Dofus Ocre; Dragodinde en armure</t>
        </is>
      </c>
    </row>
    <row r="29990">
      <c r="A29990" t="inlineStr">
        <is>
          <t>Stuff 2</t>
        </is>
      </c>
      <c r="B29990">
        <f>HYPERLINK("https://www.dofusbook.net/fr/equipement/346177-stuff-2/objets", "link")</f>
        <v/>
      </c>
      <c r="C29990" t="n">
        <v>0</v>
      </c>
      <c r="D29990" t="inlineStr">
        <is>
          <t>Marteau de Katrepat; Amulette de Pol Ouatnos; Chevalière du Roi Joueur; Bague Gloursonne; Bouclier Taverne; Ceinture du Strigide; Le Dorado; Voile d'encre; Bottes du Strigide; Dofus Turquoise; Dolmanax; Dofus Pourpre; Dofus des Glaces; Nomade; Remueur; Dragodinde en armure</t>
        </is>
      </c>
    </row>
    <row r="29991">
      <c r="A29991" t="inlineStr">
        <is>
          <t>Stuff 1</t>
        </is>
      </c>
      <c r="B29991">
        <f>HYPERLINK("https://www.dofusbook.net/fr/equipement/346169-stuff-1/objets", "link")</f>
        <v/>
      </c>
      <c r="C29991" t="n">
        <v>0</v>
      </c>
      <c r="D29991" t="inlineStr">
        <is>
          <t>Hache du Chalœil; Amulette Ementaire Deluxe; Bague Trithon; Alliance du Lévitrof; Ceinture de l'Indicible; Masque de Koutoulou; Voile d'encre; Bottes de l'Indicible; Dofus des Glaces; Dofus Pourpre; Dofus Turquoise; Dolmanax; Remueur; Nomade; Croum</t>
        </is>
      </c>
    </row>
    <row r="29992">
      <c r="A29992" t="inlineStr">
        <is>
          <t>Stuff 3</t>
        </is>
      </c>
      <c r="B29992">
        <f>HYPERLINK("https://www.dofusbook.net/fr/equipement/346171-stuff-3/objets", "link")</f>
        <v/>
      </c>
      <c r="C29992" t="n">
        <v>0</v>
      </c>
      <c r="D29992" t="inlineStr">
        <is>
          <t>Epée Gloursonne; Amulette Ementaire Deluxe; Bague Gloursonne; Alliance Gloursonne; Ceinture de Kongoku; Boucle d'oreille de Kongoku; Cape de Kongoku; Bottes de l'Indicible; Dofus Turquoise; Dofus Ocre; Dofus des Glaces; Dofus Pourpre; Dolmanax; Dragodinde Amande et Emeraude</t>
        </is>
      </c>
    </row>
    <row r="29993">
      <c r="A29993" t="inlineStr">
        <is>
          <t>Stuff 1</t>
        </is>
      </c>
      <c r="B29993">
        <f>HYPERLINK("https://www.dofusbook.net/fr/equipement/346163-stuff-1/objets", "link")</f>
        <v/>
      </c>
      <c r="C29993" t="n">
        <v>0</v>
      </c>
      <c r="D29993" t="inlineStr">
        <is>
          <t>Pelle de la Cour Sombre; Collier du Valet Veinard; Alliance Gloursonne; Gant du Valet Veinard; Bouclier du Stalak; Menoture; Casque Dragoeuf; Cape Indescriptible; Palmes Trithons; Dofus Pourpre; Dolmanax; Acrobate majeur; Remueur; Vigoureux majeur; Cascadeur majeur; Muldo Ebène</t>
        </is>
      </c>
    </row>
    <row r="29994">
      <c r="A29994" t="inlineStr">
        <is>
          <t>Tacle ini héqache</t>
        </is>
      </c>
      <c r="B29994">
        <f>HYPERLINK("https://www.dofusbook.net/fr/equipement/4375244-tacle-ini-heqache/objets", "link")</f>
        <v/>
      </c>
      <c r="C29994" t="n">
        <v>0</v>
      </c>
      <c r="D29994" t="inlineStr">
        <is>
          <t>Héqache; Collier de Tourthon; Anneau Crustique; Anneau Crustique; Bouclier du Captain Amakna; Ceintouse; Masque de Koutoulou; Cape au Logis; Baleinabottes; Dofus Émeraude; Dofus Abyssal; Dofus Pourpre; Dofus Ivoire; Miraculé majeur; Obstructeur majeur; Givrefoux</t>
        </is>
      </c>
    </row>
    <row r="29995">
      <c r="A29995" t="inlineStr">
        <is>
          <t>Bottes de classe 12PA</t>
        </is>
      </c>
      <c r="B29995">
        <f>HYPERLINK("https://www.dofusbook.net/fr/equipement/4375814-bottes-de-classe-12pa/objets", "link")</f>
        <v/>
      </c>
      <c r="C29995" t="n">
        <v>0</v>
      </c>
      <c r="D29995" t="inlineStr">
        <is>
          <t>Dagoulinantes; Amulette de l'Œil Attentif; Alliance Gloursonne; Bracelet des Fonds marins; Quatre-feuilles; Pagne du Rykaon; Capuche de l'Œil Attentif; Cape de l'Œil Attentif; Bottes Antouche; Dofus Turquoise; Dofus Abyssal; Dofus Vulbis; Dofus Ocre; Dofus Pourpre; Dofus des Glaces; Sakochère</t>
        </is>
      </c>
    </row>
    <row r="29996">
      <c r="A29996" t="inlineStr">
        <is>
          <t>Hique dame/cryo retPM</t>
        </is>
      </c>
      <c r="B29996">
        <f>HYPERLINK("https://www.dofusbook.net/fr/equipement/299389-hique-dame-cryo-retpm/objets", "link")</f>
        <v/>
      </c>
      <c r="C29996" t="n">
        <v>0</v>
      </c>
      <c r="D29996" t="inlineStr">
        <is>
          <t>Baguette Hique; Collier de la Dame du Hasard; Anneau Cryochrone; Alliance du Lévitrof; Bouclier cubiste; Ceinture du Glourséleste; Coiffe Cryochrone; Cape de la Dame du Hasard; Bottes de la Dame du Hasard; Dofus Ocre; Dofus Pourpre; Dofus des Glaces; Dofus Turquoise; Dofus Vulbis; Entraveur majeur; Léopardo</t>
        </is>
      </c>
    </row>
    <row r="29997">
      <c r="A29997" t="inlineStr">
        <is>
          <t>Egarés/lévi retPM</t>
        </is>
      </c>
      <c r="B29997">
        <f>HYPERLINK("https://www.dofusbook.net/fr/equipement/299390-egares-levi-retpm/objets", "link")</f>
        <v/>
      </c>
      <c r="C29997" t="n">
        <v>0</v>
      </c>
      <c r="D29997" t="inlineStr">
        <is>
          <t>Baguette des égarés; Amulette Luminescente; Bracelet du Piloztère; Alliance du Lévitrof; Bouclier cubiste; Ceinture de la Reine des Voleurs; Coiffe du Lévitrof; Cape des Justiciers; Bottes du Chalœil; Dofus Ocre; Dofus des Glaces; Dofus Ébène; Dofus Vulbis; Temporiseur majeur; Entraveur majeur; Léopardo</t>
        </is>
      </c>
    </row>
    <row r="29998">
      <c r="A29998" t="inlineStr">
        <is>
          <t>Hique/lévi retPM</t>
        </is>
      </c>
      <c r="B29998">
        <f>HYPERLINK("https://www.dofusbook.net/fr/equipement/299388-hique-levi-retpm/objets", "link")</f>
        <v/>
      </c>
      <c r="C29998" t="n">
        <v>0</v>
      </c>
      <c r="D29998" t="inlineStr">
        <is>
          <t>Baguette Hique; Talisman Igans; Alliance du Lévitrof; Bracelet du Piloztère; Bouclier cubiste; Ceinture de l'Indicible; Coiffe du Lévitrof; Cape des Justiciers; Pataugastrique; Dofus Ébène; Dofus des Glaces; Dofus Pourpre; Dofus Vulbis; Temporiseur majeur; Entraveur majeur; Léopardo</t>
        </is>
      </c>
    </row>
    <row r="29999">
      <c r="A29999" t="inlineStr">
        <is>
          <t>Lumi/piko retPM</t>
        </is>
      </c>
      <c r="B29999">
        <f>HYPERLINK("https://www.dofusbook.net/fr/equipement/3046283-lumi-piko-retpm/objets", "link")</f>
        <v/>
      </c>
      <c r="C29999" t="n">
        <v>1</v>
      </c>
      <c r="D29999" t="inlineStr">
        <is>
          <t>Baguette des égarés; Amulette Luminescente; Alliance du Lévitrof; Pikano; Bouclier cubiste; Ceinture Luminescente; Casquipik; Cape Luminescente; Pikottes; Dofus Pourpre; Dofus des Glaces; Dofus Ébène; Dofus Vulbis; Ralentisseur majeur; Entraveur majeur; Léopardo</t>
        </is>
      </c>
    </row>
    <row r="30000">
      <c r="A30000" t="inlineStr">
        <is>
          <t>Brûlâme dame</t>
        </is>
      </c>
      <c r="B30000">
        <f>HYPERLINK("https://www.dofusbook.net/fr/equipement/1934632-brulame-dame/objets", "link")</f>
        <v/>
      </c>
      <c r="C30000" t="n">
        <v>3</v>
      </c>
      <c r="D30000" t="inlineStr">
        <is>
          <t>Épée Brûlâme; Collier de la Dame du Hasard; Alliance Gloursonne; Alliance du Lévitrof; Bouclier du Captain Amakna; Ceintacé; Chapeau des Malveilleurs; Voile d'encre; Bottes de la Dame du Hasard; Dofus Pourpre; Dofus des Glaces; Dofus Abyssal; Dofus Turquoise; Dofus Vulbis; Dofus Ocre; Kokulte</t>
        </is>
      </c>
    </row>
    <row r="30001">
      <c r="A30001" t="inlineStr">
        <is>
          <t>Contact rture docri</t>
        </is>
      </c>
      <c r="B30001">
        <f>HYPERLINK("https://www.dofusbook.net/fr/equipement/4790285-contact-rture-docri/objets", "link")</f>
        <v/>
      </c>
      <c r="C30001" t="n">
        <v>1</v>
      </c>
      <c r="D30001" t="inlineStr">
        <is>
          <t>Marteau R'ture; Amulette du Strigide; Anneau Chevelu; Bague Gloursonne; Cadran d'Eau; Ceinture du Strigide; Masque de Koutoulou; Cape au Logis; Bottes de la Cour Sombre; Dofus Ocre; Dofus Ébène; Dofus Turquoise; Dofus Abyssal; Dofus Pourpre; Dofus Ivoire; Pioute vert</t>
        </is>
      </c>
    </row>
    <row r="30002">
      <c r="A30002" t="inlineStr">
        <is>
          <t>Pad/stri arc volk</t>
        </is>
      </c>
      <c r="B30002">
        <f>HYPERLINK("https://www.dofusbook.net/fr/equipement/4395067-pad-stri-arc-volk/objets", "link")</f>
        <v/>
      </c>
      <c r="C30002" t="n">
        <v>1</v>
      </c>
      <c r="D30002" t="inlineStr">
        <is>
          <t>Arc Volkorne; Amulette du Strigide; Bracelet du Piloztère; Anneau de Padgref; Quatre-feuilles; Ceinture du Strigide; Coiffe de Padgref; Cape Reski; Getas de Padgref; Dolmanax; Dofus Turquoise; Dofus Vulbis; Dofus Ocre; Dofus Nébuleux; Dofus Pourpre; Sakochère</t>
        </is>
      </c>
    </row>
    <row r="30003">
      <c r="A30003" t="inlineStr">
        <is>
          <t>Roi joueur volk</t>
        </is>
      </c>
      <c r="B30003">
        <f>HYPERLINK("https://www.dofusbook.net/fr/equipement/4376305-roi-joueur-volk/objets", "link")</f>
        <v/>
      </c>
      <c r="C30003" t="n">
        <v>1</v>
      </c>
      <c r="D30003" t="inlineStr">
        <is>
          <t>Marteau d'Henual; Amulette Volkorne; Bague Gloursonne; Chevalière du Roi Joueur; Bouclier du Captain Amakna; Ceinture Volkorne; Couronne du Roi Joueur; Voile d'encre; Bottes du Roi Joueur; Dofus Turquoise; Dofus Abyssal; Dofus Vulbis; Dofus Ocre; Dofus Pourpre; Dofus des Glaces; Kokulte</t>
        </is>
      </c>
    </row>
    <row r="30004">
      <c r="A30004" t="inlineStr">
        <is>
          <t>Reine volk lumi</t>
        </is>
      </c>
      <c r="B30004">
        <f>HYPERLINK("https://www.dofusbook.net/fr/equipement/4376024-reine-volk-lumi/objets", "link")</f>
        <v/>
      </c>
      <c r="C30004" t="n">
        <v>14</v>
      </c>
      <c r="D30004" t="inlineStr">
        <is>
          <t>Baguette des égarés; Amulette Luminescente; Bracelet du Piloztère; Anneau Volkorne; Quatre-feuilles; Ceinture Volkorne; Coiffe de la Reine des Voleurs; Cape Luminescente; Bottes de la Reine des Voleurs; Dofus Pourpre; Dofus des Glaces; Dofus Turquoise; Dofus Abyssal; Dofus Vulbis; Dofus Ocre; Sakochère</t>
        </is>
      </c>
    </row>
    <row r="30005">
      <c r="A30005" t="inlineStr">
        <is>
          <t>Glyphes cape classe</t>
        </is>
      </c>
      <c r="B30005">
        <f>HYPERLINK("https://www.dofusbook.net/fr/equipement/4375696-glyphes-cape-classe/objets", "link")</f>
        <v/>
      </c>
      <c r="C30005" t="n">
        <v>0</v>
      </c>
      <c r="D30005" t="inlineStr">
        <is>
          <t>Pyraguette; Amulette Volkorne; Anneau Volkorne; Bracelet du Piloztère; Bouclier du Stalak; Ceinture de l'Esprit Salvateur; Masque de l'Esprit Salvateur; Cape Hadosse; Bottes de l'Esprit Salvateur; Dofus Nébuleux; Dofus Abyssal; Dofus Vulbis; Dofus Ocre; Dofus Pourpre; Dofus des Glaces; Fëanor</t>
        </is>
      </c>
    </row>
    <row r="30006">
      <c r="A30006" t="inlineStr">
        <is>
          <t>Stri volk tal ronien</t>
        </is>
      </c>
      <c r="B30006">
        <f>HYPERLINK("https://www.dofusbook.net/fr/equipement/4374687-stri-volk-tal-ronien/objets", "link")</f>
        <v/>
      </c>
      <c r="C30006" t="n">
        <v>0</v>
      </c>
      <c r="D30006" t="inlineStr">
        <is>
          <t>Bâtonnet Ronien; Amulette du Strigide; Anneau Volkorne; Alliance Gloursonne; Quatre-feuilles; Ceinture du Strigide; Casque Volkorne; Chevelure de Tal Kasha; Sandales de Tal Kasha; Dofus Pourpre; Dofus des Glaces; Dofus Turquoise; Dofus Abyssal; Dofus Vulbis; Dofus Ocre; Sakochère</t>
        </is>
      </c>
    </row>
    <row r="30007">
      <c r="A30007" t="inlineStr">
        <is>
          <t>Volk reine ronien</t>
        </is>
      </c>
      <c r="B30007">
        <f>HYPERLINK("https://www.dofusbook.net/fr/equipement/4374510-volk-reine-ronien/objets", "link")</f>
        <v/>
      </c>
      <c r="C30007" t="n">
        <v>0</v>
      </c>
      <c r="D30007" t="inlineStr">
        <is>
          <t>Bâtonnet Ronien; Amulette du Strigide; Anneau Volkorne; Alliance Gloursonne; Quatre-feuilles; Ceinture de la Reine des Voleurs; Casque Volkorne; Cape Matelassée; Bottes de la Reine des Voleurs; Dofus Turquoise; Dofus Abyssal; Dofus Vulbis; Dofus Ocre; Dofus Pourpre; Dofus des Glaces; Kokulte</t>
        </is>
      </c>
    </row>
    <row r="30008">
      <c r="A30008" t="inlineStr">
        <is>
          <t>Stri hel ronien</t>
        </is>
      </c>
      <c r="B30008">
        <f>HYPERLINK("https://www.dofusbook.net/fr/equipement/299384-stri-hel-ronien/objets", "link")</f>
        <v/>
      </c>
      <c r="C30008" t="n">
        <v>0</v>
      </c>
      <c r="D30008" t="inlineStr">
        <is>
          <t>Bâtonnet Ronien; Amulette du Strigide; Alliance Gloursonne; Grésilanneau; Quatre-feuilles; Ceinture du Strigide; Coiffe d'Hel Munster; Cape d'Hel Munster; Bottes du Strigide; Dofus des Glaces; Dofus Ocre; Dofus Turquoise; Dofus Vulbis; Dofus Pourpre; Dofus Abyssal; Kokulte</t>
        </is>
      </c>
    </row>
    <row r="30009">
      <c r="A30009" t="inlineStr">
        <is>
          <t>Ily rdv ahique</t>
        </is>
      </c>
      <c r="B30009">
        <f>HYPERLINK("https://www.dofusbook.net/fr/equipement/4374229-ily-rdv-ahique/objets", "link")</f>
        <v/>
      </c>
      <c r="C30009" t="n">
        <v>1</v>
      </c>
      <c r="D30009" t="inlineStr">
        <is>
          <t>Arc Ahique; Amulette d'Ilyzaelle; Grésilanneau; Alliance Gloursonne; Bouclier du Stalak; Ceinture de la Reine des Voleurs; Casque d'Ilyzaelle; Cape Matelassée; Bottes de la Reine des Voleurs; Dofus Ocre; Dofus des Glaces; Dofus Pourpre; Dofus Abyssal; Dofus Vulbis; Dofus Turquoise; Mini Wa</t>
        </is>
      </c>
    </row>
    <row r="30010">
      <c r="A30010" t="inlineStr">
        <is>
          <t>Nécro do cri</t>
        </is>
      </c>
      <c r="B30010">
        <f>HYPERLINK("https://www.dofusbook.net/fr/equipement/4371357-necro-do-cri/objets", "link")</f>
        <v/>
      </c>
      <c r="C30010" t="n">
        <v>0</v>
      </c>
      <c r="D30010" t="inlineStr">
        <is>
          <t>Arc Nécrotique; Amulette Volkorne; Anneau Cryochrone; Anneau Volkorne; Quatre-feuilles; Ceintacé; Coiffe Cryochrone; Cape de la Dame du Hasard; Bottes de la Dame du Hasard; Dofus Abyssal; Dofus Turquoise; Dofus Pourpre; Dofus des Glaces; Dofus Vulbis; Dofus Ocre; Kokulte</t>
        </is>
      </c>
    </row>
    <row r="30011">
      <c r="A30011" t="inlineStr">
        <is>
          <t>Pyraguette meno/volk</t>
        </is>
      </c>
      <c r="B30011">
        <f>HYPERLINK("https://www.dofusbook.net/fr/equipement/4371487-pyraguette-meno-volk/objets", "link")</f>
        <v/>
      </c>
      <c r="C30011" t="n">
        <v>1</v>
      </c>
      <c r="D30011" t="inlineStr">
        <is>
          <t>Pyraguette; Amulette Volkorne; Anneau Volkorne; Lavanneau; Bouclier du Stalak; Ceintrigue; Casquette de Meno; Cape de Meno; Bottes de Meno; Dofus Turquoise; Dofus Abyssal; Dofus Vulbis; Dofus Ocre; Dofus Pourpre; Dofus des Glaces; Walk</t>
        </is>
      </c>
    </row>
    <row r="30012">
      <c r="A30012" t="inlineStr">
        <is>
          <t>Full rox air</t>
        </is>
      </c>
      <c r="B30012">
        <f>HYPERLINK("https://www.dofusbook.net/fr/equipement/3735622-full-rox-air/objets", "link")</f>
        <v/>
      </c>
      <c r="C30012" t="n">
        <v>1</v>
      </c>
      <c r="D30012" t="inlineStr">
        <is>
          <t>Manthache; Collier du Valet Veinard; Alliance Gloursonne; Gant du Valet Veinard; Bouclier du Stalak; Menoture; Casque Volkorne; Cape Martegel; Palmes Trithons; Dofus des Glaces; Dofus Ivoire; Dofus Vulbis; Dofus Ocre; Dofus Pourpre; Dofus Abyssal; Dragodinde Ebène et Ivoire</t>
        </is>
      </c>
    </row>
    <row r="30013">
      <c r="A30013" t="inlineStr">
        <is>
          <t>Vétik pad/stri 12PA</t>
        </is>
      </c>
      <c r="B30013">
        <f>HYPERLINK("https://www.dofusbook.net/fr/equipement/299376-vetik-pad-stri-12pa/objets", "link")</f>
        <v/>
      </c>
      <c r="C30013" t="n">
        <v>0</v>
      </c>
      <c r="D30013" t="inlineStr">
        <is>
          <t>Pelle Vétik; Amulette du Strigide; Gelano; Anneau de Padgref; Bouclier Taverne; Ceinture du Strigide; Coiffe de Padgref; Cape des Malveilleurs; Getas de Padgref; Dofus Turquoise; Dofus Ocre; Dofus Pourpre; Dofus des Glaces; Dofus Abyssal; Dolmanax; Muldo Prune et Emeraude</t>
        </is>
      </c>
    </row>
    <row r="30014">
      <c r="A30014" t="inlineStr">
        <is>
          <t>Danathor/glours</t>
        </is>
      </c>
      <c r="B30014">
        <f>HYPERLINK("https://www.dofusbook.net/fr/equipement/3263917-danathor-glours/objets", "link")</f>
        <v/>
      </c>
      <c r="C30014" t="n">
        <v>0</v>
      </c>
      <c r="D30014" t="inlineStr">
        <is>
          <t>Epée Gloursonne; Amulette de Danathor; Bague Gloursonne; Alliance Gloursonne; Quatre-feuilles; Ceinture de Danathor; Coiffe de Danathor; Cape de Mantaze; Getas Bernacle; Dofus des Veilleurs; Dofus Ocre; Dofus Pourpre; Dofus des Glaces; Dofus Vulbis; Dofus Turquoise; Dragodinde Prune et Indigo</t>
        </is>
      </c>
    </row>
    <row r="30015">
      <c r="A30015" t="inlineStr">
        <is>
          <t>Zoth malvé 1.5 eau</t>
        </is>
      </c>
      <c r="B30015">
        <f>HYPERLINK("https://www.dofusbook.net/fr/equipement/299392-zoth-malve-1-5-eau/objets", "link")</f>
        <v/>
      </c>
      <c r="C30015" t="n">
        <v>0</v>
      </c>
      <c r="D30015" t="inlineStr">
        <is>
          <t>Hache du Guerrier Zoth; Amulette de Danathor; Bracelet du Piloztère; Alliance Gloursonne; Quatre-feuilles; Ceinture du Strigide; Chapeau des Malveilleurs; Cape des Malveilleurs; Getas Bernacle; Dofus Pourpre; Dofus des Glaces; Dofus Ocre; Nomade; Remueur; Chanceux majeur; Dragodinde Indigo et Ivoire</t>
        </is>
      </c>
    </row>
    <row r="30016">
      <c r="A30016" t="inlineStr">
        <is>
          <t>Stri érhy rox 11PA</t>
        </is>
      </c>
      <c r="B30016">
        <f>HYPERLINK("https://www.dofusbook.net/fr/equipement/1133302-stri-erhy-rox-11pa/objets", "link")</f>
        <v/>
      </c>
      <c r="C30016" t="n">
        <v>0</v>
      </c>
      <c r="D30016" t="inlineStr">
        <is>
          <t>Dagues Érhy; Amulette du Strigide; Bracelet du Piloztère; Bague Gloursonne; Quatre-feuilles; Ceintacé; Masque du Katcheur; Voile d'encre; Bottes du Strigide; Dofus des Veilleurs; Dofus Ocre; Dofus Pourpre; Dofus Turquoise; Fonceur majeur; Nomade; Dragodinde Ivoire et Orchidée</t>
        </is>
      </c>
    </row>
    <row r="30017">
      <c r="A30017" t="inlineStr">
        <is>
          <t>Zoth sécu 1.5 feu</t>
        </is>
      </c>
      <c r="B30017">
        <f>HYPERLINK("https://www.dofusbook.net/fr/equipement/299391-zoth-secu-1-5-feu/objets", "link")</f>
        <v/>
      </c>
      <c r="C30017" t="n">
        <v>2</v>
      </c>
      <c r="D30017" t="inlineStr">
        <is>
          <t>Hache du Guerrier Zoth; Amulette Séculaire; Anneau de Padgref; Kralano; Quatre-feuilles; Ceinture Séculaire; Masque du Katcheur; Cape des Malveilleurs; Getas Bernacle; Dofus Pourpre; Dofus Ocre; Érudit majeur; Remueur; Vigoureux majeur; Nomade; Dragodinde Ivoire et Orchidée</t>
        </is>
      </c>
    </row>
    <row r="30018">
      <c r="A30018" t="inlineStr">
        <is>
          <t>Hache zoth lévitrof</t>
        </is>
      </c>
      <c r="B30018">
        <f>HYPERLINK("https://www.dofusbook.net/fr/equipement/3263977-hache-zoth-levitrof/objets", "link")</f>
        <v/>
      </c>
      <c r="C30018" t="n">
        <v>1</v>
      </c>
      <c r="D30018" t="inlineStr">
        <is>
          <t>Hache du Guerrier Zoth; Amulette de Gein; Alliance du Lévitrof; Chevalière du Roi Joueur; Quatre-feuilles; Ceinture du Strigide; Coiffe du Lévitrof; Voile d'encre; Getas Bernacle; Dofus Ocre; Dofus Pourpre; Dofus des Glaces; Dofus Turquoise; Remueur; Nomade; Dragodinde Ivoire et Orchidée</t>
        </is>
      </c>
    </row>
    <row r="30019">
      <c r="A30019" t="inlineStr">
        <is>
          <t>Epée rdv éga/nevark</t>
        </is>
      </c>
      <c r="B30019">
        <f>HYPERLINK("https://www.dofusbook.net/fr/equipement/299397-epee-rdv-ega-nevark/objets", "link")</f>
        <v/>
      </c>
      <c r="C30019" t="n">
        <v>1</v>
      </c>
      <c r="D30019" t="inlineStr">
        <is>
          <t>Épée de la Reine des Voleurs; Amulette de Nevark; Anneau de Brouce; Anneau des égarés; Bouclier du Captain Amakna; Ceinture de Nevark; Casque des égarés; Cape de Nevark; Bottes des égarés; Dofus Ocre; Dofus des Glaces; Dolmanax; Dofus Pourpre; Forcené majeur; Acrobate majeur; Dragodinde Ivoire et Pourpre</t>
        </is>
      </c>
    </row>
    <row r="30020">
      <c r="A30020" t="inlineStr">
        <is>
          <t>Sceptre regen/retPA</t>
        </is>
      </c>
      <c r="B30020">
        <f>HYPERLINK("https://www.dofusbook.net/fr/equipement/2384645-sceptre-regen-retpa/objets", "link")</f>
        <v/>
      </c>
      <c r="C30020" t="n">
        <v>1</v>
      </c>
      <c r="D30020" t="inlineStr">
        <is>
          <t>Sceptre du Roi Joueur; Amulette Voldelor; Bracelet des Fonds marins; Alliance Gloursonne; Quatre-feuilles; Ceinture d'Ogivol; Némès de Tal Kasha; Cape de l'Œil Attentif; Pataugastrique; Dofus des Glaces; Dofus Pourpre; Dofus Turquoise; Dofus Ocre; Étourdisseur majeur; Chanceux majeur; Muldo Ebène et Indigo</t>
        </is>
      </c>
    </row>
    <row r="30021">
      <c r="A30021" t="inlineStr">
        <is>
          <t>Vortex retPA</t>
        </is>
      </c>
      <c r="B30021">
        <f>HYPERLINK("https://www.dofusbook.net/fr/equipement/299399-vortex-retpa/objets", "link")</f>
        <v/>
      </c>
      <c r="C30021" t="n">
        <v>2</v>
      </c>
      <c r="D30021" t="inlineStr">
        <is>
          <t>Dagues Érhy; Amulette du Strigide; Anneau de Padgref; Alliance Gloursonne; Bouclier du Stalak; Ceinture de Vortex; Cagoule de Vortex; Voile d'encre; Pataugastrique; Dofus Turquoise; Dofus Pourpre; Dofus des Glaces; Remueur; Étourdisseur majeur; Nomade; Kramkram</t>
        </is>
      </c>
    </row>
    <row r="30022">
      <c r="A30022" t="inlineStr">
        <is>
          <t>Ceinture de classe</t>
        </is>
      </c>
      <c r="B30022">
        <f>HYPERLINK("https://www.dofusbook.net/fr/equipement/299398-ceinture-de-classe/objets", "link")</f>
        <v/>
      </c>
      <c r="C30022" t="n">
        <v>0</v>
      </c>
      <c r="D30022" t="inlineStr">
        <is>
          <t>Baguette Hernelle; Amulette du Strigide; Gelano; Anneau d'Allister; Bouclier du Cycloïde; Ceinture Lupine; Couronne d'Allister; Cape Hiculteur; Bottes d'Allister; Dolmanax; Dofus des Glaces; Dofus Pourpre; Dofus Turquoise; Acrobate majeur; Equilibriste majeur; Muldo Prune et Emeraude</t>
        </is>
      </c>
    </row>
    <row r="30023">
      <c r="A30023" t="inlineStr">
        <is>
          <t>Marteau reine cc 12PA</t>
        </is>
      </c>
      <c r="B30023">
        <f>HYPERLINK("https://www.dofusbook.net/fr/equipement/299380-marteau-reine-cc-12pa/objets", "link")</f>
        <v/>
      </c>
      <c r="C30023" t="n">
        <v>0</v>
      </c>
      <c r="D30023" t="inlineStr">
        <is>
          <t>Marteau Reine; Amulette du Strigide; Anneau de la Fuji Givrefoux; Anneau du Comte Harebourg; Bouclier du Captain Amakna; Ceinture de Brouce; Coiffe de la Fuji Givrefoux; Cape de la Fuji Givrefoux; Bottes de la Fuji Givrefoux; Dofus Turquoise; Dofus Ocre; Dofus Pourpre; Turbulent; Ralentisseur majeur; Forcené majeur; Dragodinde en armure</t>
        </is>
      </c>
    </row>
    <row r="30024">
      <c r="A30024" t="inlineStr">
        <is>
          <t>Ronien malv/stri 12PA</t>
        </is>
      </c>
      <c r="B30024">
        <f>HYPERLINK("https://www.dofusbook.net/fr/equipement/299379-ronien-malv-stri-12pa/objets", "link")</f>
        <v/>
      </c>
      <c r="C30024" t="n">
        <v>1</v>
      </c>
      <c r="D30024" t="inlineStr">
        <is>
          <t>Bâtonnet Ronien; Amulette du Strigide; Gelano; Alliance Gloursonne; Quatre-feuilles; Ceinture du Strigide; Chapeau des Malveilleurs; Cape des Malveilleurs; Bottes des Malveilleurs; Dofus des Glaces; Dofus Turquoise; Dofus Ocre; Dofus des Veilleurs; Dofus Pourpre; Entraveur majeur; Muldo Prune et Emeraude</t>
        </is>
      </c>
    </row>
    <row r="30025">
      <c r="A30025" t="inlineStr">
        <is>
          <t>Srambad ogi/pilo 12PA</t>
        </is>
      </c>
      <c r="B30025">
        <f>HYPERLINK("https://www.dofusbook.net/fr/equipement/299381-srambad-ogi-pilo-12pa/objets", "link")</f>
        <v/>
      </c>
      <c r="C30025" t="n">
        <v>0</v>
      </c>
      <c r="D30025" t="inlineStr">
        <is>
          <t>Dagues de Srambad; Amulette du Piloztère; Gelano; Bracelet du Piloztère; Bouclier du Cycloïde; Ceinture d'Ogivol; Coiffe d'Ogivol; Cape d'Ogivol; Pantoufles du Piloztère; Dofus Ocre; Dofus Pourpre; Dofus Turquoise; Dofus des Glaces; Voyageur; Entraveur majeur; Muldo Prune et Doré</t>
        </is>
      </c>
    </row>
    <row r="30026">
      <c r="A30026" t="inlineStr">
        <is>
          <t>PelleCS/rlyu retPA</t>
        </is>
      </c>
      <c r="B30026">
        <f>HYPERLINK("https://www.dofusbook.net/fr/equipement/299385-pellecs-rlyu-retpa/objets", "link")</f>
        <v/>
      </c>
      <c r="C30026" t="n">
        <v>0</v>
      </c>
      <c r="D30026" t="inlineStr">
        <is>
          <t>Pelle de la Cour Sombre; Pendentif mignon de Koutoulou; Gant du Valet Veinard; Alliance Gloursonne; Bouclier du Stalak; Menoture; Casque Cyclopéen; Cape Indescriptible; Palmes Trithons; Dofus Pourpre; Cascadeur majeur; Remueur; Étourdisseur majeur; Carapace Air majeur; Carapace Feu majeur; Muldo Ebène et Indigo</t>
        </is>
      </c>
    </row>
    <row r="30027">
      <c r="A30027" t="inlineStr">
        <is>
          <t>Hernelle padgref/séc</t>
        </is>
      </c>
      <c r="B30027">
        <f>HYPERLINK("https://www.dofusbook.net/fr/equipement/299386-hernelle-padgref-sec/objets", "link")</f>
        <v/>
      </c>
      <c r="C30027" t="n">
        <v>1</v>
      </c>
      <c r="D30027" t="inlineStr">
        <is>
          <t>Baguette Hernelle; Amulette Séculaire; Kralano; Anneau de Padgref; Quatre-feuilles; Ceinture Séculaire; Coiffe de Padgref; Cape Hiculteur; Getas de Padgref; Dofus Turquoise; Dofus Ocre; Dofus Pourpre; Dofus des Glaces; Voyageur; Astucieux majeur; Dragodinde Ivoire et Orchidée</t>
        </is>
      </c>
    </row>
    <row r="30028">
      <c r="A30028" t="inlineStr">
        <is>
          <t>Range padgref/stri</t>
        </is>
      </c>
      <c r="B30028">
        <f>HYPERLINK("https://www.dofusbook.net/fr/equipement/299387-range-padgref-stri/objets", "link")</f>
        <v/>
      </c>
      <c r="C30028" t="n">
        <v>1</v>
      </c>
      <c r="D30028" t="inlineStr">
        <is>
          <t>Baguette Range; Amulette du Strigide; Anneau de Padgref; Kralano; Quatre-feuilles; Ceinture du Strigide; Coiffe de Padgref; Cape d'Atcham; Getas de Padgref; Dolmanax; Dofus Turquoise; Dofus Pourpre; Dofus des Glaces; Dofus Ocre; Voyageur; Muldo Prune et Emeraude</t>
        </is>
      </c>
    </row>
    <row r="30029">
      <c r="A30029" t="inlineStr">
        <is>
          <t>Reine koutoulou</t>
        </is>
      </c>
      <c r="B30029">
        <f>HYPERLINK("https://www.dofusbook.net/fr/equipement/2776616-reine-koutoulou/objets", "link")</f>
        <v/>
      </c>
      <c r="C30029" t="n">
        <v>0</v>
      </c>
      <c r="D30029" t="inlineStr">
        <is>
          <t>Arc de Koutoulou; Amulette du Strigide; Bracelet du Piloztère; Alliance Gloursonne; Bouclier du Stalak; Ceinture de la Reine des Voleurs; Coiffe de la Reine des Voleurs; Voile d'encre; Baleinabottes; Dokoko; Dofus Ocre; Dofus des Glaces; Dofus Pourpre; Dofus Émeraude; Étourdisseur majeur; Muldo Ebène et Indigo</t>
        </is>
      </c>
    </row>
    <row r="30030">
      <c r="A30030" t="inlineStr">
        <is>
          <t>Reine ahique retPA</t>
        </is>
      </c>
      <c r="B30030">
        <f>HYPERLINK("https://www.dofusbook.net/fr/equipement/1935013-reine-ahique-retpa/objets", "link")</f>
        <v/>
      </c>
      <c r="C30030" t="n">
        <v>0</v>
      </c>
      <c r="D30030" t="inlineStr">
        <is>
          <t>Arc Ahique; Amulette Luminescente; Grésilanneau; Alliance Gloursonne; Bouclier du Stalak; Ceinture de la Reine des Voleurs; Coiffe de la Reine des Voleurs; Voile d'encre; Pataugastrique; Dokoko; Dofus Ocre; Dofus des Glaces; Dofus Pourpre; Dofus Émeraude; Étourdisseur majeur; Muldo Ebène et Indigo</t>
        </is>
      </c>
    </row>
    <row r="30031">
      <c r="A30031" t="inlineStr">
        <is>
          <t>Erhy 1.5 feu/air</t>
        </is>
      </c>
      <c r="B30031">
        <f>HYPERLINK("https://www.dofusbook.net/fr/equipement/299396-erhy-1-5-feu-air/objets", "link")</f>
        <v/>
      </c>
      <c r="C30031" t="n">
        <v>0</v>
      </c>
      <c r="D30031" t="inlineStr">
        <is>
          <t>Dagues Érhy; Amulette Séculaire; Kralano; Anneau de Padgref; Bouclier du Cycloïde; Ceinture Séculaire; Coiffe Séculaire; Cape Hiculteur; Bottes du Cycloïde; Dolmanax; Dofus Turquoise; Dofus des Glaces; Dofus Ocre; Dofus Pourpre; Astucieux majeur; Muldo Prune et Emeraude</t>
        </is>
      </c>
    </row>
    <row r="30032">
      <c r="A30032" t="inlineStr">
        <is>
          <t>Necro 1.5 feu/eau/cc</t>
        </is>
      </c>
      <c r="B30032">
        <f>HYPERLINK("https://www.dofusbook.net/fr/equipement/299394-necro-1-5-feu-eau-cc/objets", "link")</f>
        <v/>
      </c>
      <c r="C30032" t="n">
        <v>0</v>
      </c>
      <c r="D30032" t="inlineStr">
        <is>
          <t>Arc Nécrotique; Talisman Igans; Anneau de Padgref; Bracelet du Piloztère; Quatre-feuilles; Ceintrigue; Coiffe Cryochrone; Cape des Justiciers; Bottes du Katcheur; Dolmanax; Dofus Pourpre; Dofus Turquoise; Nomade; Remueur; Érudit majeur; Dragodinde Ivoire et Orchidée</t>
        </is>
      </c>
    </row>
    <row r="30033">
      <c r="A30033" t="inlineStr">
        <is>
          <t>V252</t>
        </is>
      </c>
      <c r="B30033">
        <f>HYPERLINK("https://www.dofusbook.net/fr/equipement/2988245-v252/objets", "link")</f>
        <v/>
      </c>
      <c r="C30033" t="n">
        <v>1</v>
      </c>
      <c r="D30033" t="inlineStr">
        <is>
          <t>Baguette de Torkélonia; Amulette du Strigide; Alliance Gloursonne; Anneau de Padgref; Quatre-feuilles; Ceinture du Strigide; Coiffe de Padgref; Carapace de Torkélonia; Bottes du Strigide; Dofus Pourpre; Dofus des Glaces; Dofus Vulbis; Dofus Turquoise; Dolmanax; Dofus Ocre; Kokulte</t>
        </is>
      </c>
    </row>
    <row r="30034">
      <c r="A30034" t="inlineStr">
        <is>
          <t>Sram F 200</t>
        </is>
      </c>
      <c r="B30034">
        <f>HYPERLINK("https://www.dofusbook.net/fr/equipement/4783138-sram-f-200/objets", "link")</f>
        <v/>
      </c>
      <c r="C30034" t="n">
        <v>0</v>
      </c>
      <c r="D30034" t="inlineStr">
        <is>
          <t>Manthache; Collier du Valet Veinard; Gant du Valet Veinard; Anneau d'Allister; Quatre-feuilles; Ceintouse; Couronne d'Allister; Cape du Valet Veinard; Bottes d'Allister; Dofus Ivoire; Dofus Ocre; Dofus des Glaces; Dofus Vulbis; Dofus Abyssal; Dofus Pourpre; Blérodoudou</t>
        </is>
      </c>
    </row>
    <row r="30035">
      <c r="A30035" t="inlineStr">
        <is>
          <t>Roub air</t>
        </is>
      </c>
      <c r="B30035">
        <f>HYPERLINK("https://www.dofusbook.net/fr/equipement/4717336-roub-air/objets", "link")</f>
        <v/>
      </c>
      <c r="C30035" t="n">
        <v>0</v>
      </c>
      <c r="D30035" t="inlineStr">
        <is>
          <t>Manthache; Collier du Valet Veinard; Alliance Gloursonne; Gant du Valet Veinard; Bouclier précieux; Menoture; Couronne d'Allister; Cape Indescriptible; Palmes Trithons; Dofus Pourpre; Dofus des Glaces; Dofus Ocre; Dévastateur Air majeur; Cascadeur majeur; Nomade; Blérodoudou</t>
        </is>
      </c>
    </row>
    <row r="30036">
      <c r="A30036" t="inlineStr">
        <is>
          <t>Tank</t>
        </is>
      </c>
      <c r="B30036">
        <f>HYPERLINK("https://www.dofusbook.net/fr/equipement/4687550-tank/objets", "link")</f>
        <v/>
      </c>
      <c r="C30036" t="n">
        <v>0</v>
      </c>
      <c r="D30036" t="inlineStr">
        <is>
          <t>Manthache; Collier du Valet Veinard; Gant du Valet Veinard; Alliance Gloursonne; Bouclier précieux; Menoture; Casque Dragoeuf; Cape Indescriptible; Palmes Trithons; Dofus Émeraude; Dofus Ocre; Dokoko; Dofus Ivoire; Obstructeur majeur; Carapace Air majeur; Muldo Roux et Ebène</t>
        </is>
      </c>
    </row>
    <row r="30037">
      <c r="A30037" t="inlineStr">
        <is>
          <t>Tank cheap</t>
        </is>
      </c>
      <c r="B30037">
        <f>HYPERLINK("https://www.dofusbook.net/fr/equipement/4687414-tank-cheap/objets", "link")</f>
        <v/>
      </c>
      <c r="C30037" t="n">
        <v>0</v>
      </c>
      <c r="D30037" t="inlineStr">
        <is>
          <t>Hache Ériphe; Amulette du Strigide; Alliance Gloursonne; Bague Gloursonne; Quatre-feuilles; Ceinture du Strigide; Casque Dragoeuf; Voile d'encre; Bottes du Strigide; Dofus Ocre; Dofus Émeraude; Dofus Ivoire; Dokoko; Dragodinde en armure</t>
        </is>
      </c>
    </row>
    <row r="30038">
      <c r="A30038" t="inlineStr">
        <is>
          <t>Miseàjourmulti</t>
        </is>
      </c>
      <c r="B30038">
        <f>HYPERLINK("https://www.dofusbook.net/fr/equipement/2906014-miseajourmulti/objets", "link")</f>
        <v/>
      </c>
      <c r="C30038" t="n">
        <v>0</v>
      </c>
      <c r="D30038" t="inlineStr">
        <is>
          <t>Marteau des égarés; Amulette du Strigide; Bague Gloursonne; Alliance Gloursonne; Quatre-feuilles; Ceinture du Strigide; Casque du Chalœil; Cape du Chalœil; Bottes du Strigide; Dolmanax; Dofus Ocre; Dofus Pourpre; Dofus des Glaces; Dofus Turquoise; Dofus Vulbis; Fëanor</t>
        </is>
      </c>
    </row>
    <row r="30039">
      <c r="A30039" t="inlineStr">
        <is>
          <t>Iop M 200</t>
        </is>
      </c>
      <c r="B30039">
        <f>HYPERLINK("https://www.dofusbook.net/fr/equipement/4614201-iop-m-200/objets", "link")</f>
        <v/>
      </c>
      <c r="C30039" t="n">
        <v>0</v>
      </c>
      <c r="D30039" t="inlineStr">
        <is>
          <t>Arc du Chalœil; Collier de Tourthon; Anneau Crustique; Anneau Crustique; Bouclier du Stalak; Ceinture Gence; Masque de Koutoulou; Cape au Logis; Bottes de la Cour Sombre; Dofus des Glaces; Dofus Pourpre; Dofus Turquoise; Enragé majeur; Vigoureux majeur; Bulbisou</t>
        </is>
      </c>
    </row>
    <row r="30040">
      <c r="A30040" t="inlineStr">
        <is>
          <t>Volca</t>
        </is>
      </c>
      <c r="B30040">
        <f>HYPERLINK("https://www.dofusbook.net/fr/equipement/4326007-volca/objets", "link")</f>
        <v/>
      </c>
      <c r="C30040" t="n">
        <v>0</v>
      </c>
      <c r="D30040" t="inlineStr">
        <is>
          <t>Baguette Hernelle; Amulette du Strigide; Anneau d'Allister; Anneau de Padgref; Quatre-feuilles; Ceinture du Strigide; Coiffe de Padgref; Chevelure de Tal Kasha; Getas de Padgref; Dofus Abyssal; Dofus Ocre; Dofus Vulbis; Dofus des Glaces; Dofus Turquoise; Dofus Pourpre; Kokulte</t>
        </is>
      </c>
    </row>
    <row r="30041">
      <c r="A30041" t="inlineStr">
        <is>
          <t>Test_air</t>
        </is>
      </c>
      <c r="B30041">
        <f>HYPERLINK("https://www.dofusbook.net/fr/equipement/3539881-test-air/objets", "link")</f>
        <v/>
      </c>
      <c r="C30041" t="n">
        <v>0</v>
      </c>
      <c r="D30041" t="inlineStr">
        <is>
          <t>Manthache; Collier du Valet Veinard; Alliance Gloursonne; Gant du Valet Veinard; Bouclier du Stalak; Menoture; Couronne d'Allister; Cape Indescriptible; Palmes Trithons; Dofus Abyssal; Dofus Pourpre; Dofus Ivoire; Dofus Ocre; Nomade; Cascadeur majeur; Kanigloups</t>
        </is>
      </c>
    </row>
    <row r="30042">
      <c r="A30042" t="inlineStr">
        <is>
          <t>Test_new stuff</t>
        </is>
      </c>
      <c r="B30042">
        <f>HYPERLINK("https://www.dofusbook.net/fr/equipement/4238338-test-new-stuff/objets", "link")</f>
        <v/>
      </c>
      <c r="C30042" t="n">
        <v>1</v>
      </c>
      <c r="D30042" t="inlineStr">
        <is>
          <t>Baguette Héroclite; Amulette de Shokkoth; Alliance Gloursonne; Bracelet des Fonds marins; Bouclier du Stalak; Poulpagne; Capuche de l'Œil Attentif; Cape de Mantaze; Sandales des Fonds marins; Dofus Ivoire; Dofus Ocre; Dofus Abyssal; Dofus Pourpre; Nomade; Chanceux majeur; Dragodinde Amande et Indigo</t>
        </is>
      </c>
    </row>
    <row r="30043">
      <c r="A30043" t="inlineStr">
        <is>
          <t>v248</t>
        </is>
      </c>
      <c r="B30043">
        <f>HYPERLINK("https://www.dofusbook.net/fr/equipement/3948064-v248/objets", "link")</f>
        <v/>
      </c>
      <c r="C30043" t="n">
        <v>2</v>
      </c>
      <c r="D30043" t="inlineStr">
        <is>
          <t>Épée de la Reine des Voleurs; Amulette du Strigide; Alliance Gloursonne; Anneau de Padgref; Quatre-feuilles; Ceinture du Strigide; Coiffe de Padgref; Voile d'encre; Bottes du Strigide; Dofus Pourpre; Dofus des Glaces; Dofus Ivoire; Dofus Turquoise; Dolmanax; Dofus Ocre; Kokulte</t>
        </is>
      </c>
    </row>
    <row r="30044">
      <c r="A30044" t="inlineStr">
        <is>
          <t>Tank</t>
        </is>
      </c>
      <c r="B30044">
        <f>HYPERLINK("https://www.dofusbook.net/fr/equipement/4093429-tank/objets", "link")</f>
        <v/>
      </c>
      <c r="C30044" t="n">
        <v>0</v>
      </c>
      <c r="D30044" t="inlineStr">
        <is>
          <t>Rouleau à Pâtisserie d'Aermyne; Talisman Glouti; Anneau Tique; Anneau de XLII; Bouclier précieux; Ceinture de XLII; Coiffe d'Aermyne; Cape d'Aermyne; Bottes de XLII; Dofus Ivoire; Dofus Émeraude; Dofus Ocre; Bloqueur majeur; Tacleur majeur; Voyageur; Platypus</t>
        </is>
      </c>
    </row>
    <row r="30045">
      <c r="A30045" t="inlineStr">
        <is>
          <t>Maj familiers</t>
        </is>
      </c>
      <c r="B30045">
        <f>HYPERLINK("https://www.dofusbook.net/fr/equipement/3784152-maj-familiers-/objets", "link")</f>
        <v/>
      </c>
      <c r="C30045" t="n">
        <v>1</v>
      </c>
      <c r="D30045" t="inlineStr">
        <is>
          <t>Baguette Hique; Collier de la Dame du Hasard; Alliance Gloursonne; Pikano; Bouclier cubiste; Sangle Ouare; Kidibonnet; Cape de la Dame du Hasard; Bottes de Meno; Dofus Ocre; Ralentisseur majeur; Chanceux majeur; Temporiseur majeur; Temporiseur; Entraveur majeur; Gwo Tofu Ventripotent</t>
        </is>
      </c>
    </row>
    <row r="30046">
      <c r="A30046" t="inlineStr">
        <is>
          <t>Roublard F 200</t>
        </is>
      </c>
      <c r="B30046">
        <f>HYPERLINK("https://www.dofusbook.net/fr/equipement/3950128-roublard-f-200/objets", "link")</f>
        <v/>
      </c>
      <c r="C30046" t="n">
        <v>0</v>
      </c>
      <c r="D30046" t="inlineStr">
        <is>
          <t>Manthache; Collier du Valet Veinard; Gant du Valet Veinard; Anneau d'Allister; Ceintouse; Couronne d'Allister; Cape du Valet Veinard; Bottes d'Allister; Dofus Ivoire; Dofus Ocre; Dofus Vulbis; Dofus Pourpre; Dofus Abyssal; Dofus des Glaces; Blérodoudou</t>
        </is>
      </c>
    </row>
    <row r="30047">
      <c r="A30047" t="inlineStr">
        <is>
          <t>MAj Sufokia</t>
        </is>
      </c>
      <c r="B30047">
        <f>HYPERLINK("https://www.dofusbook.net/fr/equipement/2442746-maj-sufokia/objets", "link")</f>
        <v/>
      </c>
      <c r="C30047" t="n">
        <v>0</v>
      </c>
      <c r="D30047" t="inlineStr">
        <is>
          <t>Manthache; Collier du Valet Veinard; Alliance Gloursonne; Gant du Valet Veinard; Bouclier du Stalak; Menoture; Dorabysses; Cape Indescriptible; Palmes Trithons; Dofus Pourpre; Dofus Ocre; Dofus des Glaces; Nomade; Cascadeur majeur; Dévastateur Air majeur; Blérodoudou</t>
        </is>
      </c>
    </row>
    <row r="30048">
      <c r="A30048" t="inlineStr">
        <is>
          <t>V244</t>
        </is>
      </c>
      <c r="B30048">
        <f>HYPERLINK("https://www.dofusbook.net/fr/equipement/2454512-v244/objets", "link")</f>
        <v/>
      </c>
      <c r="C30048" t="n">
        <v>0</v>
      </c>
      <c r="D30048" t="inlineStr">
        <is>
          <t>Pelle de Nidas; Amulette du Strigide; Anneau de Padgref; Alliance Gloursonne; Quatre-feuilles; Ceinture du Strigide; Coiffe de Padgref; Voile d'encre; Bottes du Strigide; Dofus Turquoise; Dolmanax; Dofus Ocre; Dofus Pourpre; Dofus des Glaces; Muldo Prune et Emeraude</t>
        </is>
      </c>
    </row>
    <row r="30049">
      <c r="A30049" t="inlineStr">
        <is>
          <t>MAJ v ret pm</t>
        </is>
      </c>
      <c r="B30049">
        <f>HYPERLINK("https://www.dofusbook.net/fr/equipement/2572611-maj-v-ret-pm/objets", "link")</f>
        <v/>
      </c>
      <c r="C30049" t="n">
        <v>0</v>
      </c>
      <c r="D30049" t="inlineStr">
        <is>
          <t>Baguette Hique; Collier de la Dame du Hasard; Alliance Gloursonne; Pikano; Bouclier cubiste; Ceinture Luminescente; Kidibonnet; Cape de la Dame du Hasard; Bottes de Meno; Temporiseur; Entraveur majeur; Remueur; Ralentisseur majeur; Nomade; Temporiseur majeur; Gwo Tofu Ventripotent</t>
        </is>
      </c>
    </row>
    <row r="30050">
      <c r="A30050" t="inlineStr">
        <is>
          <t>MAJ v rox</t>
        </is>
      </c>
      <c r="B30050">
        <f>HYPERLINK("https://www.dofusbook.net/fr/equipement/2545261-maj-v-rox/objets", "link")</f>
        <v/>
      </c>
      <c r="C30050" t="n">
        <v>0</v>
      </c>
      <c r="D30050" t="inlineStr">
        <is>
          <t>Rapière aux Glyphes; Collier de la Dame du Hasard; Alliance Gloursonne; Pikano; Bouclier cubiste; Ceinture Luminescente; Kidibonnet; Cape de la Dame du Hasard; Bottes de Meno; Dofus Ocre; Dofus Pourpre; Vigoureux majeur; Chanceux majeur; Nomade; Taquin majeur; Dragodinde Indigo et Ivoire</t>
        </is>
      </c>
    </row>
    <row r="30051">
      <c r="A30051" t="inlineStr">
        <is>
          <t>F 2</t>
        </is>
      </c>
      <c r="B30051">
        <f>HYPERLINK("https://www.dofusbook.net/fr/equipement/2361735-f-2/objets", "link")</f>
        <v/>
      </c>
      <c r="C30051" t="n">
        <v>0</v>
      </c>
      <c r="D30051" t="inlineStr">
        <is>
          <t>Arc corrompu; Amulette Séculaire; Anneau Tique; Anneauræus; Bouclier du Cycloïde; Ceinture de Vortex; Coiffe Séculaire; Cape de Diondin; Bottes de Meno; Dofus Ocre; Déserteur majeur; Miraculé majeur; Docteur majeur; Guérisseur majeur; Érudit majeur; Muldo Orchidée et Pourpre</t>
        </is>
      </c>
    </row>
    <row r="30052">
      <c r="A30052" t="inlineStr">
        <is>
          <t>Yanis feu air</t>
        </is>
      </c>
      <c r="B30052">
        <f>HYPERLINK("https://www.dofusbook.net/fr/equipement/3570868-yanis-feu-air/objets", "link")</f>
        <v/>
      </c>
      <c r="C30052" t="n">
        <v>0</v>
      </c>
      <c r="D30052" t="inlineStr">
        <is>
          <t>Marteau Phossile; Amulette du Cycloïde; Bracelet du Piloztère; Kralano; Quatre-feuilles; Ceinture de Vortex; Casque Cyclopéen; Cape des Malveilleurs; Sabots de Vortex; Dofus Ocre; Dofus Pourpre; Dofus Turquoise; Vigoureux majeur; Nomade; Remueur; Dragodinde Emeraude et Ivoire</t>
        </is>
      </c>
    </row>
    <row r="30053">
      <c r="A30053" t="inlineStr">
        <is>
          <t>Yanis 2</t>
        </is>
      </c>
      <c r="B30053">
        <f>HYPERLINK("https://www.dofusbook.net/fr/equipement/3568021-yanis-2/objets", "link")</f>
        <v/>
      </c>
      <c r="C30053" t="n">
        <v>1</v>
      </c>
      <c r="D30053" t="inlineStr">
        <is>
          <t>Dagues Érhy; Amulette du Cycloïde; Bracelet du Piloztère; Anneau Chevelu; Quatre-feuilles; Ceintouse; Chapoulpe; Cape du Kamasterisk; Baleinabottes; Dofus Turquoise; Dofus Ocre; Dofus Pourpre; Enragé majeur; Vigoureux majeur; Nomade; Dragodinde Emeraude et Ivoire</t>
        </is>
      </c>
    </row>
    <row r="30054">
      <c r="A30054" t="inlineStr">
        <is>
          <t>Yanis</t>
        </is>
      </c>
      <c r="B30054">
        <f>HYPERLINK("https://www.dofusbook.net/fr/equipement/3567902-yanis/objets", "link")</f>
        <v/>
      </c>
      <c r="C30054" t="n">
        <v>0</v>
      </c>
      <c r="D30054" t="inlineStr">
        <is>
          <t>Dagues Érhy; Amulette du Cycloïde; Bracelet du Piloztère; Anneau Chevelu; Quatre-feuilles; Ceinture de Brouce; Chapoulpe; Cape du Cœur Saignant; Baleinabottes; Dofus Ocre; Dofus Pourpre; Dofus Turquoise; Vigoureux majeur; Nomade; Enragé majeur; Dragodinde Emeraude et Pourpre</t>
        </is>
      </c>
    </row>
    <row r="30055">
      <c r="A30055" t="inlineStr">
        <is>
          <t>Féca M 200</t>
        </is>
      </c>
      <c r="B30055">
        <f>HYPERLINK("https://www.dofusbook.net/fr/equipement/3521639-feca-m-200/objets", "link")</f>
        <v/>
      </c>
      <c r="C30055" t="n">
        <v>0</v>
      </c>
      <c r="D30055" t="inlineStr">
        <is>
          <t>Héqache; Amulette de Pol Ouatnos; Bague Gloursonne; Alliance Gloursonne; Bouclier du Captain Amakna; Ceintouse; Casque des égarés; Cape du Cœur Vaillant; Baleinabottes; Dofus Turquoise; Dofus Pourpre; Miraculé majeur; Vigoureux majeur; Remueur; Kramkram</t>
        </is>
      </c>
    </row>
    <row r="30056">
      <c r="A30056" t="inlineStr">
        <is>
          <t>Test reprise max</t>
        </is>
      </c>
      <c r="B30056">
        <f>HYPERLINK("https://www.dofusbook.net/fr/equipement/3495852-test-reprise-max/objets", "link")</f>
        <v/>
      </c>
      <c r="C30056" t="n">
        <v>12</v>
      </c>
      <c r="D30056" t="inlineStr">
        <is>
          <t>Arc de Koutoulou; Amulette du Strigide; Bracelet du Piloztère; Alliance Gloursonne; Quatre-feuilles; Ceintacé; Chapeau des Malveilleurs; Cape des Malveilleurs; Pataugastrique; Dofus Turquoise; Dofus Pourpre; Nomade; Remueur; Vigoureux; Vigoureux majeur; Kramkram</t>
        </is>
      </c>
    </row>
    <row r="30057">
      <c r="A30057" t="inlineStr">
        <is>
          <t>Sram F 200</t>
        </is>
      </c>
      <c r="B30057">
        <f>HYPERLINK("https://www.dofusbook.net/fr/equipement/3463713-sram-f-200/objets", "link")</f>
        <v/>
      </c>
      <c r="C30057" t="n">
        <v>0</v>
      </c>
      <c r="D30057" t="inlineStr">
        <is>
          <t>Hache du Chalœil; Amulette Volkorne; Anneau Volkorne; Bracelet du Piloztère; Quatre-feuilles; Ceinture Volkorne; Casque du Chalœil; Cape du Chalœil; Bottes du Chalœil; Dofus Pourpre; Dofus des Glaces; Dofus Turquoise; Dofus Abyssal; Dofus Ocre; Dofus Ivoire; Muldo Prune et Emeraude</t>
        </is>
      </c>
    </row>
    <row r="30058">
      <c r="A30058" t="inlineStr">
        <is>
          <t>Chaloeil liberté</t>
        </is>
      </c>
      <c r="B30058">
        <f>HYPERLINK("https://www.dofusbook.net/fr/equipement/2994710-chaloeil-liberte/objets", "link")</f>
        <v/>
      </c>
      <c r="C30058" t="n">
        <v>0</v>
      </c>
      <c r="D30058" t="inlineStr">
        <is>
          <t>Pelle de la Cour Sombre; Collier du Valet Veinard; Gant du Valet Veinard; Alliance Gloursonne; Bouclier d'Anerice; Menoture; Dorabysses; Cape Indescriptible; Palmes Trithons; Dofus Ivoire; Miraculé majeur; Nomade; Carapace Eau majeur; Remueur; Carapace Terre majeur; Chacha Brâkmarien</t>
        </is>
      </c>
    </row>
    <row r="30059">
      <c r="A30059" t="inlineStr">
        <is>
          <t>Stuff 1</t>
        </is>
      </c>
      <c r="B30059">
        <f>HYPERLINK("https://www.dofusbook.net/fr/equipement/2994709-stuff-1/objets", "link")</f>
        <v/>
      </c>
      <c r="C30059" t="n">
        <v>2</v>
      </c>
      <c r="D30059" t="inlineStr">
        <is>
          <t>Pelle de la Cour Sombre; Collier du Valet Veinard; Alliance Gloursonne; Gant du Valet Veinard; Bouclier du Captain Amakna; Menoture; Dorabysses; Cape Indescriptible; Palmes Trithons; Dofus Pourpre; Dofus Abyssal; Equilibriste majeur; Miraculé majeur; Cascadeur majeur; Remueur; Muldo Ebène</t>
        </is>
      </c>
    </row>
    <row r="30060">
      <c r="A30060" t="inlineStr">
        <is>
          <t>Air 12 6</t>
        </is>
      </c>
      <c r="B30060">
        <f>HYPERLINK("https://www.dofusbook.net/fr/equipement/2744122-air-12-6/objets", "link")</f>
        <v/>
      </c>
      <c r="C30060" t="n">
        <v>0</v>
      </c>
      <c r="D30060" t="inlineStr">
        <is>
          <t>Manthache; Collier du Valet Veinard; Gant du Valet Veinard; Alliance Gloursonne; Quatre-feuilles; Ceintouse; Chapoulpe; Cape du Valet Veinard; Tentassons; Dofus des Glaces; Dofus Ivoire; Dofus Pourpre; Dolmanax; Dofus Ocre; Dofus Abyssal; Muldo Roux et Ebène</t>
        </is>
      </c>
    </row>
    <row r="30061">
      <c r="A30061" t="inlineStr">
        <is>
          <t>Actuel</t>
        </is>
      </c>
      <c r="B30061">
        <f>HYPERLINK("https://www.dofusbook.net/fr/equipement/2753112-actuel/objets", "link")</f>
        <v/>
      </c>
      <c r="C30061" t="n">
        <v>1</v>
      </c>
      <c r="D30061" t="inlineStr">
        <is>
          <t>Marteau des égarés; Amulette de l'Indicible; Bague Gloursonne; Alliance Gloursonne; Quatre-feuilles; Ceinture de l'Esprit Salvateur; Masque de l'Esprit Salvateur; Voilamibe; Bottes de l'Esprit Salvateur; Dolmanax; Dofus des Glaces; Dofus Pourpre; Dofus Abyssal; Dofus Ocre; Robuste majeur; Dragodinde en armure</t>
        </is>
      </c>
    </row>
    <row r="30062">
      <c r="A30062" t="inlineStr">
        <is>
          <t>Ancien</t>
        </is>
      </c>
      <c r="B30062">
        <f>HYPERLINK("https://www.dofusbook.net/fr/equipement/2743168-ancien/objets", "link")</f>
        <v/>
      </c>
      <c r="C30062" t="n">
        <v>0</v>
      </c>
      <c r="D30062" t="inlineStr">
        <is>
          <t>Dagues Érhy; Amulette du Strigide; Alliance Gloursonne; Bracelet du Piloztère; Quatre-feuilles; Ceintacé; Chapeau Lisson; Cape au Logis; Bottes du Strigide; Dofus Pourpre; Dofus des Glaces; Dofus Turquoise; Dolmanax; Dofus Ocre; Dragodinde en armure</t>
        </is>
      </c>
    </row>
    <row r="30063">
      <c r="A30063" t="inlineStr">
        <is>
          <t>Eau air</t>
        </is>
      </c>
      <c r="B30063">
        <f>HYPERLINK("https://www.dofusbook.net/fr/equipement/2538211-eau-air/objets", "link")</f>
        <v/>
      </c>
      <c r="C30063" t="n">
        <v>1</v>
      </c>
      <c r="D30063" t="inlineStr">
        <is>
          <t>Arc de Koutoulou; Amulette Voldelor; Lavanneau; Alliance Gloursonne; Quatre-feuilles; Ceinture Voldelor; Casque d'Ilyzaelle; Chevelure de Tal Kasha; Bottes Voldelor; Dofus Abyssal; Dofus Ocre; Dolmanax; Dofus des Glaces; Dofus Pourpre; Dofus Ivoire; Muldo Roux et Amande</t>
        </is>
      </c>
    </row>
    <row r="30064">
      <c r="A30064" t="inlineStr">
        <is>
          <t>Fleur-199</t>
        </is>
      </c>
      <c r="B30064">
        <f>HYPERLINK("https://www.dofusbook.net/fr/equipement/2966553-fleur-199/objets", "link")</f>
        <v/>
      </c>
      <c r="C30064" t="n">
        <v>0</v>
      </c>
      <c r="D30064" t="inlineStr">
        <is>
          <t>Epée Kari; Kralamansion; Bague Gloursonne; Anneau de Brouce; Ceinture de Brouce; Casque de Missiz Frizz; Cape au Logis; Sabots Minables; Dofus Pourpre; Remueur; Enragé majeur; Nomade; Vigoureux majeur; Miraculé majeur; Kwaltess</t>
        </is>
      </c>
    </row>
    <row r="30065">
      <c r="A30065" t="inlineStr">
        <is>
          <t>Fleur</t>
        </is>
      </c>
      <c r="B30065">
        <f>HYPERLINK("https://www.dofusbook.net/fr/equipement/2936999-fleur/objets", "link")</f>
        <v/>
      </c>
      <c r="C30065" t="n">
        <v>16</v>
      </c>
      <c r="D30065" t="inlineStr">
        <is>
          <t>Dagues Érhy; Amulette du Strigide; Bracelet du Piloztère; Alliance Gloursonne; Quatre-feuilles; Ceintacé; Masque de Koutoulou; Voile d'encre; Bottes du Strigide; Dofus Turquoise; Dofus Pourpre; Enragé majeur; Nomade; Vigoureux majeur; Remueur; Muldo Doré et Pourpre</t>
        </is>
      </c>
    </row>
    <row r="30066">
      <c r="A30066" t="inlineStr">
        <is>
          <t>Fleur</t>
        </is>
      </c>
      <c r="B30066">
        <f>HYPERLINK("https://www.dofusbook.net/fr/equipement/2936991-fleur/objets", "link")</f>
        <v/>
      </c>
      <c r="C30066" t="n">
        <v>1</v>
      </c>
      <c r="D30066" t="inlineStr"/>
    </row>
    <row r="30067">
      <c r="A30067" t="inlineStr">
        <is>
          <t>Robin</t>
        </is>
      </c>
      <c r="B30067">
        <f>HYPERLINK("https://www.dofusbook.net/fr/equipement/2934250-robin/objets", "link")</f>
        <v/>
      </c>
      <c r="C30067" t="n">
        <v>2</v>
      </c>
      <c r="D30067" t="inlineStr">
        <is>
          <t>Arc du Chalœil; Amulette du Strigide; Anneau Chevelu; Quatre-feuilles; Ceinture de Brouce; Masque de Koutoulou; Cape au Logis; Bottes de Brouce; Dofus Pourpre; Dofus Turquoise; Dofus des Glaces; Dofus Ocre; Enragé majeur; Kramkram</t>
        </is>
      </c>
    </row>
    <row r="30068">
      <c r="A30068" t="inlineStr">
        <is>
          <t>Stuff Newen</t>
        </is>
      </c>
      <c r="B30068">
        <f>HYPERLINK("https://www.dofusbook.net/fr/equipement/2930751-stuff-newen/objets", "link")</f>
        <v/>
      </c>
      <c r="C30068" t="n">
        <v>0</v>
      </c>
      <c r="D30068" t="inlineStr">
        <is>
          <t>Dagues Érhy; Amulette de l'Indicible; Alliance Gloursonne; Bague Gloursonne; Quatre-feuilles; Ceinture de l'Esprit Salvateur; Masque de l'Esprit Salvateur; Voilamibe; Bottes de l'Esprit Salvateur; Dolmanax; Dofus Ocre; Dofus Pourpre; Dofus des Glaces; Dofus Ivoire; Robuste majeur; Dragodinde en armure</t>
        </is>
      </c>
    </row>
    <row r="30069">
      <c r="A30069" t="inlineStr">
        <is>
          <t>Test EFA</t>
        </is>
      </c>
      <c r="B30069">
        <f>HYPERLINK("https://www.dofusbook.net/fr/equipement/2930693-test-efa/objets", "link")</f>
        <v/>
      </c>
      <c r="C30069" t="n">
        <v>0</v>
      </c>
      <c r="D30069" t="inlineStr">
        <is>
          <t>Sabres d'Atcham; Amulette de l'Œil Putride; Bague Gloursonne; Alliance Gloursonne; Quatre-feuilles; Ougature; Capuche de l'Œil Putride; Cape de l'Œil Putride; Sandales  d'Atcham; Dolmanax; Dofus Turquoise; Dofus des Glaces; Dofus Ocre; Dofus Ivoire; Dofus Pourpre; Muldo Prune et Emeraude</t>
        </is>
      </c>
    </row>
    <row r="30070">
      <c r="A30070" t="inlineStr">
        <is>
          <t>Actuel</t>
        </is>
      </c>
      <c r="B30070">
        <f>HYPERLINK("https://www.dofusbook.net/fr/equipement/2110503-actuel/objets", "link")</f>
        <v/>
      </c>
      <c r="C30070" t="n">
        <v>0</v>
      </c>
      <c r="D30070" t="inlineStr">
        <is>
          <t>Hache du Chalœil; Amulette du Strigide; Alliance Gloursonne; Bracelet du Piloztère; Quatre-feuilles; Ceintacé; Coiffe du Lévitrof; Voile d'encre; Bottes du Lévitrof; Dolmanax; Dofus Ocre; Dofus Pourpre; Dofus Turquoise; Vigoureux majeur; Nomade; Dragodinde en armure</t>
        </is>
      </c>
    </row>
    <row r="30071">
      <c r="A30071" t="inlineStr">
        <is>
          <t>Test</t>
        </is>
      </c>
      <c r="B30071">
        <f>HYPERLINK("https://www.dofusbook.net/fr/equipement/2753146-test/objets", "link")</f>
        <v/>
      </c>
      <c r="C30071" t="n">
        <v>0</v>
      </c>
      <c r="D30071" t="inlineStr">
        <is>
          <t>Marteau des égarés; Amulette de l'Indicible; Alliance Gloursonne; Bague Gloursonne; Quatre-feuilles; Ceinture de l'Indicible; Masque de l'Esprit Salvateur; Voilamibe; Bottes de l'Indicible; Dofus Pourpre; Dofus Abyssal; Dofus Ocre; Dolmanax; Dofus des Glaces; Dragodinde en armure</t>
        </is>
      </c>
    </row>
    <row r="30072">
      <c r="A30072" t="inlineStr">
        <is>
          <t>Actuel</t>
        </is>
      </c>
      <c r="B30072">
        <f>HYPERLINK("https://www.dofusbook.net/fr/equipement/2750638-actuel/objets", "link")</f>
        <v/>
      </c>
      <c r="C30072" t="n">
        <v>0</v>
      </c>
      <c r="D30072" t="inlineStr">
        <is>
          <t>Baguette Hernelle; Amulette d'Otomaï; Kralano; Anneau Tamie; Bouclier du Cycloïde; Ceinture Séculaire; Coiffe Séculaire; Cape de Nileza; Bottes Dogues; Dofus Ocre; Érudit majeur; Remueur; Miraculé majeur; Savant majeur; Guérisseur majeur; Pioute rouge</t>
        </is>
      </c>
    </row>
    <row r="30073">
      <c r="A30073" t="inlineStr">
        <is>
          <t>Test</t>
        </is>
      </c>
      <c r="B30073">
        <f>HYPERLINK("https://www.dofusbook.net/fr/equipement/2744401-test/objets", "link")</f>
        <v/>
      </c>
      <c r="C30073" t="n">
        <v>0</v>
      </c>
      <c r="D30073" t="inlineStr">
        <is>
          <t>Marteau des égarés; Amulette de l'Indicible; Alliance Gloursonne; Bague Gloursonne; Quatre-feuilles; Ceinture de l'Indicible; Casque du Chalœil; Cape du Chalœil; Bottes du Chalœil; Dofus Ocre; Dofus Turquoise; Dolmanax; Dofus des Glaces; Dofus Pourpre; Dofus Abyssal; Muldo Prune et Emeraude</t>
        </is>
      </c>
    </row>
    <row r="30074">
      <c r="A30074" t="inlineStr">
        <is>
          <t>TEF</t>
        </is>
      </c>
      <c r="B30074">
        <f>HYPERLINK("https://www.dofusbook.net/fr/equipement/2744237-tef/objets", "link")</f>
        <v/>
      </c>
      <c r="C30074" t="n">
        <v>0</v>
      </c>
      <c r="D30074" t="inlineStr">
        <is>
          <t>Hache du Chalœil; Amulette de Pol Ouatnos; Alliance du Lévitrof; Bracelet du Piloztère; Quatre-feuilles; Ceinture de l'Esprit Salvateur; Masque de l'Esprit Salvateur; Voile d'encre; Bottes de l'Esprit Salvateur; Dofus Ivoire; Dofus Ocre; Dolmanax; Dofus des Glaces; Dofus Abyssal; Dofus Pourpre; Dragodinde en armure</t>
        </is>
      </c>
    </row>
    <row r="30075">
      <c r="A30075" t="inlineStr">
        <is>
          <t>Test</t>
        </is>
      </c>
      <c r="B30075">
        <f>HYPERLINK("https://www.dofusbook.net/fr/equipement/2741427-test/objets", "link")</f>
        <v/>
      </c>
      <c r="C30075" t="n">
        <v>0</v>
      </c>
      <c r="D30075" t="inlineStr"/>
    </row>
    <row r="30076">
      <c r="A30076" t="inlineStr">
        <is>
          <t>multi stri chaloeil</t>
        </is>
      </c>
      <c r="B30076">
        <f>HYPERLINK("https://www.dofusbook.net/fr/equipement/2741022-multi-stri-chaloeil/objets", "link")</f>
        <v/>
      </c>
      <c r="C30076" t="n">
        <v>0</v>
      </c>
      <c r="D30076" t="inlineStr">
        <is>
          <t>Marteau des égarés; Amulette du Strigide; Alliance Gloursonne; Quatre-feuilles; Ceinture du Strigide; Cape de l'Œil Putride; Bottes du Strigide; Dofus Turquoise; Dofus Ocre; Dolmanax; Dofus des Glaces; Dofus Pourpre; Dofus Abyssal; Muldo Roux et Amande</t>
        </is>
      </c>
    </row>
    <row r="30077">
      <c r="A30077" t="inlineStr">
        <is>
          <t>multi stri chaloeil</t>
        </is>
      </c>
      <c r="B30077">
        <f>HYPERLINK("https://www.dofusbook.net/fr/equipement/2614701-multi-stri-chaloeil/objets", "link")</f>
        <v/>
      </c>
      <c r="C30077" t="n">
        <v>0</v>
      </c>
      <c r="D30077" t="inlineStr">
        <is>
          <t>Marteau des égarés; Amulette du Strigide; Alliance Brûlâme; Alliance Gloursonne; Quatre-feuilles; Ceinture du Strigide; Masque Brûlâme; Voile d'encre; Bottes du Strigide; Dofus Turquoise; Dofus Ocre; Dolmanax; Dofus des Glaces; Dofus Pourpre; Dofus Abyssal; Muldo Roux et Amande</t>
        </is>
      </c>
    </row>
    <row r="30078">
      <c r="A30078" t="inlineStr">
        <is>
          <t>Premier stuff</t>
        </is>
      </c>
      <c r="B30078">
        <f>HYPERLINK("https://www.dofusbook.net/fr/equipement/2608857-premier-stuff/objets", "link")</f>
        <v/>
      </c>
      <c r="C30078" t="n">
        <v>1</v>
      </c>
      <c r="D30078" t="inlineStr">
        <is>
          <t>Manthache; Pendentif mignon de Koutoulou; Alliance Gloursonne; Anneau d'Allister; Quatre-feuilles; Menoture; Couronne d'Allister; Cape Indescriptible; Palmes Trithons; Dofus Pourpre; Dofus Ocre; Dévastateur Air majeur; Cascadeur majeur; Acrobate majeur; Nomade; Chacha</t>
        </is>
      </c>
    </row>
    <row r="30079">
      <c r="A30079" t="inlineStr">
        <is>
          <t>EFA</t>
        </is>
      </c>
      <c r="B30079">
        <f>HYPERLINK("https://www.dofusbook.net/fr/equipement/2590908-efa/objets", "link")</f>
        <v/>
      </c>
      <c r="C30079" t="n">
        <v>0</v>
      </c>
      <c r="D30079" t="inlineStr">
        <is>
          <t>Sabres d'Atcham; Amulette de l'Indicible; Bague Gloursonne; Alliance Gloursonne; Quatre-feuilles; Ceinture de l'Indicible; Chapeau des Malveilleurs; Cape des Malveilleurs; Bottes des Malveilleurs; Dofus Ocre; Dofus Turquoise; Dolmanax; Dofus des Glaces; Dofus Pourpre; Dofus Abyssal; Muldo Indigo et Amande</t>
        </is>
      </c>
    </row>
    <row r="30080">
      <c r="A30080" t="inlineStr">
        <is>
          <t>Stri glours</t>
        </is>
      </c>
      <c r="B30080">
        <f>HYPERLINK("https://www.dofusbook.net/fr/equipement/2582319-stri-glours/objets", "link")</f>
        <v/>
      </c>
      <c r="C30080" t="n">
        <v>0</v>
      </c>
      <c r="D30080" t="inlineStr">
        <is>
          <t>Dagues Érhy; Amulette du Strigide; Bague Gloursonne; Alliance Gloursonne; Quatre-feuilles; Ceinture du Strigide; Capuche de l'Œil Putride; Voile d'encre; Bottes du Strigide; Dofus Pourpre; Dofus des Glaces; Dofus Turquoise; Dofus Abyssal; Dolmanax; Dofus Ocre; Muldo Roux et Amande</t>
        </is>
      </c>
    </row>
    <row r="30081">
      <c r="A30081" t="inlineStr">
        <is>
          <t>Brulame Valet veinar</t>
        </is>
      </c>
      <c r="B30081">
        <f>HYPERLINK("https://www.dofusbook.net/fr/equipement/2532826-brulame-valet-veinar/objets", "link")</f>
        <v/>
      </c>
      <c r="C30081" t="n">
        <v>0</v>
      </c>
      <c r="D30081" t="inlineStr">
        <is>
          <t>Marteau de Katrepat; Collier du Valet Veinard; Gant du Valet Veinard; Alliance Brûlâme; Quatre-feuilles; Ceinture du Strigide; Masque Brûlâme; Cape du Valet Veinard; Pompes Funèbres; Dofus des Glaces; Dofus Ocre; Dofus Pourpre; Dolmanax; Dofus Abyssal</t>
        </is>
      </c>
    </row>
    <row r="30082">
      <c r="A30082" t="inlineStr">
        <is>
          <t>Brulame indicible</t>
        </is>
      </c>
      <c r="B30082">
        <f>HYPERLINK("https://www.dofusbook.net/fr/equipement/2513426-brulame-indicible/objets", "link")</f>
        <v/>
      </c>
      <c r="C30082" t="n">
        <v>0</v>
      </c>
      <c r="D30082" t="inlineStr">
        <is>
          <t>Marteau de Katrepat; Amulette de l'Indicible; Alliance Gloursonne; Alliance Brûlâme; Quatre-feuilles; Ceinture de l'Indicible; Masque Brûlâme; Voile d'encre; Pompes Funèbres; Dofus Abyssal; Dofus des Glaces; Dofus Ocre; Dofus Pourpre; Dolmanax; Muldo Roux et Amande</t>
        </is>
      </c>
    </row>
    <row r="30083">
      <c r="A30083" t="inlineStr">
        <is>
          <t>Brulame stri</t>
        </is>
      </c>
      <c r="B30083">
        <f>HYPERLINK("https://www.dofusbook.net/fr/equipement/296543-brulame-stri/objets", "link")</f>
        <v/>
      </c>
      <c r="C30083" t="n">
        <v>0</v>
      </c>
      <c r="D30083" t="inlineStr">
        <is>
          <t>Marteau de Katrepat; Amulette du Strigide; Alliance Gloursonne; Alliance Brûlâme; Quatre-feuilles; Ceinture du Strigide; Masque Brûlâme; Voile d'encre; Pompes Funèbres; Dofus des Glaces; Dofus Ocre; Dofus Turquoise; Dofus Pourpre; Dolmanax; Dofus Abyssal; Muldo Roux et Amande</t>
        </is>
      </c>
    </row>
    <row r="30084">
      <c r="A30084" t="inlineStr">
        <is>
          <t>Brulame gein</t>
        </is>
      </c>
      <c r="B30084">
        <f>HYPERLINK("https://www.dofusbook.net/fr/equipement/2391823-brulame-gein/objets", "link")</f>
        <v/>
      </c>
      <c r="C30084" t="n">
        <v>0</v>
      </c>
      <c r="D30084" t="inlineStr">
        <is>
          <t>Marteau de Katrepat; Amulette de Gein; Alliance Gloursonne; Alliance Brûlâme; Quatre-feuilles; Ceinture de Gein; Masque Brûlâme; Voile d'encre; Pompes Funèbres; Dolmanax; Dofus Abyssal; Dofus des Glaces; Dofus Ocre; Dofus Nébuleux; Dofus Pourpre; Muldo Roux et Amande</t>
        </is>
      </c>
    </row>
    <row r="30085">
      <c r="A30085" t="inlineStr">
        <is>
          <t>Test multi</t>
        </is>
      </c>
      <c r="B30085">
        <f>HYPERLINK("https://www.dofusbook.net/fr/equipement/2510294-test-multi/objets", "link")</f>
        <v/>
      </c>
      <c r="C30085" t="n">
        <v>0</v>
      </c>
      <c r="D30085" t="inlineStr">
        <is>
          <t>Marteau des égarés; Amulette de l'Indicible; Bague Gloursonne; Alliance Gloursonne; Quatre-feuilles; Ceinture de l'Esprit Salvateur; Masque de l'Esprit Salvateur; Voile d'encre; Bottes de l'Esprit Salvateur; Dolmanax; Dofus des Glaces; Dofus Pourpre; Dofus Abyssal; Dofus Ocre; Muldo Roux et Amande</t>
        </is>
      </c>
    </row>
    <row r="30086">
      <c r="A30086" t="inlineStr">
        <is>
          <t>Kelthan</t>
        </is>
      </c>
      <c r="B30086">
        <f>HYPERLINK("https://www.dofusbook.net/fr/equipement/2454934-kelthan/objets", "link")</f>
        <v/>
      </c>
      <c r="C30086" t="n">
        <v>0</v>
      </c>
      <c r="D30086" t="inlineStr">
        <is>
          <t>Hache du Chalœil; Amulette du Strigide; Alliance Gloursonne; Bague Gloursonne; Quatre-feuilles; Ceinture du Strigide; Chapeau de Gein; Voile d'encre; Bottes du Strigide; Dofus Ocre; Dofus Pourpre; Dokoko; Dofus Turquoise; Dolmanax; Entraveur majeur; Muldo Prune et Emeraude</t>
        </is>
      </c>
    </row>
    <row r="30087">
      <c r="A30087" t="inlineStr">
        <is>
          <t>TFE 2</t>
        </is>
      </c>
      <c r="B30087">
        <f>HYPERLINK("https://www.dofusbook.net/fr/equipement/2361600-tfe-2/objets", "link")</f>
        <v/>
      </c>
      <c r="C30087" t="n">
        <v>0</v>
      </c>
      <c r="D30087" t="inlineStr">
        <is>
          <t>Hache du Chalœil; Amulette du Strigide; Alliance Gloursonne; Bracelet du Piloztère; Quatre-feuilles; Ceintacé; Chapeau de Gein; Voile d'encre; Bottes du Strigide; Dofus Pourpre; Remueur; Vigoureux majeur; Entraveur majeur; Nomade; Temporiseur majeur; Dragodinde en armure</t>
        </is>
      </c>
    </row>
    <row r="30088">
      <c r="A30088" t="inlineStr">
        <is>
          <t>EF 1</t>
        </is>
      </c>
      <c r="B30088">
        <f>HYPERLINK("https://www.dofusbook.net/fr/equipement/2329211-ef-1/objets", "link")</f>
        <v/>
      </c>
      <c r="C30088" t="n">
        <v>0</v>
      </c>
      <c r="D30088" t="inlineStr">
        <is>
          <t>Épée Brûlâme; Collier de la Dame du Hasard; Alliance Gloursonne; Bracelet du Piloztère; Quatre-feuilles; Ceintacé; Casquette de Meno; Cape de la Dame du Hasard; Pataugastrique; Dofus Turquoise; Dofus Pourpre; Nomade; Vigoureux majeur; Temporiseur majeur; Remueur; Muldo Orchidée</t>
        </is>
      </c>
    </row>
    <row r="30089">
      <c r="A30089" t="inlineStr">
        <is>
          <t>TFE 1</t>
        </is>
      </c>
      <c r="B30089">
        <f>HYPERLINK("https://www.dofusbook.net/fr/equipement/2329229-tfe-1/objets", "link")</f>
        <v/>
      </c>
      <c r="C30089" t="n">
        <v>0</v>
      </c>
      <c r="D30089" t="inlineStr">
        <is>
          <t>Hache du Chalœil; Amulette du Strigide; Bracelet du Piloztère; Alliance Gloursonne; Quatre-feuilles; Ceintacé; Coiffe du Lévitrof; Cape de Kongoku; Bottes du Strigide; Dofus Pourpre; Nomade; Temporiseur majeur; Remueur; Entraveur majeur; Vigoureux majeur; Kramkram</t>
        </is>
      </c>
    </row>
    <row r="30090">
      <c r="A30090" t="inlineStr">
        <is>
          <t>Prévision 200</t>
        </is>
      </c>
      <c r="B30090">
        <f>HYPERLINK("https://www.dofusbook.net/fr/equipement/2309216-prevision-200/objets", "link")</f>
        <v/>
      </c>
      <c r="C30090" t="n">
        <v>0</v>
      </c>
      <c r="D30090" t="inlineStr">
        <is>
          <t>Baguette Hique; Amulette Luminescente; Alliance Gloursonne; Pikano; Ambrouclier; Ceinture Luminescente; Casquette de Meno; Cape de la Dame du Hasard; Bottes de Meno; Dofus Ocre; Dragodinde Prune et Emeraude</t>
        </is>
      </c>
    </row>
    <row r="30091">
      <c r="A30091" t="inlineStr">
        <is>
          <t>Stuff 1</t>
        </is>
      </c>
      <c r="B30091">
        <f>HYPERLINK("https://www.dofusbook.net/fr/equipement/295979-stuff-1/objets", "link")</f>
        <v/>
      </c>
      <c r="C30091" t="n">
        <v>0</v>
      </c>
      <c r="D30091" t="inlineStr">
        <is>
          <t>Arc corrompu; Amulette d'Otomaï; Anneauræus; Kralano; Bouclier du Cycloïde; Ceinture Séculaire; Coiffe Séculaire; Cape de Diondin; Bottes Innommables; Dofus Ocre; Érudit majeur; Savant majeur; Miraculé majeur; Nomade; Guérisseur majeur; Brûlih</t>
        </is>
      </c>
    </row>
    <row r="30092">
      <c r="A30092" t="inlineStr">
        <is>
          <t>THL</t>
        </is>
      </c>
      <c r="B30092">
        <f>HYPERLINK("https://www.dofusbook.net/fr/equipement/2122750-thl/objets", "link")</f>
        <v/>
      </c>
      <c r="C30092" t="n">
        <v>2</v>
      </c>
      <c r="D30092" t="inlineStr">
        <is>
          <t>Pelle de Nidas; Amulette du Strigide; Alliance Gloursonne; Alliance Brûlâme; Quatre-feuilles; Ceintacé; Coiffe d'Ogivol; Cape du Chalœil; Bottes du Strigide; Dolmanax; Dofus Ocre; Dofus Pourpre; Dofus des Glaces; Dofus Turquoise; Nomade; Dragodinde en armure</t>
        </is>
      </c>
    </row>
    <row r="30093">
      <c r="A30093" t="inlineStr">
        <is>
          <t>Miseajour</t>
        </is>
      </c>
      <c r="B30093">
        <f>HYPERLINK("https://www.dofusbook.net/fr/equipement/2076042-miseajour/objets", "link")</f>
        <v/>
      </c>
      <c r="C30093" t="n">
        <v>0</v>
      </c>
      <c r="D30093" t="inlineStr">
        <is>
          <t>Pelle de Nidas; Amulette du Strigide; Bracelet du Piloztère; Alliance Gloursonne; Quatre-feuilles; Ceinture du Strigide; Chapeau Lisson; Voile d'encre; Bottes du Strigide; Dofus des Glaces; Dofus Pourpre; Dofus Turquoise; Dofus Ocre; Dolmanax; Entraveur majeur; Muldo Prune et Emeraude</t>
        </is>
      </c>
    </row>
    <row r="30094">
      <c r="A30094" t="inlineStr">
        <is>
          <t>Stuff 2</t>
        </is>
      </c>
      <c r="B30094">
        <f>HYPERLINK("https://www.dofusbook.net/fr/equipement/295971-stuff-2/objets", "link")</f>
        <v/>
      </c>
      <c r="C30094" t="n">
        <v>0</v>
      </c>
      <c r="D30094" t="inlineStr">
        <is>
          <t>Rapière aux Glyphes; Talisman Glouti; Alliance Gloursonne; Anneau Tique; Ceinture du Barbétoal; Dorabysses; Voile d'encre; Sandales Circulaires du Kimbo; Dofus Émeraude; Dofus Pourpre; Dofus Turquoise; Dofus Ocre; Joueur majeur; Voyageur; Dragodinde en armure</t>
        </is>
      </c>
    </row>
    <row r="30095">
      <c r="A30095" t="inlineStr">
        <is>
          <t>Stuff 3</t>
        </is>
      </c>
      <c r="B30095">
        <f>HYPERLINK("https://www.dofusbook.net/fr/equipement/295963-stuff-3/objets", "link")</f>
        <v/>
      </c>
      <c r="C30095" t="n">
        <v>0</v>
      </c>
      <c r="D30095" t="inlineStr">
        <is>
          <t>Bâton Brelle; Frimamulette; Alliance Gloursonne; Anneau d'Allister; Ceinture Rasboulaire du Rasboul; Couronne d'Allister; Cape de Klime; Pantoufles Émar; Dofus Pourpre; Nomade; Cascadeur majeur; Acrobate majeur; Vigoureux majeur; Remueur; Péki</t>
        </is>
      </c>
    </row>
    <row r="30096">
      <c r="A30096" t="inlineStr">
        <is>
          <t>Stuff 1</t>
        </is>
      </c>
      <c r="B30096">
        <f>HYPERLINK("https://www.dofusbook.net/fr/equipement/295958-stuff-1/objets", "link")</f>
        <v/>
      </c>
      <c r="C30096" t="n">
        <v>0</v>
      </c>
      <c r="D30096" t="inlineStr">
        <is>
          <t>Rapière aux Glyphes; Pendentif Oton; Pikano; Anneau Glacial; Ceinture Glaciale; Casquipik; Cape Glaciale; Pikottes; Dofus Ocre; Dofus Pourpre; Ralentisseur majeur; Entraveur; Entraveur majeur; Joueur majeur; Croum</t>
        </is>
      </c>
    </row>
    <row r="30097">
      <c r="A30097" t="inlineStr">
        <is>
          <t>Stuff 1</t>
        </is>
      </c>
      <c r="B30097">
        <f>HYPERLINK("https://www.dofusbook.net/fr/equipement/296028-stuff-1/objets", "link")</f>
        <v/>
      </c>
      <c r="C30097" t="n">
        <v>0</v>
      </c>
      <c r="D30097" t="inlineStr">
        <is>
          <t>Dagues de Srambad; Amulette du Strigide; Alliance Gloursonne; Annolamour; Ceintacé; Chapeau Lisson; Voile d'encre; Bottes du Strigide; Dolmanax; Étourdisseur majeur; Paralyseur majeur; Nomade; Miraculé majeur; Remueur; Dragodinde en armure</t>
        </is>
      </c>
    </row>
    <row r="30098">
      <c r="A30098" t="inlineStr">
        <is>
          <t>Stuff 3</t>
        </is>
      </c>
      <c r="B30098">
        <f>HYPERLINK("https://www.dofusbook.net/fr/equipement/295992-stuff-3/objets", "link")</f>
        <v/>
      </c>
      <c r="C30098" t="n">
        <v>0</v>
      </c>
      <c r="D30098" t="inlineStr">
        <is>
          <t>Dagues du Dragoeuf; La Meulette; Anneau du Chêne Mou; Anneau Nobstant; Ceinture Phossile; Dora Bora; Cape Phossile; Gruchaussures; Dofus Pourpre; Remueur; Miraculé majeur; Vigoureux majeur; Observateur; Nomade; Dragodinde Prune et Emeraude</t>
        </is>
      </c>
    </row>
    <row r="30099">
      <c r="A30099" t="inlineStr">
        <is>
          <t>Stuff 3</t>
        </is>
      </c>
      <c r="B30099">
        <f>HYPERLINK("https://www.dofusbook.net/fr/equipement/295978-stuff-3/objets", "link")</f>
        <v/>
      </c>
      <c r="C30099" t="n">
        <v>0</v>
      </c>
      <c r="D30099" t="inlineStr">
        <is>
          <t>Dagues Érhy; Amulette de Gein; Alliance Gloursonne; Bracelet du Piloztère; Ceintacé; Chapeau de Gein; Cape au Logis; Bottes du Strigide; Dofus des Glaces; Dofus Pourpre; Remueur; Dévastateur Feu majeur; Nomade; Vigoureux majeur; Dragodinde en armure</t>
        </is>
      </c>
    </row>
    <row r="30100">
      <c r="A30100" t="inlineStr">
        <is>
          <t>Samyaza</t>
        </is>
      </c>
      <c r="B30100">
        <f>HYPERLINK("https://www.dofusbook.net/fr/equipement/295973-samyaza/objets", "link")</f>
        <v/>
      </c>
      <c r="C30100" t="n">
        <v>0</v>
      </c>
      <c r="D30100" t="inlineStr">
        <is>
          <t>Epée Maudite du Saigneur Guerrier; Amulette de Pol Ouatnos; Bague de Boréale; Bracelet du Piloztère; Ceinture de Boréale; Coiffe de Boréale; Cape des Justiciers; Bottes de Boréale; Dofus Ocre; Dofus Pourpre; Dofus Turquoise; Dofus des Glaces; Dolmanax; Entraveur majeur; Dragodinde en armure</t>
        </is>
      </c>
    </row>
    <row r="30101">
      <c r="A30101" t="inlineStr">
        <is>
          <t>Stuff 2</t>
        </is>
      </c>
      <c r="B30101">
        <f>HYPERLINK("https://www.dofusbook.net/fr/equipement/295968-stuff-2/objets", "link")</f>
        <v/>
      </c>
      <c r="C30101" t="n">
        <v>0</v>
      </c>
      <c r="D30101" t="inlineStr">
        <is>
          <t>Bâton Beau; Kralamansion; Annolamour; Pikano; Ceinture d'Ogivol; Casquipik; Cape au Logis; Pikottes; Dofus Pourpre; Dofus Turquoise; Dofus Ocre; Dolmanax; Ralentisseur majeur; Entraveur majeur; Dragodinde en armure</t>
        </is>
      </c>
    </row>
    <row r="30102">
      <c r="A30102" t="inlineStr">
        <is>
          <t>Stuff 3</t>
        </is>
      </c>
      <c r="B30102">
        <f>HYPERLINK("https://www.dofusbook.net/fr/equipement/295960-stuff-3/objets", "link")</f>
        <v/>
      </c>
      <c r="C30102" t="n">
        <v>0</v>
      </c>
      <c r="D30102" t="inlineStr">
        <is>
          <t>Rapière aux Glyphes; Amulette de Danathor; Alliance Gloursonne; Pikano; Ceinture Glaciale; Coiffe d'Ogivol; Cape Matelassée; Pikottes; Entraveur majeur; Remueur; Dévastateur Eau majeur; Temporiseur majeur; Chanceux majeur; Nomade</t>
        </is>
      </c>
    </row>
    <row r="30103">
      <c r="A30103" t="inlineStr">
        <is>
          <t>Stuff 2</t>
        </is>
      </c>
      <c r="B30103">
        <f>HYPERLINK("https://www.dofusbook.net/fr/equipement/295994-stuff-2/objets", "link")</f>
        <v/>
      </c>
      <c r="C30103" t="n">
        <v>2</v>
      </c>
      <c r="D30103" t="inlineStr">
        <is>
          <t>Pelle de la Cour Sombre; Amulette du Granduk; Bracelet du Piloztère; Alliance Gloursonne; Ceinture Voldelor; Couronne d'Allister; Cape Matelassée; Bottes d'Allister; Cascadeur majeur; Nomade; Déserteur majeur; Miraculé majeur; Obstructeur majeur; Remueur; Blokus</t>
        </is>
      </c>
    </row>
    <row r="30104">
      <c r="A30104" t="inlineStr">
        <is>
          <t>Stuff 2</t>
        </is>
      </c>
      <c r="B30104">
        <f>HYPERLINK("https://www.dofusbook.net/fr/equipement/295980-stuff-2/objets", "link")</f>
        <v/>
      </c>
      <c r="C30104" t="n">
        <v>0</v>
      </c>
      <c r="D30104" t="inlineStr">
        <is>
          <t>Baguette Hernelle; Talisman Igans; Kralano; Anneau de Padgref; Sangle Aise; Coiffe Séculaire; Voile d'encre; Getas de Padgref; Dofus Turquoise; Dofus Pourpre; Dofus des Glaces; Érudit majeur; Remueur; Nomade; Brûlih</t>
        </is>
      </c>
    </row>
    <row r="30105">
      <c r="A30105" t="inlineStr">
        <is>
          <t>Stuff 3</t>
        </is>
      </c>
      <c r="B30105">
        <f>HYPERLINK("https://www.dofusbook.net/fr/equipement/295975-stuff-3/objets", "link")</f>
        <v/>
      </c>
      <c r="C30105" t="n">
        <v>0</v>
      </c>
      <c r="D30105" t="inlineStr">
        <is>
          <t>Dagues Érhy; Amulette de Pol Ouatnos; Alliance du Lévitrof; Bracelet du Piloztère; Ceintacé; Chapeau Lisson; Voile d'encre; Bottes du Lévitrof; Dofus Pourpre; Temporiseur majeur; Vigoureux majeur; Remueur; Déserteur majeur; Entraveur majeur; Dragodinde en armure</t>
        </is>
      </c>
    </row>
    <row r="30106">
      <c r="A30106" t="inlineStr">
        <is>
          <t>Stuff 1</t>
        </is>
      </c>
      <c r="B30106">
        <f>HYPERLINK("https://www.dofusbook.net/fr/equipement/295970-stuff-1/objets", "link")</f>
        <v/>
      </c>
      <c r="C30106" t="n">
        <v>0</v>
      </c>
      <c r="D30106" t="inlineStr">
        <is>
          <t>Rapière aux Glyphes; Amulette de Danathor; Alliance Gloursonne; Anneau Glacial; Ceinture de Danathor; Coiffe de Danathor; Cape Glaciale; Sandales Circulaires du Kimbo; Dofus Émeraude; Dofus Turquoise; Dofus Ocre; Joueur majeur; Fuyard majeur; Vagabond majeur; Dragodinde Prune et Emeraude</t>
        </is>
      </c>
    </row>
    <row r="30107">
      <c r="A30107" t="inlineStr">
        <is>
          <t>Stuff 2</t>
        </is>
      </c>
      <c r="B30107">
        <f>HYPERLINK("https://www.dofusbook.net/fr/equipement/295962-stuff-2/objets", "link")</f>
        <v/>
      </c>
      <c r="C30107" t="n">
        <v>0</v>
      </c>
      <c r="D30107" t="inlineStr">
        <is>
          <t>Pelle de la Cour Sombre; Amibou; Bracelet du Piloztère; Alliance Gloursonne; Ceinture Rasboulaire du Rasboul; Dorabysses; Capibou; Pantoufles Émar; Dofus Pourpre; Cascadeur majeur; Vigoureux majeur; Remueur; Nomade; Miraculé majeur; Péki</t>
        </is>
      </c>
    </row>
    <row r="30108">
      <c r="A30108" t="inlineStr">
        <is>
          <t>Stuff 1</t>
        </is>
      </c>
      <c r="B30108">
        <f>HYPERLINK("https://www.dofusbook.net/fr/equipement/296027-stuff-1/objets", "link")</f>
        <v/>
      </c>
      <c r="C30108" t="n">
        <v>0</v>
      </c>
      <c r="D30108" t="inlineStr">
        <is>
          <t>Marteau des égarés; Amulette de Pol Ouatnos; Alliance Gloursonne; Bracelet du Piloztère; Ceinture du Strigide; Coiffe Ranshi; Voile d'encre; Bottes du Strigide; Dofus des Glaces; Dofus Pourpre; Dolmanax; Vigoureux majeur; Déserteur majeur; Remueur; Dragodinde en armure</t>
        </is>
      </c>
    </row>
    <row r="30109">
      <c r="A30109" t="inlineStr">
        <is>
          <t>Stuff 2</t>
        </is>
      </c>
      <c r="B30109">
        <f>HYPERLINK("https://www.dofusbook.net/fr/equipement/295991-stuff-2/objets", "link")</f>
        <v/>
      </c>
      <c r="C30109" t="n">
        <v>0</v>
      </c>
      <c r="D30109" t="inlineStr">
        <is>
          <t>Dagues du Dragoeuf; Amulette du K.O.; Alliance Sorcelée; Anneau du Chêne Mou; Slip Iholo; Chapeau Lisson; Voile d'encre; Bottes du K.O.; Dofus Pourpre; Miraculé majeur; Nomade; Observateur; Vigoureux majeur; Remueur; Dragodinde en armure</t>
        </is>
      </c>
    </row>
    <row r="30110">
      <c r="A30110" t="inlineStr">
        <is>
          <t>Stuff 2</t>
        </is>
      </c>
      <c r="B30110">
        <f>HYPERLINK("https://www.dofusbook.net/fr/equipement/295980-stuff-2/objets", "link")</f>
        <v/>
      </c>
      <c r="C30110" t="n">
        <v>0</v>
      </c>
      <c r="D30110" t="inlineStr">
        <is>
          <t>Baguette Hernelle; Talisman Igans; Anneau de Padgref; Kralano; Sangle Aise; Coiffe Séculaire; Voile d'encre; Getas de Padgref; Dofus Turquoise; Dofus Pourpre; Dofus des Glaces; Érudit majeur; Remueur; Nomade; Brûlih</t>
        </is>
      </c>
    </row>
    <row r="30111">
      <c r="A30111" t="inlineStr">
        <is>
          <t>Stuff 3</t>
        </is>
      </c>
      <c r="B30111">
        <f>HYPERLINK("https://www.dofusbook.net/fr/equipement/295975-stuff-3/objets", "link")</f>
        <v/>
      </c>
      <c r="C30111" t="n">
        <v>0</v>
      </c>
      <c r="D30111" t="inlineStr">
        <is>
          <t>Dagues Érhy; Amulette de Pol Ouatnos; Bracelet du Piloztère; Alliance du Lévitrof; Ceintacé; Chapeau Lisson; Voile d'encre; Bottes du Lévitrof; Dofus Pourpre; Déserteur majeur; Entraveur majeur; Temporiseur majeur; Vigoureux majeur; Remueur; Dragodinde en armure</t>
        </is>
      </c>
    </row>
    <row r="30112">
      <c r="A30112" t="inlineStr">
        <is>
          <t>Stuff 1</t>
        </is>
      </c>
      <c r="B30112">
        <f>HYPERLINK("https://www.dofusbook.net/fr/equipement/295970-stuff-1/objets", "link")</f>
        <v/>
      </c>
      <c r="C30112" t="n">
        <v>0</v>
      </c>
      <c r="D30112" t="inlineStr">
        <is>
          <t>Rapière aux Glyphes; Amulette de Danathor; Alliance Gloursonne; Anneau Glacial; Ceinture de Danathor; Coiffe de Danathor; Cape Glaciale; Sandales Circulaires du Kimbo; Dofus Ocre; Dofus Émeraude; Dofus Turquoise; Vagabond majeur; Joueur majeur; Fuyard majeur; Dragodinde Prune et Emeraude</t>
        </is>
      </c>
    </row>
    <row r="30113">
      <c r="A30113" t="inlineStr">
        <is>
          <t>Stuff 2</t>
        </is>
      </c>
      <c r="B30113">
        <f>HYPERLINK("https://www.dofusbook.net/fr/equipement/295962-stuff-2/objets", "link")</f>
        <v/>
      </c>
      <c r="C30113" t="n">
        <v>0</v>
      </c>
      <c r="D30113" t="inlineStr">
        <is>
          <t>Pelle de la Cour Sombre; Amibou; Bracelet du Piloztère; Alliance Gloursonne; Ceinture Rasboulaire du Rasboul; Dorabysses; Capibou; Pantoufles Émar; Dofus Pourpre; Miraculé majeur; Cascadeur majeur; Vigoureux majeur; Remueur; Nomade; Péki</t>
        </is>
      </c>
    </row>
    <row r="30114">
      <c r="A30114" t="inlineStr">
        <is>
          <t>Stuff 1</t>
        </is>
      </c>
      <c r="B30114">
        <f>HYPERLINK("https://www.dofusbook.net/fr/equipement/296027-stuff-1/objets", "link")</f>
        <v/>
      </c>
      <c r="C30114" t="n">
        <v>0</v>
      </c>
      <c r="D30114" t="inlineStr">
        <is>
          <t>Marteau des égarés; Amulette de Pol Ouatnos; Alliance Gloursonne; Bracelet du Piloztère; Ceinture du Strigide; Coiffe Ranshi; Voile d'encre; Bottes du Strigide; Dofus des Glaces; Dofus Pourpre; Dolmanax; Remueur; Vigoureux majeur; Déserteur majeur; Dragodinde en armure</t>
        </is>
      </c>
    </row>
    <row r="30115">
      <c r="A30115" t="inlineStr">
        <is>
          <t>Stuff 2</t>
        </is>
      </c>
      <c r="B30115">
        <f>HYPERLINK("https://www.dofusbook.net/fr/equipement/295991-stuff-2/objets", "link")</f>
        <v/>
      </c>
      <c r="C30115" t="n">
        <v>0</v>
      </c>
      <c r="D30115" t="inlineStr">
        <is>
          <t>Dagues du Dragoeuf; Amulette du K.O.; Alliance Sorcelée; Anneau du Chêne Mou; Slip Iholo; Chapeau Lisson; Voile d'encre; Bottes du K.O.; Dofus Pourpre; Nomade; Observateur; Vigoureux majeur; Remueur; Miraculé majeur; Dragodinde en armure</t>
        </is>
      </c>
    </row>
    <row r="30116">
      <c r="A30116" t="inlineStr">
        <is>
          <t>Stuff 2</t>
        </is>
      </c>
      <c r="B30116">
        <f>HYPERLINK("https://www.dofusbook.net/fr/equipement/295977-stuff-2/objets", "link")</f>
        <v/>
      </c>
      <c r="C30116" t="n">
        <v>0</v>
      </c>
      <c r="D30116" t="inlineStr">
        <is>
          <t>Dague Hirr; Amulette de Nevark; Alliance Gloursonne; Anneau Vicieux; Ceinture de Nevark; Bonnet Vicieux; Cape de Nevark; Bottes Vicieuses; Dofus des Glaces; Dolmanax; Dofus Ocre; Dofus Pourpre; Dofus Émeraude; Puissant majeur; Dragodinde en armure</t>
        </is>
      </c>
    </row>
    <row r="30117">
      <c r="A30117" t="inlineStr">
        <is>
          <t>Stuff 3</t>
        </is>
      </c>
      <c r="B30117">
        <f>HYPERLINK("https://www.dofusbook.net/fr/equipement/295972-stuff-3/objets", "link")</f>
        <v/>
      </c>
      <c r="C30117" t="n">
        <v>0</v>
      </c>
      <c r="D30117" t="inlineStr">
        <is>
          <t>Rapière aux Glyphes; Amulette de Danathor; Alliance Gloursonne; Bracelet du Piloztère; Ceinture de Danathor; Kidibonnet; Cape Glaciale; Sandales Circulaires du Kimbo; Dofus Pourpre; Miraculé majeur; Déserteur majeur; Nomade; Chanceux majeur; Remueur; Brâkarien</t>
        </is>
      </c>
    </row>
    <row r="30118">
      <c r="A30118" t="inlineStr">
        <is>
          <t>Stuff 1</t>
        </is>
      </c>
      <c r="B30118">
        <f>HYPERLINK("https://www.dofusbook.net/fr/equipement/295967-stuff-1/objets", "link")</f>
        <v/>
      </c>
      <c r="C30118" t="n">
        <v>0</v>
      </c>
      <c r="D30118" t="inlineStr">
        <is>
          <t>Pelle de Nidas; Amulette du Nocturlabe; Bracelet du Piloztère; Pikano; Ceinture du Nocturlabe; Chapeau Lisson; Voilamibe; Bottes du Nocturlabe; Dofus Ocre; Dolmanax; Dofus des Glaces; Dofus Pourpre; Ralentisseur majeur; Entraveur majeur; Dragodinde en armure</t>
        </is>
      </c>
    </row>
    <row r="30119">
      <c r="A30119" t="inlineStr">
        <is>
          <t>Stuff 2</t>
        </is>
      </c>
      <c r="B30119">
        <f>HYPERLINK("https://www.dofusbook.net/fr/equipement/295959-stuff-2/objets", "link")</f>
        <v/>
      </c>
      <c r="C30119" t="n">
        <v>0</v>
      </c>
      <c r="D30119" t="inlineStr">
        <is>
          <t>Rapière aux Glyphes; Amulette de Danathor; Pikano; Alliance Gloursonne; Ceinture Glaciale; Chapeau Lisson; Cape Matelassée; Pikottes; Chanceux majeur; Déserteur majeur; Ralentisseur majeur; Remueur; Temporiseur majeur; Entraveur majeur; Phortiche</t>
        </is>
      </c>
    </row>
    <row r="30120">
      <c r="A30120" t="inlineStr">
        <is>
          <t>Stuff 1</t>
        </is>
      </c>
      <c r="B30120">
        <f>HYPERLINK("https://www.dofusbook.net/fr/equipement/295993-stuff-1/objets", "link")</f>
        <v/>
      </c>
      <c r="C30120" t="n">
        <v>2</v>
      </c>
      <c r="D30120" t="inlineStr">
        <is>
          <t>Dagues de Srambad; Amulette de Pol Ouatnos; Annolamour; Bracelet du Piloztère; Ceinture de la Reine des Voleurs; Kidibonnet; Cape Ovri; Pantoufles du Piloztère; Dofus Émeraude; Dolmanax; Enragé majeur; Remueur; Chanceux majeur; Miraculé majeur; Eliôme</t>
        </is>
      </c>
    </row>
    <row r="30121">
      <c r="A30121" t="inlineStr">
        <is>
          <t>Iop M 200</t>
        </is>
      </c>
      <c r="B30121">
        <f>HYPERLINK("https://www.dofusbook.net/fr/equipement/4475092-iop-m-200/objets", "link")</f>
        <v/>
      </c>
      <c r="C30121" t="n">
        <v>0</v>
      </c>
      <c r="D30121" t="inlineStr">
        <is>
          <t>Manthache; Collier du Valet Veinard; Gant du Valet Veinard; Alliance Gloursonne; Bouclier du Stalak; Menoture; Couronne d'Allister; Cape Indescriptible; Palmes Trithons; Dofus Ivoire; Dofus Ocre; Dofus Abyssal; Dofus Pourpre; Cascadeur majeur; Nomade; Dragodinde Ebène et Ivoire</t>
        </is>
      </c>
    </row>
    <row r="30122">
      <c r="A30122" t="inlineStr">
        <is>
          <t>Iop M 200</t>
        </is>
      </c>
      <c r="B30122">
        <f>HYPERLINK("https://www.dofusbook.net/fr/equipement/4475091-iop-m-200/objets", "link")</f>
        <v/>
      </c>
      <c r="C30122" t="n">
        <v>0</v>
      </c>
      <c r="D30122" t="inlineStr">
        <is>
          <t>Arc corrompu; Amulette Séculaire; Anneauræus; Anneauræus; Quatre-feuilles; Ceinture Séculaire; Coiffe Séculaire; Voile d'encre; Bottes Innommables; Dofus Turquoise; Dofus Ocre; Dofus Pourpre; Dofus Ivoire; Dofus Vulbis; Dofus Abyssal; Pioute rouge</t>
        </is>
      </c>
    </row>
    <row r="30123">
      <c r="A30123" t="inlineStr">
        <is>
          <t>Roublard M 200</t>
        </is>
      </c>
      <c r="B30123">
        <f>HYPERLINK("https://www.dofusbook.net/fr/equipement/4306607-roublard-m-200/objets", "link")</f>
        <v/>
      </c>
      <c r="C30123" t="n">
        <v>0</v>
      </c>
      <c r="D30123" t="inlineStr">
        <is>
          <t>Manthache; Collier du Valet Veinard; Gant du Valet Veinard; Anneau d'Allister; Bouclier du Stalak; Sangle Oriole; Couronne d'Allister; Cape du Valet Veinard; Bottes d'Allister; Dofus des Glaces; Dofus Pourpre; Dofus Ocre; Equilibriste majeur</t>
        </is>
      </c>
    </row>
    <row r="30124">
      <c r="A30124" t="inlineStr">
        <is>
          <t>Zobal M 200</t>
        </is>
      </c>
      <c r="B30124">
        <f>HYPERLINK("https://www.dofusbook.net/fr/equipement/5443552-zobal-m-200/objets", "link")</f>
        <v/>
      </c>
      <c r="C30124" t="n">
        <v>0</v>
      </c>
      <c r="D30124" t="inlineStr">
        <is>
          <t>Arc Nécrotique; Amulette Volkorne; Bague Gloursonne; Anneau Volkorne; Quatre-feuilles; Ceinture de l'Esprit Malsain; Casquette de Meno; Cape de Meno; Bottes de Meno; Dofus des Glaces; Dofus Ivoire; Dofus Turquoise; Dofus Ébène; Dofus Ocre; Dofus Abyssal; Muldo Orchidée</t>
        </is>
      </c>
    </row>
    <row r="30125">
      <c r="A30125" t="inlineStr">
        <is>
          <t>PVP grupal hecacha</t>
        </is>
      </c>
      <c r="B30125">
        <f>HYPERLINK("https://www.dofusbook.net/fr/equipement/1680946-pvp-grupal-hecacha/objets", "link")</f>
        <v/>
      </c>
      <c r="C30125" t="n">
        <v>2</v>
      </c>
      <c r="D30125" t="inlineStr">
        <is>
          <t>Arc corrompu; Amulette Volkorne; Anneau Volkorne; Anneau Rifique; Quatre-feuilles; Croture; Casque Cyclopéen; Voile d'encre; Pataugastrique; Dofus Vulbis; Dofus Abyssal; Dofus Turquoise; Dofus Ivoire; Dofus Ocre; Dofus Ébène; Bisouglours</t>
        </is>
      </c>
    </row>
    <row r="30126">
      <c r="A30126" t="inlineStr">
        <is>
          <t>PvP fo agi</t>
        </is>
      </c>
      <c r="B30126">
        <f>HYPERLINK("https://www.dofusbook.net/fr/equipement/1943810-pvp-fo-agi/objets", "link")</f>
        <v/>
      </c>
      <c r="C30126" t="n">
        <v>1</v>
      </c>
      <c r="D30126" t="inlineStr">
        <is>
          <t>Marteau R'ture; Amulette Volkorne; Anneau Crustique; Anneau Crustique; Bouclier alvéolé; Ceinture Volkorne; Masque de Koutoulou; Bravoure de Rykke Errel; Baleinabottes; Dofus Ébène; Dofus Abyssal; Dofus Ivoire; Remueur; Étourdisseur majeur; Nomade; Kompost</t>
        </is>
      </c>
    </row>
    <row r="30127">
      <c r="A30127" t="inlineStr">
        <is>
          <t>Zobal M 200</t>
        </is>
      </c>
      <c r="B30127">
        <f>HYPERLINK("https://www.dofusbook.net/fr/equipement/5135559-zobal-m-200/objets", "link")</f>
        <v/>
      </c>
      <c r="C30127" t="n">
        <v>1</v>
      </c>
      <c r="D30127" t="inlineStr">
        <is>
          <t>Harpelle; Amulette Volkorne; Anneauræus; Anneau Volkorne; Bouclier du Captain Amakna; Ceinture Séculaire; Coiffe Séculaire; Cape de Diondin; Bottes Innommables; Dofus Abyssal; Dofus Pourpre; Dofus Ocre; Dofus Turquoise; Dolmanax; Dofus Ébène; Brûlih</t>
        </is>
      </c>
    </row>
    <row r="30128">
      <c r="A30128" t="inlineStr">
        <is>
          <t>Zobal M 200</t>
        </is>
      </c>
      <c r="B30128">
        <f>HYPERLINK("https://www.dofusbook.net/fr/equipement/5055824-zobal-m-200/objets", "link")</f>
        <v/>
      </c>
      <c r="C30128" t="n">
        <v>5</v>
      </c>
      <c r="D30128" t="inlineStr">
        <is>
          <t>Baguette de Malléfisk; Amulette Volkorne; Anneauræus; Bague Gloursonne; Carapar; Ceintrigue; Heaume Oplate; Cape Ardente; Chaussures Ardentes; Dofus Ivoire; Dofus Abyssal; Dofus Ocre; Dofus Ébène; Érudit majeur; Nomade; Brûlih</t>
        </is>
      </c>
    </row>
    <row r="30129">
      <c r="A30129" t="inlineStr">
        <is>
          <t>PVP empujes 40 resi</t>
        </is>
      </c>
      <c r="B30129">
        <f>HYPERLINK("https://www.dofusbook.net/fr/equipement/2189857-pvp-empujes-40-resi/objets", "link")</f>
        <v/>
      </c>
      <c r="C30129" t="n">
        <v>5</v>
      </c>
      <c r="D30129" t="inlineStr">
        <is>
          <t>Arc corrompu; Amulette Volkorne; Anneauræus; Alliance Brûlâme; Quatre-feuilles; Ceinture Volkorne; Masque Brûlâme; Voile d'encre; Pompes Funèbres; Dofus Ocre; Dofus Abyssal; Dofus Turquoise; Dofus Ivoire; Dolmanax; Dofus Ébène; Brûlih</t>
        </is>
      </c>
    </row>
    <row r="30130">
      <c r="A30130" t="inlineStr">
        <is>
          <t>PvP hecacha 2.43</t>
        </is>
      </c>
      <c r="B30130">
        <f>HYPERLINK("https://www.dofusbook.net/fr/equipement/1974548-pvp-hecacha-2-43/objets", "link")</f>
        <v/>
      </c>
      <c r="C30130" t="n">
        <v>4</v>
      </c>
      <c r="D30130" t="inlineStr">
        <is>
          <t>Arc du Chalœil; Torquistik; Bague Trithon; Bague Instable; Bouclier précieux; Ceinture Gence; Casque Dragoeuf; Cape du Cœur Vaillant; Bottistik; Dofus Ivoire; Dofus Abyssal; Bousculeur majeur; Culbuteur majeur; Culbuteur; Remueur; Balafreux</t>
        </is>
      </c>
    </row>
    <row r="30131">
      <c r="A30131" t="inlineStr">
        <is>
          <t>Pvm varita vaquera</t>
        </is>
      </c>
      <c r="B30131">
        <f>HYPERLINK("https://www.dofusbook.net/fr/equipement/1943583-pvm-varita-vaquera/objets", "link")</f>
        <v/>
      </c>
      <c r="C30131" t="n">
        <v>2</v>
      </c>
      <c r="D30131" t="inlineStr">
        <is>
          <t>Manthache; Collier du Valet Veinard; Alliance Gloursonne; Gant du Valet Veinard; Bouclier du Stalak; Menoture; Capuche de Moum-Ra; Cape de Crânonier; Palmes Trithons; Dofus Ivoire; Dofus Ébène; Dofus Abyssal; Cascadeur majeur; Remueur; Nomade; Blérodoudou</t>
        </is>
      </c>
    </row>
    <row r="30132">
      <c r="A30132" t="inlineStr">
        <is>
          <t>PVP fo</t>
        </is>
      </c>
      <c r="B30132">
        <f>HYPERLINK("https://www.dofusbook.net/fr/equipement/1677711-pvp-fo/objets", "link")</f>
        <v/>
      </c>
      <c r="C30132" t="n">
        <v>1</v>
      </c>
      <c r="D30132" t="inlineStr">
        <is>
          <t>Marteau R'ture; Amulette du Strigide; Anneau Crustique; Anneau Crustique; Bouclier d'Ilyzaelle; Ceinture du Strigide; Masque de Koutoulou; Voile d'encre; Tentassons; Dofus Turquoise; Dofus Pourpre; Remueur; Étourdisseur majeur; Nomade; Enragé majeur; Koalak Sanguin</t>
        </is>
      </c>
    </row>
    <row r="30133">
      <c r="A30133" t="inlineStr">
        <is>
          <t>PVP cha</t>
        </is>
      </c>
      <c r="B30133">
        <f>HYPERLINK("https://www.dofusbook.net/fr/equipement/1695246-pvp-cha/objets", "link")</f>
        <v/>
      </c>
      <c r="C30133" t="n">
        <v>1</v>
      </c>
      <c r="D30133" t="inlineStr">
        <is>
          <t>Arc corrompu</t>
        </is>
      </c>
    </row>
    <row r="30134">
      <c r="A30134" t="inlineStr">
        <is>
          <t>Iop M 200</t>
        </is>
      </c>
      <c r="B30134">
        <f>HYPERLINK("https://www.dofusbook.net/fr/equipement/5272904-iop-m-200/objets", "link")</f>
        <v/>
      </c>
      <c r="C30134" t="n">
        <v>1</v>
      </c>
      <c r="D30134" t="inlineStr">
        <is>
          <t>Arc de Koutoulou; Amulette Voldelor; Alliance Gloursonne; Anneau Volkorne; Quatre-feuilles; Ceinture Voldelor; Casque Volkorne; Cape de Crânonier; Bottes Voldelor; Dofus Turquoise; Dofus Abyssal; Dolmanax; Dofus Ocre; Dofus Pourpre; Dofus Ébène; Muldo Ebène</t>
        </is>
      </c>
    </row>
    <row r="30135">
      <c r="A30135" t="inlineStr">
        <is>
          <t>PVM full fo</t>
        </is>
      </c>
      <c r="B30135">
        <f>HYPERLINK("https://www.dofusbook.net/fr/equipement/1943507-pvm-full-fo/objets", "link")</f>
        <v/>
      </c>
      <c r="C30135" t="n">
        <v>1</v>
      </c>
      <c r="D30135" t="inlineStr">
        <is>
          <t>Dagues d'Ilyzaelle; Amulette du Strigide; Bague Gloursonne; Chevalière du Roi Joueur; Bouclier d'Ilyzaelle; Ceinture du Strigide; Couronne du Roi Joueur; Cape au Logis; Bottes du Strigide; Dofus Pourpre; Dofus Ébène; Dofus des Glaces; Dofus Turquoise; Dolmanax; Dofus Ocre; Pioute vert</t>
        </is>
      </c>
    </row>
    <row r="30136">
      <c r="A30136" t="inlineStr">
        <is>
          <t>Pvm</t>
        </is>
      </c>
      <c r="B30136">
        <f>HYPERLINK("https://www.dofusbook.net/fr/equipement/1677274-pvm/objets", "link")</f>
        <v/>
      </c>
      <c r="C30136" t="n">
        <v>1</v>
      </c>
      <c r="D30136" t="inlineStr">
        <is>
          <t>Arc corrompu; Amulette Martegel; Alliance Gloursonne; Bague Gloursonne; Bouclier du Stalak; Ceinture de Vortex; Masquegel; Cape Martegel; Sabots de Vortex; Dofus Ocre; Dofus Abyssal; Dofus des Glaces; Dofus Pourpre; Dolmanax; Dofus Ébène; Muldo Orchidée et Pourpre</t>
        </is>
      </c>
    </row>
    <row r="30137">
      <c r="A30137" t="inlineStr">
        <is>
          <t>Zobal M 200</t>
        </is>
      </c>
      <c r="B30137">
        <f>HYPERLINK("https://www.dofusbook.net/fr/equipement/5102094-zobal-m-200/objets", "link")</f>
        <v/>
      </c>
      <c r="C30137" t="n">
        <v>1</v>
      </c>
      <c r="D30137" t="inlineStr">
        <is>
          <t>Sabres d'Atcham; Amulette Volkorne; Bague Gloursonne; Anneau Volkorne; Bouclier alvéolé; Ceinture Volkorne; Casque Volkorne; Cape d'Atcham; Sandales  d'Atcham; Dofus Turquoise; Dofus des Glaces; Dofus Ébène; Dofus Ocre; Dolmanax; Dofus Ivoire; Kokulte</t>
        </is>
      </c>
    </row>
    <row r="30138">
      <c r="A30138" t="inlineStr">
        <is>
          <t>Zobal M 200</t>
        </is>
      </c>
      <c r="B30138">
        <f>HYPERLINK("https://www.dofusbook.net/fr/equipement/5080610-zobal-m-200/objets", "link")</f>
        <v/>
      </c>
      <c r="C30138" t="n">
        <v>1</v>
      </c>
      <c r="D30138" t="inlineStr">
        <is>
          <t>Hache Téroïde; Amulette Volkorne; Anneau Volkorne; Bague Trithon; Bouclier alvéolé; Ceinture Volkorne; Masque Trithon; Bravoure de Rykke Errel; Bottes Trithon; Dofus Ébène; Dofus Ivoire; Dofus Turquoise; Dofus Abyssal; Dofus Ocre; Dofus des Glaces; Kokulte</t>
        </is>
      </c>
    </row>
    <row r="30139">
      <c r="A30139" t="inlineStr">
        <is>
          <t>Zobal M 200</t>
        </is>
      </c>
      <c r="B30139">
        <f>HYPERLINK("https://www.dofusbook.net/fr/equipement/5064144-zobal-m-200/objets", "link")</f>
        <v/>
      </c>
      <c r="C30139" t="n">
        <v>2</v>
      </c>
      <c r="D30139" t="inlineStr">
        <is>
          <t>Plume de Buhorado; Amulette du Sinistrofu; Alliance Gloursonne; Bague Trithon; Bouclier précieux; Ceinture Glaciale; Masque d'Anerice; Cape d'Anerice; Pataugastrique; Dofus Turquoise; Dofus Abyssal; Dofus Ocre; Dofus Ivoire; Culbuteur majeur; Bousculeur majeur; Kafarce</t>
        </is>
      </c>
    </row>
    <row r="30140">
      <c r="A30140" t="inlineStr">
        <is>
          <t>Zobal M 200</t>
        </is>
      </c>
      <c r="B30140">
        <f>HYPERLINK("https://www.dofusbook.net/fr/equipement/5042096-zobal-m-200/objets", "link")</f>
        <v/>
      </c>
      <c r="C30140" t="n">
        <v>2</v>
      </c>
      <c r="D30140" t="inlineStr">
        <is>
          <t>Hache Téroïde; Amulette du Strigide; Chevalière du Roi Joueur; Bague Gloursonne; Bouclier alvéolé; Ceinture du Strigide; Couronne du Roi Joueur; Cape au Logis; Bottes du Strigide; Dokoko; Dofus Ivoire; Dofus Turquoise; Dofus Émeraude; Dofus Ocre; Dofus des Glaces; Kokulte</t>
        </is>
      </c>
    </row>
    <row r="30141">
      <c r="A30141" t="inlineStr">
        <is>
          <t>Zobal M 200</t>
        </is>
      </c>
      <c r="B30141">
        <f>HYPERLINK("https://www.dofusbook.net/fr/equipement/5008692-zobal-m-200/objets", "link")</f>
        <v/>
      </c>
      <c r="C30141" t="n">
        <v>2</v>
      </c>
      <c r="D30141" t="inlineStr">
        <is>
          <t>Hache Téroïde; Amulette du Strigide; Chevalière du Roi Joueur; Bague Gloursonne; Bouclier alvéolé; Ceintacé; Chapeau de Gein; Voile d'encre; Bottes du Strigide; Dofus Turquoise; Dofus Abyssal; Dofus Ivoire; Dofus Ocre; Dofus des Glaces; Nomade; Kokulte</t>
        </is>
      </c>
    </row>
    <row r="30142">
      <c r="A30142" t="inlineStr">
        <is>
          <t>Zobal M 200</t>
        </is>
      </c>
      <c r="B30142">
        <f>HYPERLINK("https://www.dofusbook.net/fr/equipement/5047217-zobal-m-200/objets", "link")</f>
        <v/>
      </c>
      <c r="C30142" t="n">
        <v>15</v>
      </c>
      <c r="D30142" t="inlineStr">
        <is>
          <t>Baguette de Malléfisk; Pendentif affamé; Anneau Rifique; Anneau de Nidas; Carapar; Ceinture de Vortex; Couronne de Nidas; Cape de Diondin; Bottes Innommables; Dofus Ocre; Dolmanax; Dofus Ivoire; Nomade; Guérisseur majeur; Érudit majeur; Eliôme</t>
        </is>
      </c>
    </row>
    <row r="30143">
      <c r="A30143" t="inlineStr">
        <is>
          <t>PVP agilidad 2.44</t>
        </is>
      </c>
      <c r="B30143">
        <f>HYPERLINK("https://www.dofusbook.net/fr/equipement/2492460-pvp-agilidad-2-44/objets", "link")</f>
        <v/>
      </c>
      <c r="C30143" t="n">
        <v>2</v>
      </c>
      <c r="D30143" t="inlineStr">
        <is>
          <t>Hache Téroïde; Amulette du Strigide; Bague Gloursonne; Alliance Brûlâme; Bouclier du Captain Amakna; Ceinture du Strigide; Masque Brûlâme; Voile d'encre; Bottes du Strigide; Dolmanax; Dofus Ocre; Dofus Pourpre; Dofus des Glaces; Dofus Turquoise; Dofus Abyssal; Chacha Angora</t>
        </is>
      </c>
    </row>
    <row r="30144">
      <c r="A30144" t="inlineStr">
        <is>
          <t>Empujes 2.44</t>
        </is>
      </c>
      <c r="B30144">
        <f>HYPERLINK("https://www.dofusbook.net/fr/equipement/2492308-empujes-2-44/objets", "link")</f>
        <v/>
      </c>
      <c r="C30144" t="n">
        <v>1</v>
      </c>
      <c r="D30144" t="inlineStr">
        <is>
          <t>Dagoulinantes; Amulette du Sinistrofu; Alliance Gloursonne; Bague Trithon; Bouclier précieux; Ceinture Glaciale; Capuche de l'Œil Attentif; Cape Solution; Bottes Trithon; Dofus Ivoire; Dofus Ocre; Dokoko; Dofus Turquoise; Bousculeur majeur; Culbuteur majeur; Balafreux</t>
        </is>
      </c>
    </row>
    <row r="30145">
      <c r="A30145" t="inlineStr">
        <is>
          <t>PVM Ret dmg</t>
        </is>
      </c>
      <c r="B30145">
        <f>HYPERLINK("https://www.dofusbook.net/fr/equipement/2226065-pvm-ret-dmg/objets", "link")</f>
        <v/>
      </c>
      <c r="C30145" t="n">
        <v>0</v>
      </c>
      <c r="D30145" t="inlineStr">
        <is>
          <t>Arc Hétype; Collier de la Dame du Hasard; Anneau Tamie; Anneau de Nidas; Bouclier cubiste; Ceinture Instable; Capuche de l'Œil Putride; Cape de la Dame du Hasard; Pataugastrique; Dolmanax; Dofus Turquoise; Ralentisseur majeur; Entraveur majeur; Remueur; Temporiseur majeur; Muldo Prune et Emeraude</t>
        </is>
      </c>
    </row>
    <row r="30146">
      <c r="A30146" t="inlineStr">
        <is>
          <t>PVP arcaiko</t>
        </is>
      </c>
      <c r="B30146">
        <f>HYPERLINK("https://www.dofusbook.net/fr/equipement/2071373-pvp-arcaiko/objets", "link")</f>
        <v/>
      </c>
      <c r="C30146" t="n">
        <v>0</v>
      </c>
      <c r="D30146" t="inlineStr">
        <is>
          <t>Arc Ahique; Amulette de Pol Ouatnos; Alliance Gloursonne; Anneau des égarés; Bouclier à hélice; Ceinture de la Reine des Voleurs; Coiffe de la Reine des Voleurs; Ankhape; Sabots Minables; Dofus Pourpre; Dolmanax; Dofus des Glaces; Dokoko; Dofus Abyssal; Remueur; Croum</t>
        </is>
      </c>
    </row>
    <row r="30147">
      <c r="A30147" t="inlineStr">
        <is>
          <t>PvP full fo 2.43</t>
        </is>
      </c>
      <c r="B30147">
        <f>HYPERLINK("https://www.dofusbook.net/fr/equipement/1940523-pvp-full-fo-2-43/objets", "link")</f>
        <v/>
      </c>
      <c r="C30147" t="n">
        <v>0</v>
      </c>
      <c r="D30147" t="inlineStr">
        <is>
          <t>Epée Toche; Amulette du Cœur Saignant; Bague Gloursonne; Bague Trithon; Bouclier d'Ilyzaelle; Ceintouse; Masque de Koutoulou; Voile d'encre; Bottes du Cœur Saignant; Dolmanax; Dofus Pourpre; Dofus Turquoise; Nomade; Vigoureux majeur; Remueur; Croum</t>
        </is>
      </c>
    </row>
    <row r="30148">
      <c r="A30148" t="inlineStr">
        <is>
          <t>PvP inte cha</t>
        </is>
      </c>
      <c r="B30148">
        <f>HYPERLINK("https://www.dofusbook.net/fr/equipement/1955227-pvp-inte-cha/objets", "link")</f>
        <v/>
      </c>
      <c r="C30148" t="n">
        <v>0</v>
      </c>
      <c r="D30148" t="inlineStr">
        <is>
          <t>Épée Brûlâme; Amulette du Strigide; Alliance Gloursonne; Bracelet des Fonds marins; Bouclier alvéolé; Ceinture de l'Esprit Malsain; Masque de l'Esprit Malsain; Cape de la Dame du Hasard; Pataugastrique; Dofus des Glaces; Dolmanax; Dofus Pourpre; Dofus Turquoise; Remueur; Nomade; Croum</t>
        </is>
      </c>
    </row>
    <row r="30149">
      <c r="A30149" t="inlineStr">
        <is>
          <t>PvP inte ocre</t>
        </is>
      </c>
      <c r="B30149">
        <f>HYPERLINK("https://www.dofusbook.net/fr/equipement/1955170-pvp-inte-ocre/objets", "link")</f>
        <v/>
      </c>
      <c r="C30149" t="n">
        <v>0</v>
      </c>
      <c r="D30149" t="inlineStr">
        <is>
          <t>Arc Hétype; Pendentif affamé; Anneau de Nidas; Anneau Tique; Bouclier cubiste; Ceinture de Vortex; Couronne de Nidas; Cape de la Dame du Hasard; Bottes Innommables; Dofus Ocre; Érudit majeur; Remueur; Temporiseur majeur; Déserteur majeur; Carapace Air majeur; Muldo Ebène et Orchidée</t>
        </is>
      </c>
    </row>
    <row r="30150">
      <c r="A30150" t="inlineStr">
        <is>
          <t>PvP baston</t>
        </is>
      </c>
      <c r="B30150">
        <f>HYPERLINK("https://www.dofusbook.net/fr/equipement/1950534-pvp-baston/objets", "link")</f>
        <v/>
      </c>
      <c r="C30150" t="n">
        <v>0</v>
      </c>
      <c r="D30150" t="inlineStr">
        <is>
          <t>Lance corrompue; Amulette de Nevark; Bague Gloursonne; Alliance Gloursonne; Bouclier alvéolé; Ceinture de la Reine des Voleurs; Coiffe de la Reine des Voleurs; Cape de Nevark; Sabots Minables; Dofus Abyssal; Dofus Ocre; Dofus Pourpre; Dolmanax; Dofus Cawotte; Dofus des Glaces; Muldo Ebène et Orchidée</t>
        </is>
      </c>
    </row>
    <row r="30151">
      <c r="A30151" t="inlineStr">
        <is>
          <t>PvP 2.43</t>
        </is>
      </c>
      <c r="B30151">
        <f>HYPERLINK("https://www.dofusbook.net/fr/equipement/1950455-pvp-2-43/objets", "link")</f>
        <v/>
      </c>
      <c r="C30151" t="n">
        <v>0</v>
      </c>
      <c r="D30151" t="inlineStr">
        <is>
          <t>Arc Hétype; Amulette de l'Œil Putride; Anneau de Nidas; Anneau Tique; Bouclier cubiste; Ceinture de Gein; Casquette de Meno; Cape de l'Œil Putride; Pataugastrique; Dolmanax; Déserteur majeur; Remueur; Savant majeur; Érudit majeur; Temporiseur majeur; Muldo Ebène et Pourpre</t>
        </is>
      </c>
    </row>
    <row r="30152">
      <c r="A30152" t="inlineStr">
        <is>
          <t>PvP inte cha espada</t>
        </is>
      </c>
      <c r="B30152">
        <f>HYPERLINK("https://www.dofusbook.net/fr/equipement/1950420-pvp-inte-cha-espada/objets", "link")</f>
        <v/>
      </c>
      <c r="C30152" t="n">
        <v>0</v>
      </c>
      <c r="D30152" t="inlineStr">
        <is>
          <t>Épée Brûlâme; Amulette Cryochrone; Alliance Gloursonne; Anneau Tique; Bouclier alvéolé; Ceinture de l'Esprit Malsain; Masque de l'Esprit Malsain; Cape de la Dame du Hasard; Pataugastrique; Dofus Pourpre; Dolmanax; Dofus Turquoise; Dofus Ocre; Étourdisseur majeur; Nomade; Croum</t>
        </is>
      </c>
    </row>
    <row r="30153">
      <c r="A30153" t="inlineStr">
        <is>
          <t>PVP fo</t>
        </is>
      </c>
      <c r="B30153">
        <f>HYPERLINK("https://www.dofusbook.net/fr/equipement/1948713-pvp-fo/objets", "link")</f>
        <v/>
      </c>
      <c r="C30153" t="n">
        <v>0</v>
      </c>
      <c r="D30153" t="inlineStr">
        <is>
          <t>Bêche Asse; Amulette du Cœur Saignant; Bracelet du Piloztère; Bague Gloursonne; Quatre-feuilles; Ceinture de la Cour Sombre; Masque de Koutoulou; Voile d'encre; Bottes du Cœur Saignant; Dolmanax; Dofus Pourpre; Dofus Turquoise; Remueur; Enragé majeur; Nomade; Croum</t>
        </is>
      </c>
    </row>
    <row r="30154">
      <c r="A30154" t="inlineStr">
        <is>
          <t>Pvm arcaico</t>
        </is>
      </c>
      <c r="B30154">
        <f>HYPERLINK("https://www.dofusbook.net/fr/equipement/1948663-pvm-arcaico/objets", "link")</f>
        <v/>
      </c>
      <c r="C30154" t="n">
        <v>0</v>
      </c>
      <c r="D30154" t="inlineStr">
        <is>
          <t>Arc Ahique; Amulette d'Ilyzaelle; Bracelet du Piloztère; Alliance Gloursonne; Bouclier du Stalak; Ceinture Voldelor; Casque d'Ilyzaelle; Cape Matelassée; Bottes de la Reine des Voleurs; Dolmanax; Dofus des Glaces; Dofus Pourpre; Sanguinaire majeur; Vigoureux majeur; Remueur; Bouflux</t>
        </is>
      </c>
    </row>
    <row r="30155">
      <c r="A30155" t="inlineStr">
        <is>
          <t>PvP cha arkaico</t>
        </is>
      </c>
      <c r="B30155">
        <f>HYPERLINK("https://www.dofusbook.net/fr/equipement/1943767-pvp-cha-arkaico/objets", "link")</f>
        <v/>
      </c>
      <c r="C30155" t="n">
        <v>0</v>
      </c>
      <c r="D30155" t="inlineStr">
        <is>
          <t>Arc Ahique; Amulette de Shokkoth; Alliance Gloursonne; Bracelet des Fonds marins; Bouclier du Stalak; Ceinture de la Reine des Voleurs; Kidibonnet; Cape de l'Œil Attentif; Bottes de la Reine des Voleurs; Dolmanax; Dofus des Glaces; Carapace Terre majeur; Remueur; Chanceux majeur; Dévastateur Eau majeur; Muldo Ebène et Indigo</t>
        </is>
      </c>
    </row>
    <row r="30156">
      <c r="A30156" t="inlineStr">
        <is>
          <t>Pvm agi cha</t>
        </is>
      </c>
      <c r="B30156">
        <f>HYPERLINK("https://www.dofusbook.net/fr/equipement/1943738-pvm-agi-cha/objets", "link")</f>
        <v/>
      </c>
      <c r="C30156" t="n">
        <v>0</v>
      </c>
      <c r="D30156" t="inlineStr">
        <is>
          <t>Arc Ahique; Amulette d'Hel Munster; Anneau Glacial; Alliance Gloursonne; Bouclier du Stalak; Ceinture de la Reine des Voleurs; Coiffe d'Hel Munster; Cape d'Hel Munster; Bottes de la Reine des Voleurs; Dofus Ocre; Dofus Pourpre; Dofus des Glaces; Saccageur Eau majeur; Féroce majeur; Ravageur Eau majeur; Bouflux</t>
        </is>
      </c>
    </row>
    <row r="30157">
      <c r="A30157" t="inlineStr">
        <is>
          <t>PvP cha agi</t>
        </is>
      </c>
      <c r="B30157">
        <f>HYPERLINK("https://www.dofusbook.net/fr/equipement/1943703-pvp-cha-agi/objets", "link")</f>
        <v/>
      </c>
      <c r="C30157" t="n">
        <v>0</v>
      </c>
      <c r="D30157" t="inlineStr">
        <is>
          <t>Arc de Koutoulou; Amulette d'Ilyzaelle; Gant du Valet Veinard; Alliance Gloursonne; Bouclier d'Ilyzaelle; Ceinture de la Reine des Voleurs; Casque d'Ilyzaelle; Cape du Valet Veinard; Bottes de la Reine des Voleurs; Dofus Pourpre; Dofus des Glaces; Dofus Ocre; Dolmanax; Robuste majeur; Féroce majeur; Muldo Ebène</t>
        </is>
      </c>
    </row>
    <row r="30158">
      <c r="A30158" t="inlineStr">
        <is>
          <t>PvP fo agi ret</t>
        </is>
      </c>
      <c r="B30158">
        <f>HYPERLINK("https://www.dofusbook.net/fr/equipement/1943617-pvp-fo-agi-ret/objets", "link")</f>
        <v/>
      </c>
      <c r="C30158" t="n">
        <v>0</v>
      </c>
      <c r="D30158" t="inlineStr">
        <is>
          <t>Lance corrompue; Amulette du Cœur Vaillant; Anneau Crustique; Anneau Crustique; Sept ans de malheur; Ceintouse; Chapoulpe; Cape du Cœur Vaillant; Tentassons; Dofus Ocre; Dofus Pourpre; Dolmanax; Dofus Cawotte; Dofus des Glaces; Engourdisseur majeur; Muldo Ebène et Pourpre</t>
        </is>
      </c>
    </row>
    <row r="30159">
      <c r="A30159" t="inlineStr">
        <is>
          <t>PvP fo agi ret</t>
        </is>
      </c>
      <c r="B30159">
        <f>HYPERLINK("https://www.dofusbook.net/fr/equipement/1943618-pvp-fo-agi-ret/objets", "link")</f>
        <v/>
      </c>
      <c r="C30159" t="n">
        <v>0</v>
      </c>
      <c r="D30159" t="inlineStr"/>
    </row>
    <row r="30160">
      <c r="A30160" t="inlineStr">
        <is>
          <t>Pvm arco</t>
        </is>
      </c>
      <c r="B30160">
        <f>HYPERLINK("https://www.dofusbook.net/fr/equipement/1943543-pvm-arco/objets", "link")</f>
        <v/>
      </c>
      <c r="C30160" t="n">
        <v>0</v>
      </c>
      <c r="D30160" t="inlineStr">
        <is>
          <t>Arc du Chalœil; Amulette du Cœur Saignant; Anneau Crustique; Anneau Crustique; Quatre-feuilles; Ceinture de Brouce; Masque de Koutoulou; Cape au Logis; Bottes du Cœur Saignant; Dofus Pourpre; Dofus Turquoise; Enragé majeur; Nomade; Vigoureux majeur; Remueur; Bouflux</t>
        </is>
      </c>
    </row>
    <row r="30161">
      <c r="A30161" t="inlineStr">
        <is>
          <t>PvP full fo</t>
        </is>
      </c>
      <c r="B30161">
        <f>HYPERLINK("https://www.dofusbook.net/fr/equipement/1943442-pvp-full-fo/objets", "link")</f>
        <v/>
      </c>
      <c r="C30161" t="n">
        <v>0</v>
      </c>
      <c r="D30161" t="inlineStr">
        <is>
          <t>Dagues d'Ilyzaelle; Amulette du Cœur Saignant; Anneau Chevelu; Anneau Crustique; Bouclier d'Ilyzaelle; Ceintouse; Masque de Koutoulou; Cape au Logis; Bottes du Cœur Saignant; Dofus Pourpre; Dofus Turquoise; Dolmanax; Enragé majeur; Remueur; Vigoureux majeur; El Scarador</t>
        </is>
      </c>
    </row>
    <row r="30162">
      <c r="A30162" t="inlineStr">
        <is>
          <t>PvP multi huida</t>
        </is>
      </c>
      <c r="B30162">
        <f>HYPERLINK("https://www.dofusbook.net/fr/equipement/1942511-pvp-multi-huida/objets", "link")</f>
        <v/>
      </c>
      <c r="C30162" t="n">
        <v>0</v>
      </c>
      <c r="D30162" t="inlineStr">
        <is>
          <t>Dagues Érhy; Amulette du Strigide; Bague Trithon; Bague Gloursonne; Quatre-feuilles; Ceinture du Strigide; Masque de Koutoulou; Voile d'encre; Bottes du Cœur Saignant; Dolmanax; Dofus Pourpre; Dofus Turquoise; Nomade; Déserteur majeur; Remueur; El Scarador</t>
        </is>
      </c>
    </row>
    <row r="30163">
      <c r="A30163" t="inlineStr">
        <is>
          <t>PvP varita fo cha</t>
        </is>
      </c>
      <c r="B30163">
        <f>HYPERLINK("https://www.dofusbook.net/fr/equipement/1942453-pvp-varita-fo-cha/objets", "link")</f>
        <v/>
      </c>
      <c r="C30163" t="n">
        <v>0</v>
      </c>
      <c r="D30163" t="inlineStr">
        <is>
          <t>Baguette des égarés; Amulette du Strigide; Pikano; Bague Trithon; Quatre-feuilles; Ceintacé; Masque d'Anerice; Cape d'Anerice; Bottes Trithon; Dofus Ocre; Dofus Pourpre; Dolmanax; Dofus Turquoise; Dofus des Glaces; Vagabond majeur; Muldo Prune et Emeraude</t>
        </is>
      </c>
    </row>
    <row r="30164">
      <c r="A30164" t="inlineStr">
        <is>
          <t>PvP inte cha</t>
        </is>
      </c>
      <c r="B30164">
        <f>HYPERLINK("https://www.dofusbook.net/fr/equipement/1942349-pvp-inte-cha/objets", "link")</f>
        <v/>
      </c>
      <c r="C30164" t="n">
        <v>0</v>
      </c>
      <c r="D30164" t="inlineStr">
        <is>
          <t>Arc Nécrotique; Talisman Igans; Bague Gloursonne; Bague Trithon; Quatre-feuilles; Ceinture de l'Esprit Malsain; Masque de l'Esprit Malsain; Cape de la Dame du Hasard; Pataugastrique; Dofus Turquoise; Dolmanax; Dofus Pourpre; Dofus des Glaces; Remueur; Nomade; Croum</t>
        </is>
      </c>
    </row>
    <row r="30165">
      <c r="A30165" t="inlineStr">
        <is>
          <t>PvP empujes anerice</t>
        </is>
      </c>
      <c r="B30165">
        <f>HYPERLINK("https://www.dofusbook.net/fr/equipement/1940767-pvp-empujes-anerice/objets", "link")</f>
        <v/>
      </c>
      <c r="C30165" t="n">
        <v>1</v>
      </c>
      <c r="D30165" t="inlineStr">
        <is>
          <t>Rapière aux Glyphes; Amulette de l'Œil Attentif; Alliance Gloursonne; Bague Instable; Bouclier précieux; Poulpagne; Masque d'Anerice; Cape d'Anerice; Bottes Trithon; Dofus Turquoise; Dolmanax; Chanceux majeur; Remueur; Bousculeur majeur; Culbuteur majeur; Muldo Ebène et Orchidée</t>
        </is>
      </c>
    </row>
    <row r="30166">
      <c r="A30166" t="inlineStr">
        <is>
          <t>PvP empujes full dmg</t>
        </is>
      </c>
      <c r="B30166">
        <f>HYPERLINK("https://www.dofusbook.net/fr/equipement/1940656-pvp-empujes-full-dmg/objets", "link")</f>
        <v/>
      </c>
      <c r="C30166" t="n">
        <v>0</v>
      </c>
      <c r="D30166" t="inlineStr">
        <is>
          <t>Rapière aux Glyphes; Amulette du Sinistrofu; Alliance Gloursonne; Bague Trithon; Bouclier Taverne; Ceinture Glaciale; Kidibonnet; Cape des Malveilleurs; Bottes Trithon; Dolmanax; Pousseur majeur; Culbuteur majeur; Bousculeur majeur; Remueur; Chanceux majeur; Muldo Ebène et Orchidée</t>
        </is>
      </c>
    </row>
    <row r="30167">
      <c r="A30167" t="inlineStr">
        <is>
          <t>PvP hecacha 2.43</t>
        </is>
      </c>
      <c r="B30167">
        <f>HYPERLINK("https://www.dofusbook.net/fr/equipement/1940386-pvp-hecacha-2-43/objets", "link")</f>
        <v/>
      </c>
      <c r="C30167" t="n">
        <v>0</v>
      </c>
      <c r="D30167" t="inlineStr">
        <is>
          <t>Amulette du Strigide; Alliance Gloursonne; Alliance Brûlâme; Bouclier d'Ilyzaelle; Ceintouse; Masque de Koutoulou; Cape du Cœur Vaillant; Bottes du Cœur Vaillant; Dolmanax; Dofus Pourpre; Dofus des Glaces; Dofus Turquoise; Nomade; Remueur; El Scarador</t>
        </is>
      </c>
    </row>
    <row r="30168">
      <c r="A30168" t="inlineStr">
        <is>
          <t>Pvm baston</t>
        </is>
      </c>
      <c r="B30168">
        <f>HYPERLINK("https://www.dofusbook.net/fr/equipement/1940256-pvm-baston/objets", "link")</f>
        <v/>
      </c>
      <c r="C30168" t="n">
        <v>1</v>
      </c>
      <c r="D30168" t="inlineStr">
        <is>
          <t>Lance corrompue; Amulette du Kamasterisk; Alliance Gloursonne; Bague Gloursonne; Bouclier alvéolé; Ceinture de la Reine des Voleurs; Coiffe de la Reine des Voleurs; Cape du Kamasterisk; Sabots Minables; Dofus Ocre; Dofus des Glaces; Dofus Pourpre; Dolmanax; Féroce majeur; Robuste majeur; Bouftor</t>
        </is>
      </c>
    </row>
    <row r="30169">
      <c r="A30169" t="inlineStr">
        <is>
          <t>PvP indi arkaico</t>
        </is>
      </c>
      <c r="B30169">
        <f>HYPERLINK("https://www.dofusbook.net/fr/equipement/1940101-pvp-indi-arkaico/objets", "link")</f>
        <v/>
      </c>
      <c r="C30169" t="n">
        <v>0</v>
      </c>
      <c r="D30169" t="inlineStr">
        <is>
          <t>Arc Ahique; Amulette d'Ilyzaelle; Alliance Brûlâme; Bague Gloursonne; Bouclier à hélice; Ceinture de la Reine des Voleurs; Coiffe de la Reine des Voleurs; Ankhape; Sabots Minables; Dokoko; Dofus Abyssal; Dofus des Glaces; Cavaleur majeur; Remueur; Nomade; El Scarador</t>
        </is>
      </c>
    </row>
    <row r="30170">
      <c r="A30170" t="inlineStr">
        <is>
          <t>PvP grupal baston</t>
        </is>
      </c>
      <c r="B30170">
        <f>HYPERLINK("https://www.dofusbook.net/fr/equipement/1939950-pvp-grupal-baston/objets", "link")</f>
        <v/>
      </c>
      <c r="C30170" t="n">
        <v>0</v>
      </c>
      <c r="D30170" t="inlineStr">
        <is>
          <t>Lance corrompue; Amulette du Kamasterisk; Bague Gloursonne; Alliance Gloursonne; Bouclier alvéolé; Ceinture de la Reine des Voleurs; Coiffe de la Reine des Voleurs; Cape du Kamasterisk; Sabots Minables; Dofus Pourpre; Dofus Abyssal; Dofus Ocre; Dolmanax; Dofus Cawotte; Dofus des Glaces; Muldo Ebène et Orchidée</t>
        </is>
      </c>
    </row>
    <row r="30171">
      <c r="A30171" t="inlineStr">
        <is>
          <t>PvP indi 2.43</t>
        </is>
      </c>
      <c r="B30171">
        <f>HYPERLINK("https://www.dofusbook.net/fr/equipement/1940022-pvp-indi-2-43/objets", "link")</f>
        <v/>
      </c>
      <c r="C30171" t="n">
        <v>0</v>
      </c>
      <c r="D30171" t="inlineStr">
        <is>
          <t>Lance corrompue; Amulette du Kamasterisk; Bague Gloursonne; Alliance Gloursonne; Bouclier du Stalak; Ceinture de l'Esprit Salvateur; Masque de l'Esprit Salvateur; Cape du Kamasterisk; Bottes de l'Esprit Salvateur; Dofus Ocre; Dolmanax; Dofus des Glaces; Dokoko; Dofus Pourpre; Dofus Abyssal; Muldo Ebène et Orchidée</t>
        </is>
      </c>
    </row>
    <row r="30172">
      <c r="A30172" t="inlineStr">
        <is>
          <t>Hacha teroyde 2.43</t>
        </is>
      </c>
      <c r="B30172">
        <f>HYPERLINK("https://www.dofusbook.net/fr/equipement/1936839-hacha-teroyde-2-43/objets", "link")</f>
        <v/>
      </c>
      <c r="C30172" t="n">
        <v>0</v>
      </c>
      <c r="D30172" t="inlineStr">
        <is>
          <t>Hache Téroïde; Amulette du Cœur Saignant; Bague Gloursonne; Bague Trithon; Bouclier alvéolé; Ceintacé; Chapeau de Gein; Cape du Cœur Saignant; Bottes Trithon; Dokoko; Dofus des Glaces; Dofus Turquoise; Dofus Abyssal; Dofus Ocre; Dolmanax; Muldo Ebène et Orchidée</t>
        </is>
      </c>
    </row>
    <row r="30173">
      <c r="A30173" t="inlineStr">
        <is>
          <t>Empujes 2.43 dofus</t>
        </is>
      </c>
      <c r="B30173">
        <f>HYPERLINK("https://www.dofusbook.net/fr/equipement/1936821-empujes-2-43-dofus/objets", "link")</f>
        <v/>
      </c>
      <c r="C30173" t="n">
        <v>0</v>
      </c>
      <c r="D30173" t="inlineStr">
        <is>
          <t>Rapière aux Glyphes; Amulette de l'Œil Attentif; Alliance Gloursonne; Bague Trithon; Bouclier précieux; Ceinture Glaciale; Capuche de l'Œil Attentif; Cape de l'Œil Attentif; Bottes Trithon; Dofus Turquoise; Dofus Pourpre; Dofus Ocre; Dofus Émeraude; Dolmanax; Bousculeur majeur; Muldo Ebène et Orchidée</t>
        </is>
      </c>
    </row>
    <row r="30174">
      <c r="A30174" t="inlineStr">
        <is>
          <t>Pvp indi baston 2</t>
        </is>
      </c>
      <c r="B30174">
        <f>HYPERLINK("https://www.dofusbook.net/fr/equipement/1936806-pvp-indi-baston-2/objets", "link")</f>
        <v/>
      </c>
      <c r="C30174" t="n">
        <v>1</v>
      </c>
      <c r="D30174" t="inlineStr">
        <is>
          <t>Lance corrompue; Amulette de Nevark; Bague Gloursonne; Alliance Gloursonne; Bouclier alvéolé; Ceinture de la Reine des Voleurs; Coiffe de la Reine des Voleurs; Cape de Nevark; Sabots Minables; Dofus Abyssal; Dofus Émeraude; Dolmanax; Dokoko; Dofus des Glaces; Dofus Ocre; Muldo Ebène et Orchidée</t>
        </is>
      </c>
    </row>
    <row r="30175">
      <c r="A30175" t="inlineStr">
        <is>
          <t>Full empujes 2.43</t>
        </is>
      </c>
      <c r="B30175">
        <f>HYPERLINK("https://www.dofusbook.net/fr/equipement/1936726-full-empujes-2-43/objets", "link")</f>
        <v/>
      </c>
      <c r="C30175" t="n">
        <v>0</v>
      </c>
      <c r="D30175" t="inlineStr">
        <is>
          <t>Rapière aux Glyphes; Amulette de l'Œil Attentif; Bague Trithon; Alliance Gloursonne; Bouclier précieux; Ceinture Glaciale; Kidibonnet; Cape de l'Œil Attentif; Bottes Owesli; Dofus Turquoise; Dolmanax; Culbuteur majeur; Carapace Eau majeur; Bousculeur majeur; Remueur; Muldo Ebène et Orchidée</t>
        </is>
      </c>
    </row>
    <row r="30176">
      <c r="A30176" t="inlineStr">
        <is>
          <t>Empujes curas yzyael</t>
        </is>
      </c>
      <c r="B30176">
        <f>HYPERLINK("https://www.dofusbook.net/fr/equipement/1936673-empujes-curas-yzyael/objets", "link")</f>
        <v/>
      </c>
      <c r="C30176" t="n">
        <v>0</v>
      </c>
      <c r="D30176" t="inlineStr">
        <is>
          <t>Baguette de Malléfisk; Pendentif affamé; Bague Trithon; Alliance Gloursonne; Bouclier d'Ilyzaelle; Poulpagne; Casque d'Ilyzaelle; Cape des Malveilleurs; Bottes Owesli; Dolmanax; Miraculé majeur; Remueur; Bousculeur majeur; Guérisseur majeur; Culbuteur majeur; Muldo Ebène et Orchidée</t>
        </is>
      </c>
    </row>
    <row r="30177">
      <c r="A30177" t="inlineStr">
        <is>
          <t>PvP huida</t>
        </is>
      </c>
      <c r="B30177">
        <f>HYPERLINK("https://www.dofusbook.net/fr/equipement/1754556-pvp-huida/objets", "link")</f>
        <v/>
      </c>
      <c r="C30177" t="n">
        <v>0</v>
      </c>
      <c r="D30177" t="inlineStr">
        <is>
          <t>Dagues Érhy; Amulette du Strigide; Bague Gloursonne; Anneau de Brouce; Bouclier du Stalak; Ceinture de Gein; Chapeau de Gein; Voile d'encre; Sabots Minables; Dolmanax; Dofus Pourpre; Dofus Turquoise; Remueur; Déserteur majeur; Nomade; El Scarador</t>
        </is>
      </c>
    </row>
    <row r="30178">
      <c r="A30178" t="inlineStr">
        <is>
          <t>PvP cha agi dofus</t>
        </is>
      </c>
      <c r="B30178">
        <f>HYPERLINK("https://www.dofusbook.net/fr/equipement/1706487-pvp-cha-agi-dofus/objets", "link")</f>
        <v/>
      </c>
      <c r="C30178" t="n">
        <v>0</v>
      </c>
      <c r="D30178" t="inlineStr">
        <is>
          <t>Arc de Koutoulou; Amulette du Strigide; Alliance Gloursonne; Bague Trithon; Quatre-feuilles; Ceintacé; Masque d'Anerice; Cape d'Anerice; Bottes Trithon; Dofus Pourpre; Dolmanax; Dofus des Glaces; Dofus Turquoise; Dofus Abyssal; Dofus Ocre; Muldo Prune et Emeraude</t>
        </is>
      </c>
    </row>
    <row r="30179">
      <c r="A30179" t="inlineStr">
        <is>
          <t>PvP intecha coa</t>
        </is>
      </c>
      <c r="B30179">
        <f>HYPERLINK("https://www.dofusbook.net/fr/equipement/1699079-pvp-intecha-coa/objets", "link")</f>
        <v/>
      </c>
      <c r="C30179" t="n">
        <v>0</v>
      </c>
      <c r="D30179" t="inlineStr">
        <is>
          <t>Arc Hétype; Talisman Igans; Anneau Tique; Alliance Gloursonne; Bouclier du Stalak; Ceintrigue; Casquette de Meno; Cape de la Dame du Hasard; Pataugastrique; Dolmanax; Dofus des Glaces; Nomade; Érudit majeur; Remueur; Dévastateur Feu majeur; El Scarador</t>
        </is>
      </c>
    </row>
    <row r="30180">
      <c r="A30180" t="inlineStr">
        <is>
          <t>PVP inte cha</t>
        </is>
      </c>
      <c r="B30180">
        <f>HYPERLINK("https://www.dofusbook.net/fr/equipement/1696475-pvp-inte-cha/objets", "link")</f>
        <v/>
      </c>
      <c r="C30180" t="n">
        <v>0</v>
      </c>
      <c r="D30180" t="inlineStr">
        <is>
          <t>Pyraguette; Amulette de Shokkoth; Anneau de Nidas; Alliance Gloursonne; Bouclier cubiste; Poulpagne; Casquette de Meno; Cape de la Dame du Hasard; Bottes de Meno; Dolmanax; Dofus Pourpre; Remueur; Vigoureux majeur; Temporiseur majeur; Déserteur majeur; Muldo Ebène et Indigo</t>
        </is>
      </c>
    </row>
    <row r="30181">
      <c r="A30181" t="inlineStr">
        <is>
          <t>PVP cha</t>
        </is>
      </c>
      <c r="B30181">
        <f>HYPERLINK("https://www.dofusbook.net/fr/equipement/1696431-pvp-cha/objets", "link")</f>
        <v/>
      </c>
      <c r="C30181" t="n">
        <v>2</v>
      </c>
      <c r="D30181" t="inlineStr">
        <is>
          <t>Rapière aux Glyphes; Amulette de Shokkoth; Bracelet des Fonds marins; Alliance Gloursonne; Bouclier d'Anerice; Poulpagne; Chapeau Tyron; Cape d'Anerice; Bottes du Sinistrofu; Dofus Pourpre; Dolmanax; Vagabond majeur; Déserteur majeur; Chanceux majeur; Remueur; Muldo Indigo</t>
        </is>
      </c>
    </row>
    <row r="30182">
      <c r="A30182" t="inlineStr">
        <is>
          <t>PVP fo</t>
        </is>
      </c>
      <c r="B30182">
        <f>HYPERLINK("https://www.dofusbook.net/fr/equipement/1696339-pvp-fo/objets", "link")</f>
        <v/>
      </c>
      <c r="C30182" t="n">
        <v>0</v>
      </c>
      <c r="D30182" t="inlineStr">
        <is>
          <t>Dagues Érhy; Amulette du Strigide; Bague Gloursonne; Alliance du Lévitrof; Bouclier cubiste; Ceintacé; Chapeau de Gein; Voile d'encre; Bottes du Lévitrof; Dolmanax; Dofus Turquoise; Vigoureux majeur; Remueur; Déserteur majeur; Temporiseur majeur; Muldo Ebène et Pourpre</t>
        </is>
      </c>
    </row>
    <row r="30183">
      <c r="A30183" t="inlineStr">
        <is>
          <t>PVP AGI CHA</t>
        </is>
      </c>
      <c r="B30183">
        <f>HYPERLINK("https://www.dofusbook.net/fr/equipement/1695883-pvp-agi-cha/objets", "link")</f>
        <v/>
      </c>
      <c r="C30183" t="n">
        <v>0</v>
      </c>
      <c r="D30183" t="inlineStr">
        <is>
          <t>Arc de Koutoulou; Amulette du Strigide; Bague Trithon; Alliance Gloursonne; Quatre-feuilles; Ceinture du Barbétoal; Némès de Tal Kasha; Chevelure de Tal Kasha; Sandales  d'Atcham; Dofus Turquoise; Dolmanax; Dofus Pourpre; Dofus Ocre; Remueur; Nomade; Croum</t>
        </is>
      </c>
    </row>
    <row r="30184">
      <c r="A30184" t="inlineStr">
        <is>
          <t>PVP inte retira</t>
        </is>
      </c>
      <c r="B30184">
        <f>HYPERLINK("https://www.dofusbook.net/fr/equipement/1694256-pvp-inte-retira/objets", "link")</f>
        <v/>
      </c>
      <c r="C30184" t="n">
        <v>0</v>
      </c>
      <c r="D30184" t="inlineStr">
        <is>
          <t>Harpelle; Amulette de Nileza; Anneau de Nidas; Anneau Tique; Cadran de Terre; Ceinture de Vortex; Cagoule de Vortex; Voile d'encre; Pataugastrique; Dolmanax; Remueur; Érudit majeur; Nomade; Étourdisseur majeur; Guérisseur majeur; El Scarador</t>
        </is>
      </c>
    </row>
    <row r="30185">
      <c r="A30185" t="inlineStr">
        <is>
          <t>PVP 1v1</t>
        </is>
      </c>
      <c r="B30185">
        <f>HYPERLINK("https://www.dofusbook.net/fr/equipement/1684582-pvp-1v1/objets", "link")</f>
        <v/>
      </c>
      <c r="C30185" t="n">
        <v>0</v>
      </c>
      <c r="D30185" t="inlineStr"/>
    </row>
    <row r="30186">
      <c r="A30186" t="inlineStr">
        <is>
          <t>PVP empujes</t>
        </is>
      </c>
      <c r="B30186">
        <f>HYPERLINK("https://www.dofusbook.net/fr/equipement/1681048-pvp-empujes/objets", "link")</f>
        <v/>
      </c>
      <c r="C30186" t="n">
        <v>0</v>
      </c>
      <c r="D30186" t="inlineStr">
        <is>
          <t>Dagoulinantes; Amulette du Sinistrofu; Alliance Gloursonne; Bague Trithon; Bouclier précieux; Ceinture Glaciale; Kidibonnet; Cape d'Anerice; Bottes Trithon; Dofus Turquoise; Dofus Émeraude; Culbuteur majeur; Miraculé majeur; Remueur; Bousculeur majeur; Muldo Ebène et Pourpre</t>
        </is>
      </c>
    </row>
    <row r="30187">
      <c r="A30187" t="inlineStr">
        <is>
          <t>PVP arco miauvi</t>
        </is>
      </c>
      <c r="B30187">
        <f>HYPERLINK("https://www.dofusbook.net/fr/equipement/1680786-pvp-arco-miauvi/objets", "link")</f>
        <v/>
      </c>
      <c r="C30187" t="n">
        <v>0</v>
      </c>
      <c r="D30187" t="inlineStr">
        <is>
          <t>Arc du Chalœil; Amulette du Strigide; Bague Trithon; Bague Gloursonne; Bouclier à hélice; Ceintacé; Casque de Missiz Frizz; Voile d'encre; Bottes du Strigide; Dofus Pourpre; Dofus Turquoise; Dokoko; Cavaleur majeur; Remueur; Nomade; El Scarador</t>
        </is>
      </c>
    </row>
    <row r="30188">
      <c r="A30188" t="inlineStr">
        <is>
          <t>PVPM da cri</t>
        </is>
      </c>
      <c r="B30188">
        <f>HYPERLINK("https://www.dofusbook.net/fr/equipement/1680746-pvpm-da-cri/objets", "link")</f>
        <v/>
      </c>
      <c r="C30188" t="n">
        <v>0</v>
      </c>
      <c r="D30188" t="inlineStr">
        <is>
          <t>Dague Adou; Amulette du Strigide; Anneau de Padgref; Alliance Gloursonne; Bouclier Pandawa; Ceinture du Strigide; Némès de Tal Kasha; Chevelure de Tal Kasha; Sandales de Tal Kasha; Dofus Pourpre; Dolmanax; Dofus Turquoise; Dofus des Glaces; Dofus Abyssal; Dofus Ocre; Muldo Prune et Emeraude</t>
        </is>
      </c>
    </row>
    <row r="30189">
      <c r="A30189" t="inlineStr">
        <is>
          <t>PVP empujes curas</t>
        </is>
      </c>
      <c r="B30189">
        <f>HYPERLINK("https://www.dofusbook.net/fr/equipement/1680529-pvp-empujes-curas/objets", "link")</f>
        <v/>
      </c>
      <c r="C30189" t="n">
        <v>0</v>
      </c>
      <c r="D30189" t="inlineStr">
        <is>
          <t>Baguette de Malléfisk; Amulette Cryochrone; Alliance Gloursonne; Anneau Tique; Bouclier précieux; Ceintrigue; Kidibonnet; Voile d'encre; Bottes Owesli; Guérisseur majeur; Culbuteur majeur; Bousculeur majeur; Remueur; Érudit majeur; Nomade; El Scarador</t>
        </is>
      </c>
    </row>
    <row r="30190">
      <c r="A30190" t="inlineStr">
        <is>
          <t>PVP triton lumi</t>
        </is>
      </c>
      <c r="B30190">
        <f>HYPERLINK("https://www.dofusbook.net/fr/equipement/1680351-pvp-triton-lumi/objets", "link")</f>
        <v/>
      </c>
      <c r="C30190" t="n">
        <v>0</v>
      </c>
      <c r="D30190" t="inlineStr">
        <is>
          <t>Épouvante; Amulette Luminescente; Alliance Gloursonne; Bague Trithon; Bouclier alvéolé; Ceinture Luminescente; Masque Trithon; Cape Luminescente; Bottes Trithon; Dofus Pourpre; Dolmanax; Dofus Turquoise; Dofus des Glaces; Dokoko; Dofus Ocre; Muldo Ebène et Pourpre</t>
        </is>
      </c>
    </row>
    <row r="30191">
      <c r="A30191" t="inlineStr">
        <is>
          <t>PVP sramvil</t>
        </is>
      </c>
      <c r="B30191">
        <f>HYPERLINK("https://www.dofusbook.net/fr/equipement/1680114-pvp-sramvil/objets", "link")</f>
        <v/>
      </c>
      <c r="C30191" t="n">
        <v>0</v>
      </c>
      <c r="D30191" t="inlineStr">
        <is>
          <t>Dagues de Srambad; Amulette du Piloztère; Alliance Gloursonne; Pikano; Bouclier alvéolé; Ceinture de la Reine des Voleurs; Masque de Koutoulou; Ankhape; Bottes de la Reine des Voleurs; Dofus Pourpre; Dofus des Glaces; Dofus Ocre; Dofus Abyssal; Dolmanax; Remueur; Muldo Ebène et Pourpre</t>
        </is>
      </c>
    </row>
    <row r="30192">
      <c r="A30192" t="inlineStr">
        <is>
          <t>PVPM Dagas sramvil</t>
        </is>
      </c>
      <c r="B30192">
        <f>HYPERLINK("https://www.dofusbook.net/fr/equipement/1680098-pvpm-dagas-sramvil/objets", "link")</f>
        <v/>
      </c>
      <c r="C30192" t="n">
        <v>0</v>
      </c>
      <c r="D30192" t="inlineStr">
        <is>
          <t>Dagues de Srambad; Amulette Luminescente; Bague Gloursonne; Alliance Gloursonne; Bouclier alvéolé; Ceinture de la Reine des Voleurs; Coiffe de la Reine des Voleurs; Cape Luminescente; Bottes de la Reine des Voleurs; Dofus Ocre; Dofus Émeraude; Dolmanax; Dofus Abyssal; Dofus des Glaces; Féroce majeur; Muldo Ebène et Pourpre</t>
        </is>
      </c>
    </row>
    <row r="30193">
      <c r="A30193" t="inlineStr">
        <is>
          <t>Teroyde sin trofeos</t>
        </is>
      </c>
      <c r="B30193">
        <f>HYPERLINK("https://www.dofusbook.net/fr/equipement/1680084-teroyde-sin-trofeos/objets", "link")</f>
        <v/>
      </c>
      <c r="C30193" t="n">
        <v>0</v>
      </c>
      <c r="D30193" t="inlineStr">
        <is>
          <t>Hache Téroïde; Amulette du Strigide; Bague Trithon; Bague Gloursonne; Bouclier alvéolé; Ceinture du Strigide; Masque Trithon; Voile d'encre; Bottes Trithon; Dofus Turquoise; Dofus des Glaces; Dofus Ocre; Dokoko; Dolmanax; Dofus Abyssal; Muldo Ebène et Pourpre</t>
        </is>
      </c>
    </row>
    <row r="30194">
      <c r="A30194" t="inlineStr">
        <is>
          <t>Teroyde</t>
        </is>
      </c>
      <c r="B30194">
        <f>HYPERLINK("https://www.dofusbook.net/fr/equipement/1680034-teroyde/objets", "link")</f>
        <v/>
      </c>
      <c r="C30194" t="n">
        <v>0</v>
      </c>
      <c r="D30194" t="inlineStr">
        <is>
          <t>Hache Téroïde; Amulette du Strigide; Bague Trithon; Bague Gloursonne; Bouclier alvéolé; Ceintacé; Chapeau de Gein; Voile d'encre; Bottes du Strigide; Dolmanax; Dofus des Glaces; Dokoko; Dofus Turquoise; Dofus Abyssal; Remueur; Muldo Ebène et Pourpre</t>
        </is>
      </c>
    </row>
    <row r="30195">
      <c r="A30195" t="inlineStr">
        <is>
          <t>PVP agi</t>
        </is>
      </c>
      <c r="B30195">
        <f>HYPERLINK("https://www.dofusbook.net/fr/equipement/1679989-pvp-agi/objets", "link")</f>
        <v/>
      </c>
      <c r="C30195" t="n">
        <v>0</v>
      </c>
      <c r="D30195" t="inlineStr">
        <is>
          <t>Manthache; Collier du Valet Veinard; Gant du Valet Veinard; Alliance Gloursonne; Bouclier du Stalak; Menoture; Dorabysses; Cape Indescriptible; Palmes Trithons; Dofus Abyssal; Dofus Pourpre; Dolmanax; Cascadeur majeur; Remueur; Nomade; Croum</t>
        </is>
      </c>
    </row>
    <row r="30196">
      <c r="A30196" t="inlineStr">
        <is>
          <t>PVP cha</t>
        </is>
      </c>
      <c r="B30196">
        <f>HYPERLINK("https://www.dofusbook.net/fr/equipement/1679921-pvp-cha/objets", "link")</f>
        <v/>
      </c>
      <c r="C30196" t="n">
        <v>0</v>
      </c>
      <c r="D30196" t="inlineStr">
        <is>
          <t>Dagoulinantes; Amulette de Shokkoth; Bracelet des Fonds marins; Alliance Gloursonne; Bouclier alvéolé; Ceinture du Barbétoal; Kidibonnet; Cape du Sinistrofu; Bottes du Sinistrofu; Dofus Pourpre; Dolmanax; Dofus Turquoise; Vigoureux majeur; Remueur; Chanceux majeur; Muldo Ebène et Pourpre</t>
        </is>
      </c>
    </row>
    <row r="30197">
      <c r="A30197" t="inlineStr">
        <is>
          <t>PVP inte agi</t>
        </is>
      </c>
      <c r="B30197">
        <f>HYPERLINK("https://www.dofusbook.net/fr/equipement/1679861-pvp-inte-agi/objets", "link")</f>
        <v/>
      </c>
      <c r="C30197" t="n">
        <v>0</v>
      </c>
      <c r="D30197" t="inlineStr">
        <is>
          <t>Baguette Range; Amulette du Strigide; Anneau de Padgref; Anneauræus; Quatre-feuilles; Ceinture du Strigide; Coiffe de Padgref; Voile d'encre; Getas de Padgref; Dofus Cawotte; Dofus Ocre; Dofus Pourpre; Dolmanax; Dofus Turquoise; Dofus des Glaces; Muldo Prune et Emeraude</t>
        </is>
      </c>
    </row>
    <row r="30198">
      <c r="A30198" t="inlineStr">
        <is>
          <t>PVPM da cri</t>
        </is>
      </c>
      <c r="B30198">
        <f>HYPERLINK("https://www.dofusbook.net/fr/equipement/1679812-pvpm-da-cri/objets", "link")</f>
        <v/>
      </c>
      <c r="C30198" t="n">
        <v>0</v>
      </c>
      <c r="D30198" t="inlineStr">
        <is>
          <t>Dague Adou; Amulette du Strigide; Anneau de Pol Ouatnos; Alliance Gloursonne; Bouclier Pandawa; Ceintacé; Némès de Tal Kasha; Chevelure de Tal Kasha; Bottes Trithon; Dofus Turquoise; Dolmanax; Dofus Pourpre; Dofus des Glaces; Vigoureux majeur; Remueur; El Scarador</t>
        </is>
      </c>
    </row>
    <row r="30199">
      <c r="A30199" t="inlineStr">
        <is>
          <t>PVP inte agi</t>
        </is>
      </c>
      <c r="B30199">
        <f>HYPERLINK("https://www.dofusbook.net/fr/equipement/1679777-pvp-inte-agi/objets", "link")</f>
        <v/>
      </c>
      <c r="C30199" t="n">
        <v>0</v>
      </c>
      <c r="D30199" t="inlineStr">
        <is>
          <t>Baguette Range; Amulette du Strigide; Anneau de Padgref; Anneau Tique; Quatre-feuilles; Ceinture du Strigide; Coiffe de Padgref; Voile d'encre; Getas de Padgref; Dofus Émeraude; Dofus Ocre; Dofus Pourpre; Dolmanax; Dofus Turquoise; Dofus des Glaces; Muldo Orchidée et Pourpre</t>
        </is>
      </c>
    </row>
    <row r="30200">
      <c r="A30200" t="inlineStr">
        <is>
          <t>PVP da cri</t>
        </is>
      </c>
      <c r="B30200">
        <f>HYPERLINK("https://www.dofusbook.net/fr/equipement/1679743-pvp-da-cri/objets", "link")</f>
        <v/>
      </c>
      <c r="C30200" t="n">
        <v>0</v>
      </c>
      <c r="D30200" t="inlineStr">
        <is>
          <t>Marteau des Anciens Steamers; Amulette du Strigide; Anneau de Pol Ouatnos; Alliance Gloursonne; Bouclier alvéolé; Ceintacé; Némès de Tal Kasha; Chevelure de Tal Kasha; Bottes Trithon; Dofus Pourpre; Dofus des Glaces; Dofus Turquoise; Dolmanax; Remueur; Vigoureux majeur; El Scarador</t>
        </is>
      </c>
    </row>
    <row r="30201">
      <c r="A30201" t="inlineStr">
        <is>
          <t>PVP cha</t>
        </is>
      </c>
      <c r="B30201">
        <f>HYPERLINK("https://www.dofusbook.net/fr/equipement/1678115-pvp-cha/objets", "link")</f>
        <v/>
      </c>
      <c r="C30201" t="n">
        <v>0</v>
      </c>
      <c r="D30201" t="inlineStr">
        <is>
          <t>Rapière aux Glyphes; Amulette du Sinistrofu; Alliance Gloursonne; Bracelet des Fonds marins; Bouclier alvéolé; Ceinture du Barbétoal; Kidibonnet; Cape de Mantaze; Bottes du Sinistrofu; Dofus Pourpre; Dolmanax; Dofus Turquoise; Chanceux majeur; Nomade; Remueur; Croum</t>
        </is>
      </c>
    </row>
    <row r="30202">
      <c r="A30202" t="inlineStr">
        <is>
          <t>PVp agi</t>
        </is>
      </c>
      <c r="B30202">
        <f>HYPERLINK("https://www.dofusbook.net/fr/equipement/1678089-pvp-agi/objets", "link")</f>
        <v/>
      </c>
      <c r="C30202" t="n">
        <v>0</v>
      </c>
      <c r="D30202" t="inlineStr">
        <is>
          <t>Manthache; Collier du Valet Veinard; Alliance Gloursonne; Gant du Valet Veinard; Bouclier alvéolé; Menoture; Dorabysses; Cape Indescriptible; Palmes Trithons; Dofus Pourpre; Dofus Abyssal; Remueur; Cascadeur majeur; Nomade; Vigoureux majeur; Croum</t>
        </is>
      </c>
    </row>
    <row r="30203">
      <c r="A30203" t="inlineStr">
        <is>
          <t>Pvm inte</t>
        </is>
      </c>
      <c r="B30203">
        <f>HYPERLINK("https://www.dofusbook.net/fr/equipement/1678039-pvm-inte/objets", "link")</f>
        <v/>
      </c>
      <c r="C30203" t="n">
        <v>0</v>
      </c>
      <c r="D30203" t="inlineStr">
        <is>
          <t>Plumeau Bil; Amulette de Nileza; Anneau Tamie; Anneau Tamie; Bouclier du Stalak; Ceinture Séculaire; Coiffe Séculaire; Cape de Diondin; Bottes Innommables; Dofus Pourpre; Dolmanax; Érudit majeur; Nomade; Vigoureux majeur; Remueur; Pioute rouge</t>
        </is>
      </c>
    </row>
    <row r="30204">
      <c r="A30204" t="inlineStr">
        <is>
          <t>PVP agi</t>
        </is>
      </c>
      <c r="B30204">
        <f>HYPERLINK("https://www.dofusbook.net/fr/equipement/1677992-pvp-agi/objets", "link")</f>
        <v/>
      </c>
      <c r="C30204" t="n">
        <v>0</v>
      </c>
      <c r="D30204" t="inlineStr">
        <is>
          <t>Manthache; Collier du Valet Veinard; Alliance Gloursonne; Gant du Valet Veinard; Bouclier Taverne; Menoture; Dorabysses; Cape Indescriptible; Palmes Trithons; Dofus Pourpre; Dolmanax; Remueur; Cascadeur majeur; Nomade; Vigoureux majeur; El Scarador</t>
        </is>
      </c>
    </row>
    <row r="30205">
      <c r="A30205" t="inlineStr">
        <is>
          <t>Pvp cha</t>
        </is>
      </c>
      <c r="B30205">
        <f>HYPERLINK("https://www.dofusbook.net/fr/equipement/1677938-pvp-cha/objets", "link")</f>
        <v/>
      </c>
      <c r="C30205" t="n">
        <v>2</v>
      </c>
      <c r="D30205" t="inlineStr">
        <is>
          <t>Rapière aux Glyphes; Amulette du Sinistrofu; Alliance Gloursonne; Bracelet des Fonds marins; Bouclier Taverne; Ceinture du Barbétoal; Kidibonnet; Cape de Mantaze; Bottes du Sinistrofu; Dofus Turquoise; Dofus Pourpre; Vigoureux majeur; Nomade; Chanceux majeur; Remueur; El Scarador</t>
        </is>
      </c>
    </row>
    <row r="30206">
      <c r="A30206" t="inlineStr">
        <is>
          <t>Grupal agi</t>
        </is>
      </c>
      <c r="B30206">
        <f>HYPERLINK("https://www.dofusbook.net/fr/equipement/1677913-grupal-agi/objets", "link")</f>
        <v/>
      </c>
      <c r="C30206" t="n">
        <v>0</v>
      </c>
      <c r="D30206" t="inlineStr">
        <is>
          <t>Manthache; Collier du Valet Veinard; Alliance Gloursonne; Gant du Valet Veinard; Bouclier du Stalak; Menoture; Dorabysses; Cape Indescriptible; Palmes Trithons; Dofus Abyssal; Dolmanax; Remueur; Cascadeur majeur; Nomade; Vigoureux majeur; El Scarador</t>
        </is>
      </c>
    </row>
    <row r="30207">
      <c r="A30207" t="inlineStr">
        <is>
          <t>Grupal fo</t>
        </is>
      </c>
      <c r="B30207">
        <f>HYPERLINK("https://www.dofusbook.net/fr/equipement/1677837-grupal-fo/objets", "link")</f>
        <v/>
      </c>
      <c r="C30207" t="n">
        <v>0</v>
      </c>
      <c r="D30207" t="inlineStr">
        <is>
          <t>Héqache; Amulette du Strigide; Bague Gloursonne; Bracelet du Piloztère; Bouclier Taverne; Ceinture du Strigide; Masque de Koutoulou; Voile d'encre; Bottes Trithon; Dofus Turquoise; Dofus Abyssal; Dolmanax; Dofus Pourpre; Nomade; Remueur; Croum</t>
        </is>
      </c>
    </row>
    <row r="30208">
      <c r="A30208" t="inlineStr">
        <is>
          <t>Pvm agi cha</t>
        </is>
      </c>
      <c r="B30208">
        <f>HYPERLINK("https://www.dofusbook.net/fr/equipement/1677767-pvm-agi-cha/objets", "link")</f>
        <v/>
      </c>
      <c r="C30208" t="n">
        <v>0</v>
      </c>
      <c r="D30208" t="inlineStr">
        <is>
          <t>Arc de Koutoulou; Amulette du Strigide; Alliance Gloursonne; Anneau de Padgref; Quatre-feuilles; Ceintacé; Némès de Tal Kasha; Chevelure de Tal Kasha; Bottes Trithon; Dolmanax; Dofus Pourpre; Dofus des Glaces; Dofus Turquoise; Vigoureux majeur; Remueur; Muldo Prune et Emeraude</t>
        </is>
      </c>
    </row>
    <row r="30209">
      <c r="A30209" t="inlineStr">
        <is>
          <t>PVP agi ret</t>
        </is>
      </c>
      <c r="B30209">
        <f>HYPERLINK("https://www.dofusbook.net/fr/equipement/1677678-pvp-agi-ret/objets", "link")</f>
        <v/>
      </c>
      <c r="C30209" t="n">
        <v>0</v>
      </c>
      <c r="D30209" t="inlineStr">
        <is>
          <t>Manthache; Collier du Valet Veinard; Gant du Valet Veinard; Alliance Gloursonne; Sept ans de malheur; Menoture; Dorabysses; Chevelure de Tal Kasha; Palmes Trithons; Dofus Abyssal; Dolmanax; Étourdisseur majeur; Nomade; Cascadeur majeur; Remueur; Croum</t>
        </is>
      </c>
    </row>
    <row r="30210">
      <c r="A30210" t="inlineStr">
        <is>
          <t>Pvm fo</t>
        </is>
      </c>
      <c r="B30210">
        <f>HYPERLINK("https://www.dofusbook.net/fr/equipement/1677634-pvm-fo/objets", "link")</f>
        <v/>
      </c>
      <c r="C30210" t="n">
        <v>0</v>
      </c>
      <c r="D30210" t="inlineStr">
        <is>
          <t>Baguette Hernelle; Amulette du Strigide; Anneau du Katcheur; Bague Gloursonne; Quatre-feuilles; Ceintacé; Casque de Missiz Frizz; Voile d'encre; Bottes du Strigide; Dofus Pourpre; Dofus Turquoise; Dofus des Glaces; Remueur; Nomade; Vigoureux majeur; Pioute vert</t>
        </is>
      </c>
    </row>
    <row r="30211">
      <c r="A30211" t="inlineStr">
        <is>
          <t>PVP inte</t>
        </is>
      </c>
      <c r="B30211">
        <f>HYPERLINK("https://www.dofusbook.net/fr/equipement/1677484-pvp-inte/objets", "link")</f>
        <v/>
      </c>
      <c r="C30211" t="n">
        <v>0</v>
      </c>
      <c r="D30211" t="inlineStr">
        <is>
          <t>Baguette de Malléfisk; Amulette de Nileza; Anneau de Nidas; Anneau Tique; Sept ans de malheur; Ceinture de Vortex; Couronne de Nidas; Voile d'encre; Pataugastrique; Dofus Cawotte; Étourdisseur majeur; Nomade; Érudit majeur; Temporiseur majeur; Remueur; El Scarador</t>
        </is>
      </c>
    </row>
    <row r="30212">
      <c r="A30212" t="inlineStr">
        <is>
          <t>PVP retiro fo</t>
        </is>
      </c>
      <c r="B30212">
        <f>HYPERLINK("https://www.dofusbook.net/fr/equipement/1677433-pvp-retiro-fo/objets", "link")</f>
        <v/>
      </c>
      <c r="C30212" t="n">
        <v>0</v>
      </c>
      <c r="D30212" t="inlineStr">
        <is>
          <t>Marteau R'ture; Amulette du Strigide; Anneau Crustique; Bague Gloursonne; Sept ans de malheur; Ceintacé; Chapoulpe; Ankhape; Tentassons; Dolmanax; Remueur; Enragé majeur; Nomade; Carapace Eau majeur; Étourdisseur majeur; Croum</t>
        </is>
      </c>
    </row>
    <row r="30213">
      <c r="A30213" t="inlineStr">
        <is>
          <t>PVM fo</t>
        </is>
      </c>
      <c r="B30213">
        <f>HYPERLINK("https://www.dofusbook.net/fr/equipement/1677369-pvm-fo/objets", "link")</f>
        <v/>
      </c>
      <c r="C30213" t="n">
        <v>0</v>
      </c>
      <c r="D30213" t="inlineStr">
        <is>
          <t>Dagues de Srambad; Amulette Luminescente; Alliance Gloursonne; Bague Gloursonne; Bouclier alvéolé; Ceinture de la Reine des Voleurs; Coiffe de la Reine des Voleurs; Cape Luminescente; Bottes de la Reine des Voleurs; Dofus Pourpre; Dofus des Glaces; Dofus Ocre; Dolmanax; Robuste majeur; Féroce majeur; Phortiche</t>
        </is>
      </c>
    </row>
    <row r="30214">
      <c r="A30214" t="inlineStr">
        <is>
          <t>Empujes</t>
        </is>
      </c>
      <c r="B30214">
        <f>HYPERLINK("https://www.dofusbook.net/fr/equipement/1677218-empujes/objets", "link")</f>
        <v/>
      </c>
      <c r="C30214" t="n">
        <v>0</v>
      </c>
      <c r="D30214" t="inlineStr">
        <is>
          <t>Arc du Chalœil; Torquistik; Bague Instable; Bague Trithon; Bouclier précieux; Sangle Ouare; Masque de Koutoulou; Cape du Cœur Vaillant; Bottes Trithon; Dofus Abyssal; Dokoko; Culbuteur majeur; Pousseur majeur; Remueur; Bousculeur majeur; Croum</t>
        </is>
      </c>
    </row>
    <row r="30215">
      <c r="A30215" t="inlineStr">
        <is>
          <t>Grupal</t>
        </is>
      </c>
      <c r="B30215">
        <f>HYPERLINK("https://www.dofusbook.net/fr/equipement/1677157-grupal/objets", "link")</f>
        <v/>
      </c>
      <c r="C30215" t="n">
        <v>0</v>
      </c>
      <c r="D30215" t="inlineStr">
        <is>
          <t>Hache Téroïde; Amulette du Strigide; Bague Gloursonne; Bracelet du Piloztère; Bouclier alvéolé; Ceintacé; Chapeau de Gein; Voile d'encre; Bottes du Strigide; Dolmanax; Dofus Pourpre; Dofus Turquoise; Nomade; Vigoureux majeur; Remueur; Croum</t>
        </is>
      </c>
    </row>
    <row r="30216">
      <c r="A30216" t="inlineStr">
        <is>
          <t>Grupal inte agua</t>
        </is>
      </c>
      <c r="B30216">
        <f>HYPERLINK("https://www.dofusbook.net/fr/equipement/1677106-grupal-inte-agua/objets", "link")</f>
        <v/>
      </c>
      <c r="C30216" t="n">
        <v>0</v>
      </c>
      <c r="D30216" t="inlineStr">
        <is>
          <t>Pyraguette; Collier de la Dame du Hasard; Anneauræus; Alliance Gloursonne; Sept ans de malheur; Ceinture de Vortex; Casquette de Meno; Cape de la Dame du Hasard; Pataugastrique; Dofus Pourpre; Dolmanax; Dofus des Glaces; Remueur; Nomade; Étourdisseur majeur; El Scarador</t>
        </is>
      </c>
    </row>
    <row r="30217">
      <c r="A30217" t="inlineStr">
        <is>
          <t>Full curas</t>
        </is>
      </c>
      <c r="B30217">
        <f>HYPERLINK("https://www.dofusbook.net/fr/equipement/1677062-full-curas/objets", "link")</f>
        <v/>
      </c>
      <c r="C30217" t="n">
        <v>0</v>
      </c>
      <c r="D30217" t="inlineStr">
        <is>
          <t>Harpelle; Pendentif affamé; Anneau Tamie; Anneau Tamie; Bouclier du Cycloïde; Ceinture Séculaire; Coiffe Séculaire; Cape de Nileza; Pataugastrique; Dolmanax; Érudit majeur; Nomade; Docteur majeur; Guérisseur majeur; Remueur; Pioute rouge</t>
        </is>
      </c>
    </row>
    <row r="30218">
      <c r="A30218" t="inlineStr">
        <is>
          <t>Pvm inte agi</t>
        </is>
      </c>
      <c r="B30218">
        <f>HYPERLINK("https://www.dofusbook.net/fr/equipement/1677033-pvm-inte-agi/objets", "link")</f>
        <v/>
      </c>
      <c r="C30218" t="n">
        <v>0</v>
      </c>
      <c r="D30218" t="inlineStr">
        <is>
          <t>Baguette Hernelle; Amulette du Strigide; Anneau Tique; Anneau de Padgref; Quatre-feuilles; Ceinture du Strigide; Coiffe de Padgref; Cape d'Atcham; Getas de Padgref; Dofus Pourpre; Dolmanax; Dofus Turquoise; Dofus des Glaces; Dofus Ocre; Savant majeur; Muldo Prune et Emeraude</t>
        </is>
      </c>
    </row>
    <row r="30219">
      <c r="A30219" t="inlineStr">
        <is>
          <t>Grupal da cri</t>
        </is>
      </c>
      <c r="B30219">
        <f>HYPERLINK("https://www.dofusbook.net/fr/equipement/1676974-grupal-da-cri/objets", "link")</f>
        <v/>
      </c>
      <c r="C30219" t="n">
        <v>0</v>
      </c>
      <c r="D30219" t="inlineStr">
        <is>
          <t>Arc Nécrotique; Amulette du Strigide; Alliance Gloursonne; Bague Trithon; Quatre-feuilles; Ceintrigue; Kidibonnet; Cape de la Dame du Hasard; Bottes de la Dame du Hasard; Dofus Turquoise; Dofus Nébuleux; Dofus Pourpre; Nomade; Vigoureux majeur; Remueur; El Scarador</t>
        </is>
      </c>
    </row>
    <row r="30220">
      <c r="A30220" t="inlineStr">
        <is>
          <t>Grupal multi</t>
        </is>
      </c>
      <c r="B30220">
        <f>HYPERLINK("https://www.dofusbook.net/fr/equipement/1676866-grupal-multi/objets", "link")</f>
        <v/>
      </c>
      <c r="C30220" t="n">
        <v>0</v>
      </c>
      <c r="D30220" t="inlineStr">
        <is>
          <t>Arc du Chalœil; Amulette du Strigide; Bague Gloursonne; Anneau de Brouce; Quatre-feuilles; Ceinture du Strigide; Masque de Koutoulou; Voile d'encre; Bottes Trithon; Dofus des Glaces; Dofus Pourpre; Dofus Turquoise; Nomade; Vigoureux majeur; Remueur; El Scarador</t>
        </is>
      </c>
    </row>
    <row r="30221">
      <c r="A30221" t="inlineStr">
        <is>
          <t>PVM multi</t>
        </is>
      </c>
      <c r="B30221">
        <f>HYPERLINK("https://www.dofusbook.net/fr/equipement/1676816-pvm-multi/objets", "link")</f>
        <v/>
      </c>
      <c r="C30221" t="n">
        <v>0</v>
      </c>
      <c r="D30221" t="inlineStr">
        <is>
          <t>Hache du Chalœil; Amulette du Strigide; Bague Gloursonne; Bracelet du Piloztère; Quatre-feuilles; Ceintacé; Couronne du Roi Joueur; Voile d'encre; Bottes du Strigide; Dofus des Glaces; Dofus Turquoise; Remueur; Nomade; Chanceux majeur; Vigoureux majeur; Kroliméa</t>
        </is>
      </c>
    </row>
    <row r="30222">
      <c r="A30222" t="inlineStr">
        <is>
          <t>PVP suerte</t>
        </is>
      </c>
      <c r="B30222">
        <f>HYPERLINK("https://www.dofusbook.net/fr/equipement/1676778-pvp-suerte/objets", "link")</f>
        <v/>
      </c>
      <c r="C30222" t="n">
        <v>0</v>
      </c>
      <c r="D30222" t="inlineStr">
        <is>
          <t>Rapière aux Glyphes; Amulette du Piloztère; Alliance Gloursonne; Bracelet des Fonds marins; Cadran de Terre; Poulpagne; Kidibonnet; Cape du Sinistrofu; Bottes du Sinistrofu; Dofus Pourpre; Dofus Abyssal; Vigoureux majeur; Nomade; Chanceux majeur; Remueur; Croum</t>
        </is>
      </c>
    </row>
    <row r="30223">
      <c r="A30223" t="inlineStr">
        <is>
          <t>PVp agi</t>
        </is>
      </c>
      <c r="B30223">
        <f>HYPERLINK("https://www.dofusbook.net/fr/equipement/1676751-pvp-agi/objets", "link")</f>
        <v/>
      </c>
      <c r="C30223" t="n">
        <v>0</v>
      </c>
      <c r="D30223" t="inlineStr">
        <is>
          <t>Manthache; Collier du Valet Veinard; Gant du Valet Veinard; Alliance Gloursonne; Bouclier du Stalak; Menoture; Dorabysses; Cape du Kamasterisk; Palmes Trithons; Dolmanax; Dofus Abyssal; Dofus Cawotte; Remueur; Nomade; Cascadeur majeur; El Scarador</t>
        </is>
      </c>
    </row>
    <row r="30224">
      <c r="A30224" t="inlineStr">
        <is>
          <t>Pvm agi</t>
        </is>
      </c>
      <c r="B30224">
        <f>HYPERLINK("https://www.dofusbook.net/fr/equipement/1676717-pvm-agi/objets", "link")</f>
        <v/>
      </c>
      <c r="C30224" t="n">
        <v>0</v>
      </c>
      <c r="D30224" t="inlineStr">
        <is>
          <t>Manthache; Collier du Valet Veinard; Anneau d'Allister; Alliance Gloursonne; Bouclier du Stalak; Menoture; Couronne d'Allister; Cape Indescriptible; Palmes Trithons; Dolmanax; Dofus Pourpre; Vigoureux majeur; Nomade; Cascadeur majeur; Remueur; Pioute jaune</t>
        </is>
      </c>
    </row>
    <row r="30225">
      <c r="A30225" t="inlineStr">
        <is>
          <t>pvp 1v1</t>
        </is>
      </c>
      <c r="B30225">
        <f>HYPERLINK("https://www.dofusbook.net/fr/equipement/1676645-pvp-1v1/objets", "link")</f>
        <v/>
      </c>
      <c r="C30225" t="n">
        <v>0</v>
      </c>
      <c r="D30225" t="inlineStr">
        <is>
          <t>Epée Gloursonne; Amulette du Kamasterisk; Bague Gloursonne; Alliance Gloursonne; Bouclier Taverne; Ceinture de la Reine des Voleurs; Coiffe de la Reine des Voleurs; Cape du Kamasterisk; Bottes de la Reine des Voleurs; Dofus Turquoise; Dokoko; Dofus Ocre; Dofus Abyssal; Dofus Pourpre; Dolmanax; Muldo Ebène et Orchidée</t>
        </is>
      </c>
    </row>
    <row r="30226">
      <c r="A30226" t="inlineStr">
        <is>
          <t>Grupal agi</t>
        </is>
      </c>
      <c r="B30226">
        <f>HYPERLINK("https://www.dofusbook.net/fr/equipement/1676520-grupal-agi/objets", "link")</f>
        <v/>
      </c>
      <c r="C30226" t="n">
        <v>0</v>
      </c>
      <c r="D30226" t="inlineStr">
        <is>
          <t>Manthache; Collier du Valet Veinard; Alliance Gloursonne; Gant du Valet Veinard; Bouclier du Stalak; Menoture; Dorabysses; Chevelure de Tal Kasha; Palmes Trithons; Dofus Pourpre; Dofus Abyssal; Dolmanax; Nomade; Cascadeur majeur; Remueur; Croum</t>
        </is>
      </c>
    </row>
    <row r="30227">
      <c r="A30227" t="inlineStr">
        <is>
          <t>PVP multi</t>
        </is>
      </c>
      <c r="B30227">
        <f>HYPERLINK("https://www.dofusbook.net/fr/equipement/1676391-pvp-multi/objets", "link")</f>
        <v/>
      </c>
      <c r="C30227" t="n">
        <v>0</v>
      </c>
      <c r="D30227" t="inlineStr">
        <is>
          <t>Héqache; Amulette du Strigide; Bracelet du Piloztère; Bague Gloursonne; Cadran d'Eau; Ceintacé; Chapoulpe; Voile d'encre; Bottes du Strigide; Dofus Turquoise; Dolmanax; Dofus Pourpre; Remueur; Nomade; Vigoureux majeur; Croum</t>
        </is>
      </c>
    </row>
    <row r="30228">
      <c r="A30228" t="inlineStr">
        <is>
          <t>Pvm multi</t>
        </is>
      </c>
      <c r="B30228">
        <f>HYPERLINK("https://www.dofusbook.net/fr/equipement/1674555-pvm-multi/objets", "link")</f>
        <v/>
      </c>
      <c r="C30228" t="n">
        <v>0</v>
      </c>
      <c r="D30228" t="inlineStr">
        <is>
          <t>Héqache; Amulette du Strigide; Bracelet du Piloztère; Bague Gloursonne; Bouclier du Captain Amakna; Ceinture du Strigide; Masque de Koutoulou; Cape au Logis; Bottes Trithon; Dofus Turquoise; Dolmanax; Dofus Pourpre; Remueur; Enragé majeur; Vigoureux majeur; Kroliméa</t>
        </is>
      </c>
    </row>
    <row r="30229">
      <c r="A30229" t="inlineStr">
        <is>
          <t>Pvm Agi</t>
        </is>
      </c>
      <c r="B30229">
        <f>HYPERLINK("https://www.dofusbook.net/fr/equipement/1674518-pvm-agi/objets", "link")</f>
        <v/>
      </c>
      <c r="C30229" t="n">
        <v>0</v>
      </c>
      <c r="D30229" t="inlineStr">
        <is>
          <t>Manthache; Collier du Valet Veinard; Gant du Valet Veinard; Alliance Gloursonne; Bouclier du Stalak; Menoture; Capuche de Moum-Ra; Cape Indescriptible; Palmes Trithons; Dofus Pourpre; Dolmanax; Remueur; Vigoureux majeur; Nomade; Cascadeur majeur; Pioute jaune</t>
        </is>
      </c>
    </row>
    <row r="30230">
      <c r="A30230" t="inlineStr">
        <is>
          <t>Grupal inte</t>
        </is>
      </c>
      <c r="B30230">
        <f>HYPERLINK("https://www.dofusbook.net/fr/equipement/1674478-grupal-inte/objets", "link")</f>
        <v/>
      </c>
      <c r="C30230" t="n">
        <v>0</v>
      </c>
      <c r="D30230" t="inlineStr">
        <is>
          <t>Arc Hétype; Amulette d'Otomaï; Anneau Rifique; Anneau Tique; Bouclier du Stalak; Ceinture de Vortex; Casque Cyclopéen; Voile d'encre; Pataugastrique; Dolmanax; Dofus des Glaces; Érudit majeur; Nomade; Dévastateur Feu majeur; Remueur; El Scarador</t>
        </is>
      </c>
    </row>
    <row r="30231">
      <c r="A30231" t="inlineStr">
        <is>
          <t>Grupal cha</t>
        </is>
      </c>
      <c r="B30231">
        <f>HYPERLINK("https://www.dofusbook.net/fr/equipement/1674431-grupal-cha/objets", "link")</f>
        <v/>
      </c>
      <c r="C30231" t="n">
        <v>0</v>
      </c>
      <c r="D30231" t="inlineStr">
        <is>
          <t>Rapière aux Glyphes; Amulette du Piloztère; Bracelet des Fonds marins; Alliance Gloursonne; Bouclier du Stalak; Poulpagne; Kidibonnet; Cape du Sinistrofu; Bottes du Sinistrofu; Dofus des Glaces; Dofus Pourpre; Remueur; Chanceux majeur; Nomade; Dévastateur Eau majeur; El Scarador</t>
        </is>
      </c>
    </row>
    <row r="30232">
      <c r="A30232" t="inlineStr">
        <is>
          <t>Pvm agi</t>
        </is>
      </c>
      <c r="B30232">
        <f>HYPERLINK("https://www.dofusbook.net/fr/equipement/1674413-pvm-agi/objets", "link")</f>
        <v/>
      </c>
      <c r="C30232" t="n">
        <v>0</v>
      </c>
      <c r="D30232" t="inlineStr">
        <is>
          <t>Manthache; Collier du Valet Veinard; Anneau d'Allister; Alliance Gloursonne; Bouclier du Stalak; Menoture; Couronne d'Allister; Cape Indescriptible; Palmes Trithons; Dofus Pourpre; Dofus des Glaces; Dévastateur Air majeur; Nomade; Cascadeur majeur; Remueur; Pioute jaune</t>
        </is>
      </c>
    </row>
    <row r="30233">
      <c r="A30233" t="inlineStr">
        <is>
          <t>Inte</t>
        </is>
      </c>
      <c r="B30233">
        <f>HYPERLINK("https://www.dofusbook.net/fr/equipement/1674396-inte/objets", "link")</f>
        <v/>
      </c>
      <c r="C30233" t="n">
        <v>0</v>
      </c>
      <c r="D30233" t="inlineStr">
        <is>
          <t>Arc corrompu; Pendentif affamé; Anneau Tamie; Anneau Tamie; Bouclier du Stalak; Ceinture Séculaire; Coiffe Séculaire; Cape de Diondin; Bottes Innommables; Dofus des Glaces; Dévastateur Feu majeur; Remueur; Vigoureux majeur; Nomade; Érudit majeur; Pioute rouge</t>
        </is>
      </c>
    </row>
    <row r="30234">
      <c r="A30234" t="inlineStr">
        <is>
          <t>PVM suerte</t>
        </is>
      </c>
      <c r="B30234">
        <f>HYPERLINK("https://www.dofusbook.net/fr/equipement/1674362-pvm-suerte/objets", "link")</f>
        <v/>
      </c>
      <c r="C30234" t="n">
        <v>0</v>
      </c>
      <c r="D30234" t="inlineStr">
        <is>
          <t>Pyraguette; Talisman Igans; Alliance Gloursonne; Bracelet du Piloztère; Bouclier du Stalak; Ceintrigue; Casquette de Meno; Cape de la Dame du Hasard; Pataugastrique; Dolmanax; Dofus Pourpre; Nomade; Vigoureux majeur; Fonceur majeur; Remueur; Kroliméa</t>
        </is>
      </c>
    </row>
    <row r="30235">
      <c r="A30235" t="inlineStr">
        <is>
          <t>Placlaje</t>
        </is>
      </c>
      <c r="B30235">
        <f>HYPERLINK("https://www.dofusbook.net/fr/equipement/1674300-placlaje/objets", "link")</f>
        <v/>
      </c>
      <c r="C30235" t="n">
        <v>0</v>
      </c>
      <c r="D30235" t="inlineStr">
        <is>
          <t>Héqache; Amulette du Strigide; Bague Trithon; Alliance Gloursonne; Bouclier d'Anerice; Ceinture de XLII; Kidibonnet; Voile d'encre; Bottes de XLII; Fonceur majeur; Remueur; Bloqueur majeur; Nomade; Carapace Terre majeur; Obstructeur majeur; Blokus</t>
        </is>
      </c>
    </row>
    <row r="30236">
      <c r="A30236" t="inlineStr">
        <is>
          <t>Grupal suerte</t>
        </is>
      </c>
      <c r="B30236">
        <f>HYPERLINK("https://www.dofusbook.net/fr/equipement/1674256-grupal-suerte/objets", "link")</f>
        <v/>
      </c>
      <c r="C30236" t="n">
        <v>0</v>
      </c>
      <c r="D30236" t="inlineStr">
        <is>
          <t>Rapière aux Glyphes; Amulette de l'Œil Attentif; Alliance Gloursonne; Bracelet des Fonds marins; Bouclier du Stalak; Ceinture Glaciale; Kidibonnet; Cape de l'Œil Attentif; Bottes de Meno; Dofus Abyssal; Dolmanax; Nomade; Chanceux majeur; Carapace Eau majeur; Remueur; El Scarador</t>
        </is>
      </c>
    </row>
    <row r="30237">
      <c r="A30237" t="inlineStr">
        <is>
          <t>Grupal inte</t>
        </is>
      </c>
      <c r="B30237">
        <f>HYPERLINK("https://www.dofusbook.net/fr/equipement/1674216-grupal-inte/objets", "link")</f>
        <v/>
      </c>
      <c r="C30237" t="n">
        <v>0</v>
      </c>
      <c r="D30237" t="inlineStr">
        <is>
          <t>Arc Hétype; Amulette de Nileza; Anneau Tique; Anneau de Nidas; Bouclier d'Anerice; Ceinture de Vortex; Voile d'encre; Pataugastrique; Dofus Abyssal; Dolmanax; Remueur; Nomade; Fonceur majeur; Érudit majeur; Croum</t>
        </is>
      </c>
    </row>
    <row r="30238">
      <c r="A30238" t="inlineStr">
        <is>
          <t>Retiro</t>
        </is>
      </c>
      <c r="B30238">
        <f>HYPERLINK("https://www.dofusbook.net/fr/equipement/1674181-retiro/objets", "link")</f>
        <v/>
      </c>
      <c r="C30238" t="n">
        <v>0</v>
      </c>
      <c r="D30238" t="inlineStr">
        <is>
          <t>Arc Hétype; Collier de la Dame du Hasard; Anneau Tamie; Anneau de Nidas; Bouclier cubiste; Ceinture Instable; Couronne de Nidas; Cape de Léthaline; Pataugastrique; Érudit majeur; Entraveur majeur; Temporiseur; Temporiseur majeur; Ralentisseur majeur; Remueur; Dragoune Noire</t>
        </is>
      </c>
    </row>
    <row r="30239">
      <c r="A30239" t="inlineStr">
        <is>
          <t>pvp 1v1</t>
        </is>
      </c>
      <c r="B30239">
        <f>HYPERLINK("https://www.dofusbook.net/fr/equipement/1674072-pvp-1v1/objets", "link")</f>
        <v/>
      </c>
      <c r="C30239" t="n">
        <v>0</v>
      </c>
      <c r="D30239" t="inlineStr">
        <is>
          <t>Dagues de Srambad; Amulette Luminescente; Pikano; Alliance Gloursonne; Bouclier cubiste; Ceinture de la Reine des Voleurs; Coiffe de la Reine des Voleurs; Cape Luminescente; Bottes de la Reine des Voleurs; Dofus Pourpre; Dokoko; Dofus Ocre; Dolmanax; Dofus des Glaces; Ralentisseur majeur; Muldo Ebène et Indigo</t>
        </is>
      </c>
    </row>
    <row r="30240">
      <c r="A30240" t="inlineStr">
        <is>
          <t>Grupal inte</t>
        </is>
      </c>
      <c r="B30240">
        <f>HYPERLINK("https://www.dofusbook.net/fr/equipement/1674009-grupal-inte/objets", "link")</f>
        <v/>
      </c>
      <c r="C30240" t="n">
        <v>0</v>
      </c>
      <c r="D30240" t="inlineStr">
        <is>
          <t>Arc Hétype; Amulette de Nileza; Anneau de Nidas; Anneau Tique; Bouclier cubiste; Ceinture de Vortex; Couronne de Nidas; Voile d'encre; Pataugastrique; Dolmanax; Temporiseur majeur; Remueur; Vagabond majeur; Déserteur majeur; Érudit majeur; Muldo Ebène et Pourpre</t>
        </is>
      </c>
    </row>
    <row r="30241">
      <c r="A30241" t="inlineStr">
        <is>
          <t>Grupal resis</t>
        </is>
      </c>
      <c r="B30241">
        <f>HYPERLINK("https://www.dofusbook.net/fr/equipement/1673959-grupal-resis/objets", "link")</f>
        <v/>
      </c>
      <c r="C30241" t="n">
        <v>0</v>
      </c>
      <c r="D30241" t="inlineStr">
        <is>
          <t>Arc Hétype; Pendentif affamé; Anneau Tique; Anneau de Nidas; Bouclier d'Anerice; Ceinture de Vortex; Masque d'Anerice; Voile d'encre; Pataugastrique; Dolmanax; Temporiseur majeur; Déserteur majeur; Remueur; Érudit majeur; Nomade; Croum</t>
        </is>
      </c>
    </row>
    <row r="30242">
      <c r="A30242" t="inlineStr">
        <is>
          <t>Stuff 3</t>
        </is>
      </c>
      <c r="B30242">
        <f>HYPERLINK("https://www.dofusbook.net/fr/equipement/464095-stuff-3/objets", "link")</f>
        <v/>
      </c>
      <c r="C30242" t="n">
        <v>0</v>
      </c>
      <c r="D30242" t="inlineStr">
        <is>
          <t>Épouvante; Amulette Luminescente; Bracelet du Piloztère; Bague Gloursonne; Quatre-feuilles; Ceinture Luminescente; Masque de Koutoulou; Voile d'encre; Bottes Trithon; Dofus Pourpre; Dofus Turquoise; Dolmanax; Nomade; Temporiseur majeur; Remueur; Croum</t>
        </is>
      </c>
    </row>
    <row r="30243">
      <c r="A30243" t="inlineStr">
        <is>
          <t>Stuff 2</t>
        </is>
      </c>
      <c r="B30243">
        <f>HYPERLINK("https://www.dofusbook.net/fr/equipement/464094-stuff-2/objets", "link")</f>
        <v/>
      </c>
      <c r="C30243" t="n">
        <v>1</v>
      </c>
      <c r="D30243" t="inlineStr">
        <is>
          <t>Baguette Range; Amulette du Strigide; Anneau Tique; Anneau de Padgref; Bouclier d'Anerice; Ceinture du Strigide; Coiffe de Padgref; Cape d'Anerice; Getas de Padgref; Dofus Nébuleux; Dofus Ocre; Dofus Pourpre; Dolmanax; Dofus Turquoise; Dofus des Glaces; Muldo Orchidée</t>
        </is>
      </c>
    </row>
    <row r="30244">
      <c r="A30244" t="inlineStr">
        <is>
          <t>Stuff 1</t>
        </is>
      </c>
      <c r="B30244">
        <f>HYPERLINK("https://www.dofusbook.net/fr/equipement/464093-stuff-1/objets", "link")</f>
        <v/>
      </c>
      <c r="C30244" t="n">
        <v>0</v>
      </c>
      <c r="D30244" t="inlineStr">
        <is>
          <t>Baguette Range; Amulette du Strigide; Anneau de Padgref; Anneau Tique; Quatre-feuilles; Ceinture du Strigide; Coiffe de Padgref; Cape d'Atcham; Getas de Padgref; Dofus des Glaces; Dofus Turquoise; Dolmanax; Dofus Ocre; Dofus Nébuleux; Dofus Pourpre; Muldo Orchidée</t>
        </is>
      </c>
    </row>
    <row r="30245">
      <c r="A30245" t="inlineStr">
        <is>
          <t>Eau</t>
        </is>
      </c>
      <c r="B30245">
        <f>HYPERLINK("https://www.dofusbook.net/fr/equipement/5904680-eau/objets", "link")</f>
        <v/>
      </c>
      <c r="C30245" t="n">
        <v>0</v>
      </c>
      <c r="D30245" t="inlineStr"/>
    </row>
    <row r="30246">
      <c r="A30246" t="inlineStr">
        <is>
          <t>Terre pvm</t>
        </is>
      </c>
      <c r="B30246">
        <f>HYPERLINK("https://www.dofusbook.net/fr/equipement/5885581-terre-pvm/objets", "link")</f>
        <v/>
      </c>
      <c r="C30246" t="n">
        <v>0</v>
      </c>
      <c r="D30246" t="inlineStr">
        <is>
          <t>Arc du Chalœil; Amulette du Strigide; Anneau Volkorne; Anneau Chevelu; Quatre-feuilles; Ceinture Volkorne; Masque de Koutoulou; Cape au Logis; Bottes du Cœur Saignant; Dofus Émeraude; Dofus des Glaces; Dofus Ocre; Dofus Turquoise; Dofus Pourpre; Enragé majeur; Pioute vert</t>
        </is>
      </c>
    </row>
    <row r="30247">
      <c r="A30247" t="inlineStr">
        <is>
          <t>terre</t>
        </is>
      </c>
      <c r="B30247">
        <f>HYPERLINK("https://www.dofusbook.net/fr/equipement/5433352-terre/objets", "link")</f>
        <v/>
      </c>
      <c r="C30247" t="n">
        <v>54</v>
      </c>
      <c r="D30247" t="inlineStr">
        <is>
          <t>Arc du Chalœil; Collier de Tourthon; Anneau Volkorne; Bracelet du Piloztère; Quatre-feuilles; Ceinture Volkorne; Masque de Koutoulou; Cape au Logis; Bottes du Cœur Saignant; Dofus Turquoise; Dofus Pourpre; Dofus Émeraude; Dofus des Glaces; Dolmanax; Dofus Ocre; Bwak de Terre</t>
        </is>
      </c>
    </row>
    <row r="30248">
      <c r="A30248" t="inlineStr">
        <is>
          <t>Eniripsa</t>
        </is>
      </c>
      <c r="B30248">
        <f>HYPERLINK("https://www.dofusbook.net/fr/equipement/6002528-eniripsa-/objets", "link")</f>
        <v/>
      </c>
      <c r="C30248" t="n">
        <v>0</v>
      </c>
      <c r="D30248" t="inlineStr">
        <is>
          <t>Arc corrompu; Amulette de Nileza; Anneauræus; Bague Gloursonne; Bouclier du Cycloïde; Croture; Heaume Oplate; Cape de Nileza; Bottes Innommables; Dofus Turquoise; Miraculé majeur; Nomade; Guérisseur majeur; Remueur; Érudit majeur; Bisouglours</t>
        </is>
      </c>
    </row>
    <row r="30249">
      <c r="A30249" t="inlineStr">
        <is>
          <t>Eniripsa F 200</t>
        </is>
      </c>
      <c r="B30249">
        <f>HYPERLINK("https://www.dofusbook.net/fr/equipement/4222249-eniripsa-f-200/objets", "link")</f>
        <v/>
      </c>
      <c r="C30249" t="n">
        <v>4</v>
      </c>
      <c r="D30249" t="inlineStr">
        <is>
          <t>Arc corrompu; Amulette Séculaire; Bague Gloursonne; Anneauræus; Bouclier du Cycloïde; Ceinture Séculaire; Heaume Oplate; Voile d'encre; Bottes d'Otomaï; Dofus Turquoise; Miraculé majeur; Guérisseur majeur; Nomade; Érudit majeur; Remueur; Bisouglours</t>
        </is>
      </c>
    </row>
    <row r="30250">
      <c r="A30250" t="inlineStr">
        <is>
          <t>Air</t>
        </is>
      </c>
      <c r="B30250">
        <f>HYPERLINK("https://www.dofusbook.net/fr/equipement/5904858-air/objets", "link")</f>
        <v/>
      </c>
      <c r="C30250" t="n">
        <v>7</v>
      </c>
      <c r="D30250" t="inlineStr">
        <is>
          <t>Manthache; Collier du Valet Veinard; Gant du Valet Veinard; Alliance Gloursonne; Bouclier du Stalak; Menoture; Casque Dragoeuf; Cape Martegel; Palmes Trithons; Dofus Ocre; Dofus Pourpre; Dofus Émeraude; Dofus des Glaces; Cascadeur majeur; Chachyène</t>
        </is>
      </c>
    </row>
    <row r="30251">
      <c r="A30251" t="inlineStr">
        <is>
          <t>Numismate</t>
        </is>
      </c>
      <c r="B30251">
        <f>HYPERLINK("https://www.dofusbook.net/fr/equipement/5760810-numismate/objets", "link")</f>
        <v/>
      </c>
      <c r="C30251" t="n">
        <v>1</v>
      </c>
      <c r="D30251" t="inlineStr"/>
    </row>
    <row r="30252">
      <c r="A30252" t="inlineStr">
        <is>
          <t>Eau retrait PM</t>
        </is>
      </c>
      <c r="B30252">
        <f>HYPERLINK("https://www.dofusbook.net/fr/equipement/5964587-eau-retrait-pm/objets", "link")</f>
        <v/>
      </c>
      <c r="C30252" t="n">
        <v>0</v>
      </c>
      <c r="D30252" t="inlineStr">
        <is>
          <t>Baguette Hique; Amulette de Shokkoth; Alliance Gloursonne; Pikano; Bouclier cubiste; Ceinture Glaciale; Kidibonnet; Cape de la Dame du Hasard; Bottes de la Dame du Hasard; Remueur; Miraculé majeur; Temporiseur majeur; Entraveur majeur; Nomade; Ralentisseur majeur; Léopardo</t>
        </is>
      </c>
    </row>
    <row r="30253">
      <c r="A30253" t="inlineStr">
        <is>
          <t>Feu</t>
        </is>
      </c>
      <c r="B30253">
        <f>HYPERLINK("https://www.dofusbook.net/fr/equipement/757840-feu/objets", "link")</f>
        <v/>
      </c>
      <c r="C30253" t="n">
        <v>1</v>
      </c>
      <c r="D30253" t="inlineStr">
        <is>
          <t>Arc corrompu; Amulette de Nileza; Bague Gloursonne; Anneauræus; Bouclier du Stalak; Croture; Heaume Oplate; Cape de Nileza; Bottes Innommables; Érudit majeur; Nomade; Miraculé majeur; Remueur</t>
        </is>
      </c>
    </row>
    <row r="30254">
      <c r="A30254" t="inlineStr">
        <is>
          <t>multi pvm</t>
        </is>
      </c>
      <c r="B30254">
        <f>HYPERLINK("https://www.dofusbook.net/fr/equipement/4606725-multi-pvm/objets", "link")</f>
        <v/>
      </c>
      <c r="C30254" t="n">
        <v>9</v>
      </c>
      <c r="D30254" t="inlineStr">
        <is>
          <t>Hache du Chalœil; Amulette Volkorne; Bracelet du Piloztère; Anneau Volkorne; Quatre-feuilles; Ceinture Volkorne; Le Dorado; Cape de Jahash Jurgen; Bottes du Cycloïde; Dolmanax; Dofus Ocre; Dofus Turquoise; Dofus Pourpre; Dofus Émeraude; Dofus des Glaces; Kokulte</t>
        </is>
      </c>
    </row>
    <row r="30255">
      <c r="A30255" t="inlineStr">
        <is>
          <t>Tank</t>
        </is>
      </c>
      <c r="B30255">
        <f>HYPERLINK("https://www.dofusbook.net/fr/equipement/1411510-tank/objets", "link")</f>
        <v/>
      </c>
      <c r="C30255" t="n">
        <v>0</v>
      </c>
      <c r="D30255" t="inlineStr">
        <is>
          <t>Rouleau à Pâtisserie d'Aermyne; Collier Rophante; Anneau de Pol Ouatnos; Alliance Gloursonne; Sept ans de malheur; Ceintacé; Masque d'Anerice; Cape d'Anerice; Pataugastrique; Dofus Émeraude; Dokoko; Obstructeur majeur; Obstructeur; Miraculé majeur; Tacleur majeur; Givrefoux</t>
        </is>
      </c>
    </row>
    <row r="30256">
      <c r="A30256" t="inlineStr">
        <is>
          <t>Sadida air</t>
        </is>
      </c>
      <c r="B30256">
        <f>HYPERLINK("https://www.dofusbook.net/fr/equipement/5418298-sadida-air/objets", "link")</f>
        <v/>
      </c>
      <c r="C30256" t="n">
        <v>4</v>
      </c>
      <c r="D30256" t="inlineStr">
        <is>
          <t>Manthache; Amibou; Gant du Valet Veinard; Alliance Gloursonne; Bouclier du Stalak; Menoture; Couronne d'Allister; Capibou; Pantoufles Émar; Dofus des Glaces; Blérodoudou</t>
        </is>
      </c>
    </row>
    <row r="30257">
      <c r="A30257" t="inlineStr">
        <is>
          <t>Sadida F 200</t>
        </is>
      </c>
      <c r="B30257">
        <f>HYPERLINK("https://www.dofusbook.net/fr/equipement/5930650-sadida-f-200/objets", "link")</f>
        <v/>
      </c>
      <c r="C30257" t="n">
        <v>0</v>
      </c>
      <c r="D30257" t="inlineStr"/>
    </row>
    <row r="30258">
      <c r="A30258" t="inlineStr">
        <is>
          <t>terre feu</t>
        </is>
      </c>
      <c r="B30258">
        <f>HYPERLINK("https://www.dofusbook.net/fr/equipement/5882228-terre-feu/objets", "link")</f>
        <v/>
      </c>
      <c r="C30258" t="n">
        <v>0</v>
      </c>
      <c r="D30258" t="inlineStr">
        <is>
          <t>Arc du Chalœil; Amulette Volkorne; Chevalière du Roi Joueur; Anneau Volkorne; Bouclier du Stalak; Ceinture Volkorne; Couronne du Roi Joueur; Voile d'encre; Bottes du Roi Joueur; Dolmanax; Dofus Ocre; Dofus Turquoise; Dofus des Glaces; Dofus Émeraude; Dofus Pourpre; Pioute vert</t>
        </is>
      </c>
    </row>
    <row r="30259">
      <c r="A30259" t="inlineStr">
        <is>
          <t>Ouginak F 200</t>
        </is>
      </c>
      <c r="B30259">
        <f>HYPERLINK("https://www.dofusbook.net/fr/equipement/5882063-ouginak-f-200/objets", "link")</f>
        <v/>
      </c>
      <c r="C30259" t="n">
        <v>0</v>
      </c>
      <c r="D30259" t="inlineStr">
        <is>
          <t>Lance Horselé; Collier du Valet Veinard; Alliance Gloursonne; Gant du Valet Veinard; Bouclier Taverne; Menoture; Couronne d'Allister; Cape Martegel; Palmes Trithons; Dofus Ocre; Dofus Pourpre; Remueur; Cascadeur majeur; Nomade; Blérodoudou</t>
        </is>
      </c>
    </row>
    <row r="30260">
      <c r="A30260" t="inlineStr">
        <is>
          <t>feu</t>
        </is>
      </c>
      <c r="B30260">
        <f>HYPERLINK("https://www.dofusbook.net/fr/equipement/4635685-feu/objets", "link")</f>
        <v/>
      </c>
      <c r="C30260" t="n">
        <v>4</v>
      </c>
      <c r="D30260" t="inlineStr">
        <is>
          <t>Arc corrompu; Amulette de Nileza; Anneauræus; Anneauræus; Bouclier du Stalak; Croture; Heaume Oplate; Cape de Nileza; Bottes Innommables; Dofus Émeraude; Dofus Pourpre; Dofus des Glaces; Dofus Ocre; Érudit majeur; Bwak de Feu</t>
        </is>
      </c>
    </row>
    <row r="30261">
      <c r="A30261" t="inlineStr">
        <is>
          <t>Huppermage F 200</t>
        </is>
      </c>
      <c r="B30261">
        <f>HYPERLINK("https://www.dofusbook.net/fr/equipement/3616004-huppermage-f-200/objets", "link")</f>
        <v/>
      </c>
      <c r="C30261" t="n">
        <v>4</v>
      </c>
      <c r="D30261" t="inlineStr">
        <is>
          <t>Manthache; Collier du Valet Veinard; Gant du Valet Veinard; Alliance Gloursonne; Cadran de Terre; Menoture; Casque Volkorne; Cape Martegel; Palmes Trithons; Dofus Pourpre; Dofus Ivoire; Dofus Ocre; Dofus Abyssal; Cascadeur majeur; Étourdisseur majeur</t>
        </is>
      </c>
    </row>
    <row r="30262">
      <c r="A30262" t="inlineStr">
        <is>
          <t>eca</t>
        </is>
      </c>
      <c r="B30262">
        <f>HYPERLINK("https://www.dofusbook.net/fr/equipement/3068065-eca/objets", "link")</f>
        <v/>
      </c>
      <c r="C30262" t="n">
        <v>0</v>
      </c>
      <c r="D30262" t="inlineStr">
        <is>
          <t>Arc du Chalœil; Bague Trithon; Anneau Chevelu; Bouclier du Stalak; Ceinture du Strigide; Masque Trithon; Voile d'encre; Bottes Trithon; Dofus Ocre; Dofus Ivoire; Dofus Pourpre; Dofus des Glaces; Dofus Turquoise; Dofus Abyssal</t>
        </is>
      </c>
    </row>
    <row r="30263">
      <c r="A30263" t="inlineStr">
        <is>
          <t>Enutrof M 200</t>
        </is>
      </c>
      <c r="B30263">
        <f>HYPERLINK("https://www.dofusbook.net/fr/equipement/6015892-enutrof-m-200/objets", "link")</f>
        <v/>
      </c>
      <c r="C30263" t="n">
        <v>0</v>
      </c>
      <c r="D30263" t="inlineStr">
        <is>
          <t>Temporiseur majeur</t>
        </is>
      </c>
    </row>
    <row r="30264">
      <c r="A30264" t="inlineStr">
        <is>
          <t>Xélor M 200</t>
        </is>
      </c>
      <c r="B30264">
        <f>HYPERLINK("https://www.dofusbook.net/fr/equipement/5735326-xelor-m-200/objets", "link")</f>
        <v/>
      </c>
      <c r="C30264" t="n">
        <v>2</v>
      </c>
      <c r="D30264" t="inlineStr">
        <is>
          <t>Dagoulinantes; Amulette de Pol Ouatnos; Alliance Gloursonne; Anneau de Pol Ouatnos; Quatre-feuilles; Culotte de Bethel; Casque d'Ilyzaelle; Chevelure de Tal Kasha; Pataugastrique; Dofus Pourpre; Chanceux majeur; Fonceur majeur; Vigoureux majeur; Remueur; Kanigloups</t>
        </is>
      </c>
    </row>
    <row r="30265">
      <c r="A30265" t="inlineStr">
        <is>
          <t>Zobal M 200</t>
        </is>
      </c>
      <c r="B30265">
        <f>HYPERLINK("https://www.dofusbook.net/fr/equipement/4790508-zobal-m-200/objets", "link")</f>
        <v/>
      </c>
      <c r="C30265" t="n">
        <v>0</v>
      </c>
      <c r="D30265" t="inlineStr">
        <is>
          <t>Sabres d'Atcham; Amulette Volkorne; Alliance Gloursonne; Anneau Volkorne; Bouclier d'Ilyzaelle; Ceinture du Barbétoal; Casque Volkorne; Cape d'Atcham; Sandales  d'Atcham; Dofus Émeraude; Dofus Ocre; Dofus Turquoise; Dofus Abyssal; Dofus Pourpre; Dofus des Glaces; Volkorne Améthyste</t>
        </is>
      </c>
    </row>
    <row r="30266">
      <c r="A30266" t="inlineStr">
        <is>
          <t>Zobal M 200</t>
        </is>
      </c>
      <c r="B30266">
        <f>HYPERLINK("https://www.dofusbook.net/fr/equipement/4909278-zobal-m-200/objets", "link")</f>
        <v/>
      </c>
      <c r="C30266" t="n">
        <v>7</v>
      </c>
      <c r="D30266" t="inlineStr">
        <is>
          <t>L'Épée Nice; Amulette Voldelor; Alliance Gloursonne; Alliance Brûlâme; Bouclier d'Ilyzaelle; Menoture; Dorabysses; Cape Martegel; Pompes Funèbres; Dofus Pourpre; Dofus Abyssal; Dofus Ocre; Dofus des Glaces; Blérodoudou</t>
        </is>
      </c>
    </row>
    <row r="30267">
      <c r="A30267" t="inlineStr">
        <is>
          <t>Zobal M 200</t>
        </is>
      </c>
      <c r="B30267">
        <f>HYPERLINK("https://www.dofusbook.net/fr/equipement/5824701-zobal-m-200/objets", "link")</f>
        <v/>
      </c>
      <c r="C30267" t="n">
        <v>0</v>
      </c>
      <c r="D30267" t="inlineStr">
        <is>
          <t>Arc Nécrotique; Amulette Volkorne; Anneau Volkorne; Bague Trithon; Quatre-feuilles; Ceintacé; Masque Trithon; Cape de la Dame du Hasard; Bottes de la Dame du Hasard; Dofus Ocre; Dofus Abyssal; Dofus Turquoise; Dofus Pourpre; Dofus des Glaces</t>
        </is>
      </c>
    </row>
    <row r="30268">
      <c r="A30268" t="inlineStr">
        <is>
          <t>Zobal M 200</t>
        </is>
      </c>
      <c r="B30268">
        <f>HYPERLINK("https://www.dofusbook.net/fr/equipement/5823337-zobal-m-200/objets", "link")</f>
        <v/>
      </c>
      <c r="C30268" t="n">
        <v>3</v>
      </c>
      <c r="D30268" t="inlineStr">
        <is>
          <t>Tige du Brouture; Amulette Volkorne; Crocanneau; Anneau de Padgref; Bouclier du Captain Amakna; Ceinture de Kongoku; Casque Volkorne; Cape de Kongoku; Getas de Padgref; Dofus des Glaces; Dofus Pourpre; Dofus Abyssal; Dofus Ocre; Dofus Turquoise; Muldo Prune et Emeraude</t>
        </is>
      </c>
    </row>
    <row r="30269">
      <c r="A30269" t="inlineStr">
        <is>
          <t>Zobal M 200</t>
        </is>
      </c>
      <c r="B30269">
        <f>HYPERLINK("https://www.dofusbook.net/fr/equipement/4746995-zobal-m-200/objets", "link")</f>
        <v/>
      </c>
      <c r="C30269" t="n">
        <v>0</v>
      </c>
      <c r="D30269" t="inlineStr">
        <is>
          <t>Pelle Emélaka; Talisman Glouti; Anneau Volkorne; Alliance Gloursonne; Bouclier d'Ilyzaelle; Poulpagne; Masque Paztek; Cape de l'Œil Attentif; Sandales des Fonds marins; Dofus des Glaces; Dofus Ocre; Dofus Pourpre; Dofus Abyssal; Carapace Air majeur; Carapace Terre majeur; Muldo Ebène et Indigo</t>
        </is>
      </c>
    </row>
    <row r="30270">
      <c r="A30270" t="inlineStr">
        <is>
          <t>agi stuff roxx</t>
        </is>
      </c>
      <c r="B30270">
        <f>HYPERLINK("https://www.dofusbook.net/fr/equipement/1754473-agi-stuff-roxx/objets", "link")</f>
        <v/>
      </c>
      <c r="C30270" t="n">
        <v>0</v>
      </c>
      <c r="D30270" t="inlineStr">
        <is>
          <t>Manthache; Collier du Valet Veinard; Alliance Gloursonne; Gant du Valet Veinard; Bouclier du Stalak; Menoture; Capuche de Moum-Ra; Cape Indescriptible; Palmes Trithons; Dokoko; Nomade; Cascadeur majeur; Remueur; Miraculé majeur; Carapace Air majeur; Volkorne Améthyste et Ebène</t>
        </is>
      </c>
    </row>
    <row r="30271">
      <c r="A30271" t="inlineStr">
        <is>
          <t>Zobal M 200</t>
        </is>
      </c>
      <c r="B30271">
        <f>HYPERLINK("https://www.dofusbook.net/fr/equipement/5533224-zobal-m-200/objets", "link")</f>
        <v/>
      </c>
      <c r="C30271" t="n">
        <v>0</v>
      </c>
      <c r="D30271" t="inlineStr">
        <is>
          <t>Arc du Chalœil; Amulette de Pol Ouatnos; Anneau en Grithril; Bague Gloursonne; Quatre-feuilles; Ceinture Volkorne; Masque de Koutoulou; Voile d'encre; Bottes de la Cour Sombre; Dofus Turquoise; Dofus Abyssal; Dofus Ocre; Dofus Pourpre; Dofus des Glaces; Bulbisou</t>
        </is>
      </c>
    </row>
    <row r="30272">
      <c r="A30272" t="inlineStr">
        <is>
          <t>Zobal M 200</t>
        </is>
      </c>
      <c r="B30272">
        <f>HYPERLINK("https://www.dofusbook.net/fr/equipement/5735006-zobal-m-200/objets", "link")</f>
        <v/>
      </c>
      <c r="C30272" t="n">
        <v>0</v>
      </c>
      <c r="D30272" t="inlineStr">
        <is>
          <t>Torquistik; Masque de l'Esprit Malsain; Bottistik</t>
        </is>
      </c>
    </row>
    <row r="30273">
      <c r="A30273" t="inlineStr">
        <is>
          <t>Zobal M 200</t>
        </is>
      </c>
      <c r="B30273">
        <f>HYPERLINK("https://www.dofusbook.net/fr/equipement/5734923-zobal-m-200/objets", "link")</f>
        <v/>
      </c>
      <c r="C30273" t="n">
        <v>0</v>
      </c>
      <c r="D30273" t="inlineStr">
        <is>
          <t>Arc Nécrotique; Amulette Volkorne; Anneau de Pol Ouatnos; Anneau Volkorne; Bouclier d'Anerice; Ceinture du Strigide; Masque d'Anerice; Cape d'Anerice; Bottes du Strigide; Dofus Émeraude; Dofus Abyssal; Dofus Pourpre; Dofus des Glaces; Dofus Ocre; Dofus Turquoise; Kokulte</t>
        </is>
      </c>
    </row>
    <row r="30274">
      <c r="A30274" t="inlineStr">
        <is>
          <t>Zobal M 200</t>
        </is>
      </c>
      <c r="B30274">
        <f>HYPERLINK("https://www.dofusbook.net/fr/equipement/5658964-zobal-m-200/objets", "link")</f>
        <v/>
      </c>
      <c r="C30274" t="n">
        <v>0</v>
      </c>
      <c r="D30274" t="inlineStr"/>
    </row>
    <row r="30275">
      <c r="A30275" t="inlineStr">
        <is>
          <t>Zobal M 200</t>
        </is>
      </c>
      <c r="B30275">
        <f>HYPERLINK("https://www.dofusbook.net/fr/equipement/4741485-zobal-m-200/objets", "link")</f>
        <v/>
      </c>
      <c r="C30275" t="n">
        <v>3</v>
      </c>
      <c r="D30275" t="inlineStr">
        <is>
          <t>Hache du Guerrier Zoth; Amulette Volkorne; Anneau de Padgref; Anneau Volkorne; Bouclier du Captain Amakna; Ceinture Séculaire; Casque Volkorne; Cape de la Dame du Hasard; Getas de Padgref; Dofus Ivoire; Dofus Turquoise; Dofus Ocre; Dofus Abyssal; Dofus Pourpre; Dofus des Glaces; Sakochère</t>
        </is>
      </c>
    </row>
    <row r="30276">
      <c r="A30276" t="inlineStr">
        <is>
          <t>Zobal M 200</t>
        </is>
      </c>
      <c r="B30276">
        <f>HYPERLINK("https://www.dofusbook.net/fr/equipement/5331152-zobal-m-200/objets", "link")</f>
        <v/>
      </c>
      <c r="C30276" t="n">
        <v>2</v>
      </c>
      <c r="D30276" t="inlineStr">
        <is>
          <t>Héqache; Amulette du Strigide; Bague Gloursonne; Alliance Gloursonne; Bouclier du Captain Amakna; Ceinture du Strigide; Corne de Torkélonia; Carapace de Torkélonia; Baleinabottes; Dofus Ocre; Dofus des Glaces; Dofus Émeraude; Dofus Turquoise; Dofus Pourpre; Dofus Abyssal; Muldo Prune et Emeraude</t>
        </is>
      </c>
    </row>
    <row r="30277">
      <c r="A30277" t="inlineStr">
        <is>
          <t>Zobal M 200</t>
        </is>
      </c>
      <c r="B30277">
        <f>HYPERLINK("https://www.dofusbook.net/fr/equipement/4896154-zobal-m-200/objets", "link")</f>
        <v/>
      </c>
      <c r="C30277" t="n">
        <v>0</v>
      </c>
      <c r="D30277" t="inlineStr">
        <is>
          <t>Arc de Koutoulou; Amulette de Pol Ouatnos; Alliance Gloursonne; Anneau Volkorne; Quatre-feuilles; Ceinture du Barbétoal; Casque Volkorne; Chevelure de Tal Kasha; Bottes Voldelor; Dofus Turquoise; Dofus Abyssal; Dofus Ocre; Dofus Pourpre; Dofus des Glaces; Kokulte</t>
        </is>
      </c>
    </row>
    <row r="30278">
      <c r="A30278" t="inlineStr">
        <is>
          <t>stuffdocritstriglours</t>
        </is>
      </c>
      <c r="B30278">
        <f>HYPERLINK("https://www.dofusbook.net/fr/equipement/4422997-stuffdocritstriglours/objets", "link")</f>
        <v/>
      </c>
      <c r="C30278" t="n">
        <v>0</v>
      </c>
      <c r="D30278" t="inlineStr">
        <is>
          <t>Epée Gloursonne; Amulette du Strigide; Bague Gloursonne; Alliance Gloursonne; Bouclier Taverne; Ceinture du Strigide; Casque Dragoeuf; Pèlerine d'Augilol; Bottes du Strigide; Dofus Abyssal; Dofus Ocre; Dofus Nébuleux; Dofus Turquoise; Dofus Pourpre; Dofus des Glaces; Sakochère</t>
        </is>
      </c>
    </row>
    <row r="30279">
      <c r="A30279" t="inlineStr">
        <is>
          <t>Enutrof M 200</t>
        </is>
      </c>
      <c r="B30279">
        <f>HYPERLINK("https://www.dofusbook.net/fr/equipement/4686214-enutrof-m-200/objets", "link")</f>
        <v/>
      </c>
      <c r="C30279" t="n">
        <v>0</v>
      </c>
      <c r="D30279" t="inlineStr"/>
    </row>
    <row r="30280">
      <c r="A30280" t="inlineStr">
        <is>
          <t>Zobal M 200</t>
        </is>
      </c>
      <c r="B30280">
        <f>HYPERLINK("https://www.dofusbook.net/fr/equipement/4423017-zobal-m-200/objets", "link")</f>
        <v/>
      </c>
      <c r="C30280" t="n">
        <v>0</v>
      </c>
      <c r="D30280" t="inlineStr"/>
    </row>
    <row r="30281">
      <c r="A30281" t="inlineStr">
        <is>
          <t>Zobal M 200</t>
        </is>
      </c>
      <c r="B30281">
        <f>HYPERLINK("https://www.dofusbook.net/fr/equipement/3885085-zobal-m-200/objets", "link")</f>
        <v/>
      </c>
      <c r="C30281" t="n">
        <v>2</v>
      </c>
      <c r="D30281" t="inlineStr">
        <is>
          <t>Hache du Guerrier Zoth; Amulette du Strigide; Bague Gloursonne; Alliance Gloursonne; Ceinture du Strigide; Casque Dragoeuf; Pèlerine d'Augilol; Bottes du Strigide; Dofus Pourpre; Dofus des Glaces; Dofus Abyssal; Dofus Ocre; Dofus Nébuleux; Dofus Turquoise; Sakochère</t>
        </is>
      </c>
    </row>
    <row r="30282">
      <c r="A30282" t="inlineStr">
        <is>
          <t>Zobal M 200</t>
        </is>
      </c>
      <c r="B30282">
        <f>HYPERLINK("https://www.dofusbook.net/fr/equipement/4081231-zobal-m-200/objets", "link")</f>
        <v/>
      </c>
      <c r="C30282" t="n">
        <v>0</v>
      </c>
      <c r="D30282" t="inlineStr">
        <is>
          <t>Harpendentif; Anneau Instable; Bague Instable; Ceinture Instable; Capille; Bottarpille</t>
        </is>
      </c>
    </row>
    <row r="30283">
      <c r="A30283" t="inlineStr">
        <is>
          <t>Roublard M 200</t>
        </is>
      </c>
      <c r="B30283">
        <f>HYPERLINK("https://www.dofusbook.net/fr/equipement/4070002-roublard-m-200/objets", "link")</f>
        <v/>
      </c>
      <c r="C30283" t="n">
        <v>0</v>
      </c>
      <c r="D30283" t="inlineStr"/>
    </row>
    <row r="30284">
      <c r="A30284" t="inlineStr">
        <is>
          <t>Zobal M 200</t>
        </is>
      </c>
      <c r="B30284">
        <f>HYPERLINK("https://www.dofusbook.net/fr/equipement/3884474-zobal-m-200/objets", "link")</f>
        <v/>
      </c>
      <c r="C30284" t="n">
        <v>0</v>
      </c>
      <c r="D30284" t="inlineStr">
        <is>
          <t>Arc de Koutoulou; Amulette du Strigide; Anneau Volkorne; Alliance Gloursonne; Quatre-feuilles; Ceinture du Strigide; Casque Volkorne; Chevelure de Tal Kasha; Sandales de Tal Kasha; Dofus des Glaces; Dofus Ocre; Dofus Turquoise; Dofus Abyssal; Sakochère</t>
        </is>
      </c>
    </row>
    <row r="30285">
      <c r="A30285" t="inlineStr">
        <is>
          <t>Zobal M 200</t>
        </is>
      </c>
      <c r="B30285">
        <f>HYPERLINK("https://www.dofusbook.net/fr/equipement/4052077-zobal-m-200/objets", "link")</f>
        <v/>
      </c>
      <c r="C30285" t="n">
        <v>1</v>
      </c>
      <c r="D30285" t="inlineStr">
        <is>
          <t>Lav'Hache; Collier de Tourthon; Anneau Chevelu; Anneau Crustique; Ceinture Volkorne; Masque de Koutoulou; Cape au Logis; Sabots Minables</t>
        </is>
      </c>
    </row>
    <row r="30286">
      <c r="A30286" t="inlineStr">
        <is>
          <t>Zobal M 200</t>
        </is>
      </c>
      <c r="B30286">
        <f>HYPERLINK("https://www.dofusbook.net/fr/equipement/3989096-zobal-m-200/objets", "link")</f>
        <v/>
      </c>
      <c r="C30286" t="n">
        <v>0</v>
      </c>
      <c r="D30286" t="inlineStr"/>
    </row>
    <row r="30287">
      <c r="A30287" t="inlineStr">
        <is>
          <t>Zobal M 200</t>
        </is>
      </c>
      <c r="B30287">
        <f>HYPERLINK("https://www.dofusbook.net/fr/equipement/3892957-zobal-m-200/objets", "link")</f>
        <v/>
      </c>
      <c r="C30287" t="n">
        <v>0</v>
      </c>
      <c r="D30287" t="inlineStr">
        <is>
          <t>Amulette Ementaire Deluxe; Bague Gloursonne; Alliance Gloursonne; Bouclier d'Anerice; Ceinture de XLII; Casque Dragoeuf; Cape d'Anerice; Bottes de XLII; Dofus Émeraude; Dofus Ivoire; Dofus Ocre; Dolmanax; Dofus Forgelave; Dofus Abyssal; Volkorne Prune et Amande</t>
        </is>
      </c>
    </row>
    <row r="30288">
      <c r="A30288" t="inlineStr">
        <is>
          <t>Zobal M 200</t>
        </is>
      </c>
      <c r="B30288">
        <f>HYPERLINK("https://www.dofusbook.net/fr/equipement/3631304-zobal-m-200/objets", "link")</f>
        <v/>
      </c>
      <c r="C30288" t="n">
        <v>1</v>
      </c>
      <c r="D30288" t="inlineStr">
        <is>
          <t>Lav'Hache; Collier de Tourthon; Bague Gloursonne; Anneau Chevelu; Ceinture Volkorne; Masque de Koutoulou; Voile d'encre; Bottes du Cœur Saignant; Dofus Pourpre; Dofus Ocre; Dofus Turquoise; Dofus Abyssal; Dofus des Glaces; Déserteur majeur; Muldo Orchidée et Pourpre</t>
        </is>
      </c>
    </row>
    <row r="30289">
      <c r="A30289" t="inlineStr">
        <is>
          <t>Zobal M 200</t>
        </is>
      </c>
      <c r="B30289">
        <f>HYPERLINK("https://www.dofusbook.net/fr/equipement/3885104-zobal-m-200/objets", "link")</f>
        <v/>
      </c>
      <c r="C30289" t="n">
        <v>0</v>
      </c>
      <c r="D30289" t="inlineStr"/>
    </row>
    <row r="30290">
      <c r="A30290" t="inlineStr">
        <is>
          <t>Zobal M 200</t>
        </is>
      </c>
      <c r="B30290">
        <f>HYPERLINK("https://www.dofusbook.net/fr/equipement/3881944-zobal-m-200/objets", "link")</f>
        <v/>
      </c>
      <c r="C30290" t="n">
        <v>0</v>
      </c>
      <c r="D30290" t="inlineStr"/>
    </row>
    <row r="30291">
      <c r="A30291" t="inlineStr">
        <is>
          <t>Zobal M 200</t>
        </is>
      </c>
      <c r="B30291">
        <f>HYPERLINK("https://www.dofusbook.net/fr/equipement/3873303-zobal-m-200/objets", "link")</f>
        <v/>
      </c>
      <c r="C30291" t="n">
        <v>2</v>
      </c>
      <c r="D30291" t="inlineStr">
        <is>
          <t>Racine Hécouanone; Amulette Volkorne; Anneau Tamie; Anneau Tamie; Bouclier du Captain Amakna; Ceinture Séculaire; Coiffe Séculaire; Cape de Diondin; Bottes Innommables; Dofus Abyssal; Dofus des Glaces; Dofus Ocre; Nomade; Dévastateur Feu majeur; Érudit majeur; Brûlih</t>
        </is>
      </c>
    </row>
    <row r="30292">
      <c r="A30292" t="inlineStr">
        <is>
          <t>Zobal M 200</t>
        </is>
      </c>
      <c r="B30292">
        <f>HYPERLINK("https://www.dofusbook.net/fr/equipement/3687249-zobal-m-200/objets", "link")</f>
        <v/>
      </c>
      <c r="C30292" t="n">
        <v>0</v>
      </c>
      <c r="D30292" t="inlineStr"/>
    </row>
    <row r="30293">
      <c r="A30293" t="inlineStr">
        <is>
          <t>Zobal M 200</t>
        </is>
      </c>
      <c r="B30293">
        <f>HYPERLINK("https://www.dofusbook.net/fr/equipement/3374408-zobal-m-200/objets", "link")</f>
        <v/>
      </c>
      <c r="C30293" t="n">
        <v>0</v>
      </c>
      <c r="D30293" t="inlineStr">
        <is>
          <t>Epée Gloursonne; Amulette d'Ilyzaelle; Bague Gloursonne; Alliance Gloursonne; Bouclier d'Ilyzaelle; Ceinture de l'Esprit Salvateur; Casque d'Ilyzaelle; Cape d'Anerice; Bottes de l'Esprit Salvateur; Dolmanax; Dofus Ocre; Dofus des Glaces; Dofus Pourpre; Dofus Abyssal; Robuste majeur; Muldo Ebène et Pourpre</t>
        </is>
      </c>
    </row>
    <row r="30294">
      <c r="A30294" t="inlineStr">
        <is>
          <t>Zobal M 200</t>
        </is>
      </c>
      <c r="B30294">
        <f>HYPERLINK("https://www.dofusbook.net/fr/equipement/3631303-zobal-m-200/objets", "link")</f>
        <v/>
      </c>
      <c r="C30294" t="n">
        <v>1</v>
      </c>
      <c r="D30294" t="inlineStr"/>
    </row>
    <row r="30295">
      <c r="A30295" t="inlineStr">
        <is>
          <t>Zobal M 200</t>
        </is>
      </c>
      <c r="B30295">
        <f>HYPERLINK("https://www.dofusbook.net/fr/equipement/3631302-zobal-m-200/objets", "link")</f>
        <v/>
      </c>
      <c r="C30295" t="n">
        <v>0</v>
      </c>
      <c r="D30295" t="inlineStr"/>
    </row>
    <row r="30296">
      <c r="A30296" t="inlineStr">
        <is>
          <t>Zobal M 200</t>
        </is>
      </c>
      <c r="B30296">
        <f>HYPERLINK("https://www.dofusbook.net/fr/equipement/3631301-zobal-m-200/objets", "link")</f>
        <v/>
      </c>
      <c r="C30296" t="n">
        <v>0</v>
      </c>
      <c r="D30296" t="inlineStr"/>
    </row>
    <row r="30297">
      <c r="A30297" t="inlineStr">
        <is>
          <t>Zobal M 200</t>
        </is>
      </c>
      <c r="B30297">
        <f>HYPERLINK("https://www.dofusbook.net/fr/equipement/3631300-zobal-m-200/objets", "link")</f>
        <v/>
      </c>
      <c r="C30297" t="n">
        <v>0</v>
      </c>
      <c r="D30297" t="inlineStr"/>
    </row>
    <row r="30298">
      <c r="A30298" t="inlineStr">
        <is>
          <t>Féca M 200</t>
        </is>
      </c>
      <c r="B30298">
        <f>HYPERLINK("https://www.dofusbook.net/fr/equipement/3598517-feca-m-200/objets", "link")</f>
        <v/>
      </c>
      <c r="C30298" t="n">
        <v>0</v>
      </c>
      <c r="D30298" t="inlineStr"/>
    </row>
    <row r="30299">
      <c r="A30299" t="inlineStr">
        <is>
          <t>Zobal M 200</t>
        </is>
      </c>
      <c r="B30299">
        <f>HYPERLINK("https://www.dofusbook.net/fr/equipement/3499742-zobal-m-200/objets", "link")</f>
        <v/>
      </c>
      <c r="C30299" t="n">
        <v>0</v>
      </c>
      <c r="D30299" t="inlineStr">
        <is>
          <t>Hachoirs de Viandargh; Amulette du Cœur Vaillant; Alliance Gloursonne; Alliance Brûlâme; Bouclier d'Anerice; Menoture; Casque Dragoeuf; Cape d'Anerice; Palmes Trithons; Dofus Pourpre; Dofus Abyssal; Dofus Turquoise; Dofus Ivoire; Dofus des Glaces; Nomade; Volkorne Améthyste et Ebène</t>
        </is>
      </c>
    </row>
    <row r="30300">
      <c r="A30300" t="inlineStr">
        <is>
          <t>Zobal M 195</t>
        </is>
      </c>
      <c r="B30300">
        <f>HYPERLINK("https://www.dofusbook.net/fr/equipement/3499601-zobal-m-195/objets", "link")</f>
        <v/>
      </c>
      <c r="C30300" t="n">
        <v>0</v>
      </c>
      <c r="D30300" t="inlineStr">
        <is>
          <t>Sabres d'Atcham; Amulette Volkorne; Anneau Volkorne; Alliance Brûlâme; Bouclier Taverne; Ceinture Volkorne; Casque Volkorne; Cape d'Atcham; Sandales  d'Atcham; Dolmanax; Dofus des Glaces; Dofus Pourpre; Dofus Ocre; Dofus Turquoise; Dofus Abyssal; Volkorne Améthyste et Emeraude</t>
        </is>
      </c>
    </row>
    <row r="30301">
      <c r="A30301" t="inlineStr">
        <is>
          <t>Zobal M 200</t>
        </is>
      </c>
      <c r="B30301">
        <f>HYPERLINK("https://www.dofusbook.net/fr/equipement/3421773-zobal-m-200/objets", "link")</f>
        <v/>
      </c>
      <c r="C30301" t="n">
        <v>0</v>
      </c>
      <c r="D30301" t="inlineStr">
        <is>
          <t>Amulette de Pol Ouatnos; Bague Gloursonne; Alliance Gloursonne; Quatre-feuilles; Ceinture du Strigide; Le Dorado; Dofusteuse; Bottes du Strigide; Dofus Émeraude; Dofus Turquoise; Dolmanax; Dofus des Glaces; Dofus Pourpre; Dofus Abyssal; Kramkram</t>
        </is>
      </c>
    </row>
    <row r="30302">
      <c r="A30302" t="inlineStr">
        <is>
          <t>mlkj</t>
        </is>
      </c>
      <c r="B30302">
        <f>HYPERLINK("https://www.dofusbook.net/fr/equipement/3307692-mlkj/objets", "link")</f>
        <v/>
      </c>
      <c r="C30302" t="n">
        <v>1</v>
      </c>
      <c r="D30302" t="inlineStr">
        <is>
          <t>L'Épée Nice; Amulette Voldelor; Alliance Brûlâme; Alliance Gloursonne; Bouclier Taverne; Menoture; Dorabysses; Cape de Crânonier; Pantoufles Émar; Dofus des Glaces; Dofus Abyssal; Dofus Pourpre; Cascadeur majeur; Dévastateur Air majeur; Vigoureux majeur; Muldo Ebène et Pourpre</t>
        </is>
      </c>
    </row>
    <row r="30303">
      <c r="A30303" t="inlineStr">
        <is>
          <t>full res</t>
        </is>
      </c>
      <c r="B30303">
        <f>HYPERLINK("https://www.dofusbook.net/fr/equipement/2954750-full-res/objets", "link")</f>
        <v/>
      </c>
      <c r="C30303" t="n">
        <v>0</v>
      </c>
      <c r="D30303" t="inlineStr">
        <is>
          <t>Rouleau à Pâtisserie d'Aermyne; Collier Rophante; Bague Trithon; Alliance Gloursonne; Bouclier d'Anerice; Ceinture du Glourséleste; Casque Dragoeuf; Cape d'Anerice; Sabots Minables; Dofus Ocre; Dofus Ivoire; Muraille Feu majeure; Muraille Neutre majeure; Muraille Terre majeure; Muraille Air majeure; Brâkarien</t>
        </is>
      </c>
    </row>
    <row r="30304">
      <c r="A30304" t="inlineStr">
        <is>
          <t>puissance</t>
        </is>
      </c>
      <c r="B30304">
        <f>HYPERLINK("https://www.dofusbook.net/fr/equipement/2951107-puissance/objets", "link")</f>
        <v/>
      </c>
      <c r="C30304" t="n">
        <v>0</v>
      </c>
      <c r="D30304" t="inlineStr">
        <is>
          <t>Hache du Guerrier Zoth; Amulette du Strigide; Alliance Gloursonne; Bague Trithon; Bouclier d'Anerice; Ceinture du Strigide; Masque d'Anerice; Cape d'Anerice; Bottes Trithon; Dofus Ocre; Dofus Ivoire; Dofus Pourpre; Dofus des Glaces; Dofus Turquoise; Dofus Abyssal; Muldo Prune et Orchidée</t>
        </is>
      </c>
    </row>
    <row r="30305">
      <c r="A30305" t="inlineStr">
        <is>
          <t>multi</t>
        </is>
      </c>
      <c r="B30305">
        <f>HYPERLINK("https://www.dofusbook.net/fr/equipement/2899285-multi/objets", "link")</f>
        <v/>
      </c>
      <c r="C30305" t="n">
        <v>0</v>
      </c>
      <c r="D30305" t="inlineStr">
        <is>
          <t>Hache du Guerrier Zoth; Amulette de l'Indicible; Alliance Gloursonne; Bague Gloursonne; Bouclier d'Anerice; Ceinture de l'Indicible; Masque d'Anerice; Cape d'Anerice; Bottes de l'Indicible; Dofus Pourpre; Dofus Abyssal; Dolmanax; Dofus Ivoire; Dofus Turquoise; Dofus des Glaces; Muldo Indigo et Orchidée</t>
        </is>
      </c>
    </row>
    <row r="30306">
      <c r="A30306" t="inlineStr">
        <is>
          <t>glours</t>
        </is>
      </c>
      <c r="B30306">
        <f>HYPERLINK("https://www.dofusbook.net/fr/equipement/2895435-glours/objets", "link")</f>
        <v/>
      </c>
      <c r="C30306" t="n">
        <v>0</v>
      </c>
      <c r="D30306" t="inlineStr">
        <is>
          <t>Epée Gloursonne; Amulette du Glourséleste; Alliance Gloursonne; Bague Gloursonne; Quatre-feuilles; Ceinture du Glourséleste; Masque du Glourséleste; Cape du Glourséleste; Bottes du Glourséleste; Dofus Ocre; Dofus Ivoire; Dofus Pourpre; Dofus des Glaces; Dofus Turquoise; Dofus Abyssal; Kramkram</t>
        </is>
      </c>
    </row>
    <row r="30307">
      <c r="A30307" t="inlineStr">
        <is>
          <t>terre feu</t>
        </is>
      </c>
      <c r="B30307">
        <f>HYPERLINK("https://www.dofusbook.net/fr/equipement/2863936-terre-feu/objets", "link")</f>
        <v/>
      </c>
      <c r="C30307" t="n">
        <v>0</v>
      </c>
      <c r="D30307" t="inlineStr">
        <is>
          <t>Hache du Guerrier Zoth; Amulette de Gein; Baguistik; Bague Gloursonne; Bouclier du Captain Amakna; Ceinture de Gein; Couronne du Roi Joueur; Voile d'encre; Sabots Volcaniques; Dofus Abyssal; Dofus Ocre; Dofus Pourpre; Dofus des Glaces; Dofus Ivoire; Dofus Turquoise; Muldo Pourpre</t>
        </is>
      </c>
    </row>
    <row r="30308">
      <c r="A30308" t="inlineStr">
        <is>
          <t>test zozo</t>
        </is>
      </c>
      <c r="B30308">
        <f>HYPERLINK("https://www.dofusbook.net/fr/equipement/2434326-test-zozo-/objets", "link")</f>
        <v/>
      </c>
      <c r="C30308" t="n">
        <v>0</v>
      </c>
      <c r="D30308" t="inlineStr"/>
    </row>
    <row r="30309">
      <c r="A30309" t="inlineStr">
        <is>
          <t>srambad</t>
        </is>
      </c>
      <c r="B30309">
        <f>HYPERLINK("https://www.dofusbook.net/fr/equipement/2410686-srambad/objets", "link")</f>
        <v/>
      </c>
      <c r="C30309" t="n">
        <v>0</v>
      </c>
      <c r="D30309" t="inlineStr">
        <is>
          <t>Hache du Guerrier Zoth; Amulette de l'Indicible; Alliance Gloursonne; Bague Gloursonne; Bouclier d'Anerice; Ceinture de l'Indicible; Masque d'Anerice; Cape d'Anerice; Bottes de l'Indicible; Dofus des Glaces; Dofus Abyssal; Dolmanax; Dofus Ivoire; Dofus Pourpre; Dofus Turquoise</t>
        </is>
      </c>
    </row>
    <row r="30310">
      <c r="A30310" t="inlineStr">
        <is>
          <t>zoth/res</t>
        </is>
      </c>
      <c r="B30310">
        <f>HYPERLINK("https://www.dofusbook.net/fr/equipement/2138145-zoth-res/objets", "link")</f>
        <v/>
      </c>
      <c r="C30310" t="n">
        <v>0</v>
      </c>
      <c r="D30310" t="inlineStr">
        <is>
          <t>Hache du Guerrier Zoth; Amulette du Strigide; Bague Gloursonne; Bague Trithon; Bouclier Brâkmarien; Pagne du Rykaon; Casque Dragoeuf; Cape d'Anerice; Bottes Trithon; Dofus Turquoise; Dofus Ocre; Dofus Ivoire; Dofus des Glaces; Remueur; Carapace Feu majeur; Muldo Ebène et Orchidée</t>
        </is>
      </c>
    </row>
    <row r="30311">
      <c r="A30311" t="inlineStr">
        <is>
          <t>Mode tank</t>
        </is>
      </c>
      <c r="B30311">
        <f>HYPERLINK("https://www.dofusbook.net/fr/equipement/1754480-mode-tank/objets", "link")</f>
        <v/>
      </c>
      <c r="C30311" t="n">
        <v>0</v>
      </c>
      <c r="D30311" t="inlineStr">
        <is>
          <t>Rouleau à Pâtisserie d'Aermyne; Amulette du Strigide; Alliance Brûlâme; Bague Trithon; Bouclier d'Anerice; Ceinture du Strigide; Casque Dragoeuf; Cape d'Anerice; Bottes du Strigide; Dofus Turquoise; Dofus Émeraude; Dofus Ocre; Dofus Pourpre; Dolmanax; Dofus des Glaces; Muldo Prune et Emeraude</t>
        </is>
      </c>
    </row>
    <row r="30312">
      <c r="A30312" t="inlineStr">
        <is>
          <t>zozo arc koutoulou</t>
        </is>
      </c>
      <c r="B30312">
        <f>HYPERLINK("https://www.dofusbook.net/fr/equipement/1995157-zozo-arc-koutoulou/objets", "link")</f>
        <v/>
      </c>
      <c r="C30312" t="n">
        <v>0</v>
      </c>
      <c r="D30312" t="inlineStr">
        <is>
          <t>Arc de Koutoulou; Amulette Voldelor; Bague Trithon; Alliance Gloursonne; Bouclier d'Anerice; Ceinture Voldelor; Masque d'Anerice; Cape d'Anerice; Bottes Voldelor; Dofus Émeraude; Dofus des Glaces; Dofus Pourpre; Dofus Turquoise; Dolmanax; Dofus Ocre; Muldo Prune et Ebène</t>
        </is>
      </c>
    </row>
    <row r="30313">
      <c r="A30313" t="inlineStr">
        <is>
          <t>anti enu</t>
        </is>
      </c>
      <c r="B30313">
        <f>HYPERLINK("https://www.dofusbook.net/fr/equipement/1955098-anti-enu/objets", "link")</f>
        <v/>
      </c>
      <c r="C30313" t="n">
        <v>0</v>
      </c>
      <c r="D30313" t="inlineStr">
        <is>
          <t>Hache du Guerrier Zoth; Amulette de Gein; Baguistik; Bague Gloursonne; Bouclier Taverne; Ceinture du Strigide; Chapeau de Gein; Voile d'encre; Sabots Volcaniques; Dofus Pourpre; Dofus des Glaces; Dofus Turquoise; Dofus Abyssal; Dofus Ocre; Remueur; Muldo Orchidée et Pourpre</t>
        </is>
      </c>
    </row>
    <row r="30314">
      <c r="A30314" t="inlineStr">
        <is>
          <t>terre ret pm</t>
        </is>
      </c>
      <c r="B30314">
        <f>HYPERLINK("https://www.dofusbook.net/fr/equipement/1898933-terre-ret-pm/objets", "link")</f>
        <v/>
      </c>
      <c r="C30314" t="n">
        <v>0</v>
      </c>
      <c r="D30314" t="inlineStr">
        <is>
          <t>Arc du Chalœil; Collier de Tourthon; Anneau Crustique; Pikano; Bouclier cubiste; Ceinture Luminescente; Chapeau de Gein; Voile d'encre; Sabots Taj</t>
        </is>
      </c>
    </row>
    <row r="30315">
      <c r="A30315" t="inlineStr">
        <is>
          <t>hache zoth</t>
        </is>
      </c>
      <c r="B30315">
        <f>HYPERLINK("https://www.dofusbook.net/fr/equipement/1827083-hache-zoth/objets", "link")</f>
        <v/>
      </c>
      <c r="C30315" t="n">
        <v>0</v>
      </c>
      <c r="D30315" t="inlineStr"/>
    </row>
    <row r="30316">
      <c r="A30316" t="inlineStr">
        <is>
          <t>Full vie</t>
        </is>
      </c>
      <c r="B30316">
        <f>HYPERLINK("https://www.dofusbook.net/fr/equipement/1754477-full-vie/objets", "link")</f>
        <v/>
      </c>
      <c r="C30316" t="n">
        <v>0</v>
      </c>
      <c r="D30316" t="inlineStr">
        <is>
          <t>Hache du Guerrier Zoth; Collier de Tourthon; Bague Trithon; Anneauræus; Bouclier précieux; Pagne du Rykaon; Capuche de Moum-Ra; Cape Indescriptible; Bottes Trithon; Dofus Turquoise; Dofus des Glaces; Dofus Émeraude; Dokoko; Dofus Ocre; Miraculé majeur; Homlett</t>
        </is>
      </c>
    </row>
    <row r="30317">
      <c r="A30317" t="inlineStr">
        <is>
          <t>zobal thanos</t>
        </is>
      </c>
      <c r="B30317">
        <f>HYPERLINK("https://www.dofusbook.net/fr/equipement/1754463-zobal-thanos/objets", "link")</f>
        <v/>
      </c>
      <c r="C30317" t="n">
        <v>0</v>
      </c>
      <c r="D30317" t="inlineStr">
        <is>
          <t>Le Thanos; Torquistik; Anneau Rifique; Anneauræus; Ceinture de Vortex; Coiffe Ranshi; Cape d'Aermyne; Bottes de Léthaline; Dofus Émeraude; Remueur; Docteur majeur; Guérisseur majeur; Carapace Feu majeur; Miraculé majeur; Muldo Ebène</t>
        </is>
      </c>
    </row>
    <row r="30318">
      <c r="A30318" t="inlineStr">
        <is>
          <t>do crit hache zoth</t>
        </is>
      </c>
      <c r="B30318">
        <f>HYPERLINK("https://www.dofusbook.net/fr/equipement/1754462-do-crit-hache-zoth/objets", "link")</f>
        <v/>
      </c>
      <c r="C30318" t="n">
        <v>0</v>
      </c>
      <c r="D30318" t="inlineStr">
        <is>
          <t>Hache du Guerrier Zoth; Amulette du Strigide; Anneau de Padgref; Anneau Chevelu; Ceinture du Strigide; Boucle d'oreille de Kongoku; Dofusteuse; Bottes Trithon; Dofus Pourpre; Dofus Turquoise; Dofus des Glaces; Dofus Ocre; Vigoureux majeur; Remueur; Muldo Prune et Emeraude</t>
        </is>
      </c>
    </row>
    <row r="30319">
      <c r="A30319" t="inlineStr">
        <is>
          <t>res-vita</t>
        </is>
      </c>
      <c r="B30319">
        <f>HYPERLINK("https://www.dofusbook.net/fr/equipement/1754454-res-vita/objets", "link")</f>
        <v/>
      </c>
      <c r="C30319" t="n">
        <v>0</v>
      </c>
      <c r="D30319" t="inlineStr">
        <is>
          <t>Manthache; Amulette Ementaire Deluxe; Anneauræus; Bague Trithon; Bouclier précieux; Pagne du Rykaon; Casque Dragoeuf; Ankhape; Bottes du Katcheur; Dofus Ocre; Dokoko; Dofus Émeraude; Remueur; Carapace Neutre majeur; Miraculé majeur; Muldo Ebène et Orchidée</t>
        </is>
      </c>
    </row>
    <row r="30320">
      <c r="A30320" t="inlineStr">
        <is>
          <t>multi marteau egare</t>
        </is>
      </c>
      <c r="B30320">
        <f>HYPERLINK("https://www.dofusbook.net/fr/equipement/731241-multi-marteau-egare/objets", "link")</f>
        <v/>
      </c>
      <c r="C30320" t="n">
        <v>0</v>
      </c>
      <c r="D30320" t="inlineStr">
        <is>
          <t>Marteau des égarés; Amulette Ementaire Deluxe; Bague Gloursonne; Alliance Gloursonne; Ceinture de l'Indicible; Le Dorado; Dofusteuse; Bottes du Strigide; Dokoko; Dolmanax; Dofus Turquoise; Dofus Pourpre; Dofus Ocre; Remueur; Muldo Ebène et Indigo</t>
        </is>
      </c>
    </row>
    <row r="30321">
      <c r="A30321" t="inlineStr">
        <is>
          <t>do pou lumi/trithon</t>
        </is>
      </c>
      <c r="B30321">
        <f>HYPERLINK("https://www.dofusbook.net/fr/equipement/731239-do-pou-lumi-trithon/objets", "link")</f>
        <v/>
      </c>
      <c r="C30321" t="n">
        <v>0</v>
      </c>
      <c r="D30321" t="inlineStr">
        <is>
          <t>Arc du Chalœil; Amulette Luminescente; Bague Trithon; Bague Instable; Ceinture Luminescente; Masque Trithon; Cape Luminescente; Bottes Trithon; Dofus Vulbis; Dokoko; Dofus Ocre; Bousculeur majeur; Vagabond majeur; Bousculeur; Tanuk</t>
        </is>
      </c>
    </row>
    <row r="30322">
      <c r="A30322" t="inlineStr">
        <is>
          <t>stuff eau soin 199</t>
        </is>
      </c>
      <c r="B30322">
        <f>HYPERLINK("https://www.dofusbook.net/fr/equipement/1694505-stuff-eau-soin-199/objets", "link")</f>
        <v/>
      </c>
      <c r="C30322" t="n">
        <v>0</v>
      </c>
      <c r="D30322" t="inlineStr">
        <is>
          <t>Le Thanos; Pendentif Oton; Alliance Gloursonne; Kralano; Bivalve; Slip Iholo; Binocle Airvoyant; Cape d'Aermyne; Bottes de Théodoran Ax; Dofus Ocre; Chanceux majeur; Pousseur majeur; Guérisseur majeur; Remueur; Culbuteur majeur; Muldo Ebène et Indigo</t>
        </is>
      </c>
    </row>
    <row r="30323">
      <c r="A30323" t="inlineStr">
        <is>
          <t>fta</t>
        </is>
      </c>
      <c r="B30323">
        <f>HYPERLINK("https://www.dofusbook.net/fr/equipement/1522776-fta/objets", "link")</f>
        <v/>
      </c>
      <c r="C30323" t="n">
        <v>0</v>
      </c>
      <c r="D30323" t="inlineStr">
        <is>
          <t>Arc Nécrotique; Collier de la Dame du Hasard; Baguistik; Bracelet du Piloztère; Ceinture de Gein; Bonnet Ko; Cape de Meno; Bottes de la Dame du Hasard; Dofus Vulbis; Dofus Turquoise; Dofus Ocre; Dofus des Glaces; Remueur; Muldo Indigo et Pourpre</t>
        </is>
      </c>
    </row>
    <row r="30324">
      <c r="A30324" t="inlineStr">
        <is>
          <t>Triple panoplies</t>
        </is>
      </c>
      <c r="B30324">
        <f>HYPERLINK("https://www.dofusbook.net/fr/equipement/1392072-triple-panoplies/objets", "link")</f>
        <v/>
      </c>
      <c r="C30324" t="n">
        <v>0</v>
      </c>
      <c r="D30324" t="inlineStr">
        <is>
          <t>Epée Gloursonne; Amulette du Strigide; Bague Gloursonne; Alliance Gloursonne; Bouclier d'Anerice; Ceinture du Strigide; Masque d'Anerice; Cape d'Anerice; Bottes du Strigide; Dofus Abyssal; Dofus Nébuleux; Dofus Pourpre; Dofus des Glaces; Dofus Turquoise; Dokoko; Muldo Indigo et Emeraude</t>
        </is>
      </c>
    </row>
    <row r="30325">
      <c r="A30325" t="inlineStr">
        <is>
          <t>stri</t>
        </is>
      </c>
      <c r="B30325">
        <f>HYPERLINK("https://www.dofusbook.net/fr/equipement/1059310-stri/objets", "link")</f>
        <v/>
      </c>
      <c r="C30325" t="n">
        <v>0</v>
      </c>
      <c r="D30325" t="inlineStr">
        <is>
          <t>Héqache; Amulette du Strigide; Anneau Crustique; Bague Trithon; Ceinture du Strigide; Bonnet Ko; Voile d'encre; Tentassons; Dofus des Glaces; Dofus Ocre; Dofus Émeraude; Dofus Turquoise; Remueur; Nomade; Muldo Ebène et Pourpre</t>
        </is>
      </c>
    </row>
    <row r="30326">
      <c r="A30326" t="inlineStr">
        <is>
          <t>classe</t>
        </is>
      </c>
      <c r="B30326">
        <f>HYPERLINK("https://www.dofusbook.net/fr/equipement/1031292-classe/objets", "link")</f>
        <v/>
      </c>
      <c r="C30326" t="n">
        <v>0</v>
      </c>
      <c r="D30326" t="inlineStr">
        <is>
          <t>Dagoulinantes; Amulette de Shokkoth; Bague Trithon; Anneau Vae; Bouclier du Stalak; Pagne du Rykaon; Masque des Fonds marins; Cape Ortail; Bottes de Meno; Dofus Ocre; Dofus Turquoise; Dofus des Glaces; Carapace Eau majeur; Chanceux majeur; Remueur; Muldo Indigo et Orchidée</t>
        </is>
      </c>
    </row>
    <row r="30327">
      <c r="A30327" t="inlineStr">
        <is>
          <t>cra cape de classe</t>
        </is>
      </c>
      <c r="B30327">
        <f>HYPERLINK("https://www.dofusbook.net/fr/equipement/1005046-cra-cape-de-classe/objets", "link")</f>
        <v/>
      </c>
      <c r="C30327" t="n">
        <v>0</v>
      </c>
      <c r="D30327" t="inlineStr">
        <is>
          <t>Harpelle; Pendentif affamé; Anneauræus; Anneauræus; Bouclier du Stalak; Ceinture de Gein; Bonnet Ko; Voile d'encre; Bottes Innommables; Dofus Pourpre; Dofus Ocre; Érudit majeur; Remueur; Astucieux majeur; Nomade; Muldo Ebène et Pourpre</t>
        </is>
      </c>
    </row>
    <row r="30328">
      <c r="A30328" t="inlineStr">
        <is>
          <t>anti-eni</t>
        </is>
      </c>
      <c r="B30328">
        <f>HYPERLINK("https://www.dofusbook.net/fr/equipement/945479-anti-eni/objets", "link")</f>
        <v/>
      </c>
      <c r="C30328" t="n">
        <v>0</v>
      </c>
      <c r="D30328" t="inlineStr">
        <is>
          <t>L'Épée Nice; Amulette de Gein; Bague Trithon; Bracelet du Piloztère; Écorce de Brouce; Ceintouse; Bonnet Ko; Voile d'encre; Bottes de l'Indicible; Dofus des Glaces; Dofus Émeraude; Dofus Turquoise; Dofus Ocre; Nomade; Remueur; Croum</t>
        </is>
      </c>
    </row>
    <row r="30329">
      <c r="A30329" t="inlineStr">
        <is>
          <t>Zobal res terre/eau</t>
        </is>
      </c>
      <c r="B30329">
        <f>HYPERLINK("https://www.dofusbook.net/fr/equipement/731340-zobal-res-terre-eau/objets", "link")</f>
        <v/>
      </c>
      <c r="C30329" t="n">
        <v>0</v>
      </c>
      <c r="D30329" t="inlineStr">
        <is>
          <t>Epée Gloursonne; Amulette Luminescente; Alliance Gloursonne; Bague Gloursonne; Bouclier précieux; Ceinture Luminescente; Casque Dragoeuf; Cape Luminescente; Sandales des Fonds marins; Dokoko; Dofus Ocre; Dofus Émeraude; Dofus des Glaces; Dofus Pourpre; Dofus Turquoise; Muldo Orchidée et Amande</t>
        </is>
      </c>
    </row>
    <row r="30330">
      <c r="A30330" t="inlineStr">
        <is>
          <t>Stuff 2</t>
        </is>
      </c>
      <c r="B30330">
        <f>HYPERLINK("https://www.dofusbook.net/fr/equipement/731276-stuff-2/objets", "link")</f>
        <v/>
      </c>
      <c r="C30330" t="n">
        <v>0</v>
      </c>
      <c r="D30330" t="inlineStr">
        <is>
          <t>Marteau des Anciens Steamers; Amulette du Strigide; Bague Trithon; Alliance Gloursonne; Ceinture du Strigide; Némès de Tal Kasha; Chevelure de Tal Kasha; Sandales de Tal Kasha; Dolmanax; Dofus Ocre; Dofus Pourpre; Dofus des Glaces; Dofus Turquoise; Muldo Prune et Emeraude</t>
        </is>
      </c>
    </row>
    <row r="30331">
      <c r="A30331" t="inlineStr">
        <is>
          <t>Stuff 1</t>
        </is>
      </c>
      <c r="B30331">
        <f>HYPERLINK("https://www.dofusbook.net/fr/equipement/731275-stuff-1/objets", "link")</f>
        <v/>
      </c>
      <c r="C30331" t="n">
        <v>0</v>
      </c>
      <c r="D30331" t="inlineStr">
        <is>
          <t>Dagues de Srambad; Amulette Ementaire Deluxe; Anneau Chevelu; Bague Gloursonne; Ceinture de la Reine des Voleurs; Casque Dragoeuf; Voile d'encre; Bottes de la Reine des Voleurs; Dolmanax; Dofus des Glaces; Dofus Ocre; Dofus Pourpre; Chanceux majeur; Remueur; Muldo Ebène et Amande</t>
        </is>
      </c>
    </row>
    <row r="30332">
      <c r="A30332" t="inlineStr">
        <is>
          <t>Stuff 3</t>
        </is>
      </c>
      <c r="B30332">
        <f>HYPERLINK("https://www.dofusbook.net/fr/equipement/731277-stuff-3/objets", "link")</f>
        <v/>
      </c>
      <c r="C30332" t="n">
        <v>0</v>
      </c>
      <c r="D30332" t="inlineStr">
        <is>
          <t>Epée Gloursonne; Amulette du Strigide; Anneau de Brouce; Anneau Chevelu; Ceinture du Strigide; Bonnet Ko; Dofusteuse; Bottes du Roi Joueur; Dofus Turquoise; Dofus Pourpre; Dofus des Glaces; Dofus Ocre; Remueur; Nomade; Muldo Prune et Emeraude</t>
        </is>
      </c>
    </row>
    <row r="30333">
      <c r="A30333" t="inlineStr">
        <is>
          <t>Stuff 2</t>
        </is>
      </c>
      <c r="B30333">
        <f>HYPERLINK("https://www.dofusbook.net/fr/equipement/731276-stuff-2/objets", "link")</f>
        <v/>
      </c>
      <c r="C30333" t="n">
        <v>0</v>
      </c>
      <c r="D30333" t="inlineStr">
        <is>
          <t>Marteau des Anciens Steamers; Amulette du Strigide; Alliance Gloursonne; Bague Trithon; Ceinture du Strigide; Némès de Tal Kasha; Chevelure de Tal Kasha; Sandales de Tal Kasha; Dofus des Glaces; Dofus Turquoise; Dolmanax; Dofus Ocre; Dofus Pourpre; Muldo Prune et Emeraude</t>
        </is>
      </c>
    </row>
    <row r="30334">
      <c r="A30334" t="inlineStr">
        <is>
          <t>Stuff 3</t>
        </is>
      </c>
      <c r="B30334">
        <f>HYPERLINK("https://www.dofusbook.net/fr/equipement/731238-stuff-3/objets", "link")</f>
        <v/>
      </c>
      <c r="C30334" t="n">
        <v>2</v>
      </c>
      <c r="D30334" t="inlineStr">
        <is>
          <t>Dagues du Dragoeuf; Amulette du K.O.; Alliance de Guten Tak; Ceinture du K.O.; Blopronne Royale; Cape de l'Obsidiantre; Bottes de Dremoan; Dokoko; Vigoureux majeur; Remueur; Carapace Feu majeur; Nomade; Carapace Terre majeur; Dragodinde en armure</t>
        </is>
      </c>
    </row>
    <row r="30335">
      <c r="A30335" t="inlineStr">
        <is>
          <t>Stuff 1</t>
        </is>
      </c>
      <c r="B30335">
        <f>HYPERLINK("https://www.dofusbook.net/fr/equipement/731254-stuff-1/objets", "link")</f>
        <v/>
      </c>
      <c r="C30335" t="n">
        <v>0</v>
      </c>
      <c r="D30335" t="inlineStr">
        <is>
          <t>Sceptre du Roi Joueur; Talisman Glouti; Alliance Gloursonne; Bracelet des Fonds marins; Sangle Ouare; Masque des Fonds marins; Cape de Mantaze; Pataugastrique; Dokoko; Dofus des Glaces; Déserteur majeur; Carapace Eau majeur; Miraculé majeur; Remueur; Eliôme</t>
        </is>
      </c>
    </row>
    <row r="30336">
      <c r="A30336" t="inlineStr">
        <is>
          <t>Stuff 3</t>
        </is>
      </c>
      <c r="B30336">
        <f>HYPERLINK("https://www.dofusbook.net/fr/equipement/731256-stuff-3/objets", "link")</f>
        <v/>
      </c>
      <c r="C30336" t="n">
        <v>0</v>
      </c>
      <c r="D30336" t="inlineStr">
        <is>
          <t>Bêche Asse; Collier de Tourthon; Bague Trithon; Anneau Crustique; Ceintouse; Masque de Koutoulou; Cape au Logis; Bottes de la Cour Sombre; Dokoko; Dofus des Glaces; Remueur; Carapace Eau majeur; Enragé majeur; Carapace Terre majeur; Eliôme</t>
        </is>
      </c>
    </row>
    <row r="30337">
      <c r="A30337" t="inlineStr">
        <is>
          <t>Stuff 1</t>
        </is>
      </c>
      <c r="B30337">
        <f>HYPERLINK("https://www.dofusbook.net/fr/equipement/731251-stuff-1/objets", "link")</f>
        <v/>
      </c>
      <c r="C30337" t="n">
        <v>0</v>
      </c>
      <c r="D30337" t="inlineStr">
        <is>
          <t>Épée de la Reine des Voleurs; Amulette du Kamasterisk; Alliance Gloursonne; Anneau des égarés; Ceintacé; Coiffe de la Reine des Voleurs; Cape du Kamasterisk; Baleinabottes; Dofus des Glaces; Dofus Pourpre; Dokoko; Enragé majeur; Carapace Air majeur; Vigoureux majeur; Eliôme</t>
        </is>
      </c>
    </row>
    <row r="30338">
      <c r="A30338" t="inlineStr">
        <is>
          <t>Stuff 2</t>
        </is>
      </c>
      <c r="B30338">
        <f>HYPERLINK("https://www.dofusbook.net/fr/equipement/731237-stuff-2/objets", "link")</f>
        <v/>
      </c>
      <c r="C30338" t="n">
        <v>2</v>
      </c>
      <c r="D30338" t="inlineStr">
        <is>
          <t>La Meulette; Anneau de Guten Tak; Ceinture Mycosine; Chapeau Lichinelle; Cape Nécrotique; Chaussons Pignons; Remueur; Nomade; Enragé majeur; Dragodinde en armure</t>
        </is>
      </c>
    </row>
    <row r="30339">
      <c r="A30339" t="inlineStr">
        <is>
          <t>Stuff 3</t>
        </is>
      </c>
      <c r="B30339">
        <f>HYPERLINK("https://www.dofusbook.net/fr/equipement/731253-stuff-3/objets", "link")</f>
        <v/>
      </c>
      <c r="C30339" t="n">
        <v>0</v>
      </c>
      <c r="D30339" t="inlineStr">
        <is>
          <t>Marteau des égarés; Amulette Ementaire Deluxe; Alliance Gloursonne; Anneau du Cycloïde; Ceinture de l'Indicible; Coiffe Ranshi; Cape du Chalœil; Bottes de l'Indicible; Dofus Pourpre; Dolmanax; Dofus des Glaces; Carapace Eau majeur; Nomade; Remueur; Homlett</t>
        </is>
      </c>
    </row>
    <row r="30340">
      <c r="A30340" t="inlineStr">
        <is>
          <t>Stuff 2</t>
        </is>
      </c>
      <c r="B30340">
        <f>HYPERLINK("https://www.dofusbook.net/fr/equipement/731255-stuff-2/objets", "link")</f>
        <v/>
      </c>
      <c r="C30340" t="n">
        <v>0</v>
      </c>
      <c r="D30340" t="inlineStr">
        <is>
          <t>Pelle de la Cour Sombre; Collier du Valet Veinard; Anneau de Pol Ouatnos; Gant du Valet Veinard; Menoture; Dorabysses; Cape Indescriptible; Baleinabottes; Dokoko; Dofus Turquoise; Dofus des Glaces; Dofus Pourpre; Cascadeur majeur; Carapace Air majeur; Eliôme</t>
        </is>
      </c>
    </row>
    <row r="30341">
      <c r="A30341" t="inlineStr">
        <is>
          <t>Stuff 1</t>
        </is>
      </c>
      <c r="B30341">
        <f>HYPERLINK("https://www.dofusbook.net/fr/equipement/731236-stuff-1/objets", "link")</f>
        <v/>
      </c>
      <c r="C30341" t="n">
        <v>0</v>
      </c>
      <c r="D30341" t="inlineStr">
        <is>
          <t>Marteau d'Hectaupe; Amulette du Strigide; Gant du Valet Veinard; Anneau de Padgref; Menoture; Couronne d'Allister; Cape Indescriptible; Getas de Padgref; Dofus Turquoise; Dévastateur Air majeur; Remueur; Equilibriste majeur; Nomade; Cascadeur majeur; Kokulte</t>
        </is>
      </c>
    </row>
    <row r="30342">
      <c r="A30342" t="inlineStr">
        <is>
          <t>Stuff 2</t>
        </is>
      </c>
      <c r="B30342">
        <f>HYPERLINK("https://www.dofusbook.net/fr/equipement/731252-stuff-2/objets", "link")</f>
        <v/>
      </c>
      <c r="C30342" t="n">
        <v>0</v>
      </c>
      <c r="D30342" t="inlineStr">
        <is>
          <t>Arc de Koutoulou; Amulette Voldelor; Gant du Valet Veinard; Alliance Gloursonne; Ceinture Voldelor; Dorabysses; Cape Matelassée; Bottes de la Reine des Voleurs; Dofus Pourpre; Dokoko; Dofus des Glaces; Nomade; Carapace Air majeur; Remueur; Eliôme</t>
        </is>
      </c>
    </row>
    <row r="30343">
      <c r="A30343" t="inlineStr">
        <is>
          <t>stuff no limit</t>
        </is>
      </c>
      <c r="B30343">
        <f>HYPERLINK("https://www.dofusbook.net/fr/equipement/1349016-stuff-no-limit/objets", "link")</f>
        <v/>
      </c>
      <c r="C30343" t="n">
        <v>1</v>
      </c>
      <c r="D30343" t="inlineStr">
        <is>
          <t>Pelle de Nidas; Amulette Voldelor; Bracelet du Piloztère; Alliance Gloursonne; Quatre-feuilles; Ceinture du Barbétoal; Coiffe d'Hel Munster; Cape Matelassée; Sandales de Tal Kasha; Dofus Turquoise; Dofus Émeraude; Dofus Pourpre; Remueur; Chanceux majeur; Cascadeur majeur</t>
        </is>
      </c>
    </row>
    <row r="30344">
      <c r="A30344" t="inlineStr">
        <is>
          <t>stuff 4</t>
        </is>
      </c>
      <c r="B30344">
        <f>HYPERLINK("https://www.dofusbook.net/fr/equipement/810367-stuff-4/objets", "link")</f>
        <v/>
      </c>
      <c r="C30344" t="n">
        <v>0</v>
      </c>
      <c r="D30344" t="inlineStr"/>
    </row>
    <row r="30345">
      <c r="A30345" t="inlineStr">
        <is>
          <t>Stuff 2</t>
        </is>
      </c>
      <c r="B30345">
        <f>HYPERLINK("https://www.dofusbook.net/fr/equipement/810302-stuff-2/objets", "link")</f>
        <v/>
      </c>
      <c r="C30345" t="n">
        <v>0</v>
      </c>
      <c r="D30345" t="inlineStr">
        <is>
          <t>Epée Maudite du Saigneur Guerrier; Amulette de Pol Ouatnos; Bague Gloursonne; Alliance Gloursonne; Ceintacé; Chapeau Lisson; Cape des Justiciers; Bottes du Père Fwetar; Dofus Pourpre; Vigoureux majeur; Nomade; Miraculé majeur; Sanguinaire majeur; Remueur; Kramkram</t>
        </is>
      </c>
    </row>
    <row r="30346">
      <c r="A30346" t="inlineStr">
        <is>
          <t>Stuff 1</t>
        </is>
      </c>
      <c r="B30346">
        <f>HYPERLINK("https://www.dofusbook.net/fr/equipement/810301-stuff-1/objets", "link")</f>
        <v/>
      </c>
      <c r="C30346" t="n">
        <v>0</v>
      </c>
      <c r="D30346" t="inlineStr">
        <is>
          <t>Epée Gloursonne; Amulette du Glourséleste; Bague Gloursonne; Alliance Gloursonne; Ougature; Ougalurette; Cape du Glourséleste; Bottines Hodore; Dofus Cawotte; Dofus Pourpre; Robuste majeur; Engourdisseur majeur; Furibond majeur; Kwaltess</t>
        </is>
      </c>
    </row>
    <row r="30347">
      <c r="A30347" t="inlineStr">
        <is>
          <t>Stuff 3</t>
        </is>
      </c>
      <c r="B30347">
        <f>HYPERLINK("https://www.dofusbook.net/fr/equipement/810303-stuff-3/objets", "link")</f>
        <v/>
      </c>
      <c r="C30347" t="n">
        <v>0</v>
      </c>
      <c r="D30347" t="inlineStr">
        <is>
          <t>Epée Maudite du Saigneur Guerrier; Amulette du Strigide; Grésilanneau; Bracelet du Piloztère; Ceintacé; Chapeau Lisson; Voilamibe; Bottes du Strigide; Dofus des Glaces; Dofus Pourpre; Vigoureux majeur; Nomade; Robuste majeur; Remueur; Kramkram</t>
        </is>
      </c>
    </row>
    <row r="30348">
      <c r="A30348" t="inlineStr">
        <is>
          <t>feu/pvp</t>
        </is>
      </c>
      <c r="B30348">
        <f>HYPERLINK("https://www.dofusbook.net/fr/equipement/2439314-feu-pvp/objets", "link")</f>
        <v/>
      </c>
      <c r="C30348" t="n">
        <v>2</v>
      </c>
      <c r="D30348" t="inlineStr">
        <is>
          <t>Arc corrompu; Amulette Volkorne; Anneauræus; Bouclier du Stalak; Ceinture Volkorne; Casque Dragoeuf; Cape de Diondin; Chaussures Ardentes; Dofus Ocre; Miraculé majeur; Érudit majeur; Étourdisseur majeur; Déserteur majeur; Nomade; Dragoune Rose</t>
        </is>
      </c>
    </row>
    <row r="30349">
      <c r="A30349" t="inlineStr">
        <is>
          <t>Stuff 2</t>
        </is>
      </c>
      <c r="B30349">
        <f>HYPERLINK("https://www.dofusbook.net/fr/equipement/269019-stuff-2/objets", "link")</f>
        <v/>
      </c>
      <c r="C30349" t="n">
        <v>0</v>
      </c>
      <c r="D30349" t="inlineStr"/>
    </row>
    <row r="30350">
      <c r="A30350" t="inlineStr">
        <is>
          <t>Sadida M 200</t>
        </is>
      </c>
      <c r="B30350">
        <f>HYPERLINK("https://www.dofusbook.net/fr/equipement/4657842-sadida-m-200/objets", "link")</f>
        <v/>
      </c>
      <c r="C30350" t="n">
        <v>0</v>
      </c>
      <c r="D30350" t="inlineStr">
        <is>
          <t>Arc du Chalœil; Amulette Volkorne; Pikano; Anneau Chevelu; Ceinture Volkorne; Masque de Koutoulou; Cape au Logis</t>
        </is>
      </c>
    </row>
    <row r="30351">
      <c r="A30351" t="inlineStr">
        <is>
          <t>Stuff 2</t>
        </is>
      </c>
      <c r="B30351">
        <f>HYPERLINK("https://www.dofusbook.net/fr/equipement/269040-stuff-2/objets", "link")</f>
        <v/>
      </c>
      <c r="C30351" t="n">
        <v>4</v>
      </c>
      <c r="D30351" t="inlineStr">
        <is>
          <t>Arc du Chalœil; Torquistik; Bague Trithon; Bague Instable; Bouclier précieux; Ceinture Gence; Masque Paztek; Cape Paztek; Bottistik; Dofus Ivoire; Dofus Émeraude; Culbuteur majeur; Culbuteur; Bousculeur majeur; Balafreux</t>
        </is>
      </c>
    </row>
    <row r="30352">
      <c r="A30352" t="inlineStr">
        <is>
          <t>Stuff 1</t>
        </is>
      </c>
      <c r="B30352">
        <f>HYPERLINK("https://www.dofusbook.net/fr/equipement/269024-stuff-1/objets", "link")</f>
        <v/>
      </c>
      <c r="C30352" t="n">
        <v>1</v>
      </c>
      <c r="D30352" t="inlineStr">
        <is>
          <t>Baguette Hique; Amulette de Shokkoth; Anneau Volkorne; Alliance Gloursonne; Quatre-feuilles; Pagne du Rykaon; Kidibonnet; Bottes de la Dame du Hasard; Dofus Vulbis; Dofus Ivoire; Dofus Pourpre; Dofus Turquoise; Dofus Ocre; Chanceux majeur; Kokulte</t>
        </is>
      </c>
    </row>
    <row r="30353">
      <c r="A30353" t="inlineStr">
        <is>
          <t>OugiTerreOTK</t>
        </is>
      </c>
      <c r="B30353">
        <f>HYPERLINK("https://www.dofusbook.net/fr/equipement/2974159-ougiterreotk/objets", "link")</f>
        <v/>
      </c>
      <c r="C30353" t="n">
        <v>4</v>
      </c>
      <c r="D30353" t="inlineStr">
        <is>
          <t>Dagues d'Ilyzaelle; Amulette du Strigide; Anneau Chevelu; Bague Gloursonne; Cadran d'Eau; Ceinture du Strigide; Masque de Koutoulou; Cape au Logis; Bottes de la Cour Sombre; Dofus Ocre; Dofus Turquoise; Dofus Émeraude; Dofus Pourpre; Dofus Ivoire; Enragé majeur; Dragodinde Ivoire et Pourpre</t>
        </is>
      </c>
    </row>
    <row r="30354">
      <c r="A30354" t="inlineStr">
        <is>
          <t>eau/esquives</t>
        </is>
      </c>
      <c r="B30354">
        <f>HYPERLINK("https://www.dofusbook.net/fr/equipement/2444968-eau-esquives/objets", "link")</f>
        <v/>
      </c>
      <c r="C30354" t="n">
        <v>4</v>
      </c>
      <c r="D30354" t="inlineStr">
        <is>
          <t>Dagoulinantes; Amulette de Shokkoth; Alliance Gloursonne; Bracelet des Fonds marins; Bouclier à hélice; Sangle Ouare; Casque Dragoeuf; Cape Solution; Sandales des Fonds marins; Dofus Pourpre; Dofus Ocre; Dofus Ivoire; Dofus Cawotte; Chanceux majeur; Évasif majeur; Dragodinde Indigo et Ivoire</t>
        </is>
      </c>
    </row>
    <row r="30355">
      <c r="A30355" t="inlineStr">
        <is>
          <t>ré fix</t>
        </is>
      </c>
      <c r="B30355">
        <f>HYPERLINK("https://www.dofusbook.net/fr/equipement/2862447-re-fix/objets", "link")</f>
        <v/>
      </c>
      <c r="C30355" t="n">
        <v>0</v>
      </c>
      <c r="D30355" t="inlineStr">
        <is>
          <t>Pelle de la Cour Sombre; Collier du Valet Veinard; Alliance Gloursonne; Gant du Valet Veinard; Bouclier d'Ilyzaelle; Menoture; Dorabysses; Cape du Kamasterisk; Palmes Trithons; Dofus des Glaces; Dofus Émeraude; Dofus Pourpre; Dofus Abyssal; Remueur; Cascadeur majeur</t>
        </is>
      </c>
    </row>
    <row r="30356">
      <c r="A30356" t="inlineStr">
        <is>
          <t>AirKoli</t>
        </is>
      </c>
      <c r="B30356">
        <f>HYPERLINK("https://www.dofusbook.net/fr/equipement/2037373-airkoli/objets", "link")</f>
        <v/>
      </c>
      <c r="C30356" t="n">
        <v>2</v>
      </c>
      <c r="D30356" t="inlineStr">
        <is>
          <t>Pelle de la Cour Sombre; Collier du Valet Veinard; Alliance Gloursonne; Gant du Valet Veinard; Bouclier de Solar; Menoture; Casque Dragoeuf; Cape de Klime; Palmes Trithons; Dofus Émeraude; Dofus Ocre; Dofus Ivoire; Cascadeur majeur; Nomade; Solide majeur; Chacha Tigré</t>
        </is>
      </c>
    </row>
    <row r="30357">
      <c r="A30357" t="inlineStr">
        <is>
          <t>Stuff 1</t>
        </is>
      </c>
      <c r="B30357">
        <f>HYPERLINK("https://www.dofusbook.net/fr/equipement/269027-stuff-1/objets", "link")</f>
        <v/>
      </c>
      <c r="C30357" t="n">
        <v>1</v>
      </c>
      <c r="D30357" t="inlineStr">
        <is>
          <t>Marteau R'ture; Amulette du Strigide; Anneau Chevelu; Bague Gloursonne; Cadran d'Eau; Ceintacé; Masque de Koutoulou; Cape au Logis; Bottes du Strigide; Dofus Turquoise; Dofus des Glaces; Dofus Ivoire; Carapace Terre majeur; Enragé majeur; Étourdisseur majeur; Drakopin</t>
        </is>
      </c>
    </row>
    <row r="30358">
      <c r="A30358" t="inlineStr">
        <is>
          <t>OsaEauréfix</t>
        </is>
      </c>
      <c r="B30358">
        <f>HYPERLINK("https://www.dofusbook.net/fr/equipement/2862384-osaeaurefix/objets", "link")</f>
        <v/>
      </c>
      <c r="C30358" t="n">
        <v>7</v>
      </c>
      <c r="D30358" t="inlineStr">
        <is>
          <t>Le Thanos; Amulette d'Ilyzaelle; Pikano; Alliance Gloursonne; Carapar; Sangle Ouare; Casque d'Ilyzaelle; Cape Solution; Bottes du Sinistrofu; Dofus Ivoire; Guérisseur majeur; Chanceux majeur; Carapace Eau majeur; Remueur; Carapace Air majeur; Dragodinde Indigo et Rousse</t>
        </is>
      </c>
    </row>
    <row r="30359">
      <c r="A30359" t="inlineStr">
        <is>
          <t>OsaterreSoutien</t>
        </is>
      </c>
      <c r="B30359">
        <f>HYPERLINK("https://www.dofusbook.net/fr/equipement/2964935-osaterresoutien/objets", "link")</f>
        <v/>
      </c>
      <c r="C30359" t="n">
        <v>17</v>
      </c>
      <c r="D30359" t="inlineStr">
        <is>
          <t>Arc Hétype; Amulette Volkorne; Anneau de Nidas; Bague Gloursonne; Cadran de Feu; Ceinture Volkorne; Chapeau de Gein; Voile d'encre; Bottes Honyme; Dofus Ocre; Dolmanax; Érudit majeur; Nomade; Miraculé majeur; Enragé majeur; Dragodinde Orchidée et Pourpre</t>
        </is>
      </c>
    </row>
    <row r="30360">
      <c r="A30360" t="inlineStr">
        <is>
          <t>Huppermage M 200</t>
        </is>
      </c>
      <c r="B30360">
        <f>HYPERLINK("https://www.dofusbook.net/fr/equipement/3812842-huppermage-m-200/objets", "link")</f>
        <v/>
      </c>
      <c r="C30360" t="n">
        <v>2</v>
      </c>
      <c r="D30360" t="inlineStr">
        <is>
          <t>Anneau Rifique; Anneauræus; Cadran de Terre; Ceinture de Vortex; Heaume Oplate; Cape Ardente; Chaussures Ardentes; Dofus Ocre; Érudit majeur; Nomade; Miraculé majeur; Étourdisseur majeur; Guérisseur majeur</t>
        </is>
      </c>
    </row>
    <row r="30361">
      <c r="A30361" t="inlineStr">
        <is>
          <t>Eliotrope M 200</t>
        </is>
      </c>
      <c r="B30361">
        <f>HYPERLINK("https://www.dofusbook.net/fr/equipement/4004665-eliotrope-m-200/objets", "link")</f>
        <v/>
      </c>
      <c r="C30361" t="n">
        <v>0</v>
      </c>
      <c r="D30361" t="inlineStr">
        <is>
          <t>Manthache; Collier du Valet Veinard; Gant du Valet Veinard; Alliance Gloursonne; Cadran d'Air; Menoture; Casque Dragoeuf; Cape du Kamasterisk; Palmes Trithons; Dofus Ocre; Dofus Émeraude; Dofus Ivoire; Évasif majeur; Nomade; Miraculé majeur; Dragodinde Amande et Ebène</t>
        </is>
      </c>
    </row>
    <row r="30362">
      <c r="A30362" t="inlineStr">
        <is>
          <t>Feu Koli</t>
        </is>
      </c>
      <c r="B30362">
        <f>HYPERLINK("https://www.dofusbook.net/fr/equipement/269004-feu-koli/objets", "link")</f>
        <v/>
      </c>
      <c r="C30362" t="n">
        <v>7</v>
      </c>
      <c r="D30362" t="inlineStr">
        <is>
          <t>Arc corrompu; Amulette Volkorne; Anneau Toriété; Bague Gloursonne; Quatre-feuilles; Ceinture Séculaire; Coiffe Séculaire; Voile d'encre; Pataugastrique; Dofus Ocre; Dofus Turquoise; Dofus Ivoire; Vagabond majeur; Érudit majeur; Déserteur majeur; Dragodinde Emeraude et Orchidée</t>
        </is>
      </c>
    </row>
    <row r="30363">
      <c r="A30363" t="inlineStr">
        <is>
          <t>Stuff 3</t>
        </is>
      </c>
      <c r="B30363">
        <f>HYPERLINK("https://www.dofusbook.net/fr/equipement/269008-stuff-3/objets", "link")</f>
        <v/>
      </c>
      <c r="C30363" t="n">
        <v>12</v>
      </c>
      <c r="D30363" t="inlineStr">
        <is>
          <t>Epée Loponèze; Amulette Voldelor; Alliance Gloursonne; Cadran d'Air; Ceinture Voldelor; Némès de Tal Kasha; Chevelure de Tal Kasha; Sandales de Tal Kasha; Dofus Ivoire; Dofus Ocre; Dofus Pourpre; Robuste majeur</t>
        </is>
      </c>
    </row>
    <row r="30364">
      <c r="A30364" t="inlineStr">
        <is>
          <t>feu/air/ret</t>
        </is>
      </c>
      <c r="B30364">
        <f>HYPERLINK("https://www.dofusbook.net/fr/equipement/269042-feu-air-ret/objets", "link")</f>
        <v/>
      </c>
      <c r="C30364" t="n">
        <v>6</v>
      </c>
      <c r="D30364" t="inlineStr">
        <is>
          <t>Arc Nécrotique; Amulette du Strigide; Alliance Gloursonne; Bague Gloursonne; Cadran d'Air; Ceinture du Strigide; Kidibonnet; Cape de la Dame du Hasard; Bottes de la Dame du Hasard; Dolmanax; Dofus Ivoire; Dofus des Glaces; Dofus Turquoise; Dofus Ocre; Dofus Pourpre; Muldo Indigo et Orchidée</t>
        </is>
      </c>
    </row>
    <row r="30365">
      <c r="A30365" t="inlineStr">
        <is>
          <t>Stuff 1</t>
        </is>
      </c>
      <c r="B30365">
        <f>HYPERLINK("https://www.dofusbook.net/fr/equipement/269006-stuff-1/objets", "link")</f>
        <v/>
      </c>
      <c r="C30365" t="n">
        <v>6</v>
      </c>
      <c r="D30365" t="inlineStr">
        <is>
          <t>Arc du Chalœil; Amulette du Strigide; Bague Trithon; Bague Gloursonne; Quatre-feuilles; Ceinture du Strigide; Masque Trithon; Cape au Logis; Bottes Trithon; Dofus des Glaces; Dofus Nébuleux; Dofus Ocre; Dofus Émeraude; Dofus Pourpre; Robuste majeur</t>
        </is>
      </c>
    </row>
    <row r="30366">
      <c r="A30366" t="inlineStr">
        <is>
          <t>Stuffagiclassique</t>
        </is>
      </c>
      <c r="B30366">
        <f>HYPERLINK("https://www.dofusbook.net/fr/equipement/3953691-stuffagiclassique/objets", "link")</f>
        <v/>
      </c>
      <c r="C30366" t="n">
        <v>4</v>
      </c>
      <c r="D30366" t="inlineStr">
        <is>
          <t>Pelle de la Cour Sombre; Collier du Valet Veinard; Alliance Gloursonne; Gant du Valet Veinard; Bouclier d'Ilyzaelle; Menoture; Dorabysses; Palmes Trithons; Dofus Émeraude; Dofus Ivoire; Dofus Ocre; Cascadeur majeur; Nomade; Miraculé majeur; Blérodoudou</t>
        </is>
      </c>
    </row>
    <row r="30367">
      <c r="A30367" t="inlineStr">
        <is>
          <t>OsaAir</t>
        </is>
      </c>
      <c r="B30367">
        <f>HYPERLINK("https://www.dofusbook.net/fr/equipement/2856458-osaair/objets", "link")</f>
        <v/>
      </c>
      <c r="C30367" t="n">
        <v>1</v>
      </c>
      <c r="D30367" t="inlineStr">
        <is>
          <t>Dagues Érhy; Collier du Valet Veinard; Gant du Valet Veinard; Alliance Gloursonne; Cadran d'Air; Menoture; Couronne d'Allister; Cape Indescriptible; Palmes Trithons; Dofus Ocre; Dofus des Glaces; Dofus Nébuleux; Dofus Émeraude; Nomade; Cascadeur majeur; Blérodoudou</t>
        </is>
      </c>
    </row>
    <row r="30368">
      <c r="A30368" t="inlineStr">
        <is>
          <t>Fulldopou</t>
        </is>
      </c>
      <c r="B30368">
        <f>HYPERLINK("https://www.dofusbook.net/fr/equipement/3108159-fulldopou/objets", "link")</f>
        <v/>
      </c>
      <c r="C30368" t="n">
        <v>13</v>
      </c>
      <c r="D30368" t="inlineStr">
        <is>
          <t>Lav'Hache; Amulette du Strigide; Anneau Chevelu; Bague Gloursonne; Bouclier du Stalak; Ceinture Gence; Casque Dragoeuf; Cape au Logis; Bottes du Strigide; Dofus Pourpre; Dofus Ocre; Enragé majeur; Carapace Terre majeur; Miraculé majeur; Vigoureux majeur; Pioute vert</t>
        </is>
      </c>
    </row>
    <row r="30369">
      <c r="A30369" t="inlineStr">
        <is>
          <t>Stuff 2</t>
        </is>
      </c>
      <c r="B30369">
        <f>HYPERLINK("https://www.dofusbook.net/fr/equipement/269007-stuff-2/objets", "link")</f>
        <v/>
      </c>
      <c r="C30369" t="n">
        <v>21</v>
      </c>
      <c r="D30369" t="inlineStr">
        <is>
          <t>Arc du Chalœil; Amulette de Pol Ouatnos; Bague Gloursonne; Anneau Chevelu; Bouclier du Stalak; Ceinture de la Reine des Voleurs; Coiffe de la Reine des Voleurs; Voile d'encre; Sabots Minables; Dofus Ocre; Dofus Pourpre; Enragé majeur; Robuste majeur; Vigoureux majeur; Kramkram</t>
        </is>
      </c>
    </row>
    <row r="30370">
      <c r="A30370" t="inlineStr">
        <is>
          <t>PVM</t>
        </is>
      </c>
      <c r="B30370">
        <f>HYPERLINK("https://www.dofusbook.net/fr/equipement/269003-pvm/objets", "link")</f>
        <v/>
      </c>
      <c r="C30370" t="n">
        <v>2</v>
      </c>
      <c r="D30370" t="inlineStr">
        <is>
          <t>Arc corrompu; Pendentif affamé; Anneauræus; Anneauræus; Quatre-feuilles; Ceinture Séculaire; Coiffe Séculaire; Cape de Diondin; Bottes Innommables; Dofus Pourpre; Dofus Turquoise; Dofus Émeraude; Remueur; Nomade; Érudit majeur; Bisouglours</t>
        </is>
      </c>
    </row>
    <row r="30371">
      <c r="A30371" t="inlineStr">
        <is>
          <t>Eauret</t>
        </is>
      </c>
      <c r="B30371">
        <f>HYPERLINK("https://www.dofusbook.net/fr/equipement/1681195-eauret/objets", "link")</f>
        <v/>
      </c>
      <c r="C30371" t="n">
        <v>3</v>
      </c>
      <c r="D30371" t="inlineStr">
        <is>
          <t>Rapière aux Glyphes; Amulette de Shokkoth; Alliance Gloursonne; Bracelet des Fonds marins; Bouclier du Stalak; Poulpagne; Casque Dragoeuf; Cape Solution; Sandales des Fonds marins; Dofus Abyssal; Dofus Émeraude; Déserteur majeur; Chanceux majeur; Étourdisseur majeur; Nomade; Dragoune Rose</t>
        </is>
      </c>
    </row>
    <row r="30372">
      <c r="A30372" t="inlineStr">
        <is>
          <t>Stuff 2</t>
        </is>
      </c>
      <c r="B30372">
        <f>HYPERLINK("https://www.dofusbook.net/fr/equipement/2866575-stuff-2/objets", "link")</f>
        <v/>
      </c>
      <c r="C30372" t="n">
        <v>0</v>
      </c>
      <c r="D30372" t="inlineStr">
        <is>
          <t>Arc du Chalœil; Amulette de Gein; Anneau de Brouce; Anneau Chevelu; Quatre-feuilles; Ceinture de Brouce; Chapeau de Gein; Cape du Cœur Saignant; Bottes de Brouce; Dofus Pourpre; Dofus Nébuleux; Dofus Turquoise; Dofus Ocre; Dofus Vulbis; Dofus des Glaces</t>
        </is>
      </c>
    </row>
    <row r="30373">
      <c r="A30373" t="inlineStr">
        <is>
          <t>OsaTerre</t>
        </is>
      </c>
      <c r="B30373">
        <f>HYPERLINK("https://www.dofusbook.net/fr/equipement/2863275-osaterre/objets", "link")</f>
        <v/>
      </c>
      <c r="C30373" t="n">
        <v>27</v>
      </c>
      <c r="D30373" t="inlineStr">
        <is>
          <t>Dagues Érhy; Amulette Ementaire Deluxe; Bague Gloursonne; Alliance Gloursonne; Cadran de Feu; Ceinture Gence; Masque de Koutoulou; Cape au Logis; Bottes de la Cour Sombre; Dofus des Glaces; Dolmanax; Dofus Émeraude; Carapace Terre majeur; Miraculé majeur; Enragé majeur; Dragodinde Dorée et Pourpre</t>
        </is>
      </c>
    </row>
    <row r="30374">
      <c r="A30374" t="inlineStr">
        <is>
          <t>Stuff 1</t>
        </is>
      </c>
      <c r="B30374">
        <f>HYPERLINK("https://www.dofusbook.net/fr/equipement/269018-stuff-1/objets", "link")</f>
        <v/>
      </c>
      <c r="C30374" t="n">
        <v>2</v>
      </c>
      <c r="D30374" t="inlineStr">
        <is>
          <t>Arc corrompu; Amulette de Nileza; Bague Gloursonne; Anneauræus; Bouclier du Stalak; Ceinture de Vortex; Heaume Oplate; Cape de Nileza; Chaussures Ardentes; Dofus des Glaces; Dolmanax; Dofus Ocre; Dofus Pourpre; Nomade; Érudit majeur; Dragodinde Ivoire et Orchidée</t>
        </is>
      </c>
    </row>
    <row r="30375">
      <c r="A30375" t="inlineStr">
        <is>
          <t>Stuff 2</t>
        </is>
      </c>
      <c r="B30375">
        <f>HYPERLINK("https://www.dofusbook.net/fr/equipement/269001-stuff-2/objets", "link")</f>
        <v/>
      </c>
      <c r="C30375" t="n">
        <v>1</v>
      </c>
      <c r="D30375" t="inlineStr">
        <is>
          <t>Epée Gloursonne; Amulette du Strigide; Alliance Gloursonne; Bague Gloursonne; Quatre-feuilles; Ceinture du Strigide; Maskrobe; Cape de la Dame du Hasard; Bottes de la Dame du Hasard; Dofus Nébuleux; Dofus Pourpre; Dofus Ocre; Dofus Turquoise; Dofus Émeraude; Dofus des Glaces</t>
        </is>
      </c>
    </row>
    <row r="30376">
      <c r="A30376" t="inlineStr">
        <is>
          <t>stuffthanosdd</t>
        </is>
      </c>
      <c r="B30376">
        <f>HYPERLINK("https://www.dofusbook.net/fr/equipement/1648389-stuffthanosdd/objets", "link")</f>
        <v/>
      </c>
      <c r="C30376" t="n">
        <v>8</v>
      </c>
      <c r="D30376" t="inlineStr">
        <is>
          <t>Baguette de Malléfisk; Amulette de Nileza; Bague Gloursonne; Anneauræus; Carapar; Protopagne; Heaume Oplate; Cape de Nileza; Chaussures Ardentes; Dofus Abyssal; Dofus Ocre; Carapace Eau majeur; Carapace Feu majeur; Érudit majeur; Miraculé majeur; Dragodinde Orchidée et Rousse</t>
        </is>
      </c>
    </row>
    <row r="30377">
      <c r="A30377" t="inlineStr">
        <is>
          <t>Demi</t>
        </is>
      </c>
      <c r="B30377">
        <f>HYPERLINK("https://www.dofusbook.net/fr/equipement/922853-demi/objets", "link")</f>
        <v/>
      </c>
      <c r="C30377" t="n">
        <v>1</v>
      </c>
      <c r="D30377" t="inlineStr">
        <is>
          <t>Rapière aux Glyphes; Amulette du Strigide; Bracelet des Fonds marins; Alliance Gloursonne; Cadran d'Eau; Poulpagne; Kidibonnet; Cape du Sinistrofu; Bottes du Sinistrofu; Dofus Émeraude; Dofus des Glaces; Dofus Nébuleux; Dofus Pourpre; Dofus Turquoise; Chanceux majeur; Dragodinde Indigo et Ivoire</t>
        </is>
      </c>
    </row>
    <row r="30378">
      <c r="A30378" t="inlineStr">
        <is>
          <t>air</t>
        </is>
      </c>
      <c r="B30378">
        <f>HYPERLINK("https://www.dofusbook.net/fr/equipement/3581803-air/objets", "link")</f>
        <v/>
      </c>
      <c r="C30378" t="n">
        <v>4</v>
      </c>
      <c r="D30378" t="inlineStr">
        <is>
          <t>Manthache; Collier du Valet Veinard; Gant du Valet Veinard; Alliance Gloursonne; Bouclier du Stalak; Menoture; Dorabysses; Cape du Kamasterisk; Palmes Trithons; Dofus Vulbis; Dofus Ocre; Dokoko; Dofus Ivoire; Miraculé majeur; Cascadeur majeur; Dragodinde Ebène et Ivoire</t>
        </is>
      </c>
    </row>
    <row r="30379">
      <c r="A30379" t="inlineStr">
        <is>
          <t>full eau crit</t>
        </is>
      </c>
      <c r="B30379">
        <f>HYPERLINK("https://www.dofusbook.net/fr/equipement/2378974-full-eau-crit/objets", "link")</f>
        <v/>
      </c>
      <c r="C30379" t="n">
        <v>2</v>
      </c>
      <c r="D30379" t="inlineStr">
        <is>
          <t>Baguette Héroclite; Amulette du Sinistrofu; Alliance Gloursonne; Bracelet des Fonds marins; Bouclier du Stalak; Sangle Ouare; Casque Dragoeuf; Cape Solution; Bottes du Sinistrofu; Dokoko; Dofus Ivoire; Dofus Pourpre; Chanceux majeur; Remueur; Miraculé majeur; Dragodinde Indigo et Ivoire</t>
        </is>
      </c>
    </row>
    <row r="30380">
      <c r="A30380" t="inlineStr">
        <is>
          <t>Stuff 2</t>
        </is>
      </c>
      <c r="B30380">
        <f>HYPERLINK("https://www.dofusbook.net/fr/equipement/269045-stuff-2/objets", "link")</f>
        <v/>
      </c>
      <c r="C30380" t="n">
        <v>4</v>
      </c>
      <c r="D30380" t="inlineStr">
        <is>
          <t>Arc du Chalœil; Amulette du Strigide; Bague Gloursonne; Anneau Chevelu; Cadran de Feu; Ceinture du Strigide; Masque de Koutoulou; Cape au Logis; Sabots Minables; Dofus Ivoire; Dokoko; Dofus des Glaces; Miraculé majeur; Enragé majeur; Carapace Terre majeur; Croum</t>
        </is>
      </c>
    </row>
    <row r="30381">
      <c r="A30381" t="inlineStr">
        <is>
          <t>osaeausoin</t>
        </is>
      </c>
      <c r="B30381">
        <f>HYPERLINK("https://www.dofusbook.net/fr/equipement/2960620-osaeausoin/objets", "link")</f>
        <v/>
      </c>
      <c r="C30381" t="n">
        <v>1</v>
      </c>
      <c r="D30381" t="inlineStr">
        <is>
          <t>Le Thanos; Amulette d'Ilyzaelle; Alliance Gloursonne; Anneau Toriété; Carapar; Menoture; Casque d'Ilyzaelle; Cape du Kamasterisk; Palmes Trithons; Dofus des Glaces; Remueur; Carapace Air majeur; Cascadeur majeur; Miraculé majeur; Guérisseur majeur; Dragodinde Dorée et Ebène</t>
        </is>
      </c>
    </row>
    <row r="30382">
      <c r="A30382" t="inlineStr">
        <is>
          <t>Stuff 2</t>
        </is>
      </c>
      <c r="B30382">
        <f>HYPERLINK("https://www.dofusbook.net/fr/equipement/269043-stuff-2/objets", "link")</f>
        <v/>
      </c>
      <c r="C30382" t="n">
        <v>1</v>
      </c>
      <c r="D30382" t="inlineStr">
        <is>
          <t>Arc Honte; Collier du Valet Veinard; Anneau Rifique; Gant du Valet Veinard; Cadran d'Air; Ceinture de Vortex; Cagoule de Vortex; Cape du Valet Veinard; Sabots de Vortex; Dolmanax; Dofus des Glaces; Dofus Abyssal; Dofus Pourpre; Dofus Émeraude; Dofus Ocre; Muldo Ebène et Pourpre</t>
        </is>
      </c>
    </row>
    <row r="30383">
      <c r="A30383" t="inlineStr">
        <is>
          <t>Stuff 3</t>
        </is>
      </c>
      <c r="B30383">
        <f>HYPERLINK("https://www.dofusbook.net/fr/equipement/269005-stuff-3/objets", "link")</f>
        <v/>
      </c>
      <c r="C30383" t="n">
        <v>0</v>
      </c>
      <c r="D30383" t="inlineStr">
        <is>
          <t>Arc de Koutoulou; Amulette du Strigide; Bague Gloursonne; Alliance Gloursonne; Quatre-feuilles; Ceinture du Strigide; Némès de Tal Kasha; Chevelure de Tal Kasha; Sandales de Tal Kasha; Dofus Pourpre; Dofus des Glaces; Dofus Abyssal; Dofus Turquoise; Dofus Émeraude; Dofus Ocre; Muldo Ebène et Indigo</t>
        </is>
      </c>
    </row>
    <row r="30384">
      <c r="A30384" t="inlineStr">
        <is>
          <t>Stuff 1</t>
        </is>
      </c>
      <c r="B30384">
        <f>HYPERLINK("https://www.dofusbook.net/fr/equipement/269036-stuff-1/objets", "link")</f>
        <v/>
      </c>
      <c r="C30384" t="n">
        <v>2</v>
      </c>
      <c r="D30384" t="inlineStr">
        <is>
          <t>Hache du Guerrier Zoth; Amulette Héroclite; Gelano; Anneau Chevelu; Le Karde Cœur; Ceinture d'Ogivol; Coiffe d'Ogivol; Grésilocape; Bottes de Brouce; Remueur; Nomade; Enragé majeur; Kompost</t>
        </is>
      </c>
    </row>
    <row r="30385">
      <c r="A30385" t="inlineStr">
        <is>
          <t>eau/air</t>
        </is>
      </c>
      <c r="B30385">
        <f>HYPERLINK("https://www.dofusbook.net/fr/equipement/2412843-eau-air/objets", "link")</f>
        <v/>
      </c>
      <c r="C30385" t="n">
        <v>0</v>
      </c>
      <c r="D30385" t="inlineStr">
        <is>
          <t>Arc de Koutoulou; Amulette du Strigide; Alliance Gloursonne; Bracelet des Fonds marins; Cadran de Terre; Menoture; Kidibonnet; Chevelure de Tal Kasha; Sandales de Tal Kasha; Dofus Pourpre; Dofus Abyssal; Dofus Turquoise; Dofus Émeraude; Dofus des Glaces; Étourdisseur majeur; Muldo Ebène</t>
        </is>
      </c>
    </row>
    <row r="30386">
      <c r="A30386" t="inlineStr">
        <is>
          <t>Eau</t>
        </is>
      </c>
      <c r="B30386">
        <f>HYPERLINK("https://www.dofusbook.net/fr/equipement/269039-eau/objets", "link")</f>
        <v/>
      </c>
      <c r="C30386" t="n">
        <v>0</v>
      </c>
      <c r="D30386" t="inlineStr">
        <is>
          <t>Rapière aux Glyphes; Amulette du Strigide; Pikano; Alliance Gloursonne; Bouclier d'Ilyzaelle; Poulpagne; Capuche de l'Œil Attentif; Cape de l'Œil Attentif; Bottes du Sinistrofu; Dofus Ivoire; Dofus Pourpre; Dofus Abyssal; Dofus Turquoise; Remueur; Chanceux majeur; Muldo Indigo</t>
        </is>
      </c>
    </row>
    <row r="30387">
      <c r="A30387" t="inlineStr">
        <is>
          <t>Stuff 3</t>
        </is>
      </c>
      <c r="B30387">
        <f>HYPERLINK("https://www.dofusbook.net/fr/equipement/269041-stuff-3/objets", "link")</f>
        <v/>
      </c>
      <c r="C30387" t="n">
        <v>0</v>
      </c>
      <c r="D30387" t="inlineStr"/>
    </row>
    <row r="30388">
      <c r="A30388" t="inlineStr">
        <is>
          <t>Stuff 3</t>
        </is>
      </c>
      <c r="B30388">
        <f>HYPERLINK("https://www.dofusbook.net/fr/equipement/3112408-stuff-3/objets", "link")</f>
        <v/>
      </c>
      <c r="C30388" t="n">
        <v>0</v>
      </c>
      <c r="D30388" t="inlineStr">
        <is>
          <t>Héqache; Torquistik; Alliance Gloursonne; Bague Trithon; Bouclier précieux; Sangle Ouare; Casque Dragoeuf; Cape Solution; Bottistik; Dofus Abyssal; Dofus Émeraude; Remueur; Culbuteur majeur; Pousseur majeur; Bousculeur majeur; Kafarce</t>
        </is>
      </c>
    </row>
    <row r="30389">
      <c r="A30389" t="inlineStr">
        <is>
          <t>eau/air</t>
        </is>
      </c>
      <c r="B30389">
        <f>HYPERLINK("https://www.dofusbook.net/fr/equipement/3002852-eau-air/objets", "link")</f>
        <v/>
      </c>
      <c r="C30389" t="n">
        <v>1</v>
      </c>
      <c r="D30389" t="inlineStr">
        <is>
          <t>Manthache; Collier du Valet Veinard; Gant du Valet Veinard; Alliance Gloursonne; Cadran d'Air; Ceinture de la Reine des Voleurs; Coiffe de la Reine des Voleurs; Cape du Valet Veinard; Bottes de la Reine des Voleurs; Dofus Émeraude; Dofus Ocre; Dolmanax; Dofus des Glaces; Dofus Pourpre; Muldo Ebène</t>
        </is>
      </c>
    </row>
    <row r="30390">
      <c r="A30390" t="inlineStr">
        <is>
          <t>stuff3</t>
        </is>
      </c>
      <c r="B30390">
        <f>HYPERLINK("https://www.dofusbook.net/fr/equipement/2863909-stuff3/objets", "link")</f>
        <v/>
      </c>
      <c r="C30390" t="n">
        <v>0</v>
      </c>
      <c r="D30390" t="inlineStr">
        <is>
          <t>Hache du Guerrier Zoth; Amulule; Alliance de Missiz Frizz; Gelano; Ceinture d'Ogivol; Coiffe d'Ogivol; Cape du Professeur Xa; Pikottes</t>
        </is>
      </c>
    </row>
    <row r="30391">
      <c r="A30391" t="inlineStr">
        <is>
          <t>Stuff 3</t>
        </is>
      </c>
      <c r="B30391">
        <f>HYPERLINK("https://www.dofusbook.net/fr/equipement/269017-stuff-3/objets", "link")</f>
        <v/>
      </c>
      <c r="C30391" t="n">
        <v>1</v>
      </c>
      <c r="D30391" t="inlineStr">
        <is>
          <t>Baguette de Malléfisk; Pendentif mignon de Koutoulou; Anneau Rifique; Baguistik; Carapar; Ceinture de Vortex; Casque Dragoeuf; Cape de Diondin; Chaussures Ardentes; Dofus Ivoire; Dofus Émeraude; Dokoko; Dofus Abyssal; Érudit majeur; Remueur; Muldo Orchidée et Pourpre</t>
        </is>
      </c>
    </row>
    <row r="30392">
      <c r="A30392" t="inlineStr">
        <is>
          <t>Stuff 3</t>
        </is>
      </c>
      <c r="B30392">
        <f>HYPERLINK("https://www.dofusbook.net/fr/equipement/269023-stuff-3/objets", "link")</f>
        <v/>
      </c>
      <c r="C30392" t="n">
        <v>0</v>
      </c>
      <c r="D30392" t="inlineStr"/>
    </row>
    <row r="30393">
      <c r="A30393" t="inlineStr">
        <is>
          <t>Stuff 3</t>
        </is>
      </c>
      <c r="B30393">
        <f>HYPERLINK("https://www.dofusbook.net/fr/equipement/269002-stuff-3/objets", "link")</f>
        <v/>
      </c>
      <c r="C30393" t="n">
        <v>0</v>
      </c>
      <c r="D30393" t="inlineStr">
        <is>
          <t>Héqache; Amulette du Strigide; Anneau Crustique; Anneau Chevelu; Bouclier Taverne; Ceinture de la Cour Sombre; Masque de Koutoulou; Voile d'encre; Bottes de la Cour Sombre</t>
        </is>
      </c>
    </row>
    <row r="30394">
      <c r="A30394" t="inlineStr">
        <is>
          <t>arc ahique</t>
        </is>
      </c>
      <c r="B30394">
        <f>HYPERLINK("https://www.dofusbook.net/fr/equipement/2453551-arc-ahique/objets", "link")</f>
        <v/>
      </c>
      <c r="C30394" t="n">
        <v>0</v>
      </c>
      <c r="D30394" t="inlineStr">
        <is>
          <t>Arc de Koutoulou; Amulette d'Ilyzaelle; Bracelet des Fonds marins; Alliance Gloursonne; Cadran d'Air; Ceinture de la Reine des Voleurs; Casque Dragoeuf; Cape Solution; Bottes de la Reine des Voleurs; Dofus Pourpre; Dofus des Glaces; Remueur; Sanguinaire majeur; Vigoureux majeur; Robuste majeur; Muldo Ebène</t>
        </is>
      </c>
    </row>
    <row r="30395">
      <c r="A30395" t="inlineStr">
        <is>
          <t>hache</t>
        </is>
      </c>
      <c r="B30395">
        <f>HYPERLINK("https://www.dofusbook.net/fr/equipement/2392435-hache/objets", "link")</f>
        <v/>
      </c>
      <c r="C30395" t="n">
        <v>0</v>
      </c>
      <c r="D30395" t="inlineStr">
        <is>
          <t>Arc du Chalœil; Amulette du Strigide; Anneau Chevelu; Bague Gloursonne; Quatre-feuilles; Ceinture du Strigide; Masque de Koutoulou; Voile d'encre; Sabots Minables; Dofus Abyssal; Dofus Pourpre; Dofus Turquoise; Dofus des Glaces; Dolmanax; Remueur; Muldo Pourpre</t>
        </is>
      </c>
    </row>
    <row r="30396">
      <c r="A30396" t="inlineStr">
        <is>
          <t>feu/eau</t>
        </is>
      </c>
      <c r="B30396">
        <f>HYPERLINK("https://www.dofusbook.net/fr/equipement/2367546-feu-eau/objets", "link")</f>
        <v/>
      </c>
      <c r="C30396" t="n">
        <v>0</v>
      </c>
      <c r="D30396" t="inlineStr">
        <is>
          <t>Arc Nécrotique; Amulette du Strigide; Bague Gloursonne; Alliance Gloursonne; Quatre-feuilles; Ceinture du Strigide; Kidibonnet; Cape de la Dame du Hasard; Bottes de la Dame du Hasard; Dofus des Glaces; Dofus Ocre; Dolmanax; Dofus Pourpre; Dofus Abyssal; Dofus Turquoise; Muldo Indigo et Orchidée</t>
        </is>
      </c>
    </row>
    <row r="30397">
      <c r="A30397" t="inlineStr">
        <is>
          <t>répou</t>
        </is>
      </c>
      <c r="B30397">
        <f>HYPERLINK("https://www.dofusbook.net/fr/equipement/2397204-repou/objets", "link")</f>
        <v/>
      </c>
      <c r="C30397" t="n">
        <v>0</v>
      </c>
      <c r="D30397" t="inlineStr">
        <is>
          <t>Pelle de la Cour Sombre; Collier du Valet Veinard; Alliance Gloursonne; Gant du Valet Veinard; Jadis; Ceinture du Barbétoal; Dorabysses; Cape du Valet Veinard; Palmes Trithons; Dofus des Glaces; Dofus Émeraude; Dofus Pourpre; Dofus Abyssal; Dofus Ocre; Inflexible majeur; Muldo Ebène</t>
        </is>
      </c>
    </row>
    <row r="30398">
      <c r="A30398" t="inlineStr">
        <is>
          <t>feu/soutien</t>
        </is>
      </c>
      <c r="B30398">
        <f>HYPERLINK("https://www.dofusbook.net/fr/equipement/2382383-feu-soutien/objets", "link")</f>
        <v/>
      </c>
      <c r="C30398" t="n">
        <v>0</v>
      </c>
      <c r="D30398" t="inlineStr">
        <is>
          <t>Baguette de Malléfisk; Pendentif affamé; Anneau Tique; Anneau de Nidas; Cadran de Feu; Ceinture de Gein; Couronne de Nidas; Voile d'encre; Pataugastrique; Dofus Abyssal; Dolmanax; Guérisseur majeur; Déserteur majeur; Remueur; Érudit majeur; Muldo Indigo et Pourpre</t>
        </is>
      </c>
    </row>
    <row r="30399">
      <c r="A30399" t="inlineStr">
        <is>
          <t>Stuff 1</t>
        </is>
      </c>
      <c r="B30399">
        <f>HYPERLINK("https://www.dofusbook.net/fr/equipement/269044-stuff-1/objets", "link")</f>
        <v/>
      </c>
      <c r="C30399" t="n">
        <v>0</v>
      </c>
      <c r="D30399" t="inlineStr">
        <is>
          <t>Arc du Chalœil; Amulette Luminescente; Anneau Chevelu; Bague Gloursonne; Bouclier Taverne; Ceinture Luminescente; Masque de Koutoulou; Voile d'encre; Sabots Minables; Dofus Turquoise; Dofus Pourpre; Dolmanax; Culbuteur majeur; Évasif majeur; Bousculeur majeur; Muldo Pourpre</t>
        </is>
      </c>
    </row>
    <row r="30400">
      <c r="A30400" t="inlineStr">
        <is>
          <t>Eau Full pano</t>
        </is>
      </c>
      <c r="B30400">
        <f>HYPERLINK("https://www.dofusbook.net/fr/equipement/1648388-eau-full-pano-/objets", "link")</f>
        <v/>
      </c>
      <c r="C30400" t="n">
        <v>0</v>
      </c>
      <c r="D30400" t="inlineStr">
        <is>
          <t>Rapière aux Glyphes; Amulette de Shokkoth; Bracelet des Fonds marins; Alliance Gloursonne; Quatre-feuilles; Poulpagne; Capuche de l'Œil Attentif; Cape de l'Œil Attentif; Sandales Circulaires du Kimbo; Dofus Abyssal; Dolmanax; Dofus Émeraude; Dofus Turquoise; Remueur; Chanceux majeur; Muldo Ebène et Indigo</t>
        </is>
      </c>
    </row>
    <row r="30401">
      <c r="A30401" t="inlineStr">
        <is>
          <t>Stuff 3</t>
        </is>
      </c>
      <c r="B30401">
        <f>HYPERLINK("https://www.dofusbook.net/fr/equipement/269020-stuff-3/objets", "link")</f>
        <v/>
      </c>
      <c r="C30401" t="n">
        <v>0</v>
      </c>
      <c r="D30401" t="inlineStr">
        <is>
          <t>Héqache; Torquistik; Bague Trithon; Alliance Gloursonne; Bouclier précieux; Sangle Ouare; Casque Dragoeuf; Cape Solution; Bottistik; Dofus Abyssal; Dofus Émeraude; Pousseur majeur; Bousculeur majeur; Remueur; Culbuteur majeur; Kafarce</t>
        </is>
      </c>
    </row>
    <row r="30402">
      <c r="A30402" t="inlineStr">
        <is>
          <t>Eau</t>
        </is>
      </c>
      <c r="B30402">
        <f>HYPERLINK("https://www.dofusbook.net/fr/equipement/1865533-eau/objets", "link")</f>
        <v/>
      </c>
      <c r="C30402" t="n">
        <v>2</v>
      </c>
      <c r="D30402" t="inlineStr">
        <is>
          <t>Rapière aux Glyphes; Amulette de Shokkoth; Alliance Gloursonne; Bracelet des Fonds marins; Cadran d'Air; Ceinture Glaciale; Kidibonnet; Cape Endaison; Sandales des Fonds marins; Dofus des Glaces; Dofus Émeraude; Remueur; Chanceux majeur; Carapace Eau majeur; Miraculé majeur; Muldo Orchidée et Pourpre</t>
        </is>
      </c>
    </row>
    <row r="30403">
      <c r="A30403" t="inlineStr">
        <is>
          <t>Feu</t>
        </is>
      </c>
      <c r="B30403">
        <f>HYPERLINK("https://www.dofusbook.net/fr/equipement/1865119-feu/objets", "link")</f>
        <v/>
      </c>
      <c r="C30403" t="n">
        <v>0</v>
      </c>
      <c r="D30403" t="inlineStr">
        <is>
          <t>Baguette Range; Amulette du Strigide; Anneau Tique; Anneau de Padgref; Quatre-feuilles; Ceinture du Strigide; Coiffe de Padgref; Voile d'encre; Getas de Padgref; Dofus Turquoise; Dofus des Glaces; Dofus Ocre; Dofus Abyssal; Dofus Pourpre; Dolmanax; Muldo Orchidée et Pourpre</t>
        </is>
      </c>
    </row>
    <row r="30404">
      <c r="A30404" t="inlineStr">
        <is>
          <t>Eau/air</t>
        </is>
      </c>
      <c r="B30404">
        <f>HYPERLINK("https://www.dofusbook.net/fr/equipement/1819488-eau-air/objets", "link")</f>
        <v/>
      </c>
      <c r="C30404" t="n">
        <v>0</v>
      </c>
      <c r="D30404" t="inlineStr">
        <is>
          <t>Epée Loponèze; Amulette du Strigide; Bague Trithon; Alliance Gloursonne; Bouclier Taverne; Poulpagne; Casque Dragoeuf; Cape Matelassée; Bottes Trithon; Dofus Émeraude; Dofus des Glaces; Dofus Pourpre; Dolmanax; Cascadeur majeur; Cavaleur majeur; Muldo Ebène et Orchidée</t>
        </is>
      </c>
    </row>
    <row r="30405">
      <c r="A30405" t="inlineStr">
        <is>
          <t>Stuff 2</t>
        </is>
      </c>
      <c r="B30405">
        <f>HYPERLINK("https://www.dofusbook.net/fr/equipement/269025-stuff-2/objets", "link")</f>
        <v/>
      </c>
      <c r="C30405" t="n">
        <v>0</v>
      </c>
      <c r="D30405" t="inlineStr">
        <is>
          <t>Arc Honte; Amulette de Shokkoth; Alliance Gloursonne; Quatre-feuilles; Poulpagne; Casque Dragoeuf; Cape du Sinistrofu; Bottes du Sinistrofu; Dofus Turquoise; Dofus Pourpre; Dofus des Glaces; Dolmanax; Remueur; Muldo Indigo et Pourpre</t>
        </is>
      </c>
    </row>
    <row r="30406">
      <c r="A30406" t="inlineStr">
        <is>
          <t>Eaufey</t>
        </is>
      </c>
      <c r="B30406">
        <f>HYPERLINK("https://www.dofusbook.net/fr/equipement/1721753-eaufey/objets", "link")</f>
        <v/>
      </c>
      <c r="C30406" t="n">
        <v>0</v>
      </c>
      <c r="D30406" t="inlineStr">
        <is>
          <t>Arc Nécrotique; Amulette Ementaire Deluxe; Alliance Gloursonne; Anneau Tique; Sept ans de malheur; Poulpagne; Casquette de Meno; Voile d'encre; Bottes de Meno; Dolmanax; Dofus Abyssal; Dofus Émeraude; Étourdisseur majeur; Remueur; Guérisseur majeur; Muldo Orchidée et Pourpre</t>
        </is>
      </c>
    </row>
    <row r="30407">
      <c r="A30407" t="inlineStr">
        <is>
          <t>Stuff 1</t>
        </is>
      </c>
      <c r="B30407">
        <f>HYPERLINK("https://www.dofusbook.net/fr/equipement/269000-stuff-1/objets", "link")</f>
        <v/>
      </c>
      <c r="C30407" t="n">
        <v>0</v>
      </c>
      <c r="D30407" t="inlineStr">
        <is>
          <t>Arc Hétype; Amulette de Nileza; Bague Gloursonne; Anneau Tique; Quatre-feuilles; Ceinture de Vortex; Cagoule de Vortex; Cape de Diondin; Bottes Innommables; Dofus Émeraude; Dofus Pourpre; Miraculé majeur; Érudit majeur; Remueur; Muldo Pourpre</t>
        </is>
      </c>
    </row>
    <row r="30408">
      <c r="A30408" t="inlineStr">
        <is>
          <t>Stuff 1</t>
        </is>
      </c>
      <c r="B30408">
        <f>HYPERLINK("https://www.dofusbook.net/fr/equipement/269009-stuff-1/objets", "link")</f>
        <v/>
      </c>
      <c r="C30408" t="n">
        <v>2</v>
      </c>
      <c r="D30408" t="inlineStr">
        <is>
          <t>Baguette de Malléfisk; Torquistik; Bague Gloursonne; Baguistik; Carapar; Protopagne; Voile d'encre; Pataugastrique; Déserteur majeur; Remueur; Guérisseur majeur; Érudit majeur; Carapace Terre majeur; Vagabond majeur; Croum</t>
        </is>
      </c>
    </row>
    <row r="30409">
      <c r="A30409" t="inlineStr">
        <is>
          <t>Stuff 3</t>
        </is>
      </c>
      <c r="B30409">
        <f>HYPERLINK("https://www.dofusbook.net/fr/equipement/269026-stuff-3/objets", "link")</f>
        <v/>
      </c>
      <c r="C30409" t="n">
        <v>0</v>
      </c>
      <c r="D30409" t="inlineStr">
        <is>
          <t>Sceptre du Roi Joueur; Amulette de Shokkoth; Bracelet des Fonds marins; Alliance Gloursonne; Quatre-feuilles; Poulpagne; Casque Dragoeuf; Sandales des Fonds marins; Dolmanax; Dofus Pourpre; Dofus des Glaces; Dofus Turquoise; Chanceux majeur; Muldo Ebène et Indigo</t>
        </is>
      </c>
    </row>
    <row r="30410">
      <c r="A30410" t="inlineStr">
        <is>
          <t>Stuff 3</t>
        </is>
      </c>
      <c r="B30410">
        <f>HYPERLINK("https://www.dofusbook.net/fr/equipement/269029-stuff-3/objets", "link")</f>
        <v/>
      </c>
      <c r="C30410" t="n">
        <v>0</v>
      </c>
      <c r="D30410" t="inlineStr">
        <is>
          <t>Arc Hétype; Amulette de Nileza; Alliance Gloursonne; Anneau Tique; Sept ans de malheur; Ceinture de Vortex; Cagoule de Vortex; Voile d'encre; Pataugastrique; Dokoko; Érudit majeur; Étourdisseur majeur; Remueur; Obstructeur majeur; Temporiseur majeur</t>
        </is>
      </c>
    </row>
    <row r="30411">
      <c r="A30411" t="inlineStr">
        <is>
          <t>Stuff 2</t>
        </is>
      </c>
      <c r="B30411">
        <f>HYPERLINK("https://www.dofusbook.net/fr/equipement/269016-stuff-2/objets", "link")</f>
        <v/>
      </c>
      <c r="C30411" t="n">
        <v>0</v>
      </c>
      <c r="D30411" t="inlineStr">
        <is>
          <t>Le Thanos; Amulette d'Ilyzaelle; Alliance Gloursonne; Anneau Rifique; Ceinture de Vortex; Casque d'Ilyzaelle; Cape Indescriptible; Palmes Trithons</t>
        </is>
      </c>
    </row>
    <row r="30412">
      <c r="A30412" t="inlineStr">
        <is>
          <t>Stuff 1</t>
        </is>
      </c>
      <c r="B30412">
        <f>HYPERLINK("https://www.dofusbook.net/fr/equipement/269015-stuff-1/objets", "link")</f>
        <v/>
      </c>
      <c r="C30412" t="n">
        <v>0</v>
      </c>
      <c r="D30412" t="inlineStr">
        <is>
          <t>Arc Hétype; Amulette Ementaire Deluxe; Bague Gloursonne; Anneau Tique; Ceinture de Vortex; Cagoule de Vortex; Voile d'encre; Bottes Innommables; Dofus Ocre; Dofus Abyssal; Dofus Émeraude; Dolmanax</t>
        </is>
      </c>
    </row>
    <row r="30413">
      <c r="A30413" t="inlineStr">
        <is>
          <t>terre</t>
        </is>
      </c>
      <c r="B30413">
        <f>HYPERLINK("https://www.dofusbook.net/fr/equipement/1074372-terre/objets", "link")</f>
        <v/>
      </c>
      <c r="C30413" t="n">
        <v>4</v>
      </c>
      <c r="D30413" t="inlineStr">
        <is>
          <t>Héqache; Amulette du Strigide; Anneau Chevelu; Bague Gloursonne; Ceintacé; Chapeau de Gein; Voile d'encre; Bottes du Strigide; Dofus Émeraude; Dofus des Glaces; Dofus Turquoise; Dofus Pourpre; Dofus Ocre; Carapace Air majeur; Muldo Orchidée et Pourpre</t>
        </is>
      </c>
    </row>
    <row r="30414">
      <c r="A30414" t="inlineStr">
        <is>
          <t>Stuff 3</t>
        </is>
      </c>
      <c r="B30414">
        <f>HYPERLINK("https://www.dofusbook.net/fr/equipement/269038-stuff-3/objets", "link")</f>
        <v/>
      </c>
      <c r="C30414" t="n">
        <v>1</v>
      </c>
      <c r="D30414" t="inlineStr">
        <is>
          <t>Marteau R'ture; Amulette Ementaire Deluxe; Anneau Chevelu; Anneau Tique; Bouclier du Stalak; Protopagne; Coiffe du Lévitrof; Voile d'encre; Bottes du Lévitrof; Dofus Émeraude; Dofus Ocre; Dolmanax; Déserteur majeur; Remueur; Évasif majeur; Kramkram</t>
        </is>
      </c>
    </row>
    <row r="30415">
      <c r="A30415" t="inlineStr">
        <is>
          <t>stuff air cc</t>
        </is>
      </c>
      <c r="B30415">
        <f>HYPERLINK("https://www.dofusbook.net/fr/equipement/868837-stuff-air-cc/objets", "link")</f>
        <v/>
      </c>
      <c r="C30415" t="n">
        <v>0</v>
      </c>
      <c r="D30415" t="inlineStr">
        <is>
          <t>Hache du Korriandre; Amulette du Strigide; Alliance Gloursonne; Bague Gloursonne; Ceinture du Strigide; Némès de Tal Kasha; Chevelure de Tal Kasha; Sandales de Tal Kasha</t>
        </is>
      </c>
    </row>
    <row r="30416">
      <c r="A30416" t="inlineStr">
        <is>
          <t>Stuff agi sans cc</t>
        </is>
      </c>
      <c r="B30416">
        <f>HYPERLINK("https://www.dofusbook.net/fr/equipement/868692-stuff-agi-sans-cc/objets", "link")</f>
        <v/>
      </c>
      <c r="C30416" t="n">
        <v>0</v>
      </c>
      <c r="D30416" t="inlineStr">
        <is>
          <t>Manthache; Amulette d'Ilyzaelle; Gant du Valet Veinard; Alliance Gloursonne; Bouclier du Stalak; Sangle Oriole; Cape de Crânonier; Palmes Trithons; Dolmanax; Dofus Pourpre; Dofus des Glaces; Dofus Abyssal; Dofus Émeraude; Remueur; Muldo Ebène</t>
        </is>
      </c>
    </row>
    <row r="30417">
      <c r="A30417" t="inlineStr">
        <is>
          <t>Stuff 3</t>
        </is>
      </c>
      <c r="B30417">
        <f>HYPERLINK("https://www.dofusbook.net/fr/equipement/269032-stuff-3/objets", "link")</f>
        <v/>
      </c>
      <c r="C30417" t="n">
        <v>0</v>
      </c>
      <c r="D30417" t="inlineStr">
        <is>
          <t>Manthache; Collier du Valet Veinard; Gant du Valet Veinard; Alliance Gloursonne; Ceinture du Barbétoal; Dorabysses; Cape Indescriptible; Pantoufles Émar; Dofus des Glaces; Remueur; Nomade; Cascadeur majeur; Croum</t>
        </is>
      </c>
    </row>
    <row r="30418">
      <c r="A30418" t="inlineStr">
        <is>
          <t>Stuff 1</t>
        </is>
      </c>
      <c r="B30418">
        <f>HYPERLINK("https://www.dofusbook.net/fr/equipement/269021-stuff-1/objets", "link")</f>
        <v/>
      </c>
      <c r="C30418" t="n">
        <v>0</v>
      </c>
      <c r="D30418" t="inlineStr">
        <is>
          <t>Ares; Amulette Hale; Gelano; Alliance Gloursonne; Bouclier cubiste; Ceinture Glaciale; Casquipik; Cape du Sinistrofu; Pikottes; Nomade; Entraveur; Temporiseur majeur; Entraveur majeur; Remueur; Chanceux majeur; Dehluge</t>
        </is>
      </c>
    </row>
    <row r="30419">
      <c r="A30419" t="inlineStr">
        <is>
          <t>Stuff 3</t>
        </is>
      </c>
      <c r="B30419">
        <f>HYPERLINK("https://www.dofusbook.net/fr/equipement/269011-stuff-3/objets", "link")</f>
        <v/>
      </c>
      <c r="C30419" t="n">
        <v>0</v>
      </c>
      <c r="D30419" t="inlineStr">
        <is>
          <t>Le Thanos; Amulette d'Ilyzaelle; Alliance Gloursonne; Gant du Valet Veinard; Menoture; Casque d'Ilyzaelle; Palmes Trithons</t>
        </is>
      </c>
    </row>
    <row r="30420">
      <c r="A30420" t="inlineStr">
        <is>
          <t>Stuff 3</t>
        </is>
      </c>
      <c r="B30420">
        <f>HYPERLINK("https://www.dofusbook.net/fr/equipement/269011-stuff-3/objets", "link")</f>
        <v/>
      </c>
      <c r="C30420" t="n">
        <v>0</v>
      </c>
      <c r="D30420" t="inlineStr">
        <is>
          <t>Le Thanos; Amulette d'Ilyzaelle; Gant du Valet Veinard; Alliance Gloursonne; Menoture; Casque d'Ilyzaelle; Palmes Trithons</t>
        </is>
      </c>
    </row>
    <row r="30421">
      <c r="A30421" t="inlineStr">
        <is>
          <t>Stuff 2</t>
        </is>
      </c>
      <c r="B30421">
        <f>HYPERLINK("https://www.dofusbook.net/fr/equipement/269013-stuff-2/objets", "link")</f>
        <v/>
      </c>
      <c r="C30421" t="n">
        <v>0</v>
      </c>
      <c r="D30421" t="inlineStr">
        <is>
          <t>Bêche Asse; Amulette du Strigide; Bracelet du Piloztère; Bague Gloursonne; Ceintacé; Chapeau de Gein; Voile d'encre; Bottes de la Cour Sombre; Dofus des Glaces; Dofus Turquoise; Carapace Feu majeur; Enragé majeur; Remueur; Nomade; Kramkram</t>
        </is>
      </c>
    </row>
    <row r="30422">
      <c r="A30422" t="inlineStr">
        <is>
          <t>Stuff 2</t>
        </is>
      </c>
      <c r="B30422">
        <f>HYPERLINK("https://www.dofusbook.net/fr/equipement/269031-stuff-2/objets", "link")</f>
        <v/>
      </c>
      <c r="C30422" t="n">
        <v>0</v>
      </c>
      <c r="D30422" t="inlineStr">
        <is>
          <t>Rapière aux Glyphes; Amulette de Shokkoth; Alliance Gloursonne; Bracelet des Fonds marins; Poulpagne; Masque des Fonds marins; Cape du Sinistrofu; Sandales Circulaires du Kimbo; Remueur; Dévastateur Eau majeur; Chanceux majeur; Nomade; Miraculé majeur; Kramkram</t>
        </is>
      </c>
    </row>
    <row r="30423">
      <c r="A30423" t="inlineStr">
        <is>
          <t>Stuff 2</t>
        </is>
      </c>
      <c r="B30423">
        <f>HYPERLINK("https://www.dofusbook.net/fr/equipement/269010-stuff-2/objets", "link")</f>
        <v/>
      </c>
      <c r="C30423" t="n">
        <v>0</v>
      </c>
      <c r="D30423" t="inlineStr">
        <is>
          <t>Epée Gloursonne; Amulette du Strigide; Alliance Gloursonne; Bague Gloursonne; Ceinture du Strigide; Casque de Missiz Frizz; Cape au Logis; Bottes du Strigide; Dofus Émeraude; Dofus Turquoise; Dofus Pourpre; Puissant majeur; Furibond majeur; Survivant majeur</t>
        </is>
      </c>
    </row>
    <row r="30424">
      <c r="A30424" t="inlineStr">
        <is>
          <t>Stuff 3</t>
        </is>
      </c>
      <c r="B30424">
        <f>HYPERLINK("https://www.dofusbook.net/fr/equipement/269035-stuff-3/objets", "link")</f>
        <v/>
      </c>
      <c r="C30424" t="n">
        <v>1</v>
      </c>
      <c r="D30424" t="inlineStr">
        <is>
          <t>Rapière aux Glyphes; Amulette Luminescente; Alliance Gloursonne; Bague Trithon; Ceinture Luminescente; Masque Trithon; Cape Luminescente; Bottes Trithon; Dofus Émeraude; Dofus Ocre; Survivant majeur; Bousculeur majeur; Muldo Doré et Ebène</t>
        </is>
      </c>
    </row>
    <row r="30425">
      <c r="A30425" t="inlineStr">
        <is>
          <t>Stuff 2</t>
        </is>
      </c>
      <c r="B30425">
        <f>HYPERLINK("https://www.dofusbook.net/fr/equipement/269022-stuff-2/objets", "link")</f>
        <v/>
      </c>
      <c r="C30425" t="n">
        <v>1</v>
      </c>
      <c r="D30425" t="inlineStr">
        <is>
          <t>Arc Hétype; Pendentif affamé; Anneau Tique; Anneau de Nidas; Ceinture de Gein; Couronne de Nidas; Voile d'encre; Pataugastrique; Dolmanax; Remueur; Déserteur majeur; Érudit majeur; Temporiseur majeur</t>
        </is>
      </c>
    </row>
    <row r="30426">
      <c r="A30426" t="inlineStr">
        <is>
          <t>Stuff 1</t>
        </is>
      </c>
      <c r="B30426">
        <f>HYPERLINK("https://www.dofusbook.net/fr/equipement/269012-stuff-1/objets", "link")</f>
        <v/>
      </c>
      <c r="C30426" t="n">
        <v>0</v>
      </c>
      <c r="D30426" t="inlineStr">
        <is>
          <t>Arc Nécrotique; Amulette Ementaire Deluxe; Anneau Tique; Alliance Gloursonne; Ceintrigue; Chapeau de Gein; Capchalot; Bottes Owesli; Dolmanax; Dofus des Glaces; Dofus Turquoise; Nomade; Remueur; Vigoureux majeur; Croum</t>
        </is>
      </c>
    </row>
    <row r="30427">
      <c r="A30427" t="inlineStr">
        <is>
          <t>Stuff 1</t>
        </is>
      </c>
      <c r="B30427">
        <f>HYPERLINK("https://www.dofusbook.net/fr/equipement/269030-stuff-1/objets", "link")</f>
        <v/>
      </c>
      <c r="C30427" t="n">
        <v>0</v>
      </c>
      <c r="D30427" t="inlineStr"/>
    </row>
    <row r="30428">
      <c r="A30428" t="inlineStr">
        <is>
          <t>strig-erhy</t>
        </is>
      </c>
      <c r="B30428">
        <f>HYPERLINK("https://www.dofusbook.net/fr/equipement/2475920-strig-erhy/objets", "link")</f>
        <v/>
      </c>
      <c r="C30428" t="n">
        <v>0</v>
      </c>
      <c r="D30428" t="inlineStr">
        <is>
          <t>Marteau M'Pouce; Amublop Griotte Royale; Gelano; Blopanneau Griotte Royal; Blopture Griotte Royale; Dora Bora; Ortiz; Bloptes Griotte Royales</t>
        </is>
      </c>
    </row>
    <row r="30429">
      <c r="A30429" t="inlineStr">
        <is>
          <t>Iop M 200</t>
        </is>
      </c>
      <c r="B30429">
        <f>HYPERLINK("https://www.dofusbook.net/fr/equipement/5884701-iop-m-200/objets", "link")</f>
        <v/>
      </c>
      <c r="C30429" t="n">
        <v>0</v>
      </c>
      <c r="D30429" t="inlineStr">
        <is>
          <t>Couteaux à Champignons; Kralamansion; Anneau Colerette; Kralano; Ceinture Rasboulaire du Rasboul; Chapignon; Caprin; Bottes Harry</t>
        </is>
      </c>
    </row>
    <row r="30430">
      <c r="A30430" t="inlineStr">
        <is>
          <t>Stuff 1</t>
        </is>
      </c>
      <c r="B30430">
        <f>HYPERLINK("https://www.dofusbook.net/fr/equipement/850107-stuff-1/objets", "link")</f>
        <v/>
      </c>
      <c r="C30430" t="n">
        <v>0</v>
      </c>
      <c r="D30430" t="inlineStr">
        <is>
          <t>Ougarteau; Kralamansion; Kralano; Anneau Bliteré; Ceinture Toré; Casque Harnage; Voile d'encre; Bottes Répané</t>
        </is>
      </c>
    </row>
    <row r="30431">
      <c r="A30431" t="inlineStr">
        <is>
          <t>Stuff 2</t>
        </is>
      </c>
      <c r="B30431">
        <f>HYPERLINK("https://www.dofusbook.net/fr/equipement/850093-stuff-2/objets", "link")</f>
        <v/>
      </c>
      <c r="C30431" t="n">
        <v>5</v>
      </c>
      <c r="D30431" t="inlineStr">
        <is>
          <t>Bâton Champmanique; Kralamansion; Kralano; Annolamour; Ceinture Mycosine; Le Kim; Voile d'encre; Chaussons Pignons</t>
        </is>
      </c>
    </row>
    <row r="30432">
      <c r="A30432" t="inlineStr">
        <is>
          <t>Stuff 3</t>
        </is>
      </c>
      <c r="B30432">
        <f>HYPERLINK("https://www.dofusbook.net/fr/equipement/850121-stuff-3/objets", "link")</f>
        <v/>
      </c>
      <c r="C30432" t="n">
        <v>2</v>
      </c>
      <c r="D30432" t="inlineStr">
        <is>
          <t>Talisman du Chêne Mou; Anneau du Chêne Mou; String Automnal du Chêne Mou; Coiffe du Chêne Mou; Cape Usée du Chêne Mou; Tongues du dimanche du Chêne Mou</t>
        </is>
      </c>
    </row>
    <row r="30433">
      <c r="A30433" t="inlineStr">
        <is>
          <t>Stuff 2</t>
        </is>
      </c>
      <c r="B30433">
        <f>HYPERLINK("https://www.dofusbook.net/fr/equipement/850108-stuff-2/objets", "link")</f>
        <v/>
      </c>
      <c r="C30433" t="n">
        <v>2</v>
      </c>
      <c r="D30433" t="inlineStr">
        <is>
          <t>Dagues Réceuses; Amulette Ripage; Gelano; Anneau du Dragon Cochon; Ceinture Rasboulaire du Rasboul; Solomonk; Cape Erforée; Bottes Harry</t>
        </is>
      </c>
    </row>
    <row r="30434">
      <c r="A30434" t="inlineStr">
        <is>
          <t>Stuff 1</t>
        </is>
      </c>
      <c r="B30434">
        <f>HYPERLINK("https://www.dofusbook.net/fr/equipement/850125-stuff-1/objets", "link")</f>
        <v/>
      </c>
      <c r="C30434" t="n">
        <v>0</v>
      </c>
      <c r="D30434" t="inlineStr">
        <is>
          <t>Dagues Açantes; Amulette de Shokkoth; Gelano; Pikano; Ceinture Glaciale; Casquipik; Cape de Léthaline; Pataugastrique</t>
        </is>
      </c>
    </row>
    <row r="30435">
      <c r="A30435" t="inlineStr">
        <is>
          <t>Stuff 2</t>
        </is>
      </c>
      <c r="B30435">
        <f>HYPERLINK("https://www.dofusbook.net/fr/equipement/850126-stuff-2/objets", "link")</f>
        <v/>
      </c>
      <c r="C30435" t="n">
        <v>3</v>
      </c>
      <c r="D30435" t="inlineStr">
        <is>
          <t>Dagues Açantes; Amulette Luminescente; Alliance Gloursonne; Pikano; Bouclier cubiste; Poulpagne; Kidibonnet; Cape de Léthaline; Pikottes; Dofus Cawotte; Remueur; Chanceux majeur; Nomade; Temporiseur majeur; Entraveur majeur; Gwo Tofu Ventripotent</t>
        </is>
      </c>
    </row>
    <row r="30436">
      <c r="A30436" t="inlineStr">
        <is>
          <t>Stuff 2</t>
        </is>
      </c>
      <c r="B30436">
        <f>HYPERLINK("https://www.dofusbook.net/fr/equipement/850139-stuff-2/objets", "link")</f>
        <v/>
      </c>
      <c r="C30436" t="n">
        <v>0</v>
      </c>
      <c r="D30436" t="inlineStr">
        <is>
          <t>Sceptre du Roi Joueur; Amulette de Pol Ouatnos; Bague Instable; Alliance Gloursonne; Bouclier précieux; Ceinture Luminescente; Chapeau des Malveilleurs; Cape des Malveilleurs; Pataugastrique; Dofus Ivoire; Dofus Émeraude; Bousculeur majeur; Culbuteur majeur; Nomade; Remueur; Gelutin</t>
        </is>
      </c>
    </row>
    <row r="30437">
      <c r="A30437" t="inlineStr">
        <is>
          <t>Stuff 3</t>
        </is>
      </c>
      <c r="B30437">
        <f>HYPERLINK("https://www.dofusbook.net/fr/equipement/850124-stuff-3/objets", "link")</f>
        <v/>
      </c>
      <c r="C30437" t="n">
        <v>0</v>
      </c>
      <c r="D30437" t="inlineStr">
        <is>
          <t>Arc de Koutoulou; Amulette du Strigide; Bracelet des Fonds marins; Alliance Gloursonne; Quatre-feuilles; Ceinture du Strigide; Némès de Tal Kasha; Chevelure de Tal Kasha; Sandales de Tal Kasha; Dolmanax; Dofus des Glaces; Dofus Turquoise; Dofus Pourpre; Dofus Ocre; Kokulte</t>
        </is>
      </c>
    </row>
    <row r="30438">
      <c r="A30438" t="inlineStr">
        <is>
          <t>Stuff 2</t>
        </is>
      </c>
      <c r="B30438">
        <f>HYPERLINK("https://www.dofusbook.net/fr/equipement/850123-stuff-2/objets", "link")</f>
        <v/>
      </c>
      <c r="C30438" t="n">
        <v>0</v>
      </c>
      <c r="D30438" t="inlineStr">
        <is>
          <t>Epée Gloursonne; Amulette du Strigide; Bague Gloursonne; Alliance Gloursonne; Bouclier du Captain Amakna; Ceinture du Strigide; Masque Brûlâme; Cape de la Fuji Givrefoux; Bottes du Strigide; Dofus Pourpre; Dofus Ocre; Dolmanax; Dofus des Glaces; Dofus Turquoise; Kokulte</t>
        </is>
      </c>
    </row>
    <row r="30439">
      <c r="A30439" t="inlineStr">
        <is>
          <t>Stuff 1</t>
        </is>
      </c>
      <c r="B30439">
        <f>HYPERLINK("https://www.dofusbook.net/fr/equipement/850116-stuff-1/objets", "link")</f>
        <v/>
      </c>
      <c r="C30439" t="n">
        <v>4</v>
      </c>
      <c r="D30439" t="inlineStr">
        <is>
          <t>Baguette Hernelle; Pendentif affamé; Kralano; Anneau Tamie; Quatre-feuilles; Ceinture Séculaire; Coiffe Séculaire; Cape de Diondin; Pataugastrique; Dofus Turquoise; Remueur; Érudit majeur; Astucieux majeur; Nomade; Savant majeur; Pioute rouge</t>
        </is>
      </c>
    </row>
    <row r="30440">
      <c r="A30440" t="inlineStr">
        <is>
          <t>Stuff 3</t>
        </is>
      </c>
      <c r="B30440">
        <f>HYPERLINK("https://www.dofusbook.net/fr/equipement/850118-stuff-3/objets", "link")</f>
        <v/>
      </c>
      <c r="C30440" t="n">
        <v>3</v>
      </c>
      <c r="D30440" t="inlineStr">
        <is>
          <t>Baguette Hernelle; Pendentif affamé; Anneau de Padgref; Kralano; Quatre-feuilles; Ceinture Séculaire; Coiffe de Padgref; Cape de Diondin; Pataugastrique; Dofus Turquoise; Savant majeur; Érudit majeur; Nomade; Miraculé majeur; Remueur; Pioute rouge</t>
        </is>
      </c>
    </row>
    <row r="30441">
      <c r="A30441" t="inlineStr">
        <is>
          <t>Stuff 1</t>
        </is>
      </c>
      <c r="B30441">
        <f>HYPERLINK("https://www.dofusbook.net/fr/equipement/850122-stuff-1/objets", "link")</f>
        <v/>
      </c>
      <c r="C30441" t="n">
        <v>2</v>
      </c>
      <c r="D30441" t="inlineStr">
        <is>
          <t>Héqache; Amulette du Strigide; Anneau de la Fuji Givrefoux; Alliance Brûlâme; Bouclier du Captain Amakna; Ceinture du Strigide; Masque Brûlâme; Cape de la Fuji Givrefoux; Bottes du Strigide; Dofus Turquoise; Dofus Nébuleux; Dofus Ocre; Dofus Abyssal; Dofus des Glaces; Dofus Ivoire; Fëanor</t>
        </is>
      </c>
    </row>
    <row r="30442">
      <c r="A30442" t="inlineStr">
        <is>
          <t>Stuff 3</t>
        </is>
      </c>
      <c r="B30442">
        <f>HYPERLINK("https://www.dofusbook.net/fr/equipement/850100-stuff-3/objets", "link")</f>
        <v/>
      </c>
      <c r="C30442" t="n">
        <v>2</v>
      </c>
      <c r="D30442" t="inlineStr">
        <is>
          <t>Epée Toche; Amulette du Strigide; Bague Gloursonne; Bracelet du Piloztère; Bouclier du Captain Amakna; Ceinture du Strigide; Masque de Koutoulou; Cape au Logis; Sabots Minables; Dofus des Glaces; Dofus Pourpre; Dofus Turquoise; Remueur; Enragé majeur; Nomade; Kokulte</t>
        </is>
      </c>
    </row>
    <row r="30443">
      <c r="A30443" t="inlineStr">
        <is>
          <t>atcham pad</t>
        </is>
      </c>
      <c r="B30443">
        <f>HYPERLINK("https://www.dofusbook.net/fr/equipement/2475962-atcham-pad/objets", "link")</f>
        <v/>
      </c>
      <c r="C30443" t="n">
        <v>1</v>
      </c>
      <c r="D30443" t="inlineStr">
        <is>
          <t>Epée Kari; Amulette du Strigide; Bague Gloursonne; Bracelet du Piloztère; Bouclier du Captain Amakna; Ceinture du Strigide; Masque de Koutoulou; Cape au Logis; Sabots Minables; Dofus Pourpre; Dofus Turquoise; Vigoureux majeur; Nomade; Enragé majeur; Remueur; Kokulte</t>
        </is>
      </c>
    </row>
    <row r="30444">
      <c r="A30444" t="inlineStr">
        <is>
          <t>Xélor F 200</t>
        </is>
      </c>
      <c r="B30444">
        <f>HYPERLINK("https://www.dofusbook.net/fr/equipement/4308917-xelor-f-200/objets", "link")</f>
        <v/>
      </c>
      <c r="C30444" t="n">
        <v>2</v>
      </c>
      <c r="D30444" t="inlineStr">
        <is>
          <t>Bâton Brageut; Amulette du Strigide; Bague Gloursonne; Bracelet du Piloztère; Bouclier du Captain Amakna; Ceintacé; Chapeau de Gein; Voile d'encre; Bottes du Strigide; Dofus Pourpre; Dofus Turquoise; Vigoureux majeur; Nomade; Enragé majeur; Remueur; Kokulte</t>
        </is>
      </c>
    </row>
    <row r="30445">
      <c r="A30445" t="inlineStr">
        <is>
          <t>foul agi</t>
        </is>
      </c>
      <c r="B30445">
        <f>HYPERLINK("https://www.dofusbook.net/fr/equipement/2476004-foul-agi/objets", "link")</f>
        <v/>
      </c>
      <c r="C30445" t="n">
        <v>3</v>
      </c>
      <c r="D30445" t="inlineStr">
        <is>
          <t>Marteau R'ture; Amulette du Strigide; Bague Gloursonne; Anneau de Brouce; Bouclier du Captain Amakna; Ceinture de la Cour Sombre; Masque de Koutoulou; Cape au Logis; Bottes de la Cour Sombre; Kokulte</t>
        </is>
      </c>
    </row>
    <row r="30446">
      <c r="A30446" t="inlineStr">
        <is>
          <t>Stuff 2</t>
        </is>
      </c>
      <c r="B30446">
        <f>HYPERLINK("https://www.dofusbook.net/fr/equipement/850120-stuff-2/objets", "link")</f>
        <v/>
      </c>
      <c r="C30446" t="n">
        <v>2</v>
      </c>
      <c r="D30446" t="inlineStr">
        <is>
          <t>Marteau des égarés; Amulette du Strigide; Bracelet du Piloztère; Alliance Gloursonne; Quatre-feuilles; Ceintacé; Chapeau des Malveilleurs; Voile d'encre; Bottes du Strigide; Dofus Turquoise; Dolmanax; Dofus Pourpre; Dofus des Glaces; Remueur; Nomade</t>
        </is>
      </c>
    </row>
    <row r="30447">
      <c r="A30447" t="inlineStr">
        <is>
          <t>Stuff 1</t>
        </is>
      </c>
      <c r="B30447">
        <f>HYPERLINK("https://www.dofusbook.net/fr/equipement/850119-stuff-1/objets", "link")</f>
        <v/>
      </c>
      <c r="C30447" t="n">
        <v>2</v>
      </c>
      <c r="D30447" t="inlineStr">
        <is>
          <t>Epée Gloursonne; Amulette du Strigide; Bague Gloursonne; Alliance Gloursonne; Quatre-feuilles; Ceinture du Strigide; Casque du Chalœil; Cape du Chalœil; Bottes du Strigide; Dofus Ocre; Dolmanax; Dofus Pourpre; Dofus des Glaces; Dofus Turquoise; Dofus Nébuleux</t>
        </is>
      </c>
    </row>
    <row r="30448">
      <c r="A30448" t="inlineStr">
        <is>
          <t>Stuff 2</t>
        </is>
      </c>
      <c r="B30448">
        <f>HYPERLINK("https://www.dofusbook.net/fr/equipement/850114-stuff-2/objets", "link")</f>
        <v/>
      </c>
      <c r="C30448" t="n">
        <v>0</v>
      </c>
      <c r="D30448" t="inlineStr">
        <is>
          <t>Arc Nécrotique; Amulette du Strigide; Anneau Cryochrone; Anneau de Padgref; Quatre-feuilles; Ceinture du Strigide; Chapeau des Malveilleurs; Cape Lati; Pataugastrique; Dofus Turquoise; Dolmanax; Dofus Pourpre; Dofus des Glaces; Remueur; Nomade; Kramkram</t>
        </is>
      </c>
    </row>
    <row r="30449">
      <c r="A30449" t="inlineStr">
        <is>
          <t>Stuff 1</t>
        </is>
      </c>
      <c r="B30449">
        <f>HYPERLINK("https://www.dofusbook.net/fr/equipement/850113-stuff-1/objets", "link")</f>
        <v/>
      </c>
      <c r="C30449" t="n">
        <v>0</v>
      </c>
      <c r="D30449" t="inlineStr">
        <is>
          <t>Baguette Hernelle; Amulette du Strigide; Anneau Cryochrone; Anneau de Padgref; Quatre-feuilles; Ceinture du Strigide; Coiffe de Padgref; Cape de Diondin; Getas de Padgref; Dofus Pourpre; Dolmanax; Dofus Turquoise; Dofus des Glaces; Dofus Ocre; Dofus Abyssal</t>
        </is>
      </c>
    </row>
    <row r="30450">
      <c r="A30450" t="inlineStr">
        <is>
          <t>Stuff 1</t>
        </is>
      </c>
      <c r="B30450">
        <f>HYPERLINK("https://www.dofusbook.net/fr/equipement/850110-stuff-1/objets", "link")</f>
        <v/>
      </c>
      <c r="C30450" t="n">
        <v>0</v>
      </c>
      <c r="D30450" t="inlineStr">
        <is>
          <t>Arc de Koutoulou; Amulette du Strigide; Alliance Gloursonne; Bracelet du Piloztère; Quatre-feuilles; Ceinture du Strigide; Kidibonnet; Chevelure de Tal Kasha; Sandales de Tal Kasha; Dofus des Glaces; Dofus Pourpre; Dofus Turquoise; Dolmanax; Remueur; Nomade; Croum</t>
        </is>
      </c>
    </row>
    <row r="30451">
      <c r="A30451" t="inlineStr">
        <is>
          <t>ntm</t>
        </is>
      </c>
      <c r="B30451">
        <f>HYPERLINK("https://www.dofusbook.net/fr/equipement/1624379-ntm/objets", "link")</f>
        <v/>
      </c>
      <c r="C30451" t="n">
        <v>0</v>
      </c>
      <c r="D30451" t="inlineStr">
        <is>
          <t>Héqache; Collier du Valet Veinard; Gant du Valet Veinard; Anneau d'Allister; Ceintouse; Couronne d'Allister; Cape du Valet Veinard; Bottes d'Allister; Dofus Pourpre; Dofus des Glaces; Dofus Ocre; Dofus Abyssal; Dolmanax</t>
        </is>
      </c>
    </row>
    <row r="30452">
      <c r="A30452" t="inlineStr">
        <is>
          <t>Stuff 1</t>
        </is>
      </c>
      <c r="B30452">
        <f>HYPERLINK("https://www.dofusbook.net/fr/equipement/850074-stuff-1/objets", "link")</f>
        <v/>
      </c>
      <c r="C30452" t="n">
        <v>0</v>
      </c>
      <c r="D30452" t="inlineStr">
        <is>
          <t>Arc Nécrotique; Amulette du Strigide; Bracelet du Piloztère; Alliance Gloursonne; Sept ans de malheur; Ceintacé; Chapeau des Malveilleurs; Voile d'encre; Bottes du Strigide; Dofus Turquoise; Dolmanax; Remueur; Étourdisseur majeur; Nomade; Kramkram</t>
        </is>
      </c>
    </row>
    <row r="30453">
      <c r="A30453" t="inlineStr">
        <is>
          <t>Stuff 1</t>
        </is>
      </c>
      <c r="B30453">
        <f>HYPERLINK("https://www.dofusbook.net/fr/equipement/850083-stuff-1/objets", "link")</f>
        <v/>
      </c>
      <c r="C30453" t="n">
        <v>0</v>
      </c>
      <c r="D30453" t="inlineStr">
        <is>
          <t>Hache du Chalœil; Amulette du Strigide; Bague Gloursonne; Bracelet du Piloztère; Bouclier du Stalak; Ceinture du Strigide; Masque de Koutoulou; Voile d'encre; Bottes de la Cour Sombre; Dofus Turquoise; Dofus Pourpre; Dofus des Glaces; Dolmanax; Nomade; Remueur; Kramkram</t>
        </is>
      </c>
    </row>
    <row r="30454">
      <c r="A30454" t="inlineStr">
        <is>
          <t>Stuff 2</t>
        </is>
      </c>
      <c r="B30454">
        <f>HYPERLINK("https://www.dofusbook.net/fr/equipement/850129-stuff-2/objets", "link")</f>
        <v/>
      </c>
      <c r="C30454" t="n">
        <v>0</v>
      </c>
      <c r="D30454" t="inlineStr">
        <is>
          <t>Bêche Asse; Amulette du Strigide; Anneau Crustique; Bague Gloursonne; Sept ans de malheur; Ceinture de la Cour Sombre; Chapoulpe; Cape de la Cour Sombre; Baleinabottes; Dofus Abyssal; Dofus Turquoise; Enragé majeur; Déserteur majeur; Remueur; Étourdisseur majeur; Muldo Indigo et Orchidée</t>
        </is>
      </c>
    </row>
    <row r="30455">
      <c r="A30455" t="inlineStr">
        <is>
          <t>Stuff 3</t>
        </is>
      </c>
      <c r="B30455">
        <f>HYPERLINK("https://www.dofusbook.net/fr/equipement/850106-stuff-3/objets", "link")</f>
        <v/>
      </c>
      <c r="C30455" t="n">
        <v>0</v>
      </c>
      <c r="D30455" t="inlineStr">
        <is>
          <t>Arc Ontanporin; Amulette de Shokkoth; Alliance Gloursonne; Bracelet des Fonds marins; Quatre-feuilles; Poulpagne; Kidibonnet; Cape du Sinistrofu; Bottes du Sinistrofu; Dofus Émeraude; Dofus Abyssal; Dofus Turquoise; Dokoko; Chanceux majeur; Nomade; Muldo Ebène et Indigo</t>
        </is>
      </c>
    </row>
    <row r="30456">
      <c r="A30456" t="inlineStr">
        <is>
          <t>Stuff 3</t>
        </is>
      </c>
      <c r="B30456">
        <f>HYPERLINK("https://www.dofusbook.net/fr/equipement/850076-stuff-3/objets", "link")</f>
        <v/>
      </c>
      <c r="C30456" t="n">
        <v>0</v>
      </c>
      <c r="D30456" t="inlineStr">
        <is>
          <t>L'Épée Nice; Collier de Tourthon; Anneau de Brouce; Anneau Crustique; Bouclier du Captain Amakna; Ceinture de la Cour Sombre; Masque de Koutoulou; Ankhape; Bottes de la Cour Sombre; Dofus Émeraude; Dofus Pourpre; Dofus Turquoise; Dofus Abyssal; Enragé majeur; Remueur; Muldo Indigo et Pourpre</t>
        </is>
      </c>
    </row>
    <row r="30457">
      <c r="A30457" t="inlineStr">
        <is>
          <t>Feu</t>
        </is>
      </c>
      <c r="B30457">
        <f>HYPERLINK("https://www.dofusbook.net/fr/equipement/880447-feu/objets", "link")</f>
        <v/>
      </c>
      <c r="C30457" t="n">
        <v>0</v>
      </c>
      <c r="D30457" t="inlineStr">
        <is>
          <t>Baguette Range; Amulette du Strigide; Anneau Tique; Anneau de Padgref; Bouclier du Stalak; Ceinture du Strigide; Coiffe de Padgref; Voile d'encre; Getas de Padgref; Dofus Émeraude; Dolmanax; Dofus Turquoise; Dofus des Glaces; Dofus Ocre; Dofus Abyssal</t>
        </is>
      </c>
    </row>
    <row r="30458">
      <c r="A30458" t="inlineStr">
        <is>
          <t>Stuff 1</t>
        </is>
      </c>
      <c r="B30458">
        <f>HYPERLINK("https://www.dofusbook.net/fr/equipement/850080-stuff-1/objets", "link")</f>
        <v/>
      </c>
      <c r="C30458" t="n">
        <v>0</v>
      </c>
      <c r="D30458" t="inlineStr">
        <is>
          <t>Epée Toche; Amulette du Strigide; Bague Gloursonne; Anneau Chevelu; Bouclier du Captain Amakna; Ceinture du Strigide; Masque de Koutoulou; Voile d'encre; Bottes de la Cour Sombre; Dofus Pourpre; Dofus Turquoise; Dofus Émeraude; Enragé majeur; Nomade; Remueur; Kramkram</t>
        </is>
      </c>
    </row>
    <row r="30459">
      <c r="A30459" t="inlineStr">
        <is>
          <t>tes-relou-omg</t>
        </is>
      </c>
      <c r="B30459">
        <f>HYPERLINK("https://www.dofusbook.net/fr/equipement/892768-tes-relou-omg/objets", "link")</f>
        <v/>
      </c>
      <c r="C30459" t="n">
        <v>0</v>
      </c>
      <c r="D30459" t="inlineStr">
        <is>
          <t>Dagues de Srambad; Ankhape</t>
        </is>
      </c>
    </row>
    <row r="30460">
      <c r="A30460" t="inlineStr">
        <is>
          <t>Stuff 2</t>
        </is>
      </c>
      <c r="B30460">
        <f>HYPERLINK("https://www.dofusbook.net/fr/equipement/850090-stuff-2/objets", "link")</f>
        <v/>
      </c>
      <c r="C30460" t="n">
        <v>0</v>
      </c>
      <c r="D30460" t="inlineStr">
        <is>
          <t>Hachoirs de Viandargh; Amibou; Gant du Valet Veinard; Alliance Gloursonne; Bouclier du Captain Amakna; Menoture; Chapibou; Cape Indescriptible; Palmes Trithons; Dofus Émeraude; Dofus Turquoise; Dofus Abyssal; Dofus Pourpre; Cascadeur majeur; Remueur; Muldo Ebène et Indigo</t>
        </is>
      </c>
    </row>
    <row r="30461">
      <c r="A30461" t="inlineStr">
        <is>
          <t>Stuff 3</t>
        </is>
      </c>
      <c r="B30461">
        <f>HYPERLINK("https://www.dofusbook.net/fr/equipement/850140-stuff-3/objets", "link")</f>
        <v/>
      </c>
      <c r="C30461" t="n">
        <v>0</v>
      </c>
      <c r="D30461" t="inlineStr">
        <is>
          <t>Dagoulinantes; Amulette du Sinistrofu; Alliance Gloursonne; Bague Trithon; Sangle Ouare; Chapeau des Malveilleurs; Cape des Malveilleurs; Pataugastrique; Dofus Émeraude; Culbuteur majeur; Bousculeur majeur; Carapace Neutre majeur; Miraculé majeur; Remueur; Muldo Indigo et Orchidée</t>
        </is>
      </c>
    </row>
    <row r="30462">
      <c r="A30462" t="inlineStr">
        <is>
          <t>Stuff 1</t>
        </is>
      </c>
      <c r="B30462">
        <f>HYPERLINK("https://www.dofusbook.net/fr/equipement/850142-stuff-1/objets", "link")</f>
        <v/>
      </c>
      <c r="C30462" t="n">
        <v>0</v>
      </c>
      <c r="D30462" t="inlineStr">
        <is>
          <t>Epée Gloursonne; Amulette du Strigide; Bague Gloursonne; Alliance Gloursonne; Ceinture du Strigide; Chapeau Lisson; Voile d'encre; Bottes du Strigide; Dofus des Glaces; Dofus Turquoise; Dolmanax; Dofus Pourpre; Dofus Ocre; Examinateur; Muldo Doré et Emeraude</t>
        </is>
      </c>
    </row>
    <row r="30463">
      <c r="A30463" t="inlineStr">
        <is>
          <t>Stuff 1</t>
        </is>
      </c>
      <c r="B30463">
        <f>HYPERLINK("https://www.dofusbook.net/fr/equipement/850137-stuff-1/objets", "link")</f>
        <v/>
      </c>
      <c r="C30463" t="n">
        <v>2</v>
      </c>
      <c r="D30463" t="inlineStr">
        <is>
          <t>Dagues Érhy; Amulette du Granduk; Alliance Gloursonne; Anneau d'Allister; Menoture; Couronne d'Allister; Cape du Valet Veinard; Palmes Trithons; Cascadeur majeur; Acrobate majeur; Nomade; Equilibriste majeur; Remueur; Siroko</t>
        </is>
      </c>
    </row>
    <row r="30464">
      <c r="A30464" t="inlineStr">
        <is>
          <t>Stuff 3</t>
        </is>
      </c>
      <c r="B30464">
        <f>HYPERLINK("https://www.dofusbook.net/fr/equipement/850144-stuff-3/objets", "link")</f>
        <v/>
      </c>
      <c r="C30464" t="n">
        <v>0</v>
      </c>
      <c r="D30464" t="inlineStr">
        <is>
          <t>Arc de Koutoulou; Amulette du Strigide; Bracelet du Piloztère; Alliance Gloursonne; Ceinture du Strigide; Casque d'Ali Grothor; Cape d'Hel Munster; Pataugastrique; Dofus Turquoise; Dofus des Glaces; Dolmanax; Nomade; Remueur</t>
        </is>
      </c>
    </row>
    <row r="30465">
      <c r="A30465" t="inlineStr">
        <is>
          <t>Stuff 1</t>
        </is>
      </c>
      <c r="B30465">
        <f>HYPERLINK("https://www.dofusbook.net/fr/equipement/850141-stuff-1/objets", "link")</f>
        <v/>
      </c>
      <c r="C30465" t="n">
        <v>0</v>
      </c>
      <c r="D30465" t="inlineStr">
        <is>
          <t>Dague Adou; Amulette du Strigide; Bague Gloursonne; Alliance Gloursonne; Ceinture du Strigide; Némès de Tal Kasha; Chevelure de Tal Kasha; Sandales de Tal Kasha; Dofus Pourpre; Dofus Turquoise; Dofus Émeraude; Dofus des Glaces; Dolmanax; Dofus Ocre; Muldo Indigo et Orchidée</t>
        </is>
      </c>
    </row>
    <row r="30466">
      <c r="A30466" t="inlineStr">
        <is>
          <t>Stuff 3</t>
        </is>
      </c>
      <c r="B30466">
        <f>HYPERLINK("https://www.dofusbook.net/fr/equipement/850136-stuff-3/objets", "link")</f>
        <v/>
      </c>
      <c r="C30466" t="n">
        <v>0</v>
      </c>
      <c r="D30466" t="inlineStr">
        <is>
          <t>Sceptre du Roi Joueur; Amulette du Sinistrofu; Anneau Tique; Alliance Gloursonne; Poulpagne; Chapeau des Malveilleurs; Cape des Malveilleurs; Bottes Trithon; Dofus Émeraude; Carapace Feu majeur; Culbuteur majeur; Miraculé majeur; Bousculeur majeur; Remueur; Muldo Ebène et Indigo</t>
        </is>
      </c>
    </row>
    <row r="30467">
      <c r="A30467" t="inlineStr">
        <is>
          <t>Stuff 2</t>
        </is>
      </c>
      <c r="B30467">
        <f>HYPERLINK("https://www.dofusbook.net/fr/equipement/850143-stuff-2/objets", "link")</f>
        <v/>
      </c>
      <c r="C30467" t="n">
        <v>0</v>
      </c>
      <c r="D30467" t="inlineStr">
        <is>
          <t>Baguette de Malléfisk; Amulette de Nileza; Anneau Tamie; Anneau Tamie; Sangle Aise; Coiffe Séculaire; Cape de Nileza; Bottes d'Otomaï; Dofus Ocre; Savant majeur; Érudit majeur; Guérisseur majeur; Nomade; Astucieux majeur</t>
        </is>
      </c>
    </row>
    <row r="30468">
      <c r="A30468" t="inlineStr">
        <is>
          <t>Stuff 2</t>
        </is>
      </c>
      <c r="B30468">
        <f>HYPERLINK("https://www.dofusbook.net/fr/equipement/850143-stuff-2/objets", "link")</f>
        <v/>
      </c>
      <c r="C30468" t="n">
        <v>0</v>
      </c>
      <c r="D30468" t="inlineStr">
        <is>
          <t>Baguette de Malléfisk; Amulette de Nileza; Anneau Tamie; Anneau Tamie; Sangle Aise; Coiffe Séculaire; Cape de Nileza; Bottes d'Otomaï; Dofus Ocre; Astucieux majeur; Savant majeur; Érudit majeur; Guérisseur majeur; Nomade</t>
        </is>
      </c>
    </row>
    <row r="30469">
      <c r="A30469" t="inlineStr">
        <is>
          <t>Stuff 1</t>
        </is>
      </c>
      <c r="B30469">
        <f>HYPERLINK("https://www.dofusbook.net/fr/equipement/850138-stuff-1/objets", "link")</f>
        <v/>
      </c>
      <c r="C30469" t="n">
        <v>0</v>
      </c>
      <c r="D30469" t="inlineStr">
        <is>
          <t>Pelle de Nidas; Amulette du Strigide; Bague Gloursonne; Alliance Gloursonne; Ceinture du Strigide; Némès de Tal Kasha; Chevelure de Tal Kasha; Sandales de Tal Kasha; Dolmanax; Dofus Ocre; Dofus Vulbis; Dofus Turquoise; Dofus Émeraude; Dofus des Glaces; El Scarador</t>
        </is>
      </c>
    </row>
    <row r="30470">
      <c r="A30470" t="inlineStr">
        <is>
          <t>Stuff 2</t>
        </is>
      </c>
      <c r="B30470">
        <f>HYPERLINK("https://www.dofusbook.net/fr/equipement/850084-stuff-2/objets", "link")</f>
        <v/>
      </c>
      <c r="C30470" t="n">
        <v>0</v>
      </c>
      <c r="D30470" t="inlineStr">
        <is>
          <t>Hache du Chalœil; Amulette du Strigide; Alliance Gloursonne; Bracelet du Piloztère; Bouclier du Stalak; Ceintacé; Casque du Chalœil; Voile d'encre; Bottes du Strigide; Dofus Turquoise; Dofus des Glaces; Dofus Pourpre; Dolmanax; Remueur; Nomade; Kramkram</t>
        </is>
      </c>
    </row>
    <row r="30471">
      <c r="A30471" t="inlineStr">
        <is>
          <t>Stuff 2</t>
        </is>
      </c>
      <c r="B30471">
        <f>HYPERLINK("https://www.dofusbook.net/fr/equipement/850117-stuff-2/objets", "link")</f>
        <v/>
      </c>
      <c r="C30471" t="n">
        <v>0</v>
      </c>
      <c r="D30471" t="inlineStr"/>
    </row>
    <row r="30472">
      <c r="A30472" t="inlineStr">
        <is>
          <t>Stuff 3</t>
        </is>
      </c>
      <c r="B30472">
        <f>HYPERLINK("https://www.dofusbook.net/fr/equipement/850079-stuff-3/objets", "link")</f>
        <v/>
      </c>
      <c r="C30472" t="n">
        <v>1</v>
      </c>
      <c r="D30472" t="inlineStr">
        <is>
          <t>Dagoulinantes; Collier de la Dame du Hasard; Alliance Gloursonne; Anneau Tique; Ceintrigue; Chapeau des Malveilleurs; Cape de la Dame du Hasard; Pataugastrique; Dolmanax; Dofus Turquoise; Nomade; Remueur; Kramkram</t>
        </is>
      </c>
    </row>
    <row r="30473">
      <c r="A30473" t="inlineStr">
        <is>
          <t>Stuff 3</t>
        </is>
      </c>
      <c r="B30473">
        <f>HYPERLINK("https://www.dofusbook.net/fr/equipement/850112-stuff-3/objets", "link")</f>
        <v/>
      </c>
      <c r="C30473" t="n">
        <v>0</v>
      </c>
      <c r="D30473" t="inlineStr">
        <is>
          <t>Marteau des Anciens Steamers; Amulette du Strigide; Bracelet du Piloztère; Alliance Gloursonne; Ceintacé; Chapeau des Malveilleurs; Voile d'encre; Bottes du Strigide; Dolmanax; Dofus Turquoise; Dofus Pourpre; Nomade; Remueur; Kramkram</t>
        </is>
      </c>
    </row>
    <row r="30474">
      <c r="A30474" t="inlineStr">
        <is>
          <t>Stuff 2</t>
        </is>
      </c>
      <c r="B30474">
        <f>HYPERLINK("https://www.dofusbook.net/fr/equipement/850102-stuff-2/objets", "link")</f>
        <v/>
      </c>
      <c r="C30474" t="n">
        <v>0</v>
      </c>
      <c r="D30474" t="inlineStr">
        <is>
          <t>Pelle de la Cour Sombre; Collier du Valet Veinard; Alliance Gloursonne; Gant du Valet Veinard; Menoture; Casque Dragoeuf; Voile d'encre; Palmes Trithons; Dolmanax; Cascadeur majeur; Remueur; Miraculé majeur; Nomade; Croum</t>
        </is>
      </c>
    </row>
    <row r="30475">
      <c r="A30475" t="inlineStr">
        <is>
          <t>Stuff 2</t>
        </is>
      </c>
      <c r="B30475">
        <f>HYPERLINK("https://www.dofusbook.net/fr/equipement/850135-stuff-2/objets", "link")</f>
        <v/>
      </c>
      <c r="C30475" t="n">
        <v>0</v>
      </c>
      <c r="D30475" t="inlineStr">
        <is>
          <t>Sceptre du Roi Joueur; Amulette du Sinistrofu; Alliance Gloursonne; Bague Trithon; Poulpagne; Kidibonnet; Cape des Malveilleurs; Bottes Trithon; Dofus Émeraude; Bousculeur majeur; Miraculé majeur; Culbuteur majeur; Remueur; Muldo Ebène et Indigo</t>
        </is>
      </c>
    </row>
    <row r="30476">
      <c r="A30476" t="inlineStr">
        <is>
          <t>Stuff 3</t>
        </is>
      </c>
      <c r="B30476">
        <f>HYPERLINK("https://www.dofusbook.net/fr/equipement/850097-stuff-3/objets", "link")</f>
        <v/>
      </c>
      <c r="C30476" t="n">
        <v>0</v>
      </c>
      <c r="D30476" t="inlineStr">
        <is>
          <t>Dagues Érhy; Amulette du Strigide; Bague Gloursonne; Bracelet du Piloztère; Ceinture du Strigide; Masque de Koutoulou; Voile d'encre; Bottes de la Cour Sombre; Dolmanax; Dofus Pourpre; Enragé majeur; Nomade; Kramkram</t>
        </is>
      </c>
    </row>
    <row r="30477">
      <c r="A30477" t="inlineStr">
        <is>
          <t>Stuff 1</t>
        </is>
      </c>
      <c r="B30477">
        <f>HYPERLINK("https://www.dofusbook.net/fr/equipement/850092-stuff-1/objets", "link")</f>
        <v/>
      </c>
      <c r="C30477" t="n">
        <v>0</v>
      </c>
      <c r="D30477" t="inlineStr">
        <is>
          <t>Dagoulinantes; Amulette de Shokkoth; Alliance Gloursonne; Bracelet des Fonds marins; Poulpagne; Chapeau des Malveilleurs; Cape du Sinistrofu; Bottes du Sinistrofu; Dolmanax; Dofus Turquoise; Nomade; Chanceux majeur; Remueur; Kramkram</t>
        </is>
      </c>
    </row>
    <row r="30478">
      <c r="A30478" t="inlineStr">
        <is>
          <t>Stuff 1</t>
        </is>
      </c>
      <c r="B30478">
        <f>HYPERLINK("https://www.dofusbook.net/fr/equipement/850086-stuff-1/objets", "link")</f>
        <v/>
      </c>
      <c r="C30478" t="n">
        <v>0</v>
      </c>
      <c r="D30478" t="inlineStr">
        <is>
          <t>Pelle de Nidas; Amulette du Strigide; Bague Gloursonne; Alliance Gloursonne; Ceinture du Strigide; Némès de Tal Kasha; Chevelure de Tal Kasha; Sandales de Tal Kasha; Dolmanax; Dofus Ocre; Dofus Pourpre; Dofus Turquoise; Dofus Émeraude; Dofus des Glaces; Muldo Indigo et Orchidée</t>
        </is>
      </c>
    </row>
    <row r="30479">
      <c r="A30479" t="inlineStr">
        <is>
          <t>Stuff 2</t>
        </is>
      </c>
      <c r="B30479">
        <f>HYPERLINK("https://www.dofusbook.net/fr/equipement/850081-stuff-2/objets", "link")</f>
        <v/>
      </c>
      <c r="C30479" t="n">
        <v>0</v>
      </c>
      <c r="D30479" t="inlineStr">
        <is>
          <t>Manthache; Collier du Valet Veinard; Alliance Gloursonne; Gant du Valet Veinard; Sept ans de malheur; Menoture; Dorabysses; Cape Indescriptible; Palmes Trithons; Dofus Abyssal; Dofus Ocre; Carapace Air majeur; Cascadeur majeur; Nomade; Étourdisseur majeur; Kramkram</t>
        </is>
      </c>
    </row>
    <row r="30480">
      <c r="A30480" t="inlineStr">
        <is>
          <t>Stuff 3</t>
        </is>
      </c>
      <c r="B30480">
        <f>HYPERLINK("https://www.dofusbook.net/fr/equipement/850109-stuff-3/objets", "link")</f>
        <v/>
      </c>
      <c r="C30480" t="n">
        <v>1</v>
      </c>
      <c r="D30480" t="inlineStr">
        <is>
          <t>Dagoulinantes; Amulette de Shokkoth; Bracelet des Fonds marins; Alliance Gloursonne; Ceinture du Barbétoal; Kidibonnet; Voile d'encre; Sandales des Fonds marins; Chanceux majeur; Remueur; Carapace Eau majeur; Carapace Air majeur; Nomade; Croum</t>
        </is>
      </c>
    </row>
    <row r="30481">
      <c r="A30481" t="inlineStr">
        <is>
          <t>Stuff 1</t>
        </is>
      </c>
      <c r="B30481">
        <f>HYPERLINK("https://www.dofusbook.net/fr/equipement/850104-stuff-1/objets", "link")</f>
        <v/>
      </c>
      <c r="C30481" t="n">
        <v>0</v>
      </c>
      <c r="D30481" t="inlineStr">
        <is>
          <t>Arc Hétype; Amulette de Nileza; Anneau Tamie; Anneau Tamie; Sangle Aise; Coiffe Séculaire; Cape de Nileza; Pataugastrique; Savant majeur; Remueur; Astucieux majeur; Érudit majeur; Guérisseur majeur; Nomade; Brûlih</t>
        </is>
      </c>
    </row>
    <row r="30482">
      <c r="A30482" t="inlineStr">
        <is>
          <t>Stuff 2</t>
        </is>
      </c>
      <c r="B30482">
        <f>HYPERLINK("https://www.dofusbook.net/fr/equipement/850099-stuff-2/objets", "link")</f>
        <v/>
      </c>
      <c r="C30482" t="n">
        <v>0</v>
      </c>
      <c r="D30482" t="inlineStr">
        <is>
          <t>Epée Gloursonne; Amulette du Kamasterisk; Bague Gloursonne; Alliance Gloursonne; Ceinture de la Reine des Voleurs; Coiffe de la Reine des Voleurs; Cape du Kamasterisk; Bottes du Kamasterisk; Dofus Turquoise; Dofus des Glaces; Dofus Ocre; Dokoko; Dolmanax; Dofus Abyssal</t>
        </is>
      </c>
    </row>
    <row r="30483">
      <c r="A30483" t="inlineStr">
        <is>
          <t>Stuff 1</t>
        </is>
      </c>
      <c r="B30483">
        <f>HYPERLINK("https://www.dofusbook.net/fr/equipement/850131-stuff-1/objets", "link")</f>
        <v/>
      </c>
      <c r="C30483" t="n">
        <v>0</v>
      </c>
      <c r="D30483" t="inlineStr">
        <is>
          <t>Marteau R'ture; Collier de Tourthon; Bague Gloursonne; Anneau Crustique; Menoture; Chapoulpe; Voile d'encre; Tentassons; Dolmanax; Dofus Turquoise; Temporiseur majeur; Enragé majeur; Étourdisseur majeur; Remueur</t>
        </is>
      </c>
    </row>
    <row r="30484">
      <c r="A30484" t="inlineStr">
        <is>
          <t>Stuff 3</t>
        </is>
      </c>
      <c r="B30484">
        <f>HYPERLINK("https://www.dofusbook.net/fr/equipement/850094-stuff-3/objets", "link")</f>
        <v/>
      </c>
      <c r="C30484" t="n">
        <v>0</v>
      </c>
      <c r="D30484" t="inlineStr">
        <is>
          <t>Marteau R'ture; Collier de Tourthon; Anneau Crustique; Anneau de Brouce; Ceinture de Brouce; Masque de Koutoulou; Ankhape; Bottes de la Cour Sombre; Forcené majeur; Nomade; Enragé majeur; Remueur; Fonceur majeur; Vigoureux majeur; Muldo Doré</t>
        </is>
      </c>
    </row>
    <row r="30485">
      <c r="A30485" t="inlineStr">
        <is>
          <t>Stuff 3</t>
        </is>
      </c>
      <c r="B30485">
        <f>HYPERLINK("https://www.dofusbook.net/fr/equipement/850088-stuff-3/objets", "link")</f>
        <v/>
      </c>
      <c r="C30485" t="n">
        <v>0</v>
      </c>
      <c r="D30485" t="inlineStr">
        <is>
          <t>Hache Ériphe; Amulette du Strigide; Bracelet du Piloztère; Alliance Gloursonne; Bouclier du Captain Amakna cassé; Ceintacé; Chapoulpe; Voile d'encre; Tentassons; Dofus Turquoise; Dofus Pourpre; Vigoureux majeur; Nomade; Remueur; Enragé majeur; Kramkram</t>
        </is>
      </c>
    </row>
    <row r="30486">
      <c r="A30486" t="inlineStr">
        <is>
          <t>Stuff 2</t>
        </is>
      </c>
      <c r="B30486">
        <f>HYPERLINK("https://www.dofusbook.net/fr/equipement/850078-stuff-2/objets", "link")</f>
        <v/>
      </c>
      <c r="C30486" t="n">
        <v>0</v>
      </c>
      <c r="D30486" t="inlineStr">
        <is>
          <t>Sabres d'Atcham; Amulette du Strigide; Alliance Gloursonne; Anneau Tique; Ceintacé; Chapeau des Malveilleurs; Voile d'encre; Bottes du Strigide; Dolmanax; Dofus Turquoise; Dofus des Glaces; Remueur; Nomade; Kramkram</t>
        </is>
      </c>
    </row>
    <row r="30487">
      <c r="A30487" t="inlineStr">
        <is>
          <t>Stuff 2</t>
        </is>
      </c>
      <c r="B30487">
        <f>HYPERLINK("https://www.dofusbook.net/fr/equipement/850111-stuff-2/objets", "link")</f>
        <v/>
      </c>
      <c r="C30487" t="n">
        <v>0</v>
      </c>
      <c r="D30487" t="inlineStr">
        <is>
          <t>Epée Gloursonne; Amulette du Glourséleste; Alliance Gloursonne; Bague Gloursonne; Ceinture de la Reine des Voleurs; Coiffe de la Reine des Voleurs; Voile d'encre; Bottes de la Reine des Voleurs; Dofus Turquoise; Dolmanax; Dofus Pourpre; Dofus Ocre; Dofus des Glaces; Kramkram</t>
        </is>
      </c>
    </row>
    <row r="30488">
      <c r="A30488" t="inlineStr">
        <is>
          <t>Stuff 1</t>
        </is>
      </c>
      <c r="B30488">
        <f>HYPERLINK("https://www.dofusbook.net/fr/equipement/850077-stuff-1/objets", "link")</f>
        <v/>
      </c>
      <c r="C30488" t="n">
        <v>1</v>
      </c>
      <c r="D30488" t="inlineStr">
        <is>
          <t>Dagues Érhy; Pendentif mignon de Koutoulou; Kralano; Bague Gloursonne; Ceinture Séculaire; Casque Cyclopéen; Voile d'encre; Pataugastrique; Dofus Turquoise; Dolmanax; Remueur; Carapace Terre majeur; Érudit majeur; Nomade</t>
        </is>
      </c>
    </row>
    <row r="30489">
      <c r="A30489" t="inlineStr">
        <is>
          <t>Stuff 2</t>
        </is>
      </c>
      <c r="B30489">
        <f>HYPERLINK("https://www.dofusbook.net/fr/equipement/850105-stuff-2/objets", "link")</f>
        <v/>
      </c>
      <c r="C30489" t="n">
        <v>0</v>
      </c>
      <c r="D30489" t="inlineStr">
        <is>
          <t>Pelle de la Cour Sombre; Amulette du Granduk; Alliance Gloursonne; Anneau d'Allister; Ceinture Rasboulaire du Rasboul; Couronne d'Allister; Cape de Klime; Baleinabottes; Dofus Pourpre; Nomade; Equilibriste majeur; Remueur; Acrobate majeur; Cascadeur majeur; Siroko</t>
        </is>
      </c>
    </row>
    <row r="30490">
      <c r="A30490" t="inlineStr">
        <is>
          <t>Stuff 2</t>
        </is>
      </c>
      <c r="B30490">
        <f>HYPERLINK("https://www.dofusbook.net/fr/equipement/850132-stuff-2/objets", "link")</f>
        <v/>
      </c>
      <c r="C30490" t="n">
        <v>0</v>
      </c>
      <c r="D30490" t="inlineStr">
        <is>
          <t>Harpelle; Pendentif affamé; Anneau Tique; Anneau de Nidas; Ceinture de Vortex; Couronne de Nidas; Voile d'encre; Pataugastrique; Dofus Turquoise; Érudit majeur; Temporiseur majeur; Étourdisseur majeur; Remueur</t>
        </is>
      </c>
    </row>
    <row r="30491">
      <c r="A30491" t="inlineStr">
        <is>
          <t>Stuff 1</t>
        </is>
      </c>
      <c r="B30491">
        <f>HYPERLINK("https://www.dofusbook.net/fr/equipement/850095-stuff-1/objets", "link")</f>
        <v/>
      </c>
      <c r="C30491" t="n">
        <v>1</v>
      </c>
      <c r="D30491" t="inlineStr">
        <is>
          <t>Manthache; Collier du Valet Veinard; Alliance Gloursonne; Gant du Valet Veinard; Menoture; Couronne d'Allister; Cape Indescriptible; Palmes Trithons; Dofus Pourpre; Remueur; Vigoureux majeur; Cascadeur majeur; Dévastateur Air majeur; Nomade; Muldo Ebène et Pourpre</t>
        </is>
      </c>
    </row>
    <row r="30492">
      <c r="A30492" t="inlineStr">
        <is>
          <t>Stuff 3</t>
        </is>
      </c>
      <c r="B30492">
        <f>HYPERLINK("https://www.dofusbook.net/fr/equipement/850127-stuff-3/objets", "link")</f>
        <v/>
      </c>
      <c r="C30492" t="n">
        <v>0</v>
      </c>
      <c r="D30492" t="inlineStr">
        <is>
          <t>Dagues Açantes; Amulette de Shokkoth; Pikano; Alliance Gloursonne; Poulpagne; Casquipik; Cape de Mantaze; Bottes du Sinistrofu; Chanceux majeur; Entraveur majeur; Ralentisseur majeur; Nomade; Temporiseur majeur; Remueur; Muldo Doré</t>
        </is>
      </c>
    </row>
    <row r="30493">
      <c r="A30493" t="inlineStr">
        <is>
          <t>Stuff 1</t>
        </is>
      </c>
      <c r="B30493">
        <f>HYPERLINK("https://www.dofusbook.net/fr/equipement/850089-stuff-1/objets", "link")</f>
        <v/>
      </c>
      <c r="C30493" t="n">
        <v>0</v>
      </c>
      <c r="D30493" t="inlineStr">
        <is>
          <t>Rapière aux Glyphes; Amulette de Shokkoth; Alliance Gloursonne; Bracelet des Fonds marins; Bouclier du Captain Amakna; Poulpagne; Kidibonnet; Cape du Sinistrofu; Bottes du Sinistrofu; Dofus Émeraude; Dofus Nébuleux; Dofus Turquoise; Dofus Abyssal; Chanceux majeur; Nomade; Kramkram</t>
        </is>
      </c>
    </row>
    <row r="30494">
      <c r="A30494" t="inlineStr">
        <is>
          <t>Stuff 2</t>
        </is>
      </c>
      <c r="B30494">
        <f>HYPERLINK("https://www.dofusbook.net/fr/equipement/850084-stuff-2/objets", "link")</f>
        <v/>
      </c>
      <c r="C30494" t="n">
        <v>0</v>
      </c>
      <c r="D30494" t="inlineStr">
        <is>
          <t>Hache du Chalœil; Amulette du Strigide; Bracelet du Piloztère; Alliance Gloursonne; Bouclier du Stalak; Ceintacé; Casque du Chalœil; Voile d'encre; Bottes du Strigide; Dofus des Glaces; Dofus Pourpre; Dolmanax; Dofus Turquoise; Nomade; Remueur; Kramkram</t>
        </is>
      </c>
    </row>
    <row r="30495">
      <c r="A30495" t="inlineStr">
        <is>
          <t>Stuff 2</t>
        </is>
      </c>
      <c r="B30495">
        <f>HYPERLINK("https://www.dofusbook.net/fr/equipement/850117-stuff-2/objets", "link")</f>
        <v/>
      </c>
      <c r="C30495" t="n">
        <v>0</v>
      </c>
      <c r="D30495" t="inlineStr"/>
    </row>
    <row r="30496">
      <c r="A30496" t="inlineStr">
        <is>
          <t>Stuff 3</t>
        </is>
      </c>
      <c r="B30496">
        <f>HYPERLINK("https://www.dofusbook.net/fr/equipement/850079-stuff-3/objets", "link")</f>
        <v/>
      </c>
      <c r="C30496" t="n">
        <v>1</v>
      </c>
      <c r="D30496" t="inlineStr">
        <is>
          <t>Dagoulinantes; Collier de la Dame du Hasard; Anneau Tique; Alliance Gloursonne; Ceintrigue; Chapeau des Malveilleurs; Cape de la Dame du Hasard; Pataugastrique; Dolmanax; Dofus Turquoise; Remueur; Nomade; Kramkram</t>
        </is>
      </c>
    </row>
    <row r="30497">
      <c r="A30497" t="inlineStr">
        <is>
          <t>Stuff 3</t>
        </is>
      </c>
      <c r="B30497">
        <f>HYPERLINK("https://www.dofusbook.net/fr/equipement/850112-stuff-3/objets", "link")</f>
        <v/>
      </c>
      <c r="C30497" t="n">
        <v>0</v>
      </c>
      <c r="D30497" t="inlineStr">
        <is>
          <t>Marteau des Anciens Steamers; Amulette du Strigide; Alliance Gloursonne; Bracelet du Piloztère; Ceintacé; Chapeau des Malveilleurs; Voile d'encre; Bottes du Strigide; Dofus Pourpre; Dolmanax; Dofus Turquoise; Nomade; Remueur; Kramkram</t>
        </is>
      </c>
    </row>
    <row r="30498">
      <c r="A30498" t="inlineStr">
        <is>
          <t>Stuff 2</t>
        </is>
      </c>
      <c r="B30498">
        <f>HYPERLINK("https://www.dofusbook.net/fr/equipement/850102-stuff-2/objets", "link")</f>
        <v/>
      </c>
      <c r="C30498" t="n">
        <v>0</v>
      </c>
      <c r="D30498" t="inlineStr">
        <is>
          <t>Pelle de la Cour Sombre; Collier du Valet Veinard; Alliance Gloursonne; Gant du Valet Veinard; Menoture; Casque Dragoeuf; Voile d'encre; Palmes Trithons; Dolmanax; Nomade; Cascadeur majeur; Remueur; Miraculé majeur; Croum</t>
        </is>
      </c>
    </row>
    <row r="30499">
      <c r="A30499" t="inlineStr">
        <is>
          <t>Stuff 2</t>
        </is>
      </c>
      <c r="B30499">
        <f>HYPERLINK("https://www.dofusbook.net/fr/equipement/850135-stuff-2/objets", "link")</f>
        <v/>
      </c>
      <c r="C30499" t="n">
        <v>0</v>
      </c>
      <c r="D30499" t="inlineStr">
        <is>
          <t>Sceptre du Roi Joueur; Amulette du Sinistrofu; Bague Trithon; Alliance Gloursonne; Poulpagne; Kidibonnet; Cape des Malveilleurs; Bottes Trithon; Dofus Émeraude; Culbuteur majeur; Remueur; Bousculeur majeur; Miraculé majeur; Muldo Ebène et Indigo</t>
        </is>
      </c>
    </row>
    <row r="30500">
      <c r="A30500" t="inlineStr">
        <is>
          <t>Stuff 3</t>
        </is>
      </c>
      <c r="B30500">
        <f>HYPERLINK("https://www.dofusbook.net/fr/equipement/850097-stuff-3/objets", "link")</f>
        <v/>
      </c>
      <c r="C30500" t="n">
        <v>0</v>
      </c>
      <c r="D30500" t="inlineStr">
        <is>
          <t>Dagues Érhy; Amulette du Strigide; Bracelet du Piloztère; Bague Gloursonne; Ceinture du Strigide; Masque de Koutoulou; Voile d'encre; Bottes de la Cour Sombre; Dofus Pourpre; Dolmanax; Enragé majeur; Nomade; Kramkram</t>
        </is>
      </c>
    </row>
    <row r="30501">
      <c r="A30501" t="inlineStr">
        <is>
          <t>Stuff 1</t>
        </is>
      </c>
      <c r="B30501">
        <f>HYPERLINK("https://www.dofusbook.net/fr/equipement/850092-stuff-1/objets", "link")</f>
        <v/>
      </c>
      <c r="C30501" t="n">
        <v>0</v>
      </c>
      <c r="D30501" t="inlineStr">
        <is>
          <t>Dagoulinantes; Amulette de Shokkoth; Bracelet des Fonds marins; Alliance Gloursonne; Poulpagne; Chapeau des Malveilleurs; Cape du Sinistrofu; Bottes du Sinistrofu; Dofus Turquoise; Dolmanax; Chanceux majeur; Remueur; Nomade; Kramkram</t>
        </is>
      </c>
    </row>
    <row r="30502">
      <c r="A30502" t="inlineStr">
        <is>
          <t>Stuff 1</t>
        </is>
      </c>
      <c r="B30502">
        <f>HYPERLINK("https://www.dofusbook.net/fr/equipement/850086-stuff-1/objets", "link")</f>
        <v/>
      </c>
      <c r="C30502" t="n">
        <v>0</v>
      </c>
      <c r="D30502" t="inlineStr">
        <is>
          <t>Pelle de Nidas; Amulette du Strigide; Bague Gloursonne; Alliance Gloursonne; Ceinture du Strigide; Némès de Tal Kasha; Chevelure de Tal Kasha; Sandales de Tal Kasha; Dofus Pourpre; Dofus Turquoise; Dofus Émeraude; Dofus des Glaces; Dolmanax; Dofus Ocre; Muldo Indigo et Orchidée</t>
        </is>
      </c>
    </row>
    <row r="30503">
      <c r="A30503" t="inlineStr">
        <is>
          <t>Stuff 2</t>
        </is>
      </c>
      <c r="B30503">
        <f>HYPERLINK("https://www.dofusbook.net/fr/equipement/850081-stuff-2/objets", "link")</f>
        <v/>
      </c>
      <c r="C30503" t="n">
        <v>0</v>
      </c>
      <c r="D30503" t="inlineStr">
        <is>
          <t>Manthache; Collier du Valet Veinard; Alliance Gloursonne; Gant du Valet Veinard; Sept ans de malheur; Menoture; Dorabysses; Cape Indescriptible; Palmes Trithons; Dofus Ocre; Dofus Abyssal; Carapace Air majeur; Cascadeur majeur; Nomade; Étourdisseur majeur; Kramkram</t>
        </is>
      </c>
    </row>
    <row r="30504">
      <c r="A30504" t="inlineStr">
        <is>
          <t>Stuff 3</t>
        </is>
      </c>
      <c r="B30504">
        <f>HYPERLINK("https://www.dofusbook.net/fr/equipement/850109-stuff-3/objets", "link")</f>
        <v/>
      </c>
      <c r="C30504" t="n">
        <v>1</v>
      </c>
      <c r="D30504" t="inlineStr">
        <is>
          <t>Dagoulinantes; Amulette de Shokkoth; Alliance Gloursonne; Bracelet des Fonds marins; Ceinture du Barbétoal; Kidibonnet; Voile d'encre; Sandales des Fonds marins; Carapace Air majeur; Nomade; Chanceux majeur; Remueur; Carapace Eau majeur; Croum</t>
        </is>
      </c>
    </row>
    <row r="30505">
      <c r="A30505" t="inlineStr">
        <is>
          <t>Stuff 1</t>
        </is>
      </c>
      <c r="B30505">
        <f>HYPERLINK("https://www.dofusbook.net/fr/equipement/850104-stuff-1/objets", "link")</f>
        <v/>
      </c>
      <c r="C30505" t="n">
        <v>0</v>
      </c>
      <c r="D30505" t="inlineStr">
        <is>
          <t>Arc Hétype; Amulette de Nileza; Anneau Tamie; Anneau Tamie; Sangle Aise; Coiffe Séculaire; Cape de Nileza; Pataugastrique; Astucieux majeur; Érudit majeur; Guérisseur majeur; Nomade; Savant majeur; Remueur; Brûlih</t>
        </is>
      </c>
    </row>
    <row r="30506">
      <c r="A30506" t="inlineStr">
        <is>
          <t>Kageya 12/6</t>
        </is>
      </c>
      <c r="B30506">
        <f>HYPERLINK("https://www.dofusbook.net/fr/equipement/5865612-kageya-12-6/objets", "link")</f>
        <v/>
      </c>
      <c r="C30506" t="n">
        <v>5</v>
      </c>
      <c r="D30506" t="inlineStr">
        <is>
          <t>Hache Téroïde; Amulette du Strigide; Bague Gloursonne; Chevalière du Roi Joueur; Bouclier du Captain Amakna; Ceinture du Strigide; Couronne du Roi Joueur; Voile d'encre; Bottes du Roi Joueur; Dofus Pourpre; Dofus Vulbis; Dofus Turquoise; Dofus Nébuleux; Dofus Ocre; Dofus Ébène; Fëanor</t>
        </is>
      </c>
    </row>
    <row r="30507">
      <c r="A30507" t="inlineStr">
        <is>
          <t>Iop Ghost</t>
        </is>
      </c>
      <c r="B30507">
        <f>HYPERLINK("https://www.dofusbook.net/fr/equipement/5604022-iop-ghost/objets", "link")</f>
        <v/>
      </c>
      <c r="C30507" t="n">
        <v>1</v>
      </c>
      <c r="D30507" t="inlineStr">
        <is>
          <t>Arc du Chalœil; Amulette du Cœur Saignant; Anneau Crustique; Anneau Volkorne; Quatre-feuilles; Ceinture Volkorne; Masque de Koutoulou; Cape de Jahash Jurgen; Bottes du Cœur Saignant; Dofus Turquoise; Dofus Ocre; Dofus Pourpre; Dofus Ébène; Dofus Vulbis; Dofus Ivoire; Pioute vert</t>
        </is>
      </c>
    </row>
    <row r="30508">
      <c r="A30508" t="inlineStr">
        <is>
          <t>PvPm classique</t>
        </is>
      </c>
      <c r="B30508">
        <f>HYPERLINK("https://www.dofusbook.net/fr/equipement/4501420-pvpm-classique/objets", "link")</f>
        <v/>
      </c>
      <c r="C30508" t="n">
        <v>1</v>
      </c>
      <c r="D30508" t="inlineStr">
        <is>
          <t>Arc Honte; Amulette de l'Œil Putride; Alliance Gloursonne; Anneau Tique; Bouclier du Stalak; Ceinture de l'Esprit Salvateur; Masque de l'Esprit Salvateur; Cape de l'Œil Putride; Bottes de l'Esprit Salvateur; Dofus Abyssal; Dofus Ébène; Dofus Ocre; Dofus des Glaces; Dofus Vulbis; Dofus Ivoire; Volkorne Turquoise et Orchidée</t>
        </is>
      </c>
    </row>
    <row r="30509">
      <c r="A30509" t="inlineStr">
        <is>
          <t>PvM songe infini</t>
        </is>
      </c>
      <c r="B30509">
        <f>HYPERLINK("https://www.dofusbook.net/fr/equipement/4321767-pvm-songe-infini/objets", "link")</f>
        <v/>
      </c>
      <c r="C30509" t="n">
        <v>1</v>
      </c>
      <c r="D30509" t="inlineStr">
        <is>
          <t>Baguette Hique; Amulette de Shokkoth; Alliance Gloursonne; Pikano; Bouclier cubiste; Ceinture Glaciale; Capuche de l'Œil Putride; Cape de l'Œil Putride; Pataugastrique; Dofus Ocre; Ralentisseur majeur; Nomade; Entraveur majeur; Chanceux majeur; Temporiseur majeur; Gwo Tofu Ventripotent</t>
        </is>
      </c>
    </row>
    <row r="30510">
      <c r="A30510" t="inlineStr">
        <is>
          <t>PvM songe ini</t>
        </is>
      </c>
      <c r="B30510">
        <f>HYPERLINK("https://www.dofusbook.net/fr/equipement/4321651-pvm-songe-ini/objets", "link")</f>
        <v/>
      </c>
      <c r="C30510" t="n">
        <v>0</v>
      </c>
      <c r="D30510" t="inlineStr">
        <is>
          <t>Baguette Hique; Amulette Volcanique; Bague Instable; Anneau Tamie; Bouclier cubiste; Ceinture Instable; Billréole; Cape de Léthaline; Pikottes; Dofus Ocre; Initiateur majeur; Entraveur majeur; Précurseur majeur; Temporiseur majeur; Fonceur majeur; Kougnard</t>
        </is>
      </c>
    </row>
    <row r="30511">
      <c r="A30511" t="inlineStr">
        <is>
          <t>PvM songe ini</t>
        </is>
      </c>
      <c r="B30511">
        <f>HYPERLINK("https://www.dofusbook.net/fr/equipement/4321642-pvm-songe-ini/objets", "link")</f>
        <v/>
      </c>
      <c r="C30511" t="n">
        <v>0</v>
      </c>
      <c r="D30511" t="inlineStr">
        <is>
          <t>Epée Gloursonne; Amulette du Strigide; Bague Gloursonne; Alliance Gloursonne; Quatre-feuilles; Ceinture du Strigide; Kanistère; Cape Reski; Bottes du Strigide; Dofus Pourpre; Dofus Nébuleux; Dofus Turquoise; Dofus Vulbis; Dofus Ocre; Précurseur majeur; Chaperlipopette</t>
        </is>
      </c>
    </row>
    <row r="30512">
      <c r="A30512" t="inlineStr">
        <is>
          <t>PvM songes</t>
        </is>
      </c>
      <c r="B30512">
        <f>HYPERLINK("https://www.dofusbook.net/fr/equipement/4321621-pvm-songes/objets", "link")</f>
        <v/>
      </c>
      <c r="C30512" t="n">
        <v>0</v>
      </c>
      <c r="D30512" t="inlineStr">
        <is>
          <t>Epée Gloursonne; Amulette du Strigide; Bague Gloursonne; Alliance Gloursonne; Quatre-feuilles; Ceinture du Strigide; Masque Vaudou Tam; Cape Reski; Bottes du Strigide; Dofus Vulbis; Dofus Ocre; Dofus Pourpre; Dofus Nébuleux; Dofus Turquoise; Dofus Ébène; Kokulte</t>
        </is>
      </c>
    </row>
    <row r="30513">
      <c r="A30513" t="inlineStr">
        <is>
          <t>ilyzaelle rigolo</t>
        </is>
      </c>
      <c r="B30513">
        <f>HYPERLINK("https://www.dofusbook.net/fr/equipement/3909294-ilyzaelle-rigolo/objets", "link")</f>
        <v/>
      </c>
      <c r="C30513" t="n">
        <v>1</v>
      </c>
      <c r="D30513" t="inlineStr">
        <is>
          <t>Hache du Korriandre; Amulette d'Ilyzaelle; Alliance Gloursonne; Pikano; Cadran d'Air; Ceinture de la Reine des Voleurs; Casque d'Ilyzaelle; Cape Solution; Bottes de la Reine des Voleurs; Dolmanax; Dofus Ivoire; Dofus Pourpre; Dofus Ocre; Dofus des Glaces; Muldo Ebène et Indigo</t>
        </is>
      </c>
    </row>
    <row r="30514">
      <c r="A30514" t="inlineStr">
        <is>
          <t>Ceinture classe bof</t>
        </is>
      </c>
      <c r="B30514">
        <f>HYPERLINK("https://www.dofusbook.net/fr/equipement/3909253-ceinture-classe-bof/objets", "link")</f>
        <v/>
      </c>
      <c r="C30514" t="n">
        <v>1</v>
      </c>
      <c r="D30514" t="inlineStr">
        <is>
          <t>Arc Honte; Amulette Martegel; Alliance Gloursonne; Alliance Brûlâme; Bouclier du Stalak; Ceinture Luthe; Masquegel; Cape Martegel; Pompes Funèbres; Dofus Pourpre; Dofus Abyssal; Dofus Ocre; Dofus Ivoire; Dolmanax; Dofus des Glaces; Kramkram</t>
        </is>
      </c>
    </row>
    <row r="30515">
      <c r="A30515" t="inlineStr">
        <is>
          <t>Full feu</t>
        </is>
      </c>
      <c r="B30515">
        <f>HYPERLINK("https://www.dofusbook.net/fr/equipement/3909225-full-feu/objets", "link")</f>
        <v/>
      </c>
      <c r="C30515" t="n">
        <v>2</v>
      </c>
      <c r="D30515" t="inlineStr">
        <is>
          <t>Arc corrompu; Amulette de Nileza; Anneauræus; Anneauræus; Bouclier du Stalak; Ceinture Séculaire; Coiffe Séculaire; Cape de Diondin; Chaussures Ardentes; Dofus Pourpre; Dofus Ivoire; Dofus Ocre; Dofus Vulbis; Dofus Nébuleux; Érudit majeur; Brûlih</t>
        </is>
      </c>
    </row>
    <row r="30516">
      <c r="A30516" t="inlineStr">
        <is>
          <t>Hache téroide Crit</t>
        </is>
      </c>
      <c r="B30516">
        <f>HYPERLINK("https://www.dofusbook.net/fr/equipement/3909186-hache-teroide-crit/objets", "link")</f>
        <v/>
      </c>
      <c r="C30516" t="n">
        <v>0</v>
      </c>
      <c r="D30516" t="inlineStr">
        <is>
          <t>Hache Téroïde; Amulette du Strigide; Bague Gloursonne; Chevalière du Roi Joueur; Bouclier du Captain Amakna; Ceinture du Strigide; Couronne du Roi Joueur; Cape au Logis; Bottes du Roi Joueur; Dofus Turquoise; Dofus Abyssal; Dofus Ocre; Dofus Ivoire; Dofus Pourpre; Dofus des Glaces; Kokulte</t>
        </is>
      </c>
    </row>
    <row r="30517">
      <c r="A30517" t="inlineStr">
        <is>
          <t>Hache Chaloeil PVM</t>
        </is>
      </c>
      <c r="B30517">
        <f>HYPERLINK("https://www.dofusbook.net/fr/equipement/3753070-hache-chaloeil-pvm/objets", "link")</f>
        <v/>
      </c>
      <c r="C30517" t="n">
        <v>1</v>
      </c>
      <c r="D30517" t="inlineStr">
        <is>
          <t>Hache du Chalœil; Amulette du Strigide; Alliance Gloursonne; Chevalière du Roi Joueur; Quatre-feuilles; Ceintacé; Casque du Chalœil; Voile d'encre; Bottes du Chalœil; Dofus Vulbis; Dofus Pourpre; Dofus des Glaces; Dofus Ocre; Dofus Turquoise; Vigoureux majeur; Kokulte</t>
        </is>
      </c>
    </row>
    <row r="30518">
      <c r="A30518" t="inlineStr">
        <is>
          <t>Sad-arc chaloeil</t>
        </is>
      </c>
      <c r="B30518">
        <f>HYPERLINK("https://www.dofusbook.net/fr/equipement/3886501-sad-arc-chaloeil/objets", "link")</f>
        <v/>
      </c>
      <c r="C30518" t="n">
        <v>1</v>
      </c>
      <c r="D30518" t="inlineStr">
        <is>
          <t>Arc du Chalœil; Amulette Volkorne; Anneau Chevelu; Alliance Brûlâme; Cadran de Feu; Ceinture Volkorne; Masque de Koutoulou; Cape au Logis; Chaussons de Macrab; Dofus Pourpre; Dofus Ivoire; Dofus Ocre; Dofus Abyssal; Vigoureux majeur; Enragé majeur; Bwak de Terre</t>
        </is>
      </c>
    </row>
    <row r="30519">
      <c r="A30519" t="inlineStr">
        <is>
          <t>Terre lavache FAV</t>
        </is>
      </c>
      <c r="B30519">
        <f>HYPERLINK("https://www.dofusbook.net/fr/equipement/3630131-terre-lavache-fav/objets", "link")</f>
        <v/>
      </c>
      <c r="C30519" t="n">
        <v>1</v>
      </c>
      <c r="D30519" t="inlineStr">
        <is>
          <t>Lav'Hache; Amulette du Strigide; Anneau Chevelu; Alliance Brûlâme; Quatre-feuilles; Ceinture Volkorne; Masque de Koutoulou; Cape au Logis; Pompes Funèbres; Dofus Pourpre; Dofus Abyssal; Dofus Ocre; Dofus Ivoire; Enragé majeur; Vigoureux majeur; Dragodinde Ivoire et Pourpre</t>
        </is>
      </c>
    </row>
    <row r="30520">
      <c r="A30520" t="inlineStr">
        <is>
          <t>Full Air Res</t>
        </is>
      </c>
      <c r="B30520">
        <f>HYPERLINK("https://www.dofusbook.net/fr/equipement/597129-full-air-res/objets", "link")</f>
        <v/>
      </c>
      <c r="C30520" t="n">
        <v>0</v>
      </c>
      <c r="D30520" t="inlineStr">
        <is>
          <t>Manthache; Collier du Valet Veinard; Gant du Valet Veinard; Alliance Gloursonne; Bouclier du Stalak; Menoture; Casque Dragoeuf; Cape Indescriptible; Palmes Trithons; Dofus Pourpre; Remueur; Equilibriste majeur; Cascadeur majeur; Vigoureux majeur; Muldo Ebène</t>
        </is>
      </c>
    </row>
    <row r="30521">
      <c r="A30521" t="inlineStr">
        <is>
          <t>Hache Chaloeil</t>
        </is>
      </c>
      <c r="B30521">
        <f>HYPERLINK("https://www.dofusbook.net/fr/equipement/623367-hache-chaloeil/objets", "link")</f>
        <v/>
      </c>
      <c r="C30521" t="n">
        <v>0</v>
      </c>
      <c r="D30521" t="inlineStr">
        <is>
          <t>Hache du Chalœil; Talisman Igans; Anneau Tique; Alliance Gloursonne; Ceintacé; Casque du Chalœil; Voile d'encre; Bottes du Chalœil; Dolmanax; Dofus Pourpre; Nomade; Déserteur majeur; Évasif majeur; Remueur; Kramkram</t>
        </is>
      </c>
    </row>
    <row r="30522">
      <c r="A30522" t="inlineStr">
        <is>
          <t>12-6 indiscible 1Vs1</t>
        </is>
      </c>
      <c r="B30522">
        <f>HYPERLINK("https://www.dofusbook.net/fr/equipement/3645853-12-6-indiscible-1vs1/objets", "link")</f>
        <v/>
      </c>
      <c r="C30522" t="n">
        <v>0</v>
      </c>
      <c r="D30522" t="inlineStr">
        <is>
          <t>Dagues Érhy; Amulette de l'Indicible; Bague Gloursonne; Alliance Gloursonne; Bouclier d'Anerice; Ceinture de l'Indicible; Masque d'Anerice; Cape d'Anerice; Bottes de l'Indicible; Dofus Ocre; Dofus Ivoire; Dolmanax; Dofus des Glaces; Dofus Pourpre; Dofus Abyssal; Muldo Orchidée et Pourpre</t>
        </is>
      </c>
    </row>
    <row r="30523">
      <c r="A30523" t="inlineStr">
        <is>
          <t>Eau Vs Osa Fav bis</t>
        </is>
      </c>
      <c r="B30523">
        <f>HYPERLINK("https://www.dofusbook.net/fr/equipement/3645840-eau-vs-osa-fav-bis/objets", "link")</f>
        <v/>
      </c>
      <c r="C30523" t="n">
        <v>1</v>
      </c>
      <c r="D30523" t="inlineStr">
        <is>
          <t>Sceptre du Roi Joueur; Amulette de Shokkoth; Alliance Gloursonne; Anneau Volkorne; Bouclier du Stalak; Poulpagne; Capuche de l'Œil Attentif; Cape de l'Œil Attentif; Bottes du Sinistrofu; Dofus Vulbis; Dofus Ocre; Dofus Ivoire; Dofus Abyssal; Dofus des Glaces; Chanceux majeur; Dragodinde Indigo et Ivoire</t>
        </is>
      </c>
    </row>
    <row r="30524">
      <c r="A30524" t="inlineStr">
        <is>
          <t>FULL ROX</t>
        </is>
      </c>
      <c r="B30524">
        <f>HYPERLINK("https://www.dofusbook.net/fr/equipement/3645029-full-rox/objets", "link")</f>
        <v/>
      </c>
      <c r="C30524" t="n">
        <v>1</v>
      </c>
      <c r="D30524" t="inlineStr">
        <is>
          <t>Arc corrompu; Pendentif affamé; Anneauræus; Anneauræus; Quatre-feuilles; Ceinture Séculaire; Coiffe Séculaire; Cape de Diondin; Bottes Innommables; Dofus Ocre; Dofus Pourpre; Dofus Turquoise; Vigoureux majeur; Nomade; Érudit majeur; Dragodinde Ivoire et Orchidée</t>
        </is>
      </c>
    </row>
    <row r="30525">
      <c r="A30525" t="inlineStr">
        <is>
          <t>Arc corompu 11-6</t>
        </is>
      </c>
      <c r="B30525">
        <f>HYPERLINK("https://www.dofusbook.net/fr/equipement/3645016-arc-corompu-11-6/objets", "link")</f>
        <v/>
      </c>
      <c r="C30525" t="n">
        <v>2</v>
      </c>
      <c r="D30525" t="inlineStr">
        <is>
          <t>Arc corrompu; Amulette Volkorne; Anneauræus; Anneauræus; Bouclier du Stalak; Ceinture Volkorne; Casque Dragoeuf; Cape de Diondin; Chaussures Ardentes; Dofus Vulbis; Dofus Abyssal; Dofus Pourpre; Dofus Ivoire; Dofus Ocre; Érudit majeur; Dragodinde Ivoire et Orchidée</t>
        </is>
      </c>
    </row>
    <row r="30526">
      <c r="A30526" t="inlineStr">
        <is>
          <t>Réseau</t>
        </is>
      </c>
      <c r="B30526">
        <f>HYPERLINK("https://www.dofusbook.net/fr/equipement/3642169-reseau/objets", "link")</f>
        <v/>
      </c>
      <c r="C30526" t="n">
        <v>0</v>
      </c>
      <c r="D30526" t="inlineStr">
        <is>
          <t>Epée Toche; Amulette de Gein; Bague Gloursonne; Chevalière du Roi Joueur; Bouclier du Stalak; Ceinture de Gein; Chapeau de Gein; Voile d'encre; Bottes du Roi Joueur; Dofus Nébuleux; Dofus des Glaces; Dofus Vulbis; Dofus Abyssal; Dofus Ocre; Dofus Ivoire; El Scarador</t>
        </is>
      </c>
    </row>
    <row r="30527">
      <c r="A30527" t="inlineStr">
        <is>
          <t>Terre Lavache V2 FAV</t>
        </is>
      </c>
      <c r="B30527">
        <f>HYPERLINK("https://www.dofusbook.net/fr/equipement/3639004-terre-lavache-v2-fav/objets", "link")</f>
        <v/>
      </c>
      <c r="C30527" t="n">
        <v>0</v>
      </c>
      <c r="D30527" t="inlineStr">
        <is>
          <t>Lav'Hache; Amulette du Strigide; Alliance Brûlâme; Bague Gloursonne; Quatre-feuilles; Ceinture Volkorne; Masque de Koutoulou; Cape au Logis; Pompes Funèbres; Dofus Pourpre; Dofus Abyssal; Dofus Ocre; Dofus Ivoire; Enragé majeur; Carapace Terre majeur; Dragodinde Ivoire et Pourpre</t>
        </is>
      </c>
    </row>
    <row r="30528">
      <c r="A30528" t="inlineStr">
        <is>
          <t>Ret PM 2</t>
        </is>
      </c>
      <c r="B30528">
        <f>HYPERLINK("https://www.dofusbook.net/fr/equipement/3636245-ret-pm-2/objets", "link")</f>
        <v/>
      </c>
      <c r="C30528" t="n">
        <v>0</v>
      </c>
      <c r="D30528" t="inlineStr">
        <is>
          <t>Arc Honte; Amulette Martegel; Alliance Gloursonne; Anneau de Nidas; Bouclier cubiste; Ceinture de l'Esprit Salvateur; Masque de l'Esprit Salvateur; Cape Martegel; Bottes de l'Esprit Salvateur; Dofus Abyssal; Dofus des Glaces; Dofus Ocre; Dofus Vulbis; Dofus Ivoire; Ralentisseur majeur; Volkorne Jade et Turquoise</t>
        </is>
      </c>
    </row>
    <row r="30529">
      <c r="A30529" t="inlineStr">
        <is>
          <t>Retrait PM DWS</t>
        </is>
      </c>
      <c r="B30529">
        <f>HYPERLINK("https://www.dofusbook.net/fr/equipement/3623012-retrait-pm-dws/objets", "link")</f>
        <v/>
      </c>
      <c r="C30529" t="n">
        <v>3</v>
      </c>
      <c r="D30529" t="inlineStr">
        <is>
          <t>Arc Honte; Amulette de l'Œil Putride; Alliance Gloursonne; Bague Gloursonne; Bouclier cubiste; Ceinture de l'Esprit Salvateur; Masque de l'Esprit Salvateur; Cape de l'Œil Putride; Bottes de l'Esprit Salvateur; Dofus Abyssal; Dofus des Glaces; Dofus Vulbis; Dofus Ivoire; Entraveur majeur; Ralentisseur majeur; Volkorne Jade et Turquoise</t>
        </is>
      </c>
    </row>
    <row r="30530">
      <c r="A30530" t="inlineStr">
        <is>
          <t>Terre lavache</t>
        </is>
      </c>
      <c r="B30530">
        <f>HYPERLINK("https://www.dofusbook.net/fr/equipement/3630095-terre-lavache/objets", "link")</f>
        <v/>
      </c>
      <c r="C30530" t="n">
        <v>0</v>
      </c>
      <c r="D30530" t="inlineStr">
        <is>
          <t>Lav'Hache; Amulette Volcanique; Bague Gloursonne; Anneau Chevelu; Bouclier du Stalak; Ceinture Volkorne; Masque de Koutoulou; Cape au Logis; Sabots Volcaniques; Dofus Pourpre; Dofus Abyssal; Dofus Ocre; Dofus Ivoire; Enragé majeur; Vigoureux majeur; Dragodinde Ivoire et Pourpre</t>
        </is>
      </c>
    </row>
    <row r="30531">
      <c r="A30531" t="inlineStr">
        <is>
          <t>Do elem Esq Pa ret PM</t>
        </is>
      </c>
      <c r="B30531">
        <f>HYPERLINK("https://www.dofusbook.net/fr/equipement/3629837-do-elem-esq-pa-ret-pm/objets", "link")</f>
        <v/>
      </c>
      <c r="C30531" t="n">
        <v>1</v>
      </c>
      <c r="D30531" t="inlineStr">
        <is>
          <t>Arc Honte; Amulette de l'Œil Putride; Alliance Gloursonne; Bague Gloursonne; Cadran de Feu; Ceinture de l'Esprit Salvateur; Masque de l'Esprit Salvateur; Cape de l'Œil Putride; Bottes de l'Esprit Salvateur; Dofus Abyssal; Dofus Cawotte; Dofus des Glaces; Dofus Ocre; Dofus Ivoire; Insaisissable majeur; Muldo Pourpre et Ivoire</t>
        </is>
      </c>
    </row>
    <row r="30532">
      <c r="A30532" t="inlineStr">
        <is>
          <t>DWS Terre</t>
        </is>
      </c>
      <c r="B30532">
        <f>HYPERLINK("https://www.dofusbook.net/fr/equipement/3602811-dws-terre/objets", "link")</f>
        <v/>
      </c>
      <c r="C30532" t="n">
        <v>15</v>
      </c>
      <c r="D30532" t="inlineStr">
        <is>
          <t>Dagues Érhy; Collier de Tourthon; Bague Gloursonne; Anneau de Brouce; Quatre-feuilles; Ceinture Volkorne; Masque de Koutoulou; Cape de la Cour Sombre; Bottes de la Cour Sombre; Dofus Ivoire; Dofus Vulbis; Dofus Pourpre; Dofus Ocre; Carapace Terre majeur; Enragé majeur; Dragodinde Amande et Pourpre</t>
        </is>
      </c>
    </row>
    <row r="30533">
      <c r="A30533" t="inlineStr">
        <is>
          <t>Terre lavache</t>
        </is>
      </c>
      <c r="B30533">
        <f>HYPERLINK("https://www.dofusbook.net/fr/equipement/3627860-terre-lavache/objets", "link")</f>
        <v/>
      </c>
      <c r="C30533" t="n">
        <v>1</v>
      </c>
      <c r="D30533" t="inlineStr">
        <is>
          <t>Lav'Hache; Amulette Volcanique; Alliance Gloursonne; Bracelet du Piloztère; Bouclier du Stalak; Ceinture Volkorne; Chapeau de Gein; Voile d'encre; Bottes Honyme; Dofus Vulbis; Dofus Abyssal; Dofus Pourpre; Dofus Ivoire; Vigoureux majeur; Enragé majeur; Volkorne Jade et Rubis</t>
        </is>
      </c>
    </row>
    <row r="30534">
      <c r="A30534" t="inlineStr">
        <is>
          <t>Eau Vs osa FAV</t>
        </is>
      </c>
      <c r="B30534">
        <f>HYPERLINK("https://www.dofusbook.net/fr/equipement/3223189-eau-vs-osa-fav/objets", "link")</f>
        <v/>
      </c>
      <c r="C30534" t="n">
        <v>5</v>
      </c>
      <c r="D30534" t="inlineStr">
        <is>
          <t>Sceptre du Roi Joueur; Amulette de Shokkoth; Alliance Gloursonne; Anneau Volkorne; Cadran de Feu; Sangle Ouare; Capuche de l'Œil Attentif; Cape de l'Œil Attentif; Bottes du Sinistrofu; Dofus des Glaces; Dofus Ocre; Dofus Ivoire; Dofus Abyssal; Chanceux majeur; Évasif majeur; Volkorne Rubis et Indigo</t>
        </is>
      </c>
    </row>
    <row r="30535">
      <c r="A30535" t="inlineStr">
        <is>
          <t>Eau Ret PM</t>
        </is>
      </c>
      <c r="B30535">
        <f>HYPERLINK("https://www.dofusbook.net/fr/equipement/3627884-eau-ret-pm/objets", "link")</f>
        <v/>
      </c>
      <c r="C30535" t="n">
        <v>0</v>
      </c>
      <c r="D30535" t="inlineStr">
        <is>
          <t>Baguette Hique; Amulette de l'Œil Putride; Alliance Gloursonne; Bracelet des Fonds marins; Bouclier cubiste; Sangle Ouare; Capuche de l'Œil Putride; Cape Solution; Bottes de la Dame du Hasard; Entraveur majeur; Chanceux majeur; Temporiseur; Temporiseur majeur; Ralentisseur majeur; Entraveur; Volkorne Turquoise et Indigo</t>
        </is>
      </c>
    </row>
    <row r="30536">
      <c r="A30536" t="inlineStr">
        <is>
          <t>Air Feu ret pm</t>
        </is>
      </c>
      <c r="B30536">
        <f>HYPERLINK("https://www.dofusbook.net/fr/equipement/3128941-air-feu-ret-pm/objets", "link")</f>
        <v/>
      </c>
      <c r="C30536" t="n">
        <v>0</v>
      </c>
      <c r="D30536" t="inlineStr">
        <is>
          <t>Arc Honte; Amulette de l'Œil Putride; Anneau de Nidas; Alliance Gloursonne; Bouclier cubiste; Sangle Ouare; Couronne de Nidas; Cape de l'Œil Putride; Bottes de l'Indicible; Dofus Abyssal; Dofus Ocre; Dofus des Glaces; Dofus Ivoire; Entraveur majeur; Ralentisseur majeur; Volkorne Améthyste et Turquoise</t>
        </is>
      </c>
    </row>
    <row r="30537">
      <c r="A30537" t="inlineStr">
        <is>
          <t>Do Éléments Ret Pm</t>
        </is>
      </c>
      <c r="B30537">
        <f>HYPERLINK("https://www.dofusbook.net/fr/equipement/3623452-do-Elements-ret-pm/objets", "link")</f>
        <v/>
      </c>
      <c r="C30537" t="n">
        <v>3</v>
      </c>
      <c r="D30537" t="inlineStr">
        <is>
          <t>Arc Honte; Amulette de l'Indicible; Bague Gloursonne; Alliance Gloursonne; Bouclier cubiste; Ceinture de l'Indicible; Capuche de l'Œil Putride; Cape de l'Œil Putride; Bottes de l'Indicible; Dofus Ivoire; Dofus Vulbis; Dofus des Glaces; Dofus Abyssal; Entraveur majeur; Ralentisseur majeur; Volkorne Jade et Turquoise</t>
        </is>
      </c>
    </row>
    <row r="30538">
      <c r="A30538" t="inlineStr">
        <is>
          <t>Do Elem - FAV 2</t>
        </is>
      </c>
      <c r="B30538">
        <f>HYPERLINK("https://www.dofusbook.net/fr/equipement/3249811-do-elem---fav-2/objets", "link")</f>
        <v/>
      </c>
      <c r="C30538" t="n">
        <v>7</v>
      </c>
      <c r="D30538" t="inlineStr">
        <is>
          <t>Dagues Érhy; Amulette de l'Indicible; Bague Gloursonne; Alliance Gloursonne; Cadran d'Air; Ceinture de l'Indicible; Capuche de l'Œil Putride; Cape de l'Œil Putride; Bottes de l'Indicible; Dolmanax; Dofus des Glaces; Dofus Pourpre; Dofus Abyssal; Dofus Ocre; Dofus Ivoire; Muldo Ebène et Pourpre</t>
        </is>
      </c>
    </row>
    <row r="30539">
      <c r="A30539" t="inlineStr">
        <is>
          <t>Full eau crit</t>
        </is>
      </c>
      <c r="B30539">
        <f>HYPERLINK("https://www.dofusbook.net/fr/equipement/3598161-full-eau-crit/objets", "link")</f>
        <v/>
      </c>
      <c r="C30539" t="n">
        <v>8</v>
      </c>
      <c r="D30539" t="inlineStr">
        <is>
          <t>Sceptre du Roi Joueur; Amulette de Shokkoth; Alliance Gloursonne; Anneau Volkorne; Quatre-feuilles; Sangle Ouare; Némès de Tal Kasha; Chevelure de Tal Kasha; Pataugastrique; Dofus Pourpre; Dofus des Glaces; Dofus Ocre; Dofus Abyssal; Dofus Ivoire; Dévastateur Eau majeur; El Scarador</t>
        </is>
      </c>
    </row>
    <row r="30540">
      <c r="A30540" t="inlineStr">
        <is>
          <t>Do Elem - DWS test</t>
        </is>
      </c>
      <c r="B30540">
        <f>HYPERLINK("https://www.dofusbook.net/fr/equipement/3592282-do-elem---dws-test/objets", "link")</f>
        <v/>
      </c>
      <c r="C30540" t="n">
        <v>2</v>
      </c>
      <c r="D30540" t="inlineStr">
        <is>
          <t>Arc Honte; Amulette de l'Indicible; Anneau Volkorne; Alliance Gloursonne; Bouclier du Stalak; Ceinture de l'Indicible; Capuche de l'Œil Putride; Cape de l'Œil Putride; Bottes de l'Indicible; Dofus Ocre; Dofus Ivoire; Dolmanax; Dofus des Glaces; Dofus Pourpre; Dofus Abyssal; Muldo Ebène et Pourpre</t>
        </is>
      </c>
    </row>
    <row r="30541">
      <c r="A30541" t="inlineStr">
        <is>
          <t>Do fixe - Pyraguette</t>
        </is>
      </c>
      <c r="B30541">
        <f>HYPERLINK("https://www.dofusbook.net/fr/equipement/3589522-do-fixe---pyraguette/objets", "link")</f>
        <v/>
      </c>
      <c r="C30541" t="n">
        <v>6</v>
      </c>
      <c r="D30541" t="inlineStr">
        <is>
          <t>Pyraguette; Talisman Igans; Anneau Tique; Alliance Gloursonne; Bouclier du Stalak; Ceintrigue; Ruskauffe; Cape de la Dame du Hasard; Pataugastrique; Dofus Pourpre; Dofus Ivoire; Dofus Vulbis; Dofus Ocre; Dofus des Glaces; Vigoureux majeur; El Scarador</t>
        </is>
      </c>
    </row>
    <row r="30542">
      <c r="A30542" t="inlineStr">
        <is>
          <t>DWS multi</t>
        </is>
      </c>
      <c r="B30542">
        <f>HYPERLINK("https://www.dofusbook.net/fr/equipement/3589779-dws-multi/objets", "link")</f>
        <v/>
      </c>
      <c r="C30542" t="n">
        <v>2</v>
      </c>
      <c r="D30542" t="inlineStr">
        <is>
          <t>Epée Gloursonne; Amulette Volkorne; Alliance Gloursonne; Anneau Volkorne; Bouclier d'Anerice; Ceinture de l'Esprit Salvateur; Masque de l'Esprit Salvateur; Cape d'Anerice; Bottes de l'Esprit Salvateur; Dofus Abyssal; Dofus Vulbis; Dofus des Glaces; Dofus Ocre; Dofus Pourpre; Dofus Ivoire; Kramkram</t>
        </is>
      </c>
    </row>
    <row r="30543">
      <c r="A30543" t="inlineStr">
        <is>
          <t>Hasard crit FAV</t>
        </is>
      </c>
      <c r="B30543">
        <f>HYPERLINK("https://www.dofusbook.net/fr/equipement/624077-hasard-crit-fav/objets", "link")</f>
        <v/>
      </c>
      <c r="C30543" t="n">
        <v>3</v>
      </c>
      <c r="D30543" t="inlineStr">
        <is>
          <t>Rapière aux Glyphes; Amulette de Shokkoth; Alliance Gloursonne; Bracelet des Fonds marins; Quatre-feuilles; Sangle Ouare; Kidibonnet; Cape de la Dame du Hasard; Bottes de la Dame du Hasard; Dofus Ivoire; Dofus Pourpre; Dofus des Glaces; Dofus Ocre; Vigoureux majeur; Chanceux majeur; Kramkram</t>
        </is>
      </c>
    </row>
    <row r="30544">
      <c r="A30544" t="inlineStr">
        <is>
          <t>Full Do Eau</t>
        </is>
      </c>
      <c r="B30544">
        <f>HYPERLINK("https://www.dofusbook.net/fr/equipement/3240396-full-do-eau-/objets", "link")</f>
        <v/>
      </c>
      <c r="C30544" t="n">
        <v>6</v>
      </c>
      <c r="D30544" t="inlineStr">
        <is>
          <t>Sceptre du Roi Joueur; Amulette Ementaire Deluxe; Alliance Gloursonne; Bracelet des Fonds marins; Bouclier du Stalak; Ceinture de la Reine des Voleurs; Kidibonnet; Cape Solution; Bottes de la Reine des Voleurs; Dofus des Glaces; Dofus Ivoire; Dofus Pourpre; Dolmanax; Chanceux majeur; Dévastateur Eau majeur; Muldo Ebène</t>
        </is>
      </c>
    </row>
    <row r="30545">
      <c r="A30545" t="inlineStr">
        <is>
          <t>FULL EAU esquive PA</t>
        </is>
      </c>
      <c r="B30545">
        <f>HYPERLINK("https://www.dofusbook.net/fr/equipement/2535808-full-eau-esquive-pa/objets", "link")</f>
        <v/>
      </c>
      <c r="C30545" t="n">
        <v>0</v>
      </c>
      <c r="D30545" t="inlineStr">
        <is>
          <t>Rapière aux Glyphes; Amulette de l'Œil Attentif; Alliance Gloursonne; Bracelet des Fonds marins; Quatre-feuilles; Pagne du Rykaon; Capuche de l'Œil Attentif; Cape de l'Œil Attentif; Sandales des Fonds marins; Dofus Pourpre; Dofus des Glaces; Dofus Turquoise; Dofus Abyssal; Dofus Ocre; Dofus Ivoire; Muldo Ebène et Indigo</t>
        </is>
      </c>
    </row>
    <row r="30546">
      <c r="A30546" t="inlineStr">
        <is>
          <t>Srambad 1Vs1 3</t>
        </is>
      </c>
      <c r="B30546">
        <f>HYPERLINK("https://www.dofusbook.net/fr/equipement/648187-srambad-1vs1-3/objets", "link")</f>
        <v/>
      </c>
      <c r="C30546" t="n">
        <v>0</v>
      </c>
      <c r="D30546" t="inlineStr">
        <is>
          <t>Dagues de Srambad; Amulette de Pol Ouatnos; Bague Gloursonne; Alliance Gloursonne; Ceinture de la Reine des Voleurs; Coiffe du Lévitrof; Voile d'encre; Pantoufles du Piloztère; Dofus des Glaces; Dofus Ocre; Dofus Pourpre; Carapace Terre majeur; Remueur; Déserteur majeur; Kramkram</t>
        </is>
      </c>
    </row>
    <row r="30547">
      <c r="A30547" t="inlineStr">
        <is>
          <t>PvM terre/feu ret PM</t>
        </is>
      </c>
      <c r="B30547">
        <f>HYPERLINK("https://www.dofusbook.net/fr/equipement/3239115-pvm-terre-feu-ret-pm/objets", "link")</f>
        <v/>
      </c>
      <c r="C30547" t="n">
        <v>0</v>
      </c>
      <c r="D30547" t="inlineStr">
        <is>
          <t>Bâthon; Amulette Volcanique; Chevalière du Roi Joueur; Pikano; Bouclier cubiste; Ceintacé; Chapeau de Gein; Voile d'encre; Bottes du Roi Joueur; Dofus Pourpre; Dofus Turquoise; Vigoureux majeur; Remueur; Temporiseur majeur; Enragé majeur; Muldo Prune et Doré</t>
        </is>
      </c>
    </row>
    <row r="30548">
      <c r="A30548" t="inlineStr">
        <is>
          <t>PvPm Terre/Feu 7</t>
        </is>
      </c>
      <c r="B30548">
        <f>HYPERLINK("https://www.dofusbook.net/fr/equipement/1476198-pvpm-terre-feu-7/objets", "link")</f>
        <v/>
      </c>
      <c r="C30548" t="n">
        <v>1</v>
      </c>
      <c r="D30548" t="inlineStr">
        <is>
          <t>Bâthon; Amulette de l'Indicible; Chevalière du Roi Joueur; Pikano; Bouclier cubiste; Ceintacé; Chapeau de Gein; Voile d'encre; Bottes du Roi Joueur; Dofus Pourpre; Dolmanax; Temporiseur majeur; Carapace Terre majeur; Vigoureux majeur; Remueur; Muldo Pourpre et Amande</t>
        </is>
      </c>
    </row>
    <row r="30549">
      <c r="A30549" t="inlineStr">
        <is>
          <t>Air poulplie - valet</t>
        </is>
      </c>
      <c r="B30549">
        <f>HYPERLINK("https://www.dofusbook.net/fr/equipement/3187518-air-poulplie---valet/objets", "link")</f>
        <v/>
      </c>
      <c r="C30549" t="n">
        <v>0</v>
      </c>
      <c r="D30549" t="inlineStr">
        <is>
          <t>Dagues Érhy; Collier du Valet Veinard; Anneau d'Allister; Gant du Valet Veinard; Bouclier du Stalak; Ceintouse; Chapoulpe; Cape du Valet Veinard; Tentassons; Dokoko; Dofus Abyssal; Dofus des Glaces; Dofus Ivoire; Dofus Pourpre; Dofus Ocre; Muldo Ebène et Pourpre</t>
        </is>
      </c>
    </row>
    <row r="30550">
      <c r="A30550" t="inlineStr">
        <is>
          <t>PvM Eau/Feu</t>
        </is>
      </c>
      <c r="B30550">
        <f>HYPERLINK("https://www.dofusbook.net/fr/equipement/3158901-pvm-eau-feu/objets", "link")</f>
        <v/>
      </c>
      <c r="C30550" t="n">
        <v>0</v>
      </c>
      <c r="D30550" t="inlineStr">
        <is>
          <t>Pelle de Katrepat; Collier de la Dame du Hasard; Alliance Gloursonne; Bracelet des Fonds marins; Quatre-feuilles; Ceinture de l'Esprit Malsain; Capuche de l'Œil Putride; Cape de la Dame du Hasard; Pataugastrique; Dofus Turquoise; Dofus des Glaces; Dofus Pourpre; Remueur; Vigoureux majeur; Nomade; Kramkram</t>
        </is>
      </c>
    </row>
    <row r="30551">
      <c r="A30551" t="inlineStr">
        <is>
          <t>Stri glours</t>
        </is>
      </c>
      <c r="B30551">
        <f>HYPERLINK("https://www.dofusbook.net/fr/equipement/3158880-stri-glours/objets", "link")</f>
        <v/>
      </c>
      <c r="C30551" t="n">
        <v>0</v>
      </c>
      <c r="D30551" t="inlineStr">
        <is>
          <t>Epée Gloursonne; Amulette du Strigide; Bague Gloursonne; Alliance Gloursonne; Bouclier Taverne; Ceinture du Strigide; Chapeau Lisson; Voile d'encre; Bottes du Strigide; Dofus Pourpre; Dofus des Glaces; Dofus Turquoise; Dofus Ocre; Puissant majeur; Muldo Doré</t>
        </is>
      </c>
    </row>
    <row r="30552">
      <c r="A30552" t="inlineStr">
        <is>
          <t>Rox terre ini Fav</t>
        </is>
      </c>
      <c r="B30552">
        <f>HYPERLINK("https://www.dofusbook.net/fr/equipement/2993698-rox-terre-ini-fav-/objets", "link")</f>
        <v/>
      </c>
      <c r="C30552" t="n">
        <v>0</v>
      </c>
      <c r="D30552" t="inlineStr">
        <is>
          <t>Dagues Érhy; Collier de Tourthon; Bague Gloursonne; Anneau de Brouce; Quatre-feuilles; Ceinture de la Cour Sombre; Chapeau de Gein; Cape de la Cour Sombre; Bottes du Cœur Saignant; Dofus Pourpre; Dofus Nébuleux; Dofus Ocre; Dofus Ivoire; Enragé majeur; Remueur; Muldo Orchidée et Pourpre</t>
        </is>
      </c>
    </row>
    <row r="30553">
      <c r="A30553" t="inlineStr">
        <is>
          <t>Terre Feu Ret PM</t>
        </is>
      </c>
      <c r="B30553">
        <f>HYPERLINK("https://www.dofusbook.net/fr/equipement/3048023-terre-feu-ret-pm/objets", "link")</f>
        <v/>
      </c>
      <c r="C30553" t="n">
        <v>0</v>
      </c>
      <c r="D30553" t="inlineStr">
        <is>
          <t>Hache Téroïde; Amulette Volcanique; Bague Gloursonne; Chevalière du Roi Joueur; Bouclier cubiste; Ceintacé; Chapeau de Gein; Voile d'encre; Bottes du Roi Joueur; Dofus Pourpre; Dofus Ivoire; Dofus Ocre; Dofus Abyssal; Nomade; Temporiseur majeur; Kramkram</t>
        </is>
      </c>
    </row>
    <row r="30554">
      <c r="A30554" t="inlineStr">
        <is>
          <t>Force de la nature</t>
        </is>
      </c>
      <c r="B30554">
        <f>HYPERLINK("https://www.dofusbook.net/fr/equipement/3127247-force-de-la-nature/objets", "link")</f>
        <v/>
      </c>
      <c r="C30554" t="n">
        <v>0</v>
      </c>
      <c r="D30554" t="inlineStr">
        <is>
          <t>Dagues Érhy; Collier de Tourthon; Bague Gloursonne; Anneau de Brouce; Bouclier du Stalak; Ceinture de la Reine des Voleurs; Coiffe de la Reine des Voleurs; Cape du Kamasterisk; Baleinabottes; Dofus Ivoire; Dofus Pourpre; Déserteur majeur; Remueur; Enragé majeur; Nomade; Kramkram</t>
        </is>
      </c>
    </row>
    <row r="30555">
      <c r="A30555" t="inlineStr">
        <is>
          <t>Terre Volcasaurus</t>
        </is>
      </c>
      <c r="B30555">
        <f>HYPERLINK("https://www.dofusbook.net/fr/equipement/3118317-terre-volcasaurus/objets", "link")</f>
        <v/>
      </c>
      <c r="C30555" t="n">
        <v>0</v>
      </c>
      <c r="D30555" t="inlineStr">
        <is>
          <t>Arc du Chalœil; Amulette Luminescente; Anneau de Brouce; Chevalière du Roi Joueur; Quatre-feuilles; Ceinture Luminescente; Couronne du Roi Joueur; Cape Luminescente; Bottes du Roi Joueur; Dofus Abyssal; Dofus Pourpre; Dofus Ocre; Forcené majeur; Voyageur; Entraveur majeur; Kompost</t>
        </is>
      </c>
    </row>
    <row r="30556">
      <c r="A30556" t="inlineStr">
        <is>
          <t>Air volcasaurus</t>
        </is>
      </c>
      <c r="B30556">
        <f>HYPERLINK("https://www.dofusbook.net/fr/equipement/3118195-air-volcasaurus/objets", "link")</f>
        <v/>
      </c>
      <c r="C30556" t="n">
        <v>0</v>
      </c>
      <c r="D30556" t="inlineStr">
        <is>
          <t>Hachoirs de Viandargh; Collier du Valet Veinard; Gant du Valet Veinard; Anneau d'Allister; Bouclier du Stalak; Sangle Oriole; Couronne d'Allister; Cape du Valet Veinard; Bottes d'Allister; Dofus Pourpre; Dofus Ocre; Dofus Vulbis; Dofus Abyssal; Equilibriste majeur; Entraveur majeur; Siroko</t>
        </is>
      </c>
    </row>
    <row r="30557">
      <c r="A30557" t="inlineStr">
        <is>
          <t>Dom elem / fuite</t>
        </is>
      </c>
      <c r="B30557">
        <f>HYPERLINK("https://www.dofusbook.net/fr/equipement/3081864-dom-elem---fuite/objets", "link")</f>
        <v/>
      </c>
      <c r="C30557" t="n">
        <v>0</v>
      </c>
      <c r="D30557" t="inlineStr">
        <is>
          <t>Arc Honte; Amulette de l'Indicible; Bague Gloursonne; Alliance Gloursonne; Bouclier du Stalak; Ceinture de l'Indicible; Casque d'Ilyzaelle; Cape de l'Œil Putride; Bottes de l'Indicible; Dofus Ocre; Dofus Ivoire; Dofus Pourpre; Dofus des Glaces; Dokoko; Dofus Abyssal; Dragodinde Amande et Emeraude</t>
        </is>
      </c>
    </row>
    <row r="30558">
      <c r="A30558" t="inlineStr">
        <is>
          <t>Levi/Pnose</t>
        </is>
      </c>
      <c r="B30558">
        <f>HYPERLINK("https://www.dofusbook.net/fr/equipement/3081591-levi-pnose/objets", "link")</f>
        <v/>
      </c>
      <c r="C30558" t="n">
        <v>0</v>
      </c>
      <c r="D30558" t="inlineStr">
        <is>
          <t>Pelle de Katrepat; Talisman Igans; Alliance Gloursonne; Alliance du Lévitrof; Quatre-feuilles; Sangle Ouare; Coiffe du Lévitrof; Cape Solution; Bottes Owesli; Dokoko; Dofus des Glaces; Dofus Pourpre; Dofus Abyssal; Dofus Ocre; Dofus Ivoire; Kramkram</t>
        </is>
      </c>
    </row>
    <row r="30559">
      <c r="A30559" t="inlineStr">
        <is>
          <t>Toche 1000 stats</t>
        </is>
      </c>
      <c r="B30559">
        <f>HYPERLINK("https://www.dofusbook.net/fr/equipement/2937518-toche-1000-stats/objets", "link")</f>
        <v/>
      </c>
      <c r="C30559" t="n">
        <v>1</v>
      </c>
      <c r="D30559" t="inlineStr">
        <is>
          <t>Epée Toche; Amulette de Gein; Bague Gloursonne; Chevalière du Roi Joueur; Bouclier du Captain Amakna; Ceinture de Gein; Chapeau de Gein; Voile d'encre; Bottes du Roi Joueur; Dofus Turquoise; Dofus Nébuleux; Dolmanax; Dofus Ocre; Dofus Pourpre; Dofus des Glaces; Muldo Ebène et Pourpre</t>
        </is>
      </c>
    </row>
    <row r="30560">
      <c r="A30560" t="inlineStr">
        <is>
          <t>Multi FEU et EAU/AIR</t>
        </is>
      </c>
      <c r="B30560">
        <f>HYPERLINK("https://www.dofusbook.net/fr/equipement/2914345-multi-feu-et-eau-air/objets", "link")</f>
        <v/>
      </c>
      <c r="C30560" t="n">
        <v>1</v>
      </c>
      <c r="D30560" t="inlineStr">
        <is>
          <t>Arc Honte; Amulette Ementaire Deluxe; Anneau de Nidas; Bouclier cubiste; Ceinture de l'Indicible; Capuche de l'Œil Putride; Cape de l'Œil Putride; Bottes de l'Indicible; Dokoko; Dofus des Glaces; Dofus Pourpre; Dofus Abyssal; Dofus Ocre; Dofus Ivoire; Kramkram</t>
        </is>
      </c>
    </row>
    <row r="30561">
      <c r="A30561" t="inlineStr">
        <is>
          <t>Multi FEU et EAU/AIR</t>
        </is>
      </c>
      <c r="B30561">
        <f>HYPERLINK("https://www.dofusbook.net/fr/equipement/2914276-multi-feu-et-eau-air/objets", "link")</f>
        <v/>
      </c>
      <c r="C30561" t="n">
        <v>0</v>
      </c>
      <c r="D30561" t="inlineStr">
        <is>
          <t>Arc Honte; Amulette de l'Indicible; Anneau de Nidas; Anneau de Padgref; Bouclier cubiste; Ceinture de l'Indicible; Capuche de l'Œil Putride; Cape de l'Œil Putride; Bottes de l'Indicible; Dokoko; Dofus des Glaces; Dofus Pourpre; Dofus Abyssal; Dofus Ocre; Dofus Ivoire; Muldo Orchidée et Amande</t>
        </is>
      </c>
    </row>
    <row r="30562">
      <c r="A30562" t="inlineStr">
        <is>
          <t>Eau/Feu oeil putride</t>
        </is>
      </c>
      <c r="B30562">
        <f>HYPERLINK("https://www.dofusbook.net/fr/equipement/2535704-eau-feu-oeil-putride/objets", "link")</f>
        <v/>
      </c>
      <c r="C30562" t="n">
        <v>0</v>
      </c>
      <c r="D30562" t="inlineStr">
        <is>
          <t>Pelle de Katrepat; Talisman Igans; Alliance Gloursonne; Anneau Tique; Quatre-feuilles; Ceinture de l'Esprit Malsain; Capuche de l'Œil Putride; Cape de l'Œil Putride; Pataugastrique; Dofus des Glaces; Dolmanax; Dofus Pourpre; Remueur; Vigoureux majeur; Nomade; Kramkram</t>
        </is>
      </c>
    </row>
    <row r="30563">
      <c r="A30563" t="inlineStr">
        <is>
          <t>Epee Brulame</t>
        </is>
      </c>
      <c r="B30563">
        <f>HYPERLINK("https://www.dofusbook.net/fr/equipement/2335175-epee-brulame/objets", "link")</f>
        <v/>
      </c>
      <c r="C30563" t="n">
        <v>0</v>
      </c>
      <c r="D30563" t="inlineStr">
        <is>
          <t>Arc Nécrotique; Amulette Ementaire Deluxe; Pikano; Alliance Gloursonne; Quatre-feuilles; Pagne du Rykaon; Kidibonnet; Cape de la Dame du Hasard; Bottes de la Dame du Hasard; Dofus Pourpre; Dolmanax; Dofus Ivoire; Vigoureux majeur; Remueur; Nomade; Kramkram</t>
        </is>
      </c>
    </row>
    <row r="30564">
      <c r="A30564" t="inlineStr">
        <is>
          <t>Full Eau - Hasard 2</t>
        </is>
      </c>
      <c r="B30564">
        <f>HYPERLINK("https://www.dofusbook.net/fr/equipement/648808-full-eau---hasard-2/objets", "link")</f>
        <v/>
      </c>
      <c r="C30564" t="n">
        <v>0</v>
      </c>
      <c r="D30564" t="inlineStr">
        <is>
          <t>Sceptre du Roi Joueur; Amulette de Shokkoth; Bracelet du Piloztère; Alliance Gloursonne; Sangle Ouare; Kidibonnet; Cape de la Dame du Hasard; Bottes de la Dame du Hasard; Dolmanax; Dofus Pourpre; Déserteur majeur; Vigoureux majeur; Remueur; Évasif majeur; Kramkram</t>
        </is>
      </c>
    </row>
    <row r="30565">
      <c r="A30565" t="inlineStr">
        <is>
          <t>Cape Classe Full Eau</t>
        </is>
      </c>
      <c r="B30565">
        <f>HYPERLINK("https://www.dofusbook.net/fr/equipement/1506123-cape-classe-full-eau/objets", "link")</f>
        <v/>
      </c>
      <c r="C30565" t="n">
        <v>0</v>
      </c>
      <c r="D30565" t="inlineStr">
        <is>
          <t>Sceptre du Roi Joueur; Amulette de Shokkoth; Alliance Gloursonne; Bracelet des Fonds marins; Quatre-feuilles; Pagne du Rykaon; Masque des Fonds marins; Cape Hitton; Bottes du Sinistrofu; Dofus Pourpre; Dolmanax; Dofus Ocre; Chanceux majeur; Remueur; Vigoureux majeur; Muldo Indigo</t>
        </is>
      </c>
    </row>
    <row r="30566">
      <c r="A30566" t="inlineStr">
        <is>
          <t>Eau do crit</t>
        </is>
      </c>
      <c r="B30566">
        <f>HYPERLINK("https://www.dofusbook.net/fr/equipement/1498566-eau-do-crit/objets", "link")</f>
        <v/>
      </c>
      <c r="C30566" t="n">
        <v>0</v>
      </c>
      <c r="D30566" t="inlineStr">
        <is>
          <t>Sceptre du Roi Joueur; Collier de la Dame du Hasard; Bracelet des Fonds marins; Alliance Gloursonne; Quatre-feuilles; Sangle Ouare; Casquette de Meno; Cape de la Dame du Hasard; Pataugastrique; Dofus Turquoise; Dofus des Glaces; Dofus Pourpre; Chanceux majeur; Remueur; Vigoureux majeur; Kramkram</t>
        </is>
      </c>
    </row>
    <row r="30567">
      <c r="A30567" t="inlineStr">
        <is>
          <t>Ret Pm Eau/Feu 2</t>
        </is>
      </c>
      <c r="B30567">
        <f>HYPERLINK("https://www.dofusbook.net/fr/equipement/1498535-ret-pm-eau-feu-2/objets", "link")</f>
        <v/>
      </c>
      <c r="C30567" t="n">
        <v>0</v>
      </c>
      <c r="D30567" t="inlineStr">
        <is>
          <t>Arc Honte; Collier de la Dame du Hasard; Anneau de Nidas; Alliance Gloursonne; Bouclier cubiste; Pagne du Rykaon; Masque des Fonds marins; Cape de la Dame du Hasard; Pataugastrique; Dofus Cawotte; Dofus Pourpre; Dofus des Glaces; Remueur; Temporiseur majeur; Nomade; Kramkram</t>
        </is>
      </c>
    </row>
    <row r="30568">
      <c r="A30568" t="inlineStr">
        <is>
          <t>Pelle Katrapat</t>
        </is>
      </c>
      <c r="B30568">
        <f>HYPERLINK("https://www.dofusbook.net/fr/equipement/1497441-pelle-katrapat/objets", "link")</f>
        <v/>
      </c>
      <c r="C30568" t="n">
        <v>0</v>
      </c>
      <c r="D30568" t="inlineStr">
        <is>
          <t>Pelle de Katrepat; Collier de la Dame du Hasard; Alliance Gloursonne; Anneau Tique; Bouclier cubiste; Pagne du Rykaon; Casqnoar; Cape de la Dame du Hasard; Pataugastrique; Dofus Pourpre; Dofus des Glaces; Dolmanax; Temporiseur majeur; Remueur; Nomade; Kramkram</t>
        </is>
      </c>
    </row>
    <row r="30569">
      <c r="A30569" t="inlineStr">
        <is>
          <t>Ret Pm Eau/Feu</t>
        </is>
      </c>
      <c r="B30569">
        <f>HYPERLINK("https://www.dofusbook.net/fr/equipement/1497187-ret-pm-eau-feu/objets", "link")</f>
        <v/>
      </c>
      <c r="C30569" t="n">
        <v>0</v>
      </c>
      <c r="D30569" t="inlineStr">
        <is>
          <t>Arc Nécrotique; Collier de la Dame du Hasard; Bracelet des Fonds marins; Alliance Gloursonne; Bouclier cubiste; Pagne du Rykaon; Coiffe d'Ogivol; Cape de la Dame du Hasard; Pataugastrique; Dolmanax; Dofus Pourpre; Dofus des Glaces; Remueur; Temporiseur majeur; Nomade; Kramkram</t>
        </is>
      </c>
    </row>
    <row r="30570">
      <c r="A30570" t="inlineStr">
        <is>
          <t>Kamasterix</t>
        </is>
      </c>
      <c r="B30570">
        <f>HYPERLINK("https://www.dofusbook.net/fr/equipement/1486847-kamasterix/objets", "link")</f>
        <v/>
      </c>
      <c r="C30570" t="n">
        <v>0</v>
      </c>
      <c r="D30570" t="inlineStr">
        <is>
          <t>Epée Gloursonne; Amulette du Kamasterisk; Bague Gloursonne; Alliance Gloursonne; Bouclier Taverne; Ceinture de la Reine des Voleurs; Coiffe de la Reine des Voleurs; Cape du Kamasterisk; Bottes du Kamasterisk; Dofus Ocre; Dofus Pourpre; Dofus des Glaces; Dofus Abyssal; Dofus Turquoise; Dolmanax; Kramkram</t>
        </is>
      </c>
    </row>
    <row r="30571">
      <c r="A30571" t="inlineStr">
        <is>
          <t>Hache chaloeil 3</t>
        </is>
      </c>
      <c r="B30571">
        <f>HYPERLINK("https://www.dofusbook.net/fr/equipement/1483833-hache-chaloeil-3/objets", "link")</f>
        <v/>
      </c>
      <c r="C30571" t="n">
        <v>1</v>
      </c>
      <c r="D30571" t="inlineStr">
        <is>
          <t>Hache du Chalœil; Amulette du Strigide; Chevalière du Roi Joueur; Alliance Gloursonne; Quatre-feuilles; Ceintacé; Casque du Chalœil; Voile d'encre; Bottes du Chalœil; Dofus des Glaces; Dolmanax; Dofus Pourpre; Remueur; Évasif majeur; Nomade; Kramkram</t>
        </is>
      </c>
    </row>
    <row r="30572">
      <c r="A30572" t="inlineStr">
        <is>
          <t>Hache chaloeil 2</t>
        </is>
      </c>
      <c r="B30572">
        <f>HYPERLINK("https://www.dofusbook.net/fr/equipement/1482150-hache-chaloeil-2/objets", "link")</f>
        <v/>
      </c>
      <c r="C30572" t="n">
        <v>1</v>
      </c>
      <c r="D30572" t="inlineStr">
        <is>
          <t>Hache du Chalœil; Collier de la Dame du Hasard; Alliance Gloursonne; Anneau de Nidas; Quatre-feuilles; Ceintacé; Casque du Chalœil; Voile d'encre; Bottes du Chalœil; Dofus des Glaces; Dolmanax; Dofus Pourpre; Nomade; Remueur; Vigoureux majeur; Kramkram</t>
        </is>
      </c>
    </row>
    <row r="30573">
      <c r="A30573" t="inlineStr">
        <is>
          <t>Osa 1</t>
        </is>
      </c>
      <c r="B30573">
        <f>HYPERLINK("https://www.dofusbook.net/fr/equipement/1324204-osa-1/objets", "link")</f>
        <v/>
      </c>
      <c r="C30573" t="n">
        <v>0</v>
      </c>
      <c r="D30573" t="inlineStr">
        <is>
          <t>Baguette Hique; Amulette Cryochrone; Anneau Cryochrone; Alliance Gloursonne; Quatre-feuilles; Poulpagne; Kidibonnet; Capille; Bottes de Meno; Dolmanax; Dofus Pourpre; Dokoko; Vigoureux majeur; Nomade; Chanceux majeur; Kramkram</t>
        </is>
      </c>
    </row>
    <row r="30574">
      <c r="A30574" t="inlineStr">
        <is>
          <t>Sadi 1 bis - Fav</t>
        </is>
      </c>
      <c r="B30574">
        <f>HYPERLINK("https://www.dofusbook.net/fr/equipement/1324134-sadi-1-bis---fav/objets", "link")</f>
        <v/>
      </c>
      <c r="C30574" t="n">
        <v>0</v>
      </c>
      <c r="D30574" t="inlineStr">
        <is>
          <t>Baguette Hique; Amulette Cryochrone; Alliance Gloursonne; Anneau Cryochrone; Quatre-feuilles; Poulpagne; Casqnoar; Capille; Pataugastrique; Dofus Pourpre; Dolmanax; Dokoko; Vigoureux majeur; Nomade; Chanceux majeur; Kramkram</t>
        </is>
      </c>
    </row>
    <row r="30575">
      <c r="A30575" t="inlineStr">
        <is>
          <t>Sadi 1</t>
        </is>
      </c>
      <c r="B30575">
        <f>HYPERLINK("https://www.dofusbook.net/fr/equipement/647978-sadi-1/objets", "link")</f>
        <v/>
      </c>
      <c r="C30575" t="n">
        <v>0</v>
      </c>
      <c r="D30575" t="inlineStr">
        <is>
          <t>Baguette Hique; Amulette Cryochrone; Alliance du Lévitrof; Anneau Cryochrone; Quatre-feuilles; Ceintrigue; Casqnoar; Capille; Pataugastrique; Dofus Pourpre; Dolmanax; Dokoko; Vigoureux majeur; Nomade; Remueur; Kramkram</t>
        </is>
      </c>
    </row>
    <row r="30576">
      <c r="A30576" t="inlineStr">
        <is>
          <t>Iop 1 - Fav</t>
        </is>
      </c>
      <c r="B30576">
        <f>HYPERLINK("https://www.dofusbook.net/fr/equipement/647812-iop-1---fav/objets", "link")</f>
        <v/>
      </c>
      <c r="C30576" t="n">
        <v>0</v>
      </c>
      <c r="D30576" t="inlineStr">
        <is>
          <t>Sceptre du Roi Joueur; Talisman Igans; Alliance Gloursonne; Pikano; Bouclier du Stalak; Ceinture du Barbétoal; Casque du Chalœil; Voile d'encre; Bottes du Chalœil; Dofus Ocre; Dolmanax; Dokoko; Temporiseur majeur; Nomade; Remueur; Kramkram</t>
        </is>
      </c>
    </row>
    <row r="30577">
      <c r="A30577" t="inlineStr">
        <is>
          <t>Sacri 3 bis - Fav</t>
        </is>
      </c>
      <c r="B30577">
        <f>HYPERLINK("https://www.dofusbook.net/fr/equipement/1321199-sacri-3-bis---fav/objets", "link")</f>
        <v/>
      </c>
      <c r="C30577" t="n">
        <v>0</v>
      </c>
      <c r="D30577" t="inlineStr">
        <is>
          <t>Arc Honte; Collier de la Dame du Hasard; Alliance Gloursonne; Pikano; Carapar; Ceinture de Kongoku; Ruskauffe; Voile d'encre; Bottes de la Dame du Hasard; Dofus Pourpre; Dokoko; Dolmanax; Dofus Ocre; Carapace Eau majeur; Remueur; Muldo Indigo et Orchidée</t>
        </is>
      </c>
    </row>
    <row r="30578">
      <c r="A30578" t="inlineStr">
        <is>
          <t>Feca 7 - Fav</t>
        </is>
      </c>
      <c r="B30578">
        <f>HYPERLINK("https://www.dofusbook.net/fr/equipement/1321422-feca-7---fav/objets", "link")</f>
        <v/>
      </c>
      <c r="C30578" t="n">
        <v>0</v>
      </c>
      <c r="D30578" t="inlineStr">
        <is>
          <t>Arc Honte; Amulette Cryochrone; Alliance Gloursonne; Anneau Cryochrone; Cadran de Feu; Pagne du Rykaon; Ruskauffe; Voile d'encre; Pataugastrique; Dokoko; Dolmanax; Évasif majeur; Remueur; Nomade; Déserteur majeur; Kramkram</t>
        </is>
      </c>
    </row>
    <row r="30579">
      <c r="A30579" t="inlineStr">
        <is>
          <t>Feca 5</t>
        </is>
      </c>
      <c r="B30579">
        <f>HYPERLINK("https://www.dofusbook.net/fr/equipement/1320914-feca-5/objets", "link")</f>
        <v/>
      </c>
      <c r="C30579" t="n">
        <v>0</v>
      </c>
      <c r="D30579" t="inlineStr">
        <is>
          <t>Sceptre du Roi Joueur; Collier de la Dame du Hasard; Alliance Gloursonne; Anneau Tique; Cadran de Feu; Ceinture du Barbétoal; Masque des Fonds marins; Cape de la Dame du Hasard; Pataugastrique; Dokoko; Dofus Pourpre; Nomade; Déserteur majeur; Remueur; Évasif majeur; Kramkram</t>
        </is>
      </c>
    </row>
    <row r="30580">
      <c r="A30580" t="inlineStr">
        <is>
          <t>Feca 6</t>
        </is>
      </c>
      <c r="B30580">
        <f>HYPERLINK("https://www.dofusbook.net/fr/equipement/1321364-feca-6/objets", "link")</f>
        <v/>
      </c>
      <c r="C30580" t="n">
        <v>0</v>
      </c>
      <c r="D30580" t="inlineStr">
        <is>
          <t>Arc Honte; Talisman Igans; Anneau Tique; Alliance Gloursonne; Cadran de Feu; Pagne du Rykaon; Ruskauffe; Cape de la Dame du Hasard; Bottes de la Dame du Hasard; Dofus Ocre; Dofus Cawotte; Dokoko; Dofus Pourpre; Remueur; Déserteur majeur; Muldo Indigo et Orchidée</t>
        </is>
      </c>
    </row>
    <row r="30581">
      <c r="A30581" t="inlineStr">
        <is>
          <t>Feca 3</t>
        </is>
      </c>
      <c r="B30581">
        <f>HYPERLINK("https://www.dofusbook.net/fr/equipement/699632-feca-3/objets", "link")</f>
        <v/>
      </c>
      <c r="C30581" t="n">
        <v>0</v>
      </c>
      <c r="D30581" t="inlineStr">
        <is>
          <t>Sceptre du Roi Joueur; Amulette de Shokkoth; Alliance Gloursonne; Alliance du Lévitrof; Cadran de Feu; Pagne du Rykaon; Coiffe du Lévitrof; Cape de la Dame du Hasard; Pataugastrique; Dokoko; Dofus Pourpre; Dofus Abyssal; Dolmanax; Évasif majeur; Remueur; Muldo Indigo et Orchidée</t>
        </is>
      </c>
    </row>
    <row r="30582">
      <c r="A30582" t="inlineStr">
        <is>
          <t>Feca 2</t>
        </is>
      </c>
      <c r="B30582">
        <f>HYPERLINK("https://www.dofusbook.net/fr/equipement/699382-feca-2/objets", "link")</f>
        <v/>
      </c>
      <c r="C30582" t="n">
        <v>0</v>
      </c>
      <c r="D30582" t="inlineStr">
        <is>
          <t>Arc Honte; Collier de la Dame du Hasard; Alliance Gloursonne; Anneau de Padgref; Cadran de Feu; Pagne du Rykaon; Coiffe du Lévitrof; Cape de la Dame du Hasard; Pataugastrique; Dolmanax; Dokoko; Dofus Pourpre; Miraculé majeur; Remueur; Évasif majeur; Muldo Orchidée et Pourpre</t>
        </is>
      </c>
    </row>
    <row r="30583">
      <c r="A30583" t="inlineStr">
        <is>
          <t>Sacri 3</t>
        </is>
      </c>
      <c r="B30583">
        <f>HYPERLINK("https://www.dofusbook.net/fr/equipement/1319226-sacri-3/objets", "link")</f>
        <v/>
      </c>
      <c r="C30583" t="n">
        <v>0</v>
      </c>
      <c r="D30583" t="inlineStr">
        <is>
          <t>Arc Honte; Amulette du Cycloïde; Bracelet des Fonds marins; Bague Gloursonne; Carapar; Ceintacé; Ruskauffe; Voile d'encre; Bottes du Cycloïde; Dofus Pourpre; Dokoko; Dolmanax; Dofus Émeraude; Déserteur majeur; Remueur; Muldo Indigo et Orchidée</t>
        </is>
      </c>
    </row>
    <row r="30584">
      <c r="A30584" t="inlineStr">
        <is>
          <t>Feca 8</t>
        </is>
      </c>
      <c r="B30584">
        <f>HYPERLINK("https://www.dofusbook.net/fr/equipement/1321467-feca-8/objets", "link")</f>
        <v/>
      </c>
      <c r="C30584" t="n">
        <v>0</v>
      </c>
      <c r="D30584" t="inlineStr">
        <is>
          <t>Sceptre du Roi Joueur; Talisman Igans; Alliance du Lévitrof; Alliance Gloursonne; Cadran de Feu; Sangle Ouare; Coiffe du Lévitrof; Cape de la Dame du Hasard; Pataugastrique; Dofus Pourpre; Dolmanax; Dokoko; Déserteur majeur; Remueur; Évasif majeur; Kramkram</t>
        </is>
      </c>
    </row>
    <row r="30585">
      <c r="A30585" t="inlineStr">
        <is>
          <t>Full eau - Sinistro</t>
        </is>
      </c>
      <c r="B30585">
        <f>HYPERLINK("https://www.dofusbook.net/fr/equipement/1279880-full-eau---sinistro/objets", "link")</f>
        <v/>
      </c>
      <c r="C30585" t="n">
        <v>0</v>
      </c>
      <c r="D30585" t="inlineStr">
        <is>
          <t>Sceptre du Roi Joueur; Amulette de Shokkoth; Alliance Gloursonne; Anneau Glacial; Quatre-feuilles; Sangle Ouare; Kidibonnet; Cape du Sinistrofu; Bottes du Sinistrofu; Dokoko; Dolmanax; Dofus Pourpre; Vigoureux majeur; Remueur; Chanceux majeur; Kramkram</t>
        </is>
      </c>
    </row>
    <row r="30586">
      <c r="A30586" t="inlineStr">
        <is>
          <t>Hache Korriandre</t>
        </is>
      </c>
      <c r="B30586">
        <f>HYPERLINK("https://www.dofusbook.net/fr/equipement/1263465-hache-korriandre/objets", "link")</f>
        <v/>
      </c>
      <c r="C30586" t="n">
        <v>0</v>
      </c>
      <c r="D30586" t="inlineStr">
        <is>
          <t>Hache du Korriandre; Amulette du Strigide; Anneau de Padgref; Alliance Gloursonne; Bouclier du Captain Amakna; Ceinture du Strigide; Némès de Tal Kasha; Chevelure de Tal Kasha; Sandales de Tal Kasha; Dokoko; Dofus Pourpre; Dofus Turquoise; Dofus Émeraude; Dofus Abyssal; Dofus Ocre; Muldo Prune et Emeraude</t>
        </is>
      </c>
    </row>
    <row r="30587">
      <c r="A30587" t="inlineStr">
        <is>
          <t>Sacri 1bis</t>
        </is>
      </c>
      <c r="B30587">
        <f>HYPERLINK("https://www.dofusbook.net/fr/equipement/1245653-sacri-1bis/objets", "link")</f>
        <v/>
      </c>
      <c r="C30587" t="n">
        <v>0</v>
      </c>
      <c r="D30587" t="inlineStr">
        <is>
          <t>Arc Honte; Collier de la Dame du Hasard; Baguistik; Alliance Gloursonne; Bouclier du Stalak; Ceinture de Kongoku; Boucle d'oreille de Kongoku; Voile d'encre; Pataugastrique; Dokoko; Dolmanax; Bastion majeur; Remueur; Nomade; Fortification majeure; El Scarador</t>
        </is>
      </c>
    </row>
    <row r="30588">
      <c r="A30588" t="inlineStr">
        <is>
          <t>Ougi 1</t>
        </is>
      </c>
      <c r="B30588">
        <f>HYPERLINK("https://www.dofusbook.net/fr/equipement/761983-ougi-1/objets", "link")</f>
        <v/>
      </c>
      <c r="C30588" t="n">
        <v>0</v>
      </c>
      <c r="D30588" t="inlineStr">
        <is>
          <t>Baguette Hique; Collier de la Dame du Hasard; Alliance de Guten Tak; Anneau de la Fuji Givrefoux; Cadran d'Air; Ceinture Séculaire; Coiffe du Glourséleste; Cape de la Dame du Hasard; Pataugastrique; Dokoko; Muraille Air majeure; Remueur; Cuirassé Air majeur; Nomade; Toukancre</t>
        </is>
      </c>
    </row>
    <row r="30589">
      <c r="A30589" t="inlineStr">
        <is>
          <t>Xel 4</t>
        </is>
      </c>
      <c r="B30589">
        <f>HYPERLINK("https://www.dofusbook.net/fr/equipement/722295-xel-4/objets", "link")</f>
        <v/>
      </c>
      <c r="C30589" t="n">
        <v>0</v>
      </c>
      <c r="D30589" t="inlineStr">
        <is>
          <t>Pelle de Katrepat; Collier de la Dame du Hasard; Anneau de Nidas; Alliance Gloursonne; Bouclier Taverne; Pagne du Rykaon; Masque des Fonds marins; Cape de la Dame du Hasard; Pataugastrique; Dolmanax; Dofus Pourpre; Dokoko; Vigoureux majeur; Remueur; Nomade; Kramkram</t>
        </is>
      </c>
    </row>
    <row r="30590">
      <c r="A30590" t="inlineStr">
        <is>
          <t>Xel 3</t>
        </is>
      </c>
      <c r="B30590">
        <f>HYPERLINK("https://www.dofusbook.net/fr/equipement/721282-xel-3/objets", "link")</f>
        <v/>
      </c>
      <c r="C30590" t="n">
        <v>0</v>
      </c>
      <c r="D30590" t="inlineStr">
        <is>
          <t>Pelle de Katrepat; Collier de la Dame du Hasard; Anneau de Padgref; Alliance Gloursonne; Bouclier Taverne; Pagne du Rykaon; Coiffe du Lévitrof; Cape de la Dame du Hasard; Pataugastrique; Dolmanax; Dokoko; Dofus Pourpre; Vigoureux majeur; Remueur; Muldo Doré et Pourpre</t>
        </is>
      </c>
    </row>
    <row r="30591">
      <c r="A30591" t="inlineStr">
        <is>
          <t>Feca 4</t>
        </is>
      </c>
      <c r="B30591">
        <f>HYPERLINK("https://www.dofusbook.net/fr/equipement/700202-feca-4/objets", "link")</f>
        <v/>
      </c>
      <c r="C30591" t="n">
        <v>0</v>
      </c>
      <c r="D30591" t="inlineStr">
        <is>
          <t>Sceptre du Roi Joueur; Amulette de Shokkoth; Alliance Gloursonne; Alliance du Lévitrof; Cadran de Feu; Pagne du Rykaon; Coiffe du Lévitrof; Voile d'encre; Pataugastrique; Dokoko; Dofus Abyssal; Dolmanax; Déserteur majeur; Évasif majeur; Remueur; Muldo Indigo et Pourpre</t>
        </is>
      </c>
    </row>
    <row r="30592">
      <c r="A30592" t="inlineStr">
        <is>
          <t>Stri-Fuji</t>
        </is>
      </c>
      <c r="B30592">
        <f>HYPERLINK("https://www.dofusbook.net/fr/equipement/649497-stri-fuji/objets", "link")</f>
        <v/>
      </c>
      <c r="C30592" t="n">
        <v>0</v>
      </c>
      <c r="D30592" t="inlineStr">
        <is>
          <t>Epée Gloursonne; Amulette du Strigide; Bague Gloursonne; Alliance Gloursonne; Ceinture du Strigide; Coiffe de la Fuji Givrefoux; Cape de la Fuji Givrefoux; Bottes du Strigide; Dofus Ocre; Dofus Turquoise; Dofus Pourpre; Dofus Abyssal; Dofus Émeraude; Dokoko; Kramkram</t>
        </is>
      </c>
    </row>
    <row r="30593">
      <c r="A30593" t="inlineStr">
        <is>
          <t>Full Eau 1Vs1</t>
        </is>
      </c>
      <c r="B30593">
        <f>HYPERLINK("https://www.dofusbook.net/fr/equipement/649261-full-eau-1vs1/objets", "link")</f>
        <v/>
      </c>
      <c r="C30593" t="n">
        <v>0</v>
      </c>
      <c r="D30593" t="inlineStr">
        <is>
          <t>Marteau des Anciens Steamers; Amulette du Strigide; Alliance Gloursonne; Bracelet des Fonds marins; Pagne du Rykaon; Kidibonnet; Cape de Mantaze; Sandales des Fonds marins; Dolmanax; Dofus Émeraude; Dofus Pourpre; Chanceux majeur; Nomade; Remueur; Muldo Doré et Indigo</t>
        </is>
      </c>
    </row>
    <row r="30594">
      <c r="A30594" t="inlineStr">
        <is>
          <t>PvPm Terre/Feu 6</t>
        </is>
      </c>
      <c r="B30594">
        <f>HYPERLINK("https://www.dofusbook.net/fr/equipement/649158-pvpm-terre-feu-6/objets", "link")</f>
        <v/>
      </c>
      <c r="C30594" t="n">
        <v>0</v>
      </c>
      <c r="D30594" t="inlineStr">
        <is>
          <t>Dagues Érhy; Amulette du Strigide; Chevalière du Roi Joueur; Anneau de Nidas; Bouclier cubiste; Ceintacé; Chapeau de Gein; Voile d'encre; Bottes du Roi Joueur; Dofus Pourpre; Dofus Abyssal; Vigoureux majeur; Remueur; Temporiseur majeur; Enragé majeur; Muldo Ebène et Amande</t>
        </is>
      </c>
    </row>
    <row r="30595">
      <c r="A30595" t="inlineStr">
        <is>
          <t>TerreFeuEau 3</t>
        </is>
      </c>
      <c r="B30595">
        <f>HYPERLINK("https://www.dofusbook.net/fr/equipement/648993-terrefeueau-3/objets", "link")</f>
        <v/>
      </c>
      <c r="C30595" t="n">
        <v>0</v>
      </c>
      <c r="D30595" t="inlineStr">
        <is>
          <t>Dagues Érhy; Amulette du Strigide; Anneau de Nidas; Chevalière du Roi Joueur; Bouclier cubiste; Ceinture de Gein; Couronne du Roi Joueur; Voile d'encre; Baleinabottes; Dofus Pourpre; Temporiseur majeur; Nomade; Vigoureux majeur; Remueur; Kramkram</t>
        </is>
      </c>
    </row>
    <row r="30596">
      <c r="A30596" t="inlineStr">
        <is>
          <t>TerreFeuEau 2</t>
        </is>
      </c>
      <c r="B30596">
        <f>HYPERLINK("https://www.dofusbook.net/fr/equipement/648983-terrefeueau-2/objets", "link")</f>
        <v/>
      </c>
      <c r="C30596" t="n">
        <v>0</v>
      </c>
      <c r="D30596" t="inlineStr">
        <is>
          <t>Dagues Érhy; Amulette du Strigide; Alliance Gloursonne; Chevalière du Roi Joueur; Ceintacé; Chapeau de Gein; Voile d'encre; Bottes du Roi Joueur; Dofus Pourpre; Dolmanax; Remueur; Déserteur majeur; Nomade; Kramkram</t>
        </is>
      </c>
    </row>
    <row r="30597">
      <c r="A30597" t="inlineStr">
        <is>
          <t>TerreFeuEau 1</t>
        </is>
      </c>
      <c r="B30597">
        <f>HYPERLINK("https://www.dofusbook.net/fr/equipement/648982-terrefeueau-1/objets", "link")</f>
        <v/>
      </c>
      <c r="C30597" t="n">
        <v>0</v>
      </c>
      <c r="D30597" t="inlineStr">
        <is>
          <t>Dagues Érhy; Amulette du Strigide; Bague Gloursonne; Chevalière du Roi Joueur; Ceintacé; Casque du Chalœil; Voile d'encre; Bottes du Chalœil; Dofus Pourpre; Dolmanax; Déserteur majeur; Remueur; Nomade; Carapace Terre majeur; Kramkram</t>
        </is>
      </c>
    </row>
    <row r="30598">
      <c r="A30598" t="inlineStr">
        <is>
          <t>PvPm 1</t>
        </is>
      </c>
      <c r="B30598">
        <f>HYPERLINK("https://www.dofusbook.net/fr/equipement/648911-pvpm-1/objets", "link")</f>
        <v/>
      </c>
      <c r="C30598" t="n">
        <v>0</v>
      </c>
      <c r="D30598" t="inlineStr">
        <is>
          <t>Rapière aux Glyphes; Talisman Igans; Anneau de Nidas; Alliance Gloursonne; Sangle Ouare; Kidibonnet; Voile d'encre; Bottes Owesli; Dofus Pourpre; Dolmanax; Vigoureux majeur; Remueur; Déserteur majeur; Évasif majeur; Kramkram</t>
        </is>
      </c>
    </row>
    <row r="30599">
      <c r="A30599" t="inlineStr">
        <is>
          <t>Vs Roub 1</t>
        </is>
      </c>
      <c r="B30599">
        <f>HYPERLINK("https://www.dofusbook.net/fr/equipement/648797-vs-roub-1/objets", "link")</f>
        <v/>
      </c>
      <c r="C30599" t="n">
        <v>0</v>
      </c>
      <c r="D30599" t="inlineStr">
        <is>
          <t>Arc de Koutoulou; Amulette de Shokkoth; Alliance Gloursonne; Bracelet des Fonds marins; Sangle Ouare; Masque des Fonds marins; Cape du Barbétoal; Sandales Circulaires du Kimbo; Dolmanax; Dofus Ocre; Évasif majeur; Carapace Eau majeur; Remueur; Déserteur majeur; Kramkram</t>
        </is>
      </c>
    </row>
    <row r="30600">
      <c r="A30600" t="inlineStr">
        <is>
          <t>PvP 1Vs1 - fuite2</t>
        </is>
      </c>
      <c r="B30600">
        <f>HYPERLINK("https://www.dofusbook.net/fr/equipement/648741-pvp-1vs1---fuite2/objets", "link")</f>
        <v/>
      </c>
      <c r="C30600" t="n">
        <v>0</v>
      </c>
      <c r="D30600" t="inlineStr">
        <is>
          <t>Baguette Hique; Amulette Ementaire Deluxe; Pikano; Alliance Gloursonne; Ceintacé; Coiffe du Lévitrof; Voile d'encre; Bottes du Lévitrof; Dokoko; Dofus Pourpre; Dolmanax; Vigoureux majeur; Nomade; Remueur; Kramkram</t>
        </is>
      </c>
    </row>
    <row r="30601">
      <c r="A30601" t="inlineStr">
        <is>
          <t>PvP 1Vs1 - fuite</t>
        </is>
      </c>
      <c r="B30601">
        <f>HYPERLINK("https://www.dofusbook.net/fr/equipement/648650-pvp-1vs1---fuite/objets", "link")</f>
        <v/>
      </c>
      <c r="C30601" t="n">
        <v>0</v>
      </c>
      <c r="D30601" t="inlineStr">
        <is>
          <t>Baguette Hique; Amulette Ementaire Deluxe; Alliance du Lévitrof; Alliance Gloursonne; Ceinture Séculaire; Kidibonnet; Voile d'encre; Bottes du Lévitrof; Dolmanax; Dokoko; Dofus Pourpre; Remueur; Vigoureux majeur; Nomade; Kramkram</t>
        </is>
      </c>
    </row>
    <row r="30602">
      <c r="A30602" t="inlineStr">
        <is>
          <t>Full Terre</t>
        </is>
      </c>
      <c r="B30602">
        <f>HYPERLINK("https://www.dofusbook.net/fr/equipement/648639-full-terre/objets", "link")</f>
        <v/>
      </c>
      <c r="C30602" t="n">
        <v>0</v>
      </c>
      <c r="D30602" t="inlineStr">
        <is>
          <t>Dagues Érhy; Kralamansion; Alliance de Missiz Frizz; Alliance du Lévitrof; Ceinture de Brouce; Casque de Missiz Frizz; Cape au Logis; Baleinabottes; Dofus Turquoise; Dofus Pourpre; Enragé majeur; Vigoureux majeur; Forcené majeur; Remueur; Kramkram</t>
        </is>
      </c>
    </row>
    <row r="30603">
      <c r="A30603" t="inlineStr">
        <is>
          <t>Srambad 1Vs1 4</t>
        </is>
      </c>
      <c r="B30603">
        <f>HYPERLINK("https://www.dofusbook.net/fr/equipement/648557-srambad-1vs1-4/objets", "link")</f>
        <v/>
      </c>
      <c r="C30603" t="n">
        <v>0</v>
      </c>
      <c r="D30603" t="inlineStr">
        <is>
          <t>Dagues de Srambad; Kralamansion; Alliance du Lévitrof; Alliance Gloursonne; Ceinture de la Reine des Voleurs; Coiffe de la Reine des Voleurs; Voile d'encre; Baleinabottes; Dofus Pourpre; Temporiseur majeur; Nomade; Remueur; Carapace Air majeur; Vigoureux majeur; Kramkram</t>
        </is>
      </c>
    </row>
    <row r="30604">
      <c r="A30604" t="inlineStr">
        <is>
          <t>Arc Necro - Res</t>
        </is>
      </c>
      <c r="B30604">
        <f>HYPERLINK("https://www.dofusbook.net/fr/equipement/648470-arc-necro---res/objets", "link")</f>
        <v/>
      </c>
      <c r="C30604" t="n">
        <v>0</v>
      </c>
      <c r="D30604" t="inlineStr">
        <is>
          <t>Arc Nécrotique; Amulette Ementaire Deluxe; Anneau Tique; Alliance Gloursonne; Ceinture de Kongoku; Boucle d'oreille de Kongoku; Voile d'encre; Bottes Owesli; Dokoko; Dolmanax; Dofus Abyssal; Dofus Ocre; Remueur; Muldo Orchidée et Pourpre</t>
        </is>
      </c>
    </row>
    <row r="30605">
      <c r="A30605" t="inlineStr">
        <is>
          <t>Full Eau -Sinistro1</t>
        </is>
      </c>
      <c r="B30605">
        <f>HYPERLINK("https://www.dofusbook.net/fr/equipement/624044-full-eau--sinistro1/objets", "link")</f>
        <v/>
      </c>
      <c r="C30605" t="n">
        <v>0</v>
      </c>
      <c r="D30605" t="inlineStr">
        <is>
          <t>Rapière aux Glyphes; Amulette de Shokkoth; Bracelet des Fonds marins; Alliance Gloursonne; Quatre-feuilles; Sangle Ouare; Kidibonnet; Cape du Sinistrofu; Bottes du Sinistrofu; Dofus Pourpre; Évasif majeur; Chanceux majeur; Vigoureux majeur; Remueur; Déserteur majeur; Kramkram</t>
        </is>
      </c>
    </row>
    <row r="30606">
      <c r="A30606" t="inlineStr">
        <is>
          <t>Full Eau -Sinistro2</t>
        </is>
      </c>
      <c r="B30606">
        <f>HYPERLINK("https://www.dofusbook.net/fr/equipement/648404-full-eau--sinistro2-/objets", "link")</f>
        <v/>
      </c>
      <c r="C30606" t="n">
        <v>0</v>
      </c>
      <c r="D30606" t="inlineStr">
        <is>
          <t>Rapière aux Glyphes; Amulette du Sinistrofu; Alliance Gloursonne; Bracelet du Piloztère; Sangle Ouare; Kidibonnet; Capille; Bottes du Sinistrofu; Dofus Pourpre; Dofus des Glaces; Dofus Turquoise; Vigoureux majeur; Remueur; Chanceux majeur; Kramkram</t>
        </is>
      </c>
    </row>
    <row r="30607">
      <c r="A30607" t="inlineStr">
        <is>
          <t>Classique 1Vs1 8 inv</t>
        </is>
      </c>
      <c r="B30607">
        <f>HYPERLINK("https://www.dofusbook.net/fr/equipement/648267-classique-1vs1-8-inv/objets", "link")</f>
        <v/>
      </c>
      <c r="C30607" t="n">
        <v>0</v>
      </c>
      <c r="D30607" t="inlineStr">
        <is>
          <t>Baguette Hique; Amulette Ementaire Deluxe; Alliance du Lévitrof; Alliance Gloursonne; Sangle Ouare; Coiffe du Lévitrof; Voile d'encre; Bottes Owesli; Dokoko; Dofus Ocre; Dolmanax; Dofus Pourpre; Remueur; Vigoureux majeur; Kramkram</t>
        </is>
      </c>
    </row>
    <row r="30608">
      <c r="A30608" t="inlineStr">
        <is>
          <t>Sadi 2 - Multi</t>
        </is>
      </c>
      <c r="B30608">
        <f>HYPERLINK("https://www.dofusbook.net/fr/equipement/648149-sadi-2---multi/objets", "link")</f>
        <v/>
      </c>
      <c r="C30608" t="n">
        <v>0</v>
      </c>
      <c r="D30608" t="inlineStr">
        <is>
          <t>Bâton Beau; Amulette Ementaire Deluxe; Alliance du Lévitrof; Alliance Gloursonne; Ceintacé; Coiffe du Glourséleste; Capille; Bottes du Lévitrof; Dofus Pourpre; Dolmanax; Dokoko; Nomade; Remueur; Vigoureux majeur; Kramkram</t>
        </is>
      </c>
    </row>
    <row r="30609">
      <c r="A30609" t="inlineStr">
        <is>
          <t>Xel 2</t>
        </is>
      </c>
      <c r="B30609">
        <f>HYPERLINK("https://www.dofusbook.net/fr/equipement/648142-xel-2/objets", "link")</f>
        <v/>
      </c>
      <c r="C30609" t="n">
        <v>0</v>
      </c>
      <c r="D30609" t="inlineStr">
        <is>
          <t>Masse Ossiale; Amulette du Strigide; Alliance Gloursonne; Bracelet du Piloztère; Sangle Ouare; Couronne de Nidas; Capille; Pataugastrique; Dokoko; Dofus Pourpre; Chanceux majeur; Évasif majeur; Vigoureux majeur; Remueur; Croum</t>
        </is>
      </c>
    </row>
    <row r="30610">
      <c r="A30610" t="inlineStr">
        <is>
          <t>Chaloeil</t>
        </is>
      </c>
      <c r="B30610">
        <f>HYPERLINK("https://www.dofusbook.net/fr/equipement/648089-chaloeil/objets", "link")</f>
        <v/>
      </c>
      <c r="C30610" t="n">
        <v>0</v>
      </c>
      <c r="D30610" t="inlineStr">
        <is>
          <t>Hache du Chalœil; Amulette Ementaire Deluxe; Alliance Gloursonne; Alliance du Lévitrof; Ceintacé; Chapeau de Gein; Voile d'encre; Bottes du Lévitrof; Dofus Pourpre; Dolmanax; Remueur; Nomade; Vigoureux majeur; Kramkram</t>
        </is>
      </c>
    </row>
    <row r="30611">
      <c r="A30611" t="inlineStr">
        <is>
          <t>PvP 1Vs1 - Egares</t>
        </is>
      </c>
      <c r="B30611">
        <f>HYPERLINK("https://www.dofusbook.net/fr/equipement/648005-pvp-1vs1---egares/objets", "link")</f>
        <v/>
      </c>
      <c r="C30611" t="n">
        <v>0</v>
      </c>
      <c r="D30611" t="inlineStr">
        <is>
          <t>Marteau des égarés; Amulette Ementaire Deluxe; Alliance Gloursonne; Alliance du Lévitrof; Ceinture de la Reine des Voleurs; Coiffe de la Reine des Voleurs; Voile d'encre; Baleinabottes; Dofus des Glaces; Dofus Pourpre; Dolmanax; Remueur; Nomade; Kramkram</t>
        </is>
      </c>
    </row>
    <row r="30612">
      <c r="A30612" t="inlineStr">
        <is>
          <t>Classique -PvP 1Vs1</t>
        </is>
      </c>
      <c r="B30612">
        <f>HYPERLINK("https://www.dofusbook.net/fr/equipement/647995-classique--pvp-1vs1-/objets", "link")</f>
        <v/>
      </c>
      <c r="C30612" t="n">
        <v>0</v>
      </c>
      <c r="D30612" t="inlineStr">
        <is>
          <t>Baguette Hique; Amulette Ementaire Deluxe; Alliance Gloursonne; Anneau Cryochrone; Sangle Ouare; Coiffe Cryochrone; Voile d'encre; Pataugastrique; Dokoko; Dofus Pourpre; Dolmanax; Dofus Émeraude; Remueur; Vigoureux majeur; Kramkram</t>
        </is>
      </c>
    </row>
    <row r="30613">
      <c r="A30613" t="inlineStr">
        <is>
          <t>Sacri 2</t>
        </is>
      </c>
      <c r="B30613">
        <f>HYPERLINK("https://www.dofusbook.net/fr/equipement/647940-sacri-2/objets", "link")</f>
        <v/>
      </c>
      <c r="C30613" t="n">
        <v>0</v>
      </c>
      <c r="D30613" t="inlineStr">
        <is>
          <t>Arc Honte; Amulette du Cycloïde; Alliance Gloursonne; Alliance du Lévitrof; Pagne du Rykaon; Coiffe du Lévitrof; Voile d'encre; Pataugastrique; Dolmanax; Dokoko; Dofus Pourpre; Temporiseur majeur; Nomade; Remueur; Kramkram</t>
        </is>
      </c>
    </row>
    <row r="30614">
      <c r="A30614" t="inlineStr">
        <is>
          <t>Sacri 1</t>
        </is>
      </c>
      <c r="B30614">
        <f>HYPERLINK("https://www.dofusbook.net/fr/equipement/647932-sacri-1/objets", "link")</f>
        <v/>
      </c>
      <c r="C30614" t="n">
        <v>0</v>
      </c>
      <c r="D30614" t="inlineStr">
        <is>
          <t>Arc Honte; Collier de la Dame du Hasard; Bracelet du Piloztère; Alliance Gloursonne; Carapar; Ceintacé; Boucle d'oreille de Kongoku; Capille; Bottes de la Dame du Hasard; Dofus Pourpre; Dolmanax; Dokoko; Nomade; Vigoureux majeur; Remueur; Kramkram</t>
        </is>
      </c>
    </row>
    <row r="30615">
      <c r="A30615" t="inlineStr">
        <is>
          <t>Xel 1</t>
        </is>
      </c>
      <c r="B30615">
        <f>HYPERLINK("https://www.dofusbook.net/fr/equipement/647908-xel-1/objets", "link")</f>
        <v/>
      </c>
      <c r="C30615" t="n">
        <v>0</v>
      </c>
      <c r="D30615" t="inlineStr">
        <is>
          <t>Masse Ossiale; Amulette du Strigide; Alliance Gloursonne; Anneau Cryochrone; Bouclier Taverne; Sangle Ouare; Coiffe Cryochrone; Capille; Pataugastrique; Dolmanax; Dofus Pourpre; Dokoko; Chanceux majeur; Remueur; Vigoureux majeur; Kramkram</t>
        </is>
      </c>
    </row>
    <row r="30616">
      <c r="A30616" t="inlineStr">
        <is>
          <t>Iop 3</t>
        </is>
      </c>
      <c r="B30616">
        <f>HYPERLINK("https://www.dofusbook.net/fr/equipement/647852-iop-3/objets", "link")</f>
        <v/>
      </c>
      <c r="C30616" t="n">
        <v>0</v>
      </c>
      <c r="D30616" t="inlineStr">
        <is>
          <t>Sceptre du Roi Joueur; Talisman Igans; Bracelet des Fonds marins; Alliance Gloursonne; Sangle Ouare; Kidibonnet; Cape de la Dame du Hasard; Bottes Owesli; Dokoko; Dofus Pourpre; Temporiseur majeur; Remueur; Carapace Feu majeur; Kramkram</t>
        </is>
      </c>
    </row>
    <row r="30617">
      <c r="A30617" t="inlineStr">
        <is>
          <t>Iop 2</t>
        </is>
      </c>
      <c r="B30617">
        <f>HYPERLINK("https://www.dofusbook.net/fr/equipement/647847-iop-2/objets", "link")</f>
        <v/>
      </c>
      <c r="C30617" t="n">
        <v>0</v>
      </c>
      <c r="D30617" t="inlineStr">
        <is>
          <t>Sceptre du Roi Joueur; Talisman Igans; Pikano; Alliance Gloursonne; Ceinture du Barbétoal; Kidibonnet; Voile d'encre; Bottes Owesli; Dofus Pourpre; Dokoko; Dofus Abyssal; Nomade; Remueur; Temporiseur majeur; Kramkram</t>
        </is>
      </c>
    </row>
    <row r="30618">
      <c r="A30618" t="inlineStr">
        <is>
          <t>Feca 1</t>
        </is>
      </c>
      <c r="B30618">
        <f>HYPERLINK("https://www.dofusbook.net/fr/equipement/647744-feca-1/objets", "link")</f>
        <v/>
      </c>
      <c r="C30618" t="n">
        <v>0</v>
      </c>
      <c r="D30618" t="inlineStr">
        <is>
          <t>Baguette Hique; Amulette Ementaire Deluxe; Alliance Gloursonne; Alliance du Lévitrof; Slip du Roi de Bonta; Coiffe du Lévitrof; Capchalot; Tongues de Nidas; Dolmanax; Dokoko; Déserteur majeur; Évasif majeur; Remueur; Nomade; Kramkram</t>
        </is>
      </c>
    </row>
    <row r="30619">
      <c r="A30619" t="inlineStr">
        <is>
          <t>Arc Honte</t>
        </is>
      </c>
      <c r="B30619">
        <f>HYPERLINK("https://www.dofusbook.net/fr/equipement/647750-arc-honte/objets", "link")</f>
        <v/>
      </c>
      <c r="C30619" t="n">
        <v>0</v>
      </c>
      <c r="D30619" t="inlineStr">
        <is>
          <t>Arc Honte; Amulette Ementaire Deluxe; Alliance du Lévitrof; Alliance Gloursonne; Protopagne; Casqnoar; Cape de la Dame du Hasard; Bottes de la Dame du Hasard; Dolmanax; Dofus Pourpre; Dofus Ocre; Vigoureux majeur; Temporiseur majeur; Remueur; Kramkram</t>
        </is>
      </c>
    </row>
    <row r="30620">
      <c r="A30620" t="inlineStr">
        <is>
          <t>PvPm Terre/Feu 5</t>
        </is>
      </c>
      <c r="B30620">
        <f>HYPERLINK("https://www.dofusbook.net/fr/equipement/624356-pvpm-terre-feu-5/objets", "link")</f>
        <v/>
      </c>
      <c r="C30620" t="n">
        <v>0</v>
      </c>
      <c r="D30620" t="inlineStr">
        <is>
          <t>Dagues Érhy; Kralamansion; Anneau de Nidas; Bague Gloursonne; Ceinture de Gein; Chapeau de Gein; Voile d'encre; Sabots Minables; Dolmanax; Dofus Pourpre; Nomade; Vigoureux majeur; Carapace Terre majeur; Remueur; Kramkram</t>
        </is>
      </c>
    </row>
    <row r="30621">
      <c r="A30621" t="inlineStr">
        <is>
          <t>PvPm Terre/Feu 4 RES</t>
        </is>
      </c>
      <c r="B30621">
        <f>HYPERLINK("https://www.dofusbook.net/fr/equipement/624351-pvpm-terre-feu-4-res/objets", "link")</f>
        <v/>
      </c>
      <c r="C30621" t="n">
        <v>0</v>
      </c>
      <c r="D30621" t="inlineStr">
        <is>
          <t>Dagues Érhy; Amulette de Gein; Alliance Gloursonne; Anneau de Nidas; Ceinture de Gein; Casque Dragoeuf; Voile d'encre; Pataugastrique; Dolmanax; Dofus Pourpre; Nomade; Vigoureux majeur; Remueur; Kramkram</t>
        </is>
      </c>
    </row>
    <row r="30622">
      <c r="A30622" t="inlineStr">
        <is>
          <t>PvPm Terre/Feu 3</t>
        </is>
      </c>
      <c r="B30622">
        <f>HYPERLINK("https://www.dofusbook.net/fr/equipement/624347-pvpm-terre-feu-3/objets", "link")</f>
        <v/>
      </c>
      <c r="C30622" t="n">
        <v>0</v>
      </c>
      <c r="D30622" t="inlineStr">
        <is>
          <t>Dagues Érhy; Amulette du Strigide; Bracelet du Piloztère; Chevalière du Roi Joueur; Ceinture de Gein; Chapeau de Gein; Voile d'encre; Sabots Minables; Dolmanax; Dofus Pourpre; Nomade; Vigoureux majeur; Carapace Terre majeur; Remueur; Kramkram</t>
        </is>
      </c>
    </row>
    <row r="30623">
      <c r="A30623" t="inlineStr">
        <is>
          <t>PvPm 7 - Arc Honte</t>
        </is>
      </c>
      <c r="B30623">
        <f>HYPERLINK("https://www.dofusbook.net/fr/equipement/624337-pvpm-7---arc-honte/objets", "link")</f>
        <v/>
      </c>
      <c r="C30623" t="n">
        <v>0</v>
      </c>
      <c r="D30623" t="inlineStr">
        <is>
          <t>Arc Honte; Talisman Igans; Anneau de Nidas; Alliance Gloursonne; Ceintrigue; Casqnoar; Voile d'encre; Pataugastrique; Dofus Pourpre; Dofus des Glaces; Nomade; Remueur; Déserteur majeur; Vigoureux majeur; Kramkram</t>
        </is>
      </c>
    </row>
    <row r="30624">
      <c r="A30624" t="inlineStr">
        <is>
          <t>Full Feu</t>
        </is>
      </c>
      <c r="B30624">
        <f>HYPERLINK("https://www.dofusbook.net/fr/equipement/624327-full-feu/objets", "link")</f>
        <v/>
      </c>
      <c r="C30624" t="n">
        <v>0</v>
      </c>
      <c r="D30624" t="inlineStr">
        <is>
          <t>Plumeau Bil; Amulette Séculaire; Alliance Gloursonne; Anneau Tique; Ceinture Séculaire; Couronne de Nidas; Voile d'encre; Pataugastrique; Dofus Pourpre; Dolmanax; Nomade; Érudit majeur; Remueur; Temporiseur majeur; Kramkram</t>
        </is>
      </c>
    </row>
    <row r="30625">
      <c r="A30625" t="inlineStr">
        <is>
          <t>PvPm Terre/Feu 2</t>
        </is>
      </c>
      <c r="B30625">
        <f>HYPERLINK("https://www.dofusbook.net/fr/equipement/624310-pvpm-terre-feu-2/objets", "link")</f>
        <v/>
      </c>
      <c r="C30625" t="n">
        <v>0</v>
      </c>
      <c r="D30625" t="inlineStr">
        <is>
          <t>Dagues Érhy; Amulette du Strigide; Chevalière du Roi Joueur; Bague Gloursonne; Quatre-feuilles; Ceinture de Gein; Chapeau de Gein; Voile d'encre; Baleinabottes; Dolmanax; Dofus des Glaces; Dofus Pourpre; Vigoureux majeur; Nomade; Remueur; Kramkram</t>
        </is>
      </c>
    </row>
    <row r="30626">
      <c r="A30626" t="inlineStr">
        <is>
          <t>PvPm Terre/Feu</t>
        </is>
      </c>
      <c r="B30626">
        <f>HYPERLINK("https://www.dofusbook.net/fr/equipement/624300-pvpm-terre-feu/objets", "link")</f>
        <v/>
      </c>
      <c r="C30626" t="n">
        <v>0</v>
      </c>
      <c r="D30626" t="inlineStr">
        <is>
          <t>Dagues Érhy; Amulette du Strigide; Bague Gloursonne; Anneau Chevelu; Ceintacé; Chapeau de Gein; Voile d'encre; Bottes du Strigide; Dolmanax; Dofus Turquoise; Dofus Pourpre; Remueur; Vigoureux majeur; Nomade; Kramkram</t>
        </is>
      </c>
    </row>
    <row r="30627">
      <c r="A30627" t="inlineStr">
        <is>
          <t>Esquive PA 5 -TerFeu</t>
        </is>
      </c>
      <c r="B30627">
        <f>HYPERLINK("https://www.dofusbook.net/fr/equipement/624255-esquive-pa-5--terfeu/objets", "link")</f>
        <v/>
      </c>
      <c r="C30627" t="n">
        <v>0</v>
      </c>
      <c r="D30627" t="inlineStr">
        <is>
          <t>Hache Téroïde; Amulette du Strigide; Anneau de Nidas; Bracelet du Piloztère; Protopagne; Bonnet Ko; Voile d'encre; Pantoufles du Piloztère; Dolmanax; Déserteur majeur; Remueur; Évasif majeur; Nomade; Kramkram</t>
        </is>
      </c>
    </row>
    <row r="30628">
      <c r="A30628" t="inlineStr">
        <is>
          <t>Esquive PA 4 - Eau</t>
        </is>
      </c>
      <c r="B30628">
        <f>HYPERLINK("https://www.dofusbook.net/fr/equipement/624249-esquive-pa-4---eau/objets", "link")</f>
        <v/>
      </c>
      <c r="C30628" t="n">
        <v>0</v>
      </c>
      <c r="D30628" t="inlineStr">
        <is>
          <t>Rapière aux Glyphes; Amulette de Shokkoth; Alliance Gloursonne; Bracelet des Fonds marins; Sangle Ouare; Masque des Fonds marins; Capchalot; Pantoufles du Piloztère; Remueur; Carapace Air majeur; Imprenable majeur; Évasif majeur; Chanceux majeur; Déserteur majeur; El Scarador</t>
        </is>
      </c>
    </row>
    <row r="30629">
      <c r="A30629" t="inlineStr">
        <is>
          <t>Esquive PA 1</t>
        </is>
      </c>
      <c r="B30629">
        <f>HYPERLINK("https://www.dofusbook.net/fr/equipement/624239-esquive-pa-1/objets", "link")</f>
        <v/>
      </c>
      <c r="C30629" t="n">
        <v>0</v>
      </c>
      <c r="D30629" t="inlineStr">
        <is>
          <t>Rapière aux Glyphes; Kralamansion; Anneau de Nidas; Alliance Gloursonne; Poulpagne; Casquette de Meno; Voile d'encre; Bottes de Meno; Dofus Pourpre; Dolmanax; Évasif majeur; Nomade; Déserteur majeur; Remueur; Kramkram</t>
        </is>
      </c>
    </row>
    <row r="30630">
      <c r="A30630" t="inlineStr">
        <is>
          <t>PvPm 3</t>
        </is>
      </c>
      <c r="B30630">
        <f>HYPERLINK("https://www.dofusbook.net/fr/equipement/623338-pvpm-3/objets", "link")</f>
        <v/>
      </c>
      <c r="C30630" t="n">
        <v>0</v>
      </c>
      <c r="D30630" t="inlineStr">
        <is>
          <t>Rapière aux Glyphes; Talisman Igans; Anneau Tique; Alliance Gloursonne; Sangle Ouare; Kidibonnet; Capille; Bottes Owesli; Dofus des Glaces; Dolmanax; Dofus Pourpre; Déserteur majeur; Vigoureux majeur; Remueur; Kramkram</t>
        </is>
      </c>
    </row>
    <row r="30631">
      <c r="A30631" t="inlineStr">
        <is>
          <t>PvPm 2</t>
        </is>
      </c>
      <c r="B30631">
        <f>HYPERLINK("https://www.dofusbook.net/fr/equipement/623244-pvpm-2/objets", "link")</f>
        <v/>
      </c>
      <c r="C30631" t="n">
        <v>0</v>
      </c>
      <c r="D30631" t="inlineStr">
        <is>
          <t>Rapière aux Glyphes; Talisman Igans; Anneau de Nidas; Alliance Gloursonne; Sangle Ouare; Chapeau Lisson; Voile d'encre; Bottes Owesli; Dofus Ocre; Dofus Pourpre; Dolmanax; Temporiseur majeur; Vigoureux majeur; Remueur; Kramkram</t>
        </is>
      </c>
    </row>
    <row r="30632">
      <c r="A30632" t="inlineStr">
        <is>
          <t>PvPm 4</t>
        </is>
      </c>
      <c r="B30632">
        <f>HYPERLINK("https://www.dofusbook.net/fr/equipement/275410-pvpm-4/objets", "link")</f>
        <v/>
      </c>
      <c r="C30632" t="n">
        <v>0</v>
      </c>
      <c r="D30632" t="inlineStr">
        <is>
          <t>Baguette Hique; Talisman Igans; Alliance Gloursonne; Bracelet du Piloztère; Sangle Ouare; Casqnoar; Voile d'encre; Bottes Owesli; Dofus des Glaces; Dofus Pourpre; Dofus Ocre; Vigoureux majeur; Remueur; Déserteur majeur; Kramkram</t>
        </is>
      </c>
    </row>
    <row r="30633">
      <c r="A30633" t="inlineStr">
        <is>
          <t>PvPm 5 - Arc Necro</t>
        </is>
      </c>
      <c r="B30633">
        <f>HYPERLINK("https://www.dofusbook.net/fr/equipement/624161-pvpm-5---arc-necro-/objets", "link")</f>
        <v/>
      </c>
      <c r="C30633" t="n">
        <v>0</v>
      </c>
      <c r="D30633" t="inlineStr">
        <is>
          <t>Arc Nécrotique; Talisman Igans; Alliance Gloursonne; Bracelet du Piloztère; Sangle Ouare; Chapeau Lisson; Voile d'encre; Bottes Owesli; Dofus Ocre; Dofus des Glaces; Vigoureux majeur; Remueur; Évasif majeur; Déserteur majeur; Kramkram</t>
        </is>
      </c>
    </row>
    <row r="30634">
      <c r="A30634" t="inlineStr">
        <is>
          <t>PvPm 6 - Arc Honte</t>
        </is>
      </c>
      <c r="B30634">
        <f>HYPERLINK("https://www.dofusbook.net/fr/equipement/624168-pvpm-6---arc-honte/objets", "link")</f>
        <v/>
      </c>
      <c r="C30634" t="n">
        <v>0</v>
      </c>
      <c r="D30634" t="inlineStr">
        <is>
          <t>Arc Honte; Talisman Igans; Anneau de Nidas; Alliance Gloursonne; Sangle Ouare; Kidibonnet; Voile d'encre; Bottes Owesli; Dolmanax; Vigoureux majeur; Temporiseur majeur; Remueur; Déserteur majeur; Évasif majeur; Kramkram</t>
        </is>
      </c>
    </row>
    <row r="30635">
      <c r="A30635" t="inlineStr">
        <is>
          <t>Hetype 12-6</t>
        </is>
      </c>
      <c r="B30635">
        <f>HYPERLINK("https://www.dofusbook.net/fr/equipement/624126-hetype-12-6/objets", "link")</f>
        <v/>
      </c>
      <c r="C30635" t="n">
        <v>0</v>
      </c>
      <c r="D30635" t="inlineStr">
        <is>
          <t>Arc Hétype; Talisman Igans; Alliance du Lévitrof; Anneau Tique; Ceinture Séculaire; Couronne de Nidas; Voile d'encre; Bottes Owesli; Dofus Ocre; Érudit majeur; Remueur; Carapace Feu majeur; Nomade; Savant majeur; Kwaltess</t>
        </is>
      </c>
    </row>
    <row r="30636">
      <c r="A30636" t="inlineStr">
        <is>
          <t>Hetype 11-6</t>
        </is>
      </c>
      <c r="B30636">
        <f>HYPERLINK("https://www.dofusbook.net/fr/equipement/624084-hetype-11-6/objets", "link")</f>
        <v/>
      </c>
      <c r="C30636" t="n">
        <v>0</v>
      </c>
      <c r="D30636" t="inlineStr">
        <is>
          <t>Arc Hétype; Talisman Igans; Alliance du Lévitrof; Anneau Tique; Protopagne; Couronne de Nidas; Voile d'encre; Bottes Owesli; Dofus Ocre; Dofus Turquoise; Savant majeur; Érudit majeur; Remueur; Carapace Feu majeur; Brûlih</t>
        </is>
      </c>
    </row>
    <row r="30637">
      <c r="A30637" t="inlineStr">
        <is>
          <t>Full EAU -Esquive PA</t>
        </is>
      </c>
      <c r="B30637">
        <f>HYPERLINK("https://www.dofusbook.net/fr/equipement/624052-full-eau--esquive-pa/objets", "link")</f>
        <v/>
      </c>
      <c r="C30637" t="n">
        <v>0</v>
      </c>
      <c r="D30637" t="inlineStr">
        <is>
          <t>Rapière aux Glyphes; Amulette de Shokkoth; Alliance Gloursonne; Bracelet des Fonds marins; Sangle Ouare; Masque des Fonds marins; Capchalot; Pantoufles du Piloztère; Dolmanax; Remueur; Vigoureux majeur; Évasif majeur; Déserteur majeur; Chanceux majeur; Kramkram</t>
        </is>
      </c>
    </row>
    <row r="30638">
      <c r="A30638" t="inlineStr">
        <is>
          <t>Eau Crit</t>
        </is>
      </c>
      <c r="B30638">
        <f>HYPERLINK("https://www.dofusbook.net/fr/equipement/623970-eau-crit/objets", "link")</f>
        <v/>
      </c>
      <c r="C30638" t="n">
        <v>0</v>
      </c>
      <c r="D30638" t="inlineStr">
        <is>
          <t>Rapière aux Glyphes; Amulette du Strigide; Bracelet du Piloztère; Alliance Gloursonne; Quatre-feuilles; Ceinture du Strigide; Boucle d'oreille de Kongoku; Cape de la Dame du Hasard; Pataugastrique; Dofus Pourpre; Dofus Turquoise; Dolmanax; Remueur; Chanceux majeur; Vigoureux majeur; Muldo Prune et Emeraude</t>
        </is>
      </c>
    </row>
    <row r="30639">
      <c r="A30639" t="inlineStr">
        <is>
          <t>Esquive PA 3</t>
        </is>
      </c>
      <c r="B30639">
        <f>HYPERLINK("https://www.dofusbook.net/fr/equipement/623957-esquive-pa-3/objets", "link")</f>
        <v/>
      </c>
      <c r="C30639" t="n">
        <v>0</v>
      </c>
      <c r="D30639" t="inlineStr">
        <is>
          <t>Rapière aux Glyphes; Amulette du Strigide; Alliance du Lévitrof; Pikano; Ceinture de la Reine des Voleurs; Coiffe de la Reine des Voleurs; Voile d'encre; Pantoufles du Piloztère; Dofus Pourpre; Dofus des Glaces; Dofus Ocre; Nomade; Évasif majeur; Remueur; Kramkram</t>
        </is>
      </c>
    </row>
    <row r="30640">
      <c r="A30640" t="inlineStr">
        <is>
          <t>Rox Stri 1</t>
        </is>
      </c>
      <c r="B30640">
        <f>HYPERLINK("https://www.dofusbook.net/fr/equipement/623919-rox-stri-1/objets", "link")</f>
        <v/>
      </c>
      <c r="C30640" t="n">
        <v>0</v>
      </c>
      <c r="D30640" t="inlineStr">
        <is>
          <t>Dagues Érhy; Amulette du Strigide; Alliance Gloursonne; Bracelet du Piloztère; Ceinture du Strigide; Chapeau de Gein; Voile d'encre; Baleinabottes; Dofus des Glaces; Dofus Pourpre; Remueur; Vigoureux majeur; Nomade; Kramkram</t>
        </is>
      </c>
    </row>
    <row r="30641">
      <c r="A30641" t="inlineStr">
        <is>
          <t>PvP 1Vs1</t>
        </is>
      </c>
      <c r="B30641">
        <f>HYPERLINK("https://www.dofusbook.net/fr/equipement/623813-pvp-1vs1-/objets", "link")</f>
        <v/>
      </c>
      <c r="C30641" t="n">
        <v>0</v>
      </c>
      <c r="D30641" t="inlineStr">
        <is>
          <t>Baguette Hique; Amulette Ementaire Deluxe; Alliance Gloursonne; Anneau Cryochrone; Sangle Ouare; Coiffe Cryochrone; Voile d'encre; Pataugastrique; Dokoko; Dofus Pourpre; Dolmanax; Dofus Émeraude; Remueur; Vigoureux majeur; Kramkram</t>
        </is>
      </c>
    </row>
    <row r="30642">
      <c r="A30642" t="inlineStr">
        <is>
          <t>Anneau classe</t>
        </is>
      </c>
      <c r="B30642">
        <f>HYPERLINK("https://www.dofusbook.net/fr/equipement/623771-anneau-classe/objets", "link")</f>
        <v/>
      </c>
      <c r="C30642" t="n">
        <v>0</v>
      </c>
      <c r="D30642" t="inlineStr">
        <is>
          <t>Dagues Érhy; Amulette de Gein; Anneau de Nidas; Anneau Pwal; Ceinture de Gein; Couronne du Roi Joueur; Voile d'encre; Baleinabottes; Dofus Pourpre; Évasif majeur; Temporiseur majeur; Nomade; Vigoureux majeur; Remueur; El Scarador</t>
        </is>
      </c>
    </row>
    <row r="30643">
      <c r="A30643" t="inlineStr">
        <is>
          <t>Cape classe 3</t>
        </is>
      </c>
      <c r="B30643">
        <f>HYPERLINK("https://www.dofusbook.net/fr/equipement/623638-cape-classe-3/objets", "link")</f>
        <v/>
      </c>
      <c r="C30643" t="n">
        <v>1</v>
      </c>
      <c r="D30643" t="inlineStr">
        <is>
          <t>Arc Honte; Talisman Igans; Anneau Tique; Alliance Gloursonne; Sangle Ouare; Masque des Fonds marins; Cape Hitton; Bottes Owesli; Dolmanax; Dofus Ocre; Évasif majeur; Temporiseur majeur; Remueur; Chanceux majeur; Kramkram</t>
        </is>
      </c>
    </row>
    <row r="30644">
      <c r="A30644" t="inlineStr">
        <is>
          <t>Cape classe</t>
        </is>
      </c>
      <c r="B30644">
        <f>HYPERLINK("https://www.dofusbook.net/fr/equipement/623744-cape-classe/objets", "link")</f>
        <v/>
      </c>
      <c r="C30644" t="n">
        <v>0</v>
      </c>
      <c r="D30644" t="inlineStr">
        <is>
          <t>Rapière aux Glyphes; Amulette de Shokkoth; Anneau de Nidas; Alliance Gloursonne; Sangle Ouare; Kidibonnet; Cape Hitton; Bottes de Meno; Dolmanax; Dofus Pourpre; Vigoureux majeur; Remueur; Évasif majeur; El Scarador</t>
        </is>
      </c>
    </row>
    <row r="30645">
      <c r="A30645" t="inlineStr">
        <is>
          <t>Cape classe 2</t>
        </is>
      </c>
      <c r="B30645">
        <f>HYPERLINK("https://www.dofusbook.net/fr/equipement/623704-cape-classe-2/objets", "link")</f>
        <v/>
      </c>
      <c r="C30645" t="n">
        <v>0</v>
      </c>
      <c r="D30645" t="inlineStr">
        <is>
          <t>Sceptre du Roi Joueur; Talisman Igans; Anneau Tique; Alliance Gloursonne; Sangle Ouare; Kidibonnet; Cape Hitton; Bottes Owesli; Dolmanax; Dofus Pourpre; Évasif majeur; Temporiseur majeur; Remueur; Vigoureux majeur; Kramkram</t>
        </is>
      </c>
    </row>
    <row r="30646">
      <c r="A30646" t="inlineStr">
        <is>
          <t>Multi Necrotique</t>
        </is>
      </c>
      <c r="B30646">
        <f>HYPERLINK("https://www.dofusbook.net/fr/equipement/623461-multi-necrotique/objets", "link")</f>
        <v/>
      </c>
      <c r="C30646" t="n">
        <v>0</v>
      </c>
      <c r="D30646" t="inlineStr">
        <is>
          <t>Arc Nécrotique; Amulette Ementaire Deluxe; Alliance du Lévitrof; Alliance Gloursonne; Ceintacé; Coiffe du Glourséleste; Capille; Bottes du Lévitrof; Dokoko; Dofus Pourpre; Dolmanax; Nomade; Remueur; Vigoureux majeur; Kramkram</t>
        </is>
      </c>
    </row>
    <row r="30647">
      <c r="A30647" t="inlineStr">
        <is>
          <t>Esquive PA 2</t>
        </is>
      </c>
      <c r="B30647">
        <f>HYPERLINK("https://www.dofusbook.net/fr/equipement/623361-esquive-pa-2/objets", "link")</f>
        <v/>
      </c>
      <c r="C30647" t="n">
        <v>0</v>
      </c>
      <c r="D30647" t="inlineStr">
        <is>
          <t>Hache Téroïde; Amulette Cryochrone; Alliance Gloursonne; Anneau Cryochrone; Quatre-feuilles; Sangle Ouare; Kidibonnet; Voile d'encre; Pantoufles du Piloztère; Dolmanax; Temporiseur majeur; Déserteur majeur; Remueur; Évasif majeur; Carapace Terre majeur; Kramkram</t>
        </is>
      </c>
    </row>
    <row r="30648">
      <c r="A30648" t="inlineStr">
        <is>
          <t>Multi</t>
        </is>
      </c>
      <c r="B30648">
        <f>HYPERLINK("https://www.dofusbook.net/fr/equipement/598415-multi/objets", "link")</f>
        <v/>
      </c>
      <c r="C30648" t="n">
        <v>0</v>
      </c>
      <c r="D30648" t="inlineStr">
        <is>
          <t>Dagues Érhy; Amulette du Strigide; Bracelet du Piloztère; Bague Gloursonne; Ceinture de Gein; Chapeau de Gein; Voile d'encre; Baleinabottes; Dofus Turquoise; Dofus Pourpre; Dofus des Glaces; Nomade; Vigoureux majeur; Remueur; Kramkram</t>
        </is>
      </c>
    </row>
    <row r="30649">
      <c r="A30649" t="inlineStr">
        <is>
          <t>Feu/Terre Hetype bis</t>
        </is>
      </c>
      <c r="B30649">
        <f>HYPERLINK("https://www.dofusbook.net/fr/equipement/275485-feu-terre-hetype-bis/objets", "link")</f>
        <v/>
      </c>
      <c r="C30649" t="n">
        <v>0</v>
      </c>
      <c r="D30649" t="inlineStr">
        <is>
          <t>Arc Hétype; Amulette Séculaire; Anneau Tique; Anneau de Nidas; Ceinture de Gein; Coiffe Séculaire; Voile d'encre; Pataugastrique; Dofus Pourpre; Nomade; Vigoureux majeur; Remueur; Érudit majeur; Kramkram</t>
        </is>
      </c>
    </row>
    <row r="30650">
      <c r="A30650" t="inlineStr">
        <is>
          <t>Feu / Terre Hetype</t>
        </is>
      </c>
      <c r="B30650">
        <f>HYPERLINK("https://www.dofusbook.net/fr/equipement/275484-feu---terre-hetype/objets", "link")</f>
        <v/>
      </c>
      <c r="C30650" t="n">
        <v>0</v>
      </c>
      <c r="D30650" t="inlineStr">
        <is>
          <t>Arc Hétype; Amulette de Nileza; Anneau Tique; Bague Gloursonne; Ceinture de Gein; Chapeau de Gein; Voile d'encre; Pataugastrique; Dofus Pourpre; Vigoureux majeur; Remueur; Érudit majeur; Nomade; Kramkram</t>
        </is>
      </c>
    </row>
    <row r="30651">
      <c r="A30651" t="inlineStr">
        <is>
          <t>PvM BL</t>
        </is>
      </c>
      <c r="B30651">
        <f>HYPERLINK("https://www.dofusbook.net/fr/equipement/275584-pvm-bl/objets", "link")</f>
        <v/>
      </c>
      <c r="C30651" t="n">
        <v>0</v>
      </c>
      <c r="D30651" t="inlineStr">
        <is>
          <t>Bâton Brelle; Racine Hueuse; Anneau Colerette; Anneau de XLII; Ceinture Rasboulaire du Rasboul; Chapignon; Cape d'Ogivol; Bottes d'Allister; Dofus Ocre; Vigoureux majeur; Nomade; Miraculé majeur; Remueur; Cascadeur majeur; Homlett</t>
        </is>
      </c>
    </row>
    <row r="30652">
      <c r="A30652" t="inlineStr">
        <is>
          <t>PvPm</t>
        </is>
      </c>
      <c r="B30652">
        <f>HYPERLINK("https://www.dofusbook.net/fr/equipement/598247-pvpm/objets", "link")</f>
        <v/>
      </c>
      <c r="C30652" t="n">
        <v>0</v>
      </c>
      <c r="D30652" t="inlineStr">
        <is>
          <t>Pelle de la Cour Sombre; Amulette de Pol Ouatnos; Anneau des égarés; Alliance Gloursonne; Ceinture du Barbétoal; Casque des égarés; Voile d'encre; Baleinabottes; Déserteur majeur; Carapace Terre majeur; Remueur; Observateur; Vigoureux majeur; Fonceur majeur; Kramkram</t>
        </is>
      </c>
    </row>
    <row r="30653">
      <c r="A30653" t="inlineStr">
        <is>
          <t>Stri - Kongoku</t>
        </is>
      </c>
      <c r="B30653">
        <f>HYPERLINK("https://www.dofusbook.net/fr/equipement/598189-stri---kongoku/objets", "link")</f>
        <v/>
      </c>
      <c r="C30653" t="n">
        <v>0</v>
      </c>
      <c r="D30653" t="inlineStr">
        <is>
          <t>Epée Gloursonne; Amulette du Strigide; Bague Gloursonne; Alliance Gloursonne; Ceinture du Strigide; Boucle d'oreille de Kongoku; Cape de Kongoku; Bottes du Strigide; Dofus Vulbis; Dofus Ocre; Dolmanax; Dofus Turquoise; Dofus des Glaces; Dofus Pourpre; Kramkram</t>
        </is>
      </c>
    </row>
    <row r="30654">
      <c r="A30654" t="inlineStr">
        <is>
          <t>Marteau Egares</t>
        </is>
      </c>
      <c r="B30654">
        <f>HYPERLINK("https://www.dofusbook.net/fr/equipement/598119-marteau-egares/objets", "link")</f>
        <v/>
      </c>
      <c r="C30654" t="n">
        <v>0</v>
      </c>
      <c r="D30654" t="inlineStr">
        <is>
          <t>Marteau des égarés; Amulette du Strigide; Alliance Gloursonne; Bracelet du Piloztère; Ceintacé; Chapeau des Malveilleurs; Voile d'encre; Bottes du Strigide; Dofus des Glaces; Dolmanax; Dofus Pourpre; Vigoureux majeur; Nomade; Remueur; Kramkram</t>
        </is>
      </c>
    </row>
    <row r="30655">
      <c r="A30655" t="inlineStr">
        <is>
          <t>Eau</t>
        </is>
      </c>
      <c r="B30655">
        <f>HYPERLINK("https://www.dofusbook.net/fr/equipement/275422-eau/objets", "link")</f>
        <v/>
      </c>
      <c r="C30655" t="n">
        <v>0</v>
      </c>
      <c r="D30655" t="inlineStr">
        <is>
          <t>Rapière aux Glyphes; Talisman Glouti; Alliance Gloursonne; Bracelet des Fonds marins; Sangle Ouare; Kidibonnet; Cape du Sinistrofu; Sandales des Fonds marins; Dofus Turquoise; Dofus Pourpre; Vigoureux majeur; Chanceux majeur; Remueur; Kramkram</t>
        </is>
      </c>
    </row>
    <row r="30656">
      <c r="A30656" t="inlineStr">
        <is>
          <t>Full Eau PvPm</t>
        </is>
      </c>
      <c r="B30656">
        <f>HYPERLINK("https://www.dofusbook.net/fr/equipement/598088-full-eau-pvpm/objets", "link")</f>
        <v/>
      </c>
      <c r="C30656" t="n">
        <v>0</v>
      </c>
      <c r="D30656" t="inlineStr">
        <is>
          <t>Rapière aux Glyphes; Amulette de Shokkoth; Alliance Gloursonne; Bracelet des Fonds marins; Poulpagne; Casque Dragoeuf; Cape du Sinistrofu; Bottes du Sinistrofu; Dofus Abyssal; Dofus Émeraude; Carapace Eau majeur; Nomade; Chanceux majeur; Remueur; Kramkram</t>
        </is>
      </c>
    </row>
    <row r="30657">
      <c r="A30657" t="inlineStr">
        <is>
          <t>Panda - Chaloeil bis</t>
        </is>
      </c>
      <c r="B30657">
        <f>HYPERLINK("https://www.dofusbook.net/fr/equipement/598080-panda---chaloeil-bis/objets", "link")</f>
        <v/>
      </c>
      <c r="C30657" t="n">
        <v>0</v>
      </c>
      <c r="D30657" t="inlineStr">
        <is>
          <t>Rouleau à Pâtisserie d'Aermyne; Amulette du Glourséleste; Alliance Gloursonne; Anneau de XLII; Ceinture de XLII; Coiffe d'Aermyne; Cape d'Aermyne; Bottes de XLII; Dofus Ocre; Bloqueur majeur; Tacleur majeur; Blokus</t>
        </is>
      </c>
    </row>
    <row r="30658">
      <c r="A30658" t="inlineStr">
        <is>
          <t>Panda - Chaloeil</t>
        </is>
      </c>
      <c r="B30658">
        <f>HYPERLINK("https://www.dofusbook.net/fr/equipement/598054-panda---chaloeil/objets", "link")</f>
        <v/>
      </c>
      <c r="C30658" t="n">
        <v>0</v>
      </c>
      <c r="D30658" t="inlineStr">
        <is>
          <t>Rouleau à Pâtisserie d'Aermyne; Amulette Cryochrone; Bague Gloursonne; Alliance Gloursonne; Sangle Ouare; Coiffe d'Aermyne; Cape d'Aermyne; Bottes du Comte Harebourg; Dofus Ocre; Bloqueur majeur; Initiateur mineur; Précurseur majeur; Tacleur majeur; Blokus</t>
        </is>
      </c>
    </row>
    <row r="30659">
      <c r="A30659" t="inlineStr">
        <is>
          <t>Full Terre</t>
        </is>
      </c>
      <c r="B30659">
        <f>HYPERLINK("https://www.dofusbook.net/fr/equipement/275421-full-terre/objets", "link")</f>
        <v/>
      </c>
      <c r="C30659" t="n">
        <v>0</v>
      </c>
      <c r="D30659" t="inlineStr">
        <is>
          <t>Bêche Asse; Amulette du Strigide; Bague Gloursonne; Anneau de Brouce; Ceinture de Brouce; Chapeau de Gein; Cape au Logis; Bottes de la Cour Sombre; Dofus Ocre; Dofus Pourpre; Furibond majeur; Remueur; Vigoureux majeur; Enragé majeur; Kramkram</t>
        </is>
      </c>
    </row>
    <row r="30660">
      <c r="A30660" t="inlineStr">
        <is>
          <t>Coiffe Classe Eau</t>
        </is>
      </c>
      <c r="B30660">
        <f>HYPERLINK("https://www.dofusbook.net/fr/equipement/275420-coiffe-classe-eau/objets", "link")</f>
        <v/>
      </c>
      <c r="C30660" t="n">
        <v>0</v>
      </c>
      <c r="D30660" t="inlineStr">
        <is>
          <t>Epée Gloursonne; Amulette du Sinistrofu; Alliance Gloursonne; Bague Gloursonne; Ceinture du Glourséleste; Chapeau Lithique; Cape du Sinistrofu; Bottes du Sinistrofu; Dofus Pourpre; Dofus Ocre; Dofus des Glaces; Joueur majeur; Taquin majeur; Dragodinde Prune et Emeraude</t>
        </is>
      </c>
    </row>
    <row r="30661">
      <c r="A30661" t="inlineStr">
        <is>
          <t>Feu Res Hetype</t>
        </is>
      </c>
      <c r="B30661">
        <f>HYPERLINK("https://www.dofusbook.net/fr/equipement/598001-feu-res-hetype/objets", "link")</f>
        <v/>
      </c>
      <c r="C30661" t="n">
        <v>0</v>
      </c>
      <c r="D30661" t="inlineStr">
        <is>
          <t>Arc Hétype; Amulette d'Otomaï; Anneau Tique; Bague Gloursonne; Ceinture Séculaire; Casque Dragoeuf; Voile d'encre; Bottes d'Otomaï; Dofus Ocre; Dofus Pourpre; Érudit majeur; Nomade; Astucieux majeur; Remueur; Brûlih</t>
        </is>
      </c>
    </row>
    <row r="30662">
      <c r="A30662" t="inlineStr">
        <is>
          <t>Full Eau</t>
        </is>
      </c>
      <c r="B30662">
        <f>HYPERLINK("https://www.dofusbook.net/fr/equipement/597998-full-eau/objets", "link")</f>
        <v/>
      </c>
      <c r="C30662" t="n">
        <v>0</v>
      </c>
      <c r="D30662" t="inlineStr">
        <is>
          <t>Rapière aux Glyphes; Amulette de Shokkoth; Bracelet des Fonds marins; Alliance Gloursonne; Poulpagne; Kidibonnet; Cape du Sinistrofu; Bottes du Sinistrofu; Dofus Émeraude; Dofus Pourpre; Dofus des Glaces; Chanceux majeur; Dévastateur Eau majeur; Vigoureux majeur; Muldo Ebène et Indigo</t>
        </is>
      </c>
    </row>
    <row r="30663">
      <c r="A30663" t="inlineStr">
        <is>
          <t>Full Feu PvM bis</t>
        </is>
      </c>
      <c r="B30663">
        <f>HYPERLINK("https://www.dofusbook.net/fr/equipement/275500-full-feu-pvm-bis/objets", "link")</f>
        <v/>
      </c>
      <c r="C30663" t="n">
        <v>0</v>
      </c>
      <c r="D30663" t="inlineStr">
        <is>
          <t>Plumeau Bil; Amulette Séculaire; Anneau Tamie; Anneau Tamie; Sangle Aise; Coiffe Séculaire; Cape de Nileza; Bottes d'Otomaï; Dofus des Glaces; Nomade; Astucieux majeur; Remueur; Dévastateur Feu majeur; Érudit majeur; Brûlih</t>
        </is>
      </c>
    </row>
    <row r="30664">
      <c r="A30664" t="inlineStr">
        <is>
          <t>Full Feu PvM</t>
        </is>
      </c>
      <c r="B30664">
        <f>HYPERLINK("https://www.dofusbook.net/fr/equipement/275499-full-feu-pvm/objets", "link")</f>
        <v/>
      </c>
      <c r="C30664" t="n">
        <v>0</v>
      </c>
      <c r="D30664" t="inlineStr">
        <is>
          <t>Épée d'Otomaï; Amulette de Nileza; Anneau Tamie; Anneau Tamie; Sangle Aise; Coiffe Séculaire; Cape de Nileza; Pataugastrique; Dofus des Glaces; Dévastateur Feu majeur; Érudit majeur; Nomade; Astucieux majeur; Saccageur Feu majeur; Brûlih</t>
        </is>
      </c>
    </row>
    <row r="30665">
      <c r="A30665" t="inlineStr">
        <is>
          <t>Stuff Bathon 12-5</t>
        </is>
      </c>
      <c r="B30665">
        <f>HYPERLINK("https://www.dofusbook.net/fr/equipement/597866-stuff-bathon-12-5/objets", "link")</f>
        <v/>
      </c>
      <c r="C30665" t="n">
        <v>0</v>
      </c>
      <c r="D30665" t="inlineStr">
        <is>
          <t>Bâthon; Amulette du Strigide; Bague Gloursonne; Anneau Chevelu; Ceinture de Gein; Chapeau de Gein; Voile d'encre; Bottes du Roi Joueur; Dofus Ocre; Dofus Pourpre; Remueur; Nomade; Enragé majeur; Turbulent; Kramkram</t>
        </is>
      </c>
    </row>
    <row r="30666">
      <c r="A30666" t="inlineStr">
        <is>
          <t>Full Air 11-6</t>
        </is>
      </c>
      <c r="B30666">
        <f>HYPERLINK("https://www.dofusbook.net/fr/equipement/597843-full-air-11-6/objets", "link")</f>
        <v/>
      </c>
      <c r="C30666" t="n">
        <v>0</v>
      </c>
      <c r="D30666" t="inlineStr">
        <is>
          <t>Pelle de la Cour Sombre; Amulette du Granduk; Kralano; Anneau de Padgref; Menoture; Coiffe de Padgref; Cape Indescriptible; Palmes Trithons; Dofus Pourpre; Dofus Nébuleux; Dofus Turquoise; Cascadeur majeur; Nomade; Remueur; El Scarador</t>
        </is>
      </c>
    </row>
    <row r="30667">
      <c r="A30667" t="inlineStr">
        <is>
          <t>Esquiva PA 12-5</t>
        </is>
      </c>
      <c r="B30667">
        <f>HYPERLINK("https://www.dofusbook.net/fr/equipement/597838-esquiva-pa-12-5/objets", "link")</f>
        <v/>
      </c>
      <c r="C30667" t="n">
        <v>0</v>
      </c>
      <c r="D30667" t="inlineStr">
        <is>
          <t>Dagues Érhy; Amulette du Strigide; Bague Gloursonne; Anneau Chevelu; Ceinture du Strigide; Bonnet Ko; Voile d'encre; Chaussures Hau; Dofus Pourpre; Dofus Turquoise; Dofus Ocre; Évasif majeur; Nomade; Remueur; Kramkram</t>
        </is>
      </c>
    </row>
    <row r="30668">
      <c r="A30668" t="inlineStr">
        <is>
          <t>Classique Ricol 11-6</t>
        </is>
      </c>
      <c r="B30668">
        <f>HYPERLINK("https://www.dofusbook.net/fr/equipement/597834-classique-ricol-11-6/objets", "link")</f>
        <v/>
      </c>
      <c r="C30668" t="n">
        <v>0</v>
      </c>
      <c r="D30668" t="inlineStr">
        <is>
          <t>Dagues Ricol; Amulette du Strigide; Bague Gloursonne; Anneau Chevelu; Ceinture de Gein; Chapeau de Gein; Voile d'encre; Sabots Minables; Dofus Pourpre; Dofus Turquoise; Vigoureux majeur; Nomade; Remueur; Kramkram</t>
        </is>
      </c>
    </row>
    <row r="30669">
      <c r="A30669" t="inlineStr">
        <is>
          <t>Crit Poolache</t>
        </is>
      </c>
      <c r="B30669">
        <f>HYPERLINK("https://www.dofusbook.net/fr/equipement/597829-crit-poolache/objets", "link")</f>
        <v/>
      </c>
      <c r="C30669" t="n">
        <v>0</v>
      </c>
      <c r="D30669" t="inlineStr">
        <is>
          <t>Poolache; Amulette du Strigide; Anneau Tique; Anneau de Brouce; Bouclier du Captain Amakna; Ceinture du Strigide; Chapeau de Gein; Voile d'encre; Bottes de la Cour Sombre; Dofus Turquoise; Dofus Pourpre; Dofus Ocre; Remueur; Turbulent; Muldo Prune et Emeraude</t>
        </is>
      </c>
    </row>
    <row r="30670">
      <c r="A30670" t="inlineStr">
        <is>
          <t>Res Esquive PA 12-5</t>
        </is>
      </c>
      <c r="B30670">
        <f>HYPERLINK("https://www.dofusbook.net/fr/equipement/597795-res-esquive-pa-12-5/objets", "link")</f>
        <v/>
      </c>
      <c r="C30670" t="n">
        <v>0</v>
      </c>
      <c r="D30670" t="inlineStr">
        <is>
          <t>Dagues Érhy; Amulette du Strigide; Bague Gloursonne; Anneau Chevelu; Ceinture de Gein; Casque Dragoeuf; Voile d'encre; Bottes du Strigide; Dofus Turquoise; Dofus Ocre; Dofus Pourpre; Remueur; Vigoureux majeur; Turbulent; Muldo Doré et Ivoire</t>
        </is>
      </c>
    </row>
    <row r="30671">
      <c r="A30671" t="inlineStr">
        <is>
          <t>Rox 11-6 bis</t>
        </is>
      </c>
      <c r="B30671">
        <f>HYPERLINK("https://www.dofusbook.net/fr/equipement/275446-rox-11-6-bis/objets", "link")</f>
        <v/>
      </c>
      <c r="C30671" t="n">
        <v>0</v>
      </c>
      <c r="D30671" t="inlineStr">
        <is>
          <t>Dagues Érhy; Amulette du Strigide; Bague Gloursonne; Alliance de Missiz Frizz; Ceinture de Gein; Chapeau de Gein; Voile d'encre; Sabots Minables; Dofus Pourpre; Dofus Turquoise; Dofus Nébuleux; Remueur; Nomade; Vigoureux majeur; Kramkram</t>
        </is>
      </c>
    </row>
    <row r="30672">
      <c r="A30672" t="inlineStr">
        <is>
          <t>Rox 11-6</t>
        </is>
      </c>
      <c r="B30672">
        <f>HYPERLINK("https://www.dofusbook.net/fr/equipement/275445-rox-11-6/objets", "link")</f>
        <v/>
      </c>
      <c r="C30672" t="n">
        <v>0</v>
      </c>
      <c r="D30672" t="inlineStr">
        <is>
          <t>Dagues Érhy; Amulette du Strigide; Chevalière du Roi Joueur; Bague Gloursonne; Ceinture du Strigide; Chapeau de Gein; Voile d'encre; Baleinabottes; Dofus Nébuleux; Dofus Turquoise; Dofus Pourpre; Vigoureux majeur; Enragé majeur; Remueur; Muldo Orchidée et Pourpre</t>
        </is>
      </c>
    </row>
    <row r="30673">
      <c r="A30673" t="inlineStr">
        <is>
          <t>Classique PvPm 11-6</t>
        </is>
      </c>
      <c r="B30673">
        <f>HYPERLINK("https://www.dofusbook.net/fr/equipement/275444-classique-pvpm-11-6/objets", "link")</f>
        <v/>
      </c>
      <c r="C30673" t="n">
        <v>0</v>
      </c>
      <c r="D30673" t="inlineStr">
        <is>
          <t>Dagues Érhy; Amulette du Strigide; Bague Gloursonne; Anneau Chevelu; Ceintacé; Chapeau de Gein; Voile d'encre; Bottes du Strigide; Dofus Nébuleux; Dofus Turquoise; Remueur; Enragé majeur; Vigoureux majeur; Nomade; Kramkram</t>
        </is>
      </c>
    </row>
    <row r="30674">
      <c r="A30674" t="inlineStr">
        <is>
          <t>Air Esquive PA</t>
        </is>
      </c>
      <c r="B30674">
        <f>HYPERLINK("https://www.dofusbook.net/fr/equipement/597388-air-esquive-pa/objets", "link")</f>
        <v/>
      </c>
      <c r="C30674" t="n">
        <v>0</v>
      </c>
      <c r="D30674" t="inlineStr">
        <is>
          <t>Manthache; Collier du Valet Veinard; Alliance Gloursonne; Gant du Valet Veinard; Menoture; Casque Dragoeuf; Cape du Kamasterisk; Palmes Trithons; Dofus Émeraude; Dofus Abyssal; Dofus Pourpre; Cascadeur majeur; Évasif majeur; Remueur; Muldo Doré et Ebène</t>
        </is>
      </c>
    </row>
    <row r="30675">
      <c r="A30675" t="inlineStr">
        <is>
          <t>Faux Maudite</t>
        </is>
      </c>
      <c r="B30675">
        <f>HYPERLINK("https://www.dofusbook.net/fr/equipement/597382-faux-maudite/objets", "link")</f>
        <v/>
      </c>
      <c r="C30675" t="n">
        <v>1</v>
      </c>
      <c r="D30675" t="inlineStr">
        <is>
          <t>Faux Maudite du Saigneur Guerrier; Amulette du Strigide; Alliance Gloursonne; Bague Gloursonne; Ceintacé; Casque Dragoeuf; Voile d'encre; Bottes du Cycloïde; Dofus Pourpre; Dofus Turquoise; Carapace Terre majeur; Nomade; Remueur; Vigoureux majeur; El Scarador</t>
        </is>
      </c>
    </row>
    <row r="30676">
      <c r="A30676" t="inlineStr">
        <is>
          <t>Terre / Air Heqache</t>
        </is>
      </c>
      <c r="B30676">
        <f>HYPERLINK("https://www.dofusbook.net/fr/equipement/275443-terre---air-heqache/objets", "link")</f>
        <v/>
      </c>
      <c r="C30676" t="n">
        <v>0</v>
      </c>
      <c r="D30676" t="inlineStr">
        <is>
          <t>Héqache; Amulette du Strigide; Alliance Gloursonne; Anneau des égarés; Ceintacé; Casque Dragoeuf; Cape du Kamasterisk; Bottes du Strigide; Dofus Abyssal; Dofus Pourpre; Dofus Turquoise; Dofus Émeraude; Remueur; Vigoureux majeur; Muldo Doré et Ebène</t>
        </is>
      </c>
    </row>
    <row r="30677">
      <c r="A30677" t="inlineStr">
        <is>
          <t>FULL Terre</t>
        </is>
      </c>
      <c r="B30677">
        <f>HYPERLINK("https://www.dofusbook.net/fr/equipement/275442-full-terre/objets", "link")</f>
        <v/>
      </c>
      <c r="C30677" t="n">
        <v>0</v>
      </c>
      <c r="D30677" t="inlineStr">
        <is>
          <t>Bêche Asse; Collier de Tourthon; Anneau Crustique; Bague Gloursonne; Ceinture de Gein; Chapeau de Gein; Cape au Logis; Sabots Minables; Dofus Nébuleux; Dofus Pourpre; Vigoureux majeur; Enragé majeur; Remueur; Carapace Terre majeur; Kompost</t>
        </is>
      </c>
    </row>
    <row r="30678">
      <c r="A30678" t="inlineStr">
        <is>
          <t>Marteau Steam</t>
        </is>
      </c>
      <c r="B30678">
        <f>HYPERLINK("https://www.dofusbook.net/fr/equipement/275441-marteau-steam/objets", "link")</f>
        <v/>
      </c>
      <c r="C30678" t="n">
        <v>0</v>
      </c>
      <c r="D30678" t="inlineStr">
        <is>
          <t>Marteau des Anciens Steamers; Amulette de Pol Ouatnos; Anneau Tique; Alliance Gloursonne; Ceinture du Barbétoal; Chapeau des Malveilleurs; Cape du Barbétoal; Baleinabottes; Dofus Turquoise; Dofus Pourpre; Remueur; Vigoureux majeur; Cascadeur majeur; Kramkram</t>
        </is>
      </c>
    </row>
    <row r="30679">
      <c r="A30679" t="inlineStr">
        <is>
          <t>Terre / Air Egares</t>
        </is>
      </c>
      <c r="B30679">
        <f>HYPERLINK("https://www.dofusbook.net/fr/equipement/597165-terre---air-egares/objets", "link")</f>
        <v/>
      </c>
      <c r="C30679" t="n">
        <v>0</v>
      </c>
      <c r="D30679" t="inlineStr">
        <is>
          <t>Pelle de la Cour Sombre; Amulette du Strigide; Anneau des égarés; Alliance Gloursonne; Ceinture du Barbétoal; Casque des égarés; Voile d'encre; Baleinabottes; Dofus Pourpre; Dofus des Glaces; Nomade; Remueur; Observateur; Vigoureux majeur; Kramkram</t>
        </is>
      </c>
    </row>
    <row r="30680">
      <c r="A30680" t="inlineStr">
        <is>
          <t>Classique 1Vs1</t>
        </is>
      </c>
      <c r="B30680">
        <f>HYPERLINK("https://www.dofusbook.net/fr/equipement/597147-classique-1vs1/objets", "link")</f>
        <v/>
      </c>
      <c r="C30680" t="n">
        <v>0</v>
      </c>
      <c r="D30680" t="inlineStr">
        <is>
          <t>Pelle de la Cour Sombre; Amulette du Strigide; Bracelet du Piloztère; Alliance Gloursonne; Ceinture de la Reine des Voleurs; Coiffe de la Reine des Voleurs; Voile d'encre; Baleinabottes; Dofus des Glaces; Dofus Pourpre; Robuste majeur; Vigoureux majeur; Nomade; Remueur; Croum</t>
        </is>
      </c>
    </row>
    <row r="30681">
      <c r="A30681" t="inlineStr">
        <is>
          <t>Rox Multi</t>
        </is>
      </c>
      <c r="B30681">
        <f>HYPERLINK("https://www.dofusbook.net/fr/equipement/597128-rox-multi/objets", "link")</f>
        <v/>
      </c>
      <c r="C30681" t="n">
        <v>0</v>
      </c>
      <c r="D30681" t="inlineStr">
        <is>
          <t>Dagues Érhy; Amulette du Strigide; Bague Gloursonne; Chevalière du Roi Joueur; Ceintacé; Chapeau de Gein; Voile d'encre; Bottes du Strigide; Dolmanax; Dofus Pourpre; Dofus Turquoise; Nomade; Vigoureux majeur; Remueur; Kramkram</t>
        </is>
      </c>
    </row>
    <row r="30682">
      <c r="A30682" t="inlineStr">
        <is>
          <t>Full Air 12-6</t>
        </is>
      </c>
      <c r="B30682">
        <f>HYPERLINK("https://www.dofusbook.net/fr/equipement/597058-full-air-12-6/objets", "link")</f>
        <v/>
      </c>
      <c r="C30682" t="n">
        <v>0</v>
      </c>
      <c r="D30682" t="inlineStr">
        <is>
          <t>Pelle de la Cour Sombre; Collier du Valet Veinard; Alliance Gloursonne; Gant du Valet Veinard; Ceintouse; Chapoulpe; Cape du Valet Veinard; Tentassons; Dofus Vulbis; Dofus des Glaces; Dolmanax; Dofus Ocre; Dofus Pourpre; Acrobate majeur; Kramkram</t>
        </is>
      </c>
    </row>
    <row r="30683">
      <c r="A30683" t="inlineStr">
        <is>
          <t>Chaloeil</t>
        </is>
      </c>
      <c r="B30683">
        <f>HYPERLINK("https://www.dofusbook.net/fr/equipement/597048-chaloeil/objets", "link")</f>
        <v/>
      </c>
      <c r="C30683" t="n">
        <v>0</v>
      </c>
      <c r="D30683" t="inlineStr">
        <is>
          <t>Épée du Granduk; Amulette du Granduk; Anneau de Pol Ouatnos; Anneau Tamie; Sangle Ouare; Couronne d'Allister; Cape des Malveilleurs; Pataugastrique; Bloqueur majeur; Tacleur majeur; Obstructeur majeur; Obstructeur; Remueur; Blokus</t>
        </is>
      </c>
    </row>
    <row r="30684">
      <c r="A30684" t="inlineStr">
        <is>
          <t>Old Full Air</t>
        </is>
      </c>
      <c r="B30684">
        <f>HYPERLINK("https://www.dofusbook.net/fr/equipement/275416-old-full-air/objets", "link")</f>
        <v/>
      </c>
      <c r="C30684" t="n">
        <v>0</v>
      </c>
      <c r="D30684" t="inlineStr">
        <is>
          <t>Pelle de la Cour Sombre; Amulette du Strigide; Anneau d'Allister; Alliance Gloursonne; Ceinture Rasboulaire du Rasboul; Couronne d'Allister; Capibou; Baleinabottes; Dofus Turquoise; Dofus Pourpre; Nomade; Remueur; Vigoureux majeur; Cascadeur majeur; Kramkram</t>
        </is>
      </c>
    </row>
    <row r="30685">
      <c r="A30685" t="inlineStr">
        <is>
          <t>Cape Classe TERRE</t>
        </is>
      </c>
      <c r="B30685">
        <f>HYPERLINK("https://www.dofusbook.net/fr/equipement/275415-cape-classe-terre/objets", "link")</f>
        <v/>
      </c>
      <c r="C30685" t="n">
        <v>0</v>
      </c>
      <c r="D30685" t="inlineStr">
        <is>
          <t>Dagues du Dragoeuf; Kralamansion; Bague Gloursonne; Anneau de Brouce; Ceinture de Brouce; Coiffe du Comte Harebourg; Cape Routh; Bottes de Brouce; Dofus des Glaces; Dofus Ocre; Dofus Pourpre; Puissant majeur; Forcené majeur; Furibond majeur; Kompost</t>
        </is>
      </c>
    </row>
    <row r="30686">
      <c r="A30686" t="inlineStr">
        <is>
          <t>Eriphe</t>
        </is>
      </c>
      <c r="B30686">
        <f>HYPERLINK("https://www.dofusbook.net/fr/equipement/275414-eriphe/objets", "link")</f>
        <v/>
      </c>
      <c r="C30686" t="n">
        <v>0</v>
      </c>
      <c r="D30686" t="inlineStr">
        <is>
          <t>Hache Ériphe; Amulette du Strigide; Alliance Gloursonne; Bracelet du Piloztère; Ceinture du Strigide; Coiffe de la Reine des Voleurs; Voile d'encre; Baleinabottes; Dofus Pourpre; Dofus des Glaces; Dofus Turquoise; Nomade; Remueur; Kramkram</t>
        </is>
      </c>
    </row>
    <row r="30687">
      <c r="A30687" t="inlineStr">
        <is>
          <t>Stuff 2</t>
        </is>
      </c>
      <c r="B30687">
        <f>HYPERLINK("https://www.dofusbook.net/fr/equipement/275543-stuff-2/objets", "link")</f>
        <v/>
      </c>
      <c r="C30687" t="n">
        <v>0</v>
      </c>
      <c r="D30687" t="inlineStr">
        <is>
          <t>Manthache; Collier du Valet Veinard; Gant du Valet Veinard; Alliance Gloursonne; Menoture; Casque Dragoeuf; Cape du Kamasterisk; Palmes Trithons; Dofus Émeraude; Dofus Abyssal; Fonceur majeur; Remueur; Carapace Neutre majeur; Cascadeur majeur; Muldo Ebène et Indigo</t>
        </is>
      </c>
    </row>
    <row r="30688">
      <c r="A30688" t="inlineStr">
        <is>
          <t>Stuff 1</t>
        </is>
      </c>
      <c r="B30688">
        <f>HYPERLINK("https://www.dofusbook.net/fr/equipement/275542-stuff-1/objets", "link")</f>
        <v/>
      </c>
      <c r="C30688" t="n">
        <v>0</v>
      </c>
      <c r="D30688" t="inlineStr">
        <is>
          <t>Pelle de la Cour Sombre; Collier du Valet Veinard; Alliance Gloursonne; Gant du Valet Veinard; Ceinture du Barbétoal; Dorabysses; Caracape Minotoris; Baleinabottes; Évasif majeur; Remueur; Cavaleur majeur; Carapace Neutre majeur; Cascadeur majeur; Nomade; Kramkram</t>
        </is>
      </c>
    </row>
    <row r="30689">
      <c r="A30689" t="inlineStr">
        <is>
          <t>Stuff 1</t>
        </is>
      </c>
      <c r="B30689">
        <f>HYPERLINK("https://www.dofusbook.net/fr/equipement/275477-stuff-1/objets", "link")</f>
        <v/>
      </c>
      <c r="C30689" t="n">
        <v>0</v>
      </c>
      <c r="D30689" t="inlineStr">
        <is>
          <t>Grésilosceptre; Amulette du Strigide; Alliance Gloursonne; Anneau de Nidas; Ceintacé; Chapeau Lisson; Voile d'encre; Bottes du Strigide; Dofus Pourpre; Dolmanax; Vigoureux majeur; Remueur; Nomade; Kramkram</t>
        </is>
      </c>
    </row>
    <row r="30690">
      <c r="A30690" t="inlineStr">
        <is>
          <t>Stuff 3</t>
        </is>
      </c>
      <c r="B30690">
        <f>HYPERLINK("https://www.dofusbook.net/fr/equipement/275479-stuff-3/objets", "link")</f>
        <v/>
      </c>
      <c r="C30690" t="n">
        <v>0</v>
      </c>
      <c r="D30690" t="inlineStr">
        <is>
          <t>Hache du Chalœil; Amulette du Strigide; Alliance Gloursonne; Anneau Chevelu; Ceintacé; Chapeau de Gein; Voile d'encre; Bottes du Strigide; Dofus Pourpre; Dofus Turquoise; Dolmanax; Remueur; Nomade; Vigoureux majeur; Kramkram</t>
        </is>
      </c>
    </row>
    <row r="30691">
      <c r="A30691" t="inlineStr">
        <is>
          <t>Stuff 2</t>
        </is>
      </c>
      <c r="B30691">
        <f>HYPERLINK("https://www.dofusbook.net/fr/equipement/275478-stuff-2/objets", "link")</f>
        <v/>
      </c>
      <c r="C30691" t="n">
        <v>0</v>
      </c>
      <c r="D30691" t="inlineStr">
        <is>
          <t>Dagues de Srambad; Amulette Ementaire Deluxe; Alliance Gloursonne; Pikano; Ceinture de la Reine des Voleurs; Coiffe de la Reine des Voleurs; Voile d'encre; Baleinabottes; Remueur; Cavaleur majeur; Carapace Eau majeur; Nomade; Carapace Terre majeur; Vigoureux majeur; Kramkram</t>
        </is>
      </c>
    </row>
    <row r="30692">
      <c r="A30692" t="inlineStr">
        <is>
          <t>feu ret</t>
        </is>
      </c>
      <c r="B30692">
        <f>HYPERLINK("https://www.dofusbook.net/fr/equipement/5973475-feu-ret/objets", "link")</f>
        <v/>
      </c>
      <c r="C30692" t="n">
        <v>0</v>
      </c>
      <c r="D30692" t="inlineStr">
        <is>
          <t>Arc corrompu; Amulette Volkorne; Anneauræus; Anneauræus; Cadran de Terre; Ceinture Volkorne; Cagoule de Vortex; Voile d'encre; Pataugastrique; Dofus Ivoire; Dofus Vulbis; Dofus Ocre; Dofus Ébène; Érudit majeur; Étourdisseur majeur; Dragoune Rose</t>
        </is>
      </c>
    </row>
    <row r="30693">
      <c r="A30693" t="inlineStr">
        <is>
          <t>air récri</t>
        </is>
      </c>
      <c r="B30693">
        <f>HYPERLINK("https://www.dofusbook.net/fr/equipement/5813295-air-recri/objets", "link")</f>
        <v/>
      </c>
      <c r="C30693" t="n">
        <v>1</v>
      </c>
      <c r="D30693" t="inlineStr">
        <is>
          <t>Manthache; Collier du Valet Veinard; Alliance Gloursonne; Gant du Valet Veinard; Bouclier du Stalak; Ceintouse; Coiffe de la Reine des Voleurs; Cape du Valet Veinard; Bottes de la Reine des Voleurs; Dofus Ocre; Dofus Ébène; Dofus Vulbis; Dofus Abyssal; Dofus Argenté; Dofus Ivoire; Blérodoudou</t>
        </is>
      </c>
    </row>
    <row r="30694">
      <c r="A30694" t="inlineStr">
        <is>
          <t>compa 2</t>
        </is>
      </c>
      <c r="B30694">
        <f>HYPERLINK("https://www.dofusbook.net/fr/equipement/5517126-compa-2/objets", "link")</f>
        <v/>
      </c>
      <c r="C30694" t="n">
        <v>1</v>
      </c>
      <c r="D30694" t="inlineStr">
        <is>
          <t>Sceptre du Roi Joueur; Amulette de Shokkoth; Anneau Volkorne; Alliance Gloursonne; Bouclier d'Ilyzaelle; Poulpagne; Kidibonnet; Cape du Sinistrofu; Bottes du Sinistrofu; Dofus Ivoire; Dofus Ébène; Dofus Vulbis; Dofus Émeraude; Dofus Pourpre; Chanceux majeur; Kanigloups</t>
        </is>
      </c>
    </row>
    <row r="30695">
      <c r="A30695" t="inlineStr">
        <is>
          <t>res air</t>
        </is>
      </c>
      <c r="B30695">
        <f>HYPERLINK("https://www.dofusbook.net/fr/equipement/5514578-res-air/objets", "link")</f>
        <v/>
      </c>
      <c r="C30695" t="n">
        <v>1</v>
      </c>
      <c r="D30695" t="inlineStr">
        <is>
          <t>Pelle de la Cour Sombre; Collier du Valet Veinard; Alliance Gloursonne; Gant du Valet Veinard; Bouclier d'Ilyzaelle; Ceintouse; Dorabysses; Cape Martegel; Baleinabottes; Dofus Ocre; Dofus Ébène; Dofus Vulbis; Dofus Abyssal; Dofus Ivoire; Cascadeur majeur; Blérodoudou</t>
        </is>
      </c>
    </row>
    <row r="30696">
      <c r="A30696" t="inlineStr">
        <is>
          <t>testing viabilité</t>
        </is>
      </c>
      <c r="B30696">
        <f>HYPERLINK("https://www.dofusbook.net/fr/equipement/4945030-testing-viabilite/objets", "link")</f>
        <v/>
      </c>
      <c r="C30696" t="n">
        <v>2</v>
      </c>
      <c r="D30696" t="inlineStr">
        <is>
          <t>Pyraguette; Amulette Volkorne; Anneau Volkorne; Anneau Cryochrone; Bouclier du Stalak; Ceintrigue; Coiffe Cryochrone; Cape des Justiciers; Bottes Owesli; Dofus Ivoire; Dofus des Glaces; Dofus Ébène; Dofus Pourpre; Dofus Vulbis; Dofus Ocre; Walk</t>
        </is>
      </c>
    </row>
    <row r="30697">
      <c r="A30697" t="inlineStr">
        <is>
          <t>fwa</t>
        </is>
      </c>
      <c r="B30697">
        <f>HYPERLINK("https://www.dofusbook.net/fr/equipement/4767641-fwa/objets", "link")</f>
        <v/>
      </c>
      <c r="C30697" t="n">
        <v>6</v>
      </c>
      <c r="D30697" t="inlineStr">
        <is>
          <t>Le Thanos; Amulette d'Ilyzaelle; Anneau Volkorne; Lavanneau; Bouclier du Stalak; Sangle Ouare; Casque d'Ilyzaelle; Cape Solution; Bottes Honyme; Dofus Ébène; Dofus Abyssal; Dofus Ivoire; Dofus des Glaces; Chanceux majeur; Dévastateur Eau majeur; Dragodinde Indigo et Rousse</t>
        </is>
      </c>
    </row>
    <row r="30698">
      <c r="A30698" t="inlineStr">
        <is>
          <t>tst</t>
        </is>
      </c>
      <c r="B30698">
        <f>HYPERLINK("https://www.dofusbook.net/fr/equipement/4903461-tst/objets", "link")</f>
        <v/>
      </c>
      <c r="C30698" t="n">
        <v>7</v>
      </c>
      <c r="D30698" t="inlineStr">
        <is>
          <t>Hachoirs de Viandargh; Collier du Valet Veinard; Alliance Gloursonne; Gant du Valet Veinard; Bouclier Taverne; Menoture; Dorabysses; Cape des Malveilleurs; Baleinabottes; Dofus Ivoire; Dofus Abyssal; Culbuteur; Culbuteur majeur; Nomade; Bousculeur majeur; Tofoudre</t>
        </is>
      </c>
    </row>
    <row r="30699">
      <c r="A30699" t="inlineStr">
        <is>
          <t>tst</t>
        </is>
      </c>
      <c r="B30699">
        <f>HYPERLINK("https://www.dofusbook.net/fr/equipement/4900915-tst/objets", "link")</f>
        <v/>
      </c>
      <c r="C30699" t="n">
        <v>2</v>
      </c>
      <c r="D30699" t="inlineStr">
        <is>
          <t>Plume de Buhorado; Amibou; Bague Trithon; Alliance Gloursonne; Quatre-feuilles; Menoture; Chapibou; Capibou; Bottes Trithon; Dofus des Glaces; Dofus Ivoire; Dofus Turquoise; Dofus Abyssal; Pousseur majeur; Bousculeur majeur; Tofoudre</t>
        </is>
      </c>
    </row>
    <row r="30700">
      <c r="A30700" t="inlineStr">
        <is>
          <t>Buzii/ AirDoPOU</t>
        </is>
      </c>
      <c r="B30700">
        <f>HYPERLINK("https://www.dofusbook.net/fr/equipement/4216508-buzii--airdopou/objets", "link")</f>
        <v/>
      </c>
      <c r="C30700" t="n">
        <v>3</v>
      </c>
      <c r="D30700" t="inlineStr">
        <is>
          <t>Hachoirs de Viandargh; Amibou; Bague Trithon; Alliance Gloursonne; Bouclier du Stalak; Menoture; Chapibou; Cape Indescriptible; Baleinabottes; Dofus Abyssal; Dofus Ivoire; Nomade; Bousculeur majeur; Cascadeur majeur; Culbuteur majeur; Tofoudre</t>
        </is>
      </c>
    </row>
    <row r="30701">
      <c r="A30701" t="inlineStr">
        <is>
          <t>Officiel/ AirDoPou</t>
        </is>
      </c>
      <c r="B30701">
        <f>HYPERLINK("https://www.dofusbook.net/fr/equipement/4015264-officiel--airdopou/objets", "link")</f>
        <v/>
      </c>
      <c r="C30701" t="n">
        <v>3</v>
      </c>
      <c r="D30701" t="inlineStr">
        <is>
          <t>Plume de Buhorado; Collier du Valet Veinard; Alliance Gloursonne; Gant du Valet Veinard; Bouclier Taverne; Menoture; Dorabysses; Cape des Malveilleurs; Pantoufles Émar; Dofus Ivoire; Culbuteur; Culbuteur majeur; Pousseur majeur; Bousculeur; Bousculeur majeur; Tofoudre</t>
        </is>
      </c>
    </row>
    <row r="30702">
      <c r="A30702" t="inlineStr">
        <is>
          <t>tst</t>
        </is>
      </c>
      <c r="B30702">
        <f>HYPERLINK("https://www.dofusbook.net/fr/equipement/4901992-tst/objets", "link")</f>
        <v/>
      </c>
      <c r="C30702" t="n">
        <v>1</v>
      </c>
      <c r="D30702" t="inlineStr">
        <is>
          <t>Sceptre du Roi Joueur; Amulette Volkorne; Anneau Volkorne; Alliance Gloursonne; Quatre-feuilles; Pagne du Rykaon; Némès de Tal Kasha; Chevelure de Tal Kasha; Pataugastrique; Dofus Ocre; Dofus Ivoire; Dofus Ébène; Dofus Vulbis; Dofus Turquoise; Dofus des Glaces; Pioute bleu</t>
        </is>
      </c>
    </row>
    <row r="30703">
      <c r="A30703" t="inlineStr">
        <is>
          <t>tst</t>
        </is>
      </c>
      <c r="B30703">
        <f>HYPERLINK("https://www.dofusbook.net/fr/equipement/4878320-tst/objets", "link")</f>
        <v/>
      </c>
      <c r="C30703" t="n">
        <v>0</v>
      </c>
      <c r="D30703" t="inlineStr">
        <is>
          <t>Sceptre du Roi Joueur; Amulette Voldelor; Alliance Gloursonne; Anneau de Guten Tak; Bouclier d'Ilyzaelle; Ceinture Voldelor; Némès de Tal Kasha; Chevelure de Tal Kasha; Sandales de Tal Kasha; Dofus Turquoise; Dofus Ivoire; Dofus Vulbis; Dofus Ocre; Dofus Ébène; Dofus Abyssal; Volkorne Ivoire et Indigo</t>
        </is>
      </c>
    </row>
    <row r="30704">
      <c r="A30704" t="inlineStr">
        <is>
          <t>Officiel/ SoinDoPou</t>
        </is>
      </c>
      <c r="B30704">
        <f>HYPERLINK("https://www.dofusbook.net/fr/equipement/2278264-officiel--soindopou/objets", "link")</f>
        <v/>
      </c>
      <c r="C30704" t="n">
        <v>7</v>
      </c>
      <c r="D30704" t="inlineStr">
        <is>
          <t>Le Thanos; Torquistik; Anneau du Professeur Xa; Bague Instable; Bivalve; Ceinture Gence; Casque Dragoeuf; Cape Solution; Bottistik; Dofus Abyssal; Dofus Ivoire; Bousculeur majeur; Culbuteur majeur; Pousseur majeur; Guérisseur majeur; Tatouf</t>
        </is>
      </c>
    </row>
    <row r="30705">
      <c r="A30705" t="inlineStr">
        <is>
          <t>Tournoi/ RéseauTacle</t>
        </is>
      </c>
      <c r="B30705">
        <f>HYPERLINK("https://www.dofusbook.net/fr/equipement/4221588-tournoi--reseautacle/objets", "link")</f>
        <v/>
      </c>
      <c r="C30705" t="n">
        <v>5</v>
      </c>
      <c r="D30705" t="inlineStr">
        <is>
          <t>Epée Gloursonne; Amulette du Strigide; Chevalière du Roi Joueur; Bague Gloursonne; Quatre-feuilles; Ceinture du Strigide; Couronne du Roi Joueur; Voile d'encre; Bottes du Roi Joueur; Dofus Pourpre; Dofus Ivoire; Dolmanax; Dofus Ocre; Dofus Vulbis; Dofus des Glaces; Marcassin</t>
        </is>
      </c>
    </row>
    <row r="30706">
      <c r="A30706" t="inlineStr">
        <is>
          <t>air intel</t>
        </is>
      </c>
      <c r="B30706">
        <f>HYPERLINK("https://www.dofusbook.net/fr/equipement/4155053-air-intel/objets", "link")</f>
        <v/>
      </c>
      <c r="C30706" t="n">
        <v>6</v>
      </c>
      <c r="D30706" t="inlineStr">
        <is>
          <t>Arc Hétype; Pendentif mignon de Koutoulou; Anneau Rifique; Alliance Gloursonne; Bouclier d'Ilyzaelle; Ceinture de Vortex; Cagoule de Vortex; Cape Martegel; Sabots de Vortex; Dofus Ocre; Dofus Ivoire; Dofus Émeraude; Dofus des Glaces; Dofus Vulbis; Dofus Abyssal; Willy le Relou</t>
        </is>
      </c>
    </row>
    <row r="30707">
      <c r="A30707" t="inlineStr">
        <is>
          <t>Stuff 1</t>
        </is>
      </c>
      <c r="B30707">
        <f>HYPERLINK("https://www.dofusbook.net/fr/equipement/179336-stuff-1/objets", "link")</f>
        <v/>
      </c>
      <c r="C30707" t="n">
        <v>0</v>
      </c>
      <c r="D30707" t="inlineStr">
        <is>
          <t>Manthache; Collier du Valet Veinard; Alliance Gloursonne; Gant du Valet Veinard; Bouclier du Stalak; Menoture; Chapeau de Tournoyé; Cape du Kamasterisk; Palmes Trithons; Dofus Abyssal; Dofus Turquoise; Dofus des Glaces; Dofus Pourpre; Dofus Ocre; Muldo Ebène et Orchidée</t>
        </is>
      </c>
    </row>
    <row r="30708">
      <c r="A30708" t="inlineStr">
        <is>
          <t>Stuff 2</t>
        </is>
      </c>
      <c r="B30708">
        <f>HYPERLINK("https://www.dofusbook.net/fr/equipement/179347-stuff-2/objets", "link")</f>
        <v/>
      </c>
      <c r="C30708" t="n">
        <v>0</v>
      </c>
      <c r="D30708" t="inlineStr">
        <is>
          <t>Sceptre du Roi Joueur; Talisman Glouti; Alliance Gloursonne; Pikano; Ceinture du Barbétoal; Kidibonnet; Cape de la Dame du Hasard; Pantoufles du Piloztère; Dofus des Glaces; Dofus Turquoise; Remueur; Chanceux majeur; Carapace Eau majeur; Nomade; Kramkram</t>
        </is>
      </c>
    </row>
    <row r="30709">
      <c r="A30709" t="inlineStr">
        <is>
          <t>Stuff 1</t>
        </is>
      </c>
      <c r="B30709">
        <f>HYPERLINK("https://www.dofusbook.net/fr/equipement/179342-stuff-1/objets", "link")</f>
        <v/>
      </c>
      <c r="C30709" t="n">
        <v>0</v>
      </c>
      <c r="D30709" t="inlineStr">
        <is>
          <t>Dagues Aj'Deh'Là; Amulette du Kam Assutra; Alliance de Silimelle; Gelano; L'Adelus; Coiffe du Prespic; Cape du Prespic; Bottoduvet; Dragoune Rose</t>
        </is>
      </c>
    </row>
    <row r="30710">
      <c r="A30710" t="inlineStr">
        <is>
          <t>Stuff 2</t>
        </is>
      </c>
      <c r="B30710">
        <f>HYPERLINK("https://www.dofusbook.net/fr/equipement/179337-stuff-2/objets", "link")</f>
        <v/>
      </c>
      <c r="C30710" t="n">
        <v>0</v>
      </c>
      <c r="D30710" t="inlineStr">
        <is>
          <t>Hache du Chalœil; Amulette du Strigide; Bracelet du Piloztère; Alliance Gloursonne; Ceintacé; Casque du Chalœil; Voile d'encre; Bottes du Chalœil; Dofus Pourpre; Dofus des Glaces; Dofus Turquoise; Remueur; Vigoureux majeur; Nomade; Kramkram</t>
        </is>
      </c>
    </row>
    <row r="30711">
      <c r="A30711" t="inlineStr">
        <is>
          <t>Stuff 3</t>
        </is>
      </c>
      <c r="B30711">
        <f>HYPERLINK("https://www.dofusbook.net/fr/equipement/179344-stuff-3/objets", "link")</f>
        <v/>
      </c>
      <c r="C30711" t="n">
        <v>0</v>
      </c>
      <c r="D30711" t="inlineStr">
        <is>
          <t>Harpelle; Amulette de Nileza; Anneau Tique; Anneau de Nidas; Ceinture de Vortex; Couronne de Nidas; Cape de Diondin; Bottes Innommables; Dofus Turquoise; Nomade; Savant majeur; Érudit majeur; Remueur; Guérisseur majeur; Croum</t>
        </is>
      </c>
    </row>
    <row r="30712">
      <c r="A30712" t="inlineStr">
        <is>
          <t>Stuff 1</t>
        </is>
      </c>
      <c r="B30712">
        <f>HYPERLINK("https://www.dofusbook.net/fr/equipement/179339-stuff-1/objets", "link")</f>
        <v/>
      </c>
      <c r="C30712" t="n">
        <v>0</v>
      </c>
      <c r="D30712" t="inlineStr">
        <is>
          <t>Épée d'Otomaï; Amulette d'Otomaï; Bague Gloursonne; Kralano; Ceinture Séculaire; Masque Vaudou Ark; Cape Reski; Bottes d'Otomaï; Dofus Pourpre; Dofus des Glaces; Dofus Ocre; Dofus Turquoise; Astucieux majeur; Saccageur Feu majeur; Brûlih</t>
        </is>
      </c>
    </row>
    <row r="30713">
      <c r="A30713" t="inlineStr">
        <is>
          <t>Stuff 2</t>
        </is>
      </c>
      <c r="B30713">
        <f>HYPERLINK("https://www.dofusbook.net/fr/equipement/179334-stuff-2/objets", "link")</f>
        <v/>
      </c>
      <c r="C30713" t="n">
        <v>0</v>
      </c>
      <c r="D30713" t="inlineStr">
        <is>
          <t>Dagues du Dragoeuf; Amulette du Strigide; Bague Harre; Bague Gloursonne; Ceinture du Strigide; Couronne du Roi Joueur; Cape du Professeur Xa; Bottes du Strigide; Dofus Nébuleux; Dofus Pourpre; Dolmanax; Dofus des Glaces; Dofus Turquoise; Dofus Ocre; Kompost</t>
        </is>
      </c>
    </row>
    <row r="30714">
      <c r="A30714" t="inlineStr">
        <is>
          <t>Stuff 1</t>
        </is>
      </c>
      <c r="B30714">
        <f>HYPERLINK("https://www.dofusbook.net/fr/equipement/179346-stuff-1/objets", "link")</f>
        <v/>
      </c>
      <c r="C30714" t="n">
        <v>0</v>
      </c>
      <c r="D30714" t="inlineStr">
        <is>
          <t>Dagues Érhy; Amulette du Strigide; Bracelet du Piloztère; Bague Gloursonne; Ceinture de Gein; Chapeau de Gein; Voile d'encre; Bottes du Lévitrof; Dofus Ocre; Dofus Turquoise; Miraculé majeur; Remueur; Carapace Neutre majeur; Nomade; Croum</t>
        </is>
      </c>
    </row>
    <row r="30715">
      <c r="A30715" t="inlineStr">
        <is>
          <t>Stuff 3</t>
        </is>
      </c>
      <c r="B30715">
        <f>HYPERLINK("https://www.dofusbook.net/fr/equipement/179341-stuff-3/objets", "link")</f>
        <v/>
      </c>
      <c r="C30715" t="n">
        <v>0</v>
      </c>
      <c r="D30715" t="inlineStr">
        <is>
          <t>Dagues de Srambad; Amulette de Pol Ouatnos; Alliance Gloursonne; Bracelet du Piloztère; Ceinture de la Reine des Voleurs; Coiffe de la Reine des Voleurs; Cape des Justiciers; Baleinabottes; Dofus des Glaces; Dofus Pourpre; Dolmanax; Joueur majeur; Tacleur majeur; Obstructeur majeur; Blokus</t>
        </is>
      </c>
    </row>
    <row r="30716">
      <c r="A30716" t="inlineStr">
        <is>
          <t>Stuff 3</t>
        </is>
      </c>
      <c r="B30716">
        <f>HYPERLINK("https://www.dofusbook.net/fr/equipement/179348-stuff-3/objets", "link")</f>
        <v/>
      </c>
      <c r="C30716" t="n">
        <v>0</v>
      </c>
      <c r="D30716" t="inlineStr">
        <is>
          <t>Sceptre du Roi Joueur; Collier de la Dame du Hasard; Bracelet du Piloztère; Alliance Gloursonne; Sangle Ouare; Kidibonnet; Cape de Kongoku; Bottes de la Dame du Hasard; Dofus Pourpre; Dofus des Glaces; Dofus Turquoise; Remueur; Carapace Feu majeur; Carapace Terre majeur; Kramkram</t>
        </is>
      </c>
    </row>
    <row r="30717">
      <c r="A30717" t="inlineStr">
        <is>
          <t>Stuff 2</t>
        </is>
      </c>
      <c r="B30717">
        <f>HYPERLINK("https://www.dofusbook.net/fr/equipement/179343-stuff-2/objets", "link")</f>
        <v/>
      </c>
      <c r="C30717" t="n">
        <v>0</v>
      </c>
      <c r="D30717" t="inlineStr">
        <is>
          <t>Dagues Érhy; Amulette Séculaire; Anneau de Padgref; Kralano; Ceinture Séculaire; Coiffe de Padgref; Cape Hiculteur; Getas de Padgref; Dofus Turquoise; Dofus Émeraude; Dofus Pourpre; Dofus des Glaces; Dofus Ocre; Savant majeur; Dragodinde Prune et Emeraude</t>
        </is>
      </c>
    </row>
    <row r="30718">
      <c r="A30718" t="inlineStr">
        <is>
          <t>Stuff 3</t>
        </is>
      </c>
      <c r="B30718">
        <f>HYPERLINK("https://www.dofusbook.net/fr/equipement/179338-stuff-3/objets", "link")</f>
        <v/>
      </c>
      <c r="C30718" t="n">
        <v>0</v>
      </c>
      <c r="D30718" t="inlineStr">
        <is>
          <t>Épée du Granduk; Amulette du Granduk; Anneau d'Allister; Gant du Valet Veinard; Ceinture du Nocturlabe; Masque du Granduk; Cape du Valet Veinard; Bottes d'Allister; Dofus des Glaces; Dofus Pourpre; Dofus Turquoise; Dofus Ocre; Equilibriste majeur; Turbulent; Siroko</t>
        </is>
      </c>
    </row>
    <row r="30719">
      <c r="A30719" t="inlineStr">
        <is>
          <t>Stuff 1</t>
        </is>
      </c>
      <c r="B30719">
        <f>HYPERLINK("https://www.dofusbook.net/fr/equipement/179333-stuff-1/objets", "link")</f>
        <v/>
      </c>
      <c r="C30719" t="n">
        <v>0</v>
      </c>
      <c r="D30719" t="inlineStr">
        <is>
          <t>Marteau R'ture; Amulette du Strigide; Anneau Chevelu; Bague Gloursonne; Ceintacé; Chapeau de Gein; Voile d'encre; Bottes du Strigide; Dofus Turquoise; Dofus des Glaces; Dolmanax; Dofus Pourpre; Nomade; Remueur; Dragodinde en armure</t>
        </is>
      </c>
    </row>
    <row r="30720">
      <c r="A30720" t="inlineStr">
        <is>
          <t>Stuff 1</t>
        </is>
      </c>
      <c r="B30720">
        <f>HYPERLINK("https://www.dofusbook.net/fr/equipement/179345-stuff-1/objets", "link")</f>
        <v/>
      </c>
      <c r="C30720" t="n">
        <v>0</v>
      </c>
      <c r="D30720" t="inlineStr">
        <is>
          <t>Arc Hétype; Amulette de Nileza; Anneau de Nidas; Anneau Tique; Ceinture Séculaire; Couronne de Nidas; Voile d'encre; Pataugastrique; Déserteur majeur; Érudit majeur; Temporiseur majeur; Remueur; Carapace Feu majeur; Nomade; Croum</t>
        </is>
      </c>
    </row>
    <row r="30721">
      <c r="A30721" t="inlineStr">
        <is>
          <t>Stuff 2</t>
        </is>
      </c>
      <c r="B30721">
        <f>HYPERLINK("https://www.dofusbook.net/fr/equipement/179340-stuff-2/objets", "link")</f>
        <v/>
      </c>
      <c r="C30721" t="n">
        <v>0</v>
      </c>
      <c r="D30721" t="inlineStr">
        <is>
          <t>Hache du Chalœil; Amulette Luminescente; Alliance Gloursonne; Chevalière du Roi Joueur; Ceintacé; Casque du Chalœil; Voile d'encre; Bottes du Chalœil; Dolmanax; Dofus Turquoise; Dofus Pourpre; Dofus des Glaces; Nomade; Remueur; Dragodinde en armure</t>
        </is>
      </c>
    </row>
    <row r="30722">
      <c r="A30722" t="inlineStr">
        <is>
          <t>Stuff 3</t>
        </is>
      </c>
      <c r="B30722">
        <f>HYPERLINK("https://www.dofusbook.net/fr/equipement/179335-stuff-3/objets", "link")</f>
        <v/>
      </c>
      <c r="C30722" t="n">
        <v>0</v>
      </c>
      <c r="D30722" t="inlineStr">
        <is>
          <t>Pelle du Professeur Xa; Amulette du Strigide; Anneau de Brouce; Ceinture de Brouce; Le Kim; Cape Reski; Bottes de Brouce; Dofus Vulbis; Dofus Ocre; Dofus des Glaces; Dofus Pourpre; Dofus Nébuleux; Dofus Turquoise; Kompost</t>
        </is>
      </c>
    </row>
    <row r="30723">
      <c r="A30723" t="inlineStr">
        <is>
          <t>Stuff 3</t>
        </is>
      </c>
      <c r="B30723">
        <f>HYPERLINK("https://www.dofusbook.net/fr/equipement/454951-stuff-3/objets", "link")</f>
        <v/>
      </c>
      <c r="C30723" t="n">
        <v>4</v>
      </c>
      <c r="D30723" t="inlineStr">
        <is>
          <t>Baguette Héroclite; Amulette de l'Œil Attentif; Bracelet des Fonds marins; Anneau Volkorne; Droiture de Fallanster; Ceinture Volkorne; Capuche de l'Œil Attentif; Cape de l'Œil Attentif; Sandales des Fonds marins; Dofus Vulbis; Dofus Abyssal; Dofus Ocre; Dofus Ébène; Dofus des Glaces; Dofus Ivoire; Kanigloups</t>
        </is>
      </c>
    </row>
    <row r="30724">
      <c r="A30724" t="inlineStr">
        <is>
          <t>feu</t>
        </is>
      </c>
      <c r="B30724">
        <f>HYPERLINK("https://www.dofusbook.net/fr/equipement/2061189-feu/objets", "link")</f>
        <v/>
      </c>
      <c r="C30724" t="n">
        <v>8</v>
      </c>
      <c r="D30724" t="inlineStr">
        <is>
          <t>Arc du Chalœil; Amulette Volkorne; Goulano; Chevalière du Roi Joueur; Bouclier du Stalak; Ceinture Volkorne; Couronne du Roi Joueur; Voile d'encre; Bottes du Roi Joueur; Dofus Vulbis; Dofus Ébène; Dofus Ocre; Dofus des Glaces; Dofus Pourpre; Dofus Ivoire; Gwo Tofu Ventripotent</t>
        </is>
      </c>
    </row>
    <row r="30725">
      <c r="A30725" t="inlineStr">
        <is>
          <t>bof</t>
        </is>
      </c>
      <c r="B30725">
        <f>HYPERLINK("https://www.dofusbook.net/fr/equipement/5838246-bof/objets", "link")</f>
        <v/>
      </c>
      <c r="C30725" t="n">
        <v>0</v>
      </c>
      <c r="D30725" t="inlineStr">
        <is>
          <t>Arc corrompu; Amulette Volkorne; Anneauræus; Anneauræus; Bouclier du Stalak; Ceinture Volkorne; Heaume Oplate; Cape de Jahash Jurgen; Bottes Innommables; Dofus Ocre; Dofus Ébène; Dofus Abyssal; Dofus Ivoire; Dofus Vulbis; Dofus des Glaces; Bisouglours</t>
        </is>
      </c>
    </row>
    <row r="30726">
      <c r="A30726" t="inlineStr">
        <is>
          <t>anticra</t>
        </is>
      </c>
      <c r="B30726">
        <f>HYPERLINK("https://www.dofusbook.net/fr/equipement/1005465-anticra/objets", "link")</f>
        <v/>
      </c>
      <c r="C30726" t="n">
        <v>4</v>
      </c>
      <c r="D30726" t="inlineStr">
        <is>
          <t>Arc du Chalœil; Collier de Tourthon; Anneau du Comte Harebourg; Anneau de Brouce; Quatre-feuilles; Ceinture de Brouce; Coiffe du Comte Harebourg; Cape de Jahash Jurgen; Bottes de Brouce; Dofus Turquoise; Dofus Ébène; Dofus Ocre; Dofus Vulbis; Dofus des Glaces; Forcené majeur; Bulbisou</t>
        </is>
      </c>
    </row>
    <row r="30727">
      <c r="A30727" t="inlineStr">
        <is>
          <t>antisram</t>
        </is>
      </c>
      <c r="B30727">
        <f>HYPERLINK("https://www.dofusbook.net/fr/equipement/1297606-antisram/objets", "link")</f>
        <v/>
      </c>
      <c r="C30727" t="n">
        <v>0</v>
      </c>
      <c r="D30727" t="inlineStr">
        <is>
          <t>Massier; Amulette Volkorne; Anneauræus; Chevalière du Roi Joueur; Cadran d'Eau; Ceinture Volkorne; Heaume Oplate; Voile d'encre; Bottes Innommables; Dofus Ocre; Dofus Ébène; Dofus Ivoire; Dofus Vulbis; Dofus Abyssal; Érudit majeur; Dragodinde Amande et Orchidée</t>
        </is>
      </c>
    </row>
    <row r="30728">
      <c r="A30728" t="inlineStr">
        <is>
          <t>fuiteunpeu</t>
        </is>
      </c>
      <c r="B30728">
        <f>HYPERLINK("https://www.dofusbook.net/fr/equipement/1274809-fuiteunpeu/objets", "link")</f>
        <v/>
      </c>
      <c r="C30728" t="n">
        <v>2</v>
      </c>
      <c r="D30728" t="inlineStr">
        <is>
          <t>Dagues Açantes; Amulette du Sinistrofu; Anneau Volkorne; Bracelet des Fonds marins; Bouclier du Captain Amakna; Ceinture Volkorne; Masque des Fonds marins; Cape du Sinistrofu; Bottes du Sinistrofu; Dofus Ivoire; Dofus Ébène; Dofus Vulbis; Dofus Abyssal; Dofus Ocre; Dofus des Glaces; Kanigloups</t>
        </is>
      </c>
    </row>
    <row r="30729">
      <c r="A30729" t="inlineStr">
        <is>
          <t>Stuff 3</t>
        </is>
      </c>
      <c r="B30729">
        <f>HYPERLINK("https://www.dofusbook.net/fr/equipement/454963-stuff-3/objets", "link")</f>
        <v/>
      </c>
      <c r="C30729" t="n">
        <v>24</v>
      </c>
      <c r="D30729" t="inlineStr">
        <is>
          <t>Arc du Chalœil; Collier de Tourthon; Anneau de Brouce; Anneau du Comte Harebourg; Quatre-feuilles; Ceinture de Brouce; Coiffe du Comte Harebourg; Cape de Jahash Jurgen; Bottes de Brouce; Dofus Turquoise; Dofus Ocre; Dofus Ébène; Dofus Pourpre; Dofus Vulbis; Forcené majeur; Bulbisou</t>
        </is>
      </c>
    </row>
    <row r="30730">
      <c r="A30730" t="inlineStr">
        <is>
          <t>zbrah</t>
        </is>
      </c>
      <c r="B30730">
        <f>HYPERLINK("https://www.dofusbook.net/fr/equipement/2989973-zbrah/objets", "link")</f>
        <v/>
      </c>
      <c r="C30730" t="n">
        <v>12</v>
      </c>
      <c r="D30730" t="inlineStr">
        <is>
          <t>Crocobur; Amulette du Cœur Saignant; Chevalière du Roi Joueur; Anneau Volkorne; Bouclier d'Ilyzaelle; Ceinture Volkorne; Couronne du Roi Joueur; Cape du Cœur Saignant; Bottes du Cœur Saignant; Dofus Vulbis; Dofus Abyssal; Dofus Ocre; Dofus des Glaces; Dofus Ivoire; Dofus Ébène; Bulbisou</t>
        </is>
      </c>
    </row>
    <row r="30731">
      <c r="A30731" t="inlineStr">
        <is>
          <t>je rox fort</t>
        </is>
      </c>
      <c r="B30731">
        <f>HYPERLINK("https://www.dofusbook.net/fr/equipement/2042248-je-rox-fort/objets", "link")</f>
        <v/>
      </c>
      <c r="C30731" t="n">
        <v>20</v>
      </c>
      <c r="D30731" t="inlineStr">
        <is>
          <t>Arc Honte; Amulette Martegel; Alliance Gloursonne; Bague Gloursonne; Bouclier du Stalak; Ceinture de l'Esprit Salvateur; Masque de l'Esprit Salvateur; Cape Martegel; Bottes de l'Esprit Salvateur; Dofus Ivoire; Dofus des Glaces; Dofus Vulbis; Dofus Abyssal; Dofus Ocre; Dofus Ébène; Volkorne Jade et Turquoise</t>
        </is>
      </c>
    </row>
    <row r="30732">
      <c r="A30732" t="inlineStr">
        <is>
          <t>toto</t>
        </is>
      </c>
      <c r="B30732">
        <f>HYPERLINK("https://www.dofusbook.net/fr/equipement/2190469-toto/objets", "link")</f>
        <v/>
      </c>
      <c r="C30732" t="n">
        <v>16</v>
      </c>
      <c r="D30732" t="inlineStr">
        <is>
          <t>Arc corrompu; Amulette Volkorne; Anneauræus; Anneauræus; Bouclier du Stalak; Ceinture Volkorne; Heaume Oplate; Voile d'encre; Bottes Innommables; Dofus Pourpre; Dofus Ocre; Dofus Ébène; Dofus Vulbis; Dofus Ivoire; Érudit majeur; Bisouglours</t>
        </is>
      </c>
    </row>
    <row r="30733">
      <c r="A30733" t="inlineStr">
        <is>
          <t>cra</t>
        </is>
      </c>
      <c r="B30733">
        <f>HYPERLINK("https://www.dofusbook.net/fr/equipement/2778918-cra/objets", "link")</f>
        <v/>
      </c>
      <c r="C30733" t="n">
        <v>13</v>
      </c>
      <c r="D30733" t="inlineStr">
        <is>
          <t>Marteau R'ture; Amulette du Cœur Saignant; Bague Gloursonne; Anneau Chevelu; Bouclier d'Ilyzaelle; Ceinture Volkorne; Masque de Koutoulou; Bravoure de Rykke Errel; Bottes du Cœur Saignant; Dofus Vulbis; Dofus Ébène; Dofus Pourpre; Dofus Ocre; Dofus Abyssal; Dofus Ivoire; Dragodinde Ivoire et Pourpre</t>
        </is>
      </c>
    </row>
    <row r="30734">
      <c r="A30734" t="inlineStr">
        <is>
          <t>stuff vs ougiair</t>
        </is>
      </c>
      <c r="B30734">
        <f>HYPERLINK("https://www.dofusbook.net/fr/equipement/1118422-stuff-vs-ougiair/objets", "link")</f>
        <v/>
      </c>
      <c r="C30734" t="n">
        <v>10</v>
      </c>
      <c r="D30734" t="inlineStr">
        <is>
          <t>Dagues Érhy; Amulette Volkorne; Anneau Volkorne; Chevalière du Roi Joueur; Cadran de Terre; Ceinture Volkorne; Couronne du Roi Joueur; Voile d'encre; Bottes du Roi Joueur; Dofus Ocre; Dofus Abyssal; Dofus Ivoire; Dofus des Glaces; Dofus Pourpre; Dofus Ébène; Bwak de Terre</t>
        </is>
      </c>
    </row>
    <row r="30735">
      <c r="A30735" t="inlineStr">
        <is>
          <t>Stuff 2</t>
        </is>
      </c>
      <c r="B30735">
        <f>HYPERLINK("https://www.dofusbook.net/fr/equipement/454965-stuff-2/objets", "link")</f>
        <v/>
      </c>
      <c r="C30735" t="n">
        <v>4</v>
      </c>
      <c r="D30735" t="inlineStr">
        <is>
          <t>Arc Honte; Amulette Volkorne; Anneau de Nidas; Chevalière du Roi Joueur; Bouclier cubiste; Ceinture Volkorne; Couronne du Roi Joueur; Voile d'encre; Bottes du Roi Joueur; Dofus Vulbis; Dofus Ébène; Dofus Ocre; Dofus Abyssal; Dofus Pourpre; Dofus Ivoire; Gwo Tofu Ventripotent</t>
        </is>
      </c>
    </row>
    <row r="30736">
      <c r="A30736" t="inlineStr">
        <is>
          <t>Stuff 1</t>
        </is>
      </c>
      <c r="B30736">
        <f>HYPERLINK("https://www.dofusbook.net/fr/equipement/454964-stuff-1/objets", "link")</f>
        <v/>
      </c>
      <c r="C30736" t="n">
        <v>3</v>
      </c>
      <c r="D30736" t="inlineStr">
        <is>
          <t>Lav'Hache; Amulette Ementaire Deluxe; Bague Gloursonne; Anneau Chevelu; Bouclier du Stalak; Ceinture de la Reine des Voleurs; Coiffe de la Reine des Voleurs; Voile d'encre; Baleinabottes; Dofus Pourpre; Dofus Ivoire; Dofus des Glaces; Dofus Abyssal; Remueur; Nomade; Kramkram</t>
        </is>
      </c>
    </row>
    <row r="30737">
      <c r="A30737" t="inlineStr">
        <is>
          <t>koutou</t>
        </is>
      </c>
      <c r="B30737">
        <f>HYPERLINK("https://www.dofusbook.net/fr/equipement/790955-koutou/objets", "link")</f>
        <v/>
      </c>
      <c r="C30737" t="n">
        <v>0</v>
      </c>
      <c r="D30737" t="inlineStr">
        <is>
          <t>Hache Ériphe; Amulette du Kamasterisk; Bague Gloursonne; Alliance Gloursonne; Bouclier d'Ilyzaelle; Ceinture de la Reine des Voleurs; Coiffe de la Reine des Voleurs; Cape du Kamasterisk; Bottes du Kamasterisk; Dofus Abyssal; Dofus des Glaces; Dofus Ocre; Dofus Ivoire; Dofus Émeraude; Dofus Pourpre; Muldo Ebène</t>
        </is>
      </c>
    </row>
    <row r="30738">
      <c r="A30738" t="inlineStr">
        <is>
          <t>noobdocri</t>
        </is>
      </c>
      <c r="B30738">
        <f>HYPERLINK("https://www.dofusbook.net/fr/equipement/2215789-noobdocri/objets", "link")</f>
        <v/>
      </c>
      <c r="C30738" t="n">
        <v>2</v>
      </c>
      <c r="D30738" t="inlineStr">
        <is>
          <t>Arc de Koutoulou; Amulette du Strigide; Alliance Gloursonne; Anneau de Padgref; Quatre-feuilles; Ceinture du Strigide; Némès de Tal Kasha; Chevelure de Tal Kasha; Sandales de Tal Kasha; Dolmanax; Dofus Turquoise; Dofus Ocre; Dofus Pourpre; Dofus Abyssal; Taquin majeur; Muldo Doré et Emeraude</t>
        </is>
      </c>
    </row>
    <row r="30739">
      <c r="A30739" t="inlineStr">
        <is>
          <t>reseau</t>
        </is>
      </c>
      <c r="B30739">
        <f>HYPERLINK("https://www.dofusbook.net/fr/equipement/2064284-reseau/objets", "link")</f>
        <v/>
      </c>
      <c r="C30739" t="n">
        <v>2</v>
      </c>
      <c r="D30739" t="inlineStr">
        <is>
          <t>Lance corrompue; Amulette du Strigide; Anneau des égarés; Alliance Gloursonne; Bouclier d'Ilyzaelle; Ceinture de la Reine des Voleurs; Coiffe de la Reine des Voleurs; Voile d'encre; Baleinabottes; Dofus des Glaces; Dofus Pourpre; Dofus Abyssal; Dofus Ocre; Dokoko; Nomade; Kramkram</t>
        </is>
      </c>
    </row>
    <row r="30740">
      <c r="A30740" t="inlineStr">
        <is>
          <t>zity</t>
        </is>
      </c>
      <c r="B30740">
        <f>HYPERLINK("https://www.dofusbook.net/fr/equipement/535018-zity/objets", "link")</f>
        <v/>
      </c>
      <c r="C30740" t="n">
        <v>3</v>
      </c>
      <c r="D30740" t="inlineStr">
        <is>
          <t>Arc de Koutoulou; Amulette d'Ilyzaelle; Alliance Gloursonne; Gant du Valet Veinard; Bouclier du Stalak; Ceinture Voldelor; Casque d'Ilyzaelle; Cape Matelassée; Palmes Trithons; Dokoko; Dofus Abyssal; Dofus Ivoire; Dofus Pourpre; Dofus des Glaces; Remueur; Muldo Ebène</t>
        </is>
      </c>
    </row>
    <row r="30741">
      <c r="A30741" t="inlineStr">
        <is>
          <t>Stuff 1</t>
        </is>
      </c>
      <c r="B30741">
        <f>HYPERLINK("https://www.dofusbook.net/fr/equipement/454955-stuff-1/objets", "link")</f>
        <v/>
      </c>
      <c r="C30741" t="n">
        <v>2</v>
      </c>
      <c r="D30741" t="inlineStr">
        <is>
          <t>Héqache; Amulette Luminescente; Bague Trithon; Bague Instable; Bouclier précieux; Ceinture Luminescente; Masque Trithon; Cape du Cœur Vaillant; Bottes Trithon; Dofus Ocre; Dokoko; Dofus Abyssal; Dofus Émeraude; Bousculeur majeur; Pousseur majeur; Muldo Ebène et Pourpre</t>
        </is>
      </c>
    </row>
    <row r="30742">
      <c r="A30742" t="inlineStr">
        <is>
          <t>tankunpeu</t>
        </is>
      </c>
      <c r="B30742">
        <f>HYPERLINK("https://www.dofusbook.net/fr/equipement/2267261-tankunpeu/objets", "link")</f>
        <v/>
      </c>
      <c r="C30742" t="n">
        <v>6</v>
      </c>
      <c r="D30742" t="inlineStr">
        <is>
          <t>Manthache; Amulette d'Ilyzaelle; Anneau Crustique; Alliance Gloursonne; Bouclier d'Anerice; Menoture; Casque Dragoeuf; Cape d'Anerice; Sandales de Tal Kasha; Dofus Abyssal; Dofus Ivoire; Dofus Émeraude; Obstructeur majeur; Étourdisseur majeur; Remueur; Muldo Ebène</t>
        </is>
      </c>
    </row>
    <row r="30743">
      <c r="A30743" t="inlineStr">
        <is>
          <t>ret</t>
        </is>
      </c>
      <c r="B30743">
        <f>HYPERLINK("https://www.dofusbook.net/fr/equipement/1976897-ret/objets", "link")</f>
        <v/>
      </c>
      <c r="C30743" t="n">
        <v>2</v>
      </c>
      <c r="D30743" t="inlineStr">
        <is>
          <t>Héqache; Amulette du Strigide; Alliance Gloursonne; Anneau Crustique; Sept ans de malheur; Menoture; Chapoulpe; Voile d'encre; Tentassons; Dofus Émeraude; Dolmanax; Dofus Abyssal; Dofus Ivoire; Carapace Neutre majeur; Remueur; Muldo Ebène et Indigo</t>
        </is>
      </c>
    </row>
    <row r="30744">
      <c r="A30744" t="inlineStr">
        <is>
          <t>Stuff 1</t>
        </is>
      </c>
      <c r="B30744">
        <f>HYPERLINK("https://www.dofusbook.net/fr/equipement/454970-stuff-1/objets", "link")</f>
        <v/>
      </c>
      <c r="C30744" t="n">
        <v>0</v>
      </c>
      <c r="D30744" t="inlineStr">
        <is>
          <t>Héqache; Amulette du Strigide; Alliance Gloursonne; Anneau des égarés; Sept ans de malheur; Menoture; Chapoulpe; Voile d'encre; Tentassons; Dofus Abyssal; Dofus Ivoire; Dofus Émeraude; Remueur; Carapace Eau majeur; Carapace Neutre majeur; Muldo Ebène et Indigo</t>
        </is>
      </c>
    </row>
    <row r="30745">
      <c r="A30745" t="inlineStr">
        <is>
          <t>delo</t>
        </is>
      </c>
      <c r="B30745">
        <f>HYPERLINK("https://www.dofusbook.net/fr/equipement/832068-delo/objets", "link")</f>
        <v/>
      </c>
      <c r="C30745" t="n">
        <v>1</v>
      </c>
      <c r="D30745" t="inlineStr">
        <is>
          <t>Arc Nécrotique; Collier de la Dame du Hasard; Alliance Gloursonne; Anneau Tique; Bouclier cubiste; Ceinture de l'Esprit Malsain; Kidibonnet; Voile d'encre; Bottes de la Dame du Hasard; Dofus des Glaces; Dofus Pourpre; Dofus Abyssal; Dofus Ivoire; Dofus Turquoise; Dolmanax; Muldo Indigo et Pourpre</t>
        </is>
      </c>
    </row>
    <row r="30746">
      <c r="A30746" t="inlineStr">
        <is>
          <t>strid</t>
        </is>
      </c>
      <c r="B30746">
        <f>HYPERLINK("https://www.dofusbook.net/fr/equipement/769169-strid/objets", "link")</f>
        <v/>
      </c>
      <c r="C30746" t="n">
        <v>1</v>
      </c>
      <c r="D30746" t="inlineStr">
        <is>
          <t>Arc Nécrotique; Amulette du Strigide; Anneau Cryochrone; Bracelet du Piloztère; Quatre-feuilles; Ceinture du Strigide; Kidibonnet; Cape de la Dame du Hasard; Bottes de la Dame du Hasard; Dofus des Glaces; Dofus Ocre; Dofus Abyssal; Dolmanax; Dofus Turquoise; Dofus Pourpre; Muldo Prune et Emeraude</t>
        </is>
      </c>
    </row>
    <row r="30747">
      <c r="A30747" t="inlineStr">
        <is>
          <t>Stuff 2</t>
        </is>
      </c>
      <c r="B30747">
        <f>HYPERLINK("https://www.dofusbook.net/fr/equipement/454962-stuff-2/objets", "link")</f>
        <v/>
      </c>
      <c r="C30747" t="n">
        <v>2</v>
      </c>
      <c r="D30747" t="inlineStr">
        <is>
          <t>Epée Gloursonne; Amulette du Strigide; Bague Gloursonne; Alliance Gloursonne; Quatre-feuilles; Ceinture du Strigide; Némès de Tal Kasha; Chevelure de Tal Kasha; Sandales de Tal Kasha; Dofus Turquoise; Dofus Ocre; Dofus des Glaces; Dofus Pourpre; Dolmanax; Puissant majeur; Muldo Doré et Emeraude</t>
        </is>
      </c>
    </row>
    <row r="30748">
      <c r="A30748" t="inlineStr">
        <is>
          <t>eauair</t>
        </is>
      </c>
      <c r="B30748">
        <f>HYPERLINK("https://www.dofusbook.net/fr/equipement/2175174-eauair/objets", "link")</f>
        <v/>
      </c>
      <c r="C30748" t="n">
        <v>0</v>
      </c>
      <c r="D30748" t="inlineStr"/>
    </row>
    <row r="30749">
      <c r="A30749" t="inlineStr">
        <is>
          <t>Stuff 2</t>
        </is>
      </c>
      <c r="B30749">
        <f>HYPERLINK("https://www.dofusbook.net/fr/equipement/454956-stuff-2/objets", "link")</f>
        <v/>
      </c>
      <c r="C30749" t="n">
        <v>2</v>
      </c>
      <c r="D30749" t="inlineStr">
        <is>
          <t>Héqache; Torquistik; Anneau Chevelu; Bague Trithon; Bouclier précieux; Ceinture Luminescente; Masque de Koutoulou; Cape du Cœur Vaillant; Bottes Trithon; Dofus Abyssal; Dofus Pourpre; Bousculeur majeur; Pousseur majeur; Culbuteur majeur; Remueur; Muldo Ebène et Pourpre</t>
        </is>
      </c>
    </row>
    <row r="30750">
      <c r="A30750" t="inlineStr">
        <is>
          <t>stufftest</t>
        </is>
      </c>
      <c r="B30750">
        <f>HYPERLINK("https://www.dofusbook.net/fr/equipement/2093963-stufftest/objets", "link")</f>
        <v/>
      </c>
      <c r="C30750" t="n">
        <v>0</v>
      </c>
      <c r="D30750" t="inlineStr">
        <is>
          <t>Arc Nécrotique; Collier de la Dame du Hasard; Goulano; Anneau Tique; Bouclier du Stalak; Ceinture de l'Esprit Malsain; Casquette de Meno; Cape de la Dame du Hasard; Pataugastrique; Dofus Turquoise; Dolmanax; Dofus des Glaces; Dofus Pourpre; Vigoureux majeur; Remueur; Muldo Orchidée</t>
        </is>
      </c>
    </row>
    <row r="30751">
      <c r="A30751" t="inlineStr">
        <is>
          <t>Stuff 2</t>
        </is>
      </c>
      <c r="B30751">
        <f>HYPERLINK("https://www.dofusbook.net/fr/equipement/454968-stuff-2/objets", "link")</f>
        <v/>
      </c>
      <c r="C30751" t="n">
        <v>1</v>
      </c>
      <c r="D30751" t="inlineStr">
        <is>
          <t>Manthache; Collier du Valet Veinard; Alliance Gloursonne; Gant du Valet Veinard; Cadran d'Air; Menoture; Casque Dragoeuf; Cape Indescriptible; Palmes Trithons; Dolmanax; Dofus Émeraude; Dofus Abyssal; Miraculé majeur; Cascadeur majeur; Remueur; Muldo Ebène</t>
        </is>
      </c>
    </row>
    <row r="30752">
      <c r="A30752" t="inlineStr">
        <is>
          <t>Stuff 3</t>
        </is>
      </c>
      <c r="B30752">
        <f>HYPERLINK("https://www.dofusbook.net/fr/equipement/454960-stuff-3/objets", "link")</f>
        <v/>
      </c>
      <c r="C30752" t="n">
        <v>1</v>
      </c>
      <c r="D30752" t="inlineStr">
        <is>
          <t>Héqache; Amulette du Strigide; Alliance Gloursonne; Bracelet du Piloztère; Bouclier Taverne; Ceintacé; Casque des égarés; Voile d'encre; Bottes du Strigide; Dofus Pourpre; Dofus Turquoise; Dolmanax; Dofus des Glaces; Remueur; Carapace Terre majeur; Muldo Ebène et Pourpre</t>
        </is>
      </c>
    </row>
    <row r="30753">
      <c r="A30753" t="inlineStr">
        <is>
          <t>feu</t>
        </is>
      </c>
      <c r="B30753">
        <f>HYPERLINK("https://www.dofusbook.net/fr/equipement/2093981-feu/objets", "link")</f>
        <v/>
      </c>
      <c r="C30753" t="n">
        <v>0</v>
      </c>
      <c r="D30753" t="inlineStr"/>
    </row>
    <row r="30754">
      <c r="A30754" t="inlineStr">
        <is>
          <t>Stuff 1</t>
        </is>
      </c>
      <c r="B30754">
        <f>HYPERLINK("https://www.dofusbook.net/fr/equipement/454958-stuff-1/objets", "link")</f>
        <v/>
      </c>
      <c r="C30754" t="n">
        <v>0</v>
      </c>
      <c r="D30754" t="inlineStr">
        <is>
          <t>Lance corrompue; Amulette du Cœur Vaillant; Alliance Gloursonne; Bague Gloursonne; Bouclier précieux; Sangle Ouare; Casque Dragoeuf; Cape du Cœur Vaillant; Bottes du Cœur Vaillant; Dofus des Glaces; Dofus Émeraude; Dofus Abyssal; Dokoko; Dofus Ocre; Bousculeur majeur; El Scarador</t>
        </is>
      </c>
    </row>
    <row r="30755">
      <c r="A30755" t="inlineStr">
        <is>
          <t>tankrox</t>
        </is>
      </c>
      <c r="B30755">
        <f>HYPERLINK("https://www.dofusbook.net/fr/equipement/790597-tankrox/objets", "link")</f>
        <v/>
      </c>
      <c r="C30755" t="n">
        <v>1</v>
      </c>
      <c r="D30755" t="inlineStr">
        <is>
          <t>Dagoulinantes; Amulette de Shokkoth; Alliance Gloursonne; Bracelet des Fonds marins; Cadran d'Air; Poulpagne; Casque Dragoeuf; Cape du Sinistrofu; Bottes du Sinistrofu; Dofus Émeraude; Dofus Pourpre; Dolmanax; Dofus Abyssal; Chanceux majeur; Remueur; Muldo Indigo et Pourpre</t>
        </is>
      </c>
    </row>
    <row r="30756">
      <c r="A30756" t="inlineStr">
        <is>
          <t>Stuff 3</t>
        </is>
      </c>
      <c r="B30756">
        <f>HYPERLINK("https://www.dofusbook.net/fr/equipement/454957-stuff-3/objets", "link")</f>
        <v/>
      </c>
      <c r="C30756" t="n">
        <v>1</v>
      </c>
      <c r="D30756" t="inlineStr">
        <is>
          <t>Héqache; Torquistik; Anneau Chevelu; Bague Trithon; Bouclier précieux; Ceinture Luminescente; Masque de Koutoulou; Voile d'encre; Bottes Trithon; Dofus Émeraude; Dofus Pourpre; Bousculeur majeur; Enragé majeur; Culbuteur majeur; Remueur; Muldo Pourpre</t>
        </is>
      </c>
    </row>
    <row r="30757">
      <c r="A30757" t="inlineStr">
        <is>
          <t>anti xel air</t>
        </is>
      </c>
      <c r="B30757">
        <f>HYPERLINK("https://www.dofusbook.net/fr/equipement/1237702-anti-xel-air/objets", "link")</f>
        <v/>
      </c>
      <c r="C30757" t="n">
        <v>0</v>
      </c>
      <c r="D30757" t="inlineStr">
        <is>
          <t>Marteau des égarés; Amulette Ementaire Deluxe; Pikano; Alliance Gloursonne; Bouclier d'Ilyzaelle; Ceinture de la Reine des Voleurs; Coiffe de la Reine des Voleurs; Voile d'encre; Pataugastrique; Dolmanax; Dofus des Glaces; Dofus Émeraude; Dofus Abyssal; Évasif majeur; Remueur; Muldo Ebène et Pourpre</t>
        </is>
      </c>
    </row>
    <row r="30758">
      <c r="A30758" t="inlineStr">
        <is>
          <t>roxrox</t>
        </is>
      </c>
      <c r="B30758">
        <f>HYPERLINK("https://www.dofusbook.net/fr/equipement/2025596-roxrox/objets", "link")</f>
        <v/>
      </c>
      <c r="C30758" t="n">
        <v>0</v>
      </c>
      <c r="D30758" t="inlineStr">
        <is>
          <t>Marteau de Katrepat; Amulette du Strigide; Alliance Gloursonne; Alliance Brûlâme; Bouclier d'Ilyzaelle; Ceinture du Strigide; Masque Brûlâme; Voile d'encre; Pompes Funèbres; Dolmanax; Dofus Pourpre; Dofus Ocre; Dofus des Glaces; Dofus Turquoise; Dofus Abyssal; Muldo Ebène et Pourpre</t>
        </is>
      </c>
    </row>
    <row r="30759">
      <c r="A30759" t="inlineStr">
        <is>
          <t>Stuff 2</t>
        </is>
      </c>
      <c r="B30759">
        <f>HYPERLINK("https://www.dofusbook.net/fr/equipement/454953-stuff-2/objets", "link")</f>
        <v/>
      </c>
      <c r="C30759" t="n">
        <v>0</v>
      </c>
      <c r="D30759" t="inlineStr">
        <is>
          <t>Rouleau à Pâtisserie d'Aermyne; Amulette du Strigide; Anneau Chevelu; Alliance Gloursonne; Bouclier d'Anerice; Ceinture de Kongoku; Dorabysses; Cape d'Anerice; Pataugastrique; Dofus Émeraude; Dokoko; Remueur; Obstructeur majeur; Bloqueur majeur; Miraculé majeur; Muldo Roux</t>
        </is>
      </c>
    </row>
    <row r="30760">
      <c r="A30760" t="inlineStr">
        <is>
          <t>Stuff 1</t>
        </is>
      </c>
      <c r="B30760">
        <f>HYPERLINK("https://www.dofusbook.net/fr/equipement/454952-stuff-1/objets", "link")</f>
        <v/>
      </c>
      <c r="C30760" t="n">
        <v>0</v>
      </c>
      <c r="D30760" t="inlineStr">
        <is>
          <t>Rouleau à Pâtisserie d'Aermyne; Amulette du Strigide; Alliance Gloursonne; Anneau Chevelu; Sept ans de malheur; Ceinture de Kongoku; Coiffe d'Aermyne; Voile d'encre; Pataugastrique; Dofus Émeraude; Dokoko; Remueur; Miraculé majeur; Carapace Eau majeur; Obstructeur majeur; Muldo Roux</t>
        </is>
      </c>
    </row>
    <row r="30761">
      <c r="A30761" t="inlineStr">
        <is>
          <t>Stuff 2</t>
        </is>
      </c>
      <c r="B30761">
        <f>HYPERLINK("https://www.dofusbook.net/fr/equipement/454971-stuff-2/objets", "link")</f>
        <v/>
      </c>
      <c r="C30761" t="n">
        <v>1</v>
      </c>
      <c r="D30761" t="inlineStr">
        <is>
          <t>Héqache; Amulette du Strigide; Anneau du Cycloïde; Alliance Gloursonne; Sept ans de malheur; Menoture; Chapoulpe; Voile d'encre; Tentassons; Dofus des Glaces; Dofus Abyssal; Dolmanax; Dofus Pourpre; Étourdisseur majeur; Remueur; Muldo Ebène</t>
        </is>
      </c>
    </row>
    <row r="30762">
      <c r="A30762" t="inlineStr">
        <is>
          <t>ral</t>
        </is>
      </c>
      <c r="B30762">
        <f>HYPERLINK("https://www.dofusbook.net/fr/equipement/1814268-ral/objets", "link")</f>
        <v/>
      </c>
      <c r="C30762" t="n">
        <v>0</v>
      </c>
      <c r="D30762" t="inlineStr">
        <is>
          <t>Marteau R'ture; Amulette du Glourséleste; Pikano; Anneau de Nidas; Bouclier cubiste; Sangle Cible; Casquipik; Cape de Léthaline; Pantoufles Émar; Entraveur; Entraveur majeur; Temporiseur; Temporiseur majeur; Ralentisseur majeur; Remueur; Minikrone</t>
        </is>
      </c>
    </row>
    <row r="30763">
      <c r="A30763" t="inlineStr">
        <is>
          <t>Stuff 3</t>
        </is>
      </c>
      <c r="B30763">
        <f>HYPERLINK("https://www.dofusbook.net/fr/equipement/454954-stuff-3/objets", "link")</f>
        <v/>
      </c>
      <c r="C30763" t="n">
        <v>0</v>
      </c>
      <c r="D30763" t="inlineStr">
        <is>
          <t>Dagoulinantes; Amulette de Shokkoth; Bracelet des Fonds marins; Alliance Gloursonne; Sept ans de malheur; Poulpagne; Kidibonnet; Cape de Mantaze; Sandales des Fonds marins; Dokoko; Dofus Pourpre; Dofus Émeraude; Dévastateur Eau majeur; Remueur; Chanceux majeur; Muldo Ebène et Pourpre</t>
        </is>
      </c>
    </row>
    <row r="30764">
      <c r="A30764" t="inlineStr">
        <is>
          <t>Stuff 1</t>
        </is>
      </c>
      <c r="B30764">
        <f>HYPERLINK("https://www.dofusbook.net/fr/equipement/454967-stuff-1/objets", "link")</f>
        <v/>
      </c>
      <c r="C30764" t="n">
        <v>0</v>
      </c>
      <c r="D30764" t="inlineStr">
        <is>
          <t>Baguette de Malléfisk; Amulette de Nileza; Anneau de Nidas; Anneau Tique; Carapar; Ceinture de Kongoku; Couronne de Nidas; Cape de Diondin; Bottes Innommables; Dofus Émeraude; Dofus Abyssal; Érudit majeur; Carapace Terre majeur; Guérisseur majeur; Remueur; Muldo Orchidée et Pourpre</t>
        </is>
      </c>
    </row>
    <row r="30765">
      <c r="A30765" t="inlineStr">
        <is>
          <t>duo proto</t>
        </is>
      </c>
      <c r="B30765">
        <f>HYPERLINK("https://www.dofusbook.net/fr/equipement/1297519-duo-proto/objets", "link")</f>
        <v/>
      </c>
      <c r="C30765" t="n">
        <v>0</v>
      </c>
      <c r="D30765" t="inlineStr">
        <is>
          <t>Arc du Chalœil; Collier de Tourthon; Pikano; Chevalière du Roi Joueur; Carapar; Ceintacé; Masque de Koutoulou; Cape au Logis; Bottes du Roi Joueur; Dokoko; Dofus Abyssal; Dofus Émeraude; Dofus Pourpre; Enragé majeur; Miraculé majeur; Muldo Doré et Ebène</t>
        </is>
      </c>
    </row>
    <row r="30766">
      <c r="A30766" t="inlineStr">
        <is>
          <t>ret magueule</t>
        </is>
      </c>
      <c r="B30766">
        <f>HYPERLINK("https://www.dofusbook.net/fr/equipement/688844-ret-magueule/objets", "link")</f>
        <v/>
      </c>
      <c r="C30766" t="n">
        <v>1</v>
      </c>
      <c r="D30766" t="inlineStr">
        <is>
          <t>Marteau R'ture; Amulette du Glourséleste; Anneau de Nidas; Chevalière du Roi Joueur; Bouclier cubiste; Ceinture de Kongoku; Casquipik; Cape de Léthaline; Pikottes; Dofus Cawotte; Temporiseur; Remueur; Entraveur majeur; Ralentisseur majeur; Temporiseur majeur; Minikrone</t>
        </is>
      </c>
    </row>
    <row r="30767">
      <c r="A30767" t="inlineStr">
        <is>
          <t>Stuff 2</t>
        </is>
      </c>
      <c r="B30767">
        <f>HYPERLINK("https://www.dofusbook.net/fr/equipement/454950-stuff-2/objets", "link")</f>
        <v/>
      </c>
      <c r="C30767" t="n">
        <v>1</v>
      </c>
      <c r="D30767" t="inlineStr">
        <is>
          <t>Héqache; Amulette du Sinistrofu; Bague Instable; Bague Trithon; Bouclier précieux; Ceintrigue; Casque Dragoeuf; Cape Luminescente; Bottes Trithon; Dofus Ocre; Dofus Émeraude; Pousseur majeur; Remueur; Bousculeur majeur; Culbuteur majeur; Muldo Orchidée et Pourpre</t>
        </is>
      </c>
    </row>
    <row r="30768">
      <c r="A30768" t="inlineStr">
        <is>
          <t>feu</t>
        </is>
      </c>
      <c r="B30768">
        <f>HYPERLINK("https://www.dofusbook.net/fr/equipement/559634-feu/objets", "link")</f>
        <v/>
      </c>
      <c r="C30768" t="n">
        <v>2</v>
      </c>
      <c r="D30768" t="inlineStr">
        <is>
          <t>Plumeau Bil; Pendentif affamé; Anneau Tamie; Anneau Tamie; Bouclier du Stalak; Ceinture Séculaire; Coiffe Séculaire; Cape de Diondin; Bottes Innommables; Dofus des Glaces; Dofus Pourpre; Nomade; Érudit majeur; Dévastateur Feu majeur; Remueur; Brûlih</t>
        </is>
      </c>
    </row>
    <row r="30769">
      <c r="A30769" t="inlineStr">
        <is>
          <t>Stuff 2</t>
        </is>
      </c>
      <c r="B30769">
        <f>HYPERLINK("https://www.dofusbook.net/fr/equipement/454959-stuff-2/objets", "link")</f>
        <v/>
      </c>
      <c r="C30769" t="n">
        <v>1</v>
      </c>
      <c r="D30769" t="inlineStr">
        <is>
          <t>Héqache; Amulette du Strigide; Alliance Gloursonne; Anneau Chevelu; Bouclier Taverne; Ceintacé; Chapoulpe; Voile d'encre; Bottes du Strigide; Dofus Pourpre; Dofus Turquoise; Dolmanax; Dofus des Glaces; Remueur; Muldo Ebène et Pourpre</t>
        </is>
      </c>
    </row>
    <row r="30770">
      <c r="A30770" t="inlineStr">
        <is>
          <t>Stuff 1</t>
        </is>
      </c>
      <c r="B30770">
        <f>HYPERLINK("https://www.dofusbook.net/fr/equipement/454961-stuff-1/objets", "link")</f>
        <v/>
      </c>
      <c r="C30770" t="n">
        <v>0</v>
      </c>
      <c r="D30770" t="inlineStr">
        <is>
          <t>Baguette Range; Amulette du Strigide; Anneau Tique; Anneau de Padgref; Quatre-feuilles; Ceinture du Strigide; Coiffe de Padgref; Chevelure de Tal Kasha; Getas de Padgref; Dofus Pourpre; Dofus des Glaces; Dofus Turquoise; Dofus Nébuleux; Dolmanax; Dofus Ocre; Muldo Prune et Emeraude</t>
        </is>
      </c>
    </row>
    <row r="30771">
      <c r="A30771" t="inlineStr">
        <is>
          <t>Stuff 3</t>
        </is>
      </c>
      <c r="B30771">
        <f>HYPERLINK("https://www.dofusbook.net/fr/equipement/454969-stuff-3/objets", "link")</f>
        <v/>
      </c>
      <c r="C30771" t="n">
        <v>0</v>
      </c>
      <c r="D30771" t="inlineStr">
        <is>
          <t>Arc corrompu; Amulette de Nileza; Alliance Gloursonne; Anneau Tique; Bouclier cubiste; Ceinture Séculaire; Coiffe Séculaire; Cape de Diondin; Bottes Innommables; Dofus Émeraude; Dofus Abyssal; Remueur; Carapace Terre majeur; Érudit majeur; Muldo Orchidée</t>
        </is>
      </c>
    </row>
    <row r="30772">
      <c r="A30772" t="inlineStr">
        <is>
          <t>Stuff 1</t>
        </is>
      </c>
      <c r="B30772">
        <f>HYPERLINK("https://www.dofusbook.net/fr/equipement/454949-stuff-1/objets", "link")</f>
        <v/>
      </c>
      <c r="C30772" t="n">
        <v>0</v>
      </c>
      <c r="D30772" t="inlineStr">
        <is>
          <t>Héqache; Amulette du Sinistrofu; Bague Trithon; Alliance Gloursonne; Bouclier précieux; Ceinture Luminescente; Masque d'Anerice; Cape d'Anerice; Pataugastrique; Dofus Émeraude; Miraculé majeur; Bousculeur majeur; Carapace Neutre majeur; Culbuteur majeur; Remueur; Muldo Ebène et Pourpre</t>
        </is>
      </c>
    </row>
    <row r="30773">
      <c r="A30773" t="inlineStr">
        <is>
          <t>Terre/feu/eau pvp</t>
        </is>
      </c>
      <c r="B30773">
        <f>HYPERLINK("https://www.dofusbook.net/fr/equipement/3862479-terre-feu-eau--pvp/objets", "link")</f>
        <v/>
      </c>
      <c r="C30773" t="n">
        <v>66</v>
      </c>
      <c r="D30773" t="inlineStr">
        <is>
          <t>Hache du Chalœil; Amulette Volkorne; Alliance du Lévitrof; Anneau Volkorne; Bouclier du Stalak; Ceinture Volkorne; Coiffe du Lévitrof; Dofusteuse; Bottes du Lévitrof; Dofus Pourpre; Dofus des Glaces; Dofus Ébène; Dofus Ivoire; Dofus Abyssal; Dofus Ocre; Kramkram</t>
        </is>
      </c>
    </row>
    <row r="30774">
      <c r="A30774" t="inlineStr">
        <is>
          <t>full feu</t>
        </is>
      </c>
      <c r="B30774">
        <f>HYPERLINK("https://www.dofusbook.net/fr/equipement/5214872-full-feu/objets", "link")</f>
        <v/>
      </c>
      <c r="C30774" t="n">
        <v>8</v>
      </c>
      <c r="D30774" t="inlineStr">
        <is>
          <t>Arc corrompu; Amulette Volkorne; Anneauræus; Anneau de Nidas; Bouclier du Stalak; Ceinture Séculaire; Coiffe Séculaire; Cape de Diondin; Bottes Innommables; Dofus Ivoire; Dofus Abyssal; Dofus Vulbis; Dofus Ébène; Dofus Ocre; Érudit majeur; Bisouglours</t>
        </is>
      </c>
    </row>
    <row r="30775">
      <c r="A30775" t="inlineStr">
        <is>
          <t>Full eau</t>
        </is>
      </c>
      <c r="B30775">
        <f>HYPERLINK("https://www.dofusbook.net/fr/equipement/4446078-full-eau/objets", "link")</f>
        <v/>
      </c>
      <c r="C30775" t="n">
        <v>15</v>
      </c>
      <c r="D30775" t="inlineStr">
        <is>
          <t>Arc Ontanporin; Amulette de Shokkoth; Alliance Gloursonne; Anneau Volkorne; Bouclier du Stalak; Ceinture Volkorne; Kidibonnet; Cape de l'Œil Putride; Bottes du Sinistrofu; Dofus Ocre; Dofus Vulbis; Dofus Ivoire; Dofus Abyssal; Dofus Ébène; Chanceux majeur; Kanigloups</t>
        </is>
      </c>
    </row>
    <row r="30776">
      <c r="A30776" t="inlineStr">
        <is>
          <t>feu/air</t>
        </is>
      </c>
      <c r="B30776">
        <f>HYPERLINK("https://www.dofusbook.net/fr/equipement/5805053-feu-air/objets", "link")</f>
        <v/>
      </c>
      <c r="C30776" t="n">
        <v>1</v>
      </c>
      <c r="D30776" t="inlineStr">
        <is>
          <t>Arc corrompu; Amulette Martegel; Anneau Rifique; Anneau de Nidas; Bouclier cubiste; Ceinture de l'Esprit Salvateur; Masquegel; Cape Martegel; Bottes de l'Esprit Salvateur; Dofus Pourpre; Dofus Ivoire; Dofus Ocre; Dofus Ébène; Dofus Vulbis; Dofus Abyssal; Volkorne Turquoise</t>
        </is>
      </c>
    </row>
    <row r="30777">
      <c r="A30777" t="inlineStr">
        <is>
          <t>Enutrof M 200</t>
        </is>
      </c>
      <c r="B30777">
        <f>HYPERLINK("https://www.dofusbook.net/fr/equipement/5512290-enutrof-m-200/objets", "link")</f>
        <v/>
      </c>
      <c r="C30777" t="n">
        <v>4</v>
      </c>
      <c r="D30777" t="inlineStr">
        <is>
          <t>Rapière aux Glyphes; Amulette de Danathor; Pikano; Anneau Glacial; Bouclier cubiste; Ceinture Glaciale; Casquipik; Cape Glaciale; Pikottes; Dofus Pourpre; Dofus Ocre; Dofus Turquoise; Dofus des Glaces; Ralentisseur majeur; Entraveur majeur; Volkorne Turquoise</t>
        </is>
      </c>
    </row>
    <row r="30778">
      <c r="A30778" t="inlineStr">
        <is>
          <t>terre/air</t>
        </is>
      </c>
      <c r="B30778">
        <f>HYPERLINK("https://www.dofusbook.net/fr/equipement/4510078-terre-air/objets", "link")</f>
        <v/>
      </c>
      <c r="C30778" t="n">
        <v>7</v>
      </c>
      <c r="D30778" t="inlineStr">
        <is>
          <t>Dagues Érhy; Amulette de Nevark; Anneau du Katcheur; Alliance Brûlâme; Bouclier du Stalak; Ceinture de Nevark; Masque du Katcheur; Cape de Nevark; Bottes du Katcheur; Dofus Ocre; Dofus Abyssal; Dofus Ébène; Dofus Pourpre; Dofus des Glaces; Robuste majeur; Volkorne Turquoise</t>
        </is>
      </c>
    </row>
    <row r="30779">
      <c r="A30779" t="inlineStr">
        <is>
          <t>eau/air</t>
        </is>
      </c>
      <c r="B30779">
        <f>HYPERLINK("https://www.dofusbook.net/fr/equipement/5068988-eau-air/objets", "link")</f>
        <v/>
      </c>
      <c r="C30779" t="n">
        <v>1</v>
      </c>
      <c r="D30779" t="inlineStr">
        <is>
          <t>Hache du Korriandre; Amulette d'Ilyzaelle; Alliance Gloursonne; Anneau Tique; Bouclier du Stalak; Ceinture de la Reine des Voleurs; Casque d'Ilyzaelle; Cape Tif; Bottes de la Reine des Voleurs; Dofus Ébène; Dofus Vulbis; Dofus Pourpre; Dofus Argenté; Dofus Ocre; Dofus Ivoire; Volkorne Jade et Turquoise</t>
        </is>
      </c>
    </row>
    <row r="30780">
      <c r="A30780" t="inlineStr">
        <is>
          <t>feu/eau/air</t>
        </is>
      </c>
      <c r="B30780">
        <f>HYPERLINK("https://www.dofusbook.net/fr/equipement/5295621-feu-eau-air/objets", "link")</f>
        <v/>
      </c>
      <c r="C30780" t="n">
        <v>4</v>
      </c>
      <c r="D30780" t="inlineStr">
        <is>
          <t>Pyraguette; Amulette de l'Œil Putride; Alliance Gloursonne; Bracelet du Piloztère; Bouclier du Stalak; Ceinture de l'Esprit Salvateur; Masque de l'Esprit Salvateur; Cape de l'Œil Putride; Bottes de l'Esprit Salvateur; Dofus Ocre; Dofus Pourpre; Dofus Ébène; Dofus Ivoire; Dofus Vulbis; Dofus des Glaces; Volkorne Turquoise</t>
        </is>
      </c>
    </row>
    <row r="30781">
      <c r="A30781" t="inlineStr">
        <is>
          <t>Sacrieur M 200</t>
        </is>
      </c>
      <c r="B30781">
        <f>HYPERLINK("https://www.dofusbook.net/fr/equipement/5060120-sacrieur-m-200/objets", "link")</f>
        <v/>
      </c>
      <c r="C30781" t="n">
        <v>1</v>
      </c>
      <c r="D30781" t="inlineStr">
        <is>
          <t>Sabres d'Atcham; Amulette d'Ilyzaelle; Alliance Gloursonne; Anneau Volkorne; Bouclier d'Ilyzaelle; Ceinture Volkorne; Casque d'Ilyzaelle; Cape d'Atcham; Sandales  d'Atcham; Dofus Ocre; Dofus Ivoire; Dofus Abyssal; Dofus Pourpre; Dofus Émeraude; Dofus Ébène; Bwak d'Air</t>
        </is>
      </c>
    </row>
    <row r="30782">
      <c r="A30782" t="inlineStr">
        <is>
          <t>Sadida M 200</t>
        </is>
      </c>
      <c r="B30782">
        <f>HYPERLINK("https://www.dofusbook.net/fr/equipement/4590934-sadida-m-200/objets", "link")</f>
        <v/>
      </c>
      <c r="C30782" t="n">
        <v>3</v>
      </c>
      <c r="D30782" t="inlineStr">
        <is>
          <t>Bâthon; Amulette Volkorne; Anneau Volkorne; Chevalière du Roi Joueur; Bouclier du Stalak; Ceinture Volkorne; Couronne du Roi Joueur; Cape de Jahash Jurgen; Bottes du Roi Joueur; Dofus Pourpre; Dofus des Glaces; Dofus Ocre; Dofus Ébène; Dofus Abyssal; Robuste majeur; Fëanor</t>
        </is>
      </c>
    </row>
    <row r="30783">
      <c r="A30783" t="inlineStr">
        <is>
          <t>Sadida M 200</t>
        </is>
      </c>
      <c r="B30783">
        <f>HYPERLINK("https://www.dofusbook.net/fr/equipement/4876590-sadida-m-200/objets", "link")</f>
        <v/>
      </c>
      <c r="C30783" t="n">
        <v>1</v>
      </c>
      <c r="D30783" t="inlineStr">
        <is>
          <t>Hache du Chalœil; Amulette du Strigide; Bague Trithon; Anneau Toriété; Quatre-feuilles; Ceinture du Strigide; Masque Trithon; Cape de la Dame du Hasard; Bottes Trithon; Dofus Ébène; Dofus Ocre; Dofus Pourpre; Dofus des Glaces; Dofus Turquoise; Dofus Abyssal; Kokulte</t>
        </is>
      </c>
    </row>
    <row r="30784">
      <c r="A30784" t="inlineStr">
        <is>
          <t>Stuff 3</t>
        </is>
      </c>
      <c r="B30784">
        <f>HYPERLINK("https://www.dofusbook.net/fr/equipement/533469-stuff-3/objets", "link")</f>
        <v/>
      </c>
      <c r="C30784" t="n">
        <v>0</v>
      </c>
      <c r="D30784" t="inlineStr">
        <is>
          <t>Arc Nécrotique; Talisman Igans; Anneau Tique; Alliance Gloursonne; Quatre-feuilles; Ceintrigue; Kidibonnet; Cape de la Dame du Hasard; Bottes de la Dame du Hasard; Dofus Abyssal; Dofus Ocre; Dofus Vulbis; Dofus Ivoire; Dolmanax; Dofus des Glaces</t>
        </is>
      </c>
    </row>
    <row r="30785">
      <c r="A30785" t="inlineStr">
        <is>
          <t>Sacrieur M 200</t>
        </is>
      </c>
      <c r="B30785">
        <f>HYPERLINK("https://www.dofusbook.net/fr/equipement/4521716-sacrieur-m-200/objets", "link")</f>
        <v/>
      </c>
      <c r="C30785" t="n">
        <v>0</v>
      </c>
      <c r="D30785" t="inlineStr">
        <is>
          <t>Pelle de la Cour Sombre; Amulette Martegel; Alliance Gloursonne; Gant du Valet Veinard; Menoture; Dorabysses; Cape de Crânonier; Palmes Trithons; Dofus Ocre; Dofus Ivoire; Dofus Abyssal; Dofus Ébène; Dofus Turquoise; Dofus Pourpre</t>
        </is>
      </c>
    </row>
    <row r="30786">
      <c r="A30786" t="inlineStr">
        <is>
          <t>Sadida M 200</t>
        </is>
      </c>
      <c r="B30786">
        <f>HYPERLINK("https://www.dofusbook.net/fr/equipement/4509992-sadida-m-200/objets", "link")</f>
        <v/>
      </c>
      <c r="C30786" t="n">
        <v>0</v>
      </c>
      <c r="D30786" t="inlineStr">
        <is>
          <t>Lav'Hache; Amulette du Cœur Saignant; Anneau Toriété; Bague Gloursonne; Bouclier du Stalak; Ceinture de Gein; Chapeau de Gein; Cape du Cœur Saignant; Bottes du Cœur Saignant; Dofus Abyssal; Dofus Ébène; Dofus Ocre; Dofus Pourpre; Dofus Nébuleux; Dofus Ivoire; Bwak de Terre</t>
        </is>
      </c>
    </row>
    <row r="30787">
      <c r="A30787" t="inlineStr">
        <is>
          <t>Xélor F 200</t>
        </is>
      </c>
      <c r="B30787">
        <f>HYPERLINK("https://www.dofusbook.net/fr/equipement/4449908-xelor-f-200/objets", "link")</f>
        <v/>
      </c>
      <c r="C30787" t="n">
        <v>3</v>
      </c>
      <c r="D30787" t="inlineStr">
        <is>
          <t>Sceptre du Roi Joueur; Amulette de l'Œil Attentif; Anneau Volkorne; Alliance Gloursonne; Cadran de Terre; Culotte de Bethel; Capuche de l'Œil Attentif; Cape de l'Œil Attentif; Chaussons de Macrab; Dofus Pourpre; Dofus Ivoire; Dofus Ocre; Dofus Ébène; Dofus Vulbis; Dofus Abyssal; Koalak Sanguin</t>
        </is>
      </c>
    </row>
    <row r="30788">
      <c r="A30788" t="inlineStr">
        <is>
          <t>Xélor F 200</t>
        </is>
      </c>
      <c r="B30788">
        <f>HYPERLINK("https://www.dofusbook.net/fr/equipement/4340399-xelor-f-200/objets", "link")</f>
        <v/>
      </c>
      <c r="C30788" t="n">
        <v>12</v>
      </c>
      <c r="D30788" t="inlineStr">
        <is>
          <t>Arc de Koutoulou; Amulette du Strigide; Anneau Toriété; Alliance Gloursonne; Quatre-feuilles; Ceinture du Strigide; Némès de Tal Kasha; Chevelure de Tal Kasha; Sandales de Tal Kasha; Dofus Turquoise; Dofus des Glaces; Dofus Ocre; Dofus Ébène; Dofus Pourpre; Dofus Ivoire; Koalak Sanguin</t>
        </is>
      </c>
    </row>
    <row r="30789">
      <c r="A30789" t="inlineStr">
        <is>
          <t>Terre/feu/air</t>
        </is>
      </c>
      <c r="B30789">
        <f>HYPERLINK("https://www.dofusbook.net/fr/equipement/3830655-terre-feu-air/objets", "link")</f>
        <v/>
      </c>
      <c r="C30789" t="n">
        <v>32</v>
      </c>
      <c r="D30789" t="inlineStr">
        <is>
          <t>Marteau R'ture; Amulette Volkorne; Pikano; Anneau Volkorne; Ceinture Volkorne; Casquipik; Voile d'encre; Pikottes; Dofus Pourpre; Dofus Abyssal; Dofus Ébène; Dofus Ocre; Ralentisseur majeur; Entraveur majeur; Volkorne Turquoise</t>
        </is>
      </c>
    </row>
    <row r="30790">
      <c r="A30790" t="inlineStr">
        <is>
          <t>Sadida M 200</t>
        </is>
      </c>
      <c r="B30790">
        <f>HYPERLINK("https://www.dofusbook.net/fr/equipement/4285767-sadida-m-200/objets", "link")</f>
        <v/>
      </c>
      <c r="C30790" t="n">
        <v>4</v>
      </c>
      <c r="D30790" t="inlineStr">
        <is>
          <t>Pyraguette; Amulette Volkorne; Bracelet du Piloztère; Anneau Volkorne; Bouclier du Stalak; Ceinture de l'Esprit Salvateur; Masque de l'Esprit Salvateur; Cape de la Dame du Hasard; Bottes de l'Esprit Salvateur; Dofus Pourpre; Dofus Vulbis; Dofus Ocre; Dofus Ivoire; Dofus Abyssal; Dofus Ébène; Volkorne Jade et Turquoise</t>
        </is>
      </c>
    </row>
    <row r="30791">
      <c r="A30791" t="inlineStr">
        <is>
          <t>Sadida M 200</t>
        </is>
      </c>
      <c r="B30791">
        <f>HYPERLINK("https://www.dofusbook.net/fr/equipement/4349981-sadida-m-200/objets", "link")</f>
        <v/>
      </c>
      <c r="C30791" t="n">
        <v>1</v>
      </c>
      <c r="D30791" t="inlineStr">
        <is>
          <t>Héqache; Amulette du Cœur Vaillant; Gant du Valet Veinard; Alliance Brûlâme; Bouclier du Stalak; Ceintouse; Masque Brûlâme; Cape du Cœur Vaillant; Pompes Funèbres; Dofus Ocre; Dofus Ivoire; Dofus Vulbis; Dofus Ébène; Dofus Pourpre; Dofus Abyssal; Volkorne Jade et Turquoise</t>
        </is>
      </c>
    </row>
    <row r="30792">
      <c r="A30792" t="inlineStr">
        <is>
          <t>Ecaflip M 200</t>
        </is>
      </c>
      <c r="B30792">
        <f>HYPERLINK("https://www.dofusbook.net/fr/equipement/4021297-ecaflip-m-200/objets", "link")</f>
        <v/>
      </c>
      <c r="C30792" t="n">
        <v>2</v>
      </c>
      <c r="D30792" t="inlineStr">
        <is>
          <t>Hache du Chalœil; Amulette du Strigide; Bracelet du Piloztère; Bague Trithon; Bouclier du Stalak; Ceinture du Strigide; Casquipik; Cape Reski; Pataugastrique; Remueur; Sanguinaire majeur; Nomade; Vigoureux majeur; Miraculé majeur; Robuste majeur; Muldo Ebène et Pourpre</t>
        </is>
      </c>
    </row>
    <row r="30793">
      <c r="A30793" t="inlineStr">
        <is>
          <t>Stuff 1</t>
        </is>
      </c>
      <c r="B30793">
        <f>HYPERLINK("https://www.dofusbook.net/fr/equipement/533470-stuff-1/objets", "link")</f>
        <v/>
      </c>
      <c r="C30793" t="n">
        <v>1</v>
      </c>
      <c r="D30793" t="inlineStr">
        <is>
          <t>Hache du Chalœil; Amulette Volkorne; Alliance du Lévitrof; Anneau Volkorne; Bouclier du Stalak; Ceinture Volkorne; Coiffe du Lévitrof; Voile d'encre; Bottes du Lévitrof; Dofus Cawotte; Dofus Abyssal; Dofus Pourpre; Entraveur majeur; Vagabond majeur; Voyageur; Volkorne Turquoise</t>
        </is>
      </c>
    </row>
    <row r="30794">
      <c r="A30794" t="inlineStr">
        <is>
          <t>Eau/feu/air</t>
        </is>
      </c>
      <c r="B30794">
        <f>HYPERLINK("https://www.dofusbook.net/fr/equipement/3920448-eau-feu-air/objets", "link")</f>
        <v/>
      </c>
      <c r="C30794" t="n">
        <v>0</v>
      </c>
      <c r="D30794" t="inlineStr">
        <is>
          <t>Hache du Chalœil; Amulette Volkorne; Anneau Volkorne; Alliance du Lévitrof; Bouclier du Stalak; Ceinture Volkorne; Chapeau Tyron; Voile d'encre; Bottes du Lévitrof; Dofus Abyssal; Dofus des Glaces; Dofus Pourpre; Dofus Ivoire; Dofus Émeraude; Dofus Ocre; Volkorne Jade et Turquoise</t>
        </is>
      </c>
    </row>
    <row r="30795">
      <c r="A30795" t="inlineStr">
        <is>
          <t>Feu/eau pvm</t>
        </is>
      </c>
      <c r="B30795">
        <f>HYPERLINK("https://www.dofusbook.net/fr/equipement/3840416-feu-eau-pvm/objets", "link")</f>
        <v/>
      </c>
      <c r="C30795" t="n">
        <v>11</v>
      </c>
      <c r="D30795" t="inlineStr">
        <is>
          <t>Pyraguette; Amulette de l'Œil Putride; Alliance du Lévitrof; Anneau Toriété; Bouclier du Stalak; Ceinture de l'Esprit Malsain; Masque de l'Esprit Malsain; Cape Hitton; Bottes de l'Esprit Malsain; Dofus Abyssal; Dofus Pourpre; Dofus des Glaces; Dofus Ocre; Taquin majeur; Astucieux majeur; Dragodinde Indigo et Orchidée</t>
        </is>
      </c>
    </row>
    <row r="30796">
      <c r="A30796" t="inlineStr">
        <is>
          <t>Air pvm</t>
        </is>
      </c>
      <c r="B30796">
        <f>HYPERLINK("https://www.dofusbook.net/fr/equipement/3985692-air-pvm/objets", "link")</f>
        <v/>
      </c>
      <c r="C30796" t="n">
        <v>0</v>
      </c>
      <c r="D30796" t="inlineStr">
        <is>
          <t>Hachoirs de Viandargh; Collier du Valet Veinard; Anneau d'Allister; Gant du Valet Veinard; Bouclier du Stalak; Sangle Oriole; Couronne d'Allister; Cape du Valet Veinard; Bottes d'Allister; Dofus Ocre; Dofus Abyssal; Dofus Pourpre; Voyageur; Equilibriste majeur; Entraveur majeur; Siroko</t>
        </is>
      </c>
    </row>
    <row r="30797">
      <c r="A30797" t="inlineStr">
        <is>
          <t>Sadida M 200</t>
        </is>
      </c>
      <c r="B30797">
        <f>HYPERLINK("https://www.dofusbook.net/fr/equipement/3899484-sadida-m-200/objets", "link")</f>
        <v/>
      </c>
      <c r="C30797" t="n">
        <v>0</v>
      </c>
      <c r="D30797" t="inlineStr"/>
    </row>
    <row r="30798">
      <c r="A30798" t="inlineStr">
        <is>
          <t>Terre/feu</t>
        </is>
      </c>
      <c r="B30798">
        <f>HYPERLINK("https://www.dofusbook.net/fr/equipement/3905457-terre-feu/objets", "link")</f>
        <v/>
      </c>
      <c r="C30798" t="n">
        <v>4</v>
      </c>
      <c r="D30798" t="inlineStr">
        <is>
          <t>Epée Toche; Amulette de Gein; Bague Gloursonne; Chevalière du Roi Joueur; Bouclier du Captain Amakna; Ceinture Gence; Chapeau de Gein; Voile d'encre; Bottes du Cœur Saignant; Carapace Feu majeur; Nomade; Carapace Terre majeur; Miraculé majeur; Remueur; Vigoureux majeur; Muldo Orchidée et Pourpre</t>
        </is>
      </c>
    </row>
    <row r="30799">
      <c r="A30799" t="inlineStr">
        <is>
          <t>Dofus touch 200</t>
        </is>
      </c>
      <c r="B30799">
        <f>HYPERLINK("https://www.dofusbook.net/fr/equipement/533724-dofus-touch-200/objets", "link")</f>
        <v/>
      </c>
      <c r="C30799" t="n">
        <v>0</v>
      </c>
      <c r="D30799" t="inlineStr">
        <is>
          <t>Dagues Érhy; Amulette du Strigide; Frimanneau; Alliance de Missiz Frizz; Sangle Ouare; Casque de Missiz Frizz; Bottes de Missiz Frizz; Dofus Ocre; Dofus Turquoise; Dofus des Glaces; Dolmanax; Vagabond majeur; Entraveur majeur; Dragodinde en armure</t>
        </is>
      </c>
    </row>
    <row r="30800">
      <c r="A30800" t="inlineStr">
        <is>
          <t>beta</t>
        </is>
      </c>
      <c r="B30800">
        <f>HYPERLINK("https://www.dofusbook.net/fr/equipement/2480459-beta/objets", "link")</f>
        <v/>
      </c>
      <c r="C30800" t="n">
        <v>1</v>
      </c>
      <c r="D30800" t="inlineStr">
        <is>
          <t>Bâthon; Amulette du Strigide; Anneau de Pol Ouatnos; Bague Trithon; Bouclier du Stalak; Ceinture du Strigide; Masque Trithon; Voile d'encre; Bottes Trithon; Dofus Nébuleux; Dofus Pourpre; Dofus Turquoise; Dofus Ocre; Dofus des Glaces; Dofus Abyssal; Pioute violet</t>
        </is>
      </c>
    </row>
    <row r="30801">
      <c r="A30801" t="inlineStr">
        <is>
          <t>Soin</t>
        </is>
      </c>
      <c r="B30801">
        <f>HYPERLINK("https://www.dofusbook.net/fr/equipement/2424790-soin/objets", "link")</f>
        <v/>
      </c>
      <c r="C30801" t="n">
        <v>0</v>
      </c>
      <c r="D30801" t="inlineStr">
        <is>
          <t>Le Thanos; Amulette de Théodoran Ax; Anneau Aimgéroks; Anneau Bliteré; Ougature; Coiffe Ranshi; Cape de Théodoran Ax; Bottes de Théodoran Ax; Dofus Cawotte; Ralentisseur majeur; Robuste majeur; Entraveur majeur; Vagabond majeur; Dragodinde Amande et Emeraude</t>
        </is>
      </c>
    </row>
    <row r="30802">
      <c r="A30802" t="inlineStr">
        <is>
          <t>Stuff 190</t>
        </is>
      </c>
      <c r="B30802">
        <f>HYPERLINK("https://www.dofusbook.net/fr/equipement/1232195-stuff-190/objets", "link")</f>
        <v/>
      </c>
      <c r="C30802" t="n">
        <v>0</v>
      </c>
      <c r="D30802" t="inlineStr">
        <is>
          <t>Hache Téroïde; Kralamansion; Annolamour; Anneau Aimgéroks; Ougature; Coiffe du Glourséleste; Voile d'encre; Sabots Minables; Dofus Cawotte; Savant majeur; Vagabond majeur; Ralentisseur majeur; Robuste majeur; Entraveur majeur; Dragodinde en armure</t>
        </is>
      </c>
    </row>
    <row r="30803">
      <c r="A30803" t="inlineStr">
        <is>
          <t>Tizz</t>
        </is>
      </c>
      <c r="B30803">
        <f>HYPERLINK("https://www.dofusbook.net/fr/equipement/1220852-tizz-/objets", "link")</f>
        <v/>
      </c>
      <c r="C30803" t="n">
        <v>0</v>
      </c>
      <c r="D30803" t="inlineStr">
        <is>
          <t>Hache Ériphe; Amulette du Nocturlabe; Bague Gloursonne; Alliance Gloursonne; Ceinture du Nocturlabe; Coiffe d'Ogivol; Cape au Logis; Bottes du Nocturlabe; Dofus Ocre; Dofus Turquoise; Dofus des Glaces; Dofus Cawotte; Dragodinde en armure</t>
        </is>
      </c>
    </row>
    <row r="30804">
      <c r="A30804" t="inlineStr">
        <is>
          <t>Dofus touch</t>
        </is>
      </c>
      <c r="B30804">
        <f>HYPERLINK("https://www.dofusbook.net/fr/equipement/533484-dofus-touch/objets", "link")</f>
        <v/>
      </c>
      <c r="C30804" t="n">
        <v>0</v>
      </c>
      <c r="D30804" t="inlineStr">
        <is>
          <t>Hache Téroïde; Kralamansion; Kralano; Annolamour; Ougature; Coiffe du Glourséleste; Voile d'encre; Sabots Minables; Dofus des Glaces; Dofus Cawotte; Dofus Ocre; Robuste majeur; Vagabond majeur; Entraveur majeur; Dragodinde en armure</t>
        </is>
      </c>
    </row>
    <row r="30805">
      <c r="A30805" t="inlineStr">
        <is>
          <t>No opti</t>
        </is>
      </c>
      <c r="B30805">
        <f>HYPERLINK("https://www.dofusbook.net/fr/equipement/1120766-no-opti/objets", "link")</f>
        <v/>
      </c>
      <c r="C30805" t="n">
        <v>0</v>
      </c>
      <c r="D30805" t="inlineStr">
        <is>
          <t>Dague Hirr; Amulette Héroclite; Anneau Aimgéroks; Anneau de la Fuji Givrefoux; Ceinture d'Ogivol; Coiffe de la Fuji Givrefoux; Cape de la Fuji Givrefoux; Bottes de la Fuji Givrefoux; Dofus Cawotte; Ralentisseur majeur; Furibond majeur; Vagabond majeur; Acrobate majeur; Entraveur majeur; Dragodinde en armure</t>
        </is>
      </c>
    </row>
    <row r="30806">
      <c r="A30806" t="inlineStr">
        <is>
          <t>new style</t>
        </is>
      </c>
      <c r="B30806">
        <f>HYPERLINK("https://www.dofusbook.net/fr/equipement/743608-new-style/objets", "link")</f>
        <v/>
      </c>
      <c r="C30806" t="n">
        <v>2</v>
      </c>
      <c r="D30806" t="inlineStr">
        <is>
          <t>Dagues Érhy; Amulette du Strigide; Alliance du Lévitrof; Anneau de Pol Ouatnos; Bouclier du Stalak; Ceinture du Strigide; Coiffe du Lévitrof; Voile d'encre; Bottes du Lévitrof; Dofus des Glaces; Dofus Turquoise; Dofus Pourpre; Dofus Cawotte; Dofus Ocre; Vagabond majeur; Kramkram</t>
        </is>
      </c>
    </row>
    <row r="30807">
      <c r="A30807" t="inlineStr">
        <is>
          <t>Stuff 1</t>
        </is>
      </c>
      <c r="B30807">
        <f>HYPERLINK("https://www.dofusbook.net/fr/equipement/533458-stuff-1/objets", "link")</f>
        <v/>
      </c>
      <c r="C30807" t="n">
        <v>0</v>
      </c>
      <c r="D30807" t="inlineStr">
        <is>
          <t>Dagues Érhy; Amulette Luminescente; Anneau Crustique; Anneau Chevelu; Ceinture Luminescente; Masque de Koutoulou; Cape au Logis; Tentassons; Dofus Pourpre; Dofus Émeraude; Dofus des Glaces; Dofus Ocre; Enragé majeur; Vigoureux majeur; Kramkram</t>
        </is>
      </c>
    </row>
    <row r="30808">
      <c r="A30808" t="inlineStr">
        <is>
          <t>Stuff 1</t>
        </is>
      </c>
      <c r="B30808">
        <f>HYPERLINK("https://www.dofusbook.net/fr/equipement/533476-stuff-1/objets", "link")</f>
        <v/>
      </c>
      <c r="C30808" t="n">
        <v>1</v>
      </c>
      <c r="D30808" t="inlineStr">
        <is>
          <t>Dagues de Srambad; Amulette du Piloztère; Bracelet du Piloztère; Alliance Gloursonne; Ceinture de la Reine des Voleurs; Kidibonnet; Cape au Logis; Baleinabottes; Dofus des Glaces; Dofus Pourpre; Dolmanax; Carapace Terre majeur; Déserteur majeur; Remueur; Kramkram</t>
        </is>
      </c>
    </row>
    <row r="30809">
      <c r="A30809" t="inlineStr">
        <is>
          <t>Stuff 2</t>
        </is>
      </c>
      <c r="B30809">
        <f>HYPERLINK("https://www.dofusbook.net/fr/equipement/533465-stuff-2/objets", "link")</f>
        <v/>
      </c>
      <c r="C30809" t="n">
        <v>0</v>
      </c>
      <c r="D30809" t="inlineStr">
        <is>
          <t>Dagues Érhy; Amulette du Strigide; Bague Gloursonne; Bracelet du Piloztère; Ceinture du Strigide; Chapeau Lisson; Voile d'encre; Baleinabottes; Dofus des Glaces; Carapace Terre majeur; Nomade; Tacleur majeur; Remueur; Étourdisseur majeur; Kramkram</t>
        </is>
      </c>
    </row>
    <row r="30810">
      <c r="A30810" t="inlineStr">
        <is>
          <t>Stuff 1</t>
        </is>
      </c>
      <c r="B30810">
        <f>HYPERLINK("https://www.dofusbook.net/fr/equipement/533461-stuff-1/objets", "link")</f>
        <v/>
      </c>
      <c r="C30810" t="n">
        <v>0</v>
      </c>
      <c r="D30810" t="inlineStr">
        <is>
          <t>Rhizome du Tynril; Amulette de Pol Ouatnos; Alliance du Lévitrof; Anneau de Nidas; Ceinture de Gein; Coiffe du Lévitrof; Voile d'encre; Pataugastrique; Dofus des Glaces; Dokoko; Dofus Pourpre; Déserteur majeur; Temporiseur majeur; Remueur; Kramkram</t>
        </is>
      </c>
    </row>
    <row r="30811">
      <c r="A30811" t="inlineStr">
        <is>
          <t>Stuff 1</t>
        </is>
      </c>
      <c r="B30811">
        <f>HYPERLINK("https://www.dofusbook.net/fr/equipement/533473-stuff-1/objets", "link")</f>
        <v/>
      </c>
      <c r="C30811" t="n">
        <v>1</v>
      </c>
      <c r="D30811" t="inlineStr">
        <is>
          <t>Hache Ériphe; Amulette du Strigide; Alliance Gloursonne; Bracelet du Piloztère; Ceinture du Strigide; Coiffe d'Ogivol; Cape au Logis; Baleinabottes; Dofus Émeraude; Dofus Turquoise; Dofus Pourpre; Remueur; Nomade; Miraculé majeur; Kramkram</t>
        </is>
      </c>
    </row>
    <row r="30812">
      <c r="A30812" t="inlineStr">
        <is>
          <t>Stuff 2</t>
        </is>
      </c>
      <c r="B30812">
        <f>HYPERLINK("https://www.dofusbook.net/fr/equipement/533468-stuff-2/objets", "link")</f>
        <v/>
      </c>
      <c r="C30812" t="n">
        <v>0</v>
      </c>
      <c r="D30812" t="inlineStr">
        <is>
          <t>Sabres d'Atcham; Talisman Igans; Alliance Gloursonne; Anneau Tique; Ceinture de Vortex; Chapeau des Malveilleurs; Cape d'Atcham; Pataugastrique; Dofus Pourpre; Dofus des Glaces; Dolmanax; Remueur; Nomade; Étourdisseur majeur; Kramkram</t>
        </is>
      </c>
    </row>
    <row r="30813">
      <c r="A30813" t="inlineStr">
        <is>
          <t>Stuff 3</t>
        </is>
      </c>
      <c r="B30813">
        <f>HYPERLINK("https://www.dofusbook.net/fr/equipement/533463-stuff-3/objets", "link")</f>
        <v/>
      </c>
      <c r="C30813" t="n">
        <v>0</v>
      </c>
      <c r="D30813" t="inlineStr">
        <is>
          <t>Dagues Érhy; Amulette du Cycloïde; Chevalière du Roi Joueur; Anneau de Nidas; Protopagne; Couronne du Roi Joueur; Voile d'encre; Baleinabottes; Dolmanax; Dofus Pourpre; Dofus des Glaces; Temporiseur majeur; Remueur; Déserteur majeur; Kramkram</t>
        </is>
      </c>
    </row>
    <row r="30814">
      <c r="A30814" t="inlineStr">
        <is>
          <t>Stuff 1</t>
        </is>
      </c>
      <c r="B30814">
        <f>HYPERLINK("https://www.dofusbook.net/fr/equipement/533458-stuff-1/objets", "link")</f>
        <v/>
      </c>
      <c r="C30814" t="n">
        <v>0</v>
      </c>
      <c r="D30814" t="inlineStr">
        <is>
          <t>Dagues Érhy; Amulette Luminescente; Anneau Chevelu; Anneau Crustique; Ceinture Luminescente; Masque de Koutoulou; Cape au Logis; Tentassons; Dofus Ocre; Dofus Pourpre; Dofus Émeraude; Dofus des Glaces; Vigoureux majeur; Enragé majeur; Kramkram</t>
        </is>
      </c>
    </row>
    <row r="30815">
      <c r="A30815" t="inlineStr">
        <is>
          <t>Stuff 1</t>
        </is>
      </c>
      <c r="B30815">
        <f>HYPERLINK("https://www.dofusbook.net/fr/equipement/533476-stuff-1/objets", "link")</f>
        <v/>
      </c>
      <c r="C30815" t="n">
        <v>1</v>
      </c>
      <c r="D30815" t="inlineStr">
        <is>
          <t>Dagues de Srambad; Amulette du Piloztère; Alliance Gloursonne; Bracelet du Piloztère; Ceinture de la Reine des Voleurs; Kidibonnet; Cape au Logis; Baleinabottes; Dofus Pourpre; Dolmanax; Dofus des Glaces; Remueur; Carapace Terre majeur; Déserteur majeur; Kramkram</t>
        </is>
      </c>
    </row>
    <row r="30816">
      <c r="A30816" t="inlineStr">
        <is>
          <t>Stuff 2</t>
        </is>
      </c>
      <c r="B30816">
        <f>HYPERLINK("https://www.dofusbook.net/fr/equipement/533465-stuff-2/objets", "link")</f>
        <v/>
      </c>
      <c r="C30816" t="n">
        <v>0</v>
      </c>
      <c r="D30816" t="inlineStr">
        <is>
          <t>Dagues Érhy; Amulette du Strigide; Bague Gloursonne; Bracelet du Piloztère; Ceinture du Strigide; Chapeau Lisson; Voile d'encre; Baleinabottes; Dofus des Glaces; Tacleur majeur; Remueur; Étourdisseur majeur; Carapace Terre majeur; Nomade; Kramkram</t>
        </is>
      </c>
    </row>
    <row r="30817">
      <c r="A30817" t="inlineStr">
        <is>
          <t>Stuff 3</t>
        </is>
      </c>
      <c r="B30817">
        <f>HYPERLINK("https://www.dofusbook.net/fr/equipement/533460-stuff-3/objets", "link")</f>
        <v/>
      </c>
      <c r="C30817" t="n">
        <v>0</v>
      </c>
      <c r="D30817" t="inlineStr">
        <is>
          <t>Arc Hétype; Amulette de Pol Ouatnos; Alliance du Lévitrof; Bague Gloursonne; Ceinture de Gein; Chapeau de Gein; Voile d'encre; Pataugastrique; Kramkram</t>
        </is>
      </c>
    </row>
    <row r="30818">
      <c r="A30818" t="inlineStr">
        <is>
          <t>Stuff 3</t>
        </is>
      </c>
      <c r="B30818">
        <f>HYPERLINK("https://www.dofusbook.net/fr/equipement/533472-stuff-3/objets", "link")</f>
        <v/>
      </c>
      <c r="C30818" t="n">
        <v>0</v>
      </c>
      <c r="D30818" t="inlineStr">
        <is>
          <t>Marteau R'ture; Amulette de Pol Ouatnos; Anneau Crustique; Bracelet du Piloztère; Ceinture de Gein; Chapeau de Gein; Cape au Logis; Baleinabottes; Dofus des Glaces; Temporiseur majeur; Enragé majeur; Observateur; Remueur; Déserteur majeur; Kramkram</t>
        </is>
      </c>
    </row>
    <row r="30819">
      <c r="A30819" t="inlineStr">
        <is>
          <t>Stuff 1</t>
        </is>
      </c>
      <c r="B30819">
        <f>HYPERLINK("https://www.dofusbook.net/fr/equipement/533467-stuff-1/objets", "link")</f>
        <v/>
      </c>
      <c r="C30819" t="n">
        <v>0</v>
      </c>
      <c r="D30819" t="inlineStr">
        <is>
          <t>Sabres d'Atcham; Amulette du Strigide; Anneau Tique; Anneau de Padgref; Ceinture du Strigide; Coiffe de Padgref; Cape d'Atcham; Sandales  d'Atcham; Dofus Pourpre; Dofus Ocre; Dofus Turquoise; Dofus Vulbis; Dofus des Glaces; Dolmanax; Kramkram</t>
        </is>
      </c>
    </row>
    <row r="30820">
      <c r="A30820" t="inlineStr">
        <is>
          <t>Stuff 2</t>
        </is>
      </c>
      <c r="B30820">
        <f>HYPERLINK("https://www.dofusbook.net/fr/equipement/533462-stuff-2/objets", "link")</f>
        <v/>
      </c>
      <c r="C30820" t="n">
        <v>0</v>
      </c>
      <c r="D30820" t="inlineStr">
        <is>
          <t>Arc du Chalœil; Amulette du Piloztère; Bracelet du Piloztère; Bague Gloursonne; Ceintacé; Chapeau de Gein; Cape au Logis; Baleinabottes; Dofus des Glaces; Dofus Turquoise; Dofus Pourpre; Temporiseur majeur; Enragé majeur; Remueur; Kramkram</t>
        </is>
      </c>
    </row>
    <row r="30821">
      <c r="A30821" t="inlineStr">
        <is>
          <t>Stuff 2</t>
        </is>
      </c>
      <c r="B30821">
        <f>HYPERLINK("https://www.dofusbook.net/fr/equipement/533474-stuff-2/objets", "link")</f>
        <v/>
      </c>
      <c r="C30821" t="n">
        <v>0</v>
      </c>
      <c r="D30821" t="inlineStr">
        <is>
          <t>Hache Ériphe; Amulette du Strigide; Alliance Gloursonne; Bague Gloursonne; Ceinture du Barbétoal; Coiffe d'Ogivol; Cape au Logis; Baleinabottes; Dofus Turquoise; Miraculé majeur; Remueur; Enragé majeur; Sanguinaire majeur; Vigoureux majeur; Kramkram</t>
        </is>
      </c>
    </row>
    <row r="30822">
      <c r="A30822" t="inlineStr">
        <is>
          <t>Stuff 1</t>
        </is>
      </c>
      <c r="B30822">
        <f>HYPERLINK("https://www.dofusbook.net/fr/equipement/533464-stuff-1/objets", "link")</f>
        <v/>
      </c>
      <c r="C30822" t="n">
        <v>1</v>
      </c>
      <c r="D30822" t="inlineStr">
        <is>
          <t>Dagues Érhy; Amulette de Gein; Anneau de Pol Ouatnos; Bague Gloursonne; Ceinture de la Cour Sombre; Chapeau de Gein; Cape de la Cour Sombre; Bottes de la Cour Sombre; Dofus des Glaces; Dofus Pourpre; Dolmanax; Dofus Ocre; Engourdisseur majeur; Tacleur majeur; Kramkram</t>
        </is>
      </c>
    </row>
    <row r="30823">
      <c r="A30823" t="inlineStr">
        <is>
          <t>Stuff 2</t>
        </is>
      </c>
      <c r="B30823">
        <f>HYPERLINK("https://www.dofusbook.net/fr/equipement/533459-stuff-2/objets", "link")</f>
        <v/>
      </c>
      <c r="C30823" t="n">
        <v>1</v>
      </c>
      <c r="D30823" t="inlineStr">
        <is>
          <t>Dagues de Srambad; Amulette de Pol Ouatnos; Bracelet du Piloztère; Alliance du Lévitrof; Ceinture de la Reine des Voleurs; Coiffe de la Reine des Voleurs; Voile d'encre; Pataugastrique; Dofus Pourpre; Dolmanax; Remueur; Déserteur majeur; Temporiseur majeur; Kramkram</t>
        </is>
      </c>
    </row>
    <row r="30824">
      <c r="A30824" t="inlineStr">
        <is>
          <t>Pandawa M 200</t>
        </is>
      </c>
      <c r="B30824">
        <f>HYPERLINK("https://www.dofusbook.net/fr/equipement/5960405-pandawa-m-200/objets", "link")</f>
        <v/>
      </c>
      <c r="C30824" t="n">
        <v>1</v>
      </c>
      <c r="D30824" t="inlineStr">
        <is>
          <t>Arc du Chalœil; Amulette du Cœur Saignant; Anneau Crustique; Anneau Volkorne; Quatre-feuilles; Ceinture Volkorne; Corne de Torkélonia; Cape du Cœur Saignant; Bottes du Cœur Saignant; Dofus des Veilleurs; Dofus Ocre; Dofus Pourpre; Dofus Vulbis; Dofus Turquoise; Dofus Ivoire; Fëanor</t>
        </is>
      </c>
    </row>
    <row r="30825">
      <c r="A30825" t="inlineStr">
        <is>
          <t>Crâ M 200</t>
        </is>
      </c>
      <c r="B30825">
        <f>HYPERLINK("https://www.dofusbook.net/fr/equipement/5969432-cra-m-200/objets", "link")</f>
        <v/>
      </c>
      <c r="C30825" t="n">
        <v>0</v>
      </c>
      <c r="D30825" t="inlineStr">
        <is>
          <t>Arc corrompu; Amulette de Nileza; Anneauræus; Anneauræus; Droiture de Fallanster; Ceinture de Vortex; Masque Ardent; Cape Ardente; Pataugastrique; Dofus Ivoire; Dofus Ocre; Étourdisseur majeur; Nomade; Érudit majeur; Dragoune Rose</t>
        </is>
      </c>
    </row>
    <row r="30826">
      <c r="A30826" t="inlineStr">
        <is>
          <t>Pandawa M 200</t>
        </is>
      </c>
      <c r="B30826">
        <f>HYPERLINK("https://www.dofusbook.net/fr/equipement/5960289-pandawa-m-200/objets", "link")</f>
        <v/>
      </c>
      <c r="C30826" t="n">
        <v>1</v>
      </c>
      <c r="D30826" t="inlineStr">
        <is>
          <t>Baguette de Torkélonia; Amulette du Strigide; Anneau Crustique; Anneau Crustique; Quatre-feuilles; Ceinture du Strigide; Corne de Torkélonia; Carapace de Torkélonia; Bottes du Strigide; Dofus Turquoise; Dofus Ivoire; Dofus des Veilleurs; Dofus Abyssal; Dofus Pourpre; Dofus Ocre; Fëanor</t>
        </is>
      </c>
    </row>
    <row r="30827">
      <c r="A30827" t="inlineStr">
        <is>
          <t>Pandawa M 200</t>
        </is>
      </c>
      <c r="B30827">
        <f>HYPERLINK("https://www.dofusbook.net/fr/equipement/5944197-pandawa-m-200/objets", "link")</f>
        <v/>
      </c>
      <c r="C30827" t="n">
        <v>0</v>
      </c>
      <c r="D30827" t="inlineStr">
        <is>
          <t>Baguette de Torkélonia; Amulette du Strigide; Anneau Crustique; Anneau Crustique; Quatre-feuilles; Ceinture du Strigide; Corne de Torkélonia; Carapace de Torkélonia; Bottes du Strigide; Dofus Abyssal; Dofus Turquoise; Dofus des Veilleurs; Dofus Ocre; Dofus Pourpre; Dofus Ivoire; Fëanor</t>
        </is>
      </c>
    </row>
    <row r="30828">
      <c r="A30828" t="inlineStr">
        <is>
          <t>Pandawa M 200</t>
        </is>
      </c>
      <c r="B30828">
        <f>HYPERLINK("https://www.dofusbook.net/fr/equipement/5944188-pandawa-m-200/objets", "link")</f>
        <v/>
      </c>
      <c r="C30828" t="n">
        <v>0</v>
      </c>
      <c r="D30828" t="inlineStr">
        <is>
          <t>Amulette du Strigide; Alliance de Missiz Frizz; Anneau de Brouce; Quatre-feuilles; Ceinture de Brouce; Casque de Missiz Frizz; Cape de Jahash Jurgen; Bottes de Brouce</t>
        </is>
      </c>
    </row>
    <row r="30829">
      <c r="A30829" t="inlineStr">
        <is>
          <t>Pandawa M 200</t>
        </is>
      </c>
      <c r="B30829">
        <f>HYPERLINK("https://www.dofusbook.net/fr/equipement/5944122-pandawa-m-200/objets", "link")</f>
        <v/>
      </c>
      <c r="C30829" t="n">
        <v>0</v>
      </c>
      <c r="D30829" t="inlineStr">
        <is>
          <t>Arc du Chalœil; Amulette du Strigide; Anneau Crustique; Anneau Chevelu; Quatre-feuilles; Ceinture du Strigide; Corne de Torkélonia; Cape de Jahash Jurgen; Bottes du Cœur Saignant; Dofus des Veilleurs; Dofus Turquoise; Dofus Ocre; Dofus Ivoire; Nomade; Remueur; Fëanor</t>
        </is>
      </c>
    </row>
    <row r="30830">
      <c r="A30830" t="inlineStr">
        <is>
          <t>Sram M 200</t>
        </is>
      </c>
      <c r="B30830">
        <f>HYPERLINK("https://www.dofusbook.net/fr/equipement/5941439-sram-m-200/objets", "link")</f>
        <v/>
      </c>
      <c r="C30830" t="n">
        <v>0</v>
      </c>
      <c r="D30830" t="inlineStr">
        <is>
          <t>Amulette Martegel; Masquegel; Cape Martegel</t>
        </is>
      </c>
    </row>
    <row r="30831">
      <c r="A30831" t="inlineStr">
        <is>
          <t>Sram M 200</t>
        </is>
      </c>
      <c r="B30831">
        <f>HYPERLINK("https://www.dofusbook.net/fr/equipement/5941363-sram-m-200/objets", "link")</f>
        <v/>
      </c>
      <c r="C30831" t="n">
        <v>0</v>
      </c>
      <c r="D30831" t="inlineStr">
        <is>
          <t>Arc Volkorne; Amulette Volkorne; Bracelet du Piloztère; Anneau Volkorne; Bouclier du Stalak; Ceinture de l'Esprit Salvateur; Masque de l'Esprit Salvateur; Cape de Jahash Jurgen; Bottes de l'Esprit Salvateur; Dofus Pourpre; Dolmanax; Dofus Nébuleux; Robuste majeur</t>
        </is>
      </c>
    </row>
    <row r="30832">
      <c r="A30832" t="inlineStr">
        <is>
          <t>Féca M 200</t>
        </is>
      </c>
      <c r="B30832">
        <f>HYPERLINK("https://www.dofusbook.net/fr/equipement/5598911-feca-m-200/objets", "link")</f>
        <v/>
      </c>
      <c r="C30832" t="n">
        <v>3</v>
      </c>
      <c r="D30832" t="inlineStr">
        <is>
          <t>Massier; Amulette Volkorne; Anneauræus; Anneauræus; Droiture de Fallanster; Ceinture Volkorne; Casque Dragoeuf; Voile d'encre; Pataugastrique; Dofus Abyssal; Dofus Ocre; Dofus Ivoire; Érudit majeur; Nomade; Bisouglours</t>
        </is>
      </c>
    </row>
    <row r="30833">
      <c r="A30833" t="inlineStr">
        <is>
          <t>Pandawa F 200</t>
        </is>
      </c>
      <c r="B30833">
        <f>HYPERLINK("https://www.dofusbook.net/fr/equipement/5941308-pandawa-f-200/objets", "link")</f>
        <v/>
      </c>
      <c r="C30833" t="n">
        <v>0</v>
      </c>
      <c r="D30833" t="inlineStr">
        <is>
          <t>Droiture de Fallanster; Casque Dragoeuf</t>
        </is>
      </c>
    </row>
    <row r="30834">
      <c r="A30834" t="inlineStr">
        <is>
          <t>Pandawa M 200</t>
        </is>
      </c>
      <c r="B30834">
        <f>HYPERLINK("https://www.dofusbook.net/fr/equipement/5941296-pandawa-m-200/objets", "link")</f>
        <v/>
      </c>
      <c r="C30834" t="n">
        <v>0</v>
      </c>
      <c r="D30834" t="inlineStr">
        <is>
          <t>Manthache; Collier du Valet Veinard; Alliance Gloursonne; Gant du Valet Veinard; Bouclier du Stalak; Ceintouse; Chapoulpe; Cape du Valet Veinard; Tentassons; Dofus Pourpre; Dofus Ivoire; Dofus Vulbis; Dofus Abyssal; Dofus des Veilleurs; Dofus Ocre; Blérodoudou</t>
        </is>
      </c>
    </row>
    <row r="30835">
      <c r="A30835" t="inlineStr">
        <is>
          <t>Pandawa M 200</t>
        </is>
      </c>
      <c r="B30835">
        <f>HYPERLINK("https://www.dofusbook.net/fr/equipement/5941283-pandawa-m-200/objets", "link")</f>
        <v/>
      </c>
      <c r="C30835" t="n">
        <v>0</v>
      </c>
      <c r="D30835" t="inlineStr">
        <is>
          <t>Arc corrompu; Amulette Volkorne; Anneauræus; Anneauræus; Bouclier du Stalak; Ceinture Volkorne; Coiffe Séculaire; Cape de Jahash Jurgen; Bottes Innommables; Dofus Ivoire; Dofus Pourpre; Dofus Ocre; Remueur; Nomade; Érudit majeur; Fëanor</t>
        </is>
      </c>
    </row>
    <row r="30836">
      <c r="A30836" t="inlineStr">
        <is>
          <t>Pandawa M 200</t>
        </is>
      </c>
      <c r="B30836">
        <f>HYPERLINK("https://www.dofusbook.net/fr/equipement/5941267-pandawa-m-200/objets", "link")</f>
        <v/>
      </c>
      <c r="C30836" t="n">
        <v>0</v>
      </c>
      <c r="D30836" t="inlineStr">
        <is>
          <t>Bâton Beau; Amulette Volkorne; Anneau Volkorne; Chevalière du Roi Joueur; Quatre-feuilles; Ceinture Volkorne; Couronne du Roi Joueur; Cape de Jahash Jurgen; Bottes du Roi Joueur; Dofus Pourpre; Dofus Ivoire; Dofus Turquoise; Dofus des Veilleurs; Dofus Ocre; Fëanor</t>
        </is>
      </c>
    </row>
    <row r="30837">
      <c r="A30837" t="inlineStr">
        <is>
          <t>Pandawa M 200</t>
        </is>
      </c>
      <c r="B30837">
        <f>HYPERLINK("https://www.dofusbook.net/fr/equipement/5941261-pandawa-m-200/objets", "link")</f>
        <v/>
      </c>
      <c r="C30837" t="n">
        <v>0</v>
      </c>
      <c r="D30837" t="inlineStr">
        <is>
          <t>Cape de Jahash Jurgen</t>
        </is>
      </c>
    </row>
    <row r="30838">
      <c r="A30838" t="inlineStr">
        <is>
          <t>Féca M 200</t>
        </is>
      </c>
      <c r="B30838">
        <f>HYPERLINK("https://www.dofusbook.net/fr/equipement/5923728-feca-m-200/objets", "link")</f>
        <v/>
      </c>
      <c r="C30838" t="n">
        <v>0</v>
      </c>
      <c r="D30838" t="inlineStr">
        <is>
          <t>Couteaux Sacrificiels; Amulette Volkorne; Anneau Volkorne; Alliance Gloursonne; Bouclier alvéolé; Ceinture de Dame Jhessica; Casque Dragoeuf; Cape Paztek; Pataugastrique; Dofus Ocre; Dofus des Glaces; Dofus Émeraude; Dofus Ivoire; Dofus Pourpre; Dofus Abyssal; Muldo Roux et Doré</t>
        </is>
      </c>
    </row>
    <row r="30839">
      <c r="A30839" t="inlineStr">
        <is>
          <t>Féca M 200</t>
        </is>
      </c>
      <c r="B30839">
        <f>HYPERLINK("https://www.dofusbook.net/fr/equipement/5923589-feca-m-200/objets", "link")</f>
        <v/>
      </c>
      <c r="C30839" t="n">
        <v>0</v>
      </c>
      <c r="D30839" t="inlineStr">
        <is>
          <t>Bouclier du Captain Amakna</t>
        </is>
      </c>
    </row>
    <row r="30840">
      <c r="A30840" t="inlineStr">
        <is>
          <t>Pandawa M 200</t>
        </is>
      </c>
      <c r="B30840">
        <f>HYPERLINK("https://www.dofusbook.net/fr/equipement/5923596-pandawa-m-200/objets", "link")</f>
        <v/>
      </c>
      <c r="C30840" t="n">
        <v>0</v>
      </c>
      <c r="D30840" t="inlineStr">
        <is>
          <t>Marteau R'ture; Collier de Tourthon; Anneau du Comte Harebourg; Anneau de Brouce; Bouclier d'Ilyzaelle; Ceinture de Brouce; Coiffe du Comte Harebourg; Cape au Logis; Bottes de Brouce; Dofus Pourpre; Dofus Ivoire; Dofus Turquoise; Dofus Abyssal; Dofus Émeraude; Dofus Ocre; Bulbisou</t>
        </is>
      </c>
    </row>
    <row r="30841">
      <c r="A30841" t="inlineStr">
        <is>
          <t>Pandawa F 200</t>
        </is>
      </c>
      <c r="B30841">
        <f>HYPERLINK("https://www.dofusbook.net/fr/equipement/5877549-pandawa-f-200/objets", "link")</f>
        <v/>
      </c>
      <c r="C30841" t="n">
        <v>0</v>
      </c>
      <c r="D30841" t="inlineStr">
        <is>
          <t>Amulette Volkorne; Chevalière du Roi Joueur; Anneau Volkorne; Quatre-feuilles; Ceinture Volkorne; Couronne du Roi Joueur; Cape de Jahash Jurgen; Bottes du Roi Joueur; Dofus Pourpre; Dofus Ocre; Dofus Ivoire; Dofus des Veilleurs; Dofus Vulbis; Dofus Turquoise; Fëanor</t>
        </is>
      </c>
    </row>
    <row r="30842">
      <c r="A30842" t="inlineStr">
        <is>
          <t>Sram M 200</t>
        </is>
      </c>
      <c r="B30842">
        <f>HYPERLINK("https://www.dofusbook.net/fr/equipement/5899509-sram-m-200/objets", "link")</f>
        <v/>
      </c>
      <c r="C30842" t="n">
        <v>0</v>
      </c>
      <c r="D30842" t="inlineStr">
        <is>
          <t>Arc Volkorne; Amulette Volkorne; Bracelet du Piloztère; Anneau Volkorne; Bouclier du Stalak; Ceinture de l'Esprit Salvateur; Masque de l'Esprit Salvateur; Cape de Jahash Jurgen; Bottes de l'Esprit Salvateur; Dofus Ivoire; Dolmanax; Dofus Ocre; Dofus Vulbis; Dofus Pourpre; Robuste majeur; Fëanor</t>
        </is>
      </c>
    </row>
    <row r="30843">
      <c r="A30843" t="inlineStr">
        <is>
          <t>Pandawa M 200</t>
        </is>
      </c>
      <c r="B30843">
        <f>HYPERLINK("https://www.dofusbook.net/fr/equipement/5923551-pandawa-m-200/objets", "link")</f>
        <v/>
      </c>
      <c r="C30843" t="n">
        <v>0</v>
      </c>
      <c r="D30843" t="inlineStr">
        <is>
          <t>Arc du Chalœil; Amulette du Cœur Saignant; Anneau Volkorne; Anneau Crustique; Quatre-feuilles; Ceinture Volkorne; Corne de Torkélonia; Cape du Cœur Saignant; Bottes du Cœur Saignant; Dofus Turquoise; Dofus Ivoire; Dofus Vulbis; Dofus Pourpre; Dofus Ocre; Fëanor</t>
        </is>
      </c>
    </row>
    <row r="30844">
      <c r="A30844" t="inlineStr">
        <is>
          <t>Pandawa M 200</t>
        </is>
      </c>
      <c r="B30844">
        <f>HYPERLINK("https://www.dofusbook.net/fr/equipement/5923541-pandawa-m-200/objets", "link")</f>
        <v/>
      </c>
      <c r="C30844" t="n">
        <v>0</v>
      </c>
      <c r="D30844" t="inlineStr">
        <is>
          <t>Arc corrompu; Amulette Volkorne; Anneauræus; Droiture de Fallanster; Ceinture Volkorne; Heaume Oplate; Cape de Jahash Jurgen; Bottes Innommables; Dofus Pourpre; Dofus Ivoire; Dofus Vulbis; Dofus Ocre; Érudit majeur; Bisouglours</t>
        </is>
      </c>
    </row>
    <row r="30845">
      <c r="A30845" t="inlineStr">
        <is>
          <t>Pandawa M 200</t>
        </is>
      </c>
      <c r="B30845">
        <f>HYPERLINK("https://www.dofusbook.net/fr/equipement/5922921-pandawa-m-200/objets", "link")</f>
        <v/>
      </c>
      <c r="C30845" t="n">
        <v>0</v>
      </c>
      <c r="D30845" t="inlineStr">
        <is>
          <t>Crocobur; Amulette de Pol Ouatnos; Anneau Chevelu; Anneau Crustique; Bouclier d'Ilyzaelle; Ceinture de Dame Jhessica; Masque Brûlâme; Cape du Cœur Saignant; Baleinabottes; Dofus Émeraude; Dofus Abyssal; Dofus Ivoire; Remueur; Carapace Terre majeur; Enragé majeur; Bulbisou</t>
        </is>
      </c>
    </row>
    <row r="30846">
      <c r="A30846" t="inlineStr">
        <is>
          <t>Pandawa M 200</t>
        </is>
      </c>
      <c r="B30846">
        <f>HYPERLINK("https://www.dofusbook.net/fr/equipement/5922819-pandawa-m-200/objets", "link")</f>
        <v/>
      </c>
      <c r="C30846" t="n">
        <v>0</v>
      </c>
      <c r="D30846" t="inlineStr">
        <is>
          <t>Crocobur; Amulette de Pol Ouatnos; Anneau Volkorne; Anneau Chevelu; Bouclier d'Ilyzaelle; Ceinture Volkorne; Casque en Grithril; Cape Luminescente; Tentassons; Dofus Émeraude; Dofus Ocre; Dofus Ivoire; Dofus Abyssal; Enragé majeur; Remueur; Bulbisou</t>
        </is>
      </c>
    </row>
    <row r="30847">
      <c r="A30847" t="inlineStr">
        <is>
          <t>Pandawa M 200</t>
        </is>
      </c>
      <c r="B30847">
        <f>HYPERLINK("https://www.dofusbook.net/fr/equipement/5922629-pandawa-m-200/objets", "link")</f>
        <v/>
      </c>
      <c r="C30847" t="n">
        <v>0</v>
      </c>
      <c r="D30847" t="inlineStr">
        <is>
          <t>Baguette du Dragoeuf; Amulette du Strigide; Anneau de Padgref; Bracelet du Piloztère; Quatre-feuilles; Ceinture du Strigide; Coiffe de Padgref; Cape Indescriptible; Getas de Padgref; Dofus Ocre; Dofus Pourpre; Dofus Ivoire; Dofus Turquoise; Dofus Abyssal; Kokulte</t>
        </is>
      </c>
    </row>
    <row r="30848">
      <c r="A30848" t="inlineStr">
        <is>
          <t>Pandawa M 200</t>
        </is>
      </c>
      <c r="B30848">
        <f>HYPERLINK("https://www.dofusbook.net/fr/equipement/5922606-pandawa-m-200/objets", "link")</f>
        <v/>
      </c>
      <c r="C30848" t="n">
        <v>0</v>
      </c>
      <c r="D30848" t="inlineStr">
        <is>
          <t>Plume de Buhorado; Pendentif Oton; Anneau de Padgref; Anneau d'Allister; Quatre-feuilles; Menoture; Coiffe de Padgref; Cape Indescriptible; Getas de Padgref; Dofus Abyssal; Dofus Ivoire; Dofus Turquoise; Dofus Pourpre; Dofus des Glaces; Siroko</t>
        </is>
      </c>
    </row>
    <row r="30849">
      <c r="A30849" t="inlineStr">
        <is>
          <t>Pandawa M 200</t>
        </is>
      </c>
      <c r="B30849">
        <f>HYPERLINK("https://www.dofusbook.net/fr/equipement/5917024-pandawa-m-200/objets", "link")</f>
        <v/>
      </c>
      <c r="C30849" t="n">
        <v>0</v>
      </c>
      <c r="D30849" t="inlineStr">
        <is>
          <t>Rouleau à Pâtisserie d'Aermyne; Collier Rophante; Alliance Gloursonne; Anneau de XLII; Droiture de Fallanster; Ceintacé; Casque Dragoeuf; Cape d'Anerice; Bottes de XLII; Dofus Abyssal; Dofus Émeraude; Dofus Ivoire; Bloqueur majeur; Remueur; Obstructeur majeur; Givrefoux</t>
        </is>
      </c>
    </row>
    <row r="30850">
      <c r="A30850" t="inlineStr">
        <is>
          <t>Féca M 200</t>
        </is>
      </c>
      <c r="B30850">
        <f>HYPERLINK("https://www.dofusbook.net/fr/equipement/5911374-feca-m-200/objets", "link")</f>
        <v/>
      </c>
      <c r="C30850" t="n">
        <v>0</v>
      </c>
      <c r="D30850" t="inlineStr">
        <is>
          <t>Harpelle; Amulette Volkorne; Anneauræus; Anneau Volkorne; Bouclier du Captain Amakna; Croture; Casque Dragoeuf; Voile d'encre; Bottes Innommables; Dofus Ocre; Dofus Ivoire; Dofus Vulbis; Remueur; Érudit majeur</t>
        </is>
      </c>
    </row>
    <row r="30851">
      <c r="A30851" t="inlineStr">
        <is>
          <t>Iop M 200</t>
        </is>
      </c>
      <c r="B30851">
        <f>HYPERLINK("https://www.dofusbook.net/fr/equipement/5905293-iop-m-200/objets", "link")</f>
        <v/>
      </c>
      <c r="C30851" t="n">
        <v>0</v>
      </c>
      <c r="D30851" t="inlineStr">
        <is>
          <t>Plume de Buhorado; Collier du Valet Veinard; Anneau d'Allister; Gant du Valet Veinard; Bouclier du Stalak; Ceinture du Nocturlabe; Couronne d'Allister; Cape de Jahash Jurgen; Bottes d'Allister; Dofus Ocre; Dofus Abyssal; Dofus Ivoire; Dofus Pourpre; Equilibriste majeur; Blérodoudou</t>
        </is>
      </c>
    </row>
    <row r="30852">
      <c r="A30852" t="inlineStr">
        <is>
          <t>Crâ M 200</t>
        </is>
      </c>
      <c r="B30852">
        <f>HYPERLINK("https://www.dofusbook.net/fr/equipement/5899944-cra-m-200/objets", "link")</f>
        <v/>
      </c>
      <c r="C30852" t="n">
        <v>1</v>
      </c>
      <c r="D30852" t="inlineStr">
        <is>
          <t>Dagues du Dragoeuf; Amulette du Strigide; Bracelet du Piloztère; Anneau de Padgref; Quatre-feuilles; Ceinture du Strigide; Coiffe de Padgref; Cape de Jahash Jurgen; Getas de Padgref; Dofus Ébène; Dofus Turquoise; Dofus Vulbis; Dofus Ocre; Dofus Nébuleux; Dofus Pourpre; Kokulte</t>
        </is>
      </c>
    </row>
    <row r="30853">
      <c r="A30853" t="inlineStr">
        <is>
          <t>Pandawa M 200</t>
        </is>
      </c>
      <c r="B30853">
        <f>HYPERLINK("https://www.dofusbook.net/fr/equipement/5898917-pandawa-m-200/objets", "link")</f>
        <v/>
      </c>
      <c r="C30853" t="n">
        <v>0</v>
      </c>
      <c r="D30853" t="inlineStr">
        <is>
          <t>Dagues d'Ilyzaelle; Amulette du Cœur Saignant; Anneau Crustique; Anneau Volkorne; Droiture de Fallanster; Ceinture Volkorne; Casque Dragoeuf; Cape du Cœur Saignant; Bottes du Cœur Saignant; Dofus Pourpre; Dofus Ivoire; Dofus Abyssal; Dofus Turquoise; Dofus Vulbis; Dofus Ocre; Fëanor</t>
        </is>
      </c>
    </row>
    <row r="30854">
      <c r="A30854" t="inlineStr">
        <is>
          <t>Pandawa M 200</t>
        </is>
      </c>
      <c r="B30854">
        <f>HYPERLINK("https://www.dofusbook.net/fr/equipement/5904917-pandawa-m-200/objets", "link")</f>
        <v/>
      </c>
      <c r="C30854" t="n">
        <v>0</v>
      </c>
      <c r="D30854" t="inlineStr">
        <is>
          <t>Arc corrompu; Amulette Volkorne; Anneau de Padgref; Anneau Volkorne; Quatre-feuilles; Croture; Coiffe de Padgref; Voile d'encre; Getas de Padgref; Dofus Pourpre; Dofus Turquoise; Dofus Abyssal; Dofus Vulbis; Dofus Ivoire; Dofus Ocre; Fëanor</t>
        </is>
      </c>
    </row>
    <row r="30855">
      <c r="A30855" t="inlineStr">
        <is>
          <t>Pandawa M 200</t>
        </is>
      </c>
      <c r="B30855">
        <f>HYPERLINK("https://www.dofusbook.net/fr/equipement/5899778-pandawa-m-200/objets", "link")</f>
        <v/>
      </c>
      <c r="C30855" t="n">
        <v>0</v>
      </c>
      <c r="D30855" t="inlineStr"/>
    </row>
    <row r="30856">
      <c r="A30856" t="inlineStr">
        <is>
          <t>Pandawa M 200</t>
        </is>
      </c>
      <c r="B30856">
        <f>HYPERLINK("https://www.dofusbook.net/fr/equipement/5899738-pandawa-m-200/objets", "link")</f>
        <v/>
      </c>
      <c r="C30856" t="n">
        <v>0</v>
      </c>
      <c r="D30856" t="inlineStr">
        <is>
          <t>Dagues du Dragoeuf; Amulette Volkorne; Anneau de Padgref; Anneau Volkorne; Quatre-feuilles; Ceinture du Strigide; Coiffe de Padgref; Cape de Jahash Jurgen; Getas de Padgref; Dofus Ocre; Dofus Ivoire; Dofus Abyssal; Dofus Turquoise; Dofus Vulbis; Dofus Pourpre; Kokulte</t>
        </is>
      </c>
    </row>
    <row r="30857">
      <c r="A30857" t="inlineStr">
        <is>
          <t>Pandawa M 200</t>
        </is>
      </c>
      <c r="B30857">
        <f>HYPERLINK("https://www.dofusbook.net/fr/equipement/5899656-pandawa-m-200/objets", "link")</f>
        <v/>
      </c>
      <c r="C30857" t="n">
        <v>0</v>
      </c>
      <c r="D30857" t="inlineStr">
        <is>
          <t>Bâthon; Amulette Volkorne; Chevalière du Roi Joueur; Bracelet du Piloztère; Bouclier du Stalak; Ceinture Volkorne; Couronne du Roi Joueur; Cape de Jahash Jurgen; Bottes du Roi Joueur; Dofus Ocre; Dofus Ébène; Dofus Vulbis; Dofus Ivoire; Dofus Pourpre; Dofus Abyssal; Fëanor</t>
        </is>
      </c>
    </row>
    <row r="30858">
      <c r="A30858" t="inlineStr">
        <is>
          <t>Iop M 200</t>
        </is>
      </c>
      <c r="B30858">
        <f>HYPERLINK("https://www.dofusbook.net/fr/equipement/5899130-iop-m-200/objets", "link")</f>
        <v/>
      </c>
      <c r="C30858" t="n">
        <v>0</v>
      </c>
      <c r="D30858" t="inlineStr">
        <is>
          <t>Épée du Granduk; Amulette du Granduk; Anneau d'Allister; Anneau de Padgref; Quatre-feuilles; Menoture; Casque Volkorne; Cape de Jahash Jurgen; Palmes Trithons; Dofus Vulbis; Dofus Turquoise; Dofus Pourpre; Dofus Ocre; Equilibriste majeur; Cascadeur majeur; Pioute jaune</t>
        </is>
      </c>
    </row>
    <row r="30859">
      <c r="A30859" t="inlineStr">
        <is>
          <t>Féca M 200</t>
        </is>
      </c>
      <c r="B30859">
        <f>HYPERLINK("https://www.dofusbook.net/fr/equipement/5899285-feca-m-200/objets", "link")</f>
        <v/>
      </c>
      <c r="C30859" t="n">
        <v>0</v>
      </c>
      <c r="D30859" t="inlineStr">
        <is>
          <t>Crocobur; Bouclier du Captain Amakna; Ceinture de l'Esprit Salvateur; Masque de l'Esprit Salvateur; Cape de Jahash Jurgen; Bottes de l'Esprit Salvateur; Dofus Vulbis; Dofus Ocre; Dofus des Glaces; Dofus Pourpre</t>
        </is>
      </c>
    </row>
    <row r="30860">
      <c r="A30860" t="inlineStr">
        <is>
          <t>Pandawa M 200</t>
        </is>
      </c>
      <c r="B30860">
        <f>HYPERLINK("https://www.dofusbook.net/fr/equipement/5899313-pandawa-m-200/objets", "link")</f>
        <v/>
      </c>
      <c r="C30860" t="n">
        <v>0</v>
      </c>
      <c r="D30860" t="inlineStr">
        <is>
          <t>Rouleau à Pâtisserie d'Aermyne; Collier Rophante; Anneau de XLII; Anneau Chevelu; Droiture de Fallanster; Ceinture de Dame Jhessica; Casque Dragoeuf; Cape d'Anerice; Bottes de XLII; Dofus Émeraude; Dofus Ivoire; Dofus Ocre; Remueur; Bloqueur majeur; Obstructeur majeur; Givrefoux</t>
        </is>
      </c>
    </row>
    <row r="30861">
      <c r="A30861" t="inlineStr">
        <is>
          <t>Pandawa M 200</t>
        </is>
      </c>
      <c r="B30861">
        <f>HYPERLINK("https://www.dofusbook.net/fr/equipement/5899163-pandawa-m-200/objets", "link")</f>
        <v/>
      </c>
      <c r="C30861" t="n">
        <v>0</v>
      </c>
      <c r="D30861" t="inlineStr">
        <is>
          <t>Crocobur; Collier de Tourthon; Anneau Volkorne; Anneau Crustique; Droiture de Fallanster; Ceinture Volkorne; Casque Dragoeuf; Cape au Logis; Sabots Minables; Dofus Ivoire; Dofus Émeraude; Dofus Pourpre; Remueur; Obstructeur majeur; Enragé majeur; Muldo Roux et Pourpre</t>
        </is>
      </c>
    </row>
    <row r="30862">
      <c r="A30862" t="inlineStr">
        <is>
          <t>Steamer M 200</t>
        </is>
      </c>
      <c r="B30862">
        <f>HYPERLINK("https://www.dofusbook.net/fr/equipement/5899099-steamer-m-200/objets", "link")</f>
        <v/>
      </c>
      <c r="C30862" t="n">
        <v>0</v>
      </c>
      <c r="D30862" t="inlineStr">
        <is>
          <t>Anneauræus; Anneauræus; Croture; Cape de Jahash Jurgen</t>
        </is>
      </c>
    </row>
    <row r="30863">
      <c r="A30863" t="inlineStr">
        <is>
          <t>Ouginak M 200</t>
        </is>
      </c>
      <c r="B30863">
        <f>HYPERLINK("https://www.dofusbook.net/fr/equipement/5899085-ouginak-m-200/objets", "link")</f>
        <v/>
      </c>
      <c r="C30863" t="n">
        <v>0</v>
      </c>
      <c r="D30863" t="inlineStr"/>
    </row>
    <row r="30864">
      <c r="A30864" t="inlineStr">
        <is>
          <t>Sadida M 200</t>
        </is>
      </c>
      <c r="B30864">
        <f>HYPERLINK("https://www.dofusbook.net/fr/equipement/5899076-sadida-m-200/objets", "link")</f>
        <v/>
      </c>
      <c r="C30864" t="n">
        <v>0</v>
      </c>
      <c r="D30864" t="inlineStr"/>
    </row>
    <row r="30865">
      <c r="A30865" t="inlineStr">
        <is>
          <t>Crâ M 200</t>
        </is>
      </c>
      <c r="B30865">
        <f>HYPERLINK("https://www.dofusbook.net/fr/equipement/5859066-cra-m-200/objets", "link")</f>
        <v/>
      </c>
      <c r="C30865" t="n">
        <v>0</v>
      </c>
      <c r="D30865" t="inlineStr">
        <is>
          <t>Dagues du Dragoeuf; Amulette du Strigide; Anneau de Padgref; Bracelet du Piloztère; Quatre-feuilles; Ceinture du Strigide; Coiffe de Padgref; Cape de Jahash Jurgen; Getas de Padgref; Dofus Pourpre; Dofus Ivoire; Dofus Ébène; Dofus Turquoise; Dofus Abyssal; Dofus Ocre; Kokulte</t>
        </is>
      </c>
    </row>
    <row r="30866">
      <c r="A30866" t="inlineStr">
        <is>
          <t>Pandawa M 200</t>
        </is>
      </c>
      <c r="B30866">
        <f>HYPERLINK("https://www.dofusbook.net/fr/equipement/5884090-pandawa-m-200/objets", "link")</f>
        <v/>
      </c>
      <c r="C30866" t="n">
        <v>0</v>
      </c>
      <c r="D30866" t="inlineStr">
        <is>
          <t>Collier de Tourthon; Anneau Chevelu; Ceinture de XLII; Bottes de XLII</t>
        </is>
      </c>
    </row>
    <row r="30867">
      <c r="A30867" t="inlineStr">
        <is>
          <t>Crâ M 200</t>
        </is>
      </c>
      <c r="B30867">
        <f>HYPERLINK("https://www.dofusbook.net/fr/equipement/5883083-cra-m-200/objets", "link")</f>
        <v/>
      </c>
      <c r="C30867" t="n">
        <v>1</v>
      </c>
      <c r="D30867" t="inlineStr">
        <is>
          <t>Dagues du Dragoeuf; Amulette du Strigide; Bracelet du Piloztère; Anneau de Padgref; Quatre-feuilles; Coiffe de Padgref; Cape Hulco; Dofus Pourpre; Dofus Ivoire; Dofus Turquoise; Dofus Ocre; Kokulte</t>
        </is>
      </c>
    </row>
    <row r="30868">
      <c r="A30868" t="inlineStr">
        <is>
          <t>Pandawa M 200</t>
        </is>
      </c>
      <c r="B30868">
        <f>HYPERLINK("https://www.dofusbook.net/fr/equipement/5877924-pandawa-m-200/objets", "link")</f>
        <v/>
      </c>
      <c r="C30868" t="n">
        <v>0</v>
      </c>
      <c r="D30868" t="inlineStr">
        <is>
          <t>Crocobur; Collier de Tourthon; Anneau Volkorne; Anneau de Brouce; Droiture de Fallanster; Ceinture Volkorne; Casque Dragoeuf; Cape de Jahash Jurgen; Bottes du Cœur Saignant; Dofus Ivoire; Dofus Pourpre; Dofus Ocre; Enragé majeur; Nomade; Remueur; Fëanor</t>
        </is>
      </c>
    </row>
    <row r="30869">
      <c r="A30869" t="inlineStr">
        <is>
          <t>Pandawa M 200</t>
        </is>
      </c>
      <c r="B30869">
        <f>HYPERLINK("https://www.dofusbook.net/fr/equipement/5877882-pandawa-m-200/objets", "link")</f>
        <v/>
      </c>
      <c r="C30869" t="n">
        <v>0</v>
      </c>
      <c r="D30869" t="inlineStr">
        <is>
          <t>Baguette de Torkélonia; Amulette du Strigide; Bracelet du Piloztère; Anneau de Padgref; Quatre-feuilles; Ceinture du Strigide; Corne de Torkélonia; Carapace de Torkélonia; Bottes du Strigide; Dofus Pourpre; Dofus Ivoire; Dofus Turquoise; Dolmanax; Dofus des Veilleurs; Dofus Ocre; Fëanor</t>
        </is>
      </c>
    </row>
    <row r="30870">
      <c r="A30870" t="inlineStr">
        <is>
          <t>Pandawa F 200</t>
        </is>
      </c>
      <c r="B30870">
        <f>HYPERLINK("https://www.dofusbook.net/fr/equipement/5877684-pandawa-f-200/objets", "link")</f>
        <v/>
      </c>
      <c r="C30870" t="n">
        <v>0</v>
      </c>
      <c r="D30870" t="inlineStr">
        <is>
          <t>Marteau R'ture; Amulette du Strigide; Anneau de Brouce; Alliance de Missiz Frizz; Quatre-feuilles; Ceinture de Brouce; Casque de Missiz Frizz; Cape de Jahash Jurgen; Bottes de Brouce; Dofus Turquoise; Dofus Ocre; Dofus Vulbis; Dofus Pourpre; Dofus des Veilleurs; Dofus Ivoire; Fëanor</t>
        </is>
      </c>
    </row>
    <row r="30871">
      <c r="A30871" t="inlineStr">
        <is>
          <t>Pandawa M 200</t>
        </is>
      </c>
      <c r="B30871">
        <f>HYPERLINK("https://www.dofusbook.net/fr/equipement/5877614-pandawa-m-200/objets", "link")</f>
        <v/>
      </c>
      <c r="C30871" t="n">
        <v>1</v>
      </c>
      <c r="D30871" t="inlineStr">
        <is>
          <t>Baguette de Torkélonia; Amulette du Strigide; Anneau Crustique; Alliance Brûlâme; Quatre-feuilles; Ceinture du Strigide; Corne de Torkélonia; Carapace de Torkélonia; Bottes du Strigide; Dofus Ivoire; Dofus Ocre; Dolmanax; Dofus Pourpre; Dofus Ébène; Dofus Turquoise; Fëanor</t>
        </is>
      </c>
    </row>
    <row r="30872">
      <c r="A30872" t="inlineStr">
        <is>
          <t>Pandawa M 200</t>
        </is>
      </c>
      <c r="B30872">
        <f>HYPERLINK("https://www.dofusbook.net/fr/equipement/5877604-pandawa-m-200/objets", "link")</f>
        <v/>
      </c>
      <c r="C30872" t="n">
        <v>0</v>
      </c>
      <c r="D30872" t="inlineStr">
        <is>
          <t>Arc du Chalœil; Amulette du Strigide; Chevalière du Roi Joueur; Anneau Crustique; Quatre-feuilles; Ceinture du Strigide; Couronne du Roi Joueur; Cape de Jahash Jurgen; Bottes du Roi Joueur; Dofus Ocre; Dofus Ébène; Dofus Pourpre; Dofus Vulbis; Dofus Turquoise; Dofus Ivoire; Fëanor</t>
        </is>
      </c>
    </row>
    <row r="30873">
      <c r="A30873" t="inlineStr">
        <is>
          <t>Pandawa M 200</t>
        </is>
      </c>
      <c r="B30873">
        <f>HYPERLINK("https://www.dofusbook.net/fr/equipement/5877576-pandawa-m-200/objets", "link")</f>
        <v/>
      </c>
      <c r="C30873" t="n">
        <v>1</v>
      </c>
      <c r="D30873" t="inlineStr">
        <is>
          <t>Arc du Chalœil; Amulette du Strigide; Alliance de Missiz Frizz; Anneau de Brouce; Quatre-feuilles; Ceinture de Brouce; Casque de Missiz Frizz; Cape de Jahash Jurgen; Bottes de Brouce; Dofus Vulbis; Dofus Ivoire; Dofus Pourpre; Dofus Ocre; Dofus Ébène; Dofus Turquoise; Fëanor</t>
        </is>
      </c>
    </row>
    <row r="30874">
      <c r="A30874" t="inlineStr">
        <is>
          <t>Pandawa M 200</t>
        </is>
      </c>
      <c r="B30874">
        <f>HYPERLINK("https://www.dofusbook.net/fr/equipement/5877564-pandawa-m-200/objets", "link")</f>
        <v/>
      </c>
      <c r="C30874" t="n">
        <v>0</v>
      </c>
      <c r="D30874" t="inlineStr"/>
    </row>
    <row r="30875">
      <c r="A30875" t="inlineStr">
        <is>
          <t>Pandawa F 200</t>
        </is>
      </c>
      <c r="B30875">
        <f>HYPERLINK("https://www.dofusbook.net/fr/equipement/5865926-pandawa-f-200/objets", "link")</f>
        <v/>
      </c>
      <c r="C30875" t="n">
        <v>0</v>
      </c>
      <c r="D30875" t="inlineStr">
        <is>
          <t>Dagues du Dragoeuf; Amulette du Strigide; Bracelet du Piloztère; Anneau de Padgref; Quatre-feuilles; Ceinture du Strigide; Coiffe de Padgref; Cape de Jahash Jurgen; Getas de Padgref; Dofus Turquoise; Dofus Ébène; Dofus Ocre; Dofus Vulbis; Dofus Pourpre; Dofus Ivoire; Kokulte</t>
        </is>
      </c>
    </row>
    <row r="30876">
      <c r="A30876" t="inlineStr">
        <is>
          <t>Pandawa M 200</t>
        </is>
      </c>
      <c r="B30876">
        <f>HYPERLINK("https://www.dofusbook.net/fr/equipement/5865847-pandawa-m-200/objets", "link")</f>
        <v/>
      </c>
      <c r="C30876" t="n">
        <v>0</v>
      </c>
      <c r="D30876" t="inlineStr">
        <is>
          <t>Baguette de Torkélonia; Amulette du Strigide; Anneau Crustique; Anneau Crustique; Droiture de Fallanster; Ceinture du Strigide; Corne de Torkélonia; Carapace de Torkélonia; Bottes du Strigide; Dofus Ivoire; Dofus Ocre; Dofus Pourpre; Dofus Abyssal; Dofus Turquoise; Dofus Vulbis; Sakochère</t>
        </is>
      </c>
    </row>
    <row r="30877">
      <c r="A30877" t="inlineStr">
        <is>
          <t>Pandawa M 200</t>
        </is>
      </c>
      <c r="B30877">
        <f>HYPERLINK("https://www.dofusbook.net/fr/equipement/5865827-pandawa-m-200/objets", "link")</f>
        <v/>
      </c>
      <c r="C30877" t="n">
        <v>0</v>
      </c>
      <c r="D30877" t="inlineStr">
        <is>
          <t>Bracelet du Piloztère; Anneau Volkorne; Droiture de Fallanster; Ceinture Volkorne; Chapeau de Gein; Cape de Jahash Jurgen; Dofus Ivoire; Dofus Pourpre; Dofus Ocre; Remueur; Enragé majeur</t>
        </is>
      </c>
    </row>
    <row r="30878">
      <c r="A30878" t="inlineStr">
        <is>
          <t>Pandawa F 200</t>
        </is>
      </c>
      <c r="B30878">
        <f>HYPERLINK("https://www.dofusbook.net/fr/equipement/5865232-pandawa-f-200/objets", "link")</f>
        <v/>
      </c>
      <c r="C30878" t="n">
        <v>0</v>
      </c>
      <c r="D30878" t="inlineStr">
        <is>
          <t>Arc du Chalœil; Amulette du Strigide; Anneau Chevelu; Chevalière du Roi Joueur; Droiture de Fallanster; Ceinture du Strigide; Couronne du Roi Joueur; Cape de Jahash Jurgen; Bottes du Roi Joueur; Dofus Vulbis; Dofus Abyssal; Dofus Turquoise; Dofus Ivoire; Dofus Ocre; Dofus Pourpre; Fëanor</t>
        </is>
      </c>
    </row>
    <row r="30879">
      <c r="A30879" t="inlineStr">
        <is>
          <t>Enutrof M 200</t>
        </is>
      </c>
      <c r="B30879">
        <f>HYPERLINK("https://www.dofusbook.net/fr/equipement/5865287-enutrof-m-200/objets", "link")</f>
        <v/>
      </c>
      <c r="C30879" t="n">
        <v>0</v>
      </c>
      <c r="D30879" t="inlineStr"/>
    </row>
    <row r="30880">
      <c r="A30880" t="inlineStr">
        <is>
          <t>Pandawa M 200</t>
        </is>
      </c>
      <c r="B30880">
        <f>HYPERLINK("https://www.dofusbook.net/fr/equipement/5865245-pandawa-m-200/objets", "link")</f>
        <v/>
      </c>
      <c r="C30880" t="n">
        <v>0</v>
      </c>
      <c r="D30880" t="inlineStr">
        <is>
          <t>Baguette de Torkélonia; Amulette du Strigide; Anneau Crustique; Anneau Crustique; Quatre-feuilles; Ceinture du Strigide; Corne de Torkélonia; Carapace de Torkélonia; Bottes du Strigide; Dofus Pourpre; Dofus Abyssal; Dofus Ocre; Dofus Ébène; Dofus Turquoise; Dofus Ivoire</t>
        </is>
      </c>
    </row>
    <row r="30881">
      <c r="A30881" t="inlineStr">
        <is>
          <t>Pandawa M 200</t>
        </is>
      </c>
      <c r="B30881">
        <f>HYPERLINK("https://www.dofusbook.net/fr/equipement/5865228-pandawa-m-200/objets", "link")</f>
        <v/>
      </c>
      <c r="C30881" t="n">
        <v>1</v>
      </c>
      <c r="D30881" t="inlineStr">
        <is>
          <t>Bâton Beau; Amulette du Strigide; Chevalière du Roi Joueur; Quatre-feuilles; Ceinture du Strigide; Couronne du Roi Joueur; Voile d'encre; Bottes du Roi Joueur</t>
        </is>
      </c>
    </row>
    <row r="30882">
      <c r="A30882" t="inlineStr">
        <is>
          <t>Pandawa M 200</t>
        </is>
      </c>
      <c r="B30882">
        <f>HYPERLINK("https://www.dofusbook.net/fr/equipement/5865207-pandawa-m-200/objets", "link")</f>
        <v/>
      </c>
      <c r="C30882" t="n">
        <v>0</v>
      </c>
      <c r="D30882" t="inlineStr">
        <is>
          <t>Arc du Chalœil; Amulette du Cœur Saignant; Chevalière du Roi Joueur; Anneau Volkorne; Ceinture Volkorne; Couronne du Roi Joueur; Cape du Cœur Saignant; Bottes du Cœur Saignant</t>
        </is>
      </c>
    </row>
    <row r="30883">
      <c r="A30883" t="inlineStr">
        <is>
          <t>Pandawa F 200</t>
        </is>
      </c>
      <c r="B30883">
        <f>HYPERLINK("https://www.dofusbook.net/fr/equipement/5859093-pandawa-f-200/objets", "link")</f>
        <v/>
      </c>
      <c r="C30883" t="n">
        <v>0</v>
      </c>
      <c r="D30883" t="inlineStr">
        <is>
          <t>Arc du Chalœil; Amulette du Strigide; Anneau Chevelu; Chevalière du Roi Joueur; Quatre-feuilles; Ceinture du Strigide; Couronne du Roi Joueur; Voile d'encre; Bottes du Roi Joueur; Dofus Ébène; Dofus Turquoise; Dofus Ivoire; Dofus Pourpre; Dofus Vulbis; Dofus Ocre</t>
        </is>
      </c>
    </row>
    <row r="30884">
      <c r="A30884" t="inlineStr">
        <is>
          <t>Pandawa M 200</t>
        </is>
      </c>
      <c r="B30884">
        <f>HYPERLINK("https://www.dofusbook.net/fr/equipement/5848445-pandawa-m-200/objets", "link")</f>
        <v/>
      </c>
      <c r="C30884" t="n">
        <v>0</v>
      </c>
      <c r="D30884" t="inlineStr">
        <is>
          <t>Dagues du Dragoeuf; Amulette du Strigide; Bracelet du Piloztère; Anneau de Padgref; Quatre-feuilles; Ceinture du Strigide; Coiffe de Padgref; Cape de Jahash Jurgen; Getas de Padgref; Dofus Ocre; Dofus Vulbis; Dofus Ivoire; Dofus Ébène; Dofus Pourpre; Dofus Turquoise; Kokulte</t>
        </is>
      </c>
    </row>
    <row r="30885">
      <c r="A30885" t="inlineStr">
        <is>
          <t>Crâ M 200</t>
        </is>
      </c>
      <c r="B30885">
        <f>HYPERLINK("https://www.dofusbook.net/fr/equipement/5842035-cra-m-200/objets", "link")</f>
        <v/>
      </c>
      <c r="C30885" t="n">
        <v>0</v>
      </c>
      <c r="D30885" t="inlineStr">
        <is>
          <t>Arc Volkorne; Amulette du Strigide; Bracelet du Piloztère; Anneau Volkorne; Quatre-feuilles; Ceinture du Strigide; Casque Volkorne; Cape de Jahash Jurgen; Bottes du Strigide; Dofus Turquoise; Dofus Pourpre; Dofus Ocre; Dofus des Glaces; Dofus Vulbis</t>
        </is>
      </c>
    </row>
    <row r="30886">
      <c r="A30886" t="inlineStr">
        <is>
          <t>Pandawa M 200</t>
        </is>
      </c>
      <c r="B30886">
        <f>HYPERLINK("https://www.dofusbook.net/fr/equipement/5746957-pandawa-m-200/objets", "link")</f>
        <v/>
      </c>
      <c r="C30886" t="n">
        <v>0</v>
      </c>
      <c r="D30886" t="inlineStr">
        <is>
          <t>Crocobur; Amulette Volkorne; Bague Gloursonne; Anneau Crustique; Droiture de Fallanster; Ceinture Volkorne; Masque de Koutoulou; Cape au Logis; Sabots Minables; Dofus Abyssal; Dofus Émeraude; Dofus Pourpre; Enragé majeur; Carapace Terre majeur; Muldo Roux et Pourpre</t>
        </is>
      </c>
    </row>
    <row r="30887">
      <c r="A30887" t="inlineStr">
        <is>
          <t>Pandawa F 200</t>
        </is>
      </c>
      <c r="B30887">
        <f>HYPERLINK("https://www.dofusbook.net/fr/equipement/5761160-pandawa-f-200/objets", "link")</f>
        <v/>
      </c>
      <c r="C30887" t="n">
        <v>0</v>
      </c>
      <c r="D30887" t="inlineStr">
        <is>
          <t>Dagues d'Ilyzaelle; Amulette du Strigide; Bague Gloursonne; Anneau Chevelu; Bouclier d'Ilyzaelle; Ceinture du Strigide; Masque de Koutoulou; Cape au Logis; Sabots Minables; Dofus Émeraude; Dofus Pourpre; Enragé majeur; Remueur; Obstructeur mineur; Bloqueur mineur</t>
        </is>
      </c>
    </row>
    <row r="30888">
      <c r="A30888" t="inlineStr">
        <is>
          <t>Pandawa M 200</t>
        </is>
      </c>
      <c r="B30888">
        <f>HYPERLINK("https://www.dofusbook.net/fr/equipement/5731991-pandawa-m-200/objets", "link")</f>
        <v/>
      </c>
      <c r="C30888" t="n">
        <v>1</v>
      </c>
      <c r="D30888" t="inlineStr">
        <is>
          <t>Crocobur; Collier de Tourthon; Anneau Crustique; Bague Gloursonne; Droiture de Fallanster; Ceinture de la Reine des Voleurs; Coiffe de la Reine des Voleurs; Cape au Logis; Sabots Minables; Dofus Émeraude; Dofus Pourpre; Remueur; Carapace Feu majeur; Enragé majeur</t>
        </is>
      </c>
    </row>
    <row r="30889">
      <c r="A30889" t="inlineStr">
        <is>
          <t>Pandawa M 200</t>
        </is>
      </c>
      <c r="B30889">
        <f>HYPERLINK("https://www.dofusbook.net/fr/equipement/5746838-pandawa-m-200/objets", "link")</f>
        <v/>
      </c>
      <c r="C30889" t="n">
        <v>0</v>
      </c>
      <c r="D30889" t="inlineStr">
        <is>
          <t>Crocobur; Amulette du Strigide; Bague Gloursonne; Anneau Volkorne; Droiture de Fallanster; Ceinture Volkorne; Casque Dragoeuf; Cape au Logis; Sabots Minables; Dofus Abyssal; Dofus Émeraude; Enragé majeur; Remueur; Carapace Feu majeur</t>
        </is>
      </c>
    </row>
    <row r="30890">
      <c r="A30890" t="inlineStr">
        <is>
          <t>Pandawa M 200</t>
        </is>
      </c>
      <c r="B30890">
        <f>HYPERLINK("https://www.dofusbook.net/fr/equipement/5707083-pandawa-m-200/objets", "link")</f>
        <v/>
      </c>
      <c r="C30890" t="n">
        <v>0</v>
      </c>
      <c r="D30890" t="inlineStr">
        <is>
          <t>Lav'Hache; Amulette du Strigide; Anneau Chevelu; Anneau Crustique; Bouclier d'Ilyzaelle; Ceintouse; Chapoulpe; Cape du Cœur Saignant; Tentassons; Dofus Émeraude; Dofus Pourpre; Muldo Roux et Ebène</t>
        </is>
      </c>
    </row>
    <row r="30891">
      <c r="A30891" t="inlineStr">
        <is>
          <t>Pandawa F 200</t>
        </is>
      </c>
      <c r="B30891">
        <f>HYPERLINK("https://www.dofusbook.net/fr/equipement/5746890-pandawa-f-200/objets", "link")</f>
        <v/>
      </c>
      <c r="C30891" t="n">
        <v>1</v>
      </c>
      <c r="D30891" t="inlineStr">
        <is>
          <t>Crocobur; Amulette du Strigide; Bague Gloursonne; Anneau Chevelu; Droiture de Fallanster; Ceinture du Strigide; Masque de Koutoulou; Cape au Logis; Sabots Minables; Dofus Émeraude; Dofus Pourpre; Dofus Abyssal; Enragé majeur; Obstructeur majeur; Carapace Feu majeur; Muldo Roux et Indigo</t>
        </is>
      </c>
    </row>
    <row r="30892">
      <c r="A30892" t="inlineStr">
        <is>
          <t>Pandawa M 200</t>
        </is>
      </c>
      <c r="B30892">
        <f>HYPERLINK("https://www.dofusbook.net/fr/equipement/5746817-pandawa-m-200/objets", "link")</f>
        <v/>
      </c>
      <c r="C30892" t="n">
        <v>0</v>
      </c>
      <c r="D30892" t="inlineStr">
        <is>
          <t>Crocobur; Amulette du Strigide; Anneau Volkorne; Droiture de Fallanster; Ceinture Volkorne; Masque de Koutoulou; Cape au Logis; Bottes de la Cour Sombre</t>
        </is>
      </c>
    </row>
    <row r="30893">
      <c r="A30893" t="inlineStr">
        <is>
          <t>Sram M 200</t>
        </is>
      </c>
      <c r="B30893">
        <f>HYPERLINK("https://www.dofusbook.net/fr/equipement/5731325-sram-m-200/objets", "link")</f>
        <v/>
      </c>
      <c r="C30893" t="n">
        <v>0</v>
      </c>
      <c r="D30893" t="inlineStr"/>
    </row>
    <row r="30894">
      <c r="A30894" t="inlineStr">
        <is>
          <t>Pandawa F 200</t>
        </is>
      </c>
      <c r="B30894">
        <f>HYPERLINK("https://www.dofusbook.net/fr/equipement/5731601-pandawa-f-200/objets", "link")</f>
        <v/>
      </c>
      <c r="C30894" t="n">
        <v>0</v>
      </c>
      <c r="D30894" t="inlineStr">
        <is>
          <t>Crocobur; Amulette du Strigide; Anneau Crustique; Anneau Chevelu; Bouclier d'Ilyzaelle; Ceinture du Strigide; Masque de Koutoulou; Cape au Logis; Sabots Minables; Dofus Pourpre; Dofus Émeraude; Vigoureux majeur; Enragé majeur; Muldo Roux et Pourpre</t>
        </is>
      </c>
    </row>
    <row r="30895">
      <c r="A30895" t="inlineStr">
        <is>
          <t>Sacrieur F 200</t>
        </is>
      </c>
      <c r="B30895">
        <f>HYPERLINK("https://www.dofusbook.net/fr/equipement/5731232-sacrieur-f-200/objets", "link")</f>
        <v/>
      </c>
      <c r="C30895" t="n">
        <v>0</v>
      </c>
      <c r="D30895" t="inlineStr"/>
    </row>
    <row r="30896">
      <c r="A30896" t="inlineStr">
        <is>
          <t>Ouginak M 200</t>
        </is>
      </c>
      <c r="B30896">
        <f>HYPERLINK("https://www.dofusbook.net/fr/equipement/5720989-ouginak-m-200/objets", "link")</f>
        <v/>
      </c>
      <c r="C30896" t="n">
        <v>0</v>
      </c>
      <c r="D30896" t="inlineStr">
        <is>
          <t>Karnak; Collier du Valet Veinard; Alliance Gloursonne; Gant du Valet Veinard; Bouclier d'Ilyzaelle; Menoture; Casque Dragoeuf; Cape de Crânonier; Baleinabottes; Dofus Abyssal; Dofus Pourpre; Dofus Ivoire; Dofus Émeraude; Cascadeur majeur; Carapace Feu majeur; Bwak d'Air</t>
        </is>
      </c>
    </row>
    <row r="30897">
      <c r="A30897" t="inlineStr">
        <is>
          <t>Roublard F 200</t>
        </is>
      </c>
      <c r="B30897">
        <f>HYPERLINK("https://www.dofusbook.net/fr/equipement/5598934-roublard-f-200/objets", "link")</f>
        <v/>
      </c>
      <c r="C30897" t="n">
        <v>2</v>
      </c>
      <c r="D30897" t="inlineStr">
        <is>
          <t>Massier; Amulette Volkorne; Anneauræus; Anneau de Padgref; Bouclier d'Ilyzaelle; Ceinture Volkorne; Casque Dragoeuf; Voile d'encre; Bottes Innommables; Dofus Émeraude; Dofus des Glaces; Dofus Ocre; Érudit majeur; Nomade; Remueur; Fëanor</t>
        </is>
      </c>
    </row>
    <row r="30898">
      <c r="A30898" t="inlineStr">
        <is>
          <t>Eniripsa F 200</t>
        </is>
      </c>
      <c r="B30898">
        <f>HYPERLINK("https://www.dofusbook.net/fr/equipement/5685541-eniripsa-f-200/objets", "link")</f>
        <v/>
      </c>
      <c r="C30898" t="n">
        <v>0</v>
      </c>
      <c r="D30898" t="inlineStr"/>
    </row>
    <row r="30899">
      <c r="A30899" t="inlineStr">
        <is>
          <t>Féca M 200</t>
        </is>
      </c>
      <c r="B30899">
        <f>HYPERLINK("https://www.dofusbook.net/fr/equipement/5622167-feca-m-200/objets", "link")</f>
        <v/>
      </c>
      <c r="C30899" t="n">
        <v>0</v>
      </c>
      <c r="D30899" t="inlineStr">
        <is>
          <t>Crocobur; Bouclier du Captain Amakna</t>
        </is>
      </c>
    </row>
    <row r="30900">
      <c r="A30900" t="inlineStr">
        <is>
          <t>Féca M 200</t>
        </is>
      </c>
      <c r="B30900">
        <f>HYPERLINK("https://www.dofusbook.net/fr/equipement/5622101-feca-m-200/objets", "link")</f>
        <v/>
      </c>
      <c r="C30900" t="n">
        <v>0</v>
      </c>
      <c r="D30900" t="inlineStr">
        <is>
          <t>Crocobur; Amulette Volkorne; Grésilanneau; Anneau Volkorne; Bouclier du Captain Amakna; Ceinture de l'Esprit Salvateur; Masque de l'Esprit Salvateur; Cape Reski; Bottes de l'Esprit Salvateur; Dofus Ébène; Dofus Ocre; Dofus Abyssal; Dofus Pourpre; Dofus des Glaces; Robuste majeur; Fëanor</t>
        </is>
      </c>
    </row>
    <row r="30901">
      <c r="A30901" t="inlineStr">
        <is>
          <t>Féca F 200</t>
        </is>
      </c>
      <c r="B30901">
        <f>HYPERLINK("https://www.dofusbook.net/fr/equipement/5169114-feca-f-200/objets", "link")</f>
        <v/>
      </c>
      <c r="C30901" t="n">
        <v>3</v>
      </c>
      <c r="D30901" t="inlineStr">
        <is>
          <t>Crocobur; Amulette Volkorne; Grésilanneau; Anneau Volkorne; Bouclier du Captain Amakna; Ceinture de l'Esprit Salvateur; Masque de l'Esprit Salvateur; Cape de Jahash Jurgen; Bottes de l'Esprit Salvateur; Dofus Pourpre; Dofus Ébène; Dofus Abyssal; Dofus Ocre; Dofus des Glaces; Robuste majeur; Fëanor</t>
        </is>
      </c>
    </row>
    <row r="30902">
      <c r="A30902" t="inlineStr">
        <is>
          <t>Féca M 200</t>
        </is>
      </c>
      <c r="B30902">
        <f>HYPERLINK("https://www.dofusbook.net/fr/equipement/5610818-feca-m-200/objets", "link")</f>
        <v/>
      </c>
      <c r="C30902" t="n">
        <v>0</v>
      </c>
      <c r="D30902" t="inlineStr">
        <is>
          <t>Marteau des égarés; Bouclier du Captain Amakna; Dofus Turquoise; Dofus des Glaces</t>
        </is>
      </c>
    </row>
    <row r="30903">
      <c r="A30903" t="inlineStr">
        <is>
          <t>Pandawa F 200</t>
        </is>
      </c>
      <c r="B30903">
        <f>HYPERLINK("https://www.dofusbook.net/fr/equipement/5542837-pandawa-f-200/objets", "link")</f>
        <v/>
      </c>
      <c r="C30903" t="n">
        <v>0</v>
      </c>
      <c r="D30903" t="inlineStr">
        <is>
          <t>Dagues d'Ilyzaelle; Amulette du Strigide; Bague Gloursonne; Anneau Chevelu; Bouclier du Captain Amakna; Ceinture du Strigide; Masque de Koutoulou; Cape au Logis; Sabots Minables; Dofus Pourpre; Dofus Émeraude; Miraculé majeur; Remueur; Enragé majeur; Vigoureux majeur; Muldo Doré et Pourpre</t>
        </is>
      </c>
    </row>
    <row r="30904">
      <c r="A30904" t="inlineStr">
        <is>
          <t>Iop M 200</t>
        </is>
      </c>
      <c r="B30904">
        <f>HYPERLINK("https://www.dofusbook.net/fr/equipement/5563036-iop-m-200/objets", "link")</f>
        <v/>
      </c>
      <c r="C30904" t="n">
        <v>0</v>
      </c>
      <c r="D30904" t="inlineStr">
        <is>
          <t>Dagoulinantes; Amulette du Strigide; Alliance Gloursonne; Bracelet des Fonds marins; Bouclier d'Ilyzaelle; Sangle Ouare; Casque Dragoeuf; Cape Solution; Sandales des Fonds marins; Dofus Émeraude; Dofus Pourpre; Remueur; Chanceux majeur; Miraculé majeur; Fëanor</t>
        </is>
      </c>
    </row>
    <row r="30905">
      <c r="A30905" t="inlineStr">
        <is>
          <t>Féca M 200</t>
        </is>
      </c>
      <c r="B30905">
        <f>HYPERLINK("https://www.dofusbook.net/fr/equipement/5556906-feca-m-200/objets", "link")</f>
        <v/>
      </c>
      <c r="C30905" t="n">
        <v>0</v>
      </c>
      <c r="D30905" t="inlineStr">
        <is>
          <t>Hachoirs de Viandargh; Amulette du Strigide; Gant du Valet Veinard; Anneau de Padgref; Menoture; Couronne d'Allister; Cape Indescriptible; Getas de Padgref; Nomade; Cascadeur majeur; Remueur; Dévastateur Air majeur; Acrobate majeur; Dragodinde Ebène et Ivoire</t>
        </is>
      </c>
    </row>
    <row r="30906">
      <c r="A30906" t="inlineStr">
        <is>
          <t>Roublard F 200</t>
        </is>
      </c>
      <c r="B30906">
        <f>HYPERLINK("https://www.dofusbook.net/fr/equipement/5546633-roublard-f-200/objets", "link")</f>
        <v/>
      </c>
      <c r="C30906" t="n">
        <v>0</v>
      </c>
      <c r="D30906" t="inlineStr">
        <is>
          <t>Arc corrompu; Amulette Volkorne; Anneauræus; Anneau Volkorne; Bouclier du Stalak; Croture; Heaume Oplate; Cape de Diondin; Bottes Innommables; Vigoureux majeur; Remueur; Dévastateur Feu majeur; Érudit majeur; Robuste majeur; Nomade; Dragodinde Ivoire et Orchidée</t>
        </is>
      </c>
    </row>
    <row r="30907">
      <c r="A30907" t="inlineStr">
        <is>
          <t>Pandawa F 200</t>
        </is>
      </c>
      <c r="B30907">
        <f>HYPERLINK("https://www.dofusbook.net/fr/equipement/5546475-pandawa-f-200/objets", "link")</f>
        <v/>
      </c>
      <c r="C30907" t="n">
        <v>1</v>
      </c>
      <c r="D30907" t="inlineStr">
        <is>
          <t>Dagoulinantes; Amulette de Shokkoth; Gelano; Anneau Volkorne; Bouclier d'Ilyzaelle; Ceinture du Barbétoal; Casque Volkorne; Cape de l'Œil Attentif; Sandales des Fonds marins; Dofus Turquoise; Dofus Émeraude; Dofus Pourpre; Nomade; Chanceux majeur; Remueur; Fëanor</t>
        </is>
      </c>
    </row>
    <row r="30908">
      <c r="A30908" t="inlineStr">
        <is>
          <t>Féca M 200</t>
        </is>
      </c>
      <c r="B30908">
        <f>HYPERLINK("https://www.dofusbook.net/fr/equipement/5542850-feca-m-200/objets", "link")</f>
        <v/>
      </c>
      <c r="C30908" t="n">
        <v>0</v>
      </c>
      <c r="D30908" t="inlineStr">
        <is>
          <t>Épée Brûlâme; Amulette Volkorne; Anneau Volkorne; Bague Nostik; Droiture de Fallanster; Kidibonnet; Cape de la Dame du Hasard; Pataugastrique; Dofus Pourpre; Dofus Émeraude; Dofus Turquoise; Remueur; Vigoureux majeur; Nomade; Muldo Prune et Doré</t>
        </is>
      </c>
    </row>
    <row r="30909">
      <c r="A30909" t="inlineStr">
        <is>
          <t>Crâ M 200</t>
        </is>
      </c>
      <c r="B30909">
        <f>HYPERLINK("https://www.dofusbook.net/fr/equipement/5542577-cra-m-200/objets", "link")</f>
        <v/>
      </c>
      <c r="C30909" t="n">
        <v>0</v>
      </c>
      <c r="D30909" t="inlineStr">
        <is>
          <t>Bâton Beau; Amulette du Strigide; Bracelet du Piloztère; Anneau Volkorne; Quatre-feuilles; Ceinture Volkorne; Le Dorado; Cape au Logis; Bottes Honyme; Dofus Turquoise; Dofus Pourpre; Dofus des Veilleurs; Vigoureux majeur; Remueur; Muldo Prune et Doré</t>
        </is>
      </c>
    </row>
    <row r="30910">
      <c r="A30910" t="inlineStr">
        <is>
          <t>Féca F 200</t>
        </is>
      </c>
      <c r="B30910">
        <f>HYPERLINK("https://www.dofusbook.net/fr/equipement/5542396-feca-f-200/objets", "link")</f>
        <v/>
      </c>
      <c r="C30910" t="n">
        <v>0</v>
      </c>
      <c r="D30910" t="inlineStr">
        <is>
          <t>Amulette du Sinistrofu; Alliance Gloursonne; Anneau Volkorne; Bouclier du Stalak; Sangle Ouare; Cape du Sinistrofu; Nomade; Remueur; Chanceux majeur; Fëanor</t>
        </is>
      </c>
    </row>
    <row r="30911">
      <c r="A30911" t="inlineStr">
        <is>
          <t>Sram M 200</t>
        </is>
      </c>
      <c r="B30911">
        <f>HYPERLINK("https://www.dofusbook.net/fr/equipement/5491284-sram-m-200/objets", "link")</f>
        <v/>
      </c>
      <c r="C30911" t="n">
        <v>0</v>
      </c>
      <c r="D30911" t="inlineStr">
        <is>
          <t>Plume de Buhorado; Collier du Valet Veinard; Gant du Valet Veinard; Alliance Gloursonne; Bouclier du Stalak; Menoture; Casque Dragoeuf; Cape d'Hel Munster; Palmes Trithons; Carapace Air majeur; Remueur; Cascadeur majeur; Miraculé majeur; Nomade; Dragodinde Ebène et Ivoire</t>
        </is>
      </c>
    </row>
    <row r="30912">
      <c r="A30912" t="inlineStr">
        <is>
          <t>Féca M 200</t>
        </is>
      </c>
      <c r="B30912">
        <f>HYPERLINK("https://www.dofusbook.net/fr/equipement/5542321-feca-m-200/objets", "link")</f>
        <v/>
      </c>
      <c r="C30912" t="n">
        <v>0</v>
      </c>
      <c r="D30912" t="inlineStr">
        <is>
          <t>Lav'Hache; Amulette de Pol Ouatnos; Crocanneau; Crocanneau; Croclier; Ceinture de la Reine des Voleurs; Coiffe de la Reine des Voleurs; Cape au Logis; Baleinabottes; Dofus Émeraude; Dofus Pourpre; Fortification majeure; Robuste majeur; Bastion majeur; Vigoureux majeur; Wabbit</t>
        </is>
      </c>
    </row>
    <row r="30913">
      <c r="A30913" t="inlineStr">
        <is>
          <t>Féca M 200</t>
        </is>
      </c>
      <c r="B30913">
        <f>HYPERLINK("https://www.dofusbook.net/fr/equipement/5542293-feca-m-200/objets", "link")</f>
        <v/>
      </c>
      <c r="C30913" t="n">
        <v>0</v>
      </c>
      <c r="D30913" t="inlineStr">
        <is>
          <t>Bâton Beau; Amulette de l'Indicible; Grésilanneau; Anneau du Père Fwetar; Bouclier du Stalak; Ceinture de l'Indicible; Maskrobe; Voilamibe; Bottes Honyme; Dofus des Glaces; Dofus Pourpre; Remueur; Vigoureux majeur; Robuste majeur; Fëanor</t>
        </is>
      </c>
    </row>
    <row r="30914">
      <c r="A30914" t="inlineStr">
        <is>
          <t>Féca M 200</t>
        </is>
      </c>
      <c r="B30914">
        <f>HYPERLINK("https://www.dofusbook.net/fr/equipement/5491325-feca-m-200/objets", "link")</f>
        <v/>
      </c>
      <c r="C30914" t="n">
        <v>0</v>
      </c>
      <c r="D30914" t="inlineStr">
        <is>
          <t>Couteaux Sacrificiels; Amulette Volkorne; Anneau Volkorne; Lavanneau; Droiture de Fallanster; Ceintrigue; Kidibonnet; Voilamibe; Pataugastrique; Dofus Émeraude; Dofus Pourpre; Remueur; Robuste majeur; Nomade; Vigoureux majeur; Dragodinde Ivoire et Orchidée</t>
        </is>
      </c>
    </row>
    <row r="30915">
      <c r="A30915" t="inlineStr">
        <is>
          <t>Féca M 200</t>
        </is>
      </c>
      <c r="B30915">
        <f>HYPERLINK("https://www.dofusbook.net/fr/equipement/5542009-feca-m-200/objets", "link")</f>
        <v/>
      </c>
      <c r="C30915" t="n">
        <v>0</v>
      </c>
      <c r="D30915" t="inlineStr">
        <is>
          <t>Pelle de la Cour Sombre; Collier du Valet Veinard; Alliance Gloursonne; Gant du Valet Veinard; Bouclier du Captain Amakna; Menoture; Couronne d'Allister; Cape du Kamasterisk; Baleinabottes; Dofus Pourpre; Dofus Émeraude; Vigoureux majeur; Nomade; Remueur; Cascadeur majeur; Muldo Prune et Doré</t>
        </is>
      </c>
    </row>
    <row r="30916">
      <c r="A30916" t="inlineStr">
        <is>
          <t>Sram M 200</t>
        </is>
      </c>
      <c r="B30916">
        <f>HYPERLINK("https://www.dofusbook.net/fr/equipement/5541543-sram-m-200/objets", "link")</f>
        <v/>
      </c>
      <c r="C30916" t="n">
        <v>0</v>
      </c>
      <c r="D30916" t="inlineStr">
        <is>
          <t>Pyraguette; Amulette Volkorne; Anneauræus; Anneauræus; Bouclier du Stalak; Ceinture Volkorne; Cape de Diondin; Pataugastrique; Dofus Pourpre; Vigoureux majeur; Nomade; Robuste majeur; Remueur; Érudit majeur; Dragodinde Ivoire et Orchidée</t>
        </is>
      </c>
    </row>
    <row r="30917">
      <c r="A30917" t="inlineStr">
        <is>
          <t>Zobal M 200</t>
        </is>
      </c>
      <c r="B30917">
        <f>HYPERLINK("https://www.dofusbook.net/fr/equipement/5541824-zobal-m-200/objets", "link")</f>
        <v/>
      </c>
      <c r="C30917" t="n">
        <v>0</v>
      </c>
      <c r="D30917" t="inlineStr">
        <is>
          <t>Bouclier d'Ilyzaelle</t>
        </is>
      </c>
    </row>
    <row r="30918">
      <c r="A30918" t="inlineStr">
        <is>
          <t>Iop M 200</t>
        </is>
      </c>
      <c r="B30918">
        <f>HYPERLINK("https://www.dofusbook.net/fr/equipement/5514695-iop-m-200/objets", "link")</f>
        <v/>
      </c>
      <c r="C30918" t="n">
        <v>0</v>
      </c>
      <c r="D30918" t="inlineStr">
        <is>
          <t>Bouclier du Stalak</t>
        </is>
      </c>
    </row>
    <row r="30919">
      <c r="A30919" t="inlineStr">
        <is>
          <t>Pandawa F 200</t>
        </is>
      </c>
      <c r="B30919">
        <f>HYPERLINK("https://www.dofusbook.net/fr/equipement/5496071-pandawa-f-200/objets", "link")</f>
        <v/>
      </c>
      <c r="C30919" t="n">
        <v>0</v>
      </c>
      <c r="D30919" t="inlineStr">
        <is>
          <t>Rapière aux Glyphes; Amulette de Shokkoth; Alliance Gloursonne; Anneau Volkorne; Droiture de Fallanster; Ceinture Volkorne; Masque des Fonds marins; Cape de l'Œil Attentif; Bottes du Nocturlabe; Dofus Émeraude; Dofus Pourpre; Dofus Ocre; Nomade; Remueur; Chanceux majeur; Fëanor</t>
        </is>
      </c>
    </row>
    <row r="30920">
      <c r="A30920" t="inlineStr">
        <is>
          <t>Iop M 200</t>
        </is>
      </c>
      <c r="B30920">
        <f>HYPERLINK("https://www.dofusbook.net/fr/equipement/5514614-iop-m-200/objets", "link")</f>
        <v/>
      </c>
      <c r="C30920" t="n">
        <v>0</v>
      </c>
      <c r="D30920" t="inlineStr">
        <is>
          <t>Will Killson; Amulette du Strigide; Anneau de Padgref; Anneau d'Allister; Bouclier du Captain Amakna; Ceinture du Strigide; Némès de Tal Kasha; Chevelure de Tal Kasha; Sandales de Tal Kasha; Dofus Turquoise; Dofus Ivoire; Dofus Abyssal; Dofus Ocre; Dofus des Glaces; Dofus Nébuleux; Kokulte</t>
        </is>
      </c>
    </row>
    <row r="30921">
      <c r="A30921" t="inlineStr">
        <is>
          <t>Crâ M 200</t>
        </is>
      </c>
      <c r="B30921">
        <f>HYPERLINK("https://www.dofusbook.net/fr/equipement/5495127-cra-m-200/objets", "link")</f>
        <v/>
      </c>
      <c r="C30921" t="n">
        <v>1</v>
      </c>
      <c r="D30921" t="inlineStr">
        <is>
          <t>L'Épée Nice; Collier du Valet Veinard; Alliance Gloursonne; Gant du Valet Veinard; Bouclier du Stalak; Menoture; Couronne d'Allister; Cape de Jahash Jurgen; Palmes Trithons; Dofus Nébuleux; Dofus Pourpre; Nomade; Vigoureux majeur; Remueur; Cascadeur majeur; Blérodoudou</t>
        </is>
      </c>
    </row>
    <row r="30922">
      <c r="A30922" t="inlineStr">
        <is>
          <t>Pandawa F 200</t>
        </is>
      </c>
      <c r="B30922">
        <f>HYPERLINK("https://www.dofusbook.net/fr/equipement/5495987-pandawa-f-200/objets", "link")</f>
        <v/>
      </c>
      <c r="C30922" t="n">
        <v>0</v>
      </c>
      <c r="D30922" t="inlineStr">
        <is>
          <t>Marteau R'ture; Amulette du Strigide; Anneau Chevelu; Bague Gloursonne; Bouclier du Stalak; Ceinture du Strigide; Masque de Koutoulou; Cape de Jahash Jurgen; Sabots Minables; Dofus Pourpre; Dofus Nébuleux; Remueur; Enragé majeur; Nomade; Vigoureux majeur; Bulbisou</t>
        </is>
      </c>
    </row>
    <row r="30923">
      <c r="A30923" t="inlineStr">
        <is>
          <t>Enutrof M 200</t>
        </is>
      </c>
      <c r="B30923">
        <f>HYPERLINK("https://www.dofusbook.net/fr/equipement/5495775-enutrof-m-200/objets", "link")</f>
        <v/>
      </c>
      <c r="C30923" t="n">
        <v>0</v>
      </c>
      <c r="D30923" t="inlineStr"/>
    </row>
    <row r="30924">
      <c r="A30924" t="inlineStr">
        <is>
          <t>Crâ M 200</t>
        </is>
      </c>
      <c r="B30924">
        <f>HYPERLINK("https://www.dofusbook.net/fr/equipement/5495194-cra-m-200/objets", "link")</f>
        <v/>
      </c>
      <c r="C30924" t="n">
        <v>1</v>
      </c>
      <c r="D30924" t="inlineStr">
        <is>
          <t>L'Épée Nice; Amulette du Strigide; Anneau de Padgref; Anneau d'Allister; Quatre-feuilles; Menoture; Corne de Torkélonia; Carapace de Torkélonia; Palmes Trithons; Dofus Turquoise; Dofus Pourpre; Cascadeur majeur; Nomade; Vigoureux majeur; Remueur; Dragodinde Ebène et Emeraude</t>
        </is>
      </c>
    </row>
    <row r="30925">
      <c r="A30925" t="inlineStr">
        <is>
          <t>Crâ M 200</t>
        </is>
      </c>
      <c r="B30925">
        <f>HYPERLINK("https://www.dofusbook.net/fr/equipement/5495043-cra-m-200/objets", "link")</f>
        <v/>
      </c>
      <c r="C30925" t="n">
        <v>0</v>
      </c>
      <c r="D30925" t="inlineStr">
        <is>
          <t>Baguette du Dragoeuf; Amulette du Strigide; Anneau de Padgref; Anneau Volkorne; Quatre-feuilles; Menoture; Casque Volkorne; Chevelure de Tal Kasha; Palmes Trithons; Dofus Turquoise; Dofus Pourpre; Vigoureux majeur; Cascadeur majeur; Nomade; Remueur; Muldo Prune et Doré</t>
        </is>
      </c>
    </row>
    <row r="30926">
      <c r="A30926" t="inlineStr">
        <is>
          <t>Crâ M 200</t>
        </is>
      </c>
      <c r="B30926">
        <f>HYPERLINK("https://www.dofusbook.net/fr/equipement/5494912-cra-m-200/objets", "link")</f>
        <v/>
      </c>
      <c r="C30926" t="n">
        <v>0</v>
      </c>
      <c r="D30926" t="inlineStr">
        <is>
          <t>Amulette du Strigide; Quatre-feuilles; Ceinture du Strigide; Cape de Jahash Jurgen; Dofus Ocre; Dofus Pourpre; Dofus Turquoise; Kokulte</t>
        </is>
      </c>
    </row>
    <row r="30927">
      <c r="A30927" t="inlineStr">
        <is>
          <t>Ouginak M 200</t>
        </is>
      </c>
      <c r="B30927">
        <f>HYPERLINK("https://www.dofusbook.net/fr/equipement/5494374-ouginak-m-200/objets", "link")</f>
        <v/>
      </c>
      <c r="C30927" t="n">
        <v>0</v>
      </c>
      <c r="D30927" t="inlineStr"/>
    </row>
    <row r="30928">
      <c r="A30928" t="inlineStr">
        <is>
          <t>Pandawa M 200</t>
        </is>
      </c>
      <c r="B30928">
        <f>HYPERLINK("https://www.dofusbook.net/fr/equipement/5494275-pandawa-m-200/objets", "link")</f>
        <v/>
      </c>
      <c r="C30928" t="n">
        <v>0</v>
      </c>
      <c r="D30928" t="inlineStr">
        <is>
          <t>Couteaux Sacrificiels</t>
        </is>
      </c>
    </row>
    <row r="30929">
      <c r="A30929" t="inlineStr">
        <is>
          <t>Pandawa M 200</t>
        </is>
      </c>
      <c r="B30929">
        <f>HYPERLINK("https://www.dofusbook.net/fr/equipement/5494165-pandawa-m-200/objets", "link")</f>
        <v/>
      </c>
      <c r="C30929" t="n">
        <v>0</v>
      </c>
      <c r="D30929" t="inlineStr">
        <is>
          <t>Lav'Hache; Collier de Tourthon; Anneau de XLII; Anneau Chevelu; Bouclier d'Ilyzaelle; Ceinture de XLII; Masque de Koutoulou; Cape du Cœur Saignant; Sabots Minables; Dofus Émeraude; Miraculé majeur; Remueur; Enragé majeur; Obstructeur majeur</t>
        </is>
      </c>
    </row>
    <row r="30930">
      <c r="A30930" t="inlineStr">
        <is>
          <t>Pandawa M 200</t>
        </is>
      </c>
      <c r="B30930">
        <f>HYPERLINK("https://www.dofusbook.net/fr/equipement/5494037-pandawa-m-200/objets", "link")</f>
        <v/>
      </c>
      <c r="C30930" t="n">
        <v>0</v>
      </c>
      <c r="D30930" t="inlineStr">
        <is>
          <t>Rapière aux Glyphes; Amulette de l'Œil Attentif; Bracelet des Fonds marins; Anneau Volkorne; Bouclier d'Ilyzaelle; Ceinture Volkorne; Masque des Fonds marins; Cape de l'Œil Attentif; Sandales des Fonds marins; Dofus Émeraude; Dofus Ébène; Dofus Pourpre; Dofus Ocre; Dofus Abyssal; Dofus Turquoise; Muldo Roux et Doré</t>
        </is>
      </c>
    </row>
    <row r="30931">
      <c r="A30931" t="inlineStr">
        <is>
          <t>Crâ M 200</t>
        </is>
      </c>
      <c r="B30931">
        <f>HYPERLINK("https://www.dofusbook.net/fr/equipement/5493728-cra-m-200/objets", "link")</f>
        <v/>
      </c>
      <c r="C30931" t="n">
        <v>0</v>
      </c>
      <c r="D30931" t="inlineStr">
        <is>
          <t>Marteau R'ture; Amulette Volcanique; Pikano; Chevalière du Roi Joueur; Quatre-feuilles; Couronne du Roi Joueur; Cape Peupret; Bottes du Cœur Saignant; Dofus des Glaces; Dofus Ocre; Dofus Turquoise; Remueur; Enragé majeur; Nomade; Volkorne Turquoise</t>
        </is>
      </c>
    </row>
    <row r="30932">
      <c r="A30932" t="inlineStr">
        <is>
          <t>Roublard F 200</t>
        </is>
      </c>
      <c r="B30932">
        <f>HYPERLINK("https://www.dofusbook.net/fr/equipement/5491558-roublard-f-200/objets", "link")</f>
        <v/>
      </c>
      <c r="C30932" t="n">
        <v>0</v>
      </c>
      <c r="D30932" t="inlineStr"/>
    </row>
    <row r="30933">
      <c r="A30933" t="inlineStr">
        <is>
          <t>Steamer M 200</t>
        </is>
      </c>
      <c r="B30933">
        <f>HYPERLINK("https://www.dofusbook.net/fr/equipement/5491406-steamer-m-200/objets", "link")</f>
        <v/>
      </c>
      <c r="C30933" t="n">
        <v>0</v>
      </c>
      <c r="D30933" t="inlineStr"/>
    </row>
    <row r="30934">
      <c r="A30934" t="inlineStr">
        <is>
          <t>Crâ F 200</t>
        </is>
      </c>
      <c r="B30934">
        <f>HYPERLINK("https://www.dofusbook.net/fr/equipement/5486493-cra-f-200/objets", "link")</f>
        <v/>
      </c>
      <c r="C30934" t="n">
        <v>2</v>
      </c>
      <c r="D30934" t="inlineStr">
        <is>
          <t>Dagues de Srambad; Amulette du Strigide; Anneau en Grithril; Anneau Volkorne; Quatre-feuilles; Ceinture Volkorne; Kidibonnet; Cape de Jahash Jurgen; Bottes du Strigide; Dofus Turquoise; Dofus Ivoire; Dofus Vulbis; Dofus Ébène; Dofus Ocre; Dofus Abyssal; Dragodinde Ivoire et Pourpre</t>
        </is>
      </c>
    </row>
    <row r="30935">
      <c r="A30935" t="inlineStr">
        <is>
          <t>Crâ M 200</t>
        </is>
      </c>
      <c r="B30935">
        <f>HYPERLINK("https://www.dofusbook.net/fr/equipement/5486352-cra-m-200/objets", "link")</f>
        <v/>
      </c>
      <c r="C30935" t="n">
        <v>2</v>
      </c>
      <c r="D30935" t="inlineStr">
        <is>
          <t>Dagues de Srambad; Amulette du Strigide; Anneau Crustique; Anneau Crustique; Quatre-feuilles; Culotte de Bethel; Masque de Funespadon; Cape de Jahash Jurgen; Chaussons de Macrab; Dofus Ivoire; Dofus Abyssal; Dofus Vulbis; Dofus Ébène; Dofus Ocre; Dofus Turquoise; Dragodinde Ivoire et Pourpre</t>
        </is>
      </c>
    </row>
    <row r="30936">
      <c r="A30936" t="inlineStr">
        <is>
          <t>Iop M 200</t>
        </is>
      </c>
      <c r="B30936">
        <f>HYPERLINK("https://www.dofusbook.net/fr/equipement/5485334-iop-m-200/objets", "link")</f>
        <v/>
      </c>
      <c r="C30936" t="n">
        <v>3</v>
      </c>
      <c r="D30936" t="inlineStr">
        <is>
          <t>Crocobur; Amulette du Strigide; Anneau Volkorne; Bracelet des Fonds marins; Bouclier du Captain Amakna; Ceinture du Strigide; Masque des Fonds marins; Sandales des Fonds marins; Dofus Turquoise; Dofus Ébène; Dofus Ocre; Dofus des Glaces; Kanigloups</t>
        </is>
      </c>
    </row>
    <row r="30937">
      <c r="A30937" t="inlineStr">
        <is>
          <t>Féca M 200</t>
        </is>
      </c>
      <c r="B30937">
        <f>HYPERLINK("https://www.dofusbook.net/fr/equipement/5480943-feca-m-200/objets", "link")</f>
        <v/>
      </c>
      <c r="C30937" t="n">
        <v>0</v>
      </c>
      <c r="D30937" t="inlineStr"/>
    </row>
    <row r="30938">
      <c r="A30938" t="inlineStr">
        <is>
          <t>Féca M 200</t>
        </is>
      </c>
      <c r="B30938">
        <f>HYPERLINK("https://www.dofusbook.net/fr/equipement/5477314-feca-m-200/objets", "link")</f>
        <v/>
      </c>
      <c r="C30938" t="n">
        <v>0</v>
      </c>
      <c r="D30938" t="inlineStr">
        <is>
          <t>Pyraguette; Amulette Volkorne; Anneau de Nidas; Anneau Volkorne; Bouclier du Stalak; Ceinture Séculaire; Couronne de Nidas; Cape de la Dame du Hasard; Bottes de la Dame du Hasard</t>
        </is>
      </c>
    </row>
    <row r="30939">
      <c r="A30939" t="inlineStr">
        <is>
          <t>Féca M 200</t>
        </is>
      </c>
      <c r="B30939">
        <f>HYPERLINK("https://www.dofusbook.net/fr/equipement/5477311-feca-m-200/objets", "link")</f>
        <v/>
      </c>
      <c r="C30939" t="n">
        <v>0</v>
      </c>
      <c r="D30939" t="inlineStr">
        <is>
          <t>Amulette du Strigide; Anneau de Padgref; Ceinture du Strigide; Coiffe de Padgref; Getas de Padgref</t>
        </is>
      </c>
    </row>
    <row r="30940">
      <c r="A30940" t="inlineStr">
        <is>
          <t>Féca M 200</t>
        </is>
      </c>
      <c r="B30940">
        <f>HYPERLINK("https://www.dofusbook.net/fr/equipement/5477136-feca-m-200/objets", "link")</f>
        <v/>
      </c>
      <c r="C30940" t="n">
        <v>0</v>
      </c>
      <c r="D30940" t="inlineStr">
        <is>
          <t>Dagoulinantes; Amulette de Shokkoth; Bracelet du Piloztère; Anneau Volkorne; Quatre-feuilles; Ceinture Volkorne; Capuche de l'Œil Attentif; Cape de Jahash Jurgen; Dofus Turquoise; Dofus Ébène; Dofus Ocre; Remueur; Chanceux majeur; Nomade; Fëanor</t>
        </is>
      </c>
    </row>
    <row r="30941">
      <c r="A30941" t="inlineStr">
        <is>
          <t>Crâ F 200</t>
        </is>
      </c>
      <c r="B30941">
        <f>HYPERLINK("https://www.dofusbook.net/fr/equipement/5477089-cra-f-200/objets", "link")</f>
        <v/>
      </c>
      <c r="C30941" t="n">
        <v>0</v>
      </c>
      <c r="D30941" t="inlineStr">
        <is>
          <t>Bâton Beau; Amulette du Strigide; Alliance de Missiz Frizz; Bracelet du Piloztère; Quatre-feuilles; Ceinture du Strigide; Casque de Missiz Frizz; Cape de Jahash Jurgen; Bottes du Strigide; Dofus Turquoise; Dofus Abyssal; Dofus Pourpre; Dofus Ébène; Dofus Ocre; Dofus des Glaces; Kokulte</t>
        </is>
      </c>
    </row>
    <row r="30942">
      <c r="A30942" t="inlineStr">
        <is>
          <t>Pandawa F 200</t>
        </is>
      </c>
      <c r="B30942">
        <f>HYPERLINK("https://www.dofusbook.net/fr/equipement/5475869-pandawa-f-200/objets", "link")</f>
        <v/>
      </c>
      <c r="C30942" t="n">
        <v>0</v>
      </c>
      <c r="D30942" t="inlineStr">
        <is>
          <t>Héqache; Amulette du Strigide; Bague Gloursonne; Anneau Chevelu; Bouclier d'Ilyzaelle; Ceinture du Strigide; Masque de Koutoulou; Cape au Logis; Sabots Minables; Dofus Émeraude; Miraculé majeur; Carapace Neutre majeur; Enragé majeur; Obstructeur majeur; Carapace Terre majeur; Dragodinde Ivoire et Pourpre</t>
        </is>
      </c>
    </row>
    <row r="30943">
      <c r="A30943" t="inlineStr">
        <is>
          <t>Pandawa M 200</t>
        </is>
      </c>
      <c r="B30943">
        <f>HYPERLINK("https://www.dofusbook.net/fr/equipement/5475826-pandawa-m-200/objets", "link")</f>
        <v/>
      </c>
      <c r="C30943" t="n">
        <v>0</v>
      </c>
      <c r="D30943" t="inlineStr">
        <is>
          <t>Bêche Asse; Collier de Tourthon; Anneau de XLII; Anneau Chevelu; Bouclier d'Ilyzaelle; Ceintacé; Masque de Koutoulou; Cape au Logis; Bottes de XLII; Dofus Émeraude; Enragé majeur; Miraculé majeur; Obstructeur majeur; Carapace Terre majeur; Bloqueur majeur; Dragodinde Ivoire et Pourpre</t>
        </is>
      </c>
    </row>
    <row r="30944">
      <c r="A30944" t="inlineStr">
        <is>
          <t>Pandawa F 200</t>
        </is>
      </c>
      <c r="B30944">
        <f>HYPERLINK("https://www.dofusbook.net/fr/equipement/5464578-pandawa-f-200/objets", "link")</f>
        <v/>
      </c>
      <c r="C30944" t="n">
        <v>0</v>
      </c>
      <c r="D30944" t="inlineStr">
        <is>
          <t>Héqache; Amulette du Strigide; Anneau de XLII; Anneau Chevelu; Bouclier d'Ilyzaelle; Ceinture de XLII; Masque de Koutoulou; Cape au Logis; Sabots Minables</t>
        </is>
      </c>
    </row>
    <row r="30945">
      <c r="A30945" t="inlineStr">
        <is>
          <t>Iop F 200</t>
        </is>
      </c>
      <c r="B30945">
        <f>HYPERLINK("https://www.dofusbook.net/fr/equipement/5471896-iop-f-200/objets", "link")</f>
        <v/>
      </c>
      <c r="C30945" t="n">
        <v>2</v>
      </c>
      <c r="D30945" t="inlineStr">
        <is>
          <t>L'Épée Nice; Collier du Valet Veinard; Gant du Valet Veinard; Alliance Gloursonne; Bouclier d'Ilyzaelle; Menoture; Casque Dragoeuf; Baleinabottes; Carapace Air majeur; Remueur; Cascadeur majeur; Miraculé majeur; Nomade; Dragodinde Ebène et Ivoire</t>
        </is>
      </c>
    </row>
    <row r="30946">
      <c r="A30946" t="inlineStr">
        <is>
          <t>Ouginak M 200</t>
        </is>
      </c>
      <c r="B30946">
        <f>HYPERLINK("https://www.dofusbook.net/fr/equipement/5471267-ouginak-m-200/objets", "link")</f>
        <v/>
      </c>
      <c r="C30946" t="n">
        <v>0</v>
      </c>
      <c r="D30946" t="inlineStr">
        <is>
          <t>Couteaux Sacrificiels; Amulette du Strigide; Alliance Gloursonne; Bracelet des Fonds marins; Bouclier d'Ilyzaelle; Ceinture de Dame Jhessica; Casque Dragoeuf; Sandales des Fonds marins; Dofus Ocre; Dofus Émeraude; Chanceux majeur; Remueur; Volkorne Indigo</t>
        </is>
      </c>
    </row>
    <row r="30947">
      <c r="A30947" t="inlineStr">
        <is>
          <t>Roublard F 200</t>
        </is>
      </c>
      <c r="B30947">
        <f>HYPERLINK("https://www.dofusbook.net/fr/equipement/5443538-roublard-f-200/objets", "link")</f>
        <v/>
      </c>
      <c r="C30947" t="n">
        <v>1</v>
      </c>
      <c r="D30947" t="inlineStr">
        <is>
          <t>Pyraguette; Amulette Volkorne; Anneauræus; Anneau Volkorne; Bouclier du Stalak; Croture; Heaume Oplate; Cape de Jahash Jurgen; Pataugastrique; Dofus Pourpre; Dofus des Glaces; Dofus Ébène; Nomade; Remueur; Érudit majeur; Dragodinde Ivoire et Orchidée</t>
        </is>
      </c>
    </row>
    <row r="30948">
      <c r="A30948" t="inlineStr">
        <is>
          <t>Pandawa F 200</t>
        </is>
      </c>
      <c r="B30948">
        <f>HYPERLINK("https://www.dofusbook.net/fr/equipement/5471630-pandawa-f-200/objets", "link")</f>
        <v/>
      </c>
      <c r="C30948" t="n">
        <v>0</v>
      </c>
      <c r="D30948" t="inlineStr">
        <is>
          <t>L'Épée Nice; Amulette du Strigide; Anneau Volkorne; Anneau Chevelu; Bouclier d'Ilyzaelle; Ceinture Volkorne; Masque de Koutoulou; Cape au Logis; Sabots Minables; Dofus Pourpre; Enragé majeur; Carapace Terre majeur; Miraculé majeur; Remueur; Carapace Feu majeur; Dragodinde Ivoire et Pourpre</t>
        </is>
      </c>
    </row>
    <row r="30949">
      <c r="A30949" t="inlineStr">
        <is>
          <t>Pandawa M 200</t>
        </is>
      </c>
      <c r="B30949">
        <f>HYPERLINK("https://www.dofusbook.net/fr/equipement/5471137-pandawa-m-200/objets", "link")</f>
        <v/>
      </c>
      <c r="C30949" t="n">
        <v>1</v>
      </c>
      <c r="D30949" t="inlineStr">
        <is>
          <t>Dagoulinantes; Amulette Volkorne; Alliance Gloursonne; Anneau Volkorne; Bouclier d'Ilyzaelle; Ceinture de Dame Jhessica; Casque Dragoeuf; Cape Solution; Pataugastrique; Dofus Émeraude; Nomade; Remueur; Chanceux majeur; Kanigloups</t>
        </is>
      </c>
    </row>
    <row r="30950">
      <c r="A30950" t="inlineStr">
        <is>
          <t>Pandawa F 200</t>
        </is>
      </c>
      <c r="B30950">
        <f>HYPERLINK("https://www.dofusbook.net/fr/equipement/5465481-pandawa-f-200/objets", "link")</f>
        <v/>
      </c>
      <c r="C30950" t="n">
        <v>0</v>
      </c>
      <c r="D30950" t="inlineStr">
        <is>
          <t>Héqache; Amulette du Strigide; Bague Gloursonne; Anneau Chevelu; Bouclier d'Ilyzaelle; Ceinture du Strigide; Masque de Koutoulou; Cape au Logis; Sabots Minables; Dofus Émeraude; Remueur; Obstructeur majeur; Enragé majeur; Bloqueur majeur; Nomade; Dragodinde Ivoire et Pourpre</t>
        </is>
      </c>
    </row>
    <row r="30951">
      <c r="A30951" t="inlineStr">
        <is>
          <t>Pandawa F 200</t>
        </is>
      </c>
      <c r="B30951">
        <f>HYPERLINK("https://www.dofusbook.net/fr/equipement/5465427-pandawa-f-200/objets", "link")</f>
        <v/>
      </c>
      <c r="C30951" t="n">
        <v>0</v>
      </c>
      <c r="D30951" t="inlineStr">
        <is>
          <t>Rouleau à Pâtisserie d'Aermyne; Collier Rophante; Alliance Gloursonne; Anneau de Pol Ouatnos; Sept ans de malheur; Ceintacé; Masque d'Anerice; Cape d'Anerice; Sabots Minables; Dofus Émeraude; Obstructeur majeur; Bloqueur majeur; Carapace Neutre majeur; Miraculé majeur; Remueur; Platypus</t>
        </is>
      </c>
    </row>
    <row r="30952">
      <c r="A30952" t="inlineStr">
        <is>
          <t>Pandawa M 200</t>
        </is>
      </c>
      <c r="B30952">
        <f>HYPERLINK("https://www.dofusbook.net/fr/equipement/5464135-pandawa-m-200/objets", "link")</f>
        <v/>
      </c>
      <c r="C30952" t="n">
        <v>0</v>
      </c>
      <c r="D30952" t="inlineStr">
        <is>
          <t>Rouleau à Pâtisserie d'Aermyne; Collier Rophante; Alliance Gloursonne; Anneau Chevelu; Bouclier d'Anerice; Ceintacé; Casque Dragoeuf; Cape d'Anerice; Sabots Minables; Dofus Émeraude; Miraculé majeur; Survivant majeur</t>
        </is>
      </c>
    </row>
    <row r="30953">
      <c r="A30953" t="inlineStr">
        <is>
          <t>Crâ M 200</t>
        </is>
      </c>
      <c r="B30953">
        <f>HYPERLINK("https://www.dofusbook.net/fr/equipement/5464183-cra-m-200/objets", "link")</f>
        <v/>
      </c>
      <c r="C30953" t="n">
        <v>0</v>
      </c>
      <c r="D30953" t="inlineStr">
        <is>
          <t>Marteau R'ture; Torquistik; Baguistik; Anneau du Comte Harebourg; Bouclier du Stalak; Ceinture de la Reine des Voleurs; Coiffe de la Reine des Voleurs; Cape de Jahash Jurgen; Bottistik; Dofus Pourpre; Dofus des Glaces; Dofus Ocre; Robuste majeur; Bastion majeur; Wabbit</t>
        </is>
      </c>
    </row>
    <row r="30954">
      <c r="A30954" t="inlineStr">
        <is>
          <t>Féca M 200</t>
        </is>
      </c>
      <c r="B30954">
        <f>HYPERLINK("https://www.dofusbook.net/fr/equipement/5448706-feca-m-200/objets", "link")</f>
        <v/>
      </c>
      <c r="C30954" t="n">
        <v>0</v>
      </c>
      <c r="D30954" t="inlineStr">
        <is>
          <t>Baguette du Dragoeuf; Amulette du Strigide; Anneau de Padgref; Quatre-feuilles; Ceinture du Strigide; Coiffe de Padgref; Chevelure de Tal Kasha; Getas de Padgref; Dofus Ébène; Dofus Ivoire; Dofus Abyssal; Dofus Turquoise; Dofus des Glaces; Dofus Ocre; Kokulte</t>
        </is>
      </c>
    </row>
    <row r="30955">
      <c r="A30955" t="inlineStr">
        <is>
          <t>Féca M 200</t>
        </is>
      </c>
      <c r="B30955">
        <f>HYPERLINK("https://www.dofusbook.net/fr/equipement/5444005-feca-m-200/objets", "link")</f>
        <v/>
      </c>
      <c r="C30955" t="n">
        <v>0</v>
      </c>
      <c r="D30955" t="inlineStr">
        <is>
          <t>Amulette de Shokkoth; Bracelet du Piloztère; Anneau Volkorne; Quatre-feuilles; Pagne du Rykaon; Dofus Turquoise; Dofus Ébène; Dofus Ocre; Kanigloups</t>
        </is>
      </c>
    </row>
    <row r="30956">
      <c r="A30956" t="inlineStr">
        <is>
          <t>Steamer F 200</t>
        </is>
      </c>
      <c r="B30956">
        <f>HYPERLINK("https://www.dofusbook.net/fr/equipement/5448622-steamer-f-200/objets", "link")</f>
        <v/>
      </c>
      <c r="C30956" t="n">
        <v>0</v>
      </c>
      <c r="D30956" t="inlineStr">
        <is>
          <t>Arc Volkorne; Amulette Volkorne; Anneau de Padgref; Anneau Volkorne; Quatre-feuilles; Ceinture Volkorne; Coiffe de Padgref; Chevelure de Tal Kasha; Getas de Padgref; Dofus Abyssal; Dofus Ivoire; Dofus Turquoise; Dofus Ébène; Dofus Ocre; Dofus des Glaces; Kokulte</t>
        </is>
      </c>
    </row>
    <row r="30957">
      <c r="A30957" t="inlineStr">
        <is>
          <t>Steamer M 200</t>
        </is>
      </c>
      <c r="B30957">
        <f>HYPERLINK("https://www.dofusbook.net/fr/equipement/5426402-steamer-m-200/objets", "link")</f>
        <v/>
      </c>
      <c r="C30957" t="n">
        <v>0</v>
      </c>
      <c r="D30957" t="inlineStr">
        <is>
          <t>Baguette du Dragoeuf; Amulette du Strigide; Anneau de Padgref; Bague Trithon; Quatre-feuilles; Ceinture du Strigide; Coiffe de Padgref; Chevelure de Tal Kasha; Getas de Padgref; Dofus Ivoire; Dofus Turquoise; Dofus Ébène; Dofus Ocre; Dofus des Glaces; Kokulte</t>
        </is>
      </c>
    </row>
    <row r="30958">
      <c r="A30958" t="inlineStr">
        <is>
          <t>Crâ M 200</t>
        </is>
      </c>
      <c r="B30958">
        <f>HYPERLINK("https://www.dofusbook.net/fr/equipement/5441708-cra-m-200/objets", "link")</f>
        <v/>
      </c>
      <c r="C30958" t="n">
        <v>0</v>
      </c>
      <c r="D30958" t="inlineStr">
        <is>
          <t>Arc du Chalœil; Amulette du Cœur Saignant; Anneau Volkorne; Bracelet du Piloztère; Quatre-feuilles; Ceinture Volkorne; Masque de Koutoulou; Cape du Cœur Saignant; Bottes du Cœur Saignant; Dofus Turquoise; Dofus Ébène; Dofus Nébuleux; Dofus Ivoire; Dragodinde Emeraude et Pourpre</t>
        </is>
      </c>
    </row>
    <row r="30959">
      <c r="A30959" t="inlineStr">
        <is>
          <t>Crâ M 200</t>
        </is>
      </c>
      <c r="B30959">
        <f>HYPERLINK("https://www.dofusbook.net/fr/equipement/5428014-cra-m-200/objets", "link")</f>
        <v/>
      </c>
      <c r="C30959" t="n">
        <v>0</v>
      </c>
      <c r="D30959" t="inlineStr">
        <is>
          <t>Bâton Beau; Amulette du Strigide; Bracelet du Piloztère; Chevalière du Roi Joueur; Quatre-feuilles; Ceinture du Strigide; Couronne du Roi Joueur; Voile d'encre; Bottes du Roi Joueur; Dofus Turquoise; Dofus Ébène; Dofus Ocre; Dofus Pourpre; Dofus Abyssal; Dragodinde Ivoire et Orchidée</t>
        </is>
      </c>
    </row>
    <row r="30960">
      <c r="A30960" t="inlineStr">
        <is>
          <t>Féca M 200</t>
        </is>
      </c>
      <c r="B30960">
        <f>HYPERLINK("https://www.dofusbook.net/fr/equipement/5427727-feca-m-200/objets", "link")</f>
        <v/>
      </c>
      <c r="C30960" t="n">
        <v>0</v>
      </c>
      <c r="D30960" t="inlineStr">
        <is>
          <t>Dagues du Dragoeuf; Amulette du Strigide; Anneau de Padgref; Bague Trithon; Bouclier du Captain Amakna; Ceinture du Strigide; Coiffe de Padgref; Chevelure de Tal Kasha; Getas de Padgref; Dofus Ébène; Dofus Ocre; Dofus Pourpre; Dofus Abyssal; Dofus Turquoise; Dofus des Glaces; Kokulte</t>
        </is>
      </c>
    </row>
    <row r="30961">
      <c r="A30961" t="inlineStr">
        <is>
          <t>Crâ M 200</t>
        </is>
      </c>
      <c r="B30961">
        <f>HYPERLINK("https://www.dofusbook.net/fr/equipement/5427394-cra-m-200/objets", "link")</f>
        <v/>
      </c>
      <c r="C30961" t="n">
        <v>0</v>
      </c>
      <c r="D30961" t="inlineStr">
        <is>
          <t>Arc du Chalœil; Torquistik; Bague Trithon; Bague Instable; Bouclier précieux; Ceinture Gence; Casque Dragoeuf; Cape d'Anerice; Bottistik; Dofus Abyssal; Dofus Ocre; Dofus Ivoire; Bousculeur majeur; Culbuteur majeur; Balafreux</t>
        </is>
      </c>
    </row>
    <row r="30962">
      <c r="A30962" t="inlineStr">
        <is>
          <t>Pandawa F 200</t>
        </is>
      </c>
      <c r="B30962">
        <f>HYPERLINK("https://www.dofusbook.net/fr/equipement/5426990-pandawa-f-200/objets", "link")</f>
        <v/>
      </c>
      <c r="C30962" t="n">
        <v>0</v>
      </c>
      <c r="D30962" t="inlineStr">
        <is>
          <t>Dagoulinantes; Amulette de Shokkoth; Alliance Gloursonne; Anneau Volkorne; Quatre-feuilles; Sangle Ouare; Masque des Fonds marins; Cape de Jahash Jurgen; Sandales des Fonds marins; Dofus Ébène; Dofus Ocre; Dofus Ivoire; Observateur; Chanceux majeur; Remueur; Volkorne Emeraude et Indigo</t>
        </is>
      </c>
    </row>
    <row r="30963">
      <c r="A30963" t="inlineStr">
        <is>
          <t>Crâ M 200</t>
        </is>
      </c>
      <c r="B30963">
        <f>HYPERLINK("https://www.dofusbook.net/fr/equipement/5426656-cra-m-200/objets", "link")</f>
        <v/>
      </c>
      <c r="C30963" t="n">
        <v>0</v>
      </c>
      <c r="D30963" t="inlineStr">
        <is>
          <t>Baguette du Dragoeuf; Amulette du Strigide; Anneau de Padgref; Bague Trithon; Quatre-feuilles; Ceinture du Strigide; Coiffe de Padgref; Chevelure de Tal Kasha; Getas de Padgref; Dofus Turquoise; Dofus Ocre; Dofus Ébène; Dofus des Glaces; Dofus Ivoire; Voyageur; Kokulte</t>
        </is>
      </c>
    </row>
    <row r="30964">
      <c r="A30964" t="inlineStr">
        <is>
          <t>Crâ M 200</t>
        </is>
      </c>
      <c r="B30964">
        <f>HYPERLINK("https://www.dofusbook.net/fr/equipement/5426288-cra-m-200/objets", "link")</f>
        <v/>
      </c>
      <c r="C30964" t="n">
        <v>0</v>
      </c>
      <c r="D30964" t="inlineStr">
        <is>
          <t>Dagoulinantes; Amulette Volkorne; Alliance Gloursonne; Anneau Volkorne; Sept ans de malheur; Casque Dragoeuf; Cape Matelassée; Pataugastrique; Dragoune Rose</t>
        </is>
      </c>
    </row>
    <row r="30965">
      <c r="A30965" t="inlineStr">
        <is>
          <t>Crâ M 200</t>
        </is>
      </c>
      <c r="B30965">
        <f>HYPERLINK("https://www.dofusbook.net/fr/equipement/5425781-cra-m-200/objets", "link")</f>
        <v/>
      </c>
      <c r="C30965" t="n">
        <v>0</v>
      </c>
      <c r="D30965" t="inlineStr">
        <is>
          <t>Baguette de Malléfisk; Amulette d'Ilyzaelle; Alliance Gloursonne; Lavanneau; Bouclier du Mont Kipou; Casque d'Ilyzaelle; Chevelure de Tal Kasha; Pataugastrique; Dofus Abyssal; Dofus Ivoire; Dofus Ocre; Étourdisseur majeur; Ross</t>
        </is>
      </c>
    </row>
    <row r="30966">
      <c r="A30966" t="inlineStr">
        <is>
          <t>Crâ M 200</t>
        </is>
      </c>
      <c r="B30966">
        <f>HYPERLINK("https://www.dofusbook.net/fr/equipement/5426274-cra-m-200/objets", "link")</f>
        <v/>
      </c>
      <c r="C30966" t="n">
        <v>0</v>
      </c>
      <c r="D30966" t="inlineStr"/>
    </row>
    <row r="30967">
      <c r="A30967" t="inlineStr">
        <is>
          <t>Crâ M 200</t>
        </is>
      </c>
      <c r="B30967">
        <f>HYPERLINK("https://www.dofusbook.net/fr/equipement/5426023-cra-m-200/objets", "link")</f>
        <v/>
      </c>
      <c r="C30967" t="n">
        <v>0</v>
      </c>
      <c r="D30967" t="inlineStr">
        <is>
          <t>Baguette du Dragoeuf; Amulette du Strigide; Bague Trithon; Anneau de Padgref; Quatre-feuilles; Ceinture du Strigide; Coiffe de Padgref; Cape Indescriptible; Getas de Padgref; Dofus Turquoise; Dofus Ivoire; Dofus Ocre; Dofus Abyssal; Dofus Ébène; Dofus des Glaces; Sakochère</t>
        </is>
      </c>
    </row>
    <row r="30968">
      <c r="A30968" t="inlineStr">
        <is>
          <t>Crâ M 200</t>
        </is>
      </c>
      <c r="B30968">
        <f>HYPERLINK("https://www.dofusbook.net/fr/equipement/5426078-cra-m-200/objets", "link")</f>
        <v/>
      </c>
      <c r="C30968" t="n">
        <v>0</v>
      </c>
      <c r="D30968" t="inlineStr"/>
    </row>
    <row r="30969">
      <c r="A30969" t="inlineStr">
        <is>
          <t>Steamer F 200</t>
        </is>
      </c>
      <c r="B30969">
        <f>HYPERLINK("https://www.dofusbook.net/fr/equipement/5410459-steamer-f-200/objets", "link")</f>
        <v/>
      </c>
      <c r="C30969" t="n">
        <v>0</v>
      </c>
      <c r="D30969" t="inlineStr">
        <is>
          <t>Baguette du Dragoeuf; Amulette du Strigide; Anneau de Padgref; Bracelet du Piloztère; Quatre-feuilles; Ceinture du Strigide; Coiffe de Padgref; Cape de Jahash Jurgen; Getas de Padgref; Dofus Ébène; Dofus Ocre; Dofus des Glaces; Dofus Vulbis; Dofus Pourpre; Dofus Turquoise; Kokulte</t>
        </is>
      </c>
    </row>
    <row r="30970">
      <c r="A30970" t="inlineStr">
        <is>
          <t>Crâ F 200</t>
        </is>
      </c>
      <c r="B30970">
        <f>HYPERLINK("https://www.dofusbook.net/fr/equipement/5410245-cra-f-200/objets", "link")</f>
        <v/>
      </c>
      <c r="C30970" t="n">
        <v>0</v>
      </c>
      <c r="D30970" t="inlineStr">
        <is>
          <t>Bâton Beau; Amulette du Strigide; Chevalière du Roi Joueur; Quatre-feuilles; Ceinture du Strigide; Couronne du Roi Joueur; Cape de Jahash Jurgen; Bottes du Roi Joueur; Dofus Pourpre; Dofus Ébène; Dofus Nébuleux; Dofus Ocre; Dofus Turquoise; Dofus Vulbis; Kokulte</t>
        </is>
      </c>
    </row>
    <row r="30971">
      <c r="A30971" t="inlineStr">
        <is>
          <t>Crâ M 200</t>
        </is>
      </c>
      <c r="B30971">
        <f>HYPERLINK("https://www.dofusbook.net/fr/equipement/5410333-cra-m-200/objets", "link")</f>
        <v/>
      </c>
      <c r="C30971" t="n">
        <v>0</v>
      </c>
      <c r="D30971" t="inlineStr">
        <is>
          <t>Bâton Beau; Amulette Volkorne; Chevalière du Roi Joueur; Bracelet du Piloztère; Bouclier du Stalak; Ceinture Volkorne; Couronne du Roi Joueur; Cape de Jahash Jurgen; Bottes du Roi Joueur; Dofus Pourpre; Dofus Ébène; Dofus Turquoise; Dofus Ocre; Dofus Vulbis; Dofus Ivoire; Fëanor</t>
        </is>
      </c>
    </row>
    <row r="30972">
      <c r="A30972" t="inlineStr">
        <is>
          <t>Crâ M 200</t>
        </is>
      </c>
      <c r="B30972">
        <f>HYPERLINK("https://www.dofusbook.net/fr/equipement/5410308-cra-m-200/objets", "link")</f>
        <v/>
      </c>
      <c r="C30972" t="n">
        <v>0</v>
      </c>
      <c r="D30972" t="inlineStr">
        <is>
          <t>Amulette du Strigide; Anneau de Padgref; Quatre-feuilles; Ceinture du Strigide; Coiffe de Padgref; Getas de Padgref; Kokulte</t>
        </is>
      </c>
    </row>
    <row r="30973">
      <c r="A30973" t="inlineStr">
        <is>
          <t>Sram M 200</t>
        </is>
      </c>
      <c r="B30973">
        <f>HYPERLINK("https://www.dofusbook.net/fr/equipement/5400116-sram-m-200/objets", "link")</f>
        <v/>
      </c>
      <c r="C30973" t="n">
        <v>0</v>
      </c>
      <c r="D30973" t="inlineStr">
        <is>
          <t>Pelle de la Cour Sombre; Collier du Valet Veinard; Alliance Gloursonne; Gant du Valet Veinard; Bouclier du Stalak; Ceintouse; Casque Dragoeuf; Cape du Valet Veinard; Tentassons; Dofus Ivoire; Dofus Vulbis; Dofus Ébène; Dofus des Glaces; Dofus Ocre; Dofus Pourpre; Dragodinde Ebène et Ivoire</t>
        </is>
      </c>
    </row>
    <row r="30974">
      <c r="A30974" t="inlineStr">
        <is>
          <t>Roublard M 200</t>
        </is>
      </c>
      <c r="B30974">
        <f>HYPERLINK("https://www.dofusbook.net/fr/equipement/5375432-roublard-m-200/objets", "link")</f>
        <v/>
      </c>
      <c r="C30974" t="n">
        <v>0</v>
      </c>
      <c r="D30974" t="inlineStr">
        <is>
          <t>Arc corrompu; Amulette Volkorne; Anneau Tamie; Anneau Volkorne; Bivalve; Croture; Heaume Oplate; Cape de Jahash Jurgen; Bottes Innommables; Dofus Pourpre; Dofus Ocre; Dofus des Glaces; Vigoureux majeur; Astucieux majeur; Érudit majeur; Dragodinde Ivoire et Orchidée</t>
        </is>
      </c>
    </row>
    <row r="30975">
      <c r="A30975" t="inlineStr">
        <is>
          <t>Crâ M 200</t>
        </is>
      </c>
      <c r="B30975">
        <f>HYPERLINK("https://www.dofusbook.net/fr/equipement/5375682-cra-m-200/objets", "link")</f>
        <v/>
      </c>
      <c r="C30975" t="n">
        <v>0</v>
      </c>
      <c r="D30975" t="inlineStr"/>
    </row>
    <row r="30976">
      <c r="A30976" t="inlineStr">
        <is>
          <t>Crâ M 200</t>
        </is>
      </c>
      <c r="B30976">
        <f>HYPERLINK("https://www.dofusbook.net/fr/equipement/5375156-cra-m-200/objets", "link")</f>
        <v/>
      </c>
      <c r="C30976" t="n">
        <v>0</v>
      </c>
      <c r="D30976" t="inlineStr">
        <is>
          <t>Bâton Beau; Amulette du Strigide; Bracelet du Piloztère; Chevalière du Roi Joueur; Quatre-feuilles; Ceinture du Strigide; Couronne du Roi Joueur; Cape de Jahash Jurgen; Bottes du Roi Joueur; Dofus Ébène; Dofus Pourpre; Dofus Turquoise; Dofus Ocre; Dofus Abyssal; Fëanor</t>
        </is>
      </c>
    </row>
    <row r="30977">
      <c r="A30977" t="inlineStr">
        <is>
          <t>Féca M 200</t>
        </is>
      </c>
      <c r="B30977">
        <f>HYPERLINK("https://www.dofusbook.net/fr/equipement/5374621-feca-m-200/objets", "link")</f>
        <v/>
      </c>
      <c r="C30977" t="n">
        <v>0</v>
      </c>
      <c r="D30977" t="inlineStr">
        <is>
          <t>Rouleau à Pâtisserie d'Aermyne; Alliance Gloursonne; Ceintacé; Casque Dragoeuf; Bravoure de Rykke Errel; Sabots Minables; Dofus Kaliptus; Dofus Émeraude; Miraculé majeur; Carapace Eau majeur; Platypus</t>
        </is>
      </c>
    </row>
    <row r="30978">
      <c r="A30978" t="inlineStr">
        <is>
          <t>Ouginak M 200</t>
        </is>
      </c>
      <c r="B30978">
        <f>HYPERLINK("https://www.dofusbook.net/fr/equipement/5368121-ouginak-m-200/objets", "link")</f>
        <v/>
      </c>
      <c r="C30978" t="n">
        <v>0</v>
      </c>
      <c r="D30978" t="inlineStr">
        <is>
          <t>Héqache; Amulette du Strigide; Anneau Chevelu; Bague Gloursonne; Ceinture du Strigide; Masque de Koutoulou; Cape au Logis; Sabots Minables</t>
        </is>
      </c>
    </row>
    <row r="30979">
      <c r="A30979" t="inlineStr">
        <is>
          <t>Ouginak M 200</t>
        </is>
      </c>
      <c r="B30979">
        <f>HYPERLINK("https://www.dofusbook.net/fr/equipement/5341399-ouginak-m-200/objets", "link")</f>
        <v/>
      </c>
      <c r="C30979" t="n">
        <v>0</v>
      </c>
      <c r="D30979" t="inlineStr"/>
    </row>
    <row r="30980">
      <c r="A30980" t="inlineStr">
        <is>
          <t>Sram M 200</t>
        </is>
      </c>
      <c r="B30980">
        <f>HYPERLINK("https://www.dofusbook.net/fr/equipement/5341260-sram-m-200/objets", "link")</f>
        <v/>
      </c>
      <c r="C30980" t="n">
        <v>0</v>
      </c>
      <c r="D30980" t="inlineStr"/>
    </row>
    <row r="30981">
      <c r="A30981" t="inlineStr">
        <is>
          <t>Ouginak M 200</t>
        </is>
      </c>
      <c r="B30981">
        <f>HYPERLINK("https://www.dofusbook.net/fr/equipement/5319343-ouginak-m-200/objets", "link")</f>
        <v/>
      </c>
      <c r="C30981" t="n">
        <v>1</v>
      </c>
      <c r="D30981" t="inlineStr">
        <is>
          <t>Crocobur; Collier du Valet Veinard; Gant du Valet Veinard; Anneau d'Allister; Bouclier du Captain Amakna; Menoture; Couronne d'Allister; Cape de Jahash Jurgen; Bottes d'Allister; Dofus Turquoise; Dofus Ébène; Dofus Vulbis; Dofus Pourpre; Dofus Ivoire; Equilibriste majeur; Blérodoudou</t>
        </is>
      </c>
    </row>
    <row r="30982">
      <c r="A30982" t="inlineStr">
        <is>
          <t>Pandawa F 200</t>
        </is>
      </c>
      <c r="B30982">
        <f>HYPERLINK("https://www.dofusbook.net/fr/equipement/5313561-pandawa-f-200/objets", "link")</f>
        <v/>
      </c>
      <c r="C30982" t="n">
        <v>0</v>
      </c>
      <c r="D30982" t="inlineStr">
        <is>
          <t>Rouleau à Pâtisserie d'Aermyne; Collier Rophante; Alliance Gloursonne; Anneau de Pol Ouatnos; Droiture de Fallanster; Ceinture de Dame Jhessica; Masque d'Anerice; Cape d'Anerice; Sabots Minables; Dofus Émeraude; Dofus Ivoire; Carapace Neutre majeur; Obstructeur majeur; Remueur; Carapace Eau majeur; Givrefoux</t>
        </is>
      </c>
    </row>
    <row r="30983">
      <c r="A30983" t="inlineStr">
        <is>
          <t>Sadida M 200</t>
        </is>
      </c>
      <c r="B30983">
        <f>HYPERLINK("https://www.dofusbook.net/fr/equipement/5319468-sadida-m-200/objets", "link")</f>
        <v/>
      </c>
      <c r="C30983" t="n">
        <v>0</v>
      </c>
      <c r="D30983" t="inlineStr"/>
    </row>
    <row r="30984">
      <c r="A30984" t="inlineStr">
        <is>
          <t>Ouginak M 200</t>
        </is>
      </c>
      <c r="B30984">
        <f>HYPERLINK("https://www.dofusbook.net/fr/equipement/5319302-ouginak-m-200/objets", "link")</f>
        <v/>
      </c>
      <c r="C30984" t="n">
        <v>2</v>
      </c>
      <c r="D30984" t="inlineStr">
        <is>
          <t>Crocobur; Collier du Valet Veinard; Anneau Volkorne; Gant du Valet Veinard; Bouclier du Captain Amakna; Menoture; Casque Volkorne; Cape de Jahash Jurgen; Palmes Trithons; Dofus Pourpre; Dofus Ocre; Dofus Ivoire; Dofus Vulbis; Dofus Ébène; Equilibriste majeur; Blérodoudou</t>
        </is>
      </c>
    </row>
    <row r="30985">
      <c r="A30985" t="inlineStr">
        <is>
          <t>Huppermage M 200</t>
        </is>
      </c>
      <c r="B30985">
        <f>HYPERLINK("https://www.dofusbook.net/fr/equipement/5314500-huppermage-m-200/objets", "link")</f>
        <v/>
      </c>
      <c r="C30985" t="n">
        <v>0</v>
      </c>
      <c r="D30985" t="inlineStr">
        <is>
          <t>Arc corrompu; Amulette Volkorne; Anneauræus; Anneauræus; Sept ans de malheur; Ceinture de Vortex; Cagoule de Vortex; Bravoure de Rykke Errel; Pataugastrique; Dofus Ocre; Dofus Ébène; Dofus Ivoire; Dofus Vulbis; Étourdisseur majeur; Érudit majeur; Boskito</t>
        </is>
      </c>
    </row>
    <row r="30986">
      <c r="A30986" t="inlineStr">
        <is>
          <t>Féca M 200</t>
        </is>
      </c>
      <c r="B30986">
        <f>HYPERLINK("https://www.dofusbook.net/fr/equipement/5314468-feca-m-200/objets", "link")</f>
        <v/>
      </c>
      <c r="C30986" t="n">
        <v>1</v>
      </c>
      <c r="D30986" t="inlineStr">
        <is>
          <t>Lance Horselé; Collier du Valet Veinard; Alliance Gloursonne; Gant du Valet Veinard; Sept ans de malheur; Ceintouse; Chapoulpe; Cape du Valet Veinard; Tentassons; Dofus Vulbis; Dofus Émeraude; Dofus Ocre; Dofus Ébène; Dofus Ivoire; Paralyseur majeur; Drakopin</t>
        </is>
      </c>
    </row>
    <row r="30987">
      <c r="A30987" t="inlineStr">
        <is>
          <t>Pandawa M 200</t>
        </is>
      </c>
      <c r="B30987">
        <f>HYPERLINK("https://www.dofusbook.net/fr/equipement/5236810-pandawa-m-200/objets", "link")</f>
        <v/>
      </c>
      <c r="C30987" t="n">
        <v>0</v>
      </c>
      <c r="D30987" t="inlineStr">
        <is>
          <t>Dagoulinantes; Amulette de Shokkoth; Anneau Volkorne; Alliance Gloursonne; Bouclier du Stalak; Kidibonnet; Cape de Jahash Jurgen; Dofus Ivoire; Dofus Ocre; Dofus Vulbis; Dofus Ébène; Miraculé majeur; Chanceux majeur; Dragodinde Indigo et Ivoire</t>
        </is>
      </c>
    </row>
    <row r="30988">
      <c r="A30988" t="inlineStr">
        <is>
          <t>Féca M 200</t>
        </is>
      </c>
      <c r="B30988">
        <f>HYPERLINK("https://www.dofusbook.net/fr/equipement/5216981-feca-m-200/objets", "link")</f>
        <v/>
      </c>
      <c r="C30988" t="n">
        <v>3</v>
      </c>
      <c r="D30988" t="inlineStr">
        <is>
          <t>Crocobur; Amulette du Strigide; Anneau Volkorne; Anneau du Père Fwetar; Bouclier du Captain Amakna; Ceinture du Strigide; Casque Volkorne; Cape de Jahash Jurgen; Bottes du Strigide; Dofus Pourpre; Dofus Vulbis; Dofus Ocre; Dofus Ébène; Dofus Abyssal; Dofus des Glaces; Fëanor</t>
        </is>
      </c>
    </row>
    <row r="30989">
      <c r="A30989" t="inlineStr">
        <is>
          <t>Ecaflip F 200</t>
        </is>
      </c>
      <c r="B30989">
        <f>HYPERLINK("https://www.dofusbook.net/fr/equipement/5211777-ecaflip-f-200/objets", "link")</f>
        <v/>
      </c>
      <c r="C30989" t="n">
        <v>3</v>
      </c>
      <c r="D30989" t="inlineStr"/>
    </row>
    <row r="30990">
      <c r="A30990" t="inlineStr">
        <is>
          <t>Ouginak F 200</t>
        </is>
      </c>
      <c r="B30990">
        <f>HYPERLINK("https://www.dofusbook.net/fr/equipement/5181775-ouginak-f-200/objets", "link")</f>
        <v/>
      </c>
      <c r="C30990" t="n">
        <v>0</v>
      </c>
      <c r="D30990" t="inlineStr">
        <is>
          <t>Manthache; Collier du Valet Veinard; Alliance Gloursonne; Gant du Valet Veinard; Bouclier d'Ilyzaelle; Menoture; Casque Dragoeuf; Cape Indescriptible; Palmes Trithons; Dofus Ivoire; Dofus Abyssal; Carapace Air majeur; Nomade; Remueur; Cascadeur majeur; Dragodinde Ebène et Ivoire</t>
        </is>
      </c>
    </row>
    <row r="30991">
      <c r="A30991" t="inlineStr">
        <is>
          <t>Féca M 200</t>
        </is>
      </c>
      <c r="B30991">
        <f>HYPERLINK("https://www.dofusbook.net/fr/equipement/5175041-feca-m-200/objets", "link")</f>
        <v/>
      </c>
      <c r="C30991" t="n">
        <v>1</v>
      </c>
      <c r="D30991" t="inlineStr">
        <is>
          <t>Crocobur; Amulette Volkorne; Anneau Volkorne; Bouclier du Captain Amakna; Cape Reski; Dofus Vulbis; Dofus Pourpre; Dofus Abyssal; Dofus Ébène; Dofus Ocre; Dofus des Glaces; Fëanor</t>
        </is>
      </c>
    </row>
    <row r="30992">
      <c r="A30992" t="inlineStr">
        <is>
          <t>Pandawa F 200</t>
        </is>
      </c>
      <c r="B30992">
        <f>HYPERLINK("https://www.dofusbook.net/fr/equipement/5175387-pandawa-f-200/objets", "link")</f>
        <v/>
      </c>
      <c r="C30992" t="n">
        <v>0</v>
      </c>
      <c r="D30992" t="inlineStr">
        <is>
          <t>Crocobur; Amulette de Shokkoth; Anneau Volkorne; Bracelet des Fonds marins; Bouclier du Captain Amakna; Ceinture de Dame Jhessica; Masque des Fonds marins; Cape du Sinistrofu; Bottes du Sinistrofu; Dofus Pourpre; Dofus Ébène; Dofus des Glaces; Dofus Vulbis; Dofus Ocre; Taquin majeur; Kanigloups</t>
        </is>
      </c>
    </row>
    <row r="30993">
      <c r="A30993" t="inlineStr">
        <is>
          <t>Pandawa F 200</t>
        </is>
      </c>
      <c r="B30993">
        <f>HYPERLINK("https://www.dofusbook.net/fr/equipement/5175238-pandawa-f-200/objets", "link")</f>
        <v/>
      </c>
      <c r="C30993" t="n">
        <v>0</v>
      </c>
      <c r="D30993" t="inlineStr">
        <is>
          <t>Couteaux Sacrificiels; Collier Rophante; Anneau de Pol Ouatnos; Alliance Gloursonne; Droiture de Fallanster; Ceintacé; Casque Dragoeuf; Bravoure de Rykke Errel; Pataugastrique; Dofus Émeraude; Dofus Ivoire; Carapace Feu majeur; Miraculé majeur; Obstructeur majeur; Carapace Eau majeur; Titard</t>
        </is>
      </c>
    </row>
    <row r="30994">
      <c r="A30994" t="inlineStr">
        <is>
          <t>Pandawa F 200</t>
        </is>
      </c>
      <c r="B30994">
        <f>HYPERLINK("https://www.dofusbook.net/fr/equipement/5171497-pandawa-f-200/objets", "link")</f>
        <v/>
      </c>
      <c r="C30994" t="n">
        <v>0</v>
      </c>
      <c r="D30994" t="inlineStr">
        <is>
          <t>Hachoirs de Viandargh; Amulette du Strigide; Anneau de Padgref; Anneau d'Allister; Bouclier du Captain Amakna; Ceinture du Strigide; Coiffe de Padgref; Cape Indescriptible; Getas de Padgref; Dofus Ocre; Dofus Turquoise; Dofus des Glaces; Dofus Ébène; Dofus Vulbis; Dofus Abyssal; Kokulte</t>
        </is>
      </c>
    </row>
    <row r="30995">
      <c r="A30995" t="inlineStr">
        <is>
          <t>Pandawa M 200</t>
        </is>
      </c>
      <c r="B30995">
        <f>HYPERLINK("https://www.dofusbook.net/fr/equipement/5169431-pandawa-m-200/objets", "link")</f>
        <v/>
      </c>
      <c r="C30995" t="n">
        <v>0</v>
      </c>
      <c r="D30995" t="inlineStr">
        <is>
          <t>Crocobur; Amulette de Shokkoth; Anneau Volkorne; Bracelet du Piloztère; Bouclier du Captain Amakna; Ceinture de Dame Jhessica; Coiffe de Danathor; Cape du Sinistrofu; Bottes du Sinistrofu; Dofus Turquoise; Dofus Abyssal; Dofus Ocre; Dofus Vulbis; Dofus Ébène; Fëanor</t>
        </is>
      </c>
    </row>
    <row r="30996">
      <c r="A30996" t="inlineStr">
        <is>
          <t>Pandawa F 200</t>
        </is>
      </c>
      <c r="B30996">
        <f>HYPERLINK("https://www.dofusbook.net/fr/equipement/5161640-pandawa-f-200/objets", "link")</f>
        <v/>
      </c>
      <c r="C30996" t="n">
        <v>0</v>
      </c>
      <c r="D30996" t="inlineStr">
        <is>
          <t>Rouleau à Pâtisserie d'Aermyne; Collier Rophante; Alliance Gloursonne; Anneau de Pol Ouatnos; Droiture de Fallanster; Ceintacé; Casque Dragoeuf; Bravoure de Rykke Errel; Sabots Minables; Dofus Émeraude; Dofus Ivoire; Dofus Abyssal; Miraculé majeur; Remueur; Carapace Neutre majeur; Titard</t>
        </is>
      </c>
    </row>
    <row r="30997">
      <c r="A30997" t="inlineStr">
        <is>
          <t>Pandawa F 200</t>
        </is>
      </c>
      <c r="B30997">
        <f>HYPERLINK("https://www.dofusbook.net/fr/equipement/5166881-pandawa-f-200/objets", "link")</f>
        <v/>
      </c>
      <c r="C30997" t="n">
        <v>0</v>
      </c>
      <c r="D30997" t="inlineStr">
        <is>
          <t>Crocobur; Collier de Tourthon; Anneau Volkorne; Anneau Crustique; Bouclier d'Ilyzaelle; Ceinture Volkorne; Masque de Koutoulou; Bravoure de Rykke Errel; Baleinabottes; Dofus Abyssal; Dofus Émeraude; Dofus Ivoire; Remueur; Dragodinde Ivoire et Pourpre</t>
        </is>
      </c>
    </row>
    <row r="30998">
      <c r="A30998" t="inlineStr">
        <is>
          <t>Pandawa F 200</t>
        </is>
      </c>
      <c r="B30998">
        <f>HYPERLINK("https://www.dofusbook.net/fr/equipement/5139196-pandawa-f-200/objets", "link")</f>
        <v/>
      </c>
      <c r="C30998" t="n">
        <v>0</v>
      </c>
      <c r="D30998" t="inlineStr">
        <is>
          <t>Crocobur; Amulette Volkorne; Anneau Volkorne; Anneau de Padgref; Bivalve; Ceinture Séculaire; Coiffe de Padgref; Cape de la Dame du Hasard; Getas de Padgref; Dofus Abyssal; Dofus Nébuleux; Dofus Turquoise; Dofus Ébène; Dofus Ocre; Astucieux majeur; Bisouglours</t>
        </is>
      </c>
    </row>
    <row r="30999">
      <c r="A30999" t="inlineStr">
        <is>
          <t>Pandawa M 200</t>
        </is>
      </c>
      <c r="B30999">
        <f>HYPERLINK("https://www.dofusbook.net/fr/equipement/5139063-pandawa-m-200/objets", "link")</f>
        <v/>
      </c>
      <c r="C30999" t="n">
        <v>0</v>
      </c>
      <c r="D30999" t="inlineStr">
        <is>
          <t>Crocobur; Amulette de Shokkoth; Anneau Volkorne; Bracelet du Piloztère; Bivalve; Coiffe de Danathor; Cape du Sinistrofu; Bottes du Sinistrofu; Dofus Turquoise; Dofus Ocre; Dofus Nébuleux; Dofus Ébène; Chanceux majeur; Remueur; Fëanor</t>
        </is>
      </c>
    </row>
    <row r="31000">
      <c r="A31000" t="inlineStr">
        <is>
          <t>Pandawa F 200</t>
        </is>
      </c>
      <c r="B31000">
        <f>HYPERLINK("https://www.dofusbook.net/fr/equipement/5139132-pandawa-f-200/objets", "link")</f>
        <v/>
      </c>
      <c r="C31000" t="n">
        <v>0</v>
      </c>
      <c r="D31000" t="inlineStr">
        <is>
          <t>Crocobur; Amulette du Strigide; Bague Gloursonne; Alliance de Missiz Frizz; Bouclier du Captain Amakna; Ceinture du Strigide; Casque de Missiz Frizz; Cape du Cœur Saignant; Bottes du Cœur Saignant; Dofus Turquoise; Dofus Ocre; Dofus Ébène</t>
        </is>
      </c>
    </row>
    <row r="31001">
      <c r="A31001" t="inlineStr">
        <is>
          <t>Iop M 200</t>
        </is>
      </c>
      <c r="B31001">
        <f>HYPERLINK("https://www.dofusbook.net/fr/equipement/5136938-iop-m-200/objets", "link")</f>
        <v/>
      </c>
      <c r="C31001" t="n">
        <v>0</v>
      </c>
      <c r="D31001" t="inlineStr"/>
    </row>
    <row r="31002">
      <c r="A31002" t="inlineStr">
        <is>
          <t>Sadida F 200</t>
        </is>
      </c>
      <c r="B31002">
        <f>HYPERLINK("https://www.dofusbook.net/fr/equipement/5130880-sadida-f-200/objets", "link")</f>
        <v/>
      </c>
      <c r="C31002" t="n">
        <v>0</v>
      </c>
      <c r="D31002" t="inlineStr">
        <is>
          <t>Arc Nécrotique; Amulette Volkorne; Anneau de Padgref; Anneau Volkorne; Quatre-feuilles; Ceinture Volkorne; Coiffe de Padgref; Cape de la Dame du Hasard; Getas de Padgref; Dofus Pourpre; Dofus Turquoise; Dofus Ébène; Dofus Ivoire; Dofus Ocre; Dofus des Glaces; Kokulte</t>
        </is>
      </c>
    </row>
    <row r="31003">
      <c r="A31003" t="inlineStr">
        <is>
          <t>Pandawa M 200</t>
        </is>
      </c>
      <c r="B31003">
        <f>HYPERLINK("https://www.dofusbook.net/fr/equipement/5130031-pandawa-m-200/objets", "link")</f>
        <v/>
      </c>
      <c r="C31003" t="n">
        <v>0</v>
      </c>
      <c r="D31003" t="inlineStr">
        <is>
          <t>Rouleau à Pâtisserie d'Aermyne; Collier Rophante; Anneau de Pol Ouatnos; Anneau de XLII; Droiture de Fallanster; Ceintacé; Casque Dragoeuf; Bravoure de Rykke Errel; Bottes de XLII; Dofus Ivoire; Dofus Abyssal; Remueur; Miraculé majeur; Carapace Terre majeur; Gupin</t>
        </is>
      </c>
    </row>
    <row r="31004">
      <c r="A31004" t="inlineStr">
        <is>
          <t>Pandawa M 200</t>
        </is>
      </c>
      <c r="B31004">
        <f>HYPERLINK("https://www.dofusbook.net/fr/equipement/5102457-pandawa-m-200/objets", "link")</f>
        <v/>
      </c>
      <c r="C31004" t="n">
        <v>1</v>
      </c>
      <c r="D31004" t="inlineStr">
        <is>
          <t>Héqache; Amulette du Cœur Saignant; Alliance de Missiz Frizz; Anneau Volkorne; Bouclier d'Ilyzaelle; Ceinture Volkorne; Casque de Missiz Frizz; Cape du Cœur Saignant; Bottes du Cœur Saignant; Dofus Abyssal; Dofus Ébène; Dofus Turquoise; Dofus Émeraude; Dofus Ocre; Dofus Pourpre; Dragodinde Ivoire et Pourpre</t>
        </is>
      </c>
    </row>
    <row r="31005">
      <c r="A31005" t="inlineStr">
        <is>
          <t>Pandawa F 200</t>
        </is>
      </c>
      <c r="B31005">
        <f>HYPERLINK("https://www.dofusbook.net/fr/equipement/5098579-pandawa-f-200/objets", "link")</f>
        <v/>
      </c>
      <c r="C31005" t="n">
        <v>2</v>
      </c>
      <c r="D31005" t="inlineStr">
        <is>
          <t>Crocobur; Amulette du Strigide; Anneau Crustique; Anneau Crustique; Bouclier d'Ilyzaelle; Ceinture du Strigide; Masque de Koutoulou; Bravoure de Rykke Errel; Sabots Minables; Dofus Ocre; Dofus Émeraude; Dofus Turquoise; Dofus Abyssal; Dofus Pourpre; Enragé majeur; Dragodinde Ivoire et Pourpre</t>
        </is>
      </c>
    </row>
    <row r="31006">
      <c r="A31006" t="inlineStr">
        <is>
          <t>Iop M 200</t>
        </is>
      </c>
      <c r="B31006">
        <f>HYPERLINK("https://www.dofusbook.net/fr/equipement/5098264-iop-m-200/objets", "link")</f>
        <v/>
      </c>
      <c r="C31006" t="n">
        <v>0</v>
      </c>
      <c r="D31006" t="inlineStr">
        <is>
          <t>Collier de Tourthon; Anneau Crustique; Anneau Crustique; Ceinture de Brouce; Coiffe du Comte Harebourg; Sac du Staca Noviste; Bottes du Comte Harebourg; Forcené majeur; Porteur mineur; Furibond majeur; Porteur; Enragé majeur; Porteur majeur; Tirubim</t>
        </is>
      </c>
    </row>
    <row r="31007">
      <c r="A31007" t="inlineStr">
        <is>
          <t>Sadida F 200</t>
        </is>
      </c>
      <c r="B31007">
        <f>HYPERLINK("https://www.dofusbook.net/fr/equipement/5086431-sadida-f-200/objets", "link")</f>
        <v/>
      </c>
      <c r="C31007" t="n">
        <v>0</v>
      </c>
      <c r="D31007" t="inlineStr">
        <is>
          <t>Will Killson; Amulette du Strigide; Anneau d'Allister; Anneau de Padgref; Bouclier du Captain Amakna; Ceinture du Strigide; Coiffe de Padgref; Chevelure de Tal Kasha; Getas de Padgref; Dofus Abyssal; Dofus Ocre; Dofus des Glaces; Dofus Nébuleux; Dofus Pourpre; Dofus Turquoise; Pioute jaune</t>
        </is>
      </c>
    </row>
    <row r="31008">
      <c r="A31008" t="inlineStr">
        <is>
          <t>Sram F 200</t>
        </is>
      </c>
      <c r="B31008">
        <f>HYPERLINK("https://www.dofusbook.net/fr/equipement/5085750-sram-f-200/objets", "link")</f>
        <v/>
      </c>
      <c r="C31008" t="n">
        <v>0</v>
      </c>
      <c r="D31008" t="inlineStr">
        <is>
          <t>Pyraguette; Amulette Volkorne; Anneau Volkorne; Chevalière du Roi Joueur; Bouclier du Stalak; Ceinture Volkorne; Couronne du Roi Joueur; Bravoure de Rykke Errel; Bottes du Roi Joueur; Dofus Ocre; Dofus des Glaces; Dofus Ivoire; Dofus Ébène; Dofus Abyssal; Dragodinde Amande et Orchidée</t>
        </is>
      </c>
    </row>
    <row r="31009">
      <c r="A31009" t="inlineStr">
        <is>
          <t>Sram M 200</t>
        </is>
      </c>
      <c r="B31009">
        <f>HYPERLINK("https://www.dofusbook.net/fr/equipement/5085556-sram-m-200/objets", "link")</f>
        <v/>
      </c>
      <c r="C31009" t="n">
        <v>0</v>
      </c>
      <c r="D31009" t="inlineStr"/>
    </row>
    <row r="31010">
      <c r="A31010" t="inlineStr">
        <is>
          <t>Ouginak F 200</t>
        </is>
      </c>
      <c r="B31010">
        <f>HYPERLINK("https://www.dofusbook.net/fr/equipement/5085481-ouginak-f-200/objets", "link")</f>
        <v/>
      </c>
      <c r="C31010" t="n">
        <v>0</v>
      </c>
      <c r="D31010" t="inlineStr">
        <is>
          <t>Baguette de Malléfisk; Amulette d'Ilyzaelle; Anneau Volkorne; Goulano; Goulclier; Ceinture Volkorne; Casque d'Ilyzaelle; Cape du Sinistrofu; Goulbottes; Dofus Ocre; Dofus Ivoire; Dofus Abyssal; Dofus Ébène; Dragodinde Indigo et Rousse</t>
        </is>
      </c>
    </row>
    <row r="31011">
      <c r="A31011" t="inlineStr">
        <is>
          <t>Crâ M 200</t>
        </is>
      </c>
      <c r="B31011">
        <f>HYPERLINK("https://www.dofusbook.net/fr/equipement/5070829-cra-m-200/objets", "link")</f>
        <v/>
      </c>
      <c r="C31011" t="n">
        <v>0</v>
      </c>
      <c r="D31011" t="inlineStr">
        <is>
          <t>Arc du Chalœil; Amulette Volkorne; Chevalière du Roi Joueur; Anneau Volkorne; Quatre-feuilles; Ceinture Volkorne; Couronne du Roi Joueur; Cape de Jahash Jurgen; Bottes du Roi Joueur; Dofus Ivoire; Dofus Turquoise; Dofus Pourpre; Dofus Nébuleux; Dofus Ocre; Dofus Ébène; Volkorne Emeraude et Pourpre</t>
        </is>
      </c>
    </row>
    <row r="31012">
      <c r="A31012" t="inlineStr">
        <is>
          <t>Enutrof M 200</t>
        </is>
      </c>
      <c r="B31012">
        <f>HYPERLINK("https://www.dofusbook.net/fr/equipement/5085136-enutrof-m-200/objets", "link")</f>
        <v/>
      </c>
      <c r="C31012" t="n">
        <v>0</v>
      </c>
      <c r="D31012" t="inlineStr">
        <is>
          <t>Arc corrompu; Amulette Volkorne; Chevalière du Roi Joueur; Anneau Volkorne; Quatre-feuilles; Ceinture Volkorne; Couronne du Roi Joueur; Bravoure de Rykke Errel; Bottes du Roi Joueur; Dofus Ocre; Dofus Ébène; Dofus Ivoire; Dofus Turquoise; Dragodinde Emeraude et Orchidée</t>
        </is>
      </c>
    </row>
    <row r="31013">
      <c r="A31013" t="inlineStr">
        <is>
          <t>Crâ M 200</t>
        </is>
      </c>
      <c r="B31013">
        <f>HYPERLINK("https://www.dofusbook.net/fr/equipement/5085028-cra-m-200/objets", "link")</f>
        <v/>
      </c>
      <c r="C31013" t="n">
        <v>0</v>
      </c>
      <c r="D31013" t="inlineStr"/>
    </row>
    <row r="31014">
      <c r="A31014" t="inlineStr">
        <is>
          <t>Crâ M 200</t>
        </is>
      </c>
      <c r="B31014">
        <f>HYPERLINK("https://www.dofusbook.net/fr/equipement/5084941-cra-m-200/objets", "link")</f>
        <v/>
      </c>
      <c r="C31014" t="n">
        <v>0</v>
      </c>
      <c r="D31014" t="inlineStr">
        <is>
          <t>Sceptre du Roi Joueur; Amulette Volkorne; Anneau Volkorne; Bracelet des Fonds marins; Quatre-feuilles; Sangle Ouare; Masque des Fonds marins; Cape de l'Œil Attentif; Sandales des Fonds marins; Dofus Turquoise; Dofus Ébène; Dofus Pourpre; Dofus Nébuleux; Dofus Ocre; Dofus Ivoire; Dragodinde Amande et Indigo</t>
        </is>
      </c>
    </row>
    <row r="31015">
      <c r="A31015" t="inlineStr">
        <is>
          <t>Crâ M 200</t>
        </is>
      </c>
      <c r="B31015">
        <f>HYPERLINK("https://www.dofusbook.net/fr/equipement/5084817-cra-m-200/objets", "link")</f>
        <v/>
      </c>
      <c r="C31015" t="n">
        <v>1</v>
      </c>
      <c r="D31015" t="inlineStr">
        <is>
          <t>Arc du Chalœil; Amulette du Cœur Saignant; Alliance de Missiz Frizz; Anneau Volkorne; Quatre-feuilles; Ceinture Volkorne; Casque de Missiz Frizz; Cape du Cœur Saignant; Bottes du Cœur Saignant; Dofus Turquoise; Dofus Nébuleux; Dofus Ocre; Dofus Ébène; Dofus Vulbis; Dofus Ivoire; Volkorne Emeraude et Pourpre</t>
        </is>
      </c>
    </row>
    <row r="31016">
      <c r="A31016" t="inlineStr">
        <is>
          <t>Enutrof M 200</t>
        </is>
      </c>
      <c r="B31016">
        <f>HYPERLINK("https://www.dofusbook.net/fr/equipement/4966569-enutrof-m-200/objets", "link")</f>
        <v/>
      </c>
      <c r="C31016" t="n">
        <v>2</v>
      </c>
      <c r="D31016" t="inlineStr">
        <is>
          <t>Canne Harr; Amulette Volkorne; Anneau Volkorne; Anneau de Padgref; Quatre-feuilles; Ceinture Volkorne; Coiffe de Padgref; Chevelure de Tal Kasha; Getas de Padgref; Dofus Turquoise; Dofus des Glaces; Dofus Nébuleux; Dofus Ébène; Dofus Ocre; Dofus Ivoire; Kokulte</t>
        </is>
      </c>
    </row>
    <row r="31017">
      <c r="A31017" t="inlineStr">
        <is>
          <t>Enutrof M 200</t>
        </is>
      </c>
      <c r="B31017">
        <f>HYPERLINK("https://www.dofusbook.net/fr/equipement/5075111-enutrof-m-200/objets", "link")</f>
        <v/>
      </c>
      <c r="C31017" t="n">
        <v>0</v>
      </c>
      <c r="D31017" t="inlineStr"/>
    </row>
    <row r="31018">
      <c r="A31018" t="inlineStr">
        <is>
          <t>Pandawa M 200</t>
        </is>
      </c>
      <c r="B31018">
        <f>HYPERLINK("https://www.dofusbook.net/fr/equipement/5071909-pandawa-m-200/objets", "link")</f>
        <v/>
      </c>
      <c r="C31018" t="n">
        <v>0</v>
      </c>
      <c r="D31018" t="inlineStr">
        <is>
          <t>Rouleau à Pâtisserie d'Aermyne; Collier Rophante; Alliance Gloursonne; Anneau de Pol Ouatnos; Ambrouclier; Masque d'Anerice; Cape d'Anerice; Sabots Minables; Dofus Argenté; Dofus Ocre; Dofus Ivoire; Dofus Abyssal; Carapace Eau majeur; Remueur</t>
        </is>
      </c>
    </row>
    <row r="31019">
      <c r="A31019" t="inlineStr">
        <is>
          <t>Pandawa M 200</t>
        </is>
      </c>
      <c r="B31019">
        <f>HYPERLINK("https://www.dofusbook.net/fr/equipement/5071239-pandawa-m-200/objets", "link")</f>
        <v/>
      </c>
      <c r="C31019" t="n">
        <v>0</v>
      </c>
      <c r="D31019" t="inlineStr">
        <is>
          <t>Dagoulinantes; Amulette de Shokkoth; Anneau Volkorne; Bracelet du Piloztère; Quatre-feuilles; Coiffe de Danathor; Cape du Sinistrofu; Bottes du Sinistrofu; Dofus Ébène; Dofus Turquoise; Dofus Nébuleux; Dofus Ocre; Chanceux majeur; Remueur; Sakochère</t>
        </is>
      </c>
    </row>
    <row r="31020">
      <c r="A31020" t="inlineStr">
        <is>
          <t>Féca F 200</t>
        </is>
      </c>
      <c r="B31020">
        <f>HYPERLINK("https://www.dofusbook.net/fr/equipement/5071400-feca-f-200/objets", "link")</f>
        <v/>
      </c>
      <c r="C31020" t="n">
        <v>0</v>
      </c>
      <c r="D31020" t="inlineStr">
        <is>
          <t>Dagoulinantes; Amulette de Shokkoth; Anneau Volkorne; Bracelet du Piloztère; Quatre-feuilles; Ceinture Volkorne; Coiffe de Danathor; Cape du Sinistrofu; Bottes Antouche; Dofus Ocre; Dofus Turquoise; Nomade; Chanceux majeur; Remueur; Taquin majeur</t>
        </is>
      </c>
    </row>
    <row r="31021">
      <c r="A31021" t="inlineStr">
        <is>
          <t>Crâ F 200</t>
        </is>
      </c>
      <c r="B31021">
        <f>HYPERLINK("https://www.dofusbook.net/fr/equipement/5071157-cra-f-200/objets", "link")</f>
        <v/>
      </c>
      <c r="C31021" t="n">
        <v>0</v>
      </c>
      <c r="D31021" t="inlineStr">
        <is>
          <t>Arc du Chalœil; Collier de Tourthon; Anneau Volkorne; Bracelet du Piloztère; Quatre-feuilles; Ceinture Volkorne; Masque de Koutoulou; Cape au Logis; Baleinabottes; Dofus Pourpre; Dofus Nébuleux; Dofus Turquoise; Nomade; Enragé majeur; Forcené majeur; Kompost</t>
        </is>
      </c>
    </row>
    <row r="31022">
      <c r="A31022" t="inlineStr">
        <is>
          <t>Crâ F 200</t>
        </is>
      </c>
      <c r="B31022">
        <f>HYPERLINK("https://www.dofusbook.net/fr/equipement/5071016-cra-f-200/objets", "link")</f>
        <v/>
      </c>
      <c r="C31022" t="n">
        <v>0</v>
      </c>
      <c r="D31022" t="inlineStr">
        <is>
          <t>Hache Téroïde; Amulette Volkorne; Anneau Volkorne; Bague Trithon; Ceinture Volkorne; Masque Trithon; Bravoure de Rykke Errel; Bottes Trithon; Dofus Ivoire; Dofus Turquoise; Dofus Ébène; Dofus des Glaces; Dofus Abyssal; Dofus Ocre; Kokulte</t>
        </is>
      </c>
    </row>
    <row r="31023">
      <c r="A31023" t="inlineStr">
        <is>
          <t>Féca M 200</t>
        </is>
      </c>
      <c r="B31023">
        <f>HYPERLINK("https://www.dofusbook.net/fr/equipement/5071004-feca-m-200/objets", "link")</f>
        <v/>
      </c>
      <c r="C31023" t="n">
        <v>0</v>
      </c>
      <c r="D31023" t="inlineStr">
        <is>
          <t>Bouclier du Captain Amakna</t>
        </is>
      </c>
    </row>
    <row r="31024">
      <c r="A31024" t="inlineStr">
        <is>
          <t>Pandawa M 200</t>
        </is>
      </c>
      <c r="B31024">
        <f>HYPERLINK("https://www.dofusbook.net/fr/equipement/5070242-pandawa-m-200/objets", "link")</f>
        <v/>
      </c>
      <c r="C31024" t="n">
        <v>0</v>
      </c>
      <c r="D31024" t="inlineStr">
        <is>
          <t>Arc corrompu; Amulette Volkorne; Anneau de Pol Ouatnos; Anneauræus; Droiture de Fallanster; Ceinture Volkorne; Heaume Oplate; Bravoure de Rykke Errel; Bottes Innommables; Dofus Ivoire; Dofus Ocre; Dofus Abyssal; Dofus Ébène; Érudit majeur; Carapace Eau majeur; Dragodinde Prune et Orchidée</t>
        </is>
      </c>
    </row>
    <row r="31025">
      <c r="A31025" t="inlineStr">
        <is>
          <t>Steamer M 200</t>
        </is>
      </c>
      <c r="B31025">
        <f>HYPERLINK("https://www.dofusbook.net/fr/equipement/5005500-steamer-m-200/objets", "link")</f>
        <v/>
      </c>
      <c r="C31025" t="n">
        <v>0</v>
      </c>
      <c r="D31025" t="inlineStr"/>
    </row>
    <row r="31026">
      <c r="A31026" t="inlineStr">
        <is>
          <t>Iop M 200</t>
        </is>
      </c>
      <c r="B31026">
        <f>HYPERLINK("https://www.dofusbook.net/fr/equipement/4999412-iop-m-200/objets", "link")</f>
        <v/>
      </c>
      <c r="C31026" t="n">
        <v>0</v>
      </c>
      <c r="D31026" t="inlineStr"/>
    </row>
    <row r="31027">
      <c r="A31027" t="inlineStr">
        <is>
          <t>Iop M 200</t>
        </is>
      </c>
      <c r="B31027">
        <f>HYPERLINK("https://www.dofusbook.net/fr/equipement/4996442-iop-m-200/objets", "link")</f>
        <v/>
      </c>
      <c r="C31027" t="n">
        <v>0</v>
      </c>
      <c r="D31027" t="inlineStr">
        <is>
          <t>Arc corrompu; Amulette Volkorne; Anneauræus; Anneauræus; Bouclier du Stalak; Ceinture Volkorne; Heaume Oplate; Cape de Diondin; Bottes Innommables; Dofus Ivoire; Dofus Ébène; Dofus Nébuleux; Dofus Abyssal; Érudit majeur; Nomade; Dragodinde Ivoire et Orchidée</t>
        </is>
      </c>
    </row>
    <row r="31028">
      <c r="A31028" t="inlineStr">
        <is>
          <t>Zobal M 200</t>
        </is>
      </c>
      <c r="B31028">
        <f>HYPERLINK("https://www.dofusbook.net/fr/equipement/4976068-zobal-m-200/objets", "link")</f>
        <v/>
      </c>
      <c r="C31028" t="n">
        <v>0</v>
      </c>
      <c r="D31028" t="inlineStr">
        <is>
          <t>Arc du Chalœil; Collier de Tourthon; Anneau Volkorne; Anneau Chevelu; Droiture de Fallanster; Ceinture Volkorne; Casque Dragoeuf; Bravoure de Rykke Errel; Sabots Minables; Dofus Nébuleux; Dofus Ébène; Dofus Ivoire; Dofus Ocre; Dofus Abyssal; Nomade; Dragodinde Ivoire et Pourpre</t>
        </is>
      </c>
    </row>
    <row r="31029">
      <c r="A31029" t="inlineStr">
        <is>
          <t>Pandawa M 200</t>
        </is>
      </c>
      <c r="B31029">
        <f>HYPERLINK("https://www.dofusbook.net/fr/equipement/4984942-pandawa-m-200/objets", "link")</f>
        <v/>
      </c>
      <c r="C31029" t="n">
        <v>0</v>
      </c>
      <c r="D31029" t="inlineStr">
        <is>
          <t>Dagoulinantes; Amulette de Shokkoth; Anneau Volkorne; Alliance Gloursonne; Quatre-feuilles; Coiffe de Danathor; Cape Solution; Bottes du Nocturlabe; Nomade; Chanceux majeur; Remueur; Vigoureux majeur; Taquin majeur; Kanigloups</t>
        </is>
      </c>
    </row>
    <row r="31030">
      <c r="A31030" t="inlineStr">
        <is>
          <t>Crâ M 200</t>
        </is>
      </c>
      <c r="B31030">
        <f>HYPERLINK("https://www.dofusbook.net/fr/equipement/4982068-cra-m-200/objets", "link")</f>
        <v/>
      </c>
      <c r="C31030" t="n">
        <v>0</v>
      </c>
      <c r="D31030" t="inlineStr">
        <is>
          <t>Arc du Chalœil; Collier de Tourthon; Anneau Chevelu; Anneau Volkorne; Quatre-feuilles; Ceinture Volkorne; Masque de Koutoulou; Cape de Jahash Jurgen; Bottes du Cœur Saignant; Dofus Ocre; Dofus Ivoire; Dofus Turquoise; Dofus Ébène; Dofus Nébuleux; Nomade; Kompost</t>
        </is>
      </c>
    </row>
    <row r="31031">
      <c r="A31031" t="inlineStr">
        <is>
          <t>Féca M 200</t>
        </is>
      </c>
      <c r="B31031">
        <f>HYPERLINK("https://www.dofusbook.net/fr/equipement/4976067-feca-m-200/objets", "link")</f>
        <v/>
      </c>
      <c r="C31031" t="n">
        <v>0</v>
      </c>
      <c r="D31031" t="inlineStr">
        <is>
          <t>Amulette Volkorne; Anneauræus; Anneau Volkorne; Droiture de Fallanster; Ceinture Volkorne; Heaume Oplate; Bravoure de Rykke Errel; Bottes Innommables</t>
        </is>
      </c>
    </row>
    <row r="31032">
      <c r="A31032" t="inlineStr">
        <is>
          <t>Crâ M 200</t>
        </is>
      </c>
      <c r="B31032">
        <f>HYPERLINK("https://www.dofusbook.net/fr/equipement/4976061-cra-m-200/objets", "link")</f>
        <v/>
      </c>
      <c r="C31032" t="n">
        <v>0</v>
      </c>
      <c r="D31032" t="inlineStr">
        <is>
          <t>Hachoirs de Viandargh; Amulette du Strigide; Anneau de Padgref; Anneau de Pol Ouatnos; Bouclier du Captain Amakna; Ceinture du Strigide; Coiffe de Padgref; Chevelure de Tal Kasha; Getas de Padgref; Dofus Ébène; Dofus Turquoise; Dofus Abyssal; Dofus Ocre; Dofus des Glaces; Dofus Ivoire; Sakochère</t>
        </is>
      </c>
    </row>
    <row r="31033">
      <c r="A31033" t="inlineStr">
        <is>
          <t>Sram M 200</t>
        </is>
      </c>
      <c r="B31033">
        <f>HYPERLINK("https://www.dofusbook.net/fr/equipement/4976026-sram-m-200/objets", "link")</f>
        <v/>
      </c>
      <c r="C31033" t="n">
        <v>0</v>
      </c>
      <c r="D31033" t="inlineStr">
        <is>
          <t>Arc du Chalœil; Collier de Tourthon; Anneau Volkorne; Chevalière du Roi Joueur; Bivalve; Ceinture Volkorne; Couronne du Roi Joueur; Cape de Jahash Jurgen; Bottes du Roi Joueur; Dofus Ivoire; Dofus Ocre; Dofus Ébène; Dofus Nébuleux; Dofus Pourpre; Dofus Vulbis; Kompost</t>
        </is>
      </c>
    </row>
    <row r="31034">
      <c r="A31034" t="inlineStr">
        <is>
          <t>Sacrieur F 200</t>
        </is>
      </c>
      <c r="B31034">
        <f>HYPERLINK("https://www.dofusbook.net/fr/equipement/4949800-sacrieur-f-200/objets", "link")</f>
        <v/>
      </c>
      <c r="C31034" t="n">
        <v>0</v>
      </c>
      <c r="D31034" t="inlineStr">
        <is>
          <t>Amulette Volkorne; Alliance Brûlâme; Anneau Volkorne; Bouclier du Stalak; Ceinture Volkorne; Masque Brûlâme; Bravoure de Rykke Errel; Pompes Funèbres; Dofus Abyssal; Dofus Ivoire; Dofus des Glaces; Dofus Ébène; Dofus Ocre</t>
        </is>
      </c>
    </row>
    <row r="31035">
      <c r="A31035" t="inlineStr">
        <is>
          <t>Pandawa M 200</t>
        </is>
      </c>
      <c r="B31035">
        <f>HYPERLINK("https://www.dofusbook.net/fr/equipement/4940455-pandawa-m-200/objets", "link")</f>
        <v/>
      </c>
      <c r="C31035" t="n">
        <v>0</v>
      </c>
      <c r="D31035" t="inlineStr">
        <is>
          <t>Baguette Range; Amulette du Strigide; Anneau de Padgref; Anneau de Pol Ouatnos; Quatre-feuilles; Ceinture du Strigide; Coiffe de Padgref; Chevelure de Tal Kasha; Getas de Padgref; Dofus Turquoise; Dofus des Glaces; Dofus Abyssal; Dofus Ivoire; Dofus Ocre; Dofus Nébuleux; Kokulte</t>
        </is>
      </c>
    </row>
    <row r="31036">
      <c r="A31036" t="inlineStr">
        <is>
          <t>Crâ M 200</t>
        </is>
      </c>
      <c r="B31036">
        <f>HYPERLINK("https://www.dofusbook.net/fr/equipement/4975971-cra-m-200/objets", "link")</f>
        <v/>
      </c>
      <c r="C31036" t="n">
        <v>0</v>
      </c>
      <c r="D31036" t="inlineStr">
        <is>
          <t>Baguette Range; Amulette du Strigide; Anneau de Padgref; Anneau de Pol Ouatnos; Quatre-feuilles; Ceinture du Strigide; Coiffe de Padgref; Chevelure de Tal Kasha; Getas de Padgref; Dofus Ocre; Dofus Nébuleux; Dofus Ébène; Dofus Ivoire; Dofus des Glaces; Dofus Turquoise; Kokulte</t>
        </is>
      </c>
    </row>
    <row r="31037">
      <c r="A31037" t="inlineStr">
        <is>
          <t>Sram M 200</t>
        </is>
      </c>
      <c r="B31037">
        <f>HYPERLINK("https://www.dofusbook.net/fr/equipement/4975942-sram-m-200/objets", "link")</f>
        <v/>
      </c>
      <c r="C31037" t="n">
        <v>0</v>
      </c>
      <c r="D31037" t="inlineStr"/>
    </row>
    <row r="31038">
      <c r="A31038" t="inlineStr">
        <is>
          <t>Eniripsa M 200</t>
        </is>
      </c>
      <c r="B31038">
        <f>HYPERLINK("https://www.dofusbook.net/fr/equipement/4972463-eniripsa-m-200/objets", "link")</f>
        <v/>
      </c>
      <c r="C31038" t="n">
        <v>0</v>
      </c>
      <c r="D31038" t="inlineStr"/>
    </row>
    <row r="31039">
      <c r="A31039" t="inlineStr">
        <is>
          <t>Crâ M 200</t>
        </is>
      </c>
      <c r="B31039">
        <f>HYPERLINK("https://www.dofusbook.net/fr/equipement/4967069-cra-m-200/objets", "link")</f>
        <v/>
      </c>
      <c r="C31039" t="n">
        <v>0</v>
      </c>
      <c r="D31039" t="inlineStr">
        <is>
          <t>Baguette Range; Amulette du Strigide; Anneau de Padgref; Anneau d'Allister; Bouclier du Stalak; Ceinture du Strigide; Coiffe de Padgref; Chevelure de Tal Kasha; Getas de Padgref; Dofus Ébène; Dofus des Glaces; Dofus Vulbis; Dofus Turquoise; Dofus Ocre; Dofus Ivoire; Kokulte</t>
        </is>
      </c>
    </row>
    <row r="31040">
      <c r="A31040" t="inlineStr">
        <is>
          <t>Pandawa M 200</t>
        </is>
      </c>
      <c r="B31040">
        <f>HYPERLINK("https://www.dofusbook.net/fr/equipement/4966898-pandawa-m-200/objets", "link")</f>
        <v/>
      </c>
      <c r="C31040" t="n">
        <v>0</v>
      </c>
      <c r="D31040" t="inlineStr">
        <is>
          <t>Dagoulinantes; Amulette de Shokkoth; Alliance Gloursonne; Anneau Volkorne; Bouclier du Stalak; Ceinture Volkorne; Kidibonnet; Cape de Jahash Jurgen; Bottes du Nocturlabe; Dofus Nébuleux; Dofus Abyssal; Dofus Ocre; Dofus Vulbis; Dofus Ivoire; Chanceux majeur; Kanigloups</t>
        </is>
      </c>
    </row>
    <row r="31041">
      <c r="A31041" t="inlineStr">
        <is>
          <t>Sram M 200</t>
        </is>
      </c>
      <c r="B31041">
        <f>HYPERLINK("https://www.dofusbook.net/fr/equipement/4966769-sram-m-200/objets", "link")</f>
        <v/>
      </c>
      <c r="C31041" t="n">
        <v>0</v>
      </c>
      <c r="D31041" t="inlineStr">
        <is>
          <t>Arc du Chalœil; Collier de Tourthon; Anneau Volkorne; Anneau de Brouce; Bouclier du Stalak; Ceinture Volkorne; Masque de Koutoulou; Cape de Jahash Jurgen; Bottes du Cœur Saignant; Dofus Nébuleux; Dofus Ivoire; Dofus Vulbis; Dofus Ocre; Dofus Turquoise; Enragé majeur; Bulbisou</t>
        </is>
      </c>
    </row>
    <row r="31042">
      <c r="A31042" t="inlineStr">
        <is>
          <t>Sadida M 200</t>
        </is>
      </c>
      <c r="B31042">
        <f>HYPERLINK("https://www.dofusbook.net/fr/equipement/4963214-sadida-m-200/objets", "link")</f>
        <v/>
      </c>
      <c r="C31042" t="n">
        <v>0</v>
      </c>
      <c r="D31042" t="inlineStr">
        <is>
          <t>Crocobur; Amulette du Strigide; Anneau Volkorne; Annolamour; Bouclier du Stalak; Ceinture Volkorne; Le Dorado; Cape de Jahash Jurgen; Bottes du Strigide; Dofus Vulbis; Dofus des Glaces; Dofus Ocre; Dofus Turquoise; Dofus Pourpre; Forcené majeur; Bébé Pandawa</t>
        </is>
      </c>
    </row>
    <row r="31043">
      <c r="A31043" t="inlineStr">
        <is>
          <t>Osamodas F 200</t>
        </is>
      </c>
      <c r="B31043">
        <f>HYPERLINK("https://www.dofusbook.net/fr/equipement/4966415-osamodas-f-200/objets", "link")</f>
        <v/>
      </c>
      <c r="C31043" t="n">
        <v>0</v>
      </c>
      <c r="D31043" t="inlineStr"/>
    </row>
    <row r="31044">
      <c r="A31044" t="inlineStr">
        <is>
          <t>Crâ M 200</t>
        </is>
      </c>
      <c r="B31044">
        <f>HYPERLINK("https://www.dofusbook.net/fr/equipement/4964967-cra-m-200/objets", "link")</f>
        <v/>
      </c>
      <c r="C31044" t="n">
        <v>0</v>
      </c>
      <c r="D31044" t="inlineStr">
        <is>
          <t>Baguette de Frigostine; Amulette du Strigide; Bague Trithon; Anneau de Padgref; Quatre-feuilles; Ceinture du Strigide; Coiffe de Padgref; Chevelure de Tal Kasha; Getas de Padgref; Dofus Ocre; Dofus des Glaces; Dofus Vulbis; Dofus Turquoise; Dofus Ivoire; Dofus Ébène; Sakochère</t>
        </is>
      </c>
    </row>
    <row r="31045">
      <c r="A31045" t="inlineStr">
        <is>
          <t>Iop M 200</t>
        </is>
      </c>
      <c r="B31045">
        <f>HYPERLINK("https://www.dofusbook.net/fr/equipement/4964349-iop-m-200/objets", "link")</f>
        <v/>
      </c>
      <c r="C31045" t="n">
        <v>0</v>
      </c>
      <c r="D31045" t="inlineStr"/>
    </row>
    <row r="31046">
      <c r="A31046" t="inlineStr">
        <is>
          <t>Féca M 200</t>
        </is>
      </c>
      <c r="B31046">
        <f>HYPERLINK("https://www.dofusbook.net/fr/equipement/4952966-feca-m-200/objets", "link")</f>
        <v/>
      </c>
      <c r="C31046" t="n">
        <v>0</v>
      </c>
      <c r="D31046" t="inlineStr">
        <is>
          <t>Arc Volkorne; Amulette Volkorne; Anneau Volkorne; Anneau de Padgref; Quatre-feuilles; Ceinture Luthe; Coiffe de Padgref; Chevelure de Tal Kasha; Getas de Padgref; Dofus Ébène; Dofus Turquoise; Dofus des Glaces; Dofus Ivoire; Kokulte</t>
        </is>
      </c>
    </row>
    <row r="31047">
      <c r="A31047" t="inlineStr">
        <is>
          <t>Iop M 200</t>
        </is>
      </c>
      <c r="B31047">
        <f>HYPERLINK("https://www.dofusbook.net/fr/equipement/4953518-iop-m-200/objets", "link")</f>
        <v/>
      </c>
      <c r="C31047" t="n">
        <v>0</v>
      </c>
      <c r="D31047" t="inlineStr">
        <is>
          <t>Marteau R'ture; Amulette du Cœur Saignant; Anneau Volkorne; Anneau Chevelu; Ceinture Volkorne; Masque de Koutoulou; Bravoure de Rykke Errel; Bottes du Cœur Saignant; Dragodinde Amande et Pourpre</t>
        </is>
      </c>
    </row>
    <row r="31048">
      <c r="A31048" t="inlineStr">
        <is>
          <t>Iop M 200</t>
        </is>
      </c>
      <c r="B31048">
        <f>HYPERLINK("https://www.dofusbook.net/fr/equipement/4953502-iop-m-200/objets", "link")</f>
        <v/>
      </c>
      <c r="C31048" t="n">
        <v>0</v>
      </c>
      <c r="D31048" t="inlineStr">
        <is>
          <t>Amulette du Strigide; Ceinture du Strigide; Casque Dragoeuf; Bravoure de Rykke Errel; Dragodinde Amande et Pourpre</t>
        </is>
      </c>
    </row>
    <row r="31049">
      <c r="A31049" t="inlineStr">
        <is>
          <t>Iop M 200</t>
        </is>
      </c>
      <c r="B31049">
        <f>HYPERLINK("https://www.dofusbook.net/fr/equipement/4940794-iop-m-200/objets", "link")</f>
        <v/>
      </c>
      <c r="C31049" t="n">
        <v>0</v>
      </c>
      <c r="D31049" t="inlineStr">
        <is>
          <t>Arc du Chalœil; Torquistik; Baguistik; Bague Trithon; Droiture de Fallanster; Ceinture Gence; Casque Dragoeuf; Bravoure de Rykke Errel; Bottes du Cœur Vaillant; Dofus Ivoire; Dofus Argenté; Dofus Ébène; Bousculeur majeur; Remueur; Culbuteur majeur; Balafreux</t>
        </is>
      </c>
    </row>
    <row r="31050">
      <c r="A31050" t="inlineStr">
        <is>
          <t>Sacrieur M 200</t>
        </is>
      </c>
      <c r="B31050">
        <f>HYPERLINK("https://www.dofusbook.net/fr/equipement/4953187-sacrieur-m-200/objets", "link")</f>
        <v/>
      </c>
      <c r="C31050" t="n">
        <v>0</v>
      </c>
      <c r="D31050" t="inlineStr">
        <is>
          <t>Lav'Hache; Collier de Tourthon; Anneau de Brouce; Anneau Volkorne; Droiture de Fallanster; Ceinture Volkorne; Bonnet Spairance; Bravoure de Rykke Errel; Sabots Minables; Dofus Ocre; Dofus Ébène; Dofus des Glaces; Dofus Abyssal; Dofus Ivoire; Nomade; Dragodinde Amande et Pourpre</t>
        </is>
      </c>
    </row>
    <row r="31051">
      <c r="A31051" t="inlineStr">
        <is>
          <t>Iop M 200</t>
        </is>
      </c>
      <c r="B31051">
        <f>HYPERLINK("https://www.dofusbook.net/fr/equipement/4949798-iop-m-200/objets", "link")</f>
        <v/>
      </c>
      <c r="C31051" t="n">
        <v>0</v>
      </c>
      <c r="D31051" t="inlineStr"/>
    </row>
    <row r="31052">
      <c r="A31052" t="inlineStr">
        <is>
          <t>Pandawa M 200</t>
        </is>
      </c>
      <c r="B31052">
        <f>HYPERLINK("https://www.dofusbook.net/fr/equipement/4949759-pandawa-m-200/objets", "link")</f>
        <v/>
      </c>
      <c r="C31052" t="n">
        <v>0</v>
      </c>
      <c r="D31052" t="inlineStr">
        <is>
          <t>Amulette de l'Œil Attentif; Pikano; Anneau Volkorne; Ceinture de la Reine des Voleurs; Capuche de l'Œil Attentif; Cape de l'Œil Attentif; Bottes de la Reine des Voleurs; Dofus Turquoise; Dragodinde Amande et Indigo</t>
        </is>
      </c>
    </row>
    <row r="31053">
      <c r="A31053" t="inlineStr">
        <is>
          <t>Pandawa M 200</t>
        </is>
      </c>
      <c r="B31053">
        <f>HYPERLINK("https://www.dofusbook.net/fr/equipement/4949638-pandawa-m-200/objets", "link")</f>
        <v/>
      </c>
      <c r="C31053" t="n">
        <v>0</v>
      </c>
      <c r="D31053" t="inlineStr">
        <is>
          <t>Arc corrompu; Amulette Volkorne; Anneau Volkorne; Anneauræus; Bouclier du Stalak; Ceinture Volkorne; Heaume Oplate; Bravoure de Rykke Errel; Bottes Innommables; Dofus Argenté; Dofus Ivoire; Dokoko; Dofus Ébène; Dofus Ocre; Dofus Abyssal; Dragodinde Amande et Orchidée</t>
        </is>
      </c>
    </row>
    <row r="31054">
      <c r="A31054" t="inlineStr">
        <is>
          <t>Pandawa M 200</t>
        </is>
      </c>
      <c r="B31054">
        <f>HYPERLINK("https://www.dofusbook.net/fr/equipement/4940591-pandawa-m-200/objets", "link")</f>
        <v/>
      </c>
      <c r="C31054" t="n">
        <v>0</v>
      </c>
      <c r="D31054" t="inlineStr">
        <is>
          <t>Crocobur; Amulette Ementaire Deluxe; Anneau Chevelu; Anneau Volkorne; Droiture de Fallanster; Ceinture Volkorne; Casque Volkorne; Bravoure de Rykke Errel; Sabots Minables; Dofus Ébène; Dofus Abyssal; Dofus Ivoire; Dofus Ocre; Dragodinde Ivoire et Pourpre</t>
        </is>
      </c>
    </row>
    <row r="31055">
      <c r="A31055" t="inlineStr">
        <is>
          <t>Féca M 200</t>
        </is>
      </c>
      <c r="B31055">
        <f>HYPERLINK("https://www.dofusbook.net/fr/equipement/4949594-feca-m-200/objets", "link")</f>
        <v/>
      </c>
      <c r="C31055" t="n">
        <v>0</v>
      </c>
      <c r="D31055" t="inlineStr">
        <is>
          <t>Arc Volkorne; Amulette Volkorne; Anneau Volkorne; Alliance Brûlâme; Bouclier du Stalak; Ceinture Volkorne; Masque Brûlâme; Bravoure de Rykke Errel; Pompes Funèbres; Dofus Pourpre; Dofus Ivoire; Dofus Ocre; Dofus Ébène; Dofus des Glaces; Dofus Abyssal</t>
        </is>
      </c>
    </row>
    <row r="31056">
      <c r="A31056" t="inlineStr">
        <is>
          <t>Pandawa F 200</t>
        </is>
      </c>
      <c r="B31056">
        <f>HYPERLINK("https://www.dofusbook.net/fr/equipement/4948747-pandawa-f-200/objets", "link")</f>
        <v/>
      </c>
      <c r="C31056" t="n">
        <v>0</v>
      </c>
      <c r="D31056" t="inlineStr">
        <is>
          <t>Arc corrompu; Amulette Volkorne; Anneau Volkorne; Anneauræus; Bouclier du Stalak; Ceinture Séculaire; Heaume Oplate; Bravoure de Rykke Errel; Bottes Innommables; Dofus Ocre; Dofus Abyssal; Dofus Ébène; Dofus Ivoire; Nomade; Érudit majeur; Dragodinde Amande et Orchidée</t>
        </is>
      </c>
    </row>
    <row r="31057">
      <c r="A31057" t="inlineStr">
        <is>
          <t>Sacrieur M 200</t>
        </is>
      </c>
      <c r="B31057">
        <f>HYPERLINK("https://www.dofusbook.net/fr/equipement/4949237-sacrieur-m-200/objets", "link")</f>
        <v/>
      </c>
      <c r="C31057" t="n">
        <v>0</v>
      </c>
      <c r="D31057" t="inlineStr">
        <is>
          <t>Arc du Chalœil; Amulette du Strigide; Chevalière du Roi Joueur; Bague Gloursonne; Droiture de Fallanster; Ceinture du Strigide; Couronne du Roi Joueur; Bravoure de Rykke Errel; Bottes du Roi Joueur; Dofus Turquoise; Dofus Abyssal; Dofus Ébène; Dofus Ocre; Dofus Vulbis; Dofus Ivoire; Chienchien Tigré</t>
        </is>
      </c>
    </row>
    <row r="31058">
      <c r="A31058" t="inlineStr">
        <is>
          <t>Sacrieur M 200</t>
        </is>
      </c>
      <c r="B31058">
        <f>HYPERLINK("https://www.dofusbook.net/fr/equipement/4949206-sacrieur-m-200/objets", "link")</f>
        <v/>
      </c>
      <c r="C31058" t="n">
        <v>0</v>
      </c>
      <c r="D31058" t="inlineStr">
        <is>
          <t>Crocobur; Amulette du Strigide; Anneau de Padgref; Droiture de Fallanster; Ceinture du Strigide; Coiffe de Padgref; Bravoure de Rykke Errel; Getas de Padgref; Dofus Ocre; Dofus Ébène; Dofus Abyssal; Dofus des Glaces; Dofus Turquoise; Dofus Ivoire</t>
        </is>
      </c>
    </row>
    <row r="31059">
      <c r="A31059" t="inlineStr">
        <is>
          <t>Sacrieur F 200</t>
        </is>
      </c>
      <c r="B31059">
        <f>HYPERLINK("https://www.dofusbook.net/fr/equipement/4948957-sacrieur-f-200/objets", "link")</f>
        <v/>
      </c>
      <c r="C31059" t="n">
        <v>2</v>
      </c>
      <c r="D31059" t="inlineStr">
        <is>
          <t>Manthache; Amulette Martegel; Gant du Valet Veinard; Alliance Gloursonne; Droiture de Fallanster; Menoture; Casque Dragoeuf; Cape Martegel; Palmes Trithons; Dofus Ébène; Dofus Ocre; Dofus Abyssal; Dofus Ivoire; Cascadeur majeur; Nomade; Dragodinde Amande et Ebène</t>
        </is>
      </c>
    </row>
    <row r="31060">
      <c r="A31060" t="inlineStr">
        <is>
          <t>Sacrieur M 200</t>
        </is>
      </c>
      <c r="B31060">
        <f>HYPERLINK("https://www.dofusbook.net/fr/equipement/4948989-sacrieur-m-200/objets", "link")</f>
        <v/>
      </c>
      <c r="C31060" t="n">
        <v>0</v>
      </c>
      <c r="D31060" t="inlineStr">
        <is>
          <t>Lav'Hache; Collier de Tourthon; Anneau Volkorne; Chevalière du Roi Joueur; Droiture de Fallanster; Ceinture Volkorne; Couronne du Roi Joueur; Bravoure de Rykke Errel; Bottes du Roi Joueur; Dofus Ocre; Dofus Ébène; Dofus Argenté; Dofus Ivoire; Dokoko; Dofus Abyssal; Dragodinde Amande et Pourpre</t>
        </is>
      </c>
    </row>
    <row r="31061">
      <c r="A31061" t="inlineStr">
        <is>
          <t>Sacrieur F 200</t>
        </is>
      </c>
      <c r="B31061">
        <f>HYPERLINK("https://www.dofusbook.net/fr/equipement/4948824-sacrieur-f-200/objets", "link")</f>
        <v/>
      </c>
      <c r="C31061" t="n">
        <v>2</v>
      </c>
      <c r="D31061" t="inlineStr">
        <is>
          <t>Bâthon; Amulette Volkorne; Anneau du Katcheur; Alliance Brûlâme; Droiture de Fallanster; Ceinture Volkorne; Masque du Katcheur; Bravoure de Rykke Errel; Bottes du Katcheur; Dragodinde Ivoire et Pourpre</t>
        </is>
      </c>
    </row>
    <row r="31062">
      <c r="A31062" t="inlineStr">
        <is>
          <t>Pandawa M 200</t>
        </is>
      </c>
      <c r="B31062">
        <f>HYPERLINK("https://www.dofusbook.net/fr/equipement/4948774-pandawa-m-200/objets", "link")</f>
        <v/>
      </c>
      <c r="C31062" t="n">
        <v>0</v>
      </c>
      <c r="D31062" t="inlineStr">
        <is>
          <t>Couteaux Sacrificiels; Amulette Volkorne; Anneau Volkorne; Lavanneau; Ceinture de l'Esprit Salvateur; Masque de l'Esprit Salvateur; Bravoure de Rykke Errel; Bottes de l'Esprit Salvateur; Dragodinde Ivoire et Orchidée</t>
        </is>
      </c>
    </row>
    <row r="31063">
      <c r="A31063" t="inlineStr">
        <is>
          <t>Zobal M 200</t>
        </is>
      </c>
      <c r="B31063">
        <f>HYPERLINK("https://www.dofusbook.net/fr/equipement/4940773-zobal-m-200/objets", "link")</f>
        <v/>
      </c>
      <c r="C31063" t="n">
        <v>0</v>
      </c>
      <c r="D31063" t="inlineStr">
        <is>
          <t>Amulette du Strigide; Ceinture du Strigide; Bravoure de Rykke Errel; Dofus Ivoire; Dofus Turquoise; Kokulte</t>
        </is>
      </c>
    </row>
    <row r="31064">
      <c r="A31064" t="inlineStr">
        <is>
          <t>Féca M 200</t>
        </is>
      </c>
      <c r="B31064">
        <f>HYPERLINK("https://www.dofusbook.net/fr/equipement/4940329-feca-m-200/objets", "link")</f>
        <v/>
      </c>
      <c r="C31064" t="n">
        <v>0</v>
      </c>
      <c r="D31064" t="inlineStr">
        <is>
          <t>Bagdette Café; Amulette du Strigide; Pikano; Anneau Volkorne; Quatre-feuilles; Ceinture du Strigide; Némès de Tal Kasha; Chevelure de Tal Kasha; Sandales de Tal Kasha; Dofus Ivoire; Dofus Ocre; Dofus Ébène; Dofus Turquoise; Voyageur; Kokulte</t>
        </is>
      </c>
    </row>
    <row r="31065">
      <c r="A31065" t="inlineStr">
        <is>
          <t>Iop M 200</t>
        </is>
      </c>
      <c r="B31065">
        <f>HYPERLINK("https://www.dofusbook.net/fr/equipement/4948713-iop-m-200/objets", "link")</f>
        <v/>
      </c>
      <c r="C31065" t="n">
        <v>0</v>
      </c>
      <c r="D31065" t="inlineStr">
        <is>
          <t>Amulette du Strigide; Ceinture du Strigide</t>
        </is>
      </c>
    </row>
    <row r="31066">
      <c r="A31066" t="inlineStr">
        <is>
          <t>Pandawa F 200</t>
        </is>
      </c>
      <c r="B31066">
        <f>HYPERLINK("https://www.dofusbook.net/fr/equipement/4940617-pandawa-f-200/objets", "link")</f>
        <v/>
      </c>
      <c r="C31066" t="n">
        <v>0</v>
      </c>
      <c r="D31066" t="inlineStr">
        <is>
          <t>Anneau de XLII; Bouclier Bontarien; Ceinture Gence; Bottes de XLII</t>
        </is>
      </c>
    </row>
    <row r="31067">
      <c r="A31067" t="inlineStr">
        <is>
          <t>Féca M 200</t>
        </is>
      </c>
      <c r="B31067">
        <f>HYPERLINK("https://www.dofusbook.net/fr/equipement/4940313-feca-m-200/objets", "link")</f>
        <v/>
      </c>
      <c r="C31067" t="n">
        <v>0</v>
      </c>
      <c r="D31067" t="inlineStr"/>
    </row>
    <row r="31068">
      <c r="A31068" t="inlineStr">
        <is>
          <t>Pandawa F 200</t>
        </is>
      </c>
      <c r="B31068">
        <f>HYPERLINK("https://www.dofusbook.net/fr/equipement/4939832-pandawa-f-200/objets", "link")</f>
        <v/>
      </c>
      <c r="C31068" t="n">
        <v>0</v>
      </c>
      <c r="D31068" t="inlineStr">
        <is>
          <t>Dagoulinantes; Amulette de Shokkoth; Anneau Volkorne; Alliance Gloursonne; Bouclier du Stalak; Capuche de l'Œil Attentif; Cape de l'Œil Attentif; Bottes du Nocturlabe; Dofus Pourpre; Dofus Ivoire; Dofus Ocre; Dofus Argenté; Dofus Ébène; Remueur</t>
        </is>
      </c>
    </row>
    <row r="31069">
      <c r="A31069" t="inlineStr">
        <is>
          <t>Osamodas F 200</t>
        </is>
      </c>
      <c r="B31069">
        <f>HYPERLINK("https://www.dofusbook.net/fr/equipement/4939945-osamodas-f-200/objets", "link")</f>
        <v/>
      </c>
      <c r="C31069" t="n">
        <v>0</v>
      </c>
      <c r="D31069" t="inlineStr">
        <is>
          <t>Anneau Volkorne; Ceinture Volkorne; Bravoure de Rykke Errel; Dofus Ocre; Dofus Abyssal; Dofus Ivoire; Dofus Argenté; Dofus Ébène</t>
        </is>
      </c>
    </row>
    <row r="31070">
      <c r="A31070" t="inlineStr">
        <is>
          <t>Féca M 200</t>
        </is>
      </c>
      <c r="B31070">
        <f>HYPERLINK("https://www.dofusbook.net/fr/equipement/4917207-feca-m-200/objets", "link")</f>
        <v/>
      </c>
      <c r="C31070" t="n">
        <v>0</v>
      </c>
      <c r="D31070" t="inlineStr">
        <is>
          <t>Héqache; Amulette du Cycloïde; Alliance Gloursonne; Anneau de XLII; Bouclier d'Ilyzaelle; Menoture; Dorabysses; Cape du Valet Veinard; Bottes de XLII; Dofus Ocre; Dofus Ivoire; Bloqueur majeur; Cascadeur majeur; Obstructeur majeur; Givrefoux</t>
        </is>
      </c>
    </row>
    <row r="31071">
      <c r="A31071" t="inlineStr">
        <is>
          <t>Crâ M 200</t>
        </is>
      </c>
      <c r="B31071">
        <f>HYPERLINK("https://www.dofusbook.net/fr/equipement/4890577-cra-m-200/objets", "link")</f>
        <v/>
      </c>
      <c r="C31071" t="n">
        <v>0</v>
      </c>
      <c r="D31071" t="inlineStr">
        <is>
          <t>Dagoulinantes; Amulette de Shokkoth; Alliance Gloursonne; Anneau Volkorne; Bouclier du Stalak; Ceinture de la Reine des Voleurs; Casque d'Ilyzaelle; Cape Solution; Bottes de la Reine des Voleurs; Dofus Pourpre; Dofus Ocre; Dofus des Glaces; Nomade; Chanceux majeur; Taquin majeur; Pioute bleu</t>
        </is>
      </c>
    </row>
    <row r="31072">
      <c r="A31072" t="inlineStr">
        <is>
          <t>Crâ M 200</t>
        </is>
      </c>
      <c r="B31072">
        <f>HYPERLINK("https://www.dofusbook.net/fr/equipement/4890526-cra-m-200/objets", "link")</f>
        <v/>
      </c>
      <c r="C31072" t="n">
        <v>0</v>
      </c>
      <c r="D31072" t="inlineStr">
        <is>
          <t>Sabres d'Atcham; Amulette du Strigide; Alliance de Missiz Frizz; Anneau de Padgref; Quatre-feuilles; Ceinture du Strigide; Casque de Missiz Frizz; Cape d'Atcham; Sandales  d'Atcham; Dofus Turquoise; Dofus Ocre; Dofus Pourpre; Forcené majeur; Taquin majeur; Astucieux majeur; Kokulte</t>
        </is>
      </c>
    </row>
    <row r="31073">
      <c r="A31073" t="inlineStr">
        <is>
          <t>Iop M 200</t>
        </is>
      </c>
      <c r="B31073">
        <f>HYPERLINK("https://www.dofusbook.net/fr/equipement/4880255-iop-m-200/objets", "link")</f>
        <v/>
      </c>
      <c r="C31073" t="n">
        <v>0</v>
      </c>
      <c r="D31073" t="inlineStr">
        <is>
          <t>Arc du Chalœil; Torquistik; Baguistik; Bague Trithon; Bouclier précieux; Sangle Ouare; Casque Dragoeuf; Cape Solution; Sandales Paztek; Dofus Abyssal; Dofus Ivoire; Remueur; Bousculeur majeur; Miraculé majeur; Culbuteur majeur; Péki</t>
        </is>
      </c>
    </row>
    <row r="31074">
      <c r="A31074" t="inlineStr">
        <is>
          <t>Pandawa F 200</t>
        </is>
      </c>
      <c r="B31074">
        <f>HYPERLINK("https://www.dofusbook.net/fr/equipement/4880223-pandawa-f-200/objets", "link")</f>
        <v/>
      </c>
      <c r="C31074" t="n">
        <v>0</v>
      </c>
      <c r="D31074" t="inlineStr">
        <is>
          <t>Lav'Hache; Torquistik; Goulano; Baguistik; Goulclier; Ceinture de la Reine des Voleurs; Coiffe de la Reine des Voleurs; Ankhape; Goulbottes; Dofus Ocre; Dofus des Glaces; Dofus Vulbis; Dofus Abyssal; Dofus Argenté; Dofus Ivoire; Bulbisou</t>
        </is>
      </c>
    </row>
    <row r="31075">
      <c r="A31075" t="inlineStr">
        <is>
          <t>Féca M 200</t>
        </is>
      </c>
      <c r="B31075">
        <f>HYPERLINK("https://www.dofusbook.net/fr/equipement/4880213-feca-m-200/objets", "link")</f>
        <v/>
      </c>
      <c r="C31075" t="n">
        <v>0</v>
      </c>
      <c r="D31075" t="inlineStr">
        <is>
          <t>Couteaux Sacrificiels; Amulette Volkorne; Anneau Volkorne; Lavanneau; Ceintrigue; Masque Paztek; Cape Paztek; Bottes Owesli; Dofus des Glaces</t>
        </is>
      </c>
    </row>
    <row r="31076">
      <c r="A31076" t="inlineStr">
        <is>
          <t>Osamodas F 200</t>
        </is>
      </c>
      <c r="B31076">
        <f>HYPERLINK("https://www.dofusbook.net/fr/equipement/4880196-osamodas-f-200/objets", "link")</f>
        <v/>
      </c>
      <c r="C31076" t="n">
        <v>0</v>
      </c>
      <c r="D31076" t="inlineStr">
        <is>
          <t>Pelle de la Cour Sombre; Amulette Ementaire Deluxe; Alliance Gloursonne; Anneau Volkorne; Bouclier du Stalak; Menoture; Casque Volkorne; Cape Martegel; Palmes Trithons; Dofus Argenté; Dofus Ivoire; Dofus Vulbis; Dofus des Glaces; Dofus Ocre; Blérodoudou</t>
        </is>
      </c>
    </row>
    <row r="31077">
      <c r="A31077" t="inlineStr">
        <is>
          <t>Pandawa F 200</t>
        </is>
      </c>
      <c r="B31077">
        <f>HYPERLINK("https://www.dofusbook.net/fr/equipement/4865311-pandawa-f-200/objets", "link")</f>
        <v/>
      </c>
      <c r="C31077" t="n">
        <v>0</v>
      </c>
      <c r="D31077" t="inlineStr">
        <is>
          <t>Bagdette Café; Amulette du Strigide; Anneau Volkorne; Pikano; Quatre-feuilles; Ceinture du Strigide; Némès de Tal Kasha; Chevelure de Tal Kasha; Sandales de Tal Kasha; Dofus Vulbis; Dofus Abyssal; Dofus Ocre; Dofus des Glaces; Dofus Ivoire; Dofus Turquoise; Kokulte</t>
        </is>
      </c>
    </row>
    <row r="31078">
      <c r="A31078" t="inlineStr">
        <is>
          <t>Roublard F 200</t>
        </is>
      </c>
      <c r="B31078">
        <f>HYPERLINK("https://www.dofusbook.net/fr/equipement/4850554-roublard-f-200/objets", "link")</f>
        <v/>
      </c>
      <c r="C31078" t="n">
        <v>0</v>
      </c>
      <c r="D31078" t="inlineStr">
        <is>
          <t>Arc du Chalœil; Amulette Ementaire Deluxe; Anneau Volkorne; Anneau de Brouce; Bouclier du Stalak; Ceinture Volkorne; Casque Dragoeuf; Cape au Logis; Sabots Minables; Dofus des Glaces; Dofus Abyssal; Dofus Ocre; Dofus Argenté; Dofus Ivoire; Bulbisou</t>
        </is>
      </c>
    </row>
    <row r="31079">
      <c r="A31079" t="inlineStr">
        <is>
          <t>Pandawa F 200</t>
        </is>
      </c>
      <c r="B31079">
        <f>HYPERLINK("https://www.dofusbook.net/fr/equipement/4850401-pandawa-f-200/objets", "link")</f>
        <v/>
      </c>
      <c r="C31079" t="n">
        <v>0</v>
      </c>
      <c r="D31079" t="inlineStr">
        <is>
          <t>Manthache; Collier du Valet Veinard; Gant du Valet Veinard; Alliance Gloursonne; Bouclier du Stalak; Ceintouse; Chapoulpe; Cape du Valet Veinard; Tentassons; Dofus Ivoire; Dofus Ocre; Dofus Ébène; Dofus Abyssal; Dofus Pourpre; Blérodoudou</t>
        </is>
      </c>
    </row>
    <row r="31080">
      <c r="A31080" t="inlineStr">
        <is>
          <t>Sadida F 200</t>
        </is>
      </c>
      <c r="B31080">
        <f>HYPERLINK("https://www.dofusbook.net/fr/equipement/4827027-sadida-f-200/objets", "link")</f>
        <v/>
      </c>
      <c r="C31080" t="n">
        <v>0</v>
      </c>
      <c r="D31080" t="inlineStr">
        <is>
          <t>Baguette des égarés; Collier de Tourthon; Annolamour; Anneau Volkorne; Bouclier du Stalak; Ceinture Volkorne; Diadème de Ganymède; Cape de Jahash Jurgen; Bottes du Strigide; Dofus Ébène; Dofus Pourpre; Dofus Vulbis; Dofus Ocre; Vigoureux majeur; Robuste majeur; Bébé Pandawa</t>
        </is>
      </c>
    </row>
    <row r="31081">
      <c r="A31081" t="inlineStr">
        <is>
          <t>Féca F 200</t>
        </is>
      </c>
      <c r="B31081">
        <f>HYPERLINK("https://www.dofusbook.net/fr/equipement/4826620-feca-f-200/objets", "link")</f>
        <v/>
      </c>
      <c r="C31081" t="n">
        <v>0</v>
      </c>
      <c r="D31081" t="inlineStr">
        <is>
          <t>Arc corrompu; Quatre-feuilles; Cape Hadosse</t>
        </is>
      </c>
    </row>
    <row r="31082">
      <c r="A31082" t="inlineStr">
        <is>
          <t>Eniripsa M 200</t>
        </is>
      </c>
      <c r="B31082">
        <f>HYPERLINK("https://www.dofusbook.net/fr/equipement/4826578-eniripsa-m-200/objets", "link")</f>
        <v/>
      </c>
      <c r="C31082" t="n">
        <v>1</v>
      </c>
      <c r="D31082" t="inlineStr">
        <is>
          <t>Arc corrompu; Amulette du Strigide; Anneau de Padgref; Bague Nostik; Quatre-feuilles; Ceinture du Strigide; Coiffe de Padgref; Cape Sulhit; Getas de Padgref; Dofus Ocre; Dofus Nébuleux; Dofus Ébène; Dofus Turquoise; Dofus Pourpre; Dofus des Glaces; Kokulte</t>
        </is>
      </c>
    </row>
    <row r="31083">
      <c r="A31083" t="inlineStr">
        <is>
          <t>Eniripsa M 200</t>
        </is>
      </c>
      <c r="B31083">
        <f>HYPERLINK("https://www.dofusbook.net/fr/equipement/4826360-eniripsa-m-200/objets", "link")</f>
        <v/>
      </c>
      <c r="C31083" t="n">
        <v>1</v>
      </c>
      <c r="D31083" t="inlineStr">
        <is>
          <t>Baguette Hernelle; Amulette du Strigide; Anneau d'Allister; Anneau de Padgref; Quatre-feuilles; Ceinture du Strigide; Coiffe de Padgref; Cape Sulhit; Getas de Padgref; Dofus Nébuleux; Dofus Ocre; Dofus des Glaces; Dofus Turquoise; Dofus Ébène; Dofus Pourpre; Kokulte</t>
        </is>
      </c>
    </row>
    <row r="31084">
      <c r="A31084" t="inlineStr">
        <is>
          <t>Pandawa M 200</t>
        </is>
      </c>
      <c r="B31084">
        <f>HYPERLINK("https://www.dofusbook.net/fr/equipement/4806985-pandawa-m-200/objets", "link")</f>
        <v/>
      </c>
      <c r="C31084" t="n">
        <v>0</v>
      </c>
      <c r="D31084" t="inlineStr">
        <is>
          <t>Rouleau à Pâtisserie d'Aermyne; Collier Rophante; Alliance Gloursonne; Anneau de Pol Ouatnos; Ambrouclier; Masque d'Anerice; Cape d'Anerice; Sabots Minables; Dofus Ocre; Dofus Abyssal; Miraculé majeur; Carapace Eau majeur; Remueur; Carapace Neutre majeur</t>
        </is>
      </c>
    </row>
    <row r="31085">
      <c r="A31085" t="inlineStr">
        <is>
          <t>Féca M 200</t>
        </is>
      </c>
      <c r="B31085">
        <f>HYPERLINK("https://www.dofusbook.net/fr/equipement/4806716-feca-m-200/objets", "link")</f>
        <v/>
      </c>
      <c r="C31085" t="n">
        <v>0</v>
      </c>
      <c r="D31085" t="inlineStr">
        <is>
          <t>Dagoulinantes; Amulette de Shokkoth; Bracelet du Piloztère; Anneau Volkorne; Quatre-feuilles; Pagne du Rykaon; Coiffe de Danathor; Cape du Professeur Xa; Dofus Pourpre; Dofus Turquoise; Dofus Ocre; Taquin majeur; Remueur; Chanceux majeur; Kanigloups</t>
        </is>
      </c>
    </row>
    <row r="31086">
      <c r="A31086" t="inlineStr">
        <is>
          <t>Pandawa M 200</t>
        </is>
      </c>
      <c r="B31086">
        <f>HYPERLINK("https://www.dofusbook.net/fr/equipement/4806372-pandawa-m-200/objets", "link")</f>
        <v/>
      </c>
      <c r="C31086" t="n">
        <v>1</v>
      </c>
      <c r="D31086" t="inlineStr">
        <is>
          <t>Dagoulinantes; Amulette de Shokkoth; Bracelet du Piloztère; Anneau Volkorne; Quatre-feuilles; Coiffe de Danathor; Cape Solution; Bottes Voldelor</t>
        </is>
      </c>
    </row>
    <row r="31087">
      <c r="A31087" t="inlineStr">
        <is>
          <t>Steamer F 200</t>
        </is>
      </c>
      <c r="B31087">
        <f>HYPERLINK("https://www.dofusbook.net/fr/equipement/4793535-steamer-f-200/objets", "link")</f>
        <v/>
      </c>
      <c r="C31087" t="n">
        <v>0</v>
      </c>
      <c r="D31087" t="inlineStr"/>
    </row>
    <row r="31088">
      <c r="A31088" t="inlineStr">
        <is>
          <t>Crâ M 200</t>
        </is>
      </c>
      <c r="B31088">
        <f>HYPERLINK("https://www.dofusbook.net/fr/equipement/4793107-cra-m-200/objets", "link")</f>
        <v/>
      </c>
      <c r="C31088" t="n">
        <v>1</v>
      </c>
      <c r="D31088" t="inlineStr">
        <is>
          <t>Marteau R'ture; Collier de Tourthon; Anneau Volkorne; Anneau de Brouce; Bouclier du Stalak; Ceinture Volkorne; Le Dorado; Cape au Logis; Bottes du Cœur Saignant; Dofus Ocre; Dofus Pourpre; Vigoureux majeur; Forcené majeur; Enragé majeur; Bulbisou</t>
        </is>
      </c>
    </row>
    <row r="31089">
      <c r="A31089" t="inlineStr">
        <is>
          <t>Osamodas F 200</t>
        </is>
      </c>
      <c r="B31089">
        <f>HYPERLINK("https://www.dofusbook.net/fr/equipement/4793225-osamodas-f-200/objets", "link")</f>
        <v/>
      </c>
      <c r="C31089" t="n">
        <v>0</v>
      </c>
      <c r="D31089" t="inlineStr">
        <is>
          <t>Épée du Granduk; Collier du Valet Veinard; Gant du Valet Veinard; Anneau d'Allister; Bouclier du Stalak; Sangle Oriole; Couronne d'Allister; Cape du Valet Veinard; Bottes d'Allister; Dofus des Glaces; Dofus Pourpre; Dofus Ocre; Saccageur Air majeur; Equilibriste majeur; Blérodoudou</t>
        </is>
      </c>
    </row>
    <row r="31090">
      <c r="A31090" t="inlineStr">
        <is>
          <t>Roublard F 200</t>
        </is>
      </c>
      <c r="B31090">
        <f>HYPERLINK("https://www.dofusbook.net/fr/equipement/4793170-roublard-f-200/objets", "link")</f>
        <v/>
      </c>
      <c r="C31090" t="n">
        <v>0</v>
      </c>
      <c r="D31090" t="inlineStr">
        <is>
          <t>Manthache; Collier du Valet Veinard; Gant du Valet Veinard; Alliance Gloursonne; Bouclier du Stalak; Menoture; Couronne d'Allister; Cape Indescriptible; Palmes Trithons; Dofus Ocre; Dofus des Glaces; Dofus Pourpre; Equilibriste majeur; Vigoureux majeur; Cascadeur majeur; Blérodoudou</t>
        </is>
      </c>
    </row>
    <row r="31091">
      <c r="A31091" t="inlineStr">
        <is>
          <t>Roublard F 200</t>
        </is>
      </c>
      <c r="B31091">
        <f>HYPERLINK("https://www.dofusbook.net/fr/equipement/4793473-roublard-f-200/objets", "link")</f>
        <v/>
      </c>
      <c r="C31091" t="n">
        <v>0</v>
      </c>
      <c r="D31091" t="inlineStr"/>
    </row>
    <row r="31092">
      <c r="A31092" t="inlineStr">
        <is>
          <t>Pandawa M 200</t>
        </is>
      </c>
      <c r="B31092">
        <f>HYPERLINK("https://www.dofusbook.net/fr/equipement/4792691-pandawa-m-200/objets", "link")</f>
        <v/>
      </c>
      <c r="C31092" t="n">
        <v>0</v>
      </c>
      <c r="D31092" t="inlineStr">
        <is>
          <t>Dagoulinantes; Amulette de Shokkoth; Anneau Volkorne; Bracelet du Piloztère; Quatre-feuilles; Coiffe de Danathor; Cape Solution; Bottes Voldelor; Dofus Pourpre; Dofus Ocre; Dofus Turquoise; Dofus Abyssal; Taquin majeur; Chanceux majeur; Dehluge</t>
        </is>
      </c>
    </row>
    <row r="31093">
      <c r="A31093" t="inlineStr">
        <is>
          <t>Osamodas F 200</t>
        </is>
      </c>
      <c r="B31093">
        <f>HYPERLINK("https://www.dofusbook.net/fr/equipement/4792481-osamodas-f-200/objets", "link")</f>
        <v/>
      </c>
      <c r="C31093" t="n">
        <v>0</v>
      </c>
      <c r="D31093" t="inlineStr">
        <is>
          <t>Plume de Buhorado; Collier du Valet Veinard; Gant du Valet Veinard; Alliance Gloursonne; Bouclier du Stalak; Menoture; Couronne d'Allister; Cape Indescriptible; Palmes Trithons; Dofus des Glaces; Dofus Ocre; Cascadeur majeur; Equilibriste majeur; Blérodoudou</t>
        </is>
      </c>
    </row>
    <row r="31094">
      <c r="A31094" t="inlineStr">
        <is>
          <t>Pandawa F 200</t>
        </is>
      </c>
      <c r="B31094">
        <f>HYPERLINK("https://www.dofusbook.net/fr/equipement/4791856-pandawa-f-200/objets", "link")</f>
        <v/>
      </c>
      <c r="C31094" t="n">
        <v>0</v>
      </c>
      <c r="D31094" t="inlineStr">
        <is>
          <t>Rouleau à Pâtisserie d'Aermyne; Collier Rophante; Anneau de Pol Ouatnos; Alliance Gloursonne; Droiture de Fallanster; Sangle Huée; Casque Dragoeuf; Bravoure de Rykke Errel; Sabots Minables; Carapace Neutre majeur; Remueur; Carapace Eau majeur; Carapace Terre majeur; Miraculé majeur; Gupin</t>
        </is>
      </c>
    </row>
    <row r="31095">
      <c r="A31095" t="inlineStr">
        <is>
          <t>Crâ M 200</t>
        </is>
      </c>
      <c r="B31095">
        <f>HYPERLINK("https://www.dofusbook.net/fr/equipement/4515652-cra-m-200/objets", "link")</f>
        <v/>
      </c>
      <c r="C31095" t="n">
        <v>0</v>
      </c>
      <c r="D31095" t="inlineStr">
        <is>
          <t>Pelle Emélaka; Amulette Cætera; Anneau Bliteré; Bracelet du Minotot; Bivalve; Ceinture de Danathor; Chapeau de Crocodaille Dandi; Cape Tivante; Bottines des sous-bois; Dofus Kaliptus; Joueur majeur; Chanceux; Taquin; Chanceux majeur; Taquin majeur; Hurledent</t>
        </is>
      </c>
    </row>
    <row r="31096">
      <c r="A31096" t="inlineStr">
        <is>
          <t>Crâ M 200</t>
        </is>
      </c>
      <c r="B31096">
        <f>HYPERLINK("https://www.dofusbook.net/fr/equipement/4515594-cra-m-200/objets", "link")</f>
        <v/>
      </c>
      <c r="C31096" t="n">
        <v>0</v>
      </c>
      <c r="D31096" t="inlineStr">
        <is>
          <t>Bâton Beau; Amulette du Strigide; Anneau de Padgref; Alliance de Missiz Frizz; Quatre-feuilles; Ceinture du Strigide; Coiffe de Padgref; Cape de la Dame du Hasard; Getas de Padgref; Dofus Kaliptus; Dofus Ocre; Dofus Turquoise; Dofus Pourpre; Taquin majeur; Forcené majeur; Hurledent</t>
        </is>
      </c>
    </row>
    <row r="31097">
      <c r="A31097" t="inlineStr">
        <is>
          <t>Pandawa F 200</t>
        </is>
      </c>
      <c r="B31097">
        <f>HYPERLINK("https://www.dofusbook.net/fr/equipement/4324332-pandawa-f-200/objets", "link")</f>
        <v/>
      </c>
      <c r="C31097" t="n">
        <v>0</v>
      </c>
      <c r="D31097" t="inlineStr">
        <is>
          <t>Arc Volkorne; Amulette Volkorne; Anneau Volkorne; Anneau de Padgref; Quatre-feuilles; Ceinture du Strigide; Coiffe de Padgref; Chevelure de Tal Kasha; Getas de Padgref; Dofus Turquoise; Dofus Pourpre; Dofus des Glaces; Dofus Ocre; Dofus Vulbis; Dofus Abyssal; Sakochère</t>
        </is>
      </c>
    </row>
    <row r="31098">
      <c r="A31098" t="inlineStr">
        <is>
          <t>Pandawa F 200</t>
        </is>
      </c>
      <c r="B31098">
        <f>HYPERLINK("https://www.dofusbook.net/fr/equipement/4309925-pandawa-f-200/objets", "link")</f>
        <v/>
      </c>
      <c r="C31098" t="n">
        <v>0</v>
      </c>
      <c r="D31098" t="inlineStr">
        <is>
          <t>Baguette Hernelle; Collier du Valet Veinard; Anneau de Padgref; Gant du Valet Veinard; Quatre-feuilles; Sangle Huée; Coiffe de Padgref; Cape du Valet Veinard; Getas de Padgref; Dofus Ocre; Dofus Pourpre; Dofus Abyssal; Dofus Turquoise; Dofus Ébène; Kokulte</t>
        </is>
      </c>
    </row>
    <row r="31099">
      <c r="A31099" t="inlineStr">
        <is>
          <t>feu</t>
        </is>
      </c>
      <c r="B31099">
        <f>HYPERLINK("https://www.dofusbook.net/fr/equipement/2321134-feu-/objets", "link")</f>
        <v/>
      </c>
      <c r="C31099" t="n">
        <v>2</v>
      </c>
      <c r="D31099" t="inlineStr">
        <is>
          <t>Arc corrompu; Amulette de Nileza; Bague Gloursonne; Anneauræus; Bouclier du Stalak; Ceinture de Vortex; Casque Dragoeuf; Cape de Nileza; Bottes Innommables; Dofus Ocre; Dofus Ébène; Dofus Ivoire; Érudit majeur; Remueur; Nomade</t>
        </is>
      </c>
    </row>
    <row r="31100">
      <c r="A31100" t="inlineStr">
        <is>
          <t>bethel duo 2</t>
        </is>
      </c>
      <c r="B31100">
        <f>HYPERLINK("https://www.dofusbook.net/fr/equipement/5040440-bethel-duo-2/objets", "link")</f>
        <v/>
      </c>
      <c r="C31100" t="n">
        <v>6</v>
      </c>
      <c r="D31100" t="inlineStr">
        <is>
          <t>Hache du Korriandre; Amulette du Strigide; Alliance Gloursonne; Anneau Tique; Bouclier du Captain Amakna; Ceinture du Strigide; Némès de Tal Kasha; Chevelure de Tal Kasha; Sandales de Tal Kasha; Dofus Pourpre; Dofus Ébène; Dofus Turquoise; Dofus des Glaces; Dofus Ocre; Dofus Abyssal</t>
        </is>
      </c>
    </row>
    <row r="31101">
      <c r="A31101" t="inlineStr">
        <is>
          <t>Stuff 2</t>
        </is>
      </c>
      <c r="B31101">
        <f>HYPERLINK("https://www.dofusbook.net/fr/equipement/76086-stuff-2/objets", "link")</f>
        <v/>
      </c>
      <c r="C31101" t="n">
        <v>3</v>
      </c>
      <c r="D31101" t="inlineStr">
        <is>
          <t>Dagoulinantes; Amulette de Shokkoth; Alliance Gloursonne; Anneau Volkorne; Poulpagne; Corne de Torkélonia; Cape du Sinistrofu; Bottes du Sinistrofu; Dolmanax; Dofus des Glaces; Nomade; Remueur; Chanceux majeur</t>
        </is>
      </c>
    </row>
    <row r="31102">
      <c r="A31102" t="inlineStr">
        <is>
          <t>feu pvm</t>
        </is>
      </c>
      <c r="B31102">
        <f>HYPERLINK("https://www.dofusbook.net/fr/equipement/5279120-feu-pvm/objets", "link")</f>
        <v/>
      </c>
      <c r="C31102" t="n">
        <v>2</v>
      </c>
      <c r="D31102" t="inlineStr">
        <is>
          <t>Arc corrompu; Amulette Volkorne; Anneau Tamie; Alliance Gloursonne; Bouclier du Stalak; Ceinture Séculaire; Coiffe Séculaire; Cape de Diondin; Pataugastrique; Dofus Ébène; Dofus Abyssal; Dofus Ivoire; Érudit majeur; Nomade; Bisouglours</t>
        </is>
      </c>
    </row>
    <row r="31103">
      <c r="A31103" t="inlineStr">
        <is>
          <t>ily</t>
        </is>
      </c>
      <c r="B31103">
        <f>HYPERLINK("https://www.dofusbook.net/fr/equipement/76050-ily/objets", "link")</f>
        <v/>
      </c>
      <c r="C31103" t="n">
        <v>5</v>
      </c>
      <c r="D31103" t="inlineStr">
        <is>
          <t>Héqache; Collier de Tourthon; Bague Gloursonne; Anneau Chevelu; Bouclier précieux; Ceintouse; Masque de Koutoulou; Cape au Logis; Sabots Minables; Dofus Ivoire; Dokoko; Dofus Abyssal; Dofus Émeraude; Miraculé majeur; Dauge</t>
        </is>
      </c>
    </row>
    <row r="31104">
      <c r="A31104" t="inlineStr">
        <is>
          <t>panda air</t>
        </is>
      </c>
      <c r="B31104">
        <f>HYPERLINK("https://www.dofusbook.net/fr/equipement/5203692-panda-air/objets", "link")</f>
        <v/>
      </c>
      <c r="C31104" t="n">
        <v>4</v>
      </c>
      <c r="D31104" t="inlineStr">
        <is>
          <t>Lance Horselé; Amulette Martegel; Alliance Gloursonne; Gant du Valet Veinard; Bouclier du Stalak; Sangle Oriole; Couronne d'Allister; Cape Martegel; Baleinabottes; Dofus Ocre; Dofus Ébène; Dofus Abyssal; Dofus Ivoire; Nomade; Cascadeur majeur; Blérodoudou</t>
        </is>
      </c>
    </row>
    <row r="31105">
      <c r="A31105" t="inlineStr">
        <is>
          <t>lekteur</t>
        </is>
      </c>
      <c r="B31105">
        <f>HYPERLINK("https://www.dofusbook.net/fr/equipement/4536888-lekteur/objets", "link")</f>
        <v/>
      </c>
      <c r="C31105" t="n">
        <v>1</v>
      </c>
      <c r="D31105" t="inlineStr">
        <is>
          <t>Amulette de Danathor; Anneau Volkorne; Anneau de Padgref; Quatre-feuilles; Ceinture du Strigide; Coiffe de Danathor; Cape Glaciale; Getas de Padgref; Dofus Ocre; Dofus Pourpre; Dofus Ivoire; Dofus Turquoise; Chanceux majeur; Kokulte</t>
        </is>
      </c>
    </row>
    <row r="31106">
      <c r="A31106" t="inlineStr">
        <is>
          <t>Enutrof F 200</t>
        </is>
      </c>
      <c r="B31106">
        <f>HYPERLINK("https://www.dofusbook.net/fr/equipement/4676841-enutrof-f-200/objets", "link")</f>
        <v/>
      </c>
      <c r="C31106" t="n">
        <v>6</v>
      </c>
      <c r="D31106" t="inlineStr">
        <is>
          <t>Dagues Açantes; Amulette de Shokkoth; Alliance Gloursonne; Pikano; Bouclier cubiste; Ceinture Glaciale; Kidibonnet; Cape Glaciale; Pantoufles Émar; Chanceux majeur; Remueur; Temporiseur majeur; Nomade; Miraculé majeur; Entraveur majeur; Léopardo</t>
        </is>
      </c>
    </row>
    <row r="31107">
      <c r="A31107" t="inlineStr">
        <is>
          <t>bethel Duo</t>
        </is>
      </c>
      <c r="B31107">
        <f>HYPERLINK("https://www.dofusbook.net/fr/equipement/5040416-bethel-duo/objets", "link")</f>
        <v/>
      </c>
      <c r="C31107" t="n">
        <v>5</v>
      </c>
      <c r="D31107" t="inlineStr">
        <is>
          <t>Dague Hirr; Amulette du Strigide; Alliance Gloursonne; Anneau de Pol Ouatnos; Bouclier du Captain Amakna; Ceinture du Strigide; Coiffe de la Fuji Givrefoux; Cape de la Fuji Givrefoux; Bottes du Strigide; Dofus Ocre; Dofus des Glaces; Dofus Turquoise; Dofus Abyssal; Dofus Pourpre; Dofus Ébène; Kokulte</t>
        </is>
      </c>
    </row>
    <row r="31108">
      <c r="A31108" t="inlineStr">
        <is>
          <t>Iop F 200</t>
        </is>
      </c>
      <c r="B31108">
        <f>HYPERLINK("https://www.dofusbook.net/fr/equipement/4981307-iop-f-200/objets", "link")</f>
        <v/>
      </c>
      <c r="C31108" t="n">
        <v>1</v>
      </c>
      <c r="D31108" t="inlineStr">
        <is>
          <t>Dagues Érhy; Amulette du Strigide; Alliance de Missiz Frizz; Bague Gloursonne; Bivalve; Ceinture du Strigide; Casque de Missiz Frizz; Cape du Professeur Xa; Bottes du Strigide; Dofus Ébène; Dofus Ocre; Dofus Ivoire; Dofus Turquoise; Dofus Abyssal; Forcené majeur; Chacha Angora</t>
        </is>
      </c>
    </row>
    <row r="31109">
      <c r="A31109" t="inlineStr">
        <is>
          <t>gloot Ebene</t>
        </is>
      </c>
      <c r="B31109">
        <f>HYPERLINK("https://www.dofusbook.net/fr/equipement/2671548-gloot-ebene/objets", "link")</f>
        <v/>
      </c>
      <c r="C31109" t="n">
        <v>1</v>
      </c>
      <c r="D31109" t="inlineStr">
        <is>
          <t>Baguette Hique; Amulette de Danathor; Alliance Gloursonne; Anneau Volkorne; Bouclier du Stalak; Ceinture de Danathor; Coiffe de Danathor; Cape de la Dame du Hasard; Bottes de la Dame du Hasard; Dofus Ivoire; Dofus Abyssal; Dokoko; Dofus Ébène; Dofus Ocre; Dofus Nébuleux; Sakochère</t>
        </is>
      </c>
    </row>
    <row r="31110">
      <c r="A31110" t="inlineStr">
        <is>
          <t>roub eau</t>
        </is>
      </c>
      <c r="B31110">
        <f>HYPERLINK("https://www.dofusbook.net/fr/equipement/4843612-roub-eau/objets", "link")</f>
        <v/>
      </c>
      <c r="C31110" t="n">
        <v>1</v>
      </c>
      <c r="D31110" t="inlineStr">
        <is>
          <t>Rapière aux Glyphes; Amulette de Shokkoth; Alliance Gloursonne; Anneau Volkorne; Bouclier du Stalak; Poulpagne; Kidibonnet; Cape du Sinistrofu; Bottes du Sinistrofu; Dofus Ivoire; Dofus Pourpre; Nomade; Taquin majeur; Miraculé majeur; Chanceux majeur; Kanigloups</t>
        </is>
      </c>
    </row>
    <row r="31111">
      <c r="A31111" t="inlineStr">
        <is>
          <t>arc V</t>
        </is>
      </c>
      <c r="B31111">
        <f>HYPERLINK("https://www.dofusbook.net/fr/equipement/76056-arc-v/objets", "link")</f>
        <v/>
      </c>
      <c r="C31111" t="n">
        <v>8</v>
      </c>
      <c r="D31111" t="inlineStr">
        <is>
          <t>Arc Volkorne; Amulette du Strigide; Bracelet du Piloztère; Alliance Gloursonne; Quatre-feuilles; Ceintacé; Casque du Chalœil; Voile d'encre; Bottes du Strigide; Dofus Ivoire; Dofus Turquoise; Dofus des Glaces; Dolmanax; Dofus Ocre; Nomade; Kokulte</t>
        </is>
      </c>
    </row>
    <row r="31112">
      <c r="A31112" t="inlineStr">
        <is>
          <t>tank</t>
        </is>
      </c>
      <c r="B31112">
        <f>HYPERLINK("https://www.dofusbook.net/fr/equipement/1737717-tank/objets", "link")</f>
        <v/>
      </c>
      <c r="C31112" t="n">
        <v>1</v>
      </c>
      <c r="D31112" t="inlineStr">
        <is>
          <t>Rouleau à Pâtisserie d'Aermyne; Collier Rophante; Bague Trithon; Alliance Gloursonne; Bouclier d'Anerice; Menoture; Casque Dragoeuf; Cape d'Anerice; Pataugastrique; Dofus Émeraude; Dokoko; Remueur; Nomade; Givrefoux</t>
        </is>
      </c>
    </row>
    <row r="31113">
      <c r="A31113" t="inlineStr">
        <is>
          <t>elioterre</t>
        </is>
      </c>
      <c r="B31113">
        <f>HYPERLINK("https://www.dofusbook.net/fr/equipement/4082509-elioterre/objets", "link")</f>
        <v/>
      </c>
      <c r="C31113" t="n">
        <v>2</v>
      </c>
      <c r="D31113" t="inlineStr">
        <is>
          <t>Arc du Chalœil; Collier de Tourthon; Anneau Volkorne; Anneau Chevelu; Bouclier du Stalak; Ceinture Volkorne; Masque de Koutoulou; Voile d'encre; Bottes du Cœur Saignant; Dofus Ivoire; Dofus Turquoise; Dofus Ocre; Dofus Vulbis; Dofus Ébène; Enragé majeur; Tofu Givré</t>
        </is>
      </c>
    </row>
    <row r="31114">
      <c r="A31114" t="inlineStr">
        <is>
          <t>Ret</t>
        </is>
      </c>
      <c r="B31114">
        <f>HYPERLINK("https://www.dofusbook.net/fr/equipement/76059-ret-/objets", "link")</f>
        <v/>
      </c>
      <c r="C31114" t="n">
        <v>10</v>
      </c>
      <c r="D31114" t="inlineStr">
        <is>
          <t>Dagoulinantes; Collier de la Dame du Hasard; Anneau Tique; Alliance Gloursonne; Sept ans de malheur; Ceinture de Vortex; Cagoule de Vortex; Voile d'encre; Pataugastrique; Dofus Ivoire; Dofus Ocre; Étourdisseur majeur; Nomade; Boskito</t>
        </is>
      </c>
    </row>
    <row r="31115">
      <c r="A31115" t="inlineStr">
        <is>
          <t>terre feu</t>
        </is>
      </c>
      <c r="B31115">
        <f>HYPERLINK("https://www.dofusbook.net/fr/equipement/4872420-terre-feu/objets", "link")</f>
        <v/>
      </c>
      <c r="C31115" t="n">
        <v>1</v>
      </c>
      <c r="D31115" t="inlineStr">
        <is>
          <t>Hache Téroïde; Amulette Volkorne; Bague Gloursonne; Anneau Toriété; Quatre-feuilles; Ceinture Volkorne; Chapeau de Gein; Voile d'encre; Bottes Honyme; Dofus Pourpre; Dofus Turquoise; Dofus Ocre; Vigoureux majeur; Enragé majeur; Érudit majeur; Cromeugnon</t>
        </is>
      </c>
    </row>
    <row r="31116">
      <c r="A31116" t="inlineStr">
        <is>
          <t>Kao</t>
        </is>
      </c>
      <c r="B31116">
        <f>HYPERLINK("https://www.dofusbook.net/fr/equipement/4863935-kao/objets", "link")</f>
        <v/>
      </c>
      <c r="C31116" t="n">
        <v>2</v>
      </c>
      <c r="D31116" t="inlineStr">
        <is>
          <t>Dagues Cacterre; Amulette Volkorne; Anneau Volkorne; Anneau de Padgref; Bouclier du Captain Amakna; Pagne du Rykaon; Casquette de Meno; Cape de Diondin; Pataugastrique; Dofus Abyssal; Dofus Ocre; Dofus Pourpre; Dofus Ébène; Dofus Turquoise; Nomade; Kokulte</t>
        </is>
      </c>
    </row>
    <row r="31117">
      <c r="A31117" t="inlineStr">
        <is>
          <t>eau PVM</t>
        </is>
      </c>
      <c r="B31117">
        <f>HYPERLINK("https://www.dofusbook.net/fr/equipement/1505253-eau-pvm/objets", "link")</f>
        <v/>
      </c>
      <c r="C31117" t="n">
        <v>1</v>
      </c>
      <c r="D31117" t="inlineStr">
        <is>
          <t>Rapière aux Glyphes; Amulette de Shokkoth; Alliance Gloursonne; Anneau Volkorne; Bouclier du Stalak; Poulpagne; Kidibonnet; Cape du Sinistrofu; Bottes du Sinistrofu; Dofus Pourpre; Dofus Ivoire; Chanceux majeur; Nomade; Taquin majeur; Miraculé majeur; Kanigloups</t>
        </is>
      </c>
    </row>
    <row r="31118">
      <c r="A31118" t="inlineStr">
        <is>
          <t>Ecaflip F 200</t>
        </is>
      </c>
      <c r="B31118">
        <f>HYPERLINK("https://www.dofusbook.net/fr/equipement/4741367-ecaflip-f-200/objets", "link")</f>
        <v/>
      </c>
      <c r="C31118" t="n">
        <v>0</v>
      </c>
      <c r="D31118" t="inlineStr">
        <is>
          <t>Sceptre du Roi Joueur; Amulette du Strigide; Bague Trithon; Alliance Gloursonne; Bouclier du Stalak; Ceinture Glaciale; Némès de Tal Kasha; Chevelure de Tal Kasha; Pataugastrique; Dofus Ocre; Dofus Turquoise; Dofus Ivoire; Dofus Abyssal; Dofus Pourpre; Dofus des Glaces; Chacha Angora</t>
        </is>
      </c>
    </row>
    <row r="31119">
      <c r="A31119" t="inlineStr">
        <is>
          <t>PvM</t>
        </is>
      </c>
      <c r="B31119">
        <f>HYPERLINK("https://www.dofusbook.net/fr/equipement/1633310-pvm/objets", "link")</f>
        <v/>
      </c>
      <c r="C31119" t="n">
        <v>10</v>
      </c>
      <c r="D31119" t="inlineStr">
        <is>
          <t>Arc Volkorne; Amulette Volkorne; Anneau Volkorne; Bague Trithon; Quatre-feuilles; Ceinture Volkorne; Masque Trithon; Voile d'encre; Bottes Trithon; Dofus Abyssal; Dofus des Glaces; Dofus Pourpre; Dofus Nébuleux; Dofus Turquoise; Dofus Ocre; Kokulte</t>
        </is>
      </c>
    </row>
    <row r="31120">
      <c r="A31120" t="inlineStr">
        <is>
          <t>Stuff 2</t>
        </is>
      </c>
      <c r="B31120">
        <f>HYPERLINK("https://www.dofusbook.net/fr/equipement/76029-stuff-2/objets", "link")</f>
        <v/>
      </c>
      <c r="C31120" t="n">
        <v>2</v>
      </c>
      <c r="D31120" t="inlineStr">
        <is>
          <t>Dagues Érhy; Amulette du Strigide; Bague Gloursonne; Alliance de Missiz Frizz; Bivalve; Ceinture du Strigide; Casque de Missiz Frizz; Cape du Professeur Xa; Bottes du Strigide; Dofus Ivoire; Dofus Ocre; Dofus Turquoise; Dofus Pourpre; Forcené majeur; Furibond majeur; Chacha Angora</t>
        </is>
      </c>
    </row>
    <row r="31121">
      <c r="A31121" t="inlineStr">
        <is>
          <t>pvm</t>
        </is>
      </c>
      <c r="B31121">
        <f>HYPERLINK("https://www.dofusbook.net/fr/equipement/4603736-pvm/objets", "link")</f>
        <v/>
      </c>
      <c r="C31121" t="n">
        <v>0</v>
      </c>
      <c r="D31121" t="inlineStr">
        <is>
          <t>Dagues Érhy; Amulette du Strigide; Chevalière du Roi Joueur; Bague Gloursonne; Bivalve; Ceinture du Strigide; Couronne du Roi Joueur; Voile d'encre; Bottes du Roi Joueur; Dofus Turquoise; Dofus Abyssal; Dofus Ocre; Dofus Ivoire; Dofus Pourpre; Dofus des Glaces; Fëanor</t>
        </is>
      </c>
    </row>
    <row r="31122">
      <c r="A31122" t="inlineStr">
        <is>
          <t>pvm</t>
        </is>
      </c>
      <c r="B31122">
        <f>HYPERLINK("https://www.dofusbook.net/fr/equipement/4552318-pvm/objets", "link")</f>
        <v/>
      </c>
      <c r="C31122" t="n">
        <v>2</v>
      </c>
      <c r="D31122" t="inlineStr">
        <is>
          <t>Hache Téroïde; Amulette du Strigide; Bague Gloursonne; Bague Trithon; Bouclier Taverne; Ceinture du Strigide; Masque Trithon; Cape au Logis; Bottes Trithon; Dofus des Veilleurs; Dofus Turquoise; Dofus Ocre; Dofus Abyssal; Dofus des Glaces; Dofus Pourpre; Kokulte</t>
        </is>
      </c>
    </row>
    <row r="31123">
      <c r="A31123" t="inlineStr">
        <is>
          <t>ret PM feu eau</t>
        </is>
      </c>
      <c r="B31123">
        <f>HYPERLINK("https://www.dofusbook.net/fr/equipement/76060-ret-pm-feu-eau/objets", "link")</f>
        <v/>
      </c>
      <c r="C31123" t="n">
        <v>2</v>
      </c>
      <c r="D31123" t="inlineStr">
        <is>
          <t>Baguette Hique; Collier de la Dame du Hasard; Anneau de Nidas; Pikano; Bouclier cubiste; Ceinture de Kongoku; Casquette de Meno; Cape de la Dame du Hasard; Pataugastrique; Nomade; Temporiseur majeur; Entraveur majeur; Remueur; Temporiseur; Ralentisseur majeur; Gwo Tofu Ventripotent</t>
        </is>
      </c>
    </row>
    <row r="31124">
      <c r="A31124" t="inlineStr">
        <is>
          <t>Elio place PVM</t>
        </is>
      </c>
      <c r="B31124">
        <f>HYPERLINK("https://www.dofusbook.net/fr/equipement/4525707-elio-place-pvm/objets", "link")</f>
        <v/>
      </c>
      <c r="C31124" t="n">
        <v>1</v>
      </c>
      <c r="D31124" t="inlineStr">
        <is>
          <t>Rouleau à Pâtisserie d'Aermyne; Collier Rophante; Bague Trithon; Alliance Gloursonne; Bouclier d'Anerice; Ceinture Billonnante; Casque Dragoeuf; Cape d'Anerice; Pataugastrique; Dofus Ocre; Dofus Abyssal; Dofus des Veilleurs; Dofus Ivoire; Miraculé majeur; Givrefoux</t>
        </is>
      </c>
    </row>
    <row r="31125">
      <c r="A31125" t="inlineStr">
        <is>
          <t>Reseau</t>
        </is>
      </c>
      <c r="B31125">
        <f>HYPERLINK("https://www.dofusbook.net/fr/equipement/4525684-reseau-/objets", "link")</f>
        <v/>
      </c>
      <c r="C31125" t="n">
        <v>0</v>
      </c>
      <c r="D31125" t="inlineStr">
        <is>
          <t>Dagues Érhy; Amulette Volkorne; Bracelet du Piloztère; Chevalière du Roi Joueur; Bouclier du Stalak; Ceinture Volkorne; Casque Volkorne; Voile d'encre; Bottes du Roi Joueur; Dofus Ocre; Dofus Ivoire; Dofus Abyssal; Dofus Nébuleux; Dolmanax; Dofus des Glaces; Fëanor</t>
        </is>
      </c>
    </row>
    <row r="31126">
      <c r="A31126" t="inlineStr">
        <is>
          <t>terre</t>
        </is>
      </c>
      <c r="B31126">
        <f>HYPERLINK("https://www.dofusbook.net/fr/equipement/4238781-terre/objets", "link")</f>
        <v/>
      </c>
      <c r="C31126" t="n">
        <v>0</v>
      </c>
      <c r="D31126" t="inlineStr">
        <is>
          <t>Marteau R'ture; Amulette du Strigide; Bague Gloursonne; Anneau Chevelu; Bouclier précieux; Ceintacé; Masque de Koutoulou; Cape au Logis; Bottes du Strigide; Dofus Abyssal; Dofus Émeraude; Dofus Ivoire; Remueur; Enragé majeur; Miraculé majeur; Croum</t>
        </is>
      </c>
    </row>
    <row r="31127">
      <c r="A31127" t="inlineStr">
        <is>
          <t>eau tonk</t>
        </is>
      </c>
      <c r="B31127">
        <f>HYPERLINK("https://www.dofusbook.net/fr/equipement/76028-eau-tonk/objets", "link")</f>
        <v/>
      </c>
      <c r="C31127" t="n">
        <v>6</v>
      </c>
      <c r="D31127" t="inlineStr">
        <is>
          <t>Dagoulinantes; Amulette de Pol Ouatnos; Bague Trithon; Alliance Gloursonne; Bouclier précieux; Ceintacé; Kidibonnet; Cape du Sinistrofu; Bottes du Sinistrofu; Dofus Abyssal; Dofus Ivoire; Dofus Émeraude; Carapace Eau majeur; Miraculé majeur; Titard</t>
        </is>
      </c>
    </row>
    <row r="31128">
      <c r="A31128" t="inlineStr">
        <is>
          <t>Osamodas F 200</t>
        </is>
      </c>
      <c r="B31128">
        <f>HYPERLINK("https://www.dofusbook.net/fr/equipement/4128934-osamodas-f-200/objets", "link")</f>
        <v/>
      </c>
      <c r="C31128" t="n">
        <v>0</v>
      </c>
      <c r="D31128" t="inlineStr">
        <is>
          <t>Lance Horselé; Collier du Valet Veinard; Alliance Gloursonne; Gant du Valet Veinard; Menoture; Chapeau de Tournoyé; Cape du Kamasterisk; Palmes Trithons; Dofus Ivoire; Dofus Abyssal; Dofus Ocre; Nomade; Cascadeur majeur; Miraculé majeur; Pioute violet</t>
        </is>
      </c>
    </row>
    <row r="31129">
      <c r="A31129" t="inlineStr">
        <is>
          <t>full air</t>
        </is>
      </c>
      <c r="B31129">
        <f>HYPERLINK("https://www.dofusbook.net/fr/equipement/4115963-full-air/objets", "link")</f>
        <v/>
      </c>
      <c r="C31129" t="n">
        <v>6</v>
      </c>
      <c r="D31129" t="inlineStr">
        <is>
          <t>Manthache; Collier du Valet Veinard; Gant du Valet Veinard; Alliance Gloursonne; Bouclier du Stalak; Menoture; Couronne d'Allister; Cape Indescriptible; Palmes Trithons; Dofus Abyssal; Dofus Pourpre; Dofus Ocre; Cascadeur majeur; Nomade; Equilibriste majeur; Blérodoudou</t>
        </is>
      </c>
    </row>
    <row r="31130">
      <c r="A31130" t="inlineStr">
        <is>
          <t>elioforce</t>
        </is>
      </c>
      <c r="B31130">
        <f>HYPERLINK("https://www.dofusbook.net/fr/equipement/4064802-elioforce/objets", "link")</f>
        <v/>
      </c>
      <c r="C31130" t="n">
        <v>0</v>
      </c>
      <c r="D31130" t="inlineStr">
        <is>
          <t>Arc du Chalœil; Collier de Tourthon; Chevalière du Roi Joueur; Bague Gloursonne; Quatre-feuilles; Ceinture Volkorne; Casque Dragoeuf; Cape au Logis; Sabots Minables; Dofus Abyssal; Dofus Pourpre; Dofus Ocre; Dofus Turquoise; Dofus Ivoire; Enragé majeur; Bulbisou</t>
        </is>
      </c>
    </row>
    <row r="31131">
      <c r="A31131" t="inlineStr">
        <is>
          <t>Twety multi</t>
        </is>
      </c>
      <c r="B31131">
        <f>HYPERLINK("https://www.dofusbook.net/fr/equipement/4061576-twety-multi/objets", "link")</f>
        <v/>
      </c>
      <c r="C31131" t="n">
        <v>1</v>
      </c>
      <c r="D31131" t="inlineStr">
        <is>
          <t>Amulette du Strigide; Alliance Gloursonne; Bague Trithon; Ceintacé; Masque Trithon; Voile d'encre; Bottes de l'Indicible; Dofus Abyssal; Dofus Turquoise; Dofus Ivoire; Dofus Ocre</t>
        </is>
      </c>
    </row>
    <row r="31132">
      <c r="A31132" t="inlineStr">
        <is>
          <t>Chaloeil</t>
        </is>
      </c>
      <c r="B31132">
        <f>HYPERLINK("https://www.dofusbook.net/fr/equipement/1707615-chaloeil/objets", "link")</f>
        <v/>
      </c>
      <c r="C31132" t="n">
        <v>9</v>
      </c>
      <c r="D31132" t="inlineStr">
        <is>
          <t>Pelle de la Cour Sombre; Amulette du Granduk; Alliance Gloursonne; Anneau de Pol Ouatnos; Bouclier d'Anerice; Ceintouse; Casque Dragoeuf; Cape des Malveilleurs; Baleinabottes; Dofus Ocre; Dofus Ivoire; Miraculé majeur; Obstructeur majeur; Tacleur majeur; Bloqueur majeur; Blokus</t>
        </is>
      </c>
    </row>
    <row r="31133">
      <c r="A31133" t="inlineStr">
        <is>
          <t>Terre Tonk</t>
        </is>
      </c>
      <c r="B31133">
        <f>HYPERLINK("https://www.dofusbook.net/fr/equipement/76045-terre-tonk/objets", "link")</f>
        <v/>
      </c>
      <c r="C31133" t="n">
        <v>1</v>
      </c>
      <c r="D31133" t="inlineStr">
        <is>
          <t>Arc du Chalœil; Amulette du Strigide; Anneau Chevelu; Bague Gloursonne; Quatre-feuilles; Ceinture Volkorne; Masque de Koutoulou; Voile d'encre; Bottes du Strigide; Bulbisou</t>
        </is>
      </c>
    </row>
    <row r="31134">
      <c r="A31134" t="inlineStr">
        <is>
          <t>enu ret PM</t>
        </is>
      </c>
      <c r="B31134">
        <f>HYPERLINK("https://www.dofusbook.net/fr/equipement/3850175-enu-ret-pm/objets", "link")</f>
        <v/>
      </c>
      <c r="C31134" t="n">
        <v>1</v>
      </c>
      <c r="D31134" t="inlineStr">
        <is>
          <t>Dagues Açantes; Amulette de Shokkoth; Pikano; Alliance Gloursonne; Bouclier du serrurier; Ceinture Glaciale; Kidibonnet; Cape Glaciale; Bottes de Meno; Dofus Pourpre; Entraveur majeur; Remueur; Temporiseur majeur; Chanceux majeur; Nomade; Gwo Tofu Ventripotent</t>
        </is>
      </c>
    </row>
    <row r="31135">
      <c r="A31135" t="inlineStr">
        <is>
          <t>TDN Fur</t>
        </is>
      </c>
      <c r="B31135">
        <f>HYPERLINK("https://www.dofusbook.net/fr/equipement/2742185-tdn-fur/objets", "link")</f>
        <v/>
      </c>
      <c r="C31135" t="n">
        <v>0</v>
      </c>
      <c r="D31135" t="inlineStr">
        <is>
          <t>Arc Hétype; Pendentif mignon de Koutoulou; Anneau Tique; Anneau Rifique; Cadran d'Air; Ceinture de Vortex; Casque Dragoeuf; Voile d'encre; Bottes Innommables; Dofus Cawotte; Dofus Ocre; Dofus Abyssal; Dofus Ivoire; Érudit majeur; Remueur; Muldo Turquoise et Ivoire</t>
        </is>
      </c>
    </row>
    <row r="31136">
      <c r="A31136" t="inlineStr">
        <is>
          <t>Arc</t>
        </is>
      </c>
      <c r="B31136">
        <f>HYPERLINK("https://www.dofusbook.net/fr/equipement/2649935-arc-/objets", "link")</f>
        <v/>
      </c>
      <c r="C31136" t="n">
        <v>0</v>
      </c>
      <c r="D31136" t="inlineStr">
        <is>
          <t>Arc Ahique; Collier du Valet Veinard; Alliance Gloursonne; Gant du Valet Veinard; Bouclier du Stalak; Ceinture de la Reine des Voleurs; Coiffe de la Reine des Voleurs; Cape du Valet Veinard; Bottes de la Reine des Voleurs; Dofus Abyssal; Dofus Ocre; Dofus Ivoire; Dofus des Glaces; Robuste majeur</t>
        </is>
      </c>
    </row>
    <row r="31137">
      <c r="A31137" t="inlineStr">
        <is>
          <t>Arc hah</t>
        </is>
      </c>
      <c r="B31137">
        <f>HYPERLINK("https://www.dofusbook.net/fr/equipement/2649933-arc-hah/objets", "link")</f>
        <v/>
      </c>
      <c r="C31137" t="n">
        <v>0</v>
      </c>
      <c r="D31137" t="inlineStr">
        <is>
          <t>Arc Ahique; Collier du Valet Veinard; Alliance Gloursonne; Gant du Valet Veinard; Bouclier du Stalak; Menoture; Dorabysses; Cape Indescriptible; Palmes Trithons; Dofus Abyssal; Dofus Pourpre; Dofus Ivoire; Dofus des Glaces; Remueur; Muldo Ebène</t>
        </is>
      </c>
    </row>
    <row r="31138">
      <c r="A31138" t="inlineStr">
        <is>
          <t>Eau Crit</t>
        </is>
      </c>
      <c r="B31138">
        <f>HYPERLINK("https://www.dofusbook.net/fr/equipement/2574393-eau-crit/objets", "link")</f>
        <v/>
      </c>
      <c r="C31138" t="n">
        <v>0</v>
      </c>
      <c r="D31138" t="inlineStr">
        <is>
          <t>Dagoulinantes; Amulette du Strigide; Alliance Gloursonne; Bracelet des Fonds marins; Quatre-feuilles; Ceintacé; Casque Dragoeuf; Cape de la Dame du Hasard; Bottes de la Dame du Hasard; Dofus Abyssal; Dofus Turquoise; Dofus Ocre; Chanceux majeur; Nomade; Dragodinde en armure</t>
        </is>
      </c>
    </row>
    <row r="31139">
      <c r="A31139" t="inlineStr">
        <is>
          <t>Tank 40-50</t>
        </is>
      </c>
      <c r="B31139">
        <f>HYPERLINK("https://www.dofusbook.net/fr/equipement/76043-tank-40-50/objets", "link")</f>
        <v/>
      </c>
      <c r="C31139" t="n">
        <v>0</v>
      </c>
      <c r="D31139" t="inlineStr">
        <is>
          <t>Manthache; Collier du Valet Veinard; Gant du Valet Veinard; Alliance Gloursonne; Bouclier du Stalak; Menoture; Casque Dragoeuf; Cape d'Anerice; Palmes Trithons; Dofus Abyssal; Carapace Feu majeur; Miraculé majeur; Carapace Neutre majeur; Cascadeur majeur; Remueur; Muldo Ebène</t>
        </is>
      </c>
    </row>
    <row r="31140">
      <c r="A31140" t="inlineStr">
        <is>
          <t>Necro full res #3</t>
        </is>
      </c>
      <c r="B31140">
        <f>HYPERLINK("https://www.dofusbook.net/fr/equipement/2564093-necro-full-res--3/objets", "link")</f>
        <v/>
      </c>
      <c r="C31140" t="n">
        <v>0</v>
      </c>
      <c r="D31140" t="inlineStr">
        <is>
          <t>Arc Nécrotique; Collier de la Dame du Hasard; Anneau Tique; Alliance Gloursonne; Quatre-feuilles; Ceintacé; Casque Dragoeuf; Cape de la Dame du Hasard; Bottes de Meno; Dofus Abyssal; Dofus Pourpre; Dofus des Glaces; Dofus Turquoise; Remueur; Miraculé majeur; Muldo Orchidée et Amande</t>
        </is>
      </c>
    </row>
    <row r="31141">
      <c r="A31141" t="inlineStr">
        <is>
          <t>Air PvPm</t>
        </is>
      </c>
      <c r="B31141">
        <f>HYPERLINK("https://www.dofusbook.net/fr/equipement/76044-air-pvpm/objets", "link")</f>
        <v/>
      </c>
      <c r="C31141" t="n">
        <v>0</v>
      </c>
      <c r="D31141" t="inlineStr">
        <is>
          <t>Manthache; Collier du Valet Veinard; Alliance Gloursonne; Gant du Valet Veinard; Bouclier du Stalak; Menoture; Casque Dragoeuf; Cape Indescriptible; Palmes Trithons; Dofus Abyssal; Dofus Ivoire; Remueur; Cavaleur majeur; Miraculé majeur; Cascadeur majeur; Muldo Turquoise et Ebène</t>
        </is>
      </c>
    </row>
    <row r="31142">
      <c r="A31142" t="inlineStr">
        <is>
          <t>Terre rox</t>
        </is>
      </c>
      <c r="B31142">
        <f>HYPERLINK("https://www.dofusbook.net/fr/equipement/2525433-terre-rox/objets", "link")</f>
        <v/>
      </c>
      <c r="C31142" t="n">
        <v>0</v>
      </c>
      <c r="D31142" t="inlineStr">
        <is>
          <t>Arc du Chalœil; Amulette du Strigide; Anneau Chevelu; Bague Gloursonne; Quatre-feuilles; Ceinture du Strigide; Masque de Koutoulou; Cape au Logis; Bottes de la Cour Sombre; Dofus Turquoise; Dofus Abyssal; Dofus Pourpre; Dofus des Glaces; Enragé majeur; Remueur; Dragodinde en armure</t>
        </is>
      </c>
    </row>
    <row r="31143">
      <c r="A31143" t="inlineStr">
        <is>
          <t>Feu</t>
        </is>
      </c>
      <c r="B31143">
        <f>HYPERLINK("https://www.dofusbook.net/fr/equipement/2517766-feu/objets", "link")</f>
        <v/>
      </c>
      <c r="C31143" t="n">
        <v>0</v>
      </c>
      <c r="D31143" t="inlineStr">
        <is>
          <t>Arc corrompu; Pendentif mignon de Koutoulou; Anneauræus; Anneau Tique; Bouclier du Stalak; Ceinture de Vortex; Casque Cyclopéen; Voile d'encre; Bottes Innommables; Dofus Abyssal; Dofus Ocre; Miraculé majeur; Érudit majeur; Remueur; Muldo Orchidée et Pourpre</t>
        </is>
      </c>
    </row>
    <row r="31144">
      <c r="A31144" t="inlineStr">
        <is>
          <t>Stuff terre ret</t>
        </is>
      </c>
      <c r="B31144">
        <f>HYPERLINK("https://www.dofusbook.net/fr/equipement/2469764-stuff-terre-ret/objets", "link")</f>
        <v/>
      </c>
      <c r="C31144" t="n">
        <v>0</v>
      </c>
      <c r="D31144" t="inlineStr">
        <is>
          <t>Marteau R'ture; Amulette Luminescente; Pikano; Anneau de Nidas; Bouclier cubiste; Ceinture de Kongoku; Masque de Koutoulou; Cape au Logis; Pikottes; Entraveur majeur; Temporiseur; Temporiseur majeur; Ralentisseur majeur; Remueur; Enragé majeur; Kwaltess</t>
        </is>
      </c>
    </row>
    <row r="31145">
      <c r="A31145" t="inlineStr">
        <is>
          <t>pvpm</t>
        </is>
      </c>
      <c r="B31145">
        <f>HYPERLINK("https://www.dofusbook.net/fr/equipement/2395606-pvpm/objets", "link")</f>
        <v/>
      </c>
      <c r="C31145" t="n">
        <v>0</v>
      </c>
      <c r="D31145" t="inlineStr">
        <is>
          <t>Baguette de Malléfisk; Amulette Ementaire Deluxe; Anneau Tique; Anneau de Nidas; Carapar; Ceinture de Vortex; Couronne de Nidas; Cape d'Anerice; Bottes Innommables; Dolmanax; Dofus Ocre; Érudit majeur; Remueur; Miraculé majeur; Muldo Orchidée</t>
        </is>
      </c>
    </row>
    <row r="31146">
      <c r="A31146" t="inlineStr">
        <is>
          <t>Chal</t>
        </is>
      </c>
      <c r="B31146">
        <f>HYPERLINK("https://www.dofusbook.net/fr/equipement/2334463-chal/objets", "link")</f>
        <v/>
      </c>
      <c r="C31146" t="n">
        <v>0</v>
      </c>
      <c r="D31146" t="inlineStr">
        <is>
          <t>Arc de Koutoulou; Amulette du Strigide; Alliance Gloursonne; Anneau Tique; Ceintacé; Chapeau des Malveilleurs; Voile d'encre; Bottes du Strigide; Dolmanax</t>
        </is>
      </c>
    </row>
    <row r="31147">
      <c r="A31147" t="inlineStr">
        <is>
          <t>Chal</t>
        </is>
      </c>
      <c r="B31147">
        <f>HYPERLINK("https://www.dofusbook.net/fr/equipement/2334416-chal/objets", "link")</f>
        <v/>
      </c>
      <c r="C31147" t="n">
        <v>0</v>
      </c>
      <c r="D31147" t="inlineStr">
        <is>
          <t>Hache du Chalœil; Amulette du Strigide; Alliance Gloursonne; Anneau Tique; Ceintacé; Chapeau de Gein; Voile d'encre; Bottes du Strigide; Dolmanax</t>
        </is>
      </c>
    </row>
    <row r="31148">
      <c r="A31148" t="inlineStr">
        <is>
          <t>Air</t>
        </is>
      </c>
      <c r="B31148">
        <f>HYPERLINK("https://www.dofusbook.net/fr/equipement/2323893-air/objets", "link")</f>
        <v/>
      </c>
      <c r="C31148" t="n">
        <v>0</v>
      </c>
      <c r="D31148" t="inlineStr">
        <is>
          <t>Manthache; Collier du Valet Veinard; Gant du Valet Veinard; Alliance Gloursonne; Bouclier d'Ilyzaelle; Menoture; Casque Dragoeuf; Cape Indescriptible; Palmes Trithons; Dofus Abyssal; Remueur; Cascadeur majeur</t>
        </is>
      </c>
    </row>
    <row r="31149">
      <c r="A31149" t="inlineStr">
        <is>
          <t>Do Pou</t>
        </is>
      </c>
      <c r="B31149">
        <f>HYPERLINK("https://www.dofusbook.net/fr/equipement/2273762-do-pou/objets", "link")</f>
        <v/>
      </c>
      <c r="C31149" t="n">
        <v>0</v>
      </c>
      <c r="D31149" t="inlineStr">
        <is>
          <t>Arc du Chalœil; Torquistik; Bague Instable; Bague Trithon; Bouclier précieux; Sangle Ouare; Casque Dragoeuf; Capchalot; Bottistik; Carapace Terre majeur; Culbuteur majeur; Miraculé majeur; Remueur; Pousseur majeur; Bousculeur majeur; Kafarce</t>
        </is>
      </c>
    </row>
    <row r="31150">
      <c r="A31150" t="inlineStr">
        <is>
          <t>Terre rox</t>
        </is>
      </c>
      <c r="B31150">
        <f>HYPERLINK("https://www.dofusbook.net/fr/equipement/2273752-terre-rox/objets", "link")</f>
        <v/>
      </c>
      <c r="C31150" t="n">
        <v>0</v>
      </c>
      <c r="D31150" t="inlineStr">
        <is>
          <t>Arc du Chalœil; Amulette du Strigide; Anneau Chevelu; Bague Gloursonne; Quatre-feuilles; Ceinture du Strigide; Masque de Koutoulou; Cape au Logis; Bottes de la Cour Sombre; Dofus Turquoise; Dofus Abyssal; Dofus Pourpre; Dofus des Glaces; Enragé majeur; Remueur; Dragodinde en armure</t>
        </is>
      </c>
    </row>
    <row r="31151">
      <c r="A31151" t="inlineStr">
        <is>
          <t>Air pvm</t>
        </is>
      </c>
      <c r="B31151">
        <f>HYPERLINK("https://www.dofusbook.net/fr/equipement/2242386-air-pvm/objets", "link")</f>
        <v/>
      </c>
      <c r="C31151" t="n">
        <v>0</v>
      </c>
      <c r="D31151" t="inlineStr">
        <is>
          <t>Manthache; Collier du Valet Veinard; Gant du Valet Veinard; Alliance Gloursonne; Menoture; Couronne d'Allister; Cape Indescriptible; Palmes Trithons; Remueur; Cascadeur majeur; Nomade</t>
        </is>
      </c>
    </row>
    <row r="31152">
      <c r="A31152" t="inlineStr">
        <is>
          <t>TerreAir</t>
        </is>
      </c>
      <c r="B31152">
        <f>HYPERLINK("https://www.dofusbook.net/fr/equipement/2212604-terreair/objets", "link")</f>
        <v/>
      </c>
      <c r="C31152" t="n">
        <v>0</v>
      </c>
      <c r="D31152" t="inlineStr">
        <is>
          <t>Héqache; Amulette du Strigide; Alliance Gloursonne; Anneau de la Fuji Givrefoux; Bouclier Taverne; Ceinture du Strigide; Coiffe de la Fuji Givrefoux; Cape de la Fuji Givrefoux; Bottes du Strigide; Dofus Pourpre; Dofus des Glaces; Dofus Turquoise; Dofus Abyssal; Dolmanax; Dofus Ocre; Kramkram</t>
        </is>
      </c>
    </row>
    <row r="31153">
      <c r="A31153" t="inlineStr">
        <is>
          <t>Terre/air</t>
        </is>
      </c>
      <c r="B31153">
        <f>HYPERLINK("https://www.dofusbook.net/fr/equipement/2173936-terre-air/objets", "link")</f>
        <v/>
      </c>
      <c r="C31153" t="n">
        <v>0</v>
      </c>
      <c r="D31153" t="inlineStr">
        <is>
          <t>Héqache; Amulette du Strigide; Alliance Gloursonne; Anneau Chevelu; Ceintacé; Coiffe de la Fuji Givrefoux; Voile d'encre; Bottes du Strigide</t>
        </is>
      </c>
    </row>
    <row r="31154">
      <c r="A31154" t="inlineStr">
        <is>
          <t>foene terre</t>
        </is>
      </c>
      <c r="B31154">
        <f>HYPERLINK("https://www.dofusbook.net/fr/equipement/2136065-foene-terre/objets", "link")</f>
        <v/>
      </c>
      <c r="C31154" t="n">
        <v>0</v>
      </c>
      <c r="D31154" t="inlineStr">
        <is>
          <t>Dagues de Srambad; Amulette du Strigide; Anneau Chevelu; Alliance Gloursonne; Ceinture de la Reine des Voleurs; Coiffe de la Reine des Voleurs; Voile d'encre; Sabots Minables; Dofus Pourpre; Dofus des Glaces; Dolmanax; Carapace Neutre majeur; Miraculé majeur; Remueur; Muldo Ebène et Orchidée</t>
        </is>
      </c>
    </row>
    <row r="31155">
      <c r="A31155" t="inlineStr">
        <is>
          <t>Rdv</t>
        </is>
      </c>
      <c r="B31155">
        <f>HYPERLINK("https://www.dofusbook.net/fr/equipement/2136020-rdv/objets", "link")</f>
        <v/>
      </c>
      <c r="C31155" t="n">
        <v>0</v>
      </c>
      <c r="D31155" t="inlineStr">
        <is>
          <t>Amulette Luminescente; Anneau Chevelu; Alliance Gloursonne; Ceinture de la Reine des Voleurs; Casque Dragoeuf; Voile d'encre; Bottes de la Reine des Voleurs; Dofus Pourpre; Dofus Ocre; Dolmanax; Dofus Émeraude; Remueur; Miraculé majeur; Muldo Ebène et Orchidée</t>
        </is>
      </c>
    </row>
    <row r="31156">
      <c r="A31156" t="inlineStr">
        <is>
          <t>Air tard</t>
        </is>
      </c>
      <c r="B31156">
        <f>HYPERLINK("https://www.dofusbook.net/fr/equipement/2095809-air-tard/objets", "link")</f>
        <v/>
      </c>
      <c r="C31156" t="n">
        <v>0</v>
      </c>
      <c r="D31156" t="inlineStr">
        <is>
          <t>Manthache; Collier du Valet Veinard; Anneau d'Allister; Gant du Valet Veinard; Bouclier du Stalak; Ceinture Billonnante; Couronne d'Allister; Cape du Valet Veinard; Bottes d'Allister; Dofus des Glaces; Dofus Abyssal; Dofus Ivoire; Dofus Pourpre; Dofus Ocre; Robuste majeur; Muldo Ebène et Orchidée</t>
        </is>
      </c>
    </row>
    <row r="31157">
      <c r="A31157" t="inlineStr">
        <is>
          <t>Mono terre</t>
        </is>
      </c>
      <c r="B31157">
        <f>HYPERLINK("https://www.dofusbook.net/fr/equipement/2095723-mono-terre-/objets", "link")</f>
        <v/>
      </c>
      <c r="C31157" t="n">
        <v>1</v>
      </c>
      <c r="D31157" t="inlineStr">
        <is>
          <t>Bêche Asse; Collier de Tourthon; Anneau Crustique; Bague Gloursonne; Bouclier du Stalak; Ceinture de Brouce; Coiffe du Comte Harebourg; Dofusteuse; Bottes de Brouce; Dofus Ocre; Dofus Pourpre; Enragé majeur; Robuste majeur; Remueur; Forcené majeur; Kompost</t>
        </is>
      </c>
    </row>
    <row r="31158">
      <c r="A31158" t="inlineStr">
        <is>
          <t>Eau/air</t>
        </is>
      </c>
      <c r="B31158">
        <f>HYPERLINK("https://www.dofusbook.net/fr/equipement/1973603-eau-air/objets", "link")</f>
        <v/>
      </c>
      <c r="C31158" t="n">
        <v>0</v>
      </c>
      <c r="D31158" t="inlineStr">
        <is>
          <t>Arc de Koutoulou; Amulette du Strigide; Alliance Gloursonne; Bracelet du Piloztère; Ceintacé; Némès de Tal Kasha; Chevelure de Tal Kasha; Bottes de la Reine des Voleurs; Dofus Ocre; Dofus des Glaces; Dofus Pourpre; Dofus Abyssal; Dofus Turquoise; Dolmanax</t>
        </is>
      </c>
    </row>
    <row r="31159">
      <c r="A31159" t="inlineStr">
        <is>
          <t>Do Pou</t>
        </is>
      </c>
      <c r="B31159">
        <f>HYPERLINK("https://www.dofusbook.net/fr/equipement/1946876-do-pou/objets", "link")</f>
        <v/>
      </c>
      <c r="C31159" t="n">
        <v>0</v>
      </c>
      <c r="D31159" t="inlineStr">
        <is>
          <t>Héqache; Amulette Luminescente; Bague Trithon; Alliance Gloursonne; Bouclier précieux; Sangle Ouare; Masque d'Anerice; Cape d'Anerice; Sabots Minables; Dofus Émeraude; Bousculeur majeur; Remueur; Culbuteur majeur; Miraculé majeur; Pousseur majeur; Muldo Ebène et Orchidée</t>
        </is>
      </c>
    </row>
    <row r="31160">
      <c r="A31160" t="inlineStr">
        <is>
          <t>do Pou</t>
        </is>
      </c>
      <c r="B31160">
        <f>HYPERLINK("https://www.dofusbook.net/fr/equipement/1946559-do-pou/objets", "link")</f>
        <v/>
      </c>
      <c r="C31160" t="n">
        <v>0</v>
      </c>
      <c r="D31160" t="inlineStr">
        <is>
          <t>Arc du Chalœil; Amulette Luminescente; Anneau Chevelu; Bague Trithon; Bouclier précieux; Sangle Ouare; Masque d'Anerice; Cape d'Anerice; Sabots Minables; Dofus Émeraude; Miraculé majeur; Remueur; Culbuteur majeur; Bousculeur majeur; Pousseur majeur; Kafarce</t>
        </is>
      </c>
    </row>
    <row r="31161">
      <c r="A31161" t="inlineStr">
        <is>
          <t>feu cac soin</t>
        </is>
      </c>
      <c r="B31161">
        <f>HYPERLINK("https://www.dofusbook.net/fr/equipement/1946579-feu-cac-soin/objets", "link")</f>
        <v/>
      </c>
      <c r="C31161" t="n">
        <v>0</v>
      </c>
      <c r="D31161" t="inlineStr">
        <is>
          <t>Baguette de Malléfisk; Pendentif mignon de Koutoulou; Anneauræus; Anneau Tique; Carapar; Ceinture de Gein; Casque Cyclopéen; Voile d'encre; Bottes Innommables; Dofus Pourpre; Dofus Ocre; Miraculé majeur; Remueur; Carapace Neutre majeur; Érudit majeur; Muldo Orchidée et Pourpre</t>
        </is>
      </c>
    </row>
    <row r="31162">
      <c r="A31162" t="inlineStr">
        <is>
          <t>Feu cac soin 2</t>
        </is>
      </c>
      <c r="B31162">
        <f>HYPERLINK("https://www.dofusbook.net/fr/equipement/1946548-feu-cac-soin-2/objets", "link")</f>
        <v/>
      </c>
      <c r="C31162" t="n">
        <v>0</v>
      </c>
      <c r="D31162" t="inlineStr">
        <is>
          <t>Baguette de Malléfisk; Pendentif affamé; Anneau Tique; Anneauræus; Bouclier du Stalak; Ceinture de Gein; Casque Dragoeuf; Cape de Diondin; Bottes Innommables; Dolmanax; Dofus Pourpre; Miraculé majeur; Érudit majeur; Nomade; Remueur; Muldo Orchidée et Pourpre</t>
        </is>
      </c>
    </row>
    <row r="31163">
      <c r="A31163" t="inlineStr">
        <is>
          <t>terre/feu/air</t>
        </is>
      </c>
      <c r="B31163">
        <f>HYPERLINK("https://www.dofusbook.net/fr/equipement/1925229-terre-feu-air/objets", "link")</f>
        <v/>
      </c>
      <c r="C31163" t="n">
        <v>0</v>
      </c>
      <c r="D31163" t="inlineStr">
        <is>
          <t>Marteau de Katrepat; Amulette du Strigide; Alliance Gloursonne; Bracelet du Piloztère; Quatre-feuilles; Ceinture du Strigide; Chapeau de Gein; Voile d'encre; Baleinabottes; Dofus Turquoise; Vigoureux majeur; Remueur; Cascadeur majeur; Enragé majeur; Nomade; Kramkram</t>
        </is>
      </c>
    </row>
    <row r="31164">
      <c r="A31164" t="inlineStr">
        <is>
          <t>Feu PvM</t>
        </is>
      </c>
      <c r="B31164">
        <f>HYPERLINK("https://www.dofusbook.net/fr/equipement/76083-feu-pvm/objets", "link")</f>
        <v/>
      </c>
      <c r="C31164" t="n">
        <v>0</v>
      </c>
      <c r="D31164" t="inlineStr">
        <is>
          <t>Arc Hétype; Pendentif affamé; Anneau Tamie; Bague Gloursonne; Bouclier du Stalak; Ceinture Séculaire; Coiffe Séculaire; Voile d'encre; Pataugastrique; Dofus Ocre; Dofus des Glaces; Astucieux majeur; Nomade; Saccageur Feu majeur; Érudit majeur; Brûlih</t>
        </is>
      </c>
    </row>
    <row r="31165">
      <c r="A31165" t="inlineStr">
        <is>
          <t>Air PvM</t>
        </is>
      </c>
      <c r="B31165">
        <f>HYPERLINK("https://www.dofusbook.net/fr/equipement/76082-air-pvm/objets", "link")</f>
        <v/>
      </c>
      <c r="C31165" t="n">
        <v>0</v>
      </c>
      <c r="D31165" t="inlineStr">
        <is>
          <t>Manthache; Collier du Valet Veinard; Alliance Gloursonne; Gant du Valet Veinard; Bouclier du Stalak; Menoture; Couronne d'Allister; Cape Indescriptible; Palmes Trithons; Dofus des Glaces; Dofus Ocre; Acrobate majeur; Saccageur Air majeur; Cascadeur majeur; Equilibriste majeur; Siroko</t>
        </is>
      </c>
    </row>
    <row r="31166">
      <c r="A31166" t="inlineStr">
        <is>
          <t>Test</t>
        </is>
      </c>
      <c r="B31166">
        <f>HYPERLINK("https://www.dofusbook.net/fr/equipement/1892268-test/objets", "link")</f>
        <v/>
      </c>
      <c r="C31166" t="n">
        <v>0</v>
      </c>
      <c r="D31166" t="inlineStr">
        <is>
          <t>Marteau R'ture; Amulette du Strigide; Anneau Chevelu; Bague Gloursonne; Quatre-feuilles; Ceintacé; Casque Dragoeuf; Voile d'encre; Bottes du Strigide; Dofus Pourpre; Dofus Turquoise; Dofus Abyssal; Dofus des Glaces; Dofus Ocre; Vigoureux majeur; Muldo Orchidée et Pourpre</t>
        </is>
      </c>
    </row>
    <row r="31167">
      <c r="A31167" t="inlineStr">
        <is>
          <t>dopou</t>
        </is>
      </c>
      <c r="B31167">
        <f>HYPERLINK("https://www.dofusbook.net/fr/equipement/1842206-dopou/objets", "link")</f>
        <v/>
      </c>
      <c r="C31167" t="n">
        <v>0</v>
      </c>
      <c r="D31167" t="inlineStr">
        <is>
          <t>Héqache; Torquistik; Bague Instable; Bague Trithon; Ceintacé; Casque Dragoeuf; Voile d'encre; Bottistik; Dofus Pourpre; Dofus Ocre; Dofus Émeraude; Culbuteur majeur; Enragé majeur; Bousculeur majeur; Muldo Ebène et Pourpre</t>
        </is>
      </c>
    </row>
    <row r="31168">
      <c r="A31168" t="inlineStr">
        <is>
          <t>Stuff 2</t>
        </is>
      </c>
      <c r="B31168">
        <f>HYPERLINK("https://www.dofusbook.net/fr/equipement/76080-stuff-2/objets", "link")</f>
        <v/>
      </c>
      <c r="C31168" t="n">
        <v>0</v>
      </c>
      <c r="D31168" t="inlineStr">
        <is>
          <t>Dagues de Srambad; Amulette Luminescente; Alliance Gloursonne; Anneau Crustique; Sept ans de malheur; Ceinture de la Reine des Voleurs; Coiffe de la Reine des Voleurs; Voile d'encre; Pataugastrique; Dofus Abyssal; Dofus Émeraude; Dolmanax; Étourdisseur majeur; Remueur; Carapace Eau majeur</t>
        </is>
      </c>
    </row>
    <row r="31169">
      <c r="A31169" t="inlineStr">
        <is>
          <t>Multi</t>
        </is>
      </c>
      <c r="B31169">
        <f>HYPERLINK("https://www.dofusbook.net/fr/equipement/1828522-multi/objets", "link")</f>
        <v/>
      </c>
      <c r="C31169" t="n">
        <v>0</v>
      </c>
      <c r="D31169" t="inlineStr">
        <is>
          <t>Dagues Érhy; Amulette du Strigide; Alliance Gloursonne; Bague Gloursonne; Quatre-feuilles; Ceinture du Strigide; Casque Dragoeuf; Voile d'encre; Bottes du Strigide; Dofus Turquoise; Dofus Abyssal; Dolmanax; Dofus Ocre; Dofus Pourpre; Dofus des Glaces; Muldo Doré et Pourpre</t>
        </is>
      </c>
    </row>
    <row r="31170">
      <c r="A31170" t="inlineStr">
        <is>
          <t>Eau/fuite</t>
        </is>
      </c>
      <c r="B31170">
        <f>HYPERLINK("https://www.dofusbook.net/fr/equipement/1827770-eau-fuite/objets", "link")</f>
        <v/>
      </c>
      <c r="C31170" t="n">
        <v>0</v>
      </c>
      <c r="D31170" t="inlineStr">
        <is>
          <t>Sceptre du Roi Joueur; Amulette de Shokkoth; Bracelet des Fonds marins; Alliance Gloursonne; Bouclier du Stalak; Poulpagne; Casque Dragoeuf; Cape du Sinistrofu; Bottes du Sinistrofu; Dofus Ivoire; Dofus Abyssal; Évasif majeur; Chanceux majeur; Remueur; Miraculé majeur; Muldo Ebène et Indigo</t>
        </is>
      </c>
    </row>
    <row r="31171">
      <c r="A31171" t="inlineStr">
        <is>
          <t>Po Cher</t>
        </is>
      </c>
      <c r="B31171">
        <f>HYPERLINK("https://www.dofusbook.net/fr/equipement/1826143-po-cher/objets", "link")</f>
        <v/>
      </c>
      <c r="C31171" t="n">
        <v>3</v>
      </c>
      <c r="D31171" t="inlineStr">
        <is>
          <t>Amulette du Strigide; Bague Gloursonne; Alliance de Missiz Frizz; Bivalve; Ceinture du Strigide; Casque de Missiz Frizz; Cape du Professeur Xa; Bottes du Strigide; Dofus Ocre; Dofus Pourpre; Dofus Turquoise; Forcené majeur; Puissant majeur; Voyageur; Kwaltess</t>
        </is>
      </c>
    </row>
    <row r="31172">
      <c r="A31172" t="inlineStr">
        <is>
          <t>Stuff 3</t>
        </is>
      </c>
      <c r="B31172">
        <f>HYPERLINK("https://www.dofusbook.net/fr/equipement/76030-stuff-3/objets", "link")</f>
        <v/>
      </c>
      <c r="C31172" t="n">
        <v>0</v>
      </c>
      <c r="D31172" t="inlineStr">
        <is>
          <t>Dagues Érhy; Amulette du Strigide; Anneau Chevelu; Bague Gloursonne; Quatre-feuilles; Ceintacé; Masque de Koutoulou; Voile d'encre; Bottes du Strigide; Dofus Pourpre; Dofus Turquoise; Dofus Ocre; Dolmanax; Dofus Abyssal; Enragé majeur; Muldo Indigo et Pourpre</t>
        </is>
      </c>
    </row>
    <row r="31173">
      <c r="A31173" t="inlineStr">
        <is>
          <t>Terre/feu</t>
        </is>
      </c>
      <c r="B31173">
        <f>HYPERLINK("https://www.dofusbook.net/fr/equipement/1823526-terre-feu/objets", "link")</f>
        <v/>
      </c>
      <c r="C31173" t="n">
        <v>1</v>
      </c>
      <c r="D31173" t="inlineStr">
        <is>
          <t>Dagues Érhy; Amulette du Strigide; Bague Gloursonne; Chevalière du Roi Joueur; Quatre-feuilles; Ceinture de Gein; Chapeau de Gein; Voile d'encre; Sabots Minables; Dofus des Glaces; Dofus Pourpre; Dofus Abyssal; Dofus Turquoise; Dofus Ocre; Dolmanax; Muldo Pourpre</t>
        </is>
      </c>
    </row>
    <row r="31174">
      <c r="A31174" t="inlineStr">
        <is>
          <t>Anerice</t>
        </is>
      </c>
      <c r="B31174">
        <f>HYPERLINK("https://www.dofusbook.net/fr/equipement/1821626-anerice-/objets", "link")</f>
        <v/>
      </c>
      <c r="C31174" t="n">
        <v>0</v>
      </c>
      <c r="D31174" t="inlineStr">
        <is>
          <t>Marteau de Katrepat; Amulette du Strigide; Bague Gloursonne; Alliance Gloursonne; Quatre-feuilles; Ceintacé; Masque d'Anerice; Cape d'Anerice; Bottes du Strigide; Dofus des Glaces; Dofus Ocre; Dofus Pourpre; Dolmanax; Dofus Turquoise; Dofus Abyssal; Muldo Doré et Pourpre</t>
        </is>
      </c>
    </row>
    <row r="31175">
      <c r="A31175" t="inlineStr">
        <is>
          <t>Gein</t>
        </is>
      </c>
      <c r="B31175">
        <f>HYPERLINK("https://www.dofusbook.net/fr/equipement/1821374-gein/objets", "link")</f>
        <v/>
      </c>
      <c r="C31175" t="n">
        <v>0</v>
      </c>
      <c r="D31175" t="inlineStr">
        <is>
          <t>Dagues Érhy; Amulette du Strigide; Anneau Chevelu; Bague Gloursonne; Quatre-feuilles; Ceintacé; Chapeau de Gein; Voile d'encre; Bottes du Strigide; Dofus Pourpre; Dofus Abyssal; Dofus Turquoise; Dofus Ocre; Carapace Feu majeur; Enragé majeur; Muldo Orchidée et Pourpre</t>
        </is>
      </c>
    </row>
    <row r="31176">
      <c r="A31176" t="inlineStr">
        <is>
          <t>Tank/ceinture Classe</t>
        </is>
      </c>
      <c r="B31176">
        <f>HYPERLINK("https://www.dofusbook.net/fr/equipement/1812218-tank-ceinture-classe/objets", "link")</f>
        <v/>
      </c>
      <c r="C31176" t="n">
        <v>0</v>
      </c>
      <c r="D31176" t="inlineStr">
        <is>
          <t>Manthache; Collier du Valet Veinard; Alliance Gloursonne; Gant du Valet Veinard; Sept ans de malheur; Ceinture Billonnante; Casque Dragoeuf; Cape d'Anerice; Palmes Trithons; Dofus Ocre; Dofus Abyssal; Carapace Feu majeur; Miraculé majeur; Cascadeur majeur; Remueur; Muldo Ebène</t>
        </is>
      </c>
    </row>
    <row r="31177">
      <c r="A31177" t="inlineStr">
        <is>
          <t>Marteau Kat</t>
        </is>
      </c>
      <c r="B31177">
        <f>HYPERLINK("https://www.dofusbook.net/fr/equipement/1795580-marteau-kat/objets", "link")</f>
        <v/>
      </c>
      <c r="C31177" t="n">
        <v>0</v>
      </c>
      <c r="D31177" t="inlineStr">
        <is>
          <t>Marteau de Katrepat; Amulette du Strigide; Anneau Chevelu; Alliance Gloursonne; Bouclier Taverne; Ceintacé; Chapeau de Gein; Voile d'encre; Bottes du Strigide; Dofus Pourpre; Dofus Turquoise; Dofus Abyssal; Dofus Ocre; Dofus des Glaces; Muldo Ebène et Orchidée</t>
        </is>
      </c>
    </row>
    <row r="31178">
      <c r="A31178" t="inlineStr">
        <is>
          <t>taper</t>
        </is>
      </c>
      <c r="B31178">
        <f>HYPERLINK("https://www.dofusbook.net/fr/equipement/1672524-taper/objets", "link")</f>
        <v/>
      </c>
      <c r="C31178" t="n">
        <v>0</v>
      </c>
      <c r="D31178" t="inlineStr">
        <is>
          <t>Hache Téroïde; Amulette du Strigide; Anneau Chevelu; Alliance Gloursonne; Bouclier Taverne; Ceinture de Gein; Chapeau de Gein; Voile d'encre; Sabots Minables; Dofus Turquoise; Dofus des Glaces; Dofus Abyssal; Dofus Pourpre; Dofus Ocre; Évasif majeur; Muldo Ebène et Pourpre</t>
        </is>
      </c>
    </row>
    <row r="31179">
      <c r="A31179" t="inlineStr">
        <is>
          <t>Destin</t>
        </is>
      </c>
      <c r="B31179">
        <f>HYPERLINK("https://www.dofusbook.net/fr/equipement/1774668-destin/objets", "link")</f>
        <v/>
      </c>
      <c r="C31179" t="n">
        <v>0</v>
      </c>
      <c r="D31179" t="inlineStr">
        <is>
          <t>Baguette Range; Amulette du Strigide; Alliance Gloursonne; Anneau de Padgref; Quatre-feuilles; Ceinture du Strigide; Coiffe de Padgref; Voile d'encre; Getas de Padgref; Dofus Pourpre; Dolmanax; Dofus Turquoise; Dofus des Glaces; Dofus Ocre; Dofus Abyssal; Muldo Ebène et Pourpre</t>
        </is>
      </c>
    </row>
    <row r="31180">
      <c r="A31180" t="inlineStr">
        <is>
          <t>Feuuuuu</t>
        </is>
      </c>
      <c r="B31180">
        <f>HYPERLINK("https://www.dofusbook.net/fr/equipement/1774650-feuuuuu/objets", "link")</f>
        <v/>
      </c>
      <c r="C31180" t="n">
        <v>1</v>
      </c>
      <c r="D31180" t="inlineStr">
        <is>
          <t>Baguette Range; Amulette du Strigide; Anneau Tique; Alliance Gloursonne; Quatre-feuilles; Ceintacé; Coiffe de Padgref; Voile d'encre; Getas de Padgref; Dofus Ocre; Dofus Abyssal; Dofus Pourpre; Dolmanax; Dofus Turquoise; Dofus des Glaces; Muldo Orchidée et Pourpre</t>
        </is>
      </c>
    </row>
    <row r="31181">
      <c r="A31181" t="inlineStr">
        <is>
          <t>Retsecond</t>
        </is>
      </c>
      <c r="B31181">
        <f>HYPERLINK("https://www.dofusbook.net/fr/equipement/1770969-retsecond/objets", "link")</f>
        <v/>
      </c>
      <c r="C31181" t="n">
        <v>0</v>
      </c>
      <c r="D31181" t="inlineStr">
        <is>
          <t>Héqache; Amulette du Strigide; Alliance Gloursonne; Anneau Crustique; Sept ans de malheur; Ceintouse; Masque d'Anerice; Cape d'Anerice; Baleinabottes; Dofus Abyssal; Obstructeur majeur; Remueur; Étourdisseur majeur; Paralyseur majeur; Muldo Roux et Ebène</t>
        </is>
      </c>
    </row>
    <row r="31182">
      <c r="A31182" t="inlineStr">
        <is>
          <t>Stuff 3</t>
        </is>
      </c>
      <c r="B31182">
        <f>HYPERLINK("https://www.dofusbook.net/fr/equipement/76048-stuff-3/objets", "link")</f>
        <v/>
      </c>
      <c r="C31182" t="n">
        <v>0</v>
      </c>
      <c r="D31182" t="inlineStr">
        <is>
          <t>Manthache; Collier du Valet Veinard; Gant du Valet Veinard; Alliance Gloursonne; Sept ans de malheur; Menoture; Casque Dragoeuf; Chevelure de Tal Kasha; Palmes Trithons; Étourdisseur majeur; Remueur; Nomade; Carapace Neutre majeur; Cascadeur majeur; Muldo Ebène et Orchidée</t>
        </is>
      </c>
    </row>
    <row r="31183">
      <c r="A31183" t="inlineStr">
        <is>
          <t>RetdeCoN</t>
        </is>
      </c>
      <c r="B31183">
        <f>HYPERLINK("https://www.dofusbook.net/fr/equipement/1663472-retdecon/objets", "link")</f>
        <v/>
      </c>
      <c r="C31183" t="n">
        <v>0</v>
      </c>
      <c r="D31183" t="inlineStr">
        <is>
          <t>Hache Ériphe; Amulette du Strigide; Anneau Crustique; Alliance Gloursonne; Sept ans de malheur; Ceintouse; Masque d'Anerice; Cape d'Anerice; Baleinabottes; Dofus Abyssal; Étourdisseur majeur; Paralyseur majeur; Obstructeur majeur; Remueur; Muldo Indigo et Orchidée</t>
        </is>
      </c>
    </row>
    <row r="31184">
      <c r="A31184" t="inlineStr">
        <is>
          <t>vuvu-hetyyype</t>
        </is>
      </c>
      <c r="B31184">
        <f>HYPERLINK("https://www.dofusbook.net/fr/equipement/1737688-vuvu-hetyyype/objets", "link")</f>
        <v/>
      </c>
      <c r="C31184" t="n">
        <v>0</v>
      </c>
      <c r="D31184" t="inlineStr">
        <is>
          <t>Arc Hétype; Amulette de Nileza; Anneauræus; Alliance Gloursonne; Carapar; Ceinture Séculaire; Casque Cyclopéen; Voile d'encre; Pataugastrique; Dolmanax; Dofus Ocre; Érudit majeur; Miraculé majeur; Muldo Indigo et Pourpre</t>
        </is>
      </c>
    </row>
    <row r="31185">
      <c r="A31185" t="inlineStr">
        <is>
          <t>ret</t>
        </is>
      </c>
      <c r="B31185">
        <f>HYPERLINK("https://www.dofusbook.net/fr/equipement/1717583-ret/objets", "link")</f>
        <v/>
      </c>
      <c r="C31185" t="n">
        <v>0</v>
      </c>
      <c r="D31185" t="inlineStr">
        <is>
          <t>Baguette Hique; Amulette du Glourséleste; Pikano; Anneau Stalgik; Ceinture Instable; Coiffe d'Ogivol; Cape de Léthaline; Pantoufles Émar</t>
        </is>
      </c>
    </row>
    <row r="31186">
      <c r="A31186" t="inlineStr">
        <is>
          <t>FeuPvM</t>
        </is>
      </c>
      <c r="B31186">
        <f>HYPERLINK("https://www.dofusbook.net/fr/equipement/1708787-feupvm/objets", "link")</f>
        <v/>
      </c>
      <c r="C31186" t="n">
        <v>0</v>
      </c>
      <c r="D31186" t="inlineStr">
        <is>
          <t>Arc Hétype; Amulette d'Otomaï; Alliance Gloursonne; Anneau Tique; Bivalve; Ceinture Séculaire; Coiffe Séculaire; Voile d'encre; Pataugastrique; Nomade; Remueur; Érudit majeur; Kramkram</t>
        </is>
      </c>
    </row>
    <row r="31187">
      <c r="A31187" t="inlineStr">
        <is>
          <t>Feu</t>
        </is>
      </c>
      <c r="B31187">
        <f>HYPERLINK("https://www.dofusbook.net/fr/equipement/1371037-feu/objets", "link")</f>
        <v/>
      </c>
      <c r="C31187" t="n">
        <v>0</v>
      </c>
      <c r="D31187" t="inlineStr">
        <is>
          <t>Harpelle; Amulette Cryochrone; Anneau Tique; Bague Gloursonne; Bouclier d'Anerice; Ceinture Séculaire; Coiffe Séculaire; Cape de Diondin; Pataugastrique; Miraculé majeur; Nomade; Obstructeur majeur; Astucieux majeur; Remueur; Érudit majeur; Blokus</t>
        </is>
      </c>
    </row>
    <row r="31188">
      <c r="A31188" t="inlineStr">
        <is>
          <t>Stuff 2</t>
        </is>
      </c>
      <c r="B31188">
        <f>HYPERLINK("https://www.dofusbook.net/fr/equipement/76035-stuff-2/objets", "link")</f>
        <v/>
      </c>
      <c r="C31188" t="n">
        <v>0</v>
      </c>
      <c r="D31188" t="inlineStr">
        <is>
          <t>Bâton Fracass; Amulette du Glourséleste; Anneau Stalgik; Pikano; Bouclier du serrurier; Ceinture Instable; Casquipik; Cape de Léthaline; Pantoufles Émar; Dofus Ocre; Fonceur majeur; Entraveur majeur; Ralentisseur majeur; Temporiseur majeur; Temporiseur; Kwaltess</t>
        </is>
      </c>
    </row>
    <row r="31189">
      <c r="A31189" t="inlineStr">
        <is>
          <t>lol</t>
        </is>
      </c>
      <c r="B31189">
        <f>HYPERLINK("https://www.dofusbook.net/fr/equipement/1672643-lol/objets", "link")</f>
        <v/>
      </c>
      <c r="C31189" t="n">
        <v>0</v>
      </c>
      <c r="D31189" t="inlineStr">
        <is>
          <t>Dagues Érhy; Amulette du Strigide; Alliance de Missiz Frizz; Bague Gloursonne; Quatre-feuilles; Ceinture du Strigide; Casque de Missiz Frizz; Voile d'encre; Bottes du Strigide; Dofus Pourpre; Dofus Ocre; Dofus Turquoise; Dofus des Glaces; Dofus Vulbis; Dofus Nébuleux; Dragodinde en armure</t>
        </is>
      </c>
    </row>
    <row r="31190">
      <c r="A31190" t="inlineStr">
        <is>
          <t>pusss</t>
        </is>
      </c>
      <c r="B31190">
        <f>HYPERLINK("https://www.dofusbook.net/fr/equipement/1633311-pusss/objets", "link")</f>
        <v/>
      </c>
      <c r="C31190" t="n">
        <v>0</v>
      </c>
      <c r="D31190" t="inlineStr">
        <is>
          <t>Epée Kari; Amulette du Strigide; Anneau de Padgref; Bracelet du Piloztère; Quatre-feuilles; Ceintacé; Maskrobe; Cape Reski; Bottes du Strigide; Dofus Pourpre; Dofus Turquoise; Dolmanax; Dofus des Glaces; Vigoureux majeur; Remueur; Muldo Prune et Doré</t>
        </is>
      </c>
    </row>
    <row r="31191">
      <c r="A31191" t="inlineStr">
        <is>
          <t>eau-air2</t>
        </is>
      </c>
      <c r="B31191">
        <f>HYPERLINK("https://www.dofusbook.net/fr/equipement/1615589-eau-air2/objets", "link")</f>
        <v/>
      </c>
      <c r="C31191" t="n">
        <v>0</v>
      </c>
      <c r="D31191" t="inlineStr">
        <is>
          <t>Marteau des Anciens Steamers; Amulette du Strigide; Alliance Gloursonne; Anneau Tique; Ceinture du Barbétoal; Casque Dragoeuf; Chevelure de Tal Kasha; Bottes de la Reine des Voleurs; Dolmanax; Dofus Pourpre; Dofus des Glaces; Dofus Ocre; Vigoureux majeur</t>
        </is>
      </c>
    </row>
    <row r="31192">
      <c r="A31192" t="inlineStr">
        <is>
          <t>Eau-Air</t>
        </is>
      </c>
      <c r="B31192">
        <f>HYPERLINK("https://www.dofusbook.net/fr/equipement/1613291-eau-air/objets", "link")</f>
        <v/>
      </c>
      <c r="C31192" t="n">
        <v>0</v>
      </c>
      <c r="D31192" t="inlineStr">
        <is>
          <t>Marteau des Anciens Steamers; Amulette du Strigide; Anneau Tique; Alliance Gloursonne; Ceintacé; Casque Dragoeuf; Chevelure de Tal Kasha; Bottes du Strigide; Dofus Pourpre; Dolmanax; Dofus Turquoise; Dofus Ocre; Vigoureux majeur; Muldo Prune et Doré</t>
        </is>
      </c>
    </row>
    <row r="31193">
      <c r="A31193" t="inlineStr">
        <is>
          <t>Duo</t>
        </is>
      </c>
      <c r="B31193">
        <f>HYPERLINK("https://www.dofusbook.net/fr/equipement/1531172-duo/objets", "link")</f>
        <v/>
      </c>
      <c r="C31193" t="n">
        <v>2</v>
      </c>
      <c r="D31193" t="inlineStr">
        <is>
          <t>Rapière aux Glyphes; Talisman Igans; Bracelet des Fonds marins; Alliance Gloursonne; Bouclier précieux; Sangle Huée; Kidibonnet; Cape du Sinistrofu; Bottes du Sinistrofu; Dofus Émeraude; Dofus Abyssal; Dofus Ocre; Miraculé majeur; Carapace Neutre majeur; Muldo Ebène et Indigo</t>
        </is>
      </c>
    </row>
    <row r="31194">
      <c r="A31194" t="inlineStr">
        <is>
          <t>Duo</t>
        </is>
      </c>
      <c r="B31194">
        <f>HYPERLINK("https://www.dofusbook.net/fr/equipement/1531407-duo/objets", "link")</f>
        <v/>
      </c>
      <c r="C31194" t="n">
        <v>0</v>
      </c>
      <c r="D31194" t="inlineStr">
        <is>
          <t>Epée Gloursonne; Amulette du Strigide; Bague Gloursonne; Alliance Gloursonne; Bouclier du Stalak; Ceinture du Strigide; Chapeau des Malveilleurs; Cape des Malveilleurs; Bottes du Strigide; Dofus Pourpre; Dofus Ocre; Dofus Turquoise; Dofus des Glaces; Dolmanax; Puissant majeur; Muldo Prune et Doré</t>
        </is>
      </c>
    </row>
    <row r="31195">
      <c r="A31195" t="inlineStr">
        <is>
          <t>terre</t>
        </is>
      </c>
      <c r="B31195">
        <f>HYPERLINK("https://www.dofusbook.net/fr/equipement/1528242-terre/objets", "link")</f>
        <v/>
      </c>
      <c r="C31195" t="n">
        <v>0</v>
      </c>
      <c r="D31195" t="inlineStr">
        <is>
          <t>Amulette du Strigide; Bague Gloursonne; Anneau Chevelu; Quatre-feuilles; Ceintacé; Masque d'Anerice; Voile d'encre; Bottes du Strigide; Dofus Abyssal; Dofus Pourpre; Enragé majeur; Vigoureux majeur; Remueur; Muldo Orchidée et Pourpre</t>
        </is>
      </c>
    </row>
    <row r="31196">
      <c r="A31196" t="inlineStr">
        <is>
          <t>PandaT/F</t>
        </is>
      </c>
      <c r="B31196">
        <f>HYPERLINK("https://www.dofusbook.net/fr/equipement/76049-pandat-f/objets", "link")</f>
        <v/>
      </c>
      <c r="C31196" t="n">
        <v>0</v>
      </c>
      <c r="D31196" t="inlineStr">
        <is>
          <t>Dagues Érhy; Amulette du Strigide; Alliance Gloursonne; Anneau Chevelu; Quatre-feuilles; Ceintacé; Masque de Koutoulou; Voile d'encre; Bottes du Strigide; Dofus Pourpre; Dolmanax; Dofus Turquoise; Dofus des Glaces; Nomade; Dragodinde en armure</t>
        </is>
      </c>
    </row>
    <row r="31197">
      <c r="A31197" t="inlineStr">
        <is>
          <t>Feu</t>
        </is>
      </c>
      <c r="B31197">
        <f>HYPERLINK("https://www.dofusbook.net/fr/equipement/1504876-feu/objets", "link")</f>
        <v/>
      </c>
      <c r="C31197" t="n">
        <v>0</v>
      </c>
      <c r="D31197" t="inlineStr">
        <is>
          <t>Arc Hétype; Amulette de Nileza; Anneau de Nidas; Bague Gloursonne; Bouclier du Stalak; Ceinture de Gein; Casque Dragoeuf; Bottes Innommables; Dofus Abyssal; Dofus des Glaces; Dofus Ocre; Évasif majeur; Érudit majeur; Muldo Ebène et Orchidée</t>
        </is>
      </c>
    </row>
    <row r="31198">
      <c r="A31198" t="inlineStr">
        <is>
          <t>Feu</t>
        </is>
      </c>
      <c r="B31198">
        <f>HYPERLINK("https://www.dofusbook.net/fr/equipement/1414429-feu/objets", "link")</f>
        <v/>
      </c>
      <c r="C31198" t="n">
        <v>0</v>
      </c>
      <c r="D31198" t="inlineStr">
        <is>
          <t>Baguette de Malléfisk; Pendentif mignon de Koutoulou; Anneau Tique; Anneauræus; Carapar; Protopagne; Casque Dragoeuf; Cape de Diondin; Bottes Innommables; Dofus Abyssal; Dolmanax; Remueur; Observateur; Érudit majeur; Muldo Orchidée et Pourpre</t>
        </is>
      </c>
    </row>
    <row r="31199">
      <c r="A31199" t="inlineStr">
        <is>
          <t>LePetitTheo</t>
        </is>
      </c>
      <c r="B31199">
        <f>HYPERLINK("https://www.dofusbook.net/fr/equipement/1413969-lepetittheo/objets", "link")</f>
        <v/>
      </c>
      <c r="C31199" t="n">
        <v>0</v>
      </c>
      <c r="D31199" t="inlineStr">
        <is>
          <t>Baguette de Malléfisk; Pendentif mignon de Koutoulou; Anneauræus; Anneau Tique; Bouclier précieux; Ceinture de Vortex; Cagoule de Vortex; Cape de Diondin; Bottes Innommables; Dofus Abyssal; Érudit majeur; Remueur; Carapace Neutre majeur; Carapace Feu majeur; Muldo Orchidée et Pourpre</t>
        </is>
      </c>
    </row>
    <row r="31200">
      <c r="A31200" t="inlineStr">
        <is>
          <t>Stuff 1</t>
        </is>
      </c>
      <c r="B31200">
        <f>HYPERLINK("https://www.dofusbook.net/fr/equipement/1388538-stuff-1/objets", "link")</f>
        <v/>
      </c>
      <c r="C31200" t="n">
        <v>0</v>
      </c>
      <c r="D31200" t="inlineStr">
        <is>
          <t>Dagues Érhy; Amulette du Strigide; Alliance Gloursonne; Anneau Crustique; Sept ans de malheur; Ceintouse; Masque de Koutoulou; Voile d'encre; Tentassons; Dofus Pourpre; Carapace Neutre majeur; Enragé majeur; Remueur; Étourdisseur majeur; Muldo Indigo et Orchidée</t>
        </is>
      </c>
    </row>
    <row r="31201">
      <c r="A31201" t="inlineStr">
        <is>
          <t>test2</t>
        </is>
      </c>
      <c r="B31201">
        <f>HYPERLINK("https://www.dofusbook.net/fr/equipement/1351489-test2/objets", "link")</f>
        <v/>
      </c>
      <c r="C31201" t="n">
        <v>0</v>
      </c>
      <c r="D31201" t="inlineStr">
        <is>
          <t>Manthache; Collier du Valet Veinard; Alliance Gloursonne; Gant du Valet Veinard; Bouclier Taverne; Menoture; Casque Dragoeuf; Cape du Kamasterisk; Palmes Trithons; Dofus Abyssal; Dofus des Glaces; Cascadeur majeur; Remueur; Muldo Ebène et Orchidée</t>
        </is>
      </c>
    </row>
    <row r="31202">
      <c r="A31202" t="inlineStr">
        <is>
          <t>Stuff 3</t>
        </is>
      </c>
      <c r="B31202">
        <f>HYPERLINK("https://www.dofusbook.net/fr/equipement/76066-stuff-3/objets", "link")</f>
        <v/>
      </c>
      <c r="C31202" t="n">
        <v>0</v>
      </c>
      <c r="D31202" t="inlineStr">
        <is>
          <t>Manthache; Collier du Valet Veinard; Gant du Valet Veinard; Alliance Gloursonne; Bouclier Taverne; Ceinture du Barbétoal; Casque Dragoeuf; Cape Indescriptible; Palmes Trithons; Dofus des Glaces; Dofus Ocre; Dofus Abyssal; Remueur; Cascadeur majeur; Muldo Ebène et Pourpre</t>
        </is>
      </c>
    </row>
    <row r="31203">
      <c r="A31203" t="inlineStr">
        <is>
          <t>Feu/eau</t>
        </is>
      </c>
      <c r="B31203">
        <f>HYPERLINK("https://www.dofusbook.net/fr/equipement/1299051-feu-eau/objets", "link")</f>
        <v/>
      </c>
      <c r="C31203" t="n">
        <v>0</v>
      </c>
      <c r="D31203" t="inlineStr">
        <is>
          <t>Arc Nécrotique; Collier de la Dame du Hasard; Alliance Gloursonne; Anneau Tique; Poulpagne; Chapeau des Malveilleurs; Voile d'encre; Bottes de la Dame du Hasard; Dolmanax; Dofus des Glaces; Dofus Ocre</t>
        </is>
      </c>
    </row>
    <row r="31204">
      <c r="A31204" t="inlineStr">
        <is>
          <t>Stuff Stri/ceinta</t>
        </is>
      </c>
      <c r="B31204">
        <f>HYPERLINK("https://www.dofusbook.net/fr/equipement/76088-stuff-stri-ceinta/objets", "link")</f>
        <v/>
      </c>
      <c r="C31204" t="n">
        <v>0</v>
      </c>
      <c r="D31204" t="inlineStr">
        <is>
          <t>Dagues Érhy; Amulette du Strigide; Alliance Gloursonne; Anneau Chevelu; Bouclier Taverne; Ceintacé; Chapeau Lisson; Voile d'encre; Bottes du Strigide; Dofus des Glaces; Dofus Émeraude; Dofus Ocre; Dofus Pourpre; Dofus Turquoise; Nomade; Kramkram</t>
        </is>
      </c>
    </row>
    <row r="31205">
      <c r="A31205" t="inlineStr">
        <is>
          <t>Stuff 3</t>
        </is>
      </c>
      <c r="B31205">
        <f>HYPERLINK("https://www.dofusbook.net/fr/equipement/76090-stuff-3/objets", "link")</f>
        <v/>
      </c>
      <c r="C31205" t="n">
        <v>0</v>
      </c>
      <c r="D31205" t="inlineStr">
        <is>
          <t>Dagues Érhy; Amulette du Strigide; Bague Gloursonne; Anneau Chevelu; Ceinture de Gein; Chapeau de Gein; Voile d'encre; Baleinabottes; Dolmanax; Dofus Ocre; Dofus des Glaces; Dofus Vulbis; Dofus Pourpre; Dofus Émeraude</t>
        </is>
      </c>
    </row>
    <row r="31206">
      <c r="A31206" t="inlineStr">
        <is>
          <t>Stuff 1</t>
        </is>
      </c>
      <c r="B31206">
        <f>HYPERLINK("https://www.dofusbook.net/fr/equipement/76085-stuff-1/objets", "link")</f>
        <v/>
      </c>
      <c r="C31206" t="n">
        <v>0</v>
      </c>
      <c r="D31206" t="inlineStr">
        <is>
          <t>Manthache; Collier du Valet Veinard; Gant du Valet Veinard; Alliance Gloursonne; Menoture; Casque Dragoeuf; Cape Indescriptible; Palmes Trithons; Dolmanax; Dofus des Glaces; Remueur; Nomade; Carapace Air majeur; Cascadeur majeur</t>
        </is>
      </c>
    </row>
    <row r="31207">
      <c r="A31207" t="inlineStr">
        <is>
          <t>Stuff 3</t>
        </is>
      </c>
      <c r="B31207">
        <f>HYPERLINK("https://www.dofusbook.net/fr/equipement/76087-stuff-3/objets", "link")</f>
        <v/>
      </c>
      <c r="C31207" t="n">
        <v>0</v>
      </c>
      <c r="D31207" t="inlineStr">
        <is>
          <t>Marteau des Anciens Steamers; Amulette Voldelor; Alliance du Lévitrof; Alliance Gloursonne; Ceintacé; Masque du Barbétoal; Cape du Barbétoal; Bottes de la Reine des Voleurs; Dofus Pourpre; Dofus Turquoise; Nomade; Miraculé majeur; Remueur; Vigoureux majeur</t>
        </is>
      </c>
    </row>
    <row r="31208">
      <c r="A31208" t="inlineStr">
        <is>
          <t>Stuff 2</t>
        </is>
      </c>
      <c r="B31208">
        <f>HYPERLINK("https://www.dofusbook.net/fr/equipement/76089-stuff-2/objets", "link")</f>
        <v/>
      </c>
      <c r="C31208" t="n">
        <v>0</v>
      </c>
      <c r="D31208" t="inlineStr">
        <is>
          <t>Dagues Érhy; Amulette du Strigide; Anneau Chevelu; Alliance Gloursonne; Ceintacé; Chapeau Lisson; Voile d'encre; Bottes du Strigide; Dofus Pourpre; Dofus Émeraude; Dofus des Glaces; Dofus Vulbis; Dofus Ocre; Vigoureux majeur; Kramkram</t>
        </is>
      </c>
    </row>
    <row r="31209">
      <c r="A31209" t="inlineStr">
        <is>
          <t>Stuff 1</t>
        </is>
      </c>
      <c r="B31209">
        <f>HYPERLINK("https://www.dofusbook.net/fr/equipement/76058-stuff-1/objets", "link")</f>
        <v/>
      </c>
      <c r="C31209" t="n">
        <v>0</v>
      </c>
      <c r="D31209" t="inlineStr">
        <is>
          <t>Baguette Range; Amulette du Strigide; Anneau de Padgref; Alliance Gloursonne; Ceinture du Strigide; Coiffe de Padgref; Voile d'encre; Getas de Padgref; Dofus Nébuleux; Dofus Pourpre; Dofus Turquoise; Dolmanax; Dofus Ocre; Dofus des Glaces; Muldo Prune et Emeraude</t>
        </is>
      </c>
    </row>
    <row r="31210">
      <c r="A31210" t="inlineStr">
        <is>
          <t>Stuff 2</t>
        </is>
      </c>
      <c r="B31210">
        <f>HYPERLINK("https://www.dofusbook.net/fr/equipement/76053-stuff-2/objets", "link")</f>
        <v/>
      </c>
      <c r="C31210" t="n">
        <v>0</v>
      </c>
      <c r="D31210" t="inlineStr">
        <is>
          <t>Dagues Érhy; Amulette du Strigide; Alliance Gloursonne; Anneau Chevelu; Ceinture du Strigide; Masque de Koutoulou; Voile d'encre; Bottes de la Cour Sombre; Dofus Turquoise; Dolmanax; Nomade; Remueur; Enragé majeur</t>
        </is>
      </c>
    </row>
    <row r="31211">
      <c r="A31211" t="inlineStr">
        <is>
          <t>Stuff 3</t>
        </is>
      </c>
      <c r="B31211">
        <f>HYPERLINK("https://www.dofusbook.net/fr/equipement/76075-stuff-3/objets", "link")</f>
        <v/>
      </c>
      <c r="C31211" t="n">
        <v>0</v>
      </c>
      <c r="D31211" t="inlineStr">
        <is>
          <t>Dagoulinantes; Amulette du Strigide; Alliance Gloursonne; Bracelet des Fonds marins; Bouclier d'Ilyzaelle; Poulpagne; Casque Dragoeuf; Cape de la Dame du Hasard; Bottes de la Dame du Hasard; Chanceux majeur; Évasif majeur; Miraculé majeur; Remueur; Muldo Ebène et Pourpre</t>
        </is>
      </c>
    </row>
    <row r="31212">
      <c r="A31212" t="inlineStr">
        <is>
          <t>Stuff 2</t>
        </is>
      </c>
      <c r="B31212">
        <f>HYPERLINK("https://www.dofusbook.net/fr/equipement/76038-stuff-2/objets", "link")</f>
        <v/>
      </c>
      <c r="C31212" t="n">
        <v>0</v>
      </c>
      <c r="D31212" t="inlineStr">
        <is>
          <t>Manthache; Collier du Valet Veinard; Gant du Valet Veinard; Alliance Gloursonne; Ceinture du Barbétoal; Casque Dragoeuf; Cape Indescriptible; Palmes Trithons; Dolmanax; Dofus Ocre; Nomade; Carapace Air majeur; Cascadeur majeur; Remueur</t>
        </is>
      </c>
    </row>
    <row r="31213">
      <c r="A31213" t="inlineStr">
        <is>
          <t>Stuff 1</t>
        </is>
      </c>
      <c r="B31213">
        <f>HYPERLINK("https://www.dofusbook.net/fr/equipement/76070-stuff-1/objets", "link")</f>
        <v/>
      </c>
      <c r="C31213" t="n">
        <v>0</v>
      </c>
      <c r="D31213" t="inlineStr">
        <is>
          <t>Baguette de Malléfisk; Amulette de Nileza; Alliance du Lévitrof; Anneau de Nidas; Ceinture Séculaire; Casque Dragoeuf; Voile d'encre; Pataugastrique; Dolmanax; Nomade; Déserteur majeur; Carapace Terre majeur; Érudit majeur; Remueur</t>
        </is>
      </c>
    </row>
    <row r="31214">
      <c r="A31214" t="inlineStr">
        <is>
          <t>Stuff 3</t>
        </is>
      </c>
      <c r="B31214">
        <f>HYPERLINK("https://www.dofusbook.net/fr/equipement/76033-stuff-3/objets", "link")</f>
        <v/>
      </c>
      <c r="C31214" t="n">
        <v>0</v>
      </c>
      <c r="D31214" t="inlineStr">
        <is>
          <t>Marteau des Anciens Steamers; Amulette du Strigide; Alliance Gloursonne; Anneau Tique; Ceintacé; Casque Dragoeuf; Cape du Barbétoal; Bottes du Strigide; Dofus Turquoise; Dofus Pourpre; Solide majeur; Nomade; Remueur; Vigoureux majeur; Kramkram</t>
        </is>
      </c>
    </row>
    <row r="31215">
      <c r="A31215" t="inlineStr">
        <is>
          <t>Stuff 2</t>
        </is>
      </c>
      <c r="B31215">
        <f>HYPERLINK("https://www.dofusbook.net/fr/equipement/76065-stuff-2/objets", "link")</f>
        <v/>
      </c>
      <c r="C31215" t="n">
        <v>0</v>
      </c>
      <c r="D31215" t="inlineStr">
        <is>
          <t>Manthache; Collier du Valet Veinard; Alliance Gloursonne; Gant du Valet Veinard; Ceinture du Barbétoal; Casque Dragoeuf; Cape Indescriptible; Palmes Trithons; Dofus Ocre; Dofus Abyssal; Remueur; Évasif majeur; Cascadeur majeur; Muldo Ebène et Indigo</t>
        </is>
      </c>
    </row>
    <row r="31216">
      <c r="A31216" t="inlineStr">
        <is>
          <t>Stuff 1</t>
        </is>
      </c>
      <c r="B31216">
        <f>HYPERLINK("https://www.dofusbook.net/fr/equipement/76055-stuff-1/objets", "link")</f>
        <v/>
      </c>
      <c r="C31216" t="n">
        <v>0</v>
      </c>
      <c r="D31216" t="inlineStr">
        <is>
          <t>Sabres d'Atcham; Amulette du Strigide; Anneau de Pol Ouatnos; Alliance Gloursonne; Ceinture du Strigide; Casque Cyclopéen; Cape d'Atcham; Sandales  d'Atcham; Dofus des Glaces; Dofus Turquoise; Dofus Ocre; Dolmanax; Dofus Pourpre</t>
        </is>
      </c>
    </row>
    <row r="31217">
      <c r="A31217" t="inlineStr">
        <is>
          <t>Stuff 2</t>
        </is>
      </c>
      <c r="B31217">
        <f>HYPERLINK("https://www.dofusbook.net/fr/equipement/76077-stuff-2/objets", "link")</f>
        <v/>
      </c>
      <c r="C31217" t="n">
        <v>0</v>
      </c>
      <c r="D31217" t="inlineStr">
        <is>
          <t>Arc Hétype; Amulette de Nileza; Anneau de Nidas; Anneau Tique; Ceinture de Gein; Couronne de Nidas; Voile d'encre; Pataugastrique; Vagabond majeur; Nomade; Déserteur majeur; Remueur; Érudit majeur; Temporiseur majeur; Croum</t>
        </is>
      </c>
    </row>
    <row r="31218">
      <c r="A31218" t="inlineStr">
        <is>
          <t>Stuff 1</t>
        </is>
      </c>
      <c r="B31218">
        <f>HYPERLINK("https://www.dofusbook.net/fr/equipement/76040-stuff-1/objets", "link")</f>
        <v/>
      </c>
      <c r="C31218" t="n">
        <v>0</v>
      </c>
      <c r="D31218" t="inlineStr">
        <is>
          <t>Rapière aux Glyphes; Amulette Cryochrone; Bracelet des Fonds marins; Alliance Gloursonne; Poulpagne; Casque Dragoeuf; Cape du Sinistrofu; Sandales des Fonds marins; Dolmanax; Nomade; Fonceur majeur; Remueur; Chanceux majeur; Miraculé majeur; Croum</t>
        </is>
      </c>
    </row>
    <row r="31219">
      <c r="A31219" t="inlineStr">
        <is>
          <t>Stuff 2</t>
        </is>
      </c>
      <c r="B31219">
        <f>HYPERLINK("https://www.dofusbook.net/fr/equipement/76074-stuff-2/objets", "link")</f>
        <v/>
      </c>
      <c r="C31219" t="n">
        <v>0</v>
      </c>
      <c r="D31219" t="inlineStr">
        <is>
          <t>Hache du Chalœil; Amulette du Strigide; Anneau Chevelu; Alliance Gloursonne; Ceintacé; Chapeau de Gein; Voile d'encre; Bottes du Strigide; Dolmanax; Dofus des Glaces; Dofus Pourpre; Remueur; Nomade</t>
        </is>
      </c>
    </row>
    <row r="31220">
      <c r="A31220" t="inlineStr">
        <is>
          <t>Stuff 3</t>
        </is>
      </c>
      <c r="B31220">
        <f>HYPERLINK("https://www.dofusbook.net/fr/equipement/76042-stuff-3/objets", "link")</f>
        <v/>
      </c>
      <c r="C31220" t="n">
        <v>0</v>
      </c>
      <c r="D31220" t="inlineStr">
        <is>
          <t>Rapière aux Glyphes; Amulette de Shokkoth; Alliance Gloursonne; Bracelet des Fonds marins; Poulpagne; Casque Dragoeuf; Cape de Mantaze; Sandales des Fonds marins; Dolmanax; Miraculé majeur; Nomade; Carapace Eau majeur; Remueur; Chanceux majeur</t>
        </is>
      </c>
    </row>
    <row r="31221">
      <c r="A31221" t="inlineStr">
        <is>
          <t>Stuff 3</t>
        </is>
      </c>
      <c r="B31221">
        <f>HYPERLINK("https://www.dofusbook.net/fr/equipement/76069-stuff-3/objets", "link")</f>
        <v/>
      </c>
      <c r="C31221" t="n">
        <v>0</v>
      </c>
      <c r="D31221" t="inlineStr">
        <is>
          <t>Rapière aux Glyphes; Amulette Luminescente; Bague Trithon; Alliance Gloursonne; Sangle Ouare; Masque Trithon; Capchalot; Bottes Owesli; Bousculeur majeur; Carapace Air majeur; Culbuteur majeur; Remueur; Nomade; Miraculé majeur; Bontique</t>
        </is>
      </c>
    </row>
    <row r="31222">
      <c r="A31222" t="inlineStr">
        <is>
          <t>Stuff 1</t>
        </is>
      </c>
      <c r="B31222">
        <f>HYPERLINK("https://www.dofusbook.net/fr/equipement/76037-stuff-1/objets", "link")</f>
        <v/>
      </c>
      <c r="C31222" t="n">
        <v>0</v>
      </c>
      <c r="D31222" t="inlineStr">
        <is>
          <t>Dagues Érhy; Amulette du Strigide; Alliance Gloursonne; Anneau Chevelu; Ceintacé; Casque Dragoeuf; Voile d'encre; Bottes du Strigide; Dolmanax; Dofus Turquoise; Dofus Pourpre; Vigoureux majeur; Enragé majeur; Remueur</t>
        </is>
      </c>
    </row>
    <row r="31223">
      <c r="A31223" t="inlineStr">
        <is>
          <t>Stuff 1</t>
        </is>
      </c>
      <c r="B31223">
        <f>HYPERLINK("https://www.dofusbook.net/fr/equipement/76064-stuff-1/objets", "link")</f>
        <v/>
      </c>
      <c r="C31223" t="n">
        <v>0</v>
      </c>
      <c r="D31223" t="inlineStr">
        <is>
          <t>Hache Ériphe; Amulette du Kamasterisk; Anneau Chevelu; Alliance Gloursonne; Bouclier Taverne; Ceintouse; Casque Dragoeuf; Cape du Kamasterisk; Baleinabottes; Dofus Turquoise; Dofus des Glaces; Dofus Pourpre; Dofus Ocre; Miraculé majeur; Nomade; Dragodinde en armure</t>
        </is>
      </c>
    </row>
    <row r="31224">
      <c r="A31224" t="inlineStr">
        <is>
          <t>Stuff 2</t>
        </is>
      </c>
      <c r="B31224">
        <f>HYPERLINK("https://www.dofusbook.net/fr/equipement/76032-stuff-2/objets", "link")</f>
        <v/>
      </c>
      <c r="C31224" t="n">
        <v>0</v>
      </c>
      <c r="D31224" t="inlineStr">
        <is>
          <t>Sabres d'Atcham; Amulette du Strigide; Alliance Gloursonne; Anneau Tique; Ceintacé; Chapeau des Malveilleurs; Voile d'encre; Bottes du Strigide; Dofus Pourpre; Dofus des Glaces; Dofus Turquoise; Dolmanax; Nomade; Remueur; Kramkram</t>
        </is>
      </c>
    </row>
    <row r="31225">
      <c r="A31225" t="inlineStr">
        <is>
          <t>Stuff 3</t>
        </is>
      </c>
      <c r="B31225">
        <f>HYPERLINK("https://www.dofusbook.net/fr/equipement/76054-stuff-3/objets", "link")</f>
        <v/>
      </c>
      <c r="C31225" t="n">
        <v>0</v>
      </c>
      <c r="D31225" t="inlineStr">
        <is>
          <t>Rapière aux Glyphes; Amulette de Pol Ouatnos; Bracelet des Fonds marins; Alliance Gloursonne; Ceinture Glaciale; Kidibonnet; Cape du Sinistrofu; Bottes du Sinistrofu; Dofus des Glaces; Chanceux majeur; Dévastateur Eau majeur; Remueur; Miraculé majeur</t>
        </is>
      </c>
    </row>
    <row r="31226">
      <c r="A31226" t="inlineStr">
        <is>
          <t>Stuff 3</t>
        </is>
      </c>
      <c r="B31226">
        <f>HYPERLINK("https://www.dofusbook.net/fr/equipement/76081-stuff-3/objets", "link")</f>
        <v/>
      </c>
      <c r="C31226" t="n">
        <v>0</v>
      </c>
      <c r="D31226" t="inlineStr">
        <is>
          <t>Dagues Érhy; Amulette de Pol Ouatnos; Bague Gloursonne; Anneau Chevelu; Ceintouse; Masque de Koutoulou; Voile d'encre; Tentassons; Dolmanax; Enragé majeur; Étourdisseur majeur; Remueur</t>
        </is>
      </c>
    </row>
    <row r="31227">
      <c r="A31227" t="inlineStr">
        <is>
          <t>Stuff 1</t>
        </is>
      </c>
      <c r="B31227">
        <f>HYPERLINK("https://www.dofusbook.net/fr/equipement/76076-stuff-1/objets", "link")</f>
        <v/>
      </c>
      <c r="C31227" t="n">
        <v>0</v>
      </c>
      <c r="D31227" t="inlineStr">
        <is>
          <t>Harpelle; Amulette de Nileza; Bague Gloursonne; Anneau de Nidas; Ceinture de Gein; Couronne de Nidas; Voile d'encre; Pataugastrique; Érudit majeur; Carapace Eau majeur; Nomade; Carapace Neutre majeur; Remueur; Croum</t>
        </is>
      </c>
    </row>
    <row r="31228">
      <c r="A31228" t="inlineStr">
        <is>
          <t>Stuff 2</t>
        </is>
      </c>
      <c r="B31228">
        <f>HYPERLINK("https://www.dofusbook.net/fr/equipement/76071-stuff-2/objets", "link")</f>
        <v/>
      </c>
      <c r="C31228" t="n">
        <v>0</v>
      </c>
      <c r="D31228" t="inlineStr">
        <is>
          <t>La Racine Hagogue; Collier du Valet Veinard; Gant du Valet Veinard; Alliance Gloursonne; Menoture; Couronne d'Allister; Cape Indescriptible; Palmes Trithons; Dofus des Glaces; Nomade; Dévastateur Air majeur; Ravageur Air majeur; Remueur; Saccageur Air majeur; Pioute jaune</t>
        </is>
      </c>
    </row>
    <row r="31229">
      <c r="A31229" t="inlineStr">
        <is>
          <t>Stuff 3</t>
        </is>
      </c>
      <c r="B31229">
        <f>HYPERLINK("https://www.dofusbook.net/fr/equipement/76039-stuff-3/objets", "link")</f>
        <v/>
      </c>
      <c r="C31229" t="n">
        <v>0</v>
      </c>
      <c r="D31229" t="inlineStr">
        <is>
          <t>Marteau des Anciens Steamers; Amulette Voldelor; Anneau de Pol Ouatnos; Alliance Gloursonne; Ceinture Voldelor; Casque Dragoeuf; Chevelure de Tal Kasha; Bottes de la Reine des Voleurs; Dofus Pourpre; Dofus Ocre; Dofus Turquoise; Vigoureux majeur; Remueur</t>
        </is>
      </c>
    </row>
    <row r="31230">
      <c r="A31230" t="inlineStr">
        <is>
          <t>Stuff 1</t>
        </is>
      </c>
      <c r="B31230">
        <f>HYPERLINK("https://www.dofusbook.net/fr/equipement/76034-stuff-1/objets", "link")</f>
        <v/>
      </c>
      <c r="C31230" t="n">
        <v>0</v>
      </c>
      <c r="D31230" t="inlineStr">
        <is>
          <t>Arc Hétype; Amulette de Nileza; Anneau Tique; Anneau de Nidas; Protopagne; Casquette de Meno; Cape de Nileza; Pataugastrique; Temporiseur majeur; Remueur; Fonceur majeur; Carapace Neutre majeur; Déserteur majeur; Carapace Eau majeur; El Scarador</t>
        </is>
      </c>
    </row>
    <row r="31231">
      <c r="A31231" t="inlineStr">
        <is>
          <t>Stuff 1</t>
        </is>
      </c>
      <c r="B31231">
        <f>HYPERLINK("https://www.dofusbook.net/fr/equipement/76061-stuff-1/objets", "link")</f>
        <v/>
      </c>
      <c r="C31231" t="n">
        <v>0</v>
      </c>
      <c r="D31231" t="inlineStr">
        <is>
          <t>Bêche Asse; Amulette du Kamasterisk; Bague Gloursonne; Anneau Chevelu; Ceintacé; Masque de Koutoulou; Cape du Kamasterisk; Bottes de la Cour Sombre; Dofus Pourpre; Dolmanax; Dofus Ocre; Dofus Émeraude; Miraculé majeur; Enragé majeur</t>
        </is>
      </c>
    </row>
    <row r="31232">
      <c r="A31232" t="inlineStr">
        <is>
          <t>Stuff 3</t>
        </is>
      </c>
      <c r="B31232">
        <f>HYPERLINK("https://www.dofusbook.net/fr/equipement/76051-stuff-3/objets", "link")</f>
        <v/>
      </c>
      <c r="C31232" t="n">
        <v>0</v>
      </c>
      <c r="D31232" t="inlineStr">
        <is>
          <t>Dagoulinantes; Amulette de Shokkoth; Alliance Gloursonne; Bracelet des Fonds marins; Poulpagne; Casque Dragoeuf; Cape de Mantaze; Sandales des Fonds marins; Dolmanax; Dofus des Glaces; Remueur; Carapace Eau majeur; Chanceux majeur; Nomade</t>
        </is>
      </c>
    </row>
    <row r="31233">
      <c r="A31233" t="inlineStr">
        <is>
          <t>Stuff 3</t>
        </is>
      </c>
      <c r="B31233">
        <f>HYPERLINK("https://www.dofusbook.net/fr/equipement/76078-stuff-3/objets", "link")</f>
        <v/>
      </c>
      <c r="C31233" t="n">
        <v>0</v>
      </c>
      <c r="D31233" t="inlineStr">
        <is>
          <t>Dagues Érhy; Amulette du Strigide; Bague Gloursonne; Anneau Chevelu; Ceinture de Gein; Chapeau de Gein; Voile d'encre; Sabots Minables; Dofus des Glaces; Dofus Turquoise; Dofus Pourpre; Dolmanax; Nomade; Remueur; El Scarador</t>
        </is>
      </c>
    </row>
    <row r="31234">
      <c r="A31234" t="inlineStr">
        <is>
          <t>Stuff 1</t>
        </is>
      </c>
      <c r="B31234">
        <f>HYPERLINK("https://www.dofusbook.net/fr/equipement/76046-stuff-1/objets", "link")</f>
        <v/>
      </c>
      <c r="C31234" t="n">
        <v>0</v>
      </c>
      <c r="D31234" t="inlineStr">
        <is>
          <t>Dagues Érhy; Collier de Tourthon; Anneau Crustique; Anneau Crustique; Sept ans de malheur; Ceintouse; Masque de Koutoulou; Voile d'encre; Tentassons; Carapace Neutre majeur; Nomade; Enragé majeur; Remueur; Paralyseur majeur; Étourdisseur majeur; Croum</t>
        </is>
      </c>
    </row>
    <row r="31235">
      <c r="A31235" t="inlineStr">
        <is>
          <t>Stuff 1</t>
        </is>
      </c>
      <c r="B31235">
        <f>HYPERLINK("https://www.dofusbook.net/fr/equipement/76073-stuff-1/objets", "link")</f>
        <v/>
      </c>
      <c r="C31235" t="n">
        <v>0</v>
      </c>
      <c r="D31235" t="inlineStr">
        <is>
          <t>Dagoulinantes; Amulette de Shokkoth; Alliance Gloursonne; Bracelet des Fonds marins; Poulpagne; Casque Dragoeuf; Cape de Mantaze; Sandales des Fonds marins; Dolmanax; Évasif majeur; Nomade; Chanceux majeur; Remueur; Carapace Eau majeur; Bouclier du Batailleur</t>
        </is>
      </c>
    </row>
    <row r="31236">
      <c r="A31236" t="inlineStr">
        <is>
          <t>Stuff 2</t>
        </is>
      </c>
      <c r="B31236">
        <f>HYPERLINK("https://www.dofusbook.net/fr/equipement/76041-stuff-2/objets", "link")</f>
        <v/>
      </c>
      <c r="C31236" t="n">
        <v>0</v>
      </c>
      <c r="D31236" t="inlineStr">
        <is>
          <t>Sabres d'Atcham; Amulette du Strigide; Alliance Gloursonne; Anneau Tique; Ceintacé; Cagoule de Vortex; Voile d'encre; Bottes du Strigide; Dolmanax; Dofus Pourpre; Dofus des Glaces; Dofus Turquoise; Remueur; Nomade</t>
        </is>
      </c>
    </row>
    <row r="31237">
      <c r="A31237" t="inlineStr">
        <is>
          <t>Stuff 2</t>
        </is>
      </c>
      <c r="B31237">
        <f>HYPERLINK("https://www.dofusbook.net/fr/equipement/76068-stuff-2/objets", "link")</f>
        <v/>
      </c>
      <c r="C31237" t="n">
        <v>0</v>
      </c>
      <c r="D31237" t="inlineStr">
        <is>
          <t>Baguette de Malléfisk; Talisman Igans; Anneau Tique; Alliance Gloursonne; Protopagne; Kidibonnet; Cape du Sinistrofu; Bottes Owesli; Bousculeur majeur; Remueur; Culbuteur majeur; Nomade; Guérisseur majeur; Miraculé majeur; Bontique</t>
        </is>
      </c>
    </row>
    <row r="31238">
      <c r="A31238" t="inlineStr">
        <is>
          <t>Stuff 3</t>
        </is>
      </c>
      <c r="B31238">
        <f>HYPERLINK("https://www.dofusbook.net/fr/equipement/76036-stuff-3/objets", "link")</f>
        <v/>
      </c>
      <c r="C31238" t="n">
        <v>0</v>
      </c>
      <c r="D31238" t="inlineStr">
        <is>
          <t>Arc Hétype; Amulette de Nileza; Anneau Tique; Anneau de Nidas; Protopagne; Couronne de Nidas; Voile d'encre; Pataugastrique; Dolmanax; Déserteur majeur; Temporiseur majeur; Fonceur majeur; Érudit majeur; Remueur; Croum</t>
        </is>
      </c>
    </row>
    <row r="31239">
      <c r="A31239" t="inlineStr">
        <is>
          <t>Stuff 3</t>
        </is>
      </c>
      <c r="B31239">
        <f>HYPERLINK("https://www.dofusbook.net/fr/equipement/76063-stuff-3/objets", "link")</f>
        <v/>
      </c>
      <c r="C31239" t="n">
        <v>0</v>
      </c>
      <c r="D31239" t="inlineStr">
        <is>
          <t>Héqache; Amulette du Kamasterisk; Alliance Gloursonne; Anneau Chevelu; Ceintouse; Casque Dragoeuf; Cape du Kamasterisk; Baleinabottes; Dofus Émeraude; Dofus Turquoise; Dofus des Glaces; Dofus Vulbis; Dofus Pourpre; Dofus Ocre</t>
        </is>
      </c>
    </row>
    <row r="31240">
      <c r="A31240" t="inlineStr">
        <is>
          <t>Stuff 1</t>
        </is>
      </c>
      <c r="B31240">
        <f>HYPERLINK("https://www.dofusbook.net/fr/equipement/76031-stuff-1/objets", "link")</f>
        <v/>
      </c>
      <c r="C31240" t="n">
        <v>0</v>
      </c>
      <c r="D31240" t="inlineStr">
        <is>
          <t>Sabres d'Atcham; Amulette du Strigide; Alliance Gloursonne; Anneau Tique; Ceintacé; Coiffe de la Reine des Voleurs; Voile d'encre; Bottes de la Reine des Voleurs; Dofus Pourpre; Dofus Turquoise; Dolmanax; Vigoureux majeur; Nomade; Remueur</t>
        </is>
      </c>
    </row>
    <row r="31241">
      <c r="A31241" t="inlineStr">
        <is>
          <t>Stuff 1</t>
        </is>
      </c>
      <c r="B31241">
        <f>HYPERLINK("https://www.dofusbook.net/fr/equipement/76058-stuff-1/objets", "link")</f>
        <v/>
      </c>
      <c r="C31241" t="n">
        <v>0</v>
      </c>
      <c r="D31241" t="inlineStr">
        <is>
          <t>Baguette Range; Amulette du Strigide; Alliance Gloursonne; Anneau de Padgref; Ceinture du Strigide; Coiffe de Padgref; Voile d'encre; Getas de Padgref; Dolmanax; Dofus Ocre; Dofus des Glaces; Dofus Nébuleux; Dofus Pourpre; Dofus Turquoise; Muldo Prune et Emeraude</t>
        </is>
      </c>
    </row>
    <row r="31242">
      <c r="A31242" t="inlineStr">
        <is>
          <t>Stuff 2</t>
        </is>
      </c>
      <c r="B31242">
        <f>HYPERLINK("https://www.dofusbook.net/fr/equipement/76053-stuff-2/objets", "link")</f>
        <v/>
      </c>
      <c r="C31242" t="n">
        <v>0</v>
      </c>
      <c r="D31242" t="inlineStr">
        <is>
          <t>Dagues Érhy; Amulette du Strigide; Alliance Gloursonne; Anneau Chevelu; Ceinture du Strigide; Masque de Koutoulou; Voile d'encre; Bottes de la Cour Sombre; Dolmanax; Dofus Turquoise; Enragé majeur; Nomade; Remueur</t>
        </is>
      </c>
    </row>
    <row r="31243">
      <c r="A31243" t="inlineStr">
        <is>
          <t>Stuff 3</t>
        </is>
      </c>
      <c r="B31243">
        <f>HYPERLINK("https://www.dofusbook.net/fr/equipement/76075-stuff-3/objets", "link")</f>
        <v/>
      </c>
      <c r="C31243" t="n">
        <v>0</v>
      </c>
      <c r="D31243" t="inlineStr">
        <is>
          <t>Dagoulinantes; Amulette du Strigide; Alliance Gloursonne; Bracelet des Fonds marins; Bouclier d'Ilyzaelle; Poulpagne; Casque Dragoeuf; Cape de la Dame du Hasard; Bottes de la Dame du Hasard; Chanceux majeur; Évasif majeur; Miraculé majeur; Remueur; Muldo Ebène et Pourpre</t>
        </is>
      </c>
    </row>
    <row r="31244">
      <c r="A31244" t="inlineStr">
        <is>
          <t>Stuff 1</t>
        </is>
      </c>
      <c r="B31244">
        <f>HYPERLINK("https://www.dofusbook.net/fr/equipement/76070-stuff-1/objets", "link")</f>
        <v/>
      </c>
      <c r="C31244" t="n">
        <v>0</v>
      </c>
      <c r="D31244" t="inlineStr">
        <is>
          <t>Baguette de Malléfisk; Amulette de Nileza; Anneau de Nidas; Alliance du Lévitrof; Ceinture Séculaire; Casque Dragoeuf; Voile d'encre; Pataugastrique; Dolmanax; Nomade; Déserteur majeur; Carapace Terre majeur; Érudit majeur; Remueur</t>
        </is>
      </c>
    </row>
    <row r="31245">
      <c r="A31245" t="inlineStr">
        <is>
          <t>Stuff 2</t>
        </is>
      </c>
      <c r="B31245">
        <f>HYPERLINK("https://www.dofusbook.net/fr/equipement/76038-stuff-2/objets", "link")</f>
        <v/>
      </c>
      <c r="C31245" t="n">
        <v>0</v>
      </c>
      <c r="D31245" t="inlineStr">
        <is>
          <t>Manthache; Collier du Valet Veinard; Gant du Valet Veinard; Alliance Gloursonne; Ceinture du Barbétoal; Casque Dragoeuf; Cape Indescriptible; Palmes Trithons; Dolmanax; Dofus Ocre; Nomade; Carapace Air majeur; Cascadeur majeur; Remueur</t>
        </is>
      </c>
    </row>
    <row r="31246">
      <c r="A31246" t="inlineStr">
        <is>
          <t>Stuff 2</t>
        </is>
      </c>
      <c r="B31246">
        <f>HYPERLINK("https://www.dofusbook.net/fr/equipement/76065-stuff-2/objets", "link")</f>
        <v/>
      </c>
      <c r="C31246" t="n">
        <v>0</v>
      </c>
      <c r="D31246" t="inlineStr">
        <is>
          <t>Manthache; Collier du Valet Veinard; Alliance Gloursonne; Gant du Valet Veinard; Ceinture du Barbétoal; Casque Dragoeuf; Cape Indescriptible; Palmes Trithons; Dofus Ocre; Dofus Abyssal; Remueur; Évasif majeur; Cascadeur majeur; Muldo Ebène et Indigo</t>
        </is>
      </c>
    </row>
    <row r="31247">
      <c r="A31247" t="inlineStr">
        <is>
          <t>Stuff 3</t>
        </is>
      </c>
      <c r="B31247">
        <f>HYPERLINK("https://www.dofusbook.net/fr/equipement/76033-stuff-3/objets", "link")</f>
        <v/>
      </c>
      <c r="C31247" t="n">
        <v>0</v>
      </c>
      <c r="D31247" t="inlineStr">
        <is>
          <t>Marteau des Anciens Steamers; Amulette du Strigide; Alliance Gloursonne; Anneau Tique; Ceintacé; Casque Dragoeuf; Cape du Barbétoal; Bottes du Strigide; Dofus Turquoise; Dofus Pourpre; Solide majeur; Nomade; Remueur; Vigoureux majeur; Kramkram</t>
        </is>
      </c>
    </row>
    <row r="31248">
      <c r="A31248" t="inlineStr">
        <is>
          <t>200</t>
        </is>
      </c>
      <c r="B31248">
        <f>HYPERLINK("https://www.dofusbook.net/fr/equipement/4706207-200/objets", "link")</f>
        <v/>
      </c>
      <c r="C31248" t="n">
        <v>2</v>
      </c>
      <c r="D31248" t="inlineStr">
        <is>
          <t>Crocobur; Amulette du Strigide; Alliance Gloursonne; Anneau Volkorne; Bouclier d'Ilyzaelle; Ceinture Voldelor; Casque Volkorne; Cape de l'Œil Attentif; Sandales des Fonds marins; Dofus Ocre; Dofus Ivoire; Dofus Pourpre; Dofus Turquoise; Dofus Ébène; Nomade; Volkorne Ivoire et Indigo</t>
        </is>
      </c>
    </row>
    <row r="31249">
      <c r="A31249" t="inlineStr">
        <is>
          <t>terre 175</t>
        </is>
      </c>
      <c r="B31249">
        <f>HYPERLINK("https://www.dofusbook.net/fr/equipement/3160744-terre-175/objets", "link")</f>
        <v/>
      </c>
      <c r="C31249" t="n">
        <v>0</v>
      </c>
      <c r="D31249" t="inlineStr">
        <is>
          <t>Arc Ontanporin; Crolier; Gelano; Anneau Nobstant; Bouclier Taverne; Ceintrémorse; Capuche Souveraine du Roissingue; Corbacape Mastralis; Bottes de Grozilla; Dolmanax; Dofus Pourpre; Dofus Turquoise; Vigoureux majeur; Remueur; Miraculé majeur; Volkorne Ivoire et Indigo</t>
        </is>
      </c>
    </row>
    <row r="31250">
      <c r="A31250" t="inlineStr">
        <is>
          <t>Eliotrope M 200</t>
        </is>
      </c>
      <c r="B31250">
        <f>HYPERLINK("https://www.dofusbook.net/fr/equipement/3494458-eliotrope-m-200/objets", "link")</f>
        <v/>
      </c>
      <c r="C31250" t="n">
        <v>3</v>
      </c>
      <c r="D31250" t="inlineStr">
        <is>
          <t>Manthache; Collier du Valet Veinard; Anneau d'Allister; Gant du Valet Veinard; Quatre-feuilles; Sangle Oriole; Couronne d'Allister; Cape du Valet Veinard; Bottes d'Allister; Dofus Nébuleux; Dofus Ocre; Dofus Turquoise; Dofus Pourpre; Equilibriste majeur; Muldo Prune et Emeraude</t>
        </is>
      </c>
    </row>
    <row r="31251">
      <c r="A31251" t="inlineStr">
        <is>
          <t>200 multi</t>
        </is>
      </c>
      <c r="B31251">
        <f>HYPERLINK("https://www.dofusbook.net/fr/equipement/4427415-200-multi/objets", "link")</f>
        <v/>
      </c>
      <c r="C31251" t="n">
        <v>0</v>
      </c>
      <c r="D31251" t="inlineStr">
        <is>
          <t>Sabres d'Atcham; Amulette du Strigide; Anneau de Padgref; Bracelet du Piloztère; Quatre-feuilles; Ceinture du Strigide; Coiffe de Padgref; Cape d'Atcham; Getas de Padgref; Dofus Ocre; Dofus Nébuleux; Dofus Turquoise; Dolmanax; Dofus Pourpre; Dofus des Glaces; Volkorne Emeraude et Pourpre</t>
        </is>
      </c>
    </row>
    <row r="31252">
      <c r="A31252" t="inlineStr">
        <is>
          <t>air 200</t>
        </is>
      </c>
      <c r="B31252">
        <f>HYPERLINK("https://www.dofusbook.net/fr/equipement/4480649-air-200/objets", "link")</f>
        <v/>
      </c>
      <c r="C31252" t="n">
        <v>0</v>
      </c>
      <c r="D31252" t="inlineStr">
        <is>
          <t>Pelle de la Cour Sombre; Collier du Valet Veinard; Gant du Valet Veinard; Alliance Gloursonne; Bouclier d'Ilyzaelle; Menoture; Casque Dragoeuf; Cape Indescriptible; Palmes Trithons; Dofus Pourpre; Dofus Abyssal; Cascadeur majeur; Remueur; Carapace Air majeur; Nomade; Volkorne Ebène</t>
        </is>
      </c>
    </row>
    <row r="31253">
      <c r="A31253" t="inlineStr">
        <is>
          <t>air 200</t>
        </is>
      </c>
      <c r="B31253">
        <f>HYPERLINK("https://www.dofusbook.net/fr/equipement/4480648-air-200/objets", "link")</f>
        <v/>
      </c>
      <c r="C31253" t="n">
        <v>0</v>
      </c>
      <c r="D31253" t="inlineStr"/>
    </row>
    <row r="31254">
      <c r="A31254" t="inlineStr">
        <is>
          <t>force 200</t>
        </is>
      </c>
      <c r="B31254">
        <f>HYPERLINK("https://www.dofusbook.net/fr/equipement/4424512-force-200/objets", "link")</f>
        <v/>
      </c>
      <c r="C31254" t="n">
        <v>0</v>
      </c>
      <c r="D31254" t="inlineStr">
        <is>
          <t>Arc du Chalœil; Amulette du Strigide; Anneau Crustique; Anneau Crustique; Quatre-feuilles; Ceinture de Brouce; Couronne du Roi Joueur; Cape de la Cour Sombre; Bottes du Strigide; Dofus Ocre; Forcené majeur; Vigoureux majeur; Remueur; Nomade; Enragé majeur; Volkorne Pourpre</t>
        </is>
      </c>
    </row>
    <row r="31255">
      <c r="A31255" t="inlineStr">
        <is>
          <t>air ret pa</t>
        </is>
      </c>
      <c r="B31255">
        <f>HYPERLINK("https://www.dofusbook.net/fr/equipement/1082200-air-ret-pa/objets", "link")</f>
        <v/>
      </c>
      <c r="C31255" t="n">
        <v>0</v>
      </c>
      <c r="D31255" t="inlineStr">
        <is>
          <t>Pelle de la Cour Sombre; Collier du Valet Veinard; Alliance Gloursonne; Gant du Valet Veinard; Bouclier du Stalak; Menoture; Casque Volkorne; Cape Indescriptible; Palmes Trithons; Dofus Ocre; Dofus Pourpre; Dofus Ivoire; Étourdisseur majeur; Cascadeur majeur; Vigoureux majeur; Muldo Doré et Ebène</t>
        </is>
      </c>
    </row>
    <row r="31256">
      <c r="A31256" t="inlineStr">
        <is>
          <t>Enutrof M 200</t>
        </is>
      </c>
      <c r="B31256">
        <f>HYPERLINK("https://www.dofusbook.net/fr/equipement/3582863-enutrof-m-200/objets", "link")</f>
        <v/>
      </c>
      <c r="C31256" t="n">
        <v>0</v>
      </c>
      <c r="D31256" t="inlineStr">
        <is>
          <t>Hache du Korriandre; Amulette du Cœur Vaillant; Anneau Volkorne; Alliance Gloursonne; Quatre-feuilles; Menoture; Casque Volkorne; Chevelure de Tal Kasha; Palmes Trithons; Dofus Turquoise; Dofus Pourpre; Dolmanax; Dofus Ocre; Étourdisseur majeur; Nomade; Kramkram</t>
        </is>
      </c>
    </row>
    <row r="31257">
      <c r="A31257" t="inlineStr">
        <is>
          <t>200</t>
        </is>
      </c>
      <c r="B31257">
        <f>HYPERLINK("https://www.dofusbook.net/fr/equipement/3580697-200/objets", "link")</f>
        <v/>
      </c>
      <c r="C31257" t="n">
        <v>2</v>
      </c>
      <c r="D31257" t="inlineStr">
        <is>
          <t>Baguette Hique; Amulette Luminescente; Anneau Volkorne; Pikano; Ambrouclier; Poulpagne; Casquette de Meno; Cape de l'Œil Putride; Bottes de Meno; Temporiseur; Chanceux majeur; Nomade; Temporiseur majeur; Remueur; Entraveur majeur; Dehluge</t>
        </is>
      </c>
    </row>
    <row r="31258">
      <c r="A31258" t="inlineStr">
        <is>
          <t>200 feu</t>
        </is>
      </c>
      <c r="B31258">
        <f>HYPERLINK("https://www.dofusbook.net/fr/equipement/3561575-200-feu/objets", "link")</f>
        <v/>
      </c>
      <c r="C31258" t="n">
        <v>1</v>
      </c>
      <c r="D31258" t="inlineStr">
        <is>
          <t>Arc corrompu; Amulette Séculaire; Anneau de Nidas; Anneauræus; Bouclier du Stalak; Ceinture Séculaire; Heaume Oplate; Voile d'encre; Bottes Innommables; Astucieux majeur; Miraculé majeur; Remueur; Érudit majeur; Savant majeur; Fonceur majeur; Muldo Orchidée et Pourpre</t>
        </is>
      </c>
    </row>
    <row r="31259">
      <c r="A31259" t="inlineStr">
        <is>
          <t>Iop M 200</t>
        </is>
      </c>
      <c r="B31259">
        <f>HYPERLINK("https://www.dofusbook.net/fr/equipement/3364206-iop-m-200/objets", "link")</f>
        <v/>
      </c>
      <c r="C31259" t="n">
        <v>0</v>
      </c>
      <c r="D31259" t="inlineStr">
        <is>
          <t>Canne Harr; Amulette du Strigide; Alliance Brûlâme; Anneau Rifique; Bouclier Taverne; Ceinture de Vortex; Bonnet Ko; Voile d'encre; Bottes du Strigide; Dofus Turquoise; Dofus Ocre; Dofus des Glaces; Remueur; Nomade; Vigoureux majeur; Muldo Prune et Emeraude</t>
        </is>
      </c>
    </row>
    <row r="31260">
      <c r="A31260" t="inlineStr">
        <is>
          <t>Ouginak M 200</t>
        </is>
      </c>
      <c r="B31260">
        <f>HYPERLINK("https://www.dofusbook.net/fr/equipement/3291048-ouginak-m-200/objets", "link")</f>
        <v/>
      </c>
      <c r="C31260" t="n">
        <v>1</v>
      </c>
      <c r="D31260" t="inlineStr">
        <is>
          <t>Héqache; Torquistik; Bague Instable; Bague Trithon; Bouclier précieux; Ceinture Luminescente; Masque d'Anerice; Cape d'Anerice; Sabots Minables; Dofus Abyssal; Dofus Émeraude; Bousculeur majeur; Remueur; Culbuteur majeur; Pousseur majeur; Muldo Ebène et Pourpre</t>
        </is>
      </c>
    </row>
    <row r="31261">
      <c r="A31261" t="inlineStr">
        <is>
          <t>Ouginak M 200</t>
        </is>
      </c>
      <c r="B31261">
        <f>HYPERLINK("https://www.dofusbook.net/fr/equipement/3266342-ouginak-m-200/objets", "link")</f>
        <v/>
      </c>
      <c r="C31261" t="n">
        <v>0</v>
      </c>
      <c r="D31261" t="inlineStr">
        <is>
          <t>Massier; Pendentif mignon de Koutoulou; Anneau Rifique; Bague Gloursonne; Bouclier d'Ilyzaelle; Ceinture de Gein; Heaume Oplate; Voile d'encre; Bottistik; Savant majeur; Vigoureux majeur; Remueur; Miraculé majeur; Nomade; Érudit majeur; Kramkram</t>
        </is>
      </c>
    </row>
    <row r="31262">
      <c r="A31262" t="inlineStr">
        <is>
          <t>Steamer M 200</t>
        </is>
      </c>
      <c r="B31262">
        <f>HYPERLINK("https://www.dofusbook.net/fr/equipement/3266436-steamer-m-200/objets", "link")</f>
        <v/>
      </c>
      <c r="C31262" t="n">
        <v>0</v>
      </c>
      <c r="D31262" t="inlineStr">
        <is>
          <t>Arc du Chalœil; Amulette du Strigide; Anneau Chevelu; Anneau Crustique; Quatre-feuilles; Ceinture Gence; Masque Brûlâme; Cape au Logis; Bottes du Strigide; Dofus Abyssal; Dofus Ocre; Dofus Turquoise; Vigoureux majeur; Enragé majeur; Dévastateur Terre majeur; Kramkram</t>
        </is>
      </c>
    </row>
    <row r="31263">
      <c r="A31263" t="inlineStr">
        <is>
          <t>chance agi 199</t>
        </is>
      </c>
      <c r="B31263">
        <f>HYPERLINK("https://www.dofusbook.net/fr/equipement/3207194-chance-agi-199/objets", "link")</f>
        <v/>
      </c>
      <c r="C31263" t="n">
        <v>0</v>
      </c>
      <c r="D31263" t="inlineStr">
        <is>
          <t>Hache du Korriandre; Pendentif Oton; Gelano; Alliance Gloursonne; Quatre-feuilles; Ceinture de Danathor; Coiffe d'Hel Munster; Cape d'Hel Munster; Bottes du Glourséleste; Remueur; Temporiseur majeur; Nomade; Chanceux majeur; Vigoureux majeur; Dévastateur Eau majeur; Kramkram</t>
        </is>
      </c>
    </row>
    <row r="31264">
      <c r="A31264" t="inlineStr">
        <is>
          <t>terre 120</t>
        </is>
      </c>
      <c r="B31264">
        <f>HYPERLINK("https://www.dofusbook.net/fr/equipement/3197276-terre-120/objets", "link")</f>
        <v/>
      </c>
      <c r="C31264" t="n">
        <v>0</v>
      </c>
      <c r="D31264" t="inlineStr">
        <is>
          <t>Dagues Maydhyn China; Amulette du Renouveau; Anneau Ancestral; Gelano; Bouclier de Sidimote; Ceinture Corbaquiale; Scalp du Pounicheur; Cape du Wabbit Garou; Bottes du Wabbit Garou; Étourdisseur; Miraculé; Nomade; Furibond; Remueur; Enragé; Kompost</t>
        </is>
      </c>
    </row>
    <row r="31265">
      <c r="A31265" t="inlineStr">
        <is>
          <t>chance 190</t>
        </is>
      </c>
      <c r="B31265">
        <f>HYPERLINK("https://www.dofusbook.net/fr/equipement/3197218-chance-190/objets", "link")</f>
        <v/>
      </c>
      <c r="C31265" t="n">
        <v>0</v>
      </c>
      <c r="D31265" t="inlineStr">
        <is>
          <t>Arc Ontanporin; Racine Hueuse; Anneau Nobstant; Gelano; Bouclier Taverne; Ceinture de Danathor; Chapeau Lisson; Cape du Korriandre; Bottes Répané; Dofus Pourpre; Dolmanax; Dévastateur Eau majeur; Nomade; Vigoureux majeur; Remueur; Kramkram</t>
        </is>
      </c>
    </row>
    <row r="31266">
      <c r="A31266" t="inlineStr">
        <is>
          <t>chance 160</t>
        </is>
      </c>
      <c r="B31266">
        <f>HYPERLINK("https://www.dofusbook.net/fr/equipement/3197219-chance-160/objets", "link")</f>
        <v/>
      </c>
      <c r="C31266" t="n">
        <v>0</v>
      </c>
      <c r="D31266" t="inlineStr"/>
    </row>
    <row r="31267">
      <c r="A31267" t="inlineStr">
        <is>
          <t>air feu 188</t>
        </is>
      </c>
      <c r="B31267">
        <f>HYPERLINK("https://www.dofusbook.net/fr/equipement/3174719-air-feu-188/objets", "link")</f>
        <v/>
      </c>
      <c r="C31267" t="n">
        <v>0</v>
      </c>
      <c r="D31267" t="inlineStr">
        <is>
          <t>Baguette Hernelle; Amulette Ementaire Deluxe; Anneau Nobstant; Gelano; Bouclier à hélice; Slip Iholo; Coiffe de Boréale; Cape Peupret; Bottes de Boréale; Dofus Pourpre; Dolmanax; Remueur; Nomade; Miraculé majeur; Vigoureux majeur; Kramkram</t>
        </is>
      </c>
    </row>
    <row r="31268">
      <c r="A31268" t="inlineStr">
        <is>
          <t>air 180</t>
        </is>
      </c>
      <c r="B31268">
        <f>HYPERLINK("https://www.dofusbook.net/fr/equipement/3171029-air-180/objets", "link")</f>
        <v/>
      </c>
      <c r="C31268" t="n">
        <v>0</v>
      </c>
      <c r="D31268" t="inlineStr">
        <is>
          <t>Couteaux à Champignons; Porte-Malheur du Nowel Cauchemardesque; Anneau de XLII; Anneau Colerette; Cadran d'Air; Ceinture de XLII; Chapignon; Caprin; Bottes de XLII; Dofus Ocre; Dolmanax; Dofus Abyssal; Dofus Pourpre; Dofus Émeraude; Equilibriste majeur; Siroko</t>
        </is>
      </c>
    </row>
    <row r="31269">
      <c r="A31269" t="inlineStr">
        <is>
          <t>terre 155</t>
        </is>
      </c>
      <c r="B31269">
        <f>HYPERLINK("https://www.dofusbook.net/fr/equipement/3130876-terre-155/objets", "link")</f>
        <v/>
      </c>
      <c r="C31269" t="n">
        <v>0</v>
      </c>
      <c r="D31269" t="inlineStr">
        <is>
          <t>Marteau Xiko; La Meulette; Anneau du Meulou; Gelano; Le Karde Cœur; Ceinture Phossile; Bonnet Ko; Cape de Cantile; Sandales Gorithme; Dolmanax; Vigoureux majeur; Remueur; Enragé majeur; Nomade; Miraculé majeur; Kompost</t>
        </is>
      </c>
    </row>
    <row r="31270">
      <c r="A31270" t="inlineStr">
        <is>
          <t>terre 130</t>
        </is>
      </c>
      <c r="B31270">
        <f>HYPERLINK("https://www.dofusbook.net/fr/equipement/3124553-terre-130/objets", "link")</f>
        <v/>
      </c>
      <c r="C31270" t="n">
        <v>0</v>
      </c>
      <c r="D31270" t="inlineStr">
        <is>
          <t>Marteau Xiko; Amulette du Renouveau; Anneau du Meulou; Gelano; Le Karde Cœur; Ceinture du Wabbit Garou; Billréole; Cape du Wabbit Garou; Gruchaussures; Temporiseur; Miraculé; Nomade; Vigoureux; Remueur; Enragé; Kompost</t>
        </is>
      </c>
    </row>
    <row r="31271">
      <c r="A31271" t="inlineStr">
        <is>
          <t>terre 100</t>
        </is>
      </c>
      <c r="B31271">
        <f>HYPERLINK("https://www.dofusbook.net/fr/equipement/3117169-terre-100/objets", "link")</f>
        <v/>
      </c>
      <c r="C31271" t="n">
        <v>0</v>
      </c>
      <c r="D31271" t="inlineStr">
        <is>
          <t>Griffe Rose; Fourbamulette; Bracelet du Chef Bwork; Gelano; Le Karde Cœur; Ceinture du Krokilleur; Billréole; Cape du Krokilleur; Bottes du Gorgouille; Forcené; Miraculé; Enragé; Remueur; Furibond; Nomade; Kompost</t>
        </is>
      </c>
    </row>
    <row r="31272">
      <c r="A31272" t="inlineStr">
        <is>
          <t>bbb</t>
        </is>
      </c>
      <c r="B31272">
        <f>HYPERLINK("https://www.dofusbook.net/fr/equipement/3018892-bbb/objets", "link")</f>
        <v/>
      </c>
      <c r="C31272" t="n">
        <v>0</v>
      </c>
      <c r="D31272" t="inlineStr">
        <is>
          <t>Karnak; Racine Hueuse; Gelano; Anneau Colerette; Bouclier Taverne; Ceinture Rasboulaire du Rasboul; Casque Dragoeuf; Caprin; Bottes de Grozilla; Dofus Pourpre; Nomade; Cascadeur majeur; Acrobate majeur; Remueur; Miraculé majeur; Siroko</t>
        </is>
      </c>
    </row>
    <row r="31273">
      <c r="A31273" t="inlineStr">
        <is>
          <t>air</t>
        </is>
      </c>
      <c r="B31273">
        <f>HYPERLINK("https://www.dofusbook.net/fr/equipement/3045077-air-/objets", "link")</f>
        <v/>
      </c>
      <c r="C31273" t="n">
        <v>0</v>
      </c>
      <c r="D31273" t="inlineStr">
        <is>
          <t>Hachoirs de Viandargh; Amulette Nécrotique; Alliance Gloursonne; Anneau d'Allister; Bouclier Taverne; Ceinture Rasboulaire du Rasboul; Couronne d'Allister; Cape Matelassée; Getas de Padgref; Dofus Pourpre; Miraculé majeur; Nomade; Cascadeur majeur; Acrobate majeur; Remueur; Siroko</t>
        </is>
      </c>
    </row>
    <row r="31274">
      <c r="A31274" t="inlineStr">
        <is>
          <t>air bl</t>
        </is>
      </c>
      <c r="B31274">
        <f>HYPERLINK("https://www.dofusbook.net/fr/equipement/2957326-air-bl/objets", "link")</f>
        <v/>
      </c>
      <c r="C31274" t="n">
        <v>0</v>
      </c>
      <c r="D31274" t="inlineStr">
        <is>
          <t>La Bidjiz; Collier du Dragon Cochon; Gelano; Bracelet du Chef Bwork; Le Karde Cœur; Ceinture du Berserkoffre; Casque du Berserkoffre; Cape du Rat Blanc; Bottes du Rat Noir; Muldo Doré</t>
        </is>
      </c>
    </row>
    <row r="31275">
      <c r="A31275" t="inlineStr">
        <is>
          <t>Eau ret</t>
        </is>
      </c>
      <c r="B31275">
        <f>HYPERLINK("https://www.dofusbook.net/fr/equipement/2923684-eau-ret/objets", "link")</f>
        <v/>
      </c>
      <c r="C31275" t="n">
        <v>2</v>
      </c>
      <c r="D31275" t="inlineStr">
        <is>
          <t>Marteau Réhadaure; Amulette du Chef Bwork; Fourballiance; Gelano; Le Karde Cœur; Ceinture Précieuse; Chapitrouille; Cape Précieuse; Bottes Soyeuses; Remueur; Vigoureux; Enragé; Nomade; Chanceux; Temporiseur; Muldo Doré</t>
        </is>
      </c>
    </row>
    <row r="31276">
      <c r="A31276" t="inlineStr">
        <is>
          <t>Multi</t>
        </is>
      </c>
      <c r="B31276">
        <f>HYPERLINK("https://www.dofusbook.net/fr/equipement/2888172-multi/objets", "link")</f>
        <v/>
      </c>
      <c r="C31276" t="n">
        <v>0</v>
      </c>
      <c r="D31276" t="inlineStr">
        <is>
          <t>Baguette Range; Amulette du Strigide; Bracelet du Piloztère; Alliance Gloursonne; Bouclier du Stalak; Ceinture de l'Esprit Salvateur; Le Dorado; Dofusteuse; Bottes du Strigide; Dofus Pourpre; Robuste majeur; Vigoureux majeur; Remueur; Muldo Doré et Ebène</t>
        </is>
      </c>
    </row>
    <row r="31277">
      <c r="A31277" t="inlineStr">
        <is>
          <t>Bko</t>
        </is>
      </c>
      <c r="B31277">
        <f>HYPERLINK("https://www.dofusbook.net/fr/equipement/2567674-bko/objets", "link")</f>
        <v/>
      </c>
      <c r="C31277" t="n">
        <v>0</v>
      </c>
      <c r="D31277" t="inlineStr">
        <is>
          <t>Baguette Héroclite; Amulette de Shokkoth; Alliance Gloursonne; Bracelet du Piloztère; Quatre-feuilles; Poulpagne; Capuche de l'Œil Attentif; Cape de l'Œil Attentif; Sandales des Fonds marins; Dofus Pourpre; Dofus Abyssal; Dofus Turquoise; Dofus Ocre; Carapace Eau majeur; Chanceux majeur</t>
        </is>
      </c>
    </row>
    <row r="31278">
      <c r="A31278" t="inlineStr">
        <is>
          <t>Esquive pa</t>
        </is>
      </c>
      <c r="B31278">
        <f>HYPERLINK("https://www.dofusbook.net/fr/equipement/2718990-esquive-pa/objets", "link")</f>
        <v/>
      </c>
      <c r="C31278" t="n">
        <v>0</v>
      </c>
      <c r="D31278" t="inlineStr">
        <is>
          <t>Arc de Koutoulou; Amulette du Strigide; Bracelet du Piloztère; Alliance Gloursonne; Quatre-feuilles; Sangle Oriole; Chapeau de Tournoyé; Cape de l'Œil Attentif; Baleinabottes; Dofus Turquoise; Dofus Pourpre; Remueur; Chanceux majeur; Vigoureux majeur; Cascadeur majeur; Muldo Ebène et Orchidée</t>
        </is>
      </c>
    </row>
    <row r="31279">
      <c r="A31279" t="inlineStr">
        <is>
          <t>Pvm</t>
        </is>
      </c>
      <c r="B31279">
        <f>HYPERLINK("https://www.dofusbook.net/fr/equipement/177345-pvm/objets", "link")</f>
        <v/>
      </c>
      <c r="C31279" t="n">
        <v>0</v>
      </c>
      <c r="D31279" t="inlineStr">
        <is>
          <t>Arc de Koutoulou; Amulette du Strigide; Bracelet du Piloztère; Alliance Gloursonne; Quatre-feuilles; Ceinture du Strigide; Chapeau de Tournoyé; Cape d'Hel Munster; Baleinabottes; Dofus Turquoise; Dofus Pourpre; Remueur; Chanceux majeur; Vigoureux majeur; Cascadeur majeur; Muldo Ebène et Orchidée</t>
        </is>
      </c>
    </row>
    <row r="31280">
      <c r="A31280" t="inlineStr">
        <is>
          <t>intel</t>
        </is>
      </c>
      <c r="B31280">
        <f>HYPERLINK("https://www.dofusbook.net/fr/equipement/2715102-intel/objets", "link")</f>
        <v/>
      </c>
      <c r="C31280" t="n">
        <v>0</v>
      </c>
      <c r="D31280" t="inlineStr">
        <is>
          <t>Baguette de Malléfisk; Pendentif affamé; Anneau de Nidas; Anneau Tique; Bouclier du Cycloïde; Ceinture de Vortex; Couronne de Nidas; Cape de Diondin; Chaussures Ardentes; Astucieux majeur; Carapace Eau majeur; Érudit majeur; Remueur; Miraculé majeur; Muldo Orchidée</t>
        </is>
      </c>
    </row>
    <row r="31281">
      <c r="A31281" t="inlineStr">
        <is>
          <t>Stuff 2</t>
        </is>
      </c>
      <c r="B31281">
        <f>HYPERLINK("https://www.dofusbook.net/fr/equipement/177344-stuff-2/objets", "link")</f>
        <v/>
      </c>
      <c r="C31281" t="n">
        <v>0</v>
      </c>
      <c r="D31281" t="inlineStr">
        <is>
          <t>Arc de Koutoulou; Amulette d'Ilyzaelle; Alliance Gloursonne; Anneau Toriété; Quatre-feuilles; Ceintacé; Casque d'Ilyzaelle; Cape d'Hel Munster; Bottes de l'Esprit Salvateur; Dofus Pourpre; Dokoko; Robuste majeur; Remueur; Vigoureux majeur; Cascadeur majeur; Muldo Ebène et Pourpre</t>
        </is>
      </c>
    </row>
    <row r="31282">
      <c r="A31282" t="inlineStr">
        <is>
          <t>force</t>
        </is>
      </c>
      <c r="B31282">
        <f>HYPERLINK("https://www.dofusbook.net/fr/equipement/2657603-force/objets", "link")</f>
        <v/>
      </c>
      <c r="C31282" t="n">
        <v>0</v>
      </c>
      <c r="D31282" t="inlineStr">
        <is>
          <t>Arc du Chalœil; Amulette du Strigide; Bague Gloursonne; Anneau Chevelu; Bouclier du Stalak; Ceinture du Strigide; Masque de Koutoulou; Cape au Logis; Baleinabottes; Dofus Pourpre; Dofus Turquoise; Dofus Abyssal; Enragé majeur; Vigoureux majeur; Kramkram</t>
        </is>
      </c>
    </row>
    <row r="31283">
      <c r="A31283" t="inlineStr">
        <is>
          <t>full life res</t>
        </is>
      </c>
      <c r="B31283">
        <f>HYPERLINK("https://www.dofusbook.net/fr/equipement/2624764-full-life-res/objets", "link")</f>
        <v/>
      </c>
      <c r="C31283" t="n">
        <v>1</v>
      </c>
      <c r="D31283" t="inlineStr">
        <is>
          <t>Sceptre du Roi Joueur; Collier Rophante; Alliance Gloursonne; Anneau de Pol Ouatnos; Bouclier Bontarien; Pagne du Rykaon; Masque d'Anerice; Cape d'Anerice; Pataugastrique; Dofus Émeraude; Dokoko; Carapace Eau majeur; Remueur; Carapace Feu majeur; Miraculé majeur; Eliôme</t>
        </is>
      </c>
    </row>
    <row r="31284">
      <c r="A31284" t="inlineStr">
        <is>
          <t>bol</t>
        </is>
      </c>
      <c r="B31284">
        <f>HYPERLINK("https://www.dofusbook.net/fr/equipement/2560871-bol/objets", "link")</f>
        <v/>
      </c>
      <c r="C31284" t="n">
        <v>0</v>
      </c>
      <c r="D31284" t="inlineStr">
        <is>
          <t>Arc de Koutoulou; Amulette de Shokkoth; Bracelet du Piloztère; Alliance Gloursonne; Quatre-feuilles; Menoture; Némès de Tal Kasha; Dofusteuse; Sandales de Tal Kasha; Dofus Nébuleux; Dofus Pourpre; Dofus Turquoise; Remueur; Vigoureux majeur; Temporiseur majeur; Muldo Prune et Indigo</t>
        </is>
      </c>
    </row>
    <row r="31285">
      <c r="A31285" t="inlineStr">
        <is>
          <t>ahb</t>
        </is>
      </c>
      <c r="B31285">
        <f>HYPERLINK("https://www.dofusbook.net/fr/equipement/2560336-ahb/objets", "link")</f>
        <v/>
      </c>
      <c r="C31285" t="n">
        <v>0</v>
      </c>
      <c r="D31285" t="inlineStr">
        <is>
          <t>Arc de Koutoulou; Amulette du Strigide; Bague Gloursonne; Alliance Gloursonne; Quatre-feuilles; Ceinture de l'Indicible; Le Dorado; Dofusteuse; Bottes du Chalœil; Dofus des Glaces; Dofus Turquoise; Dolmanax; Dofus Ocre; Dofus Pourpre; Temporiseur majeur; Muldo Prune et Indigo</t>
        </is>
      </c>
    </row>
    <row r="31286">
      <c r="A31286" t="inlineStr">
        <is>
          <t>Stuff 2</t>
        </is>
      </c>
      <c r="B31286">
        <f>HYPERLINK("https://www.dofusbook.net/fr/equipement/177353-stuff-2/objets", "link")</f>
        <v/>
      </c>
      <c r="C31286" t="n">
        <v>0</v>
      </c>
      <c r="D31286" t="inlineStr">
        <is>
          <t>Arc de Koutoulou; Amulette Voldelor; Alliance Gloursonne; Bracelet du Piloztère; Quatre-feuilles; Menoture; Masque de Funespadon; Chevelure de Tal Kasha; Sandales de Tal Kasha; Dofus Pourpre; Dofus Turquoise; Chanceux majeur; Étourdisseur majeur; Remueur; Muldo Ebène</t>
        </is>
      </c>
    </row>
    <row r="31287">
      <c r="A31287" t="inlineStr">
        <is>
          <t>abla</t>
        </is>
      </c>
      <c r="B31287">
        <f>HYPERLINK("https://www.dofusbook.net/fr/equipement/2408753-abla/objets", "link")</f>
        <v/>
      </c>
      <c r="C31287" t="n">
        <v>0</v>
      </c>
      <c r="D31287" t="inlineStr">
        <is>
          <t>Sabres d'Atcham; Amulette du Strigide; Bracelet du Piloztère; Anneau de Padgref; Quatre-feuilles; Ceinture du Strigide; Coiffe de Padgref; Cape d'Atcham; Getas de Padgref; Dolmanax; Dofus Ocre; Dofus des Glaces; Dofus Pourpre; Dofus Abyssal; Dofus Turquoise; Muldo Prune et Emeraude</t>
        </is>
      </c>
    </row>
    <row r="31288">
      <c r="A31288" t="inlineStr">
        <is>
          <t>Stuff 1</t>
        </is>
      </c>
      <c r="B31288">
        <f>HYPERLINK("https://www.dofusbook.net/fr/equipement/177364-stuff-1/objets", "link")</f>
        <v/>
      </c>
      <c r="C31288" t="n">
        <v>1</v>
      </c>
      <c r="D31288" t="inlineStr">
        <is>
          <t>Marteau R'ture; Amulette Luminescente; Bracelet du Piloztère; Chevalière du Roi Joueur; Quatre-feuilles; Ceinture Luminescente; Maskrobe; Cape Luminescente; Pantoufles du Piloztère; Dofus Ocre; Dofus Pourpre; Dolmanax; Dofus des Glaces; Dofus Turquoise; Entraveur majeur; Dehluge</t>
        </is>
      </c>
    </row>
    <row r="31289">
      <c r="A31289" t="inlineStr">
        <is>
          <t>Stuf 4</t>
        </is>
      </c>
      <c r="B31289">
        <f>HYPERLINK("https://www.dofusbook.net/fr/equipement/572726-stuf-4/objets", "link")</f>
        <v/>
      </c>
      <c r="C31289" t="n">
        <v>0</v>
      </c>
      <c r="D31289" t="inlineStr">
        <is>
          <t>Hachoirs de Viandargh; Pendentif Oton; Alliance Gloursonne; Anneau d'Allister; Quatre-feuilles; Ceinture de Klime; Masque de Klime; Cape Matelassée; Bottes du Glourséleste; Cascadeur majeur; Remueur; Vagabond majeur; Miraculé majeur; Déserteur majeur; Nomade; Pioute jaune</t>
        </is>
      </c>
    </row>
    <row r="31290">
      <c r="A31290" t="inlineStr">
        <is>
          <t>Stuff 3</t>
        </is>
      </c>
      <c r="B31290">
        <f>HYPERLINK("https://www.dofusbook.net/fr/equipement/177354-stuff-3/objets", "link")</f>
        <v/>
      </c>
      <c r="C31290" t="n">
        <v>0</v>
      </c>
      <c r="D31290" t="inlineStr">
        <is>
          <t>Masse Ossiale; Collier de la Dame du Hasard; Anneau Tique; Chevalière du Roi Joueur; Bouclier du Captain Amakna; Ceinture de Vortex; Couronne de Nidas; Cape de la Dame du Hasard; Pataugastrique; Dofus Turquoise; Érudit majeur; Nomade; Vigoureux majeur; Chanceux majeur; Remueur; Kramkram</t>
        </is>
      </c>
    </row>
    <row r="31291">
      <c r="A31291" t="inlineStr">
        <is>
          <t>Stuff 1</t>
        </is>
      </c>
      <c r="B31291">
        <f>HYPERLINK("https://www.dofusbook.net/fr/equipement/177352-stuff-1/objets", "link")</f>
        <v/>
      </c>
      <c r="C31291" t="n">
        <v>0</v>
      </c>
      <c r="D31291" t="inlineStr">
        <is>
          <t>Gelano; Anneau du Kaniblou; Cape Souveraine du Roissingue; Remueur; Nomade; Chanceux majeur; Kramkram</t>
        </is>
      </c>
    </row>
    <row r="31292">
      <c r="A31292" t="inlineStr">
        <is>
          <t>Stuff 1</t>
        </is>
      </c>
      <c r="B31292">
        <f>HYPERLINK("https://www.dofusbook.net/fr/equipement/177346-stuff-1/objets", "link")</f>
        <v/>
      </c>
      <c r="C31292" t="n">
        <v>3</v>
      </c>
      <c r="D31292" t="inlineStr">
        <is>
          <t>Arc Nécrotique; Amulette du Strigide; Anneau de Nidas; Alliance Gloursonne; Bouclier cubiste; Ceintacé; Coiffe Cryochrone; Cape de Meno; Bottes de Meno; Dofus Pourpre; Dofus Turquoise; Temporiseur majeur; Remueur; Nomade; Vigoureux majeur; Kramkram</t>
        </is>
      </c>
    </row>
    <row r="31293">
      <c r="A31293" t="inlineStr">
        <is>
          <t>Stuff 2</t>
        </is>
      </c>
      <c r="B31293">
        <f>HYPERLINK("https://www.dofusbook.net/fr/equipement/177359-stuff-2/objets", "link")</f>
        <v/>
      </c>
      <c r="C31293" t="n">
        <v>0</v>
      </c>
      <c r="D31293" t="inlineStr">
        <is>
          <t>Karnak; Crolier; Anneau de XLII; Gelano; Bouclier Taverne; Ceinture de XLII; Chapeau de Ben le Ripate; Cape Souveraine du Roissingue; Sandales Binosse; Dofus Émeraude; Dofus Ocre; Dofus Abyssal; Dofus Pourpre; Remueur; Cascadeur majeur; Kramkram</t>
        </is>
      </c>
    </row>
    <row r="31294">
      <c r="A31294" t="inlineStr">
        <is>
          <t>Stuff 2</t>
        </is>
      </c>
      <c r="B31294">
        <f>HYPERLINK("https://www.dofusbook.net/fr/equipement/177368-stuff-2/objets", "link")</f>
        <v/>
      </c>
      <c r="C31294" t="n">
        <v>2</v>
      </c>
      <c r="D31294" t="inlineStr">
        <is>
          <t>Héqache; Torquistik; Baguistik; Bracelet du Piloztère; Sept ans de malheur; Ceinture de la Reine des Voleurs; Coiffe de la Reine des Voleurs; Voile d'encre; Bottistik; Dofus des Glaces; Dofus Émeraude; Dofus Turquoise; Dofus Ocre; Dofus Pourpre; Muldo Ebène et Pourpre</t>
        </is>
      </c>
    </row>
    <row r="31295">
      <c r="A31295" t="inlineStr">
        <is>
          <t>Stuff 1</t>
        </is>
      </c>
      <c r="B31295">
        <f>HYPERLINK("https://www.dofusbook.net/fr/equipement/177358-stuff-1/objets", "link")</f>
        <v/>
      </c>
      <c r="C31295" t="n">
        <v>0</v>
      </c>
      <c r="D31295" t="inlineStr">
        <is>
          <t>Pelle de la Cour Sombre; Collier du Valet Veinard; Alliance Gloursonne; Gant du Valet Veinard; Menoture; Dorabysses; Cape Parition; Palmes Trithons; Dofus Ocre; Dofus Pourpre; Nomade; Acrobate majeur; Vigoureux majeur; Cascadeur majeur; Kramkram</t>
        </is>
      </c>
    </row>
    <row r="31296">
      <c r="A31296" t="inlineStr">
        <is>
          <t>Stuff 3</t>
        </is>
      </c>
      <c r="B31296">
        <f>HYPERLINK("https://www.dofusbook.net/fr/equipement/177360-stuff-3/objets", "link")</f>
        <v/>
      </c>
      <c r="C31296" t="n">
        <v>0</v>
      </c>
      <c r="D31296" t="inlineStr">
        <is>
          <t>Dagoulinantes; Amulette du Strigide; Alliance Gloursonne; Bracelet des Fonds marins; Bouclier du Stalak; Ceintacé; Masque des Fonds marins; Cape de la Dame du Hasard; Bottes du Sinistrofu; Dofus Turquoise; Dofus Pourpre; Dofus Ocre; Vigoureux majeur; Chanceux majeur; Nomade; Kramkram</t>
        </is>
      </c>
    </row>
    <row r="31297">
      <c r="A31297" t="inlineStr">
        <is>
          <t>Stuff 3</t>
        </is>
      </c>
      <c r="B31297">
        <f>HYPERLINK("https://www.dofusbook.net/fr/equipement/177363-stuff-3/objets", "link")</f>
        <v/>
      </c>
      <c r="C31297" t="n">
        <v>0</v>
      </c>
      <c r="D31297" t="inlineStr">
        <is>
          <t>Dagoulinantes; Amulette de Shokkoth; Bracelet des Fonds marins; Alliance Gloursonne; Pagne du Rykaon; Kidibonnet; Cape de Mantaze; Sandales des Fonds marins; Dofus Pourpre; Nomade; Chanceux majeur; Remueur; Carapace Eau majeur; Vigoureux majeur; Kramkram</t>
        </is>
      </c>
    </row>
    <row r="31298">
      <c r="A31298" t="inlineStr">
        <is>
          <t>Stuff 2</t>
        </is>
      </c>
      <c r="B31298">
        <f>HYPERLINK("https://www.dofusbook.net/fr/equipement/177347-stuff-2/objets", "link")</f>
        <v/>
      </c>
      <c r="C31298" t="n">
        <v>1</v>
      </c>
      <c r="D31298" t="inlineStr">
        <is>
          <t>Arc Hétype; Amulette de l'Œil Putride; Anneau de Nidas; Bague Gloursonne; Ambrouclier; Ceinture de Gein; Cagoule de Vortex; Cape de l'Œil Putride; Pataugastrique; Carapace Air majeur; Érudit majeur; Carapace Feu majeur; Temporiseur majeur; Remueur; Déserteur majeur; Muldo Amande</t>
        </is>
      </c>
    </row>
    <row r="31299">
      <c r="A31299" t="inlineStr">
        <is>
          <t>Stuff 1</t>
        </is>
      </c>
      <c r="B31299">
        <f>HYPERLINK("https://www.dofusbook.net/fr/equipement/177355-stuff-1/objets", "link")</f>
        <v/>
      </c>
      <c r="C31299" t="n">
        <v>0</v>
      </c>
      <c r="D31299" t="inlineStr">
        <is>
          <t>Rouleau à Pâtisserie d'Aermyne; Amulette du Strigide; Alliance Gloursonne; Anneau de XLII; Bouclier Feudala; Ceinture de XLII; Coiffe d'Aermyne; Cape d'Aermyne; Bottes de XLII; Dokoko; Dofus Ocre; Dofus Émeraude; Bloqueur majeur; Acrobate majeur; Tacleur majeur; Muldo Roux</t>
        </is>
      </c>
    </row>
    <row r="31300">
      <c r="A31300" t="inlineStr">
        <is>
          <t>Stuff 3</t>
        </is>
      </c>
      <c r="B31300">
        <f>HYPERLINK("https://www.dofusbook.net/fr/equipement/177348-stuff-3/objets", "link")</f>
        <v/>
      </c>
      <c r="C31300" t="n">
        <v>2</v>
      </c>
      <c r="D31300" t="inlineStr">
        <is>
          <t>Arc Hétype; Collier de la Dame du Hasard; Chevalière du Roi Joueur; Anneau de Nidas; Bouclier cubiste; Ceintacé; Couronne du Roi Joueur; Voile d'encre; Bottes de Meno; Entraveur majeur; Remueur; Temporiseur majeur; Érudit majeur; Nomade; Kramkram</t>
        </is>
      </c>
    </row>
    <row r="31301">
      <c r="A31301" t="inlineStr">
        <is>
          <t>Stuff 1</t>
        </is>
      </c>
      <c r="B31301">
        <f>HYPERLINK("https://www.dofusbook.net/fr/equipement/177343-stuff-1/objets", "link")</f>
        <v/>
      </c>
      <c r="C31301" t="n">
        <v>0</v>
      </c>
      <c r="D31301" t="inlineStr">
        <is>
          <t>Marteau des Anciens Steamers; Amulette Ementaire Deluxe; Gelano; Alliance Gloursonne; Ceinture du Père Fwetar; Casque Dragoeuf; Voile d'encre; Bottes du Père Fwetar; Dofus Ocre; Dofus Pourpre; Vigoureux majeur; Remueur; Miraculé majeur; Nomade; Kramkram</t>
        </is>
      </c>
    </row>
    <row r="31302">
      <c r="A31302" t="inlineStr">
        <is>
          <t>Stuff 1</t>
        </is>
      </c>
      <c r="B31302">
        <f>HYPERLINK("https://www.dofusbook.net/fr/equipement/177367-stuff-1/objets", "link")</f>
        <v/>
      </c>
      <c r="C31302" t="n">
        <v>1</v>
      </c>
      <c r="D31302" t="inlineStr">
        <is>
          <t>Héqache; Amulette du Strigide; Anneau Chevelu; Anneau des égarés; Ceintacé; Chapoulpe; Cape de la Cour Sombre; Tentassons; Dofus Turquoise; Dofus Pourpre; Étourdisseur majeur; Enragé majeur; Remueur; Nomade; Kramkram</t>
        </is>
      </c>
    </row>
    <row r="31303">
      <c r="A31303" t="inlineStr">
        <is>
          <t>Stuff 2</t>
        </is>
      </c>
      <c r="B31303">
        <f>HYPERLINK("https://www.dofusbook.net/fr/equipement/177362-stuff-2/objets", "link")</f>
        <v/>
      </c>
      <c r="C31303" t="n">
        <v>0</v>
      </c>
      <c r="D31303" t="inlineStr">
        <is>
          <t>Pelle de la Cour Sombre; Collier du Valet Veinard; Gant du Valet Veinard; Alliance Gloursonne; Menoture; Couronne d'Allister; Cape Indescriptible; Palmes Trithons; Dofus Pourpre; Equilibriste majeur; Nomade; Acrobate majeur; Cascadeur majeur; Remueur; Siroko</t>
        </is>
      </c>
    </row>
    <row r="31304">
      <c r="A31304" t="inlineStr">
        <is>
          <t>Stuff 3</t>
        </is>
      </c>
      <c r="B31304">
        <f>HYPERLINK("https://www.dofusbook.net/fr/equipement/177357-stuff-3/objets", "link")</f>
        <v/>
      </c>
      <c r="C31304" t="n">
        <v>1</v>
      </c>
      <c r="D31304" t="inlineStr">
        <is>
          <t>Dagoulinantes; Amulette du Strigide; Bracelet du Piloztère; Alliance Gloursonne; Ceintacé; Masque des Fonds marins; Cape de la Dame du Hasard; Bottes de la Dame du Hasard; Dofus Pourpre; Remueur; Chanceux majeur; Nomade; Vigoureux majeur; Kramkram</t>
        </is>
      </c>
    </row>
    <row r="31305">
      <c r="A31305" t="inlineStr">
        <is>
          <t>Stuff 1</t>
        </is>
      </c>
      <c r="B31305">
        <f>HYPERLINK("https://www.dofusbook.net/fr/equipement/177361-stuff-1/objets", "link")</f>
        <v/>
      </c>
      <c r="C31305" t="n">
        <v>0</v>
      </c>
      <c r="D31305" t="inlineStr">
        <is>
          <t>Arc Hétype; Pendentif affamé; Anneau Tamie; Anneau Rifique; Ceinture Séculaire; Casque Cyclopéen; Cape de Diondin; Bottes Innommables; Savant majeur; Vigoureux majeur; Remueur; Érudit majeur; Nomade; Astucieux majeur; Brûlih</t>
        </is>
      </c>
    </row>
    <row r="31306">
      <c r="A31306" t="inlineStr">
        <is>
          <t>Stuff 2</t>
        </is>
      </c>
      <c r="B31306">
        <f>HYPERLINK("https://www.dofusbook.net/fr/equipement/177356-stuff-2/objets", "link")</f>
        <v/>
      </c>
      <c r="C31306" t="n">
        <v>0</v>
      </c>
      <c r="D31306" t="inlineStr">
        <is>
          <t>Epée Gloursonne; Amulette du Strigide; Bague Gloursonne; Alliance Gloursonne; Ceinture du Strigide; Chapeau des Malveilleurs; Cape des Malveilleurs; Bottes du Strigide; Dolmanax; Dofus Pourpre; Dofus Vulbis; Dofus Turquoise; Dofus Ocre; Kramkram</t>
        </is>
      </c>
    </row>
    <row r="31307">
      <c r="A31307" t="inlineStr">
        <is>
          <t>Zobal M 200</t>
        </is>
      </c>
      <c r="B31307">
        <f>HYPERLINK("https://www.dofusbook.net/fr/equipement/4225897-zobal-m-200/objets", "link")</f>
        <v/>
      </c>
      <c r="C31307" t="n">
        <v>0</v>
      </c>
      <c r="D31307" t="inlineStr"/>
    </row>
    <row r="31308">
      <c r="A31308" t="inlineStr">
        <is>
          <t>Ecaflip M 200</t>
        </is>
      </c>
      <c r="B31308">
        <f>HYPERLINK("https://www.dofusbook.net/fr/equipement/4191299-ecaflip-m-200/objets", "link")</f>
        <v/>
      </c>
      <c r="C31308" t="n">
        <v>6</v>
      </c>
      <c r="D31308" t="inlineStr">
        <is>
          <t>Sceptre du Roi Joueur; Amulette de Shokkoth; Anneau Volkorne; Alliance Gloursonne; Bouclier du Stalak; Sangle Ouare; Némès de Tal Kasha; Chevelure de Tal Kasha; Pataugastrique; Dofus Ivoire; Dofus Pourpre; Dofus Ocre; Dofus Turquoise; Chanceux majeur; Carapace Feu majeur; Pioute bleu</t>
        </is>
      </c>
    </row>
    <row r="31309">
      <c r="A31309" t="inlineStr">
        <is>
          <t>Crâ F 200</t>
        </is>
      </c>
      <c r="B31309">
        <f>HYPERLINK("https://www.dofusbook.net/fr/equipement/4223053-cra-f-200/objets", "link")</f>
        <v/>
      </c>
      <c r="C31309" t="n">
        <v>0</v>
      </c>
      <c r="D31309" t="inlineStr">
        <is>
          <t>Arc Volkorne; Amulette du Strigide; Alliance de Missiz Frizz; Anneau de Padgref; Quatre-feuilles; Ceinture du Strigide; Coiffe de Padgref; Chevelure de Tal Kasha; Getas de Padgref; Dofus Pourpre; Dofus Ocre; Dolmanax; Dofus Nébuleux; Dofus Turquoise; Dofus des Glaces; Sakochère</t>
        </is>
      </c>
    </row>
    <row r="31310">
      <c r="A31310" t="inlineStr">
        <is>
          <t>Eniripsa M 200</t>
        </is>
      </c>
      <c r="B31310">
        <f>HYPERLINK("https://www.dofusbook.net/fr/equipement/4182920-eniripsa-m-200/objets", "link")</f>
        <v/>
      </c>
      <c r="C31310" t="n">
        <v>0</v>
      </c>
      <c r="D31310" t="inlineStr">
        <is>
          <t>Massier; Pendentif mignon de Koutoulou; Anneau de Pol Ouatnos; Anneau Rifique; Ceinture de Vortex; Heaume Oplate; Voile d'encre; Bottes Innommables; Bisouglours</t>
        </is>
      </c>
    </row>
    <row r="31311">
      <c r="A31311" t="inlineStr">
        <is>
          <t>Stuff 1</t>
        </is>
      </c>
      <c r="B31311">
        <f>HYPERLINK("https://www.dofusbook.net/fr/equipement/339500-stuff-1/objets", "link")</f>
        <v/>
      </c>
      <c r="C31311" t="n">
        <v>0</v>
      </c>
      <c r="D31311" t="inlineStr">
        <is>
          <t>Marteau R'ture; Collier de Tourthon; Anneau de Brouce; Anneau du Comte Harebourg; Bouclier du Captain Amakna; Ceinture de Brouce; Coiffe du Comte Harebourg; Cape de la Cour Sombre; Bottes de Brouce; Dofus Ocre; Dofus Pourpre; Dofus Nébuleux; Dofus Vulbis; Dofus Turquoise; Forcené majeur; Kwaltess</t>
        </is>
      </c>
    </row>
    <row r="31312">
      <c r="A31312" t="inlineStr">
        <is>
          <t>Blabla</t>
        </is>
      </c>
      <c r="B31312">
        <f>HYPERLINK("https://www.dofusbook.net/fr/equipement/1847138-blabla/objets", "link")</f>
        <v/>
      </c>
      <c r="C31312" t="n">
        <v>0</v>
      </c>
      <c r="D31312" t="inlineStr">
        <is>
          <t>Arc de Koutoulou; Amulette du Strigide; Alliance Gloursonne; Bague Gloursonne; Quatre-feuilles; Ceinture du Strigide; Némès de Tal Kasha; Chevelure de Tal Kasha; Bottes du Strigide; Dofus Pourpre; Dofus Abyssal; Dofus Turquoise; Dofus des Glaces; Dofus Ocre; Dofus Nébuleux; Muldo Prune et Emeraude</t>
        </is>
      </c>
    </row>
    <row r="31313">
      <c r="A31313" t="inlineStr">
        <is>
          <t>test anerice</t>
        </is>
      </c>
      <c r="B31313">
        <f>HYPERLINK("https://www.dofusbook.net/fr/equipement/1746858-test-anerice/objets", "link")</f>
        <v/>
      </c>
      <c r="C31313" t="n">
        <v>0</v>
      </c>
      <c r="D31313" t="inlineStr">
        <is>
          <t>Marteau de Katrepat; Amulette du Strigide; Baguistik; Anneau Tique; Bouclier d'Anerice; Ceinture du Strigide; Masque d'Anerice; Cape d'Anerice; Bottes du Strigide; Dofus Pourpre; Dolmanax; Dofus Vulbis; Dofus Abyssal; Dofus Turquoise; Dofus Ocre; Kramkram</t>
        </is>
      </c>
    </row>
    <row r="31314">
      <c r="A31314" t="inlineStr">
        <is>
          <t>hhh</t>
        </is>
      </c>
      <c r="B31314">
        <f>HYPERLINK("https://www.dofusbook.net/fr/equipement/339520-hhh/objets", "link")</f>
        <v/>
      </c>
      <c r="C31314" t="n">
        <v>0</v>
      </c>
      <c r="D31314" t="inlineStr">
        <is>
          <t>Collier du Valet Veinard; Chapoulpe; Cape du Valet Veinard</t>
        </is>
      </c>
    </row>
    <row r="31315">
      <c r="A31315" t="inlineStr">
        <is>
          <t>Willow</t>
        </is>
      </c>
      <c r="B31315">
        <f>HYPERLINK("https://www.dofusbook.net/fr/equipement/339477-willow/objets", "link")</f>
        <v/>
      </c>
      <c r="C31315" t="n">
        <v>0</v>
      </c>
      <c r="D31315" t="inlineStr">
        <is>
          <t>Dagues de Srambad; Amulette de Pol Ouatnos; Bracelet du Piloztère; Alliance Gloursonne; Ceinture de la Reine des Voleurs; Coiffe de la Reine des Voleurs; Voile d'encre; Baleinabottes; Dofus Pourpre; Dofus des Glaces; Remueur; Vigoureux majeur; Chanceux majeur; Robuste majeur; El Scarador</t>
        </is>
      </c>
    </row>
    <row r="31316">
      <c r="A31316" t="inlineStr">
        <is>
          <t>Stuff 1</t>
        </is>
      </c>
      <c r="B31316">
        <f>HYPERLINK("https://www.dofusbook.net/fr/equipement/339499-stuff-1/objets", "link")</f>
        <v/>
      </c>
      <c r="C31316" t="n">
        <v>0</v>
      </c>
      <c r="D31316" t="inlineStr">
        <is>
          <t>Amulette du Strigide; Anneau de Pol Ouatnos; Alliance Gloursonne; Ceintacé; Coiffe d'Ogivol; Voile d'encre; Bottes du Strigide; Dofus Turquoise; Dofus des Glaces; Remueur; Miraculé majeur; Bontique</t>
        </is>
      </c>
    </row>
    <row r="31317">
      <c r="A31317" t="inlineStr">
        <is>
          <t>Stuff 1</t>
        </is>
      </c>
      <c r="B31317">
        <f>HYPERLINK("https://www.dofusbook.net/fr/equipement/339494-stuff-1/objets", "link")</f>
        <v/>
      </c>
      <c r="C31317" t="n">
        <v>0</v>
      </c>
      <c r="D31317" t="inlineStr">
        <is>
          <t>Pelle de la Cour Sombre; Amibou; Anneau Tique; Alliance Gloursonne; Sangle Ouare; Chapibou; Cape des Malveilleurs; Baleinabottes; Bousculeur; Bousculeur majeur; Culbuteur; Culbuteur majeur; Pousseur majeur; Remueur; Kramkram</t>
        </is>
      </c>
    </row>
    <row r="31318">
      <c r="A31318" t="inlineStr">
        <is>
          <t>Stuff 2</t>
        </is>
      </c>
      <c r="B31318">
        <f>HYPERLINK("https://www.dofusbook.net/fr/equipement/339489-stuff-2/objets", "link")</f>
        <v/>
      </c>
      <c r="C31318" t="n">
        <v>0</v>
      </c>
      <c r="D31318" t="inlineStr">
        <is>
          <t>Marteau Phossile; Amulette Séculaire; Alliance Gloursonne; Anneau de Padgref; Ceinture Séculaire; Coiffe de Padgref; Voile d'encre; Getas de Padgref; Kramkram</t>
        </is>
      </c>
    </row>
    <row r="31319">
      <c r="A31319" t="inlineStr">
        <is>
          <t>Stuff 3</t>
        </is>
      </c>
      <c r="B31319">
        <f>HYPERLINK("https://www.dofusbook.net/fr/equipement/339484-stuff-3/objets", "link")</f>
        <v/>
      </c>
      <c r="C31319" t="n">
        <v>0</v>
      </c>
      <c r="D31319" t="inlineStr">
        <is>
          <t>Plumeau Bil; Amulette de Nileza; Anneau de Pol Ouatnos; Anneau Tique; Ceinture de Vortex; Cagoule de Vortex; Cape de Nileza; Sabots de Vortex; Dofus Cawotte; Dofus Nébuleux; Dofus Pourpre; Dofus Ocre; Vagabond majeur; Savant majeur; Kramkram</t>
        </is>
      </c>
    </row>
    <row r="31320">
      <c r="A31320" t="inlineStr">
        <is>
          <t>Stuff 1</t>
        </is>
      </c>
      <c r="B31320">
        <f>HYPERLINK("https://www.dofusbook.net/fr/equipement/339479-stuff-1/objets", "link")</f>
        <v/>
      </c>
      <c r="C31320" t="n">
        <v>0</v>
      </c>
      <c r="D31320" t="inlineStr">
        <is>
          <t>Marteau des Anciens Steamers; Amulette Voldelor; Anneau de Pol Ouatnos; Alliance Gloursonne; Ceintacé; Masque du Barbétoal; Cape des Malveilleurs; Bottes Voldelor; Dofus Pourpre; Dofus Turquoise; Dofus des Glaces; Étourdisseur majeur; Vigoureux majeur; Remueur; Kramkram</t>
        </is>
      </c>
    </row>
    <row r="31321">
      <c r="A31321" t="inlineStr">
        <is>
          <t>Stuff 2</t>
        </is>
      </c>
      <c r="B31321">
        <f>HYPERLINK("https://www.dofusbook.net/fr/equipement/339474-stuff-2/objets", "link")</f>
        <v/>
      </c>
      <c r="C31321" t="n">
        <v>0</v>
      </c>
      <c r="D31321" t="inlineStr">
        <is>
          <t>Epée Gloursonne; Amulette du Glourséleste; Bague Gloursonne; Alliance Gloursonne; Ceinture de Kongoku; Boucle d'oreille de Kongoku; Cape de Kongoku; Bottes Voldelor; Dofus Ocre; Dofus des Glaces; Dofus Turquoise; Dolmanax; Dofus Pourpre; Kramkram</t>
        </is>
      </c>
    </row>
    <row r="31322">
      <c r="A31322" t="inlineStr">
        <is>
          <t>Stuff 1</t>
        </is>
      </c>
      <c r="B31322">
        <f>HYPERLINK("https://www.dofusbook.net/fr/equipement/339496-stuff-1/objets", "link")</f>
        <v/>
      </c>
      <c r="C31322" t="n">
        <v>0</v>
      </c>
      <c r="D31322" t="inlineStr">
        <is>
          <t>Couteau de Chasse; Amulette de Gein; Anneau du Comte Harebourg; Anneau de Brouce; Ceinture de Brouce; Coiffe du Comte Harebourg; Cape au Logis; Bottes de Brouce; Dofus Pourpre; Dofus des Glaces; Dofus Turquoise; Dofus Nébuleux; Forcené majeur; Saccageur Neutre majeur; Kompost</t>
        </is>
      </c>
    </row>
    <row r="31323">
      <c r="A31323" t="inlineStr">
        <is>
          <t>Stuff 1</t>
        </is>
      </c>
      <c r="B31323">
        <f>HYPERLINK("https://www.dofusbook.net/fr/equipement/339491-stuff-1/objets", "link")</f>
        <v/>
      </c>
      <c r="C31323" t="n">
        <v>0</v>
      </c>
      <c r="D31323" t="inlineStr">
        <is>
          <t>Le Thanos; Pendentif Oton; Anneau de Pol Ouatnos; Alliance Gloursonne; Ceinture du Barbétoal; Binocle Airvoyant; Cape Matelassée; Bottes de la Reine des Voleurs; Dofus Turquoise; Dolmanax; Carapace Air majeur; Chanceux majeur; Guérisseur majeur; Remueur; Croum</t>
        </is>
      </c>
    </row>
    <row r="31324">
      <c r="A31324" t="inlineStr">
        <is>
          <t>Stuff 2</t>
        </is>
      </c>
      <c r="B31324">
        <f>HYPERLINK("https://www.dofusbook.net/fr/equipement/339486-stuff-2/objets", "link")</f>
        <v/>
      </c>
      <c r="C31324" t="n">
        <v>0</v>
      </c>
      <c r="D31324" t="inlineStr">
        <is>
          <t>Pelle de la Cour Sombre; Amulette du Granduk; Anneau d'Allister; Anneau de Pol Ouatnos; Ceinture de Klime; Couronne d'Allister; Cape de Klime; Bottes d'Allister; Dofus des Glaces; Dofus Pourpre; Dofus Ocre; Dofus Turquoise; Acrobate majeur; Equilibriste majeur; Kramkram</t>
        </is>
      </c>
    </row>
    <row r="31325">
      <c r="A31325" t="inlineStr">
        <is>
          <t>Stuff 3</t>
        </is>
      </c>
      <c r="B31325">
        <f>HYPERLINK("https://www.dofusbook.net/fr/equipement/339481-stuff-3/objets", "link")</f>
        <v/>
      </c>
      <c r="C31325" t="n">
        <v>0</v>
      </c>
      <c r="D31325" t="inlineStr">
        <is>
          <t>Marteau des Anciens Steamers; Amulette du Strigide; Bracelet du Piloztère; Alliance Gloursonne; Ceinture du Barbétoal; Masque du Barbétoal; Cape Matelassée; Bottes de la Reine des Voleurs; Dofus des Glaces; Carapace Air majeur; Nomade; Remueur; Carapace Eau majeur; Vigoureux majeur; El Scarador</t>
        </is>
      </c>
    </row>
    <row r="31326">
      <c r="A31326" t="inlineStr">
        <is>
          <t>Stuff 1</t>
        </is>
      </c>
      <c r="B31326">
        <f>HYPERLINK("https://www.dofusbook.net/fr/equipement/339476-stuff-1/objets", "link")</f>
        <v/>
      </c>
      <c r="C31326" t="n">
        <v>0</v>
      </c>
      <c r="D31326" t="inlineStr">
        <is>
          <t>Arc Nécrotique; Talisman Igans; Anneau Tique; Alliance Gloursonne; Ceintrigue; Kidibonnet; Voile d'encre; Pataugastrique; Dofus Turquoise; Dofus des Glaces; Nomade; Chanceux majeur; Carapace Eau majeur; Déserteur majeur; El Scarador</t>
        </is>
      </c>
    </row>
    <row r="31327">
      <c r="A31327" t="inlineStr">
        <is>
          <t>Stuff 3</t>
        </is>
      </c>
      <c r="B31327">
        <f>HYPERLINK("https://www.dofusbook.net/fr/equipement/339487-stuff-3/objets", "link")</f>
        <v/>
      </c>
      <c r="C31327" t="n">
        <v>0</v>
      </c>
      <c r="D31327" t="inlineStr">
        <is>
          <t>Pelle de la Cour Sombre; Amulette de Pol Ouatnos; Anneau d'Allister; Alliance Gloursonne; Ceinture de Klime; Couronne d'Allister; Cape de Klime; Bottes d'Allister; Dofus Turquoise; Dofus Ocre; Dofus Cawotte; Insaisissable majeur; Imprenable majeur; Imprenable; Croum</t>
        </is>
      </c>
    </row>
    <row r="31328">
      <c r="A31328" t="inlineStr">
        <is>
          <t>Stuff 1</t>
        </is>
      </c>
      <c r="B31328">
        <f>HYPERLINK("https://www.dofusbook.net/fr/equipement/339482-stuff-1/objets", "link")</f>
        <v/>
      </c>
      <c r="C31328" t="n">
        <v>0</v>
      </c>
      <c r="D31328" t="inlineStr">
        <is>
          <t>Marteau des Anciens Steamers; Amulette du Strigide; Bracelet du Piloztère; Alliance Gloursonne; Ceinture du Barbétoal; Masque du Barbétoal; Cape Matelassée; Bottes de la Reine des Voleurs; Dofus Pourpre; Dofus des Glaces; Étourdisseur majeur; Nomade; Remueur; Vigoureux majeur; El Scarador</t>
        </is>
      </c>
    </row>
    <row r="31329">
      <c r="A31329" t="inlineStr">
        <is>
          <t>Willow</t>
        </is>
      </c>
      <c r="B31329">
        <f>HYPERLINK("https://www.dofusbook.net/fr/equipement/339477-willow/objets", "link")</f>
        <v/>
      </c>
      <c r="C31329" t="n">
        <v>0</v>
      </c>
      <c r="D31329" t="inlineStr">
        <is>
          <t>Dagues de Srambad; Amulette de Pol Ouatnos; Alliance Gloursonne; Bracelet du Piloztère; Ceinture de la Reine des Voleurs; Coiffe de la Reine des Voleurs; Voile d'encre; Baleinabottes; Dofus Pourpre; Dofus des Glaces; Chanceux majeur; Robuste majeur; Remueur; Vigoureux majeur; El Scarador</t>
        </is>
      </c>
    </row>
    <row r="31330">
      <c r="A31330" t="inlineStr">
        <is>
          <t>Stuff 1</t>
        </is>
      </c>
      <c r="B31330">
        <f>HYPERLINK("https://www.dofusbook.net/fr/equipement/339499-stuff-1/objets", "link")</f>
        <v/>
      </c>
      <c r="C31330" t="n">
        <v>0</v>
      </c>
      <c r="D31330" t="inlineStr">
        <is>
          <t>Amulette du Strigide; Alliance Gloursonne; Anneau de Pol Ouatnos; Ceintacé; Coiffe d'Ogivol; Voile d'encre; Bottes du Strigide; Dofus Turquoise; Dofus des Glaces; Miraculé majeur; Remueur; Bontique</t>
        </is>
      </c>
    </row>
    <row r="31331">
      <c r="A31331" t="inlineStr">
        <is>
          <t>Stuff 1</t>
        </is>
      </c>
      <c r="B31331">
        <f>HYPERLINK("https://www.dofusbook.net/fr/equipement/339494-stuff-1/objets", "link")</f>
        <v/>
      </c>
      <c r="C31331" t="n">
        <v>0</v>
      </c>
      <c r="D31331" t="inlineStr">
        <is>
          <t>Pelle de la Cour Sombre; Amibou; Anneau Tique; Alliance Gloursonne; Sangle Ouare; Chapibou; Cape des Malveilleurs; Baleinabottes; Bousculeur; Bousculeur majeur; Culbuteur; Culbuteur majeur; Pousseur majeur; Remueur; Kramkram</t>
        </is>
      </c>
    </row>
    <row r="31332">
      <c r="A31332" t="inlineStr">
        <is>
          <t>Stuff 2</t>
        </is>
      </c>
      <c r="B31332">
        <f>HYPERLINK("https://www.dofusbook.net/fr/equipement/339489-stuff-2/objets", "link")</f>
        <v/>
      </c>
      <c r="C31332" t="n">
        <v>0</v>
      </c>
      <c r="D31332" t="inlineStr">
        <is>
          <t>Marteau Phossile; Amulette Séculaire; Alliance Gloursonne; Anneau de Padgref; Ceinture Séculaire; Coiffe de Padgref; Voile d'encre; Getas de Padgref; Kramkram</t>
        </is>
      </c>
    </row>
    <row r="31333">
      <c r="A31333" t="inlineStr">
        <is>
          <t>Stuff 3</t>
        </is>
      </c>
      <c r="B31333">
        <f>HYPERLINK("https://www.dofusbook.net/fr/equipement/339484-stuff-3/objets", "link")</f>
        <v/>
      </c>
      <c r="C31333" t="n">
        <v>0</v>
      </c>
      <c r="D31333" t="inlineStr">
        <is>
          <t>Plumeau Bil; Amulette de Nileza; Anneau Tique; Anneau de Pol Ouatnos; Ceinture de Vortex; Cagoule de Vortex; Cape de Nileza; Sabots de Vortex; Dofus Ocre; Dofus Cawotte; Dofus Nébuleux; Dofus Pourpre; Vagabond majeur; Savant majeur; Kramkram</t>
        </is>
      </c>
    </row>
    <row r="31334">
      <c r="A31334" t="inlineStr">
        <is>
          <t>Stuff 1</t>
        </is>
      </c>
      <c r="B31334">
        <f>HYPERLINK("https://www.dofusbook.net/fr/equipement/339479-stuff-1/objets", "link")</f>
        <v/>
      </c>
      <c r="C31334" t="n">
        <v>0</v>
      </c>
      <c r="D31334" t="inlineStr">
        <is>
          <t>Marteau des Anciens Steamers; Amulette Voldelor; Anneau de Pol Ouatnos; Alliance Gloursonne; Ceintacé; Masque du Barbétoal; Cape des Malveilleurs; Bottes Voldelor; Dofus des Glaces; Dofus Pourpre; Dofus Turquoise; Remueur; Étourdisseur majeur; Vigoureux majeur; Kramkram</t>
        </is>
      </c>
    </row>
    <row r="31335">
      <c r="A31335" t="inlineStr">
        <is>
          <t>Stuff 2</t>
        </is>
      </c>
      <c r="B31335">
        <f>HYPERLINK("https://www.dofusbook.net/fr/equipement/339474-stuff-2/objets", "link")</f>
        <v/>
      </c>
      <c r="C31335" t="n">
        <v>0</v>
      </c>
      <c r="D31335" t="inlineStr">
        <is>
          <t>Epée Gloursonne; Amulette du Glourséleste; Alliance Gloursonne; Bague Gloursonne; Ceinture de Kongoku; Boucle d'oreille de Kongoku; Cape de Kongoku; Bottes Voldelor; Dolmanax; Dofus Pourpre; Dofus Ocre; Dofus des Glaces; Dofus Turquoise; Kramkram</t>
        </is>
      </c>
    </row>
    <row r="31336">
      <c r="A31336" t="inlineStr">
        <is>
          <t>Stuff 1</t>
        </is>
      </c>
      <c r="B31336">
        <f>HYPERLINK("https://www.dofusbook.net/fr/equipement/339496-stuff-1/objets", "link")</f>
        <v/>
      </c>
      <c r="C31336" t="n">
        <v>0</v>
      </c>
      <c r="D31336" t="inlineStr">
        <is>
          <t>Couteau de Chasse; Amulette de Gein; Anneau du Comte Harebourg; Anneau de Brouce; Ceinture de Brouce; Coiffe du Comte Harebourg; Cape au Logis; Bottes de Brouce; Dofus Pourpre; Dofus des Glaces; Dofus Turquoise; Dofus Nébuleux; Forcené majeur; Saccageur Neutre majeur; Kompost</t>
        </is>
      </c>
    </row>
    <row r="31337">
      <c r="A31337" t="inlineStr">
        <is>
          <t>Stuff 1</t>
        </is>
      </c>
      <c r="B31337">
        <f>HYPERLINK("https://www.dofusbook.net/fr/equipement/339491-stuff-1/objets", "link")</f>
        <v/>
      </c>
      <c r="C31337" t="n">
        <v>0</v>
      </c>
      <c r="D31337" t="inlineStr">
        <is>
          <t>Le Thanos; Pendentif Oton; Anneau de Pol Ouatnos; Alliance Gloursonne; Ceinture du Barbétoal; Binocle Airvoyant; Cape Matelassée; Bottes de la Reine des Voleurs; Dofus Turquoise; Dolmanax; Carapace Air majeur; Chanceux majeur; Guérisseur majeur; Remueur; Croum</t>
        </is>
      </c>
    </row>
    <row r="31338">
      <c r="A31338" t="inlineStr">
        <is>
          <t>Stuff 2</t>
        </is>
      </c>
      <c r="B31338">
        <f>HYPERLINK("https://www.dofusbook.net/fr/equipement/339486-stuff-2/objets", "link")</f>
        <v/>
      </c>
      <c r="C31338" t="n">
        <v>0</v>
      </c>
      <c r="D31338" t="inlineStr">
        <is>
          <t>Pelle de la Cour Sombre; Amulette du Granduk; Anneau d'Allister; Anneau de Pol Ouatnos; Ceinture de Klime; Couronne d'Allister; Cape de Klime; Bottes d'Allister; Dofus Turquoise; Dofus des Glaces; Dofus Pourpre; Dofus Ocre; Equilibriste majeur; Acrobate majeur; Kramkram</t>
        </is>
      </c>
    </row>
    <row r="31339">
      <c r="A31339" t="inlineStr">
        <is>
          <t>Stuff 3</t>
        </is>
      </c>
      <c r="B31339">
        <f>HYPERLINK("https://www.dofusbook.net/fr/equipement/339481-stuff-3/objets", "link")</f>
        <v/>
      </c>
      <c r="C31339" t="n">
        <v>0</v>
      </c>
      <c r="D31339" t="inlineStr">
        <is>
          <t>Marteau des Anciens Steamers; Amulette du Strigide; Bracelet du Piloztère; Alliance Gloursonne; Ceinture du Barbétoal; Masque du Barbétoal; Cape Matelassée; Bottes de la Reine des Voleurs; Dofus des Glaces; Remueur; Carapace Eau majeur; Vigoureux majeur; Carapace Air majeur; Nomade; El Scarador</t>
        </is>
      </c>
    </row>
    <row r="31340">
      <c r="A31340" t="inlineStr">
        <is>
          <t>Stuff 1</t>
        </is>
      </c>
      <c r="B31340">
        <f>HYPERLINK("https://www.dofusbook.net/fr/equipement/339476-stuff-1/objets", "link")</f>
        <v/>
      </c>
      <c r="C31340" t="n">
        <v>0</v>
      </c>
      <c r="D31340" t="inlineStr">
        <is>
          <t>Arc Nécrotique; Talisman Igans; Alliance Gloursonne; Anneau Tique; Ceintrigue; Kidibonnet; Voile d'encre; Pataugastrique; Dofus Turquoise; Dofus des Glaces; Carapace Eau majeur; Déserteur majeur; Nomade; Chanceux majeur; El Scarador</t>
        </is>
      </c>
    </row>
    <row r="31341">
      <c r="A31341" t="inlineStr">
        <is>
          <t>Stuff 1</t>
        </is>
      </c>
      <c r="B31341">
        <f>HYPERLINK("https://www.dofusbook.net/fr/equipement/339473-stuff-1/objets", "link")</f>
        <v/>
      </c>
      <c r="C31341" t="n">
        <v>0</v>
      </c>
      <c r="D31341" t="inlineStr">
        <is>
          <t>Arc Hétype; Amulette Séculaire; Alliance Gloursonne; Anneau Tique; Ceinture Séculaire; Couronne de Nidas; Voile d'encre; Pataugastrique; Déserteur majeur; Nomade; Érudit majeur; Temporiseur majeur; Entraveur; Remueur; Croum</t>
        </is>
      </c>
    </row>
    <row r="31342">
      <c r="A31342" t="inlineStr">
        <is>
          <t>Stuff 2</t>
        </is>
      </c>
      <c r="B31342">
        <f>HYPERLINK("https://www.dofusbook.net/fr/equipement/94916-stuff-2/objets", "link")</f>
        <v/>
      </c>
      <c r="C31342" t="n">
        <v>2</v>
      </c>
      <c r="D31342" t="inlineStr">
        <is>
          <t>Dagoulinantes; Amulette Luminescente; Alliance Gloursonne; Bracelet des Fonds marins; Quatre-feuilles; Ceinture Luminescente; Masque des Fonds marins; Cape Luminescente; Sandales des Fonds marins; Dofus Ocre; Dofus Ivoire; Dofus Turquoise; Dofus Abyssal; Dofus Vulbis; Dofus Nébuleux; Kanigloups</t>
        </is>
      </c>
    </row>
    <row r="31343">
      <c r="A31343" t="inlineStr">
        <is>
          <t>Stuff 2</t>
        </is>
      </c>
      <c r="B31343">
        <f>HYPERLINK("https://www.dofusbook.net/fr/equipement/94985-stuff-2/objets", "link")</f>
        <v/>
      </c>
      <c r="C31343" t="n">
        <v>14</v>
      </c>
      <c r="D31343" t="inlineStr">
        <is>
          <t>Arc de Koutoulou; Amulette Ementaire Deluxe; Alliance Gloursonne; Anneau Volkorne; Quatre-feuilles; Ceinture Volkorne; Casque Volkorne; Carapace de Torkélonia; Bottes de Meno; Dofus Vulbis; Dofus Nébuleux; Dofus Ocre; Dofus Ivoire; Dofus Pourpre; Dofus Turquoise; Sakochère</t>
        </is>
      </c>
    </row>
    <row r="31344">
      <c r="A31344" t="inlineStr">
        <is>
          <t>Stuff 1</t>
        </is>
      </c>
      <c r="B31344">
        <f>HYPERLINK("https://www.dofusbook.net/fr/equipement/94948-stuff-1/objets", "link")</f>
        <v/>
      </c>
      <c r="C31344" t="n">
        <v>10</v>
      </c>
      <c r="D31344" t="inlineStr">
        <is>
          <t>Epée Gloursonne; Amulette Volkorne; Bague Gloursonne; Alliance Gloursonne; Bouclier du Captain Amakna; Ceinture Volkorne; Casque Volkorne; Carapace de Torkélonia; Bottes du Cœur Saignant; Dofus Ivoire; Dofus Turquoise; Dofus Vulbis; Dofus Nébuleux; Dofus Pourpre; Dofus Ocre; Sakochère</t>
        </is>
      </c>
    </row>
    <row r="31345">
      <c r="A31345" t="inlineStr">
        <is>
          <t>Ecaflip F 200</t>
        </is>
      </c>
      <c r="B31345">
        <f>HYPERLINK("https://www.dofusbook.net/fr/equipement/5962553-ecaflip-f-200/objets", "link")</f>
        <v/>
      </c>
      <c r="C31345" t="n">
        <v>0</v>
      </c>
      <c r="D31345" t="inlineStr">
        <is>
          <t>Hache du Chalœil; Amulette du Strigide; Bague Trithon; Alliance Gloursonne; Bouclier du Captain Amakna; Ceinture du Strigide; Masque Trithon; Carapace de Torkélonia; Bottes du Strigide; Dofus Vulbis; Dofus Ocre; Dolmanax; Dofus Turquoise; Dofus Pourpre; Dofus Nébuleux; Sakochère</t>
        </is>
      </c>
    </row>
    <row r="31346">
      <c r="A31346" t="inlineStr">
        <is>
          <t>Stuff 2</t>
        </is>
      </c>
      <c r="B31346">
        <f>HYPERLINK("https://www.dofusbook.net/fr/equipement/94946-stuff-2/objets", "link")</f>
        <v/>
      </c>
      <c r="C31346" t="n">
        <v>1</v>
      </c>
      <c r="D31346" t="inlineStr">
        <is>
          <t>Dagues du Dragoeuf; Amulette Voldelor; Anneau de la Fuji Givrefoux; Anneau de Padgref; Bouclier du Captain Amakna; Ceinture Voldelor; Coiffe de la Fuji Givrefoux; Cape de la Fuji Givrefoux; Bottes Voldelor; Dofus Abyssal; Dofus Turquoise; Dofus Pourpre; Dofus Ocre; Dofus Vulbis; Dofus Nébuleux; Pioute jaune</t>
        </is>
      </c>
    </row>
    <row r="31347">
      <c r="A31347" t="inlineStr">
        <is>
          <t>Sram M 200</t>
        </is>
      </c>
      <c r="B31347">
        <f>HYPERLINK("https://www.dofusbook.net/fr/equipement/5960856-sram-m-200/objets", "link")</f>
        <v/>
      </c>
      <c r="C31347" t="n">
        <v>0</v>
      </c>
      <c r="D31347" t="inlineStr">
        <is>
          <t>Dagues du Dragoeuf; Amulette de Gein; Chevalière du Roi Joueur; Anneau Chevelu; Bouclier du Captain Amakna; Ceinture de Gein; Couronne du Roi Joueur; Carapace de Torkélonia; Bottes du Roi Joueur; Dofus Pourpre; Dofus Nébuleux; Dofus Turquoise; Dolmanax; Dofus Ocre; Forcené majeur; Pioute vert</t>
        </is>
      </c>
    </row>
    <row r="31348">
      <c r="A31348" t="inlineStr">
        <is>
          <t>Sram F 200</t>
        </is>
      </c>
      <c r="B31348">
        <f>HYPERLINK("https://www.dofusbook.net/fr/equipement/5963971-sram-f-200/objets", "link")</f>
        <v/>
      </c>
      <c r="C31348" t="n">
        <v>0</v>
      </c>
      <c r="D31348" t="inlineStr">
        <is>
          <t>Dagues du Dragoeuf; Amulette de Gein; Chevalière du Roi Joueur; Anneau de Brouce; Bouclier du Captain Amakna; Ceinture de Brouce; Chapeau de Gein; Cape du Cœur Saignant; Bottes de Brouce; Dolmanax; Dofus Ocre; Dofus Pourpre; Dofus Nébuleux; Dofus Turquoise; Forcené majeur; Pioute vert</t>
        </is>
      </c>
    </row>
    <row r="31349">
      <c r="A31349" t="inlineStr">
        <is>
          <t>Sram M 200</t>
        </is>
      </c>
      <c r="B31349">
        <f>HYPERLINK("https://www.dofusbook.net/fr/equipement/5962523-sram-m-200/objets", "link")</f>
        <v/>
      </c>
      <c r="C31349" t="n">
        <v>0</v>
      </c>
      <c r="D31349" t="inlineStr">
        <is>
          <t>Hache du Guerrier Zoth; Amulette de l'Indicible; Alliance Gloursonne; Bracelet des Fonds marins; Bouclier du Captain Amakna; Ceinture de l'Indicible; Némès de Tal Kasha; Chevelure de Tal Kasha; Sandales de Tal Kasha; Dofus Pourpre; Dofus Nébuleux; Dofus Ocre; Dofus Abyssal; Dolmanax; Dofus Turquoise; Pioute bleu</t>
        </is>
      </c>
    </row>
    <row r="31350">
      <c r="A31350" t="inlineStr">
        <is>
          <t>Stuff 2</t>
        </is>
      </c>
      <c r="B31350">
        <f>HYPERLINK("https://www.dofusbook.net/fr/equipement/94897-stuff-2/objets", "link")</f>
        <v/>
      </c>
      <c r="C31350" t="n">
        <v>3</v>
      </c>
      <c r="D31350" t="inlineStr">
        <is>
          <t>Dagues du Dragoeuf; Collier de la Dame du Hasard; Anneauræus; Anneau de Padgref; Bouclier du Captain Amakna; Croture; Coiffe de Padgref; Cape de la Dame du Hasard; Getas de Padgref; Dolmanax; Dofus Turquoise; Dofus Nébuleux; Dofus Abyssal; Dofus Ocre; Astucieux majeur; Pioute rouge</t>
        </is>
      </c>
    </row>
    <row r="31351">
      <c r="A31351" t="inlineStr">
        <is>
          <t>dsfafa</t>
        </is>
      </c>
      <c r="B31351">
        <f>HYPERLINK("https://www.dofusbook.net/fr/equipement/1362577-dsfafa/objets", "link")</f>
        <v/>
      </c>
      <c r="C31351" t="n">
        <v>1</v>
      </c>
      <c r="D31351" t="inlineStr">
        <is>
          <t>Marteau des égarés; Amulette du Strigide; Bracelet du Piloztère; Chevalière du Roi Joueur; Quatre-feuilles; Ceintacé; Casque du Chalœil; Cape du Chalœil; Bottes du Strigide; Dofus Pourpre; Dofus Ocre; Dofus Turquoise; Dofus Ivoire; Dofus Vulbis; Dofus Nébuleux; Chacha Angora</t>
        </is>
      </c>
    </row>
    <row r="31352">
      <c r="A31352" t="inlineStr">
        <is>
          <t>Stuff 2</t>
        </is>
      </c>
      <c r="B31352">
        <f>HYPERLINK("https://www.dofusbook.net/fr/equipement/94888-stuff-2/objets", "link")</f>
        <v/>
      </c>
      <c r="C31352" t="n">
        <v>2</v>
      </c>
      <c r="D31352" t="inlineStr">
        <is>
          <t>Dagues d'Ilyzaelle; Amulette du Strigide; Anneau Chevelu; Bague Gloursonne; Bouclier du Captain Amakna; Ceintacé; Corne de Torkélonia; Carapace de Torkélonia; Bottes du Strigide; Dofus Pourpre; Dofus Turquoise; Dofus Ivoire; Dofus Ocre; Dofus Vulbis; Dofus Nébuleux; Bulbisou</t>
        </is>
      </c>
    </row>
    <row r="31353">
      <c r="A31353" t="inlineStr">
        <is>
          <t>Stuff 2</t>
        </is>
      </c>
      <c r="B31353">
        <f>HYPERLINK("https://www.dofusbook.net/fr/equipement/94922-stuff-2/objets", "link")</f>
        <v/>
      </c>
      <c r="C31353" t="n">
        <v>17</v>
      </c>
      <c r="D31353" t="inlineStr">
        <is>
          <t>Sceptre du Roi Joueur; Amulette Luminescente; Alliance Gloursonne; Pikano; Bouclier cubiste; Ceinture Luminescente; Casquipik; Cape Luminescente; Pikottes; Dofus Ivoire; Dofus Nébuleux; Dofus Vulbis; Ralentisseur majeur; Entraveur; Entraveur majeur; Volkorne Turquoise</t>
        </is>
      </c>
    </row>
    <row r="31354">
      <c r="A31354" t="inlineStr">
        <is>
          <t>Stuff 2</t>
        </is>
      </c>
      <c r="B31354">
        <f>HYPERLINK("https://www.dofusbook.net/fr/equipement/94906-stuff-2/objets", "link")</f>
        <v/>
      </c>
      <c r="C31354" t="n">
        <v>9</v>
      </c>
      <c r="D31354" t="inlineStr">
        <is>
          <t>Hache Téroïde; Amulette du Strigide; Anneau de Padgref; Alliance Gloursonne; Bouclier du Captain Amakna; Ceintacé; Coiffe de Padgref; Cape au Logis; Bottes du Strigide; Dofus Émeraude; Dofus Ocre; Dolmanax; Dofus Turquoise; Dofus Pourpre; Dofus Nébuleux; Chacha Angora</t>
        </is>
      </c>
    </row>
    <row r="31355">
      <c r="A31355" t="inlineStr">
        <is>
          <t>Stuff 1</t>
        </is>
      </c>
      <c r="B31355">
        <f>HYPERLINK("https://www.dofusbook.net/fr/equipement/94921-stuff-1/objets", "link")</f>
        <v/>
      </c>
      <c r="C31355" t="n">
        <v>1</v>
      </c>
      <c r="D31355" t="inlineStr">
        <is>
          <t>Dagues Açantes; Amulette du Glourséleste; Pikano; Alliance Gloursonne; Bouclier cubiste; Ceinture Glaciale; Casquipik; Cape Matelassée; Bottes de Meno; Carapace Eau majeur; Temporiseur majeur; Remueur; Ralentisseur majeur; Nomade; Entraveur majeur; Volkorne Turquoise</t>
        </is>
      </c>
    </row>
    <row r="31356">
      <c r="A31356" t="inlineStr">
        <is>
          <t>Stuff 3</t>
        </is>
      </c>
      <c r="B31356">
        <f>HYPERLINK("https://www.dofusbook.net/fr/equipement/94968-stuff-3/objets", "link")</f>
        <v/>
      </c>
      <c r="C31356" t="n">
        <v>15</v>
      </c>
      <c r="D31356" t="inlineStr">
        <is>
          <t>Arc du Chalœil; Amulette du Strigide; Bague Gloursonne; Anneau Chevelu; Quatre-feuilles; Ceinture du Strigide; Casque de Missiz Frizz; Cape du Professeur Xa; Bottes du Cycloïde; Dofus Émeraude; Dofus Pourpre; Dofus Turquoise; Dofus Ocre; Enragé majeur; Nomade; Volkorne Saphir</t>
        </is>
      </c>
    </row>
    <row r="31357">
      <c r="A31357" t="inlineStr">
        <is>
          <t>Ecaflip M 200</t>
        </is>
      </c>
      <c r="B31357">
        <f>HYPERLINK("https://www.dofusbook.net/fr/equipement/5759205-ecaflip-m-200/objets", "link")</f>
        <v/>
      </c>
      <c r="C31357" t="n">
        <v>0</v>
      </c>
      <c r="D31357" t="inlineStr">
        <is>
          <t>Arc corrompu; Amulette Volkorne; Anneauræus; Anneau de Padgref; Quatre-feuilles; Ceinture de Vortex; Coiffe de Padgref; Cape de Diondin; Bottes de la Dame du Hasard; Dofus Nébuleux; Dofus Ocre; Dofus Turquoise; Érudit majeur; Nomade; Astucieux majeur; Pioute rouge</t>
        </is>
      </c>
    </row>
    <row r="31358">
      <c r="A31358" t="inlineStr">
        <is>
          <t>çççççç</t>
        </is>
      </c>
      <c r="B31358">
        <f>HYPERLINK("https://www.dofusbook.net/fr/equipement/2292026-cccccc/objets", "link")</f>
        <v/>
      </c>
      <c r="C31358" t="n">
        <v>0</v>
      </c>
      <c r="D31358" t="inlineStr">
        <is>
          <t>Sabres d'Atcham; Amulette du Strigide; Anneauræus; Alliance Gloursonne; Bouclier du Captain Amakna; Ceinture du Strigide; Chapeau des Malveilleurs; Cape d'Atcham; Bottes Honyme; Dofus Nébuleux; Dofus Vulbis; Dofus Turquoise; Dofus Ivoire; Dofus Pourpre; Dofus Ocre; Chacha Angora</t>
        </is>
      </c>
    </row>
    <row r="31359">
      <c r="A31359" t="inlineStr">
        <is>
          <t>Sacrieur M 200</t>
        </is>
      </c>
      <c r="B31359">
        <f>HYPERLINK("https://www.dofusbook.net/fr/equipement/5600251-sacrieur-m-200/objets", "link")</f>
        <v/>
      </c>
      <c r="C31359" t="n">
        <v>0</v>
      </c>
      <c r="D31359" t="inlineStr">
        <is>
          <t>Épée du Granduk; Amulette Voldelor; Anneau de Padgref; Alliance Gloursonne; Bouclier du Captain Amakna; Ceinture Voldelor; Coiffe de Padgref; Chevelure de Tal Kasha; Bottes Voldelor; Dofus Émeraude; Dofus Ivoire; Dofus Turquoise; Dofus Ocre; Dofus Nébuleux; Dofus Vulbis; Pioute jaune</t>
        </is>
      </c>
    </row>
    <row r="31360">
      <c r="A31360" t="inlineStr">
        <is>
          <t>Sadida M 200</t>
        </is>
      </c>
      <c r="B31360">
        <f>HYPERLINK("https://www.dofusbook.net/fr/equipement/5600230-sadida-m-200/objets", "link")</f>
        <v/>
      </c>
      <c r="C31360" t="n">
        <v>0</v>
      </c>
      <c r="D31360" t="inlineStr">
        <is>
          <t>Marteau R'ture; Amulette de Gein; Chevalière du Roi Joueur; Anneau de Brouce; Bouclier du Captain Amakna; Ceinture de Brouce; Coiffe de la Reine des Voleurs; Cape au Logis; Baleinabottes; Dofus Turquoise; Dofus Ocre; Dofus Nébuleux; Dofus Vulbis; Forcené majeur; Enragé majeur; Pioute vert</t>
        </is>
      </c>
    </row>
    <row r="31361">
      <c r="A31361" t="inlineStr">
        <is>
          <t>Huppermage M 200</t>
        </is>
      </c>
      <c r="B31361">
        <f>HYPERLINK("https://www.dofusbook.net/fr/equipement/5600013-huppermage-m-200/objets", "link")</f>
        <v/>
      </c>
      <c r="C31361" t="n">
        <v>0</v>
      </c>
      <c r="D31361" t="inlineStr">
        <is>
          <t>Arc de Koutoulou; Amulette du Strigide; Alliance Gloursonne; Chevalière du Roi Joueur; Quatre-feuilles; Ceintacé; Corne de Torkélonia; Carapace de Torkélonia; Bottes du Strigide; Dolmanax; Dofus Ocre; Dofus Turquoise; Dofus Vulbis; Dofus Nébuleux; Dofus Ivoire; Chacha Angora</t>
        </is>
      </c>
    </row>
    <row r="31362">
      <c r="A31362" t="inlineStr">
        <is>
          <t>Stuff 1</t>
        </is>
      </c>
      <c r="B31362">
        <f>HYPERLINK("https://www.dofusbook.net/fr/equipement/94896-stuff-1/objets", "link")</f>
        <v/>
      </c>
      <c r="C31362" t="n">
        <v>5</v>
      </c>
      <c r="D31362" t="inlineStr">
        <is>
          <t>Dagues du Dragoeuf; Amulette du Strigide; Anneau de Padgref; Bracelet du Piloztère; Bouclier du Captain Amakna; Ceinture du Strigide; Coiffe de Padgref; Carapace de Torkélonia; Bottes du Strigide; Dofus Ivoire; Dofus Turquoise; Dofus Vulbis; Dofus Nébuleux; Dolmanax; Dofus Ocre; Chacha Angora</t>
        </is>
      </c>
    </row>
    <row r="31363">
      <c r="A31363" t="inlineStr">
        <is>
          <t>fsfsdfs</t>
        </is>
      </c>
      <c r="B31363">
        <f>HYPERLINK("https://www.dofusbook.net/fr/equipement/1579389-fsfsdfs/objets", "link")</f>
        <v/>
      </c>
      <c r="C31363" t="n">
        <v>6</v>
      </c>
      <c r="D31363" t="inlineStr">
        <is>
          <t>Dagues Eudin; Amulette du Strigide; Chevalière du Roi Joueur; Bracelet du Piloztère; Bouclier du Captain Amakna; Ceintouse; Corne de Torkélonia; Carapace de Torkélonia; Baleinabottes; Dofus Ocre; Dofus Turquoise; Dofus Nébuleux; Dofus Vulbis; Enragé majeur; Cascadeur majeur; Mékrabe</t>
        </is>
      </c>
    </row>
    <row r="31364">
      <c r="A31364" t="inlineStr">
        <is>
          <t>hgfhgfhgf</t>
        </is>
      </c>
      <c r="B31364">
        <f>HYPERLINK("https://www.dofusbook.net/fr/equipement/1589043-hgfhgfhgf/objets", "link")</f>
        <v/>
      </c>
      <c r="C31364" t="n">
        <v>3</v>
      </c>
      <c r="D31364" t="inlineStr">
        <is>
          <t>Dagues du Dragoeuf; Amulette du Strigide; Anneau de Padgref; Bague Trithon; Bouclier du Captain Amakna; Ceinture du Strigide; Coiffe de Padgref; Carapace de Torkélonia; Bottes du Strigide; Dofus Ocre; Dofus Turquoise; Dofus Vulbis; Dofus Pourpre; Dofus Ivoire; Dofus Nébuleux; Kokulte</t>
        </is>
      </c>
    </row>
    <row r="31365">
      <c r="A31365" t="inlineStr">
        <is>
          <t>Stuff 2</t>
        </is>
      </c>
      <c r="B31365">
        <f>HYPERLINK("https://www.dofusbook.net/fr/equipement/94949-stuff-2/objets", "link")</f>
        <v/>
      </c>
      <c r="C31365" t="n">
        <v>2</v>
      </c>
      <c r="D31365" t="inlineStr">
        <is>
          <t>Baguette de Torkélonia; Amulette Voldelor; Alliance Gloursonne; Anneau de Padgref; Bouclier du Captain Amakna; Ceinture Voldelor; Coiffe de Padgref; Carapace de Torkélonia; Bottes Voldelor; Dofus Nébuleux; Dofus Ocre; Dolmanax; Dofus Turquoise; Dofus Pourpre; Dofus Vulbis; Pioute jaune</t>
        </is>
      </c>
    </row>
    <row r="31366">
      <c r="A31366" t="inlineStr">
        <is>
          <t>adasdas</t>
        </is>
      </c>
      <c r="B31366">
        <f>HYPERLINK("https://www.dofusbook.net/fr/equipement/1138129-adasdas/objets", "link")</f>
        <v/>
      </c>
      <c r="C31366" t="n">
        <v>22</v>
      </c>
      <c r="D31366" t="inlineStr">
        <is>
          <t>Arc corrompu; Amulette Volkorne; Anneauræus; Anneau de Padgref; Quatre-feuilles; Croture; Coiffe de Padgref; Cape de Diondin; Getas de Padgref; Dofus Émeraude; Dofus Vulbis; Dofus Ocre; Dofus Ivoire; Dolmanax; Dofus Nébuleux; Pioute rouge</t>
        </is>
      </c>
    </row>
    <row r="31367">
      <c r="A31367" t="inlineStr">
        <is>
          <t>Stuff 3</t>
        </is>
      </c>
      <c r="B31367">
        <f>HYPERLINK("https://www.dofusbook.net/fr/equipement/94914-stuff-3/objets", "link")</f>
        <v/>
      </c>
      <c r="C31367" t="n">
        <v>9</v>
      </c>
      <c r="D31367" t="inlineStr">
        <is>
          <t>Dagues du Dragoeuf; Amulette de Gein; Chevalière du Roi Joueur; Bague Gloursonne; Bouclier du Captain Amakna; Ceinture de Gein; Chapeau de Gein; Voile d'encre; Bottes du Roi Joueur; Dofus Ocre; Dofus Ivoire; Dolmanax; Dofus Turquoise; Dofus Vulbis; Dofus Nébuleux; Cromeugnon</t>
        </is>
      </c>
    </row>
    <row r="31368">
      <c r="A31368" t="inlineStr">
        <is>
          <t>Stuff 3</t>
        </is>
      </c>
      <c r="B31368">
        <f>HYPERLINK("https://www.dofusbook.net/fr/equipement/94926-stuff-3/objets", "link")</f>
        <v/>
      </c>
      <c r="C31368" t="n">
        <v>2</v>
      </c>
      <c r="D31368" t="inlineStr">
        <is>
          <t>Baguette de Torkélonia; Amulette du Strigide; Anneau de Padgref; Bague Trithon; Quatre-feuilles; Ceinture du Strigide; Masque Trithon; Carapace de Torkélonia; Bottes Trithon; Dofus des Glaces; Dofus Ocre; Dofus Pourpre; Dofus Nébuleux; Dofus Vulbis; Dofus Turquoise; Sakochère</t>
        </is>
      </c>
    </row>
    <row r="31369">
      <c r="A31369" t="inlineStr">
        <is>
          <t>Stuff 3</t>
        </is>
      </c>
      <c r="B31369">
        <f>HYPERLINK("https://www.dofusbook.net/fr/equipement/94986-stuff-3/objets", "link")</f>
        <v/>
      </c>
      <c r="C31369" t="n">
        <v>6</v>
      </c>
      <c r="D31369" t="inlineStr">
        <is>
          <t>Baguette de Torkélonia; Amulette du Strigide; Bracelet du Piloztère; Chevalière du Roi Joueur; Bouclier du Captain Amakna; Ceintacé; Corne de Torkélonia; Carapace de Torkélonia; Bottes du Strigide; Dofus Vulbis; Dofus Nébuleux; Dofus Ocre; Dofus Ivoire; Dolmanax; Dofus Turquoise; Chacha Angora</t>
        </is>
      </c>
    </row>
    <row r="31370">
      <c r="A31370" t="inlineStr">
        <is>
          <t>ffff</t>
        </is>
      </c>
      <c r="B31370">
        <f>HYPERLINK("https://www.dofusbook.net/fr/equipement/2175153-ffff/objets", "link")</f>
        <v/>
      </c>
      <c r="C31370" t="n">
        <v>1</v>
      </c>
      <c r="D31370" t="inlineStr">
        <is>
          <t>Dagues du Dragoeuf; Amulette du Strigide; Anneau de Padgref; Alliance de Missiz Frizz; Bouclier du Captain Amakna; Ceinture du Strigide; Corne de Torkélonia; Carapace de Torkélonia; Bottes du Strigide; Dofus Turquoise; Dofus Ivoire; Dofus Ocre; Dofus Nébuleux; Dolmanax; Dofus Vulbis; Chacha Angora</t>
        </is>
      </c>
    </row>
    <row r="31371">
      <c r="A31371" t="inlineStr">
        <is>
          <t>Stuff 3</t>
        </is>
      </c>
      <c r="B31371">
        <f>HYPERLINK("https://www.dofusbook.net/fr/equipement/94944-stuff-3/objets", "link")</f>
        <v/>
      </c>
      <c r="C31371" t="n">
        <v>6</v>
      </c>
      <c r="D31371" t="inlineStr">
        <is>
          <t>Sabres d'Atcham; Collier Lunaire; Anneau de Padgref; Anneau Lunaire; Quatre-feuilles; Ceintacé; Coiffe de Padgref; Cape d'Atcham; Bottes Lunaires; Dolmanax; Dofus Ocre; Dofus Nébuleux; Dofus Vulbis; Dofus Ivoire; Dofus Turquoise; Sakochère</t>
        </is>
      </c>
    </row>
    <row r="31372">
      <c r="A31372" t="inlineStr">
        <is>
          <t>Stuff 2</t>
        </is>
      </c>
      <c r="B31372">
        <f>HYPERLINK("https://www.dofusbook.net/fr/equipement/94952-stuff-2/objets", "link")</f>
        <v/>
      </c>
      <c r="C31372" t="n">
        <v>2</v>
      </c>
      <c r="D31372" t="inlineStr">
        <is>
          <t>Pelle de la Cour Sombre; Pendentif mignon de Koutoulou; Anneau de Padgref; Alliance Gloursonne; Quatre-feuilles; Menoture; Corne de Torkélonia; Carapace de Torkélonia; Palmes Trithons; Dofus Turquoise; Carapace Air majeur; Equilibriste majeur; Remueur; Cascadeur majeur; Nomade; Dragodinde Ebène</t>
        </is>
      </c>
    </row>
    <row r="31373">
      <c r="A31373" t="inlineStr">
        <is>
          <t>jjkkh</t>
        </is>
      </c>
      <c r="B31373">
        <f>HYPERLINK("https://www.dofusbook.net/fr/equipement/2951848-jjkkh/objets", "link")</f>
        <v/>
      </c>
      <c r="C31373" t="n">
        <v>1</v>
      </c>
      <c r="D31373" t="inlineStr">
        <is>
          <t>Amulette du Strigide; Alliance de Missiz Frizz; Bague Gloursonne; Bouclier du Captain Amakna; Ceinture du Strigide; Casque de Missiz Frizz; Cape du Professeur Xa; Bottes du Strigide; Dofus Pourpre; Dofus Ocre; Dofus Vulbis; Dofus Ivoire; Dofus Turquoise; Dofus Nébuleux; Chacha Angora</t>
        </is>
      </c>
    </row>
    <row r="31374">
      <c r="A31374" t="inlineStr">
        <is>
          <t>Stuff 2</t>
        </is>
      </c>
      <c r="B31374">
        <f>HYPERLINK("https://www.dofusbook.net/fr/equipement/94885-stuff-2/objets", "link")</f>
        <v/>
      </c>
      <c r="C31374" t="n">
        <v>5</v>
      </c>
      <c r="D31374" t="inlineStr">
        <is>
          <t>Arc corrompu; Amulette Séculaire; Anneau Tique; Anneauræus; Bouclier du Cycloïde; Croture; Coiffe Séculaire; Cape de Diondin; Bottes Innommables; Dofus Turquoise; Astucieux majeur; Remueur; Érudit majeur; Carapace Feu majeur; Nomade; Dragodinde Orchidée et Rousse</t>
        </is>
      </c>
    </row>
    <row r="31375">
      <c r="A31375" t="inlineStr">
        <is>
          <t>Stuff 3</t>
        </is>
      </c>
      <c r="B31375">
        <f>HYPERLINK("https://www.dofusbook.net/fr/equipement/94886-stuff-3/objets", "link")</f>
        <v/>
      </c>
      <c r="C31375" t="n">
        <v>7</v>
      </c>
      <c r="D31375" t="inlineStr">
        <is>
          <t>Arc corrompu; Amulette Volkorne; Anneauræus; Anneau de Nidas; Bouclier du Cycloïde; Ceinture de Vortex; Couronne de Nidas; Voile d'encre; Pataugastrique; Dofus Turquoise; Guérisseur majeur; Remueur; Astucieux majeur; Nomade; Érudit majeur; Bisouglours</t>
        </is>
      </c>
    </row>
    <row r="31376">
      <c r="A31376" t="inlineStr">
        <is>
          <t>Stuff 1</t>
        </is>
      </c>
      <c r="B31376">
        <f>HYPERLINK("https://www.dofusbook.net/fr/equipement/94954-stuff-1/objets", "link")</f>
        <v/>
      </c>
      <c r="C31376" t="n">
        <v>2</v>
      </c>
      <c r="D31376" t="inlineStr">
        <is>
          <t>Marteau Phossile; Amulette Voldelor; Anneau de Padgref; Anneauræus; Quatre-feuilles; Ceinture de Vortex; Coiffe de Padgref; Cape de Diondin; Pantoufles Émar; Dofus Ivoire; Dofus Turquoise; Dofus Vulbis; Cascadeur majeur; Miraculé majeur; Érudit majeur; Willy le Relou</t>
        </is>
      </c>
    </row>
    <row r="31377">
      <c r="A31377" t="inlineStr">
        <is>
          <t>Stuff 2</t>
        </is>
      </c>
      <c r="B31377">
        <f>HYPERLINK("https://www.dofusbook.net/fr/equipement/94940-stuff-2/objets", "link")</f>
        <v/>
      </c>
      <c r="C31377" t="n">
        <v>9</v>
      </c>
      <c r="D31377" t="inlineStr">
        <is>
          <t>Rouleau à Pâtisserie d'Aermyne; Collier Rophante; Alliance Gloursonne; Anneau de Pol Ouatnos; Bouclier d'Anerice; Ceintacé; Dorabysses; Cape d'Anerice; Pataugastrique; Dofus Émeraude; Observateur; Obstructeur majeur; Carapace Terre majeur; Carapace Neutre majeur; Miraculé majeur; Givrefoux</t>
        </is>
      </c>
    </row>
    <row r="31378">
      <c r="A31378" t="inlineStr">
        <is>
          <t>Sadida M 200</t>
        </is>
      </c>
      <c r="B31378">
        <f>HYPERLINK("https://www.dofusbook.net/fr/equipement/5343845-sadida-m-200/objets", "link")</f>
        <v/>
      </c>
      <c r="C31378" t="n">
        <v>1</v>
      </c>
      <c r="D31378" t="inlineStr">
        <is>
          <t>Sabres d'Atcham; Amulette du Strigide; Alliance Gloursonne; Anneauræus; Bouclier du Captain Amakna; Ceinture du Strigide; Dorabysses; Cape d'Atcham; Sandales  d'Atcham; Dofus Turquoise; Dofus Ivoire; Dofus Pourpre; Dofus Nébuleux; Dofus Vulbis; Dofus Ocre; Kougnard Albâtre</t>
        </is>
      </c>
    </row>
    <row r="31379">
      <c r="A31379" t="inlineStr">
        <is>
          <t>hjhfjfj</t>
        </is>
      </c>
      <c r="B31379">
        <f>HYPERLINK("https://www.dofusbook.net/fr/equipement/2360357-hjhfjfj/objets", "link")</f>
        <v/>
      </c>
      <c r="C31379" t="n">
        <v>9</v>
      </c>
      <c r="D31379" t="inlineStr">
        <is>
          <t>Sceptre du Roi Joueur; Amulette de Shokkoth; Bracelet des Fonds marins; Alliance Gloursonne; Bouclier d'Ilyzaelle; Sangle Ouare; Masque des Fonds marins; Cape Solution; Chaussures Hau; Dofus Émeraude; Dofus Ocre; Dofus Pourpre; Miraculé majeur; Carapace Eau majeur; Chanceux majeur; Shushu de Rushu</t>
        </is>
      </c>
    </row>
    <row r="31380">
      <c r="A31380" t="inlineStr">
        <is>
          <t>osa 199</t>
        </is>
      </c>
      <c r="B31380">
        <f>HYPERLINK("https://www.dofusbook.net/fr/equipement/1483854-osa-199/objets", "link")</f>
        <v/>
      </c>
      <c r="C31380" t="n">
        <v>7</v>
      </c>
      <c r="D31380" t="inlineStr">
        <is>
          <t>Arc du Chalœil; Amulette du Cycloïde; Pikano; Anneau Chevelu; Quatre-feuilles; Ceinture de la Cour Sombre; Masque de Koutoulou; Voile d'encre; Bottes de la Cour Sombre; Dofus Émeraude; Remueur; Carapace Eau majeur; Miraculé majeur; Enragé majeur; Carapace Terre majeur; Muldo Indigo et Pourpre</t>
        </is>
      </c>
    </row>
    <row r="31381">
      <c r="A31381" t="inlineStr">
        <is>
          <t>Stuff 1</t>
        </is>
      </c>
      <c r="B31381">
        <f>HYPERLINK("https://www.dofusbook.net/fr/equipement/94987-stuff-1/objets", "link")</f>
        <v/>
      </c>
      <c r="C31381" t="n">
        <v>5</v>
      </c>
      <c r="D31381" t="inlineStr">
        <is>
          <t>Lance Horselé; Amulette du Cycloïde; Alliance Gloursonne; Anneau de Padgref; Sept ans de malheur; Menoture; Masquegel; Cape du Valet Veinard; Palmes Trithons; Dofus Ivoire; Remueur; Cascadeur majeur; Miraculé majeur; Carapace Air majeur; Equilibriste majeur; Muldo Ebène</t>
        </is>
      </c>
    </row>
    <row r="31382">
      <c r="A31382" t="inlineStr">
        <is>
          <t>Féca M 200</t>
        </is>
      </c>
      <c r="B31382">
        <f>HYPERLINK("https://www.dofusbook.net/fr/equipement/3990329-feca-m-200/objets", "link")</f>
        <v/>
      </c>
      <c r="C31382" t="n">
        <v>3</v>
      </c>
      <c r="D31382" t="inlineStr">
        <is>
          <t>Bâthon; Amulette de Gein; Anneauræus; Chevalière du Roi Joueur; Bouclier du Captain Amakna; Ceinture de Gein; Couronne du Roi Joueur; Voile d'encre; Bottes du Roi Joueur; Dolmanax; Dofus Turquoise; Dofus Vulbis; Dofus Nébuleux; Dofus Ocre; Dofus Ivoire; Cromeugnon</t>
        </is>
      </c>
    </row>
    <row r="31383">
      <c r="A31383" t="inlineStr">
        <is>
          <t>Stuff 1</t>
        </is>
      </c>
      <c r="B31383">
        <f>HYPERLINK("https://www.dofusbook.net/fr/equipement/94975-stuff-1/objets", "link")</f>
        <v/>
      </c>
      <c r="C31383" t="n">
        <v>9</v>
      </c>
      <c r="D31383" t="inlineStr">
        <is>
          <t>Arc de Koutoulou; Amulette Voldelor; Alliance Gloursonne; Anneau Volkorne; Quatre-feuilles; Ceinture du Barbétoal; Casque Volkorne; Cape Solution; Bottes Voldelor; Dofus Turquoise; Dofus Nébuleux; Dofus Vulbis; Dofus Ocre; Dofus Pourpre; Dofus Ivoire; Mini Wa</t>
        </is>
      </c>
    </row>
    <row r="31384">
      <c r="A31384" t="inlineStr">
        <is>
          <t>dsce</t>
        </is>
      </c>
      <c r="B31384">
        <f>HYPERLINK("https://www.dofusbook.net/fr/equipement/1629821-dsce/objets", "link")</f>
        <v/>
      </c>
      <c r="C31384" t="n">
        <v>4</v>
      </c>
      <c r="D31384" t="inlineStr">
        <is>
          <t>Arc Nécrotique; Collier de la Dame du Hasard; Alliance Gloursonne; Anneau Tique; Quatre-feuilles; Ceintacé; Coiffe Cryochrone; Cape de la Dame du Hasard; Pataugastrique; Dofus Ivoire; Dofus Vulbis; Dofus Turquoise; Dofus Nébuleux; Dofus Ocre; Carapace Feu majeur; Walk</t>
        </is>
      </c>
    </row>
    <row r="31385">
      <c r="A31385" t="inlineStr">
        <is>
          <t>Stuff 1</t>
        </is>
      </c>
      <c r="B31385">
        <f>HYPERLINK("https://www.dofusbook.net/fr/equipement/94957-stuff-1/objets", "link")</f>
        <v/>
      </c>
      <c r="C31385" t="n">
        <v>2</v>
      </c>
      <c r="D31385" t="inlineStr">
        <is>
          <t>Sabres d'Atcham; Amulette Ementaire Deluxe; Anneau de Padgref; Anneau Toriété; Quatre-feuilles; Ceintacé; Coiffe de Padgref; Cape d'Atcham; Sandales  d'Atcham; Dofus Ocre; Dofus Nébuleux; Dofus Vulbis; Dofus Turquoise; Dofus Ivoire; Dofus Pourpre; Chacha Angora</t>
        </is>
      </c>
    </row>
    <row r="31386">
      <c r="A31386" t="inlineStr">
        <is>
          <t>Stuff 3</t>
        </is>
      </c>
      <c r="B31386">
        <f>HYPERLINK("https://www.dofusbook.net/fr/equipement/94895-stuff-3/objets", "link")</f>
        <v/>
      </c>
      <c r="C31386" t="n">
        <v>5</v>
      </c>
      <c r="D31386" t="inlineStr">
        <is>
          <t>Arc de Koutoulou; Amulette Voldelor; Alliance Gloursonne; Anneau Volkorne; Quatre-feuilles; Ceinture Voldelor; Casque Volkorne; Chevelure de Tal Kasha; Bottes Voldelor; Dofus des Glaces; Dofus Turquoise; Dofus Vulbis; Dofus Ocre; Dofus Pourpre; Dofus Nébuleux; Chacha Angora</t>
        </is>
      </c>
    </row>
    <row r="31387">
      <c r="A31387" t="inlineStr">
        <is>
          <t>Stuff 2</t>
        </is>
      </c>
      <c r="B31387">
        <f>HYPERLINK("https://www.dofusbook.net/fr/equipement/94955-stuff-2/objets", "link")</f>
        <v/>
      </c>
      <c r="C31387" t="n">
        <v>3</v>
      </c>
      <c r="D31387" t="inlineStr">
        <is>
          <t>Arc de Koutoulou; Amulette Voldelor; Alliance Gloursonne; Anneau Volkorne; Quatre-feuilles; Ceinture Voldelor; Casque Volkorne; Chevelure de Tal Kasha; Bottes Voldelor; Dofus des Glaces; Dofus Turquoise; Dolmanax; Dofus Ocre; Dofus Pourpre; Dofus Nébuleux; Muldo Prune et Emeraude</t>
        </is>
      </c>
    </row>
    <row r="31388">
      <c r="A31388" t="inlineStr">
        <is>
          <t>casacssacsa</t>
        </is>
      </c>
      <c r="B31388">
        <f>HYPERLINK("https://www.dofusbook.net/fr/equipement/1117167-casacssacsa/objets", "link")</f>
        <v/>
      </c>
      <c r="C31388" t="n">
        <v>5</v>
      </c>
      <c r="D31388" t="inlineStr">
        <is>
          <t>Arc de Koutoulou; Amulette Ementaire Deluxe; Alliance Gloursonne; Anneau Volkorne; Quatre-feuilles; Ceinture Volkorne; Casque Volkorne; Voile d'encre; Bottes Voldelor; Dolmanax; Dofus Ocre; Dofus Pourpre; Dofus Vulbis; Dofus Turquoise; Dofus Nébuleux; Sakochère</t>
        </is>
      </c>
    </row>
    <row r="31389">
      <c r="A31389" t="inlineStr">
        <is>
          <t>Stuff 1</t>
        </is>
      </c>
      <c r="B31389">
        <f>HYPERLINK("https://www.dofusbook.net/fr/equipement/94984-stuff-1/objets", "link")</f>
        <v/>
      </c>
      <c r="C31389" t="n">
        <v>27</v>
      </c>
      <c r="D31389" t="inlineStr">
        <is>
          <t>Marteau des égarés; Amulette du Strigide; Bracelet du Piloztère; Anneau Volkorne; Quatre-feuilles; Ceinture Volkorne; Casque Volkorne; Voile d'encre; Bottes du Strigide; Dofus Turquoise; Dofus des Glaces; Dofus Pourpre; Dofus Vulbis; Dofus Ocre; Dofus Nébuleux; Sakochère</t>
        </is>
      </c>
    </row>
    <row r="31390">
      <c r="A31390" t="inlineStr">
        <is>
          <t>Stuff 1</t>
        </is>
      </c>
      <c r="B31390">
        <f>HYPERLINK("https://www.dofusbook.net/fr/equipement/94911-stuff-1/objets", "link")</f>
        <v/>
      </c>
      <c r="C31390" t="n">
        <v>7</v>
      </c>
      <c r="D31390" t="inlineStr">
        <is>
          <t>Marteau des égarés; Amulette Ementaire Deluxe; Anneau Volkorne; Anneau de Padgref; Bouclier du Captain Amakna; Ceinture Volkorne; Casque Volkorne; Voile d'encre; Getas de Padgref; Dofus Pourpre; Dofus Nébuleux; Dofus Vulbis; Dofus Ocre; Dolmanax; Dofus Turquoise; Sakochère</t>
        </is>
      </c>
    </row>
    <row r="31391">
      <c r="A31391" t="inlineStr">
        <is>
          <t>Stuff 3</t>
        </is>
      </c>
      <c r="B31391">
        <f>HYPERLINK("https://www.dofusbook.net/fr/equipement/94898-stuff-3/objets", "link")</f>
        <v/>
      </c>
      <c r="C31391" t="n">
        <v>3</v>
      </c>
      <c r="D31391" t="inlineStr">
        <is>
          <t>Sabres d'Atcham; Amulette de l'Indicible; Anneau Volkorne; Alliance Gloursonne; Bouclier du Captain Amakna; Ceinture de l'Indicible; Casque Volkorne; Cape d'Atcham; Sandales  d'Atcham; Dofus Pourpre; Dofus Nébuleux; Dolmanax; Dofus Ocre; Dofus Turquoise; Dofus Vulbis; Sakochère</t>
        </is>
      </c>
    </row>
    <row r="31392">
      <c r="A31392" t="inlineStr">
        <is>
          <t>Stuff 3</t>
        </is>
      </c>
      <c r="B31392">
        <f>HYPERLINK("https://www.dofusbook.net/fr/equipement/94950-stuff-3/objets", "link")</f>
        <v/>
      </c>
      <c r="C31392" t="n">
        <v>8</v>
      </c>
      <c r="D31392" t="inlineStr">
        <is>
          <t>Dagues d'Ilyzaelle; Amulette de Gein; Anneau de Brouce; Chevalière du Roi Joueur; Bouclier du Captain Amakna; Ceinture de Gein; Couronne du Roi Joueur; Cape au Logis; Bottes du Roi Joueur; Dofus Turquoise; Dofus Vulbis; Dofus Ocre; Dofus Ivoire; Dofus Nébuleux; Forcené majeur; Pioute vert</t>
        </is>
      </c>
    </row>
    <row r="31393">
      <c r="A31393" t="inlineStr">
        <is>
          <t>Stuff 1</t>
        </is>
      </c>
      <c r="B31393">
        <f>HYPERLINK("https://www.dofusbook.net/fr/equipement/94908-stuff-1/objets", "link")</f>
        <v/>
      </c>
      <c r="C31393" t="n">
        <v>9</v>
      </c>
      <c r="D31393" t="inlineStr">
        <is>
          <t>Dagoulinantes; Amulette de Shokkoth; Alliance Gloursonne; Bracelet des Fonds marins; Quatre-feuilles; Sangle Ouare; Masque des Fonds marins; Cape Solution; Sandales des Fonds marins; Dofus Turquoise; Dofus Vulbis; Dofus Nébuleux; Dofus Ocre; Dofus Ivoire; Précurseur majeur; Pioute bleu</t>
        </is>
      </c>
    </row>
    <row r="31394">
      <c r="A31394" t="inlineStr">
        <is>
          <t>Stuff 1</t>
        </is>
      </c>
      <c r="B31394">
        <f>HYPERLINK("https://www.dofusbook.net/fr/equipement/94939-stuff-1/objets", "link")</f>
        <v/>
      </c>
      <c r="C31394" t="n">
        <v>4</v>
      </c>
      <c r="D31394" t="inlineStr">
        <is>
          <t>Arc corrompu; Pendentif affamé; Anneau Rifique; Bague Gloursonne; Quatre-feuilles; Ceinture de Vortex; Cagoule de Vortex; Cape de Diondin; Bottes Innommables; Dofus Vulbis; Dofus Ocre; Dofus Pourpre; Dofus Nébuleux; Dofus Turquoise; Érudit majeur; Pioute rouge</t>
        </is>
      </c>
    </row>
    <row r="31395">
      <c r="A31395" t="inlineStr">
        <is>
          <t>Stuff 1</t>
        </is>
      </c>
      <c r="B31395">
        <f>HYPERLINK("https://www.dofusbook.net/fr/equipement/94927-stuff-1/objets", "link")</f>
        <v/>
      </c>
      <c r="C31395" t="n">
        <v>17</v>
      </c>
      <c r="D31395" t="inlineStr">
        <is>
          <t>Hache du Chalœil; Amulette du Strigide; Bracelet du Piloztère; Bague Trithon; Quatre-feuilles; Ceintacé; Masque Trithon; Voile d'encre; Bottes du Strigide; Dofus Pourpre; Dofus Nébuleux; Dolmanax; Dofus Vulbis; Dofus Turquoise; Dofus Ocre; Chacha Angora</t>
        </is>
      </c>
    </row>
    <row r="31396">
      <c r="A31396" t="inlineStr">
        <is>
          <t>Stuff 2</t>
        </is>
      </c>
      <c r="B31396">
        <f>HYPERLINK("https://www.dofusbook.net/fr/equipement/94991-stuff-2/objets", "link")</f>
        <v/>
      </c>
      <c r="C31396" t="n">
        <v>4</v>
      </c>
      <c r="D31396" t="inlineStr">
        <is>
          <t>Sabres d'Atcham; Amulette du Strigide; Anneau de Padgref; Bracelet du Piloztère; Bouclier du Captain Amakna; Ceinture du Strigide; Coiffe de Padgref; Cape d'Atcham; Bottes du Strigide; Dofus Turquoise; Dofus Nébuleux; Dofus Vulbis; Dolmanax; Dofus Ocre; Dofus Pourpre; Chacha Angora</t>
        </is>
      </c>
    </row>
    <row r="31397">
      <c r="A31397" t="inlineStr">
        <is>
          <t>Huppermage M 200</t>
        </is>
      </c>
      <c r="B31397">
        <f>HYPERLINK("https://www.dofusbook.net/fr/equipement/5286416-huppermage-m-200/objets", "link")</f>
        <v/>
      </c>
      <c r="C31397" t="n">
        <v>0</v>
      </c>
      <c r="D31397" t="inlineStr">
        <is>
          <t>Sabres d'Atcham; Amulette du Strigide; Anneau de Padgref; Alliance Gloursonne; Bouclier du Captain Amakna; Ceinture du Strigide; Coiffe de Padgref; Cape d'Atcham; Getas de Padgref; Dofus Turquoise; Dofus Ivoire; Dofus Vulbis; Dofus Pourpre; Dofus Ocre; Dofus Nébuleux; Chacha Angora</t>
        </is>
      </c>
    </row>
    <row r="31398">
      <c r="A31398" t="inlineStr">
        <is>
          <t>Stuff 3</t>
        </is>
      </c>
      <c r="B31398">
        <f>HYPERLINK("https://www.dofusbook.net/fr/equipement/94953-stuff-3/objets", "link")</f>
        <v/>
      </c>
      <c r="C31398" t="n">
        <v>2</v>
      </c>
      <c r="D31398" t="inlineStr">
        <is>
          <t>Pelle de la Cour Sombre; Amulette Voldelor; Anneau de Padgref; Alliance Gloursonne; Quatre-feuilles; Ceinture Voldelor; Coiffe de Padgref; Cape de la Fuji Givrefoux; Bottes Voldelor; Dofus Turquoise; Dofus Ivoire; Dolmanax; Dofus Ocre; Dofus Abyssal; Dofus Pourpre; Pioute jaune</t>
        </is>
      </c>
    </row>
    <row r="31399">
      <c r="A31399" t="inlineStr">
        <is>
          <t>Stuff 3</t>
        </is>
      </c>
      <c r="B31399">
        <f>HYPERLINK("https://www.dofusbook.net/fr/equipement/94901-stuff-3/objets", "link")</f>
        <v/>
      </c>
      <c r="C31399" t="n">
        <v>5</v>
      </c>
      <c r="D31399" t="inlineStr">
        <is>
          <t>Arc Nécrotique; Collier de la Dame du Hasard; Lavanneau; Lavanneau; Quatre-feuilles; Ceintacé; Casquette de Meno; Cape de la Dame du Hasard; Bottes Honyme; Dofus Turquoise; Dofus Pourpre; Érudit majeur; Chanceux majeur; Carapace Feu majeur; Nomade; Chacha Angora</t>
        </is>
      </c>
    </row>
    <row r="31400">
      <c r="A31400" t="inlineStr">
        <is>
          <t>Stuff 3</t>
        </is>
      </c>
      <c r="B31400">
        <f>HYPERLINK("https://www.dofusbook.net/fr/equipement/94974-stuff-3/objets", "link")</f>
        <v/>
      </c>
      <c r="C31400" t="n">
        <v>2</v>
      </c>
      <c r="D31400" t="inlineStr">
        <is>
          <t>Sceptre du Roi Joueur; Collier de la Dame du Hasard; Bracelet des Fonds marins; Alliance Gloursonne; Quatre-feuilles; Sangle Ouare; Masque des Fonds marins; Cape de la Dame du Hasard; Bottes de la Dame du Hasard; Dofus Turquoise; Dofus Ivoire; Dofus Ocre; Dofus Pourpre; Dofus Nébuleux; Taquin majeur; Pioute bleu</t>
        </is>
      </c>
    </row>
    <row r="31401">
      <c r="A31401" t="inlineStr">
        <is>
          <t>Stuff 1</t>
        </is>
      </c>
      <c r="B31401">
        <f>HYPERLINK("https://www.dofusbook.net/fr/equipement/94902-stuff-1/objets", "link")</f>
        <v/>
      </c>
      <c r="C31401" t="n">
        <v>9</v>
      </c>
      <c r="D31401" t="inlineStr">
        <is>
          <t>Arc corrompu; Amulette Volkorne; Anneau de Padgref; Anneauræus; Quatre-feuilles; Ceinture de Vortex; Coiffe de Padgref; Cape de la Dame du Hasard; Bottes Honyme; Dofus Ocre; Dofus Nébuleux; Dofus Turquoise; Astucieux majeur; Érudit majeur; Nomade; Pioute rouge</t>
        </is>
      </c>
    </row>
    <row r="31402">
      <c r="A31402" t="inlineStr">
        <is>
          <t>Stuff 3</t>
        </is>
      </c>
      <c r="B31402">
        <f>HYPERLINK("https://www.dofusbook.net/fr/equipement/94977-stuff-3/objets", "link")</f>
        <v/>
      </c>
      <c r="C31402" t="n">
        <v>6</v>
      </c>
      <c r="D31402" t="inlineStr">
        <is>
          <t>Arc corrompu; Pendentif affamé; Anneau Rifique; Bague Gloursonne; Quatre-feuilles; Ceinture de Vortex; Casque Cyclopéen; Cape de Diondin; Bottes Innommables; Carapace Terre majeur; Remueur; Carapace Feu majeur; Astucieux majeur; Nomade; Érudit majeur; Bisouglours</t>
        </is>
      </c>
    </row>
    <row r="31403">
      <c r="A31403" t="inlineStr">
        <is>
          <t>Stuff 2</t>
        </is>
      </c>
      <c r="B31403">
        <f>HYPERLINK("https://www.dofusbook.net/fr/equipement/94976-stuff-2/objets", "link")</f>
        <v/>
      </c>
      <c r="C31403" t="n">
        <v>3</v>
      </c>
      <c r="D31403" t="inlineStr">
        <is>
          <t>Arc corrompu; Amulette Volkorne; Anneauræus; Anneau de Padgref; Bouclier du Cycloïde; Ceinture de Vortex; Coiffe de Padgref; Cape de Diondin; Bottes Innommables; Dofus Turquoise; Astucieux majeur; Remueur; Érudit majeur; Miraculé majeur; Nomade; Bisouglours</t>
        </is>
      </c>
    </row>
    <row r="31404">
      <c r="A31404" t="inlineStr">
        <is>
          <t>Stuff 3</t>
        </is>
      </c>
      <c r="B31404">
        <f>HYPERLINK("https://www.dofusbook.net/fr/equipement/94956-stuff-3/objets", "link")</f>
        <v/>
      </c>
      <c r="C31404" t="n">
        <v>8</v>
      </c>
      <c r="D31404" t="inlineStr">
        <is>
          <t>Arc corrompu; Pendentif affamé; Bague Gloursonne; Anneauræus; Bouclier du Cycloïde; Ceinture de Vortex; Cagoule de Vortex; Cape Sulhit; Pataugastrique; Dofus Ivoire; Miraculé majeur; Remueur; Érudit majeur; Nomade; Astucieux majeur; Muldo Orchidée</t>
        </is>
      </c>
    </row>
    <row r="31405">
      <c r="A31405" t="inlineStr">
        <is>
          <t>jkjhgkjhgk</t>
        </is>
      </c>
      <c r="B31405">
        <f>HYPERLINK("https://www.dofusbook.net/fr/equipement/1715472-jkjhgkjhgk/objets", "link")</f>
        <v/>
      </c>
      <c r="C31405" t="n">
        <v>8</v>
      </c>
      <c r="D31405" t="inlineStr">
        <is>
          <t>Sceptre du Roi Joueur; Amulette des Chocomanciens; Alliance Gloursonne; Pikano; Bouclier cubiste; Ceinture des Chocomanciens; Casquipik; Cape de la Dame du Hasard; Pikottes; Dofus Ivoire; Dofus Ocre; Dofus Nébuleux; Ralentisseur majeur; Entraveur majeur; Volkorne Turquoise</t>
        </is>
      </c>
    </row>
    <row r="31406">
      <c r="A31406" t="inlineStr">
        <is>
          <t>Stuff 2</t>
        </is>
      </c>
      <c r="B31406">
        <f>HYPERLINK("https://www.dofusbook.net/fr/equipement/94903-stuff-2/objets", "link")</f>
        <v/>
      </c>
      <c r="C31406" t="n">
        <v>14</v>
      </c>
      <c r="D31406" t="inlineStr">
        <is>
          <t>Dagues d'Ilyzaelle; Amulette du Cœur Saignant; Anneau de Brouce; Alliance de Missiz Frizz; Bouclier du Captain Amakna; Ceinture de Brouce; Casque de Missiz Frizz; Cape du Cœur Saignant; Bottes du Cœur Saignant; Dofus des Glaces; Dofus Turquoise; Dofus Nébuleux; Dofus Ivoire; Dofus Ocre; Dofus Pourpre; Sakochère</t>
        </is>
      </c>
    </row>
    <row r="31407">
      <c r="A31407" t="inlineStr">
        <is>
          <t>Stuff 1</t>
        </is>
      </c>
      <c r="B31407">
        <f>HYPERLINK("https://www.dofusbook.net/fr/equipement/94924-stuff-1/objets", "link")</f>
        <v/>
      </c>
      <c r="C31407" t="n">
        <v>0</v>
      </c>
      <c r="D31407" t="inlineStr">
        <is>
          <t>Arc corrompu; Amulette d'Otomaï; Anneau de Padgref; Anneauræus; Quatre-feuilles; Ceinture de Vortex; Coiffe de Padgref; Voile d'encre; Pataugastrique; Dofus Ocre; Dofus Turquoise; Dofus Nébuleux; Nomade; Astucieux majeur; Érudit majeur; Pioute rouge</t>
        </is>
      </c>
    </row>
    <row r="31408">
      <c r="A31408" t="inlineStr">
        <is>
          <t>Stuff 1</t>
        </is>
      </c>
      <c r="B31408">
        <f>HYPERLINK("https://www.dofusbook.net/fr/equipement/94899-stuff-1/objets", "link")</f>
        <v/>
      </c>
      <c r="C31408" t="n">
        <v>2</v>
      </c>
      <c r="D31408" t="inlineStr">
        <is>
          <t>Sceptre du Roi Joueur; Amulette de Shokkoth; Alliance Gloursonne; Bracelet des Fonds marins; Quatre-feuilles; Sangle Ouare; Masque des Fonds marins; Cape de Mantaze; Bottes Honyme; Dofus Turquoise; Carapace Eau majeur; Taquin majeur; Fonceur majeur; Chanceux majeur; Remueur; Pioute bleu</t>
        </is>
      </c>
    </row>
    <row r="31409">
      <c r="A31409" t="inlineStr">
        <is>
          <t>jjjjj</t>
        </is>
      </c>
      <c r="B31409">
        <f>HYPERLINK("https://www.dofusbook.net/fr/equipement/1208365-jjjjj/objets", "link")</f>
        <v/>
      </c>
      <c r="C31409" t="n">
        <v>6</v>
      </c>
      <c r="D31409" t="inlineStr">
        <is>
          <t>Manthache; Amulette du Kamasterisk; Gant du Valet Veinard; Alliance Gloursonne; Quatre-feuilles; Menoture; Dorabysses; Cape du Kamasterisk; Bottes Voldelor; Dofus Turquoise; Cascadeur majeur; Nomade; Carapace Feu majeur; Equilibriste majeur; Remueur; Pioute jaune</t>
        </is>
      </c>
    </row>
    <row r="31410">
      <c r="A31410" t="inlineStr">
        <is>
          <t>Iop F 200</t>
        </is>
      </c>
      <c r="B31410">
        <f>HYPERLINK("https://www.dofusbook.net/fr/equipement/3990419-iop-f-200/objets", "link")</f>
        <v/>
      </c>
      <c r="C31410" t="n">
        <v>9</v>
      </c>
      <c r="D31410" t="inlineStr">
        <is>
          <t>Dagues d'Ilyzaelle; Amulette du Cœur Saignant; Anneau de Brouce; Alliance de Missiz Frizz; Bouclier du Captain Amakna; Ceinture de Brouce; Casque de Missiz Frizz; Cape du Cœur Saignant; Bottes du Cœur Saignant; Dofus Turquoise; Dolmanax; Dofus Ocre; Dofus Pourpre; Dofus Nébuleux; Dofus des Glaces; Volkorne Emeraude et Pourpre</t>
        </is>
      </c>
    </row>
    <row r="31411">
      <c r="A31411" t="inlineStr">
        <is>
          <t>Stuff 1</t>
        </is>
      </c>
      <c r="B31411">
        <f>HYPERLINK("https://www.dofusbook.net/fr/equipement/94918-stuff-1/objets", "link")</f>
        <v/>
      </c>
      <c r="C31411" t="n">
        <v>5</v>
      </c>
      <c r="D31411" t="inlineStr">
        <is>
          <t>Dagues d'Ilyzaelle; Amulette du Cœur Saignant; Alliance de Missiz Frizz; Anneau de Brouce; Bouclier du Captain Amakna; Ceinture de Brouce; Casque de Missiz Frizz; Cape du Cœur Saignant; Bottes de Brouce; Dofus des Glaces; Dofus Turquoise; Dofus Nébuleux; Dofus Vulbis; Dofus Ocre; Dofus Pourpre; Volkorne Pourpre</t>
        </is>
      </c>
    </row>
    <row r="31412">
      <c r="A31412" t="inlineStr">
        <is>
          <t>Stuff 1</t>
        </is>
      </c>
      <c r="B31412">
        <f>HYPERLINK("https://www.dofusbook.net/fr/equipement/94978-stuff-1/objets", "link")</f>
        <v/>
      </c>
      <c r="C31412" t="n">
        <v>12</v>
      </c>
      <c r="D31412" t="inlineStr">
        <is>
          <t>Sceptre du Roi Joueur; Amulette Luminescente; Pikano; Alliance Gloursonne; Bouclier cubiste; Ceinture Glaciale; Casquipik; Cape de la Dame du Hasard; Bottes de Meno; Dofus Nébuleux; Remueur; Nomade; Chanceux majeur; Temporiseur majeur; Entraveur majeur; Volkorne Turquoise</t>
        </is>
      </c>
    </row>
    <row r="31413">
      <c r="A31413" t="inlineStr">
        <is>
          <t>dhdfh</t>
        </is>
      </c>
      <c r="B31413">
        <f>HYPERLINK("https://www.dofusbook.net/fr/equipement/1715524-dhdfh/objets", "link")</f>
        <v/>
      </c>
      <c r="C31413" t="n">
        <v>12</v>
      </c>
      <c r="D31413" t="inlineStr">
        <is>
          <t>Rapière aux Glyphes; Collier de la Dame du Hasard; Anneau Toriété; Alliance Gloursonne; Bouclier cubiste; Poulpagne; Casquipik; Cape de la Dame du Hasard; Bottes de Meno; Dofus Nébuleux; Temporiseur; Temporiseur majeur; Nomade; Remueur; Entraveur majeur; Gwo Tofu Ventripotent</t>
        </is>
      </c>
    </row>
    <row r="31414">
      <c r="A31414" t="inlineStr">
        <is>
          <t>dddddd</t>
        </is>
      </c>
      <c r="B31414">
        <f>HYPERLINK("https://www.dofusbook.net/fr/equipement/1598745-dddddd/objets", "link")</f>
        <v/>
      </c>
      <c r="C31414" t="n">
        <v>11</v>
      </c>
      <c r="D31414" t="inlineStr">
        <is>
          <t>Sabres d'Atcham; Amulette du Strigide; Bague Trithon; Anneau de Padgref; Bouclier du Captain Amakna; Ceinture du Strigide; Masque Trithon; Cape d'Atcham; Bottes du Strigide; Dofus Ocre; Dofus des Glaces; Dofus Turquoise; Dofus Abyssal; Dofus Ivoire; Dofus Nébuleux; Sakochère</t>
        </is>
      </c>
    </row>
    <row r="31415">
      <c r="A31415" t="inlineStr">
        <is>
          <t>Stuff 1</t>
        </is>
      </c>
      <c r="B31415">
        <f>HYPERLINK("https://www.dofusbook.net/fr/equipement/94963-stuff-1/objets", "link")</f>
        <v/>
      </c>
      <c r="C31415" t="n">
        <v>6</v>
      </c>
      <c r="D31415" t="inlineStr">
        <is>
          <t>Pelle de la Cour Sombre; Amulette Voldelor; Alliance Gloursonne; Gant du Valet Veinard; Quatre-feuilles; Ceinture Voldelor; Capuche de Moum-Ra; Cape de la Fuji Givrefoux; Bottes Voldelor; Dofus Pourpre; Dofus Turquoise; Dolmanax; Dofus Abyssal; Dofus Ocre; Dofus Ivoire; Pioute jaune</t>
        </is>
      </c>
    </row>
    <row r="31416">
      <c r="A31416" t="inlineStr">
        <is>
          <t>Stuff 2</t>
        </is>
      </c>
      <c r="B31416">
        <f>HYPERLINK("https://www.dofusbook.net/fr/equipement/94928-stuff-2/objets", "link")</f>
        <v/>
      </c>
      <c r="C31416" t="n">
        <v>5</v>
      </c>
      <c r="D31416" t="inlineStr">
        <is>
          <t>Hache du Chalœil; Amulette Volkorne; Bague Trithon; Anneau Volkorne; Quatre-feuilles; Ceinture de l'Indicible; Casque Volkorne; Dofusteuse; Bottes Trithon; Dofus des Glaces; Dofus Pourpre; Dofus Nébuleux; Dolmanax; Dofus Ocre; Dofus Turquoise; Sakochère</t>
        </is>
      </c>
    </row>
    <row r="31417">
      <c r="A31417" t="inlineStr">
        <is>
          <t>Stuff 3</t>
        </is>
      </c>
      <c r="B31417">
        <f>HYPERLINK("https://www.dofusbook.net/fr/equipement/94959-stuff-3/objets", "link")</f>
        <v/>
      </c>
      <c r="C31417" t="n">
        <v>1</v>
      </c>
      <c r="D31417" t="inlineStr">
        <is>
          <t>Marteau des égarés; Amulette du Strigide; Bracelet du Piloztère; Bague Trithon; Quatre-feuilles; Ceintacé; Masque Trithon; Voile d'encre; Bottes du Strigide; Dofus Turquoise; Dofus Pourpre; Dofus Nébuleux; Dofus Ivoire; Dofus Ocre; Dolmanax; Muldo Prune et Emeraude</t>
        </is>
      </c>
    </row>
    <row r="31418">
      <c r="A31418" t="inlineStr">
        <is>
          <t>Stuff 2</t>
        </is>
      </c>
      <c r="B31418">
        <f>HYPERLINK("https://www.dofusbook.net/fr/equipement/94967-stuff-2/objets", "link")</f>
        <v/>
      </c>
      <c r="C31418" t="n">
        <v>7</v>
      </c>
      <c r="D31418" t="inlineStr">
        <is>
          <t>Marteau des égarés; Amulette du Strigide; Anneau Volkorne; Anneau de Padgref; Bouclier du Captain Amakna; Ceinture Volkorne; Coiffe de Padgref; Voile d'encre; Bottes du Strigide; Dolmanax; Dofus Turquoise; Dofus Vulbis; Dofus des Glaces; Dofus Ocre; Dofus Nébuleux; Sakochère</t>
        </is>
      </c>
    </row>
    <row r="31419">
      <c r="A31419" t="inlineStr">
        <is>
          <t>Stuff 1</t>
        </is>
      </c>
      <c r="B31419">
        <f>HYPERLINK("https://www.dofusbook.net/fr/equipement/94966-stuff-1/objets", "link")</f>
        <v/>
      </c>
      <c r="C31419" t="n">
        <v>2</v>
      </c>
      <c r="D31419" t="inlineStr">
        <is>
          <t>Bâthon; Amulette Volkorne; Bague Gloursonne; Chevalière du Roi Joueur; Bouclier du Captain Amakna; Ceinture Volkorne; Couronne du Roi Joueur; Voile d'encre; Bottes du Roi Joueur; Dofus des Glaces; Dofus Vulbis; Dofus Nébuleux; Dofus Abyssal; Dofus Ocre; Dofus Pourpre; Sakochère</t>
        </is>
      </c>
    </row>
    <row r="31420">
      <c r="A31420" t="inlineStr">
        <is>
          <t>Stuff 3</t>
        </is>
      </c>
      <c r="B31420">
        <f>HYPERLINK("https://www.dofusbook.net/fr/equipement/94917-stuff-3/objets", "link")</f>
        <v/>
      </c>
      <c r="C31420" t="n">
        <v>2</v>
      </c>
      <c r="D31420" t="inlineStr">
        <is>
          <t>Marteau des égarés; Amulette Volkorne; Alliance Gloursonne; Anneau Volkorne; Quatre-feuilles; Ceinture du Strigide; Casque Volkorne; Voile d'encre; Bottes du Strigide; Dofus Émeraude; Dofus Ocre; Dofus des Glaces; Dofus Abyssal; Dofus Turquoise; Dofus Ivoire; Sakochère</t>
        </is>
      </c>
    </row>
    <row r="31421">
      <c r="A31421" t="inlineStr">
        <is>
          <t>fafaafs</t>
        </is>
      </c>
      <c r="B31421">
        <f>HYPERLINK("https://www.dofusbook.net/fr/equipement/1737606-fafaafs/objets", "link")</f>
        <v/>
      </c>
      <c r="C31421" t="n">
        <v>7</v>
      </c>
      <c r="D31421" t="inlineStr">
        <is>
          <t>Rouleau à Pâtisserie d'Aermyne; Amulette Ementaire Deluxe; Alliance Gloursonne; Anneau de Pol Ouatnos; Bouclier précieux; Ceinture de Kongoku; Kidibonnet; Cape d'Aermyne; Pataugastrique; Dofus Émeraude; Obstructeur majeur; Carapace Air majeur; Remueur; Miraculé majeur; Carapace Eau majeur; Givrefoux</t>
        </is>
      </c>
    </row>
    <row r="31422">
      <c r="A31422" t="inlineStr">
        <is>
          <t>Stuff 2</t>
        </is>
      </c>
      <c r="B31422">
        <f>HYPERLINK("https://www.dofusbook.net/fr/equipement/94931-stuff-2/objets", "link")</f>
        <v/>
      </c>
      <c r="C31422" t="n">
        <v>5</v>
      </c>
      <c r="D31422" t="inlineStr">
        <is>
          <t>Marteau des égarés; Amulette Volkorne; Chevalière du Roi Joueur; Alliance Gloursonne; Quatre-feuilles; Ceinture Volkorne; Le Dorado; Voile d'encre; Bottes Honyme; Dolmanax; Dofus Turquoise; Dofus des Glaces; Dofus Nébuleux; Remueur; Nomade; Muldo Prune et Emeraude</t>
        </is>
      </c>
    </row>
    <row r="31423">
      <c r="A31423" t="inlineStr">
        <is>
          <t>Stuff 1</t>
        </is>
      </c>
      <c r="B31423">
        <f>HYPERLINK("https://www.dofusbook.net/fr/equipement/94969-stuff-1/objets", "link")</f>
        <v/>
      </c>
      <c r="C31423" t="n">
        <v>1</v>
      </c>
      <c r="D31423" t="inlineStr">
        <is>
          <t>Arc Hétype; Pendentif affamé; Anneauræus; Chevalière du Roi Joueur; Bouclier du Sadida; Ceinture de Vortex; Couronne du Roi Joueur; Cape de Diondin; Bottes Honyme; Dofus Turquoise; Miraculé majeur; Nomade; Érudit majeur; Remueur; Astucieux majeur; Muldo Prune et Indigo</t>
        </is>
      </c>
    </row>
    <row r="31424">
      <c r="A31424" t="inlineStr">
        <is>
          <t>Stuff 3</t>
        </is>
      </c>
      <c r="B31424">
        <f>HYPERLINK("https://www.dofusbook.net/fr/equipement/94938-stuff-3/objets", "link")</f>
        <v/>
      </c>
      <c r="C31424" t="n">
        <v>2</v>
      </c>
      <c r="D31424" t="inlineStr">
        <is>
          <t>Arc Hétype; Pendentif affamé; Anneau Tique; Anneauræus; Bouclier du Sadida; Ceinture Séculaire; Coiffe Séculaire; Cape de Diondin; Bottes Innommables; Dofus Turquoise; Astucieux majeur; Remueur; Érudit majeur; Carapace Feu majeur; Nomade; Muldo Prune et Orchidée</t>
        </is>
      </c>
    </row>
    <row r="31425">
      <c r="A31425" t="inlineStr">
        <is>
          <t>Stuff 3</t>
        </is>
      </c>
      <c r="B31425">
        <f>HYPERLINK("https://www.dofusbook.net/fr/equipement/94889-stuff-3/objets", "link")</f>
        <v/>
      </c>
      <c r="C31425" t="n">
        <v>1</v>
      </c>
      <c r="D31425" t="inlineStr">
        <is>
          <t>Crocobur; Amulette du Strigide; Anneau Volkorne; Alliance Gloursonne; Bouclier du Captain Amakna; Ceinture Volkorne; Casque Volkorne; Voile d'encre; Bottes du Strigide; Dofus Pourpre; Dolmanax; Dofus Ocre; Dofus Nébuleux; Dofus Turquoise; Dofus des Glaces; Sakochère</t>
        </is>
      </c>
    </row>
    <row r="31426">
      <c r="A31426" t="inlineStr">
        <is>
          <t>Stuff 2</t>
        </is>
      </c>
      <c r="B31426">
        <f>HYPERLINK("https://www.dofusbook.net/fr/equipement/94900-stuff-2/objets", "link")</f>
        <v/>
      </c>
      <c r="C31426" t="n">
        <v>7</v>
      </c>
      <c r="D31426" t="inlineStr">
        <is>
          <t>Sceptre du Roi Joueur; Amulette de Shokkoth; Bracelet des Fonds marins; Alliance Gloursonne; Quatre-feuilles; Sangle Ouare; Masque des Fonds marins; Cape Solution; Bottes Honyme; Dofus Turquoise; Dofus Nébuleux; Fonceur majeur; Carapace Eau majeur; Taquin majeur; Chanceux majeur; Kanigloups</t>
        </is>
      </c>
    </row>
    <row r="31427">
      <c r="A31427" t="inlineStr">
        <is>
          <t>vsvsdds</t>
        </is>
      </c>
      <c r="B31427">
        <f>HYPERLINK("https://www.dofusbook.net/fr/equipement/1739261-vsvsdds/objets", "link")</f>
        <v/>
      </c>
      <c r="C31427" t="n">
        <v>10</v>
      </c>
      <c r="D31427" t="inlineStr">
        <is>
          <t>Marteau des égarés; Amulette du Strigide; Alliance Gloursonne; Chevalière du Roi Joueur; Quatre-feuilles; Ceintacé; Le Dorado; Cape du Chalœil; Bottes du Strigide; Dofus Pourpre; Dofus Turquoise; Nomade; Sanguinaire majeur; Remueur; Vigoureux majeur; Muldo Prune et Emeraude</t>
        </is>
      </c>
    </row>
    <row r="31428">
      <c r="A31428" t="inlineStr">
        <is>
          <t>gfhdf</t>
        </is>
      </c>
      <c r="B31428">
        <f>HYPERLINK("https://www.dofusbook.net/fr/equipement/1578445-gfhdf/objets", "link")</f>
        <v/>
      </c>
      <c r="C31428" t="n">
        <v>6</v>
      </c>
      <c r="D31428" t="inlineStr">
        <is>
          <t>Lav'Hache; Amulette du Cœur Saignant; Anneau de Brouce; Chevalière du Roi Joueur; Bouclier du Stalak; Ceinture de la Reine des Voleurs; Masque de Koutoulou; Cape au Logis; Bottes du Cœur Saignant; Carapace Terre majeur; Forcené majeur; Remueur; Enragé majeur; Temporiseur majeur; Nomade; Bulbisou</t>
        </is>
      </c>
    </row>
    <row r="31429">
      <c r="A31429" t="inlineStr">
        <is>
          <t>ggggggggggg</t>
        </is>
      </c>
      <c r="B31429">
        <f>HYPERLINK("https://www.dofusbook.net/fr/equipement/2272367-ggggggggggg/objets", "link")</f>
        <v/>
      </c>
      <c r="C31429" t="n">
        <v>7</v>
      </c>
      <c r="D31429" t="inlineStr">
        <is>
          <t>Marteau des égarés; Amulette du Strigide; Alliance Gloursonne; Bracelet du Piloztère; Quatre-feuilles; Ceintacé; Le Dorado; Dofusteuse; Bottes du Strigide; Dolmanax; Dofus Ocre; Dofus Pourpre; Dofus des Glaces; Dofus Turquoise; Dofus Nébuleux; Muldo Ebène et Indigo</t>
        </is>
      </c>
    </row>
    <row r="31430">
      <c r="A31430" t="inlineStr">
        <is>
          <t>Stuff 3</t>
        </is>
      </c>
      <c r="B31430">
        <f>HYPERLINK("https://www.dofusbook.net/fr/equipement/94965-stuff-3/objets", "link")</f>
        <v/>
      </c>
      <c r="C31430" t="n">
        <v>0</v>
      </c>
      <c r="D31430" t="inlineStr">
        <is>
          <t>Arc corrompu; Amulette Volkorne; Anneauræus; Anneau de Nidas; Quatre-feuilles; Ceinture de Vortex; Cagoule de Vortex; Cape de Diondin; Bottes Innommables; Dofus Turquoise; Carapace Neutre majeur; Nomade; Astucieux majeur; Remueur; Érudit majeur; Pioute rouge</t>
        </is>
      </c>
    </row>
    <row r="31431">
      <c r="A31431" t="inlineStr">
        <is>
          <t>Stuff 1</t>
        </is>
      </c>
      <c r="B31431">
        <f>HYPERLINK("https://www.dofusbook.net/fr/equipement/94930-stuff-1/objets", "link")</f>
        <v/>
      </c>
      <c r="C31431" t="n">
        <v>1</v>
      </c>
      <c r="D31431" t="inlineStr">
        <is>
          <t>Arc de Koutoulou; Amulette du Strigide; Bracelet du Piloztère; Anneau de Padgref; Quatre-feuilles; Ceinture du Strigide; Némès de Tal Kasha; Chevelure de Tal Kasha; Sandales de Tal Kasha; Dofus des Glaces; Dolmanax; Dofus Ocre; Dofus Turquoise; Dofus Pourpre; Dofus Nébuleux; Muldo Prune et Emeraude</t>
        </is>
      </c>
    </row>
    <row r="31432">
      <c r="A31432" t="inlineStr">
        <is>
          <t>Stuff 2</t>
        </is>
      </c>
      <c r="B31432">
        <f>HYPERLINK("https://www.dofusbook.net/fr/equipement/94909-stuff-2/objets", "link")</f>
        <v/>
      </c>
      <c r="C31432" t="n">
        <v>2</v>
      </c>
      <c r="D31432" t="inlineStr">
        <is>
          <t>Marteau des égarés; Amulette du Strigide; Chevalière du Roi Joueur; Alliance Gloursonne; Quatre-feuilles; Ceinture de l'Indicible; Masque d'Anerice; Voile d'encre; Bottes du Strigide; Dofus Pourpre; Dofus Ocre; Dofus Turquoise; Dolmanax; Remueur; Nomade; Sakochère</t>
        </is>
      </c>
    </row>
    <row r="31433">
      <c r="A31433" t="inlineStr">
        <is>
          <t>Stuff 1</t>
        </is>
      </c>
      <c r="B31433">
        <f>HYPERLINK("https://www.dofusbook.net/fr/equipement/94915-stuff-1/objets", "link")</f>
        <v/>
      </c>
      <c r="C31433" t="n">
        <v>0</v>
      </c>
      <c r="D31433" t="inlineStr">
        <is>
          <t>Sabres d'Atcham; Amulette Volkorne; Anneau Volkorne; Bracelet du Piloztère; Bouclier du Captain Amakna; Ceinture de l'Indicible; Casque Volkorne; Cape d'Atcham; Sandales  d'Atcham; Dofus Ivoire; Dofus Pourpre; Dofus des Glaces; Dolmanax; Dofus Ocre; Dofus Turquoise; Muldo Roux et Amande</t>
        </is>
      </c>
    </row>
    <row r="31434">
      <c r="A31434" t="inlineStr">
        <is>
          <t>lol</t>
        </is>
      </c>
      <c r="B31434">
        <f>HYPERLINK("https://www.dofusbook.net/fr/equipement/152812-lol/objets", "link")</f>
        <v/>
      </c>
      <c r="C31434" t="n">
        <v>3</v>
      </c>
      <c r="D31434" t="inlineStr">
        <is>
          <t>L'Épée Nice; Amulette Ementaire Deluxe; Chevalière du Roi Joueur; Alliance Gloursonne; Bouclier du Captain Amakna; Ceinture Volkorne; Casque Volkorne; Cape au Logis; Baleinabottes; Dofus Nébuleux; Dofus Pourpre; Dofus Ivoire; Dofus Turquoise; Dofus Ocre; Miraculé majeur; Kramkram</t>
        </is>
      </c>
    </row>
    <row r="31435">
      <c r="A31435" t="inlineStr">
        <is>
          <t>Stuff 2</t>
        </is>
      </c>
      <c r="B31435">
        <f>HYPERLINK("https://www.dofusbook.net/fr/equipement/94912-stuff-2/objets", "link")</f>
        <v/>
      </c>
      <c r="C31435" t="n">
        <v>10</v>
      </c>
      <c r="D31435" t="inlineStr">
        <is>
          <t>L'Épée Nice; Amulette Ementaire Deluxe; Alliance Gloursonne; Chevalière du Roi Joueur; Bouclier du Captain Amakna; Ceinture Volkorne; Casque Volkorne; Voile d'encre; Baleinabottes; Dolmanax; Dofus Nébuleux; Dofus Pourpre; Dofus Ocre; Dofus Turquoise; Miraculé majeur; Kramkram</t>
        </is>
      </c>
    </row>
    <row r="31436">
      <c r="A31436" t="inlineStr">
        <is>
          <t>Stuff 3</t>
        </is>
      </c>
      <c r="B31436">
        <f>HYPERLINK("https://www.dofusbook.net/fr/equipement/94907-stuff-3/objets", "link")</f>
        <v/>
      </c>
      <c r="C31436" t="n">
        <v>7</v>
      </c>
      <c r="D31436" t="inlineStr">
        <is>
          <t>Hache Téroïde; Amulette du Strigide; Anneau de Padgref; Alliance Gloursonne; Quatre-feuilles; Ceinture du Strigide; Coiffe de Padgref; Voile d'encre; Getas de Padgref; Dofus Pourpre; Dofus Abyssal; Dofus Turquoise; Dofus Émeraude; Dolmanax; Dofus Nébuleux; Sakochère</t>
        </is>
      </c>
    </row>
    <row r="31437">
      <c r="A31437" t="inlineStr">
        <is>
          <t>Stuff 2</t>
        </is>
      </c>
      <c r="B31437">
        <f>HYPERLINK("https://www.dofusbook.net/fr/equipement/94919-stuff-2/objets", "link")</f>
        <v/>
      </c>
      <c r="C31437" t="n">
        <v>11</v>
      </c>
      <c r="D31437" t="inlineStr">
        <is>
          <t>Epée Maudite du Saigneur Guerrier; Amulette du Strigide; Bracelet du Piloztère; Anneau de Padgref; Bouclier du Captain Amakna; Ceinture du Strigide; Coiffe de Padgref; Cape d'Atcham; Getas de Padgref; Dofus Pourpre; Dofus des Glaces; Dofus Turquoise; Dofus Nébuleux; Dolmanax; Dofus Ocre; Sakochère</t>
        </is>
      </c>
    </row>
    <row r="31438">
      <c r="A31438" t="inlineStr">
        <is>
          <t>Stuff 2</t>
        </is>
      </c>
      <c r="B31438">
        <f>HYPERLINK("https://www.dofusbook.net/fr/equipement/94891-stuff-2/objets", "link")</f>
        <v/>
      </c>
      <c r="C31438" t="n">
        <v>3</v>
      </c>
      <c r="D31438" t="inlineStr">
        <is>
          <t>Ares; Amulette du Wabbit Céphale; Gelano; Anneau Ancestral; Bouclier d'Asse; Ceinture Précieuse; Coiffe du Bimd'Oule; Cape Ouroboulos; Bottes du Wabbit Céphale; Ralentisseur; Temporiseur; Entraveur; Nomade; Temporiseur mineur; Remueur; Dragodinde Indigo</t>
        </is>
      </c>
    </row>
    <row r="31439">
      <c r="A31439" t="inlineStr">
        <is>
          <t>Eliotrope F 200</t>
        </is>
      </c>
      <c r="B31439">
        <f>HYPERLINK("https://www.dofusbook.net/fr/equipement/3990392-eliotrope-f-200/objets", "link")</f>
        <v/>
      </c>
      <c r="C31439" t="n">
        <v>2</v>
      </c>
      <c r="D31439" t="inlineStr">
        <is>
          <t>Chakra Style; Collier du Dragon Cochon; Gelano; Bracelet du Chef Bwork; Bouclier d'Asse; Ceinture du Rat Noir; La Bekille; Cape du Rat Noir; Fourbabottes; Acrobate; Cascadeur; Equilibriste; Nomade; Miraculé; Remueur; Dragodinde Ebène</t>
        </is>
      </c>
    </row>
    <row r="31440">
      <c r="A31440" t="inlineStr">
        <is>
          <t>Stuff 3</t>
        </is>
      </c>
      <c r="B31440">
        <f>HYPERLINK("https://www.dofusbook.net/fr/equipement/94929-stuff-3/objets", "link")</f>
        <v/>
      </c>
      <c r="C31440" t="n">
        <v>1</v>
      </c>
      <c r="D31440" t="inlineStr">
        <is>
          <t>Sabres d'Atcham; Amulette du Strigide; Alliance Gloursonne; Bague Trithon; Bouclier du Captain Amakna; Ceintacé; Chapeau de Gein; Voile d'encre; Bottes du Strigide; Dofus Turquoise; Dofus Pourpre; Dofus Ocre; Dolmanax; Dofus Nébuleux; Nomade; Sakochère</t>
        </is>
      </c>
    </row>
    <row r="31441">
      <c r="A31441" t="inlineStr">
        <is>
          <t>pp1</t>
        </is>
      </c>
      <c r="B31441">
        <f>HYPERLINK("https://www.dofusbook.net/fr/equipement/1897633-pp1/objets", "link")</f>
        <v/>
      </c>
      <c r="C31441" t="n">
        <v>11</v>
      </c>
      <c r="D31441" t="inlineStr">
        <is>
          <t>L'Épée Nice; Amulette Nécrotique; Anneau Chevelu; Gelano; Bouclier Taverne; Ceinture de XLII; Chapeau Lisson; Cape Peupret; Bottes de XLII; Dofus Pourpre; Dofus Turquoise; Cascadeur majeur; Enragé majeur; Miraculé majeur; Remueur; Sakochère</t>
        </is>
      </c>
    </row>
    <row r="31442">
      <c r="A31442" t="inlineStr">
        <is>
          <t>Stuff 2</t>
        </is>
      </c>
      <c r="B31442">
        <f>HYPERLINK("https://www.dofusbook.net/fr/equipement/94982-stuff-2/objets", "link")</f>
        <v/>
      </c>
      <c r="C31442" t="n">
        <v>3</v>
      </c>
      <c r="D31442" t="inlineStr">
        <is>
          <t>Bâthon; Amulette Volkorne; Chevalière du Roi Joueur; Anneau Tique; Bouclier du Captain Amakna; Ceinture Volkorne; Couronne du Roi Joueur; Voile d'encre; Bottes du Roi Joueur; Dofus Pourpre; Dofus Nébuleux; Dolmanax; Dofus Ocre; Dofus Turquoise; Dofus des Glaces; Sakochère</t>
        </is>
      </c>
    </row>
    <row r="31443">
      <c r="A31443" t="inlineStr">
        <is>
          <t>Stuff 3</t>
        </is>
      </c>
      <c r="B31443">
        <f>HYPERLINK("https://www.dofusbook.net/fr/equipement/94904-stuff-3/objets", "link")</f>
        <v/>
      </c>
      <c r="C31443" t="n">
        <v>6</v>
      </c>
      <c r="D31443" t="inlineStr">
        <is>
          <t>Arc corrompu; Amulette Volkorne; Anneauræus; Anneau de Padgref; Quatre-feuilles; Ceinture de Vortex; Coiffe de Padgref; Cape d'Atcham; Getas de Padgref; Dofus Abyssal; Dofus Nébuleux; Dofus Pourpre; Dofus des Glaces; Dofus Turquoise; Dofus Ocre; Sakochère</t>
        </is>
      </c>
    </row>
    <row r="31444">
      <c r="A31444" t="inlineStr">
        <is>
          <t>jdfgjhgf</t>
        </is>
      </c>
      <c r="B31444">
        <f>HYPERLINK("https://www.dofusbook.net/fr/equipement/1539770-jdfgjhgf/objets", "link")</f>
        <v/>
      </c>
      <c r="C31444" t="n">
        <v>0</v>
      </c>
      <c r="D31444" t="inlineStr">
        <is>
          <t>Hache du Chalœil; Amulette du Strigide; Alliance Gloursonne; Bracelet du Piloztère; Quatre-feuilles; Ceinture du Strigide; Casque du Chalœil; Voile d'encre; Goulbottes; Dofus Ocre; Dofus Nébuleux; Dofus Pourpre; Dofus Turquoise; Remueur; Nomade; Sakochère</t>
        </is>
      </c>
    </row>
    <row r="31445">
      <c r="A31445" t="inlineStr">
        <is>
          <t>Stuff 1</t>
        </is>
      </c>
      <c r="B31445">
        <f>HYPERLINK("https://www.dofusbook.net/fr/equipement/94972-stuff-1/objets", "link")</f>
        <v/>
      </c>
      <c r="C31445" t="n">
        <v>0</v>
      </c>
      <c r="D31445" t="inlineStr">
        <is>
          <t>Marteau des égarés; Amulette du Strigide; Bracelet du Piloztère; Alliance Gloursonne; Quatre-feuilles; Ceinture du Strigide; Coiffe d'Ogivol; Voile d'encre; Bottes du Lévitrof; Dofus Pourpre; Dofus Turquoise; Dofus Nébuleux; Dofus Ocre; Remueur; Nomade; Sakochère</t>
        </is>
      </c>
    </row>
    <row r="31446">
      <c r="A31446" t="inlineStr">
        <is>
          <t>Stuff 1</t>
        </is>
      </c>
      <c r="B31446">
        <f>HYPERLINK("https://www.dofusbook.net/fr/equipement/94905-stuff-1/objets", "link")</f>
        <v/>
      </c>
      <c r="C31446" t="n">
        <v>7</v>
      </c>
      <c r="D31446" t="inlineStr">
        <is>
          <t>Héqache; Amulette du Strigide; Bague Trithon; Bague Instable; Bouclier du Captain Amakna; Ceinture du Strigide; Masque Trithon; Voile d'encre; Bottes Trithon; Dofus Pourpre; Dofus Nébuleux; Dolmanax; Dofus Ocre; Dofus Turquoise; Dofus des Glaces; Balafreux</t>
        </is>
      </c>
    </row>
    <row r="31447">
      <c r="A31447" t="inlineStr">
        <is>
          <t>kjj</t>
        </is>
      </c>
      <c r="B31447">
        <f>HYPERLINK("https://www.dofusbook.net/fr/equipement/2023428-kjj/objets", "link")</f>
        <v/>
      </c>
      <c r="C31447" t="n">
        <v>2</v>
      </c>
      <c r="D31447" t="inlineStr">
        <is>
          <t>Arc de Koutoulou; Amulette de Shokkoth; Anneau de Guten Tak; Alliance Gloursonne; Sept ans de malheur; Culotte de Bethel; Masque de Funespadon; Cape d'Atcham; Sandales  d'Atcham; Dofus Pourpre; Dofus Ocre; Dolmanax; Dofus des Glaces; Dofus Abyssal; Dofus Nébuleux; Volkorne Doré et Ivoire</t>
        </is>
      </c>
    </row>
    <row r="31448">
      <c r="A31448" t="inlineStr">
        <is>
          <t>cona</t>
        </is>
      </c>
      <c r="B31448">
        <f>HYPERLINK("https://www.dofusbook.net/fr/equipement/2173533-cona/objets", "link")</f>
        <v/>
      </c>
      <c r="C31448" t="n">
        <v>6</v>
      </c>
      <c r="D31448" t="inlineStr">
        <is>
          <t>Marteau R'ture; Amulette Ementaire Deluxe; Anneau de Nidas; Alliance Gloursonne; Bouclier cubiste; Ceintacé; Couronne de Nidas; Voile d'encre; Bottes de la Dame du Hasard; Dofus Pourpre; Dolmanax; Dofus Turquoise; Remueur; Miraculé majeur; Nomade; Kramkram</t>
        </is>
      </c>
    </row>
    <row r="31449">
      <c r="A31449" t="inlineStr">
        <is>
          <t>Stuff 3</t>
        </is>
      </c>
      <c r="B31449">
        <f>HYPERLINK("https://www.dofusbook.net/fr/equipement/94910-stuff-3/objets", "link")</f>
        <v/>
      </c>
      <c r="C31449" t="n">
        <v>1</v>
      </c>
      <c r="D31449" t="inlineStr">
        <is>
          <t>Arc Nécrotique; Amulette du Strigide; Alliance Gloursonne; Anneau Volkorne; Quatre-feuilles; Ceinture du Strigide; Kidibonnet; Cape de la Dame du Hasard; Bottes de la Dame du Hasard; Dolmanax; Dofus des Glaces; Dofus Pourpre; Dofus Ocre; Dofus Turquoise; Dofus Nébuleux; Phortiche</t>
        </is>
      </c>
    </row>
    <row r="31450">
      <c r="A31450" t="inlineStr">
        <is>
          <t>afsfdasfa</t>
        </is>
      </c>
      <c r="B31450">
        <f>HYPERLINK("https://www.dofusbook.net/fr/equipement/2284595-afsfdasfa/objets", "link")</f>
        <v/>
      </c>
      <c r="C31450" t="n">
        <v>2</v>
      </c>
      <c r="D31450" t="inlineStr">
        <is>
          <t>Dagues de Srambad; Amulette du Kamasterisk; Pikano; Alliance Gloursonne; Quatre-feuilles; Ceinture de la Reine des Voleurs; Coiffe de la Reine des Voleurs; Voile d'encre; Sabots Minables; Dolmanax; Dofus Pourpre; Dofus Turquoise; Miraculé majeur; Nomade; Remueur; Sakochère</t>
        </is>
      </c>
    </row>
    <row r="31451">
      <c r="A31451" t="inlineStr">
        <is>
          <t>Stuff 1</t>
        </is>
      </c>
      <c r="B31451">
        <f>HYPERLINK("https://www.dofusbook.net/fr/equipement/94887-stuff-1/objets", "link")</f>
        <v/>
      </c>
      <c r="C31451" t="n">
        <v>6</v>
      </c>
      <c r="D31451" t="inlineStr">
        <is>
          <t>Hache Téroïde; Amulette du Strigide; Anneau de Padgref; Bague Trithon; Bouclier du Captain Amakna; Ceinture du Strigide; Coiffe de Padgref; Cape au Logis; Getas de Padgref; Dofus Turquoise; Dofus Nébuleux; Dofus Émeraude; Dofus Ocre; Dofus Pourpre; Dofus des Glaces; Sakochère</t>
        </is>
      </c>
    </row>
    <row r="31452">
      <c r="A31452" t="inlineStr">
        <is>
          <t>Sram M 200</t>
        </is>
      </c>
      <c r="B31452">
        <f>HYPERLINK("https://www.dofusbook.net/fr/equipement/3309070-sram-m-200/objets", "link")</f>
        <v/>
      </c>
      <c r="C31452" t="n">
        <v>8</v>
      </c>
      <c r="D31452" t="inlineStr">
        <is>
          <t>Hachoirs de Viandargh; Pendentif Oton; Anneau d'Allister; Alliance Gloursonne; Quatre-feuilles; Ceinture Rasboulaire du Rasboul; Couronne d'Allister; Cape Matelassée; Pantoufles Émar; Dofus Turquoise; Dofus Nébuleux; Remueur; Cascadeur majeur; Nomade; Equilibriste majeur; Dragodinde Prune et Ebène</t>
        </is>
      </c>
    </row>
    <row r="31453">
      <c r="A31453" t="inlineStr">
        <is>
          <t>Stuff 3</t>
        </is>
      </c>
      <c r="B31453">
        <f>HYPERLINK("https://www.dofusbook.net/fr/equipement/94932-stuff-3/objets", "link")</f>
        <v/>
      </c>
      <c r="C31453" t="n">
        <v>10</v>
      </c>
      <c r="D31453" t="inlineStr">
        <is>
          <t>Sabres d'Atcham; Amulette du Strigide; Alliance Gloursonne; Chevalière du Roi Joueur; Quatre-feuilles; Ceintacé; Masque du Katcheur; Chevelure de Tal Kasha; Bottes du Strigide; Dofus Turquoise; Dofus Pourpre; Nomade; Remueur; Enragé majeur; Vigoureux majeur; Sakochère</t>
        </is>
      </c>
    </row>
    <row r="31454">
      <c r="A31454" t="inlineStr">
        <is>
          <t>Stuff 1</t>
        </is>
      </c>
      <c r="B31454">
        <f>HYPERLINK("https://www.dofusbook.net/fr/equipement/94942-stuff-1/objets", "link")</f>
        <v/>
      </c>
      <c r="C31454" t="n">
        <v>6</v>
      </c>
      <c r="D31454" t="inlineStr">
        <is>
          <t>Sabres d'Atcham; Amulette de l'Indicible; Alliance Brûlâme; Anneau de Padgref; Quatre-feuilles; Ceinture de l'Indicible; Coiffe de Padgref; Cape d'Atcham; Getas de Padgref; Dolmanax; Dofus Ocre; Dofus Turquoise; Dofus des Glaces; Dofus Pourpre; Dofus Nébuleux; Muldo Emeraude</t>
        </is>
      </c>
    </row>
    <row r="31455">
      <c r="A31455" t="inlineStr">
        <is>
          <t>Stuff 3</t>
        </is>
      </c>
      <c r="B31455">
        <f>HYPERLINK("https://www.dofusbook.net/fr/equipement/94983-stuff-3/objets", "link")</f>
        <v/>
      </c>
      <c r="C31455" t="n">
        <v>0</v>
      </c>
      <c r="D31455" t="inlineStr">
        <is>
          <t>Lav'Hache; Amulette Luminescente; Bague Gloursonne; Anneau du Comte Harebourg; Bouclier du Captain Amakna; Ceinture Luminescente; Coiffe du Comte Harebourg; Cape Luminescente; Bottes du Comte Harebourg; Dofus Vulbis; Dofus Turquoise; Dolmanax; Dofus Ocre; Dofus Pourpre; Dofus Nébuleux; Pioute vert</t>
        </is>
      </c>
    </row>
    <row r="31456">
      <c r="A31456" t="inlineStr">
        <is>
          <t>Stuff 2</t>
        </is>
      </c>
      <c r="B31456">
        <f>HYPERLINK("https://www.dofusbook.net/fr/equipement/94934-stuff-2/objets", "link")</f>
        <v/>
      </c>
      <c r="C31456" t="n">
        <v>6</v>
      </c>
      <c r="D31456" t="inlineStr">
        <is>
          <t>Epée Maudite du Saigneur Guerrier; Amulette du Strigide; Anneau de Padgref; Bracelet du Piloztère; Bouclier du Captain Amakna; Ceinture du Strigide; Coiffe de Padgref; Cape d'Atcham; Getas de Padgref; Dofus des Glaces; Dofus Ocre; Dofus Pourpre; Dolmanax; Dofus Turquoise; Dofus Nébuleux; Muldo Emeraude</t>
        </is>
      </c>
    </row>
    <row r="31457">
      <c r="A31457" t="inlineStr">
        <is>
          <t>rri</t>
        </is>
      </c>
      <c r="B31457">
        <f>HYPERLINK("https://www.dofusbook.net/fr/equipement/1269414-rri/objets", "link")</f>
        <v/>
      </c>
      <c r="C31457" t="n">
        <v>2</v>
      </c>
      <c r="D31457" t="inlineStr">
        <is>
          <t>Manthache; Amulette du Kamasterisk; Gant du Valet Veinard; Alliance Gloursonne; Quatre-feuilles; Menoture; Dorabysses; Cape du Kamasterisk; Pantoufles Émar; Dofus Turquoise; Equilibriste majeur; Cascadeur majeur; Carapace Feu majeur; Nomade; Remueur; Siroko</t>
        </is>
      </c>
    </row>
    <row r="31458">
      <c r="A31458" t="inlineStr">
        <is>
          <t>Stuff 2</t>
        </is>
      </c>
      <c r="B31458">
        <f>HYPERLINK("https://www.dofusbook.net/fr/equipement/94970-stuff-2/objets", "link")</f>
        <v/>
      </c>
      <c r="C31458" t="n">
        <v>2</v>
      </c>
      <c r="D31458" t="inlineStr">
        <is>
          <t>Sceptre du Roi Joueur; Amulette de Shokkoth; Alliance Gloursonne; Bracelet des Fonds marins; Quatre-feuilles; Sangle Ouare; Masque des Fonds marins; Cape Matelassée; Pataugastrique; Miraculé majeur; Chanceux majeur; Remueur; Vigoureux majeur; Nomade; Taquin majeur; Dragodinde Indigo</t>
        </is>
      </c>
    </row>
    <row r="31459">
      <c r="A31459" t="inlineStr">
        <is>
          <t>Steamer M 200</t>
        </is>
      </c>
      <c r="B31459">
        <f>HYPERLINK("https://www.dofusbook.net/fr/equipement/3649374-steamer-m-200/objets", "link")</f>
        <v/>
      </c>
      <c r="C31459" t="n">
        <v>0</v>
      </c>
      <c r="D31459" t="inlineStr">
        <is>
          <t>Arc corrompu; Pendentif affamé; Anneauræus; Anneau Tique; Quatre-feuilles; Ceinture de Vortex; Chapeau de Gein; Cape de Diondin; Bottes Innommables; Dofus Abyssal; Dofus des Glaces; Dofus Ocre; Nomade; Astucieux majeur; Érudit majeur; Dragodinde Orchidée</t>
        </is>
      </c>
    </row>
    <row r="31460">
      <c r="A31460" t="inlineStr">
        <is>
          <t>Stuff 2</t>
        </is>
      </c>
      <c r="B31460">
        <f>HYPERLINK("https://www.dofusbook.net/fr/equipement/94937-stuff-2/objets", "link")</f>
        <v/>
      </c>
      <c r="C31460" t="n">
        <v>1</v>
      </c>
      <c r="D31460" t="inlineStr">
        <is>
          <t>Manthache; Amulette du Kamasterisk; Gant du Valet Veinard; Alliance Gloursonne; Quatre-feuilles; Menoture; Dorabysses; Cape du Kamasterisk; Palmes Trithons; Dofus Ocre; Dofus Abyssal; Dofus des Glaces; Cascadeur majeur; Nomade; Equilibriste majeur; Dragodinde Ebène</t>
        </is>
      </c>
    </row>
    <row r="31461">
      <c r="A31461" t="inlineStr">
        <is>
          <t>Stuff 2</t>
        </is>
      </c>
      <c r="B31461">
        <f>HYPERLINK("https://www.dofusbook.net/fr/equipement/94973-stuff-2/objets", "link")</f>
        <v/>
      </c>
      <c r="C31461" t="n">
        <v>1</v>
      </c>
      <c r="D31461" t="inlineStr">
        <is>
          <t>Arc Nécrotique; Amulette du Strigide; Bracelet du Piloztère; Anneau Cryochrone; Quatre-feuilles; Ceinture du Strigide; Kidibonnet; Cape de la Dame du Hasard; Bottes Honyme; Dofus Pourpre; Dofus Turquoise; Remueur; Chanceux majeur; Fonceur majeur; Érudit majeur; Muldo Doré et Emeraude</t>
        </is>
      </c>
    </row>
    <row r="31462">
      <c r="A31462" t="inlineStr">
        <is>
          <t>Stuff 3</t>
        </is>
      </c>
      <c r="B31462">
        <f>HYPERLINK("https://www.dofusbook.net/fr/equipement/94935-stuff-3/objets", "link")</f>
        <v/>
      </c>
      <c r="C31462" t="n">
        <v>0</v>
      </c>
      <c r="D31462" t="inlineStr">
        <is>
          <t>Sabres d'Atcham; Amulette du Strigide; Anneau de Padgref; Alliance Gloursonne; Quatre-feuilles; Ceinture du Strigide; Coiffe de Padgref; Chevelure de Tal Kasha; Bottes du Strigide; Dofus Ocre; Dofus Nébuleux; Dofus Émeraude; Dofus Pourpre; Dofus des Glaces; Dofus Turquoise; Muldo Doré et Emeraude</t>
        </is>
      </c>
    </row>
    <row r="31463">
      <c r="A31463" t="inlineStr">
        <is>
          <t>Stuff 1</t>
        </is>
      </c>
      <c r="B31463">
        <f>HYPERLINK("https://www.dofusbook.net/fr/equipement/94990-stuff-1/objets", "link")</f>
        <v/>
      </c>
      <c r="C31463" t="n">
        <v>3</v>
      </c>
      <c r="D31463" t="inlineStr">
        <is>
          <t>Sabres d'Atcham; Amulette du Strigide; Alliance Gloursonne; Chevalière du Roi Joueur; Bouclier d'Ilyzaelle; Ceintacé; Masque de Koutoulou; Voile d'encre; Bottes du Strigide; Dofus Turquoise; Dofus Nébuleux; Dofus Pourpre; Remueur; Nomade; Miraculé majeur; Dragodinde Ebène et Indigo</t>
        </is>
      </c>
    </row>
    <row r="31464">
      <c r="A31464" t="inlineStr">
        <is>
          <t>niggi</t>
        </is>
      </c>
      <c r="B31464">
        <f>HYPERLINK("https://www.dofusbook.net/fr/equipement/974341-niggi/objets", "link")</f>
        <v/>
      </c>
      <c r="C31464" t="n">
        <v>2</v>
      </c>
      <c r="D31464" t="inlineStr">
        <is>
          <t>Marteau des égarés; Amulette du Strigide; Alliance du Lévitrof; Alliance Gloursonne; Bouclier d'Ilyzaelle; Ceinture du Strigide; Masque d'Anerice; Voile d'encre; Bottes du Chalœil; Dofus Turquoise; Dofus Pourpre; Obstructeur majeur; Vigoureux majeur; Remueur; Nomade; Volkorne Jade et Améthyste</t>
        </is>
      </c>
    </row>
    <row r="31465">
      <c r="A31465" t="inlineStr">
        <is>
          <t>gfgggggh</t>
        </is>
      </c>
      <c r="B31465">
        <f>HYPERLINK("https://www.dofusbook.net/fr/equipement/1658610-gfgggggh/objets", "link")</f>
        <v/>
      </c>
      <c r="C31465" t="n">
        <v>5</v>
      </c>
      <c r="D31465" t="inlineStr">
        <is>
          <t>Arc Volkorne; Amulette de l'Indicible; Bague Trithon; Anneau de Padgref; Quatre-feuilles; Ceinture de l'Indicible; Coiffe de Padgref; Cape d'Atcham; Getas de Padgref; Dofus Turquoise; Dofus des Glaces; Dofus Nébuleux; Dolmanax; Dofus Pourpre; Dofus Ocre; Muldo Emeraude</t>
        </is>
      </c>
    </row>
    <row r="31466">
      <c r="A31466" t="inlineStr">
        <is>
          <t>Stuff 3</t>
        </is>
      </c>
      <c r="B31466">
        <f>HYPERLINK("https://www.dofusbook.net/fr/equipement/94992-stuff-3/objets", "link")</f>
        <v/>
      </c>
      <c r="C31466" t="n">
        <v>4</v>
      </c>
      <c r="D31466" t="inlineStr">
        <is>
          <t>Arc de Guten Tak; Amulette du Strigide; Pikano; Alliance Gloursonne; Quatre-feuilles; Ceinture de la Reine des Voleurs; Coiffe de la Reine des Voleurs; Cape au Logis; Baleinabottes; Dofus Pourpre; Dofus Turquoise; Dofus Nébuleux; Chanceux majeur; Carapace Neutre majeur; Remueur; Muldo Ebène et Indigo</t>
        </is>
      </c>
    </row>
    <row r="31467">
      <c r="A31467" t="inlineStr">
        <is>
          <t>Stuff 3</t>
        </is>
      </c>
      <c r="B31467">
        <f>HYPERLINK("https://www.dofusbook.net/fr/equipement/94923-stuff-3/objets", "link")</f>
        <v/>
      </c>
      <c r="C31467" t="n">
        <v>0</v>
      </c>
      <c r="D31467" t="inlineStr">
        <is>
          <t>Dagues Açantes; Amulette de Shokkoth; Alliance Gloursonne; Bracelet des Fonds marins; Bouclier cubiste; Poulpagne; Kidibonnet; Cape de la Dame du Hasard; Bottes de la Dame du Hasard; Dofus Nébuleux; Remueur; Nomade; Chanceux majeur; Temporiseur majeur; Taquin majeur; Dehluge</t>
        </is>
      </c>
    </row>
    <row r="31468">
      <c r="A31468" t="inlineStr">
        <is>
          <t>Stuff 2</t>
        </is>
      </c>
      <c r="B31468">
        <f>HYPERLINK("https://www.dofusbook.net/fr/equipement/94958-stuff-2/objets", "link")</f>
        <v/>
      </c>
      <c r="C31468" t="n">
        <v>0</v>
      </c>
      <c r="D31468" t="inlineStr">
        <is>
          <t>Epée Gloursonne; Amulette de l'Indicible; Bague Gloursonne; Alliance Gloursonne; Bouclier du Captain Amakna; Ceinture de l'Indicible; Casque du Chalœil; Cape du Chalœil; Bottes du Chalœil; Dofus Vulbis; Dofus Nébuleux; Dolmanax; Dofus Pourpre; Dofus Ocre; Dofus Turquoise; Kramkram</t>
        </is>
      </c>
    </row>
    <row r="31469">
      <c r="A31469" t="inlineStr">
        <is>
          <t>jghjhgjg</t>
        </is>
      </c>
      <c r="B31469">
        <f>HYPERLINK("https://www.dofusbook.net/fr/equipement/2319329-jghjhgjg/objets", "link")</f>
        <v/>
      </c>
      <c r="C31469" t="n">
        <v>2</v>
      </c>
      <c r="D31469" t="inlineStr">
        <is>
          <t>Arc corrompu; Amulette de Nileza; Anneau Tique; Anneau de Nidas; Quatre-feuilles; Ceinture de Vortex; Couronne de Nidas; Voile d'encre; Pataugastrique; Dofus Turquoise; Miraculé majeur; Nomade; Érudit majeur; Astucieux majeur; Remueur; Kramkram</t>
        </is>
      </c>
    </row>
    <row r="31470">
      <c r="A31470" t="inlineStr">
        <is>
          <t>rww</t>
        </is>
      </c>
      <c r="B31470">
        <f>HYPERLINK("https://www.dofusbook.net/fr/equipement/1491603-rww/objets", "link")</f>
        <v/>
      </c>
      <c r="C31470" t="n">
        <v>6</v>
      </c>
      <c r="D31470" t="inlineStr">
        <is>
          <t>Rouleau à Pâtisserie d'Aermyne; Amulette du Cycloïde; Anneau de Pol Ouatnos; Alliance Gloursonne; Bouclier d'Anerice; Ceinture de Kongoku; Casque Dragoeuf; Cape d'Anerice; Pataugastrique; Dofus Émeraude; Bloqueur majeur; Obstructeur majeur; Remueur; Fonceur majeur; Miraculé majeur; Muldo Roux et Indigo</t>
        </is>
      </c>
    </row>
    <row r="31471">
      <c r="A31471" t="inlineStr">
        <is>
          <t>Stuff 3</t>
        </is>
      </c>
      <c r="B31471">
        <f>HYPERLINK("https://www.dofusbook.net/fr/equipement/94941-stuff-3/objets", "link")</f>
        <v/>
      </c>
      <c r="C31471" t="n">
        <v>3</v>
      </c>
      <c r="D31471" t="inlineStr">
        <is>
          <t>Lav'Hache; Amulette Luminescente; Anneau de Pol Ouatnos; Chevalière du Roi Joueur; Bouclier précieux; Ceinture Luminescente; Chapoulpe; Cape au Logis; Baleinabottes; Dofus Émeraude; Enragé majeur; Obstructeur majeur; Observateur; Miraculé majeur; Remueur; El Scarador</t>
        </is>
      </c>
    </row>
    <row r="31472">
      <c r="A31472" t="inlineStr">
        <is>
          <t>Stuff 3</t>
        </is>
      </c>
      <c r="B31472">
        <f>HYPERLINK("https://www.dofusbook.net/fr/equipement/94971-stuff-3/objets", "link")</f>
        <v/>
      </c>
      <c r="C31472" t="n">
        <v>6</v>
      </c>
      <c r="D31472" t="inlineStr">
        <is>
          <t>Hachoirs de Viandargh; Amulette Hale; Anneau d'Allister; Alliance Gloursonne; Quatre-feuilles; Ceinture Rasboulaire du Rasboul; Couronne d'Allister; Cape Matelassée; Pantoufles Émar; Equilibriste majeur; Remueur; Cascadeur majeur; Miraculé majeur; Vigoureux majeur; Nomade; Muldo Ebène et Indigo</t>
        </is>
      </c>
    </row>
    <row r="31473">
      <c r="A31473" t="inlineStr">
        <is>
          <t>ijon</t>
        </is>
      </c>
      <c r="B31473">
        <f>HYPERLINK("https://www.dofusbook.net/fr/equipement/3108572-ijon/objets", "link")</f>
        <v/>
      </c>
      <c r="C31473" t="n">
        <v>0</v>
      </c>
      <c r="D31473" t="inlineStr">
        <is>
          <t>Sabres d'Atcham; Amulette du Strigide; Anneau Toriété; Alliance Gloursonne; Quatre-feuilles; Ceintacé; Chapeau des Malveilleurs; Voile d'encre; Bottes du Strigide; Dofus Pourpre; Dofus Turquoise; Dofus Nébuleux; Remueur; Nomade; Vigoureux majeur; Kramkram</t>
        </is>
      </c>
    </row>
    <row r="31474">
      <c r="A31474" t="inlineStr">
        <is>
          <t>Stuff 2</t>
        </is>
      </c>
      <c r="B31474">
        <f>HYPERLINK("https://www.dofusbook.net/fr/equipement/94961-stuff-2/objets", "link")</f>
        <v/>
      </c>
      <c r="C31474" t="n">
        <v>0</v>
      </c>
      <c r="D31474" t="inlineStr">
        <is>
          <t>Marteau des égarés; Amulette du Strigide; Chevalière du Roi Joueur; Alliance Gloursonne; Quatre-feuilles; Ceintacé; Kidibonnet; Voile d'encre; Bottes du Strigide; Dofus Turquoise; Dofus Pourpre; Remueur; Cascadeur majeur; Nomade; Vigoureux majeur; Kramkram</t>
        </is>
      </c>
    </row>
    <row r="31475">
      <c r="A31475" t="inlineStr">
        <is>
          <t>Fsgg</t>
        </is>
      </c>
      <c r="B31475">
        <f>HYPERLINK("https://www.dofusbook.net/fr/equipement/2845998-fsgg/objets", "link")</f>
        <v/>
      </c>
      <c r="C31475" t="n">
        <v>0</v>
      </c>
      <c r="D31475" t="inlineStr">
        <is>
          <t>Héqache; Amulette du Strigide; Bague Gloursonne; Bracelet du Piloztère; Bouclier du Captain Amakna; Ceinture du Strigide; Coiffe de la Reine des Voleurs; Cape du Kamasterisk; Baleinabottes; Dofus Turquoise; Dofus Pourpre; Nomade; Cascadeur majeur; Vigoureux majeur; Remueur; Muldo Orchidée</t>
        </is>
      </c>
    </row>
    <row r="31476">
      <c r="A31476" t="inlineStr">
        <is>
          <t>Stuff 2</t>
        </is>
      </c>
      <c r="B31476">
        <f>HYPERLINK("https://www.dofusbook.net/fr/equipement/94979-stuff-2/objets", "link")</f>
        <v/>
      </c>
      <c r="C31476" t="n">
        <v>4</v>
      </c>
      <c r="D31476" t="inlineStr">
        <is>
          <t>Rapière aux Glyphes; Amulette Luminescente; Alliance Gloursonne; Pikano; Bouclier cubiste; Ceinture Glaciale; Casquipik; Cape de la Dame du Hasard; Pantoufles Émar; Temporiseur; Ralentisseur majeur; Temporiseur majeur; Entraveur; Entraveur majeur; Remueur; Muldo Indigo</t>
        </is>
      </c>
    </row>
    <row r="31477">
      <c r="A31477" t="inlineStr">
        <is>
          <t>Stuff 3</t>
        </is>
      </c>
      <c r="B31477">
        <f>HYPERLINK("https://www.dofusbook.net/fr/equipement/94980-stuff-3/objets", "link")</f>
        <v/>
      </c>
      <c r="C31477" t="n">
        <v>1</v>
      </c>
      <c r="D31477" t="inlineStr">
        <is>
          <t>Arc Hétype; Amulette du Glourséleste; Chevalière du Roi Joueur; Anneau de Nidas; Bouclier cubiste; Ceinture de Kongoku; Boucle d'oreille de Kongoku; Voile d'encre; Pantoufles Émar; Remueur; Ralentisseur majeur; Entraveur; Entraveur majeur; Temporiseur; Temporiseur majeur; Kramkram</t>
        </is>
      </c>
    </row>
    <row r="31478">
      <c r="A31478" t="inlineStr">
        <is>
          <t>Stuff 1</t>
        </is>
      </c>
      <c r="B31478">
        <f>HYPERLINK("https://www.dofusbook.net/fr/equipement/94960-stuff-1/objets", "link")</f>
        <v/>
      </c>
      <c r="C31478" t="n">
        <v>0</v>
      </c>
      <c r="D31478" t="inlineStr">
        <is>
          <t>Sabres d'Atcham; Amulette du Strigide; Anneau Toriété; Alliance Gloursonne; Quatre-feuilles; Ceintacé; Kidibonnet; Voile d'encre; Bottes du Strigide; Dofus Pourpre; Dofus Turquoise; Nomade; Cascadeur majeur; Vigoureux majeur; Remueur; Kramkram</t>
        </is>
      </c>
    </row>
    <row r="31479">
      <c r="A31479" t="inlineStr">
        <is>
          <t>iiiii</t>
        </is>
      </c>
      <c r="B31479">
        <f>HYPERLINK("https://www.dofusbook.net/fr/equipement/2604272-iiiii/objets", "link")</f>
        <v/>
      </c>
      <c r="C31479" t="n">
        <v>0</v>
      </c>
      <c r="D31479" t="inlineStr">
        <is>
          <t>Marteau des égarés; Amulette du Strigide; Bague Trithon; Bracelet du Piloztère; Quatre-feuilles; Ceintacé; Casque du Chalœil; Voile d'encre; Bottes du Strigide; Dofus Turquoise; Dolmanax; Dofus Pourpre; Dofus Nébuleux; Remueur; Nomade; Muldo Prune et Emeraude</t>
        </is>
      </c>
    </row>
    <row r="31480">
      <c r="A31480" t="inlineStr">
        <is>
          <t>klkkk</t>
        </is>
      </c>
      <c r="B31480">
        <f>HYPERLINK("https://www.dofusbook.net/fr/equipement/2291646-klkkk/objets", "link")</f>
        <v/>
      </c>
      <c r="C31480" t="n">
        <v>0</v>
      </c>
      <c r="D31480" t="inlineStr">
        <is>
          <t>Arc de Koutoulou; Amulette du Strigide; Bracelet du Piloztère; Alliance Gloursonne; Quatre-feuilles; Ceinture du Strigide; Némès de Tal Kasha; Chevelure de Tal Kasha; Bottes du Strigide; Dofus des Glaces; Dofus Turquoise; Dolmanax; Dofus Pourpre; Dofus Ocre; Dofus Nébuleux; Muldo Prune et Indigo</t>
        </is>
      </c>
    </row>
    <row r="31481">
      <c r="A31481" t="inlineStr">
        <is>
          <t>afasf</t>
        </is>
      </c>
      <c r="B31481">
        <f>HYPERLINK("https://www.dofusbook.net/fr/equipement/2284536-afasf/objets", "link")</f>
        <v/>
      </c>
      <c r="C31481" t="n">
        <v>1</v>
      </c>
      <c r="D31481" t="inlineStr">
        <is>
          <t>Marteau R'ture; Amulette du Strigide; Pikano; Chevalière du Roi Joueur; Bouclier cubiste; Ceintacé; Boucle d'oreille de Kongoku; Cape de l'Œil Putride; Bottes du Strigide; Dofus Turquoise; Dofus Pourpre; Obstructeur majeur; Temporiseur majeur; Remueur; Nomade; Muldo Pourpre</t>
        </is>
      </c>
    </row>
    <row r="31482">
      <c r="A31482" t="inlineStr">
        <is>
          <t>fdtghd</t>
        </is>
      </c>
      <c r="B31482">
        <f>HYPERLINK("https://www.dofusbook.net/fr/equipement/2284483-fdtghd/objets", "link")</f>
        <v/>
      </c>
      <c r="C31482" t="n">
        <v>1</v>
      </c>
      <c r="D31482" t="inlineStr">
        <is>
          <t>Marteau des égarés; Amulette du Strigide; Alliance Gloursonne; Chevalière du Roi Joueur; Bouclier cubiste; Ceintacé; Boucle d'oreille de Kongoku; Voile d'encre; Bottes du Strigide; Dofus Turquoise; Dofus Pourpre; Dolmanax; Remueur; Nomade; Temporiseur majeur; Muldo Indigo et Pourpre</t>
        </is>
      </c>
    </row>
    <row r="31483">
      <c r="A31483" t="inlineStr">
        <is>
          <t>conan</t>
        </is>
      </c>
      <c r="B31483">
        <f>HYPERLINK("https://www.dofusbook.net/fr/equipement/2174073-conan/objets", "link")</f>
        <v/>
      </c>
      <c r="C31483" t="n">
        <v>0</v>
      </c>
      <c r="D31483" t="inlineStr">
        <is>
          <t>Arc du Chalœil; Amulette du Strigide; Alliance de Missiz Frizz; Bracelet du Piloztère; Quatre-feuilles; Ceinture du Strigide; Casque de Missiz Frizz; Cape au Logis; Bottes du Strigide; Dofus Nébuleux; Dofus Ocre; Dofus Turquoise; Dofus des Glaces; Dofus Pourpre; Dolmanax; Kompost</t>
        </is>
      </c>
    </row>
    <row r="31484">
      <c r="A31484" t="inlineStr">
        <is>
          <t>Stuff 3</t>
        </is>
      </c>
      <c r="B31484">
        <f>HYPERLINK("https://www.dofusbook.net/fr/equipement/94947-stuff-3/objets", "link")</f>
        <v/>
      </c>
      <c r="C31484" t="n">
        <v>0</v>
      </c>
      <c r="D31484" t="inlineStr">
        <is>
          <t>Arc de Koutoulou; Amulette de Shokkoth; Alliance Gloursonne; Gant du Valet Veinard; Quatre-feuilles; Ceintacé; Kidibonnet; Chevelure de Tal Kasha; Sandales de Tal Kasha; Dofus Pourpre; Dofus Turquoise; Chanceux majeur; Nomade; Cascadeur majeur; Remueur; Muldo Prune</t>
        </is>
      </c>
    </row>
    <row r="31485">
      <c r="A31485" t="inlineStr">
        <is>
          <t>Stuff 1</t>
        </is>
      </c>
      <c r="B31485">
        <f>HYPERLINK("https://www.dofusbook.net/fr/equipement/94936-stuff-1/objets", "link")</f>
        <v/>
      </c>
      <c r="C31485" t="n">
        <v>1</v>
      </c>
      <c r="D31485" t="inlineStr">
        <is>
          <t>L'Épée Nice; Collier du Valet Veinard; Alliance Gloursonne; Gant du Valet Veinard; Cadran d'Air; Menoture; Dorabysses; Cape Matelassée; Palmes Trithons; Dofus Émeraude; Remueur; Cascadeur majeur; Nomade; Equilibriste majeur; Miraculé majeur; Siroko</t>
        </is>
      </c>
    </row>
    <row r="31486">
      <c r="A31486" t="inlineStr">
        <is>
          <t>Stuff 2</t>
        </is>
      </c>
      <c r="B31486">
        <f>HYPERLINK("https://www.dofusbook.net/fr/equipement/94943-stuff-2/objets", "link")</f>
        <v/>
      </c>
      <c r="C31486" t="n">
        <v>1</v>
      </c>
      <c r="D31486" t="inlineStr">
        <is>
          <t>Epée Gloursonne; Amulette du Strigide; Bague Gloursonne; Alliance Gloursonne; Quatre-feuilles; Ceinture du Strigide; Coiffe de la Reine des Voleurs; Voile d'encre; Bottes du Strigide; Dofus Vulbis; Dofus Nébuleux; Dofus Turquoise; Dofus Pourpre; Dofus Ocre; Examinateur; Kramkram</t>
        </is>
      </c>
    </row>
    <row r="31487">
      <c r="A31487" t="inlineStr">
        <is>
          <t>Stuff 2</t>
        </is>
      </c>
      <c r="B31487">
        <f>HYPERLINK("https://www.dofusbook.net/fr/equipement/94925-stuff-2/objets", "link")</f>
        <v/>
      </c>
      <c r="C31487" t="n">
        <v>0</v>
      </c>
      <c r="D31487" t="inlineStr">
        <is>
          <t>Epée Gloursonne; Amulette du Strigide; Alliance Gloursonne; Bague Gloursonne; Quatre-feuilles; Ceinture du Strigide; Masque de l'Esprit Salvateur; Voile d'encre; Bottes du Strigide; Dofus Nébuleux; Dofus des Glaces; Dofus Turquoise; Dolmanax; Dofus Ocre; Dofus Pourpre; Muldo Doré et Emeraude</t>
        </is>
      </c>
    </row>
    <row r="31488">
      <c r="A31488" t="inlineStr">
        <is>
          <t>Stuff 1</t>
        </is>
      </c>
      <c r="B31488">
        <f>HYPERLINK("https://www.dofusbook.net/fr/equipement/94890-stuff-1/objets", "link")</f>
        <v/>
      </c>
      <c r="C31488" t="n">
        <v>1</v>
      </c>
      <c r="D31488" t="inlineStr">
        <is>
          <t>Arc Nécrotique; Collier de la Dame du Hasard; Anneau Tique; Alliance Gloursonne; Quatre-feuilles; Ceintrigue; Kidibonnet; Voile d'encre; Bottes Owesli; Dofus Turquoise; Dofus Pourpre; Observateur; Nomade; Remueur; Érudit majeur; Muldo Prune et Emeraude</t>
        </is>
      </c>
    </row>
    <row r="31489">
      <c r="A31489" t="inlineStr">
        <is>
          <t>Stuff 1</t>
        </is>
      </c>
      <c r="B31489">
        <f>HYPERLINK("https://www.dofusbook.net/fr/equipement/94893-stuff-1/objets", "link")</f>
        <v/>
      </c>
      <c r="C31489" t="n">
        <v>0</v>
      </c>
      <c r="D31489" t="inlineStr">
        <is>
          <t>Hache du Chalœil; Amulette du Strigide; Bracelet du Piloztère; Anneau de Pol Ouatnos; Quatre-feuilles; Ceinture du Strigide; Masque Brûlâme; Cape d'Atcham; Bottes du Strigide; Dofus Abyssal; Dofus Pourpre; Dofus Ocre; Dolmanax; Dofus des Glaces; Dofus Turquoise; Muldo Ebène et Emeraude</t>
        </is>
      </c>
    </row>
    <row r="31490">
      <c r="A31490" t="inlineStr">
        <is>
          <t>Stuff 1</t>
        </is>
      </c>
      <c r="B31490">
        <f>HYPERLINK("https://www.dofusbook.net/fr/equipement/94884-stuff-1/objets", "link")</f>
        <v/>
      </c>
      <c r="C31490" t="n">
        <v>3</v>
      </c>
      <c r="D31490" t="inlineStr">
        <is>
          <t>Baguette Hernelle; Amulette d'Otomaï; Anneau de Padgref; Bague Gloursonne; Bouclier Terrdala; Sangle Aise; Coiffe Séculaire; Cape de Nileza; Pantoufles Émar; Remueur; Érudit majeur; Savant majeur; Miraculé majeur; Nomade; Astucieux majeur; Muldo Orchidée</t>
        </is>
      </c>
    </row>
    <row r="31491">
      <c r="A31491" t="inlineStr">
        <is>
          <t>Stuff 2</t>
        </is>
      </c>
      <c r="B31491">
        <f>HYPERLINK("https://www.dofusbook.net/fr/equipement/94964-stuff-2/objets", "link")</f>
        <v/>
      </c>
      <c r="C31491" t="n">
        <v>0</v>
      </c>
      <c r="D31491" t="inlineStr">
        <is>
          <t>Pelle de la Cour Sombre; Amulette du Kamasterisk; Gant du Valet Veinard; Alliance Gloursonne; Quatre-feuilles; Menoture; Dorabysses; Cape du Kamasterisk; Baleinabottes; Remueur; Cascadeur majeur; Carapace Air majeur; Nomade; Equilibriste majeur; Miraculé majeur; Muldo Orchidée</t>
        </is>
      </c>
    </row>
    <row r="31492">
      <c r="A31492" t="inlineStr">
        <is>
          <t>Stuff 1</t>
        </is>
      </c>
      <c r="B31492">
        <f>HYPERLINK("https://www.dofusbook.net/fr/equipement/94933-stuff-1/objets", "link")</f>
        <v/>
      </c>
      <c r="C31492" t="n">
        <v>1</v>
      </c>
      <c r="D31492" t="inlineStr">
        <is>
          <t>Marteau des Anciens Steamers; Amulette du Strigide; Alliance Gloursonne; Bracelet du Piloztère; Bouclier du Captain Amakna; Ceinture du Strigide; Némès de Tal Kasha; Chevelure de Tal Kasha; Bottes du Strigide; Dofus Nébuleux; Dofus des Glaces; Dofus Pourpre; Dofus Ocre; Dofus Turquoise; Dolmanax; Muldo Prune et Indigo</t>
        </is>
      </c>
    </row>
    <row r="31493">
      <c r="A31493" t="inlineStr">
        <is>
          <t>Stuff 1</t>
        </is>
      </c>
      <c r="B31493">
        <f>HYPERLINK("https://www.dofusbook.net/fr/equipement/94951-stuff-1/objets", "link")</f>
        <v/>
      </c>
      <c r="C31493" t="n">
        <v>0</v>
      </c>
      <c r="D31493" t="inlineStr">
        <is>
          <t>Pelle de la Cour Sombre; Amulette du Kamasterisk; Gant du Valet Veinard; Alliance Gloursonne; Bouclier du Stalak; Menoture; Capuche de Moum-Ra; Cape du Kamasterisk; Palmes Trithons; Dofus Pourpre; Dofus Turquoise; Equilibriste majeur; Cascadeur majeur; Remueur; Nomade; Siroko</t>
        </is>
      </c>
    </row>
    <row r="31494">
      <c r="A31494" t="inlineStr">
        <is>
          <t>Stuff 1</t>
        </is>
      </c>
      <c r="B31494">
        <f>HYPERLINK("https://www.dofusbook.net/fr/equipement/94981-stuff-1/objets", "link")</f>
        <v/>
      </c>
      <c r="C31494" t="n">
        <v>0</v>
      </c>
      <c r="D31494" t="inlineStr">
        <is>
          <t>Hache à Lamelles; Collier du Minotot; Anneau Bliteré; Bracelet du Minotot; Tranche des Sous-bois; Casque Harnage; Cape du Minotot; Bottines des sous-bois; Dofus Kaliptus; Taquin mineur; Joueur majeur; Joueur; Taquin majeur; Taquin; Nomoon</t>
        </is>
      </c>
    </row>
    <row r="31495">
      <c r="A31495" t="inlineStr">
        <is>
          <t>Stuff 1</t>
        </is>
      </c>
      <c r="B31495">
        <f>HYPERLINK("https://www.dofusbook.net/fr/equipement/94945-stuff-1/objets", "link")</f>
        <v/>
      </c>
      <c r="C31495" t="n">
        <v>0</v>
      </c>
      <c r="D31495" t="inlineStr">
        <is>
          <t>Pelle de la Cour Sombre; Amulette du Cycloïde; Anneau du Cycloïde; Anneau d'Allister; Bouclier Aerdala; Ceinture Billonnante; Dorabysses; Cape Matelassée; Pantoufles Émar; Dofus Pourpre; Remueur; Cascadeur majeur; Miraculé majeur; Nomade; Fonceur; Siroko</t>
        </is>
      </c>
    </row>
    <row r="31496">
      <c r="A31496" t="inlineStr">
        <is>
          <t>Stuff 3</t>
        </is>
      </c>
      <c r="B31496">
        <f>HYPERLINK("https://www.dofusbook.net/fr/equipement/94962-stuff-3/objets", "link")</f>
        <v/>
      </c>
      <c r="C31496" t="n">
        <v>0</v>
      </c>
      <c r="D31496" t="inlineStr">
        <is>
          <t>Pelle de la Cour Sombre; Amulette du Kamasterisk; Gant du Valet Veinard; Alliance Gloursonne; Quatre-feuilles; Menoture; Dorabysses; Cape du Kamasterisk; Pantoufles Émar; Dofus Turquoise; Remueur; Equilibriste majeur; Nomade; Cascadeur majeur; Miraculé majeur; Siroko</t>
        </is>
      </c>
    </row>
    <row r="31497">
      <c r="A31497" t="inlineStr">
        <is>
          <t>Stuff 3</t>
        </is>
      </c>
      <c r="B31497">
        <f>HYPERLINK("https://www.dofusbook.net/fr/equipement/94892-stuff-3/objets", "link")</f>
        <v/>
      </c>
      <c r="C31497" t="n">
        <v>0</v>
      </c>
      <c r="D31497" t="inlineStr">
        <is>
          <t>Marteau R'ture; Amulette Ementaire Deluxe; Anneau de Nidas; Alliance Gloursonne; Bouclier cubiste; Ceintacé; Couronne de Nidas; Voile d'encre; Bottes de la Dame du Hasard; Dofus Pourpre; Dolmanax; Dofus Turquoise; Remueur; Miraculé majeur; Nomade; Kramkram</t>
        </is>
      </c>
    </row>
    <row r="31498">
      <c r="A31498" t="inlineStr">
        <is>
          <t>Roub feu/res 200</t>
        </is>
      </c>
      <c r="B31498">
        <f>HYPERLINK("https://www.dofusbook.net/fr/equipement/3730345-roub-feu-res-200/objets", "link")</f>
        <v/>
      </c>
      <c r="C31498" t="n">
        <v>0</v>
      </c>
      <c r="D31498" t="inlineStr">
        <is>
          <t>Arc corrompu; Amulette Martegel; Anneau Toriété; Anneauræus; Bouclier du Stalak; Croture; Heaume Oplate; Cape Martegel; Pataugastrique; Dofus Ébène; Dofus Ivoire; Dokoko; Dofus Abyssal; Dofus Pourpre; Érudit majeur; Bwak de Feu</t>
        </is>
      </c>
    </row>
    <row r="31499">
      <c r="A31499" t="inlineStr">
        <is>
          <t>sadi terre tank</t>
        </is>
      </c>
      <c r="B31499">
        <f>HYPERLINK("https://www.dofusbook.net/fr/equipement/4691156-sadi-terre-tank/objets", "link")</f>
        <v/>
      </c>
      <c r="C31499" t="n">
        <v>0</v>
      </c>
      <c r="D31499" t="inlineStr">
        <is>
          <t>Arc du Chalœil; Amulette Ementaire Deluxe; Bague Gloursonne; Anneau Volkorne; Bouclier du Stalak; Ceinture Volkorne; Masque de Koutoulou; Cape au Logis; Sabots Minables; Dofus Ébène; Dofus Abyssal; Dofus Pourpre; Dofus Ivoire; Enragé majeur; Bwak de Terre</t>
        </is>
      </c>
    </row>
    <row r="31500">
      <c r="A31500" t="inlineStr">
        <is>
          <t>sadi 200 chaloeil</t>
        </is>
      </c>
      <c r="B31500">
        <f>HYPERLINK("https://www.dofusbook.net/fr/equipement/3703794-sadi-200-chaloeil/objets", "link")</f>
        <v/>
      </c>
      <c r="C31500" t="n">
        <v>0</v>
      </c>
      <c r="D31500" t="inlineStr">
        <is>
          <t>Arc Nécrotique; Amulette Volkorne; Bague Trithon; Anneau Volkorne; Bouclier du Stalak; Ceintacé; Masque Trithon; Cape de la Dame du Hasard; Bottes de la Dame du Hasard; Dofus Ivoire; Dofus Ébène; Dofus Vulbis; Dofus des Glaces; Dofus Pourpre; Dofus Ocre; Kokulte</t>
        </is>
      </c>
    </row>
    <row r="31501">
      <c r="A31501" t="inlineStr">
        <is>
          <t>roub air roxx</t>
        </is>
      </c>
      <c r="B31501">
        <f>HYPERLINK("https://www.dofusbook.net/fr/equipement/4731245-roub-air-roxx/objets", "link")</f>
        <v/>
      </c>
      <c r="C31501" t="n">
        <v>0</v>
      </c>
      <c r="D31501" t="inlineStr">
        <is>
          <t>Plume de Buhorado; Collier du Valet Veinard; Alliance Gloursonne; Gant du Valet Veinard; Bouclier du Stalak; Menoture; Couronne d'Allister; Cape Indescriptible; Palmes Trithons; Dofus des Glaces; Dofus Pourpre; Dofus Ocre; Dofus Ébène; Cascadeur majeur; Blérodoudou</t>
        </is>
      </c>
    </row>
    <row r="31502">
      <c r="A31502" t="inlineStr">
        <is>
          <t>roub eau/air pauvre</t>
        </is>
      </c>
      <c r="B31502">
        <f>HYPERLINK("https://www.dofusbook.net/fr/equipement/3620728-roub-eau-air-pauvre/objets", "link")</f>
        <v/>
      </c>
      <c r="C31502" t="n">
        <v>0</v>
      </c>
      <c r="D31502" t="inlineStr">
        <is>
          <t>Arc de Koutoulou; Amulette d'Ilyzaelle; Alliance Gloursonne; Gant du Valet Veinard; Bouclier d'Ilyzaelle; Ceinture de la Reine des Voleurs; Casque d'Ilyzaelle; Cape du Valet Veinard; Bottes de la Reine des Voleurs; Dofus Ébène; Dofus des Glaces; Dofus Vulbis; Dofus Abyssal; Dofus Ivoire; Dofus Ocre; Volkorne Ivoire et Turquoise</t>
        </is>
      </c>
    </row>
    <row r="31503">
      <c r="A31503" t="inlineStr">
        <is>
          <t>eau ret pa</t>
        </is>
      </c>
      <c r="B31503">
        <f>HYPERLINK("https://www.dofusbook.net/fr/equipement/3283484-eau-ret-pa/objets", "link")</f>
        <v/>
      </c>
      <c r="C31503" t="n">
        <v>2</v>
      </c>
      <c r="D31503" t="inlineStr">
        <is>
          <t>Hache du Korriandre; Amulette de Shokkoth; Anneau Volkorne; Alliance Gloursonne; Cadran de Terre; Culotte de Bethel; Masque de Funespadon; Cape Solution; Pataugastrique; Dofus Ivoire; Dofus Ébène; Dokoko; Chanceux majeur; Nomade; Étourdisseur majeur; Boskito</t>
        </is>
      </c>
    </row>
    <row r="31504">
      <c r="A31504" t="inlineStr">
        <is>
          <t>roub pauvre</t>
        </is>
      </c>
      <c r="B31504">
        <f>HYPERLINK("https://www.dofusbook.net/fr/equipement/5109531-roub-pauvre/objets", "link")</f>
        <v/>
      </c>
      <c r="C31504" t="n">
        <v>0</v>
      </c>
      <c r="D31504" t="inlineStr">
        <is>
          <t>Arc corrompu; Amulette Volkorne; Anneau Tamie; Anneau du Katcheur; Bouclier du Stalak; Croture; Masque du Katcheur; Cape de Diondin; Bottes Innommables; Dofus Pourpre; Dofus Abyssal; Dofus Ébène; Nomade; Érudit majeur; Remueur; Dragodinde Amande et Orchidée</t>
        </is>
      </c>
    </row>
    <row r="31505">
      <c r="A31505" t="inlineStr">
        <is>
          <t>roub air/ini</t>
        </is>
      </c>
      <c r="B31505">
        <f>HYPERLINK("https://www.dofusbook.net/fr/equipement/5289235-roub-air-ini/objets", "link")</f>
        <v/>
      </c>
      <c r="C31505" t="n">
        <v>0</v>
      </c>
      <c r="D31505" t="inlineStr">
        <is>
          <t>Plume de Buhorado; Collier du Valet Veinard; Alliance Gloursonne; Gant du Valet Veinard; Bouclier du Stalak; Menoture; Dorabysses; Cape Martegel; Palmes Trithons; Dofus Ivoire; Dokoko; Dofus Ébène; Dofus Abyssal; Dofus Pourpre; Remueur; Dragodinde Amande et Ebène</t>
        </is>
      </c>
    </row>
    <row r="31506">
      <c r="A31506" t="inlineStr">
        <is>
          <t>roub terre</t>
        </is>
      </c>
      <c r="B31506">
        <f>HYPERLINK("https://www.dofusbook.net/fr/equipement/4091631-roub-terre/objets", "link")</f>
        <v/>
      </c>
      <c r="C31506" t="n">
        <v>0</v>
      </c>
      <c r="D31506" t="inlineStr">
        <is>
          <t>Arc du Chalœil; Collier de Tourthon; Chevalière du Roi Joueur; Anneau Volkorne; Bouclier du Stalak; Ceinture Volkorne; Masque de Koutoulou; Cape au Logis; Bottes du Cœur Saignant; Dokoko; Dofus Abyssal; Dofus Ocre; Dofus Ivoire; Dofus des Glaces; Enragé majeur; Bulbisou</t>
        </is>
      </c>
    </row>
    <row r="31507">
      <c r="A31507" t="inlineStr">
        <is>
          <t>roub pauvre ini</t>
        </is>
      </c>
      <c r="B31507">
        <f>HYPERLINK("https://www.dofusbook.net/fr/equipement/5242782-roub-pauvre-ini/objets", "link")</f>
        <v/>
      </c>
      <c r="C31507" t="n">
        <v>0</v>
      </c>
      <c r="D31507" t="inlineStr">
        <is>
          <t>Arc corrompu; Amulette Volkorne; Anneau Tamie; Anneau du Katcheur; Bouclier du Stalak; Sangle Aise; Masque du Katcheur; Cape de Diondin; Bottes Innommables; Dofus Ébène; Dokoko; Dofus Pourpre; Dofus Abyssal; Érudit majeur; Nomade; Dragodinde Amande et Orchidée</t>
        </is>
      </c>
    </row>
    <row r="31508">
      <c r="A31508" t="inlineStr">
        <is>
          <t>roub eau air cheat</t>
        </is>
      </c>
      <c r="B31508">
        <f>HYPERLINK("https://www.dofusbook.net/fr/equipement/3620666-roub-eau-air-cheat/objets", "link")</f>
        <v/>
      </c>
      <c r="C31508" t="n">
        <v>1</v>
      </c>
      <c r="D31508" t="inlineStr">
        <is>
          <t>Arc de Koutoulou; Amulette d'Ilyzaelle; Alliance Gloursonne; Anneau Volkorne; Bouclier d'Ilyzaelle; Ceinture Volkorne; Casque d'Ilyzaelle; Chevelure de Tal Kasha; Sandales de Tal Kasha; Dofus Vulbis; Dofus Ocre; Dofus Ébène; Dofus des Glaces; Dofus Ivoire; Dofus Abyssal; Volkorne Ivoire et Turquoise</t>
        </is>
      </c>
    </row>
    <row r="31509">
      <c r="A31509" t="inlineStr">
        <is>
          <t>stuff 21</t>
        </is>
      </c>
      <c r="B31509">
        <f>HYPERLINK("https://www.dofusbook.net/fr/equipement/1245589-stuff-21/objets", "link")</f>
        <v/>
      </c>
      <c r="C31509" t="n">
        <v>1</v>
      </c>
      <c r="D31509" t="inlineStr">
        <is>
          <t>Arc corrompu; Amulette Volkorne; Anneau Tamie; Anneau du Katcheur; Bouclier du Stalak; Ceinture de l'Esprit Salvateur; Masque du Katcheur; Cape de Diondin; Bottes Innommables; Dofus Abyssal; Dofus Ébène; Dofus Ivoire; Dofus Ocre; Érudit majeur; Nomade; Dragodinde Amande et Orchidée</t>
        </is>
      </c>
    </row>
    <row r="31510">
      <c r="A31510" t="inlineStr">
        <is>
          <t>sadi multi 200</t>
        </is>
      </c>
      <c r="B31510">
        <f>HYPERLINK("https://www.dofusbook.net/fr/equipement/4625759-sadi-multi-200/objets", "link")</f>
        <v/>
      </c>
      <c r="C31510" t="n">
        <v>0</v>
      </c>
      <c r="D31510" t="inlineStr">
        <is>
          <t>Hache du Chalœil; Amulette Volkorne; Anneau Volkorne; Alliance du Lévitrof; Bouclier du Stalak; Ceinture Volkorne; Coiffe du Lévitrof; Voile d'encre; Bottes du Lévitrof; Dofus Pourpre; Dofus Abyssal; Dofus Ocre; Dofus Ivoire; Dofus Ébène; Imprenable majeur; Chienchien Tigré</t>
        </is>
      </c>
    </row>
    <row r="31511">
      <c r="A31511" t="inlineStr">
        <is>
          <t>sadi multi 200 v2</t>
        </is>
      </c>
      <c r="B31511">
        <f>HYPERLINK("https://www.dofusbook.net/fr/equipement/4663935-sadi-multi-200-v2/objets", "link")</f>
        <v/>
      </c>
      <c r="C31511" t="n">
        <v>0</v>
      </c>
      <c r="D31511" t="inlineStr">
        <is>
          <t>Epée Gloursonne; Amulette du Strigide; Alliance Gloursonne; Bague Gloursonne; Bouclier du Stalak; Ceinture du Strigide; Chapeau Lisson; Voile d'encre; Bottes du Strigide; Dofus Ocre; Dofus Ébène; Dofus Pourpre; Dofus Abyssal; Dofus Vulbis; Dofus Ivoire</t>
        </is>
      </c>
    </row>
    <row r="31512">
      <c r="A31512" t="inlineStr">
        <is>
          <t>sadi brulame</t>
        </is>
      </c>
      <c r="B31512">
        <f>HYPERLINK("https://www.dofusbook.net/fr/equipement/3948078-sadi-brulame/objets", "link")</f>
        <v/>
      </c>
      <c r="C31512" t="n">
        <v>2</v>
      </c>
      <c r="D31512" t="inlineStr">
        <is>
          <t>Dagues Érhy; Amulette Volkorne; Alliance Gloursonne; Alliance Brûlâme; Bouclier du Stalak; Ceinture Volkorne; Masque Brûlâme; Voile d'encre; Pompes Funèbres; Dofus des Glaces; Dofus Ivoire; Dofus Abyssal; Dofus Vulbis; Dofus Ocre; Dofus Ébène; Volkorne Turquoise</t>
        </is>
      </c>
    </row>
    <row r="31513">
      <c r="A31513" t="inlineStr">
        <is>
          <t>Ougi air tank</t>
        </is>
      </c>
      <c r="B31513">
        <f>HYPERLINK("https://www.dofusbook.net/fr/equipement/4723650-ougi-air-tank/objets", "link")</f>
        <v/>
      </c>
      <c r="C31513" t="n">
        <v>0</v>
      </c>
      <c r="D31513" t="inlineStr">
        <is>
          <t>L'Épée Nice; Collier du Valet Veinard; Alliance Gloursonne; Gant du Valet Veinard; Bouclier d'Ilyzaelle; Menoture; Dorabysses; Cape Martegel; Palmes Trithons; Dofus Émeraude; Dofus Abyssal; Dofus Pourpre; Dofus Ivoire; Dofus Ocre; Dofus Ébène; Blérodoudou</t>
        </is>
      </c>
    </row>
    <row r="31514">
      <c r="A31514" t="inlineStr">
        <is>
          <t>panda feu/soin</t>
        </is>
      </c>
      <c r="B31514">
        <f>HYPERLINK("https://www.dofusbook.net/fr/equipement/4690778-panda-feu-soin/objets", "link")</f>
        <v/>
      </c>
      <c r="C31514" t="n">
        <v>0</v>
      </c>
      <c r="D31514" t="inlineStr">
        <is>
          <t>Arc Hétype; Amulette de Nileza; Anneauræus; Anneau Tique; Écorce de Brouce; Casque Dragoeuf; Cape de Diondin; Chaussures Ardentes; Dofus Émeraude; Dofus Ocre; Dofus Ivoire; Guérisseur majeur; Érudit majeur; Dragodinde Prune et Rousse</t>
        </is>
      </c>
    </row>
    <row r="31515">
      <c r="A31515" t="inlineStr">
        <is>
          <t>sadi eau/air/feu 12P</t>
        </is>
      </c>
      <c r="B31515">
        <f>HYPERLINK("https://www.dofusbook.net/fr/equipement/4660920-sadi-eau-air-feu-12p/objets", "link")</f>
        <v/>
      </c>
      <c r="C31515" t="n">
        <v>0</v>
      </c>
      <c r="D31515" t="inlineStr">
        <is>
          <t>Arc Honte; Amulette de l'Œil Putride; Alliance Gloursonne; Bague Gloursonne; Bouclier du Stalak; Ceinture de l'Esprit Salvateur; Masque de l'Esprit Salvateur; Cape de l'Œil Putride; Bottes de l'Esprit Salvateur; Dofus des Glaces; Dolmanax; Dofus Vulbis; Dofus Abyssal; Dofus Ocre; Dofus Ivoire; Volkorne Turquoise</t>
        </is>
      </c>
    </row>
    <row r="31516">
      <c r="A31516" t="inlineStr">
        <is>
          <t>sadi multi tank</t>
        </is>
      </c>
      <c r="B31516">
        <f>HYPERLINK("https://www.dofusbook.net/fr/equipement/4649305-sadi-multi-tank/objets", "link")</f>
        <v/>
      </c>
      <c r="C31516" t="n">
        <v>0</v>
      </c>
      <c r="D31516" t="inlineStr">
        <is>
          <t>Hache du Chalœil; Amulette Volkorne; Anneau Volkorne; Alliance du Lévitrof; Bouclier du Stalak; Ceinture Volkorne; Casque Dragoeuf; Voile d'encre; Bottes Honyme; Dofus des Glaces; Dofus Pourpre; Dofus Abyssal; Dofus Ocre; Dofus Ivoire; Dragodinde en armure</t>
        </is>
      </c>
    </row>
    <row r="31517">
      <c r="A31517" t="inlineStr">
        <is>
          <t>sadi terre/air/feu</t>
        </is>
      </c>
      <c r="B31517">
        <f>HYPERLINK("https://www.dofusbook.net/fr/equipement/4659453-sadi-terre-air-feu/objets", "link")</f>
        <v/>
      </c>
      <c r="C31517" t="n">
        <v>0</v>
      </c>
      <c r="D31517" t="inlineStr">
        <is>
          <t>Dagues Érhy; Amulette Volkorne; Anneau Volkorne; Alliance Brûlâme; Bouclier du Stalak; Ceinture Volkorne; Masque Brûlâme; Voile d'encre; Pompes Funèbres; Dofus Ivoire; Dofus Abyssal; Dofus Pourpre; Dofus Ocre; Dofus Ébène; Dofus des Glaces; Volkorne Turquoise</t>
        </is>
      </c>
    </row>
    <row r="31518">
      <c r="A31518" t="inlineStr">
        <is>
          <t>roub 199 feu 12PA</t>
        </is>
      </c>
      <c r="B31518">
        <f>HYPERLINK("https://www.dofusbook.net/fr/equipement/4288639-roub-199-feu-12pa/objets", "link")</f>
        <v/>
      </c>
      <c r="C31518" t="n">
        <v>2</v>
      </c>
      <c r="D31518" t="inlineStr">
        <is>
          <t>Épée d'Otomaï; Amulette de Nileza; Anneau Tamie; Anneau Tamie; Quatre-feuilles; Ceinture Hyolite; Casqnoar; Cape de Nileza; Pantoufles Émar; Dofus Ocre; Dokoko; Dofus Pourpre; Nomade; Érudit majeur; Dragodinde Amande et Orchidée</t>
        </is>
      </c>
    </row>
    <row r="31519">
      <c r="A31519" t="inlineStr">
        <is>
          <t>sadi chaloeil pano</t>
        </is>
      </c>
      <c r="B31519">
        <f>HYPERLINK("https://www.dofusbook.net/fr/equipement/3919208-sadi-chaloeil-pano/objets", "link")</f>
        <v/>
      </c>
      <c r="C31519" t="n">
        <v>0</v>
      </c>
      <c r="D31519" t="inlineStr">
        <is>
          <t>Amulette Volkorne; Anneau Volkorne; Bouclier du Stalak; Ceinture de l'Indicible; Casque Volkorne; Cape de l'Œil Putride; Bottes de l'Indicible; Dofus Turquoise; Dofus des Glaces; Dofus Pourpre; Dofus Ocre; Dokoko; Dolmanax</t>
        </is>
      </c>
    </row>
    <row r="31520">
      <c r="A31520" t="inlineStr">
        <is>
          <t>sadi eau 200</t>
        </is>
      </c>
      <c r="B31520">
        <f>HYPERLINK("https://www.dofusbook.net/fr/equipement/3731237-sadi-eau-200/objets", "link")</f>
        <v/>
      </c>
      <c r="C31520" t="n">
        <v>0</v>
      </c>
      <c r="D31520" t="inlineStr">
        <is>
          <t>Hache du Korriandre; Amulette Voldelor; Alliance Gloursonne; Anneau Volkorne; Bouclier d'Ilyzaelle; Ceinture de la Reine des Voleurs; Casque Volkorne; Cape Matelassée; Bottes de la Reine des Voleurs; Dofus Ivoire; Dofus Ocre; Dofus Émeraude; Dofus des Glaces; Dofus Abyssal; Dofus Pourpre; Dragodinde en armure</t>
        </is>
      </c>
    </row>
    <row r="31521">
      <c r="A31521" t="inlineStr">
        <is>
          <t>sadi trithon 200</t>
        </is>
      </c>
      <c r="B31521">
        <f>HYPERLINK("https://www.dofusbook.net/fr/equipement/3869341-sadi-trithon-200/objets", "link")</f>
        <v/>
      </c>
      <c r="C31521" t="n">
        <v>0</v>
      </c>
      <c r="D31521" t="inlineStr">
        <is>
          <t>Hache du Chalœil; Amulette Volkorne; Anneau Volkorne; Bague Trithon; Bouclier du Stalak; Ceinture Volkorne; Masque Trithon; Dofusteuse; Bottes Trithon; Dofus Pourpre; Dofus Ocre; Dokoko; Dofus Abyssal; Dofus Turquoise; Dofus Ivoire; Dragodinde en armure</t>
        </is>
      </c>
    </row>
    <row r="31522">
      <c r="A31522" t="inlineStr">
        <is>
          <t>eau ret 3V3</t>
        </is>
      </c>
      <c r="B31522">
        <f>HYPERLINK("https://www.dofusbook.net/fr/equipement/4548763-eau-ret-3v3/objets", "link")</f>
        <v/>
      </c>
      <c r="C31522" t="n">
        <v>1</v>
      </c>
      <c r="D31522" t="inlineStr">
        <is>
          <t>Dagoulinantes; Amulette de Shokkoth; Alliance Gloursonne; Anneau Volkorne; Cadran de Terre; Ceinture Glaciale; Masque de Funespadon; Cape Solution; Chaussons de Macrab; Dofus Ocre; Dofus Ébène; Dofus Abyssal; Dofus Vulbis; Dofus Ivoire; Étourdisseur majeur; Boskito</t>
        </is>
      </c>
    </row>
    <row r="31523">
      <c r="A31523" t="inlineStr">
        <is>
          <t>Stuff 2</t>
        </is>
      </c>
      <c r="B31523">
        <f>HYPERLINK("https://www.dofusbook.net/fr/equipement/156091-stuff-2/objets", "link")</f>
        <v/>
      </c>
      <c r="C31523" t="n">
        <v>0</v>
      </c>
      <c r="D31523" t="inlineStr">
        <is>
          <t>Épée d'Otomaï; Amulette de Nileza; Anneau Tamie; Anneau Tamie; Écorce de Brouce; Ceinture du K.O.; Casqnoar; Cape de Nileza; Pantoufles Émar; Dofus Pourpre; Dofus Ocre; Dokoko; Évasif majeur; Nomade; Érudit majeur; Dragodinde Amande et Orchidée</t>
        </is>
      </c>
    </row>
    <row r="31524">
      <c r="A31524" t="inlineStr">
        <is>
          <t>roub 199 feu 12PA</t>
        </is>
      </c>
      <c r="B31524">
        <f>HYPERLINK("https://www.dofusbook.net/fr/equipement/4288640-roub-199-feu-12pa/objets", "link")</f>
        <v/>
      </c>
      <c r="C31524" t="n">
        <v>2</v>
      </c>
      <c r="D31524" t="inlineStr">
        <is>
          <t>La Baguette des Limbes; Amulette de Nileza; Anneau Tamie; Anneau Tamie; Quatre-feuilles; Ceinture Hyolite; Casqnoar; Cape de Nileza; Bottes de Dremoan; Dokoko; Dofus Pourpre; Dofus des Glaces; Dofus Ocre; Érudit majeur; Remueur; Dragodinde Amande et Orchidée</t>
        </is>
      </c>
    </row>
    <row r="31525">
      <c r="A31525" t="inlineStr">
        <is>
          <t>Stuff 3</t>
        </is>
      </c>
      <c r="B31525">
        <f>HYPERLINK("https://www.dofusbook.net/fr/equipement/867795-stuff-3/objets", "link")</f>
        <v/>
      </c>
      <c r="C31525" t="n">
        <v>0</v>
      </c>
      <c r="D31525" t="inlineStr">
        <is>
          <t>Épée d'Otomaï; Amulette de Nileza; Anneau Tamie; Anneau Tamie; Bivalve; Ceinture du K.O.; Coiffe de Padgref; Cape de Nileza; Pantoufles Émar; Dokoko; Dofus des Glaces; Nomade; Érudit majeur; Remueur; Cavaleur majeur; Dragodinde Amande et Orchidée</t>
        </is>
      </c>
    </row>
    <row r="31526">
      <c r="A31526" t="inlineStr">
        <is>
          <t>enu terre ini</t>
        </is>
      </c>
      <c r="B31526">
        <f>HYPERLINK("https://www.dofusbook.net/fr/equipement/4147351-enu-terre-ini/objets", "link")</f>
        <v/>
      </c>
      <c r="C31526" t="n">
        <v>0</v>
      </c>
      <c r="D31526" t="inlineStr">
        <is>
          <t>Marteau R'ture; Amulette Ementaire Deluxe; Anneau du Katcheur; Anneau Chevelu; Bouclier du Stalak; Ceinture Volkorne; Masque de Koutoulou; Cape au Logis; Bottes du Katcheur; Dolmanax; Dofus Ivoire; Dofus Nébuleux; Dofus Turquoise; Dokoko; Dofus Ocre; Pioute vert</t>
        </is>
      </c>
    </row>
    <row r="31527">
      <c r="A31527" t="inlineStr">
        <is>
          <t>enu terre</t>
        </is>
      </c>
      <c r="B31527">
        <f>HYPERLINK("https://www.dofusbook.net/fr/equipement/4104134-enu-terre/objets", "link")</f>
        <v/>
      </c>
      <c r="C31527" t="n">
        <v>0</v>
      </c>
      <c r="D31527" t="inlineStr">
        <is>
          <t>Arc du Chalœil; Amulette Ementaire Deluxe; Bague Gloursonne; Anneau du Katcheur; Bouclier du Stalak; Ceinture Volkorne; Masque de Koutoulou; Cape au Logis; Bottes du Katcheur; Dofus Turquoise; Dokoko; Dofus Ocre; Dolmanax; Dofus Ivoire; Dofus Nébuleux; Pioute vert</t>
        </is>
      </c>
    </row>
    <row r="31528">
      <c r="A31528" t="inlineStr">
        <is>
          <t>hupper air do cri</t>
        </is>
      </c>
      <c r="B31528">
        <f>HYPERLINK("https://www.dofusbook.net/fr/equipement/4146288-hupper-air-do-cri/objets", "link")</f>
        <v/>
      </c>
      <c r="C31528" t="n">
        <v>0</v>
      </c>
      <c r="D31528" t="inlineStr">
        <is>
          <t>Arc de Koutoulou; Collier du Valet Veinard; Anneau de Padgref; Gant du Valet Veinard; Bouclier du Stalak; Ceinture Séculaire; Coiffe de Padgref; Cape du Valet Veinard; Getas de Padgref; Dokoko; Dofus Turquoise; Dolmanax; Dofus Ocre; Dofus Pourpre; Dofus Ivoire; Kokulte</t>
        </is>
      </c>
    </row>
    <row r="31529">
      <c r="A31529" t="inlineStr">
        <is>
          <t>enu multi</t>
        </is>
      </c>
      <c r="B31529">
        <f>HYPERLINK("https://www.dofusbook.net/fr/equipement/4130040-enu-multi/objets", "link")</f>
        <v/>
      </c>
      <c r="C31529" t="n">
        <v>0</v>
      </c>
      <c r="D31529" t="inlineStr">
        <is>
          <t>Epée Gloursonne; Amulette du Strigide; Alliance Gloursonne; Bague Gloursonne; Bouclier du Stalak; Ceinture du Strigide; Bottes du Strigide</t>
        </is>
      </c>
    </row>
    <row r="31530">
      <c r="A31530" t="inlineStr">
        <is>
          <t>roub terre v2</t>
        </is>
      </c>
      <c r="B31530">
        <f>HYPERLINK("https://www.dofusbook.net/fr/equipement/4091649-roub-terre-v2/objets", "link")</f>
        <v/>
      </c>
      <c r="C31530" t="n">
        <v>0</v>
      </c>
      <c r="D31530" t="inlineStr">
        <is>
          <t>Arc du Chalœil; Collier de Tourthon; Anneau de Brouce; Mitaine Aibre; Bouclier du Stalak; Ceinture de la Reine des Voleurs; Coiffe de la Reine des Voleurs; Cape au Logis; Baleinabottes; Dofus Ocre; Dofus Ivoire; Dofus des Glaces; Dokoko; Dofus Abyssal; Enragé majeur; Bulbisou</t>
        </is>
      </c>
    </row>
    <row r="31531">
      <c r="A31531" t="inlineStr">
        <is>
          <t>xel 200</t>
        </is>
      </c>
      <c r="B31531">
        <f>HYPERLINK("https://www.dofusbook.net/fr/equipement/3955486-xel-200/objets", "link")</f>
        <v/>
      </c>
      <c r="C31531" t="n">
        <v>0</v>
      </c>
      <c r="D31531" t="inlineStr">
        <is>
          <t>Manthache; Collier du Valet Veinard; Alliance Gloursonne; Gant du Valet Veinard; Bouclier du Stalak; Menoture; Casque Volkorne; Cape Martegel; Palmes Trithons; Dofus Pourpre; Dokoko; Dofus Ocre; Dofus Ivoire; Cascadeur majeur; Nomade; Blérodoudou</t>
        </is>
      </c>
    </row>
    <row r="31532">
      <c r="A31532" t="inlineStr">
        <is>
          <t>sadi aIR/feu/retpm</t>
        </is>
      </c>
      <c r="B31532">
        <f>HYPERLINK("https://www.dofusbook.net/fr/equipement/3947995-sadi-air-feu-retpm/objets", "link")</f>
        <v/>
      </c>
      <c r="C31532" t="n">
        <v>0</v>
      </c>
      <c r="D31532" t="inlineStr">
        <is>
          <t>Dagues Érhy; Amulette de l'Œil Putride; Alliance Gloursonne; Bague Gloursonne; Bouclier cubiste; Ceinture de l'Esprit Salvateur; Masque de l'Esprit Salvateur; Cape de l'Œil Putride; Bottes de l'Esprit Salvateur; Dofus des Glaces; Dokoko; Dofus Ocre; Dofus Pourpre; Dragodinde Amande et Ivoire</t>
        </is>
      </c>
    </row>
    <row r="31533">
      <c r="A31533" t="inlineStr">
        <is>
          <t>sadi salv/chal</t>
        </is>
      </c>
      <c r="B31533">
        <f>HYPERLINK("https://www.dofusbook.net/fr/equipement/3922105-sadi-salv-chal/objets", "link")</f>
        <v/>
      </c>
      <c r="C31533" t="n">
        <v>0</v>
      </c>
      <c r="D31533" t="inlineStr">
        <is>
          <t>Hache du Chalœil; Amulette Volkorne; Anneau Volkorne; Alliance du Lévitrof; Bouclier du Stalak; Ceinture de l'Esprit Salvateur; Masque de l'Esprit Salvateur; Dofusteuse; Bottes de l'Esprit Salvateur; Dolmanax; Dofus Turquoise; Dofus des Glaces; Dofus Pourpre; Dofus Ocre; Dokoko; Kougnard</t>
        </is>
      </c>
    </row>
    <row r="31534">
      <c r="A31534" t="inlineStr">
        <is>
          <t>sadi goule</t>
        </is>
      </c>
      <c r="B31534">
        <f>HYPERLINK("https://www.dofusbook.net/fr/equipement/3899298-sadi-goule/objets", "link")</f>
        <v/>
      </c>
      <c r="C31534" t="n">
        <v>0</v>
      </c>
      <c r="D31534" t="inlineStr">
        <is>
          <t>Hache du Chalœil; Amulette Volkorne; Anneau Volkorne; Goulano; Goulclier; Ceinture Volkorne; Casque Dragoeuf; Dofusteuse; Goulbottes; Dofus Pourpre; Dofus Ocre; Dokoko; Dolmanax; Dofus Turquoise; Dofus des Glaces; Kougnard</t>
        </is>
      </c>
    </row>
    <row r="31535">
      <c r="A31535" t="inlineStr">
        <is>
          <t>sadi salvateur 12PA</t>
        </is>
      </c>
      <c r="B31535">
        <f>HYPERLINK("https://www.dofusbook.net/fr/equipement/3753665-sadi-salvateur-12pa/objets", "link")</f>
        <v/>
      </c>
      <c r="C31535" t="n">
        <v>0</v>
      </c>
      <c r="D31535" t="inlineStr">
        <is>
          <t>Epée Gloursonne; Amulette Ementaire Deluxe; Alliance Gloursonne; Bague Gloursonne; Bouclier cubiste; Ceinture de l'Esprit Salvateur; Masque de l'Esprit Salvateur; Dofusteuse; Bottes de l'Esprit Salvateur; Dokoko; Dofus Abyssal; Dolmanax; Dofus Ocre; Dofus des Glaces; Dofus Pourpre; Muldo Indigo et Pourpre</t>
        </is>
      </c>
    </row>
    <row r="31536">
      <c r="A31536" t="inlineStr">
        <is>
          <t>roub eau v2</t>
        </is>
      </c>
      <c r="B31536">
        <f>HYPERLINK("https://www.dofusbook.net/fr/equipement/3772498-roub-eau-v2/objets", "link")</f>
        <v/>
      </c>
      <c r="C31536" t="n">
        <v>0</v>
      </c>
      <c r="D31536" t="inlineStr">
        <is>
          <t>Dagoulinantes; Amulette de Shokkoth; Alliance Gloursonne; Lavanneau; Cadran de Terre; Ceinture Glaciale; Masque de Funespadon; Cape Solution; Chaussons de Macrab; Dofus des Glaces; Dokoko; Nomade; Étourdisseur majeur; Remueur; Chanceux majeur; Dragodinde Amande et Indigo</t>
        </is>
      </c>
    </row>
    <row r="31537">
      <c r="A31537" t="inlineStr">
        <is>
          <t>sadi salvateur</t>
        </is>
      </c>
      <c r="B31537">
        <f>HYPERLINK("https://www.dofusbook.net/fr/equipement/3825106-sadi-salvateur/objets", "link")</f>
        <v/>
      </c>
      <c r="C31537" t="n">
        <v>0</v>
      </c>
      <c r="D31537" t="inlineStr">
        <is>
          <t>Dagues Érhy; Amulette Ementaire Deluxe; Alliance Gloursonne; Bague Gloursonne; Bouclier du Stalak; Ceinture de l'Esprit Salvateur; Masque de l'Esprit Salvateur; Voilamibe; Bottes de l'Esprit Salvateur; Dofus des Glaces; Dofus Pourpre; Dofus Ocre; Dokoko; Dolmanax; Dragodinde Amande et Ivoire</t>
        </is>
      </c>
    </row>
    <row r="31538">
      <c r="A31538" t="inlineStr">
        <is>
          <t>eca multi roxx 200</t>
        </is>
      </c>
      <c r="B31538">
        <f>HYPERLINK("https://www.dofusbook.net/fr/equipement/3704058-eca-multi-roxx-200/objets", "link")</f>
        <v/>
      </c>
      <c r="C31538" t="n">
        <v>2</v>
      </c>
      <c r="D31538" t="inlineStr">
        <is>
          <t>Hache du Chalœil; Amulette Volkorne; Alliance Brûlâme; Anneau Volkorne; Bouclier du Stalak; Ceinture Volkorne; Masque Brûlâme; Dofusteuse; Bottes Honyme; Dokoko; Dolmanax; Dofus Turquoise; Dofus des Glaces; Dofus Pourpre; Dofus Ocre; Dragodinde Amande et Ivoire</t>
        </is>
      </c>
    </row>
    <row r="31539">
      <c r="A31539" t="inlineStr">
        <is>
          <t>roub eau air moyen</t>
        </is>
      </c>
      <c r="B31539">
        <f>HYPERLINK("https://www.dofusbook.net/fr/equipement/3772444-roub-eau-air-moyen/objets", "link")</f>
        <v/>
      </c>
      <c r="C31539" t="n">
        <v>0</v>
      </c>
      <c r="D31539" t="inlineStr">
        <is>
          <t>Arc de Koutoulou; Amulette d'Ilyzaelle; Alliance Gloursonne; Anneau Volkorne; Bouclier d'Ilyzaelle; Ceinture de la Reine des Voleurs; Casque Volkorne; Voilamibe; Bottes de la Reine des Voleurs; Dokoko; Dofus Pourpre; Dofus Abyssal; Dofus Ocre; Dolmanax; Dofus des Glaces; Volkorne Ivoire et Turquoise</t>
        </is>
      </c>
    </row>
    <row r="31540">
      <c r="A31540" t="inlineStr">
        <is>
          <t>multi 200</t>
        </is>
      </c>
      <c r="B31540">
        <f>HYPERLINK("https://www.dofusbook.net/fr/equipement/3724626-multi-200/objets", "link")</f>
        <v/>
      </c>
      <c r="C31540" t="n">
        <v>0</v>
      </c>
      <c r="D31540" t="inlineStr">
        <is>
          <t>Dagues Érhy; Amulette de l'Indicible; Bague Gloursonne; Alliance Gloursonne; Bouclier cubiste; Ceinture de l'Indicible; Capuche de l'Œil Putride; Cape de l'Œil Putride; Bottes de l'Indicible; Dolmanax; Dofus des Glaces; Dofus Vulbis; Dofus Pourpre; Dokoko; Dofus Ocre; Dragodinde Prune et Ivoire</t>
        </is>
      </c>
    </row>
    <row r="31541">
      <c r="A31541" t="inlineStr">
        <is>
          <t>sacri 200 feu air</t>
        </is>
      </c>
      <c r="B31541">
        <f>HYPERLINK("https://www.dofusbook.net/fr/equipement/3688685-sacri-200-feu-air/objets", "link")</f>
        <v/>
      </c>
      <c r="C31541" t="n">
        <v>0</v>
      </c>
      <c r="D31541" t="inlineStr">
        <is>
          <t>Marteau des égarés; Amulette Volkorne; Bague Trithon; Anneau Volkorne; Ceinture Volkorne; Casque Volkorne; Voilamibe; Bottes Trithon; Dofus Pourpre; Dofus Émeraude; Dofus Ocre; Dokoko; Dragodinde Amande et Ivoire</t>
        </is>
      </c>
    </row>
    <row r="31542">
      <c r="A31542" t="inlineStr">
        <is>
          <t>roub feu res 200</t>
        </is>
      </c>
      <c r="B31542">
        <f>HYPERLINK("https://www.dofusbook.net/fr/equipement/3668083-roub-feu-res-200/objets", "link")</f>
        <v/>
      </c>
      <c r="C31542" t="n">
        <v>0</v>
      </c>
      <c r="D31542" t="inlineStr">
        <is>
          <t>Arc corrompu; Amulette Volkorne; Anneau Tique; Anneauræus; Bouclier du Stalak; Ceinture de Gein; Heaume Oplate; Cape de Nileza; Chaussures Ardentes; Dofus Pourpre; Dofus Ocre; Dokoko; Dofus des Glaces; Érudit majeur; Nomade; Dragodinde Amande et Orchidée</t>
        </is>
      </c>
    </row>
    <row r="31543">
      <c r="A31543" t="inlineStr">
        <is>
          <t>Stuff 1</t>
        </is>
      </c>
      <c r="B31543">
        <f>HYPERLINK("https://www.dofusbook.net/fr/equipement/156090-stuff-1/objets", "link")</f>
        <v/>
      </c>
      <c r="C31543" t="n">
        <v>0</v>
      </c>
      <c r="D31543" t="inlineStr">
        <is>
          <t>La Baguette des Limbes; Amulette de Nileza; Anneau Tamie; Anneau Tamie; Quatre-feuilles; Ceinture Hyolite; Casqnoar; Cape de Nileza; Bottes d'Otomaï; Dofus Ocre; Dokoko; Dofus Pourpre; Dofus des Glaces; Érudit majeur; Remueur; Dragodinde Ivoire et Orchidée</t>
        </is>
      </c>
    </row>
    <row r="31544">
      <c r="A31544" t="inlineStr">
        <is>
          <t>air roxx</t>
        </is>
      </c>
      <c r="B31544">
        <f>HYPERLINK("https://www.dofusbook.net/fr/equipement/2888950-air-roxx/objets", "link")</f>
        <v/>
      </c>
      <c r="C31544" t="n">
        <v>0</v>
      </c>
      <c r="D31544" t="inlineStr">
        <is>
          <t>Marteau des égarés; Amulette Volkorne; Anneau Toriété; Anneau Volkorne; Bouclier du Stalak; Ceinture de l'Esprit Salvateur; Masque de l'Esprit Salvateur; Cape Reski; Bottes de l'Esprit Salvateur; Dolmanax; Dokoko; Dofus Pourpre; Dofus Turquoise; Dofus Ocre; Dofus des Glaces; Dragodinde Prune et Ivoire</t>
        </is>
      </c>
    </row>
    <row r="31545">
      <c r="A31545" t="inlineStr">
        <is>
          <t>roub eau roxx</t>
        </is>
      </c>
      <c r="B31545">
        <f>HYPERLINK("https://www.dofusbook.net/fr/equipement/3615300-roub-eau-roxx/objets", "link")</f>
        <v/>
      </c>
      <c r="C31545" t="n">
        <v>1</v>
      </c>
      <c r="D31545" t="inlineStr">
        <is>
          <t>Dagoulinantes; Amulette Voldelor; Lavanneau; Alliance Gloursonne; Cadran de Terre; Ceinture de la Reine des Voleurs; Masque des Fonds marins; Cape Solution; Bottes de la Reine des Voleurs; Dokoko; Dofus des Glaces; Remueur; Chanceux majeur; Étourdisseur majeur; Nomade; Dragodinde Prune et Indigo</t>
        </is>
      </c>
    </row>
    <row r="31546">
      <c r="A31546" t="inlineStr">
        <is>
          <t>roub eau 12PA</t>
        </is>
      </c>
      <c r="B31546">
        <f>HYPERLINK("https://www.dofusbook.net/fr/equipement/3615323-roub-eau-12pa/objets", "link")</f>
        <v/>
      </c>
      <c r="C31546" t="n">
        <v>1</v>
      </c>
      <c r="D31546" t="inlineStr">
        <is>
          <t>Dagoulinantes; Amulette du Sinistrofu; Alliance Gloursonne; Anneau en Grithril; Cadran de Terre; Ceinture en Grithril; Casque en Grithril; Cape du Sinistrofu; Bottes du Sinistrofu; Dofus Ocre; Dofus Vulbis; Dofus Abyssal; Dofus des Glaces; Dofus Pourpre; Dokoko; Dragodinde Prune et Indigo</t>
        </is>
      </c>
    </row>
    <row r="31547">
      <c r="A31547" t="inlineStr">
        <is>
          <t>roub eau 12PA v2</t>
        </is>
      </c>
      <c r="B31547">
        <f>HYPERLINK("https://www.dofusbook.net/fr/equipement/3615358-roub-eau-12pa-v2/objets", "link")</f>
        <v/>
      </c>
      <c r="C31547" t="n">
        <v>0</v>
      </c>
      <c r="D31547" t="inlineStr">
        <is>
          <t>Dagoulinantes; Amulette Luminescente; Bracelet des Fonds marins; Alliance Gloursonne; Cadran de Terre; Ceinture Luminescente; Masque des Fonds marins; Cape Luminescente; Sandales des Fonds marins; Dofus Abyssal; Dofus des Glaces; Dofus Pourpre; Dokoko; Dofus Ocre; Dofus Vulbis; Dragodinde Amande et Indigo</t>
        </is>
      </c>
    </row>
    <row r="31548">
      <c r="A31548" t="inlineStr">
        <is>
          <t>sadi multi 200</t>
        </is>
      </c>
      <c r="B31548">
        <f>HYPERLINK("https://www.dofusbook.net/fr/equipement/3579115-sadi-multi-200/objets", "link")</f>
        <v/>
      </c>
      <c r="C31548" t="n">
        <v>1</v>
      </c>
      <c r="D31548" t="inlineStr">
        <is>
          <t>Dagues Érhy; Amulette Ementaire Deluxe; Alliance Gloursonne; Bague Gloursonne; Bouclier cubiste; Ceinture de l'Esprit Salvateur; Masque de l'Esprit Salvateur; Voilamibe; Bottes de l'Esprit Salvateur; Dokoko; Dolmanax; Dofus Abyssal; Dofus des Glaces; Dofus Pourpre; Dofus Ocre; Dragodinde Amande et Ivoire</t>
        </is>
      </c>
    </row>
    <row r="31549">
      <c r="A31549" t="inlineStr">
        <is>
          <t>Stuff 2</t>
        </is>
      </c>
      <c r="B31549">
        <f>HYPERLINK("https://www.dofusbook.net/fr/equipement/156088-stuff-2/objets", "link")</f>
        <v/>
      </c>
      <c r="C31549" t="n">
        <v>1</v>
      </c>
      <c r="D31549" t="inlineStr">
        <is>
          <t>Epée Gloursonne; Amulette Ementaire Deluxe; Alliance Gloursonne; Bague Gloursonne; Bouclier du Stalak; Ceinture de l'Indicible; Capuche de l'Œil Putride; Cape de l'Œil Putride; Bottes de l'Indicible; Dofus Pourpre; Dofus Ocre; Dokoko; Dofus des Glaces</t>
        </is>
      </c>
    </row>
    <row r="31550">
      <c r="A31550" t="inlineStr">
        <is>
          <t>air tank</t>
        </is>
      </c>
      <c r="B31550">
        <f>HYPERLINK("https://www.dofusbook.net/fr/equipement/3569036-air-tank/objets", "link")</f>
        <v/>
      </c>
      <c r="C31550" t="n">
        <v>0</v>
      </c>
      <c r="D31550" t="inlineStr">
        <is>
          <t>Manthache; Collier du Valet Veinard; Alliance Gloursonne; Gant du Valet Veinard; Bivalve; Menoture; Couronne d'Allister; Cape Indescriptible; Palmes Trithons; Dofus des Glaces; Dofus Pourpre; Dokoko; Remueur; Cascadeur majeur; Nomade; Dragodinde Amande et Ebène</t>
        </is>
      </c>
    </row>
    <row r="31551">
      <c r="A31551" t="inlineStr">
        <is>
          <t>terre roxx</t>
        </is>
      </c>
      <c r="B31551">
        <f>HYPERLINK("https://www.dofusbook.net/fr/equipement/3065593-terre-roxx/objets", "link")</f>
        <v/>
      </c>
      <c r="C31551" t="n">
        <v>1</v>
      </c>
      <c r="D31551" t="inlineStr">
        <is>
          <t>Arc du Chalœil; Collier de Tourthon; Bracelet du Piloztère; Anneau de Brouce; Bouclier du Stalak; Ceinture de la Reine des Voleurs; Coiffe de la Reine des Voleurs; Cape au Logis; Baleinabottes; Dokoko; Dofus des Glaces; Enragé majeur; Remueur; Dévastateur Terre majeur; Nomade; Pioute vert</t>
        </is>
      </c>
    </row>
    <row r="31552">
      <c r="A31552" t="inlineStr">
        <is>
          <t>kjjnlkpouig</t>
        </is>
      </c>
      <c r="B31552">
        <f>HYPERLINK("https://www.dofusbook.net/fr/equipement/3430573-kjjnlkpouig/objets", "link")</f>
        <v/>
      </c>
      <c r="C31552" t="n">
        <v>3</v>
      </c>
      <c r="D31552" t="inlineStr">
        <is>
          <t>Marteau R'ture; Collier de Tourthon; Anneau de Brouce; Anneau Crustique; Bouclier du Stalak; Ceinture de la Reine des Voleurs; Coiffe de la Reine des Voleurs; Cape au Logis; Baleinabottes; Dofus Pourpre; Dolmanax; Dofus des Glaces; Dofus Turquoise; Enragé majeur; Remueur; Pioute vert</t>
        </is>
      </c>
    </row>
    <row r="31553">
      <c r="A31553" t="inlineStr">
        <is>
          <t>rryutjnbez</t>
        </is>
      </c>
      <c r="B31553">
        <f>HYPERLINK("https://www.dofusbook.net/fr/equipement/3428424-rryutjnbez/objets", "link")</f>
        <v/>
      </c>
      <c r="C31553" t="n">
        <v>1</v>
      </c>
      <c r="D31553" t="inlineStr">
        <is>
          <t>Pelle de la Cour Sombre; Collier du Valet Veinard; Alliance Gloursonne; Gant du Valet Veinard; Bouclier du Stalak; Ceinture de la Reine des Voleurs; Coiffe de la Reine des Voleurs; Cape du Valet Veinard; Bottes de la Reine des Voleurs; Dofus Vulbis; Dokoko; Dofus Pourpre; Dofus Abyssal; Dofus Ocre; Dofus des Glaces; Pioute jaune</t>
        </is>
      </c>
    </row>
    <row r="31554">
      <c r="A31554" t="inlineStr">
        <is>
          <t>eau roxx</t>
        </is>
      </c>
      <c r="B31554">
        <f>HYPERLINK("https://www.dofusbook.net/fr/equipement/2888933-eau-roxx/objets", "link")</f>
        <v/>
      </c>
      <c r="C31554" t="n">
        <v>1</v>
      </c>
      <c r="D31554" t="inlineStr">
        <is>
          <t>Dagoulinantes; Amulette Luminescente; Alliance Gloursonne; Bracelet des Fonds marins; Bouclier du Stalak; Ceinture Luminescente; Masque des Fonds marins; Cape Luminescente; Sandales des Fonds marins; Dofus Ocre; Dofus des Glaces; Dofus Abyssal; Dokoko; Dofus Pourpre; Paralyseur majeur; Pioute bleu</t>
        </is>
      </c>
    </row>
    <row r="31555">
      <c r="A31555" t="inlineStr">
        <is>
          <t>Stuff 3</t>
        </is>
      </c>
      <c r="B31555">
        <f>HYPERLINK("https://www.dofusbook.net/fr/equipement/156092-stuff-3/objets", "link")</f>
        <v/>
      </c>
      <c r="C31555" t="n">
        <v>0</v>
      </c>
      <c r="D31555" t="inlineStr">
        <is>
          <t>La Baguette des Limbes; Amulette de Nileza; Anneau Tamie; Anneau Tamie; Ceinture Hyolite; Calotte Spot; Cape de Nileza; Pantoufles Émar; Saccageur Feu majeur; Ravageur Feu majeur; Féroce majeur; Survivant majeur; Robuste majeur; Savant majeur; Pioute rouge</t>
        </is>
      </c>
    </row>
    <row r="31556">
      <c r="A31556" t="inlineStr">
        <is>
          <t>dsf</t>
        </is>
      </c>
      <c r="B31556">
        <f>HYPERLINK("https://www.dofusbook.net/fr/equipement/1954635-dsf/objets", "link")</f>
        <v/>
      </c>
      <c r="C31556" t="n">
        <v>0</v>
      </c>
      <c r="D31556" t="inlineStr">
        <is>
          <t>Dagoulinantes; Amulette de Shokkoth; Bracelet des Fonds marins; Alliance Gloursonne; Sept ans de malheur; Culotte de Bethel; Masque de Funespadon; Cape de l'Œil Attentif; Pataugastrique; Dofus Abyssal; Dofus des Glaces; Dokoko; Remueur; Nomade; Chanceux majeur; Pioute bleu</t>
        </is>
      </c>
    </row>
    <row r="31557">
      <c r="A31557" t="inlineStr">
        <is>
          <t>feu roxx</t>
        </is>
      </c>
      <c r="B31557">
        <f>HYPERLINK("https://www.dofusbook.net/fr/equipement/1979789-feu-roxx/objets", "link")</f>
        <v/>
      </c>
      <c r="C31557" t="n">
        <v>1</v>
      </c>
      <c r="D31557" t="inlineStr">
        <is>
          <t>Massier; Amulette de Nileza; Anneau Tamie; Anneau Tamie; Bouclier du Stalak; Ceintrigue; Heaume Oplate; Cape de Nileza; Bottes Innommables; Dokoko; Dofus des Glaces; Remueur; Nomade; Érudit majeur; Dévastateur Feu majeur; Pioute rouge</t>
        </is>
      </c>
    </row>
    <row r="31558">
      <c r="A31558" t="inlineStr">
        <is>
          <t>Stuff 3</t>
        </is>
      </c>
      <c r="B31558">
        <f>HYPERLINK("https://www.dofusbook.net/fr/equipement/156089-stuff-3/objets", "link")</f>
        <v/>
      </c>
      <c r="C31558" t="n">
        <v>0</v>
      </c>
      <c r="D31558" t="inlineStr">
        <is>
          <t>Epée Gloursonne; Amulette Ementaire Deluxe; Bague Gloursonne; Alliance Gloursonne; Bouclier cubiste; Ceinture de l'Esprit Salvateur; Casque du Chalœil; Cape du Chalœil; Bottes du Chalœil; Dokoko; Dofus Pourpre; Dofus Émeraude; Dofus Ocre; Vagabond majeur; Robuste majeur; Muldo Ebène et Indigo</t>
        </is>
      </c>
    </row>
    <row r="31559">
      <c r="A31559" t="inlineStr">
        <is>
          <t>Stuff 1</t>
        </is>
      </c>
      <c r="B31559">
        <f>HYPERLINK("https://www.dofusbook.net/fr/equipement/2350861-stuff-1/objets", "link")</f>
        <v/>
      </c>
      <c r="C31559" t="n">
        <v>0</v>
      </c>
      <c r="D31559" t="inlineStr">
        <is>
          <t>Epée Gloursonne; Amulette Ementaire Deluxe; Bague Gloursonne; Alliance Gloursonne; Bouclier du Stalak; Ceinture de l'Esprit Salvateur; Masque de l'Esprit Salvateur; Voile d'encre; Bottes de l'Esprit Salvateur; Dolmanax; Dofus Ocre; Dofus Pourpre; Dofus Abyssal; Dokoko; Dofus des Glaces; Muldo Ebène et Pourpre</t>
        </is>
      </c>
    </row>
    <row r="31560">
      <c r="A31560" t="inlineStr">
        <is>
          <t>Sram M 200</t>
        </is>
      </c>
      <c r="B31560">
        <f>HYPERLINK("https://www.dofusbook.net/fr/equipement/3541435-sram-m-200/objets", "link")</f>
        <v/>
      </c>
      <c r="C31560" t="n">
        <v>0</v>
      </c>
      <c r="D31560" t="inlineStr">
        <is>
          <t>Couteaux à Champignons; Amulette Ripage; Anneau Colerette; Bracelet Ventré; Ceinture Rasboulaire du Rasboul; Chapignon; Caprin; Bottes Harry</t>
        </is>
      </c>
    </row>
    <row r="31561">
      <c r="A31561" t="inlineStr">
        <is>
          <t>Sram M 200</t>
        </is>
      </c>
      <c r="B31561">
        <f>HYPERLINK("https://www.dofusbook.net/fr/equipement/3512733-sram-m-200/objets", "link")</f>
        <v/>
      </c>
      <c r="C31561" t="n">
        <v>0</v>
      </c>
      <c r="D31561" t="inlineStr">
        <is>
          <t>Amulette Ripage; Bracelet Ventré; Ceinture Rasboulaire du Rasboul; Solomonk; Cape Erforée; Chaussons Pignons; Dragodinde Prune et Emeraude</t>
        </is>
      </c>
    </row>
    <row r="31562">
      <c r="A31562" t="inlineStr">
        <is>
          <t>cra</t>
        </is>
      </c>
      <c r="B31562">
        <f>HYPERLINK("https://www.dofusbook.net/fr/equipement/3508570-cra/objets", "link")</f>
        <v/>
      </c>
      <c r="C31562" t="n">
        <v>2</v>
      </c>
      <c r="D31562" t="inlineStr"/>
    </row>
    <row r="31563">
      <c r="A31563" t="inlineStr">
        <is>
          <t>Sram M 200</t>
        </is>
      </c>
      <c r="B31563">
        <f>HYPERLINK("https://www.dofusbook.net/fr/equipement/3508519-sram-m-200/objets", "link")</f>
        <v/>
      </c>
      <c r="C31563" t="n">
        <v>4</v>
      </c>
      <c r="D31563" t="inlineStr">
        <is>
          <t>Dagues Réceuses; Kralamansion; Annolamour; Kralano; Ceinture Rasboulaire du Rasboul; Solomonk; Cape Erforée; Bottes Harry; Dofus Cawotte</t>
        </is>
      </c>
    </row>
    <row r="31564">
      <c r="A31564" t="inlineStr">
        <is>
          <t>pvm tri</t>
        </is>
      </c>
      <c r="B31564">
        <f>HYPERLINK("https://www.dofusbook.net/fr/equipement/3035446-pvm-tri/objets", "link")</f>
        <v/>
      </c>
      <c r="C31564" t="n">
        <v>0</v>
      </c>
      <c r="D31564" t="inlineStr">
        <is>
          <t>Dagues Érhy; Amulette du Strigide; Bracelet du Piloztère; Alliance Gloursonne; Quatre-feuilles; Ceintacé; Maskrobe; Cape des Malveilleurs; Bottes du Strigide; Dofus Pourpre; Dofus des Glaces; Chanceux majeur; Nomade; Érudit majeur; Remueur; Kramkram</t>
        </is>
      </c>
    </row>
    <row r="31565">
      <c r="A31565" t="inlineStr">
        <is>
          <t>Stuff 1</t>
        </is>
      </c>
      <c r="B31565">
        <f>HYPERLINK("https://www.dofusbook.net/fr/equipement/352988-stuff-1/objets", "link")</f>
        <v/>
      </c>
      <c r="C31565" t="n">
        <v>0</v>
      </c>
      <c r="D31565" t="inlineStr">
        <is>
          <t>Baguette Hique; Amulette de Pol Ouatnos; Pikano; Bracelet du Piloztère; Bouclier cubiste; Ceintacé; Casquipik; Cape Glaciale; Pataugastrique; Entraveur majeur; Remueur; Miraculé majeur; Temporiseur majeur; Chanceux majeur; Nomade; Kramkram</t>
        </is>
      </c>
    </row>
    <row r="31566">
      <c r="A31566" t="inlineStr">
        <is>
          <t>pvm tri</t>
        </is>
      </c>
      <c r="B31566">
        <f>HYPERLINK("https://www.dofusbook.net/fr/equipement/2971890-pvm-tri/objets", "link")</f>
        <v/>
      </c>
      <c r="C31566" t="n">
        <v>0</v>
      </c>
      <c r="D31566" t="inlineStr">
        <is>
          <t>Dagues Érhy; Amulette du Strigide; Alliance Gloursonne; Bracelet du Piloztère; Quatre-feuilles; Ceintacé; Maskrobe; Cape des Malveilleurs; Bottes du Strigide; Dofus Pourpre; Érudit majeur; Remueur; Chanceux majeur; Cascadeur majeur; Nomade; Kramkram</t>
        </is>
      </c>
    </row>
    <row r="31567">
      <c r="A31567" t="inlineStr">
        <is>
          <t>multi</t>
        </is>
      </c>
      <c r="B31567">
        <f>HYPERLINK("https://www.dofusbook.net/fr/equipement/2479980-multi/objets", "link")</f>
        <v/>
      </c>
      <c r="C31567" t="n">
        <v>0</v>
      </c>
      <c r="D31567" t="inlineStr">
        <is>
          <t>Dagues Érhy; Amulette du Strigide; Anneau de Nidas; Alliance Gloursonne; Bouclier cubiste; Ceintacé; Le Dorado; Voile d'encre; Bottes du Strigide; Dofus Pourpre; Nomade; Miraculé majeur; Remueur; Temporiseur majeur; Vigoureux majeur; Kramkram</t>
        </is>
      </c>
    </row>
    <row r="31568">
      <c r="A31568" t="inlineStr">
        <is>
          <t>feueau</t>
        </is>
      </c>
      <c r="B31568">
        <f>HYPERLINK("https://www.dofusbook.net/fr/equipement/964972-feueau/objets", "link")</f>
        <v/>
      </c>
      <c r="C31568" t="n">
        <v>0</v>
      </c>
      <c r="D31568" t="inlineStr">
        <is>
          <t>Sceptre du Roi Joueur; Amulette de Pol Ouatnos; Bracelet du Piloztère; Alliance Gloursonne; Bouclier cubiste; Ceintacé; Chapeau des Malveilleurs; Cape des Malveilleurs; Pataugastrique; Nomade; Chanceux majeur; Temporiseur majeur; Remueur; Vigoureux majeur; Miraculé majeur; Kramkram</t>
        </is>
      </c>
    </row>
    <row r="31569">
      <c r="A31569" t="inlineStr">
        <is>
          <t>koutoulou</t>
        </is>
      </c>
      <c r="B31569">
        <f>HYPERLINK("https://www.dofusbook.net/fr/equipement/2481246-koutoulou/objets", "link")</f>
        <v/>
      </c>
      <c r="C31569" t="n">
        <v>0</v>
      </c>
      <c r="D31569" t="inlineStr">
        <is>
          <t>Dagues de Srambad; Amulette de Pol Ouatnos; Bracelet du Piloztère; Alliance Gloursonne; Bouclier Aerdala; Ceinture de la Reine des Voleurs; Coiffe de la Reine des Voleurs; Voile d'encre; Baleinabottes; Dofus Pourpre; Vigoureux majeur; Remueur; Enragé majeur; Miraculé majeur; Nomade; Kramkram</t>
        </is>
      </c>
    </row>
    <row r="31570">
      <c r="A31570" t="inlineStr">
        <is>
          <t>tank</t>
        </is>
      </c>
      <c r="B31570">
        <f>HYPERLINK("https://www.dofusbook.net/fr/equipement/355563-tank/objets", "link")</f>
        <v/>
      </c>
      <c r="C31570" t="n">
        <v>0</v>
      </c>
      <c r="D31570" t="inlineStr">
        <is>
          <t>Dagues de Srambad; Amulette de Pol Ouatnos; Alliance Gloursonne; Bracelet du Piloztère; Écorce de Brouce; Ceintacé; Coiffe du Lévitrof; Voile d'encre; Bottes du Lévitrof; Dofus Émeraude; Dofus Pourpre; Nomade; Remueur; Vigoureux majeur; Miraculé majeur; Kramkram</t>
        </is>
      </c>
    </row>
    <row r="31571">
      <c r="A31571" t="inlineStr">
        <is>
          <t>Stuff 3</t>
        </is>
      </c>
      <c r="B31571">
        <f>HYPERLINK("https://www.dofusbook.net/fr/equipement/352977-stuff-3/objets", "link")</f>
        <v/>
      </c>
      <c r="C31571" t="n">
        <v>0</v>
      </c>
      <c r="D31571" t="inlineStr">
        <is>
          <t>Épée du Granduk; Amulette du Granduk; Bracelet du Piloztère; Alliance Gloursonne; Ceinture Rasboulaire du Rasboul; Couronne d'Allister; Cape de Klime; Baleinabottes; Dofus Pourpre; Equilibriste majeur; Remueur; Miraculé majeur; Acrobate majeur; Cascadeur majeur; Dragodinde Prune et Emeraude</t>
        </is>
      </c>
    </row>
    <row r="31572">
      <c r="A31572" t="inlineStr">
        <is>
          <t>Stuff 3</t>
        </is>
      </c>
      <c r="B31572">
        <f>HYPERLINK("https://www.dofusbook.net/fr/equipement/352974-stuff-3/objets", "link")</f>
        <v/>
      </c>
      <c r="C31572" t="n">
        <v>0</v>
      </c>
      <c r="D31572" t="inlineStr">
        <is>
          <t>Pelle de la Cour Sombre; Amulette du Granduk; Kralano; Alliance Gloursonne; Ceintacé; Couronne d'Allister; Cape de Klime; Bottes d'Allister; Dofus Pourpre; Nomade; Miraculé majeur; Cascadeur majeur; Equilibriste majeur; Remueur; Kramkram</t>
        </is>
      </c>
    </row>
    <row r="31573">
      <c r="A31573" t="inlineStr">
        <is>
          <t>Stuff 2</t>
        </is>
      </c>
      <c r="B31573">
        <f>HYPERLINK("https://www.dofusbook.net/fr/equipement/352976-stuff-2/objets", "link")</f>
        <v/>
      </c>
      <c r="C31573" t="n">
        <v>0</v>
      </c>
      <c r="D31573" t="inlineStr">
        <is>
          <t>Dagues Érhy; Amulette de Pol Ouatnos; Bracelet du Piloztère; Anneau de Brouce; Ceinture de la Cour Sombre; Casque de Missiz Frizz; Cape de la Cour Sombre; Baleinabottes; Dofus Pourpre; Vigoureux majeur; Enragé majeur; Miraculé majeur; Nomade; Remueur; Kramkram</t>
        </is>
      </c>
    </row>
    <row r="31574">
      <c r="A31574" t="inlineStr">
        <is>
          <t>Stuff 2</t>
        </is>
      </c>
      <c r="B31574">
        <f>HYPERLINK("https://www.dofusbook.net/fr/equipement/352973-stuff-2/objets", "link")</f>
        <v/>
      </c>
      <c r="C31574" t="n">
        <v>0</v>
      </c>
      <c r="D31574" t="inlineStr">
        <is>
          <t>Dagues Érhy; Amulette de Pol Ouatnos; Bracelet du Piloztère; Anneau de Brouce; Ceintacé; Coiffe du Glourséleste; Cape de la Cour Sombre; Bottes de la Cour Sombre; Dofus Pourpre; Miraculé majeur; Nomade; Vigoureux majeur; Enragé majeur; Remueur; Kramkram</t>
        </is>
      </c>
    </row>
    <row r="31575">
      <c r="A31575" t="inlineStr">
        <is>
          <t>Stuff 1</t>
        </is>
      </c>
      <c r="B31575">
        <f>HYPERLINK("https://www.dofusbook.net/fr/equipement/352975-stuff-1/objets", "link")</f>
        <v/>
      </c>
      <c r="C31575" t="n">
        <v>0</v>
      </c>
      <c r="D31575" t="inlineStr">
        <is>
          <t>Dagues Érhy; Amulette du Cycloïde; Bracelet du Piloztère; Alliance Gloursonne; Ceintacé; Coiffe de la Reine des Voleurs; Voile d'encre; Bottes du Cycloïde; Dofus Pourpre; Nomade; Vigoureux majeur; Enragé majeur; Remueur; Miraculé majeur; Kramkram</t>
        </is>
      </c>
    </row>
    <row r="31576">
      <c r="A31576" t="inlineStr">
        <is>
          <t>Stuff 1</t>
        </is>
      </c>
      <c r="B31576">
        <f>HYPERLINK("https://www.dofusbook.net/fr/equipement/352972-stuff-1/objets", "link")</f>
        <v/>
      </c>
      <c r="C31576" t="n">
        <v>0</v>
      </c>
      <c r="D31576" t="inlineStr">
        <is>
          <t>Dagues Érhy; Amulette de Pol Ouatnos; Alliance Gloursonne; Chevalière du Roi Joueur; Ceinture de Kongoku; Couronne du Roi Joueur; Voile d'encre; Baleinabottes; Dofus Pourpre; Remueur; Miraculé majeur; Robuste majeur; Vigoureux majeur; Nomade; Kramkram</t>
        </is>
      </c>
    </row>
    <row r="31577">
      <c r="A31577" t="inlineStr">
        <is>
          <t>Stuff 1</t>
        </is>
      </c>
      <c r="B31577">
        <f>HYPERLINK("https://www.dofusbook.net/fr/equipement/352969-stuff-1/objets", "link")</f>
        <v/>
      </c>
      <c r="C31577" t="n">
        <v>0</v>
      </c>
      <c r="D31577" t="inlineStr">
        <is>
          <t>Baguette Hernelle; Amulette d'Otomaï; Alliance Sorcelée; Anneau de Padgref; Ceinture Rasboulaire du Rasboul; Coiffe de Padgref; Cape de Nileza; Pantoufles Émar; Dofus Cawotte; Miraculé majeur; Guérisseur majeur; Nomade; Cascadeur majeur; Remueur; Kramkram</t>
        </is>
      </c>
    </row>
    <row r="31578">
      <c r="A31578" t="inlineStr">
        <is>
          <t>Stuff 3</t>
        </is>
      </c>
      <c r="B31578">
        <f>HYPERLINK("https://www.dofusbook.net/fr/equipement/352971-stuff-3/objets", "link")</f>
        <v/>
      </c>
      <c r="C31578" t="n">
        <v>0</v>
      </c>
      <c r="D31578" t="inlineStr">
        <is>
          <t>Baguette Hernelle; Amulette d'Otomaï; Kralano; Anneau Tamie; Ceinture Séculaire; Couronne de Nidas; Cape des Justiciers; Tongues de Nidas; Miraculé majeur; Nomade; Cascadeur majeur; Remueur; Vigoureux majeur; Érudit majeur; Kramkram</t>
        </is>
      </c>
    </row>
    <row r="31579">
      <c r="A31579" t="inlineStr">
        <is>
          <t>Stuff 2</t>
        </is>
      </c>
      <c r="B31579">
        <f>HYPERLINK("https://www.dofusbook.net/fr/equipement/352970-stuff-2/objets", "link")</f>
        <v/>
      </c>
      <c r="C31579" t="n">
        <v>0</v>
      </c>
      <c r="D31579" t="inlineStr">
        <is>
          <t>Baguette Hernelle; Amulette d'Otomaï; Kralano; Anneau de Padgref; Ceinture Rasboulaire du Rasboul; Coiffe de Padgref; Voile d'encre; Pantoufles Émar; Cascadeur majeur; Remueur; Érudit majeur; Miraculé majeur; Guérisseur majeur; Nomade; Kramkram</t>
        </is>
      </c>
    </row>
    <row r="31580">
      <c r="A31580" t="inlineStr">
        <is>
          <t>Stuff 1</t>
        </is>
      </c>
      <c r="B31580">
        <f>HYPERLINK("https://www.dofusbook.net/fr/equipement/774725-stuff-1/objets", "link")</f>
        <v/>
      </c>
      <c r="C31580" t="n">
        <v>1</v>
      </c>
      <c r="D31580" t="inlineStr">
        <is>
          <t>Arc à Lamelles; Amulette du K.O.; Anneau Chevelu; Bouclier du Bûcheron; Ceinture Hyolite; Casque de Missiz Frizz; Cape de l'Obsidiantre; Sabots Minables; Dofus Pourpre; Dofus Turquoise; Nomade; Vigoureux majeur; Remueur; Muldo Prune et Emeraude</t>
        </is>
      </c>
    </row>
    <row r="31581">
      <c r="A31581" t="inlineStr">
        <is>
          <t>Stuff 1</t>
        </is>
      </c>
      <c r="B31581">
        <f>HYPERLINK("https://www.dofusbook.net/fr/equipement/774719-stuff-1/objets", "link")</f>
        <v/>
      </c>
      <c r="C31581" t="n">
        <v>0</v>
      </c>
      <c r="D31581" t="inlineStr">
        <is>
          <t>Baguette Hique; Amulette Volkorne; Alliance Gloursonne; Anneau Volkorne; Ceintrigue; Capuche de l'Œil Attentif; Cape du Sinistrofu; Nomade; Remueur</t>
        </is>
      </c>
    </row>
    <row r="31582">
      <c r="A31582" t="inlineStr">
        <is>
          <t>fhdh</t>
        </is>
      </c>
      <c r="B31582">
        <f>HYPERLINK("https://www.dofusbook.net/fr/equipement/1862264-fhdh/objets", "link")</f>
        <v/>
      </c>
      <c r="C31582" t="n">
        <v>0</v>
      </c>
      <c r="D31582" t="inlineStr">
        <is>
          <t>Bâton Beau; Amulette du Strigide; Bracelet du Piloztère; Grésilanneau; Ceintacé; Casque du Chalœil; Cape Matelassée; Bottes du Strigide; Chanceux majeur; Remueur; Temporiseur majeur; Nomade; Enragé majeur; Vigoureux majeur; Muldo Prune et Emeraude</t>
        </is>
      </c>
    </row>
    <row r="31583">
      <c r="A31583" t="inlineStr">
        <is>
          <t>Stuff 1</t>
        </is>
      </c>
      <c r="B31583">
        <f>HYPERLINK("https://www.dofusbook.net/fr/equipement/774734-stuff-1/objets", "link")</f>
        <v/>
      </c>
      <c r="C31583" t="n">
        <v>0</v>
      </c>
      <c r="D31583" t="inlineStr">
        <is>
          <t>Bâtonnet Ronien; Amulette du Strigide; Bracelet des Fonds marins; Alliance Gloursonne; Bouclier Taverne; Ceintacé; Casque Dragoeuf; Chevelure de Tal Kasha; Sandales de Tal Kasha; Dofus des Glaces; Dofus Nébuleux; Dolmanax; Dofus Pourpre; Dofus Turquoise; Remueur; Muldo Prune et Emeraude</t>
        </is>
      </c>
    </row>
    <row r="31584">
      <c r="A31584" t="inlineStr">
        <is>
          <t>azdeza</t>
        </is>
      </c>
      <c r="B31584">
        <f>HYPERLINK("https://www.dofusbook.net/fr/equipement/1464248-azdeza/objets", "link")</f>
        <v/>
      </c>
      <c r="C31584" t="n">
        <v>0</v>
      </c>
      <c r="D31584" t="inlineStr">
        <is>
          <t>Harpelle; Pendentif affamé; Ceinture Séculaire; Couronne de Nidas; Cape de Diondin; Bottes Innommables</t>
        </is>
      </c>
    </row>
    <row r="31585">
      <c r="A31585" t="inlineStr">
        <is>
          <t>Stuff 3</t>
        </is>
      </c>
      <c r="B31585">
        <f>HYPERLINK("https://www.dofusbook.net/fr/equipement/774721-stuff-3/objets", "link")</f>
        <v/>
      </c>
      <c r="C31585" t="n">
        <v>0</v>
      </c>
      <c r="D31585" t="inlineStr">
        <is>
          <t>Arc Hétype; Amulette de Pol Ouatnos; Bague Gloursonne; Anneau de Nidas; Ceinture Séculaire; Couronne de Nidas; Voile d'encre; Bottes d'Otomaï; Dofus Ocre; Remueur; Temporiseur majeur; Nomade; Kramkram</t>
        </is>
      </c>
    </row>
    <row r="31586">
      <c r="A31586" t="inlineStr">
        <is>
          <t>Stuff 3</t>
        </is>
      </c>
      <c r="B31586">
        <f>HYPERLINK("https://www.dofusbook.net/fr/equipement/774736-stuff-3/objets", "link")</f>
        <v/>
      </c>
      <c r="C31586" t="n">
        <v>0</v>
      </c>
      <c r="D31586" t="inlineStr">
        <is>
          <t>Rapière aux Glyphes; Amulette de Shokkoth; Alliance Gloursonne; Bracelet des Fonds marins; Poulpagne; Casque Dragoeuf; Chevelure de Tal Kasha; Sandales des Fonds marins; Nomade; Remueur; Chanceux majeur; Kramkram</t>
        </is>
      </c>
    </row>
    <row r="31587">
      <c r="A31587" t="inlineStr">
        <is>
          <t>Stuff 1</t>
        </is>
      </c>
      <c r="B31587">
        <f>HYPERLINK("https://www.dofusbook.net/fr/equipement/774731-stuff-1/objets", "link")</f>
        <v/>
      </c>
      <c r="C31587" t="n">
        <v>0</v>
      </c>
      <c r="D31587" t="inlineStr">
        <is>
          <t>Sceptre du Roi Joueur; Amulette de Shokkoth; Alliance Gloursonne; Bracelet des Fonds marins; Ceinture Voldelor; Kidibonnet; Cape de la Dame du Hasard; Bottes de la Dame du Hasard; Dofus des Glaces; Dofus Turquoise; Chanceux majeur; Nomade; Vigoureux majeur; Remueur; Dehluge</t>
        </is>
      </c>
    </row>
    <row r="31588">
      <c r="A31588" t="inlineStr">
        <is>
          <t>Stuff 2</t>
        </is>
      </c>
      <c r="B31588">
        <f>HYPERLINK("https://www.dofusbook.net/fr/equipement/774726-stuff-2/objets", "link")</f>
        <v/>
      </c>
      <c r="C31588" t="n">
        <v>0</v>
      </c>
      <c r="D31588" t="inlineStr">
        <is>
          <t>Dagues Érhy; Amulette du Strigide; Chevalière du Roi Joueur; Bague Gloursonne; Ceinture du Strigide; Couronne du Roi Joueur; Cape du Professeur Xa; Bottes du Strigide; Dofus Ocre; Dofus Pourpre; Dofus des Glaces; Dofus Turquoise; Forcené majeur; Puissant majeur; Kramkram</t>
        </is>
      </c>
    </row>
    <row r="31589">
      <c r="A31589" t="inlineStr">
        <is>
          <t>Stuff 2</t>
        </is>
      </c>
      <c r="B31589">
        <f>HYPERLINK("https://www.dofusbook.net/fr/equipement/774738-stuff-2/objets", "link")</f>
        <v/>
      </c>
      <c r="C31589" t="n">
        <v>0</v>
      </c>
      <c r="D31589" t="inlineStr">
        <is>
          <t>Manthache; Collier du Valet Veinard; Alliance Gloursonne; Gant du Valet Veinard; Bouclier du Sadida cassé; Menoture; Dorabysses; Cape Indescriptible; Palmes Trithons; Dofus Turquoise; Cascadeur majeur; Vigoureux majeur; Nomade; Equilibriste majeur; Remueur; Siroko</t>
        </is>
      </c>
    </row>
    <row r="31590">
      <c r="A31590" t="inlineStr">
        <is>
          <t>Stuff 3</t>
        </is>
      </c>
      <c r="B31590">
        <f>HYPERLINK("https://www.dofusbook.net/fr/equipement/774733-stuff-3/objets", "link")</f>
        <v/>
      </c>
      <c r="C31590" t="n">
        <v>0</v>
      </c>
      <c r="D31590" t="inlineStr">
        <is>
          <t>Arc du Chafer Archer; La Feuille de Printemps; Anneau du Wabbit Céphale; Gelano; Ceinture Précieuse; Solomonk; Cape du Chef Bwork; Bottes du Wabbit Céphale; Remueur; Nomade; Robuste; Vigoureux; Dragodinde en armure</t>
        </is>
      </c>
    </row>
    <row r="31591">
      <c r="A31591" t="inlineStr">
        <is>
          <t>Stuff 1</t>
        </is>
      </c>
      <c r="B31591">
        <f>HYPERLINK("https://www.dofusbook.net/fr/equipement/774728-stuff-1/objets", "link")</f>
        <v/>
      </c>
      <c r="C31591" t="n">
        <v>0</v>
      </c>
      <c r="D31591" t="inlineStr">
        <is>
          <t>Marteau des Anciens Steamers; Talisman Igans; Anneau Tique; Alliance Gloursonne; Ceintrigue; Chapeau des Malveilleurs; Voile d'encre; Pataugastrique; Dofus des Glaces; Dolmanax; Nomade; Remueur; Kramkram</t>
        </is>
      </c>
    </row>
    <row r="31592">
      <c r="A31592" t="inlineStr">
        <is>
          <t>Stuff 2</t>
        </is>
      </c>
      <c r="B31592">
        <f>HYPERLINK("https://www.dofusbook.net/fr/equipement/774720-stuff-2/objets", "link")</f>
        <v/>
      </c>
      <c r="C31592" t="n">
        <v>0</v>
      </c>
      <c r="D31592" t="inlineStr">
        <is>
          <t>Arc de Guten Tak; Amulette de Pol Ouatnos; Alliance du Lévitrof; Bracelet des Fonds marins; Ceintacé; Casquipik; Voile d'encre; Pikottes; Dofus Turquoise; Entraveur majeur; Nomade; Ralentisseur majeur; Remueur; Kramkram</t>
        </is>
      </c>
    </row>
    <row r="31593">
      <c r="A31593" t="inlineStr">
        <is>
          <t>Stuff 2</t>
        </is>
      </c>
      <c r="B31593">
        <f>HYPERLINK("https://www.dofusbook.net/fr/equipement/774735-stuff-2/objets", "link")</f>
        <v/>
      </c>
      <c r="C31593" t="n">
        <v>0</v>
      </c>
      <c r="D31593" t="inlineStr">
        <is>
          <t>Sabres d'Atcham; Amulette du Strigide; Anneau Tique; Bracelet du Piloztère; Ceintacé; Némès de Tal Kasha; Voile d'encre; Sandales de Tal Kasha; Dolmanax; Dofus Turquoise; Nomade; Remueur; Étourdisseur majeur; Kramkram</t>
        </is>
      </c>
    </row>
    <row r="31594">
      <c r="A31594" t="inlineStr">
        <is>
          <t>Stuff 3</t>
        </is>
      </c>
      <c r="B31594">
        <f>HYPERLINK("https://www.dofusbook.net/fr/equipement/774730-stuff-3/objets", "link")</f>
        <v/>
      </c>
      <c r="C31594" t="n">
        <v>0</v>
      </c>
      <c r="D31594" t="inlineStr">
        <is>
          <t>Manthache; Collier du Valet Veinard; Gant du Valet Veinard; Alliance Gloursonne; Bouclier du Sadida cassé; Menoture; Dorabysses; Voile d'encre; Palmes Trithons; Dofus Turquoise; Remueur; Kramkram</t>
        </is>
      </c>
    </row>
    <row r="31595">
      <c r="A31595" t="inlineStr">
        <is>
          <t>Stuff 1</t>
        </is>
      </c>
      <c r="B31595">
        <f>HYPERLINK("https://www.dofusbook.net/fr/equipement/774737-stuff-1/objets", "link")</f>
        <v/>
      </c>
      <c r="C31595" t="n">
        <v>0</v>
      </c>
      <c r="D31595" t="inlineStr">
        <is>
          <t>Karnak; Amulette du Granduk; Alliance Gloursonne; Anneau d'Allister; Ceinture du Barbétoal; Couronne d'Allister; Cape Matelassée; Baleinabottes</t>
        </is>
      </c>
    </row>
    <row r="31596">
      <c r="A31596" t="inlineStr">
        <is>
          <t>Stuff 2</t>
        </is>
      </c>
      <c r="B31596">
        <f>HYPERLINK("https://www.dofusbook.net/fr/equipement/774732-stuff-2/objets", "link")</f>
        <v/>
      </c>
      <c r="C31596" t="n">
        <v>0</v>
      </c>
      <c r="D31596" t="inlineStr">
        <is>
          <t>Ougarteau; Ougamulette; Alliance de Guten Tak; Ougature; Ougalurette; Puissante Cape Fulgurante; Bottines des sous-bois</t>
        </is>
      </c>
    </row>
    <row r="31597">
      <c r="A31597" t="inlineStr">
        <is>
          <t>Stuff 3</t>
        </is>
      </c>
      <c r="B31597">
        <f>HYPERLINK("https://www.dofusbook.net/fr/equipement/774727-stuff-3/objets", "link")</f>
        <v/>
      </c>
      <c r="C31597" t="n">
        <v>0</v>
      </c>
      <c r="D31597" t="inlineStr">
        <is>
          <t>Arc de Guten Tak; Amulette de Pol Ouatnos; Alliance de Missiz Frizz; Anneau de Brouce; Ceinture de la Reine des Voleurs; Coiffe de la Reine des Voleurs; Cape du Professeur Xa; Bottes de la Reine des Voleurs; Dofus des Glaces; Dofus Pourpre; Dofus Ocre; Furibond majeur; Forcené majeur; Puissant majeur</t>
        </is>
      </c>
    </row>
    <row r="31598">
      <c r="A31598" t="inlineStr">
        <is>
          <t>Stuff 1</t>
        </is>
      </c>
      <c r="B31598">
        <f>HYPERLINK("https://www.dofusbook.net/fr/equipement/774731-stuff-1/objets", "link")</f>
        <v/>
      </c>
      <c r="C31598" t="n">
        <v>0</v>
      </c>
      <c r="D31598" t="inlineStr">
        <is>
          <t>Sceptre du Roi Joueur; Amulette de Shokkoth; Bracelet des Fonds marins; Alliance Gloursonne; Ceinture Voldelor; Kidibonnet; Cape de la Dame du Hasard; Bottes de la Dame du Hasard; Dofus des Glaces; Dofus Turquoise; Vigoureux majeur; Remueur; Chanceux majeur; Nomade; Dehluge</t>
        </is>
      </c>
    </row>
    <row r="31599">
      <c r="A31599" t="inlineStr">
        <is>
          <t>Terre/Feu/Eau-OK</t>
        </is>
      </c>
      <c r="B31599">
        <f>HYPERLINK("https://www.dofusbook.net/fr/equipement/5083356-terre-feu-eau-ok/objets", "link")</f>
        <v/>
      </c>
      <c r="C31599" t="n">
        <v>2</v>
      </c>
      <c r="D31599" t="inlineStr">
        <is>
          <t>Hache du Chalœil; Amulette Volkorne; Bracelet du Piloztère; Anneau Volkorne; Quatre-feuilles; Ceinture Volkorne; Casque du Chalœil; Cape du Chalœil; Bottes du Chalœil; Dofus Ocre; Dolmanax; Dofus Turquoise; Dofus Nébuleux; Dofus Pourpre; Dofus Ébène; Fëanor</t>
        </is>
      </c>
    </row>
    <row r="31600">
      <c r="A31600" t="inlineStr">
        <is>
          <t>Terre/Air-OK</t>
        </is>
      </c>
      <c r="B31600">
        <f>HYPERLINK("https://www.dofusbook.net/fr/equipement/5656004-terre-air-ok/objets", "link")</f>
        <v/>
      </c>
      <c r="C31600" t="n">
        <v>7</v>
      </c>
      <c r="D31600" t="inlineStr">
        <is>
          <t>Baguette de Torkélonia; Amulette du Strigide; Bague Trithon; Crocanneau; Quatre-feuilles; Ceinture du Strigide; Corne de Torkélonia; Carapace de Torkélonia; Bottes Trithon; Dofus Nébuleux; Dofus Turquoise; Dofus Pourpre; Dofus Ébène; Dofus Ocre; Dolmanax; Chacha Angora</t>
        </is>
      </c>
    </row>
    <row r="31601">
      <c r="A31601" t="inlineStr">
        <is>
          <t>Feu/Eau/Air-OK</t>
        </is>
      </c>
      <c r="B31601">
        <f>HYPERLINK("https://www.dofusbook.net/fr/equipement/3747499-feu-eau-air-ok/objets", "link")</f>
        <v/>
      </c>
      <c r="C31601" t="n">
        <v>10</v>
      </c>
      <c r="D31601" t="inlineStr">
        <is>
          <t>Sabres d'Atcham; Amulette Volkorne; Bracelet du Piloztère; Anneau Volkorne; Quatre-feuilles; Ceinture du Glourséleste; Casque Volkorne; Cape d'Atcham; Sandales  d'Atcham; Dolmanax; Dofus des Glaces; Dofus Pourpre; Dofus Ébène; Dofus Turquoise; Dofus Ocre; Fëanor</t>
        </is>
      </c>
    </row>
    <row r="31602">
      <c r="A31602" t="inlineStr">
        <is>
          <t>Feu/Eau/Air-OK</t>
        </is>
      </c>
      <c r="B31602">
        <f>HYPERLINK("https://www.dofusbook.net/fr/equipement/5679097-feu-eau-air-ok/objets", "link")</f>
        <v/>
      </c>
      <c r="C31602" t="n">
        <v>0</v>
      </c>
      <c r="D31602" t="inlineStr">
        <is>
          <t>Sabres d'Atcham; Amulette Volkorne; Bracelet du Piloztère; Anneau Volkorne; Quatre-feuilles; Ceinture du Glourséleste; Casque Volkorne; Cape d'Atcham; Sandales  d'Atcham; Dofus Ébène; Dofus Turquoise; Dofus Ocre; Dolmanax; Dofus Abyssal; Dofus Pourpre; Fëanor</t>
        </is>
      </c>
    </row>
    <row r="31603">
      <c r="A31603" t="inlineStr">
        <is>
          <t>Feu/Eau-OK</t>
        </is>
      </c>
      <c r="B31603">
        <f>HYPERLINK("https://www.dofusbook.net/fr/equipement/5133009-feu-eau-ok/objets", "link")</f>
        <v/>
      </c>
      <c r="C31603" t="n">
        <v>7</v>
      </c>
      <c r="D31603" t="inlineStr">
        <is>
          <t>Arc Nécrotique; Amulette Volkorne; Bracelet des Fonds marins; Anneau Volkorne; Quatre-feuilles; Ceintrigue; Heaume Oplate; Cape de la Dame du Hasard; Bottes de la Dame du Hasard; Dofus Vulbis; Dofus Turquoise; Dolmanax; Dofus Ocre; Dofus Pourpre; Dofus Ébène; Kroliméa</t>
        </is>
      </c>
    </row>
    <row r="31604">
      <c r="A31604" t="inlineStr">
        <is>
          <t>Terre/Eau-OK</t>
        </is>
      </c>
      <c r="B31604">
        <f>HYPERLINK("https://www.dofusbook.net/fr/equipement/5182703-terre-eau-ok/objets", "link")</f>
        <v/>
      </c>
      <c r="C31604" t="n">
        <v>2</v>
      </c>
      <c r="D31604" t="inlineStr">
        <is>
          <t>Dagoulinantes; Amulette Luminescente; Anneau de la Fuji Givrefoux; Pikano; Quatre-feuilles; Ceinture Luminescente; Casquipik; Cape Luminescente; Pikottes; Dofus Turquoise; Dofus Vulbis; Dofus Ocre; Dolmanax; Dofus Pourpre; Entraveur majeur; Gwo Tofu Ventripotent</t>
        </is>
      </c>
    </row>
    <row r="31605">
      <c r="A31605" t="inlineStr">
        <is>
          <t>fulleauOP-as-fuck</t>
        </is>
      </c>
      <c r="B31605">
        <f>HYPERLINK("https://www.dofusbook.net/fr/equipement/4308761-fulleauop-as-fuck/objets", "link")</f>
        <v/>
      </c>
      <c r="C31605" t="n">
        <v>4</v>
      </c>
      <c r="D31605" t="inlineStr">
        <is>
          <t>Sceptre du Roi Joueur; Amulette du Strigide; Anneau Volkorne; Alliance Gloursonne; Bivalve; Ceinture du Strigide; Casque Volkorne; Dofusteuse; Bottes du Strigide; Dofus des Glaces; Dofus Nébuleux; Dofus Pourpre; Dofus Ocre; Saccageur Eau majeur</t>
        </is>
      </c>
    </row>
    <row r="31606">
      <c r="A31606" t="inlineStr">
        <is>
          <t>TERRE</t>
        </is>
      </c>
      <c r="B31606">
        <f>HYPERLINK("https://www.dofusbook.net/fr/equipement/4076693-terre/objets", "link")</f>
        <v/>
      </c>
      <c r="C31606" t="n">
        <v>3</v>
      </c>
      <c r="D31606" t="inlineStr">
        <is>
          <t>Manthache; Collier du Valet Veinard; Alliance Gloursonne; Gant du Valet Veinard; Cadran d'Air; Menoture; Casque Dragoeuf; Cape Indescriptible; Palmes Trithons; Dofus Ocre; Dofus Abyssal; Dofus Ivoire; Nomade; Carapace Air majeur; Cascadeur majeur; Dragodinde Ebène et Ivoire</t>
        </is>
      </c>
    </row>
    <row r="31607">
      <c r="A31607" t="inlineStr">
        <is>
          <t>Xélor M 200</t>
        </is>
      </c>
      <c r="B31607">
        <f>HYPERLINK("https://www.dofusbook.net/fr/equipement/4076678-xelor-m-200/objets", "link")</f>
        <v/>
      </c>
      <c r="C31607" t="n">
        <v>2</v>
      </c>
      <c r="D31607" t="inlineStr">
        <is>
          <t>Manthache; Collier du Valet Veinard; Alliance Gloursonne; Gant du Valet Veinard; Bouclier du Stalak; Menoture; Casque Volkorne; Cape de Crânonier; Tentassons; Dofus Pourpre; Dofus Ivoire; Dofus des Glaces; Dofus Émeraude; Dofus Ocre; Carapace Air majeur; Muldo Ebène et Orchidée</t>
        </is>
      </c>
    </row>
    <row r="31608">
      <c r="A31608" t="inlineStr">
        <is>
          <t>VITA</t>
        </is>
      </c>
      <c r="B31608">
        <f>HYPERLINK("https://www.dofusbook.net/fr/equipement/2215896-vita/objets", "link")</f>
        <v/>
      </c>
      <c r="C31608" t="n">
        <v>21</v>
      </c>
      <c r="D31608" t="inlineStr">
        <is>
          <t>Dagues Lassay; Collier du Valet Veinard; Gant du Valet Veinard; Anneau d'Allister; Bouclier alvéolé; Ceinture du Nocturlabe; Couronne d'Allister; Cape du Valet Veinard; Bottes d'Allister; Dofus Émeraude; Ravageur Air majeur; Acrobate majeur; Voyageur; Saccageur Air majeur; Equilibriste majeur; Volkorne Ebène</t>
        </is>
      </c>
    </row>
    <row r="31609">
      <c r="A31609" t="inlineStr">
        <is>
          <t>air</t>
        </is>
      </c>
      <c r="B31609">
        <f>HYPERLINK("https://www.dofusbook.net/fr/equipement/2289684-air/objets", "link")</f>
        <v/>
      </c>
      <c r="C31609" t="n">
        <v>13</v>
      </c>
      <c r="D31609" t="inlineStr">
        <is>
          <t>Épée du Granduk; Amulette du Granduk; Gant du Valet Veinard; Anneau d'Allister; Bouclier Taverne; Menoture; Masque du Granduk; Cape du Valet Veinard; Bottes d'Allister; Dofus Émeraude; Equilibriste majeur; Bloqueur majeur; Ravageur Air majeur; Survivant majeur; Acrobate majeur; Volkorne Ebène</t>
        </is>
      </c>
    </row>
    <row r="31610">
      <c r="A31610" t="inlineStr">
        <is>
          <t>Sram F 200</t>
        </is>
      </c>
      <c r="B31610">
        <f>HYPERLINK("https://www.dofusbook.net/fr/equipement/4015990-sram-f-200/objets", "link")</f>
        <v/>
      </c>
      <c r="C31610" t="n">
        <v>0</v>
      </c>
      <c r="D31610" t="inlineStr">
        <is>
          <t>Hache Ériphe; Amulette de Gein; Bague Gloursonne; Alliance Brûlâme; Bouclier du Stalak; Ceinture de Gein; Masque Brûlâme; Cape du Cœur Vaillant; Pompes Funèbres; Dofus Nébuleux; Dofus Pourpre; Dofus Ivoire; Dofus Ocre; Dofus Vulbis; Dofus des Glaces; Cromeugnon</t>
        </is>
      </c>
    </row>
    <row r="31611">
      <c r="A31611" t="inlineStr">
        <is>
          <t>FEUEAU</t>
        </is>
      </c>
      <c r="B31611">
        <f>HYPERLINK("https://www.dofusbook.net/fr/equipement/2791097-feueau/objets", "link")</f>
        <v/>
      </c>
      <c r="C31611" t="n">
        <v>1</v>
      </c>
      <c r="D31611" t="inlineStr">
        <is>
          <t>Pelle de Katrepat; Talisman Igans; Lavanneau; Lavanneau; Quatre-feuilles; Ceintrigue; Masque de l'Esprit Malsain; Cape de Meno; Pataugastrique; Dofus Pourpre; Dofus des Glaces; Vigoureux majeur; Érudit majeur; Remueur; Chanceux majeur; Muldo Prune et Doré</t>
        </is>
      </c>
    </row>
    <row r="31612">
      <c r="A31612" t="inlineStr">
        <is>
          <t>LE FEU</t>
        </is>
      </c>
      <c r="B31612">
        <f>HYPERLINK("https://www.dofusbook.net/fr/equipement/2790990-le-feu/objets", "link")</f>
        <v/>
      </c>
      <c r="C31612" t="n">
        <v>0</v>
      </c>
      <c r="D31612" t="inlineStr">
        <is>
          <t>Plumeau Bil; Pendentif affamé; Anneauræus; Anneauræus; Bouclier du Cycloïde; Ceinture Séculaire; Heaume Oplate; Cape Ardente; Chaussures Ardentes; Remueur; Dévastateur Feu majeur; Guérisseur majeur; Astucieux majeur; Nomade; Érudit majeur; Brûlih</t>
        </is>
      </c>
    </row>
    <row r="31613">
      <c r="A31613" t="inlineStr">
        <is>
          <t>DOPIAIJ</t>
        </is>
      </c>
      <c r="B31613">
        <f>HYPERLINK("https://www.dofusbook.net/fr/equipement/2777543-dopiaij/objets", "link")</f>
        <v/>
      </c>
      <c r="C31613" t="n">
        <v>0</v>
      </c>
      <c r="D31613" t="inlineStr">
        <is>
          <t>Dagues Eudin; Collier de Tourthon; Anneau Toriété; Anneau Colerette; Bouclier du Stalak; Ceinture Sula; Solomonk; Cape des Justiciers; Sandales Hambic; Dofus des Glaces; Dofus Pourpre; Vigoureux majeur; Sanguinaire majeur; Remueur; Féroce majeur; Kramkram</t>
        </is>
      </c>
    </row>
    <row r="31614">
      <c r="A31614" t="inlineStr">
        <is>
          <t>fouleflauteptdr</t>
        </is>
      </c>
      <c r="B31614">
        <f>HYPERLINK("https://www.dofusbook.net/fr/equipement/2776782-fouleflauteptdr/objets", "link")</f>
        <v/>
      </c>
      <c r="C31614" t="n">
        <v>0</v>
      </c>
      <c r="D31614" t="inlineStr">
        <is>
          <t>Dagoulinantes; Amulette de Shokkoth; Anneau Glacial; Alliance Gloursonne; Bouclier du Stalak; Poulpagne; Capuche de l'Œil Attentif; Cape Glaciale; Bottes du Sinistrofu; Dofus des Glaces; Saccageur Eau majeur; Remueur; Chanceux majeur; Taquin majeur; Dévastateur Eau majeur; Muldo Doré et Amande</t>
        </is>
      </c>
    </row>
    <row r="31615">
      <c r="A31615" t="inlineStr">
        <is>
          <t>DOUZSISSE</t>
        </is>
      </c>
      <c r="B31615">
        <f>HYPERLINK("https://www.dofusbook.net/fr/equipement/2668274-douzsisse/objets", "link")</f>
        <v/>
      </c>
      <c r="C31615" t="n">
        <v>0</v>
      </c>
      <c r="D31615" t="inlineStr">
        <is>
          <t>Epée Gloursonne; Amulette Voldelor; Bague Gloursonne; Alliance Gloursonne; Quatre-feuilles; Ceinture Voldelor; Némès de Tal Kasha; Chevelure de Tal Kasha; Bottes Voldelor; Dofus Ocre; Dofus Pourpre; Dofus des Glaces; Dofus Turquoise; Taquin majeur; Equilibriste majeur; Muldo Prune et Emeraude</t>
        </is>
      </c>
    </row>
    <row r="31616">
      <c r="A31616" t="inlineStr">
        <is>
          <t>full flotte sa race</t>
        </is>
      </c>
      <c r="B31616">
        <f>HYPERLINK("https://www.dofusbook.net/fr/equipement/2561011-full-flotte-sa-race/objets", "link")</f>
        <v/>
      </c>
      <c r="C31616" t="n">
        <v>0</v>
      </c>
      <c r="D31616" t="inlineStr">
        <is>
          <t>Dagoulinantes; Amulette Cryochrone; Alliance Gloursonne; Bracelet des Fonds marins; Bouclier du Stalak; Poulpagne; Kidibonnet; Cape Glaciale; Sandales des Fonds marins; Bousculeur majeur; Nomade; Vigoureux majeur; Culbuteur majeur; Pousseur majeur; Chanceux majeur; Dehluge</t>
        </is>
      </c>
    </row>
    <row r="31617">
      <c r="A31617" t="inlineStr">
        <is>
          <t>mdr c koa se truk</t>
        </is>
      </c>
      <c r="B31617">
        <f>HYPERLINK("https://www.dofusbook.net/fr/equipement/953074-mdr-c-koa-se-truk/objets", "link")</f>
        <v/>
      </c>
      <c r="C31617" t="n">
        <v>0</v>
      </c>
      <c r="D31617" t="inlineStr">
        <is>
          <t>Rapière aux Glyphes; Amulette de Shokkoth; Alliance Gloursonne; Anneau Tique; Écorce de Brouce; Poulpagne; Capuche de l'Œil Attentif; Cape de l'Œil Attentif; Sandales des Fonds marins; Dofus Abyssal; Dofus Ocre; Dofus Ivoire; Évasif majeur; Cavaleur majeur; Carapace Eau majeur; Muldo Indigo et Orchidée</t>
        </is>
      </c>
    </row>
    <row r="31618">
      <c r="A31618" t="inlineStr">
        <is>
          <t>airneo</t>
        </is>
      </c>
      <c r="B31618">
        <f>HYPERLINK("https://www.dofusbook.net/fr/equipement/2215984-airneo/objets", "link")</f>
        <v/>
      </c>
      <c r="C31618" t="n">
        <v>0</v>
      </c>
      <c r="D31618" t="inlineStr">
        <is>
          <t>Marteau des Anciens Steamers; Amulette Voldelor; Anneau Tique; Alliance Gloursonne; Bouclier du Captain Amakna; Ceinture Voldelor; Némès de Tal Kasha; Chevelure de Tal Kasha; Sandales de Tal Kasha; Dofus Pourpre; Dofus des Glaces; Dofus Turquoise; Dofus Nébuleux; Dolmanax; Dofus Ocre; Muldo Prune et Emeraude</t>
        </is>
      </c>
    </row>
    <row r="31619">
      <c r="A31619" t="inlineStr">
        <is>
          <t>ATCHOUMATAISOUHAI</t>
        </is>
      </c>
      <c r="B31619">
        <f>HYPERLINK("https://www.dofusbook.net/fr/equipement/2210355-atchoumataisouhai/objets", "link")</f>
        <v/>
      </c>
      <c r="C31619" t="n">
        <v>0</v>
      </c>
      <c r="D31619" t="inlineStr">
        <is>
          <t>Sabres d'Atcham; Amulette de l'Œil Putride; Bague Gloursonne; Alliance Gloursonne; Bouclier de Sidimote; Ceinture du Barbétoal; Capuche de l'Œil Putride; Cape d'Atcham; Sandales  d'Atcham; Dofus Ivoire; Dofus Ocre; Dofus Pourpre; Dofus des Glaces; Dofus Turquoise; Engourdisseur majeur; Muldo Ebène et Orchidée</t>
        </is>
      </c>
    </row>
    <row r="31620">
      <c r="A31620" t="inlineStr">
        <is>
          <t>métatanktkt</t>
        </is>
      </c>
      <c r="B31620">
        <f>HYPERLINK("https://www.dofusbook.net/fr/equipement/2202323-metatanktkt/objets", "link")</f>
        <v/>
      </c>
      <c r="C31620" t="n">
        <v>0</v>
      </c>
      <c r="D31620" t="inlineStr">
        <is>
          <t>Rouleau à Pâtisserie d'Aermyne; Amulette Cryochrone; Anneau Instable; Bague Instable; Bouclier d'Anerice; Ceinture Instable; Masque d'Anerice; Cape d'Anerice</t>
        </is>
      </c>
    </row>
    <row r="31621">
      <c r="A31621" t="inlineStr">
        <is>
          <t>ptdrjfédétruks</t>
        </is>
      </c>
      <c r="B31621">
        <f>HYPERLINK("https://www.dofusbook.net/fr/equipement/2202235-ptdrjfedetruks/objets", "link")</f>
        <v/>
      </c>
      <c r="C31621" t="n">
        <v>0</v>
      </c>
      <c r="D31621" t="inlineStr">
        <is>
          <t>Az'tech; Amulette du Strigide; Alliance Gloursonne; Anneau Tique; Sept ans de malheur; Menoture; Némès de Tal Kasha; Voile d'encre; Sandales de Tal Kasha; Dofus Ivoire; Dofus Turquoise; Dofus des Glaces; Remueur; Étourdisseur majeur; Obstructeur majeur; Muldo Ebène et Indigo</t>
        </is>
      </c>
    </row>
    <row r="31622">
      <c r="A31622" t="inlineStr">
        <is>
          <t>okuneidee</t>
        </is>
      </c>
      <c r="B31622">
        <f>HYPERLINK("https://www.dofusbook.net/fr/equipement/2140834-okuneidee/objets", "link")</f>
        <v/>
      </c>
      <c r="C31622" t="n">
        <v>0</v>
      </c>
      <c r="D31622" t="inlineStr">
        <is>
          <t>Epée Maudite du Saigneur Guerrier; Amulette du Strigide; Bague Gloursonne; Alliance Gloursonne; Bouclier du Captain Amakna; Ceinture du Strigide; Masque d'Anerice; Cape d'Anerice; Bottes du Strigide; Dofus Turquoise; Dofus Ivoire; Dofus Vulbis; Dofus Ocre; Dofus Pourpre; Dofus des Glaces; Dragodinde en armure</t>
        </is>
      </c>
    </row>
    <row r="31623">
      <c r="A31623" t="inlineStr">
        <is>
          <t>FOULETAIRE</t>
        </is>
      </c>
      <c r="B31623">
        <f>HYPERLINK("https://www.dofusbook.net/fr/equipement/2185513-fouletaire/objets", "link")</f>
        <v/>
      </c>
      <c r="C31623" t="n">
        <v>0</v>
      </c>
      <c r="D31623" t="inlineStr">
        <is>
          <t>Dagues d'Ilyzaelle; Amulette du Cœur Saignant; Anneau de Brouce; Chevalière du Roi Joueur; Bouclier du Captain Amakna; Ceinture de la Cour Sombre; Couronne du Roi Joueur; Cape du Cœur Saignant; Bottes de la Cour Sombre; Dolmanax; Dofus Ocre; Dofus Pourpre; Dofus des Glaces; Dofus Turquoise; Dofus Nébuleux; Kompost</t>
        </is>
      </c>
    </row>
    <row r="31624">
      <c r="A31624" t="inlineStr">
        <is>
          <t>ezzrty</t>
        </is>
      </c>
      <c r="B31624">
        <f>HYPERLINK("https://www.dofusbook.net/fr/equipement/2141316-ezzrty/objets", "link")</f>
        <v/>
      </c>
      <c r="C31624" t="n">
        <v>0</v>
      </c>
      <c r="D31624" t="inlineStr">
        <is>
          <t>Marteau des Anciens Steamers; Amulette du Strigide; Anneau Tique; Alliance Gloursonne; Bouclier du Captain Amakna; Menoture; Masque d'Anerice; Cape d'Anerice; Sandales de Tal Kasha; Dofus des Glaces; Dofus Ivoire; Dofus Pourpre; Obstructeur majeur; Étourdisseur majeur; Remueur; Muldo Indigo et Orchidée</t>
        </is>
      </c>
    </row>
    <row r="31625">
      <c r="A31625" t="inlineStr">
        <is>
          <t>retPA</t>
        </is>
      </c>
      <c r="B31625">
        <f>HYPERLINK("https://www.dofusbook.net/fr/equipement/2141143-retpa/objets", "link")</f>
        <v/>
      </c>
      <c r="C31625" t="n">
        <v>1</v>
      </c>
      <c r="D31625" t="inlineStr">
        <is>
          <t>Lance corrompue; Amulette du Cœur Vaillant; Anneau Crustique; Alliance Gloursonne; Sept ans de malheur; Menoture; Masque d'Anerice; Cape d'Anerice; Tentassons; Dofus Pourpre; Dofus des Glaces; Dofus Ivoire; Vigoureux majeur; Remueur; Étourdisseur majeur; Muldo Ebène</t>
        </is>
      </c>
    </row>
    <row r="31626">
      <c r="A31626" t="inlineStr">
        <is>
          <t>FEUAIRPOURDEVRAI</t>
        </is>
      </c>
      <c r="B31626">
        <f>HYPERLINK("https://www.dofusbook.net/fr/equipement/2138649-feuairpourdevrai/objets", "link")</f>
        <v/>
      </c>
      <c r="C31626" t="n">
        <v>0</v>
      </c>
      <c r="D31626" t="inlineStr">
        <is>
          <t>Marteau Phossile; Amulette du Strigide; Bague Gloursonne; Alliance Gloursonne; Bouclier du Captain Amakna; Ceinture du Strigide; Capuche de l'Œil Putride; Cape de l'Œil Putride; Bottes du Strigide; Dofus des Glaces; Dolmanax; Dofus Turquoise; Dofus Vulbis; Dofus Pourpre; Dofus Ocre; Kramkram</t>
        </is>
      </c>
    </row>
    <row r="31627">
      <c r="A31627" t="inlineStr">
        <is>
          <t>FEUAIR</t>
        </is>
      </c>
      <c r="B31627">
        <f>HYPERLINK("https://www.dofusbook.net/fr/equipement/2138622-feuair/objets", "link")</f>
        <v/>
      </c>
      <c r="C31627" t="n">
        <v>0</v>
      </c>
      <c r="D31627" t="inlineStr">
        <is>
          <t>Epée Gloursonne; Amulette du Strigide; Alliance Gloursonne; Bague Gloursonne; Bouclier du Captain Amakna; Ceinture du Strigide; Masque Brûlâme; Voile d'encre; Pompes Funèbres; Dofus Ocre; Dofus Vulbis; Dofus des Glaces; Dofus Turquoise; Dofus Ivoire; Kramkram</t>
        </is>
      </c>
    </row>
    <row r="31628">
      <c r="A31628" t="inlineStr">
        <is>
          <t>darknoub</t>
        </is>
      </c>
      <c r="B31628">
        <f>HYPERLINK("https://www.dofusbook.net/fr/equipement/2138566-darknoub/objets", "link")</f>
        <v/>
      </c>
      <c r="C31628" t="n">
        <v>0</v>
      </c>
      <c r="D31628" t="inlineStr">
        <is>
          <t>Az'tech; Amulette du Strigide; Bague Gloursonne; Alliance Gloursonne; Bouclier Brâkmarien; Ceinture du Strigide; Masque d'Anerice; Cape d'Anerice; Bottes du Strigide; Dofus Ocre; Dofus Vulbis; Dofus Turquoise; Dofus Ivoire; Dofus des Glaces; Dofus Pourpre; Kramkram</t>
        </is>
      </c>
    </row>
    <row r="31629">
      <c r="A31629" t="inlineStr">
        <is>
          <t>kansairdaipoumon</t>
        </is>
      </c>
      <c r="B31629">
        <f>HYPERLINK("https://www.dofusbook.net/fr/equipement/1962211-kansairdaipoumon/objets", "link")</f>
        <v/>
      </c>
      <c r="C31629" t="n">
        <v>0</v>
      </c>
      <c r="D31629" t="inlineStr">
        <is>
          <t>Manthache; Amulette du Strigide; Alliance Gloursonne; Anneau Tique; Sept ans de malheur; Menoture; Némès de Tal Kasha; Voile d'encre; Sandales de Tal Kasha; Dofus Turquoise; Dofus Pourpre; Obstructeur majeur; Carapace Eau majeur; Remueur; Étourdisseur majeur; Muldo Ebène</t>
        </is>
      </c>
    </row>
    <row r="31630">
      <c r="A31630" t="inlineStr">
        <is>
          <t>KANSAIR PTDR</t>
        </is>
      </c>
      <c r="B31630">
        <f>HYPERLINK("https://www.dofusbook.net/fr/equipement/1962081-kansair-ptdr/objets", "link")</f>
        <v/>
      </c>
      <c r="C31630" t="n">
        <v>0</v>
      </c>
      <c r="D31630" t="inlineStr">
        <is>
          <t>Arc corrompu; Amulette du Cœur Vaillant; Baguistik; Alliance Gloursonne; Bouclier d'Anerice; Menoture; Némès de Tal Kasha; Cape d'Anerice; Sandales de Tal Kasha; Dofus Émeraude; Dofus Ocre; Dofus Ivoire; Tacleur majeur; Paralyseur majeur; Engourdisseur majeur; Muldo Ebène et Indigo</t>
        </is>
      </c>
    </row>
    <row r="31631">
      <c r="A31631" t="inlineStr">
        <is>
          <t>Eau</t>
        </is>
      </c>
      <c r="B31631">
        <f>HYPERLINK("https://www.dofusbook.net/fr/equipement/1348606-eau/objets", "link")</f>
        <v/>
      </c>
      <c r="C31631" t="n">
        <v>0</v>
      </c>
      <c r="D31631" t="inlineStr">
        <is>
          <t>Epée Loponèze; Amulette de Shokkoth; Bracelet des Fonds marins; Alliance Gloursonne; Écorce de Brouce; Poulpagne; Casque Dragoeuf; Cape de Mantaze; Sandales des Fonds marins; Dofus Pourpre; Remueur; Évasif majeur; Chanceux majeur; Cavaleur majeur; Carapace Eau majeur; Muldo Turquoise et Pourpre</t>
        </is>
      </c>
    </row>
    <row r="31632">
      <c r="A31632" t="inlineStr">
        <is>
          <t>mieuxquedig</t>
        </is>
      </c>
      <c r="B31632">
        <f>HYPERLINK("https://www.dofusbook.net/fr/equipement/1348545-mieuxquedig/objets", "link")</f>
        <v/>
      </c>
      <c r="C31632" t="n">
        <v>0</v>
      </c>
      <c r="D31632" t="inlineStr">
        <is>
          <t>Marteau de Katrepat; Amulette du Strigide; Bague Gloursonne; Alliance Gloursonne; Bouclier du Captain Amakna; Ceinture du Strigide; Némès de Tal Kasha; Chevelure de Tal Kasha; Sandales de Tal Kasha; Dofus Vulbis; Dofus Pourpre; Dofus Ocre; Dofus Turquoise; Dofus Nébuleux; Dofus des Glaces; Kramkram</t>
        </is>
      </c>
    </row>
    <row r="31633">
      <c r="A31633" t="inlineStr">
        <is>
          <t>mieuxquedig</t>
        </is>
      </c>
      <c r="B31633">
        <f>HYPERLINK("https://www.dofusbook.net/fr/equipement/1348427-mieuxquedig/objets", "link")</f>
        <v/>
      </c>
      <c r="C31633" t="n">
        <v>0</v>
      </c>
      <c r="D31633" t="inlineStr">
        <is>
          <t>Marteau de Katrepat; Amulette du Strigide; Anneau Chevelu; Bague Gloursonne; Bouclier du Captain Amakna; Ceintacé; Némès de Tal Kasha; Chevelure de Tal Kasha; Bottes du Cycloïde; Dofus Pourpre; Dofus Turquoise; Dofus des Glaces; Vigoureux majeur; Remueur; Muldo Orchidée</t>
        </is>
      </c>
    </row>
    <row r="31634">
      <c r="A31634" t="inlineStr">
        <is>
          <t>AU FEU AAAAAAH</t>
        </is>
      </c>
      <c r="B31634">
        <f>HYPERLINK("https://www.dofusbook.net/fr/equipement/1234929-au-feu-aaaaaah/objets", "link")</f>
        <v/>
      </c>
      <c r="C31634" t="n">
        <v>0</v>
      </c>
      <c r="D31634" t="inlineStr">
        <is>
          <t>Pyraguette; Talisman Igans; Anneau Tique; Alliance Gloursonne; Bouclier du Stalak; Poulpagne; Casque Dragoeuf; Cape de la Dame du Hasard; Bottes Owesli; Dofus Émeraude; Dofus des Glaces; Dofus Pourpre; Vigoureux majeur; Remueur; Précurseur majeur; Muldo Ebène et Orchidée</t>
        </is>
      </c>
    </row>
    <row r="31635">
      <c r="A31635" t="inlineStr">
        <is>
          <t>terreau ptdr takonpr</t>
        </is>
      </c>
      <c r="B31635">
        <f>HYPERLINK("https://www.dofusbook.net/fr/equipement/1234897-terreau-ptdr-takonpr/objets", "link")</f>
        <v/>
      </c>
      <c r="C31635" t="n">
        <v>0</v>
      </c>
      <c r="D31635" t="inlineStr">
        <is>
          <t>Baguette des égarés; Amulette Luminescente; Alliance du Lévitrof; Bracelet des Fonds marins; Ceinture Luminescente; Coiffe du Lévitrof; Cape Luminescente; Bottes du Lévitrof</t>
        </is>
      </c>
    </row>
    <row r="31636">
      <c r="A31636" t="inlineStr">
        <is>
          <t>DRAKULAAAAH</t>
        </is>
      </c>
      <c r="B31636">
        <f>HYPERLINK("https://www.dofusbook.net/fr/equipement/1210005-drakulaaaah/objets", "link")</f>
        <v/>
      </c>
      <c r="C31636" t="n">
        <v>0</v>
      </c>
      <c r="D31636" t="inlineStr">
        <is>
          <t>Arc de Koutoulou; Amulette du Strigide; Bague Gloursonne; Alliance Gloursonne; Bouclier du Stalak; Ceinture du Strigide; Némès de Tal Kasha; Chevelure de Tal Kasha; Sandales de Tal Kasha; Dofus Turquoise; Dofus Pourpre; Dofus Ocre; Dofus Émeraude; Dofus des Glaces; Examinateur; Muldo Indigo et Orchidée</t>
        </is>
      </c>
    </row>
    <row r="31637">
      <c r="A31637" t="inlineStr">
        <is>
          <t>fouleflaute</t>
        </is>
      </c>
      <c r="B31637">
        <f>HYPERLINK("https://www.dofusbook.net/fr/equipement/1209881-fouleflaute/objets", "link")</f>
        <v/>
      </c>
      <c r="C31637" t="n">
        <v>0</v>
      </c>
      <c r="D31637" t="inlineStr">
        <is>
          <t>Sceptre du Roi Joueur; Amulette de Shokkoth; Alliance Gloursonne; Bracelet des Fonds marins; Pagne du Rykaon; Kidibonnet; Cape de Mantaze; Sandales des Fonds marins; Dofus Pourpre; Dofus des Glaces; Dofus Turquoise; Dofus Émeraude; Dofus Ocre; Chanceux majeur; Muldo Prune et Emeraude</t>
        </is>
      </c>
    </row>
    <row r="31638">
      <c r="A31638" t="inlineStr">
        <is>
          <t>DAGDAGDAG</t>
        </is>
      </c>
      <c r="B31638">
        <f>HYPERLINK("https://www.dofusbook.net/fr/equipement/1209759-dagdagdag/objets", "link")</f>
        <v/>
      </c>
      <c r="C31638" t="n">
        <v>0</v>
      </c>
      <c r="D31638" t="inlineStr">
        <is>
          <t>Dagues de Srambad; Amulette Luminescente; Bracelet du Piloztère; Alliance du Lévitrof; Ceinture Luminescente; Coiffe du Lévitrof; Cape Luminescente; Bottes du Lévitrof; Dofus Ocre; Dofus Pourpre; Dofus des Glaces; Dofus Émeraude; Muldo Doré et Indigo</t>
        </is>
      </c>
    </row>
    <row r="31639">
      <c r="A31639" t="inlineStr">
        <is>
          <t>Stuff 1</t>
        </is>
      </c>
      <c r="B31639">
        <f>HYPERLINK("https://www.dofusbook.net/fr/equipement/307809-stuff-1/objets", "link")</f>
        <v/>
      </c>
      <c r="C31639" t="n">
        <v>0</v>
      </c>
      <c r="D31639" t="inlineStr">
        <is>
          <t>Dague Adou; Amulette du Strigide; Anneau de Padgref; Bague Trithon; Bouclier du Captain Amakna; Ceinture du Strigide; Némès de Tal Kasha; Chevelure de Tal Kasha; Sandales de Tal Kasha; Dofus Nébuleux; Dofus des Glaces; Dofus Vulbis; Dofus Pourpre; Dofus Ocre; Dofus Turquoise; Muldo Prune et Emeraude</t>
        </is>
      </c>
    </row>
    <row r="31640">
      <c r="A31640" t="inlineStr">
        <is>
          <t>DAGDAGDAG</t>
        </is>
      </c>
      <c r="B31640">
        <f>HYPERLINK("https://www.dofusbook.net/fr/equipement/956432-dagdagdag/objets", "link")</f>
        <v/>
      </c>
      <c r="C31640" t="n">
        <v>0</v>
      </c>
      <c r="D31640" t="inlineStr">
        <is>
          <t>Épée du Granduk; Amulette du Granduk; Alliance Gloursonne; Anneau d'Allister; Menoture; Couronne d'Allister; Cape Matelassée; Bottes d'Allister; Muldo Doré</t>
        </is>
      </c>
    </row>
    <row r="31641">
      <c r="A31641" t="inlineStr">
        <is>
          <t>DARKULAAAAAAAAH VOL</t>
        </is>
      </c>
      <c r="B31641">
        <f>HYPERLINK("https://www.dofusbook.net/fr/equipement/952807-darkulaaaaaaaah-vol/objets", "link")</f>
        <v/>
      </c>
      <c r="C31641" t="n">
        <v>0</v>
      </c>
      <c r="D31641" t="inlineStr">
        <is>
          <t>Arc de Koutoulou; Amulette du Strigide; Bague Gloursonne; Alliance Gloursonne; Bouclier du Stalak; Ceinture du Strigide; Némès de Tal Kasha; Chevelure de Tal Kasha; Sandales de Tal Kasha; Dofus Turquoise; Dofus Pourpre; Dofus Vulbis; Dofus des Glaces; Dofus Émeraude; Dofus Ocre; Kramkram</t>
        </is>
      </c>
    </row>
    <row r="31642">
      <c r="A31642" t="inlineStr">
        <is>
          <t>evolepgm</t>
        </is>
      </c>
      <c r="B31642">
        <f>HYPERLINK("https://www.dofusbook.net/fr/equipement/900411-evolepgm/objets", "link")</f>
        <v/>
      </c>
      <c r="C31642" t="n">
        <v>0</v>
      </c>
      <c r="D31642" t="inlineStr">
        <is>
          <t>Marteau R'ture; Collier de Tourthon; Anneau Crustique; Anneau Crustique; Ceintouse; Masque de Koutoulou; Ankhape; Tentassons; Muldo Pourpre</t>
        </is>
      </c>
    </row>
    <row r="31643">
      <c r="A31643" t="inlineStr">
        <is>
          <t>OALLALALALA</t>
        </is>
      </c>
      <c r="B31643">
        <f>HYPERLINK("https://www.dofusbook.net/fr/equipement/952875-oallalalala/objets", "link")</f>
        <v/>
      </c>
      <c r="C31643" t="n">
        <v>0</v>
      </c>
      <c r="D31643" t="inlineStr">
        <is>
          <t>Dagues de Srambad; Amulette Luminescente; Alliance Gloursonne; Bague Gloursonne; Bouclier alvéolé; Ceinture de la Reine des Voleurs; Coiffe de la Reine des Voleurs; Cape Luminescente; Bottes de la Reine des Voleurs; Dokoko; Dofus Abyssal; Dofus Pourpre; Dofus Ocre; Dofus Émeraude; Dofus des Glaces; Muldo Ebène et Orchidée</t>
        </is>
      </c>
    </row>
    <row r="31644">
      <c r="A31644" t="inlineStr">
        <is>
          <t>evonul2</t>
        </is>
      </c>
      <c r="B31644">
        <f>HYPERLINK("https://www.dofusbook.net/fr/equipement/900246-evonul2/objets", "link")</f>
        <v/>
      </c>
      <c r="C31644" t="n">
        <v>0</v>
      </c>
      <c r="D31644" t="inlineStr">
        <is>
          <t>Arc Nécrotique; Talisman Igans; Anneau Tique; Alliance Gloursonne; Bouclier cubiste; Pagne du Rykaon; Kidibonnet; Cape d'Atcham; Sandales  d'Atcham; Dofus des Glaces; Dofus Pourpre; Dofus Turquoise; Temporiseur majeur; Remueur; Cavaleur majeur; Muldo Indigo et Orchidée</t>
        </is>
      </c>
    </row>
    <row r="31645">
      <c r="A31645" t="inlineStr">
        <is>
          <t>DOKRITOLALA</t>
        </is>
      </c>
      <c r="B31645">
        <f>HYPERLINK("https://www.dofusbook.net/fr/equipement/890414-dokritolala/objets", "link")</f>
        <v/>
      </c>
      <c r="C31645" t="n">
        <v>0</v>
      </c>
      <c r="D31645" t="inlineStr">
        <is>
          <t>Dague Adou; Amulette du Strigide; Bague Trithon; Anneau de Padgref; Bouclier du Captain Amakna; Ceinture du Strigide; Némès de Tal Kasha; Chevelure de Tal Kasha; Sandales de Tal Kasha; Dofus Ocre; Dofus Turquoise; Dofus des Glaces; Dofus Vulbis; Dofus Pourpre; Puissant majeur; Muldo Prune et Emeraude</t>
        </is>
      </c>
    </row>
    <row r="31646">
      <c r="A31646" t="inlineStr">
        <is>
          <t>evonul</t>
        </is>
      </c>
      <c r="B31646">
        <f>HYPERLINK("https://www.dofusbook.net/fr/equipement/886063-evonul/objets", "link")</f>
        <v/>
      </c>
      <c r="C31646" t="n">
        <v>0</v>
      </c>
      <c r="D31646" t="inlineStr">
        <is>
          <t>Héqache; Amulette du Strigide; Anneau Crustique; Alliance Gloursonne; Bouclier du Captain Amakna; Menoture; Casque Dragoeuf; Cape du Kamasterisk; Bottes du Strigide; Dofus Émeraude; Dofus des Glaces; Dofus Pourpre; Dofus Turquoise; Étourdisseur majeur; Remueur; Muldo Prune et Indigo</t>
        </is>
      </c>
    </row>
    <row r="31647">
      <c r="A31647" t="inlineStr">
        <is>
          <t>Daguesramburk</t>
        </is>
      </c>
      <c r="B31647">
        <f>HYPERLINK("https://www.dofusbook.net/fr/equipement/876358-daguesramburk/objets", "link")</f>
        <v/>
      </c>
      <c r="C31647" t="n">
        <v>0</v>
      </c>
      <c r="D31647" t="inlineStr">
        <is>
          <t>Dagues de Srambad; Amulette Luminescente; Alliance Gloursonne; Alliance du Lévitrof; Jadis; Ceinture Luminescente; Coiffe du Lévitrof; Cape Luminescente; Bottes du Lévitrof; Dofus Abyssal; Dofus Émeraude; Dofus des Glaces; Dofus Ocre; Dofus Turquoise; Dofus Pourpre; Muldo Ebène et Indigo</t>
        </is>
      </c>
    </row>
    <row r="31648">
      <c r="A31648" t="inlineStr">
        <is>
          <t>Eaufeu</t>
        </is>
      </c>
      <c r="B31648">
        <f>HYPERLINK("https://www.dofusbook.net/fr/equipement/596582-eaufeu/objets", "link")</f>
        <v/>
      </c>
      <c r="C31648" t="n">
        <v>0</v>
      </c>
      <c r="D31648" t="inlineStr">
        <is>
          <t>Pyraguette; Talisman Igans; Bague Gloursonne; Alliance Gloursonne; Ceintrigue; Kidibonnet; Cape de la Dame du Hasard; Bottes Owesli; Dofus Ocre; Dofus des Glaces; Dofus Pourpre; Dokoko; Dofus Émeraude; Dofus Abyssal; Croum</t>
        </is>
      </c>
    </row>
    <row r="31649">
      <c r="A31649" t="inlineStr">
        <is>
          <t>Gloutarsucepourunmar</t>
        </is>
      </c>
      <c r="B31649">
        <f>HYPERLINK("https://www.dofusbook.net/fr/equipement/450980-gloutarsucepourunmar/objets", "link")</f>
        <v/>
      </c>
      <c r="C31649" t="n">
        <v>0</v>
      </c>
      <c r="D31649" t="inlineStr">
        <is>
          <t>Bottes Voldelor</t>
        </is>
      </c>
    </row>
    <row r="31650">
      <c r="A31650" t="inlineStr">
        <is>
          <t>eauairesqPA</t>
        </is>
      </c>
      <c r="B31650">
        <f>HYPERLINK("https://www.dofusbook.net/fr/equipement/450341-eauairesqpa/objets", "link")</f>
        <v/>
      </c>
      <c r="C31650" t="n">
        <v>0</v>
      </c>
      <c r="D31650" t="inlineStr">
        <is>
          <t>Arc de Koutoulou; Amulette du Strigide; Grésilanneau; Alliance Gloursonne; Poulpagne; Boucle d'oreille de Kongoku; Chevelure de Tal Kasha; Sandales de Tal Kasha; Dofus Turquoise; Dofus Ocre; Dofus Pourpre; Dofus des Glaces; Cascadeur majeur; Vigoureux majeur; Muldo Ebène et Indigo</t>
        </is>
      </c>
    </row>
    <row r="31651">
      <c r="A31651" t="inlineStr">
        <is>
          <t>dtdtflghmk</t>
        </is>
      </c>
      <c r="B31651">
        <f>HYPERLINK("https://www.dofusbook.net/fr/equipement/309944-dtdtflghmk/objets", "link")</f>
        <v/>
      </c>
      <c r="C31651" t="n">
        <v>0</v>
      </c>
      <c r="D31651" t="inlineStr">
        <is>
          <t>Dagues Réceuses; Amulette du Strigide; Grésilanneau; Alliance Gloursonne; Menoture; Casque Dragoeuf; Cape du Kamasterisk; Bottes du Strigide; Muldo Indigo et Orchidée</t>
        </is>
      </c>
    </row>
    <row r="31652">
      <c r="A31652" t="inlineStr">
        <is>
          <t>mdrcrit</t>
        </is>
      </c>
      <c r="B31652">
        <f>HYPERLINK("https://www.dofusbook.net/fr/equipement/308176-mdrcrit/objets", "link")</f>
        <v/>
      </c>
      <c r="C31652" t="n">
        <v>0</v>
      </c>
      <c r="D31652" t="inlineStr">
        <is>
          <t>Dagues Réceuses; Amibou; Anneau de Padgref; Alliance Gloursonne; Menoture; Casque Dragoeuf; Capibou; Palmes Trithons; Dofus Turquoise; Dofus Ocre; Dofus Émeraude; Dofus Abyssal; Cascadeur majeur; Muldo Ebène et Indigo</t>
        </is>
      </c>
    </row>
    <row r="31653">
      <c r="A31653" t="inlineStr">
        <is>
          <t>Stuff 2</t>
        </is>
      </c>
      <c r="B31653">
        <f>HYPERLINK("https://www.dofusbook.net/fr/equipement/307804-stuff-2/objets", "link")</f>
        <v/>
      </c>
      <c r="C31653" t="n">
        <v>0</v>
      </c>
      <c r="D31653" t="inlineStr">
        <is>
          <t>Sabres d'Atcham; Amulette du Strigide; Alliance Gloursonne; Bague Gloursonne; Ceinture du Strigide; Chapeau des Malveilleurs; Cape d'Atcham; Sandales  d'Atcham; Dofus des Glaces; Dofus Ocre; Dofus Pourpre; Dolmanax; Dofus Turquoise; Puissant majeur; Dragodinde Prune et Emeraude</t>
        </is>
      </c>
    </row>
    <row r="31654">
      <c r="A31654" t="inlineStr">
        <is>
          <t>Stuff 3</t>
        </is>
      </c>
      <c r="B31654">
        <f>HYPERLINK("https://www.dofusbook.net/fr/equipement/307836-stuff-3/objets", "link")</f>
        <v/>
      </c>
      <c r="C31654" t="n">
        <v>0</v>
      </c>
      <c r="D31654" t="inlineStr">
        <is>
          <t>Manthache; Collier du Valet Veinard; Anneau des égarés; Alliance Gloursonne; Menoture; Casque Dragoeuf; Cape du Valet Veinard; Palmes Trithons; Dofus Pourpre; Cascadeur majeur; Évasif majeur; Nomade; Remueur; Carapace Air majeur; Dragodinde en armure</t>
        </is>
      </c>
    </row>
    <row r="31655">
      <c r="A31655" t="inlineStr">
        <is>
          <t>Stuff 3</t>
        </is>
      </c>
      <c r="B31655">
        <f>HYPERLINK("https://www.dofusbook.net/fr/equipement/307799-stuff-3/objets", "link")</f>
        <v/>
      </c>
      <c r="C31655" t="n">
        <v>0</v>
      </c>
      <c r="D31655" t="inlineStr">
        <is>
          <t>Pelle de la Cour Sombre; Collier du Valet Veinard; Anneau d'Allister; Gant du Valet Veinard; Ceinture de Nevark; Couronne d'Allister; Cape du Valet Veinard; Bottes d'Allister; Dofus Pourpre; Dofus Ocre; Dofus des Glaces; Voyageur; Saccageur Air majeur; Equilibriste majeur; Siroko</t>
        </is>
      </c>
    </row>
    <row r="31656">
      <c r="A31656" t="inlineStr">
        <is>
          <t>Stuff 1</t>
        </is>
      </c>
      <c r="B31656">
        <f>HYPERLINK("https://www.dofusbook.net/fr/equipement/307831-stuff-1/objets", "link")</f>
        <v/>
      </c>
      <c r="C31656" t="n">
        <v>0</v>
      </c>
      <c r="D31656" t="inlineStr">
        <is>
          <t>Dagues Érhy; Amulette du Strigide; Bague Gloursonne; Anneau Chevelu; Ceintacé; Chapeau de Gein; Voile d'encre; Bottes du Strigide; Dofus Turquoise; Nomade; Carapace Feu majeur; Remueur; Dragodinde en armure</t>
        </is>
      </c>
    </row>
    <row r="31657">
      <c r="A31657" t="inlineStr">
        <is>
          <t>Stuff 1</t>
        </is>
      </c>
      <c r="B31657">
        <f>HYPERLINK("https://www.dofusbook.net/fr/equipement/307794-stuff-1/objets", "link")</f>
        <v/>
      </c>
      <c r="C31657" t="n">
        <v>0</v>
      </c>
      <c r="D31657" t="inlineStr">
        <is>
          <t>Dagues Érhy; Amulette du Strigide; Anneau Crustique; Chevalière du Roi Joueur; Ceintacé; Chapeau de Gein; Voile d'encre; Bottes du Strigide; Dofus Turquoise; Dofus des Glaces; Dofus Pourpre; Remueur; Étourdisseur majeur; Croum</t>
        </is>
      </c>
    </row>
    <row r="31658">
      <c r="A31658" t="inlineStr">
        <is>
          <t>Stuff 1</t>
        </is>
      </c>
      <c r="B31658">
        <f>HYPERLINK("https://www.dofusbook.net/fr/equipement/307826-stuff-1/objets", "link")</f>
        <v/>
      </c>
      <c r="C31658" t="n">
        <v>0</v>
      </c>
      <c r="D31658" t="inlineStr">
        <is>
          <t>Dagues Ricol; Amulette du Strigide; Chevalière du Roi Joueur; Anneau de Nidas; Ceinture de Gein; Chapeau de Gein; Voile d'encre; Pataugastrique; Dofus des Glaces; Dofus Turquoise; Temporiseur majeur; Étourdisseur majeur; Nomade; Remueur; Croum</t>
        </is>
      </c>
    </row>
    <row r="31659">
      <c r="A31659" t="inlineStr">
        <is>
          <t>Stuff 2</t>
        </is>
      </c>
      <c r="B31659">
        <f>HYPERLINK("https://www.dofusbook.net/fr/equipement/307789-stuff-2/objets", "link")</f>
        <v/>
      </c>
      <c r="C31659" t="n">
        <v>0</v>
      </c>
      <c r="D31659" t="inlineStr">
        <is>
          <t>Manthache; Amulette du Strigide; Anneau Crustique; Alliance Gloursonne; Menoture; Chapoulpe; Voile d'encre; Tentassons; Dofus des Glaces; Dofus Pourpre; Étourdisseur majeur; Remueur; Carapace Air majeur; Nomade; Dragodinde en armure</t>
        </is>
      </c>
    </row>
    <row r="31660">
      <c r="A31660" t="inlineStr">
        <is>
          <t>Stuff 2</t>
        </is>
      </c>
      <c r="B31660">
        <f>HYPERLINK("https://www.dofusbook.net/fr/equipement/307821-stuff-2/objets", "link")</f>
        <v/>
      </c>
      <c r="C31660" t="n">
        <v>0</v>
      </c>
      <c r="D31660" t="inlineStr">
        <is>
          <t>Sabres d'Atcham; Talisman Glouti; Alliance Gloursonne; Anneau Tique; Sangle Cible; Dorabysses; Cape d'Atcham; Sandales  d'Atcham; Dofus Pourpre; Dofus Émeraude; Dofus Turquoise; Dofus Cawotte; Dofus Ocre; Engourdisseur majeur; Dragodinde Prune et Emeraude</t>
        </is>
      </c>
    </row>
    <row r="31661">
      <c r="A31661" t="inlineStr">
        <is>
          <t>Stuff 3</t>
        </is>
      </c>
      <c r="B31661">
        <f>HYPERLINK("https://www.dofusbook.net/fr/equipement/307816-stuff-3/objets", "link")</f>
        <v/>
      </c>
      <c r="C31661" t="n">
        <v>0</v>
      </c>
      <c r="D31661" t="inlineStr">
        <is>
          <t>Marteau Phossile; Pendentif mignon de Koutoulou; Anneau Tique; Anneau Rifique; Ceinture de Vortex; Casque Cyclopéen; Cape d'Atcham; Sabots de Vortex; Dofus Pourpre; Dofus Ocre; Dofus Abyssal; Dofus des Glaces; Dofus Vulbis; Dofus Turquoise; Dragodinde en armure</t>
        </is>
      </c>
    </row>
    <row r="31662">
      <c r="A31662" t="inlineStr">
        <is>
          <t>Stuff 2</t>
        </is>
      </c>
      <c r="B31662">
        <f>HYPERLINK("https://www.dofusbook.net/fr/equipement/307784-stuff-2/objets", "link")</f>
        <v/>
      </c>
      <c r="C31662" t="n">
        <v>0</v>
      </c>
      <c r="D31662" t="inlineStr">
        <is>
          <t>Sabres d'Atcham; Amulette du Strigide; Anneau Tique; Anneau de Padgref; Bouclier du Captain Amakna; Ceinture du Strigide; Némès de Tal Kasha; Chevelure de Tal Kasha; Pataugastrique; Dolmanax; Dofus Ocre; Dofus Pourpre; Dofus Turquoise; Dofus des Glaces; Puissant majeur; Muldo Prune et Emeraude</t>
        </is>
      </c>
    </row>
    <row r="31663">
      <c r="A31663" t="inlineStr">
        <is>
          <t>Stuff 1</t>
        </is>
      </c>
      <c r="B31663">
        <f>HYPERLINK("https://www.dofusbook.net/fr/equipement/307811-stuff-1/objets", "link")</f>
        <v/>
      </c>
      <c r="C31663" t="n">
        <v>0</v>
      </c>
      <c r="D31663" t="inlineStr">
        <is>
          <t>Dagues Érhy; Amulette de Gein; Bague Gloursonne; Chevalière du Roi Joueur; Ceintacé; Voile d'encre; Bottes du Roi Joueur; Dofus des Glaces; Dofus Pourpre; Dolmanax; Nomade; Vigoureux majeur; Remueur; Dragodinde en armure</t>
        </is>
      </c>
    </row>
    <row r="31664">
      <c r="A31664" t="inlineStr">
        <is>
          <t>Stuff 1</t>
        </is>
      </c>
      <c r="B31664">
        <f>HYPERLINK("https://www.dofusbook.net/fr/equipement/307846-stuff-1/objets", "link")</f>
        <v/>
      </c>
      <c r="C31664" t="n">
        <v>0</v>
      </c>
      <c r="D31664" t="inlineStr">
        <is>
          <t>Dagues Açantes; Amulette du Glourséleste; Pikano; Alliance Gloursonne; Le Karde Cœur; Ceinture Glaciale; Casquipik; Cape Matelassée; Pantoufles Émar; Entraveur; Temporiseur majeur; Remueur; Temporiseur; Observateur; Entraveur majeur; Muldo Indigo et Pourpre</t>
        </is>
      </c>
    </row>
    <row r="31665">
      <c r="A31665" t="inlineStr">
        <is>
          <t>Stuff 1</t>
        </is>
      </c>
      <c r="B31665">
        <f>HYPERLINK("https://www.dofusbook.net/fr/equipement/307806-stuff-1/objets", "link")</f>
        <v/>
      </c>
      <c r="C31665" t="n">
        <v>0</v>
      </c>
      <c r="D31665" t="inlineStr">
        <is>
          <t>Dagues de Srambad; Talisman Songe; Anneau Chevelu; Alliance Gloursonne; Ceinture de la Reine des Voleurs; Kidibonnet; Voile d'encre; Bottes de la Reine des Voleurs; Dofus des Glaces; Obstructeur majeur; Nomade; Étourdisseur majeur; Temporiseur majeur; Remueur; Dragodinde en armure</t>
        </is>
      </c>
    </row>
    <row r="31666">
      <c r="A31666" t="inlineStr">
        <is>
          <t>Stuff 2</t>
        </is>
      </c>
      <c r="B31666">
        <f>HYPERLINK("https://www.dofusbook.net/fr/equipement/307841-stuff-2/objets", "link")</f>
        <v/>
      </c>
      <c r="C31666" t="n">
        <v>0</v>
      </c>
      <c r="D31666" t="inlineStr">
        <is>
          <t>Hache du Chalœil; Amulette du Strigide; Alliance Gloursonne; Chevalière du Roi Joueur; Ceinture du Strigide; Casque du Chalœil; Voile d'encre; Pataugastrique; Dofus Turquoise; Dofus Pourpre; Dofus des Glaces; Nomade; Remueur; Carapace Eau majeur; Dragodinde en armure</t>
        </is>
      </c>
    </row>
    <row r="31667">
      <c r="A31667" t="inlineStr">
        <is>
          <t>Stuff 2</t>
        </is>
      </c>
      <c r="B31667">
        <f>HYPERLINK("https://www.dofusbook.net/fr/equipement/307801-stuff-2/objets", "link")</f>
        <v/>
      </c>
      <c r="C31667" t="n">
        <v>3</v>
      </c>
      <c r="D31667" t="inlineStr">
        <is>
          <t>Baguette de Malléfisk; Amulette Séculaire; Anneau Tique; Anneau de Nidas; Ceinture Séculaire; Casque Dragoeuf; Capchalot; Bottes d'Otomaï; Évasif majeur; Remueur; Déserteur majeur; Érudit majeur; Temporiseur majeur; Nomade; Croum</t>
        </is>
      </c>
    </row>
    <row r="31668">
      <c r="A31668" t="inlineStr">
        <is>
          <t>Stuff 3</t>
        </is>
      </c>
      <c r="B31668">
        <f>HYPERLINK("https://www.dofusbook.net/fr/equipement/307833-stuff-3/objets", "link")</f>
        <v/>
      </c>
      <c r="C31668" t="n">
        <v>0</v>
      </c>
      <c r="D31668" t="inlineStr">
        <is>
          <t>Bêche Asse; Collier de Tourthon; Bague Gloursonne; Anneau Chevelu; Ceinture de la Cour Sombre; Masque de Koutoulou; Voile d'encre; Bottes de la Cour Sombre; Enragé majeur; Remueur; Déserteur majeur; Nomade; Croum</t>
        </is>
      </c>
    </row>
    <row r="31669">
      <c r="A31669" t="inlineStr">
        <is>
          <t>Stuff 2</t>
        </is>
      </c>
      <c r="B31669">
        <f>HYPERLINK("https://www.dofusbook.net/fr/equipement/307841-stuff-2/objets", "link")</f>
        <v/>
      </c>
      <c r="C31669" t="n">
        <v>0</v>
      </c>
      <c r="D31669" t="inlineStr">
        <is>
          <t>Hache du Chalœil; Amulette du Strigide; Chevalière du Roi Joueur; Alliance Gloursonne; Ceinture du Strigide; Casque du Chalœil; Voile d'encre; Pataugastrique; Dofus Pourpre; Dofus des Glaces; Dofus Turquoise; Remueur; Carapace Eau majeur; Nomade; Dragodinde en armure</t>
        </is>
      </c>
    </row>
    <row r="31670">
      <c r="A31670" t="inlineStr">
        <is>
          <t>Stuff 1</t>
        </is>
      </c>
      <c r="B31670">
        <f>HYPERLINK("https://www.dofusbook.net/fr/equipement/307806-stuff-1/objets", "link")</f>
        <v/>
      </c>
      <c r="C31670" t="n">
        <v>0</v>
      </c>
      <c r="D31670" t="inlineStr">
        <is>
          <t>Dagues de Srambad; Talisman Songe; Anneau Chevelu; Alliance Gloursonne; Ceinture de la Reine des Voleurs; Kidibonnet; Voile d'encre; Bottes de la Reine des Voleurs; Dofus des Glaces; Étourdisseur majeur; Temporiseur majeur; Remueur; Obstructeur majeur; Nomade; Dragodinde en armure</t>
        </is>
      </c>
    </row>
    <row r="31671">
      <c r="A31671" t="inlineStr">
        <is>
          <t>Stuff 3</t>
        </is>
      </c>
      <c r="B31671">
        <f>HYPERLINK("https://www.dofusbook.net/fr/equipement/307833-stuff-3/objets", "link")</f>
        <v/>
      </c>
      <c r="C31671" t="n">
        <v>0</v>
      </c>
      <c r="D31671" t="inlineStr">
        <is>
          <t>Bêche Asse; Collier de Tourthon; Bague Gloursonne; Anneau Chevelu; Ceinture de la Cour Sombre; Masque de Koutoulou; Voile d'encre; Bottes de la Cour Sombre; Enragé majeur; Remueur; Déserteur majeur; Nomade; Croum</t>
        </is>
      </c>
    </row>
    <row r="31672">
      <c r="A31672" t="inlineStr">
        <is>
          <t>Stuff 2</t>
        </is>
      </c>
      <c r="B31672">
        <f>HYPERLINK("https://www.dofusbook.net/fr/equipement/307801-stuff-2/objets", "link")</f>
        <v/>
      </c>
      <c r="C31672" t="n">
        <v>3</v>
      </c>
      <c r="D31672" t="inlineStr">
        <is>
          <t>Baguette de Malléfisk; Amulette Séculaire; Anneau de Nidas; Anneau Tique; Ceinture Séculaire; Casque Dragoeuf; Capchalot; Bottes d'Otomaï; Déserteur majeur; Érudit majeur; Temporiseur majeur; Nomade; Évasif majeur; Remueur; Croum</t>
        </is>
      </c>
    </row>
    <row r="31673">
      <c r="A31673" t="inlineStr">
        <is>
          <t>Stuff 3</t>
        </is>
      </c>
      <c r="B31673">
        <f>HYPERLINK("https://www.dofusbook.net/fr/equipement/307796-stuff-3/objets", "link")</f>
        <v/>
      </c>
      <c r="C31673" t="n">
        <v>0</v>
      </c>
      <c r="D31673" t="inlineStr">
        <is>
          <t>Arc Hétype; Pendentif affamé; Chevalière du Roi Joueur; Anneau Tique; Ceinture de Vortex; Casque Dragoeuf; Cape de Diondin; Sabots de Vortex; Érudit majeur; Remueur; Miraculé majeur; Étourdisseur majeur; Carapace Neutre majeur; Muldo Ebène et Pourpre</t>
        </is>
      </c>
    </row>
    <row r="31674">
      <c r="A31674" t="inlineStr">
        <is>
          <t>Stuff 3</t>
        </is>
      </c>
      <c r="B31674">
        <f>HYPERLINK("https://www.dofusbook.net/fr/equipement/307828-stuff-3/objets", "link")</f>
        <v/>
      </c>
      <c r="C31674" t="n">
        <v>0</v>
      </c>
      <c r="D31674" t="inlineStr">
        <is>
          <t>Dagues Érhy; Amulette du Strigide; Bague Gloursonne; Anneau Chevelu; Ceinture de Gein; Chapeau de Gein; Voile d'encre; Pataugastrique; Dofus des Glaces; Dofus Pourpre; Dofus Turquoise; Nomade; Remueur; Vigoureux majeur; Dragodinde en armure</t>
        </is>
      </c>
    </row>
    <row r="31675">
      <c r="A31675" t="inlineStr">
        <is>
          <t>Stuff 1</t>
        </is>
      </c>
      <c r="B31675">
        <f>HYPERLINK("https://www.dofusbook.net/fr/equipement/307791-stuff-1/objets", "link")</f>
        <v/>
      </c>
      <c r="C31675" t="n">
        <v>0</v>
      </c>
      <c r="D31675" t="inlineStr">
        <is>
          <t>Bêche Asse; Amulette du Strigide; Anneau Crustique; Anneau Crustique; Ceintouse; Masque de Koutoulou; Cape au Logis; Tentassons; Dofus des Glaces; Enragé majeur; Obstructeur majeur; Remueur; Carapace Terre majeur; Étourdisseur majeur; Croum</t>
        </is>
      </c>
    </row>
    <row r="31676">
      <c r="A31676" t="inlineStr">
        <is>
          <t>Stuff 1</t>
        </is>
      </c>
      <c r="B31676">
        <f>HYPERLINK("https://www.dofusbook.net/fr/equipement/307823-stuff-1/objets", "link")</f>
        <v/>
      </c>
      <c r="C31676" t="n">
        <v>0</v>
      </c>
      <c r="D31676" t="inlineStr">
        <is>
          <t>Sabres d'Atcham; Collier de la Dame du Hasard; Alliance Gloursonne; Anneau Tique; Ceinture de Vortex; Cagoule de Vortex; Cape de la Dame du Hasard; Bottes de la Dame du Hasard; Dofus des Glaces; Dofus Turquoise; Dofus Pourpre; Dofus Ocre; Dofus Vulbis; Engourdisseur majeur; Croum</t>
        </is>
      </c>
    </row>
    <row r="31677">
      <c r="A31677" t="inlineStr">
        <is>
          <t>Stuff 1</t>
        </is>
      </c>
      <c r="B31677">
        <f>HYPERLINK("https://www.dofusbook.net/fr/equipement/307786-stuff-1/objets", "link")</f>
        <v/>
      </c>
      <c r="C31677" t="n">
        <v>0</v>
      </c>
      <c r="D31677" t="inlineStr">
        <is>
          <t>Manthache; Collier du Valet Veinard; Anneau des égarés; Alliance Gloursonne; Menoture; Casque Dragoeuf; Cape du Valet Veinard; Palmes Trithons; Dofus Pourpre; Étourdisseur majeur; Évasif majeur; Remueur; Carapace Air majeur; Cascadeur majeur; Muldo Ebène et Pourpre</t>
        </is>
      </c>
    </row>
    <row r="31678">
      <c r="A31678" t="inlineStr">
        <is>
          <t>Stuff 2</t>
        </is>
      </c>
      <c r="B31678">
        <f>HYPERLINK("https://www.dofusbook.net/fr/equipement/307818-stuff-2/objets", "link")</f>
        <v/>
      </c>
      <c r="C31678" t="n">
        <v>0</v>
      </c>
      <c r="D31678" t="inlineStr">
        <is>
          <t>Rapière aux Glyphes; Amulette du Strigide; Alliance Gloursonne; Bracelet des Fonds marins; Ceinture du Strigide; Kidibonnet; Cape de la Dame du Hasard; Pataugastrique; Dofus Turquoise; Dofus Pourpre; Dofus des Glaces; Chanceux majeur; Nomade; Dehluge</t>
        </is>
      </c>
    </row>
    <row r="31679">
      <c r="A31679" t="inlineStr">
        <is>
          <t>Stuff 3</t>
        </is>
      </c>
      <c r="B31679">
        <f>HYPERLINK("https://www.dofusbook.net/fr/equipement/307848-stuff-3/objets", "link")</f>
        <v/>
      </c>
      <c r="C31679" t="n">
        <v>0</v>
      </c>
      <c r="D31679" t="inlineStr">
        <is>
          <t>Dagues Açantes; Amulette de Shokkoth; Alliance Gloursonne; Pikano; Ceinture Glaciale; Casquipik; Cape Matelassée; Bottes du Sinistrofu; Chanceux majeur; Temporiseur; Remueur; Entraveur majeur; Entraveur; Temporiseur majeur; Dragodinde Prune et Emeraude</t>
        </is>
      </c>
    </row>
    <row r="31680">
      <c r="A31680" t="inlineStr">
        <is>
          <t>Stuff 2</t>
        </is>
      </c>
      <c r="B31680">
        <f>HYPERLINK("https://www.dofusbook.net/fr/equipement/307781-stuff-2/objets", "link")</f>
        <v/>
      </c>
      <c r="C31680" t="n">
        <v>0</v>
      </c>
      <c r="D31680" t="inlineStr">
        <is>
          <t>Pelle de la Cour Sombre; Amulette Ementaire Deluxe; Alliance Gloursonne; Anneau des égarés; Ceinture Rasboulaire du Rasboul; Coiffe de la Reine des Voleurs; Voile d'encre; Bottes de la Reine des Voleurs; Dofus des Glaces; Nomade; Remueur; Carapace Air majeur; Croum</t>
        </is>
      </c>
    </row>
    <row r="31681">
      <c r="A31681" t="inlineStr">
        <is>
          <t>Stuff 3</t>
        </is>
      </c>
      <c r="B31681">
        <f>HYPERLINK("https://www.dofusbook.net/fr/equipement/307813-stuff-3/objets", "link")</f>
        <v/>
      </c>
      <c r="C31681" t="n">
        <v>0</v>
      </c>
      <c r="D31681" t="inlineStr">
        <is>
          <t>Manthache; Collier du Valet Veinard; Anneau des égarés; Alliance Gloursonne; Menoture; Casque Dragoeuf; Cape du Valet Veinard; Palmes Trithons; Dofus Pourpre; Évasif majeur; Nomade; Remueur; Carapace Air majeur; Cascadeur majeur; Dragodinde en armure</t>
        </is>
      </c>
    </row>
    <row r="31682">
      <c r="A31682" t="inlineStr">
        <is>
          <t>Stuff 1</t>
        </is>
      </c>
      <c r="B31682">
        <f>HYPERLINK("https://www.dofusbook.net/fr/equipement/307843-stuff-1/objets", "link")</f>
        <v/>
      </c>
      <c r="C31682" t="n">
        <v>0</v>
      </c>
      <c r="D31682" t="inlineStr">
        <is>
          <t>Hache du Chalœil; Amulette du Strigide; Alliance Gloursonne; Chevalière du Roi Joueur; Ceinture du Strigide; Kidibonnet; Voile d'encre; Bottes Trithon; Dofus Pourpre; Dofus des Glaces; Dofus Turquoise; Vigoureux majeur; Nomade; Remueur; Croum</t>
        </is>
      </c>
    </row>
    <row r="31683">
      <c r="A31683" t="inlineStr">
        <is>
          <t>Stuff 3</t>
        </is>
      </c>
      <c r="B31683">
        <f>HYPERLINK("https://www.dofusbook.net/fr/equipement/307808-stuff-3/objets", "link")</f>
        <v/>
      </c>
      <c r="C31683" t="n">
        <v>0</v>
      </c>
      <c r="D31683" t="inlineStr">
        <is>
          <t>Arc Nécrotique; Talisman Igans; Anneau Tique; Alliance Gloursonne; Ceinture de Vortex; Kidibonnet; Cape d'Atcham; Sandales  d'Atcham; Dofus Turquoise; Dofus des Glaces; Dofus Pourpre; Nomade; Étourdisseur majeur; Remueur; Dragodinde en armure</t>
        </is>
      </c>
    </row>
    <row r="31684">
      <c r="A31684" t="inlineStr">
        <is>
          <t>Stuff 2</t>
        </is>
      </c>
      <c r="B31684">
        <f>HYPERLINK("https://www.dofusbook.net/fr/equipement/307835-stuff-2/objets", "link")</f>
        <v/>
      </c>
      <c r="C31684" t="n">
        <v>0</v>
      </c>
      <c r="D31684" t="inlineStr">
        <is>
          <t>Rapière aux Glyphes; Amulette de Shokkoth; Alliance Gloursonne; Bracelet des Fonds marins; Bouclier du Stalak; Poulpagne; Kidibonnet; Cape du Sinistrofu; Sandales des Fonds marins; Dofus Pourpre; Carapace Feu majeur; Chanceux majeur; Nomade; Vigoureux majeur; Carapace Eau majeur; Muldo Ebène et Indigo</t>
        </is>
      </c>
    </row>
    <row r="31685">
      <c r="A31685" t="inlineStr">
        <is>
          <t>Stuff 1</t>
        </is>
      </c>
      <c r="B31685">
        <f>HYPERLINK("https://www.dofusbook.net/fr/equipement/307803-stuff-1/objets", "link")</f>
        <v/>
      </c>
      <c r="C31685" t="n">
        <v>0</v>
      </c>
      <c r="D31685" t="inlineStr">
        <is>
          <t>Dagues Érhy; Pendentif affamé; Bague Gloursonne; Anneau de Padgref; Ceinture Séculaire; Coiffe de Padgref; Cape de Diondin; Pataugastrique; Dofus Turquoise; Dofus Pourpre; Érudit majeur; Remueur; Guérisseur majeur; Nomade; Brûlih</t>
        </is>
      </c>
    </row>
    <row r="31686">
      <c r="A31686" t="inlineStr">
        <is>
          <t>Stuff 2</t>
        </is>
      </c>
      <c r="B31686">
        <f>HYPERLINK("https://www.dofusbook.net/fr/equipement/307798-stuff-2/objets", "link")</f>
        <v/>
      </c>
      <c r="C31686" t="n">
        <v>0</v>
      </c>
      <c r="D31686" t="inlineStr">
        <is>
          <t>Arc de Koutoulou; Collier du Valet Veinard; Gant du Valet Veinard; Alliance Gloursonne; Ceinture de la Reine des Voleurs; Coiffe de la Reine des Voleurs; Cape du Valet Veinard; Bottes de la Reine des Voleurs; Dofus des Glaces; Dolmanax; Dofus Pourpre; Dofus Ocre; Féroce majeur; Robuste majeur; Croum</t>
        </is>
      </c>
    </row>
    <row r="31687">
      <c r="A31687" t="inlineStr">
        <is>
          <t>Stuff 2</t>
        </is>
      </c>
      <c r="B31687">
        <f>HYPERLINK("https://www.dofusbook.net/fr/equipement/307830-stuff-2/objets", "link")</f>
        <v/>
      </c>
      <c r="C31687" t="n">
        <v>1</v>
      </c>
      <c r="D31687" t="inlineStr">
        <is>
          <t>Sceptre du Roi Joueur; Amulette du Sinistrofu; Bracelet des Fonds marins; Alliance Gloursonne; Ceinture Glaciale; Kidibonnet; Cape d'Atcham; Sandales des Fonds marins; Dofus des Glaces; Nomade; Carapace Eau majeur; Étourdisseur majeur; Carapace Air majeur; Remueur; Croum</t>
        </is>
      </c>
    </row>
    <row r="31688">
      <c r="A31688" t="inlineStr">
        <is>
          <t>Stuff 3</t>
        </is>
      </c>
      <c r="B31688">
        <f>HYPERLINK("https://www.dofusbook.net/fr/equipement/307793-stuff-3/objets", "link")</f>
        <v/>
      </c>
      <c r="C31688" t="n">
        <v>0</v>
      </c>
      <c r="D31688" t="inlineStr">
        <is>
          <t>Pelle de la Cour Sombre; Amulette de l'Indicible; Alliance Gloursonne; Anneau de Pol Ouatnos; Menoture; Chapoulpe; Cape Matelassée; Tentassons; Croum</t>
        </is>
      </c>
    </row>
    <row r="31689">
      <c r="A31689" t="inlineStr">
        <is>
          <t>Stuff 2</t>
        </is>
      </c>
      <c r="B31689">
        <f>HYPERLINK("https://www.dofusbook.net/fr/equipement/307827-stuff-2/objets", "link")</f>
        <v/>
      </c>
      <c r="C31689" t="n">
        <v>0</v>
      </c>
      <c r="D31689" t="inlineStr">
        <is>
          <t>Sabres d'Atcham; Amulette Voldelor; Alliance Gloursonne; Anneau Tique; Ceinture du Barbétoal; Cagoule de Vortex; Cape Matelassée; Sandales  d'Atcham; Dofus Turquoise; Dofus des Glaces; Temporiseur majeur; Nomade; Carapace Neutre majeur; Remueur; Croum</t>
        </is>
      </c>
    </row>
    <row r="31690">
      <c r="A31690" t="inlineStr">
        <is>
          <t>Stuff 3</t>
        </is>
      </c>
      <c r="B31690">
        <f>HYPERLINK("https://www.dofusbook.net/fr/equipement/307790-stuff-3/objets", "link")</f>
        <v/>
      </c>
      <c r="C31690" t="n">
        <v>0</v>
      </c>
      <c r="D31690" t="inlineStr">
        <is>
          <t>Sabres d'Atcham; Amulette du Strigide; Anneau Tique; Alliance Gloursonne; Menoture; Kidibonnet; Cape d'Atcham; Bottes de Meno; Dofus des Glaces; Dofus Turquoise; Obstructeur majeur; Nomade; Carapace Feu majeur; Étourdisseur majeur; Croum</t>
        </is>
      </c>
    </row>
    <row r="31691">
      <c r="A31691" t="inlineStr">
        <is>
          <t>Stuff 3</t>
        </is>
      </c>
      <c r="B31691">
        <f>HYPERLINK("https://www.dofusbook.net/fr/equipement/307822-stuff-3/objets", "link")</f>
        <v/>
      </c>
      <c r="C31691" t="n">
        <v>0</v>
      </c>
      <c r="D31691" t="inlineStr">
        <is>
          <t>Baguette Range; Amulette du Strigide; Anneau de Padgref; Bague Gloursonne; Ceinture du Strigide; Coiffe de Padgref; Cape d'Atcham; Getas de Padgref; Dolmanax; Dofus Pourpre; Dofus des Glaces; Dofus Ocre; Dofus Turquoise; Astucieux majeur; Muldo Emeraude</t>
        </is>
      </c>
    </row>
    <row r="31692">
      <c r="A31692" t="inlineStr">
        <is>
          <t>Stuff 3</t>
        </is>
      </c>
      <c r="B31692">
        <f>HYPERLINK("https://www.dofusbook.net/fr/equipement/307785-stuff-3/objets", "link")</f>
        <v/>
      </c>
      <c r="C31692" t="n">
        <v>0</v>
      </c>
      <c r="D31692" t="inlineStr">
        <is>
          <t>Héqache; Amulette du Strigide; Anneau Crustique; Alliance Gloursonne; Menoture; Casque Dragoeuf; Voile d'encre; Bottes du Strigide; Dofus des Glaces; Dofus Turquoise; Vigoureux majeur; Remueur; Cascadeur majeur; Étourdisseur majeur; Muldo Ebène et Pourpre</t>
        </is>
      </c>
    </row>
    <row r="31693">
      <c r="A31693" t="inlineStr">
        <is>
          <t>Stuff 1</t>
        </is>
      </c>
      <c r="B31693">
        <f>HYPERLINK("https://www.dofusbook.net/fr/equipement/307817-stuff-1/objets", "link")</f>
        <v/>
      </c>
      <c r="C31693" t="n">
        <v>0</v>
      </c>
      <c r="D31693" t="inlineStr">
        <is>
          <t>Arc Hétype; Pendentif affamé; Bague Gloursonne; Anneau Tique; Ceinture de Vortex; Casque Dragoeuf; Cape de Diondin; Sabots de Vortex; Dofus Émeraude; Remueur; Bloqueur majeur; Érudit majeur; Obstructeur majeur; Miraculé majeur; Muldo Orchidée et Pourpre</t>
        </is>
      </c>
    </row>
    <row r="31694">
      <c r="A31694" t="inlineStr">
        <is>
          <t>Stuff 2</t>
        </is>
      </c>
      <c r="B31694">
        <f>HYPERLINK("https://www.dofusbook.net/fr/equipement/307847-stuff-2/objets", "link")</f>
        <v/>
      </c>
      <c r="C31694" t="n">
        <v>0</v>
      </c>
      <c r="D31694" t="inlineStr">
        <is>
          <t>Dagues Érhy; Amulette Luminescente; Alliance du Lévitrof; Bague Gloursonne; Ceinture Luminescente; Coiffe du Lévitrof; Cape Luminescente; Bottes du Lévitrof; Dolmanax; Dofus Pourpre; Dofus Ocre; Ralentisseur majeur; Puissant majeur; Entraveur majeur; Dragodinde Prune et Emeraude</t>
        </is>
      </c>
    </row>
    <row r="31695">
      <c r="A31695" t="inlineStr">
        <is>
          <t>Stuff 1</t>
        </is>
      </c>
      <c r="B31695">
        <f>HYPERLINK("https://www.dofusbook.net/fr/equipement/307780-stuff-1/objets", "link")</f>
        <v/>
      </c>
      <c r="C31695" t="n">
        <v>0</v>
      </c>
      <c r="D31695" t="inlineStr">
        <is>
          <t>Dagues de Srambad; Amulette Ementaire Deluxe; Alliance Gloursonne; Pikano; Ceinture de la Reine des Voleurs; Kidibonnet; Voile d'encre; Bottes de la Reine des Voleurs; Dofus des Glaces; Étourdisseur majeur; Remueur; Obstructeur majeur; Nomade; Miraculé majeur; Croum</t>
        </is>
      </c>
    </row>
    <row r="31696">
      <c r="A31696" t="inlineStr">
        <is>
          <t>Stuff 2</t>
        </is>
      </c>
      <c r="B31696">
        <f>HYPERLINK("https://www.dofusbook.net/fr/equipement/307812-stuff-2/objets", "link")</f>
        <v/>
      </c>
      <c r="C31696" t="n">
        <v>0</v>
      </c>
      <c r="D31696" t="inlineStr">
        <is>
          <t>Sabres d'Atcham; Talisman Glouti; Anneau Tique; Alliance Gloursonne; Ceinture du Strigide; Dorabysses; Cape d'Atcham; Sandales  d'Atcham; Dolmanax; Dofus Pourpre; Dofus Ocre; Dofus des Glaces; Dofus Turquoise; Dragodinde Amande et Emeraude</t>
        </is>
      </c>
    </row>
    <row r="31697">
      <c r="A31697" t="inlineStr">
        <is>
          <t>Stuff 2</t>
        </is>
      </c>
      <c r="B31697">
        <f>HYPERLINK("https://www.dofusbook.net/fr/equipement/307807-stuff-2/objets", "link")</f>
        <v/>
      </c>
      <c r="C31697" t="n">
        <v>0</v>
      </c>
      <c r="D31697" t="inlineStr">
        <is>
          <t>Dagues Érhy; Amulette du Strigide; Anneau Chevelu; Chevalière du Roi Joueur; Ceinture de la Cour Sombre; Chapeau de Gein; Cape de la Cour Sombre; Pataugastrique; Dofus Turquoise; Dofus des Glaces; Nomade; Carapace Terre majeur; Étourdisseur majeur; Remueur; Croum</t>
        </is>
      </c>
    </row>
    <row r="31698">
      <c r="A31698" t="inlineStr">
        <is>
          <t>Stuff 1</t>
        </is>
      </c>
      <c r="B31698">
        <f>HYPERLINK("https://www.dofusbook.net/fr/equipement/307842-stuff-1/objets", "link")</f>
        <v/>
      </c>
      <c r="C31698" t="n">
        <v>1</v>
      </c>
      <c r="D31698" t="inlineStr">
        <is>
          <t>Dagues Lassay; Collier du Valet Veinard; Anneau d'Allister; Gant du Valet Veinard; Ceinture du Nocturlabe; Couronne d'Allister; Cape du Valet Veinard; Bottes d'Allister; Dofus des Glaces; Dofus Ocre; Dofus Pourpre; Ravageur Air majeur; Equilibriste majeur; Saccageur Air majeur; Siroko</t>
        </is>
      </c>
    </row>
    <row r="31699">
      <c r="A31699" t="inlineStr">
        <is>
          <t>Stuff 3</t>
        </is>
      </c>
      <c r="B31699">
        <f>HYPERLINK("https://www.dofusbook.net/fr/equipement/307802-stuff-3/objets", "link")</f>
        <v/>
      </c>
      <c r="C31699" t="n">
        <v>1</v>
      </c>
      <c r="D31699" t="inlineStr">
        <is>
          <t>Rapière aux Glyphes; Amulette de Shokkoth; Alliance Gloursonne; Bracelet des Fonds marins; Sangle Ouare; Casque Dragoeuf; Cape du Sinistrofu; Sandales des Fonds marins; Dofus Ocre; Dofus Pourpre; Chanceux majeur; Remueur; Carapace Eau majeur; Carapace Feu majeur; Dragodinde en armure</t>
        </is>
      </c>
    </row>
    <row r="31700">
      <c r="A31700" t="inlineStr">
        <is>
          <t>Stuff 1</t>
        </is>
      </c>
      <c r="B31700">
        <f>HYPERLINK("https://www.dofusbook.net/fr/equipement/307834-stuff-1/objets", "link")</f>
        <v/>
      </c>
      <c r="C31700" t="n">
        <v>0</v>
      </c>
      <c r="D31700" t="inlineStr">
        <is>
          <t>Manthache; Collier du Valet Veinard; Alliance Gloursonne; Gant du Valet Veinard; Menoture; Couronne d'Allister; Cape Indescriptible; Palmes Trithons; Dofus Pourpre; Vigoureux majeur; Cascadeur majeur; Robuste majeur; Nomade; Remueur; Siroko</t>
        </is>
      </c>
    </row>
    <row r="31701">
      <c r="A31701" t="inlineStr">
        <is>
          <t>Stuff 1</t>
        </is>
      </c>
      <c r="B31701">
        <f>HYPERLINK("https://www.dofusbook.net/fr/equipement/307797-stuff-1/objets", "link")</f>
        <v/>
      </c>
      <c r="C31701" t="n">
        <v>0</v>
      </c>
      <c r="D31701" t="inlineStr">
        <is>
          <t>Manthache; Collier du Valet Veinard; Gant du Valet Veinard; Alliance Gloursonne; Menoture; Couronne d'Allister; Cape Indescriptible; Palmes Trithons; Dofus des Glaces; Nomade; Saccageur Air majeur; Remueur; Dévastateur Air majeur; Cascadeur majeur; Siroko</t>
        </is>
      </c>
    </row>
    <row r="31702">
      <c r="A31702" t="inlineStr">
        <is>
          <t>Stuff 1</t>
        </is>
      </c>
      <c r="B31702">
        <f>HYPERLINK("https://www.dofusbook.net/fr/equipement/307829-stuff-1/objets", "link")</f>
        <v/>
      </c>
      <c r="C31702" t="n">
        <v>0</v>
      </c>
      <c r="D31702" t="inlineStr">
        <is>
          <t>Sabres d'Atcham; Amulette du Strigide; Anneau Tique; Alliance Gloursonne; Ceinture du Strigide; Chapeau des Malveilleurs; Voile d'encre; Pataugastrique; Dofus Pourpre; Dofus des Glaces; Dofus Turquoise; Étourdisseur majeur; Remueur; Nomade; Dragodinde en armure</t>
        </is>
      </c>
    </row>
    <row r="31703">
      <c r="A31703" t="inlineStr">
        <is>
          <t>Stuff 2</t>
        </is>
      </c>
      <c r="B31703">
        <f>HYPERLINK("https://www.dofusbook.net/fr/equipement/307792-stuff-2/objets", "link")</f>
        <v/>
      </c>
      <c r="C31703" t="n">
        <v>0</v>
      </c>
      <c r="D31703" t="inlineStr">
        <is>
          <t>Epée Gloursonne; Amulette Ikête; Bague Gloursonne; Anneau du Père Fwetar; Ceinture de la Reine des Voleurs; Coiffe de la Reine des Voleurs; Cape Parition; Bottes du Père Fwetar</t>
        </is>
      </c>
    </row>
    <row r="31704">
      <c r="A31704" t="inlineStr">
        <is>
          <t>Stuff 2</t>
        </is>
      </c>
      <c r="B31704">
        <f>HYPERLINK("https://www.dofusbook.net/fr/equipement/307824-stuff-2/objets", "link")</f>
        <v/>
      </c>
      <c r="C31704" t="n">
        <v>0</v>
      </c>
      <c r="D31704" t="inlineStr">
        <is>
          <t>Sabres d'Atcham; Amulette Voldelor; Alliance Gloursonne; Anneau Tique; Sangle Ouare; Chapeau des Malveilleurs; Cape Matelassée; Sandales  d'Atcham; Dofus Turquoise; Dofus Pourpre; Dofus des Glaces; Remueur; Étourdisseur majeur; Obstructeur majeur; Croum</t>
        </is>
      </c>
    </row>
    <row r="31705">
      <c r="A31705" t="inlineStr">
        <is>
          <t>Stuff 2</t>
        </is>
      </c>
      <c r="B31705">
        <f>HYPERLINK("https://www.dofusbook.net/fr/equipement/307787-stuff-2/objets", "link")</f>
        <v/>
      </c>
      <c r="C31705" t="n">
        <v>0</v>
      </c>
      <c r="D31705" t="inlineStr">
        <is>
          <t>Dagues Érhy; Amulette du Strigide; Bague Gloursonne; Anneau Chevelu; Ceintacé; Casque Dragoeuf; Voile d'encre; Bottes du Strigide; Dofus Pourpre; Dofus Turquoise; Étourdisseur majeur; Cascadeur majeur; Remueur; Vigoureux majeur; Muldo Orchidée et Pourpre</t>
        </is>
      </c>
    </row>
    <row r="31706">
      <c r="A31706" t="inlineStr">
        <is>
          <t>Stuff 3</t>
        </is>
      </c>
      <c r="B31706">
        <f>HYPERLINK("https://www.dofusbook.net/fr/equipement/307819-stuff-3/objets", "link")</f>
        <v/>
      </c>
      <c r="C31706" t="n">
        <v>0</v>
      </c>
      <c r="D31706" t="inlineStr">
        <is>
          <t>Arc Hétype; Amulette du Strigide; Chevalière du Roi Joueur; Anneau de Nidas; Ceinture de Gein; Chapeau de Gein; Voile d'encre; Pataugastrique; Dofus des Glaces; Dofus Turquoise; Nomade; Remueur; Croum</t>
        </is>
      </c>
    </row>
    <row r="31707">
      <c r="A31707" t="inlineStr">
        <is>
          <t>Stuff 1</t>
        </is>
      </c>
      <c r="B31707">
        <f>HYPERLINK("https://www.dofusbook.net/fr/equipement/307849-stuff-1/objets", "link")</f>
        <v/>
      </c>
      <c r="C31707" t="n">
        <v>0</v>
      </c>
      <c r="D31707" t="inlineStr">
        <is>
          <t>Manthache; Collier du Valet Veinard; Gant du Valet Veinard; Alliance Gloursonne; Menoture; Couronne d'Allister; Cape Indescriptible; Palmes Trithons; Dofus Pourpre; Nomade; Remueur; Vigoureux majeur; Cascadeur majeur; Robuste majeur; Siroko</t>
        </is>
      </c>
    </row>
    <row r="31708">
      <c r="A31708" t="inlineStr">
        <is>
          <t>Stuff 3</t>
        </is>
      </c>
      <c r="B31708">
        <f>HYPERLINK("https://www.dofusbook.net/fr/equipement/307782-stuff-3/objets", "link")</f>
        <v/>
      </c>
      <c r="C31708" t="n">
        <v>0</v>
      </c>
      <c r="D31708" t="inlineStr">
        <is>
          <t>Héqache; Amulette Ementaire Deluxe; Alliance Gloursonne; Anneau des égarés; Menoture; Casque des égarés; Voile d'encre; Baleinabottes; Dofus des Glaces; Dofus Pourpre; Vigoureux majeur; Étourdisseur majeur; Remueur; Nomade; Dragodinde en armure</t>
        </is>
      </c>
    </row>
    <row r="31709">
      <c r="A31709" t="inlineStr">
        <is>
          <t>Stuff 2</t>
        </is>
      </c>
      <c r="B31709">
        <f>HYPERLINK("https://www.dofusbook.net/fr/equipement/307807-stuff-2/objets", "link")</f>
        <v/>
      </c>
      <c r="C31709" t="n">
        <v>0</v>
      </c>
      <c r="D31709" t="inlineStr">
        <is>
          <t>Dagues Érhy; Amulette du Strigide; Anneau Chevelu; Chevalière du Roi Joueur; Ceinture de la Cour Sombre; Chapeau de Gein; Cape de la Cour Sombre; Pataugastrique; Dofus des Glaces; Dofus Turquoise; Carapace Terre majeur; Étourdisseur majeur; Remueur; Nomade; Croum</t>
        </is>
      </c>
    </row>
    <row r="31710">
      <c r="A31710" t="inlineStr">
        <is>
          <t>Stuff 1</t>
        </is>
      </c>
      <c r="B31710">
        <f>HYPERLINK("https://www.dofusbook.net/fr/equipement/307842-stuff-1/objets", "link")</f>
        <v/>
      </c>
      <c r="C31710" t="n">
        <v>1</v>
      </c>
      <c r="D31710" t="inlineStr">
        <is>
          <t>Dagues Lassay; Collier du Valet Veinard; Anneau d'Allister; Gant du Valet Veinard; Ceinture du Nocturlabe; Couronne d'Allister; Cape du Valet Veinard; Bottes d'Allister; Dofus Pourpre; Dofus des Glaces; Dofus Ocre; Saccageur Air majeur; Ravageur Air majeur; Equilibriste majeur; Siroko</t>
        </is>
      </c>
    </row>
    <row r="31711">
      <c r="A31711" t="inlineStr">
        <is>
          <t>Stuff 3</t>
        </is>
      </c>
      <c r="B31711">
        <f>HYPERLINK("https://www.dofusbook.net/fr/equipement/307802-stuff-3/objets", "link")</f>
        <v/>
      </c>
      <c r="C31711" t="n">
        <v>1</v>
      </c>
      <c r="D31711" t="inlineStr">
        <is>
          <t>Rapière aux Glyphes; Amulette de Shokkoth; Alliance Gloursonne; Bracelet des Fonds marins; Sangle Ouare; Casque Dragoeuf; Cape du Sinistrofu; Sandales des Fonds marins; Dofus Ocre; Dofus Pourpre; Remueur; Carapace Eau majeur; Carapace Feu majeur; Chanceux majeur; Dragodinde en armure</t>
        </is>
      </c>
    </row>
    <row r="31712">
      <c r="A31712" t="inlineStr">
        <is>
          <t>Stuff 1</t>
        </is>
      </c>
      <c r="B31712">
        <f>HYPERLINK("https://www.dofusbook.net/fr/equipement/307834-stuff-1/objets", "link")</f>
        <v/>
      </c>
      <c r="C31712" t="n">
        <v>0</v>
      </c>
      <c r="D31712" t="inlineStr">
        <is>
          <t>Manthache; Collier du Valet Veinard; Alliance Gloursonne; Gant du Valet Veinard; Menoture; Couronne d'Allister; Cape Indescriptible; Palmes Trithons; Dofus Pourpre; Vigoureux majeur; Cascadeur majeur; Robuste majeur; Nomade; Remueur; Siroko</t>
        </is>
      </c>
    </row>
    <row r="31713">
      <c r="A31713" t="inlineStr">
        <is>
          <t>Stuff 1</t>
        </is>
      </c>
      <c r="B31713">
        <f>HYPERLINK("https://www.dofusbook.net/fr/equipement/307797-stuff-1/objets", "link")</f>
        <v/>
      </c>
      <c r="C31713" t="n">
        <v>0</v>
      </c>
      <c r="D31713" t="inlineStr">
        <is>
          <t>Manthache; Collier du Valet Veinard; Alliance Gloursonne; Gant du Valet Veinard; Menoture; Couronne d'Allister; Cape Indescriptible; Palmes Trithons; Dofus des Glaces; Saccageur Air majeur; Remueur; Dévastateur Air majeur; Cascadeur majeur; Nomade; Siroko</t>
        </is>
      </c>
    </row>
    <row r="31714">
      <c r="A31714" t="inlineStr">
        <is>
          <t>Stuff 1</t>
        </is>
      </c>
      <c r="B31714">
        <f>HYPERLINK("https://www.dofusbook.net/fr/equipement/307829-stuff-1/objets", "link")</f>
        <v/>
      </c>
      <c r="C31714" t="n">
        <v>0</v>
      </c>
      <c r="D31714" t="inlineStr">
        <is>
          <t>Sabres d'Atcham; Amulette du Strigide; Anneau Tique; Alliance Gloursonne; Ceinture du Strigide; Chapeau des Malveilleurs; Voile d'encre; Pataugastrique; Dofus des Glaces; Dofus Turquoise; Dofus Pourpre; Étourdisseur majeur; Remueur; Nomade; Dragodinde en armure</t>
        </is>
      </c>
    </row>
    <row r="31715">
      <c r="A31715" t="inlineStr">
        <is>
          <t>Stuff 2</t>
        </is>
      </c>
      <c r="B31715">
        <f>HYPERLINK("https://www.dofusbook.net/fr/equipement/307792-stuff-2/objets", "link")</f>
        <v/>
      </c>
      <c r="C31715" t="n">
        <v>0</v>
      </c>
      <c r="D31715" t="inlineStr">
        <is>
          <t>Epée Gloursonne; Amulette Ikête; Bague Gloursonne; Anneau du Père Fwetar; Ceinture de la Reine des Voleurs; Coiffe de la Reine des Voleurs; Cape Parition; Bottes du Père Fwetar</t>
        </is>
      </c>
    </row>
    <row r="31716">
      <c r="A31716" t="inlineStr">
        <is>
          <t>Stuff 2</t>
        </is>
      </c>
      <c r="B31716">
        <f>HYPERLINK("https://www.dofusbook.net/fr/equipement/307824-stuff-2/objets", "link")</f>
        <v/>
      </c>
      <c r="C31716" t="n">
        <v>0</v>
      </c>
      <c r="D31716" t="inlineStr">
        <is>
          <t>Sabres d'Atcham; Amulette Voldelor; Anneau Tique; Alliance Gloursonne; Sangle Ouare; Chapeau des Malveilleurs; Cape Matelassée; Sandales  d'Atcham; Dofus Turquoise; Dofus Pourpre; Dofus des Glaces; Remueur; Étourdisseur majeur; Obstructeur majeur; Croum</t>
        </is>
      </c>
    </row>
    <row r="31717">
      <c r="A31717" t="inlineStr">
        <is>
          <t>Stuff 3</t>
        </is>
      </c>
      <c r="B31717">
        <f>HYPERLINK("https://www.dofusbook.net/fr/equipement/307819-stuff-3/objets", "link")</f>
        <v/>
      </c>
      <c r="C31717" t="n">
        <v>0</v>
      </c>
      <c r="D31717" t="inlineStr">
        <is>
          <t>Arc Hétype; Amulette du Strigide; Chevalière du Roi Joueur; Anneau de Nidas; Ceinture de Gein; Chapeau de Gein; Voile d'encre; Pataugastrique; Dofus des Glaces; Dofus Turquoise; Nomade; Remueur; Croum</t>
        </is>
      </c>
    </row>
    <row r="31718">
      <c r="A31718" t="inlineStr">
        <is>
          <t>Stuff 2</t>
        </is>
      </c>
      <c r="B31718">
        <f>HYPERLINK("https://www.dofusbook.net/fr/equipement/307787-stuff-2/objets", "link")</f>
        <v/>
      </c>
      <c r="C31718" t="n">
        <v>0</v>
      </c>
      <c r="D31718" t="inlineStr">
        <is>
          <t>Dagues Érhy; Amulette du Strigide; Anneau Chevelu; Bague Gloursonne; Ceintacé; Casque Dragoeuf; Voile d'encre; Bottes du Strigide; Dofus Pourpre; Dofus Turquoise; Remueur; Vigoureux majeur; Étourdisseur majeur; Cascadeur majeur; Muldo Orchidée et Pourpre</t>
        </is>
      </c>
    </row>
    <row r="31719">
      <c r="A31719" t="inlineStr">
        <is>
          <t>Stuff 3</t>
        </is>
      </c>
      <c r="B31719">
        <f>HYPERLINK("https://www.dofusbook.net/fr/equipement/1709976-stuff-3/objets", "link")</f>
        <v/>
      </c>
      <c r="C31719" t="n">
        <v>0</v>
      </c>
      <c r="D31719" t="inlineStr">
        <is>
          <t>Alliance Gloursonne; Gant du Valet Veinard; Bouclier du Stalak; Menoture; Corne de Torkélonia; Cape au Logis; Dofus Pourpre; Dofus Ivoire; Dofus Abyssal; Dofus Ocre; Nomade; Cascadeur majeur; Blérodoudou</t>
        </is>
      </c>
    </row>
    <row r="31720">
      <c r="A31720" t="inlineStr">
        <is>
          <t>Stuff 1</t>
        </is>
      </c>
      <c r="B31720">
        <f>HYPERLINK("https://www.dofusbook.net/fr/equipement/1859661-stuff-1/objets", "link")</f>
        <v/>
      </c>
      <c r="C31720" t="n">
        <v>7</v>
      </c>
      <c r="D31720" t="inlineStr">
        <is>
          <t>Manthache; Collier du Valet Veinard; Alliance Gloursonne; Gant du Valet Veinard; Bouclier du Stalak; Menoture; Couronne d'Allister; Cape Indescriptible; Palmes Trithons; Dofus Abyssal; Dofus Ocre; Dofus Pourpre; Dofus Ivoire; Nomade; Cascadeur majeur; Siroko</t>
        </is>
      </c>
    </row>
    <row r="31721">
      <c r="A31721" t="inlineStr">
        <is>
          <t>Eau/Feu</t>
        </is>
      </c>
      <c r="B31721">
        <f>HYPERLINK("https://www.dofusbook.net/fr/equipement/1922321-eau-feu/objets", "link")</f>
        <v/>
      </c>
      <c r="C31721" t="n">
        <v>6</v>
      </c>
      <c r="D31721" t="inlineStr">
        <is>
          <t>Amulette du Strigide; Anneau de Padgref; Quatre-feuilles; Ceinture du Strigide; Coiffe de Padgref; Bottes du Strigide; Dofus Ocre; Dofus Ivoire; Dofus Abyssal; Dofus Turquoise; Kokulte</t>
        </is>
      </c>
    </row>
    <row r="31722">
      <c r="A31722" t="inlineStr">
        <is>
          <t>Stuff 2</t>
        </is>
      </c>
      <c r="B31722">
        <f>HYPERLINK("https://www.dofusbook.net/fr/equipement/373125-stuff-2/objets", "link")</f>
        <v/>
      </c>
      <c r="C31722" t="n">
        <v>2</v>
      </c>
      <c r="D31722" t="inlineStr">
        <is>
          <t>Hache Téroïde; Amulette du Strigide; Bague Gloursonne; Chevalière du Roi Joueur; Quatre-feuilles; Ceintacé; Coiffe de Padgref; Cape au Logis; Bottes du Strigide; Dofus Pourpre; Dofus Abyssal; Dofus Turquoise; Dofus des Glaces; Dofus Ocre; Kokulte</t>
        </is>
      </c>
    </row>
    <row r="31723">
      <c r="A31723" t="inlineStr">
        <is>
          <t>Stuff 2</t>
        </is>
      </c>
      <c r="B31723">
        <f>HYPERLINK("https://www.dofusbook.net/fr/equipement/373112-stuff-2/objets", "link")</f>
        <v/>
      </c>
      <c r="C31723" t="n">
        <v>6</v>
      </c>
      <c r="D31723" t="inlineStr">
        <is>
          <t>Arc du Chalœil; Amulette du Strigide; Anneau Chevelu; Chevalière du Roi Joueur; Quatre-feuilles; Ceinture du Strigide; Couronne du Roi Joueur; Cape au Logis; Bottes du Roi Joueur; Dofus Pourpre; Dofus Abyssal; Dofus Turquoise; Dofus Nébuleux; Dofus Ivoire; Dofus Ocre; Gwo Tofu Ventripotent</t>
        </is>
      </c>
    </row>
    <row r="31724">
      <c r="A31724" t="inlineStr">
        <is>
          <t>Allunthebox</t>
        </is>
      </c>
      <c r="B31724">
        <f>HYPERLINK("https://www.dofusbook.net/fr/equipement/2158859-allunthebox/objets", "link")</f>
        <v/>
      </c>
      <c r="C31724" t="n">
        <v>8</v>
      </c>
      <c r="D31724" t="inlineStr">
        <is>
          <t>Arc Nécrotique; Amulette Volkorne; Bague Trithon; Anneau Volkorne; Quatre-feuilles; Ceinture Volkorne; Masque Trithon; Cape des Malveilleurs; Bottes Trithon; Dofus Turquoise; Dofus Ivoire; Dofus Ocre; Dofus Abyssal; Dofus Pourpre; Dofus des Glaces; Fëanor</t>
        </is>
      </c>
    </row>
    <row r="31725">
      <c r="A31725" t="inlineStr">
        <is>
          <t>Stuff 2</t>
        </is>
      </c>
      <c r="B31725">
        <f>HYPERLINK("https://www.dofusbook.net/fr/equipement/373159-stuff-2/objets", "link")</f>
        <v/>
      </c>
      <c r="C31725" t="n">
        <v>4</v>
      </c>
      <c r="D31725" t="inlineStr">
        <is>
          <t>Arc Nécrotique; Amulette Volkorne; Bague Trithon; Anneau Volkorne; Quatre-feuilles; Ceinture Volkorne; Masque Trithon; Cape des Malveilleurs; Bottes Trithon; Dofus Turquoise; Dolmanax; Dofus Ocre; Dofus Abyssal; Dofus Pourpre; Dofus des Glaces; Fëanor</t>
        </is>
      </c>
    </row>
    <row r="31726">
      <c r="A31726" t="inlineStr">
        <is>
          <t>airplus</t>
        </is>
      </c>
      <c r="B31726">
        <f>HYPERLINK("https://www.dofusbook.net/fr/equipement/1884989-airplus/objets", "link")</f>
        <v/>
      </c>
      <c r="C31726" t="n">
        <v>3</v>
      </c>
      <c r="D31726" t="inlineStr">
        <is>
          <t>Hache Téroïde; Chevalière du Roi Joueur; Bouclier du Stalak; Ceinture Volkorne; Couronne du Roi Joueur; Voile d'encre; Bottes du Roi Joueur; Dofus Pourpre; Dofus Abyssal; Dofus Turquoise; Dofus des Glaces; Dofus Ivoire; Dofus Ocre</t>
        </is>
      </c>
    </row>
    <row r="31727">
      <c r="A31727" t="inlineStr">
        <is>
          <t>Stuff 1</t>
        </is>
      </c>
      <c r="B31727">
        <f>HYPERLINK("https://www.dofusbook.net/fr/equipement/1862539-stuff-1/objets", "link")</f>
        <v/>
      </c>
      <c r="C31727" t="n">
        <v>6</v>
      </c>
      <c r="D31727" t="inlineStr">
        <is>
          <t>Pelle de la Cour Sombre; Collier du Valet Veinard; Alliance Gloursonne; Gant du Valet Veinard; Quatre-feuilles; Menoture; Dorabysses; Cape du Kamasterisk; Palmes Trithons; Dofus Pourpre; Dofus Ivoire; Dofus Abyssal; Dofus Ocre; Nomade; Cascadeur majeur</t>
        </is>
      </c>
    </row>
    <row r="31728">
      <c r="A31728" t="inlineStr">
        <is>
          <t>Stuff 1</t>
        </is>
      </c>
      <c r="B31728">
        <f>HYPERLINK("https://www.dofusbook.net/fr/equipement/1851507-stuff-1/objets", "link")</f>
        <v/>
      </c>
      <c r="C31728" t="n">
        <v>5</v>
      </c>
      <c r="D31728" t="inlineStr">
        <is>
          <t>Manthache; Collier du Valet Veinard; Gant du Valet Veinard; Alliance Gloursonne; Bouclier du Stalak; Menoture; Casque Dragoeuf; Cape du Kamasterisk; Palmes Trithons; Dofus Ébène; Dofus Abyssal; Dofus Pourpre; Dofus Ivoire; Dofus Ocre; Dragodinde Amande et Ebène</t>
        </is>
      </c>
    </row>
    <row r="31729">
      <c r="A31729" t="inlineStr">
        <is>
          <t>Supra</t>
        </is>
      </c>
      <c r="B31729">
        <f>HYPERLINK("https://www.dofusbook.net/fr/equipement/2108335-supra/objets", "link")</f>
        <v/>
      </c>
      <c r="C31729" t="n">
        <v>74</v>
      </c>
      <c r="D31729" t="inlineStr">
        <is>
          <t>Hache du Korriandre; Amulette du Strigide; Alliance Gloursonne; Anneau de Padgref; Quatre-feuilles; Menoture; Casque Volkorne; Chevelure de Tal Kasha; Bottes du Strigide; Dofus Ivoire; Dofus Turquoise; Dofus Pourpre; Dofus Abyssal; Dofus Ocre; Dofus des Glaces</t>
        </is>
      </c>
    </row>
    <row r="31730">
      <c r="A31730" t="inlineStr">
        <is>
          <t>Stuff 3</t>
        </is>
      </c>
      <c r="B31730">
        <f>HYPERLINK("https://www.dofusbook.net/fr/equipement/1880429-stuff-3/objets", "link")</f>
        <v/>
      </c>
      <c r="C31730" t="n">
        <v>10</v>
      </c>
      <c r="D31730" t="inlineStr">
        <is>
          <t>Amulette du Strigide; Alliance Gloursonne; Anneau Volkorne; Quatre-feuilles; Ceinture Volkorne; Casque Volkorne; Bottes du Strigide; Dofus Turquoise; Dofus Ivoire; Dolmanax; Dofus Ocre; Dofus Pourpre; Dofus Abyssal; Fëanor</t>
        </is>
      </c>
    </row>
    <row r="31731">
      <c r="A31731" t="inlineStr">
        <is>
          <t>Stuff 1</t>
        </is>
      </c>
      <c r="B31731">
        <f>HYPERLINK("https://www.dofusbook.net/fr/equipement/373114-stuff-1/objets", "link")</f>
        <v/>
      </c>
      <c r="C31731" t="n">
        <v>6</v>
      </c>
      <c r="D31731" t="inlineStr">
        <is>
          <t>Bâton Beau; Amulette du Strigide; Anneau Volkorne; Alliance Gloursonne; Quatre-feuilles; Ceinture Volkorne; Casque Volkorne; Voile d'encre; Bottes du Strigide; Dolmanax; Dofus Ocre; Dofus Pourpre; Dofus Abyssal; Dofus Turquoise; Dofus Ivoire; Fëanor</t>
        </is>
      </c>
    </row>
    <row r="31732">
      <c r="A31732" t="inlineStr">
        <is>
          <t>Stuff 1</t>
        </is>
      </c>
      <c r="B31732">
        <f>HYPERLINK("https://www.dofusbook.net/fr/equipement/373172-stuff-1/objets", "link")</f>
        <v/>
      </c>
      <c r="C31732" t="n">
        <v>18</v>
      </c>
      <c r="D31732" t="inlineStr">
        <is>
          <t>Sceptre du Roi Joueur; Talisman Glouti; Bracelet des Fonds marins; Alliance Gloursonne; Quatre-feuilles; Sangle Ouare; Capuche de l'Œil Attentif; Cape de l'Œil Attentif; Bottes Honyme; Dofus Ocre; Dofus Pourpre; Dofus Abyssal; Dofus Turquoise</t>
        </is>
      </c>
    </row>
    <row r="31733">
      <c r="A31733" t="inlineStr">
        <is>
          <t>Stuff 1</t>
        </is>
      </c>
      <c r="B31733">
        <f>HYPERLINK("https://www.dofusbook.net/fr/equipement/373171-stuff-1/objets", "link")</f>
        <v/>
      </c>
      <c r="C31733" t="n">
        <v>9</v>
      </c>
      <c r="D31733" t="inlineStr">
        <is>
          <t>Hache Téroïde; Amulette Volkorne; Anneau Volkorne; Chevalière du Roi Joueur; Quatre-feuilles; Ceinture Volkorne; Couronne du Roi Joueur; Voile d'encre; Bottes du Roi Joueur; Dofus Ivoire; Dofus Ocre; Dofus Pourpre; Dofus Abyssal; Dofus Turquoise; Dofus des Glaces; Volkorne Jade</t>
        </is>
      </c>
    </row>
    <row r="31734">
      <c r="A31734" t="inlineStr">
        <is>
          <t>Sacrieur F 200</t>
        </is>
      </c>
      <c r="B31734">
        <f>HYPERLINK("https://www.dofusbook.net/fr/equipement/5284172-sacrieur-f-200/objets", "link")</f>
        <v/>
      </c>
      <c r="C31734" t="n">
        <v>2</v>
      </c>
      <c r="D31734" t="inlineStr">
        <is>
          <t>Marteau R'ture; Amulette du Strigide; Anneau Chevelu; Anneau de Brouce; Bouclier d'Ilyzaelle; Ceinture Volkorne; Masque de Koutoulou; Cape au Logis; Bottes de Brouce; Dofus Turquoise; Dofus Ivoire; Dofus Ocre; Dofus Abyssal; Dofus Pourpre; Dofus Nébuleux; Bulbisou</t>
        </is>
      </c>
    </row>
    <row r="31735">
      <c r="A31735" t="inlineStr">
        <is>
          <t>Stuff 1</t>
        </is>
      </c>
      <c r="B31735">
        <f>HYPERLINK("https://www.dofusbook.net/fr/equipement/1529037-stuff-1/objets", "link")</f>
        <v/>
      </c>
      <c r="C31735" t="n">
        <v>2</v>
      </c>
      <c r="D31735" t="inlineStr">
        <is>
          <t>Amulette du Strigide; Alliance Gloursonne; Anneau de Padgref; Quatre-feuilles; Ceinture du Strigide; Coiffe de Padgref; Bottes du Strigide; Dofus Ébène; Dofus Turquoise; Dofus Ivoire; Dofus Abyssal; Dofus Ocre</t>
        </is>
      </c>
    </row>
    <row r="31736">
      <c r="A31736" t="inlineStr">
        <is>
          <t>Ouginak F 200</t>
        </is>
      </c>
      <c r="B31736">
        <f>HYPERLINK("https://www.dofusbook.net/fr/equipement/4952230-ouginak-f-200/objets", "link")</f>
        <v/>
      </c>
      <c r="C31736" t="n">
        <v>3</v>
      </c>
      <c r="D31736" t="inlineStr">
        <is>
          <t>Baguette de Torkélonia; Amulette du Strigide; Bague Gloursonne; Alliance Gloursonne; Bouclier d'Ilyzaelle; Ceinture du Strigide; Corne de Torkélonia; Carapace de Torkélonia; Bottes du Strigide; Dofus Pourpre; Dofus Ocre; Dofus Émeraude; Dofus Ivoire; Dofus Turquoise; Dofus Ébène; Kramkram</t>
        </is>
      </c>
    </row>
    <row r="31737">
      <c r="A31737" t="inlineStr">
        <is>
          <t>fluf</t>
        </is>
      </c>
      <c r="B31737">
        <f>HYPERLINK("https://www.dofusbook.net/fr/equipement/1901605-fluf/objets", "link")</f>
        <v/>
      </c>
      <c r="C31737" t="n">
        <v>5</v>
      </c>
      <c r="D31737" t="inlineStr">
        <is>
          <t>Hache Téroïde; Amulette Volkorne; Chevalière du Roi Joueur; Anneau Volkorne; Bouclier du Stalak; Ceinture Volkorne; Chapeau de Gein; Voile d'encre; Bottes du Roi Joueur; Dofus des Glaces; Dofus Pourpre</t>
        </is>
      </c>
    </row>
    <row r="31738">
      <c r="A31738" t="inlineStr">
        <is>
          <t>Stuff 1</t>
        </is>
      </c>
      <c r="B31738">
        <f>HYPERLINK("https://www.dofusbook.net/fr/equipement/373142-stuff-1/objets", "link")</f>
        <v/>
      </c>
      <c r="C31738" t="n">
        <v>4</v>
      </c>
      <c r="D31738" t="inlineStr">
        <is>
          <t>Amulette du Strigide; Bague Gloursonne; Bouclier du Stalak; Ceinture du Strigide; Voile d'encre; Bottes du Roi Joueur; Dofus Abyssal; Dofus Ocre; Dofus Turquoise; Dofus Pourpre; Dofus des Glaces</t>
        </is>
      </c>
    </row>
    <row r="31739">
      <c r="A31739" t="inlineStr">
        <is>
          <t>Stuff 1</t>
        </is>
      </c>
      <c r="B31739">
        <f>HYPERLINK("https://www.dofusbook.net/fr/equipement/1638023-stuff-1/objets", "link")</f>
        <v/>
      </c>
      <c r="C31739" t="n">
        <v>3</v>
      </c>
      <c r="D31739" t="inlineStr">
        <is>
          <t>Epée Gloursonne; Amulette du Strigide; Bague Gloursonne; Alliance Gloursonne; Bouclier du Stalak; Ceinture du Strigide; Chapeau de Gein; Voile d'encre; Bottes du Strigide; Dolmanax; Dofus Turquoise; Dofus Pourpre; Dofus des Glaces; Dofus Abyssal; Dofus Ocre; Pioute rose</t>
        </is>
      </c>
    </row>
    <row r="31740">
      <c r="A31740" t="inlineStr">
        <is>
          <t>Fofoof</t>
        </is>
      </c>
      <c r="B31740">
        <f>HYPERLINK("https://www.dofusbook.net/fr/equipement/1573048-fofoof/objets", "link")</f>
        <v/>
      </c>
      <c r="C31740" t="n">
        <v>55</v>
      </c>
      <c r="D31740" t="inlineStr">
        <is>
          <t>Arc corrompu; Amulette Volkorne; Anneau Tique; Anneauræus; Quatre-feuilles; Ceinture Volkorne; Heaume Oplate; Voile d'encre; Bottes d'Otomaï; Dofus Ocre; Dofus Pourpre; Dofus Abyssal; Dofus Turquoise; Érudit majeur; Chachyène</t>
        </is>
      </c>
    </row>
    <row r="31741">
      <c r="A31741" t="inlineStr">
        <is>
          <t>Stuff 1</t>
        </is>
      </c>
      <c r="B31741">
        <f>HYPERLINK("https://www.dofusbook.net/fr/equipement/1638018-stuff-1/objets", "link")</f>
        <v/>
      </c>
      <c r="C31741" t="n">
        <v>3</v>
      </c>
      <c r="D31741" t="inlineStr">
        <is>
          <t>Arc Hétype; Amulette Volkorne; Anneau Tique; Anneauræus; Bouclier d'Ilyzaelle; Ceinture Volkorne; Heaume Oplate; Voile d'encre; Bottes d'Otomaï; Dofus Abyssal; Dofus Turquoise; Dofus Ocre; Dofus Pourpre; Nomade; Érudit majeur; Dragodinde Amande et Orchidée</t>
        </is>
      </c>
    </row>
    <row r="31742">
      <c r="A31742" t="inlineStr">
        <is>
          <t>Stuff 3</t>
        </is>
      </c>
      <c r="B31742">
        <f>HYPERLINK("https://www.dofusbook.net/fr/equipement/373145-stuff-3/objets", "link")</f>
        <v/>
      </c>
      <c r="C31742" t="n">
        <v>5</v>
      </c>
      <c r="D31742" t="inlineStr">
        <is>
          <t>Sceptre du Roi Joueur; Amulette de l'Œil Attentif; Anneau Volkorne; Bracelet des Fonds marins; Cadran d'Eau; Ceinture Volkorne; Masque des Fonds marins; Cape de l'Œil Attentif; Sandales des Fonds marins; Dofus Abyssal; Dofus Ocre; Dofus Pourpre; Dofus Turquoise</t>
        </is>
      </c>
    </row>
    <row r="31743">
      <c r="A31743" t="inlineStr">
        <is>
          <t>oneshot</t>
        </is>
      </c>
      <c r="B31743">
        <f>HYPERLINK("https://www.dofusbook.net/fr/equipement/1935459-oneshot/objets", "link")</f>
        <v/>
      </c>
      <c r="C31743" t="n">
        <v>3</v>
      </c>
      <c r="D31743" t="inlineStr">
        <is>
          <t>Dagoulinantes; Amulette de l'Œil Attentif; Alliance Gloursonne; Bracelet des Fonds marins; Bouclier du Stalak; Sangle Ouare; Capuche de l'Œil Attentif; Cape de la Dame du Hasard; Pataugastrique; Dofus Ocre; Dofus Abyssal; Dofus Ivoire; Dofus Pourpre; Chanceux majeur; Étourdisseur majeur; Boskito</t>
        </is>
      </c>
    </row>
    <row r="31744">
      <c r="A31744" t="inlineStr">
        <is>
          <t>Stuff 1</t>
        </is>
      </c>
      <c r="B31744">
        <f>HYPERLINK("https://www.dofusbook.net/fr/equipement/1339262-stuff-1/objets", "link")</f>
        <v/>
      </c>
      <c r="C31744" t="n">
        <v>3</v>
      </c>
      <c r="D31744" t="inlineStr">
        <is>
          <t>Arc de Koutoulou; Talisman Glouti; Bracelet du Piloztère; Alliance Gloursonne; Bouclier d'Ilyzaelle; Sangle Ouare; Casque d'Ilyzaelle; Cape des Justiciers; Bottes de la Reine des Voleurs; Dofus Abyssal; Dofus Ocre; Dofus Pourpre; Dofus Émeraude; Dofus des Glaces; Vigoureux majeur; Mini Wa</t>
        </is>
      </c>
    </row>
    <row r="31745">
      <c r="A31745" t="inlineStr">
        <is>
          <t>Stuff 1</t>
        </is>
      </c>
      <c r="B31745">
        <f>HYPERLINK("https://www.dofusbook.net/fr/equipement/373166-stuff-1/objets", "link")</f>
        <v/>
      </c>
      <c r="C31745" t="n">
        <v>4</v>
      </c>
      <c r="D31745" t="inlineStr">
        <is>
          <t>Manthache; Collier du Valet Veinard; Gant du Valet Veinard; Alliance Gloursonne; Bouclier du Stalak; Menoture; Couronne d'Allister; Cape Indescriptible; Palmes Trithons; Dofus Abyssal; Dofus Ocre; Dofus Émeraude; Cascadeur majeur; Carapace Air majeur; Nomade; Chachyène</t>
        </is>
      </c>
    </row>
    <row r="31746">
      <c r="A31746" t="inlineStr">
        <is>
          <t>Stuff 1</t>
        </is>
      </c>
      <c r="B31746">
        <f>HYPERLINK("https://www.dofusbook.net/fr/equipement/373161-stuff-1/objets", "link")</f>
        <v/>
      </c>
      <c r="C31746" t="n">
        <v>1</v>
      </c>
      <c r="D31746" t="inlineStr">
        <is>
          <t>Manthache; Collier du Valet Veinard; Gant du Valet Veinard; Alliance Gloursonne; Bouclier du Stalak; Menoture; Couronne d'Allister; Cape Indescriptible; Palmes Trithons; Dofus Abyssal; Dofus Ocre; Dofus Émeraude; Cascadeur majeur; Carapace Air majeur; Nomade; Blérodoudou</t>
        </is>
      </c>
    </row>
    <row r="31747">
      <c r="A31747" t="inlineStr">
        <is>
          <t>Stuff 2</t>
        </is>
      </c>
      <c r="B31747">
        <f>HYPERLINK("https://www.dofusbook.net/fr/equipement/373147-stuff-2/objets", "link")</f>
        <v/>
      </c>
      <c r="C31747" t="n">
        <v>1</v>
      </c>
      <c r="D31747" t="inlineStr">
        <is>
          <t>Amulette Volkorne; Bague Gloursonne; Bouclier du Stalak; Ceinture Volkorne; Chapeau de Gein; Voile d'encre; Bottes du Cœur Saignant; Dofus Abyssal; Dolmanax; Dofus des Glaces; Dofus Pourpre; Dofus Ocre</t>
        </is>
      </c>
    </row>
    <row r="31748">
      <c r="A31748" t="inlineStr">
        <is>
          <t>Stuff 1</t>
        </is>
      </c>
      <c r="B31748">
        <f>HYPERLINK("https://www.dofusbook.net/fr/equipement/1452173-stuff-1/objets", "link")</f>
        <v/>
      </c>
      <c r="C31748" t="n">
        <v>1</v>
      </c>
      <c r="D31748" t="inlineStr">
        <is>
          <t>Arc corrompu; Amulette Volkorne; Anneauræus; Anneauræus; Bouclier du Stalak; Ceinture Volkorne; Heaume Oplate; Cape de Nileza; Bottes Innommables; Dofus des Glaces; Dévastateur Feu majeur; Érudit majeur; Remueur; Nomade; Bisouglours</t>
        </is>
      </c>
    </row>
    <row r="31749">
      <c r="A31749" t="inlineStr">
        <is>
          <t>Stuff 2</t>
        </is>
      </c>
      <c r="B31749">
        <f>HYPERLINK("https://www.dofusbook.net/fr/equipement/373106-stuff-2/objets", "link")</f>
        <v/>
      </c>
      <c r="C31749" t="n">
        <v>7</v>
      </c>
      <c r="D31749" t="inlineStr">
        <is>
          <t>Arc corrompu; Amulette Volkorne; Anneau Tique; Anneauræus; Bouclier du Stalak; Ceinture de Vortex; Heaume Oplate; Cape Ardente; Chaussures Ardentes; Dofus Abyssal; Dofus Ocre; Nomade; Érudit majeur; Étourdisseur majeur; Boskito</t>
        </is>
      </c>
    </row>
    <row r="31750">
      <c r="A31750" t="inlineStr">
        <is>
          <t>Young</t>
        </is>
      </c>
      <c r="B31750">
        <f>HYPERLINK("https://www.dofusbook.net/fr/equipement/2098012-young-/objets", "link")</f>
        <v/>
      </c>
      <c r="C31750" t="n">
        <v>6</v>
      </c>
      <c r="D31750" t="inlineStr">
        <is>
          <t>Arc du Chalœil; Amulette du Strigide; Anneau Volkorne; Anneau Chevelu; Bouclier du Stalak; Ceinture Volkorne; Masque de Koutoulou; Cape au Logis; Bottes d'Otomaï; Dofus Turquoise; Dofus Pourpre; Dofus Abyssal; Dofus Ocre; Enragé majeur; Pioute vert</t>
        </is>
      </c>
    </row>
    <row r="31751">
      <c r="A31751" t="inlineStr">
        <is>
          <t>Stuff 3</t>
        </is>
      </c>
      <c r="B31751">
        <f>HYPERLINK("https://www.dofusbook.net/fr/equipement/1717525-stuff-3/objets", "link")</f>
        <v/>
      </c>
      <c r="C31751" t="n">
        <v>2</v>
      </c>
      <c r="D31751" t="inlineStr">
        <is>
          <t>Hache Téroïde; Amulette du Strigide; Chevalière du Roi Joueur; Bague Gloursonne; Ceintacé; Chapeau de Gein; Voile d'encre; Bottes du Strigide; Dofus Turquoise; Dofus Pourpre; Nomade; Vigoureux majeur; Carapace Terre majeur; Remueur; Kokulte</t>
        </is>
      </c>
    </row>
    <row r="31752">
      <c r="A31752" t="inlineStr">
        <is>
          <t>airplus</t>
        </is>
      </c>
      <c r="B31752">
        <f>HYPERLINK("https://www.dofusbook.net/fr/equipement/1884985-airplus/objets", "link")</f>
        <v/>
      </c>
      <c r="C31752" t="n">
        <v>9</v>
      </c>
      <c r="D31752" t="inlineStr">
        <is>
          <t>Arc de Koutoulou; Amulette Ementaire Deluxe; Alliance Gloursonne; Anneau Tique; Bouclier du Stalak; Sangle Ouare; Kidibonnet; Chevelure de Tal Kasha; Sandales de Tal Kasha; Dofus Abyssal; Dolmanax; Dofus Ocre; Dofus Pourpre; Miraculé majeur; Vigoureux majeur; Mini Wa</t>
        </is>
      </c>
    </row>
    <row r="31753">
      <c r="A31753" t="inlineStr">
        <is>
          <t>Stuff 1</t>
        </is>
      </c>
      <c r="B31753">
        <f>HYPERLINK("https://www.dofusbook.net/fr/equipement/1339294-stuff-1/objets", "link")</f>
        <v/>
      </c>
      <c r="C31753" t="n">
        <v>1</v>
      </c>
      <c r="D31753" t="inlineStr">
        <is>
          <t>Manthache; Collier du Valet Veinard; Gant du Valet Veinard; Alliance Gloursonne; Bouclier du Stalak; Menoture; Capuche de Moum-Ra; Cape du Kamasterisk; Palmes Trithons; Dofus Abyssal; Dofus Ocre; Dofus des Glaces; Miraculé majeur; Nomade; Cascadeur majeur; La Chose</t>
        </is>
      </c>
    </row>
    <row r="31754">
      <c r="A31754" t="inlineStr">
        <is>
          <t>Stuff 2</t>
        </is>
      </c>
      <c r="B31754">
        <f>HYPERLINK("https://www.dofusbook.net/fr/equipement/373168-stuff-2/objets", "link")</f>
        <v/>
      </c>
      <c r="C31754" t="n">
        <v>0</v>
      </c>
      <c r="D31754" t="inlineStr">
        <is>
          <t>Arc de Koutoulou; Amulette du Strigide; Anneau Volkorne; Alliance Gloursonne; Quatre-feuilles; Ceintacé; Casque Volkorne; Chevelure de Tal Kasha; Sandales des Fonds marins; Dofus Turquoise; Dofus Abyssal; Dofus Ocre; Dofus Pourpre; Dolmanax; Nomade; Kokulte</t>
        </is>
      </c>
    </row>
    <row r="31755">
      <c r="A31755" t="inlineStr">
        <is>
          <t>Stuff 1</t>
        </is>
      </c>
      <c r="B31755">
        <f>HYPERLINK("https://www.dofusbook.net/fr/equipement/373139-stuff-1/objets", "link")</f>
        <v/>
      </c>
      <c r="C31755" t="n">
        <v>3</v>
      </c>
      <c r="D31755" t="inlineStr">
        <is>
          <t>Manthache; Collier du Valet Veinard; Gant du Valet Veinard; Alliance Gloursonne; Bouclier du Stalak; Menoture; Capuche de Moum-Ra; Cape du Kamasterisk; Palmes Trithons; Dofus Abyssal; Dofus Ocre; Dofus des Glaces; Cascadeur majeur; Equilibriste majeur; Nomade; Bwak d'Air</t>
        </is>
      </c>
    </row>
    <row r="31756">
      <c r="A31756" t="inlineStr">
        <is>
          <t>airplusinvoc</t>
        </is>
      </c>
      <c r="B31756">
        <f>HYPERLINK("https://www.dofusbook.net/fr/equipement/2079389-airplusinvoc/objets", "link")</f>
        <v/>
      </c>
      <c r="C31756" t="n">
        <v>0</v>
      </c>
      <c r="D31756" t="inlineStr">
        <is>
          <t>Manthache; Collier du Valet Veinard; Alliance Gloursonne; Gant du Valet Veinard; Bouclier du Stalak; Menoture; Couronne d'Allister; Cape du Kamasterisk; Palmes Trithons; Dofus Abyssal; Dofus Ocre; Dofus des Glaces; Cascadeur majeur; Equilibriste majeur; Nomade; Siroko</t>
        </is>
      </c>
    </row>
    <row r="31757">
      <c r="A31757" t="inlineStr">
        <is>
          <t>Stuff 2</t>
        </is>
      </c>
      <c r="B31757">
        <f>HYPERLINK("https://www.dofusbook.net/fr/equipement/1398734-stuff-2/objets", "link")</f>
        <v/>
      </c>
      <c r="C31757" t="n">
        <v>5</v>
      </c>
      <c r="D31757" t="inlineStr">
        <is>
          <t>Arc corrompu; Amulette Volkorne; Anneauræus; Anneau Tique; Quatre-feuilles; Ceinture de Vortex; Cagoule de Vortex; Voile d'encre; Bottes d'Otomaï; Dofus Pourpre; Dolmanax; Dofus Abyssal; Dofus Turquoise; Dofus Ocre; Nomade; Kokulte</t>
        </is>
      </c>
    </row>
    <row r="31758">
      <c r="A31758" t="inlineStr">
        <is>
          <t>Stuff 1</t>
        </is>
      </c>
      <c r="B31758">
        <f>HYPERLINK("https://www.dofusbook.net/fr/equipement/373164-stuff-1/objets", "link")</f>
        <v/>
      </c>
      <c r="C31758" t="n">
        <v>2</v>
      </c>
      <c r="D31758" t="inlineStr">
        <is>
          <t>Epée Gloursonne; Amulette du Strigide; Bague Gloursonne; Alliance Gloursonne; Bouclier du Stalak; Ceinture du Strigide; Chapeau de Gein; Voile d'encre; Bottes du Strigide; Dofus Nébuleux; Dofus Ocre; Dofus Pourpre; Dolmanax; Dofus Abyssal; Dofus Turquoise; Chachyène</t>
        </is>
      </c>
    </row>
    <row r="31759">
      <c r="A31759" t="inlineStr">
        <is>
          <t>Stuff 1</t>
        </is>
      </c>
      <c r="B31759">
        <f>HYPERLINK("https://www.dofusbook.net/fr/equipement/373117-stuff-1/objets", "link")</f>
        <v/>
      </c>
      <c r="C31759" t="n">
        <v>0</v>
      </c>
      <c r="D31759" t="inlineStr">
        <is>
          <t>Manthache; Collier du Valet Veinard; Alliance Gloursonne; Gant du Valet Veinard; Bouclier du Stalak; Menoture; Capuche de Moum-Ra; Cape Martegel; Palmes Trithons; Dofus Abyssal; Dofus Pourpre; Nomade; Remueur; Cascadeur majeur; Blérodoudou</t>
        </is>
      </c>
    </row>
    <row r="31760">
      <c r="A31760" t="inlineStr">
        <is>
          <t>airplus</t>
        </is>
      </c>
      <c r="B31760">
        <f>HYPERLINK("https://www.dofusbook.net/fr/equipement/865273-airplus/objets", "link")</f>
        <v/>
      </c>
      <c r="C31760" t="n">
        <v>0</v>
      </c>
      <c r="D31760" t="inlineStr">
        <is>
          <t>Arc du Chalœil; Amulette Volkorne; Chevalière du Roi Joueur; Anneau Chevelu; Quatre-feuilles; Ceinture Volkorne; Casque Volkorne; Bottes de la Cour Sombre; Dofus Turquoise; Dofus Ocre; Dofus Abyssal; Dofus Pourpre</t>
        </is>
      </c>
    </row>
    <row r="31761">
      <c r="A31761" t="inlineStr">
        <is>
          <t>Sram F 200</t>
        </is>
      </c>
      <c r="B31761">
        <f>HYPERLINK("https://www.dofusbook.net/fr/equipement/3624911-sram-f-200/objets", "link")</f>
        <v/>
      </c>
      <c r="C31761" t="n">
        <v>1</v>
      </c>
      <c r="D31761" t="inlineStr">
        <is>
          <t>Arc corrompu; Amulette Volkorne; Chevalière du Roi Joueur; Anneauræus; Quatre-feuilles; Ceinture Volkorne; Heaume Oplate; Voile d'encre; Bottes d'Otomaï; Dofus Ocre; Dofus Turquoise; Dofus Abyssal; Dofus Pourpre; Nomade; Érudit majeur; Brûlih</t>
        </is>
      </c>
    </row>
    <row r="31762">
      <c r="A31762" t="inlineStr">
        <is>
          <t>Stuff 1</t>
        </is>
      </c>
      <c r="B31762">
        <f>HYPERLINK("https://www.dofusbook.net/fr/equipement/373173-stuff-1/objets", "link")</f>
        <v/>
      </c>
      <c r="C31762" t="n">
        <v>2</v>
      </c>
      <c r="D31762" t="inlineStr">
        <is>
          <t>Arc de Koutoulou; Amulette du Strigide; Anneau de Padgref; Anneau Volkorne; Quatre-feuilles; Ceintacé; Casque Volkorne; Chevelure de Tal Kasha; Sandales de Tal Kasha; Dolmanax; Dofus Turquoise; Dofus Pourpre; Dofus des Glaces; Dofus Abyssal; Dofus Ocre; Kokulte</t>
        </is>
      </c>
    </row>
    <row r="31763">
      <c r="A31763" t="inlineStr">
        <is>
          <t>Stuff 1</t>
        </is>
      </c>
      <c r="B31763">
        <f>HYPERLINK("https://www.dofusbook.net/fr/equipement/1640226-stuff-1/objets", "link")</f>
        <v/>
      </c>
      <c r="C31763" t="n">
        <v>1</v>
      </c>
      <c r="D31763" t="inlineStr">
        <is>
          <t>Héqache; Torquistik; Alliance Gloursonne; Bague Trithon; Bouclier Taverne; Ceinture Gence; Masque Paztek; Cape Solution; Bottistik; Dofus Abyssal; Bousculeur majeur; Culbuteur; Culbuteur majeur; Pousseur majeur; Balafreux</t>
        </is>
      </c>
    </row>
    <row r="31764">
      <c r="A31764" t="inlineStr">
        <is>
          <t>Eau/air</t>
        </is>
      </c>
      <c r="B31764">
        <f>HYPERLINK("https://www.dofusbook.net/fr/equipement/2210094-eau-air/objets", "link")</f>
        <v/>
      </c>
      <c r="C31764" t="n">
        <v>2</v>
      </c>
      <c r="D31764" t="inlineStr">
        <is>
          <t>Dagoulinantes; Amulette de Shokkoth; Alliance Gloursonne; Pikano; Bouclier du Captain Amakna; Poulpagne; Masque des Fonds marins; Cape de Mantaze; Sandales des Fonds marins; Dofus Pourpre; Dofus Abyssal; Dofus Turquoise; Nomade; Remueur; Bwak d'Eau</t>
        </is>
      </c>
    </row>
    <row r="31765">
      <c r="A31765" t="inlineStr">
        <is>
          <t>Stuff 3</t>
        </is>
      </c>
      <c r="B31765">
        <f>HYPERLINK("https://www.dofusbook.net/fr/equipement/373151-stuff-3/objets", "link")</f>
        <v/>
      </c>
      <c r="C31765" t="n">
        <v>2</v>
      </c>
      <c r="D31765" t="inlineStr">
        <is>
          <t>Lav'Hache; Amulette de Pol Ouatnos; Anneau Chevelu; Anneau Crustique; Cadran d'Eau; Ceinture de la Cour Sombre; Masque de Koutoulou; Cape de la Cour Sombre; Tentassons; Dofus Abyssal; Bloqueur majeur; Enragé majeur; Obstructeur majeur; Remueur; Étourdisseur majeur; Kramkram</t>
        </is>
      </c>
    </row>
    <row r="31766">
      <c r="A31766" t="inlineStr">
        <is>
          <t>agz</t>
        </is>
      </c>
      <c r="B31766">
        <f>HYPERLINK("https://www.dofusbook.net/fr/equipement/562049-agz/objets", "link")</f>
        <v/>
      </c>
      <c r="C31766" t="n">
        <v>0</v>
      </c>
      <c r="D31766" t="inlineStr">
        <is>
          <t>Arc du Chalœil; Amulette de Pol Ouatnos; Bague Gloursonne; Anneau Chevelu; Quatre-feuilles; Ceinture de la Cour Sombre; Masque de Koutoulou; Voile d'encre; Bottes de la Cour Sombre; Dofus Ocre; Dofus Pourpre; Dofus Abyssal; Dofus Turquoise; Shushu de Rushu</t>
        </is>
      </c>
    </row>
    <row r="31767">
      <c r="A31767" t="inlineStr">
        <is>
          <t>Stuff 1</t>
        </is>
      </c>
      <c r="B31767">
        <f>HYPERLINK("https://www.dofusbook.net/fr/equipement/1841471-stuff-1/objets", "link")</f>
        <v/>
      </c>
      <c r="C31767" t="n">
        <v>0</v>
      </c>
      <c r="D31767" t="inlineStr">
        <is>
          <t>Rapière aux Glyphes; Amulette de Shokkoth; Bracelet des Fonds marins; Alliance Gloursonne; Quatre-feuilles; Poulpagne; Cape de la Dame du Hasard; Sandales des Fonds marins; Dofus Émeraude; Dofus Pourpre; Dofus Turquoise; Taquin majeur; Joueur majeur</t>
        </is>
      </c>
    </row>
    <row r="31768">
      <c r="A31768" t="inlineStr">
        <is>
          <t>EAUplus</t>
        </is>
      </c>
      <c r="B31768">
        <f>HYPERLINK("https://www.dofusbook.net/fr/equipement/2002638-eauplus/objets", "link")</f>
        <v/>
      </c>
      <c r="C31768" t="n">
        <v>0</v>
      </c>
      <c r="D31768" t="inlineStr">
        <is>
          <t>Arc corrompu; Amulette Séculaire; Bague Gloursonne; Anneauræus; Quatre-feuilles; Ceinture Séculaire; Cagoule de Vortex; Cape de Diondin; Bottes d'Otomaï; Dofus Turquoise; Érudit majeur; Remueur; Bwak de Feu</t>
        </is>
      </c>
    </row>
    <row r="31769">
      <c r="A31769" t="inlineStr">
        <is>
          <t>Pandawa F 200</t>
        </is>
      </c>
      <c r="B31769">
        <f>HYPERLINK("https://www.dofusbook.net/fr/equipement/3294077-pandawa-f-200/objets", "link")</f>
        <v/>
      </c>
      <c r="C31769" t="n">
        <v>1</v>
      </c>
      <c r="D31769" t="inlineStr">
        <is>
          <t>Arc corrompu; Amulette Séculaire; Anneauræus; Bague Gloursonne; Quatre-feuilles; Ceinture Séculaire; Cagoule de Vortex; Cape de Diondin; Bottes d'Otomaï; Dofus Turquoise; Érudit majeur; Remueur; Bwak de Feu</t>
        </is>
      </c>
    </row>
    <row r="31770">
      <c r="A31770" t="inlineStr">
        <is>
          <t>Stuff 3</t>
        </is>
      </c>
      <c r="B31770">
        <f>HYPERLINK("https://www.dofusbook.net/fr/equipement/373148-stuff-3/objets", "link")</f>
        <v/>
      </c>
      <c r="C31770" t="n">
        <v>1</v>
      </c>
      <c r="D31770" t="inlineStr">
        <is>
          <t>Rapière aux Glyphes; Amulette de Shokkoth; Alliance Gloursonne; Anneau Volkorne; Bouclier du Stalak; Poulpagne; Capuche de l'Œil Attentif; Cape de l'Œil Attentif; Bottes de la Reine des Voleurs; Dofus des Glaces; Dofus Turquoise; Dolmanax; Dofus Abyssal; Dofus Pourpre; Dofus Ocre; Kanigloups</t>
        </is>
      </c>
    </row>
    <row r="31771">
      <c r="A31771" t="inlineStr">
        <is>
          <t>Stuff 3</t>
        </is>
      </c>
      <c r="B31771">
        <f>HYPERLINK("https://www.dofusbook.net/fr/equipement/1554555-stuff-3/objets", "link")</f>
        <v/>
      </c>
      <c r="C31771" t="n">
        <v>2</v>
      </c>
      <c r="D31771" t="inlineStr">
        <is>
          <t>Arc de Koutoulou; Amulette du Strigide; Alliance Gloursonne; Anneau Volkorne; Quatre-feuilles; Ceinture du Strigide; Casque Volkorne; Chevelure de Tal Kasha; Bottes du Strigide; Dofus Pourpre; Dofus Abyssal; Dolmanax; Dofus Ocre; Dofus Turquoise; Dofus des Glaces; Muldo Prune et Indigo</t>
        </is>
      </c>
    </row>
    <row r="31772">
      <c r="A31772" t="inlineStr">
        <is>
          <t>deaht</t>
        </is>
      </c>
      <c r="B31772">
        <f>HYPERLINK("https://www.dofusbook.net/fr/equipement/1119544-deaht/objets", "link")</f>
        <v/>
      </c>
      <c r="C31772" t="n">
        <v>2</v>
      </c>
      <c r="D31772" t="inlineStr">
        <is>
          <t>Arc du Chalœil; Amulette du Strigide; Anneau Chevelu; Anneau de Brouce; Quatre-feuilles; Ceinture Volkorne; Masque de Koutoulou; Voile d'encre; Bottes de Brouce; Dofus Turquoise; Dofus Abyssal; Dofus Pourpre; Dofus Ocre; Enragé majeur; Nomade; Kompost</t>
        </is>
      </c>
    </row>
    <row r="31773">
      <c r="A31773" t="inlineStr">
        <is>
          <t>Stuff 1</t>
        </is>
      </c>
      <c r="B31773">
        <f>HYPERLINK("https://www.dofusbook.net/fr/equipement/373143-stuff-1/objets", "link")</f>
        <v/>
      </c>
      <c r="C31773" t="n">
        <v>1</v>
      </c>
      <c r="D31773" t="inlineStr">
        <is>
          <t>Epée Gloursonne; Amulette du Strigide; Bague Gloursonne; Alliance Gloursonne; Quatre-feuilles; Ceinture du Strigide; Chapeau Lisson; Voile d'encre; Bottes du Strigide; Dofus Turquoise; Dofus Abyssal; Dofus Ocre; Dofus des Glaces; Dolmanax; Dofus Pourpre; Muldo Doré et Indigo</t>
        </is>
      </c>
    </row>
    <row r="31774">
      <c r="A31774" t="inlineStr">
        <is>
          <t>Stuff 1</t>
        </is>
      </c>
      <c r="B31774">
        <f>HYPERLINK("https://www.dofusbook.net/fr/equipement/1637966-stuff-1/objets", "link")</f>
        <v/>
      </c>
      <c r="C31774" t="n">
        <v>5</v>
      </c>
      <c r="D31774" t="inlineStr">
        <is>
          <t>Manthache; Amulette du Strigide; Anneau d'Allister; Alliance Gloursonne; Quatre-feuilles; Menoture; Capuche de Moum-Ra; Cape de Klime; Bottes du Strigide; Dofus Turquoise; Dofus Abyssal; Dofus Pourpre; Dofus Ocre; Cascadeur majeur; Muldo Ebène</t>
        </is>
      </c>
    </row>
    <row r="31775">
      <c r="A31775" t="inlineStr">
        <is>
          <t>fullib</t>
        </is>
      </c>
      <c r="B31775">
        <f>HYPERLINK("https://www.dofusbook.net/fr/equipement/1822983-fullib/objets", "link")</f>
        <v/>
      </c>
      <c r="C31775" t="n">
        <v>0</v>
      </c>
      <c r="D31775" t="inlineStr">
        <is>
          <t>Épée Brûlâme; Amulette du Strigide; Anneau Tique; Alliance Gloursonne; Bouclier du Captain Amakna; Poulpagne; Kidibonnet; Cape de Meno; Bottes de Meno; Dofus Nébuleux; Dofus Turquoise; Dofus Pourpre; Vigoureux majeur; Nomade; Remueur</t>
        </is>
      </c>
    </row>
    <row r="31776">
      <c r="A31776" t="inlineStr">
        <is>
          <t>Stuff 2</t>
        </is>
      </c>
      <c r="B31776">
        <f>HYPERLINK("https://www.dofusbook.net/fr/equipement/373144-stuff-2/objets", "link")</f>
        <v/>
      </c>
      <c r="C31776" t="n">
        <v>0</v>
      </c>
      <c r="D31776" t="inlineStr">
        <is>
          <t>Manthache; Collier du Valet Veinard; Gant du Valet Veinard; Alliance Gloursonne; Bouclier du Stalak; Menoture; Dorabysses; Cape Indescriptible; Palmes Trithons; Dofus Ocre; Dofus Pourpre; Dofus des Glaces; Dofus Abyssal; Cascadeur majeur; Muldo Ebène</t>
        </is>
      </c>
    </row>
    <row r="31777">
      <c r="A31777" t="inlineStr">
        <is>
          <t>airplus</t>
        </is>
      </c>
      <c r="B31777">
        <f>HYPERLINK("https://www.dofusbook.net/fr/equipement/1884537-airplus/objets", "link")</f>
        <v/>
      </c>
      <c r="C31777" t="n">
        <v>0</v>
      </c>
      <c r="D31777" t="inlineStr">
        <is>
          <t>Manthache; Collier du Valet Veinard; Alliance Gloursonne; Quatre-feuilles; Menoture; Dorabysses; Cape du Valet Veinard; Dofus Ocre; Dofus Abyssal; Dofus Turquoise; Cascadeur majeur; Miraculé majeur; Temporiseur majeur</t>
        </is>
      </c>
    </row>
    <row r="31778">
      <c r="A31778" t="inlineStr">
        <is>
          <t>Stuff 1</t>
        </is>
      </c>
      <c r="B31778">
        <f>HYPERLINK("https://www.dofusbook.net/fr/equipement/2290060-stuff-1/objets", "link")</f>
        <v/>
      </c>
      <c r="C31778" t="n">
        <v>1</v>
      </c>
      <c r="D31778" t="inlineStr">
        <is>
          <t>Arc de Koutoulou; Amulette du Strigide; Bague Gloursonne; Alliance Gloursonne; Quatre-feuilles; Ceinture du Strigide; Le Dorado; Voile d'encre; Bottes du Strigide; Dofus Nébuleux; Dofus Pourpre; Dofus des Glaces; Dolmanax; Dofus Turquoise; Muldo Prune et Doré</t>
        </is>
      </c>
    </row>
    <row r="31779">
      <c r="A31779" t="inlineStr">
        <is>
          <t>multi</t>
        </is>
      </c>
      <c r="B31779">
        <f>HYPERLINK("https://www.dofusbook.net/fr/equipement/2097729-multi/objets", "link")</f>
        <v/>
      </c>
      <c r="C31779" t="n">
        <v>1</v>
      </c>
      <c r="D31779" t="inlineStr">
        <is>
          <t>Arc du Chalœil; Amulette du Strigide; Bague Gloursonne; Anneau de Brouce; Quatre-feuilles; Ceintacé; Chapeau de Gein; Cape au Logis; Bottes de Brouce; Dofus Turquoise; Dofus Pourpre; Dofus Ocre; Vigoureux majeur; Nomade; Enragé majeur; Kompost</t>
        </is>
      </c>
    </row>
    <row r="31780">
      <c r="A31780" t="inlineStr">
        <is>
          <t>Stuff 1</t>
        </is>
      </c>
      <c r="B31780">
        <f>HYPERLINK("https://www.dofusbook.net/fr/equipement/2289810-stuff-1/objets", "link")</f>
        <v/>
      </c>
      <c r="C31780" t="n">
        <v>1</v>
      </c>
      <c r="D31780" t="inlineStr">
        <is>
          <t>Arc du Chalœil; Amulette du Strigide; Anneau de Brouce; Bague Gloursonne; Quatre-feuilles; Ceintacé; Chapeau de Gein; Voile d'encre; Bottes du Strigide; Dofus Pourpre; Dofus Turquoise; Remueur; Vigoureux majeur; Kramkram</t>
        </is>
      </c>
    </row>
    <row r="31781">
      <c r="A31781" t="inlineStr">
        <is>
          <t>Stuff 2</t>
        </is>
      </c>
      <c r="B31781">
        <f>HYPERLINK("https://www.dofusbook.net/fr/equipement/373137-stuff-2/objets", "link")</f>
        <v/>
      </c>
      <c r="C31781" t="n">
        <v>1</v>
      </c>
      <c r="D31781" t="inlineStr">
        <is>
          <t>Dagoulinantes; Amulette de l'Œil Attentif; Alliance Gloursonne; Bracelet des Fonds marins; Bouclier du Captain Amakna; Sangle Ouare; Capuche de l'Œil Attentif; Cape de la Dame du Hasard; Pataugastrique; Dofus Ocre; Dofus Abyssal; Dofus Pourpre; Dofus Turquoise; Dolmanax; Chanceux majeur; Kanigloups</t>
        </is>
      </c>
    </row>
    <row r="31782">
      <c r="A31782" t="inlineStr">
        <is>
          <t>Stuff 1</t>
        </is>
      </c>
      <c r="B31782">
        <f>HYPERLINK("https://www.dofusbook.net/fr/equipement/373105-stuff-1/objets", "link")</f>
        <v/>
      </c>
      <c r="C31782" t="n">
        <v>1</v>
      </c>
      <c r="D31782" t="inlineStr">
        <is>
          <t>Dagoulinantes; Amulette de Danathor; Alliance Gloursonne; Bracelet des Fonds marins; Quatre-feuilles; Ceinture Glaciale; Coiffe de Danathor; Cape Solution; Pataugastrique; Dofus Turquoise; Remueur; Muldo Indigo et Pourpre</t>
        </is>
      </c>
    </row>
    <row r="31783">
      <c r="A31783" t="inlineStr">
        <is>
          <t>Pandawa M 200</t>
        </is>
      </c>
      <c r="B31783">
        <f>HYPERLINK("https://www.dofusbook.net/fr/equipement/3468811-pandawa-m-200/objets", "link")</f>
        <v/>
      </c>
      <c r="C31783" t="n">
        <v>1</v>
      </c>
      <c r="D31783" t="inlineStr">
        <is>
          <t>Arc de Koutoulou; Amulette du Strigide; Anneau de Padgref; Alliance Gloursonne; Quatre-feuilles; Ceintacé; Chapeau Lisson; Chevelure de Tal Kasha; Bottes du Strigide; Dofus Nébuleux; Dofus Turquoise; Dofus Pourpre; Remueur; Chanceux majeur; Vigoureux majeur; Muldo Prune et Ebène</t>
        </is>
      </c>
    </row>
    <row r="31784">
      <c r="A31784" t="inlineStr">
        <is>
          <t>Stuff 1</t>
        </is>
      </c>
      <c r="B31784">
        <f>HYPERLINK("https://www.dofusbook.net/fr/equipement/1339228-stuff-1/objets", "link")</f>
        <v/>
      </c>
      <c r="C31784" t="n">
        <v>1</v>
      </c>
      <c r="D31784" t="inlineStr">
        <is>
          <t>Arc du Chalœil; Amulette du Cœur Saignant; Anneau de Brouce; Bague Gloursonne; Quatre-feuilles; Ceinture de la Reine des Voleurs; Bottes du Cœur Saignant; Dofus Pourpre; Dofus Ocre; Dofus Turquoise</t>
        </is>
      </c>
    </row>
    <row r="31785">
      <c r="A31785" t="inlineStr">
        <is>
          <t>FORCE</t>
        </is>
      </c>
      <c r="B31785">
        <f>HYPERLINK("https://www.dofusbook.net/fr/equipement/1461402-force/objets", "link")</f>
        <v/>
      </c>
      <c r="C31785" t="n">
        <v>0</v>
      </c>
      <c r="D31785" t="inlineStr">
        <is>
          <t>Arc corrompu; Pendentif affamé; Bague Gloursonne; Anneau Tique; Quatre-feuilles; Ceinture de Vortex; Cagoule de Vortex; Voile d'encre; Bottes d'Otomaï; Dofus Ocre; Dofus Turquoise; Dofus Pourpre; Étourdisseur majeur; Remueur; Érudit majeur</t>
        </is>
      </c>
    </row>
    <row r="31786">
      <c r="A31786" t="inlineStr">
        <is>
          <t>Stuff 1</t>
        </is>
      </c>
      <c r="B31786">
        <f>HYPERLINK("https://www.dofusbook.net/fr/equipement/1529116-stuff-1/objets", "link")</f>
        <v/>
      </c>
      <c r="C31786" t="n">
        <v>0</v>
      </c>
      <c r="D31786" t="inlineStr">
        <is>
          <t>Epée Gloursonne; Amulette du Strigide; Bague Gloursonne; Alliance Gloursonne; Quatre-feuilles; Ceinture du Strigide; Chapeau Lisson; Dofusteuse; Bottes du Strigide; Dolmanax; Dofus des Glaces; Dofus Pourpre; Dofus Turquoise; Dofus Ocre; Muldo Doré et Emeraude</t>
        </is>
      </c>
    </row>
    <row r="31787">
      <c r="A31787" t="inlineStr">
        <is>
          <t>Stuff 1</t>
        </is>
      </c>
      <c r="B31787">
        <f>HYPERLINK("https://www.dofusbook.net/fr/equipement/373111-stuff-1/objets", "link")</f>
        <v/>
      </c>
      <c r="C31787" t="n">
        <v>0</v>
      </c>
      <c r="D31787" t="inlineStr">
        <is>
          <t>Arc du Chalœil; Amulette du Strigide; Bague Gloursonne; Anneau de Brouce; Quatre-feuilles; Ceinture de Brouce; Chapeau de Gein; Voile d'encre; Bottes de Brouce; Dofus Turquoise; Dofus Pourpre; Dofus Ocre; Dolmanax; Dofus des Glaces; Muldo Doré et Emeraude</t>
        </is>
      </c>
    </row>
    <row r="31788">
      <c r="A31788" t="inlineStr">
        <is>
          <t>Stuff 3</t>
        </is>
      </c>
      <c r="B31788">
        <f>HYPERLINK("https://www.dofusbook.net/fr/equipement/2136420-stuff-3/objets", "link")</f>
        <v/>
      </c>
      <c r="C31788" t="n">
        <v>0</v>
      </c>
      <c r="D31788" t="inlineStr">
        <is>
          <t>Arc Nécrotique; Amulette du Strigide; Anneau Tique; Quatre-feuilles; Ceinture du Strigide; Casquette de Meno; Cape de Meno; Bottes de Meno; Dofus Ocre; Dofus Turquoise; Dofus des Glaces; Dofus Pourpre; Dolmanax; Dofus Vulbis</t>
        </is>
      </c>
    </row>
    <row r="31789">
      <c r="A31789" t="inlineStr">
        <is>
          <t>feu AIR terre</t>
        </is>
      </c>
      <c r="B31789">
        <f>HYPERLINK("https://www.dofusbook.net/fr/equipement/2136452-feu-air-terre/objets", "link")</f>
        <v/>
      </c>
      <c r="C31789" t="n">
        <v>0</v>
      </c>
      <c r="D31789" t="inlineStr">
        <is>
          <t>Arc corrompu; Amulette de Nileza; Anneauræus; Anneau Tique; Quatre-feuilles; Ceinture de Vortex; Cagoule de Vortex; Voile d'encre; Bottes d'Otomaï; Dofus Pourpre; Dofus Turquoise; Érudit majeur; Remueur; Dévastateur Feu majeur; Muldo Prune et Turquoise</t>
        </is>
      </c>
    </row>
    <row r="31790">
      <c r="A31790" t="inlineStr">
        <is>
          <t>feu AIR terre</t>
        </is>
      </c>
      <c r="B31790">
        <f>HYPERLINK("https://www.dofusbook.net/fr/equipement/1941353-feu-air-terre/objets", "link")</f>
        <v/>
      </c>
      <c r="C31790" t="n">
        <v>1</v>
      </c>
      <c r="D31790" t="inlineStr">
        <is>
          <t>Arc corrompu; Amulette de Nileza; Anneauræus; Anneau Tique; Quatre-feuilles; Ceinture de Vortex; Cagoule de Vortex; Voile d'encre; Bottes d'Otomaï; Dofus Pourpre; Dofus Turquoise; Érudit majeur; Remueur; Dévastateur Feu majeur; Muldo Prune et Turquoise</t>
        </is>
      </c>
    </row>
    <row r="31791">
      <c r="A31791" t="inlineStr">
        <is>
          <t>Feu/air/terre</t>
        </is>
      </c>
      <c r="B31791">
        <f>HYPERLINK("https://www.dofusbook.net/fr/equipement/1941306-feu-air-terre/objets", "link")</f>
        <v/>
      </c>
      <c r="C31791" t="n">
        <v>1</v>
      </c>
      <c r="D31791" t="inlineStr">
        <is>
          <t>Arc de Koutoulou; Amulette du Strigide; Alliance Gloursonne; Anneau d'Allister; Quatre-feuilles; Ceinture Glaciale; Chapeau Lisson; Voile d'encre; Bottes du Strigide; Dofus Turquoise; Dofus Abyssal; Dolmanax; Dofus Ocre; Dofus Pourpre; Dofus des Glaces; Kramkram</t>
        </is>
      </c>
    </row>
    <row r="31792">
      <c r="A31792" t="inlineStr">
        <is>
          <t>Stuff 2</t>
        </is>
      </c>
      <c r="B31792">
        <f>HYPERLINK("https://www.dofusbook.net/fr/equipement/1977207-stuff-2/objets", "link")</f>
        <v/>
      </c>
      <c r="C31792" t="n">
        <v>2</v>
      </c>
      <c r="D31792" t="inlineStr">
        <is>
          <t>Marteau Phossile; Amulette du Strigide; Alliance Gloursonne; Anneau Tique; Quatre-feuilles; Ceinture de Vortex; Chapeau Lisson; Cape des Justiciers; Bottes du Strigide; Dofus Pourpre; Dofus Turquoise; Remueur; Vigoureux majeur; Nomade; Kramkram</t>
        </is>
      </c>
    </row>
    <row r="31793">
      <c r="A31793" t="inlineStr">
        <is>
          <t>Stuff 2</t>
        </is>
      </c>
      <c r="B31793">
        <f>HYPERLINK("https://www.dofusbook.net/fr/equipement/373153-stuff-2/objets", "link")</f>
        <v/>
      </c>
      <c r="C31793" t="n">
        <v>0</v>
      </c>
      <c r="D31793" t="inlineStr">
        <is>
          <t>Marteau Phossile; Amulette du Strigide; Alliance Gloursonne; Anneau Tique; Quatre-feuilles; Ceinture de Vortex; Chapeau Lisson; Cape des Justiciers; Bottes du Strigide; Dofus Turquoise; Dofus Pourpre; Remueur; Vigoureux majeur; Nomade; Kramkram</t>
        </is>
      </c>
    </row>
    <row r="31794">
      <c r="A31794" t="inlineStr">
        <is>
          <t>All</t>
        </is>
      </c>
      <c r="B31794">
        <f>HYPERLINK("https://www.dofusbook.net/fr/equipement/1956554-all/objets", "link")</f>
        <v/>
      </c>
      <c r="C31794" t="n">
        <v>0</v>
      </c>
      <c r="D31794" t="inlineStr">
        <is>
          <t>Marteau Phossile; Amulette du Strigide; Anneau Tique; Alliance Gloursonne; Quatre-feuilles; Ceintacé; Chapeau Lisson; Cape Lati; Bottes du Strigide; Dofus Pourpre; Dofus Turquoise; Remueur; Vigoureux majeur; Nomade; Kramkram</t>
        </is>
      </c>
    </row>
    <row r="31795">
      <c r="A31795" t="inlineStr">
        <is>
          <t>ALLIN</t>
        </is>
      </c>
      <c r="B31795">
        <f>HYPERLINK("https://www.dofusbook.net/fr/equipement/1965221-allin/objets", "link")</f>
        <v/>
      </c>
      <c r="C31795" t="n">
        <v>0</v>
      </c>
      <c r="D31795" t="inlineStr">
        <is>
          <t>Marteau Phossile; Amulette du Strigide; Anneau Tique; Alliance Gloursonne; Bouclier Taverne; Ceintacé; Coiffe de Padgref; Cape de l'Œil Putride; Getas de Padgref; Dofus Pourpre; Dofus Turquoise; Nomade; Remueur; Vigoureux majeur; Kramkram</t>
        </is>
      </c>
    </row>
    <row r="31796">
      <c r="A31796" t="inlineStr">
        <is>
          <t>All</t>
        </is>
      </c>
      <c r="B31796">
        <f>HYPERLINK("https://www.dofusbook.net/fr/equipement/1951625-all/objets", "link")</f>
        <v/>
      </c>
      <c r="C31796" t="n">
        <v>0</v>
      </c>
      <c r="D31796" t="inlineStr">
        <is>
          <t>Arc de Koutoulou; Amulette du Strigide; Bracelet des Fonds marins; Alliance Gloursonne; Quatre-feuilles; Menoture; Chapeau Lisson; Cape du Barbétoal; Bottes du Strigide; Dofus Turquoise; Dofus Pourpre; Nomade; Remueur; Vigoureux majeur; Muldo Prune et Ebène</t>
        </is>
      </c>
    </row>
    <row r="31797">
      <c r="A31797" t="inlineStr">
        <is>
          <t>Feu/Air</t>
        </is>
      </c>
      <c r="B31797">
        <f>HYPERLINK("https://www.dofusbook.net/fr/equipement/1924407-feu-air/objets", "link")</f>
        <v/>
      </c>
      <c r="C31797" t="n">
        <v>0</v>
      </c>
      <c r="D31797" t="inlineStr">
        <is>
          <t>Marteau Phossile; Amulette du Strigide; Alliance Gloursonne; Anneau de Padgref; Bouclier du Captain Amakna; Ceinture de Vortex; Cagoule de Vortex; Voile d'encre; Pantoufles Émar; Dofus Pourpre; Dofus Turquoise; Vigoureux majeur; Remueur; Miraculé majeur; Nomade</t>
        </is>
      </c>
    </row>
    <row r="31798">
      <c r="A31798" t="inlineStr">
        <is>
          <t>Eau/Feu</t>
        </is>
      </c>
      <c r="B31798">
        <f>HYPERLINK("https://www.dofusbook.net/fr/equipement/1922152-eau-feu/objets", "link")</f>
        <v/>
      </c>
      <c r="C31798" t="n">
        <v>0</v>
      </c>
      <c r="D31798" t="inlineStr">
        <is>
          <t>Arc Nécrotique; Amulette du Strigide; Alliance Gloursonne; Bracelet des Fonds marins; Quatre-feuilles; Ceintacé; Casquette de Meno; Voile d'encre; Bottes de Meno; Dofus Turquoise; Dofus Pourpre; Remueur; Vigoureux majeur; Nomade; Kramkram</t>
        </is>
      </c>
    </row>
    <row r="31799">
      <c r="A31799" t="inlineStr">
        <is>
          <t>airplus</t>
        </is>
      </c>
      <c r="B31799">
        <f>HYPERLINK("https://www.dofusbook.net/fr/equipement/1887265-airplus/objets", "link")</f>
        <v/>
      </c>
      <c r="C31799" t="n">
        <v>0</v>
      </c>
      <c r="D31799" t="inlineStr">
        <is>
          <t>Manthache; Amulette du Strigide; Anneau d'Allister; Alliance Gloursonne; Quatre-feuilles; Menoture; Masque de Klime; Cape de Klime; Palmes Trithons; Dofus Turquoise; Dofus Pourpre; Remueur; Cascadeur majeur; Nomade; Kramkram</t>
        </is>
      </c>
    </row>
    <row r="31800">
      <c r="A31800" t="inlineStr">
        <is>
          <t>airplus</t>
        </is>
      </c>
      <c r="B31800">
        <f>HYPERLINK("https://www.dofusbook.net/fr/equipement/1885267-airplus/objets", "link")</f>
        <v/>
      </c>
      <c r="C31800" t="n">
        <v>0</v>
      </c>
      <c r="D31800" t="inlineStr">
        <is>
          <t>Manthache; Amulette du Strigide; Anneau d'Allister; Alliance Gloursonne; Quatre-feuilles; Menoture; Dorabysses; Voile d'encre; Palmes Trithons; Dofus Pourpre; Dofus Turquoise; Nomade; Remueur; Cascadeur majeur; Muldo Orchidée et Pourpre</t>
        </is>
      </c>
    </row>
    <row r="31801">
      <c r="A31801" t="inlineStr">
        <is>
          <t>airplus</t>
        </is>
      </c>
      <c r="B31801">
        <f>HYPERLINK("https://www.dofusbook.net/fr/equipement/1884952-airplus/objets", "link")</f>
        <v/>
      </c>
      <c r="C31801" t="n">
        <v>1</v>
      </c>
      <c r="D31801" t="inlineStr">
        <is>
          <t>Manthache; Amulette du Strigide; Anneau d'Allister; Alliance Gloursonne; Quatre-feuilles; Menoture; Masque de Klime; Cape de Klime; Palmes Trithons; Dofus Pourpre; Dofus Turquoise; Nomade; Remueur; Cascadeur majeur; Kramkram</t>
        </is>
      </c>
    </row>
    <row r="31802">
      <c r="A31802" t="inlineStr">
        <is>
          <t>airplus</t>
        </is>
      </c>
      <c r="B31802">
        <f>HYPERLINK("https://www.dofusbook.net/fr/equipement/1884561-airplus/objets", "link")</f>
        <v/>
      </c>
      <c r="C31802" t="n">
        <v>0</v>
      </c>
      <c r="D31802" t="inlineStr">
        <is>
          <t>Pelle de la Cour Sombre; Amulette du Strigide; Anneau d'Allister; Alliance Gloursonne; Quatre-feuilles; Menoture; Masque de Klime; Cape de Klime; Palmes Trithons; Dofus Turquoise; Cascadeur majeur; Dévastateur Air majeur; Miraculé majeur; Remueur; Muldo Roux et Ebène</t>
        </is>
      </c>
    </row>
    <row r="31803">
      <c r="A31803" t="inlineStr">
        <is>
          <t>airplus</t>
        </is>
      </c>
      <c r="B31803">
        <f>HYPERLINK("https://www.dofusbook.net/fr/equipement/1884554-airplus/objets", "link")</f>
        <v/>
      </c>
      <c r="C31803" t="n">
        <v>0</v>
      </c>
      <c r="D31803" t="inlineStr">
        <is>
          <t>Manthache; Amulette du Strigide; Alliance Gloursonne; Anneau d'Allister; Quatre-feuilles; Menoture; Masque de Klime; Cape de Klime; Palmes Trithons; Dofus Pourpre; Dofus Turquoise; Cascadeur majeur; Nomade; Remueur; Kramkram</t>
        </is>
      </c>
    </row>
    <row r="31804">
      <c r="A31804" t="inlineStr">
        <is>
          <t>Stuff 3</t>
        </is>
      </c>
      <c r="B31804">
        <f>HYPERLINK("https://www.dofusbook.net/fr/equipement/1882839-stuff-3/objets", "link")</f>
        <v/>
      </c>
      <c r="C31804" t="n">
        <v>0</v>
      </c>
      <c r="D31804" t="inlineStr">
        <is>
          <t>Baguette Range; Amulette du Strigide; Anneau de Padgref; Alliance Gloursonne; Quatre-feuilles; Ceintacé; Chapeau Lisson; Getas de Padgref; Dofus Pourpre; Dofus Turquoise; Vigoureux majeur; Remueur</t>
        </is>
      </c>
    </row>
    <row r="31805">
      <c r="A31805" t="inlineStr">
        <is>
          <t>Stuff 1</t>
        </is>
      </c>
      <c r="B31805">
        <f>HYPERLINK("https://www.dofusbook.net/fr/equipement/1489331-stuff-1/objets", "link")</f>
        <v/>
      </c>
      <c r="C31805" t="n">
        <v>0</v>
      </c>
      <c r="D31805" t="inlineStr">
        <is>
          <t>Héqache; Amulette du Strigide; Alliance Gloursonne; Bague Gloursonne; Quatre-feuilles; Ceintacé; Coiffe de la Fuji Givrefoux; Cape du Kamasterisk; Bottes du Cycloïde; Dofus Pourpre; Dofus Turquoise; Remueur; Nomade; Kramkram</t>
        </is>
      </c>
    </row>
    <row r="31806">
      <c r="A31806" t="inlineStr">
        <is>
          <t>Stuff 3</t>
        </is>
      </c>
      <c r="B31806">
        <f>HYPERLINK("https://www.dofusbook.net/fr/equipement/1880428-stuff-3/objets", "link")</f>
        <v/>
      </c>
      <c r="C31806" t="n">
        <v>0</v>
      </c>
      <c r="D31806" t="inlineStr">
        <is>
          <t>Arc de Koutoulou; Amulette du Strigide; Alliance Gloursonne; Grésilanneau; Quatre-feuilles; Ceinture du Barbétoal; Kidibonnet; Cape du Barbétoal; Dofus Émeraude; Dofus Pourpre; Dofus Turquoise</t>
        </is>
      </c>
    </row>
    <row r="31807">
      <c r="A31807" t="inlineStr">
        <is>
          <t>Stuff 1</t>
        </is>
      </c>
      <c r="B31807">
        <f>HYPERLINK("https://www.dofusbook.net/fr/equipement/1862382-stuff-1/objets", "link")</f>
        <v/>
      </c>
      <c r="C31807" t="n">
        <v>0</v>
      </c>
      <c r="D31807" t="inlineStr">
        <is>
          <t>Rapière aux Glyphes; Amulette de Shokkoth; Alliance Gloursonne; Bracelet des Fonds marins; Quatre-feuilles; Poulpagne; Masque des Fonds marins; Cape de la Dame du Hasard; Sandales Circulaires du Kimbo; Dofus Turquoise; Chanceux majeur; Remueur; Nomade; Joueur majeur; Dévastateur Eau majeur; Kramkram</t>
        </is>
      </c>
    </row>
    <row r="31808">
      <c r="A31808" t="inlineStr">
        <is>
          <t>Stuff 3</t>
        </is>
      </c>
      <c r="B31808">
        <f>HYPERLINK("https://www.dofusbook.net/fr/equipement/373141-stuff-3/objets", "link")</f>
        <v/>
      </c>
      <c r="C31808" t="n">
        <v>1</v>
      </c>
      <c r="D31808" t="inlineStr">
        <is>
          <t>Marteau Phossile; Amulette du Strigide; Anneau de Padgref; Alliance Gloursonne; Quatre-feuilles; Ceintacé; Coiffe de Padgref; Voile d'encre; Bottes du Cycloïde; Dofus Pourpre; Dofus des Glaces; Dofus Turquoise; Vigoureux majeur; Nomade; Remueur; Kramkram</t>
        </is>
      </c>
    </row>
    <row r="31809">
      <c r="A31809" t="inlineStr">
        <is>
          <t>Stuff 3</t>
        </is>
      </c>
      <c r="B31809">
        <f>HYPERLINK("https://www.dofusbook.net/fr/equipement/373122-stuff-3/objets", "link")</f>
        <v/>
      </c>
      <c r="C31809" t="n">
        <v>0</v>
      </c>
      <c r="D31809" t="inlineStr">
        <is>
          <t>Rapière aux Glyphes; Amulette de Shokkoth; Bracelet des Fonds marins; Alliance Gloursonne; Quatre-feuilles; Ceinture Glaciale; Kidibonnet; Cape du Sinistrofu; Bottes du Sinistrofu; Dofus Turquoise; Dofus Pourpre; Nomade; Remueur; Chanceux majeur; Kramkram</t>
        </is>
      </c>
    </row>
    <row r="31810">
      <c r="A31810" t="inlineStr">
        <is>
          <t>pimpoui</t>
        </is>
      </c>
      <c r="B31810">
        <f>HYPERLINK("https://www.dofusbook.net/fr/equipement/1812887-pimpoui/objets", "link")</f>
        <v/>
      </c>
      <c r="C31810" t="n">
        <v>0</v>
      </c>
      <c r="D31810" t="inlineStr">
        <is>
          <t>Arc de Koutoulou; Amulette du Strigide; Alliance Gloursonne; Bracelet des Fonds marins; Quatre-feuilles; Ceintacé; Chapeau des Malveilleurs; Cape des Malveilleurs; Bottes de la Reine des Voleurs; Dofus Pourpre; Dofus Turquoise; Vigoureux majeur; Remueur</t>
        </is>
      </c>
    </row>
    <row r="31811">
      <c r="A31811" t="inlineStr">
        <is>
          <t>Stuff 1</t>
        </is>
      </c>
      <c r="B31811">
        <f>HYPERLINK("https://www.dofusbook.net/fr/equipement/373120-stuff-1/objets", "link")</f>
        <v/>
      </c>
      <c r="C31811" t="n">
        <v>0</v>
      </c>
      <c r="D31811" t="inlineStr">
        <is>
          <t>Plumeau Bil; Amulette d'Otomaï; Bague Gloursonne; Anneau Tique; Quatre-feuilles; Ceinture Séculaire; Couronne de Nidas; Cape de Diondin; Bottes d'Otomaï; Dofus Turquoise; Dévastateur Feu majeur; Érudit majeur; Remueur; Muldo Orchidée</t>
        </is>
      </c>
    </row>
    <row r="31812">
      <c r="A31812" t="inlineStr">
        <is>
          <t>fluf</t>
        </is>
      </c>
      <c r="B31812">
        <f>HYPERLINK("https://www.dofusbook.net/fr/equipement/1820335-fluf/objets", "link")</f>
        <v/>
      </c>
      <c r="C31812" t="n">
        <v>0</v>
      </c>
      <c r="D31812" t="inlineStr">
        <is>
          <t>Arc Hétype; Amulette de l'Œil Putride; Bague Gloursonne; Anneau Tique; Ceinture de Vortex; Capuche de l'Œil Putride; Cape de l'Œil Putride; Bottes d'Otomaï; Dofus Turquoise; Savant majeur; Érudit majeur; Nomade; Miraculé majeur; Remueur; Muldo Prune et Orchidée</t>
        </is>
      </c>
    </row>
    <row r="31813">
      <c r="A31813" t="inlineStr">
        <is>
          <t>fuef</t>
        </is>
      </c>
      <c r="B31813">
        <f>HYPERLINK("https://www.dofusbook.net/fr/equipement/1820249-fuef/objets", "link")</f>
        <v/>
      </c>
      <c r="C31813" t="n">
        <v>0</v>
      </c>
      <c r="D31813" t="inlineStr">
        <is>
          <t>Arc Hétype; Amulette de Nileza; Bague Gloursonne; Anneau Tique; Quatre-feuilles; Ceinture de Vortex; Couronne de Nidas; Cape de Nileza; Pataugastrique; Dofus Turquoise; Dévastateur Feu majeur; Remueur; Savant majeur; Érudit majeur; Muldo Prune et Orchidée</t>
        </is>
      </c>
    </row>
    <row r="31814">
      <c r="A31814" t="inlineStr">
        <is>
          <t>AZ44</t>
        </is>
      </c>
      <c r="B31814">
        <f>HYPERLINK("https://www.dofusbook.net/fr/equipement/1423628-az44/objets", "link")</f>
        <v/>
      </c>
      <c r="C31814" t="n">
        <v>0</v>
      </c>
      <c r="D31814" t="inlineStr">
        <is>
          <t>Épée d'Otomaï; Pendentif affamé; Anneau Tique; Bague Gloursonne; Ceinture de Vortex; Cagoule de Vortex; Voile d'encre; Pataugastrique; Dofus Émeraude; Dofus Turquoise; Remueur; Muldo Orchidée et Pourpre</t>
        </is>
      </c>
    </row>
    <row r="31815">
      <c r="A31815" t="inlineStr">
        <is>
          <t>piim</t>
        </is>
      </c>
      <c r="B31815">
        <f>HYPERLINK("https://www.dofusbook.net/fr/equipement/1815529-piim/objets", "link")</f>
        <v/>
      </c>
      <c r="C31815" t="n">
        <v>0</v>
      </c>
      <c r="D31815" t="inlineStr">
        <is>
          <t>Arc de Koutoulou; Amulette du Strigide; Alliance Gloursonne; Grésilanneau; Quatre-feuilles; Ceinture du Barbétoal; Kidibonnet; Chevelure de Tal Kasha; Sandales de Tal Kasha; Dofus Pourpre; Dofus Turquoise; Cascadeur majeur; Chanceux majeur; Nomade; Remueur; Kramkram</t>
        </is>
      </c>
    </row>
    <row r="31816">
      <c r="A31816" t="inlineStr">
        <is>
          <t>Stuff 2</t>
        </is>
      </c>
      <c r="B31816">
        <f>HYPERLINK("https://www.dofusbook.net/fr/equipement/373121-stuff-2/objets", "link")</f>
        <v/>
      </c>
      <c r="C31816" t="n">
        <v>0</v>
      </c>
      <c r="D31816" t="inlineStr">
        <is>
          <t>Arc Nécrotique; Talisman Igans; Anneau Tique; Bracelet des Fonds marins; Quatre-feuilles; Ceintacé; Casquette de Meno; Voile d'encre; Bottes de Meno; Dofus Pourpre; Dofus Turquoise; Remueur; Nomade; Chanceux majeur; Vigoureux majeur; Kramkram</t>
        </is>
      </c>
    </row>
    <row r="31817">
      <c r="A31817" t="inlineStr">
        <is>
          <t>Stuff 3</t>
        </is>
      </c>
      <c r="B31817">
        <f>HYPERLINK("https://www.dofusbook.net/fr/equipement/1717502-stuff-3/objets", "link")</f>
        <v/>
      </c>
      <c r="C31817" t="n">
        <v>1</v>
      </c>
      <c r="D31817" t="inlineStr">
        <is>
          <t>Hache Téroïde; Amulette du Strigide; Chevalière du Roi Joueur; Bague Gloursonne; Quatre-feuilles; Ceintacé; Chapeau de Gein; Voile d'encre; Bottes du Strigide; Dofus Pourpre; Dofus Turquoise; Nomade; Vigoureux majeur; Remueur; Kramkram</t>
        </is>
      </c>
    </row>
    <row r="31818">
      <c r="A31818" t="inlineStr">
        <is>
          <t>Stuff 3</t>
        </is>
      </c>
      <c r="B31818">
        <f>HYPERLINK("https://www.dofusbook.net/fr/equipement/1717490-stuff-3/objets", "link")</f>
        <v/>
      </c>
      <c r="C31818" t="n">
        <v>0</v>
      </c>
      <c r="D31818" t="inlineStr">
        <is>
          <t>Hache Téroïde; Amulette du Strigide; Chevalière du Roi Joueur; Bague Gloursonne; Quatre-feuilles; Ceintacé; Chapeau de Gein; Voile d'encre; Bottes du Strigide; Dofus Pourpre; Dofus Turquoise; Nomade; Vigoureux majeur; Remueur; Kramkram</t>
        </is>
      </c>
    </row>
    <row r="31819">
      <c r="A31819" t="inlineStr">
        <is>
          <t>Stuff 3</t>
        </is>
      </c>
      <c r="B31819">
        <f>HYPERLINK("https://www.dofusbook.net/fr/equipement/373169-stuff-3/objets", "link")</f>
        <v/>
      </c>
      <c r="C31819" t="n">
        <v>0</v>
      </c>
      <c r="D31819" t="inlineStr">
        <is>
          <t>Arc de Koutoulou; Amulette du Strigide; Anneau Tique; Alliance Gloursonne; Quatre-feuilles; Ceintacé; Chapeau des Malveilleurs; Cape des Malveilleurs; Bottes de la Reine des Voleurs; Dofus Pourpre; Dofus Turquoise; Vigoureux majeur; Remueur; Cascadeur majeur; Chanceux majeur; Muldo Prune et Orchidée</t>
        </is>
      </c>
    </row>
    <row r="31820">
      <c r="A31820" t="inlineStr">
        <is>
          <t>Stuff 2</t>
        </is>
      </c>
      <c r="B31820">
        <f>HYPERLINK("https://www.dofusbook.net/fr/equipement/1643998-stuff-2/objets", "link")</f>
        <v/>
      </c>
      <c r="C31820" t="n">
        <v>0</v>
      </c>
      <c r="D31820" t="inlineStr">
        <is>
          <t>Arc Nécrotique; Talisman Igans; Anneau Tique; Alliance Gloursonne; Quatre-feuilles; Ceintacé; Casquette de Meno; Cape de la Dame du Hasard; Bottes de la Dame du Hasard; Dofus Pourpre; Dofus Turquoise; Chanceux majeur; Remueur; Érudit majeur; Vigoureux majeur; Muldo Orchidée</t>
        </is>
      </c>
    </row>
    <row r="31821">
      <c r="A31821" t="inlineStr">
        <is>
          <t>Stuff 3</t>
        </is>
      </c>
      <c r="B31821">
        <f>HYPERLINK("https://www.dofusbook.net/fr/equipement/373126-stuff-3/objets", "link")</f>
        <v/>
      </c>
      <c r="C31821" t="n">
        <v>0</v>
      </c>
      <c r="D31821" t="inlineStr">
        <is>
          <t>Epée Gloursonne; Amulette du Strigide; Alliance Gloursonne; Bague Gloursonne; Quatre-feuilles; Ceinture du Strigide; Chapeau de Gein; Voile d'encre; Bottes du Strigide; Dofus Pourpre; Dolmanax; Dofus Turquoise; Dofus des Glaces; Dofus Ocre; Muldo Prune et Indigo</t>
        </is>
      </c>
    </row>
    <row r="31822">
      <c r="A31822" t="inlineStr">
        <is>
          <t>Stuff 2</t>
        </is>
      </c>
      <c r="B31822">
        <f>HYPERLINK("https://www.dofusbook.net/fr/equipement/1346359-stuff-2/objets", "link")</f>
        <v/>
      </c>
      <c r="C31822" t="n">
        <v>0</v>
      </c>
      <c r="D31822" t="inlineStr">
        <is>
          <t>Hache du Guerrier Zoth; Amulette du Strigide; Chevalière du Roi Joueur; Alliance Gloursonne; Quatre-feuilles; Casque des égarés; Cape du Kamasterisk; Bottes du Kamasterisk; Dofus Ocre; Dofus Turquoise; Dofus Pourpre</t>
        </is>
      </c>
    </row>
    <row r="31823">
      <c r="A31823" t="inlineStr">
        <is>
          <t>Stuff 1</t>
        </is>
      </c>
      <c r="B31823">
        <f>HYPERLINK("https://www.dofusbook.net/fr/equipement/373146-stuff-1/objets", "link")</f>
        <v/>
      </c>
      <c r="C31823" t="n">
        <v>0</v>
      </c>
      <c r="D31823" t="inlineStr">
        <is>
          <t>Hache Téroïde; Amulette du Strigide; Bague Gloursonne; Anneau de Brouce; Quatre-feuilles; Ceinture de Gein; Chapeau de Gein; Voile d'encre; Bottes du Roi Joueur; Dofus Ocre; Dofus Turquoise; Dofus Pourpre; Remueur; Vigoureux majeur; Nomade</t>
        </is>
      </c>
    </row>
    <row r="31824">
      <c r="A31824" t="inlineStr">
        <is>
          <t>Stuff 2</t>
        </is>
      </c>
      <c r="B31824">
        <f>HYPERLINK("https://www.dofusbook.net/fr/equipement/1341505-stuff-2/objets", "link")</f>
        <v/>
      </c>
      <c r="C31824" t="n">
        <v>1</v>
      </c>
      <c r="D31824" t="inlineStr">
        <is>
          <t>Hache Ériphe; Amulette du Strigide; Alliance Gloursonne; Grésilanneau; Quatre-feuilles; Ceintacé; Chapoulpe; Cape du Kamasterisk; Bottes du Kamasterisk; Dofus Pourpre; Dofus Turquoise; Dofus Ocre; Dofus des Glaces; Vigoureux majeur; Muldo Prune et Pourpre</t>
        </is>
      </c>
    </row>
    <row r="31825">
      <c r="A31825" t="inlineStr">
        <is>
          <t>Stuff 2</t>
        </is>
      </c>
      <c r="B31825">
        <f>HYPERLINK("https://www.dofusbook.net/fr/equipement/373140-stuff-2/objets", "link")</f>
        <v/>
      </c>
      <c r="C31825" t="n">
        <v>0</v>
      </c>
      <c r="D31825" t="inlineStr">
        <is>
          <t>Epée Gloursonne; Amulette du Strigide; Alliance Gloursonne; Bague Gloursonne; Quatre-feuilles; Ceinture du Strigide; Chapeau Lisson; Voile d'encre; Bottes du Strigide; Dofus Émeraude; Dofus Ocre; Dofus des Glaces; Dofus Pourpre; Dofus Turquoise; Muldo Indigo et Emeraude</t>
        </is>
      </c>
    </row>
    <row r="31826">
      <c r="A31826" t="inlineStr">
        <is>
          <t>Stuff 1</t>
        </is>
      </c>
      <c r="B31826">
        <f>HYPERLINK("https://www.dofusbook.net/fr/equipement/1636942-stuff-1/objets", "link")</f>
        <v/>
      </c>
      <c r="C31826" t="n">
        <v>2</v>
      </c>
      <c r="D31826" t="inlineStr">
        <is>
          <t>Hache Ériphe; Amulette du Strigide; Alliance Gloursonne; Anneau de Brouce; Quatre-feuilles; Menoture; Casque de Missiz Frizz; Cape du Kamasterisk; Bottes du Kamasterisk; Dofus des Glaces; Dofus Turquoise; Dofus Pourpre; Dofus Ocre; Vigoureux majeur; Kramkram</t>
        </is>
      </c>
    </row>
    <row r="31827">
      <c r="A31827" t="inlineStr">
        <is>
          <t>Stuff 1</t>
        </is>
      </c>
      <c r="B31827">
        <f>HYPERLINK("https://www.dofusbook.net/fr/equipement/1463419-stuff-1/objets", "link")</f>
        <v/>
      </c>
      <c r="C31827" t="n">
        <v>0</v>
      </c>
      <c r="D31827" t="inlineStr">
        <is>
          <t>Arc du Chalœil; Amulette du Strigide; Bague Gloursonne; Anneau de Brouce; Quatre-feuilles; Ceinture de la Reine des Voleurs; Masque de Koutoulou; Cape au Logis; Bottes de Brouce; Dofus Pourpre; Dofus Turquoise; Remueur; Enragé majeur; Nomade; Carapace Terre majeur; Kramkram</t>
        </is>
      </c>
    </row>
    <row r="31828">
      <c r="A31828" t="inlineStr">
        <is>
          <t>Stuff 1</t>
        </is>
      </c>
      <c r="B31828">
        <f>HYPERLINK("https://www.dofusbook.net/fr/equipement/373133-stuff-1/objets", "link")</f>
        <v/>
      </c>
      <c r="C31828" t="n">
        <v>0</v>
      </c>
      <c r="D31828" t="inlineStr">
        <is>
          <t>Amulette du Strigide; Alliance Gloursonne; Quatre-feuilles; Ceintacé; Coiffe de Padgref; Cape des Malveilleurs; Getas de Padgref; Dofus Turquoise; Dofus Pourpre; Remueur; Vigoureux majeur</t>
        </is>
      </c>
    </row>
    <row r="31829">
      <c r="A31829" t="inlineStr">
        <is>
          <t>Stuff 2</t>
        </is>
      </c>
      <c r="B31829">
        <f>HYPERLINK("https://www.dofusbook.net/fr/equipement/373115-stuff-2/objets", "link")</f>
        <v/>
      </c>
      <c r="C31829" t="n">
        <v>0</v>
      </c>
      <c r="D31829" t="inlineStr">
        <is>
          <t>Harpelle; Amulette de Nileza; Anneau Tique; Bague Gloursonne; Bouclier du Captain Amakna; Ceinture de Vortex; Cagoule de Vortex; Cape de Diondin; Bottes d'Otomaï; Dofus Turquoise; Érudit majeur; Nomade; Remueur; Brûlih</t>
        </is>
      </c>
    </row>
    <row r="31830">
      <c r="A31830" t="inlineStr">
        <is>
          <t>Stuff 2</t>
        </is>
      </c>
      <c r="B31830">
        <f>HYPERLINK("https://www.dofusbook.net/fr/equipement/373134-stuff-2/objets", "link")</f>
        <v/>
      </c>
      <c r="C31830" t="n">
        <v>0</v>
      </c>
      <c r="D31830" t="inlineStr">
        <is>
          <t>Héqache; Amulette du Strigide; Anneau Chevelu; Alliance Gloursonne; Quatre-feuilles; Ceinture Rasboulaire du Rasboul; Chapoulpe; Voile d'encre; Bottes du Strigide; Dofus Turquoise; Dofus Pourpre; Nomade; Remueur; Vigoureux majeur; Kramkram</t>
        </is>
      </c>
    </row>
    <row r="31831">
      <c r="A31831" t="inlineStr">
        <is>
          <t>Stuff 1</t>
        </is>
      </c>
      <c r="B31831">
        <f>HYPERLINK("https://www.dofusbook.net/fr/equipement/373123-stuff-1/objets", "link")</f>
        <v/>
      </c>
      <c r="C31831" t="n">
        <v>0</v>
      </c>
      <c r="D31831" t="inlineStr">
        <is>
          <t>Bâthon; Amulette Héroclite; Anneau de Brouce; Bague Gloursonne; Bouclier du Stalak; Ceinture de Gein; Chapeau de Gein; Voile d'encre; Sabots Minables; Dofus Pourpre; Miraculé majeur; Remueur; Vigoureux majeur; Muldo Pourpre</t>
        </is>
      </c>
    </row>
    <row r="31832">
      <c r="A31832" t="inlineStr">
        <is>
          <t>Stuff 3</t>
        </is>
      </c>
      <c r="B31832">
        <f>HYPERLINK("https://www.dofusbook.net/fr/equipement/373113-stuff-3/objets", "link")</f>
        <v/>
      </c>
      <c r="C31832" t="n">
        <v>0</v>
      </c>
      <c r="D31832" t="inlineStr">
        <is>
          <t>Baguette des égarés; Amulette du Strigide; Alliance Gloursonne; Bague Gloursonne; Quatre-feuilles; Ceinture du Strigide; Chapeau Lisson; Cape Luminescente; Bottes du Strigide; Dofus Pourpre; Dofus Ocre; Dofus Turquoise; Dofus des Glaces; Muldo Prune et Indigo</t>
        </is>
      </c>
    </row>
    <row r="31833">
      <c r="A31833" t="inlineStr">
        <is>
          <t>Stuff 2</t>
        </is>
      </c>
      <c r="B31833">
        <f>HYPERLINK("https://www.dofusbook.net/fr/equipement/373162-stuff-2/objets", "link")</f>
        <v/>
      </c>
      <c r="C31833" t="n">
        <v>0</v>
      </c>
      <c r="D31833" t="inlineStr">
        <is>
          <t>Pelle de la Cour Sombre; Collier du Valet Veinard; Alliance Gloursonne; Gant du Valet Veinard; Bouclier du Stalak; Menoture; Chapibou; Cape Indescriptible; Palmes Trithons; Dofus des Glaces; Remueur; Cascadeur majeur; Saccageur Air majeur; Nomade; Dévastateur Air majeur; Siroko</t>
        </is>
      </c>
    </row>
    <row r="31834">
      <c r="A31834" t="inlineStr">
        <is>
          <t>Stuff 1</t>
        </is>
      </c>
      <c r="B31834">
        <f>HYPERLINK("https://www.dofusbook.net/fr/equipement/373167-stuff-1/objets", "link")</f>
        <v/>
      </c>
      <c r="C31834" t="n">
        <v>0</v>
      </c>
      <c r="D31834" t="inlineStr">
        <is>
          <t>Rapière aux Glyphes; Amulette de Shokkoth; Alliance Gloursonne; Bracelet des Fonds marins; Quatre-feuilles; Poulpagne; Masque des Fonds marins; Cape de la Dame du Hasard; Sandales des Fonds marins; Dofus Émeraude; Dofus Pourpre; Dofus Turquoise; Taquin majeur; Joueur majeur; Muldo Indigo</t>
        </is>
      </c>
    </row>
    <row r="31835">
      <c r="A31835" t="inlineStr">
        <is>
          <t>Stuff 1</t>
        </is>
      </c>
      <c r="B31835">
        <f>HYPERLINK("https://www.dofusbook.net/fr/equipement/1489373-stuff-1/objets", "link")</f>
        <v/>
      </c>
      <c r="C31835" t="n">
        <v>0</v>
      </c>
      <c r="D31835" t="inlineStr">
        <is>
          <t>Baguette de Malléfisk; Amulette de Nileza; Bague Gloursonne; Anneau Tique; Quatre-feuilles; Ceinture de Vortex; Cagoule de Vortex; Cape de Diondin; Bottes d'Otomaï; Dofus Turquoise; Nomade; Remueur; Savant majeur; Érudit majeur; Dévastateur Feu majeur; Kramkram</t>
        </is>
      </c>
    </row>
    <row r="31836">
      <c r="A31836" t="inlineStr">
        <is>
          <t>Stuff 1</t>
        </is>
      </c>
      <c r="B31836">
        <f>HYPERLINK("https://www.dofusbook.net/fr/equipement/1489333-stuff-1/objets", "link")</f>
        <v/>
      </c>
      <c r="C31836" t="n">
        <v>0</v>
      </c>
      <c r="D31836" t="inlineStr">
        <is>
          <t>Plumeau Bil; Amulette de Nileza; Bague Gloursonne; Anneau Tique; Quatre-feuilles; Ceinture de Vortex; Cagoule de Vortex; Cape de Diondin; Bottes d'Otomaï; Dofus Turquoise; Érudit majeur; Dévastateur Feu majeur; Nomade; Remueur; Savant majeur; Muldo Prune et Orchidée</t>
        </is>
      </c>
    </row>
    <row r="31837">
      <c r="A31837" t="inlineStr">
        <is>
          <t>Stuff 1</t>
        </is>
      </c>
      <c r="B31837">
        <f>HYPERLINK("https://www.dofusbook.net/fr/equipement/1485361-stuff-1/objets", "link")</f>
        <v/>
      </c>
      <c r="C31837" t="n">
        <v>0</v>
      </c>
      <c r="D31837" t="inlineStr">
        <is>
          <t>Pendentif affamé; Anneauræus; Anneau Tique; Quatre-feuilles; Ceinture de Vortex; Cagoule de Vortex; Cape de Diondin; Bottes d'Otomaï; Dofus Turquoise; Remueur; Érudit majeur; Nomade</t>
        </is>
      </c>
    </row>
    <row r="31838">
      <c r="A31838" t="inlineStr">
        <is>
          <t>Stuff 1</t>
        </is>
      </c>
      <c r="B31838">
        <f>HYPERLINK("https://www.dofusbook.net/fr/equipement/1461315-stuff-1/objets", "link")</f>
        <v/>
      </c>
      <c r="C31838" t="n">
        <v>0</v>
      </c>
      <c r="D31838" t="inlineStr">
        <is>
          <t>Arc de Koutoulou; Amulette du Strigide; Grésilanneau; Alliance Gloursonne; Quatre-feuilles; Ceintacé; Chapeau des Malveilleurs; Cape des Malveilleurs; Bottes de la Reine des Voleurs; Dofus Pourpre; Dofus Turquoise; Remueur; Vigoureux majeur; Kramkram</t>
        </is>
      </c>
    </row>
    <row r="31839">
      <c r="A31839" t="inlineStr">
        <is>
          <t>Stuff 1</t>
        </is>
      </c>
      <c r="B31839">
        <f>HYPERLINK("https://www.dofusbook.net/fr/equipement/1338477-stuff-1/objets", "link")</f>
        <v/>
      </c>
      <c r="C31839" t="n">
        <v>0</v>
      </c>
      <c r="D31839" t="inlineStr">
        <is>
          <t>Baguette de Malléfisk; Pendentif affamé; Anneauræus; Anneau Tique; Quatre-feuilles; Ceinture de Vortex; Cagoule de Vortex; Cape de Diondin; Bottes d'Otomaï; Dofus Pourpre; Dofus Turquoise; Remueur; Carapace Feu majeur; Érudit majeur; Nomade; Kramkram</t>
        </is>
      </c>
    </row>
    <row r="31840">
      <c r="A31840" t="inlineStr">
        <is>
          <t>Stuff 3</t>
        </is>
      </c>
      <c r="B31840">
        <f>HYPERLINK("https://www.dofusbook.net/fr/equipement/373135-stuff-3/objets", "link")</f>
        <v/>
      </c>
      <c r="C31840" t="n">
        <v>1</v>
      </c>
      <c r="D31840" t="inlineStr">
        <is>
          <t>Baguette de Malléfisk; Amulette de Nileza; Anneauræus; Chevalière du Roi Joueur; Quatre-feuilles; Ceinture Séculaire; Coiffe Séculaire; Cape de Diondin; Bottes d'Otomaï; Dofus Turquoise; Savant majeur; Dévastateur Feu majeur; Remueur; Érudit majeur; Nomade; Kramkram</t>
        </is>
      </c>
    </row>
    <row r="31841">
      <c r="A31841" t="inlineStr">
        <is>
          <t>Stuff 3</t>
        </is>
      </c>
      <c r="B31841">
        <f>HYPERLINK("https://www.dofusbook.net/fr/equipement/373138-stuff-3/objets", "link")</f>
        <v/>
      </c>
      <c r="C31841" t="n">
        <v>1</v>
      </c>
      <c r="D31841" t="inlineStr">
        <is>
          <t>Epée Toche; Amulette du Strigide; Bague Gloursonne; Chevalière du Roi Joueur; Bouclier du Captain Amakna; Ceintacé; Chapeau de Gein; Voile d'encre; Bottes du Strigide; Dofus des Glaces; Dofus Turquoise; Dofus Pourpre; Vigoureux majeur; Remueur; Kramkram</t>
        </is>
      </c>
    </row>
    <row r="31842">
      <c r="A31842" t="inlineStr">
        <is>
          <t>Stuff 2</t>
        </is>
      </c>
      <c r="B31842">
        <f>HYPERLINK("https://www.dofusbook.net/fr/equipement/1323592-stuff-2/objets", "link")</f>
        <v/>
      </c>
      <c r="C31842" t="n">
        <v>0</v>
      </c>
      <c r="D31842" t="inlineStr">
        <is>
          <t>Canne Harr; Amulette du Strigide; Anneau Tique; Alliance Gloursonne; Quatre-feuilles; Ceintacé; Coiffe de Padgref; Cape Hiculteur; Bottes du Strigide; Dofus des Glaces; Dofus Turquoise; Dofus Pourpre; Vigoureux majeur; Remueur</t>
        </is>
      </c>
    </row>
    <row r="31843">
      <c r="A31843" t="inlineStr">
        <is>
          <t>Stuff 1</t>
        </is>
      </c>
      <c r="B31843">
        <f>HYPERLINK("https://www.dofusbook.net/fr/equipement/373124-stuff-1/objets", "link")</f>
        <v/>
      </c>
      <c r="C31843" t="n">
        <v>0</v>
      </c>
      <c r="D31843" t="inlineStr">
        <is>
          <t>Baguette de Malléfisk; Pendentif affamé; Anneauræus; Anneau Tique; Quatre-feuilles; Ceinture de Vortex; Cagoule de Vortex; Cape de Diondin; Bottes d'Otomaï; Dofus Pourpre; Dofus Turquoise; Érudit majeur; Nomade; Remueur; Muldo Orchidée</t>
        </is>
      </c>
    </row>
    <row r="31844">
      <c r="A31844" t="inlineStr">
        <is>
          <t>Stuff 1</t>
        </is>
      </c>
      <c r="B31844">
        <f>HYPERLINK("https://www.dofusbook.net/fr/equipement/373127-stuff-1/objets", "link")</f>
        <v/>
      </c>
      <c r="C31844" t="n">
        <v>1</v>
      </c>
      <c r="D31844" t="inlineStr">
        <is>
          <t>Arc Hétype; Amulette de Nileza; Anneau Tique; Anneauræus; Bouclier du Cycloïde; Ceinture de Vortex; Cagoule de Vortex; Cape de Diondin; Bottes Innommables; Savant majeur; Remueur; Dévastateur Feu majeur; Astucieux majeur; Érudit majeur; Nomade; Brûlih</t>
        </is>
      </c>
    </row>
    <row r="31845">
      <c r="A31845" t="inlineStr">
        <is>
          <t>Stuff 3</t>
        </is>
      </c>
      <c r="B31845">
        <f>HYPERLINK("https://www.dofusbook.net/fr/equipement/373116-stuff-3/objets", "link")</f>
        <v/>
      </c>
      <c r="C31845" t="n">
        <v>1</v>
      </c>
      <c r="D31845" t="inlineStr">
        <is>
          <t>Epée Toche; Amulette du Strigide; Bague Gloursonne; Chevalière du Roi Joueur; Bouclier du Stalak; Ceinture du Strigide; Masque de Koutoulou; Voile d'encre; Chaussons du Comte Razof; Dofus Pourpre; Dofus Émeraude; Dofus Turquoise; Remueur; Nomade; Vigoureux majeur; Dragodinde en armure</t>
        </is>
      </c>
    </row>
    <row r="31846">
      <c r="A31846" t="inlineStr">
        <is>
          <t>Stuff 3</t>
        </is>
      </c>
      <c r="B31846">
        <f>HYPERLINK("https://www.dofusbook.net/fr/equipement/373129-stuff-3/objets", "link")</f>
        <v/>
      </c>
      <c r="C31846" t="n">
        <v>0</v>
      </c>
      <c r="D31846" t="inlineStr">
        <is>
          <t>Dagoulinantes; Amulette de Shokkoth; Bracelet des Fonds marins; Alliance Gloursonne; Bouclier du Stalak; Ceinture Glaciale; Kidibonnet; Cape Glaciale; Sandales Circulaires du Kimbo; Dofus Turquoise; Vigoureux majeur; Dévastateur Eau majeur; Remueur; Chanceux majeur; Carapace Terre majeur; Muldo Ebène et Indigo</t>
        </is>
      </c>
    </row>
    <row r="31847">
      <c r="A31847" t="inlineStr">
        <is>
          <t>Stuff 2</t>
        </is>
      </c>
      <c r="B31847">
        <f>HYPERLINK("https://www.dofusbook.net/fr/equipement/373128-stuff-2/objets", "link")</f>
        <v/>
      </c>
      <c r="C31847" t="n">
        <v>0</v>
      </c>
      <c r="D31847" t="inlineStr">
        <is>
          <t>Bêche Asse; Collier de Tourthon; Bracelet du Piloztère; Anneau Crustique; Ceintouse; Ankhape; Baleinabottes; Fonceur majeur; Enragé majeur; Remueur; Obstructeur majeur; Muldo Indigo et Pourpre</t>
        </is>
      </c>
    </row>
    <row r="31848">
      <c r="A31848" t="inlineStr">
        <is>
          <t>Stuff 2</t>
        </is>
      </c>
      <c r="B31848">
        <f>HYPERLINK("https://www.dofusbook.net/fr/equipement/373118-stuff-2/objets", "link")</f>
        <v/>
      </c>
      <c r="C31848" t="n">
        <v>0</v>
      </c>
      <c r="D31848" t="inlineStr">
        <is>
          <t>Pelle de la Cour Sombre; Frimamulette; Alliance Gloursonne; Anneau d'Allister; Ceinture Rasboulaire du Rasboul; Casque des égarés; Cape de Klime; Pantoufles Émar; Dofus Turquoise; Dévastateur Air majeur; Remueur; Cascadeur majeur; Muldo Orchidée</t>
        </is>
      </c>
    </row>
    <row r="31849">
      <c r="A31849" t="inlineStr">
        <is>
          <t>zar</t>
        </is>
      </c>
      <c r="B31849">
        <f>HYPERLINK("https://www.dofusbook.net/fr/equipement/835726-zar/objets", "link")</f>
        <v/>
      </c>
      <c r="C31849" t="n">
        <v>0</v>
      </c>
      <c r="D31849" t="inlineStr">
        <is>
          <t>Baguette de Malléfisk; Pendentif affamé; Anneauræus; Anneau Tique; Bouclier du Stalak; Ceinture de Vortex; Cagoule de Vortex; Cape de Diondin; Bottes d'Otomaï; Dofus Pourpre; Dofus Turquoise; Remueur; Fonceur majeur; Érudit majeur; Miraculé majeur; Muldo Orchidée</t>
        </is>
      </c>
    </row>
    <row r="31850">
      <c r="A31850" t="inlineStr">
        <is>
          <t>Stuff 3</t>
        </is>
      </c>
      <c r="B31850">
        <f>HYPERLINK("https://www.dofusbook.net/fr/equipement/766963-stuff-3/objets", "link")</f>
        <v/>
      </c>
      <c r="C31850" t="n">
        <v>0</v>
      </c>
      <c r="D31850" t="inlineStr">
        <is>
          <t>Pelle de la Cour Sombre; Frimamulette; Anneau de Padgref; Alliance Gloursonne; Bouclier du Stalak; Ceinture Rasboulaire du Rasboul; Coiffe de Padgref; Cape Matelassée; Palmes Trithons; Dofus Pourpre; Dofus Turquoise; Cascadeur majeur; Remueur; Miraculé majeur; Dévastateur Air majeur; Muldo Ebène et Orchidée</t>
        </is>
      </c>
    </row>
    <row r="31851">
      <c r="A31851" t="inlineStr">
        <is>
          <t>Stuff 1</t>
        </is>
      </c>
      <c r="B31851">
        <f>HYPERLINK("https://www.dofusbook.net/fr/equipement/373152-stuff-1/objets", "link")</f>
        <v/>
      </c>
      <c r="C31851" t="n">
        <v>0</v>
      </c>
      <c r="D31851" t="inlineStr">
        <is>
          <t>Baguette Range; Amulette du Strigide; Anneau de Padgref; Alliance Gloursonne; Ceinture du Strigide; Coiffe de Padgref; Voile d'encre; Bottes du Strigide; Dofus Turquoise; Dofus Émeraude; Dofus Ocre; Dofus des Glaces; Dolmanax; Dofus Pourpre; Muldo Doré et Emeraude</t>
        </is>
      </c>
    </row>
    <row r="31852">
      <c r="A31852" t="inlineStr">
        <is>
          <t>Stuff 2</t>
        </is>
      </c>
      <c r="B31852">
        <f>HYPERLINK("https://www.dofusbook.net/fr/equipement/373156-stuff-2/objets", "link")</f>
        <v/>
      </c>
      <c r="C31852" t="n">
        <v>0</v>
      </c>
      <c r="D31852" t="inlineStr">
        <is>
          <t>Dagues Érhy; Amulette de Gein; Bague Gloursonne; Anneau Tique; Ceintacé; Chapeau de Gein; Voile d'encre; Bottes d'Otomaï; Dofus Turquoise; Dolmanax; Nomade; Carapace Feu majeur; Remueur; El Scarador</t>
        </is>
      </c>
    </row>
    <row r="31853">
      <c r="A31853" t="inlineStr">
        <is>
          <t>Stuff 3</t>
        </is>
      </c>
      <c r="B31853">
        <f>HYPERLINK("https://www.dofusbook.net/fr/equipement/373119-stuff-3/objets", "link")</f>
        <v/>
      </c>
      <c r="C31853" t="n">
        <v>0</v>
      </c>
      <c r="D31853" t="inlineStr">
        <is>
          <t>Pelle de la Cour Sombre; Amulette du Strigide; Gant du Valet Veinard; Alliance Gloursonne; Ceinture Rasboulaire du Rasboul; Capuche de Moum-Ra; Chevelure de Tal Kasha; Palmes Trithons; Dofus Turquoise; Remueur; Fonceur majeur; Cascadeur majeur</t>
        </is>
      </c>
    </row>
    <row r="31854">
      <c r="A31854" t="inlineStr">
        <is>
          <t>Stuff 1</t>
        </is>
      </c>
      <c r="B31854">
        <f>HYPERLINK("https://www.dofusbook.net/fr/equipement/373136-stuff-1/objets", "link")</f>
        <v/>
      </c>
      <c r="C31854" t="n">
        <v>0</v>
      </c>
      <c r="D31854" t="inlineStr">
        <is>
          <t>Pelle de la Cour Sombre; Frimamulette; Anneau d'Allister; Alliance Gloursonne; Ceinture Rasboulaire du Rasboul; Dorabysses; Cape de Klime; Palmes Trithons; Dofus Turquoise; Dofus Pourpre; Dofus Ocre; Vigoureux majeur; Cascadeur majeur; Remueur; Muldo Ebène et Orchidée</t>
        </is>
      </c>
    </row>
    <row r="31855">
      <c r="A31855" t="inlineStr">
        <is>
          <t>Stuff 2</t>
        </is>
      </c>
      <c r="B31855">
        <f>HYPERLINK("https://www.dofusbook.net/fr/equipement/373131-stuff-2/objets", "link")</f>
        <v/>
      </c>
      <c r="C31855" t="n">
        <v>0</v>
      </c>
      <c r="D31855" t="inlineStr">
        <is>
          <t>Arc de Koutoulou; Amulette du Strigide; Alliance Gloursonne; Ceintacé; Chapeau des Malveilleurs; Cape des Malveilleurs; Bottes de la Reine des Voleurs; Dofus Pourpre; Dofus Turquoise; Remueur; Vigoureux majeur; Nomade; Dragodinde en armure</t>
        </is>
      </c>
    </row>
    <row r="31856">
      <c r="A31856" t="inlineStr">
        <is>
          <t>Stuff 3</t>
        </is>
      </c>
      <c r="B31856">
        <f>HYPERLINK("https://www.dofusbook.net/fr/equipement/373163-stuff-3/objets", "link")</f>
        <v/>
      </c>
      <c r="C31856" t="n">
        <v>0</v>
      </c>
      <c r="D31856" t="inlineStr">
        <is>
          <t>Arc Hétype; Pendentif affamé; Anneau Tique; Chevalière du Roi Joueur; Ceinture de Vortex; Cagoule de Vortex; Voile d'encre; Pataugastrique; Nomade; Érudit majeur; Miraculé majeur; Remueur; Dragodinde en armure</t>
        </is>
      </c>
    </row>
    <row r="31857">
      <c r="A31857" t="inlineStr">
        <is>
          <t>Stuff 1</t>
        </is>
      </c>
      <c r="B31857">
        <f>HYPERLINK("https://www.dofusbook.net/fr/equipement/373130-stuff-1/objets", "link")</f>
        <v/>
      </c>
      <c r="C31857" t="n">
        <v>1</v>
      </c>
      <c r="D31857" t="inlineStr">
        <is>
          <t>Epée Gloursonne; Amulette du Strigide; Alliance Gloursonne; Bague Gloursonne; Ceinture du Strigide; Chapeau Lisson; Voile d'encre; Bottes du Strigide; Dofus Ocre; Dofus Pourpre; Dolmanax; Dofus Nébuleux; Dofus Turquoise; Dofus des Glaces; Dragodinde en armure</t>
        </is>
      </c>
    </row>
    <row r="31858">
      <c r="A31858" t="inlineStr">
        <is>
          <t>Stuff 3</t>
        </is>
      </c>
      <c r="B31858">
        <f>HYPERLINK("https://www.dofusbook.net/fr/equipement/373157-stuff-3/objets", "link")</f>
        <v/>
      </c>
      <c r="C31858" t="n">
        <v>0</v>
      </c>
      <c r="D31858" t="inlineStr">
        <is>
          <t>Pelle de la Cour Sombre; Amulette du Kamasterisk; Alliance Gloursonne; Gant du Valet Veinard; Ceinture Rasboulaire du Rasboul; Dorabysses; Cape du Kamasterisk; Pantoufles Émar; Dofus Émeraude; Dofus Turquoise; Dofus Pourpre; Muldo Ebène et Orchidée</t>
        </is>
      </c>
    </row>
    <row r="31859">
      <c r="A31859" t="inlineStr">
        <is>
          <t>Stuff 3</t>
        </is>
      </c>
      <c r="B31859">
        <f>HYPERLINK("https://www.dofusbook.net/fr/equipement/373132-stuff-3/objets", "link")</f>
        <v/>
      </c>
      <c r="C31859" t="n">
        <v>1</v>
      </c>
      <c r="D31859" t="inlineStr">
        <is>
          <t>Dagoulinantes; Amulette de Shokkoth; Alliance Gloursonne; Bracelet des Fonds marins; Ceinture Glaciale; Kidibonnet; Cape de Mantaze; Sandales des Fonds marins; Dofus Turquoise; Dofus Pourpre; Dolmanax; Remueur; Chanceux majeur; Nomade; Dragodinde en armure</t>
        </is>
      </c>
    </row>
    <row r="31860">
      <c r="A31860" t="inlineStr">
        <is>
          <t>Stuff 3</t>
        </is>
      </c>
      <c r="B31860">
        <f>HYPERLINK("https://www.dofusbook.net/fr/equipement/373154-stuff-3/objets", "link")</f>
        <v/>
      </c>
      <c r="C31860" t="n">
        <v>0</v>
      </c>
      <c r="D31860" t="inlineStr">
        <is>
          <t>Rapière aux Glyphes; Amulette de Shokkoth; Alliance Gloursonne; Bracelet des Fonds marins; Bouclier du Captain Amakna; Poulpagne; Masque des Fonds marins; Cape de la Dame du Hasard; Sandales Circulaires du Kimbo; Dofus Turquoise; Miraculé majeur; Dévastateur Eau majeur; Chanceux majeur; Remueur; Muldo Prune et Indigo</t>
        </is>
      </c>
    </row>
    <row r="31861">
      <c r="A31861" t="inlineStr">
        <is>
          <t>Stuff 1</t>
        </is>
      </c>
      <c r="B31861">
        <f>HYPERLINK("https://www.dofusbook.net/fr/equipement/373149-stuff-1/objets", "link")</f>
        <v/>
      </c>
      <c r="C31861" t="n">
        <v>1</v>
      </c>
      <c r="D31861" t="inlineStr">
        <is>
          <t>Epée Gloursonne; Amulette du Strigide; Bague Gloursonne; Alliance Gloursonne; Ceinture du Strigide; Casque de Missiz Frizz; Voile d'encre; Bottes du Strigide; Dofus Ocre; Dofus Turquoise; Dofus des Glaces; Dofus Pourpre; Dolmanax; Muldo Indigo et Pourpre</t>
        </is>
      </c>
    </row>
    <row r="31862">
      <c r="A31862" t="inlineStr">
        <is>
          <t>Stuff 2</t>
        </is>
      </c>
      <c r="B31862">
        <f>HYPERLINK("https://www.dofusbook.net/fr/equipement/373156-stuff-2/objets", "link")</f>
        <v/>
      </c>
      <c r="C31862" t="n">
        <v>0</v>
      </c>
      <c r="D31862" t="inlineStr">
        <is>
          <t>Dagues Érhy; Amulette de Gein; Anneau Tique; Bague Gloursonne; Ceintacé; Chapeau de Gein; Voile d'encre; Bottes d'Otomaï; Dofus Turquoise; Dolmanax; Nomade; Carapace Feu majeur; Remueur; El Scarador</t>
        </is>
      </c>
    </row>
    <row r="31863">
      <c r="A31863" t="inlineStr">
        <is>
          <t>Stuff 3</t>
        </is>
      </c>
      <c r="B31863">
        <f>HYPERLINK("https://www.dofusbook.net/fr/equipement/373119-stuff-3/objets", "link")</f>
        <v/>
      </c>
      <c r="C31863" t="n">
        <v>0</v>
      </c>
      <c r="D31863" t="inlineStr">
        <is>
          <t>Pelle de la Cour Sombre; Amulette du Strigide; Gant du Valet Veinard; Alliance Gloursonne; Ceinture Rasboulaire du Rasboul; Capuche de Moum-Ra; Chevelure de Tal Kasha; Palmes Trithons; Dofus Turquoise; Remueur; Fonceur majeur; Cascadeur majeur</t>
        </is>
      </c>
    </row>
    <row r="31864">
      <c r="A31864" t="inlineStr">
        <is>
          <t>Stuff 1</t>
        </is>
      </c>
      <c r="B31864">
        <f>HYPERLINK("https://www.dofusbook.net/fr/equipement/373136-stuff-1/objets", "link")</f>
        <v/>
      </c>
      <c r="C31864" t="n">
        <v>0</v>
      </c>
      <c r="D31864" t="inlineStr">
        <is>
          <t>Pelle de la Cour Sombre; Frimamulette; Anneau d'Allister; Alliance Gloursonne; Ceinture Rasboulaire du Rasboul; Dorabysses; Cape de Klime; Palmes Trithons; Dofus Pourpre; Dofus Ocre; Dofus Turquoise; Vigoureux majeur; Cascadeur majeur; Remueur; Muldo Ebène et Orchidée</t>
        </is>
      </c>
    </row>
    <row r="31865">
      <c r="A31865" t="inlineStr">
        <is>
          <t>Stuff 3</t>
        </is>
      </c>
      <c r="B31865">
        <f>HYPERLINK("https://www.dofusbook.net/fr/equipement/373163-stuff-3/objets", "link")</f>
        <v/>
      </c>
      <c r="C31865" t="n">
        <v>0</v>
      </c>
      <c r="D31865" t="inlineStr">
        <is>
          <t>Arc Hétype; Pendentif affamé; Chevalière du Roi Joueur; Anneau Tique; Ceinture de Vortex; Cagoule de Vortex; Voile d'encre; Pataugastrique; Remueur; Nomade; Érudit majeur; Miraculé majeur; Dragodinde en armure</t>
        </is>
      </c>
    </row>
    <row r="31866">
      <c r="A31866" t="inlineStr">
        <is>
          <t>Stuff 2</t>
        </is>
      </c>
      <c r="B31866">
        <f>HYPERLINK("https://www.dofusbook.net/fr/equipement/373131-stuff-2/objets", "link")</f>
        <v/>
      </c>
      <c r="C31866" t="n">
        <v>0</v>
      </c>
      <c r="D31866" t="inlineStr">
        <is>
          <t>Arc de Koutoulou; Amulette du Strigide; Alliance Gloursonne; Ceintacé; Chapeau des Malveilleurs; Cape des Malveilleurs; Bottes de la Reine des Voleurs; Dofus Pourpre; Dofus Turquoise; Remueur; Vigoureux majeur; Nomade; Dragodinde en armure</t>
        </is>
      </c>
    </row>
    <row r="31867">
      <c r="A31867" t="inlineStr">
        <is>
          <t>Stuff 1</t>
        </is>
      </c>
      <c r="B31867">
        <f>HYPERLINK("https://www.dofusbook.net/fr/equipement/373158-stuff-1/objets", "link")</f>
        <v/>
      </c>
      <c r="C31867" t="n">
        <v>0</v>
      </c>
      <c r="D31867" t="inlineStr">
        <is>
          <t>Dagues Érhy; Collier de la Dame du Hasard; Bracelet du Piloztère; Pikano; Ceinture de la Reine des Voleurs; Kidibonnet; Voile d'encre; Pantoufles du Piloztère; Dofus Pourpre; Nomade; Carapace Terre majeur; Vigoureux majeur; Remueur; Temporiseur majeur; Dragodinde en armure</t>
        </is>
      </c>
    </row>
    <row r="31868">
      <c r="A31868" t="inlineStr">
        <is>
          <t>Stuff 1</t>
        </is>
      </c>
      <c r="B31868">
        <f>HYPERLINK("https://www.dofusbook.net/fr/equipement/373108-stuff-1/objets", "link")</f>
        <v/>
      </c>
      <c r="C31868" t="n">
        <v>0</v>
      </c>
      <c r="D31868" t="inlineStr">
        <is>
          <t>Épée d'Otomaï; Amulette d'Otomaï; Kralano; Gelano; Ceinture d'Henual; Casqnoar; Voile d'encre; Bottes d'Otomaï; Dofus Turquoise; Dofus Émeraude; Dofus Ocre; Savant majeur; Dragodinde en armure</t>
        </is>
      </c>
    </row>
    <row r="31869">
      <c r="A31869" t="inlineStr">
        <is>
          <t>Stuff 3</t>
        </is>
      </c>
      <c r="B31869">
        <f>HYPERLINK("https://www.dofusbook.net/fr/equipement/373110-stuff-3/objets", "link")</f>
        <v/>
      </c>
      <c r="C31869" t="n">
        <v>0</v>
      </c>
      <c r="D31869" t="inlineStr">
        <is>
          <t>Bâthon; Amulette Héroclite; Baguistik; Bague Gloursonne; Quatre-feuilles; Ceinture de Gein; Chapeau de Gein; Voile d'encre; Pataugastrique; Dofus Turquoise; Dofus Pourpre; Vigoureux majeur; Carapace Terre majeur; Remueur; Muldo Orchidée et Pourpre</t>
        </is>
      </c>
    </row>
    <row r="31870">
      <c r="A31870" t="inlineStr">
        <is>
          <t>Stuff 3</t>
        </is>
      </c>
      <c r="B31870">
        <f>HYPERLINK("https://www.dofusbook.net/fr/equipement/373107-stuff-3/objets", "link")</f>
        <v/>
      </c>
      <c r="C31870" t="n">
        <v>0</v>
      </c>
      <c r="D31870" t="inlineStr">
        <is>
          <t>Arc Hétype; Pendentif affamé; Anneau Tique; Anneauræus; Ceinture de Vortex; Cagoule de Vortex; Voile d'encre; Pataugastrique; Érudit majeur; Miraculé majeur; Carapace Feu majeur; Carapace Air majeur; Remueur; Cavaleur majeur; Muldo Orchidée et Pourpre</t>
        </is>
      </c>
    </row>
    <row r="31871">
      <c r="A31871" t="inlineStr">
        <is>
          <t>Stuff 2</t>
        </is>
      </c>
      <c r="B31871">
        <f>HYPERLINK("https://www.dofusbook.net/fr/equipement/373109-stuff-2/objets", "link")</f>
        <v/>
      </c>
      <c r="C31871" t="n">
        <v>0</v>
      </c>
      <c r="D31871" t="inlineStr">
        <is>
          <t>Dagues Érhy; Amulette du Strigide; Anneau des égarés; Kralano; Ceintacé; Chapeau des Malveilleurs; Cape des Malveilleurs; Bottes du Chalœil; Dofus Turquoise; Dofus Pourpre; Remueur; Vigoureux majeur; Nomade; Dragodinde en armure</t>
        </is>
      </c>
    </row>
    <row r="31872">
      <c r="A31872" t="inlineStr">
        <is>
          <t>Terre Classique</t>
        </is>
      </c>
      <c r="B31872">
        <f>HYPERLINK("https://www.dofusbook.net/fr/equipement/4419476-terre-classique/objets", "link")</f>
        <v/>
      </c>
      <c r="C31872" t="n">
        <v>0</v>
      </c>
      <c r="D31872" t="inlineStr">
        <is>
          <t>Arc du Chalœil; Collier de Tourthon; Anneau Volkorne; Bracelet du Piloztère; Quatre-feuilles; Ceinture Volkorne; Masque de Koutoulou; Cape au Logis; Bottes du Cœur Saignant</t>
        </is>
      </c>
    </row>
    <row r="31873">
      <c r="A31873" t="inlineStr">
        <is>
          <t>Terre Tacle</t>
        </is>
      </c>
      <c r="B31873">
        <f>HYPERLINK("https://www.dofusbook.net/fr/equipement/4419429-terre-tacle-/objets", "link")</f>
        <v/>
      </c>
      <c r="C31873" t="n">
        <v>0</v>
      </c>
      <c r="D31873" t="inlineStr">
        <is>
          <t>Lav'Hache; Collier de Tourthon; Anneau Crustique; Bracelet du Piloztère; Bouclier précieux; Ceinture de la Cour Sombre; Masque de Koutoulou; Cape au Logis; Bottes du Cœur Saignant</t>
        </is>
      </c>
    </row>
    <row r="31874">
      <c r="A31874" t="inlineStr">
        <is>
          <t>Crit trophees</t>
        </is>
      </c>
      <c r="B31874">
        <f>HYPERLINK("https://www.dofusbook.net/fr/equipement/4415015-crit-trophees/objets", "link")</f>
        <v/>
      </c>
      <c r="C31874" t="n">
        <v>2</v>
      </c>
      <c r="D31874" t="inlineStr">
        <is>
          <t>Arc Volkorne; Amulette du Strigide; Bracelet du Piloztère; Anneau de Padgref; Quatre-feuilles; Ceinture du Strigide; Casque du Chalœil; Chevelure de Tal Kasha; Pataugastrique; Dofus des Glaces; Dofus Pourpre; Dofus Turquoise; Nomade; Remueur; Vigoureux majeur; Kokulte</t>
        </is>
      </c>
    </row>
    <row r="31875">
      <c r="A31875" t="inlineStr">
        <is>
          <t>Feu 200</t>
        </is>
      </c>
      <c r="B31875">
        <f>HYPERLINK("https://www.dofusbook.net/fr/equipement/4389230-feu-200/objets", "link")</f>
        <v/>
      </c>
      <c r="C31875" t="n">
        <v>0</v>
      </c>
      <c r="D31875" t="inlineStr">
        <is>
          <t>Arc corrompu; Pendentif affamé; Anneau de Nidas; Anneauræus; Bouclier du Cycloïde; Ceintrigue; Heaume Oplate; Cape de Diondin; Bottes Owesli; Dofus Turquoise; Érudit majeur; Dévastateur Feu majeur; Nomade; Guérisseur majeur; Remueur; Bisouglours</t>
        </is>
      </c>
    </row>
    <row r="31876">
      <c r="A31876" t="inlineStr">
        <is>
          <t>200 Trophées</t>
        </is>
      </c>
      <c r="B31876">
        <f>HYPERLINK("https://www.dofusbook.net/fr/equipement/4383567-200-trophees/objets", "link")</f>
        <v/>
      </c>
      <c r="C31876" t="n">
        <v>0</v>
      </c>
      <c r="D31876" t="inlineStr">
        <is>
          <t>Dagues du Dragoeuf; Amulette du Strigide; Bague Gloursonne; Bracelet du Piloztère; Quatre-feuilles; Ceinture du Strigide; Chapeau Lisson; Cape Reski; Bottes du Chalœil; Dofus Pourpre; Dofus Turquoise; Nomade; Sanguinaire majeur; Remueur; Vigoureux majeur; Sakochère</t>
        </is>
      </c>
    </row>
    <row r="31877">
      <c r="A31877" t="inlineStr">
        <is>
          <t>StriPadTcham</t>
        </is>
      </c>
      <c r="B31877">
        <f>HYPERLINK("https://www.dofusbook.net/fr/equipement/4353836-stripadtcham/objets", "link")</f>
        <v/>
      </c>
      <c r="C31877" t="n">
        <v>1</v>
      </c>
      <c r="D31877" t="inlineStr">
        <is>
          <t>Sabres d'Atcham; Amulette du Strigide; Anneau de Padgref; Alliance de Missiz Frizz; Quatre-feuilles; Ceinture du Strigide; Coiffe de Padgref; Cape d'Atcham; Getas de Padgref; Dofus des Glaces; Dofus Turquoise; Dofus Pourpre; Dofus Ocre; Puissant majeur; Voyageur; Sakochère</t>
        </is>
      </c>
    </row>
    <row r="31878">
      <c r="A31878" t="inlineStr">
        <is>
          <t>Stri/Glours</t>
        </is>
      </c>
      <c r="B31878">
        <f>HYPERLINK("https://www.dofusbook.net/fr/equipement/4353782-stri-glours/objets", "link")</f>
        <v/>
      </c>
      <c r="C31878" t="n">
        <v>2</v>
      </c>
      <c r="D31878" t="inlineStr">
        <is>
          <t>Epée Gloursonne; Amulette du Strigide; Alliance Gloursonne; Bague Gloursonne; Quatre-feuilles; Ceinture du Strigide; Chapeau Lisson; Cape Reski; Bottes du Strigide; Dofus Turquoise; Dofus Pourpre; Dofus des Glaces; Voyageur; Puissant majeur; Sakochère</t>
        </is>
      </c>
    </row>
    <row r="31879">
      <c r="A31879" t="inlineStr">
        <is>
          <t>Eau 200 V2</t>
        </is>
      </c>
      <c r="B31879">
        <f>HYPERLINK("https://www.dofusbook.net/fr/equipement/4291342-eau-200-v2/objets", "link")</f>
        <v/>
      </c>
      <c r="C31879" t="n">
        <v>1</v>
      </c>
      <c r="D31879" t="inlineStr">
        <is>
          <t>Baguette Hique; Collier de la Dame du Hasard; Bracelet des Fonds marins; Anneau Volkorne; Quatre-feuilles; Pagne du Rykaon; Casquette de Meno; Cape de Meno; Pataugastrique; Dofus Pourpre; Dofus Turquoise; Nomade; Dévastateur Eau majeur; Remueur; Chanceux majeur; Pioute bleu</t>
        </is>
      </c>
    </row>
    <row r="31880">
      <c r="A31880" t="inlineStr">
        <is>
          <t>Do Crit V2 2</t>
        </is>
      </c>
      <c r="B31880">
        <f>HYPERLINK("https://www.dofusbook.net/fr/equipement/4288857-do-crit-v2-2/objets", "link")</f>
        <v/>
      </c>
      <c r="C31880" t="n">
        <v>14</v>
      </c>
      <c r="D31880" t="inlineStr">
        <is>
          <t>Hache du Chalœil; Amulette du Strigide; Bracelet du Piloztère; Alliance de Missiz Frizz; Bouclier du Stalak; Ceinture du Strigide; Le Dorado; Cape du Chalœil; Bottes Honyme; Dofus des Glaces; Dofus Turquoise; Dofus Pourpre; Vigoureux majeur; Vigoureux majeur; Nomade; Chacha Angora</t>
        </is>
      </c>
    </row>
    <row r="31881">
      <c r="A31881" t="inlineStr">
        <is>
          <t>Do Crit V3</t>
        </is>
      </c>
      <c r="B31881">
        <f>HYPERLINK("https://www.dofusbook.net/fr/equipement/4257610-do-crit-v3/objets", "link")</f>
        <v/>
      </c>
      <c r="C31881" t="n">
        <v>0</v>
      </c>
      <c r="D31881" t="inlineStr">
        <is>
          <t>Sabres d'Atcham; Amulette Volkorne; Bague Trithon; Anneau Volkorne; Bouclier du Stalak; Ceinture Volkorne; Masque Trithon; Cape d'Atcham; Bottes de l'Esprit Salvateur; Dofus Émeraude; Dofus Pourpre; Dofus Turquoise; Dofus Ocre; Dofus des Glaces; Robuste majeur; Chacha Angora</t>
        </is>
      </c>
    </row>
    <row r="31882">
      <c r="A31882" t="inlineStr">
        <is>
          <t>Eau 200</t>
        </is>
      </c>
      <c r="B31882">
        <f>HYPERLINK("https://www.dofusbook.net/fr/equipement/4257489-eau-200/objets", "link")</f>
        <v/>
      </c>
      <c r="C31882" t="n">
        <v>35</v>
      </c>
      <c r="D31882" t="inlineStr">
        <is>
          <t>Baguette Hique; Collier de la Dame du Hasard; Bracelet des Fonds marins; Anneau Volkorne; Quatre-feuilles; Pagne du Rykaon; Capuche de l'Œil Attentif; Cape de la Dame du Hasard; Pataugastrique; Dofus Pourpre; Dofus Turquoise; Nomade; Dévastateur Eau majeur; Remueur; Chanceux majeur; Pioute bleu</t>
        </is>
      </c>
    </row>
    <row r="31883">
      <c r="A31883" t="inlineStr">
        <is>
          <t>Do crit V2</t>
        </is>
      </c>
      <c r="B31883">
        <f>HYPERLINK("https://www.dofusbook.net/fr/equipement/4257586-do-crit-v2/objets", "link")</f>
        <v/>
      </c>
      <c r="C31883" t="n">
        <v>0</v>
      </c>
      <c r="D31883" t="inlineStr">
        <is>
          <t>Hache du Chalœil; Amulette du Strigide; Bracelet du Piloztère; Alliance de Missiz Frizz; Bouclier du Stalak; Ceintacé; Masque de l'Esprit Salvateur; Cape du Chalœil; Bottes du Strigide; Dolmanax; Dofus Turquoise; Dofus Pourpre; Remueur; Vigoureux majeur; Nomade; Chacha Angora</t>
        </is>
      </c>
    </row>
    <row r="31884">
      <c r="A31884" t="inlineStr">
        <is>
          <t>Eau no crit 200</t>
        </is>
      </c>
      <c r="B31884">
        <f>HYPERLINK("https://www.dofusbook.net/fr/equipement/4269985-eau-no-crit-200/objets", "link")</f>
        <v/>
      </c>
      <c r="C31884" t="n">
        <v>0</v>
      </c>
      <c r="D31884" t="inlineStr">
        <is>
          <t>Baguette Hique; Amulette de Shokkoth; Alliance Gloursonne; Anneau Volkorne; Quatre-feuilles; Poulpagne; Capuche de l'Œil Attentif; Cape du Sinistrofu; Bottes du Sinistrofu; Dofus Pourpre; Dofus Turquoise; Nomade; Dévastateur Eau majeur; Remueur; Chanceux majeur; Kanigloups</t>
        </is>
      </c>
    </row>
    <row r="31885">
      <c r="A31885" t="inlineStr">
        <is>
          <t>Do Crit 200</t>
        </is>
      </c>
      <c r="B31885">
        <f>HYPERLINK("https://www.dofusbook.net/fr/equipement/4245628-do-crit-200/objets", "link")</f>
        <v/>
      </c>
      <c r="C31885" t="n">
        <v>1</v>
      </c>
      <c r="D31885" t="inlineStr">
        <is>
          <t>Hache du Chalœil; Amulette Volkorne; Anneau Volkorne; Bague Trithon; Bouclier du Stalak; Ceinture Volkorne; Masque Trithon; Voile d'encre; Bottes Trithon; Dofus Turquoise; Dofus Ocre; Dofus des Glaces; Dofus Émeraude; Dofus Pourpre; Robuste majeur; Chacha Angora</t>
        </is>
      </c>
    </row>
    <row r="31886">
      <c r="A31886" t="inlineStr">
        <is>
          <t>Eau 200</t>
        </is>
      </c>
      <c r="B31886">
        <f>HYPERLINK("https://www.dofusbook.net/fr/equipement/4246073-eau-200/objets", "link")</f>
        <v/>
      </c>
      <c r="C31886" t="n">
        <v>0</v>
      </c>
      <c r="D31886" t="inlineStr">
        <is>
          <t>Dagoulinantes; Amulette de Shokkoth; Alliance Gloursonne; Anneau Volkorne; Quatre-feuilles; Poulpagne; Kidibonnet; Cape du Sinistrofu; Bottes du Sinistrofu; Dofus Turquoise; Vigoureux majeur; Nomade; Dévastateur Eau majeur; Remueur; Chanceux majeur; Dragodinde Amande et Indigo</t>
        </is>
      </c>
    </row>
    <row r="31887">
      <c r="A31887" t="inlineStr">
        <is>
          <t>Terre 200</t>
        </is>
      </c>
      <c r="B31887">
        <f>HYPERLINK("https://www.dofusbook.net/fr/equipement/4245585-terre-200/objets", "link")</f>
        <v/>
      </c>
      <c r="C31887" t="n">
        <v>1</v>
      </c>
      <c r="D31887" t="inlineStr">
        <is>
          <t>Arc du Chalœil; Collier de Tourthon; Anneau de Brouce; Anneau Crustique; Quatre-feuilles; Ceinture Volkorne; Masque de Koutoulou; Cape au Logis; Bottes Honyme; Dofus Turquoise; Fonceur majeur; Nomade; Dévastateur Terre majeur; Remueur; Enragé majeur; Dragodinde Amande et Pourpre</t>
        </is>
      </c>
    </row>
    <row r="31888">
      <c r="A31888" t="inlineStr">
        <is>
          <t>Feu 200</t>
        </is>
      </c>
      <c r="B31888">
        <f>HYPERLINK("https://www.dofusbook.net/fr/equipement/4245484-feu-200/objets", "link")</f>
        <v/>
      </c>
      <c r="C31888" t="n">
        <v>0</v>
      </c>
      <c r="D31888" t="inlineStr">
        <is>
          <t>Arc corrompu; Pendentif affamé; Anneauræus; Bague Gloursonne; Bouclier du Cycloïde; Ceintrigue; Heaume Oplate; Cape de Diondin; Bottes Innommables; Dofus Turquoise; Guérisseur majeur; Remueur; Érudit majeur; Dévastateur Feu majeur; Nomade; Dragodinde Orchidée et Rousse</t>
        </is>
      </c>
    </row>
    <row r="31889">
      <c r="A31889" t="inlineStr">
        <is>
          <t>Feu 200</t>
        </is>
      </c>
      <c r="B31889">
        <f>HYPERLINK("https://www.dofusbook.net/fr/equipement/4232431-feu-200/objets", "link")</f>
        <v/>
      </c>
      <c r="C31889" t="n">
        <v>1</v>
      </c>
      <c r="D31889" t="inlineStr">
        <is>
          <t>Arc corrompu; Amulette Volkorne; Anneau Tamie; Anneau Tamie; Bouclier du Stalak; Ceintrigue; Heaume Oplate; Cape de Diondin; Bottes Innommables; Dofus des Glaces; Miraculé majeur; Nomade; Dévastateur Feu majeur; Remueur; Érudit majeur; Bisouglours</t>
        </is>
      </c>
    </row>
    <row r="31890">
      <c r="A31890" t="inlineStr">
        <is>
          <t>Feu 200 LowCost</t>
        </is>
      </c>
      <c r="B31890">
        <f>HYPERLINK("https://www.dofusbook.net/fr/equipement/4207157-feu-200-lowcost/objets", "link")</f>
        <v/>
      </c>
      <c r="C31890" t="n">
        <v>1</v>
      </c>
      <c r="D31890" t="inlineStr">
        <is>
          <t>Arc corrompu; Amulette Séculaire; Anneau Tamie; Anneau Tamie; Bouclier du Stalak; Sangle Aise; Coiffe Séculaire; Cape de Diondin; Bottes Dogues; Nomade; Dévastateur Feu majeur; Remueur; Miraculé majeur; Érudit majeur; Saccageur Feu majeur; Bisouglours</t>
        </is>
      </c>
    </row>
    <row r="31891">
      <c r="A31891" t="inlineStr">
        <is>
          <t>Feu Dégats</t>
        </is>
      </c>
      <c r="B31891">
        <f>HYPERLINK("https://www.dofusbook.net/fr/equipement/3478157-feu-degats/objets", "link")</f>
        <v/>
      </c>
      <c r="C31891" t="n">
        <v>0</v>
      </c>
      <c r="D31891" t="inlineStr">
        <is>
          <t>Arc corrompu; Amulette Séculaire; Anneauræus; Anneauræus; Bouclier du Stalak; Ceinture Séculaire; Heaume Oplate; Cape de Diondin; Bottes Innommables; Dofus des Glaces; Dofus Ivoire; Dokoko; Nomade; Érudit majeur; Bulbisou</t>
        </is>
      </c>
    </row>
    <row r="31892">
      <c r="A31892" t="inlineStr">
        <is>
          <t>Hupper Trithon</t>
        </is>
      </c>
      <c r="B31892">
        <f>HYPERLINK("https://www.dofusbook.net/fr/equipement/4089300-hupper-trithon/objets", "link")</f>
        <v/>
      </c>
      <c r="C31892" t="n">
        <v>0</v>
      </c>
      <c r="D31892" t="inlineStr">
        <is>
          <t>Sabres d'Atcham; Amulette du Strigide; Anneau Toriété; Bague Trithon; Quatre-feuilles; Ceinture du Strigide; Masque Trithon; Cape d'Atcham; Bottes Trithon; Dofus Abyssal; Dofus Ocre; Dofus Ivoire; Dolmanax; Dofus des Glaces; Dofus Pourpre; Kokulte</t>
        </is>
      </c>
    </row>
    <row r="31893">
      <c r="A31893" t="inlineStr">
        <is>
          <t>Hupper AtchaStriKorne</t>
        </is>
      </c>
      <c r="B31893">
        <f>HYPERLINK("https://www.dofusbook.net/fr/equipement/4089218-hupper-atchastrikorne/objets", "link")</f>
        <v/>
      </c>
      <c r="C31893" t="n">
        <v>0</v>
      </c>
      <c r="D31893" t="inlineStr">
        <is>
          <t>Sabres d'Atcham; Amulette du Strigide; Alliance Gloursonne; Anneau Volkorne; Quatre-feuilles; Ceinture du Strigide; Casque Volkorne; Cape d'Atcham; Sandales  d'Atcham; Dolmanax; Dofus des Glaces; Dofus Pourpre; Dofus Abyssal; Dofus Ocre; Dofus Ivoire; Muldo Doré et Emeraude</t>
        </is>
      </c>
    </row>
    <row r="31894">
      <c r="A31894" t="inlineStr">
        <is>
          <t>Huppermage M 200</t>
        </is>
      </c>
      <c r="B31894">
        <f>HYPERLINK("https://www.dofusbook.net/fr/equipement/4061050-huppermage-m-200/objets", "link")</f>
        <v/>
      </c>
      <c r="C31894" t="n">
        <v>1</v>
      </c>
      <c r="D31894" t="inlineStr">
        <is>
          <t>Sabres d'Atcham; Amulette Volkorne; Alliance Gloursonne; Anneau Volkorne; Quatre-feuilles; Ceinture du Strigide; Casque Volkorne; Cape d'Atcham; Sandales  d'Atcham; Dofus Abyssal; Dofus Ocre; Dofus Ivoire; Dolmanax; Dofus des Glaces; Dofus Pourpre; Kokulte</t>
        </is>
      </c>
    </row>
    <row r="31895">
      <c r="A31895" t="inlineStr">
        <is>
          <t>Roub Air</t>
        </is>
      </c>
      <c r="B31895">
        <f>HYPERLINK("https://www.dofusbook.net/fr/equipement/3563304-roub-air/objets", "link")</f>
        <v/>
      </c>
      <c r="C31895" t="n">
        <v>0</v>
      </c>
      <c r="D31895" t="inlineStr">
        <is>
          <t>Manthache; Collier du Valet Veinard; Gant du Valet Veinard; Alliance Gloursonne; Menoture; Couronne d'Allister; Cape Indescriptible; Palmes Trithons; Dofus des Glaces; Dofus Abyssal; Dofus Ivoire; Dofus Ocre</t>
        </is>
      </c>
    </row>
    <row r="31896">
      <c r="A31896" t="inlineStr">
        <is>
          <t>Feu équilibré</t>
        </is>
      </c>
      <c r="B31896">
        <f>HYPERLINK("https://www.dofusbook.net/fr/equipement/3478175-feu-equilibre/objets", "link")</f>
        <v/>
      </c>
      <c r="C31896" t="n">
        <v>215</v>
      </c>
      <c r="D31896" t="inlineStr">
        <is>
          <t>Arc corrompu; Amulette de Nileza; Anneau Tique; Anneauræus; Bouclier du Stalak; Ceinture de Gein; Heaume Oplate; Cape de Nileza; Chaussures Ardentes; Dofus des Glaces; Dofus Abyssal; Dofus Ivoire; Érudit majeur; Remueur; Nomade; Kramkram</t>
        </is>
      </c>
    </row>
    <row r="31897">
      <c r="A31897" t="inlineStr">
        <is>
          <t>Feu Tami Sécu</t>
        </is>
      </c>
      <c r="B31897">
        <f>HYPERLINK("https://www.dofusbook.net/fr/equipement/3543812-feu-tami-secu/objets", "link")</f>
        <v/>
      </c>
      <c r="C31897" t="n">
        <v>8</v>
      </c>
      <c r="D31897" t="inlineStr">
        <is>
          <t>Arc corrompu; Pendentif affamé; Anneau Tamie; Anneau Tamie; Bouclier du Stalak; Ceinture Séculaire; Coiffe Séculaire; Cape de Diondin; Bottes Innommables; Dofus Ivoire; Dofus Ocre; Dofus des Glaces; Dofus Abyssal; Nomade; Érudit majeur; Kramkram</t>
        </is>
      </c>
    </row>
    <row r="31898">
      <c r="A31898" t="inlineStr">
        <is>
          <t>Roub Eau ré cri</t>
        </is>
      </c>
      <c r="B31898">
        <f>HYPERLINK("https://www.dofusbook.net/fr/equipement/3546503-roub-eau-re-cri/objets", "link")</f>
        <v/>
      </c>
      <c r="C31898" t="n">
        <v>0</v>
      </c>
      <c r="D31898" t="inlineStr">
        <is>
          <t>Dagoulinantes; Amulette de Shokkoth; Bracelet des Fonds marins; Alliance Gloursonne; Bouclier du Stalak; Ceinture de la Reine des Voleurs; Kidibonnet; Voilamibe; Bottes de la Reine des Voleurs; Dofus des Glaces; Dofus Abyssal; Dofus Ocre; Dofus Ivoire; Étourdisseur majeur; Chanceux majeur; Kramkram</t>
        </is>
      </c>
    </row>
    <row r="31899">
      <c r="A31899" t="inlineStr">
        <is>
          <t>Roub Eau Muldo</t>
        </is>
      </c>
      <c r="B31899">
        <f>HYPERLINK("https://www.dofusbook.net/fr/equipement/3546564-roub-eau-muldo/objets", "link")</f>
        <v/>
      </c>
      <c r="C31899" t="n">
        <v>3</v>
      </c>
      <c r="D31899" t="inlineStr">
        <is>
          <t>Dagoulinantes; Amulette de Shokkoth; Alliance Gloursonne; Bracelet des Fonds marins; Bouclier du Stalak; Ceinture de la Reine des Voleurs; Kidibonnet; Cape de l'Œil Attentif; Bottes de la Reine des Voleurs; Dofus Ivoire; Dofus des Glaces; Dofus Abyssal; Dofus Ocre; Chanceux majeur; Étourdisseur majeur; Muldo Indigo et Pourpre</t>
        </is>
      </c>
    </row>
    <row r="31900">
      <c r="A31900" t="inlineStr">
        <is>
          <t>Roub Eau</t>
        </is>
      </c>
      <c r="B31900">
        <f>HYPERLINK("https://www.dofusbook.net/fr/equipement/3546467-roub-eau/objets", "link")</f>
        <v/>
      </c>
      <c r="C31900" t="n">
        <v>1</v>
      </c>
      <c r="D31900" t="inlineStr">
        <is>
          <t>Dagoulinantes; Amulette de Shokkoth; Alliance Gloursonne; Bracelet des Fonds marins; Bouclier du Stalak; Culotte de Bethel; Kidibonnet; Voilamibe; Bottes du Sinistrofu; Dofus Ivoire; Dofus des Glaces; Dofus Abyssal; Dofus Ocre; Chanceux majeur; Étourdisseur majeur; Kramkram</t>
        </is>
      </c>
    </row>
    <row r="31901">
      <c r="A31901" t="inlineStr">
        <is>
          <t>Feu dégâts PA Tami</t>
        </is>
      </c>
      <c r="B31901">
        <f>HYPERLINK("https://www.dofusbook.net/fr/equipement/3544027-feu-degats-pa-tami/objets", "link")</f>
        <v/>
      </c>
      <c r="C31901" t="n">
        <v>0</v>
      </c>
      <c r="D31901" t="inlineStr">
        <is>
          <t>Arc corrompu; Amulette Séculaire; Anneauræus; Anneau Tamie; Bouclier du Stalak; Ceinture Séculaire; Heaume Oplate; Cape de Diondin; Bottes Innommables; Dofus des Glaces; Dofus Ivoire; Dokoko; Nomade; Érudit majeur; Dragodinde Amande et Orchidée</t>
        </is>
      </c>
    </row>
    <row r="31902">
      <c r="A31902" t="inlineStr">
        <is>
          <t>Feu dégâts Tami</t>
        </is>
      </c>
      <c r="B31902">
        <f>HYPERLINK("https://www.dofusbook.net/fr/equipement/3543670-feu-degats-tami/objets", "link")</f>
        <v/>
      </c>
      <c r="C31902" t="n">
        <v>0</v>
      </c>
      <c r="D31902" t="inlineStr">
        <is>
          <t>Arc corrompu; Pendentif affamé; Anneau Tamie; Anneau Tamie; Bouclier du Stalak; Ceinture de Vortex; Heaume Oplate; Cape de Diondin; Bottes Innommables; Dofus des Glaces; Dofus Ivoire; Dokoko; Nomade; Érudit majeur; Dragodinde Amande et Orchidée</t>
        </is>
      </c>
    </row>
    <row r="31903">
      <c r="A31903" t="inlineStr">
        <is>
          <t>Feu équilibré Vita</t>
        </is>
      </c>
      <c r="B31903">
        <f>HYPERLINK("https://www.dofusbook.net/fr/equipement/3543383-feu-equilibre-vita/objets", "link")</f>
        <v/>
      </c>
      <c r="C31903" t="n">
        <v>0</v>
      </c>
      <c r="D31903" t="inlineStr">
        <is>
          <t>Arc corrompu; Amulette de Nileza; Anneau Tique; Anneauræus; Bouclier du Stalak; Ceinture de Vortex; Heaume Oplate; Cape de Nileza; Chaussures Ardentes; Dokoko; Dofus des Glaces; Dofus Ivoire; Dofus Ocre; Érudit majeur; Nomade</t>
        </is>
      </c>
    </row>
    <row r="31904">
      <c r="A31904" t="inlineStr">
        <is>
          <t>Feu Res double PA</t>
        </is>
      </c>
      <c r="B31904">
        <f>HYPERLINK("https://www.dofusbook.net/fr/equipement/3543778-feu-res-double-pa/objets", "link")</f>
        <v/>
      </c>
      <c r="C31904" t="n">
        <v>0</v>
      </c>
      <c r="D31904" t="inlineStr">
        <is>
          <t>Arc corrompu; Pendentif affamé; Anneauræus; Anneau Tique; Bouclier du Stalak; Ceinture de Vortex; Heaume Oplate; Cape de Diondin; Chaussures Ardentes; Dofus des Glaces; Dokoko; Érudit majeur; Nomade</t>
        </is>
      </c>
    </row>
    <row r="31905">
      <c r="A31905" t="inlineStr">
        <is>
          <t>Sram F 200</t>
        </is>
      </c>
      <c r="B31905">
        <f>HYPERLINK("https://www.dofusbook.net/fr/equipement/3516418-sram-f-200/objets", "link")</f>
        <v/>
      </c>
      <c r="C31905" t="n">
        <v>0</v>
      </c>
      <c r="D31905" t="inlineStr">
        <is>
          <t>Hache Ériphe; Amulette du Kamasterisk; Bracelet du Piloztère; Anneau des égarés; Quatre-feuilles; Ceintacé; Chapoulpe; Cape du Kamasterisk; Baleinabottes; Dofus Turquoise; Dofus Pourpre; Remueur; Vigoureux majeur; Enragé majeur; Nomade; Dragodinde Ivoire et Pourpre</t>
        </is>
      </c>
    </row>
    <row r="31906">
      <c r="A31906" t="inlineStr">
        <is>
          <t>Roub Terre</t>
        </is>
      </c>
      <c r="B31906">
        <f>HYPERLINK("https://www.dofusbook.net/fr/equipement/3479751-roub-terre/objets", "link")</f>
        <v/>
      </c>
      <c r="C31906" t="n">
        <v>1</v>
      </c>
      <c r="D31906" t="inlineStr">
        <is>
          <t>Arc du Chalœil; Collier de Tourthon; Bracelet du Piloztère; Anneau Crustique; Bouclier du Stalak; Ceinture Volkorne; Masque de Koutoulou; Cape au Logis; Bottes du Roi Joueur; Dofus des Glaces; Dokoko; Dofus Abyssal; Remueur; Enragé majeur; Kramkram</t>
        </is>
      </c>
    </row>
    <row r="31907">
      <c r="A31907" t="inlineStr">
        <is>
          <t>Air 150</t>
        </is>
      </c>
      <c r="B31907">
        <f>HYPERLINK("https://www.dofusbook.net/fr/equipement/3248412-air-150/objets", "link")</f>
        <v/>
      </c>
      <c r="C31907" t="n">
        <v>0</v>
      </c>
      <c r="D31907" t="inlineStr">
        <is>
          <t>Collier du Tanukouï San; Sceau Souverain du Roissingue; Nageanneau; Ceinture de l'Orfélin; Coiffe de l'Orfélin; Cape Souveraine du Roissingue; Bottes de Grozilla</t>
        </is>
      </c>
    </row>
    <row r="31908">
      <c r="A31908" t="inlineStr">
        <is>
          <t>tork</t>
        </is>
      </c>
      <c r="B31908">
        <f>HYPERLINK("https://www.dofusbook.net/fr/equipement/5390694-tork/objets", "link")</f>
        <v/>
      </c>
      <c r="C31908" t="n">
        <v>0</v>
      </c>
      <c r="D31908" t="inlineStr">
        <is>
          <t>Dagues du Dragoeuf; Amulette du Strigide; Anneau de Padgref; Bracelet du Piloztère; Quatre-feuilles; Ceinture du Strigide; Corne de Torkélonia; Carapace de Torkélonia; Bottes du Strigide; Dofus Vulbis; Dofus Turquoise; Dofus Abyssal; Dofus Ocre; Dofus des Glaces; Dofus Pourpre; Kokulte</t>
        </is>
      </c>
    </row>
    <row r="31909">
      <c r="A31909" t="inlineStr">
        <is>
          <t>fo/int12/5 200</t>
        </is>
      </c>
      <c r="B31909">
        <f>HYPERLINK("https://www.dofusbook.net/fr/equipement/155954-fo-int12-5-200/objets", "link")</f>
        <v/>
      </c>
      <c r="C31909" t="n">
        <v>7</v>
      </c>
      <c r="D31909" t="inlineStr">
        <is>
          <t>Arc du Chalœil; Amulette du Strigide; Alliance de Missiz Frizz; Bague Gloursonne; Quatre-feuilles; Ceinture du Strigide; Casque de Missiz Frizz; Cape du Professeur Xa; Bottes du Strigide; Dofus Abyssal; Dofus des Glaces; Dofus Ocre; Dofus Pourpre; Dofus Turquoise; Dolmanax; Pioute vert</t>
        </is>
      </c>
    </row>
    <row r="31910">
      <c r="A31910" t="inlineStr">
        <is>
          <t>focrit2</t>
        </is>
      </c>
      <c r="B31910">
        <f>HYPERLINK("https://www.dofusbook.net/fr/equipement/5439100-focrit2/objets", "link")</f>
        <v/>
      </c>
      <c r="C31910" t="n">
        <v>4</v>
      </c>
      <c r="D31910" t="inlineStr">
        <is>
          <t>Arc du Chalœil; Amulette du Strigide; Anneau de Brouce; Anneau du Comte Harebourg; Bouclier du Captain Amakna; Ceinture de Brouce; Corne de Torkélonia; Carapace de Torkélonia; Bottes de Brouce; Dofus Ébène; Dofus Pourpre; Dofus Vulbis; Dofus Turquoise; Dofus des Glaces; Dofus Ocre; Kokulte</t>
        </is>
      </c>
    </row>
    <row r="31911">
      <c r="A31911" t="inlineStr">
        <is>
          <t>focrit</t>
        </is>
      </c>
      <c r="B31911">
        <f>HYPERLINK("https://www.dofusbook.net/fr/equipement/4881310-focrit-/objets", "link")</f>
        <v/>
      </c>
      <c r="C31911" t="n">
        <v>10</v>
      </c>
      <c r="D31911" t="inlineStr">
        <is>
          <t>Arc du Chalœil; Amulette du Cœur Saignant; Anneau Crustique; Bague Gloursonne; Bouclier du Captain Amakna; Ceinture Gence; Masque de Koutoulou; Cape au Logis; Bottes du Cœur Saignant; Dofus des Glaces; Dofus Pourpre; Dofus Ébène; Dofus Turquoise; Enragé majeur; Vigoureux majeur; Pioute vert</t>
        </is>
      </c>
    </row>
    <row r="31912">
      <c r="A31912" t="inlineStr">
        <is>
          <t>focrit3</t>
        </is>
      </c>
      <c r="B31912">
        <f>HYPERLINK("https://www.dofusbook.net/fr/equipement/5544489-focrit3/objets", "link")</f>
        <v/>
      </c>
      <c r="C31912" t="n">
        <v>0</v>
      </c>
      <c r="D31912" t="inlineStr">
        <is>
          <t>Marteau R'ture; Amulette du Cœur Saignant; Bague Gloursonne; Anneau Crustique; Bouclier du Captain Amakna; Ceinture Gence; Corne de Torkélonia; Carapace de Torkélonia; Baleinabottes; Dofus Ébène; Dofus Pourpre; Dofus Vulbis; Dofus Turquoise; Vigoureux majeur; Enragé majeur; Kokulte</t>
        </is>
      </c>
    </row>
    <row r="31913">
      <c r="A31913" t="inlineStr">
        <is>
          <t>crafo</t>
        </is>
      </c>
      <c r="B31913">
        <f>HYPERLINK("https://www.dofusbook.net/fr/equipement/5068990-crafo/objets", "link")</f>
        <v/>
      </c>
      <c r="C31913" t="n">
        <v>0</v>
      </c>
      <c r="D31913" t="inlineStr">
        <is>
          <t>Arc du Chalœil; Amulette du Strigide; Bracelet du Piloztère; Anneau Volkorne; Quatre-feuilles; Ceinture Volkorne; Masque de Koutoulou; Cape au Logis; Bottes du Cœur Saignant; Dofus Ocre; Dofus Turquoise; Dofus Pourpre; Vigoureux majeur; Enragé majeur; Pioute vert</t>
        </is>
      </c>
    </row>
    <row r="31914">
      <c r="A31914" t="inlineStr">
        <is>
          <t>12/6 foint</t>
        </is>
      </c>
      <c r="B31914">
        <f>HYPERLINK("https://www.dofusbook.net/fr/equipement/5143028-12-6-foint/objets", "link")</f>
        <v/>
      </c>
      <c r="C31914" t="n">
        <v>2</v>
      </c>
      <c r="D31914" t="inlineStr">
        <is>
          <t>Hache Téroïde; Amulette Volkorne; Bague Gloursonne; Chevalière du Roi Joueur; Bouclier du Captain Amakna; Ceinture Volkorne; Couronne du Roi Joueur; Cape de Jahash Jurgen; Bottes du Roi Joueur; Dofus Ocre; Dofus Pourpre; Dofus Turquoise; Dofus Ébène; Dofus Vulbis; Dofus Ivoire; Sakochère</t>
        </is>
      </c>
    </row>
    <row r="31915">
      <c r="A31915" t="inlineStr">
        <is>
          <t>necrotico</t>
        </is>
      </c>
      <c r="B31915">
        <f>HYPERLINK("https://www.dofusbook.net/fr/equipement/5069246-necrotico/objets", "link")</f>
        <v/>
      </c>
      <c r="C31915" t="n">
        <v>0</v>
      </c>
      <c r="D31915" t="inlineStr">
        <is>
          <t>Arc Nécrotique; Amulette Volkorne; Bague Trithon; Anneau Volkorne; Quatre-feuilles; Ceintacé; Masque Trithon; Cape de la Dame du Hasard; Bottes de la Dame du Hasard; Dofus Turquoise; Dolmanax; Dofus Pourpre; Dofus des Glaces; Dofus Ocre; Dofus Vulbis; Kokulte</t>
        </is>
      </c>
    </row>
    <row r="31916">
      <c r="A31916" t="inlineStr">
        <is>
          <t>ercacel</t>
        </is>
      </c>
      <c r="B31916">
        <f>HYPERLINK("https://www.dofusbook.net/fr/equipement/5481538-ercacel/objets", "link")</f>
        <v/>
      </c>
      <c r="C31916" t="n">
        <v>0</v>
      </c>
      <c r="D31916" t="inlineStr">
        <is>
          <t>Arc Volkorne; Amulette Volkorne; Bracelet du Piloztère; Anneau Volkorne; Quatre-feuilles; Ceinture Volkorne; Casque du Chalœil; Cape du Chalœil; Bottes du Chalœil; Dofus Pourpre; Dofus Nébuleux; Dofus Turquoise; Dofus des Glaces; Dofus Ocre; Dofus Ébène; Fëanor</t>
        </is>
      </c>
    </row>
    <row r="31917">
      <c r="A31917" t="inlineStr">
        <is>
          <t>varita cha</t>
        </is>
      </c>
      <c r="B31917">
        <f>HYPERLINK("https://www.dofusbook.net/fr/equipement/5375488-varita-cha/objets", "link")</f>
        <v/>
      </c>
      <c r="C31917" t="n">
        <v>0</v>
      </c>
      <c r="D31917" t="inlineStr">
        <is>
          <t>Baguette Hique; Amulette de Shokkoth; Anneau Volkorne; Alliance Gloursonne; Quatre-feuilles; Pagne du Rykaon; Kidibonnet; Cape de la Dame du Hasard; Bottes de la Dame du Hasard; Dofus Vulbis; Dofus Ocre; Dofus Pourpre; Dofus Turquoise; Chanceux majeur; Vigoureux majeur; Kokulte</t>
        </is>
      </c>
    </row>
    <row r="31918">
      <c r="A31918" t="inlineStr">
        <is>
          <t>charetpelea</t>
        </is>
      </c>
      <c r="B31918">
        <f>HYPERLINK("https://www.dofusbook.net/fr/equipement/4840287-charetpelea/objets", "link")</f>
        <v/>
      </c>
      <c r="C31918" t="n">
        <v>3</v>
      </c>
      <c r="D31918" t="inlineStr">
        <is>
          <t>Rapière aux Glyphes; Amulette de Shokkoth; Pikano; Alliance Gloursonne; Bouclier cubiste; Ceinture Glaciale; Coiffe d'Ogivol; Cape Glaciale; Pataugastrique; Dofus des Glaces; Dofus Pourpre; Dofus Ocre; Vigoureux majeur; Nomade; Chanceux majeur; Léopardo</t>
        </is>
      </c>
    </row>
    <row r="31919">
      <c r="A31919" t="inlineStr">
        <is>
          <t>rondas2</t>
        </is>
      </c>
      <c r="B31919">
        <f>HYPERLINK("https://www.dofusbook.net/fr/equipement/5270824-rondas2/objets", "link")</f>
        <v/>
      </c>
      <c r="C31919" t="n">
        <v>6</v>
      </c>
      <c r="D31919" t="inlineStr">
        <is>
          <t>Crocobur; Collier de Tourthon; Anneau Volkorne; Anneau Crustique; Bouclier d'Ilyzaelle; Ceinture Volkorne; Masque de Koutoulou; Cape au Logis; Sabots Minables; Dofus Émeraude; Dofus Pourpre; Dofus Abyssal; Dofus Ivoire; Enragé majeur; Obstructeur majeur; Platypus</t>
        </is>
      </c>
    </row>
    <row r="31920">
      <c r="A31920" t="inlineStr">
        <is>
          <t>captura</t>
        </is>
      </c>
      <c r="B31920">
        <f>HYPERLINK("https://www.dofusbook.net/fr/equipement/5286986-captura/objets", "link")</f>
        <v/>
      </c>
      <c r="C31920" t="n">
        <v>0</v>
      </c>
      <c r="D31920" t="inlineStr">
        <is>
          <t>Collier de Tourthon; Anneau Crustique; Anneau Volkorne; Bouclier d'Ilyzaelle; Ceinture Volkorne; Masque de Koutoulou; Cape au Logis; Sabots Minables; Dofus Émeraude; Dofus Abyssal; Dofus Ivoire; Enragé majeur; Bloqueur majeur; Obstructeur majeur; Platypus</t>
        </is>
      </c>
    </row>
    <row r="31921">
      <c r="A31921" t="inlineStr">
        <is>
          <t>cha/int</t>
        </is>
      </c>
      <c r="B31921">
        <f>HYPERLINK("https://www.dofusbook.net/fr/equipement/2150336-cha-int-/objets", "link")</f>
        <v/>
      </c>
      <c r="C31921" t="n">
        <v>0</v>
      </c>
      <c r="D31921" t="inlineStr">
        <is>
          <t>Couteaux Sacrificiels; Amulette Volkorne; Alliance Gloursonne; Anneau Volkorne; Bouclier alvéolé; Poulpagne; Masque Paztek; Cape Paztek; Sandales Paztek; Dofus des Glaces; Dofus Ocre; Dofus Pourpre; Dofus Émeraude; Dolmanax; Dofus Ivoire; Dragodinde Ivoire et Orchidée</t>
        </is>
      </c>
    </row>
    <row r="31922">
      <c r="A31922" t="inlineStr">
        <is>
          <t>suerte croco</t>
        </is>
      </c>
      <c r="B31922">
        <f>HYPERLINK("https://www.dofusbook.net/fr/equipement/5069198-suerte-croco/objets", "link")</f>
        <v/>
      </c>
      <c r="C31922" t="n">
        <v>1</v>
      </c>
      <c r="D31922" t="inlineStr">
        <is>
          <t>Crocobur; Amulette de l'Œil Attentif; Anneau Volkorne; Bracelet des Fonds marins; Bouclier d'Ilyzaelle; Ceinture Volkorne; Masque des Fonds marins; Cape de l'Œil Attentif; Sandales des Fonds marins; Dofus Ivoire; Dofus Émeraude; Dofus Vulbis; Dofus Pourpre; Dofus Ébène; Dofus Ocre; Kanigloups</t>
        </is>
      </c>
    </row>
    <row r="31923">
      <c r="A31923" t="inlineStr">
        <is>
          <t>classicmulti</t>
        </is>
      </c>
      <c r="B31923">
        <f>HYPERLINK("https://www.dofusbook.net/fr/equipement/1958353-classicmulti/objets", "link")</f>
        <v/>
      </c>
      <c r="C31923" t="n">
        <v>5</v>
      </c>
      <c r="D31923" t="inlineStr">
        <is>
          <t>Epée Gloursonne; Amulette du Strigide; Alliance Gloursonne; Bague Gloursonne; Quatre-feuilles; Ceinture du Strigide; Masque Vaudou Tam; Cape Reski; Bottes du Strigide; Dofus Turquoise; Dofus Nébuleux; Dofus Vulbis; Dofus Ocre; Dofus Pourpre; Dofus Ébène; Kokulte</t>
        </is>
      </c>
    </row>
    <row r="31924">
      <c r="A31924" t="inlineStr">
        <is>
          <t>crits</t>
        </is>
      </c>
      <c r="B31924">
        <f>HYPERLINK("https://www.dofusbook.net/fr/equipement/2376567-crits/objets", "link")</f>
        <v/>
      </c>
      <c r="C31924" t="n">
        <v>5</v>
      </c>
      <c r="D31924" t="inlineStr">
        <is>
          <t>Sabres d'Atcham; Amulette du Strigide; Bracelet du Piloztère; Anneau de Padgref; Quatre-feuilles; Ceinture du Strigide; Coiffe de Padgref; Cape d'Atcham; Getas de Padgref; Dofus Ocre; Dofus Pourpre; Dofus Turquoise; Dofus Vulbis; Dofus Nébuleux; Dofus Ébène; Kokulte</t>
        </is>
      </c>
    </row>
    <row r="31925">
      <c r="A31925" t="inlineStr">
        <is>
          <t>panda rondas</t>
        </is>
      </c>
      <c r="B31925">
        <f>HYPERLINK("https://www.dofusbook.net/fr/equipement/5192349-panda-rondas/objets", "link")</f>
        <v/>
      </c>
      <c r="C31925" t="n">
        <v>1</v>
      </c>
      <c r="D31925" t="inlineStr">
        <is>
          <t>Lav'Hache; Amulette de Pol Ouatnos; Anneau en Grithril; Baguistik; Jadis; Ceinture en Grithril; Masque de Koutoulou; Cape au Logis; Baleinabottes; Dofus Abyssal; Dofus Émeraude; Bloqueur majeur; Fortification majeure; Obstructeur majeur; Enragé majeur; Wabbit</t>
        </is>
      </c>
    </row>
    <row r="31926">
      <c r="A31926" t="inlineStr">
        <is>
          <t>agi 12/6</t>
        </is>
      </c>
      <c r="B31926">
        <f>HYPERLINK("https://www.dofusbook.net/fr/equipement/5172624-agi-12-6/objets", "link")</f>
        <v/>
      </c>
      <c r="C31926" t="n">
        <v>0</v>
      </c>
      <c r="D31926" t="inlineStr">
        <is>
          <t>Manthache; Collier du Valet Veinard; Gant du Valet Veinard; Anneau d'Allister; Bouclier du Stalak; Ceinture Voldelor; Couronne d'Allister; Cape du Valet Veinard; Bottes d'Allister; Dofus Ocre; Dofus Ivoire; Dofus Vulbis; Dofus Ébène; Dofus Pourpre; Dofus Abyssal; Blérodoudou</t>
        </is>
      </c>
    </row>
    <row r="31927">
      <c r="A31927" t="inlineStr">
        <is>
          <t>tacleagi</t>
        </is>
      </c>
      <c r="B31927">
        <f>HYPERLINK("https://www.dofusbook.net/fr/equipement/5166619-tacleagi/objets", "link")</f>
        <v/>
      </c>
      <c r="C31927" t="n">
        <v>0</v>
      </c>
      <c r="D31927" t="inlineStr">
        <is>
          <t>Épée du Granduk; Amulette du Granduk; Alliance Gloursonne; Anneau Tamie; Droiture de Fallanster; Menoture; Couronne d'Allister; Cape de Mantaze; Pataugastrique; Tacleur majeur; Cascadeur majeur; Bloqueur; Bloqueur majeur; Obstructeur; Obstructeur majeur; Givrefoux</t>
        </is>
      </c>
    </row>
    <row r="31928">
      <c r="A31928" t="inlineStr">
        <is>
          <t>teroide</t>
        </is>
      </c>
      <c r="B31928">
        <f>HYPERLINK("https://www.dofusbook.net/fr/equipement/5150719-teroide/objets", "link")</f>
        <v/>
      </c>
      <c r="C31928" t="n">
        <v>0</v>
      </c>
      <c r="D31928" t="inlineStr">
        <is>
          <t>Hache Téroïde; Amulette du Strigide; Bague Gloursonne; Chevalière du Roi Joueur; Bouclier du Captain Amakna; Ceinture du Strigide; Couronne du Roi Joueur; Cape au Logis; Bottes du Roi Joueur; Dofus Abyssal; Dofus des Glaces; Dofus Ocre; Dofus Pourpre; Dofus Turquoise; Dolmanax; Pioute vert</t>
        </is>
      </c>
    </row>
    <row r="31929">
      <c r="A31929" t="inlineStr">
        <is>
          <t>lvl vuelo</t>
        </is>
      </c>
      <c r="B31929">
        <f>HYPERLINK("https://www.dofusbook.net/fr/equipement/5093275-lvl-vuelo/objets", "link")</f>
        <v/>
      </c>
      <c r="C31929" t="n">
        <v>1</v>
      </c>
      <c r="D31929" t="inlineStr">
        <is>
          <t>Arc corrompu; Amulette Volkorne; Anneau Tamie; Anneau Volkorne; Bouclier du Stalak; Sangle Aise; Masque Vaudou Ark; Cape de Diondin; Bottes Innommables; Dofus Pourpre; Dofus Nébuleux; Astucieux majeur; Érudit majeur; Robuste majeur; Vigoureux majeur</t>
        </is>
      </c>
    </row>
    <row r="31930">
      <c r="A31930" t="inlineStr">
        <is>
          <t>int2002</t>
        </is>
      </c>
      <c r="B31930">
        <f>HYPERLINK("https://www.dofusbook.net/fr/equipement/2277013-int2002/objets", "link")</f>
        <v/>
      </c>
      <c r="C31930" t="n">
        <v>3</v>
      </c>
      <c r="D31930" t="inlineStr">
        <is>
          <t>Arc corrompu; Amulette Volkorne; Anneauræus; Anneau de Padgref; Bouclier du Stalak; Ceinture Volkorne; Heaume Oplate; Cape de Diondin; Bottes Innommables; Dofus Nébuleux; Dofus Pourpre; Érudit majeur; Savant majeur; Vigoureux majeur; Nomade; Pioute rouge</t>
        </is>
      </c>
    </row>
    <row r="31931">
      <c r="A31931" t="inlineStr">
        <is>
          <t>varita crits</t>
        </is>
      </c>
      <c r="B31931">
        <f>HYPERLINK("https://www.dofusbook.net/fr/equipement/5069275-varita-crits/objets", "link")</f>
        <v/>
      </c>
      <c r="C31931" t="n">
        <v>0</v>
      </c>
      <c r="D31931" t="inlineStr">
        <is>
          <t>Bagdette Café; Amulette du Strigide; Anneau Volkorne; Pikano; Bouclier du Captain Amakna; Ceinture du Strigide; Némès de Tal Kasha; Chevelure de Tal Kasha; Sandales de Tal Kasha; Dofus Vulbis; Dolmanax; Dofus Pourpre; Dofus Turquoise; Dofus des Glaces; Kokulte</t>
        </is>
      </c>
    </row>
    <row r="31932">
      <c r="A31932" t="inlineStr">
        <is>
          <t>agi empujes</t>
        </is>
      </c>
      <c r="B31932">
        <f>HYPERLINK("https://www.dofusbook.net/fr/equipement/5069254-agi-empujes/objets", "link")</f>
        <v/>
      </c>
      <c r="C31932" t="n">
        <v>0</v>
      </c>
      <c r="D31932" t="inlineStr">
        <is>
          <t>Plume de Buhorado; Amibou; Bague Trithon; Alliance Gloursonne; Bouclier Taverne; Menoture; Dorabysses; Capibou; Bottes du Cul Botté; Dofus Ocre; Dofus Pourpre; Bousculeur majeur; Culbuteur majeur; Cascadeur majeur; Pousseur majeur; Tofoudre</t>
        </is>
      </c>
    </row>
    <row r="31933">
      <c r="A31933" t="inlineStr">
        <is>
          <t>salto ira</t>
        </is>
      </c>
      <c r="B31933">
        <f>HYPERLINK("https://www.dofusbook.net/fr/equipement/5069225-salto-ira/objets", "link")</f>
        <v/>
      </c>
      <c r="C31933" t="n">
        <v>0</v>
      </c>
      <c r="D31933" t="inlineStr">
        <is>
          <t>Marteau R'ture; Amulette du Cœur Saignant; Anneau Volkorne; Anneau Chevelu; Bouclier d'Ilyzaelle; Ceinture Volkorne; Masque de Funespadon; Cape du Cœur Saignant; Bottes du Cœur Saignant; Dofus Vulbis; Dofus Pourpre; Dofus Ocre; Dofus Turquoise; Furibond majeur; Forcené majeur; Volkorne Pourpre</t>
        </is>
      </c>
    </row>
    <row r="31934">
      <c r="A31934" t="inlineStr">
        <is>
          <t>fo testtt</t>
        </is>
      </c>
      <c r="B31934">
        <f>HYPERLINK("https://www.dofusbook.net/fr/equipement/5069020-fo-testtt/objets", "link")</f>
        <v/>
      </c>
      <c r="C31934" t="n">
        <v>0</v>
      </c>
      <c r="D31934" t="inlineStr">
        <is>
          <t>Arc du Chalœil; Amulette du Cœur Saignant; Alliance de Missiz Frizz; Anneau Volkorne; Bouclier d'Ilyzaelle; Ceinture Volkorne; Casque de Missiz Frizz; Cape du Cœur Saignant; Bottes du Cœur Saignant; Dofus Turquoise; Dofus Vulbis; Dofus Pourpre; Dofus Ocre; Forcené majeur; Furibond majeur; Pioute vert</t>
        </is>
      </c>
    </row>
    <row r="31935">
      <c r="A31935" t="inlineStr">
        <is>
          <t>empuje</t>
        </is>
      </c>
      <c r="B31935">
        <f>HYPERLINK("https://www.dofusbook.net/fr/equipement/5069065-empuje/objets", "link")</f>
        <v/>
      </c>
      <c r="C31935" t="n">
        <v>0</v>
      </c>
      <c r="D31935" t="inlineStr">
        <is>
          <t>Arc du Chalœil; Torquistik; Anneau de Pol Ouatnos; Baguistik; Bouclier précieux; Ceinture Gence; Casque Dragoeuf; Cape Solution; Bottes Trithon; Dofus Abyssal; Dofus Ivoire; Bousculeur; Culbuteur majeur; Bousculeur majeur; Pousseur majeur; Tatouf</t>
        </is>
      </c>
    </row>
    <row r="31936">
      <c r="A31936" t="inlineStr">
        <is>
          <t>fo empuje</t>
        </is>
      </c>
      <c r="B31936">
        <f>HYPERLINK("https://www.dofusbook.net/fr/equipement/5069030-fo-empuje/objets", "link")</f>
        <v/>
      </c>
      <c r="C31936" t="n">
        <v>0</v>
      </c>
      <c r="D31936" t="inlineStr">
        <is>
          <t>Plume de Buhorado; Amulette du Cœur Vaillant; Bague Gloursonne; Bague Trithon; Bouclier Taverne; Ceinture Gence; Casque Dragoeuf; Bravoure de Rykke Errel; Bottes Trithon; Dofus Abyssal; Dofus Ocre; Dofus Ivoire; Dofus Turquoise; Bousculeur majeur; Culbuteur majeur; Black Tiwabbit</t>
        </is>
      </c>
    </row>
    <row r="31937">
      <c r="A31937" t="inlineStr">
        <is>
          <t>varitacrit</t>
        </is>
      </c>
      <c r="B31937">
        <f>HYPERLINK("https://www.dofusbook.net/fr/equipement/5069060-varitacrit/objets", "link")</f>
        <v/>
      </c>
      <c r="C31937" t="n">
        <v>0</v>
      </c>
      <c r="D31937" t="inlineStr">
        <is>
          <t>Baguette Hique; Amulette Volkorne; Anneau Volkorne; Pikano; Bouclier du Captain Amakna; Ceintacé; Némès de Tal Kasha; Chevelure de Tal Kasha; Sandales de Tal Kasha; Dolmanax; Dofus Turquoise; Dofus Pourpre; Dofus Vulbis; Dofus des Glaces; Joueur majeur; Kokulte</t>
        </is>
      </c>
    </row>
    <row r="31938">
      <c r="A31938" t="inlineStr">
        <is>
          <t>palacrit</t>
        </is>
      </c>
      <c r="B31938">
        <f>HYPERLINK("https://www.dofusbook.net/fr/equipement/5069054-palacrit/objets", "link")</f>
        <v/>
      </c>
      <c r="C31938" t="n">
        <v>0</v>
      </c>
      <c r="D31938" t="inlineStr">
        <is>
          <t>Pelle Fik; Amulette du Strigide; Pikano; Anneau Volkorne; Bouclier du Captain Amakna; Ceinture du Strigide; Némès de Tal Kasha; Chevelure de Tal Kasha; Sandales de Tal Kasha; Dofus Vulbis; Dofus des Glaces; Dofus Ocre; Dolmanax; Dofus Turquoise; Dofus Pourpre; Kokulte</t>
        </is>
      </c>
    </row>
    <row r="31939">
      <c r="A31939" t="inlineStr">
        <is>
          <t>suecrit</t>
        </is>
      </c>
      <c r="B31939">
        <f>HYPERLINK("https://www.dofusbook.net/fr/equipement/5069015-suecrit/objets", "link")</f>
        <v/>
      </c>
      <c r="C31939" t="n">
        <v>3</v>
      </c>
      <c r="D31939" t="inlineStr">
        <is>
          <t>Sceptre du Roi Joueur; Amulette de Shokkoth; Anneau Volkorne; Alliance Gloursonne; Bouclier du Stalak; Sangle Ouare; Kidibonnet; Cape de la Dame du Hasard; Bottes de la Dame du Hasard; Dofus Turquoise; Dofus Pourpre; Dofus des Glaces; Dofus Ocre; Vigoureux majeur; Chanceux majeur; Pioute bleu</t>
        </is>
      </c>
    </row>
    <row r="31940">
      <c r="A31940" t="inlineStr">
        <is>
          <t>varita</t>
        </is>
      </c>
      <c r="B31940">
        <f>HYPERLINK("https://www.dofusbook.net/fr/equipement/2670904-varita/objets", "link")</f>
        <v/>
      </c>
      <c r="C31940" t="n">
        <v>4</v>
      </c>
      <c r="D31940" t="inlineStr">
        <is>
          <t>Baguette Hique; Amulette du Strigide; Alliance Gloursonne; Anneau de Padgref; Quatre-feuilles; Ceinture du Strigide; Coiffe de Padgref; Voile d'encre; Getas de Padgref; Dofus Turquoise; Dofus des Glaces; Dofus Pourpre; Dofus Ocre; Dofus Vulbis; Kramkram</t>
        </is>
      </c>
    </row>
    <row r="31941">
      <c r="A31941" t="inlineStr">
        <is>
          <t>fo dops</t>
        </is>
      </c>
      <c r="B31941">
        <f>HYPERLINK("https://www.dofusbook.net/fr/equipement/462022-fo-dops/objets", "link")</f>
        <v/>
      </c>
      <c r="C31941" t="n">
        <v>1</v>
      </c>
      <c r="D31941" t="inlineStr">
        <is>
          <t>Bêche Asse; Collier de Tourthon; Bracelet du Piloztère; Anneau de Brouce; Bivalve; Ceinture Gence; Masque de Koutoulou; Cape au Logis; Bottes de Brouce; Dofus Pourpre; Enragé majeur; Furibond majeur; Forcené majeur; Robuste majeur; Vigoureux majeur</t>
        </is>
      </c>
    </row>
    <row r="31942">
      <c r="A31942" t="inlineStr">
        <is>
          <t>res crit</t>
        </is>
      </c>
      <c r="B31942">
        <f>HYPERLINK("https://www.dofusbook.net/fr/equipement/4284575-res-crit/objets", "link")</f>
        <v/>
      </c>
      <c r="C31942" t="n">
        <v>3</v>
      </c>
      <c r="D31942" t="inlineStr">
        <is>
          <t>Bêche Asse; Amulette de Pol Ouatnos; Baguistik; Goulano; Jadis; Ceinture de la Reine des Voleurs; Masque de Koutoulou; Cape au Logis; Goulbottes; Dofus Ivoire; Dokoko; Dofus Émeraude; Remueur; Fortification majeure; Bastion majeur; Wabbit</t>
        </is>
      </c>
    </row>
    <row r="31943">
      <c r="A31943" t="inlineStr">
        <is>
          <t>cha11/6/5</t>
        </is>
      </c>
      <c r="B31943">
        <f>HYPERLINK("https://www.dofusbook.net/fr/equipement/464732-cha11-6-5/objets", "link")</f>
        <v/>
      </c>
      <c r="C31943" t="n">
        <v>9</v>
      </c>
      <c r="D31943" t="inlineStr">
        <is>
          <t>Dagoulinantes; Amulette de Shokkoth; Anneau Volkorne; Alliance Gloursonne; Quatre-feuilles; Poulpagne; Capuche de l'Œil Attentif; Cape du Sinistrofu; Bottes du Sinistrofu; Dofus Turquoise; Dofus Pourpre; Dofus Ocre; Nomade; Vigoureux majeur; Chanceux majeur; Pioute bleu</t>
        </is>
      </c>
    </row>
    <row r="31944">
      <c r="A31944" t="inlineStr">
        <is>
          <t>neko12/6</t>
        </is>
      </c>
      <c r="B31944">
        <f>HYPERLINK("https://www.dofusbook.net/fr/equipement/1204228-neko12-6/objets", "link")</f>
        <v/>
      </c>
      <c r="C31944" t="n">
        <v>10</v>
      </c>
      <c r="D31944" t="inlineStr">
        <is>
          <t>Dagoulinantes; Amulette de Shokkoth; Anneau Volkorne; Alliance Gloursonne; Quatre-feuilles; Pagne du Rykaon; Coiffe de Danathor; Cape du Sinistrofu; Bottes du Sinistrofu; Dofus Pourpre; Dofus Ocre; Dofus Turquoise; Chanceux majeur; Remueur; Nomade; Volkorne Rubis et Indigo</t>
        </is>
      </c>
    </row>
    <row r="31945">
      <c r="A31945" t="inlineStr">
        <is>
          <t>crits2</t>
        </is>
      </c>
      <c r="B31945">
        <f>HYPERLINK("https://www.dofusbook.net/fr/equipement/4893737-crits2/objets", "link")</f>
        <v/>
      </c>
      <c r="C31945" t="n">
        <v>0</v>
      </c>
      <c r="D31945" t="inlineStr">
        <is>
          <t>Sabres d'Atcham; Amulette Volkorne; Anneau Volkorne; Anneau de Padgref; Quatre-feuilles; Ceinture Volkorne; Coiffe de Padgref; Cape d'Atcham; Getas de Padgref; Dofus Nébuleux; Dofus Pourpre; Dofus Ocre; Dofus Turquoise; Dofus des Glaces; Kokulte</t>
        </is>
      </c>
    </row>
    <row r="31946">
      <c r="A31946" t="inlineStr">
        <is>
          <t>mulapob</t>
        </is>
      </c>
      <c r="B31946">
        <f>HYPERLINK("https://www.dofusbook.net/fr/equipement/1085077-mulapob/objets", "link")</f>
        <v/>
      </c>
      <c r="C31946" t="n">
        <v>5</v>
      </c>
      <c r="D31946" t="inlineStr">
        <is>
          <t>Arc du Chalœil; Amulette Volkorne; Chevalière du Roi Joueur; Anneau Volkorne; Quatre-feuilles; Ceinture Volkorne; Couronne du Roi Joueur; Voile d'encre; Bottes du Roi Joueur; Dofus Ocre; Dofus des Glaces; Dokoko; Dofus Ébène; Dofus Pourpre; Robuste majeur; Dragodinde Ivoire et Pourpre</t>
        </is>
      </c>
    </row>
    <row r="31947">
      <c r="A31947" t="inlineStr">
        <is>
          <t>300ret</t>
        </is>
      </c>
      <c r="B31947">
        <f>HYPERLINK("https://www.dofusbook.net/fr/equipement/155965-300ret/objets", "link")</f>
        <v/>
      </c>
      <c r="C31947" t="n">
        <v>3</v>
      </c>
      <c r="D31947" t="inlineStr">
        <is>
          <t>La Baguette des Limbes; Amulette des Chocomanciens; Anneau Tamie; Anneau Tamie; Bouclier cubiste; Ceinture des Chocomanciens; Boucle d'oreille de Kongoku; Cape Peupret; Pikottes; Dofus Ocre; Ralentisseur majeur; Temporiseur; Entraveur majeur; Entraveur; Temporiseur majeur; Léopardo</t>
        </is>
      </c>
    </row>
    <row r="31948">
      <c r="A31948" t="inlineStr">
        <is>
          <t>cha250retira</t>
        </is>
      </c>
      <c r="B31948">
        <f>HYPERLINK("https://www.dofusbook.net/fr/equipement/156264-cha250retira/objets", "link")</f>
        <v/>
      </c>
      <c r="C31948" t="n">
        <v>20</v>
      </c>
      <c r="D31948" t="inlineStr">
        <is>
          <t>Baguette Hique; Amulette des Chocomanciens; Anneau Tamie; Alliance Gloursonne; Bouclier cubiste; Ceinture des Chocomanciens; Binocle Airvoyant; Cape de Léthaline; Pantoufles Émar; Remueur; Taquin majeur; Chanceux majeur; Temporiseur majeur; Entraveur majeur; Temporiseur; Léopardo</t>
        </is>
      </c>
    </row>
    <row r="31949">
      <c r="A31949" t="inlineStr">
        <is>
          <t>fullfo200</t>
        </is>
      </c>
      <c r="B31949">
        <f>HYPERLINK("https://www.dofusbook.net/fr/equipement/171180-fullfo200/objets", "link")</f>
        <v/>
      </c>
      <c r="C31949" t="n">
        <v>7</v>
      </c>
      <c r="D31949" t="inlineStr">
        <is>
          <t>Lav'Hache; Collier de Tourthon; Anneau de Brouce; Bracelet du Piloztère; Bouclier d'Ilyzaelle; Ceinture Volkorne; Masque de Koutoulou; Cape au Logis; Bottes de Brouce; Dofus des Glaces; Dofus Pourpre; Robuste majeur; Enragé majeur; Forcené majeur; Vigoureux majeur; Bulbisou</t>
        </is>
      </c>
    </row>
    <row r="31950">
      <c r="A31950" t="inlineStr">
        <is>
          <t>tankcha</t>
        </is>
      </c>
      <c r="B31950">
        <f>HYPERLINK("https://www.dofusbook.net/fr/equipement/1304894-tankcha/objets", "link")</f>
        <v/>
      </c>
      <c r="C31950" t="n">
        <v>0</v>
      </c>
      <c r="D31950" t="inlineStr">
        <is>
          <t>Dagoulinantes; Talisman Glouti; Anneau Volkorne; Alliance Gloursonne; Sept ans de malheur; Ceinture Glaciale; Masque d'Anerice; Cape d'Anerice; Pataugastrique; Dofus Pourpre; Dofus Ivoire; Dofus Émeraude; Obstructeur majeur; Chanceux majeur; Remueur; Muldo Roux et Indigo</t>
        </is>
      </c>
    </row>
    <row r="31951">
      <c r="A31951" t="inlineStr">
        <is>
          <t>fo/int11/6 200</t>
        </is>
      </c>
      <c r="B31951">
        <f>HYPERLINK("https://www.dofusbook.net/fr/equipement/155956-fo-int11-6-200/objets", "link")</f>
        <v/>
      </c>
      <c r="C31951" t="n">
        <v>1</v>
      </c>
      <c r="D31951" t="inlineStr">
        <is>
          <t>Epée Toche; Amulette du Strigide; Chevalière du Roi Joueur; Bague Gloursonne; Bouclier Taverne; Ceintacé; Chapeau de Gein; Cape au Logis; Bottes du Strigide; Dofus Pourpre; Dofus des Glaces; Dofus Turquoise; Enragé majeur; Remueur; Vigoureux majeur; Pioute vert</t>
        </is>
      </c>
    </row>
    <row r="31952">
      <c r="A31952" t="inlineStr">
        <is>
          <t>juli</t>
        </is>
      </c>
      <c r="B31952">
        <f>HYPERLINK("https://www.dofusbook.net/fr/equipement/2219984-juli/objets", "link")</f>
        <v/>
      </c>
      <c r="C31952" t="n">
        <v>2</v>
      </c>
      <c r="D31952" t="inlineStr">
        <is>
          <t>Hache du Chalœil; Amulette du Strigide; Bague Trithon; Bracelet du Piloztère; Quatre-feuilles; Ceinture du Strigide; Le Dorado; Voile d'encre; Bottes Trithon; Dofus Ocre; Dolmanax; Dofus Pourpre; Dofus des Glaces; Dofus Nébuleux; Dofus Turquoise; Muldo Prune et Emeraude</t>
        </is>
      </c>
    </row>
    <row r="31953">
      <c r="A31953" t="inlineStr">
        <is>
          <t>12/6/5</t>
        </is>
      </c>
      <c r="B31953">
        <f>HYPERLINK("https://www.dofusbook.net/fr/equipement/4868371-12-6-5/objets", "link")</f>
        <v/>
      </c>
      <c r="C31953" t="n">
        <v>2</v>
      </c>
      <c r="D31953" t="inlineStr">
        <is>
          <t>Arc Volkorne; Amulette Volkorne; Bracelet du Piloztère; Anneau Volkorne; Quatre-feuilles; Ceinture Volkorne; Casque du Chalœil; Cape du Chalœil; Bottes du Chalœil; Dofus Turquoise; Dolmanax; Dofus des Glaces; Dofus Ocre; Dofus Pourpre; Fëanor</t>
        </is>
      </c>
    </row>
    <row r="31954">
      <c r="A31954" t="inlineStr">
        <is>
          <t>fulltacle</t>
        </is>
      </c>
      <c r="B31954">
        <f>HYPERLINK("https://www.dofusbook.net/fr/equipement/1309058-fulltacle/objets", "link")</f>
        <v/>
      </c>
      <c r="C31954" t="n">
        <v>0</v>
      </c>
      <c r="D31954" t="inlineStr">
        <is>
          <t>Héqache; Collier Rophante; Anneau Tamie; Anneau de Pol Ouatnos; Sept ans de malheur; Ceinture des Chocomanciens; Kidibonnet; Cape de Kongoku; Pataugastrique; Dofus Émeraude; Obstructeur; Bloqueur majeur; Remueur; Obstructeur majeur; Tacleur majeur; Blokus</t>
        </is>
      </c>
    </row>
    <row r="31955">
      <c r="A31955" t="inlineStr">
        <is>
          <t>anerice</t>
        </is>
      </c>
      <c r="B31955">
        <f>HYPERLINK("https://www.dofusbook.net/fr/equipement/3189835-anerice/objets", "link")</f>
        <v/>
      </c>
      <c r="C31955" t="n">
        <v>9</v>
      </c>
      <c r="D31955" t="inlineStr">
        <is>
          <t>Rouleau à Pâtisserie d'Aermyne; Collier Rophante; Bague Trithon; Alliance Gloursonne; Sept ans de malheur; Ceinture de Kongoku; Masque d'Anerice; Cape d'Anerice; Pataugastrique; Dolmanax; Dofus Émeraude; Dofus Ivoire; Remueur; Bloqueur majeur; Obstructeur majeur; Muldo Roux et Indigo</t>
        </is>
      </c>
    </row>
    <row r="31956">
      <c r="A31956" t="inlineStr">
        <is>
          <t>sonebase</t>
        </is>
      </c>
      <c r="B31956">
        <f>HYPERLINK("https://www.dofusbook.net/fr/equipement/4708921-sonebase/objets", "link")</f>
        <v/>
      </c>
      <c r="C31956" t="n">
        <v>4</v>
      </c>
      <c r="D31956" t="inlineStr">
        <is>
          <t>Arc corrompu; Pendentif affamé; Anneauræus; Anneauræus; Quatre-feuilles; Ceinture Séculaire; Coiffe Séculaire; Cape de Diondin; Bottes Innommables; Dofus Pourpre; Dofus Turquoise; Remueur; Astucieux majeur; Érudit majeur; Nomade; Pioute rouge</t>
        </is>
      </c>
    </row>
    <row r="31957">
      <c r="A31957" t="inlineStr">
        <is>
          <t>ini6000</t>
        </is>
      </c>
      <c r="B31957">
        <f>HYPERLINK("https://www.dofusbook.net/fr/equipement/1022810-ini6000/objets", "link")</f>
        <v/>
      </c>
      <c r="C31957" t="n">
        <v>2</v>
      </c>
      <c r="D31957" t="inlineStr">
        <is>
          <t>Epée Loponèze; Collier du Tanukouï San; Annolamour; Bague Instable; Bouclier Brâkmarien; Ceinture Instable; Kanistère; Cape de l'Œil Attentif; Bottines des sous-bois; Dolmanax; Fonceur; Précurseur majeur; Précurseur; Fonceur majeur; Initiateur majeur; Chaperlipopette</t>
        </is>
      </c>
    </row>
    <row r="31958">
      <c r="A31958" t="inlineStr">
        <is>
          <t>fullretira</t>
        </is>
      </c>
      <c r="B31958">
        <f>HYPERLINK("https://www.dofusbook.net/fr/equipement/4840467-fullretira/objets", "link")</f>
        <v/>
      </c>
      <c r="C31958" t="n">
        <v>0</v>
      </c>
      <c r="D31958" t="inlineStr">
        <is>
          <t>Marteau R'ture; Amulette des Chocomanciens; Anneau Tamie; Anneau Tamie; Bouclier cubiste; Ceinture des Chocomanciens; Coiffe d'Ogivol; Cape Peupret; Bottes du Cul Botté; Dofus Cawotte; Entraveur; Temporiseur majeur; Ralentisseur majeur; Temporiseur; Entraveur majeur; Léopardo</t>
        </is>
      </c>
    </row>
    <row r="31959">
      <c r="A31959" t="inlineStr">
        <is>
          <t>cha200ret</t>
        </is>
      </c>
      <c r="B31959">
        <f>HYPERLINK("https://www.dofusbook.net/fr/equipement/155963-cha200ret/objets", "link")</f>
        <v/>
      </c>
      <c r="C31959" t="n">
        <v>2</v>
      </c>
      <c r="D31959" t="inlineStr">
        <is>
          <t>Baguette Hique; Amulette de Shokkoth; Anneau Tamie; Anneau Tamie; Bouclier cubiste; Ceinture Glaciale; Coiffe d'Ogivol; Cape Glaciale; Pataugastrique; Dofus Ocre; Dofus Pourpre; Entraveur majeur; Nomade; Chanceux majeur; Temporiseur majeur; Léopardo</t>
        </is>
      </c>
    </row>
    <row r="31960">
      <c r="A31960" t="inlineStr">
        <is>
          <t>crit pot</t>
        </is>
      </c>
      <c r="B31960">
        <f>HYPERLINK("https://www.dofusbook.net/fr/equipement/1902223-crit-pot/objets", "link")</f>
        <v/>
      </c>
      <c r="C31960" t="n">
        <v>0</v>
      </c>
      <c r="D31960" t="inlineStr">
        <is>
          <t>Bâton Beau; Amulette du Strigide; Anneau de Padgref; Bracelet du Piloztère; Quatre-feuilles; Ceinture du Strigide; Coiffe de Padgref; Cape Reski; Getas de Padgref; Dofus Ocre; Dofus Pourpre; Dofus Turquoise; Dolmanax; Dofus Nébuleux; Dofus des Glaces; Muldo Prune et Emeraude</t>
        </is>
      </c>
    </row>
    <row r="31961">
      <c r="A31961" t="inlineStr">
        <is>
          <t>agitank</t>
        </is>
      </c>
      <c r="B31961">
        <f>HYPERLINK("https://www.dofusbook.net/fr/equipement/3219382-agitank/objets", "link")</f>
        <v/>
      </c>
      <c r="C31961" t="n">
        <v>1</v>
      </c>
      <c r="D31961" t="inlineStr">
        <is>
          <t>Plume de Buhorado; Collier du Valet Veinard; Alliance Gloursonne; Gant du Valet Veinard; Bouclier du Stalak; Menoture; Couronne d'Allister; Cape Indescriptible; Palmes Trithons; Dofus Pourpre; Dofus des Glaces; Cascadeur majeur; Remueur; Vigoureux majeur; Nomade; Blérodoudou</t>
        </is>
      </c>
    </row>
    <row r="31962">
      <c r="A31962" t="inlineStr">
        <is>
          <t>fulldam</t>
        </is>
      </c>
      <c r="B31962">
        <f>HYPERLINK("https://www.dofusbook.net/fr/equipement/772509-fulldam/objets", "link")</f>
        <v/>
      </c>
      <c r="C31962" t="n">
        <v>2</v>
      </c>
      <c r="D31962" t="inlineStr">
        <is>
          <t>Arc Hétype; Amulette de Nileza; Anneauræus; Anneau Tamie; Bouclier du Stalak; Ceinture Séculaire; Coiffe Séculaire; Cape de Diondin; Bottes Innommables; Dofus des Glaces; Dofus Pourpre; Astucieux majeur; Dévastateur Feu majeur; Nomade; Érudit majeur; Brûlih</t>
        </is>
      </c>
    </row>
    <row r="31963">
      <c r="A31963" t="inlineStr">
        <is>
          <t>bethel</t>
        </is>
      </c>
      <c r="B31963">
        <f>HYPERLINK("https://www.dofusbook.net/fr/equipement/3586773-bethel/objets", "link")</f>
        <v/>
      </c>
      <c r="C31963" t="n">
        <v>3</v>
      </c>
      <c r="D31963" t="inlineStr">
        <is>
          <t>Héqache; Collier de Tourthon; Bracelet du Piloztère; Anneau de Brouce; Bouclier du Captain Amakna; Ceinture de la Reine des Voleurs; Coiffe de la Reine des Voleurs; Cape au Logis; Baleinabottes; Dofus Pourpre; Enragé majeur; Remueur; Vigoureux majeur; Bwak de Terre</t>
        </is>
      </c>
    </row>
    <row r="31964">
      <c r="A31964" t="inlineStr">
        <is>
          <t>full pot200</t>
        </is>
      </c>
      <c r="B31964">
        <f>HYPERLINK("https://www.dofusbook.net/fr/equipement/2743633-full-pot200/objets", "link")</f>
        <v/>
      </c>
      <c r="C31964" t="n">
        <v>0</v>
      </c>
      <c r="D31964" t="inlineStr">
        <is>
          <t>Bâton Beau; Amulette du Strigide; Bracelet du Piloztère; Bague Gloursonne; Quatre-feuilles; Ceintacé; Coiffe Ranshi; Voilamibe; Bottes du Strigide; Dofus des Glaces; Dofus Nébuleux; Dofus Turquoise; Dofus Pourpre; Dolmanax; Vigoureux majeur; Kramkram</t>
        </is>
      </c>
    </row>
    <row r="31965">
      <c r="A31965" t="inlineStr">
        <is>
          <t>intret200</t>
        </is>
      </c>
      <c r="B31965">
        <f>HYPERLINK("https://www.dofusbook.net/fr/equipement/866121-intret200/objets", "link")</f>
        <v/>
      </c>
      <c r="C31965" t="n">
        <v>2</v>
      </c>
      <c r="D31965" t="inlineStr">
        <is>
          <t>Arc Hétype; Amulette Volcanique; Anneau Tamie; Anneau de Nidas; Bouclier cubiste; Ceinture du Glourséleste; Couronne de Nidas; Cape de Diondin; Pantoufles Émar; Érudit majeur; Entraveur majeur; Remueur; Temporiseur; Temporiseur majeur; Muldo Indigo</t>
        </is>
      </c>
    </row>
    <row r="31966">
      <c r="A31966" t="inlineStr">
        <is>
          <t>duosyl</t>
        </is>
      </c>
      <c r="B31966">
        <f>HYPERLINK("https://www.dofusbook.net/fr/equipement/164014-duosyl/objets", "link")</f>
        <v/>
      </c>
      <c r="C31966" t="n">
        <v>2</v>
      </c>
      <c r="D31966" t="inlineStr">
        <is>
          <t>Arc Hétype; Amulette de Nileza; Anneau Tamie; Bague Gloursonne; Bouclier cubiste; Slip Iholo; Masque du Glourséleste; Cape de Nileza; Pantoufles Émar; Dokoko; Érudit majeur; Remueur; Entraveur majeur; Temporiseur majeur; Nomade; Brûlih</t>
        </is>
      </c>
    </row>
    <row r="31967">
      <c r="A31967" t="inlineStr">
        <is>
          <t>ret/pm</t>
        </is>
      </c>
      <c r="B31967">
        <f>HYPERLINK("https://www.dofusbook.net/fr/equipement/3079261-ret-pm/objets", "link")</f>
        <v/>
      </c>
      <c r="C31967" t="n">
        <v>0</v>
      </c>
      <c r="D31967" t="inlineStr">
        <is>
          <t>Arc Hétype; Amulette d'Otomaï; Anneau Tamie; Anneau Tamie; Bouclier cubiste; Ceinture du Glourséleste; Couronne du Roi Joueur; Cape de Diondin; Pantoufles Émar; Dofus Ocre; Nomade; Temporiseur; Temporiseur majeur; Entraveur majeur; Érudit majeur; Muldo Ebène et Indigo</t>
        </is>
      </c>
    </row>
    <row r="31968">
      <c r="A31968" t="inlineStr">
        <is>
          <t>intfull200</t>
        </is>
      </c>
      <c r="B31968">
        <f>HYPERLINK("https://www.dofusbook.net/fr/equipement/2826307-intfull200/objets", "link")</f>
        <v/>
      </c>
      <c r="C31968" t="n">
        <v>2</v>
      </c>
      <c r="D31968" t="inlineStr">
        <is>
          <t>Arc corrompu; Pendentif affamé; Anneauræus; Anneauræus; Quatre-feuilles; Ceinture Séculaire; Coiffe Séculaire; Cape de Diondin; Bottes Innommables; Dofus Turquoise; Dofus Pourpre; Savant majeur; Astucieux majeur; Remueur; Érudit majeur; Muldo Orchidée</t>
        </is>
      </c>
    </row>
    <row r="31969">
      <c r="A31969" t="inlineStr">
        <is>
          <t>critskut</t>
        </is>
      </c>
      <c r="B31969">
        <f>HYPERLINK("https://www.dofusbook.net/fr/equipement/155977-critskut/objets", "link")</f>
        <v/>
      </c>
      <c r="C31969" t="n">
        <v>1</v>
      </c>
      <c r="D31969" t="inlineStr">
        <is>
          <t>Arc de Koutoulou; Amulette du Strigide; Anneau de Padgref; Bracelet du Piloztère; Quatre-feuilles; Ceinture du Strigide; Coiffe de Padgref; Chevelure de Tal Kasha; Getas de Padgref; Dofus Ocre; Dofus Pourpre; Dofus Turquoise; Dolmanax; Dofus Nébuleux; Dofus des Glaces; Muldo Prune et Emeraude</t>
        </is>
      </c>
    </row>
    <row r="31970">
      <c r="A31970" t="inlineStr">
        <is>
          <t>multi17pla</t>
        </is>
      </c>
      <c r="B31970">
        <f>HYPERLINK("https://www.dofusbook.net/fr/equipement/1231527-multi17pla/objets", "link")</f>
        <v/>
      </c>
      <c r="C31970" t="n">
        <v>2</v>
      </c>
      <c r="D31970" t="inlineStr">
        <is>
          <t>Arc du Chalœil; Amulette du Strigide; Alliance Brûlâme; Bracelet du Piloztère; Quatre-feuilles; Ceinture du Strigide; Masque Brûlâme; Voile d'encre; Pompes Funèbres; Dolmanax; Dofus Ocre; Dofus Pourpre; Dokoko; Dofus des Glaces; Muldo Doré et Pourpre</t>
        </is>
      </c>
    </row>
    <row r="31971">
      <c r="A31971" t="inlineStr">
        <is>
          <t>agi200varita</t>
        </is>
      </c>
      <c r="B31971">
        <f>HYPERLINK("https://www.dofusbook.net/fr/equipement/161261-agi200varita/objets", "link")</f>
        <v/>
      </c>
      <c r="C31971" t="n">
        <v>0</v>
      </c>
      <c r="D31971" t="inlineStr">
        <is>
          <t>Baguette Hernelle; Pendentif mignon de Koutoulou; Anneau Rifique; Alliance Gloursonne; Quatre-feuilles; Menoture; Couronne d'Allister; Cape Indescriptible; Palmes Trithons; Dofus Pourpre; Dofus Ocre; Dofus des Glaces; Nomade; Dévastateur Air majeur; Cascadeur majeur; Muldo Indigo et Orchidée</t>
        </is>
      </c>
    </row>
    <row r="31972">
      <c r="A31972" t="inlineStr">
        <is>
          <t>tri</t>
        </is>
      </c>
      <c r="B31972">
        <f>HYPERLINK("https://www.dofusbook.net/fr/equipement/2157891-tri/objets", "link")</f>
        <v/>
      </c>
      <c r="C31972" t="n">
        <v>1</v>
      </c>
      <c r="D31972" t="inlineStr">
        <is>
          <t>Sabres d'Atcham; Amulette du Strigide; Anneau Tique; Alliance Gloursonne; Quatre-feuilles; Ceinture du Strigide; Chapeau des Malveilleurs; Cape d'Atcham; Sandales  d'Atcham; Dofus Ocre; Dofus des Glaces; Dofus Pourpre; Dofus Ivoire; Dofus Turquoise; Dolmanax; Muldo Prune et Orchidée</t>
        </is>
      </c>
    </row>
    <row r="31973">
      <c r="A31973" t="inlineStr">
        <is>
          <t>cha/int 11/6</t>
        </is>
      </c>
      <c r="B31973">
        <f>HYPERLINK("https://www.dofusbook.net/fr/equipement/2144454-cha-int-11-6/objets", "link")</f>
        <v/>
      </c>
      <c r="C31973" t="n">
        <v>0</v>
      </c>
      <c r="D31973" t="inlineStr">
        <is>
          <t>Arc Nécrotique; Amulette du Strigide; Alliance Gloursonne; Anneau Tique; Quatre-feuilles; Ceintacé; Casquette de Meno; Cape de la Dame du Hasard; Bottes du Strigide; Dofus Turquoise; Dofus des Glaces; Dofus Pourpre; Vigoureux majeur; Nomade; Remueur; Muldo Prune et Orchidée</t>
        </is>
      </c>
    </row>
    <row r="31974">
      <c r="A31974" t="inlineStr">
        <is>
          <t>crit</t>
        </is>
      </c>
      <c r="B31974">
        <f>HYPERLINK("https://www.dofusbook.net/fr/equipement/1671427-crit/objets", "link")</f>
        <v/>
      </c>
      <c r="C31974" t="n">
        <v>1</v>
      </c>
      <c r="D31974" t="inlineStr">
        <is>
          <t>Hache du Chalœil; Amulette du Strigide; Bracelet du Piloztère; Alliance Gloursonne; Quatre-feuilles; Ceintacé; Le Dorado; Voile d'encre; Bottes du Strigide; Dofus Nébuleux; Dofus Turquoise; Dofus des Glaces; Dofus Pourpre; Dolmanax; Vigoureux majeur; Muldo Prune et Emeraude</t>
        </is>
      </c>
    </row>
    <row r="31975">
      <c r="A31975" t="inlineStr">
        <is>
          <t>mooooo</t>
        </is>
      </c>
      <c r="B31975">
        <f>HYPERLINK("https://www.dofusbook.net/fr/equipement/1881184-mooooo/objets", "link")</f>
        <v/>
      </c>
      <c r="C31975" t="n">
        <v>1</v>
      </c>
      <c r="D31975" t="inlineStr">
        <is>
          <t>Pyraguette; Pendentif mignon de Koutoulou; Anneauræus; Anneauræus; Bouclier du Stalak; Ceinture de Gein; Casque Cyclopéen; Cape de Diondin; Bottes Innommables; Dofus Ocre; Dofus Pourpre; Dofus des Glaces; Dévastateur Feu majeur; Érudit majeur; Nomade; Kramkram</t>
        </is>
      </c>
    </row>
    <row r="31976">
      <c r="A31976" t="inlineStr">
        <is>
          <t>multi12/6 2</t>
        </is>
      </c>
      <c r="B31976">
        <f>HYPERLINK("https://www.dofusbook.net/fr/equipement/156027-multi12-6----2/objets", "link")</f>
        <v/>
      </c>
      <c r="C31976" t="n">
        <v>0</v>
      </c>
      <c r="D31976" t="inlineStr">
        <is>
          <t>Dagues Érhy; Amulette du Strigide; Anneau Tique; Alliance Gloursonne; Quatre-feuilles; Ceinture du Barbétoal; Casque du Chalœil; Voile d'encre; Bottes du Strigide; Dokoko; Dofus Pourpre; Dofus Ocre; Dofus Turquoise; Remueur; Nomade; Kwaltess</t>
        </is>
      </c>
    </row>
    <row r="31977">
      <c r="A31977" t="inlineStr">
        <is>
          <t>multi12/6 neko</t>
        </is>
      </c>
      <c r="B31977">
        <f>HYPERLINK("https://www.dofusbook.net/fr/equipement/1869729-multi12-6----neko/objets", "link")</f>
        <v/>
      </c>
      <c r="C31977" t="n">
        <v>0</v>
      </c>
      <c r="D31977" t="inlineStr">
        <is>
          <t>Dagues Érhy; Amulette du Strigide; Anneau Tique; Alliance Gloursonne; Quatre-feuilles; Ceinture du Barbétoal; Bonnet Ko; Voile d'encre; Bottes du Strigide; Dofus Pourpre; Dofus Ocre; Dofus Turquoise; Dokoko; Remueur; Nomade; Muldo Prune et Pourpre</t>
        </is>
      </c>
    </row>
    <row r="31978">
      <c r="A31978" t="inlineStr">
        <is>
          <t>agi 198 varita</t>
        </is>
      </c>
      <c r="B31978">
        <f>HYPERLINK("https://www.dofusbook.net/fr/equipement/1623773-agi-198-varita/objets", "link")</f>
        <v/>
      </c>
      <c r="C31978" t="n">
        <v>0</v>
      </c>
      <c r="D31978" t="inlineStr">
        <is>
          <t>Baguette Hernelle; Pendentif Oton; Anneau de Padgref; Alliance Gloursonne; Quatre-feuilles; Ceinture de Klime; Couronne d'Allister; Cape de Klime; Pantoufles Émar; Dolmanax; Dofus Pourpre; Cascadeur majeur; Remueur; Nomade; Dragodinde Emeraude et Rousse</t>
        </is>
      </c>
    </row>
    <row r="31979">
      <c r="A31979" t="inlineStr">
        <is>
          <t>agi 198 dagas</t>
        </is>
      </c>
      <c r="B31979">
        <f>HYPERLINK("https://www.dofusbook.net/fr/equipement/1623764-agi-198-dagas/objets", "link")</f>
        <v/>
      </c>
      <c r="C31979" t="n">
        <v>0</v>
      </c>
      <c r="D31979" t="inlineStr">
        <is>
          <t>Karnak; Pendentif Oton; Anneau d'Allister; Alliance Gloursonne; Quatre-feuilles; Ceinture Rasboulaire du Rasboul; Couronne d'Allister; Cape Matelassée; Pantoufles Émar; Dofus Pourpre; Nomade; Remueur; Cascadeur majeur; Miraculé majeur; Vigoureux majeur; Dragodinde Prune et Ebène</t>
        </is>
      </c>
    </row>
    <row r="31980">
      <c r="A31980" t="inlineStr">
        <is>
          <t>duocomte</t>
        </is>
      </c>
      <c r="B31980">
        <f>HYPERLINK("https://www.dofusbook.net/fr/equipement/162051-duocomte/objets", "link")</f>
        <v/>
      </c>
      <c r="C31980" t="n">
        <v>2</v>
      </c>
      <c r="D31980" t="inlineStr">
        <is>
          <t>Epée Kari; Amulette Héroclite; Bague Gloursonne; Alliance de Missiz Frizz; Quatre-feuilles; Ceinture d'Henual; Casque de Missiz Frizz; Cape au Logis; Sabots Minables; Carapace Terre majeur; Nomade; Bloqueur majeur; Remueur; Obstructeur majeur; Vigoureux majeur; Blokus</t>
        </is>
      </c>
    </row>
    <row r="31981">
      <c r="A31981" t="inlineStr">
        <is>
          <t>wut</t>
        </is>
      </c>
      <c r="B31981">
        <f>HYPERLINK("https://www.dofusbook.net/fr/equipement/1352660-wut/objets", "link")</f>
        <v/>
      </c>
      <c r="C31981" t="n">
        <v>0</v>
      </c>
      <c r="D31981" t="inlineStr">
        <is>
          <t>Dagues du Dragoeuf; Amulette Héroclite; Alliance de Missiz Frizz; Bague Gloursonne; Bouclier Taverne; Ceinture d'Henual; Casque de Missiz Frizz; Voile d'encre; Bottes de Brouce; Dofus Pourpre; Dofus Ocre; Dofus Turquoise; Nomade; Vigoureux majeur; Remueur; Kramkram</t>
        </is>
      </c>
    </row>
    <row r="31982">
      <c r="A31982" t="inlineStr">
        <is>
          <t>duoklim2</t>
        </is>
      </c>
      <c r="B31982">
        <f>HYPERLINK("https://www.dofusbook.net/fr/equipement/1352341-duoklim2/objets", "link")</f>
        <v/>
      </c>
      <c r="C31982" t="n">
        <v>2</v>
      </c>
      <c r="D31982" t="inlineStr">
        <is>
          <t>Épée d'Otomaï; Amulette de Nileza; Bague Gloursonne; Anneau Tamie; Quatre-feuilles; Ceinture Hyolite; Calotte Spot; Voile d'encre; Pantoufles Émar; Dofus Pourpre; Remueur; Savant majeur; Miraculé majeur; Érudit majeur; Nomade; Brûlih</t>
        </is>
      </c>
    </row>
    <row r="31983">
      <c r="A31983" t="inlineStr">
        <is>
          <t>duonile</t>
        </is>
      </c>
      <c r="B31983">
        <f>HYPERLINK("https://www.dofusbook.net/fr/equipement/162345-duonile/objets", "link")</f>
        <v/>
      </c>
      <c r="C31983" t="n">
        <v>0</v>
      </c>
      <c r="D31983" t="inlineStr">
        <is>
          <t>Baguette Hernelle; Pendentif Oton; Alliance Gloursonne; Anneau de Padgref; Quatre-feuilles; Ceinture de Klime; Couronne d'Allister; Cape de Klime; Pantoufles Émar; Dokoko; Dolmanax; Dofus des Glaces; Remueur; Cascadeur majeur; Nomade; Dragodinde Emeraude et Rousse</t>
        </is>
      </c>
    </row>
    <row r="31984">
      <c r="A31984" t="inlineStr">
        <is>
          <t>nice200</t>
        </is>
      </c>
      <c r="B31984">
        <f>HYPERLINK("https://www.dofusbook.net/fr/equipement/1231855-nice200/objets", "link")</f>
        <v/>
      </c>
      <c r="C31984" t="n">
        <v>0</v>
      </c>
      <c r="D31984" t="inlineStr">
        <is>
          <t>Plumeau Bil; Amulette de Nileza; Anneau Tique; Anneau Rifique; Bouclier du Stalak; Ceinture de Vortex; Cagoule de Vortex; Cape de Diondin; Bottes Innommables; Dofus des Glaces; Nomade; Dévastateur Feu majeur; Vigoureux majeur; Érudit majeur; Remueur; Brûlih</t>
        </is>
      </c>
    </row>
    <row r="31985">
      <c r="A31985" t="inlineStr">
        <is>
          <t>su/agi198var</t>
        </is>
      </c>
      <c r="B31985">
        <f>HYPERLINK("https://www.dofusbook.net/fr/equipement/1220382-su-agi198var/objets", "link")</f>
        <v/>
      </c>
      <c r="C31985" t="n">
        <v>0</v>
      </c>
      <c r="D31985" t="inlineStr">
        <is>
          <t>Marteau des Anciens Steamers; Pendentif Oton; Grésilanneau; Alliance Gloursonne; Quatre-feuilles; Ceinture Rasboulaire du Rasboul; Coiffe d'Ogivol; Cape Matelassée; Pantoufles Émar; Dofus Pourpre; Dofus Émeraude; Dofus Turquoise; Remueur; Nomade; Vigoureux majeur; Muldo Doré et Ebène</t>
        </is>
      </c>
    </row>
    <row r="31986">
      <c r="A31986" t="inlineStr">
        <is>
          <t>duomis</t>
        </is>
      </c>
      <c r="B31986">
        <f>HYPERLINK("https://www.dofusbook.net/fr/equipement/155991-duomis/objets", "link")</f>
        <v/>
      </c>
      <c r="C31986" t="n">
        <v>0</v>
      </c>
      <c r="D31986" t="inlineStr">
        <is>
          <t>Arc Hétype; Amulette de Nileza; Anneau Tamie; Bague Gloursonne; Quatre-feuilles; Ceinture Hyolite; Calotte Spot; Voile d'encre; Pantoufles Émar; Dévastateur Feu majeur; Érudit majeur; Miraculé majeur; Nomade; Remueur; Carapace Feu majeur; Brûlih</t>
        </is>
      </c>
    </row>
    <row r="31987">
      <c r="A31987" t="inlineStr">
        <is>
          <t>duoklim</t>
        </is>
      </c>
      <c r="B31987">
        <f>HYPERLINK("https://www.dofusbook.net/fr/equipement/155990-duoklim/objets", "link")</f>
        <v/>
      </c>
      <c r="C31987" t="n">
        <v>0</v>
      </c>
      <c r="D31987" t="inlineStr">
        <is>
          <t>Arc Hétype; Amulette de Nileza; Bague Gloursonne; Anneau Tamie; Quatre-feuilles; Ceinture Hyolite; Calotte Spot; Voile d'encre; Pantoufles Émar; Dofus Pourpre; Remueur; Vigoureux majeur; Dévastateur Feu majeur; Érudit majeur; Nomade; Brûlih</t>
        </is>
      </c>
    </row>
    <row r="31988">
      <c r="A31988" t="inlineStr">
        <is>
          <t>duonile</t>
        </is>
      </c>
      <c r="B31988">
        <f>HYPERLINK("https://www.dofusbook.net/fr/equipement/1169867-duonile/objets", "link")</f>
        <v/>
      </c>
      <c r="C31988" t="n">
        <v>0</v>
      </c>
      <c r="D31988" t="inlineStr">
        <is>
          <t>Rapière aux Glyphes; Amulette de Danathor; Pikano; Alliance Gloursonne; Bouclier cubiste; Ceinture Glaciale; Coiffe d'Ogivol; Cape Matelassée; Pikottes; Dokoko; Dofus Ocre; Nomade; Entraveur majeur; Chanceux majeur; Temporiseur majeur; Dragodinde Emeraude et Rousse</t>
        </is>
      </c>
    </row>
    <row r="31989">
      <c r="A31989" t="inlineStr">
        <is>
          <t>duoklim</t>
        </is>
      </c>
      <c r="B31989">
        <f>HYPERLINK("https://www.dofusbook.net/fr/equipement/163846-duoklim/objets", "link")</f>
        <v/>
      </c>
      <c r="C31989" t="n">
        <v>14</v>
      </c>
      <c r="D31989" t="inlineStr">
        <is>
          <t>Dagues Lassay; Pendentif Oton; Anneau d'Allister; Alliance Gloursonne; Bouclier Taverne; Ceinture de Klime; Couronne d'Allister; Cape d'Hel Munster; Pantoufles Émar; Dolmanax; Cascadeur majeur; Nomade; Obstructeur majeur; Remueur; Acrobate majeur; Siroko</t>
        </is>
      </c>
    </row>
    <row r="31990">
      <c r="A31990" t="inlineStr">
        <is>
          <t>int200critsoin</t>
        </is>
      </c>
      <c r="B31990">
        <f>HYPERLINK("https://www.dofusbook.net/fr/equipement/1159448-int200critsoin/objets", "link")</f>
        <v/>
      </c>
      <c r="C31990" t="n">
        <v>1</v>
      </c>
      <c r="D31990" t="inlineStr">
        <is>
          <t>Baguette Hernelle; Amulette d'Otomaï; Anneauræus; Anneauræus; Quatre-feuilles; Ceinture Séculaire; Coiffe Séculaire; Cape de Diondin; Bottes Innommables; Dofus Pourpre; Dofus Turquoise; Érudit majeur; Savant majeur; Remueur; Nomade; Brûlih</t>
        </is>
      </c>
    </row>
    <row r="31991">
      <c r="A31991" t="inlineStr">
        <is>
          <t>sapzob</t>
        </is>
      </c>
      <c r="B31991">
        <f>HYPERLINK("https://www.dofusbook.net/fr/equipement/1084503-sapzob/objets", "link")</f>
        <v/>
      </c>
      <c r="C31991" t="n">
        <v>0</v>
      </c>
      <c r="D31991" t="inlineStr">
        <is>
          <t>Héqache; Amulette du Strigide; Anneau Chevelu; Alliance Gloursonne; Bouclier du Captain Amakna; Ceinture du Strigide; Bonnet Ko; Voile d'encre; Tentassons; Dofus Turquoise; Dofus Abyssal; Dofus Ocre; Dofus Émeraude; Remueur; Nomade; Muldo Ebène et Indigo</t>
        </is>
      </c>
    </row>
    <row r="31992">
      <c r="A31992" t="inlineStr">
        <is>
          <t>full int huida</t>
        </is>
      </c>
      <c r="B31992">
        <f>HYPERLINK("https://www.dofusbook.net/fr/equipement/1032129-full-int-huida/objets", "link")</f>
        <v/>
      </c>
      <c r="C31992" t="n">
        <v>0</v>
      </c>
      <c r="D31992" t="inlineStr">
        <is>
          <t>Épée d'Otomaï; Pendentif affamé; Anneau Tamie; Anneau Tamie; Bouclier du Stalak; Ceinture Séculaire; Coiffe Séculaire; Cape de Diondin; Bottes Innommables; Dofus Ocre; Dofus des Glaces; Dokoko; Dofus Abyssal; Dofus Pourpre; Érudit majeur; Brûlih</t>
        </is>
      </c>
    </row>
    <row r="31993">
      <c r="A31993" t="inlineStr">
        <is>
          <t>fopot200</t>
        </is>
      </c>
      <c r="B31993">
        <f>HYPERLINK("https://www.dofusbook.net/fr/equipement/925379-fopot200/objets", "link")</f>
        <v/>
      </c>
      <c r="C31993" t="n">
        <v>0</v>
      </c>
      <c r="D31993" t="inlineStr">
        <is>
          <t>Arc du Chalœil; Amulette du Strigide; Bague Gloursonne; Bracelet du Piloztère; Quatre-feuilles; Ceintacé; Coiffe de la Reine des Voleurs; Cape au Logis; Bottes du Strigide; Dofus Pourpre; Enragé majeur; Carapace Terre majeur; Vigoureux majeur; Remueur; Kramkram</t>
        </is>
      </c>
    </row>
    <row r="31994">
      <c r="A31994" t="inlineStr">
        <is>
          <t>pods</t>
        </is>
      </c>
      <c r="B31994">
        <f>HYPERLINK("https://www.dofusbook.net/fr/equipement/155976-pods/objets", "link")</f>
        <v/>
      </c>
      <c r="C31994" t="n">
        <v>0</v>
      </c>
      <c r="D31994" t="inlineStr">
        <is>
          <t>; Collier de Tourthon; Anneau du Comte Harebourg; Anneau de Brouce; String Automnal du Chêne Mou; Coiffe du Comte Harebourg; Sac du Staca Noviste; Bottes du Meulou; Dolmanax; Forcené majeur; Furibond majeur; Porteur majeur; Enragé majeur; Porteur; Sakochère</t>
        </is>
      </c>
    </row>
    <row r="31995">
      <c r="A31995" t="inlineStr">
        <is>
          <t>crit</t>
        </is>
      </c>
      <c r="B31995">
        <f>HYPERLINK("https://www.dofusbook.net/fr/equipement/818177-crit/objets", "link")</f>
        <v/>
      </c>
      <c r="C31995" t="n">
        <v>1</v>
      </c>
      <c r="D31995" t="inlineStr">
        <is>
          <t>Hache du Chalœil; Amulette du Strigide; Alliance Gloursonne; Bracelet du Piloztère; Quatre-feuilles; Ceintacé; Casque du Chalœil; Voile d'encre; Bottes du Strigide; Dofus Pourpre; Dofus Turquoise; Dofus des Glaces; Remueur; Nomade; Vigoureux majeur; Kramkram</t>
        </is>
      </c>
    </row>
    <row r="31996">
      <c r="A31996" t="inlineStr">
        <is>
          <t>fo/</t>
        </is>
      </c>
      <c r="B31996">
        <f>HYPERLINK("https://www.dofusbook.net/fr/equipement/575256-fo-/objets", "link")</f>
        <v/>
      </c>
      <c r="C31996" t="n">
        <v>0</v>
      </c>
      <c r="D31996" t="inlineStr">
        <is>
          <t>Héqache; Amulette du Strigide; Bague Gloursonne; Bracelet du Piloztère; Ceinture de la Reine des Voleurs; Coiffe de la Reine des Voleurs; Cape au Logis; Baleinabottes; Dofus Pourpre; Dofus des Glaces; Dofus Émeraude; Dofus Turquoise; Enragé majeur; Remueur; Kramkram</t>
        </is>
      </c>
    </row>
    <row r="31997">
      <c r="A31997" t="inlineStr">
        <is>
          <t>cha/air200pvp</t>
        </is>
      </c>
      <c r="B31997">
        <f>HYPERLINK("https://www.dofusbook.net/fr/equipement/675415-cha-air200pvp/objets", "link")</f>
        <v/>
      </c>
      <c r="C31997" t="n">
        <v>0</v>
      </c>
      <c r="D31997" t="inlineStr">
        <is>
          <t>Arc de Koutoulou; Amulette du Strigide; Anneau du Cycloïde; Alliance Gloursonne; Ceintacé; Casque Dragoeuf; Chevelure de Tal Kasha; Bottes du Strigide; Dofus Turquoise; Dofus Pourpre; Vigoureux majeur; Nomade; Carapace Air majeur; Remueur; Kramkram</t>
        </is>
      </c>
    </row>
    <row r="31998">
      <c r="A31998" t="inlineStr">
        <is>
          <t>charet198</t>
        </is>
      </c>
      <c r="B31998">
        <f>HYPERLINK("https://www.dofusbook.net/fr/equipement/155964-charet198/objets", "link")</f>
        <v/>
      </c>
      <c r="C31998" t="n">
        <v>0</v>
      </c>
      <c r="D31998" t="inlineStr">
        <is>
          <t>Rapière aux Glyphes; Amulette de Danathor; Alliance Gloursonne; Pikano; Bouclier cubiste; Ceinture Glaciale; Binocle Airvoyant; Cape Matelassée; Pikottes; Dofus Ocre; Dokoko; Chanceux majeur; Temporiseur majeur; Miraculé majeur; Nomade; Muldo Orchidée et Pourpre</t>
        </is>
      </c>
    </row>
    <row r="31999">
      <c r="A31999" t="inlineStr">
        <is>
          <t>agi 200 hacha</t>
        </is>
      </c>
      <c r="B31999">
        <f>HYPERLINK("https://www.dofusbook.net/fr/equipement/159709-agi-200-hacha/objets", "link")</f>
        <v/>
      </c>
      <c r="C31999" t="n">
        <v>0</v>
      </c>
      <c r="D31999" t="inlineStr">
        <is>
          <t>Manthache; Collier du Valet Veinard; Gant du Valet Veinard; Alliance Gloursonne; Bouclier du Stalak; Menoture; Couronne d'Allister; Cape Indescriptible; Palmes Trithons; Dofus des Glaces; Dofus Pourpre; Remueur; Dévastateur Air majeur; Nomade; Cascadeur majeur; Muldo Ebène</t>
        </is>
      </c>
    </row>
    <row r="32000">
      <c r="A32000" t="inlineStr">
        <is>
          <t>agivit</t>
        </is>
      </c>
      <c r="B32000">
        <f>HYPERLINK("https://www.dofusbook.net/fr/equipement/575142-agivit/objets", "link")</f>
        <v/>
      </c>
      <c r="C32000" t="n">
        <v>1</v>
      </c>
      <c r="D32000" t="inlineStr">
        <is>
          <t>Manthache; Collier du Valet Veinard; Gant du Valet Veinard; Alliance Gloursonne; Bouclier précieux; Menoture; Dorabysses; Cape Indescriptible; Palmes Trithons; Dofus Pourpre; Dofus Émeraude; Dofus des Glaces; Remueur; Cascadeur majeur; Vigoureux majeur; Muldo Ebène et Pourpre</t>
        </is>
      </c>
    </row>
    <row r="32001">
      <c r="A32001" t="inlineStr">
        <is>
          <t>chapou</t>
        </is>
      </c>
      <c r="B32001">
        <f>HYPERLINK("https://www.dofusbook.net/fr/equipement/573265-chapou/objets", "link")</f>
        <v/>
      </c>
      <c r="C32001" t="n">
        <v>0</v>
      </c>
      <c r="D32001" t="inlineStr">
        <is>
          <t>Rapière aux Glyphes; Amulette Luminescente; Bague Trithon; Bracelet des Fonds marins; Poulpagne; Kidibonnet; Cape de Mantaze; Bottes Trithon; Dofus Turquoise; Dofus Pourpre; Remueur; Culbuteur majeur; Bousculeur majeur; Vigoureux majeur; Muldo Ebène et Indigo</t>
        </is>
      </c>
    </row>
    <row r="32002">
      <c r="A32002" t="inlineStr">
        <is>
          <t>full int huida</t>
        </is>
      </c>
      <c r="B32002">
        <f>HYPERLINK("https://www.dofusbook.net/fr/equipement/370018-full-int-huida/objets", "link")</f>
        <v/>
      </c>
      <c r="C32002" t="n">
        <v>2</v>
      </c>
      <c r="D32002" t="inlineStr">
        <is>
          <t>Harpelle; Pendentif affamé; Anneau Tique; Bague Gloursonne; Quatre-feuilles; Ceinture Séculaire; Coiffe Séculaire; Voile d'encre; Bottes Innommables; Dofus Pourpre; Dofus Ocre; Érudit majeur; Remueur; Savant majeur; Carapace Feu majeur; Muldo Orchidée et Pourpre</t>
        </is>
      </c>
    </row>
    <row r="32003">
      <c r="A32003" t="inlineStr">
        <is>
          <t>int198</t>
        </is>
      </c>
      <c r="B32003">
        <f>HYPERLINK("https://www.dofusbook.net/fr/equipement/155967-int198/objets", "link")</f>
        <v/>
      </c>
      <c r="C32003" t="n">
        <v>2</v>
      </c>
      <c r="D32003" t="inlineStr">
        <is>
          <t>Baguette Hernelle; Amulette d'Otomaï; Anneau de Padgref; Anneau Tamie; Quatre-feuilles; Slip Iholo; Coiffe de Padgref; Cape de Nileza; Pantoufles Émar; Dofus Turquoise; Miraculé majeur; Remueur; Nomade; Érudit majeur; Savant majeur; Brûlih</t>
        </is>
      </c>
    </row>
    <row r="32004">
      <c r="A32004" t="inlineStr">
        <is>
          <t>pvp 151</t>
        </is>
      </c>
      <c r="B32004">
        <f>HYPERLINK("https://www.dofusbook.net/fr/equipement/155975-pvp-151/objets", "link")</f>
        <v/>
      </c>
      <c r="C32004" t="n">
        <v>0</v>
      </c>
      <c r="D32004" t="inlineStr">
        <is>
          <t>La Baguette des Limbes; La Meulette; Anneau du Chêne Mou; Gelano; Ceinture Phossile; Bonnet Ko; Cape Phossile; Bottes Cérémoniales du Seigneur des Rats; Dofus Pourpre; Miraculé majeur; Nomade; Vigoureux majeur; Remueur; Érudit majeur; Kramkram</t>
        </is>
      </c>
    </row>
    <row r="32005">
      <c r="A32005" t="inlineStr">
        <is>
          <t>fo/int198 12/5</t>
        </is>
      </c>
      <c r="B32005">
        <f>HYPERLINK("https://www.dofusbook.net/fr/equipement/155955-fo-int198-12-5/objets", "link")</f>
        <v/>
      </c>
      <c r="C32005" t="n">
        <v>0</v>
      </c>
      <c r="D32005" t="inlineStr">
        <is>
          <t>Marteau d'Henual; Amulule; Alliance de Missiz Frizz; Bague Gloursonne; Bouclier Taverne; Ceinture de Brouce; Casque de Missiz Frizz; Cape du Professeur Xa; Chaussons du Comte Razof; Dofus Ocre; Dofus Pourpre; Dofus Turquoise; Remueur; Enragé majeur; Vigoureux majeur; Kramkram</t>
        </is>
      </c>
    </row>
    <row r="32006">
      <c r="A32006" t="inlineStr">
        <is>
          <t>multi12/6</t>
        </is>
      </c>
      <c r="B32006">
        <f>HYPERLINK("https://www.dofusbook.net/fr/equipement/156026-multi12-6/objets", "link")</f>
        <v/>
      </c>
      <c r="C32006" t="n">
        <v>0</v>
      </c>
      <c r="D32006" t="inlineStr">
        <is>
          <t>Epée Gloursonne; Amulette du Strigide; Bague Gloursonne; Alliance Gloursonne; Ceinture du Strigide; Casque du Chalœil; Voile d'encre; Bottes du Strigide; Dofus Pourpre; Dokoko; Dofus Turquoise; Dofus des Glaces; Dofus Ocre; Dofus Vulbis; Kramkram</t>
        </is>
      </c>
    </row>
    <row r="32007">
      <c r="A32007" t="inlineStr">
        <is>
          <t>duomerka</t>
        </is>
      </c>
      <c r="B32007">
        <f>HYPERLINK("https://www.dofusbook.net/fr/equipement/164084-duomerka/objets", "link")</f>
        <v/>
      </c>
      <c r="C32007" t="n">
        <v>0</v>
      </c>
      <c r="D32007" t="inlineStr">
        <is>
          <t>Bâton K'Tueuh; Amulette de Danathor; Alliance Gloursonne; Pikano; Bouclier cubiste; Ceinture Glaciale; Masque du Glourséleste; Cape Glaciale; Pataugastrique; Ralentisseur majeur; Remueur; Muraille Feu majeure; Temporiseur majeur; Entraveur majeur; Chanceux majeur; El Scarador</t>
        </is>
      </c>
    </row>
    <row r="32008">
      <c r="A32008" t="inlineStr">
        <is>
          <t>duomis</t>
        </is>
      </c>
      <c r="B32008">
        <f>HYPERLINK("https://www.dofusbook.net/fr/equipement/163253-duomis/objets", "link")</f>
        <v/>
      </c>
      <c r="C32008" t="n">
        <v>0</v>
      </c>
      <c r="D32008" t="inlineStr">
        <is>
          <t>Karnak; Pendentif Oton; Alliance Gloursonne; Anneau d'Allister; Bouclier Taverne; Ceinture de Klime; Couronne d'Allister; Cape d'Hel Munster; Pantoufles Émar; Dofus Pourpre; Dofus des Glaces; Cascadeur majeur; Remueur; Miraculé majeur; Nomade; El Scarador</t>
        </is>
      </c>
    </row>
    <row r="32009">
      <c r="A32009" t="inlineStr">
        <is>
          <t>duo conde</t>
        </is>
      </c>
      <c r="B32009">
        <f>HYPERLINK("https://www.dofusbook.net/fr/equipement/162962-duo-conde/objets", "link")</f>
        <v/>
      </c>
      <c r="C32009" t="n">
        <v>0</v>
      </c>
      <c r="D32009" t="inlineStr">
        <is>
          <t>Arc Hétype; Amulette de Nileza; Anneau Tamie; Bague Gloursonne; Quatre-feuilles; Frimature; Casqnoar; Cape de Nileza; Pantoufles Émar; Dofus Pourpre; Érudit majeur; Vigoureux majeur; Carapace Eau majeur; Nomade; Remueur; Brûlih</t>
        </is>
      </c>
    </row>
    <row r="32010">
      <c r="A32010" t="inlineStr">
        <is>
          <t>cha198</t>
        </is>
      </c>
      <c r="B32010">
        <f>HYPERLINK("https://www.dofusbook.net/fr/equipement/155961-cha198/objets", "link")</f>
        <v/>
      </c>
      <c r="C32010" t="n">
        <v>1</v>
      </c>
      <c r="D32010" t="inlineStr">
        <is>
          <t>Rapière aux Glyphes; Pendentif Oton; Anneau Glacial; Alliance Gloursonne; Quatre-feuilles; Ceinture Glaciale; Coiffe de Danathor; Cape Matelassée; Sandales Circulaires du Kimbo; Dofus Turquoise; Dofus Pourpre; Remueur; Chanceux majeur; Nomade; Vigoureux majeur; Dragodinde Prune et Emeraude</t>
        </is>
      </c>
    </row>
    <row r="32011">
      <c r="A32011" t="inlineStr">
        <is>
          <t>duosyl</t>
        </is>
      </c>
      <c r="B32011">
        <f>HYPERLINK("https://www.dofusbook.net/fr/equipement/162286-duosyl/objets", "link")</f>
        <v/>
      </c>
      <c r="C32011" t="n">
        <v>0</v>
      </c>
      <c r="D32011" t="inlineStr">
        <is>
          <t>Epée Kari; Amulette Héroclite; Alliance de Missiz Frizz; Alliance Sorcelée; Quatre-feuilles; Ceinture de Brouce; Casque de Missiz Frizz; Cape au Logis; Sabots Minables; Dolmanax; Bloqueur majeur; Observateur; Nomade; Obstructeur majeur; Remueur; Blokus</t>
        </is>
      </c>
    </row>
    <row r="32012">
      <c r="A32012" t="inlineStr">
        <is>
          <t>agi 198 dagas</t>
        </is>
      </c>
      <c r="B32012">
        <f>HYPERLINK("https://www.dofusbook.net/fr/equipement/155957-agi-198-dagas/objets", "link")</f>
        <v/>
      </c>
      <c r="C32012" t="n">
        <v>0</v>
      </c>
      <c r="D32012" t="inlineStr">
        <is>
          <t>Karnak; Pendentif Oton; Alliance Gloursonne; Anneau d'Allister; Bouclier Taverne; Ceinture Rasboulaire du Rasboul; Couronne d'Allister; Cape Matelassée; Pantoufles Émar; Dofus Pourpre; Cascadeur majeur; Miraculé majeur; Remueur; Acrobate majeur; Nomade; Dragodinde Prune et Ebène</t>
        </is>
      </c>
    </row>
    <row r="32013">
      <c r="A32013" t="inlineStr">
        <is>
          <t>Sram F 200</t>
        </is>
      </c>
      <c r="B32013">
        <f>HYPERLINK("https://www.dofusbook.net/fr/equipement/5715798-sram-f-200/objets", "link")</f>
        <v/>
      </c>
      <c r="C32013" t="n">
        <v>1</v>
      </c>
      <c r="D32013" t="inlineStr">
        <is>
          <t>Manthache; Collier du Valet Veinard; Gant du Valet Veinard; Alliance Gloursonne; Bouclier Taverne; Menoture; Couronne d'Allister; Cape Indescriptible; Palmes Trithons; Dofus Pourpre; Dévastateur Air majeur; Remueur; Cascadeur majeur; Vigoureux majeur; Nomade; Dragodinde Ebène et Ivoire</t>
        </is>
      </c>
    </row>
    <row r="32014">
      <c r="A32014" t="inlineStr">
        <is>
          <t>fétide full force</t>
        </is>
      </c>
      <c r="B32014">
        <f>HYPERLINK("https://www.dofusbook.net/fr/equipement/1663271-fetide-full-force/objets", "link")</f>
        <v/>
      </c>
      <c r="C32014" t="n">
        <v>4</v>
      </c>
      <c r="D32014" t="inlineStr">
        <is>
          <t>Pelle de la Cour Sombre; Collier du Valet Veinard; Anneau Rifique; Gant du Valet Veinard; Roncier; Menoture; Couronne d'Allister; Cape Indescriptible; Pantoufles Émar; Dofus Pourpre; Nomade; Remueur; Cascadeur majeur; Dévastateur Air majeur; Dragodinde Ebène et Ivoire</t>
        </is>
      </c>
    </row>
    <row r="32015">
      <c r="A32015" t="inlineStr">
        <is>
          <t>mimoune feu</t>
        </is>
      </c>
      <c r="B32015">
        <f>HYPERLINK("https://www.dofusbook.net/fr/equipement/899192-mimoune-feu/objets", "link")</f>
        <v/>
      </c>
      <c r="C32015" t="n">
        <v>2</v>
      </c>
      <c r="D32015" t="inlineStr">
        <is>
          <t>Arc Hétype; Amulette Volkorne; Anneau Tamie; Anneau Tamie; Le Karde Cœur; Ceinture Hanium; Heaume Oplate; Cape de Diondin; Bottes Innommables; Nomade; Temporiseur majeur; Remueur; Savant majeur; Entraveur majeur; Érudit majeur; Dragodinde Orchidée</t>
        </is>
      </c>
    </row>
    <row r="32016">
      <c r="A32016" t="inlineStr">
        <is>
          <t>legwand</t>
        </is>
      </c>
      <c r="B32016">
        <f>HYPERLINK("https://www.dofusbook.net/fr/equipement/4819098-legwand/objets", "link")</f>
        <v/>
      </c>
      <c r="C32016" t="n">
        <v>0</v>
      </c>
      <c r="D32016" t="inlineStr">
        <is>
          <t>Sabres d'Atcham; Amulette Volkorne; Anneau Volkorne; Bracelet du Piloztère; Bouclier du Captain Amakna; Ceinture Volkorne; Casque Volkorne; Cape d'Atcham; Sandales  d'Atcham; Dofus Ocre; Dofus Émeraude; Dofus Pourpre; Dolmanax; Dofus des Glaces; Paralyseur majeur; Boskito</t>
        </is>
      </c>
    </row>
    <row r="32017">
      <c r="A32017" t="inlineStr">
        <is>
          <t>Django 200</t>
        </is>
      </c>
      <c r="B32017">
        <f>HYPERLINK("https://www.dofusbook.net/fr/equipement/4701926-django-200/objets", "link")</f>
        <v/>
      </c>
      <c r="C32017" t="n">
        <v>0</v>
      </c>
      <c r="D32017" t="inlineStr">
        <is>
          <t>Marteau R'ture; Amulette du Nocturlabe; Anneau de Brouce; Bague Gloursonne; Coupe de Dragokart; Ceinture de Brouce; Masque de Koutoulou; Cape au Logis; Bottes du Comte Harebourg; Dévastateur Terre majeur; Miraculé majeur; Robuste majeur; Remueur; Enragé majeur; Vigoureux majeur; Kompost</t>
        </is>
      </c>
    </row>
    <row r="32018">
      <c r="A32018" t="inlineStr">
        <is>
          <t>Ouginak M 200</t>
        </is>
      </c>
      <c r="B32018">
        <f>HYPERLINK("https://www.dofusbook.net/fr/equipement/4698542-ouginak-m-200/objets", "link")</f>
        <v/>
      </c>
      <c r="C32018" t="n">
        <v>12</v>
      </c>
      <c r="D32018" t="inlineStr">
        <is>
          <t>Baguette des égarés; Amulette de Pol Ouatnos; Bracelet du Piloztère; Annolamour; Bouclier Taverne; Ceinture Luminescente; Le Dorado; Cape Luminescente; Bottes du Strigide; Dofus Pourpre; Robuste majeur; Chanceux majeur; Remueur; Vigoureux majeur; Nomade; Volkorne Pourpre et Indigo</t>
        </is>
      </c>
    </row>
    <row r="32019">
      <c r="A32019" t="inlineStr">
        <is>
          <t>Ouginak M 200</t>
        </is>
      </c>
      <c r="B32019">
        <f>HYPERLINK("https://www.dofusbook.net/fr/equipement/4702479-ouginak-m-200/objets", "link")</f>
        <v/>
      </c>
      <c r="C32019" t="n">
        <v>0</v>
      </c>
      <c r="D32019" t="inlineStr"/>
    </row>
    <row r="32020">
      <c r="A32020" t="inlineStr">
        <is>
          <t>retrait PM 200</t>
        </is>
      </c>
      <c r="B32020">
        <f>HYPERLINK("https://www.dofusbook.net/fr/equipement/4699618-retrait-pm-200/objets", "link")</f>
        <v/>
      </c>
      <c r="C32020" t="n">
        <v>1</v>
      </c>
      <c r="D32020" t="inlineStr">
        <is>
          <t>Epée Kari; Amulette Luminescente; Pikano; Annolamour; Ambrouclier; Ceintacé; Maskrobe; Cape des Matougarous; Pikottes; Dofus Pourpre; Dofus Ocre; Dolmanax; Temporiseur majeur; Entraveur majeur; Miraculé majeur; Dragodinde Prune et Ivoire</t>
        </is>
      </c>
    </row>
    <row r="32021">
      <c r="A32021" t="inlineStr">
        <is>
          <t>Ecapuccino 200</t>
        </is>
      </c>
      <c r="B32021">
        <f>HYPERLINK("https://www.dofusbook.net/fr/equipement/3743767-ecapuccino-200/objets", "link")</f>
        <v/>
      </c>
      <c r="C32021" t="n">
        <v>7</v>
      </c>
      <c r="D32021" t="inlineStr">
        <is>
          <t>Sabres d'Atcham; Amulette du Strigide; Grésilanneau; Bracelet du Piloztère; Bouclier du Captain Amakna; Ceintacé; Masque du Glourséleste; Bottes du Strigide; Dofus Pourpre; Dolmanax; Dofus Turquoise; Vigoureux majeur; Puissant majeur; Miraculé majeur; Muldo Prune et Doré</t>
        </is>
      </c>
    </row>
    <row r="32022">
      <c r="A32022" t="inlineStr">
        <is>
          <t>Barbe-Cue do cri</t>
        </is>
      </c>
      <c r="B32022">
        <f>HYPERLINK("https://www.dofusbook.net/fr/equipement/1248758-barbe-cue-do-cri/objets", "link")</f>
        <v/>
      </c>
      <c r="C32022" t="n">
        <v>2</v>
      </c>
      <c r="D32022" t="inlineStr">
        <is>
          <t>Arc de Koutoulou; Amulette du Strigide; Bracelet des Fonds marins; Bracelet du Piloztère; Bouclier du Captain Amakna; Ceinture du Strigide; Némès de Tal Kasha; Chevelure de Tal Kasha; Sandales de Tal Kasha; Dolmanax; Dofus Ocre; Dofus Pourpre; Dofus Turquoise; Dofus Émeraude; Dofus des Glaces; Muldo Prune et Emeraude</t>
        </is>
      </c>
    </row>
    <row r="32023">
      <c r="A32023" t="inlineStr">
        <is>
          <t>Corentin</t>
        </is>
      </c>
      <c r="B32023">
        <f>HYPERLINK("https://www.dofusbook.net/fr/equipement/1823186-corentin/objets", "link")</f>
        <v/>
      </c>
      <c r="C32023" t="n">
        <v>0</v>
      </c>
      <c r="D32023" t="inlineStr">
        <is>
          <t>Marteau Phossile; Amulette du Cycloïde; Anneau Tamie; Anneau Rifique; Bouclier Ventaille; Ceinture de Vortex; Masque du Glourséleste; Cape de Diondin; Pantoufles Émar; Dofus Pourpre; Temporiseur majeur; Nomade; Vigoureux majeur; Remueur; Sanguinaire majeur; Muldo Doré et Amande</t>
        </is>
      </c>
    </row>
    <row r="32024">
      <c r="A32024" t="inlineStr">
        <is>
          <t>PP MAX</t>
        </is>
      </c>
      <c r="B32024">
        <f>HYPERLINK("https://www.dofusbook.net/fr/equipement/5103885-pp-max/objets", "link")</f>
        <v/>
      </c>
      <c r="C32024" t="n">
        <v>1</v>
      </c>
      <c r="D32024" t="inlineStr">
        <is>
          <t>Baguette Hique; Kralamansion; Anneau Bliteré; Anneau Aimgéroks; Bouclier du Stalak; Ceinture des Prophètes; Casque Harnage; Cape du Minotot; Bottines des sous-bois; Dofus Kaliptus; Chanceux majeur; Érudit majeur; Nomade; Remueur; Glub</t>
        </is>
      </c>
    </row>
    <row r="32025">
      <c r="A32025" t="inlineStr">
        <is>
          <t>test iop terre</t>
        </is>
      </c>
      <c r="B32025">
        <f>HYPERLINK("https://www.dofusbook.net/fr/equipement/4568414-test-iop-terre-/objets", "link")</f>
        <v/>
      </c>
      <c r="C32025" t="n">
        <v>4</v>
      </c>
      <c r="D32025" t="inlineStr">
        <is>
          <t>Arc du Chalœil; Collier de Tourthon; Anneau Volkorne; Bracelet du Piloztère; Quatre-feuilles; Ceinture Volkorne; Masque de Koutoulou; Cape au Logis; Bottes de la Cour Sombre; Dofus Turquoise; Dofus Pourpre; Nomade; Remueur; Vigoureux majeur; Enragé majeur; Pioute vert</t>
        </is>
      </c>
    </row>
    <row r="32026">
      <c r="A32026" t="inlineStr">
        <is>
          <t>Roub air low cost</t>
        </is>
      </c>
      <c r="B32026">
        <f>HYPERLINK("https://www.dofusbook.net/fr/equipement/3942650-roub-air-low-cost-/objets", "link")</f>
        <v/>
      </c>
      <c r="C32026" t="n">
        <v>10</v>
      </c>
      <c r="D32026" t="inlineStr">
        <is>
          <t>Manthache; Collier du Valet Veinard; Alliance Gloursonne; Gant du Valet Veinard; Bouclier du Stalak; Menoture; Couronne d'Allister; Cape Indescriptible; Palmes Trithons; Dévastateur Air majeur; Remueur; Equilibriste majeur; Nomade; Vigoureux majeur; Cascadeur majeur; Blérodoudou</t>
        </is>
      </c>
    </row>
    <row r="32027">
      <c r="A32027" t="inlineStr">
        <is>
          <t>car multi pvm</t>
        </is>
      </c>
      <c r="B32027">
        <f>HYPERLINK("https://www.dofusbook.net/fr/equipement/4147505-car-multi-pvm-/objets", "link")</f>
        <v/>
      </c>
      <c r="C32027" t="n">
        <v>15</v>
      </c>
      <c r="D32027" t="inlineStr">
        <is>
          <t>Arc Volkorne; Amulette du Strigide; Anneau de Padgref; Bracelet du Piloztère; Quatre-feuilles; Ceintacé; Le Dorado; Cape du Chalœil; Bottes du Strigide; Dofus Pourpre; Dofus Turquoise; Dofus des Glaces; Vigoureux majeur; Nomade; Remueur; Kokulte</t>
        </is>
      </c>
    </row>
    <row r="32028">
      <c r="A32028" t="inlineStr">
        <is>
          <t>Sram terre feu pui</t>
        </is>
      </c>
      <c r="B32028">
        <f>HYPERLINK("https://www.dofusbook.net/fr/equipement/4623494-sram-terre-feu-pui-/objets", "link")</f>
        <v/>
      </c>
      <c r="C32028" t="n">
        <v>0</v>
      </c>
      <c r="D32028" t="inlineStr">
        <is>
          <t>Hache Téroïde; Amulette du Strigide; Chevalière du Roi Joueur; Bague Gloursonne; Quatre-feuilles; Ceinture du Strigide; Couronne du Roi Joueur; Cape au Logis; Bottes du Roi Joueur; Dofus Pourpre; Dofus Nébuleux; Dofus Abyssal; Dofus Turquoise; Dofus des Glaces; Dofus Ocre; Kokulte</t>
        </is>
      </c>
    </row>
    <row r="32029">
      <c r="A32029" t="inlineStr">
        <is>
          <t>FEU LOW COST</t>
        </is>
      </c>
      <c r="B32029">
        <f>HYPERLINK("https://www.dofusbook.net/fr/equipement/4620608-feu-low-cost/objets", "link")</f>
        <v/>
      </c>
      <c r="C32029" t="n">
        <v>0</v>
      </c>
      <c r="D32029" t="inlineStr">
        <is>
          <t>Arc corrompu; Amulette Séculaire; Sangle Aise; Cape de Nileza; Bottes Honyme; Guérisseur majeur; Miraculé majeur; Vigoureux majeur; Nomade; Érudit majeur; Remueur; Bisouglours</t>
        </is>
      </c>
    </row>
    <row r="32030">
      <c r="A32030" t="inlineStr">
        <is>
          <t>EAU RET LOW COST</t>
        </is>
      </c>
      <c r="B32030">
        <f>HYPERLINK("https://www.dofusbook.net/fr/equipement/4620603-eau-ret-low-cost/objets", "link")</f>
        <v/>
      </c>
      <c r="C32030" t="n">
        <v>0</v>
      </c>
      <c r="D32030" t="inlineStr"/>
    </row>
    <row r="32031">
      <c r="A32031" t="inlineStr">
        <is>
          <t>EAU LOW COST</t>
        </is>
      </c>
      <c r="B32031">
        <f>HYPERLINK("https://www.dofusbook.net/fr/equipement/4615483-eau-low-cost/objets", "link")</f>
        <v/>
      </c>
      <c r="C32031" t="n">
        <v>0</v>
      </c>
      <c r="D32031" t="inlineStr">
        <is>
          <t>Sceptre du Roi Joueur; Amulette de Danathor; Anneau Glacial; Alliance Gloursonne; Bouclier Ventaille; Poulpagne; Coiffe de Danathor; Voilamibe; Pataugastrique; Observateur; Chanceux majeur; Miraculé majeur; Nomade; Vigoureux majeur; Remueur; Kanigloups</t>
        </is>
      </c>
    </row>
    <row r="32032">
      <c r="A32032" t="inlineStr">
        <is>
          <t>Eau / retrait</t>
        </is>
      </c>
      <c r="B32032">
        <f>HYPERLINK("https://www.dofusbook.net/fr/equipement/1109899-eau---retrait/objets", "link")</f>
        <v/>
      </c>
      <c r="C32032" t="n">
        <v>25</v>
      </c>
      <c r="D32032" t="inlineStr">
        <is>
          <t>Baguette Hique; Amulette de Shokkoth; Pikano; Bracelet des Fonds marins; Bouclier cubiste; Poulpagne; Kidibonnet; Cape de Meno; Bottes de Meno; Nomade; Entraveur majeur; Remueur; Chanceux majeur; Temporiseur majeur; Ralentisseur majeur; Gwo Tofu Ventripotent</t>
        </is>
      </c>
    </row>
    <row r="32033">
      <c r="A32033" t="inlineStr">
        <is>
          <t>Panda Eau</t>
        </is>
      </c>
      <c r="B32033">
        <f>HYPERLINK("https://www.dofusbook.net/fr/equipement/4568279-panda-eau-/objets", "link")</f>
        <v/>
      </c>
      <c r="C32033" t="n">
        <v>4</v>
      </c>
      <c r="D32033" t="inlineStr">
        <is>
          <t>Sceptre du Roi Joueur; Amulette de Shokkoth; Bracelet des Fonds marins; Alliance Gloursonne; Quatre-feuilles; Ceinture Glaciale; Capuche de l'Œil Attentif; Cape Solution; Bottes Honyme; Dofus Turquoise; Dévastateur Eau majeur; Vigoureux majeur; Chanceux majeur; Nomade; Remueur; Kanigloups</t>
        </is>
      </c>
    </row>
    <row r="32034">
      <c r="A32034" t="inlineStr">
        <is>
          <t>Eniripsa F 200</t>
        </is>
      </c>
      <c r="B32034">
        <f>HYPERLINK("https://www.dofusbook.net/fr/equipement/3911585-eniripsa-f-200/objets", "link")</f>
        <v/>
      </c>
      <c r="C32034" t="n">
        <v>23</v>
      </c>
      <c r="D32034" t="inlineStr">
        <is>
          <t>Arc corrompu; Pendentif affamé; Baguistik; Anneau Tique; Quatre-feuilles; Ceinture Séculaire; Coiffe Séculaire; Cape de Diondin; Bottes Innommables; Dofus Turquoise; Vigoureux majeur; Érudit majeur; Nomade; Astucieux majeur; Remueur; Bisouglours</t>
        </is>
      </c>
    </row>
    <row r="32035">
      <c r="A32035" t="inlineStr">
        <is>
          <t>Pandawa TANK 200</t>
        </is>
      </c>
      <c r="B32035">
        <f>HYPERLINK("https://www.dofusbook.net/fr/equipement/3911605-pandawa-tank-200/objets", "link")</f>
        <v/>
      </c>
      <c r="C32035" t="n">
        <v>16</v>
      </c>
      <c r="D32035" t="inlineStr">
        <is>
          <t>Rouleau à Pâtisserie d'Aermyne; Collier Rophante; Anneau de Pol Ouatnos; Alliance Gloursonne; Sept ans de malheur; Ceinture de Kongoku; Masque d'Anerice; Cape d'Anerice; Pataugastrique; Dofus Abyssal; Dofus Émeraude; Bloqueur majeur; Remueur; Obstructeur majeur; Miraculé majeur; Givrefoux</t>
        </is>
      </c>
    </row>
    <row r="32036">
      <c r="A32036" t="inlineStr">
        <is>
          <t>iop agride</t>
        </is>
      </c>
      <c r="B32036">
        <f>HYPERLINK("https://www.dofusbook.net/fr/equipement/5874618-iop-agride/objets", "link")</f>
        <v/>
      </c>
      <c r="C32036" t="n">
        <v>3</v>
      </c>
      <c r="D32036" t="inlineStr">
        <is>
          <t>Youyettes; La Meulette; Gelano; Anneau de Cantile; Bouclier Taverne; Ceinture de XLII; Chapeau Lichinelle; Cape de Cantile; Bottines Hertie; Remueur; Dévastateur Terre majeur; Turbulent; Miraculé majeur; Nomade; Enragé majeur; Dragodinde Ivoire et Pourpre</t>
        </is>
      </c>
    </row>
    <row r="32037">
      <c r="A32037" t="inlineStr">
        <is>
          <t>iop agride</t>
        </is>
      </c>
      <c r="B32037">
        <f>HYPERLINK("https://www.dofusbook.net/fr/equipement/5874615-iop-agride/objets", "link")</f>
        <v/>
      </c>
      <c r="C32037" t="n">
        <v>1</v>
      </c>
      <c r="D32037" t="inlineStr"/>
    </row>
    <row r="32038">
      <c r="A32038" t="inlineStr">
        <is>
          <t>terrdala</t>
        </is>
      </c>
      <c r="B32038">
        <f>HYPERLINK("https://www.dofusbook.net/fr/equipement/4767048-terrdala/objets", "link")</f>
        <v/>
      </c>
      <c r="C32038" t="n">
        <v>1</v>
      </c>
      <c r="D32038" t="inlineStr">
        <is>
          <t>Hache Terrdala; Amulette Terrdala; Alliance Terrdala; Blopanneau Reinette Royal; Bouclier Abraknyde; Ceinture Terrdala; Chapeau Terrdala; Cape Terrdala; Geta Terrdala; Dragodinde Ivoire</t>
        </is>
      </c>
    </row>
    <row r="32039">
      <c r="A32039" t="inlineStr">
        <is>
          <t>Eau</t>
        </is>
      </c>
      <c r="B32039">
        <f>HYPERLINK("https://www.dofusbook.net/fr/equipement/4667123-eau/objets", "link")</f>
        <v/>
      </c>
      <c r="C32039" t="n">
        <v>0</v>
      </c>
      <c r="D32039" t="inlineStr">
        <is>
          <t>Bâton K'Tueuh; Amulette du Sinistrofu; Anneau Glacial; Alliance Gloursonne; Bouclier du Stalak; Ceinture de la Reine des Voleurs; Coiffe de la Reine des Voleurs; Cape du Sinistrofu; Bottes de la Reine des Voleurs; Dofus Argenté; Dofus Ocre; Dokoko; Dofus Ivoire; Bastion majeur; Bastion; Volkorne Prune</t>
        </is>
      </c>
    </row>
    <row r="32040">
      <c r="A32040" t="inlineStr">
        <is>
          <t>Res Cri</t>
        </is>
      </c>
      <c r="B32040">
        <f>HYPERLINK("https://www.dofusbook.net/fr/equipement/4652376-res-cri/objets", "link")</f>
        <v/>
      </c>
      <c r="C32040" t="n">
        <v>0</v>
      </c>
      <c r="D32040" t="inlineStr">
        <is>
          <t>Dagues Érhy; Amulette du Kamasterisk; Bague Gloursonne; Anneau de Brouce; Bouclier du Stalak; Ceinture de la Reine des Voleurs; Masque de Koutoulou; Cape au Logis; Bottes de la Reine des Voleurs; Dokoko; Dofus Ivoire; Dofus Argenté; Fortification majeure; Bastion majeur; Volkorne Prune</t>
        </is>
      </c>
    </row>
    <row r="32041">
      <c r="A32041" t="inlineStr">
        <is>
          <t>Full terre trophus</t>
        </is>
      </c>
      <c r="B32041">
        <f>HYPERLINK("https://www.dofusbook.net/fr/equipement/4379905-full-terre-trophus/objets", "link")</f>
        <v/>
      </c>
      <c r="C32041" t="n">
        <v>0</v>
      </c>
      <c r="D32041" t="inlineStr">
        <is>
          <t>Crocobur; Collier de Tourthon; Bague Gloursonne; Anneau de Brouce; Bouclier du Captain Amakna; Ceinture de Brouce; Masque de Koutoulou; Cape au Logis; Baleinabottes; Dofus Pourpre; Dofus des Glaces; Dofus Émeraude; Dofus Nébuleux; Dofus Turquoise; Dofus Abyssal; Dragodinde Ivoire et Pourpre</t>
        </is>
      </c>
    </row>
    <row r="32042">
      <c r="A32042" t="inlineStr">
        <is>
          <t>stri missiz croco</t>
        </is>
      </c>
      <c r="B32042">
        <f>HYPERLINK("https://www.dofusbook.net/fr/equipement/96707-stri-missiz-croco/objets", "link")</f>
        <v/>
      </c>
      <c r="C32042" t="n">
        <v>0</v>
      </c>
      <c r="D32042" t="inlineStr">
        <is>
          <t>Crocobur; Amulette du Strigide; Bague Gloursonne; Alliance de Missiz Frizz; Bouclier du Captain Amakna; Ceinture du Strigide; Casque de Missiz Frizz; Cape du Professeur Xa; Bottes du Strigide; Dofus Pourpre; Dofus Ocre; Dofus des Glaces; Dofus Nébuleux; Dofus Turquoise; Puissant majeur</t>
        </is>
      </c>
    </row>
    <row r="32043">
      <c r="A32043" t="inlineStr">
        <is>
          <t>Full terre crocobur</t>
        </is>
      </c>
      <c r="B32043">
        <f>HYPERLINK("https://www.dofusbook.net/fr/equipement/4379666-full-terre-crocobur/objets", "link")</f>
        <v/>
      </c>
      <c r="C32043" t="n">
        <v>0</v>
      </c>
      <c r="D32043" t="inlineStr">
        <is>
          <t>Crocobur; Collier de Tourthon; Anneau de Brouce; Bague Gloursonne; Bouclier du Captain Amakna; Ceinture de Brouce; Masque de Koutoulou; Cape au Logis; Bottes de Brouce; Dofus Émeraude; Dofus Nébuleux; Dofus Abyssal; Dofus Turquoise; Dofus Pourpre; Dofus des Glaces; Dragodinde Ivoire et Pourpre</t>
        </is>
      </c>
    </row>
    <row r="32044">
      <c r="A32044" t="inlineStr">
        <is>
          <t>stuff F/E full pnos</t>
        </is>
      </c>
      <c r="B32044">
        <f>HYPERLINK("https://www.dofusbook.net/fr/equipement/4296504-stuff-f-e-full-pnos/objets", "link")</f>
        <v/>
      </c>
      <c r="C32044" t="n">
        <v>0</v>
      </c>
      <c r="D32044" t="inlineStr">
        <is>
          <t>Arc Nécrotique; Talisman Igans; Bague Gloursonne; Alliance Gloursonne; Quatre-feuilles; Ceintrigue; Capuche de l'Œil Putride; Cape de l'Œil Putride; Bottes Owesli; Dofus Turquoise; Dofus Nébuleux; Dofus Ocre; Dofus Ébène; Dofus Pourpre; Dofus des Glaces; Volkorne Orchidée et Indigo</t>
        </is>
      </c>
    </row>
    <row r="32045">
      <c r="A32045" t="inlineStr">
        <is>
          <t>Eniripsa M 200</t>
        </is>
      </c>
      <c r="B32045">
        <f>HYPERLINK("https://www.dofusbook.net/fr/equipement/4277459-eniripsa-m-200/objets", "link")</f>
        <v/>
      </c>
      <c r="C32045" t="n">
        <v>1</v>
      </c>
      <c r="D32045" t="inlineStr">
        <is>
          <t>Baguette Range; Pendentif mignon de Koutoulou; Anneau Rifique; Kralano; Quatre-feuilles; Ceinture de Vortex; Cagoule de Vortex; Cape d'Atcham; Sabots de Vortex; Dofus Ocre; Dofus Ébène; Dolmanax; Dofus Nébuleux; Dofus Pourpre; Dofus des Glaces; Muldo Doré et Ebène</t>
        </is>
      </c>
    </row>
    <row r="32046">
      <c r="A32046" t="inlineStr">
        <is>
          <t>stuff volkorn</t>
        </is>
      </c>
      <c r="B32046">
        <f>HYPERLINK("https://www.dofusbook.net/fr/equipement/4292735-stuff-volkorn/objets", "link")</f>
        <v/>
      </c>
      <c r="C32046" t="n">
        <v>1</v>
      </c>
      <c r="D32046" t="inlineStr">
        <is>
          <t>Arc de Koutoulou; Amulette Volkorne; Anneau Volkorne; Bracelet des Fonds marins; Quatre-feuilles; Ceinture Volkorne; Casque Volkorne; Dofusteuse; Bottes de la Reine des Voleurs; Dofus Turquoise; Dofus Nébuleux; Dofus Ébène; Dofus Ocre; Dofus Pourpre; Dofus des Glaces; Volkorne Emeraude et Indigo</t>
        </is>
      </c>
    </row>
    <row r="32047">
      <c r="A32047" t="inlineStr">
        <is>
          <t>Stuff actuelle</t>
        </is>
      </c>
      <c r="B32047">
        <f>HYPERLINK("https://www.dofusbook.net/fr/equipement/96716-stuff-actuelle/objets", "link")</f>
        <v/>
      </c>
      <c r="C32047" t="n">
        <v>3</v>
      </c>
      <c r="D32047" t="inlineStr">
        <is>
          <t>Sabres d'Atcham; Amulette du Strigide; Bracelet du Piloztère; Anneau de Padgref; Quatre-feuilles; Ceinture du Strigide; Coiffe de Padgref; Cape d'Atcham; Getas de Padgref; Dofus Pourpre; Dofus Nébuleux; Dofus Turquoise; Dofus Ébène; Dofus Ocre; Dofus des Glaces; Muldo Prune</t>
        </is>
      </c>
    </row>
    <row r="32048">
      <c r="A32048" t="inlineStr">
        <is>
          <t>youpalaa</t>
        </is>
      </c>
      <c r="B32048">
        <f>HYPERLINK("https://www.dofusbook.net/fr/equipement/4277581-youpalaa/objets", "link")</f>
        <v/>
      </c>
      <c r="C32048" t="n">
        <v>0</v>
      </c>
      <c r="D32048" t="inlineStr">
        <is>
          <t>Arc Nécrotique; Collier de la Dame du Hasard; Bracelet du Piloztère; Lavanneau; Quatre-feuilles; Ceinture de l'Esprit Malsain; Masque de l'Esprit Malsain; Cape de la Dame du Hasard; Bottes de l'Esprit Malsain; Dofus Pourpre; Dofus des Glaces; Dofus Turquoise; Dofus Ébène; Dofus Ocre; Dofus Nébuleux; Muldo Prune</t>
        </is>
      </c>
    </row>
    <row r="32049">
      <c r="A32049" t="inlineStr">
        <is>
          <t>Full terre</t>
        </is>
      </c>
      <c r="B32049">
        <f>HYPERLINK("https://www.dofusbook.net/fr/equipement/3692073-full-terre/objets", "link")</f>
        <v/>
      </c>
      <c r="C32049" t="n">
        <v>2</v>
      </c>
      <c r="D32049" t="inlineStr">
        <is>
          <t>La Racine Hagogue; Amulette Héroclite; Annolamour; Anneau de Brouce; Bouclier Taverne; Ceinture de Brouce; Capuche Apin; Cape au Logis; Sabots Minables; Dofus Pourpre; Dofus Turquoise; Enragé majeur; Remueur; Dévastateur Terre majeur; Vigoureux majeur; Dragodinde Pourpre</t>
        </is>
      </c>
    </row>
    <row r="32050">
      <c r="A32050" t="inlineStr">
        <is>
          <t>Full agi</t>
        </is>
      </c>
      <c r="B32050">
        <f>HYPERLINK("https://www.dofusbook.net/fr/equipement/3454439-full-agi/objets", "link")</f>
        <v/>
      </c>
      <c r="C32050" t="n">
        <v>0</v>
      </c>
      <c r="D32050" t="inlineStr">
        <is>
          <t>Hachoirs de Viandargh; Kralamansion; Alliance Gloursonne; Anneau d'Allister; Ceinture de Klime; Couronne d'Allister; Cape de Klime; Bottes d'Allister; Dofus Ocre; Dofus Pourpre; Dolmanax; Acrobate majeur; Equilibriste majeur; Saccageur Air majeur; Dragodinde Ebène et Ivoire</t>
        </is>
      </c>
    </row>
    <row r="32051">
      <c r="A32051" t="inlineStr">
        <is>
          <t>Full eau dofus</t>
        </is>
      </c>
      <c r="B32051">
        <f>HYPERLINK("https://www.dofusbook.net/fr/equipement/3446342-full-eau-dofus/objets", "link")</f>
        <v/>
      </c>
      <c r="C32051" t="n">
        <v>0</v>
      </c>
      <c r="D32051" t="inlineStr">
        <is>
          <t>Rapière aux Glyphes; Amulette de Danathor; Alliance Gloursonne; Alliance de Missiz Frizz; Ceinture de Danathor; Coiffe de Danathor; Cape Matelassée; Bottes du Glourséleste; Dofus Turquoise; Ravageur Eau majeur; Taquin majeur; Joueur majeur; Survivant majeur; Vagabond majeur; Muldo Prune et Doré</t>
        </is>
      </c>
    </row>
    <row r="32052">
      <c r="A32052" t="inlineStr">
        <is>
          <t>Osamodas F 200</t>
        </is>
      </c>
      <c r="B32052">
        <f>HYPERLINK("https://www.dofusbook.net/fr/equipement/3442124-osamodas-f-200/objets", "link")</f>
        <v/>
      </c>
      <c r="C32052" t="n">
        <v>0</v>
      </c>
      <c r="D32052" t="inlineStr">
        <is>
          <t>Hachoirs de Viandargh; Frimamulette; Anneau d'Allister; Alliance Gloursonne; Ceinture de Klime; Couronne d'Allister; Cape Matelassée; Pantoufles Émar; Dofus Pourpre; Dofus Turquoise; Dévastateur Air majeur; Miraculé majeur; Nomade; Cascadeur majeur; Dragodinde Ebène et Emeraude</t>
        </is>
      </c>
    </row>
    <row r="32053">
      <c r="A32053" t="inlineStr">
        <is>
          <t>Xélor M 200</t>
        </is>
      </c>
      <c r="B32053">
        <f>HYPERLINK("https://www.dofusbook.net/fr/equipement/3251967-xelor-m-200/objets", "link")</f>
        <v/>
      </c>
      <c r="C32053" t="n">
        <v>0</v>
      </c>
      <c r="D32053" t="inlineStr"/>
    </row>
    <row r="32054">
      <c r="A32054" t="inlineStr">
        <is>
          <t>Full Feu CC</t>
        </is>
      </c>
      <c r="B32054">
        <f>HYPERLINK("https://www.dofusbook.net/fr/equipement/3102320-full-feu-cc/objets", "link")</f>
        <v/>
      </c>
      <c r="C32054" t="n">
        <v>0</v>
      </c>
      <c r="D32054" t="inlineStr">
        <is>
          <t>Arc corrompu; Pendentif mignon de Koutoulou; Bague Gloursonne; Anneau Rifique; Bouclier du Stalak; Ceinture de Vortex; Casque Cyclopéen; Cape de la Dame du Hasard; Bottes de la Dame du Hasard; Dofus Ivoire; Dofus Ocre; Dofus des Glaces; Dofus Abyssal; Dofus Pourpre; Dofus Turquoise; Muldo Orchidée et Pourpre</t>
        </is>
      </c>
    </row>
    <row r="32055">
      <c r="A32055" t="inlineStr">
        <is>
          <t>Full feu 2</t>
        </is>
      </c>
      <c r="B32055">
        <f>HYPERLINK("https://www.dofusbook.net/fr/equipement/3102274-full-feu-2/objets", "link")</f>
        <v/>
      </c>
      <c r="C32055" t="n">
        <v>0</v>
      </c>
      <c r="D32055" t="inlineStr">
        <is>
          <t>Arc corrompu; Pendentif affamé; Bague Gloursonne; Anneau Rifique; Bouclier du Stalak; Ceinture de l'Esprit Salvateur; Casque Cyclopéen; Cape de Diondin; Chaussures Ardentes; Dofus des Glaces; Dofus Abyssal; Dofus Pourpre; Dolmanax; Dofus Ivoire; Dofus Ocre; Muldo Orchidée et Pourpre</t>
        </is>
      </c>
    </row>
    <row r="32056">
      <c r="A32056" t="inlineStr">
        <is>
          <t>Full feu</t>
        </is>
      </c>
      <c r="B32056">
        <f>HYPERLINK("https://www.dofusbook.net/fr/equipement/3102200-full-feu/objets", "link")</f>
        <v/>
      </c>
      <c r="C32056" t="n">
        <v>0</v>
      </c>
      <c r="D32056" t="inlineStr">
        <is>
          <t>Arc corrompu; Pendentif affamé; Bague Gloursonne; Anneau Rifique; Bouclier du Stalak; Ceinture de l'Esprit Malsain; Casque Cyclopéen; Cape de Diondin; Chaussures Ardentes; Dofus Ivoire; Dofus Ocre; Dofus des Glaces; Dofus Abyssal; Dofus Pourpre; Érudit majeur; Muldo Orchidée et Amande</t>
        </is>
      </c>
    </row>
    <row r="32057">
      <c r="A32057" t="inlineStr">
        <is>
          <t>full multi</t>
        </is>
      </c>
      <c r="B32057">
        <f>HYPERLINK("https://www.dofusbook.net/fr/equipement/2050975-full-multi/objets", "link")</f>
        <v/>
      </c>
      <c r="C32057" t="n">
        <v>0</v>
      </c>
      <c r="D32057" t="inlineStr">
        <is>
          <t>Amulette du Strigide; Ceinture du Strigide; Bottes du Strigide</t>
        </is>
      </c>
    </row>
    <row r="32058">
      <c r="A32058" t="inlineStr">
        <is>
          <t>PVP terre/air</t>
        </is>
      </c>
      <c r="B32058">
        <f>HYPERLINK("https://www.dofusbook.net/fr/equipement/2050897-pvp-terre-air/objets", "link")</f>
        <v/>
      </c>
      <c r="C32058" t="n">
        <v>0</v>
      </c>
      <c r="D32058" t="inlineStr">
        <is>
          <t>Héqache; Amulette du Cœur Vaillant; Anneau Crustique; Alliance Gloursonne; Sept ans de malheur; Ceintouse; Masque de Koutoulou; Cape du Cœur Vaillant; Baleinabottes; Dofus Turquoise; Dofus des Glaces; Dofus Abyssal; Dofus Pourpre; Carapace Terre majeur; Étourdisseur majeur; Muldo Ebène et Pourpre</t>
        </is>
      </c>
    </row>
    <row r="32059">
      <c r="A32059" t="inlineStr">
        <is>
          <t>pvp air/eau</t>
        </is>
      </c>
      <c r="B32059">
        <f>HYPERLINK("https://www.dofusbook.net/fr/equipement/2050474-pvp-air-eau/objets", "link")</f>
        <v/>
      </c>
      <c r="C32059" t="n">
        <v>0</v>
      </c>
      <c r="D32059" t="inlineStr">
        <is>
          <t>Sabres d'Atcham; Amulette d'Ilyzaelle; Alliance Gloursonne; Gant du Valet Veinard; Bouclier d'Ilyzaelle; Ceinture de Vortex; Casque d'Ilyzaelle; Cape d'Atcham; Sandales  d'Atcham; Dofus Ocre; Dolmanax; Dofus des Glaces; Dofus Pourpre; Dofus Abyssal; Engourdisseur majeur; Muldo Ebène</t>
        </is>
      </c>
    </row>
    <row r="32060">
      <c r="A32060" t="inlineStr">
        <is>
          <t>PVP terre/air</t>
        </is>
      </c>
      <c r="B32060">
        <f>HYPERLINK("https://www.dofusbook.net/fr/equipement/2050604-pvp-terre-air/objets", "link")</f>
        <v/>
      </c>
      <c r="C32060" t="n">
        <v>0</v>
      </c>
      <c r="D32060" t="inlineStr">
        <is>
          <t>Héqache; Amulette du Cœur Vaillant; Alliance Brûlâme; Anneau Crustique; Sept ans de malheur; Ceintouse; Chapoulpe; Cape du Cœur Vaillant; Tentassons; Dofus Turquoise; Dofus Abyssal; Dolmanax; Dofus Ocre; Dofus Pourpre; Dofus des Glaces; Muldo Pourpre</t>
        </is>
      </c>
    </row>
    <row r="32061">
      <c r="A32061" t="inlineStr">
        <is>
          <t>full chance</t>
        </is>
      </c>
      <c r="B32061">
        <f>HYPERLINK("https://www.dofusbook.net/fr/equipement/2044590-full-chance/objets", "link")</f>
        <v/>
      </c>
      <c r="C32061" t="n">
        <v>0</v>
      </c>
      <c r="D32061" t="inlineStr">
        <is>
          <t>Arc Ontanporin; Amulette de Shokkoth; Alliance Gloursonne; Bracelet des Fonds marins; Ceinture de Danathor; Coiffe de Danathor; Voilamibe; Bottes du Sinistrofu; Dofus Ocre; Dofus Abyssal; Dofus des Glaces; Dofus Nébuleux; Dévastateur Eau majeur; Saccageur Eau majeur; Kanigloups</t>
        </is>
      </c>
    </row>
    <row r="32062">
      <c r="A32062" t="inlineStr">
        <is>
          <t>PVP Full Feu</t>
        </is>
      </c>
      <c r="B32062">
        <f>HYPERLINK("https://www.dofusbook.net/fr/equipement/2025627-pvp-full-feu/objets", "link")</f>
        <v/>
      </c>
      <c r="C32062" t="n">
        <v>0</v>
      </c>
      <c r="D32062" t="inlineStr">
        <is>
          <t>Arc corrompu; Pendentif affamé; Anneauræus; Bague Gloursonne; Bivalve; Ceinture Séculaire; Coiffe Séculaire; Cape de Diondin; Bottes Innommables; Dofus Turquoise; Dofus des Glaces; Dofus Pourpre; Érudit majeur; Carapace Feu majeur; Remueur; Muldo Orchidée et Pourpre</t>
        </is>
      </c>
    </row>
    <row r="32063">
      <c r="A32063" t="inlineStr">
        <is>
          <t>PVP Full Eau</t>
        </is>
      </c>
      <c r="B32063">
        <f>HYPERLINK("https://www.dofusbook.net/fr/equipement/2025425-pvp-full-eau/objets", "link")</f>
        <v/>
      </c>
      <c r="C32063" t="n">
        <v>0</v>
      </c>
      <c r="D32063" t="inlineStr">
        <is>
          <t>Sceptre du Roi Joueur; Amulette du Strigide; Alliance Gloursonne; Bracelet des Fonds marins; Quatre-feuilles; Ceinture du Strigide; Masque des Fonds marins; Cape de l'Œil Attentif; Sandales des Fonds marins; Dofus Abyssal; Dofus Émeraude; Dofus des Glaces; Dofus Pourpre; Dofus Turquoise; Dofus Ocre; Muldo Indigo</t>
        </is>
      </c>
    </row>
    <row r="32064">
      <c r="A32064" t="inlineStr">
        <is>
          <t>PVP eau/air</t>
        </is>
      </c>
      <c r="B32064">
        <f>HYPERLINK("https://www.dofusbook.net/fr/equipement/1969968-pvp-eau-air/objets", "link")</f>
        <v/>
      </c>
      <c r="C32064" t="n">
        <v>0</v>
      </c>
      <c r="D32064" t="inlineStr">
        <is>
          <t>Arc de Koutoulou; Amulette du Strigide; Bracelet des Fonds marins; Alliance Gloursonne; Sept ans de malheur; Poulpagne; Dorabysses; Chevelure de Tal Kasha; Sandales de Tal Kasha; Dofus Émeraude; Dolmanax; Dofus Ocre; Dofus Turquoise; Dofus Pourpre; Carapace Air majeur; Muldo Prune et Indigo</t>
        </is>
      </c>
    </row>
    <row r="32065">
      <c r="A32065" t="inlineStr">
        <is>
          <t>PVP Feu/Eau/Ret PA</t>
        </is>
      </c>
      <c r="B32065">
        <f>HYPERLINK("https://www.dofusbook.net/fr/equipement/1969964-pvp-feu-eau-ret-pa/objets", "link")</f>
        <v/>
      </c>
      <c r="C32065" t="n">
        <v>0</v>
      </c>
      <c r="D32065" t="inlineStr">
        <is>
          <t>Arc Nécrotique; Collier de la Dame du Hasard; Anneau Tique; Alliance Gloursonne; Sept ans de malheur; Poulpagne; Chapeau Lisson; Cape de la Dame du Hasard; Pataugastrique; Dofus Turquoise; Dofus Pourpre; Dofus Émeraude; Dofus Abyssal; Carapace Feu majeur; Étourdisseur majeur; Muldo Prune et Orchidée</t>
        </is>
      </c>
    </row>
    <row r="32066">
      <c r="A32066" t="inlineStr">
        <is>
          <t>PVP Feu/Eau/Ret PA</t>
        </is>
      </c>
      <c r="B32066">
        <f>HYPERLINK("https://www.dofusbook.net/fr/equipement/1943637-pvp-feu-eau-ret-pa/objets", "link")</f>
        <v/>
      </c>
      <c r="C32066" t="n">
        <v>0</v>
      </c>
      <c r="D32066" t="inlineStr">
        <is>
          <t>Arc Nécrotique; Collier de la Dame du Hasard; Anneau Tique; Alliance Gloursonne; Sept ans de malheur; Poulpagne; Chapeau Lisson; Cape de la Dame du Hasard; Pataugastrique; Dofus Émeraude; Dofus Abyssal; Dofus Turquoise; Dofus Pourpre; Étourdisseur majeur; Carapace Feu majeur; Muldo Prune et Orchidée</t>
        </is>
      </c>
    </row>
    <row r="32067">
      <c r="A32067" t="inlineStr">
        <is>
          <t>resistance</t>
        </is>
      </c>
      <c r="B32067">
        <f>HYPERLINK("https://www.dofusbook.net/fr/equipement/1293769-resistance/objets", "link")</f>
        <v/>
      </c>
      <c r="C32067" t="n">
        <v>0</v>
      </c>
      <c r="D32067" t="inlineStr">
        <is>
          <t>Arc du Chalœil; Amulette du Strigide; Bague Gloursonne; Alliance Gloursonne; Ftalmo; Ceintacé; Casque Dragoeuf; Voile d'encre; Baleinabottes; Dofus Émeraude; Dofus Abyssal; Fonceur majeur; Nomade; Miraculé majeur; Carapace Terre majeur; Kramkram</t>
        </is>
      </c>
    </row>
    <row r="32068">
      <c r="A32068" t="inlineStr">
        <is>
          <t>padgref baguette11/6</t>
        </is>
      </c>
      <c r="B32068">
        <f>HYPERLINK("https://www.dofusbook.net/fr/equipement/96711-padgref-baguette11-6/objets", "link")</f>
        <v/>
      </c>
      <c r="C32068" t="n">
        <v>0</v>
      </c>
      <c r="D32068" t="inlineStr">
        <is>
          <t>Amulette du Strigide; Bracelet du Piloztère; Anneau de Padgref; Quatre-feuilles; Ceinture du Strigide; Coiffe de Padgref; Cape d'Atcham; Getas de Padgref; Dofus Pourpre; Dofus des Glaces; Dofus Ocre; Dofus Émeraude; Dolmanax; Dofus Turquoise; Muldo Prune et Emeraude</t>
        </is>
      </c>
    </row>
    <row r="32069">
      <c r="A32069" t="inlineStr">
        <is>
          <t>Stuff 5</t>
        </is>
      </c>
      <c r="B32069">
        <f>HYPERLINK("https://www.dofusbook.net/fr/equipement/1009218-stuff-5/objets", "link")</f>
        <v/>
      </c>
      <c r="C32069" t="n">
        <v>0</v>
      </c>
      <c r="D32069" t="inlineStr">
        <is>
          <t>Marteau des égarés; Amulette du Strigide; Alliance de Missiz Frizz; Bague Gloursonne; Ceinture du Strigide; Casque de Missiz Frizz; Cape des Justiciers; Bottes du Strigide; Dolmanax; Dofus Turquoise; Dofus Nébuleux; Dofus Abyssal; Dofus des Glaces; Dofus Pourpre; Muldo Doré et Emeraude</t>
        </is>
      </c>
    </row>
    <row r="32070">
      <c r="A32070" t="inlineStr">
        <is>
          <t>Stuff 4</t>
        </is>
      </c>
      <c r="B32070">
        <f>HYPERLINK("https://www.dofusbook.net/fr/equipement/1009191-stuff-4/objets", "link")</f>
        <v/>
      </c>
      <c r="C32070" t="n">
        <v>0</v>
      </c>
      <c r="D32070" t="inlineStr">
        <is>
          <t>Hache du Chalœil; Amulette de l'Indicible; Bague Gloursonne; Alliance Gloursonne; Ceinture de l'Indicible; Casque du Chalœil; Cape du Chalœil; Bottes du Chalœil; Dofus Turquoise; Dofus Nébuleux; Dofus Ocre; Dofus Pourpre; Dolmanax; Muldo Prune et Doré</t>
        </is>
      </c>
    </row>
    <row r="32071">
      <c r="A32071" t="inlineStr">
        <is>
          <t>Stuff 2</t>
        </is>
      </c>
      <c r="B32071">
        <f>HYPERLINK("https://www.dofusbook.net/fr/equipement/96720-stuff-2/objets", "link")</f>
        <v/>
      </c>
      <c r="C32071" t="n">
        <v>0</v>
      </c>
      <c r="D32071" t="inlineStr">
        <is>
          <t>Hache du Chalœil; Amulette de l'Indicible; Bague Gloursonne; Alliance Gloursonne; Ceintacé; Casque du Chalœil; Cape du Chalœil; Bottes de l'Indicible; Dofus Ocre; Dofus Pourpre; Dolmanax; Dofus Turquoise; Dofus Nébuleux; Nomade; Muldo Prune et Doré</t>
        </is>
      </c>
    </row>
    <row r="32072">
      <c r="A32072" t="inlineStr">
        <is>
          <t>Stuff 1</t>
        </is>
      </c>
      <c r="B32072">
        <f>HYPERLINK("https://www.dofusbook.net/fr/equipement/96719-stuff-1/objets", "link")</f>
        <v/>
      </c>
      <c r="C32072" t="n">
        <v>0</v>
      </c>
      <c r="D32072" t="inlineStr">
        <is>
          <t>Hache du Chalœil; Amulette de l'Indicible; Bague Gloursonne; Alliance Gloursonne; Ceinture de l'Indicible; Casque du Chalœil; Cape du Chalœil; Bottes de l'Indicible; Dofus Pourpre; Dolmanax; Dofus Turquoise; Dofus Nébuleux; Dofus Ocre; Muldo Prune et Doré</t>
        </is>
      </c>
    </row>
    <row r="32073">
      <c r="A32073" t="inlineStr">
        <is>
          <t>test</t>
        </is>
      </c>
      <c r="B32073">
        <f>HYPERLINK("https://www.dofusbook.net/fr/equipement/824364-test/objets", "link")</f>
        <v/>
      </c>
      <c r="C32073" t="n">
        <v>0</v>
      </c>
      <c r="D32073" t="inlineStr">
        <is>
          <t>Dagues Érhy; Amulule; Bracelet du Piloztère; Alliance de Missiz Frizz; Ambrouclier; Ceintacé; Couronne du Roi Joueur; Cape au Logis; Bottes du Roi Joueur; Dolmanax; Dofus Ocre; Dofus Pourpre; Dofus des Glaces; Dofus Turquoise; Dofus Nébuleux</t>
        </is>
      </c>
    </row>
    <row r="32074">
      <c r="A32074" t="inlineStr">
        <is>
          <t>Stuff 2</t>
        </is>
      </c>
      <c r="B32074">
        <f>HYPERLINK("https://www.dofusbook.net/fr/equipement/810591-stuff-2/objets", "link")</f>
        <v/>
      </c>
      <c r="C32074" t="n">
        <v>0</v>
      </c>
      <c r="D32074" t="inlineStr">
        <is>
          <t>Baguette Range; Amulette du Strigide; Bracelet du Piloztère; Anneau de Padgref; Quatre-feuilles; Ceinture du Strigide; Coiffe de Padgref; Cape d'Atcham; Getas de Padgref; Dolmanax; Dofus Turquoise; Dofus Pourpre; Dofus des Glaces; Dofus Ocre; Dofus Émeraude; Muldo Prune</t>
        </is>
      </c>
    </row>
    <row r="32075">
      <c r="A32075" t="inlineStr">
        <is>
          <t>Stuff 2</t>
        </is>
      </c>
      <c r="B32075">
        <f>HYPERLINK("https://www.dofusbook.net/fr/equipement/96714-stuff-2/objets", "link")</f>
        <v/>
      </c>
      <c r="C32075" t="n">
        <v>0</v>
      </c>
      <c r="D32075" t="inlineStr">
        <is>
          <t>Dagoulinantes; Amulette du Sinistrofu; Alliance Gloursonne; Anneau Glacial; Ceinture Glaciale; Kidibonnet; Cape du Sinistrofu; Bottes du Sinistrofu; Dofus Émeraude; Dofus Ocre; Dolmanax; Dofus Pourpre; Dofus Turquoise; Joueur majeur; Muldo Prune et Doré</t>
        </is>
      </c>
    </row>
    <row r="32076">
      <c r="A32076" t="inlineStr">
        <is>
          <t>Stuff 1</t>
        </is>
      </c>
      <c r="B32076">
        <f>HYPERLINK("https://www.dofusbook.net/fr/equipement/96713-stuff-1/objets", "link")</f>
        <v/>
      </c>
      <c r="C32076" t="n">
        <v>0</v>
      </c>
      <c r="D32076" t="inlineStr">
        <is>
          <t>Épée de la Reine des Voleurs; Amulette du Strigide; Alliance Gloursonne; Bracelet du Piloztère; Ceinture du Strigide; Casque du Chalœil; Cape des Justiciers; Bottes du Strigide; Dofus Émeraude; Dofus Ocre; Dolmanax; Dofus Pourpre; Dofus Turquoise; Puissant majeur; Muldo Prune et Doré</t>
        </is>
      </c>
    </row>
    <row r="32077">
      <c r="A32077" t="inlineStr">
        <is>
          <t>Stuff 2</t>
        </is>
      </c>
      <c r="B32077">
        <f>HYPERLINK("https://www.dofusbook.net/fr/equipement/96705-stuff-2/objets", "link")</f>
        <v/>
      </c>
      <c r="C32077" t="n">
        <v>1</v>
      </c>
      <c r="D32077" t="inlineStr">
        <is>
          <t>Sabres d'Atcham; Amulette du Strigide; Bracelet du Piloztère; Anneau de Padgref; Ceinture du Strigide; Maskrobe; Cape des Justiciers; Bottes Voldelor; Dofus des Glaces; Dolmanax; Dofus Pourpre; Dofus Turquoise; Remueur; Vigoureux majeur</t>
        </is>
      </c>
    </row>
    <row r="32078">
      <c r="A32078" t="inlineStr">
        <is>
          <t>Stuff 1</t>
        </is>
      </c>
      <c r="B32078">
        <f>HYPERLINK("https://www.dofusbook.net/fr/equipement/96722-stuff-1/objets", "link")</f>
        <v/>
      </c>
      <c r="C32078" t="n">
        <v>0</v>
      </c>
      <c r="D32078" t="inlineStr">
        <is>
          <t>Épée du Granduk; Amulette du Granduk; Kralano; Anneau d'Allister; Ceinture Billonnante; Masque du Granduk; Cape de Klime; Bottes d'Allister; Dofus Turquoise; Dofus Ocre; Dofus Pourpre; Dofus Émeraude; Puissant majeur; Acrobate majeur</t>
        </is>
      </c>
    </row>
    <row r="32079">
      <c r="A32079" t="inlineStr">
        <is>
          <t>Stuff 2</t>
        </is>
      </c>
      <c r="B32079">
        <f>HYPERLINK("https://www.dofusbook.net/fr/equipement/96717-stuff-2/objets", "link")</f>
        <v/>
      </c>
      <c r="C32079" t="n">
        <v>0</v>
      </c>
      <c r="D32079" t="inlineStr">
        <is>
          <t>Hache Ériphe; Amulette du Strigide; Anneau de Brouce; Anneau des égarés; Ceinture du Strigide; Masque de Koutoulou; Cape au Logis; Baleinabottes; Dofus Turquoise; Dofus Pourpre; Vigoureux majeur; Miraculé majeur; Enragé majeur; Cascadeur majeur</t>
        </is>
      </c>
    </row>
    <row r="32080">
      <c r="A32080" t="inlineStr">
        <is>
          <t>Stuff 3</t>
        </is>
      </c>
      <c r="B32080">
        <f>HYPERLINK("https://www.dofusbook.net/fr/equipement/96712-stuff-3/objets", "link")</f>
        <v/>
      </c>
      <c r="C32080" t="n">
        <v>0</v>
      </c>
      <c r="D32080" t="inlineStr">
        <is>
          <t>Sabres d'Atcham; Amulette du Strigide; Bracelet du Piloztère; Anneau de Padgref; Ceinture du Strigide; Maskrobe; Cape des Justiciers; Bottes Voldelor; Dolmanax; Dofus Pourpre; Dofus Turquoise; Dofus des Glaces; Remueur; Vigoureux majeur; Escudo Epico</t>
        </is>
      </c>
    </row>
    <row r="32081">
      <c r="A32081" t="inlineStr">
        <is>
          <t>Stuff 2</t>
        </is>
      </c>
      <c r="B32081">
        <f>HYPERLINK("https://www.dofusbook.net/fr/equipement/96702-stuff-2/objets", "link")</f>
        <v/>
      </c>
      <c r="C32081" t="n">
        <v>0</v>
      </c>
      <c r="D32081" t="inlineStr">
        <is>
          <t>Arc du Chalœil; Collier de Tourthon; Anneau Crustique; Anneau de Brouce; Ceinture de Brouce; Masque de Koutoulou; Cape au Logis; Baleinabottes; Dofus Pourpre; Dofus Turquoise; Dofus des Glaces; Dévastateur Terre majeur; Enragé majeur; Vigoureux majeur; Kompost</t>
        </is>
      </c>
    </row>
    <row r="32082">
      <c r="A32082" t="inlineStr">
        <is>
          <t>Stuff 3</t>
        </is>
      </c>
      <c r="B32082">
        <f>HYPERLINK("https://www.dofusbook.net/fr/equipement/96724-stuff-3/objets", "link")</f>
        <v/>
      </c>
      <c r="C32082" t="n">
        <v>0</v>
      </c>
      <c r="D32082" t="inlineStr">
        <is>
          <t>Pelle de la Cour Sombre; Amulette du Granduk; Kralano; Anneau d'Allister; Ceinture Billonnante; Couronne d'Allister; Cape Indescriptible; Baleinabottes; Dofus Turquoise; Nomade; Dévastateur Air majeur; Cascadeur majeur; Vigoureux majeur; Remueur</t>
        </is>
      </c>
    </row>
    <row r="32083">
      <c r="A32083" t="inlineStr">
        <is>
          <t>Stuff 3</t>
        </is>
      </c>
      <c r="B32083">
        <f>HYPERLINK("https://www.dofusbook.net/fr/equipement/96709-stuff-3/objets", "link")</f>
        <v/>
      </c>
      <c r="C32083" t="n">
        <v>0</v>
      </c>
      <c r="D32083" t="inlineStr">
        <is>
          <t>Marteau d'Henual; Amulette du K.O.; Bague Gloursonne; Gelano; Ceinture d'Henual; Casque de Missiz Frizz; Voile d'encre; Pantoufles Émar; Dofus Pourpre; Vigoureux majeur; Enragé majeur; Nomade; Érudit majeur; Remueur; Kramkram</t>
        </is>
      </c>
    </row>
    <row r="32084">
      <c r="A32084" t="inlineStr">
        <is>
          <t>Stuff 1</t>
        </is>
      </c>
      <c r="B32084">
        <f>HYPERLINK("https://www.dofusbook.net/fr/equipement/96704-stuff-1/objets", "link")</f>
        <v/>
      </c>
      <c r="C32084" t="n">
        <v>0</v>
      </c>
      <c r="D32084" t="inlineStr">
        <is>
          <t>Amulette du Strigide; Bracelet du Piloztère; Anneau de Padgref; Ceinture du Strigide; Némès de Tal Kasha; Chevelure de Tal Kasha; Sandales de Tal Kasha; Dofus Pourpre; Dofus Turquoise; Dofus Émeraude; Dofus des Glaces; Dofus Ocre; Dolmanax</t>
        </is>
      </c>
    </row>
    <row r="32085">
      <c r="A32085" t="inlineStr">
        <is>
          <t>Stuff 3</t>
        </is>
      </c>
      <c r="B32085">
        <f>HYPERLINK("https://www.dofusbook.net/fr/equipement/96721-stuff-3/objets", "link")</f>
        <v/>
      </c>
      <c r="C32085" t="n">
        <v>0</v>
      </c>
      <c r="D32085" t="inlineStr">
        <is>
          <t>Bâthon; Amulette du Strigide; Chevalière du Roi Joueur; Bague Gloursonne; Ceinture du Strigide; Couronne du Roi Joueur; Cape du Professeur Xa; Bottes du Roi Joueur; Dofus des Glaces; Dofus Turquoise; Dofus Ocre; Dofus Pourpre; Dofus Nébuleux; Dolmanax; Kramkram</t>
        </is>
      </c>
    </row>
    <row r="32086">
      <c r="A32086" t="inlineStr">
        <is>
          <t>Stuff 3</t>
        </is>
      </c>
      <c r="B32086">
        <f>HYPERLINK("https://www.dofusbook.net/fr/equipement/96706-stuff-3/objets", "link")</f>
        <v/>
      </c>
      <c r="C32086" t="n">
        <v>0</v>
      </c>
      <c r="D32086" t="inlineStr">
        <is>
          <t>Sabres d'Atcham; Amulette du Strigide; Anneau de Padgref; Bracelet du Piloztère; Ceinture du Strigide; Le Dorado; Cape d'Atcham; Bottes Voldelor; Dofus Pourpre; Dofus Turquoise; Dofus Ocre; Dofus des Glaces; Dolmanax; Puissant majeur</t>
        </is>
      </c>
    </row>
    <row r="32087">
      <c r="A32087" t="inlineStr">
        <is>
          <t>Stuff 1</t>
        </is>
      </c>
      <c r="B32087">
        <f>HYPERLINK("https://www.dofusbook.net/fr/equipement/96701-stuff-1/objets", "link")</f>
        <v/>
      </c>
      <c r="C32087" t="n">
        <v>0</v>
      </c>
      <c r="D32087" t="inlineStr">
        <is>
          <t>Bâton Beau; Amulette du Strigide; Anneau Vicieux; Bracelet du Piloztère; Ceinture du Strigide; Masque du Katcheur; Voile d'encre; Baleinabottes; Dofus Pourpre; Dofus Turquoise; Dofus des Glaces; Remueur; Nomade; Vigoureux majeur; Kramkram; Bouclier Hispanique Doré</t>
        </is>
      </c>
    </row>
    <row r="32088">
      <c r="A32088" t="inlineStr">
        <is>
          <t>Stuff 2</t>
        </is>
      </c>
      <c r="B32088">
        <f>HYPERLINK("https://www.dofusbook.net/fr/equipement/96723-stuff-2/objets", "link")</f>
        <v/>
      </c>
      <c r="C32088" t="n">
        <v>0</v>
      </c>
      <c r="D32088" t="inlineStr">
        <is>
          <t>Pelle de la Cour Sombre; Collier du Valet Veinard; Alliance Gloursonne; Bague Gloursonne; Menoture; Casque Dragoeuf; Cape Indescriptible; Palmes Trithons; Dofus Pourpre; Miraculé majeur; Carapace Air majeur; Remueur; Cascadeur majeur; Carapace Neutre majeur; Kramkram</t>
        </is>
      </c>
    </row>
    <row r="32089">
      <c r="A32089" t="inlineStr">
        <is>
          <t>Stuff 3</t>
        </is>
      </c>
      <c r="B32089">
        <f>HYPERLINK("https://www.dofusbook.net/fr/equipement/96718-stuff-3/objets", "link")</f>
        <v/>
      </c>
      <c r="C32089" t="n">
        <v>0</v>
      </c>
      <c r="D32089" t="inlineStr">
        <is>
          <t>Marteau R'ture; Collier de Tourthon; Anneau de Brouce; Alliance de Missiz Frizz; Ceinture de Brouce; Casque de Missiz Frizz; Cape au Logis; Bottes de Brouce; Dofus Émeraude; Dofus Ocre; Dofus Pourpre; Dofus Turquoise; Furibond majeur; Survivant majeur</t>
        </is>
      </c>
    </row>
    <row r="32090">
      <c r="A32090" t="inlineStr">
        <is>
          <t>Stuff 2</t>
        </is>
      </c>
      <c r="B32090">
        <f>HYPERLINK("https://www.dofusbook.net/fr/equipement/96708-stuff-2/objets", "link")</f>
        <v/>
      </c>
      <c r="C32090" t="n">
        <v>0</v>
      </c>
      <c r="D32090" t="inlineStr">
        <is>
          <t>Dagues Érhy; Amulette du Strigide; Alliance de Missiz Frizz; Bague Gloursonne; Ceinture du Strigide; Casque de Missiz Frizz; Cape du Professeur Xa; Bottes du Strigide; Dofus des Glaces; Dofus Nébuleux; Dofus Turquoise; Dofus Pourpre; Dofus Ocre; Forcené majeur; Bwak de Terre</t>
        </is>
      </c>
    </row>
    <row r="32091">
      <c r="A32091" t="inlineStr">
        <is>
          <t>Stuff 3</t>
        </is>
      </c>
      <c r="B32091">
        <f>HYPERLINK("https://www.dofusbook.net/fr/equipement/96703-stuff-3/objets", "link")</f>
        <v/>
      </c>
      <c r="C32091" t="n">
        <v>0</v>
      </c>
      <c r="D32091" t="inlineStr">
        <is>
          <t>Arc du Chalœil; Amulette du Strigide; Anneau de Brouce; Alliance de Missiz Frizz; Ceinture de Brouce; Casque de Missiz Frizz; Cape au Logis; Bottes de Brouce; Dofus Pourpre; Dofus des Glaces; Dofus Turquoise; Dofus Ocre; Furibond majeur; Forcené majeur; Kompost; Bouclier Hispanique Doré</t>
        </is>
      </c>
    </row>
    <row r="32092">
      <c r="A32092" t="inlineStr">
        <is>
          <t>Stuff 3</t>
        </is>
      </c>
      <c r="B32092">
        <f>HYPERLINK("https://www.dofusbook.net/fr/equipement/96715-stuff-3/objets", "link")</f>
        <v/>
      </c>
      <c r="C32092" t="n">
        <v>1</v>
      </c>
      <c r="D32092" t="inlineStr">
        <is>
          <t>Manthache; Amulette du Granduk; Alliance Gloursonne; Anneau d'Allister; Menoture; Masque du Granduk; Cape Indescriptible; Palmes Trithons; Dofus Turquoise; Dofus Émeraude; Dofus Pourpre; Remueur; Cascadeur majeur; Miraculé majeur</t>
        </is>
      </c>
    </row>
    <row r="32093">
      <c r="A32093" t="inlineStr">
        <is>
          <t>Stuff 1</t>
        </is>
      </c>
      <c r="B32093">
        <f>HYPERLINK("https://www.dofusbook.net/fr/equipement/96710-stuff-1/objets", "link")</f>
        <v/>
      </c>
      <c r="C32093" t="n">
        <v>0</v>
      </c>
      <c r="D32093" t="inlineStr">
        <is>
          <t>Sabres d'Atcham; Amulette du Strigide; Bracelet du Piloztère; Anneau de Padgref; Ceinture du Strigide; Casque du Chalœil; Cape des Justiciers; Bottes du Strigide; Dofus des Glaces; Dofus Émeraude; Dolmanax; Dofus Pourpre; Dofus Turquoise; Voyageur; Escudo Epico</t>
        </is>
      </c>
    </row>
    <row r="32094">
      <c r="A32094" t="inlineStr">
        <is>
          <t>regennnn</t>
        </is>
      </c>
      <c r="B32094">
        <f>HYPERLINK("https://www.dofusbook.net/fr/equipement/5920969-regennnn/objets", "link")</f>
        <v/>
      </c>
      <c r="C32094" t="n">
        <v>0</v>
      </c>
      <c r="D32094" t="inlineStr">
        <is>
          <t>Épée Brûlâme; Amulette du Strigide; Anneau de Padgref; Alliance Gloursonne; Bouclier du Captain Amakna; Kidibonnet; Cape de la Dame du Hasard; Bottes de la Dame du Hasard; Dofus Ocre; Dofus Turquoise; Dofus Ivoire; Dofus Ébène</t>
        </is>
      </c>
    </row>
    <row r="32095">
      <c r="A32095" t="inlineStr">
        <is>
          <t>force po</t>
        </is>
      </c>
      <c r="B32095">
        <f>HYPERLINK("https://www.dofusbook.net/fr/equipement/3508812-force-po/objets", "link")</f>
        <v/>
      </c>
      <c r="C32095" t="n">
        <v>0</v>
      </c>
      <c r="D32095" t="inlineStr">
        <is>
          <t>Arc du Chalœil; Collier de Tourthon; Bague Gloursonne; Anneau Chevelu; Quatre-feuilles; Ceinture de la Cour Sombre; Masque de Koutoulou; Cape au Logis; Bottes de la Cour Sombre; Dofus Ébène; Dofus Ocre; Dofus Pourpre; Dofus Ivoire; Dofus Turquoise; Carapace Eau majeur; Pioute vert</t>
        </is>
      </c>
    </row>
    <row r="32096">
      <c r="A32096" t="inlineStr">
        <is>
          <t>regen feu</t>
        </is>
      </c>
      <c r="B32096">
        <f>HYPERLINK("https://www.dofusbook.net/fr/equipement/3525197-regen-feu/objets", "link")</f>
        <v/>
      </c>
      <c r="C32096" t="n">
        <v>1</v>
      </c>
      <c r="D32096" t="inlineStr">
        <is>
          <t>Amulette Volkorne; Anneauræus; Anneauræus; Bouclier du Captain Amakna; Ceinture Séculaire; Coiffe Séculaire; Cape de Diondin; Bottes Innommables; Dofus Pourpre; Dofus Ivoire; Dofus Turquoise; Dofus Ocre; Nomade; Bwak de Feu</t>
        </is>
      </c>
    </row>
    <row r="32097">
      <c r="A32097" t="inlineStr">
        <is>
          <t>terre rture no po</t>
        </is>
      </c>
      <c r="B32097">
        <f>HYPERLINK("https://www.dofusbook.net/fr/equipement/3137174-terre-rture-no-po/objets", "link")</f>
        <v/>
      </c>
      <c r="C32097" t="n">
        <v>1</v>
      </c>
      <c r="D32097" t="inlineStr">
        <is>
          <t>Marteau R'ture; Amulette du Strigide; Bague Gloursonne; Anneau Chevelu; Bouclier du Captain Amakna; Ceinture de la Cour Sombre; Masque de Koutoulou; Cape au Logis; Bottes de la Cour Sombre; Dofus Pourpre; Dofus Turquoise; Dofus des Glaces; Enragé majeur; Remueur; Dévastateur Terre majeur; Kramkram</t>
        </is>
      </c>
    </row>
    <row r="32098">
      <c r="A32098" t="inlineStr">
        <is>
          <t>heq do pou</t>
        </is>
      </c>
      <c r="B32098">
        <f>HYPERLINK("https://www.dofusbook.net/fr/equipement/3508077-heq-do-pou/objets", "link")</f>
        <v/>
      </c>
      <c r="C32098" t="n">
        <v>0</v>
      </c>
      <c r="D32098" t="inlineStr">
        <is>
          <t>Héqache; Amulette du Strigide; Anneau de Padgref; Anneau Chevelu; Bouclier précieux; Ceintouse; Masque de Koutoulou; Cape du Cœur Vaillant; Bottes du Cœur Vaillant; Dofus Turquoise; Dofus Ivoire; Bousculeur majeur; Culbuteur majeur; Remueur; Cascadeur majeur; Muldo Pourpre</t>
        </is>
      </c>
    </row>
    <row r="32099">
      <c r="A32099" t="inlineStr">
        <is>
          <t>air init</t>
        </is>
      </c>
      <c r="B32099">
        <f>HYPERLINK("https://www.dofusbook.net/fr/equipement/2739375-air-init/objets", "link")</f>
        <v/>
      </c>
      <c r="C32099" t="n">
        <v>3</v>
      </c>
      <c r="D32099" t="inlineStr">
        <is>
          <t>Amulette d'Ilyzaelle; Alliance Gloursonne; Gant du Valet Veinard; Bouclier Feudala; Menoture; Casque Dragoeuf; Cape du Valet Veinard; Palmes Trithons; Dofus Abyssal; Dofus Émeraude; Dofus Ocre; Cascadeur majeur; Miraculé majeur; Fonceur majeur; Muldo Ebène</t>
        </is>
      </c>
    </row>
    <row r="32100">
      <c r="A32100" t="inlineStr">
        <is>
          <t>OK Nécrotique</t>
        </is>
      </c>
      <c r="B32100">
        <f>HYPERLINK("https://www.dofusbook.net/fr/equipement/3154201-ok-necrotique/objets", "link")</f>
        <v/>
      </c>
      <c r="C32100" t="n">
        <v>0</v>
      </c>
      <c r="D32100" t="inlineStr">
        <is>
          <t>Arc Nécrotique; Amulette du Strigide; Alliance Gloursonne; Anneau de Padgref; Quatre-feuilles; Ceintacé; Kidibonnet; Cape de la Dame du Hasard; Bottes de la Dame du Hasard; Dofus Pourpre; Dolmanax; Dofus Turquoise; Nomade; Vigoureux majeur; Carapace Feu majeur; Kramkram</t>
        </is>
      </c>
    </row>
    <row r="32101">
      <c r="A32101" t="inlineStr">
        <is>
          <t>OK Multi 11/6 92Dcr</t>
        </is>
      </c>
      <c r="B32101">
        <f>HYPERLINK("https://www.dofusbook.net/fr/equipement/2714237-ok-multi-11-6-92dcr/objets", "link")</f>
        <v/>
      </c>
      <c r="C32101" t="n">
        <v>0</v>
      </c>
      <c r="D32101" t="inlineStr">
        <is>
          <t>Hache du Chalœil; Amulette du Strigide; Alliance Gloursonne; Anneau de Padgref; Quatre-feuilles; Ceintacé; Coiffe de la Fuji Givrefoux; Cape du Chalœil; Bottes du Chalœil; Dofus Pourpre; Dolmanax; Dofus Turquoise; Nomade; Miraculé majeur; Remueur; Dragodinde en armure</t>
        </is>
      </c>
    </row>
    <row r="32102">
      <c r="A32102" t="inlineStr">
        <is>
          <t>tal kasha</t>
        </is>
      </c>
      <c r="B32102">
        <f>HYPERLINK("https://www.dofusbook.net/fr/equipement/3349216-tal-kasha/objets", "link")</f>
        <v/>
      </c>
      <c r="C32102" t="n">
        <v>8</v>
      </c>
      <c r="D32102" t="inlineStr">
        <is>
          <t>Arc de Koutoulou; Amulette du Strigide; Bague Gloursonne; Alliance Gloursonne; Quatre-feuilles; Ceinture du Strigide; Némès de Tal Kasha; Chevelure de Tal Kasha; Sandales de Tal Kasha; Dofus Ocre; Dolmanax; Dofus Pourpre; Dofus Turquoise; Dofus Émeraude; Puissant majeur; Muldo Ebène et Indigo</t>
        </is>
      </c>
    </row>
    <row r="32103">
      <c r="A32103" t="inlineStr">
        <is>
          <t>do cri pvp Hrush</t>
        </is>
      </c>
      <c r="B32103">
        <f>HYPERLINK("https://www.dofusbook.net/fr/equipement/3293951-do-cri-pvp-hrush/objets", "link")</f>
        <v/>
      </c>
      <c r="C32103" t="n">
        <v>7</v>
      </c>
      <c r="D32103" t="inlineStr">
        <is>
          <t>Hache du Chalœil; Amulette du Strigide; Alliance Gloursonne; Bague Trithon; Quatre-feuilles; Ceinture du Strigide; Masque Trithon; Voile d'encre; Bottes Trithon; Dolmanax; Dofus Pourpre; Dofus Abyssal; Dofus Ocre; Dofus des Glaces; Dofus Turquoise; Muldo Ebène et Pourpre</t>
        </is>
      </c>
    </row>
    <row r="32104">
      <c r="A32104" t="inlineStr">
        <is>
          <t>do pou</t>
        </is>
      </c>
      <c r="B32104">
        <f>HYPERLINK("https://www.dofusbook.net/fr/equipement/3343518-do-pou/objets", "link")</f>
        <v/>
      </c>
      <c r="C32104" t="n">
        <v>7</v>
      </c>
      <c r="D32104" t="inlineStr">
        <is>
          <t>Hachoirs de Viandargh; Amibou; Alliance Gloursonne; Bague Trithon; Bouclier précieux; Ceinture Gence; Casque Dragoeuf; Cape des Malveilleurs; Bottes Trithon; Dofus Abyssal; Miraculé majeur; Culbuteur; Bousculeur majeur; Remueur; Culbuteur majeur; Muldo Ebène et Orchidée</t>
        </is>
      </c>
    </row>
    <row r="32105">
      <c r="A32105" t="inlineStr">
        <is>
          <t>Maléfisk</t>
        </is>
      </c>
      <c r="B32105">
        <f>HYPERLINK("https://www.dofusbook.net/fr/equipement/3213688-malefisk/objets", "link")</f>
        <v/>
      </c>
      <c r="C32105" t="n">
        <v>7</v>
      </c>
      <c r="D32105" t="inlineStr">
        <is>
          <t>Baguette de Malléfisk; Amulette de Nileza; Anneau Tique; Anneau de Padgref; Carapar; Ceintacé; Couronne de Nidas; Cape de Nileza; Bottes Innommables; Dofus Abyssal; Dofus Turquoise; Érudit majeur; Miraculé majeur; Guérisseur majeur; Remueur; Muldo Orchidée</t>
        </is>
      </c>
    </row>
    <row r="32106">
      <c r="A32106" t="inlineStr">
        <is>
          <t>terre air</t>
        </is>
      </c>
      <c r="B32106">
        <f>HYPERLINK("https://www.dofusbook.net/fr/equipement/3283191-terre-air-/objets", "link")</f>
        <v/>
      </c>
      <c r="C32106" t="n">
        <v>0</v>
      </c>
      <c r="D32106" t="inlineStr">
        <is>
          <t>Lance corrompue; Collier de Tourthon; Anneau de Brouce; Anneau Chevelu; Bouclier précieux; Ceinture Gence; Casque Dragoeuf; Cape du Cœur Vaillant; Bottes du Cœur Vaillant; Bousculeur majeur; Culbuteur; Remueur; Culbuteur majeur; Muldo Pourpre</t>
        </is>
      </c>
    </row>
    <row r="32107">
      <c r="A32107" t="inlineStr">
        <is>
          <t>air do</t>
        </is>
      </c>
      <c r="B32107">
        <f>HYPERLINK("https://www.dofusbook.net/fr/equipement/3282945-air-do-/objets", "link")</f>
        <v/>
      </c>
      <c r="C32107" t="n">
        <v>6</v>
      </c>
      <c r="D32107" t="inlineStr">
        <is>
          <t>Héqache; Amulette d'Ilyzaelle; Gant du Valet Veinard; Alliance Gloursonne; Bouclier précieux; Menoture; Casque Dragoeuf; Cape du Valet Veinard; Palmes Trithons; Dofus Émeraude; Dofus Abyssal; Culbuteur; Remueur; Bousculeur majeur; Culbuteur majeur; Muldo Ebène</t>
        </is>
      </c>
    </row>
    <row r="32108">
      <c r="A32108" t="inlineStr">
        <is>
          <t>ressac2</t>
        </is>
      </c>
      <c r="B32108">
        <f>HYPERLINK("https://www.dofusbook.net/fr/equipement/3343181-ressac2/objets", "link")</f>
        <v/>
      </c>
      <c r="C32108" t="n">
        <v>1</v>
      </c>
      <c r="D32108" t="inlineStr">
        <is>
          <t>Arc du Chalœil; Amulette du Cœur Saignant; Bague Gloursonne; Anneau Chevelu; Bouclier précieux; Ceintacé; Scaphandre Ojine; Cape au Logis; Bottes du Cœur Saignant; Remueur; Bousculeur majeur; Miraculé majeur; Culbuteur; Enragé majeur; Culbuteur majeur; Muldo Pourpre</t>
        </is>
      </c>
    </row>
    <row r="32109">
      <c r="A32109" t="inlineStr">
        <is>
          <t>do cri</t>
        </is>
      </c>
      <c r="B32109">
        <f>HYPERLINK("https://www.dofusbook.net/fr/equipement/3272136-do-cri/objets", "link")</f>
        <v/>
      </c>
      <c r="C32109" t="n">
        <v>14</v>
      </c>
      <c r="D32109" t="inlineStr">
        <is>
          <t>Baguette Range; Amulette du Strigide; Alliance Gloursonne; Anneau de Padgref; Quatre-feuilles; Ceinture du Strigide; Coiffe de Padgref; Chevelure de Tal Kasha; Getas de Padgref; Dofus des Glaces; Dofus Ocre; Dolmanax; Dofus Turquoise; Dofus Pourpre; Puissant majeur; Muldo Prune et Emeraude</t>
        </is>
      </c>
    </row>
    <row r="32110">
      <c r="A32110" t="inlineStr">
        <is>
          <t>terre do pou</t>
        </is>
      </c>
      <c r="B32110">
        <f>HYPERLINK("https://www.dofusbook.net/fr/equipement/3168440-terre-do-pou/objets", "link")</f>
        <v/>
      </c>
      <c r="C32110" t="n">
        <v>0</v>
      </c>
      <c r="D32110" t="inlineStr">
        <is>
          <t>Lav'Hache; Torquistik; Bague Trithon; Anneau Chevelu; Bouclier précieux; Ceinture Gence; Casque Dragoeuf; Cape au Logis; Bottistik; Dofus Ivoire; Remueur; Culbuteur; Pousseur majeur; Culbuteur majeur; Bousculeur majeur; Kramkram</t>
        </is>
      </c>
    </row>
    <row r="32111">
      <c r="A32111" t="inlineStr">
        <is>
          <t>Xélor M 200</t>
        </is>
      </c>
      <c r="B32111">
        <f>HYPERLINK("https://www.dofusbook.net/fr/equipement/5241473-xelor-m-200/objets", "link")</f>
        <v/>
      </c>
      <c r="C32111" t="n">
        <v>2</v>
      </c>
      <c r="D32111" t="inlineStr">
        <is>
          <t>Amulette Séculaire; Gelano; Anneau Tamie; Bottes Innommables</t>
        </is>
      </c>
    </row>
    <row r="32112">
      <c r="A32112" t="inlineStr">
        <is>
          <t>Enutrof F 200</t>
        </is>
      </c>
      <c r="B32112">
        <f>HYPERLINK("https://www.dofusbook.net/fr/equipement/4384415-enutrof-f-200/objets", "link")</f>
        <v/>
      </c>
      <c r="C32112" t="n">
        <v>0</v>
      </c>
      <c r="D32112" t="inlineStr">
        <is>
          <t>Marteau R'ture; Amulette du Glourséleste; Anneau Tamie; Bague Instable; Bouclier cubiste; Ceinture Instable; Casquipik; Cape de Léthaline; Pantoufles Émar; Dofus Ocre; Entraveur majeur; Temporiseur; Temporiseur majeur; Ralentisseur majeur; Fonceur majeur; Gwo Tofu Ventripotent</t>
        </is>
      </c>
    </row>
    <row r="32113">
      <c r="A32113" t="inlineStr">
        <is>
          <t>Iop M 200</t>
        </is>
      </c>
      <c r="B32113">
        <f>HYPERLINK("https://www.dofusbook.net/fr/equipement/4384388-iop-m-200/objets", "link")</f>
        <v/>
      </c>
      <c r="C32113" t="n">
        <v>0</v>
      </c>
      <c r="D32113" t="inlineStr">
        <is>
          <t>Arc corrompu; Amulette Volcanique; Anneau Tamie; Chevalière du Roi Joueur; Bouclier cubiste; Ceinture Séculaire; Heaume Oplate; Cape Reski; Bottes du Roi Joueur; Dofus Ocre; Dofus Abyssal; Érudit majeur; Nomade; Temporiseur majeur; Entraveur majeur; Léopardo</t>
        </is>
      </c>
    </row>
    <row r="32114">
      <c r="A32114" t="inlineStr">
        <is>
          <t>Crâ F 200</t>
        </is>
      </c>
      <c r="B32114">
        <f>HYPERLINK("https://www.dofusbook.net/fr/equipement/4384350-cra-f-200/objets", "link")</f>
        <v/>
      </c>
      <c r="C32114" t="n">
        <v>0</v>
      </c>
      <c r="D32114" t="inlineStr">
        <is>
          <t>Epée Gloursonne; Amulette du Strigide; Bague Gloursonne; Alliance Gloursonne; Quatre-feuilles; Ceinture du Strigide; Masque Vaudou Tam; Cape Reski; Bottes du Strigide; Dofus Pourpre; Dofus Nébuleux; Dofus Ocre; Dofus Turquoise; Précurseur majeur; Voyageur; Chaperlipopette</t>
        </is>
      </c>
    </row>
    <row r="32115">
      <c r="A32115" t="inlineStr">
        <is>
          <t>Eniripsa M 200</t>
        </is>
      </c>
      <c r="B32115">
        <f>HYPERLINK("https://www.dofusbook.net/fr/equipement/4254198-eniripsa-m-200/objets", "link")</f>
        <v/>
      </c>
      <c r="C32115" t="n">
        <v>1</v>
      </c>
      <c r="D32115" t="inlineStr">
        <is>
          <t>Baguette du Chêne Mou; Amulette Volkorne; Anneau Volkorne; Anneau de Padgref; Quatre-feuilles; Ceinture du Strigide; Casquette de Meno; Cape de Meno; Bottes du Strigide; Dofus Pourpre; Dofus des Glaces; Dofus Nébuleux; Dofus Ocre; Dofus Vulbis; Dofus Turquoise; Kokulte</t>
        </is>
      </c>
    </row>
    <row r="32116">
      <c r="A32116" t="inlineStr">
        <is>
          <t>Pandawa M 200</t>
        </is>
      </c>
      <c r="B32116">
        <f>HYPERLINK("https://www.dofusbook.net/fr/equipement/4118165-pandawa-m-200/objets", "link")</f>
        <v/>
      </c>
      <c r="C32116" t="n">
        <v>0</v>
      </c>
      <c r="D32116" t="inlineStr">
        <is>
          <t>Arc Nécrotique; Amulette Volkorne; Anneau Volkorne; Bague Trithon; Bouclier du Captain Amakna; Ceintacé; Masque Trithon; Cape de la Dame du Hasard; Bottes de la Dame du Hasard; Dofus des Glaces; Dofus Pourpre; Dofus Ocre; Dofus Turquoise; Dofus Ivoire; Voyageur; Kokulte</t>
        </is>
      </c>
    </row>
    <row r="32117">
      <c r="A32117" t="inlineStr">
        <is>
          <t>Steamer F 200</t>
        </is>
      </c>
      <c r="B32117">
        <f>HYPERLINK("https://www.dofusbook.net/fr/equipement/4117835-steamer-f-200/objets", "link")</f>
        <v/>
      </c>
      <c r="C32117" t="n">
        <v>0</v>
      </c>
      <c r="D32117" t="inlineStr">
        <is>
          <t>Marteau R'ture; Amulette du Strigide; Anneau Crustique; Anneau Chevelu; Cadran d'Eau; Ceinture Volkorne; Masque de Koutoulou; Cape au Logis; Bottes du Strigide; Dofus Turquoise; Dofus Ivoire; Dofus Ocre; Dofus Pourpre; Dofus Nébuleux; Enragé majeur; Pioute vert</t>
        </is>
      </c>
    </row>
    <row r="32118">
      <c r="A32118" t="inlineStr">
        <is>
          <t>odopou</t>
        </is>
      </c>
      <c r="B32118">
        <f>HYPERLINK("https://www.dofusbook.net/fr/equipement/3770856-odopou/objets", "link")</f>
        <v/>
      </c>
      <c r="C32118" t="n">
        <v>3</v>
      </c>
      <c r="D32118" t="inlineStr">
        <is>
          <t>Dagoulinantes; Amulette de Shokkoth; Anneau Volkorne; Bague Trithon; Bivalve; Sangle Ouare; Casque Dragoeuf; Cape Solution; Bottes Trithon; Dofus Pourpre; Nomade; Culbuteur majeur; Chanceux majeur; Bousculeur majeur; Remueur; Écumouth</t>
        </is>
      </c>
    </row>
    <row r="32119">
      <c r="A32119" t="inlineStr">
        <is>
          <t>Sadida M 200</t>
        </is>
      </c>
      <c r="B32119">
        <f>HYPERLINK("https://www.dofusbook.net/fr/equipement/4106927-sadida-m-200/objets", "link")</f>
        <v/>
      </c>
      <c r="C32119" t="n">
        <v>0</v>
      </c>
      <c r="D32119" t="inlineStr">
        <is>
          <t>Dagues Érhy; Collier de Tourthon; Anneau de Brouce; Anneau du Comte Harebourg; Bouclier du Stalak; Ceinture Gence; Coiffe du Comte Harebourg; Cape de la Cour Sombre; Bottes du Cœur Saignant; Dofus des Glaces; Dofus Ocre; Saccageur Terre majeur; Enragé majeur; Nomade; Dévastateur Terre majeur; Bulbisou</t>
        </is>
      </c>
    </row>
    <row r="32120">
      <c r="A32120" t="inlineStr">
        <is>
          <t>Osamodas M 200</t>
        </is>
      </c>
      <c r="B32120">
        <f>HYPERLINK("https://www.dofusbook.net/fr/equipement/4106925-osamodas-m-200/objets", "link")</f>
        <v/>
      </c>
      <c r="C32120" t="n">
        <v>2</v>
      </c>
      <c r="D32120" t="inlineStr">
        <is>
          <t>Dagoulinantes; Amulette de Shokkoth; Anneau Volkorne; Alliance Gloursonne; Bivalve; Ceinture de la Reine des Voleurs; Coiffe de Danathor; Cape Solution; Bottes de la Reine des Voleurs; Dofus Pourpre; Dofus Ocre; Dofus des Glaces; Nomade; Chanceux majeur; Dévastateur Eau majeur; Kanigloups</t>
        </is>
      </c>
    </row>
    <row r="32121">
      <c r="A32121" t="inlineStr">
        <is>
          <t>Pair</t>
        </is>
      </c>
      <c r="B32121">
        <f>HYPERLINK("https://www.dofusbook.net/fr/equipement/4106897-pair/objets", "link")</f>
        <v/>
      </c>
      <c r="C32121" t="n">
        <v>0</v>
      </c>
      <c r="D32121" t="inlineStr">
        <is>
          <t>Manthache; Collier du Valet Veinard; Alliance Gloursonne; Gant du Valet Veinard; Bivalve; Menoture; Couronne d'Allister; Cape Indescriptible; Palmes Trithons; Dofus Pourpre; Dofus Ocre; Dofus des Glaces; Nomade; Dévastateur Air majeur; Cascadeur majeur; Blérodoudou</t>
        </is>
      </c>
    </row>
    <row r="32122">
      <c r="A32122" t="inlineStr">
        <is>
          <t>Peau</t>
        </is>
      </c>
      <c r="B32122">
        <f>HYPERLINK("https://www.dofusbook.net/fr/equipement/4106738-peau/objets", "link")</f>
        <v/>
      </c>
      <c r="C32122" t="n">
        <v>0</v>
      </c>
      <c r="D32122" t="inlineStr">
        <is>
          <t>Dagoulinantes; Amulette de Shokkoth; Anneau Volkorne; Alliance Gloursonne; Bivalve; Ceinture de la Reine des Voleurs; Coiffe de Danathor; Cape Solution; Bottes de la Reine des Voleurs; Dofus Pourpre; Dofus Ocre; Dofus des Glaces; Nomade; Chanceux majeur; Dévastateur Eau majeur; Kanigloups</t>
        </is>
      </c>
    </row>
    <row r="32123">
      <c r="A32123" t="inlineStr">
        <is>
          <t>Eniripsa F 200</t>
        </is>
      </c>
      <c r="B32123">
        <f>HYPERLINK("https://www.dofusbook.net/fr/equipement/3902169-eniripsa-f-200/objets", "link")</f>
        <v/>
      </c>
      <c r="C32123" t="n">
        <v>0</v>
      </c>
      <c r="D32123" t="inlineStr"/>
    </row>
    <row r="32124">
      <c r="A32124" t="inlineStr">
        <is>
          <t>Xélor F 200</t>
        </is>
      </c>
      <c r="B32124">
        <f>HYPERLINK("https://www.dofusbook.net/fr/equipement/3806036-xelor-f-200/objets", "link")</f>
        <v/>
      </c>
      <c r="C32124" t="n">
        <v>1</v>
      </c>
      <c r="D32124" t="inlineStr">
        <is>
          <t>Hachoirs de Viandargh; Collier du Valet Veinard; Alliance Gloursonne; Anneau de Padgref; Quatre-feuilles; Ceinture Voldelor; Casque Volkorne; Cape de Crânonier; Bottes Voldelor; Pioute jaune</t>
        </is>
      </c>
    </row>
    <row r="32125">
      <c r="A32125" t="inlineStr">
        <is>
          <t>Stuff 3</t>
        </is>
      </c>
      <c r="B32125">
        <f>HYPERLINK("https://www.dofusbook.net/fr/equipement/545116-stuff-3/objets", "link")</f>
        <v/>
      </c>
      <c r="C32125" t="n">
        <v>1</v>
      </c>
      <c r="D32125" t="inlineStr">
        <is>
          <t>Dagoulinantes; Amulette de Shokkoth; Bracelet des Fonds marins; Alliance Gloursonne; Bouclier du Stalak; Ceinture de la Reine des Voleurs; Kidibonnet; Cape du Sinistrofu; Bottes de la Reine des Voleurs; Dofus Nébuleux; Dofus Ivoire; Dofus des Glaces; Dofus Vulbis; Dofus Pourpre; Chanceux majeur; Kramkram</t>
        </is>
      </c>
    </row>
    <row r="32126">
      <c r="A32126" t="inlineStr">
        <is>
          <t>BIMBAMBOUM</t>
        </is>
      </c>
      <c r="B32126">
        <f>HYPERLINK("https://www.dofusbook.net/fr/equipement/3784009-bimbamboum/objets", "link")</f>
        <v/>
      </c>
      <c r="C32126" t="n">
        <v>2</v>
      </c>
      <c r="D32126" t="inlineStr">
        <is>
          <t>Arc du Chalœil; Collier de Tourthon; Anneau Chevelu; Bague Trithon; Bouclier Taverne; Ceinture Gence; Casque Dragoeuf; Cape au Logis; Bottes Trithon; Dofus Ocre; Dofus Pourpre; Enragé majeur; Miraculé majeur; Culbuteur majeur; Bousculeur majeur; Black Tiwabbit</t>
        </is>
      </c>
    </row>
    <row r="32127">
      <c r="A32127" t="inlineStr">
        <is>
          <t>EAUETUEAETEAUETEAUET</t>
        </is>
      </c>
      <c r="B32127">
        <f>HYPERLINK("https://www.dofusbook.net/fr/equipement/2401612-eauetueaeteaueteauet/objets", "link")</f>
        <v/>
      </c>
      <c r="C32127" t="n">
        <v>0</v>
      </c>
      <c r="D32127" t="inlineStr">
        <is>
          <t>Sceptre du Roi Joueur; Amulette Voldelor; Bracelet des Fonds marins; Alliance Gloursonne; Sept ans de malheur; Ceinture Voldelor; Casque Dragoeuf; Cape de Mantaze; Pataugastrique; Déserteur majeur; Paralyseur majeur; Remueur; Étourdisseur majeur; Carapace Air majeur; Carapace Eau majeur; Muldo Pourpre et Amande</t>
        </is>
      </c>
    </row>
    <row r="32128">
      <c r="A32128" t="inlineStr">
        <is>
          <t>love</t>
        </is>
      </c>
      <c r="B32128">
        <f>HYPERLINK("https://www.dofusbook.net/fr/equipement/3103157-love/objets", "link")</f>
        <v/>
      </c>
      <c r="C32128" t="n">
        <v>0</v>
      </c>
      <c r="D32128" t="inlineStr">
        <is>
          <t>Sceptre du Roi Joueur; Amulette de Shokkoth; Anneau Tique; Alliance Gloursonne; Sept ans de malheur; Pagne du Rykaon; Kidibonnet; Chevelure de Tal Kasha; Sandales de Tal Kasha; Dofus Turquoise; Dofus Pourpre; Déserteur majeur; Chanceux majeur; Remueur; Étourdisseur majeur; Muldo Amande et Emeraude</t>
        </is>
      </c>
    </row>
    <row r="32129">
      <c r="A32129" t="inlineStr">
        <is>
          <t>cwfsz</t>
        </is>
      </c>
      <c r="B32129">
        <f>HYPERLINK("https://www.dofusbook.net/fr/equipement/2774046-cwfsz/objets", "link")</f>
        <v/>
      </c>
      <c r="C32129" t="n">
        <v>0</v>
      </c>
      <c r="D32129" t="inlineStr">
        <is>
          <t>Arc corrompu; Pendentif affamé; Anneau Tamie; Anneau Tamie; Bivalve; Ceinture Séculaire; Coiffe Séculaire; Cape de Diondin; Bottes Innommables; Dofus Pourpre; Érudit majeur; Nomade; Astucieux majeur; Vigoureux majeur; Brûlih</t>
        </is>
      </c>
    </row>
    <row r="32130">
      <c r="A32130" t="inlineStr">
        <is>
          <t>hihi</t>
        </is>
      </c>
      <c r="B32130">
        <f>HYPERLINK("https://www.dofusbook.net/fr/equipement/2343093-hihi/objets", "link")</f>
        <v/>
      </c>
      <c r="C32130" t="n">
        <v>0</v>
      </c>
      <c r="D32130" t="inlineStr">
        <is>
          <t>Le Thanos; Amulette d'Ilyzaelle; Bague Instable; Bague Trithon; Bivalve; Ceintrigue; Casque d'Ilyzaelle; Cape des Malveilleurs; Pataugastrique; Remueur; Bousculeur majeur; Guérisseur majeur; Culbuteur majeur; Carapace Feu majeur; Miraculé majeur; Muldo Indigo</t>
        </is>
      </c>
    </row>
    <row r="32131">
      <c r="A32131" t="inlineStr">
        <is>
          <t>ooooooooooooo</t>
        </is>
      </c>
      <c r="B32131">
        <f>HYPERLINK("https://www.dofusbook.net/fr/equipement/2223393-ooooooooooooo/objets", "link")</f>
        <v/>
      </c>
      <c r="C32131" t="n">
        <v>0</v>
      </c>
      <c r="D32131" t="inlineStr">
        <is>
          <t>Sabres d'Atcham; Amulette Cryochrone; Anneau Cryochrone; Anneau de Padgref; Sept ans de malheur; Ceinture du Strigide; Coiffe Cryochrone; Cape d'Atcham; Sandales  d'Atcham; Dofus Ocre; Dofus des Glaces; Dolmanax; Dofus Pourpre; Dofus Nébuleux; Dofus Turquoise; Muldo Prune et Emeraude</t>
        </is>
      </c>
    </row>
    <row r="32132">
      <c r="A32132" t="inlineStr">
        <is>
          <t>wuiuuuuu</t>
        </is>
      </c>
      <c r="B32132">
        <f>HYPERLINK("https://www.dofusbook.net/fr/equipement/2197865-wuiuuuuu/objets", "link")</f>
        <v/>
      </c>
      <c r="C32132" t="n">
        <v>0</v>
      </c>
      <c r="D32132" t="inlineStr">
        <is>
          <t>Dagues Érhy; Amulette du Strigide; Bague Gloursonne; Baguistik; Bivalve; Ceinture de Gein; Casque Dragoeuf; Voile d'encre; Bottes du Strigide; Dofus Pourpre; Dofus des Glaces; Dofus Ocre; Remueur; Vigoureux majeur; Miraculé majeur; Muldo Ebène et Pourpre</t>
        </is>
      </c>
    </row>
    <row r="32133">
      <c r="A32133" t="inlineStr">
        <is>
          <t>hhh</t>
        </is>
      </c>
      <c r="B32133">
        <f>HYPERLINK("https://www.dofusbook.net/fr/equipement/2168247-hhh/objets", "link")</f>
        <v/>
      </c>
      <c r="C32133" t="n">
        <v>0</v>
      </c>
      <c r="D32133" t="inlineStr">
        <is>
          <t>Arc du Chalœil; Amulette du Strigide; Anneau Crustique; Anneau du Comte Harebourg; Bouclier du Captain Amakna; Ceinture du Strigide; Masque de Koutoulou; Cape au Logis; Bottes du Cœur Saignant; Dofus Nébuleux; Dofus Turquoise; Dofus des Glaces; Dofus Pourpre; Remueur; Enragé majeur; Kompost</t>
        </is>
      </c>
    </row>
    <row r="32134">
      <c r="A32134" t="inlineStr">
        <is>
          <t>hhhh</t>
        </is>
      </c>
      <c r="B32134">
        <f>HYPERLINK("https://www.dofusbook.net/fr/equipement/2168075-hhhh/objets", "link")</f>
        <v/>
      </c>
      <c r="C32134" t="n">
        <v>1</v>
      </c>
      <c r="D32134" t="inlineStr">
        <is>
          <t>Dagues d'Ilyzaelle; Amulette du Strigide; Anneau Chevelu; Anneau Crustique; Bouclier du Captain Amakna; Ceinture du Strigide; Masque de Koutoulou; Cape du Cœur Saignant; Bottes du Cœur Saignant; Dofus Nébuleux; Dofus Ocre; Dofus Abyssal; Dofus Turquoise; Dofus Pourpre; Forcené majeur; Muldo Prune et Emeraude</t>
        </is>
      </c>
    </row>
    <row r="32135">
      <c r="A32135" t="inlineStr">
        <is>
          <t>roxnxx</t>
        </is>
      </c>
      <c r="B32135">
        <f>HYPERLINK("https://www.dofusbook.net/fr/equipement/2165720-roxnxx/objets", "link")</f>
        <v/>
      </c>
      <c r="C32135" t="n">
        <v>0</v>
      </c>
      <c r="D32135" t="inlineStr">
        <is>
          <t>Héqache; Amulette du Strigide; Anneau des égarés; Bracelet du Piloztère; Bouclier du Captain Amakna; Ceinture du Strigide; Casque des égarés; Cape Indescriptible; Bottes des égarés; Dofus Turquoise; Dofus Abyssal; Dofus Vulbis; Dofus Ocre; Dofus Pourpre; Dofus des Glaces; Muldo Doré et Pourpre</t>
        </is>
      </c>
    </row>
    <row r="32136">
      <c r="A32136" t="inlineStr">
        <is>
          <t>Stuff 3</t>
        </is>
      </c>
      <c r="B32136">
        <f>HYPERLINK("https://www.dofusbook.net/fr/equipement/545149-stuff-3/objets", "link")</f>
        <v/>
      </c>
      <c r="C32136" t="n">
        <v>0</v>
      </c>
      <c r="D32136" t="inlineStr">
        <is>
          <t>Héqache; Amulette du Strigide; Alliance Brûlâme; Alliance Gloursonne; Quatre-feuilles; Ceintacé; Masque Brûlâme; Cape de la Cour Sombre; Bottes du Cœur Vaillant; Dofus Turquoise; Dofus Vulbis; Dofus Pourpre; Vigoureux majeur; Enragé majeur; Remueur; Kramkram</t>
        </is>
      </c>
    </row>
    <row r="32137">
      <c r="A32137" t="inlineStr">
        <is>
          <t>hfjgfjg</t>
        </is>
      </c>
      <c r="B32137">
        <f>HYPERLINK("https://www.dofusbook.net/fr/equipement/2060161-hfjgfjg/objets", "link")</f>
        <v/>
      </c>
      <c r="C32137" t="n">
        <v>0</v>
      </c>
      <c r="D32137" t="inlineStr">
        <is>
          <t>Sabres d'Atcham; Amulette du Strigide; Bague Gloursonne; Alliance Gloursonne; Bouclier d'Anerice; Ceinture du Strigide; Masque d'Anerice; Cape d'Atcham; Sandales  d'Atcham; Dofus des Glaces; Dofus Pourpre; Dofus Ocre; Paralyseur; Paralyseur majeur; Engourdisseur majeur; Muldo Prune et Amande</t>
        </is>
      </c>
    </row>
    <row r="32138">
      <c r="A32138" t="inlineStr">
        <is>
          <t>ughiky</t>
        </is>
      </c>
      <c r="B32138">
        <f>HYPERLINK("https://www.dofusbook.net/fr/equipement/2060126-ughiky/objets", "link")</f>
        <v/>
      </c>
      <c r="C32138" t="n">
        <v>0</v>
      </c>
      <c r="D32138" t="inlineStr">
        <is>
          <t>Sabres d'Atcham; Amulette du Strigide; Alliance Gloursonne; Bague Gloursonne; Sept ans de malheur; Ceinture du Strigide; Casque Dragoeuf; Cape d'Atcham; Sandales  d'Atcham; Dofus Pourpre; Dofus des Glaces; Dofus Turquoise; Dofus Ocre; Engourdisseur majeur; Paralyseur majeur; Muldo Roux et Amande</t>
        </is>
      </c>
    </row>
    <row r="32139">
      <c r="A32139" t="inlineStr">
        <is>
          <t>ddddddddddddd</t>
        </is>
      </c>
      <c r="B32139">
        <f>HYPERLINK("https://www.dofusbook.net/fr/equipement/2036639-ddddddddddddd/objets", "link")</f>
        <v/>
      </c>
      <c r="C32139" t="n">
        <v>0</v>
      </c>
      <c r="D32139" t="inlineStr">
        <is>
          <t>Pelle de Nidas; Amulette du Strigide; Bracelet du Piloztère; Alliance Gloursonne; Bouclier du Captain Amakna; Ceintacé; Coiffe de la Reine des Voleurs; Voile d'encre; Bottes de la Reine des Voleurs; Dofus Turquoise; Dofus Pourpre; Enragé majeur; Remueur; Cascadeur majeur; Vigoureux majeur; Muldo Doré et Ebène</t>
        </is>
      </c>
    </row>
    <row r="32140">
      <c r="A32140" t="inlineStr">
        <is>
          <t>jjjjj</t>
        </is>
      </c>
      <c r="B32140">
        <f>HYPERLINK("https://www.dofusbook.net/fr/equipement/2005733-jjjjj/objets", "link")</f>
        <v/>
      </c>
      <c r="C32140" t="n">
        <v>0</v>
      </c>
      <c r="D32140" t="inlineStr">
        <is>
          <t>Harpelle; Pendentif affamé; Anneau Tique; Bague Gloursonne; Bouclier cubiste; Ceinture de Vortex; Cagoule de Vortex; Voile d'encre; Bottes Innommables; Dofus Ocre; Érudit majeur; Remueur; Miraculé majeur; Étourdisseur majeur; Nomade; Muldo Orchidée et Pourpre</t>
        </is>
      </c>
    </row>
    <row r="32141">
      <c r="A32141" t="inlineStr">
        <is>
          <t>fuego</t>
        </is>
      </c>
      <c r="B32141">
        <f>HYPERLINK("https://www.dofusbook.net/fr/equipement/1891423-fuego/objets", "link")</f>
        <v/>
      </c>
      <c r="C32141" t="n">
        <v>1</v>
      </c>
      <c r="D32141" t="inlineStr">
        <is>
          <t>Manthache; Collier du Valet Veinard; Gant du Valet Veinard; Alliance Gloursonne; Sept ans de malheur; Menoture; Casque Dragoeuf; Voile d'encre; Palmes Trithons; Carapace Neutre majeur; Cascadeur majeur; Miraculé majeur; Remueur; Paralyseur majeur; Étourdisseur majeur; Muldo Ebène</t>
        </is>
      </c>
    </row>
    <row r="32142">
      <c r="A32142" t="inlineStr">
        <is>
          <t>ghjghj</t>
        </is>
      </c>
      <c r="B32142">
        <f>HYPERLINK("https://www.dofusbook.net/fr/equipement/2001095-ghjghj/objets", "link")</f>
        <v/>
      </c>
      <c r="C32142" t="n">
        <v>1</v>
      </c>
      <c r="D32142" t="inlineStr">
        <is>
          <t>Héqache; Amulette Luminescente; Anneau de Brouce; Bague Instable; Bouclier d'Anerice; Sangle Ouare; Casque Dragoeuf; Cape d'Anerice; Baleinabottes; Dofus Abyssal; Remueur; Culbuteur; Pousseur majeur; Culbuteur majeur; Bousculeur majeur; Muldo Ebène et Pourpre</t>
        </is>
      </c>
    </row>
    <row r="32143">
      <c r="A32143" t="inlineStr">
        <is>
          <t>hhhhhh</t>
        </is>
      </c>
      <c r="B32143">
        <f>HYPERLINK("https://www.dofusbook.net/fr/equipement/1990362-hhhhhh/objets", "link")</f>
        <v/>
      </c>
      <c r="C32143" t="n">
        <v>0</v>
      </c>
      <c r="D32143" t="inlineStr">
        <is>
          <t>Dague Adou; Amulette du Strigide; Alliance Gloursonne; Bague Gloursonne; Bouclier alvéolé; Ceinture du Strigide; Némès de Tal Kasha; Chevelure de Tal Kasha; Sandales de Tal Kasha; Dofus Turquoise; Dofus Abyssal; Dolmanax; Dofus Ocre; Dofus Pourpre; Dofus des Glaces; Muldo Prune et Emeraude</t>
        </is>
      </c>
    </row>
    <row r="32144">
      <c r="A32144" t="inlineStr">
        <is>
          <t>jrsyt</t>
        </is>
      </c>
      <c r="B32144">
        <f>HYPERLINK("https://www.dofusbook.net/fr/equipement/1986775-jrsyt/objets", "link")</f>
        <v/>
      </c>
      <c r="C32144" t="n">
        <v>0</v>
      </c>
      <c r="D32144" t="inlineStr">
        <is>
          <t>Pelle de Nidas; Amulette du Strigide; Bracelet du Piloztère; Alliance Gloursonne; Cadran de Feu; Ceintacé; Coiffe d'Ogivol; Cape du Chalœil; Bottes du Strigide; Dofus Turquoise; Dolmanax; Dofus Pourpre; Remueur; Vigoureux majeur; Nomade; Muldo Doré et Ebène</t>
        </is>
      </c>
    </row>
    <row r="32145">
      <c r="A32145" t="inlineStr">
        <is>
          <t>oui</t>
        </is>
      </c>
      <c r="B32145">
        <f>HYPERLINK("https://www.dofusbook.net/fr/equipement/1986488-oui/objets", "link")</f>
        <v/>
      </c>
      <c r="C32145" t="n">
        <v>0</v>
      </c>
      <c r="D32145" t="inlineStr">
        <is>
          <t>Arc de Koutoulou; Amulette du Strigide; Bracelet du Piloztère; Alliance Gloursonne; Quatre-feuilles; Ceinture du Strigide; Némès de Tal Kasha; Chevelure de Tal Kasha; Sandales de Tal Kasha; Dofus Pourpre; Dofus Abyssal; Dofus des Glaces; Dofus Ocre; Dofus Turquoise; Dofus Nébuleux; Muldo Prune et Emeraude</t>
        </is>
      </c>
    </row>
    <row r="32146">
      <c r="A32146" t="inlineStr">
        <is>
          <t>Res-crit</t>
        </is>
      </c>
      <c r="B32146">
        <f>HYPERLINK("https://www.dofusbook.net/fr/equipement/1917444-res-crit/objets", "link")</f>
        <v/>
      </c>
      <c r="C32146" t="n">
        <v>0</v>
      </c>
      <c r="D32146" t="inlineStr">
        <is>
          <t>Dagues de Srambad; Amulette du Piloztère; Goulano; Bracelet du Piloztère; Goulclier; Ceinture de la Reine des Voleurs; Coiffe de la Reine des Voleurs; Cape des Justiciers; Pantoufles du Piloztère; Dofus Pourpre; Dofus Ocre; Dofus Émeraude; Dofus Abyssal; Dofus Vulbis; Robuste majeur; Muldo Ebène et Orchidée</t>
        </is>
      </c>
    </row>
    <row r="32147">
      <c r="A32147" t="inlineStr">
        <is>
          <t>Mono-air-deux</t>
        </is>
      </c>
      <c r="B32147">
        <f>HYPERLINK("https://www.dofusbook.net/fr/equipement/1917429-mono-air-deux/objets", "link")</f>
        <v/>
      </c>
      <c r="C32147" t="n">
        <v>0</v>
      </c>
      <c r="D32147" t="inlineStr">
        <is>
          <t>Manthache; Collier du Valet Veinard; Gant du Valet Veinard; Alliance Gloursonne; Sept ans de malheur; Ceintouse; Chapoulpe; Cape du Valet Veinard; Tentassons; Dofus Émeraude; Dofus Abyssal; Dofus Pourpre; Dofus Ocre; Engourdisseur majeur; Paralyseur majeur; Muldo Ebène</t>
        </is>
      </c>
    </row>
    <row r="32148">
      <c r="A32148" t="inlineStr">
        <is>
          <t>Mono-air-un</t>
        </is>
      </c>
      <c r="B32148">
        <f>HYPERLINK("https://www.dofusbook.net/fr/equipement/1917415-mono-air-un/objets", "link")</f>
        <v/>
      </c>
      <c r="C32148" t="n">
        <v>0</v>
      </c>
      <c r="D32148" t="inlineStr">
        <is>
          <t>Manthache; Collier du Valet Veinard; Alliance Gloursonne; Gant du Valet Veinard; Sept ans de malheur; Menoture; Casque Dragoeuf; Cape Indescriptible; Palmes Trithons; Dofus Pourpre; Dofus Abyssal; Cascadeur majeur; Étourdisseur majeur; Paralyseur majeur; Remueur; Muldo Ebène</t>
        </is>
      </c>
    </row>
    <row r="32149">
      <c r="A32149" t="inlineStr">
        <is>
          <t>Mono-Terre-un</t>
        </is>
      </c>
      <c r="B32149">
        <f>HYPERLINK("https://www.dofusbook.net/fr/equipement/1917395-mono-terre-un/objets", "link")</f>
        <v/>
      </c>
      <c r="C32149" t="n">
        <v>0</v>
      </c>
      <c r="D32149" t="inlineStr">
        <is>
          <t>Marteau R'ture; Amulette du Strigide; Bague Gloursonne; Anneau Chevelu; Bouclier du Sadida; Ceinture du Strigide; Chapeau de Gein; Cape au Logis; Baleinabottes; Dofus Nébuleux; Dofus Pourpre; Dofus Turquoise; Remueur; Enragé majeur; Vigoureux majeur; Muldo Orchidée</t>
        </is>
      </c>
    </row>
    <row r="32150">
      <c r="A32150" t="inlineStr">
        <is>
          <t>Stuff 3</t>
        </is>
      </c>
      <c r="B32150">
        <f>HYPERLINK("https://www.dofusbook.net/fr/equipement/545165-stuff-3/objets", "link")</f>
        <v/>
      </c>
      <c r="C32150" t="n">
        <v>2</v>
      </c>
      <c r="D32150" t="inlineStr">
        <is>
          <t>Manthache; Collier du Valet Veinard; Alliance Gloursonne; Gant du Valet Veinard; La Rondelle; Ceintouse; Chapoulpe; Cape du Valet Veinard; Tentassons; Dofus Ocre; Dofus Nébuleux; Dolmanax; Dofus Abyssal; Dofus Pourpre; Dofus des Glaces; Muldo Doré et Ebène</t>
        </is>
      </c>
    </row>
    <row r="32151">
      <c r="A32151" t="inlineStr">
        <is>
          <t>Stuff 2</t>
        </is>
      </c>
      <c r="B32151">
        <f>HYPERLINK("https://www.dofusbook.net/fr/equipement/545164-stuff-2/objets", "link")</f>
        <v/>
      </c>
      <c r="C32151" t="n">
        <v>0</v>
      </c>
      <c r="D32151" t="inlineStr">
        <is>
          <t>Dagues de Srambad; Amulette Ementaire Deluxe; Anneau Chevelu; Alliance Gloursonne; Bouclier du Stalak; Ceinture de la Reine des Voleurs; Coiffe de la Reine des Voleurs; Voile d'encre; Baleinabottes; Dofus Pourpre; Robuste majeur; Remueur; Miraculé majeur; Vigoureux majeur; Muldo Doré et Ebène</t>
        </is>
      </c>
    </row>
    <row r="32152">
      <c r="A32152" t="inlineStr">
        <is>
          <t>millecinqcentEXPLO</t>
        </is>
      </c>
      <c r="B32152">
        <f>HYPERLINK("https://www.dofusbook.net/fr/equipement/1811761-millecinqcentexplo/objets", "link")</f>
        <v/>
      </c>
      <c r="C32152" t="n">
        <v>0</v>
      </c>
      <c r="D32152" t="inlineStr">
        <is>
          <t>Harpelle; Amulette Séculaire; Anneau de Padgref; Anneau Tamie; Bouclier du Stalak; Ceinture Séculaire; Coiffe de Padgref; Cape de Diondin; Getas de Padgref; Dofus Pourpre; Dofus des Glaces; Dofus Nébuleux; Dofus Vulbis; Saccageur Feu majeur; Astucieux majeur; Brûlih</t>
        </is>
      </c>
    </row>
    <row r="32153">
      <c r="A32153" t="inlineStr">
        <is>
          <t>Simple-utee</t>
        </is>
      </c>
      <c r="B32153">
        <f>HYPERLINK("https://www.dofusbook.net/fr/equipement/1716198-simple-utee/objets", "link")</f>
        <v/>
      </c>
      <c r="C32153" t="n">
        <v>0</v>
      </c>
      <c r="D32153" t="inlineStr">
        <is>
          <t>Dagoulinantes; Amulette du Strigide; Bracelet du Piloztère; Bracelet des Fonds marins; Quatre-feuilles; Ceinture du Strigide; Masque des Fonds marins; Chevelure de Tal Kasha; Sandales de Tal Kasha; Dofus Pourpre; Dofus des Glaces; Dofus Turquoise; Dofus Abyssal; Dofus Ocre; Turbulent; Muldo Prune et Emeraude</t>
        </is>
      </c>
    </row>
    <row r="32154">
      <c r="A32154" t="inlineStr">
        <is>
          <t>simple-putee</t>
        </is>
      </c>
      <c r="B32154">
        <f>HYPERLINK("https://www.dofusbook.net/fr/equipement/1714920-simple-putee/objets", "link")</f>
        <v/>
      </c>
      <c r="C32154" t="n">
        <v>0</v>
      </c>
      <c r="D32154" t="inlineStr">
        <is>
          <t>Hache Ériphe; Amulette du Strigide; Anneau Crustique; Anneau Crustique; Bouclier du Sadida; Ceintouse; Chapoulpe; Voile d'encre; Bottes du Cycloïde; Dofus Turquoise; Dofus Ocre; Dofus Pourpre; Remueur; Déserteur majeur; Enragé majeur; Muldo Pourpre</t>
        </is>
      </c>
    </row>
    <row r="32155">
      <c r="A32155" t="inlineStr">
        <is>
          <t>Simple-pute</t>
        </is>
      </c>
      <c r="B32155">
        <f>HYPERLINK("https://www.dofusbook.net/fr/equipement/1714803-simple-pute/objets", "link")</f>
        <v/>
      </c>
      <c r="C32155" t="n">
        <v>0</v>
      </c>
      <c r="D32155" t="inlineStr">
        <is>
          <t>Marteau R'ture; Amulette du Strigide; Bague Gloursonne; Anneau Crustique; Bouclier du Captain Amakna; Ceinture du Strigide; Masque de Koutoulou; Cape de la Cour Sombre; Bottes de la Cour Sombre; Dofus Turquoise; Dofus Nébuleux; Dofus Ocre; Dofus Abyssal; Dofus Pourpre; Dofus des Glaces; Muldo Indigo et Amande</t>
        </is>
      </c>
    </row>
    <row r="32156">
      <c r="A32156" t="inlineStr">
        <is>
          <t>Double-pute</t>
        </is>
      </c>
      <c r="B32156">
        <f>HYPERLINK("https://www.dofusbook.net/fr/equipement/1714596-double-pute/objets", "link")</f>
        <v/>
      </c>
      <c r="C32156" t="n">
        <v>0</v>
      </c>
      <c r="D32156" t="inlineStr">
        <is>
          <t>Pelle de Katrepat; Collier de la Dame du Hasard; Anneau Cryochrone; Anneau Tique; Quatre-feuilles; Pagne du Rykaon; Coiffe Cryochrone; Cape de la Dame du Hasard; Bottes de la Dame du Hasard; Dofus des Glaces; Dofus Ocre; Dolmanax; Dofus Pourpre; Dofus Abyssal; Dofus Turquoise; Muldo Prune et Emeraude</t>
        </is>
      </c>
    </row>
    <row r="32157">
      <c r="A32157" t="inlineStr">
        <is>
          <t>Simple-pute</t>
        </is>
      </c>
      <c r="B32157">
        <f>HYPERLINK("https://www.dofusbook.net/fr/equipement/1714479-simple-pute/objets", "link")</f>
        <v/>
      </c>
      <c r="C32157" t="n">
        <v>0</v>
      </c>
      <c r="D32157" t="inlineStr">
        <is>
          <t>Dagoulinantes; Amulette du Strigide; Bracelet du Piloztère; Bracelet des Fonds marins; Quatre-feuilles; Ceinture Blot; Némès de Tal Kasha; Chevelure de Tal Kasha; Sandales de Tal Kasha; Dofus Pourpre; Dofus des Glaces; Dofus Turquoise; Dofus Abyssal; Dofus Ocre; Taquin majeur; Muldo Prune et Emeraude</t>
        </is>
      </c>
    </row>
    <row r="32158">
      <c r="A32158" t="inlineStr">
        <is>
          <t>Stuff 2</t>
        </is>
      </c>
      <c r="B32158">
        <f>HYPERLINK("https://www.dofusbook.net/fr/equipement/545185-stuff-2/objets", "link")</f>
        <v/>
      </c>
      <c r="C32158" t="n">
        <v>0</v>
      </c>
      <c r="D32158" t="inlineStr">
        <is>
          <t>Dagues Érhy; Pendentif affamé; Bague Gloursonne; Anneau de Padgref; Ceintacé; Coiffe de Padgref; Voile d'encre; Chaussures Hau; Dofus Turquoise; Dolmanax; Dofus Pourpre; Érudit majeur; Remueur; Évasif majeur; Muldo Prune et Pourpre</t>
        </is>
      </c>
    </row>
    <row r="32159">
      <c r="A32159" t="inlineStr">
        <is>
          <t>gedfr</t>
        </is>
      </c>
      <c r="B32159">
        <f>HYPERLINK("https://www.dofusbook.net/fr/equipement/1529197-gedfr/objets", "link")</f>
        <v/>
      </c>
      <c r="C32159" t="n">
        <v>0</v>
      </c>
      <c r="D32159" t="inlineStr">
        <is>
          <t>Pyraguette; Talisman Igans; Alliance Gloursonne; Bracelet des Fonds marins; Ceintrigue; Casqnoar; Cape de la Dame du Hasard; Pataugastrique; Dolmanax; Dofus Pourpre; Étourdisseur majeur; Vigoureux majeur; Paralyseur majeur; Remueur; Muldo Indigo et Orchidée</t>
        </is>
      </c>
    </row>
    <row r="32160">
      <c r="A32160" t="inlineStr">
        <is>
          <t>zgregaregazg</t>
        </is>
      </c>
      <c r="B32160">
        <f>HYPERLINK("https://www.dofusbook.net/fr/equipement/1468487-zgregaregazg/objets", "link")</f>
        <v/>
      </c>
      <c r="C32160" t="n">
        <v>0</v>
      </c>
      <c r="D32160" t="inlineStr">
        <is>
          <t>Harpelle; Pendentif affamé; Anneau Tique; Bague Gloursonne; Ceinture de Vortex; Cagoule de Vortex; Voile d'encre; Bottes Innommables; Dofus Ocre; Dofus Abyssal; Érudit majeur; Carapace Neutre majeur; Remueur; Étourdisseur majeur; Muldo Orchidée et Pourpre</t>
        </is>
      </c>
    </row>
    <row r="32161">
      <c r="A32161" t="inlineStr">
        <is>
          <t>Stuff 2</t>
        </is>
      </c>
      <c r="B32161">
        <f>HYPERLINK("https://www.dofusbook.net/fr/equipement/545130-stuff-2/objets", "link")</f>
        <v/>
      </c>
      <c r="C32161" t="n">
        <v>0</v>
      </c>
      <c r="D32161" t="inlineStr">
        <is>
          <t>Arc Nécrotique; Talisman Igans; Alliance Gloursonne; Baguistik; Ceintrigue; Casqnoar; Cape de la Dame du Hasard; Pataugastrique; Dofus Turquoise; Dolmanax; Dofus Pourpre; Vigoureux majeur; Carapace Feu majeur; Remueur; Muldo Indigo et Orchidée</t>
        </is>
      </c>
    </row>
    <row r="32162">
      <c r="A32162" t="inlineStr">
        <is>
          <t>ENI</t>
        </is>
      </c>
      <c r="B32162">
        <f>HYPERLINK("https://www.dofusbook.net/fr/equipement/1460863-eni/objets", "link")</f>
        <v/>
      </c>
      <c r="C32162" t="n">
        <v>0</v>
      </c>
      <c r="D32162" t="inlineStr">
        <is>
          <t>Arc Honte; Pendentif affamé; Anneau Rifique; Baguistik; Ceinture de Vortex; Casque Cyclopéen; Cape de Diondin; Bottes Innommables; Dolmanax; Carapace Terre majeur; Érudit majeur; Remueur; Carapace Feu majeur; Miraculé majeur; Muldo Orchidée et Pourpre</t>
        </is>
      </c>
    </row>
    <row r="32163">
      <c r="A32163" t="inlineStr">
        <is>
          <t>ktyuyttk</t>
        </is>
      </c>
      <c r="B32163">
        <f>HYPERLINK("https://www.dofusbook.net/fr/equipement/1445748-ktyuyttk/objets", "link")</f>
        <v/>
      </c>
      <c r="C32163" t="n">
        <v>0</v>
      </c>
      <c r="D32163" t="inlineStr">
        <is>
          <t>Hache du Korriandre; Amulette Voldelor; Alliance Gloursonne; Bracelet du Piloztère; Quatre-feuilles; Ceinture Voldelor; Némès de Tal Kasha; Chevelure de Tal Kasha; Sandales de Tal Kasha; Dofus Émeraude; Dofus des Glaces; Dofus Turquoise; Dofus Abyssal; Dofus Pourpre; Dofus Ocre; Muldo Ebène</t>
        </is>
      </c>
    </row>
    <row r="32164">
      <c r="A32164" t="inlineStr">
        <is>
          <t>QENZE</t>
        </is>
      </c>
      <c r="B32164">
        <f>HYPERLINK("https://www.dofusbook.net/fr/equipement/1437622-qenze/objets", "link")</f>
        <v/>
      </c>
      <c r="C32164" t="n">
        <v>0</v>
      </c>
      <c r="D32164" t="inlineStr">
        <is>
          <t>Dagues Érhy; Amulette de l'Indicible; Chevalière du Roi Joueur; Anneau de Nidas; Ceinture de Kongoku; Chapeau de Gein; Voile d'encre; Bottes du Roi Joueur; Dofus Ocre; Dofus des Glaces; Dofus Pourpre; Déserteur majeur; Remueur; Temporiseur majeur; Muldo Ebène et Pourpre</t>
        </is>
      </c>
    </row>
    <row r="32165">
      <c r="A32165" t="inlineStr">
        <is>
          <t>nnn</t>
        </is>
      </c>
      <c r="B32165">
        <f>HYPERLINK("https://www.dofusbook.net/fr/equipement/1427254-nnn/objets", "link")</f>
        <v/>
      </c>
      <c r="C32165" t="n">
        <v>0</v>
      </c>
      <c r="D32165" t="inlineStr">
        <is>
          <t>Sabres d'Atcham; Amulette du Strigide; Alliance Gloursonne; Anneau de Padgref; Quatre-feuilles; Menoture; Boucle d'oreille de Kongoku; Chevelure de Tal Kasha; Bottes du Strigide; Dofus Pourpre; Dolmanax; Vigoureux majeur; Paralyseur majeur; Remueur; Étourdisseur majeur; Muldo Indigo et Amande</t>
        </is>
      </c>
    </row>
    <row r="32166">
      <c r="A32166" t="inlineStr">
        <is>
          <t>xxx</t>
        </is>
      </c>
      <c r="B32166">
        <f>HYPERLINK("https://www.dofusbook.net/fr/equipement/1395106-xxx/objets", "link")</f>
        <v/>
      </c>
      <c r="C32166" t="n">
        <v>0</v>
      </c>
      <c r="D32166" t="inlineStr">
        <is>
          <t>Dagoulinantes; Amulette du Strigide; Anneau de Padgref; Alliance Gloursonne; Quatre-feuilles; Ceinture du Strigide; Chapeau Lisson; Dofusteuse; Pataugastrique; Dofus des Glaces; Dofus Pourpre; Paralyseur majeur; Étourdisseur majeur; Vigoureux majeur; Remueur; Muldo Indigo et Orchidée</t>
        </is>
      </c>
    </row>
    <row r="32167">
      <c r="A32167" t="inlineStr">
        <is>
          <t>Stuff 1</t>
        </is>
      </c>
      <c r="B32167">
        <f>HYPERLINK("https://www.dofusbook.net/fr/equipement/545150-stuff-1/objets", "link")</f>
        <v/>
      </c>
      <c r="C32167" t="n">
        <v>0</v>
      </c>
      <c r="D32167" t="inlineStr">
        <is>
          <t>Marteau R'ture; Amulette Luminescente; Bague Gloursonne; Anneau Chevelu; Ceinture du Strigide; Chapeau de Gein; Cape au Logis; Baleinabottes; Dofus Turquoise; Dofus Abyssal; Dofus Vulbis; Dofus Pourpre; Enragé majeur; Remueur; Kramkram</t>
        </is>
      </c>
    </row>
    <row r="32168">
      <c r="A32168" t="inlineStr">
        <is>
          <t>hzgghqhg</t>
        </is>
      </c>
      <c r="B32168">
        <f>HYPERLINK("https://www.dofusbook.net/fr/equipement/1369426-hzgghqhg/objets", "link")</f>
        <v/>
      </c>
      <c r="C32168" t="n">
        <v>0</v>
      </c>
      <c r="D32168" t="inlineStr">
        <is>
          <t>Sabres d'Atcham; Amulette du Strigide; Anneau de Padgref; Anneau Tique; Sept ans de malheur; Ceintacé; Chapeau Lisson; Cape d'Atcham; Sandales de Tal Kasha; Dofus Pourpre; Dofus des Glaces; Dofus Turquoise; Remueur; Engourdisseur majeur; Étourdisseur majeur; Muldo Amande et Emeraude</t>
        </is>
      </c>
    </row>
    <row r="32169">
      <c r="A32169" t="inlineStr">
        <is>
          <t>eqgf</t>
        </is>
      </c>
      <c r="B32169">
        <f>HYPERLINK("https://www.dofusbook.net/fr/equipement/1366996-eqgf/objets", "link")</f>
        <v/>
      </c>
      <c r="C32169" t="n">
        <v>0</v>
      </c>
      <c r="D32169" t="inlineStr">
        <is>
          <t>Pelle de la Cour Sombre; Collier du Valet Veinard; Alliance Gloursonne; Anneau Rifique; Sept ans de malheur; Ceintouse; Coiffe de la Reine des Voleurs; Cape Matelassée; Bottes de la Reine des Voleurs; Dofus Émeraude; Cascadeur majeur; Remueur; Paralyseur majeur; Carapace Eau majeur; Étourdisseur majeur; Muldo Ebène</t>
        </is>
      </c>
    </row>
    <row r="32170">
      <c r="A32170" t="inlineStr">
        <is>
          <t>hihi</t>
        </is>
      </c>
      <c r="B32170">
        <f>HYPERLINK("https://www.dofusbook.net/fr/equipement/1034103-hihi/objets", "link")</f>
        <v/>
      </c>
      <c r="C32170" t="n">
        <v>0</v>
      </c>
      <c r="D32170" t="inlineStr">
        <is>
          <t>Epée Gloursonne; Amulette de l'Indicible; Bague Gloursonne; Alliance Gloursonne; Quatre-feuilles; Ceinture de l'Indicible; Némès de Tal Kasha; Chevelure de Tal Kasha; Sandales de Tal Kasha; Dofus Pourpre; Dofus Ocre; Dofus Turquoise; Dofus Émeraude; Dofus Vulbis; Dofus des Glaces; Muldo Prune et Emeraude</t>
        </is>
      </c>
    </row>
    <row r="32171">
      <c r="A32171" t="inlineStr">
        <is>
          <t>Euh</t>
        </is>
      </c>
      <c r="B32171">
        <f>HYPERLINK("https://www.dofusbook.net/fr/equipement/1005207-euh/objets", "link")</f>
        <v/>
      </c>
      <c r="C32171" t="n">
        <v>0</v>
      </c>
      <c r="D32171" t="inlineStr">
        <is>
          <t>Hache Ériphe; Amulette de l'Indicible; Anneau Crustique; Anneau Chevelu; Quatre-feuilles; Ceinture de l'Indicible; Masque de Koutoulou; Cape au Logis; Tentassons; Dofus Turquoise; Dofus Pourpre; Obstructeur majeur; Enragé majeur; Déserteur majeur; Remueur; Kramkram</t>
        </is>
      </c>
    </row>
    <row r="32172">
      <c r="A32172" t="inlineStr">
        <is>
          <t>Stuff 3</t>
        </is>
      </c>
      <c r="B32172">
        <f>HYPERLINK("https://www.dofusbook.net/fr/equipement/545168-stuff-3/objets", "link")</f>
        <v/>
      </c>
      <c r="C32172" t="n">
        <v>0</v>
      </c>
      <c r="D32172" t="inlineStr">
        <is>
          <t>Arc Hétype; Amulette de Nileza; Anneau Tique; Bague Gloursonne; Ceinture Séculaire; Couronne de Nidas; Cape de Nileza; Pantoufles Émar; Dolmanax; Carapace Eau majeur; Remueur; Carapace Feu majeur; Érudit majeur; Vigoureux majeur; Muldo Indigo et Orchidée</t>
        </is>
      </c>
    </row>
    <row r="32173">
      <c r="A32173" t="inlineStr">
        <is>
          <t>Stuff 1</t>
        </is>
      </c>
      <c r="B32173">
        <f>HYPERLINK("https://www.dofusbook.net/fr/equipement/545163-stuff-1/objets", "link")</f>
        <v/>
      </c>
      <c r="C32173" t="n">
        <v>0</v>
      </c>
      <c r="D32173" t="inlineStr">
        <is>
          <t>Dagues Érhy; Amulette du Strigide; Alliance Gloursonne; Anneau Crustique; Sept ans de malheur; Ceintouse; Chapoulpe; Cape du Kamasterisk; Baleinabottes; Dolmanax; Dofus Pourpre; Paralyseur majeur; Nomade; Étourdisseur majeur; Remueur; Kramkram</t>
        </is>
      </c>
    </row>
    <row r="32174">
      <c r="A32174" t="inlineStr">
        <is>
          <t>Stuff 2</t>
        </is>
      </c>
      <c r="B32174">
        <f>HYPERLINK("https://www.dofusbook.net/fr/equipement/545156-stuff-2/objets", "link")</f>
        <v/>
      </c>
      <c r="C32174" t="n">
        <v>0</v>
      </c>
      <c r="D32174" t="inlineStr">
        <is>
          <t>Marteau du Juge Lou; Amulette du Strigide; Anneau Tique; Alliance Gloursonne; Ceinture du Strigide; Casqnoar; Voile d'encre; Pataugastrique; Dofus Pourpre; Dofus Turquoise; Dolmanax; Vigoureux majeur; Nomade; Remueur; Kramkram</t>
        </is>
      </c>
    </row>
    <row r="32175">
      <c r="A32175" t="inlineStr">
        <is>
          <t>Stuff 1</t>
        </is>
      </c>
      <c r="B32175">
        <f>HYPERLINK("https://www.dofusbook.net/fr/equipement/545187-stuff-1/objets", "link")</f>
        <v/>
      </c>
      <c r="C32175" t="n">
        <v>0</v>
      </c>
      <c r="D32175" t="inlineStr">
        <is>
          <t>Arc Hétype; Pendentif mignon de Koutoulou; Anneau Rifique; Anneau Tique; Ceinture Séculaire; Casque Dragoeuf; Voile d'encre; Bottes Innommables; Dofus des Glaces; Dofus Ocre; Saccageur Feu majeur; Érudit majeur; Remueur; Dévastateur Feu majeur; Muldo Orchidée et Pourpre</t>
        </is>
      </c>
    </row>
    <row r="32176">
      <c r="A32176" t="inlineStr">
        <is>
          <t>Stuff 2</t>
        </is>
      </c>
      <c r="B32176">
        <f>HYPERLINK("https://www.dofusbook.net/fr/equipement/545151-stuff-2/objets", "link")</f>
        <v/>
      </c>
      <c r="C32176" t="n">
        <v>0</v>
      </c>
      <c r="D32176" t="inlineStr">
        <is>
          <t>Lav'Hache; Collier de Tourthon; Anneau Crustique; Anneau Crustique; Ceinture de la Reine des Voleurs; Coiffe de la Reine des Voleurs; Cape au Logis; Baleinabottes; Dofus Pourpre; Paralyseur majeur; Engourdisseur majeur; Étourdisseur majeur; Enragé majeur; Remueur; Kompost</t>
        </is>
      </c>
    </row>
    <row r="32177">
      <c r="A32177" t="inlineStr">
        <is>
          <t>Stuff 1</t>
        </is>
      </c>
      <c r="B32177">
        <f>HYPERLINK("https://www.dofusbook.net/fr/equipement/545182-stuff-1/objets", "link")</f>
        <v/>
      </c>
      <c r="C32177" t="n">
        <v>0</v>
      </c>
      <c r="D32177" t="inlineStr">
        <is>
          <t>Dagues du Dragoeuf; Amulette du K.O.; Bague Gloursonne; Alliance de Missiz Frizz; Ceinture d'Henual; Casque de Missiz Frizz; Cape du Professeur Xa; Bottes du Père Fwetar; Dofus Turquoise; Dofus Pourpre; Turbulent; Nomade; Vigoureux majeur; Remueur; Muldo Prune et Doré</t>
        </is>
      </c>
    </row>
    <row r="32178">
      <c r="A32178" t="inlineStr">
        <is>
          <t>Stuff 2</t>
        </is>
      </c>
      <c r="B32178">
        <f>HYPERLINK("https://www.dofusbook.net/fr/equipement/545177-stuff-2/objets", "link")</f>
        <v/>
      </c>
      <c r="C32178" t="n">
        <v>0</v>
      </c>
      <c r="D32178" t="inlineStr">
        <is>
          <t>Pelle de Nidas; Amulette du Strigide; Alliance Gloursonne; Bracelet du Piloztère; Ceinture du Strigide; Coiffe d'Ogivol; Cape Reski; Baleinabottes; Dofus des Glaces; Dolmanax; Dofus Turquoise; Dofus Pourpre; Remueur; Vigoureux majeur; Muldo Prune et Doré</t>
        </is>
      </c>
    </row>
    <row r="32179">
      <c r="A32179" t="inlineStr">
        <is>
          <t>Stuff 2</t>
        </is>
      </c>
      <c r="B32179">
        <f>HYPERLINK("https://www.dofusbook.net/fr/equipement/545172-stuff-2/objets", "link")</f>
        <v/>
      </c>
      <c r="C32179" t="n">
        <v>0</v>
      </c>
      <c r="D32179" t="inlineStr">
        <is>
          <t>Dagues Érhy; Amulette du Strigide; Bague Gloursonne; Anneau Chevelu; Ceintacé; Chapeau de Gein; Voile d'encre; Bottes du Strigide; Dofus Pourpre; Dofus Turquoise; Enragé majeur; Remueur; Vigoureux majeur; Érudit majeur; Muldo Doré et Orchidée</t>
        </is>
      </c>
    </row>
    <row r="32180">
      <c r="A32180" t="inlineStr">
        <is>
          <t>Stuff 1</t>
        </is>
      </c>
      <c r="B32180">
        <f>HYPERLINK("https://www.dofusbook.net/fr/equipement/545158-stuff-1/objets", "link")</f>
        <v/>
      </c>
      <c r="C32180" t="n">
        <v>0</v>
      </c>
      <c r="D32180" t="inlineStr">
        <is>
          <t>Marteau R'ture; Collier de Tourthon; Anneau Chevelu; Chevalière du Roi Joueur; Ceintacé; Chapeau de Gein; Voile d'encre; Bottes du Roi Joueur; Dofus Pourpre; Enragé majeur; Temporiseur majeur; Déserteur majeur; Remueur; Vigoureux majeur; Muldo Pourpre et Amande</t>
        </is>
      </c>
    </row>
    <row r="32181">
      <c r="A32181" t="inlineStr">
        <is>
          <t>Stuff 1</t>
        </is>
      </c>
      <c r="B32181">
        <f>HYPERLINK("https://www.dofusbook.net/fr/equipement/545189-stuff-1/objets", "link")</f>
        <v/>
      </c>
      <c r="C32181" t="n">
        <v>0</v>
      </c>
      <c r="D32181" t="inlineStr">
        <is>
          <t>Arc Nécrotique; Amulette de Shokkoth; Bague Gloursonne; Alliance Gloursonne; Ceinture de Kongoku; Ruskauffe; Cape des Malveilleurs; Pataugastrique; Dofus Pourpre; Dofus des Glaces; Dolmanax; Remueur; Déserteur majeur; Temporiseur majeur; Muldo Orchidée et Pourpre</t>
        </is>
      </c>
    </row>
    <row r="32182">
      <c r="A32182" t="inlineStr">
        <is>
          <t>Stuff 1</t>
        </is>
      </c>
      <c r="B32182">
        <f>HYPERLINK("https://www.dofusbook.net/fr/equipement/545153-stuff-1/objets", "link")</f>
        <v/>
      </c>
      <c r="C32182" t="n">
        <v>0</v>
      </c>
      <c r="D32182" t="inlineStr">
        <is>
          <t>Le Thanos; Pendentif Oton; Anneau Tique; Alliance Gloursonne; Carapar; Ceintrigue; Binocle Airvoyant; Cape Matelassée; Bottes de Meno; Dofus Abyssal; Guérisseur majeur; Remueur; Chanceux majeur; Guérisseur; Muldo Indigo</t>
        </is>
      </c>
    </row>
    <row r="32183">
      <c r="A32183" t="inlineStr">
        <is>
          <t>Stuff 1</t>
        </is>
      </c>
      <c r="B32183">
        <f>HYPERLINK("https://www.dofusbook.net/fr/equipement/545184-stuff-1/objets", "link")</f>
        <v/>
      </c>
      <c r="C32183" t="n">
        <v>0</v>
      </c>
      <c r="D32183" t="inlineStr">
        <is>
          <t>Marteau des Anciens Steamers; Amulette du Strigide; Bracelet des Fonds marins; Alliance Gloursonne; Menoture; Némès de Tal Kasha; Chevelure de Tal Kasha; Sandales  d'Atcham; Dofus des Glaces; Dofus Turquoise; Dofus Pourpre; Étourdisseur majeur; Remueur; Vigoureux majeur; Muldo Prune et Emeraude</t>
        </is>
      </c>
    </row>
    <row r="32184">
      <c r="A32184" t="inlineStr">
        <is>
          <t>Stuff 1</t>
        </is>
      </c>
      <c r="B32184">
        <f>HYPERLINK("https://www.dofusbook.net/fr/equipement/545179-stuff-1/objets", "link")</f>
        <v/>
      </c>
      <c r="C32184" t="n">
        <v>0</v>
      </c>
      <c r="D32184" t="inlineStr">
        <is>
          <t>Manthache; Collier du Valet Veinard; Gant du Valet Veinard; Alliance Gloursonne; Menoture; Couronne d'Allister; Cape Indescriptible; Baleinabottes; Dofus Pourpre; Equilibriste majeur; Cascadeur majeur; Robuste majeur; Vigoureux majeur; Nomade; Siroko</t>
        </is>
      </c>
    </row>
    <row r="32185">
      <c r="A32185" t="inlineStr">
        <is>
          <t>Stuff 1</t>
        </is>
      </c>
      <c r="B32185">
        <f>HYPERLINK("https://www.dofusbook.net/fr/equipement/545174-stuff-1/objets", "link")</f>
        <v/>
      </c>
      <c r="C32185" t="n">
        <v>1</v>
      </c>
      <c r="D32185" t="inlineStr">
        <is>
          <t>Sabres d'Atcham; Amulette du Strigide; Anneau Tique; Alliance Gloursonne; Ceintacé; Coiffe de Padgref; Cape de la Dame du Hasard; Bottes du Strigide; Dolmanax; Dofus Pourpre; Dofus des Glaces; Dofus Turquoise; Remueur; Vigoureux majeur; Muldo Prune et Doré</t>
        </is>
      </c>
    </row>
    <row r="32186">
      <c r="A32186" t="inlineStr">
        <is>
          <t>Stuff 1</t>
        </is>
      </c>
      <c r="B32186">
        <f>HYPERLINK("https://www.dofusbook.net/fr/equipement/545153-stuff-1/objets", "link")</f>
        <v/>
      </c>
      <c r="C32186" t="n">
        <v>0</v>
      </c>
      <c r="D32186" t="inlineStr">
        <is>
          <t>Le Thanos; Pendentif Oton; Alliance Gloursonne; Anneau Tique; Carapar; Ceintrigue; Binocle Airvoyant; Cape Matelassée; Bottes de Meno; Dofus Abyssal; Guérisseur majeur; Remueur; Chanceux majeur; Guérisseur; Muldo Indigo</t>
        </is>
      </c>
    </row>
    <row r="32187">
      <c r="A32187" t="inlineStr">
        <is>
          <t>Stuff 1</t>
        </is>
      </c>
      <c r="B32187">
        <f>HYPERLINK("https://www.dofusbook.net/fr/equipement/545189-stuff-1/objets", "link")</f>
        <v/>
      </c>
      <c r="C32187" t="n">
        <v>0</v>
      </c>
      <c r="D32187" t="inlineStr">
        <is>
          <t>Arc Nécrotique; Amulette de Shokkoth; Bague Gloursonne; Alliance Gloursonne; Ceinture de Kongoku; Ruskauffe; Cape des Malveilleurs; Pataugastrique; Dofus des Glaces; Dolmanax; Dofus Pourpre; Déserteur majeur; Temporiseur majeur; Remueur; Muldo Orchidée et Pourpre</t>
        </is>
      </c>
    </row>
    <row r="32188">
      <c r="A32188" t="inlineStr">
        <is>
          <t>Stuff 1</t>
        </is>
      </c>
      <c r="B32188">
        <f>HYPERLINK("https://www.dofusbook.net/fr/equipement/545184-stuff-1/objets", "link")</f>
        <v/>
      </c>
      <c r="C32188" t="n">
        <v>0</v>
      </c>
      <c r="D32188" t="inlineStr">
        <is>
          <t>Marteau des Anciens Steamers; Amulette du Strigide; Alliance Gloursonne; Bracelet des Fonds marins; Menoture; Némès de Tal Kasha; Chevelure de Tal Kasha; Sandales  d'Atcham; Dofus Turquoise; Dofus Pourpre; Dofus des Glaces; Remueur; Vigoureux majeur; Étourdisseur majeur; Muldo Prune et Emeraude</t>
        </is>
      </c>
    </row>
    <row r="32189">
      <c r="A32189" t="inlineStr">
        <is>
          <t>Stuff 1</t>
        </is>
      </c>
      <c r="B32189">
        <f>HYPERLINK("https://www.dofusbook.net/fr/equipement/545179-stuff-1/objets", "link")</f>
        <v/>
      </c>
      <c r="C32189" t="n">
        <v>0</v>
      </c>
      <c r="D32189" t="inlineStr">
        <is>
          <t>Manthache; Collier du Valet Veinard; Alliance Gloursonne; Gant du Valet Veinard; Menoture; Couronne d'Allister; Cape Indescriptible; Baleinabottes; Dofus Pourpre; Robuste majeur; Vigoureux majeur; Nomade; Equilibriste majeur; Cascadeur majeur; Siroko</t>
        </is>
      </c>
    </row>
    <row r="32190">
      <c r="A32190" t="inlineStr">
        <is>
          <t>Stuff 1</t>
        </is>
      </c>
      <c r="B32190">
        <f>HYPERLINK("https://www.dofusbook.net/fr/equipement/545174-stuff-1/objets", "link")</f>
        <v/>
      </c>
      <c r="C32190" t="n">
        <v>1</v>
      </c>
      <c r="D32190" t="inlineStr">
        <is>
          <t>Sabres d'Atcham; Amulette du Strigide; Anneau Tique; Alliance Gloursonne; Ceintacé; Coiffe de Padgref; Cape de la Dame du Hasard; Bottes du Strigide; Dofus Pourpre; Dofus des Glaces; Dofus Turquoise; Dolmanax; Remueur; Vigoureux majeur; Muldo Prune et Doré</t>
        </is>
      </c>
    </row>
    <row r="32191">
      <c r="A32191" t="inlineStr">
        <is>
          <t>Stuff 2</t>
        </is>
      </c>
      <c r="B32191">
        <f>HYPERLINK("https://www.dofusbook.net/fr/equipement/545167-stuff-2/objets", "link")</f>
        <v/>
      </c>
      <c r="C32191" t="n">
        <v>0</v>
      </c>
      <c r="D32191" t="inlineStr">
        <is>
          <t>Epée Loponèze; Amulette du Sinistrofu; Bracelet des Fonds marins; Alliance Gloursonne; Ceinture Voldelor; Coiffe de Danathor; Cape du Sinistrofu; Pataugastrique; Dolmanax; Dofus Pourpre; Nomade; Vigoureux majeur; Chanceux majeur; Remueur; Dehluge</t>
        </is>
      </c>
    </row>
    <row r="32192">
      <c r="A32192" t="inlineStr">
        <is>
          <t>Stuff 3</t>
        </is>
      </c>
      <c r="B32192">
        <f>HYPERLINK("https://www.dofusbook.net/fr/equipement/545160-stuff-3/objets", "link")</f>
        <v/>
      </c>
      <c r="C32192" t="n">
        <v>0</v>
      </c>
      <c r="D32192" t="inlineStr">
        <is>
          <t>Rapière aux Glyphes; Collier de la Dame du Hasard; Alliance Gloursonne; Bracelet des Fonds marins; Ceinture Glaciale; Kidibonnet; Cape de la Dame du Hasard; Pataugastrique; Remueur; Temporiseur majeur; Chanceux majeur; Entraveur majeur; Temporiseur; Ralentisseur majeur; Dragodinde Prune et Emeraude</t>
        </is>
      </c>
    </row>
    <row r="32193">
      <c r="A32193" t="inlineStr">
        <is>
          <t>Stuff 1</t>
        </is>
      </c>
      <c r="B32193">
        <f>HYPERLINK("https://www.dofusbook.net/fr/equipement/545155-stuff-1/objets", "link")</f>
        <v/>
      </c>
      <c r="C32193" t="n">
        <v>0</v>
      </c>
      <c r="D32193" t="inlineStr">
        <is>
          <t>Dagues Érhy; Amulette du Strigide; Bague Gloursonne; Anneau Chevelu; Ceinture du Strigide; Chapeau de Gein; Voile d'encre; Baleinabottes; Dofus Pourpre; Carapace Feu majeur; Remueur; Observateur; Vigoureux majeur; Nomade; Kramkram</t>
        </is>
      </c>
    </row>
    <row r="32194">
      <c r="A32194" t="inlineStr">
        <is>
          <t>Stuff 3</t>
        </is>
      </c>
      <c r="B32194">
        <f>HYPERLINK("https://www.dofusbook.net/fr/equipement/545191-stuff-3/objets", "link")</f>
        <v/>
      </c>
      <c r="C32194" t="n">
        <v>0</v>
      </c>
      <c r="D32194" t="inlineStr">
        <is>
          <t>Marteau Reine; Amulette Nécrotique; Gelano; Anneau de XLII; Ceinture de XLII; Coiffe de la Fuji Givrefoux; Voile d'encre; Sabots Minables; Dolmanax; Dofus Pourpre; Miraculé majeur; Robuste majeur; Remueur; Vigoureux majeur; Muldo Doré et Pourpre</t>
        </is>
      </c>
    </row>
    <row r="32195">
      <c r="A32195" t="inlineStr">
        <is>
          <t>Stuff 3</t>
        </is>
      </c>
      <c r="B32195">
        <f>HYPERLINK("https://www.dofusbook.net/fr/equipement/545186-stuff-3/objets", "link")</f>
        <v/>
      </c>
      <c r="C32195" t="n">
        <v>0</v>
      </c>
      <c r="D32195" t="inlineStr">
        <is>
          <t>Sabres d'Atcham; Amulette du Strigide; Alliance Gloursonne; Bague Gloursonne; Ceinture du Strigide; Némès de Tal Kasha; Chevelure de Tal Kasha; Sandales  d'Atcham; Dofus Abyssal; Dolmanax; Dofus Ocre; Dofus Turquoise; Dofus des Glaces; Dofus Pourpre; Muldo Prune et Emeraude</t>
        </is>
      </c>
    </row>
    <row r="32196">
      <c r="A32196" t="inlineStr">
        <is>
          <t>Stuff 3</t>
        </is>
      </c>
      <c r="B32196">
        <f>HYPERLINK("https://www.dofusbook.net/fr/equipement/545181-stuff-3/objets", "link")</f>
        <v/>
      </c>
      <c r="C32196" t="n">
        <v>0</v>
      </c>
      <c r="D32196" t="inlineStr">
        <is>
          <t>Manthache; Collier du Valet Veinard; Gant du Valet Veinard; Alliance Gloursonne; Menoture; Casque Dragoeuf; Cape Indescriptible; Palmes Trithons; Dofus Pourpre; Robuste majeur; Carapace Neutre majeur; Remueur; Vigoureux majeur; Cascadeur majeur; Muldo Ebène</t>
        </is>
      </c>
    </row>
    <row r="32197">
      <c r="A32197" t="inlineStr">
        <is>
          <t>Stuff 1</t>
        </is>
      </c>
      <c r="B32197">
        <f>HYPERLINK("https://www.dofusbook.net/fr/equipement/545176-stuff-1/objets", "link")</f>
        <v/>
      </c>
      <c r="C32197" t="n">
        <v>0</v>
      </c>
      <c r="D32197" t="inlineStr">
        <is>
          <t>Hache Ériphe; Amulette du Strigide; Anneau de Padgref; Anneau Chevelu; Ceinture du Strigide; Chapoulpe; Cape de la Fuji Givrefoux; Baleinabottes; Dofus Turquoise; Dofus Pourpre; Remueur; Vigoureux majeur; Enragé majeur; Cascadeur majeur; Kramkram</t>
        </is>
      </c>
    </row>
    <row r="32198">
      <c r="A32198" t="inlineStr">
        <is>
          <t>Stuff 1</t>
        </is>
      </c>
      <c r="B32198">
        <f>HYPERLINK("https://www.dofusbook.net/fr/equipement/545171-stuff-1/objets", "link")</f>
        <v/>
      </c>
      <c r="C32198" t="n">
        <v>0</v>
      </c>
      <c r="D32198" t="inlineStr">
        <is>
          <t>Dagues de Srambad; Amulette Ementaire Deluxe; Anneau Chevelu; Alliance Gloursonne; Ceinture de la Reine des Voleurs; Coiffe de la Reine des Voleurs; Voile d'encre; Baleinabottes; Dofus Pourpre; Vigoureux majeur; Robuste majeur; Remueur; Miraculé majeur; Muldo Doré et Ebène</t>
        </is>
      </c>
    </row>
    <row r="32199">
      <c r="A32199" t="inlineStr">
        <is>
          <t>Stuff 3</t>
        </is>
      </c>
      <c r="B32199">
        <f>HYPERLINK("https://www.dofusbook.net/fr/equipement/545157-stuff-3/objets", "link")</f>
        <v/>
      </c>
      <c r="C32199" t="n">
        <v>0</v>
      </c>
      <c r="D32199" t="inlineStr">
        <is>
          <t>Dagoulinantes; Amulette de Shokkoth; Alliance Gloursonne; Bracelet des Fonds marins; Ceinture de la Reine des Voleurs; Kidibonnet; Dofusteuse; Bottes de la Reine des Voleurs; Dofus Pourpre; Dofus Nébuleux; Chanceux majeur; Nomade; Remueur; Vigoureux majeur; Dehluge</t>
        </is>
      </c>
    </row>
    <row r="32200">
      <c r="A32200" t="inlineStr">
        <is>
          <t>Stuff 3</t>
        </is>
      </c>
      <c r="B32200">
        <f>HYPERLINK("https://www.dofusbook.net/fr/equipement/545152-stuff-3/objets", "link")</f>
        <v/>
      </c>
      <c r="C32200" t="n">
        <v>0</v>
      </c>
      <c r="D32200" t="inlineStr">
        <is>
          <t>Arc du Chalœil; Amulette du Strigide; Anneau Chevelu; Bague Gloursonne; Ceintacé; Casque de Missiz Frizz; Cape au Logis; Bottes du Strigide; Dofus Pourpre; Dofus Turquoise; Enragé majeur; Remueur; Forcené majeur; Vigoureux majeur; Kramkram</t>
        </is>
      </c>
    </row>
    <row r="32201">
      <c r="A32201" t="inlineStr">
        <is>
          <t>Stuff 2</t>
        </is>
      </c>
      <c r="B32201">
        <f>HYPERLINK("https://www.dofusbook.net/fr/equipement/545188-stuff-2/objets", "link")</f>
        <v/>
      </c>
      <c r="C32201" t="n">
        <v>0</v>
      </c>
      <c r="D32201" t="inlineStr">
        <is>
          <t>Arc Hétype; Pendentif mignon de Koutoulou; Anneau Tique; Anneau Rifique; Ceinture Séculaire; Couronne de Nidas; Voile d'encre; Pataugastrique; Dofus des Glaces; Remueur; Dévastateur Feu majeur; Carapace Feu majeur; Ravageur Feu majeur; Érudit majeur</t>
        </is>
      </c>
    </row>
    <row r="32202">
      <c r="A32202" t="inlineStr">
        <is>
          <t>Stuff 2</t>
        </is>
      </c>
      <c r="B32202">
        <f>HYPERLINK("https://www.dofusbook.net/fr/equipement/545183-stuff-2/objets", "link")</f>
        <v/>
      </c>
      <c r="C32202" t="n">
        <v>0</v>
      </c>
      <c r="D32202" t="inlineStr">
        <is>
          <t>Arc de Koutoulou; Amulette Voldelor; Gant du Valet Veinard; Alliance Gloursonne; Ceinture de la Reine des Voleurs; Kidibonnet; Cape des Malveilleurs; Bottes de la Reine des Voleurs; Dolmanax; Dofus Pourpre; Vigoureux majeur; Carapace Eau majeur; Robuste majeur; Remueur; Muldo Ebène</t>
        </is>
      </c>
    </row>
    <row r="32203">
      <c r="A32203" t="inlineStr">
        <is>
          <t>Stuff 3</t>
        </is>
      </c>
      <c r="B32203">
        <f>HYPERLINK("https://www.dofusbook.net/fr/equipement/545178-stuff-3/objets", "link")</f>
        <v/>
      </c>
      <c r="C32203" t="n">
        <v>0</v>
      </c>
      <c r="D32203" t="inlineStr">
        <is>
          <t>Dagues de Srambad; Amulette Ementaire Deluxe; Anneau Chevelu; Alliance Gloursonne; Ceinture de la Reine des Voleurs; Coiffe de la Reine des Voleurs; Voile d'encre; Baleinabottes; Dofus Pourpre; Dofus des Glaces; Vigoureux majeur; Robuste majeur; Remueur; Miraculé majeur; Muldo Doré et Ebène</t>
        </is>
      </c>
    </row>
    <row r="32204">
      <c r="A32204" t="inlineStr">
        <is>
          <t>Stuff 1</t>
        </is>
      </c>
      <c r="B32204">
        <f>HYPERLINK("https://www.dofusbook.net/fr/equipement/545171-stuff-1/objets", "link")</f>
        <v/>
      </c>
      <c r="C32204" t="n">
        <v>0</v>
      </c>
      <c r="D32204" t="inlineStr">
        <is>
          <t>Dagues de Srambad; Amulette Ementaire Deluxe; Anneau Chevelu; Alliance Gloursonne; Ceinture de la Reine des Voleurs; Coiffe de la Reine des Voleurs; Voile d'encre; Baleinabottes; Dofus Pourpre; Robuste majeur; Remueur; Miraculé majeur; Vigoureux majeur; Muldo Doré et Ebène</t>
        </is>
      </c>
    </row>
    <row r="32205">
      <c r="A32205" t="inlineStr">
        <is>
          <t>Stuff 3</t>
        </is>
      </c>
      <c r="B32205">
        <f>HYPERLINK("https://www.dofusbook.net/fr/equipement/545125-stuff-3/objets", "link")</f>
        <v/>
      </c>
      <c r="C32205" t="n">
        <v>0</v>
      </c>
      <c r="D32205" t="inlineStr">
        <is>
          <t>Pelle de la Cour Sombre; Collier du Valet Veinard; Alliance Gloursonne; Gant du Valet Veinard; Ceintouse; Dorabysses; Cape Matelassée; Palmes Trithons; Dofus Pourpre; Nomade; Cascadeur majeur; Vigoureux majeur; Remueur; Carapace Air majeur; Kramkram</t>
        </is>
      </c>
    </row>
    <row r="32206">
      <c r="A32206" t="inlineStr">
        <is>
          <t>Stuff 1</t>
        </is>
      </c>
      <c r="B32206">
        <f>HYPERLINK("https://www.dofusbook.net/fr/equipement/545117-stuff-1/objets", "link")</f>
        <v/>
      </c>
      <c r="C32206" t="n">
        <v>0</v>
      </c>
      <c r="D32206" t="inlineStr">
        <is>
          <t>Dagues Érhy; Amulette du Strigide; Alliance de Missiz Frizz; Bague Gloursonne; Ceinture du Strigide; Chapeau de Gein; Cape du Professeur Xa; Bottes du Cycloïde; Dofus Pourpre; Dofus Ocre; Dofus Turquoise; Enragé majeur; Remueur; Vigoureux majeur; Muldo Prune et Doré</t>
        </is>
      </c>
    </row>
    <row r="32207">
      <c r="A32207" t="inlineStr">
        <is>
          <t>Stuff 1</t>
        </is>
      </c>
      <c r="B32207">
        <f>HYPERLINK("https://www.dofusbook.net/fr/equipement/545147-stuff-1/objets", "link")</f>
        <v/>
      </c>
      <c r="C32207" t="n">
        <v>0</v>
      </c>
      <c r="D32207" t="inlineStr">
        <is>
          <t>Dague Hirr; Amulette du Strigide; Anneau des égarés; Anneau de la Fuji Givrefoux; Ceinture du Strigide; Coiffe de la Fuji Givrefoux; Cape de la Fuji Givrefoux; Bottes de la Fuji Givrefoux; Dofus Ocre; Dolmanax; Dofus Vulbis; Dofus des Glaces; Dofus Turquoise; Dofus Pourpre; Kramkram</t>
        </is>
      </c>
    </row>
    <row r="32208">
      <c r="A32208" t="inlineStr">
        <is>
          <t>Stuff 2</t>
        </is>
      </c>
      <c r="B32208">
        <f>HYPERLINK("https://www.dofusbook.net/fr/equipement/545142-stuff-2/objets", "link")</f>
        <v/>
      </c>
      <c r="C32208" t="n">
        <v>0</v>
      </c>
      <c r="D32208" t="inlineStr">
        <is>
          <t>Bêche Asse; Anneau Crustique; Anneau Crustique; Ceintouse; Masque de Koutoulou; Cape au Logis; Tentassons; Dofus Pourpre; Remueur; Enragé majeur; Vigoureux majeur; Étourdisseur majeur; Kramkram</t>
        </is>
      </c>
    </row>
    <row r="32209">
      <c r="A32209" t="inlineStr">
        <is>
          <t>Stuff 3</t>
        </is>
      </c>
      <c r="B32209">
        <f>HYPERLINK("https://www.dofusbook.net/fr/equipement/545137-stuff-3/objets", "link")</f>
        <v/>
      </c>
      <c r="C32209" t="n">
        <v>0</v>
      </c>
      <c r="D32209" t="inlineStr">
        <is>
          <t>Dagues Érhy; Amulette de l'Indicible; Chevalière du Roi Joueur; Anneau de Nidas; Ceinture de Kongoku; Chapeau de Gein; Voile d'encre; Bottes du Roi Joueur; Dofus des Glaces; Dofus Pourpre; Dofus Ocre; Remueur; Nomade; Vigoureux majeur; Kramkram</t>
        </is>
      </c>
    </row>
    <row r="32210">
      <c r="A32210" t="inlineStr">
        <is>
          <t>Stuff 1</t>
        </is>
      </c>
      <c r="B32210">
        <f>HYPERLINK("https://www.dofusbook.net/fr/equipement/545132-stuff-1/objets", "link")</f>
        <v/>
      </c>
      <c r="C32210" t="n">
        <v>0</v>
      </c>
      <c r="D32210" t="inlineStr">
        <is>
          <t>Dagues Açantes; Collier de la Dame du Hasard; Bracelet des Fonds marins; Alliance Gloursonne; Ceinture Luminescente; Kidibonnet; Cape de la Dame du Hasard; Bottes de Meno; Dofus Turquoise; Entraveur majeur; Chanceux majeur; Temporiseur majeur; Remueur; Temporiseur; Muldo Doré et Indigo</t>
        </is>
      </c>
    </row>
    <row r="32211">
      <c r="A32211" t="inlineStr">
        <is>
          <t>Stuff 2</t>
        </is>
      </c>
      <c r="B32211">
        <f>HYPERLINK("https://www.dofusbook.net/fr/equipement/545127-stuff-2/objets", "link")</f>
        <v/>
      </c>
      <c r="C32211" t="n">
        <v>0</v>
      </c>
      <c r="D32211" t="inlineStr">
        <is>
          <t>Marteau Phossile; Amulette du Cycloïde; Alliance Gloursonne; Anneau Tique; Ceinture de Vortex; Cagoule de Vortex; Voile d'encre; Pantoufles Émar; Étourdisseur majeur; Ralentisseur majeur; Remueur; Obstructeur majeur; Nomade; Temporiseur majeur; Kramkram</t>
        </is>
      </c>
    </row>
    <row r="32212">
      <c r="A32212" t="inlineStr">
        <is>
          <t>Stuff 3</t>
        </is>
      </c>
      <c r="B32212">
        <f>HYPERLINK("https://www.dofusbook.net/fr/equipement/545119-stuff-3/objets", "link")</f>
        <v/>
      </c>
      <c r="C32212" t="n">
        <v>1</v>
      </c>
      <c r="D32212" t="inlineStr">
        <is>
          <t>Dagues Érhy; Amulette du Strigide; Gelano; Bague Gloursonne; Ceinture du Strigide; Chapeau de Gein; Voile d'encre; Bottes du Cycloïde; Dofus Pourpre; Dofus Ocre; Dofus Turquoise; Nomade; Enragé majeur; Remueur; Kramkram</t>
        </is>
      </c>
    </row>
    <row r="32213">
      <c r="A32213" t="inlineStr">
        <is>
          <t>Stuff 1</t>
        </is>
      </c>
      <c r="B32213">
        <f>HYPERLINK("https://www.dofusbook.net/fr/equipement/545144-stuff-1/objets", "link")</f>
        <v/>
      </c>
      <c r="C32213" t="n">
        <v>0</v>
      </c>
      <c r="D32213" t="inlineStr">
        <is>
          <t>Dagoulinantes; Amulette de Shokkoth; Bracelet des Fonds marins; Alliance Gloursonne; Ceinture du Barbétoal; Masque du Barbétoal; Cape Matelassée; Pataugastrique; Dofus des Glaces; Dofus Pourpre; Paralyseur majeur; Étourdisseur majeur; Chanceux majeur; Nomade; Croum</t>
        </is>
      </c>
    </row>
    <row r="32214">
      <c r="A32214" t="inlineStr">
        <is>
          <t>Stuff 2</t>
        </is>
      </c>
      <c r="B32214">
        <f>HYPERLINK("https://www.dofusbook.net/fr/equipement/545139-stuff-2/objets", "link")</f>
        <v/>
      </c>
      <c r="C32214" t="n">
        <v>0</v>
      </c>
      <c r="D32214" t="inlineStr">
        <is>
          <t>Sabres d'Atcham; Amulette de l'Indicible; Alliance Gloursonne; Bague Gloursonne; Carapar; Ceinture du Barbétoal; Chapeau des Malveilleurs; Voile d'encre; Pataugastrique; Dofus des Glaces; Dévastateur Air majeur; Féroce majeur; Dévastateur Feu majeur; Sanguinaire majeur; Remueur; Muldo Indigo et Pourpre</t>
        </is>
      </c>
    </row>
    <row r="32215">
      <c r="A32215" t="inlineStr">
        <is>
          <t>Stuff 3</t>
        </is>
      </c>
      <c r="B32215">
        <f>HYPERLINK("https://www.dofusbook.net/fr/equipement/545134-stuff-3/objets", "link")</f>
        <v/>
      </c>
      <c r="C32215" t="n">
        <v>0</v>
      </c>
      <c r="D32215" t="inlineStr">
        <is>
          <t>Arc Hétype; Pendentif affamé; Anneau Tique; Anneau de Nidas; Bouclier du serrurier; Ceinture Séculaire; Casque Dragoeuf; Cape de Diondin; Tongues de Nidas; Temporiseur majeur; Ralentisseur majeur; Érudit majeur; Nomade; Entraveur majeur; Remueur; El Scarador</t>
        </is>
      </c>
    </row>
    <row r="32216">
      <c r="A32216" t="inlineStr">
        <is>
          <t>Stuff 1</t>
        </is>
      </c>
      <c r="B32216">
        <f>HYPERLINK("https://www.dofusbook.net/fr/equipement/545129-stuff-1/objets", "link")</f>
        <v/>
      </c>
      <c r="C32216" t="n">
        <v>0</v>
      </c>
      <c r="D32216" t="inlineStr">
        <is>
          <t>La Baguette des Limbes; Amulette Séculaire; Anneau Tamie; Anneau Tamie; Sangle Aise; Coiffe Séculaire; Cape de Diondin; Bottes Innommables; Dofus Pourpre; Vigoureux majeur; Nomade; Robuste majeur; Savant majeur; Érudit majeur; Dragodinde Prune et Orchidée</t>
        </is>
      </c>
    </row>
    <row r="32217">
      <c r="A32217" t="inlineStr">
        <is>
          <t>Stuff 2</t>
        </is>
      </c>
      <c r="B32217">
        <f>HYPERLINK("https://www.dofusbook.net/fr/equipement/545124-stuff-2/objets", "link")</f>
        <v/>
      </c>
      <c r="C32217" t="n">
        <v>0</v>
      </c>
      <c r="D32217" t="inlineStr">
        <is>
          <t>Karnak; Frimamulette; Alliance Gloursonne; Anneau d'Allister; Ceinture de Klime; Masque de Klime; Cape Matelassée; Pantoufles Émar; Robuste majeur; Nomade; Equilibriste majeur; Remueur; Vigoureux majeur; Cascadeur majeur; Siroko</t>
        </is>
      </c>
    </row>
    <row r="32218">
      <c r="A32218" t="inlineStr">
        <is>
          <t>Stuff 3</t>
        </is>
      </c>
      <c r="B32218">
        <f>HYPERLINK("https://www.dofusbook.net/fr/equipement/545146-stuff-3/objets", "link")</f>
        <v/>
      </c>
      <c r="C32218" t="n">
        <v>0</v>
      </c>
      <c r="D32218" t="inlineStr">
        <is>
          <t>Dagoulinantes; Talisman Glouti; Alliance Gloursonne; Bracelet des Fonds marins; Sangle Ouare; Masque des Fonds marins; Cape Matelassée; Pataugastrique; Dofus Pourpre; Nomade; Engourdisseur majeur; Chanceux majeur; Paralyseur majeur; Étourdisseur majeur; El Scarador</t>
        </is>
      </c>
    </row>
    <row r="32219">
      <c r="A32219" t="inlineStr">
        <is>
          <t>Stuff 1</t>
        </is>
      </c>
      <c r="B32219">
        <f>HYPERLINK("https://www.dofusbook.net/fr/equipement/545141-stuff-1/objets", "link")</f>
        <v/>
      </c>
      <c r="C32219" t="n">
        <v>0</v>
      </c>
      <c r="D32219" t="inlineStr">
        <is>
          <t>Bêche Asse; Collier de Tourthon; Anneau Chevelu; Anneau Crustique; Sept ans de malheur; Ceintouse; Chapoulpe; Voile d'encre; Baleinabottes; Dofus Pourpre; Enragé majeur; Remueur; Vigoureux majeur; Paralyseur majeur; Étourdisseur majeur; Muldo Indigo et Amande</t>
        </is>
      </c>
    </row>
    <row r="32220">
      <c r="A32220" t="inlineStr">
        <is>
          <t>Stuff 2</t>
        </is>
      </c>
      <c r="B32220">
        <f>HYPERLINK("https://www.dofusbook.net/fr/equipement/545136-stuff-2/objets", "link")</f>
        <v/>
      </c>
      <c r="C32220" t="n">
        <v>1</v>
      </c>
      <c r="D32220" t="inlineStr">
        <is>
          <t>Marteau R'ture; Amulette du Strigide; Anneau du Comte Harebourg; Alliance de Missiz Frizz; Ceinture de Brouce; Casque de Missiz Frizz; Cape au Logis; Baleinabottes; Dofus Turquoise; Dofus Pourpre; Remueur; Enragé majeur; Vigoureux majeur; Forcené majeur; Kompost</t>
        </is>
      </c>
    </row>
    <row r="32221">
      <c r="A32221" t="inlineStr">
        <is>
          <t>Stuff 3</t>
        </is>
      </c>
      <c r="B32221">
        <f>HYPERLINK("https://www.dofusbook.net/fr/equipement/545131-stuff-3/objets", "link")</f>
        <v/>
      </c>
      <c r="C32221" t="n">
        <v>0</v>
      </c>
      <c r="D32221" t="inlineStr">
        <is>
          <t>La Baguette des Limbes; Amulette de Nileza; Anneau Tamie; Bague Gloursonne; Ceinture Hanium; Calotte Spot; Cape de Nileza; Pantoufles Émar; Dofus Pourpre; Nomade; Remueur; Astucieux majeur; Érudit majeur; Vigoureux majeur; Dragodinde Prune et Orchidée</t>
        </is>
      </c>
    </row>
    <row r="32222">
      <c r="A32222" t="inlineStr">
        <is>
          <t>Stuff 1</t>
        </is>
      </c>
      <c r="B32222">
        <f>HYPERLINK("https://www.dofusbook.net/fr/equipement/545126-stuff-1/objets", "link")</f>
        <v/>
      </c>
      <c r="C32222" t="n">
        <v>0</v>
      </c>
      <c r="D32222" t="inlineStr">
        <is>
          <t>Hache Ériphe; Amulette Ementaire Deluxe; Alliance Gloursonne; Anneau Crustique; Menoture; Chapoulpe; Voile d'encre; Tentassons; Dolmanax; Dofus Pourpre; Remueur; Vigoureux majeur; Étourdisseur majeur; Obstructeur majeur; Muldo Ebène et Indigo</t>
        </is>
      </c>
    </row>
    <row r="32223">
      <c r="A32223" t="inlineStr">
        <is>
          <t>Stuff 3</t>
        </is>
      </c>
      <c r="B32223">
        <f>HYPERLINK("https://www.dofusbook.net/fr/equipement/545131-stuff-3/objets", "link")</f>
        <v/>
      </c>
      <c r="C32223" t="n">
        <v>0</v>
      </c>
      <c r="D32223" t="inlineStr">
        <is>
          <t>La Baguette des Limbes; Amulette de Nileza; Bague Gloursonne; Anneau Tamie; Ceinture Hanium; Calotte Spot; Cape de Nileza; Pantoufles Émar; Dofus Pourpre; Remueur; Astucieux majeur; Érudit majeur; Vigoureux majeur; Nomade; Dragodinde Prune et Orchidée</t>
        </is>
      </c>
    </row>
    <row r="32224">
      <c r="A32224" t="inlineStr">
        <is>
          <t>Stuff 1</t>
        </is>
      </c>
      <c r="B32224">
        <f>HYPERLINK("https://www.dofusbook.net/fr/equipement/545126-stuff-1/objets", "link")</f>
        <v/>
      </c>
      <c r="C32224" t="n">
        <v>0</v>
      </c>
      <c r="D32224" t="inlineStr">
        <is>
          <t>Hache Ériphe; Amulette Ementaire Deluxe; Alliance Gloursonne; Anneau Crustique; Menoture; Chapoulpe; Voile d'encre; Tentassons; Dolmanax; Dofus Pourpre; Remueur; Vigoureux majeur; Étourdisseur majeur; Obstructeur majeur; Muldo Ebène et Indigo</t>
        </is>
      </c>
    </row>
    <row r="32225">
      <c r="A32225" t="inlineStr">
        <is>
          <t>Stuff 2</t>
        </is>
      </c>
      <c r="B32225">
        <f>HYPERLINK("https://www.dofusbook.net/fr/equipement/545118-stuff-2/objets", "link")</f>
        <v/>
      </c>
      <c r="C32225" t="n">
        <v>0</v>
      </c>
      <c r="D32225" t="inlineStr">
        <is>
          <t>Dagues Érhy; Amulette du Strigide; Bague Gloursonne; Chevalière du Roi Joueur; Ceinture du Strigide; Chapeau de Gein; Voile d'encre; Bottes du Cycloïde; Dofus Turquoise; Dofus Pourpre; Dofus Ocre; Remueur; Vigoureux majeur; Enragé majeur; Muldo Orchidée et Pourpre</t>
        </is>
      </c>
    </row>
    <row r="32226">
      <c r="A32226" t="inlineStr">
        <is>
          <t>Stuff 2</t>
        </is>
      </c>
      <c r="B32226">
        <f>HYPERLINK("https://www.dofusbook.net/fr/equipement/545148-stuff-2/objets", "link")</f>
        <v/>
      </c>
      <c r="C32226" t="n">
        <v>0</v>
      </c>
      <c r="D32226" t="inlineStr">
        <is>
          <t>Héqache; Amulette Ementaire Deluxe; Anneau des égarés; Alliance Gloursonne; Bouclier du Stalak; Ceinture de la Reine des Voleurs; Coiffe de la Reine des Voleurs; Voile d'encre; Baleinabottes; Dofus Pourpre; Dofus des Glaces; Dofus Vulbis; Robuste majeur; Remueur; Vigoureux majeur; Kramkram</t>
        </is>
      </c>
    </row>
    <row r="32227">
      <c r="A32227" t="inlineStr">
        <is>
          <t>Stuff 3</t>
        </is>
      </c>
      <c r="B32227">
        <f>HYPERLINK("https://www.dofusbook.net/fr/equipement/545143-stuff-3/objets", "link")</f>
        <v/>
      </c>
      <c r="C32227" t="n">
        <v>0</v>
      </c>
      <c r="D32227" t="inlineStr">
        <is>
          <t>Hache Ériphe; Amulette du Cycloïde; Anneau Crustique; Anneau Crustique; Sept ans de malheur; Ceintouse; Masque de Koutoulou; Voile d'encre; Tentassons; Dofus Pourpre; Carapace Terre majeur; Paralyseur majeur; Étourdisseur majeur; Enragé majeur; Remueur; Muldo Indigo et Pourpre</t>
        </is>
      </c>
    </row>
    <row r="32228">
      <c r="A32228" t="inlineStr">
        <is>
          <t>Stuff 1</t>
        </is>
      </c>
      <c r="B32228">
        <f>HYPERLINK("https://www.dofusbook.net/fr/equipement/545138-stuff-1/objets", "link")</f>
        <v/>
      </c>
      <c r="C32228" t="n">
        <v>0</v>
      </c>
      <c r="D32228" t="inlineStr">
        <is>
          <t>Dagues du Dragoeuf; Amulette de Nileza; Anneau Tamie; Anneau Tamie; Sangle Aise; Calotte Spot; Cape de Nileza; Bottes Dogues; Dofus des Glaces; Dofus Pourpre; Saccageur Feu majeur; Érudit majeur; Dévastateur Feu majeur; Ravageur Feu majeur; Brûlih</t>
        </is>
      </c>
    </row>
    <row r="32229">
      <c r="A32229" t="inlineStr">
        <is>
          <t>Stuff 2</t>
        </is>
      </c>
      <c r="B32229">
        <f>HYPERLINK("https://www.dofusbook.net/fr/equipement/545133-stuff-2/objets", "link")</f>
        <v/>
      </c>
      <c r="C32229" t="n">
        <v>0</v>
      </c>
      <c r="D32229" t="inlineStr">
        <is>
          <t>Marteau R'ture; Amulette du Glourséleste; Anneau Tamie; Pikano; Ceinture Instable; Casquipik; Cape de Léthaline; Pantoufles Émar; Temporiseur majeur; Remueur; Ralentisseur majeur; Entraveur; Entraveur majeur; Temporiseur; Dragoune Rose</t>
        </is>
      </c>
    </row>
    <row r="32230">
      <c r="A32230" t="inlineStr">
        <is>
          <t>Stuff 3</t>
        </is>
      </c>
      <c r="B32230">
        <f>HYPERLINK("https://www.dofusbook.net/fr/equipement/545128-stuff-3/objets", "link")</f>
        <v/>
      </c>
      <c r="C32230" t="n">
        <v>0</v>
      </c>
      <c r="D32230" t="inlineStr">
        <is>
          <t>Dagoulinantes; Amulette de Shokkoth; Bracelet des Fonds marins; Alliance Gloursonne; Quatre-feuilles; Ceinture de la Reine des Voleurs; Kidibonnet; Cape du Sinistrofu; Bottes de la Reine des Voleurs; Dofus Pourpre; Remueur; Vigoureux majeur; Chanceux majeur; Taquin majeur; Nomade; Kramkram</t>
        </is>
      </c>
    </row>
    <row r="32231">
      <c r="A32231" t="inlineStr">
        <is>
          <t>Stuff 1</t>
        </is>
      </c>
      <c r="B32231">
        <f>HYPERLINK("https://www.dofusbook.net/fr/equipement/545123-stuff-1/objets", "link")</f>
        <v/>
      </c>
      <c r="C32231" t="n">
        <v>0</v>
      </c>
      <c r="D32231" t="inlineStr">
        <is>
          <t>Pelle de la Cour Sombre; Collier du Valet Veinard; Alliance Gloursonne; Gant du Valet Veinard; Menoture; Dorabysses; Cape Indescriptible; Bottes de la Reine des Voleurs; Dofus Pourpre; Remueur; Carapace Air majeur; Cascadeur majeur; Equilibriste majeur; Nomade; Kramkram</t>
        </is>
      </c>
    </row>
    <row r="32232">
      <c r="A32232" t="inlineStr">
        <is>
          <t>Stuff 2</t>
        </is>
      </c>
      <c r="B32232">
        <f>HYPERLINK("https://www.dofusbook.net/fr/equipement/545145-stuff-2/objets", "link")</f>
        <v/>
      </c>
      <c r="C32232" t="n">
        <v>0</v>
      </c>
      <c r="D32232" t="inlineStr">
        <is>
          <t>Plumeau Bil; Amulette de Nileza; Bague Gloursonne; Anneau Tique; Ceinture de Vortex; Cagoule de Vortex; Voile d'encre; Pataugastrique; Dolmanax; Dofus Pourpre; Carapace Neutre majeur; Érudit majeur; Remueur; Nomade; Muldo Orchidée et Pourpre</t>
        </is>
      </c>
    </row>
    <row r="32233">
      <c r="A32233" t="inlineStr">
        <is>
          <t>air</t>
        </is>
      </c>
      <c r="B32233">
        <f>HYPERLINK("https://www.dofusbook.net/fr/equipement/2950062-air/objets", "link")</f>
        <v/>
      </c>
      <c r="C32233" t="n">
        <v>12</v>
      </c>
      <c r="D32233" t="inlineStr">
        <is>
          <t>Pelle de la Cour Sombre; Collier du Valet Veinard; Gant du Valet Veinard; Alliance Gloursonne; Bouclier du Stalak; Ceinture de Vortex; Couronne d'Allister; Cape du Kamasterisk; Pantoufles Émar; Dofus des Glaces; Dofus Pourpre; Remueur; Dévastateur Air majeur; Nomade; Cascadeur majeur; Dragodinde Amande et Ivoire</t>
        </is>
      </c>
    </row>
    <row r="32234">
      <c r="A32234" t="inlineStr">
        <is>
          <t>air manthache</t>
        </is>
      </c>
      <c r="B32234">
        <f>HYPERLINK("https://www.dofusbook.net/fr/equipement/4367560-air-manthache/objets", "link")</f>
        <v/>
      </c>
      <c r="C32234" t="n">
        <v>3</v>
      </c>
      <c r="D32234" t="inlineStr">
        <is>
          <t>Manthache; Collier du Valet Veinard; Gant du Valet Veinard; Alliance Gloursonne; Bouclier du Stalak; Ceinture de Vortex; Couronne d'Allister; Cape Martegel; Pantoufles Émar; Dofus Pourpre; Dofus des Glaces; Dévastateur Air majeur; Nomade; Cascadeur majeur; Remueur; Dragodinde Amande et Ivoire</t>
        </is>
      </c>
    </row>
    <row r="32235">
      <c r="A32235" t="inlineStr">
        <is>
          <t>terre</t>
        </is>
      </c>
      <c r="B32235">
        <f>HYPERLINK("https://www.dofusbook.net/fr/equipement/3781860-terre/objets", "link")</f>
        <v/>
      </c>
      <c r="C32235" t="n">
        <v>4</v>
      </c>
      <c r="D32235" t="inlineStr">
        <is>
          <t>Arc du Chalœil; Amulette de Gein; Anneau Chevelu; Anneau Crustique; Bouclier du Stalak; Ceinture de la Reine des Voleurs; Masque de Koutoulou; Cape au Logis; Bottes du Cœur Saignant; Dofus des Glaces; Dofus Pourpre; Remueur; Carapace Terre majeur; Dévastateur Terre majeur; Enragé majeur; Bulbisou</t>
        </is>
      </c>
    </row>
    <row r="32236">
      <c r="A32236" t="inlineStr">
        <is>
          <t>feu air</t>
        </is>
      </c>
      <c r="B32236">
        <f>HYPERLINK("https://www.dofusbook.net/fr/equipement/2969558-feu-air-/objets", "link")</f>
        <v/>
      </c>
      <c r="C32236" t="n">
        <v>2</v>
      </c>
      <c r="D32236" t="inlineStr">
        <is>
          <t>Baguette Range; Pendentif mignon de Koutoulou; Alliance Gloursonne; Anneau Tique; Bouclier du Stalak; Ceinture de Vortex; Casque Cyclopéen; Cape Martegel; Pantoufles Émar; Dofus Pourpre; Dofus des Glaces; Nomade; Vigoureux majeur; Sanguinaire majeur; Remueur; Dragodinde Amande et Ivoire</t>
        </is>
      </c>
    </row>
    <row r="32237">
      <c r="A32237" t="inlineStr">
        <is>
          <t>feu</t>
        </is>
      </c>
      <c r="B32237">
        <f>HYPERLINK("https://www.dofusbook.net/fr/equipement/1056645-feu-/objets", "link")</f>
        <v/>
      </c>
      <c r="C32237" t="n">
        <v>4</v>
      </c>
      <c r="D32237" t="inlineStr">
        <is>
          <t>Arc corrompu; Amulette de Nileza; Anneauræus; Anneauræus; Bouclier du Stalak; Ceinture de Vortex; Heaume Oplate; Cape de Nileza; Chaussures Ardentes; Dofus des Glaces; Dofus Pourpre; Dévastateur Feu majeur; Nomade; Érudit majeur; Remueur; Bisouglours</t>
        </is>
      </c>
    </row>
    <row r="32238">
      <c r="A32238" t="inlineStr">
        <is>
          <t>eau air</t>
        </is>
      </c>
      <c r="B32238">
        <f>HYPERLINK("https://www.dofusbook.net/fr/equipement/215982-eau-air/objets", "link")</f>
        <v/>
      </c>
      <c r="C32238" t="n">
        <v>7</v>
      </c>
      <c r="D32238" t="inlineStr">
        <is>
          <t>Arc de Koutoulou; Amulette Voldelor; Anneau Tique; Alliance Gloursonne; Bouclier du Stalak; Ceinture Voldelor; Casque d'Ilyzaelle; Cape Matelassée; Chaussures Face; Dofus Pourpre; Dofus des Glaces; Carapace Air majeur; Sanguinaire majeur; Remueur; Nomade; Dragodinde Amande et Ivoire</t>
        </is>
      </c>
    </row>
    <row r="32239">
      <c r="A32239" t="inlineStr">
        <is>
          <t>feueau11/6</t>
        </is>
      </c>
      <c r="B32239">
        <f>HYPERLINK("https://www.dofusbook.net/fr/equipement/3814516-feueau11-6/objets", "link")</f>
        <v/>
      </c>
      <c r="C32239" t="n">
        <v>4</v>
      </c>
      <c r="D32239" t="inlineStr">
        <is>
          <t>Pyraguette; Talisman Igans; Alliance Gloursonne; Lavanneau; Bouclier du Stalak; Ceinture de l'Esprit Salvateur; Heaume Oplate; Cape de Meno; Bottes Owesli; Dofus Pourpre; Dofus des Glaces; Remueur; Nomade; Carapace Feu majeur; Sanguinaire majeur; Dragodinde Amande et Ivoire</t>
        </is>
      </c>
    </row>
    <row r="32240">
      <c r="A32240" t="inlineStr">
        <is>
          <t>feuparcher</t>
        </is>
      </c>
      <c r="B32240">
        <f>HYPERLINK("https://www.dofusbook.net/fr/equipement/4290529-feuparcher/objets", "link")</f>
        <v/>
      </c>
      <c r="C32240" t="n">
        <v>1</v>
      </c>
      <c r="D32240" t="inlineStr">
        <is>
          <t>Arc Hétype; Amulette de Nileza; Anneau Tamie; Anneau Tamie; Cadran de Terre; Sangle Aise; Heaume Oplate; Cape de Nileza; Chaussures Ardentes; Astucieux majeur; Remueur; Dévastateur Feu majeur; Nomade; Érudit majeur; Saccageur Feu majeur; Bisouglours</t>
        </is>
      </c>
    </row>
    <row r="32241">
      <c r="A32241" t="inlineStr">
        <is>
          <t>feu</t>
        </is>
      </c>
      <c r="B32241">
        <f>HYPERLINK("https://www.dofusbook.net/fr/equipement/3436871-feu/objets", "link")</f>
        <v/>
      </c>
      <c r="C32241" t="n">
        <v>0</v>
      </c>
      <c r="D32241" t="inlineStr">
        <is>
          <t>Plumeau Bil; Talisman Igans; Anneau de Nidas; Bague Gloursonne; Bouclier du Stalak; Ceinture de Vortex; Cagoule de Vortex; Voile d'encre; Pataugastrique; Dofus Pourpre; Dofus des Glaces; Dofus Abyssal; Dofus Ocre; Érudit majeur; Nomade; Brûlih</t>
        </is>
      </c>
    </row>
    <row r="32242">
      <c r="A32242" t="inlineStr">
        <is>
          <t>terrecc</t>
        </is>
      </c>
      <c r="B32242">
        <f>HYPERLINK("https://www.dofusbook.net/fr/equipement/3433130-terrecc/objets", "link")</f>
        <v/>
      </c>
      <c r="C32242" t="n">
        <v>1</v>
      </c>
      <c r="D32242" t="inlineStr">
        <is>
          <t>Hache Téroïde; Amulette du Strigide; Bague Trithon; Bague Gloursonne; Bouclier Taverne; Ceinture du Strigide; Masque Trithon; Cape au Logis; Bottes Trithon; Dofus Turquoise; Dofus Ivoire; Dolmanax; Dofus Ocre; Dofus Pourpre; Dofus des Glaces; Kokulte</t>
        </is>
      </c>
    </row>
    <row r="32243">
      <c r="A32243" t="inlineStr">
        <is>
          <t>Pouplie</t>
        </is>
      </c>
      <c r="B32243">
        <f>HYPERLINK("https://www.dofusbook.net/fr/equipement/329864-pouplie/objets", "link")</f>
        <v/>
      </c>
      <c r="C32243" t="n">
        <v>0</v>
      </c>
      <c r="D32243" t="inlineStr">
        <is>
          <t>Lav'Hache; Amulette du Strigide; Alliance Gloursonne; Anneau Crustique; Sept ans de malheur; Menoture; Chapoulpe; Voile d'encre; Tentassons; Dofus des Glaces; Dofus Pourpre; Dofus Ocre; Étourdisseur majeur; Obstructeur majeur; Nomade; Dragodinde Ivoire et Pourpre</t>
        </is>
      </c>
    </row>
    <row r="32244">
      <c r="A32244" t="inlineStr">
        <is>
          <t>Brulame</t>
        </is>
      </c>
      <c r="B32244">
        <f>HYPERLINK("https://www.dofusbook.net/fr/equipement/3433284-brulame/objets", "link")</f>
        <v/>
      </c>
      <c r="C32244" t="n">
        <v>1</v>
      </c>
      <c r="D32244" t="inlineStr">
        <is>
          <t>Épée Brûlâme; Amulette du Strigide; Bague Gloursonne; Alliance Gloursonne; Bouclier Taverne; Ceinture du Strigide; Kidibonnet; Cape de la Dame du Hasard; Bottes de la Dame du Hasard; Dofus Ocre; Dofus Abyssal; Dofus Turquoise; Dofus Ivoire; Dofus des Glaces; Muldo Indigo et Orchidée</t>
        </is>
      </c>
    </row>
    <row r="32245">
      <c r="A32245" t="inlineStr">
        <is>
          <t>Poupliedeux</t>
        </is>
      </c>
      <c r="B32245">
        <f>HYPERLINK("https://www.dofusbook.net/fr/equipement/3827070-poupliedeux/objets", "link")</f>
        <v/>
      </c>
      <c r="C32245" t="n">
        <v>0</v>
      </c>
      <c r="D32245" t="inlineStr">
        <is>
          <t>Lav'Hache; Amulette du Strigide; Anneau Crustique; Anneau Crustique; Sept ans de malheur; Ceintouse; Masque de Koutoulou; Cape au Logis; Tentassons; Dofus des Glaces; Dofus Pourpre; Dofus Ivoire; Dofus Ocre; Étourdisseur majeur; Obstructeur majeur; Drakopin</t>
        </is>
      </c>
    </row>
    <row r="32246">
      <c r="A32246" t="inlineStr">
        <is>
          <t>eau DWS</t>
        </is>
      </c>
      <c r="B32246">
        <f>HYPERLINK("https://www.dofusbook.net/fr/equipement/3449063-eau-dws/objets", "link")</f>
        <v/>
      </c>
      <c r="C32246" t="n">
        <v>3</v>
      </c>
      <c r="D32246" t="inlineStr">
        <is>
          <t>Arc de Koutoulou; Amulette de Shokkoth; Alliance Gloursonne; Bracelet des Fonds marins; Bouclier du Stalak; Poulpagne; Capuche de l'Œil Attentif; Cape de l'Œil Attentif; Bottes du Sinistrofu; Dofus Pourpre; Dofus des Glaces; Dofus Ivoire; Dofus Ocre; Chanceux majeur; Nomade; Bwak d'Eau</t>
        </is>
      </c>
    </row>
    <row r="32247">
      <c r="A32247" t="inlineStr">
        <is>
          <t>oldmulti</t>
        </is>
      </c>
      <c r="B32247">
        <f>HYPERLINK("https://www.dofusbook.net/fr/equipement/1855481-oldmulti/objets", "link")</f>
        <v/>
      </c>
      <c r="C32247" t="n">
        <v>0</v>
      </c>
      <c r="D32247" t="inlineStr">
        <is>
          <t>Marteau des Anciens Steamers; Amulette du Strigide; Bracelet du Piloztère; Alliance Gloursonne; Bouclier Taverne; Menoture; Coiffe de la Reine des Voleurs; Voile d'encre; Bottes de la Reine des Voleurs; Dofus Ocre; Dofus Pourpre; Dofus des Glaces; Dofus Abyssal; Dofus Turquoise; Nomade; Kramkram</t>
        </is>
      </c>
    </row>
    <row r="32248">
      <c r="A32248" t="inlineStr">
        <is>
          <t>fullo</t>
        </is>
      </c>
      <c r="B32248">
        <f>HYPERLINK("https://www.dofusbook.net/fr/equipement/591542-fullo/objets", "link")</f>
        <v/>
      </c>
      <c r="C32248" t="n">
        <v>0</v>
      </c>
      <c r="D32248" t="inlineStr"/>
    </row>
    <row r="32249">
      <c r="A32249" t="inlineStr">
        <is>
          <t>kikouterre</t>
        </is>
      </c>
      <c r="B32249">
        <f>HYPERLINK("https://www.dofusbook.net/fr/equipement/558680-kikouterre/objets", "link")</f>
        <v/>
      </c>
      <c r="C32249" t="n">
        <v>0</v>
      </c>
      <c r="D32249" t="inlineStr">
        <is>
          <t>Bêche Asse; Kralamansion; Anneau de Brouce; Masque de Koutoulou; Cape au Logis; Dofus des Glaces; Dofus Turquoise; Vigoureux majeur; Forcené majeur; Enragé majeur; Remueur; Muldo Prune et Emeraude</t>
        </is>
      </c>
    </row>
    <row r="32250">
      <c r="A32250" t="inlineStr">
        <is>
          <t>iopettesterlingun</t>
        </is>
      </c>
      <c r="B32250">
        <f>HYPERLINK("https://www.dofusbook.net/fr/equipement/520719-iopettesterlingun/objets", "link")</f>
        <v/>
      </c>
      <c r="C32250" t="n">
        <v>0</v>
      </c>
      <c r="D32250" t="inlineStr">
        <is>
          <t>Dagues Érhy; Amulette du Strigide; Bague Gloursonne; Chevalière du Roi Joueur; Ceinture de Gein; Chapeau de Gein; Cape du Professeur Xa; Bottes du Chalœil; Dofus Pourpre; Dofus Émeraude; Dofus Ocre; Dofus Turquoise; Vigoureux majeur; Remueur; Muldo Prune et Emeraude</t>
        </is>
      </c>
    </row>
    <row r="32251">
      <c r="A32251" t="inlineStr">
        <is>
          <t>gfhjcdfgj</t>
        </is>
      </c>
      <c r="B32251">
        <f>HYPERLINK("https://www.dofusbook.net/fr/equipement/517832-gfhjcdfgj/objets", "link")</f>
        <v/>
      </c>
      <c r="C32251" t="n">
        <v>0</v>
      </c>
      <c r="D32251" t="inlineStr">
        <is>
          <t>Dagues de Srambad; Amulette du Strigide; Pikano; Alliance Gloursonne; Ceinture de la Reine des Voleurs; Kidibonnet; Cape au Logis; Bottes de la Reine des Voleurs; Dofus Émeraude; Dofus Pourpre; Nomade; Robuste majeur; Remueur; Vigoureux majeur; Kramkram</t>
        </is>
      </c>
    </row>
    <row r="32252">
      <c r="A32252" t="inlineStr">
        <is>
          <t>Stuff 1</t>
        </is>
      </c>
      <c r="B32252">
        <f>HYPERLINK("https://www.dofusbook.net/fr/equipement/329867-stuff-1/objets", "link")</f>
        <v/>
      </c>
      <c r="C32252" t="n">
        <v>0</v>
      </c>
      <c r="D32252" t="inlineStr">
        <is>
          <t>Epée Gloursonne; Amulette du Strigide; Alliance Gloursonne; Bague Gloursonne; Ceinture du Strigide; Bonnet Ko; Voile d'encre; Bottes du Strigide; Dofus des Glaces; Dofus Turquoise; Dofus Pourpre; Ralentisseur majeur; Entraveur majeur; Vagabond majeur; Dragodinde Prune et Emeraude</t>
        </is>
      </c>
    </row>
    <row r="32253">
      <c r="A32253" t="inlineStr">
        <is>
          <t>Stuff 1</t>
        </is>
      </c>
      <c r="B32253">
        <f>HYPERLINK("https://www.dofusbook.net/fr/equipement/329872-stuff-1/objets", "link")</f>
        <v/>
      </c>
      <c r="C32253" t="n">
        <v>0</v>
      </c>
      <c r="D32253" t="inlineStr">
        <is>
          <t>Dagues Érhy; Amulette du Strigide; Bracelet du Piloztère; Bague Gloursonne; Ceinture de Gein; Chapeau de Gein; Voile d'encre; Bottes du Cycloïde; Dofus Ocre; Dofus Pourpre; Dofus Turquoise; Dofus des Glaces; Remueur; Nomade; Kwaltess</t>
        </is>
      </c>
    </row>
    <row r="32254">
      <c r="A32254" t="inlineStr">
        <is>
          <t>Stuff 2</t>
        </is>
      </c>
      <c r="B32254">
        <f>HYPERLINK("https://www.dofusbook.net/fr/equipement/329856-stuff-2/objets", "link")</f>
        <v/>
      </c>
      <c r="C32254" t="n">
        <v>0</v>
      </c>
      <c r="D32254" t="inlineStr">
        <is>
          <t>Hache du Chalœil; Amulette du Strigide; Bracelet du Piloztère; Alliance Gloursonne; Ceintacé; Coiffe du Lévitrof; Voile d'encre; Bottes du Strigide; Dofus des Glaces; Dofus Pourpre; Dofus Turquoise; Vigoureux majeur; Remueur; Nomade; Dragodinde en armure</t>
        </is>
      </c>
    </row>
    <row r="32255">
      <c r="A32255" t="inlineStr">
        <is>
          <t>Stuff 3</t>
        </is>
      </c>
      <c r="B32255">
        <f>HYPERLINK("https://www.dofusbook.net/fr/equipement/329874-stuff-3/objets", "link")</f>
        <v/>
      </c>
      <c r="C32255" t="n">
        <v>0</v>
      </c>
      <c r="D32255" t="inlineStr">
        <is>
          <t>Dagues Érhy; Amulette du Strigide; Bague Gloursonne; Bracelet du Piloztère; Ceinture du Strigide; Coiffe de la Reine des Voleurs; Voile d'encre; Bottes du Chalœil; Dofus Pourpre; Dofus Turquoise; Dofus des Glaces; Dofus Ocre; Nomade; Remueur; Kwaltess</t>
        </is>
      </c>
    </row>
    <row r="32256">
      <c r="A32256" t="inlineStr">
        <is>
          <t>Stuff 2</t>
        </is>
      </c>
      <c r="B32256">
        <f>HYPERLINK("https://www.dofusbook.net/fr/equipement/329868-stuff-2/objets", "link")</f>
        <v/>
      </c>
      <c r="C32256" t="n">
        <v>0</v>
      </c>
      <c r="D32256" t="inlineStr">
        <is>
          <t>Dagues Érhy; Amulette du Glourséleste; Bague Gloursonne; Alliance Gloursonne; Ceinture du Strigide; Coiffe de la Reine des Voleurs; Voile d'encre; Sabots Minables; Dofus Pourpre; Dofus des Glaces; Dofus Turquoise; Vigoureux majeur; Remueur; Temporiseur majeur</t>
        </is>
      </c>
    </row>
    <row r="32257">
      <c r="A32257" t="inlineStr">
        <is>
          <t>Stuff 1</t>
        </is>
      </c>
      <c r="B32257">
        <f>HYPERLINK("https://www.dofusbook.net/fr/equipement/329855-stuff-1/objets", "link")</f>
        <v/>
      </c>
      <c r="C32257" t="n">
        <v>0</v>
      </c>
      <c r="D32257" t="inlineStr">
        <is>
          <t>Dagues de Srambad; Amulette de Pol Ouatnos; Alliance du Lévitrof; Bracelet du Piloztère; Ceinture de la Reine des Voleurs; Coiffe de la Reine des Voleurs; Voile d'encre; Bottes de la Reine des Voleurs; Dofus Ocre; Dofus des Glaces; Dofus Pourpre; Robuste majeur; Féroce majeur; Joueur majeur; Pioute violet</t>
        </is>
      </c>
    </row>
    <row r="32258">
      <c r="A32258" t="inlineStr">
        <is>
          <t>Stuff 2</t>
        </is>
      </c>
      <c r="B32258">
        <f>HYPERLINK("https://www.dofusbook.net/fr/equipement/329873-stuff-2/objets", "link")</f>
        <v/>
      </c>
      <c r="C32258" t="n">
        <v>0</v>
      </c>
      <c r="D32258" t="inlineStr">
        <is>
          <t>Dagues Érhy; Amulette du Strigide; Bracelet du Piloztère; Bague Gloursonne; Ceinture de Gein; Masque du Katcheur; Voile d'encre; Bottes du Katcheur; Dofus Ocre; Dofus Pourpre; Dofus Turquoise; Dofus des Glaces; Nomade; Remueur; Kwaltess</t>
        </is>
      </c>
    </row>
    <row r="32259">
      <c r="A32259" t="inlineStr">
        <is>
          <t>Stuff 3</t>
        </is>
      </c>
      <c r="B32259">
        <f>HYPERLINK("https://www.dofusbook.net/fr/equipement/329857-stuff-3/objets", "link")</f>
        <v/>
      </c>
      <c r="C32259" t="n">
        <v>0</v>
      </c>
      <c r="D32259" t="inlineStr">
        <is>
          <t>Plumeau Bil; Amulette d'Otomaï; Bague Gloursonne; Anneau de Nidas; Ceinture de Gein; Couronne de Nidas; Voile d'encre; Pataugastrique; Dofus des Glaces; Dofus Émeraude; Dofus Pourpre; Remueur; Dévastateur Feu majeur; Nomade; Dragodinde en armure</t>
        </is>
      </c>
    </row>
    <row r="32260">
      <c r="A32260" t="inlineStr">
        <is>
          <t>Terre/Do pou</t>
        </is>
      </c>
      <c r="B32260">
        <f>HYPERLINK("https://www.dofusbook.net/fr/equipement/3970338-terre-do-pou/objets", "link")</f>
        <v/>
      </c>
      <c r="C32260" t="n">
        <v>10</v>
      </c>
      <c r="D32260" t="inlineStr">
        <is>
          <t>Lav'Hache; Amulette Luminescente; Anneau Chevelu; Bague Trithon; Bouclier Taverne; Ceinture Gence; Casque Dragoeuf; Cape au Logis; Bottes Trithon; Dofus Abyssal; Dofus Ivoire; Dofus Pourpre; Dofus Ocre; Bousculeur majeur; Culbuteur majeur; Black Tiwabbit</t>
        </is>
      </c>
    </row>
    <row r="32261">
      <c r="A32261" t="inlineStr">
        <is>
          <t>DO DAMAGE BRO</t>
        </is>
      </c>
      <c r="B32261">
        <f>HYPERLINK("https://www.dofusbook.net/fr/equipement/3947695-do-damage-bro/objets", "link")</f>
        <v/>
      </c>
      <c r="C32261" t="n">
        <v>1</v>
      </c>
      <c r="D32261" t="inlineStr">
        <is>
          <t>Dagoulinantes; Collier de la Dame du Hasard; Alliance Gloursonne; Anneau Volkorne; Bouclier du Stalak; Sangle Ouare; Casque Dragoeuf; Cape Solution; Bottes de la Dame du Hasard; Dofus des Glaces; Dofus Ocre; Dofus Abyssal; Dofus Turquoise; Dofus Ivoire; Dofus Pourpre; Pioute bleu</t>
        </is>
      </c>
    </row>
    <row r="32262">
      <c r="A32262" t="inlineStr">
        <is>
          <t>Eau/retrait</t>
        </is>
      </c>
      <c r="B32262">
        <f>HYPERLINK("https://www.dofusbook.net/fr/equipement/3914216-eau-retrait/objets", "link")</f>
        <v/>
      </c>
      <c r="C32262" t="n">
        <v>8</v>
      </c>
      <c r="D32262" t="inlineStr">
        <is>
          <t>Dagoulinantes; Amulette de Shokkoth; Alliance Gloursonne; Bracelet des Fonds marins; Cadran de Terre; Culotte de Bethel; Casque Dragoeuf; Cape Solution; Chaussons de Macrab; Dofus Ivoire; Dofus Abyssal; Dofus Ocre; Nomade; Étourdisseur majeur; Kouin-Kouin Noir</t>
        </is>
      </c>
    </row>
    <row r="32263">
      <c r="A32263" t="inlineStr">
        <is>
          <t>Feu</t>
        </is>
      </c>
      <c r="B32263">
        <f>HYPERLINK("https://www.dofusbook.net/fr/equipement/3724184-feu/objets", "link")</f>
        <v/>
      </c>
      <c r="C32263" t="n">
        <v>0</v>
      </c>
      <c r="D32263" t="inlineStr">
        <is>
          <t>Arc corrompu; Pendentif mignon de Koutoulou; Anneauræus; Anneauræus; Bouclier du Stalak; Ceinture de Gein; Casque Cyclopéen; Cape de Diondin; Bottes Innommables; Dofus Abyssal; Dofus Ivoire; Dofus Pourpre; Dofus Ocre; Nomade; Érudit majeur; Kramkram</t>
        </is>
      </c>
    </row>
    <row r="32264">
      <c r="A32264" t="inlineStr">
        <is>
          <t>Terre</t>
        </is>
      </c>
      <c r="B32264">
        <f>HYPERLINK("https://www.dofusbook.net/fr/equipement/3719875-terre/objets", "link")</f>
        <v/>
      </c>
      <c r="C32264" t="n">
        <v>3</v>
      </c>
      <c r="D32264" t="inlineStr">
        <is>
          <t>Marteau R'ture; Collier de Tourthon; Anneau de Brouce; Bracelet du Piloztère; Cadran d'Eau; Ceinture de la Reine des Voleurs; Coiffe de la Reine des Voleurs; Cape au Logis; Baleinabottes; Dofus Abyssal; Dofus Nébuleux; Dofus Ivoire; Dofus Pourpre; Dofus Ocre; Enragé majeur; Kramkram</t>
        </is>
      </c>
    </row>
    <row r="32265">
      <c r="A32265" t="inlineStr">
        <is>
          <t>Air</t>
        </is>
      </c>
      <c r="B32265">
        <f>HYPERLINK("https://www.dofusbook.net/fr/equipement/3724123-air/objets", "link")</f>
        <v/>
      </c>
      <c r="C32265" t="n">
        <v>1</v>
      </c>
      <c r="D32265" t="inlineStr">
        <is>
          <t>Pelle de la Cour Sombre; Collier du Valet Veinard; Alliance Gloursonne; Gant du Valet Veinard; Bouclier du Stalak; Menoture; Dorabysses; Cape Indescriptible; Palmes Trithons; Dofus Abyssal; Dofus Ivoire; Dofus Ocre; Dofus Pourpre; Cascadeur majeur; Nomade; Croum</t>
        </is>
      </c>
    </row>
    <row r="32266">
      <c r="A32266" t="inlineStr">
        <is>
          <t>Crocobur</t>
        </is>
      </c>
      <c r="B32266">
        <f>HYPERLINK("https://www.dofusbook.net/fr/equipement/4908636-crocobur/objets", "link")</f>
        <v/>
      </c>
      <c r="C32266" t="n">
        <v>0</v>
      </c>
      <c r="D32266" t="inlineStr">
        <is>
          <t>Crocobur; Amulette du Strigide; Anneau Volkorne; Anneau Volkorne; Ceinture Volkorne; Casque Volkorne; Bottes du Strigide; Dofus Turquoise; Dofus des Glaces; Dolmanax; Dofus Ocre; Dofus Émeraude; Dofus Ivoire</t>
        </is>
      </c>
    </row>
    <row r="32267">
      <c r="A32267" t="inlineStr">
        <is>
          <t>Egarés</t>
        </is>
      </c>
      <c r="B32267">
        <f>HYPERLINK("https://www.dofusbook.net/fr/equipement/4082168-egares/objets", "link")</f>
        <v/>
      </c>
      <c r="C32267" t="n">
        <v>0</v>
      </c>
      <c r="D32267" t="inlineStr">
        <is>
          <t>Marteau des égarés; Amulette du Strigide; Bague Gloursonne; Anneau Volkorne; Bouclier du Captain Amakna; Ceinture du Strigide; Casque Volkorne; Dofusteuse; Bottes du Strigide; Dofus Turquoise; Dofus Ocre; Dofus des Glaces; Dofus Pourpre; Dolmanax; Dofus Émeraude; Muldo Prune et Pourpre</t>
        </is>
      </c>
    </row>
    <row r="32268">
      <c r="A32268" t="inlineStr">
        <is>
          <t>DO POU</t>
        </is>
      </c>
      <c r="B32268">
        <f>HYPERLINK("https://www.dofusbook.net/fr/equipement/4760118-do-pou/objets", "link")</f>
        <v/>
      </c>
      <c r="C32268" t="n">
        <v>1</v>
      </c>
      <c r="D32268" t="inlineStr">
        <is>
          <t>Hache Euvale; Amulette d'Oshimo; Goulano; Alliance du Lévitrof; Bouclier précieux; Ceinture Luminescente; Casque en Grithril; Cape Luminescente; Bottes Honyme; Dolmanax; Dofus Ivoire; Dofus Ocre; Culbuteur majeur; Pousseur majeur; Carapace Eau majeur; Balafreux</t>
        </is>
      </c>
    </row>
    <row r="32269">
      <c r="A32269" t="inlineStr">
        <is>
          <t>F/E/A</t>
        </is>
      </c>
      <c r="B32269">
        <f>HYPERLINK("https://www.dofusbook.net/fr/equipement/3577751-f-e-a/objets", "link")</f>
        <v/>
      </c>
      <c r="C32269" t="n">
        <v>0</v>
      </c>
      <c r="D32269" t="inlineStr">
        <is>
          <t>Sabres d'Atcham; Amulette de l'Œil Putride; Alliance Gloursonne; Bague Gloursonne; Bouclier cubiste; Ceinture de Kongoku; Capuche de l'Œil Putride; Cape d'Atcham; Sandales  d'Atcham; Dofus Turquoise; Dofus Ocre; Dolmanax; Dofus Pourpre; Dofus des Glaces; Examinateur; Muldo Prune et Ebène</t>
        </is>
      </c>
    </row>
    <row r="32270">
      <c r="A32270" t="inlineStr">
        <is>
          <t>Enutrof M 200</t>
        </is>
      </c>
      <c r="B32270">
        <f>HYPERLINK("https://www.dofusbook.net/fr/equipement/5964807-enutrof-m-200/objets", "link")</f>
        <v/>
      </c>
      <c r="C32270" t="n">
        <v>0</v>
      </c>
      <c r="D32270" t="inlineStr">
        <is>
          <t>Hache à Lamelles; Kralamansion; Annolamour; Kralano; Tranche des Sous-bois; Capuche Souveraine du Roissingue; Cape Souveraine du Roissingue; Bottines des sous-bois; Nomoon</t>
        </is>
      </c>
    </row>
    <row r="32271">
      <c r="A32271" t="inlineStr">
        <is>
          <t>MONO EAU 2</t>
        </is>
      </c>
      <c r="B32271">
        <f>HYPERLINK("https://www.dofusbook.net/fr/equipement/3314551-mono-eau-2/objets", "link")</f>
        <v/>
      </c>
      <c r="C32271" t="n">
        <v>0</v>
      </c>
      <c r="D32271" t="inlineStr">
        <is>
          <t>Baguette Hique; Amulette du Strigide; Anneau Tique; Alliance Gloursonne; Quatre-feuilles; Ceinture du Strigide; Kidibonnet; Cape de la Dame du Hasard; Bottes du Sinistrofu; Dofus Ivoire; Dofus Pourpre; Dofus Turquoise; Dofus Ocre; Dofus Nébuleux; Chanceux majeur; Muldo Indigo et Orchidée</t>
        </is>
      </c>
    </row>
    <row r="32272">
      <c r="A32272" t="inlineStr">
        <is>
          <t>BI TERRE EAU</t>
        </is>
      </c>
      <c r="B32272">
        <f>HYPERLINK("https://www.dofusbook.net/fr/equipement/3096838-bi-terre-eau/objets", "link")</f>
        <v/>
      </c>
      <c r="C32272" t="n">
        <v>1</v>
      </c>
      <c r="D32272" t="inlineStr">
        <is>
          <t>Épouvante; Amulette du Strigide; Anneau Chevelu; Pikano; Bouclier du Captain Amakna; Ceinture du Strigide; Casque de Missiz Frizz; Voile d'encre; Chaussons de Macrab; Dofus Pourpre; Dofus Ivoire; Dofus Turquoise; Dofus Ocre; Dofus Nébuleux; Remueur; Muldo Indigo et Orchidée</t>
        </is>
      </c>
    </row>
    <row r="32273">
      <c r="A32273" t="inlineStr">
        <is>
          <t>BI FEU AIR</t>
        </is>
      </c>
      <c r="B32273">
        <f>HYPERLINK("https://www.dofusbook.net/fr/equipement/3235500-bi-feu-air/objets", "link")</f>
        <v/>
      </c>
      <c r="C32273" t="n">
        <v>1</v>
      </c>
      <c r="D32273" t="inlineStr">
        <is>
          <t>Canne Harr; Amulette du Strigide; Anneau Tique; Alliance Gloursonne; Bouclier du Captain Amakna; Ceinture du Strigide; Coiffe de Padgref; Cape de la Dame du Hasard; Pompes Funèbres; Dofus Pourpre; Dofus Nébuleux; Dofus Ivoire; Dofus Turquoise; Dofus Ocre; Remueur; Muldo Indigo et Orchidée</t>
        </is>
      </c>
    </row>
    <row r="32274">
      <c r="A32274" t="inlineStr">
        <is>
          <t>TRI TERRE EAU FEU</t>
        </is>
      </c>
      <c r="B32274">
        <f>HYPERLINK("https://www.dofusbook.net/fr/equipement/3096840-tri-terre-eau-feu/objets", "link")</f>
        <v/>
      </c>
      <c r="C32274" t="n">
        <v>0</v>
      </c>
      <c r="D32274" t="inlineStr">
        <is>
          <t>Hache du Chalœil; Amulette du Strigide; Anneau Chevelu; Goulano; Bouclier du Captain Amakna; Ceinture du Strigide; Casque de Missiz Frizz; Voile d'encre; Chaussures Hau; Dofus Ocre; Dofus Nébuleux; Dofus Ivoire; Dofus Pourpre; Dofus Turquoise; Remueur; Muldo Indigo et Orchidée</t>
        </is>
      </c>
    </row>
    <row r="32275">
      <c r="A32275" t="inlineStr">
        <is>
          <t>BI EAU FEU</t>
        </is>
      </c>
      <c r="B32275">
        <f>HYPERLINK("https://www.dofusbook.net/fr/equipement/3225193-bi-eau-feu/objets", "link")</f>
        <v/>
      </c>
      <c r="C32275" t="n">
        <v>1</v>
      </c>
      <c r="D32275" t="inlineStr">
        <is>
          <t>Arc Nécrotique; Amulette du Strigide; Alliance Gloursonne; Anneau Tique; Quatre-feuilles; Ceinture du Strigide; Coiffe de Padgref; Cape de la Dame du Hasard; Bottes de l'Esprit Malsain; Dofus Ocre; Dofus Nébuleux; Dofus Ivoire; Dofus Pourpre; Dofus Turquoise; Remueur; Muldo Indigo et Orchidée</t>
        </is>
      </c>
    </row>
    <row r="32276">
      <c r="A32276" t="inlineStr">
        <is>
          <t>TRI EAU TERRE AIR</t>
        </is>
      </c>
      <c r="B32276">
        <f>HYPERLINK("https://www.dofusbook.net/fr/equipement/3235561-tri-eau-terre-air/objets", "link")</f>
        <v/>
      </c>
      <c r="C32276" t="n">
        <v>0</v>
      </c>
      <c r="D32276" t="inlineStr">
        <is>
          <t>Pelle de Nidas; Amulette du Strigide; Anneau Chevelu; Pikano; Bouclier du Captain Amakna; Ceinture du Strigide; Casque de Missiz Frizz; Voile d'encre; Sandales de Tal Kasha; Dofus Ivoire; Dofus Pourpre; Dofus Turquoise; Dofus Ocre; Dofus Nébuleux; Remueur; Muldo Indigo et Orchidée</t>
        </is>
      </c>
    </row>
    <row r="32277">
      <c r="A32277" t="inlineStr">
        <is>
          <t>MONO TERRE</t>
        </is>
      </c>
      <c r="B32277">
        <f>HYPERLINK("https://www.dofusbook.net/fr/equipement/3241928-mono-terre/objets", "link")</f>
        <v/>
      </c>
      <c r="C32277" t="n">
        <v>0</v>
      </c>
      <c r="D32277" t="inlineStr">
        <is>
          <t>Dagues d'Ilyzaelle; Amulette du Strigide; Anneau Chevelu; Bague Gloursonne; Bouclier du Captain Amakna; Ceinture du Strigide; Masque de Koutoulou; Voile d'encre; Bottes de la Cour Sombre; Dofus Ocre; Dofus Nébuleux; Dofus Ivoire; Dofus Pourpre; Dofus Turquoise; Enragé majeur; Muldo Indigo et Orchidée</t>
        </is>
      </c>
    </row>
    <row r="32278">
      <c r="A32278" t="inlineStr">
        <is>
          <t>BI FEU TERRE</t>
        </is>
      </c>
      <c r="B32278">
        <f>HYPERLINK("https://www.dofusbook.net/fr/equipement/3224984-bi-feu-terre/objets", "link")</f>
        <v/>
      </c>
      <c r="C32278" t="n">
        <v>0</v>
      </c>
      <c r="D32278" t="inlineStr">
        <is>
          <t>Hache Téroïde; Amulette du Strigide; Anneau Chevelu; Bague Gloursonne; Bouclier du Captain Amakna; Ceinture du Strigide; Casque de Missiz Frizz; Voile d'encre; Pompes Funèbres; Dofus Ocre; Dofus Nébuleux; Dofus Ivoire; Dofus Pourpre; Dofus Turquoise; Remueur; Muldo Indigo et Orchidée</t>
        </is>
      </c>
    </row>
    <row r="32279">
      <c r="A32279" t="inlineStr">
        <is>
          <t>TRI EAU AIR FEU</t>
        </is>
      </c>
      <c r="B32279">
        <f>HYPERLINK("https://www.dofusbook.net/fr/equipement/3225158-tri-eau-air-feu/objets", "link")</f>
        <v/>
      </c>
      <c r="C32279" t="n">
        <v>0</v>
      </c>
      <c r="D32279" t="inlineStr">
        <is>
          <t>Sabres d'Atcham; Amulette du Strigide; Alliance Gloursonne; Anneau Tique; Bouclier du Captain Amakna; Ceinture du Strigide; Coiffe de Padgref; Cape de la Dame du Hasard; Sandales de Tal Kasha; Dofus Pourpre; Dofus Ivoire; Dofus Turquoise; Dofus Ocre; Dofus Nébuleux; Remueur; Muldo Indigo et Orchidée</t>
        </is>
      </c>
    </row>
    <row r="32280">
      <c r="A32280" t="inlineStr">
        <is>
          <t>MULTI</t>
        </is>
      </c>
      <c r="B32280">
        <f>HYPERLINK("https://www.dofusbook.net/fr/equipement/3096820-multi-/objets", "link")</f>
        <v/>
      </c>
      <c r="C32280" t="n">
        <v>0</v>
      </c>
      <c r="D32280" t="inlineStr">
        <is>
          <t>Epée Maudite du Saigneur Guerrier; Amulette du Strigide; Anneau Chevelu; Alliance Gloursonne; Bouclier du Captain Amakna; Ceinture du Strigide; Casque de Missiz Frizz; Voile d'encre; Bottes du Chalœil; Dofus Ocre; Dofus Nébuleux; Dofus Ivoire; Dofus Pourpre; Dofus Turquoise; Remueur; Muldo Indigo et Orchidée</t>
        </is>
      </c>
    </row>
    <row r="32281">
      <c r="A32281" t="inlineStr">
        <is>
          <t>MONO AIR</t>
        </is>
      </c>
      <c r="B32281">
        <f>HYPERLINK("https://www.dofusbook.net/fr/equipement/3096845-mono-air/objets", "link")</f>
        <v/>
      </c>
      <c r="C32281" t="n">
        <v>1</v>
      </c>
      <c r="D32281" t="inlineStr">
        <is>
          <t>Hachoirs de Viandargh; Amulette du Strigide; Alliance Gloursonne; Gant du Valet Veinard; Bouclier du Captain Amakna; Ceinture du Strigide; Capuche de Moum-Ra; Voile d'encre; Palmes Trithons; Dofus Ocre; Dofus Nébuleux; Dofus Pourpre; Dofus Turquoise; Remueur; Cascadeur majeur; Muldo Indigo et Orchidée</t>
        </is>
      </c>
    </row>
    <row r="32282">
      <c r="A32282" t="inlineStr">
        <is>
          <t>MONO FEU</t>
        </is>
      </c>
      <c r="B32282">
        <f>HYPERLINK("https://www.dofusbook.net/fr/equipement/3096846-mono-feu/objets", "link")</f>
        <v/>
      </c>
      <c r="C32282" t="n">
        <v>0</v>
      </c>
      <c r="D32282" t="inlineStr">
        <is>
          <t>Arc corrompu; Amulette du Strigide; Anneauræus; Anneauræus; Quatre-feuilles; Ceinture du Strigide; Heaume Oplate; Voile d'encre; Pompes Funèbres; Dofus Ivoire; Dofus Pourpre; Dofus Turquoise; Dofus Ocre; Dofus Nébuleux; Érudit majeur; Muldo Indigo et Orchidée</t>
        </is>
      </c>
    </row>
    <row r="32283">
      <c r="A32283" t="inlineStr">
        <is>
          <t>BII AIR TERRE</t>
        </is>
      </c>
      <c r="B32283">
        <f>HYPERLINK("https://www.dofusbook.net/fr/equipement/3225212-bii-air-terre/objets", "link")</f>
        <v/>
      </c>
      <c r="C32283" t="n">
        <v>0</v>
      </c>
      <c r="D32283" t="inlineStr">
        <is>
          <t>Héqache; Amulette du Strigide; Anneau Chevelu; Anneau de Padgref; Bouclier du Captain Amakna; Ceinture du Strigide; Casque de Missiz Frizz; Voile d'encre; Pompes Funèbres; Dofus Ivoire; Dofus Pourpre; Dofus Turquoise; Dofus Ocre; Dofus Nébuleux; Remueur; Muldo Indigo et Orchidée</t>
        </is>
      </c>
    </row>
    <row r="32284">
      <c r="A32284" t="inlineStr">
        <is>
          <t>BI AIR EAU</t>
        </is>
      </c>
      <c r="B32284">
        <f>HYPERLINK("https://www.dofusbook.net/fr/equipement/3096832-bi-air-eau/objets", "link")</f>
        <v/>
      </c>
      <c r="C32284" t="n">
        <v>1</v>
      </c>
      <c r="D32284" t="inlineStr">
        <is>
          <t>Arc de Koutoulou; Amulette du Strigide; Alliance Gloursonne; Anneau Tique; Quatre-feuilles; Ceinture du Strigide; Coiffe de Padgref; Cape de la Dame du Hasard; Sandales de Tal Kasha; Dofus Pourpre; Dofus Ivoire; Dofus Turquoise; Dofus Ocre; Dofus Nébuleux; Remueur; Muldo Indigo et Orchidée</t>
        </is>
      </c>
    </row>
    <row r="32285">
      <c r="A32285" t="inlineStr">
        <is>
          <t>TRI TERRE FEU AIR</t>
        </is>
      </c>
      <c r="B32285">
        <f>HYPERLINK("https://www.dofusbook.net/fr/equipement/3096841-tri-terre-feu-air/objets", "link")</f>
        <v/>
      </c>
      <c r="C32285" t="n">
        <v>0</v>
      </c>
      <c r="D32285" t="inlineStr">
        <is>
          <t>Marteau de Katrepat; Amulette du Strigide; Anneau Chevelu; Bague Gloursonne; Bouclier du Captain Amakna; Ceinture du Strigide; Casque de Missiz Frizz; Voile d'encre; Pompes Funèbres; Dofus Ivoire; Dofus Pourpre; Dofus Turquoise; Dofus Ocre; Dofus Nébuleux; Remueur; Muldo Indigo et Orchidée</t>
        </is>
      </c>
    </row>
    <row r="32286">
      <c r="A32286" t="inlineStr">
        <is>
          <t>MONO EAU</t>
        </is>
      </c>
      <c r="B32286">
        <f>HYPERLINK("https://www.dofusbook.net/fr/equipement/3096837-mono-eau/objets", "link")</f>
        <v/>
      </c>
      <c r="C32286" t="n">
        <v>0</v>
      </c>
      <c r="D32286" t="inlineStr">
        <is>
          <t>Sceptre du Roi Joueur; Amulette du Strigide; Anneau Tique; Alliance Gloursonne; Bouclier du Captain Amakna; Ceinture du Strigide; Kidibonnet; Cape de la Dame du Hasard; Bottes du Sinistrofu; Dofus Ocre; Dofus Nébuleux; Dofus Ivoire; Dofus Pourpre; Dofus Turquoise; Chanceux majeur; Muldo Indigo et Orchidée</t>
        </is>
      </c>
    </row>
    <row r="32287">
      <c r="A32287" t="inlineStr">
        <is>
          <t>2.46 Ogi</t>
        </is>
      </c>
      <c r="B32287">
        <f>HYPERLINK("https://www.dofusbook.net/fr/equipement/4740358-2-46-ogi/objets", "link")</f>
        <v/>
      </c>
      <c r="C32287" t="n">
        <v>0</v>
      </c>
      <c r="D32287" t="inlineStr">
        <is>
          <t>Will Killson; Amulette du Strigide; Anneau Vicieux; Anneau de Padgref; Bouclier du Captain Amakna; Ceinture du Strigide; Coiffe de Padgref; Chevelure de Tal Kasha; Getas de Padgref; Dofus Pourpre; Dofus des Glaces; Dofus Turquoise; Dofus Nébuleux; Dofus Ocre; Kokulte</t>
        </is>
      </c>
    </row>
    <row r="32288">
      <c r="A32288" t="inlineStr">
        <is>
          <t>Torkélonia</t>
        </is>
      </c>
      <c r="B32288">
        <f>HYPERLINK("https://www.dofusbook.net/fr/equipement/2025172-torkelonia/objets", "link")</f>
        <v/>
      </c>
      <c r="C32288" t="n">
        <v>6</v>
      </c>
      <c r="D32288" t="inlineStr">
        <is>
          <t>Dagues du Dragoeuf; Amulette du Strigide; Anneau Vicieux; Bague Trithon; Bouclier du Captain Amakna; Ceinture du Strigide; Corne de Torkélonia; Carapace de Torkélonia; Bottes Trithon; Dofus Turquoise; Dolmanax; Dofus Ocre; Dofus Pourpre; Dofus des Glaces; Sakochère</t>
        </is>
      </c>
    </row>
    <row r="32289">
      <c r="A32289" t="inlineStr">
        <is>
          <t>2.52</t>
        </is>
      </c>
      <c r="B32289">
        <f>HYPERLINK("https://www.dofusbook.net/fr/equipement/2848757-2-52/objets", "link")</f>
        <v/>
      </c>
      <c r="C32289" t="n">
        <v>1</v>
      </c>
      <c r="D32289" t="inlineStr">
        <is>
          <t>Dagues du Dragoeuf; Amulette du Strigide; Anneau Vicieux; Bague Trithon; Bouclier du Captain Amakna; Ceinture du Strigide; Corne de Torkélonia; Carapace de Torkélonia; Bottes Trithon; Dolmanax; Dofus Turquoise; Dofus Ocre; Dofus Pourpre; Dofus des Glaces; Dofus Vulbis; Kokulte</t>
        </is>
      </c>
    </row>
    <row r="32290">
      <c r="A32290" t="inlineStr">
        <is>
          <t>2.46</t>
        </is>
      </c>
      <c r="B32290">
        <f>HYPERLINK("https://www.dofusbook.net/fr/equipement/2067547-2-46/objets", "link")</f>
        <v/>
      </c>
      <c r="C32290" t="n">
        <v>1</v>
      </c>
      <c r="D32290" t="inlineStr">
        <is>
          <t>Dague Hirr; Amulette du Strigide; Anneau du Katcheur; Anneau de la Fuji Givrefoux; Bouclier du Captain Amakna; Ceinture du Strigide; Masque du Katcheur; Cape de la Fuji Givrefoux; Bottes du Katcheur; Dofus des Glaces; Dofus Turquoise; Dolmanax; Dofus Ocre; Dofus Pourpre; Sakochère</t>
        </is>
      </c>
    </row>
    <row r="32291">
      <c r="A32291" t="inlineStr">
        <is>
          <t>Crocobur test</t>
        </is>
      </c>
      <c r="B32291">
        <f>HYPERLINK("https://www.dofusbook.net/fr/equipement/2748691-crocobur-test/objets", "link")</f>
        <v/>
      </c>
      <c r="C32291" t="n">
        <v>1</v>
      </c>
      <c r="D32291" t="inlineStr">
        <is>
          <t>Crocobur; Amulette du Strigide; Anneau Volkorne; Pikano; Bouclier du Captain Amakna; Ceinture du Strigide; Corne de Torkélonia; Carapace de Torkélonia; Bottes du Strigide; Dolmanax; Dofus Pourpre; Dofus Turquoise; Dofus Émeraude; Dofus des Glaces; Dofus Ocre; Sakochère</t>
        </is>
      </c>
    </row>
    <row r="32292">
      <c r="A32292" t="inlineStr">
        <is>
          <t>Crocobur</t>
        </is>
      </c>
      <c r="B32292">
        <f>HYPERLINK("https://www.dofusbook.net/fr/equipement/2019897-crocobur/objets", "link")</f>
        <v/>
      </c>
      <c r="C32292" t="n">
        <v>1</v>
      </c>
      <c r="D32292" t="inlineStr">
        <is>
          <t>Crocobur; Amulette du Strigide; Pikano; Anneau Volkorne; Bouclier du Captain Amakna; Ceinture du Strigide; Casque Volkorne; Cape du Professeur Xa; Bottes du Strigide; Dofus des Glaces; Dofus Ocre; Dolmanax; Dofus Pourpre; Dofus Turquoise; Dofus Émeraude; Kokulte</t>
        </is>
      </c>
    </row>
    <row r="32293">
      <c r="A32293" t="inlineStr">
        <is>
          <t>2.47</t>
        </is>
      </c>
      <c r="B32293">
        <f>HYPERLINK("https://www.dofusbook.net/fr/equipement/555441-2-47/objets", "link")</f>
        <v/>
      </c>
      <c r="C32293" t="n">
        <v>1</v>
      </c>
      <c r="D32293" t="inlineStr">
        <is>
          <t>Massier; Amulette du Strigide; Anneau du Katcheur; Anneauræus; Quatre-feuilles; Ceinture du Strigide; Masque du Katcheur; Cape du Professeur Xa; Bottes du Strigide; Dolmanax; Dofus Turquoise; Dofus des Glaces; Dofus Ocre; Dofus Pourpre; Dragodinde Emeraude et Orchidée</t>
        </is>
      </c>
    </row>
    <row r="32294">
      <c r="A32294" t="inlineStr">
        <is>
          <t>Test</t>
        </is>
      </c>
      <c r="B32294">
        <f>HYPERLINK("https://www.dofusbook.net/fr/equipement/555460-test/objets", "link")</f>
        <v/>
      </c>
      <c r="C32294" t="n">
        <v>1</v>
      </c>
      <c r="D32294" t="inlineStr">
        <is>
          <t>Baguette Hique; Amulette Volkorne; Anneau de Padgref; Anneau Volkorne; Quatre-feuilles; Ceinture Volkorne; Némès de Tal Kasha; Chevelure de Tal Kasha; Sandales de Tal Kasha; Dofus des Glaces; Dofus Turquoise; Dofus Pourpre; Dolmanax; Dofus Émeraude; Dofus Ocre; Sakochère</t>
        </is>
      </c>
    </row>
    <row r="32295">
      <c r="A32295" t="inlineStr">
        <is>
          <t>2.48 tests</t>
        </is>
      </c>
      <c r="B32295">
        <f>HYPERLINK("https://www.dofusbook.net/fr/equipement/3440727-2-48-tests/objets", "link")</f>
        <v/>
      </c>
      <c r="C32295" t="n">
        <v>4</v>
      </c>
      <c r="D32295" t="inlineStr">
        <is>
          <t>Marteau des égarés; Amulette Volkorne; Anneau Volkorne; Alliance Gloursonne; Bouclier du Captain Amakna; Ceinture Volkorne; Némès de Tal Kasha; Chevelure de Tal Kasha; Sandales de Tal Kasha; Dofus des Glaces; Dofus Pourpre; Dofus Émeraude; Dofus Turquoise; Dolmanax; Dofus Ocre; Sakochère</t>
        </is>
      </c>
    </row>
    <row r="32296">
      <c r="A32296" t="inlineStr">
        <is>
          <t>War-Loque</t>
        </is>
      </c>
      <c r="B32296">
        <f>HYPERLINK("https://www.dofusbook.net/fr/equipement/4674083-war-loque/objets", "link")</f>
        <v/>
      </c>
      <c r="C32296" t="n">
        <v>2</v>
      </c>
      <c r="D32296" t="inlineStr">
        <is>
          <t>Epée Maudite du Saigneur Guerrier; Amulette du Strigide; Alliance de Missiz Frizz; Bague Gloursonne; Bouclier du Captain Amakna; Ceinture du Strigide; Casque de Missiz Frizz; Cape du Professeur Xa; Bottes du Strigide; Dofus Pourpre; Dofus des Glaces; Dofus Émeraude; Dofus Turquoise; Dolmanax; Dofus Ocre; Kokulte</t>
        </is>
      </c>
    </row>
    <row r="32297">
      <c r="A32297" t="inlineStr">
        <is>
          <t>2.47</t>
        </is>
      </c>
      <c r="B32297">
        <f>HYPERLINK("https://www.dofusbook.net/fr/equipement/555459-2-47/objets", "link")</f>
        <v/>
      </c>
      <c r="C32297" t="n">
        <v>1</v>
      </c>
      <c r="D32297" t="inlineStr">
        <is>
          <t>Baguette Hique; Amulette Volkorne; Anneau Volkorne; Chevalière du Roi Joueur; Quatre-feuilles; Ceinture Volkorne; Némès de Tal Kasha; Chevelure de Tal Kasha; Sandales de Tal Kasha; Dofus des Glaces; Dofus Ocre; Dofus Émeraude; Dofus Turquoise; Dofus Pourpre; Dolmanax; Sakochère</t>
        </is>
      </c>
    </row>
    <row r="32298">
      <c r="A32298" t="inlineStr">
        <is>
          <t>Lulz Crit</t>
        </is>
      </c>
      <c r="B32298">
        <f>HYPERLINK("https://www.dofusbook.net/fr/equipement/555456-lulz-crit/objets", "link")</f>
        <v/>
      </c>
      <c r="C32298" t="n">
        <v>0</v>
      </c>
      <c r="D32298" t="inlineStr">
        <is>
          <t>Amulette du Strigide; Ceinture du Strigide; Masque d'Anerice; Cape d'Anerice; Bottes du Strigide; Dolmanax; Dofus Émeraude; Dofus Ocre; Dofus Turquoise</t>
        </is>
      </c>
    </row>
    <row r="32299">
      <c r="A32299" t="inlineStr">
        <is>
          <t>Stuff 3</t>
        </is>
      </c>
      <c r="B32299">
        <f>HYPERLINK("https://www.dofusbook.net/fr/equipement/555454-stuff-3/objets", "link")</f>
        <v/>
      </c>
      <c r="C32299" t="n">
        <v>1</v>
      </c>
      <c r="D32299" t="inlineStr">
        <is>
          <t>Marteau des égarés; Amulette Volkorne; Anneau Volkorne; Pikano; Bouclier du Captain Amakna; Ceinture Volkorne; Némès de Tal Kasha; Chevelure de Tal Kasha; Sandales de Tal Kasha; Dofus Turquoise; Dolmanax; Dofus Ocre; Dofus des Glaces; Dofus Pourpre; Dofus Émeraude; Sakochère</t>
        </is>
      </c>
    </row>
    <row r="32300">
      <c r="A32300" t="inlineStr">
        <is>
          <t>Stuff 2</t>
        </is>
      </c>
      <c r="B32300">
        <f>HYPERLINK("https://www.dofusbook.net/fr/equipement/555453-stuff-2/objets", "link")</f>
        <v/>
      </c>
      <c r="C32300" t="n">
        <v>5</v>
      </c>
      <c r="D32300" t="inlineStr">
        <is>
          <t>Marteau des égarés; Amulette du Strigide; Pikano; Alliance Gloursonne; Bouclier du Captain Amakna; Ceinture du Strigide; Kidibonnet; Voile d'encre; Bottes du Chalœil; Dofus Émeraude; Dofus Pourpre; Dofus Turquoise; Dolmanax; Remueur; Nomade; Kokulte</t>
        </is>
      </c>
    </row>
    <row r="32301">
      <c r="A32301" t="inlineStr">
        <is>
          <t>Chaloeil</t>
        </is>
      </c>
      <c r="B32301">
        <f>HYPERLINK("https://www.dofusbook.net/fr/equipement/555440-chaloeil/objets", "link")</f>
        <v/>
      </c>
      <c r="C32301" t="n">
        <v>2</v>
      </c>
      <c r="D32301" t="inlineStr">
        <is>
          <t>Crocobur; Amulette du Strigide; Anneau en Grithril; Anneau Volkorne; Bouclier du Captain Amakna; Ceinture du Strigide; Casque Volkorne; Cape du Professeur Xa; Bottes du Strigide; Dolmanax; Dofus des Glaces; Dofus Turquoise; Dofus Ocre; Dofus Pourpre; Puissant majeur; Kokulte</t>
        </is>
      </c>
    </row>
    <row r="32302">
      <c r="A32302" t="inlineStr">
        <is>
          <t>2.46</t>
        </is>
      </c>
      <c r="B32302">
        <f>HYPERLINK("https://www.dofusbook.net/fr/equipement/555458-2-46/objets", "link")</f>
        <v/>
      </c>
      <c r="C32302" t="n">
        <v>0</v>
      </c>
      <c r="D32302" t="inlineStr">
        <is>
          <t>Baguette Hernelle; Talisman Igans; Anneau de Padgref; Anneau Tique; Ceinture Séculaire; Cagoule de Vortex; Cape de la Dame du Hasard; Bottes de la Dame du Hasard; Dofus Pourpre; Dolmanax; Dofus Ocre; Dofus Turquoise; Nomade; Remueur</t>
        </is>
      </c>
    </row>
    <row r="32303">
      <c r="A32303" t="inlineStr">
        <is>
          <t>2.46</t>
        </is>
      </c>
      <c r="B32303">
        <f>HYPERLINK("https://www.dofusbook.net/fr/equipement/555445-2-46/objets", "link")</f>
        <v/>
      </c>
      <c r="C32303" t="n">
        <v>0</v>
      </c>
      <c r="D32303" t="inlineStr">
        <is>
          <t>Amulette du Strigide; Alliance Gloursonne; Bague Gloursonne; Bouclier du Captain Amakna; Ceinture du Strigide; Casque du Chalœil; Cape du Chalœil; Bottes du Chalœil; Dofus Ocre; Dofus Pourpre; Dofus des Glaces; Dofus Émeraude; Dofus Turquoise; Dolmanax; Muldo Doré et Emeraude</t>
        </is>
      </c>
    </row>
    <row r="32304">
      <c r="A32304" t="inlineStr">
        <is>
          <t>2.48 test 2</t>
        </is>
      </c>
      <c r="B32304">
        <f>HYPERLINK("https://www.dofusbook.net/fr/equipement/2039408-2-48-test-2/objets", "link")</f>
        <v/>
      </c>
      <c r="C32304" t="n">
        <v>1</v>
      </c>
      <c r="D32304" t="inlineStr">
        <is>
          <t>Marteau des égarés; Amulette Volkorne; Bague Trithon; Anneau Volkorne; Bouclier d'Anerice; Ceinture Volkorne; Masque Trithon; Cape d'Anerice; Bottes Trithon; Dofus Ocre; Dofus des Glaces; Dofus Émeraude; Dofus Turquoise; Dolmanax; Dofus Pourpre; Sakochère</t>
        </is>
      </c>
    </row>
    <row r="32305">
      <c r="A32305" t="inlineStr">
        <is>
          <t>Vide</t>
        </is>
      </c>
      <c r="B32305">
        <f>HYPERLINK("https://www.dofusbook.net/fr/equipement/2787767-vide/objets", "link")</f>
        <v/>
      </c>
      <c r="C32305" t="n">
        <v>1</v>
      </c>
      <c r="D32305" t="inlineStr">
        <is>
          <t>Dague Hirr; Amulette du Strigide; Anneau Volkorne; Anneau de la Fuji Givrefoux; Bouclier du Captain Amakna; Ceinture du Strigide; Masque du Katcheur; Cape de la Fuji Givrefoux; Bottes du Katcheur; Dofus Pourpre; Dofus des Glaces; Dofus Turquoise; Dolmanax; Dofus Ocre</t>
        </is>
      </c>
    </row>
    <row r="32306">
      <c r="A32306" t="inlineStr">
        <is>
          <t>2.47 Sacri</t>
        </is>
      </c>
      <c r="B32306">
        <f>HYPERLINK("https://www.dofusbook.net/fr/equipement/3479663-2-47-sacri/objets", "link")</f>
        <v/>
      </c>
      <c r="C32306" t="n">
        <v>0</v>
      </c>
      <c r="D32306" t="inlineStr">
        <is>
          <t>Marteau des égarés; Amulette Volkorne; Alliance Gloursonne; Anneau Volkorne; Bouclier du Captain Amakna; Ceinture Volkorne; Casque du Chalœil; Cape du Chalœil; Bottes du Chalœil; Dofus Pourpre; Dofus des Glaces; Dofus Émeraude; Dofus Turquoise; Dolmanax; Dofus Ocre</t>
        </is>
      </c>
    </row>
    <row r="32307">
      <c r="A32307" t="inlineStr">
        <is>
          <t>Stuff 4</t>
        </is>
      </c>
      <c r="B32307">
        <f>HYPERLINK("https://www.dofusbook.net/fr/equipement/2015273-stuff-4/objets", "link")</f>
        <v/>
      </c>
      <c r="C32307" t="n">
        <v>0</v>
      </c>
      <c r="D32307" t="inlineStr">
        <is>
          <t>Dague Hirr; Amulette du Strigide; Anneau de la Fuji Givrefoux; Anneau Volkorne; Bouclier du Captain Amakna; Ceinture Volkorne; Casque Volkorne; Cape de la Fuji Givrefoux; Bottes du Strigide; Dofus Turquoise; Dofus des Glaces; Dofus Pourpre; Dolmanax; Dofus Ocre; Puissant majeur</t>
        </is>
      </c>
    </row>
    <row r="32308">
      <c r="A32308" t="inlineStr">
        <is>
          <t>Air Eau Feu</t>
        </is>
      </c>
      <c r="B32308">
        <f>HYPERLINK("https://www.dofusbook.net/fr/equipement/2914323-air-eau-feu/objets", "link")</f>
        <v/>
      </c>
      <c r="C32308" t="n">
        <v>0</v>
      </c>
      <c r="D32308" t="inlineStr">
        <is>
          <t>Marteau des égarés; Amulette du Strigide; Bague Gloursonne; Alliance Gloursonne; Bouclier du Captain Amakna; Ceinture du Strigide; Casque du Chalœil; Cape du Chalœil; Bottes du Chalœil; Dolmanax; Dofus Ocre; Dofus Pourpre; Dofus des Glaces; Dofus Turquoise; Dofus Abyssal; Muldo Doré et Emeraude</t>
        </is>
      </c>
    </row>
    <row r="32309">
      <c r="A32309" t="inlineStr">
        <is>
          <t>Stuff 2</t>
        </is>
      </c>
      <c r="B32309">
        <f>HYPERLINK("https://www.dofusbook.net/fr/equipement/647627-stuff-2/objets", "link")</f>
        <v/>
      </c>
      <c r="C32309" t="n">
        <v>0</v>
      </c>
      <c r="D32309" t="inlineStr">
        <is>
          <t>Marteau de Katrepat; Amulette du Strigide; Anneau de la Fuji Givrefoux; Anneau du Katcheur; Quatre-feuilles; Ceinture du Strigide; Masque du Katcheur; Cape de la Fuji Givrefoux; Bottes du Katcheur; Dofus des Glaces; Dofus Ocre; Dolmanax; Dofus Turquoise; Dofus Abyssal; Dofus Pourpre; Muldo Doré et Emeraude</t>
        </is>
      </c>
    </row>
    <row r="32310">
      <c r="A32310" t="inlineStr">
        <is>
          <t>Stuff 3</t>
        </is>
      </c>
      <c r="B32310">
        <f>HYPERLINK("https://www.dofusbook.net/fr/equipement/555442-stuff-3/objets", "link")</f>
        <v/>
      </c>
      <c r="C32310" t="n">
        <v>0</v>
      </c>
      <c r="D32310" t="inlineStr">
        <is>
          <t>Epée Maudite du Saigneur Guerrier; Amulette du Strigide; Alliance de Missiz Frizz; Anneau du Cycloïde; Bouclier du Captain Amakna; Ceinture du Strigide; Casque de Missiz Frizz; Cape du Professeur Xa; Bottes du Cycloïde; Dofus des Glaces; Dofus Ocre; Dofus Turquoise; Dolmanax; Dofus Pourpre; Turbulent; Muldo Doré et Emeraude</t>
        </is>
      </c>
    </row>
    <row r="32311">
      <c r="A32311" t="inlineStr">
        <is>
          <t>Stuff 1</t>
        </is>
      </c>
      <c r="B32311">
        <f>HYPERLINK("https://www.dofusbook.net/fr/equipement/2744009-stuff-1/objets", "link")</f>
        <v/>
      </c>
      <c r="C32311" t="n">
        <v>0</v>
      </c>
      <c r="D32311" t="inlineStr">
        <is>
          <t>Epée Maudite du Saigneur Guerrier; Amulette du Strigide; Bague Gloursonne; Alliance de Missiz Frizz; Bouclier du Captain Amakna; Ceinture du Strigide; Casque de Missiz Frizz; Sac Volcanique; Bottes du Strigide; Dofus des Glaces; Dofus Turquoise; Dofus Ocre; Dofus Pourpre; Dolmanax; Turbulent; Muldo Doré et Emeraude</t>
        </is>
      </c>
    </row>
    <row r="32312">
      <c r="A32312" t="inlineStr">
        <is>
          <t>Stuff 3</t>
        </is>
      </c>
      <c r="B32312">
        <f>HYPERLINK("https://www.dofusbook.net/fr/equipement/555451-stuff-3/objets", "link")</f>
        <v/>
      </c>
      <c r="C32312" t="n">
        <v>0</v>
      </c>
      <c r="D32312" t="inlineStr">
        <is>
          <t>Marteau des égarés; Amulette du Strigide; Bague Gloursonne; Alliance Gloursonne; Bouclier du Captain Amakna; Ceinture du Strigide; Casque du Chalœil; Cape du Chalœil; Bottes du Chalœil; Dofus Pourpre; Dofus des Glaces; Dofus Turquoise; Dofus Abyssal; Dolmanax; Dofus Ocre; Muldo Doré et Emeraude</t>
        </is>
      </c>
    </row>
    <row r="32313">
      <c r="A32313" t="inlineStr">
        <is>
          <t>Stuff 6</t>
        </is>
      </c>
      <c r="B32313">
        <f>HYPERLINK("https://www.dofusbook.net/fr/equipement/2097185-stuff-6/objets", "link")</f>
        <v/>
      </c>
      <c r="C32313" t="n">
        <v>0</v>
      </c>
      <c r="D32313" t="inlineStr">
        <is>
          <t>Hachoirs de Viandargh; Amulette du Granduk; Anneau Vicieux; Anneau de Pol Ouatnos; Bouclier du Captain Amakna; Sangle Oriole; Chapeau de Tournoyé; Cape de Crânonier; Palmes Trithons; Dolmanax; Dofus Ocre; Dofus Pourpre; Dofus des Glaces; Dofus Turquoise; Dofus Abyssal; Muldo Doré et Emeraude</t>
        </is>
      </c>
    </row>
    <row r="32314">
      <c r="A32314" t="inlineStr">
        <is>
          <t>Stuff 1</t>
        </is>
      </c>
      <c r="B32314">
        <f>HYPERLINK("https://www.dofusbook.net/fr/equipement/555437-stuff-1/objets", "link")</f>
        <v/>
      </c>
      <c r="C32314" t="n">
        <v>0</v>
      </c>
      <c r="D32314" t="inlineStr">
        <is>
          <t>Dague Hirr; Amulette du Strigide; Anneau de la Fuji Givrefoux; Anneau du Katcheur; Bouclier du Captain Amakna; Ceinture du Strigide; Masque du Katcheur; Cape de la Fuji Givrefoux; Bottes du Katcheur; Dofus Ocre; Dofus Pourpre; Dofus des Glaces; Dofus Turquoise; Dolmanax; Muldo Doré et Emeraude</t>
        </is>
      </c>
    </row>
    <row r="32315">
      <c r="A32315" t="inlineStr">
        <is>
          <t>Stuff 3</t>
        </is>
      </c>
      <c r="B32315">
        <f>HYPERLINK("https://www.dofusbook.net/fr/equipement/555464-stuff-3/objets", "link")</f>
        <v/>
      </c>
      <c r="C32315" t="n">
        <v>0</v>
      </c>
      <c r="D32315" t="inlineStr">
        <is>
          <t>Hache du Chalœil; Amulette Luminescente; Anneau de Pol Ouatnos; Chevalière du Roi Joueur; Ceinture Luminescente; Couronne du Roi Joueur; Cape Luminescente; Bottes du Roi Joueur; Dofus des Glaces; Dolmanax; Dofus Turquoise; Dofus Ocre; Dofus Pourpre; Kramkram</t>
        </is>
      </c>
    </row>
    <row r="32316">
      <c r="A32316" t="inlineStr">
        <is>
          <t>Stuff 1</t>
        </is>
      </c>
      <c r="B32316">
        <f>HYPERLINK("https://www.dofusbook.net/fr/equipement/555471-stuff-1/objets", "link")</f>
        <v/>
      </c>
      <c r="C32316" t="n">
        <v>0</v>
      </c>
      <c r="D32316" t="inlineStr">
        <is>
          <t>Épouvante; Amulette d'Oshimo; Anneau de Pol Ouatnos; Anneau Glacial; Ceintacé; Kidibonnet; Cape de la Cour Sombre; Bottes d'Oshimo; Dofus Cawotte; Dolmanax; Dofus Turquoise; Remueur; Vigoureux majeur; Nomade; Kramkram</t>
        </is>
      </c>
    </row>
    <row r="32317">
      <c r="A32317" t="inlineStr">
        <is>
          <t>Stuff 2</t>
        </is>
      </c>
      <c r="B32317">
        <f>HYPERLINK("https://www.dofusbook.net/fr/equipement/555466-stuff-2/objets", "link")</f>
        <v/>
      </c>
      <c r="C32317" t="n">
        <v>0</v>
      </c>
      <c r="D32317" t="inlineStr">
        <is>
          <t>Arc du Chalœil; Amulette du Strigide; Anneau Crustique; Bague Gloursonne; Ceinture du Strigide; Coiffe du Lévitrof; Cape de Kongoku; Pantoufles du Piloztère; Dofus Ocre; Dofus Turquoise; Dolmanax; Nomade; Remueur; Miraculé majeur; Kramkram</t>
        </is>
      </c>
    </row>
    <row r="32318">
      <c r="A32318" t="inlineStr">
        <is>
          <t>Stuff 1</t>
        </is>
      </c>
      <c r="B32318">
        <f>HYPERLINK("https://www.dofusbook.net/fr/equipement/555461-stuff-1/objets", "link")</f>
        <v/>
      </c>
      <c r="C32318" t="n">
        <v>0</v>
      </c>
      <c r="D32318" t="inlineStr">
        <is>
          <t>Le Ramboton; Amulette du Strigide; Anneau de Padgref; Bague Trithon; Ceinture du Strigide; Masque Trithon; Cape de Meno; Bottes Innommables; Dolmanax; Dofus Pourpre; Dofus Ocre; Dofus des Glaces; Dofus Turquoise; Pioute rouge</t>
        </is>
      </c>
    </row>
    <row r="32319">
      <c r="A32319" t="inlineStr">
        <is>
          <t>Stuff 1</t>
        </is>
      </c>
      <c r="B32319">
        <f>HYPERLINK("https://www.dofusbook.net/fr/equipement/555468-stuff-1/objets", "link")</f>
        <v/>
      </c>
      <c r="C32319" t="n">
        <v>0</v>
      </c>
      <c r="D32319" t="inlineStr">
        <is>
          <t>Manthache; Collier du Valet Veinard; Anneau des égarés; Alliance Gloursonne; Menoture; Dorabysses; Cape du Valet Veinard; Palmes Trithons; Carapace Terre majeur; Nomade; Carapace Air majeur; Remueur; Kramkram</t>
        </is>
      </c>
    </row>
    <row r="32320">
      <c r="A32320" t="inlineStr">
        <is>
          <t>Stuff 2</t>
        </is>
      </c>
      <c r="B32320">
        <f>HYPERLINK("https://www.dofusbook.net/fr/equipement/555463-stuff-2/objets", "link")</f>
        <v/>
      </c>
      <c r="C32320" t="n">
        <v>0</v>
      </c>
      <c r="D32320" t="inlineStr">
        <is>
          <t>Épouvante; Amulette Luminescente; Alliance du Lévitrof; Anneau de Pol Ouatnos; Ceinture Luminescente; Coiffe du Lévitrof; Cape Luminescente; Bottes du Lévitrof; Dofus des Glaces; Dofus Pourpre; Dofus Cawotte; Dofus Ocre; Dolmanax; Dofus Turquoise; Kramkram</t>
        </is>
      </c>
    </row>
    <row r="32321">
      <c r="A32321" t="inlineStr">
        <is>
          <t>Stuff 3</t>
        </is>
      </c>
      <c r="B32321">
        <f>HYPERLINK("https://www.dofusbook.net/fr/equipement/555470-stuff-3/objets", "link")</f>
        <v/>
      </c>
      <c r="C32321" t="n">
        <v>0</v>
      </c>
      <c r="D32321" t="inlineStr">
        <is>
          <t>Sabres d'Atcham; Amulette Séculaire; Bracelet des Fonds marins; Anneauræus; Ceinture Séculaire; Coiffe Séculaire; Cape d'Atcham; Sandales  d'Atcham; Dolmanax; Dofus Turquoise; Dofus Émeraude; Dofus des Glaces; Dofus Pourpre; Dofus Ocre; Muldo Prune et Doré</t>
        </is>
      </c>
    </row>
    <row r="32322">
      <c r="A32322" t="inlineStr">
        <is>
          <t>Stuff 1</t>
        </is>
      </c>
      <c r="B32322">
        <f>HYPERLINK("https://www.dofusbook.net/fr/equipement/555465-stuff-1/objets", "link")</f>
        <v/>
      </c>
      <c r="C32322" t="n">
        <v>0</v>
      </c>
      <c r="D32322" t="inlineStr">
        <is>
          <t>Arc du Chalœil; Amulette du Strigide; Anneau Crustique; Bague Gloursonne; Ceinture du Strigide; Masque de Koutoulou; Cape de Kongoku; Pantoufles du Piloztère; Dofus Ocre; Dofus Turquoise; Dolmanax; Remueur; Nomade; Kramkram</t>
        </is>
      </c>
    </row>
    <row r="32323">
      <c r="A32323" t="inlineStr">
        <is>
          <t>Stuff 1</t>
        </is>
      </c>
      <c r="B32323">
        <f>HYPERLINK("https://www.dofusbook.net/fr/equipement/555472-stuff-1/objets", "link")</f>
        <v/>
      </c>
      <c r="C32323" t="n">
        <v>0</v>
      </c>
      <c r="D32323" t="inlineStr">
        <is>
          <t>Dague Hirr; Amulette du Strigide; Anneau Vicieux; Anneau de la Fuji Givrefoux; Ceinture du Strigide; Coiffe de la Fuji Givrefoux; Cape de la Fuji Givrefoux; Bottes de la Fuji Givrefoux; Dofus Turquoise; Dolmanax; Dofus Cawotte; Dofus Pourpre; Dofus Émeraude; Dofus Ocre; Kramkram</t>
        </is>
      </c>
    </row>
    <row r="32324">
      <c r="A32324" t="inlineStr">
        <is>
          <t>Stuff 3</t>
        </is>
      </c>
      <c r="B32324">
        <f>HYPERLINK("https://www.dofusbook.net/fr/equipement/555467-stuff-3/objets", "link")</f>
        <v/>
      </c>
      <c r="C32324" t="n">
        <v>0</v>
      </c>
      <c r="D32324" t="inlineStr">
        <is>
          <t>Sabres d'Atcham; Amulette de l'Indicible; Anneau de Pol Ouatnos; Alliance Gloursonne; Ceinture de l'Indicible; Boucle d'oreille de Kongoku; Cape d'Atcham; Sandales  d'Atcham; Dofus Turquoise; Dofus Pourpre; Dofus des Glaces; Dolmanax; Dofus Émeraude; Dofus Ocre; Kramkram</t>
        </is>
      </c>
    </row>
    <row r="32325">
      <c r="A32325" t="inlineStr">
        <is>
          <t>Stuff 1</t>
        </is>
      </c>
      <c r="B32325">
        <f>HYPERLINK("https://www.dofusbook.net/fr/equipement/555462-stuff-1/objets", "link")</f>
        <v/>
      </c>
      <c r="C32325" t="n">
        <v>0</v>
      </c>
      <c r="D32325" t="inlineStr">
        <is>
          <t>Épouvante; Amulette Luminescente; Pikano; Anneau de Pol Ouatnos; Ceinture Luminescente; Casquipik; Cape Luminescente; Pikottes; Dolmanax; Dofus Turquoise; Dofus des Glaces; Dofus Pourpre; Dofus Cawotte; Dofus Ocre; Kramkram</t>
        </is>
      </c>
    </row>
    <row r="32326">
      <c r="A32326" t="inlineStr">
        <is>
          <t>Stuff 2</t>
        </is>
      </c>
      <c r="B32326">
        <f>HYPERLINK("https://www.dofusbook.net/fr/equipement/555469-stuff-2/objets", "link")</f>
        <v/>
      </c>
      <c r="C32326" t="n">
        <v>0</v>
      </c>
      <c r="D32326" t="inlineStr">
        <is>
          <t>Manthache; Collier du Valet Veinard; Anneau des égarés; Alliance Gloursonne; Menoture; Dorabysses; Cape du Valet Veinard; Palmes Trithons; Carapace Air majeur; Remueur; Carapace Terre majeur; Nomade; Kramkram</t>
        </is>
      </c>
    </row>
    <row r="32327">
      <c r="A32327" t="inlineStr">
        <is>
          <t>Stuff 2</t>
        </is>
      </c>
      <c r="B32327">
        <f>HYPERLINK("https://www.dofusbook.net/fr/equipement/555444-stuff-2/objets", "link")</f>
        <v/>
      </c>
      <c r="C32327" t="n">
        <v>0</v>
      </c>
      <c r="D32327" t="inlineStr">
        <is>
          <t>Dagues Érhy; Amulette du Strigide; Anneau de Pol Ouatnos; Anneau du Katcheur; Ceinture du Strigide; Masque du Katcheur; Voile d'encre; Bottes du Katcheur; Dofus Ocre; Dolmanax; Dofus des Glaces; Dofus Turquoise; Dofus Émeraude; Dofus Pourpre; Kramkram</t>
        </is>
      </c>
    </row>
    <row r="32328">
      <c r="A32328" t="inlineStr">
        <is>
          <t>Stuff 3</t>
        </is>
      </c>
      <c r="B32328">
        <f>HYPERLINK("https://www.dofusbook.net/fr/equipement/555439-stuff-3/objets", "link")</f>
        <v/>
      </c>
      <c r="C32328" t="n">
        <v>0</v>
      </c>
      <c r="D32328" t="inlineStr">
        <is>
          <t>Épée du Granduk; Amulette du Granduk; Anneau du Cycloïde; Alliance Gloursonne; Bouclier du Captain Amakna; Ceinture de Klime; Masque du Granduk; Cape de Klime; Bottes du Cycloïde; Dofus Pourpre; Dofus des Glaces; Dofus Turquoise; Dolmanax; Dofus Ocre; Molosk</t>
        </is>
      </c>
    </row>
    <row r="32329">
      <c r="A32329" t="inlineStr">
        <is>
          <t>Stuff 1</t>
        </is>
      </c>
      <c r="B32329">
        <f>HYPERLINK("https://www.dofusbook.net/fr/equipement/555434-stuff-1/objets", "link")</f>
        <v/>
      </c>
      <c r="C32329" t="n">
        <v>1</v>
      </c>
      <c r="D32329" t="inlineStr">
        <is>
          <t>Marteau d'Henual; Amulette du Strigide; Bague Gloursonne; Anneau de Nidas; Ceinture du Strigide; Chapeau de Gein; Cape du Professeur Xa; Bottes du Lévitrof; Dofus Turquoise; Dofus Ocre; Dofus Pourpre; Dolmanax; Vigoureux majeur; Remueur; Kramkram</t>
        </is>
      </c>
    </row>
    <row r="32330">
      <c r="A32330" t="inlineStr">
        <is>
          <t>Stuff 1</t>
        </is>
      </c>
      <c r="B32330">
        <f>HYPERLINK("https://www.dofusbook.net/fr/equipement/555446-stuff-1/objets", "link")</f>
        <v/>
      </c>
      <c r="C32330" t="n">
        <v>0</v>
      </c>
      <c r="D32330" t="inlineStr">
        <is>
          <t>Amulette du Granduk; Alliance Gloursonne; Anneau du Cycloïde; Menoture; Capuche de Moum-Ra; Cape Indescriptible; Bottes du Cycloïde; Dofus des Glaces; Dofus Turquoise; Dolmanax; Dofus Pourpre; Dofus Ocre</t>
        </is>
      </c>
    </row>
    <row r="32331">
      <c r="A32331" t="inlineStr">
        <is>
          <t>Stuff 3</t>
        </is>
      </c>
      <c r="B32331">
        <f>HYPERLINK("https://www.dofusbook.net/fr/equipement/555436-stuff-3/objets", "link")</f>
        <v/>
      </c>
      <c r="C32331" t="n">
        <v>1</v>
      </c>
      <c r="D32331" t="inlineStr">
        <is>
          <t>Bâton Fracass; Amulette du Dragoeuf; Anneau du Dragoeuf; Ceinture du Dragoeuf; Billréole; Cape Dragoeuf; Bottes du Dragoeuf; Dolmanax; Précurseur; Dragodinde Amande et Emeraude</t>
        </is>
      </c>
    </row>
    <row r="32332">
      <c r="A32332" t="inlineStr">
        <is>
          <t>Stuff 3</t>
        </is>
      </c>
      <c r="B32332">
        <f>HYPERLINK("https://www.dofusbook.net/fr/equipement/555448-stuff-3/objets", "link")</f>
        <v/>
      </c>
      <c r="C32332" t="n">
        <v>0</v>
      </c>
      <c r="D32332" t="inlineStr">
        <is>
          <t>Épée du Granduk; Amulette du Granduk; Anneau de Padgref; Anneau du Cycloïde; Bouclier du Captain Amakna; Ceinture de Klime; Masque du Granduk; Cape de Klime; Bottes du Cycloïde; Dolmanax; Dofus Pourpre; Dofus Ocre; Dofus des Glaces; Dofus Turquoise; Muldo Doré et Emeraude</t>
        </is>
      </c>
    </row>
    <row r="32333">
      <c r="A32333" t="inlineStr">
        <is>
          <t>Stuff 1</t>
        </is>
      </c>
      <c r="B32333">
        <f>HYPERLINK("https://www.dofusbook.net/fr/equipement/555443-stuff-1/objets", "link")</f>
        <v/>
      </c>
      <c r="C32333" t="n">
        <v>0</v>
      </c>
      <c r="D32333" t="inlineStr">
        <is>
          <t>Sabres d'Atcham; Amulette du Strigide; Anneau de Pol Ouatnos; Anneau de Padgref; Ceinture du Strigide; Casquette de Meno; Cape d'Atcham; Sandales  d'Atcham; Dofus Ocre; Dofus Pourpre; Dofus des Glaces; Dofus Turquoise; Dolmanax; Dofus Émeraude; Muldo Doré et Emeraude</t>
        </is>
      </c>
    </row>
    <row r="32334">
      <c r="A32334" t="inlineStr">
        <is>
          <t>Stuff 2</t>
        </is>
      </c>
      <c r="B32334">
        <f>HYPERLINK("https://www.dofusbook.net/fr/equipement/555438-stuff-2/objets", "link")</f>
        <v/>
      </c>
      <c r="C32334" t="n">
        <v>0</v>
      </c>
      <c r="D32334" t="inlineStr">
        <is>
          <t>Lance Horselé; Amulette du Strigide; Anneau de la Fuji Givrefoux; Anneau du Katcheur; Bouclier du Captain Amakna; Ceinture du Strigide; Masque du Katcheur; Cape de la Fuji Givrefoux; Bottes du Katcheur; Dofus Ocre; Dofus Pourpre; Dofus des Glaces; Dofus Turquoise; Dolmanax; Muldo Doré et Emeraude</t>
        </is>
      </c>
    </row>
    <row r="32335">
      <c r="A32335" t="inlineStr">
        <is>
          <t>Stuff 1</t>
        </is>
      </c>
      <c r="B32335">
        <f>HYPERLINK("https://www.dofusbook.net/fr/equipement/555455-stuff-1/objets", "link")</f>
        <v/>
      </c>
      <c r="C32335" t="n">
        <v>0</v>
      </c>
      <c r="D32335" t="inlineStr">
        <is>
          <t>Baguette Hernelle; Amulette Séculaire; Kralano; Anneau de Padgref; Ceinture Séculaire; Coiffe Séculaire; Cape Lati; Getas de Padgref; Dofus Émeraude; Dofus Ocre; Dofus Turquoise; Dolmanax; Savant majeur; Acrobate majeur; Pioute rouge</t>
        </is>
      </c>
    </row>
    <row r="32336">
      <c r="A32336" t="inlineStr">
        <is>
          <t>Stuff 2</t>
        </is>
      </c>
      <c r="B32336">
        <f>HYPERLINK("https://www.dofusbook.net/fr/equipement/555450-stuff-2/objets", "link")</f>
        <v/>
      </c>
      <c r="C32336" t="n">
        <v>0</v>
      </c>
      <c r="D32336" t="inlineStr">
        <is>
          <t>Hachoirs de Viandargh; Amulette du Granduk; Anneau de Padgref; Anneau de Pol Ouatnos; Bouclier du Captain Amakna; Menoture; Capuche de Moum-Ra; Cape Indescriptible; Palmes Trithons; Dofus Turquoise; Dofus des Glaces; Dofus Pourpre; Nomade; Cascadeur majeur; Remueur; Muldo Doré et Emeraude</t>
        </is>
      </c>
    </row>
    <row r="32337">
      <c r="A32337" t="inlineStr">
        <is>
          <t>Stuff 2</t>
        </is>
      </c>
      <c r="B32337">
        <f>HYPERLINK("https://www.dofusbook.net/fr/equipement/555435-stuff-2/objets", "link")</f>
        <v/>
      </c>
      <c r="C32337" t="n">
        <v>3</v>
      </c>
      <c r="D32337" t="inlineStr">
        <is>
          <t>Arc Nécrotique; Talisman Igans; Anneau Tique; Bracelet des Fonds marins; Ceinture Instable; Casquette de Meno; Cape de la Dame du Hasard; Bottes de la Dame du Hasard; Dolmanax; Dofus Turquoise; Dofus Ocre; Dofus des Glaces; Nomade; Remueur; Kramkram</t>
        </is>
      </c>
    </row>
    <row r="32338">
      <c r="A32338" t="inlineStr">
        <is>
          <t>Stuff 3</t>
        </is>
      </c>
      <c r="B32338">
        <f>HYPERLINK("https://www.dofusbook.net/fr/equipement/555457-stuff-3/objets", "link")</f>
        <v/>
      </c>
      <c r="C32338" t="n">
        <v>0</v>
      </c>
      <c r="D32338" t="inlineStr">
        <is>
          <t>Sabres d'Atcham; Amulette du Strigide; Anneau de Padgref; Anneau de Pol Ouatnos; Ceinture du Strigide; Casquette de Meno; Cape d'Atcham; Sandales  d'Atcham; Dofus Émeraude; Dofus Ocre; Dofus Turquoise; Dofus Pourpre; Dofus des Glaces; Dolmanax; Kramkram</t>
        </is>
      </c>
    </row>
    <row r="32339">
      <c r="A32339" t="inlineStr">
        <is>
          <t>Stuff 1</t>
        </is>
      </c>
      <c r="B32339">
        <f>HYPERLINK("https://www.dofusbook.net/fr/equipement/555452-stuff-1/objets", "link")</f>
        <v/>
      </c>
      <c r="C32339" t="n">
        <v>0</v>
      </c>
      <c r="D32339" t="inlineStr">
        <is>
          <t>Épée Brûlâme; Amulette du Strigide; Anneau de Pol Ouatnos; Anneau de Padgref; Bouclier alvéolé; Ceinture du Strigide; Kidibonnet; Cape d'Atcham; Sandales  d'Atcham; Dofus Ocre; Dofus Pourpre; Dofus des Glaces; Dofus Turquoise; Dolmanax; Dofus Émeraude; Muldo Doré et Emeraude</t>
        </is>
      </c>
    </row>
    <row r="32340">
      <c r="A32340" t="inlineStr">
        <is>
          <t>Stuff 2</t>
        </is>
      </c>
      <c r="B32340">
        <f>HYPERLINK("https://www.dofusbook.net/fr/equipement/555447-stuff-2/objets", "link")</f>
        <v/>
      </c>
      <c r="C32340" t="n">
        <v>0</v>
      </c>
      <c r="D32340" t="inlineStr">
        <is>
          <t>Marteau de Katrepat; Amulette du Strigide; Anneau de la Fuji Givrefoux; Anneau du Katcheur; Bouclier du Captain Amakna; Ceinture du Strigide; Masque du Katcheur; Cape de la Fuji Givrefoux; Bottes du Katcheur; Dofus des Glaces; Dofus Ocre; Dolmanax; Dofus Turquoise; Dofus Abyssal; Dofus Pourpre; Muldo Doré et Emeraude</t>
        </is>
      </c>
    </row>
    <row r="32341">
      <c r="A32341" t="inlineStr">
        <is>
          <t>Stuff 1</t>
        </is>
      </c>
      <c r="B32341">
        <f>HYPERLINK("https://www.dofusbook.net/fr/equipement/555449-stuff-1/objets", "link")</f>
        <v/>
      </c>
      <c r="C32341" t="n">
        <v>0</v>
      </c>
      <c r="D32341" t="inlineStr">
        <is>
          <t>Dague Hirr; Amulette du Strigide; Anneau Vicieux; Anneau de la Fuji Givrefoux; Ceinture du Strigide; Coiffe de la Fuji Givrefoux; Cape de la Fuji Givrefoux; Bottes de la Fuji Givrefoux; Dolmanax; Dofus Turquoise; Dofus Émeraude; Dofus Pourpre; Dofus des Glaces; Dofus Ocre; Kramkram</t>
        </is>
      </c>
    </row>
    <row r="32342">
      <c r="A32342" t="inlineStr">
        <is>
          <t>Ouginak F 200</t>
        </is>
      </c>
      <c r="B32342">
        <f>HYPERLINK("https://www.dofusbook.net/fr/equipement/5931885-ouginak-f-200/objets", "link")</f>
        <v/>
      </c>
      <c r="C32342" t="n">
        <v>0</v>
      </c>
      <c r="D32342" t="inlineStr"/>
    </row>
    <row r="32343">
      <c r="A32343" t="inlineStr">
        <is>
          <t>panda tank</t>
        </is>
      </c>
      <c r="B32343">
        <f>HYPERLINK("https://www.dofusbook.net/fr/equipement/4236861-panda-tank/objets", "link")</f>
        <v/>
      </c>
      <c r="C32343" t="n">
        <v>8</v>
      </c>
      <c r="D32343" t="inlineStr">
        <is>
          <t>Rouleau à Pâtisserie d'Aermyne; Amulette de Pol Ouatnos; Alliance Gloursonne; Bague Gloursonne; Bouclier d'Anerice; Poulpagne; Masque d'Anerice; Cape d'Anerice; Getas Bernacle; Dofus Émeraude; Dokoko; Dofus Ivoire; Tacleur majeur; Bloqueur majeur; Initiateur majeur; Givrefoux</t>
        </is>
      </c>
    </row>
    <row r="32344">
      <c r="A32344" t="inlineStr">
        <is>
          <t>maj-bebene</t>
        </is>
      </c>
      <c r="B32344">
        <f>HYPERLINK("https://www.dofusbook.net/fr/equipement/4207698-maj-bebene/objets", "link")</f>
        <v/>
      </c>
      <c r="C32344" t="n">
        <v>8</v>
      </c>
      <c r="D32344" t="inlineStr">
        <is>
          <t>Arc corrompu; Amulette Volkorne; Anneau Tique; Bague Gloursonne; Quatre-feuilles; Ceinture Volkorne; Heaume Oplate; Voile d'encre; Bottes Innommables; Dofus Ocre; Dofus Ébène; Dofus Turquoise; Dofus Pourpre; Érudit majeur; Nomade; Bisouglours</t>
        </is>
      </c>
    </row>
    <row r="32345">
      <c r="A32345" t="inlineStr">
        <is>
          <t>Eau-feu new meta</t>
        </is>
      </c>
      <c r="B32345">
        <f>HYPERLINK("https://www.dofusbook.net/fr/equipement/5538799-eau-feu-new-meta/objets", "link")</f>
        <v/>
      </c>
      <c r="C32345" t="n">
        <v>0</v>
      </c>
      <c r="D32345" t="inlineStr">
        <is>
          <t>Arc Nécrotique</t>
        </is>
      </c>
    </row>
    <row r="32346">
      <c r="A32346" t="inlineStr">
        <is>
          <t>maj-bebene</t>
        </is>
      </c>
      <c r="B32346">
        <f>HYPERLINK("https://www.dofusbook.net/fr/equipement/4206097-maj-bebene/objets", "link")</f>
        <v/>
      </c>
      <c r="C32346" t="n">
        <v>14</v>
      </c>
      <c r="D32346" t="inlineStr">
        <is>
          <t>Epée Toche; Amulette Volkorne; Anneau Volkorne; Chevalière du Roi Joueur; Bouclier du Captain Amakna; Ceinture Volkorne; Couronne du Roi Joueur; Voile d'encre; Bottes du Roi Joueur; Dofus des Glaces; Dofus Turquoise; Dofus Ébène; Dofus Ocre; Dolmanax; Dofus Pourpre; Fëanor</t>
        </is>
      </c>
    </row>
    <row r="32347">
      <c r="A32347" t="inlineStr">
        <is>
          <t>maj bebene</t>
        </is>
      </c>
      <c r="B32347">
        <f>HYPERLINK("https://www.dofusbook.net/fr/equipement/4204473-maj-bebene/objets", "link")</f>
        <v/>
      </c>
      <c r="C32347" t="n">
        <v>21</v>
      </c>
      <c r="D32347" t="inlineStr">
        <is>
          <t>Hache du Chalœil; Amulette Volkorne; Anneau Volkorne; Alliance Gloursonne; Quatre-feuilles; Ceinture Volkorne; Casque du Chalœil; Cape du Chalœil; Bottes du Chalœil; Dofus des Glaces; Dofus Pourpre; Dofus Turquoise; Dofus Ébène; Dolmanax; Dofus Ocre; Kokulte</t>
        </is>
      </c>
    </row>
    <row r="32348">
      <c r="A32348" t="inlineStr">
        <is>
          <t>Ecaflip F 200</t>
        </is>
      </c>
      <c r="B32348">
        <f>HYPERLINK("https://www.dofusbook.net/fr/equipement/4907769-ecaflip-f-200/objets", "link")</f>
        <v/>
      </c>
      <c r="C32348" t="n">
        <v>0</v>
      </c>
      <c r="D32348" t="inlineStr">
        <is>
          <t>Arc du Chalœil; Amulette du Strigide; Alliance Gloursonne; Bracelet du Piloztère; Quatre-feuilles; Ceintacé; Casque du Chalœil; Voile d'encre; Bottes du Strigide; Dofus Pourpre; Nomade; Remueur; Chacha Angora</t>
        </is>
      </c>
    </row>
    <row r="32349">
      <c r="A32349" t="inlineStr">
        <is>
          <t>Teste moche</t>
        </is>
      </c>
      <c r="B32349">
        <f>HYPERLINK("https://www.dofusbook.net/fr/equipement/3778290-teste-moche-/objets", "link")</f>
        <v/>
      </c>
      <c r="C32349" t="n">
        <v>5</v>
      </c>
      <c r="D32349" t="inlineStr">
        <is>
          <t>Rouleau à Pâtisserie d'Aermyne; Amulette Volkorne; Anneau de Pol Ouatnos; Anneau Volkorne; Bouclier d'Anerice; Ceinture Volkorne; Dorabysses; Cape Solution; Getas Bernacle; Dofus Ivoire; Dofus Émeraude; Dofus Ocre; Dofus Abyssal; Givrefoux</t>
        </is>
      </c>
    </row>
    <row r="32350">
      <c r="A32350" t="inlineStr">
        <is>
          <t>Omar</t>
        </is>
      </c>
      <c r="B32350">
        <f>HYPERLINK("https://www.dofusbook.net/fr/equipement/4401714-omar-/objets", "link")</f>
        <v/>
      </c>
      <c r="C32350" t="n">
        <v>1</v>
      </c>
      <c r="D32350" t="inlineStr">
        <is>
          <t>Arc du Chalœil; Amulette du Strigide; Anneau de Brouce; Bracelet du Piloztère; Quatre-feuilles; Ceinture Gence; Masque de Koutoulou; Cape au Logis; Bottes de Brouce; Dofus Pourpre; Dofus Turquoise; Enragé majeur; Remueur; Vigoureux majeur; Bulbisou</t>
        </is>
      </c>
    </row>
    <row r="32351">
      <c r="A32351" t="inlineStr">
        <is>
          <t>Sacrieur F 200</t>
        </is>
      </c>
      <c r="B32351">
        <f>HYPERLINK("https://www.dofusbook.net/fr/equipement/4383821-sacrieur-f-200/objets", "link")</f>
        <v/>
      </c>
      <c r="C32351" t="n">
        <v>1</v>
      </c>
      <c r="D32351" t="inlineStr">
        <is>
          <t>Sceptre du Roi Joueur; Amulette de Pol Ouatnos; Anneau Glacial; Goulano; Bouclier du Captain Amakna; Ceinture de la Reine des Voleurs; Kidibonnet; Cape du Chalœil; Bottes de la Reine des Voleurs; Dofus Émeraude; Dofus Ivoire; Dofus Ocre; Bastion majeur; Remueur; Fortification majeure; Wabbit</t>
        </is>
      </c>
    </row>
    <row r="32352">
      <c r="A32352" t="inlineStr">
        <is>
          <t>mdrjparleaupasse</t>
        </is>
      </c>
      <c r="B32352">
        <f>HYPERLINK("https://www.dofusbook.net/fr/equipement/4219822-mdrjparleaupasse/objets", "link")</f>
        <v/>
      </c>
      <c r="C32352" t="n">
        <v>2</v>
      </c>
      <c r="D32352" t="inlineStr">
        <is>
          <t>Sabres d'Atcham; Amulette Volkorne; Anneau Tique; Anneau Volkorne; Bouclier Taverne; Ceinture Volkorne; Heaume Oplate; Cape d'Atcham; Sandales  d'Atcham; Dofus des Glaces; Dofus Ocre; Dolmanax; Dofus Turquoise; Dofus Abyssal; Dofus Pourpre; Kokulte</t>
        </is>
      </c>
    </row>
    <row r="32353">
      <c r="A32353" t="inlineStr">
        <is>
          <t>Xélor M 200</t>
        </is>
      </c>
      <c r="B32353">
        <f>HYPERLINK("https://www.dofusbook.net/fr/equipement/4300634-xelor-m-200/objets", "link")</f>
        <v/>
      </c>
      <c r="C32353" t="n">
        <v>0</v>
      </c>
      <c r="D32353" t="inlineStr">
        <is>
          <t>Arc de Laikteur; Amulette du Strigide; Anneau de Padgref; Bague Gloursonne; Quatre-feuilles; Ceinture du Strigide; Coiffe de Padgref; Voile d'encre; Getas de Padgref; Dofus Ocre; Dofus Abyssal; Dofus Ivoire; Dofus Turquoise; Voyageur; Examinateur; Kokulte</t>
        </is>
      </c>
    </row>
    <row r="32354">
      <c r="A32354" t="inlineStr">
        <is>
          <t>panda eau</t>
        </is>
      </c>
      <c r="B32354">
        <f>HYPERLINK("https://www.dofusbook.net/fr/equipement/3798638-panda-eau/objets", "link")</f>
        <v/>
      </c>
      <c r="C32354" t="n">
        <v>0</v>
      </c>
      <c r="D32354" t="inlineStr">
        <is>
          <t>Sceptre du Roi Joueur; Amulette de Shokkoth; Anneau Volkorne; Alliance Gloursonne; Bouclier d'Anerice; Pagne du Rykaon; Capuche de l'Œil Attentif; Cape de l'Œil Attentif; Sandales  d'Atcham; Dofus Turquoise; Dofus Ocre; Dofus Pourpre; Nomade; Remueur; Vigoureux majeur; Kougnard</t>
        </is>
      </c>
    </row>
    <row r="32355">
      <c r="A32355" t="inlineStr">
        <is>
          <t>feu-eau</t>
        </is>
      </c>
      <c r="B32355">
        <f>HYPERLINK("https://www.dofusbook.net/fr/equipement/4219846-feu-eau/objets", "link")</f>
        <v/>
      </c>
      <c r="C32355" t="n">
        <v>1</v>
      </c>
      <c r="D32355" t="inlineStr">
        <is>
          <t>Arc Nécrotique; Amulette Volkorne; Anneau Volkorne; Anneau Tique; Quatre-feuilles; Ceinture de l'Esprit Malsain; Casquette de Meno; Cape de la Dame du Hasard; Pataugastrique; Dofus Turquoise; Dofus Abyssal; Dofus Pourpre; Dofus Ocre; Vigoureux majeur; Nomade; Kokulte</t>
        </is>
      </c>
    </row>
    <row r="32356">
      <c r="A32356" t="inlineStr">
        <is>
          <t>do pou</t>
        </is>
      </c>
      <c r="B32356">
        <f>HYPERLINK("https://www.dofusbook.net/fr/equipement/2902604-do-pou-/objets", "link")</f>
        <v/>
      </c>
      <c r="C32356" t="n">
        <v>2</v>
      </c>
      <c r="D32356" t="inlineStr">
        <is>
          <t>Lav'Hache; Torquistik; Bague Instable; Bague Trithon; Bouclier précieux; Sangle Ouare; Casque Dragoeuf; Cape Solution; Bottistik; Dofus Abyssal; Dofus Ivoire; Culbuteur; Culbuteur majeur; Pousseur majeur; Bousculeur majeur; Volkorne Roux</t>
        </is>
      </c>
    </row>
    <row r="32357">
      <c r="A32357" t="inlineStr">
        <is>
          <t>Sram F 200</t>
        </is>
      </c>
      <c r="B32357">
        <f>HYPERLINK("https://www.dofusbook.net/fr/equipement/3432062-sram-f-200/objets", "link")</f>
        <v/>
      </c>
      <c r="C32357" t="n">
        <v>0</v>
      </c>
      <c r="D32357" t="inlineStr">
        <is>
          <t>Amulette de Nevark; Anneau d'Allister; Alliance Gloursonne; Ceinture de Nevark; Couronne d'Allister; Cape de Nevark; Bottes d'Allister; Dofus des Glaces; Dolmanax; Dofus Ocre; Robuste majeur</t>
        </is>
      </c>
    </row>
    <row r="32358">
      <c r="A32358" t="inlineStr">
        <is>
          <t>stuff eau/feu</t>
        </is>
      </c>
      <c r="B32358">
        <f>HYPERLINK("https://www.dofusbook.net/fr/equipement/3095530-stuff-eau-feu/objets", "link")</f>
        <v/>
      </c>
      <c r="C32358" t="n">
        <v>2</v>
      </c>
      <c r="D32358" t="inlineStr">
        <is>
          <t>Arc Nécrotique; Collier de la Dame du Hasard; Alliance Gloursonne; Bracelet du Piloztère; Quatre-feuilles; Ceintrigue; Coiffe Cryochrone; Cape de la Dame du Hasard; Pataugastrique; Dolmanax; Dofus Turquoise; Dofus Pourpre; Nomade; Vigoureux majeur; Remueur; Muldo Prune et Emeraude</t>
        </is>
      </c>
    </row>
    <row r="32359">
      <c r="A32359" t="inlineStr">
        <is>
          <t>vrai stuff eau</t>
        </is>
      </c>
      <c r="B32359">
        <f>HYPERLINK("https://www.dofusbook.net/fr/equipement/3089916-vrai-stuff-eau-/objets", "link")</f>
        <v/>
      </c>
      <c r="C32359" t="n">
        <v>2</v>
      </c>
      <c r="D32359" t="inlineStr">
        <is>
          <t>Sceptre du Roi Joueur; Amulette de Shokkoth; Bracelet des Fonds marins; Alliance Gloursonne; Bouclier d'Anerice; Poulpagne; Masque d'Anerice; Cape de Mantaze; Getas Bernacle; Dofus Pourpre; Obstructeur majeur; Vigoureux majeur; Fonceur majeur; Remueur; Chanceux majeur; Muldo Indigo</t>
        </is>
      </c>
    </row>
    <row r="32360">
      <c r="A32360" t="inlineStr">
        <is>
          <t>stuff retour</t>
        </is>
      </c>
      <c r="B32360">
        <f>HYPERLINK("https://www.dofusbook.net/fr/equipement/3012099-stuff-retour-/objets", "link")</f>
        <v/>
      </c>
      <c r="C32360" t="n">
        <v>0</v>
      </c>
      <c r="D32360" t="inlineStr">
        <is>
          <t>Baguette des égarés; Amulette de Pol Ouatnos; Bracelet du Piloztère; Alliance Gloursonne; Bouclier du Stalak; Ceinture de la Reine des Voleurs; Coiffe de la Reine des Voleurs; Voile d'encre; Pataugastrique; Dofus Pourpre; Fonceur majeur; Nomade; Vigoureux majeur; Remueur; El Scarador</t>
        </is>
      </c>
    </row>
    <row r="32361">
      <c r="A32361" t="inlineStr">
        <is>
          <t>Stuff retour</t>
        </is>
      </c>
      <c r="B32361">
        <f>HYPERLINK("https://www.dofusbook.net/fr/equipement/3012351-stuff-retour/objets", "link")</f>
        <v/>
      </c>
      <c r="C32361" t="n">
        <v>0</v>
      </c>
      <c r="D32361" t="inlineStr">
        <is>
          <t>Arc du Chalœil; Amulette du Strigide; Bracelet du Piloztère; Bague Gloursonne; Quatre-feuilles; Ceintacé; Chapeau de Gein; Cape de la Cour Sombre; Bottes du Strigide; Dofus Turquoise; Dofus Pourpre; Nomade; Remueur; Vigoureux majeur; Enragé majeur; Muldo Prune et Emeraude</t>
        </is>
      </c>
    </row>
    <row r="32362">
      <c r="A32362" t="inlineStr">
        <is>
          <t>Stuff retour</t>
        </is>
      </c>
      <c r="B32362">
        <f>HYPERLINK("https://www.dofusbook.net/fr/equipement/3012211-stuff-retour-/objets", "link")</f>
        <v/>
      </c>
      <c r="C32362" t="n">
        <v>2</v>
      </c>
      <c r="D32362" t="inlineStr">
        <is>
          <t>Marteau de Katrepat; Amulette du Strigide; Alliance Brûlâme; Bague Gloursonne; Bouclier du Captain Amakna; Ceinture du Strigide; Masque de Koutoulou; Voile d'encre; Bottes du Cycloïde; Dofus Nébuleux; Dofus Abyssal; Dofus Pourpre; Dofus Turquoise; Remueur; Vigoureux majeur; Muldo Prune et Emeraude</t>
        </is>
      </c>
    </row>
    <row r="32363">
      <c r="A32363" t="inlineStr">
        <is>
          <t>stuff retour</t>
        </is>
      </c>
      <c r="B32363">
        <f>HYPERLINK("https://www.dofusbook.net/fr/equipement/3012044-stuff-retour/objets", "link")</f>
        <v/>
      </c>
      <c r="C32363" t="n">
        <v>0</v>
      </c>
      <c r="D32363" t="inlineStr">
        <is>
          <t>Manthache; Collier du Valet Veinard; Gant du Valet Veinard; Alliance Gloursonne; Bouclier du Stalak; Menoture; Couronne d'Allister; Cape Indescriptible; Palmes Trithons; Dofus Pourpre; Cascadeur majeur; Vigoureux majeur; Remueur; Nomade; Muldo Doré et Amande</t>
        </is>
      </c>
    </row>
    <row r="32364">
      <c r="A32364" t="inlineStr">
        <is>
          <t>ECA CC</t>
        </is>
      </c>
      <c r="B32364">
        <f>HYPERLINK("https://www.dofusbook.net/fr/equipement/2591593-eca-cc/objets", "link")</f>
        <v/>
      </c>
      <c r="C32364" t="n">
        <v>3</v>
      </c>
      <c r="D32364" t="inlineStr">
        <is>
          <t>Hache du Chalœil; Amulette du Strigide; Bracelet du Piloztère; Alliance Gloursonne; Goulclier; Ceintacé; Masque de l'Esprit Salvateur; Voile d'encre; Bottes du Strigide; Dolmanax; Dofus des Glaces; Dofus Pourpre; Dofus Ocre; Robuste majeur; Vigoureux majeur; Muldo Doré et Emeraude</t>
        </is>
      </c>
    </row>
    <row r="32365">
      <c r="A32365" t="inlineStr">
        <is>
          <t>Nevark</t>
        </is>
      </c>
      <c r="B32365">
        <f>HYPERLINK("https://www.dofusbook.net/fr/equipement/2311799-nevark/objets", "link")</f>
        <v/>
      </c>
      <c r="C32365" t="n">
        <v>0</v>
      </c>
      <c r="D32365" t="inlineStr">
        <is>
          <t>Kask'Arc Go; Amulette du Wabbit Céphale; Anneau Skargo; Anneau du Wabbit Céphale; Bouclier du Bûcheron; Ceinture Sula; Kaskargo; Cape Fulgurante; Bottes du Wabbit Céphale; Dofus Cawotte; Dofus Pourpre; Dokoko; Dofus Émeraude; Phorror</t>
        </is>
      </c>
    </row>
    <row r="32366">
      <c r="A32366" t="inlineStr">
        <is>
          <t>new stuff</t>
        </is>
      </c>
      <c r="B32366">
        <f>HYPERLINK("https://www.dofusbook.net/fr/equipement/2033732-new-stuff/objets", "link")</f>
        <v/>
      </c>
      <c r="C32366" t="n">
        <v>0</v>
      </c>
      <c r="D32366" t="inlineStr">
        <is>
          <t>Arc de Koutoulou; Amulette de l'Œil Attentif; Alliance Gloursonne; Bracelet du Piloztère; Quatre-feuilles; Menoture; Némès de Tal Kasha; Chevelure de Tal Kasha; Sandales  d'Atcham; Dofus Pourpre; Dofus Turquoise; Dolmanax; Vigoureux majeur; Remueur; Muldo Prune et Doré</t>
        </is>
      </c>
    </row>
    <row r="32367">
      <c r="A32367" t="inlineStr">
        <is>
          <t>stuff pvm eca cheat</t>
        </is>
      </c>
      <c r="B32367">
        <f>HYPERLINK("https://www.dofusbook.net/fr/equipement/2017290-stuff-pvm-eca-cheat/objets", "link")</f>
        <v/>
      </c>
      <c r="C32367" t="n">
        <v>2</v>
      </c>
      <c r="D32367" t="inlineStr">
        <is>
          <t>Hache du Chalœil; Amulette du Strigide; Alliance Gloursonne; Bracelet du Piloztère; Quatre-feuilles; Ceintacé; Casque du Chalœil; Voile d'encre; Bottes du Strigide; Dofus des Glaces; Dofus Ocre; Dofus Pourpre; Dofus Abyssal; Dofus Turquoise; Dolmanax; Muldo Prune et Doré</t>
        </is>
      </c>
    </row>
    <row r="32368">
      <c r="A32368" t="inlineStr">
        <is>
          <t>Eau/air do cri nul</t>
        </is>
      </c>
      <c r="B32368">
        <f>HYPERLINK("https://www.dofusbook.net/fr/equipement/1986291-eau-air-do-cri-nul/objets", "link")</f>
        <v/>
      </c>
      <c r="C32368" t="n">
        <v>0</v>
      </c>
      <c r="D32368" t="inlineStr">
        <is>
          <t>Arc de Koutoulou; Amulette du Strigide; Bracelet du Piloztère; Alliance Gloursonne; Quatre-feuilles; Ceinture du Strigide; Némès de Tal Kasha; Chevelure de Tal Kasha; Sandales de Tal Kasha; Dofus Pourpre; Dofus Ocre; Dofus des Glaces; Dofus Turquoise; Dofus Abyssal; Dolmanax; Muldo Prune et Emeraude</t>
        </is>
      </c>
    </row>
    <row r="32369">
      <c r="A32369" t="inlineStr">
        <is>
          <t>maj 2.43</t>
        </is>
      </c>
      <c r="B32369">
        <f>HYPERLINK("https://www.dofusbook.net/fr/equipement/1974967-maj-2-43/objets", "link")</f>
        <v/>
      </c>
      <c r="C32369" t="n">
        <v>0</v>
      </c>
      <c r="D32369" t="inlineStr"/>
    </row>
    <row r="32370">
      <c r="A32370" t="inlineStr">
        <is>
          <t>Stuff 2</t>
        </is>
      </c>
      <c r="B32370">
        <f>HYPERLINK("https://www.dofusbook.net/fr/equipement/1322587-stuff-2/objets", "link")</f>
        <v/>
      </c>
      <c r="C32370" t="n">
        <v>0</v>
      </c>
      <c r="D32370" t="inlineStr">
        <is>
          <t>Sabres d'Atcham; Amulette Ementaire Deluxe; Alliance Gloursonne; Bague Gloursonne; Ceinture Voldelor; Masque de Koutoulou; Dofusteuse; Bottes de l'Indicible; Dofus des Glaces; Dofus Pourpre; Remueur; Nomade; Croum</t>
        </is>
      </c>
    </row>
    <row r="32371">
      <c r="A32371" t="inlineStr">
        <is>
          <t>Stuff 3</t>
        </is>
      </c>
      <c r="B32371">
        <f>HYPERLINK("https://www.dofusbook.net/fr/equipement/1322555-stuff-3/objets", "link")</f>
        <v/>
      </c>
      <c r="C32371" t="n">
        <v>0</v>
      </c>
      <c r="D32371" t="inlineStr">
        <is>
          <t>Sabres d'Atcham; Amulette du Strigide; Kralano; Anneau Tique; Ceintrigue; Chapeau des Malveilleurs; Cape des Malveilleurs; Pataugastrique; Dofus Turquoise; Dofus Pourpre; Remueur; Chanceux majeur; Vigoureux majeur; Nomade; Kramkram</t>
        </is>
      </c>
    </row>
    <row r="32372">
      <c r="A32372" t="inlineStr">
        <is>
          <t>Stuff 3</t>
        </is>
      </c>
      <c r="B32372">
        <f>HYPERLINK("https://www.dofusbook.net/fr/equipement/1322582-stuff-3/objets", "link")</f>
        <v/>
      </c>
      <c r="C32372" t="n">
        <v>0</v>
      </c>
      <c r="D32372" t="inlineStr">
        <is>
          <t>Dagues Érhy; Amulette du Cycloïde; Anneau du Katcheur; Anneau du Cycloïde; Ceinture de Gein; Masque du Katcheur; Voile d'encre; Bottes du Katcheur; Dofus des Glaces; Dofus Ocre; Dofus Turquoise; Dolmanax; Dofus Émeraude; Dofus Pourpre; Dragodinde Prune et Emeraude</t>
        </is>
      </c>
    </row>
    <row r="32373">
      <c r="A32373" t="inlineStr">
        <is>
          <t>Stuff 1</t>
        </is>
      </c>
      <c r="B32373">
        <f>HYPERLINK("https://www.dofusbook.net/fr/equipement/1322577-stuff-1/objets", "link")</f>
        <v/>
      </c>
      <c r="C32373" t="n">
        <v>0</v>
      </c>
      <c r="D32373" t="inlineStr">
        <is>
          <t>Épée du Granduk; Amulette du Granduk; Alliance Gloursonne; Bracelet du Piloztère; Ceinture Rasboulaire du Rasboul; Masque du Granduk; Cape de Klime; Bottes du Cycloïde; Dofus Turquoise; Dofus Ocre; Dofus des Glaces; Dofus Pourpre; Insaisissable majeur; Fugitif majeur; Kramkram</t>
        </is>
      </c>
    </row>
    <row r="32374">
      <c r="A32374" t="inlineStr">
        <is>
          <t>Stuff 2</t>
        </is>
      </c>
      <c r="B32374">
        <f>HYPERLINK("https://www.dofusbook.net/fr/equipement/1322572-stuff-2/objets", "link")</f>
        <v/>
      </c>
      <c r="C32374" t="n">
        <v>0</v>
      </c>
      <c r="D32374" t="inlineStr">
        <is>
          <t>Épouvante; Amulette Luminescente; Bracelet des Fonds marins; Bague Gloursonne; Ceinture de la Reine des Voleurs; Masque de Koutoulou; Cape Luminescente; Pantoufles du Piloztère; Dofus des Glaces; Dofus Pourpre; Dofus Turquoise; Fonceur majeur; Nomade; Remueur; Péki</t>
        </is>
      </c>
    </row>
    <row r="32375">
      <c r="A32375" t="inlineStr">
        <is>
          <t>Stuff 3</t>
        </is>
      </c>
      <c r="B32375">
        <f>HYPERLINK("https://www.dofusbook.net/fr/equipement/1322567-stuff-3/objets", "link")</f>
        <v/>
      </c>
      <c r="C32375" t="n">
        <v>0</v>
      </c>
      <c r="D32375" t="inlineStr">
        <is>
          <t>Pelle Dorado; Amulette du Glourséleste; Alliance Gloursonne; Pikano; Ceinture Glaciale; Casquipik; Cape de Léthaline; Pantoufles Émar; Chanceux majeur; Temporiseur; Temporiseur majeur; Entraveur majeur; Ralentisseur majeur; Remueur; Tifoux</t>
        </is>
      </c>
    </row>
    <row r="32376">
      <c r="A32376" t="inlineStr">
        <is>
          <t>Stuff 2</t>
        </is>
      </c>
      <c r="B32376">
        <f>HYPERLINK("https://www.dofusbook.net/fr/equipement/1322599-stuff-2/objets", "link")</f>
        <v/>
      </c>
      <c r="C32376" t="n">
        <v>0</v>
      </c>
      <c r="D32376" t="inlineStr">
        <is>
          <t>Marteau R'ture; Amulette du Strigide; Bague Gloursonne; Anneau de Brouce; Ceinture de la Cour Sombre; Masque de Koutoulou; Voile d'encre; Bottes de la Cour Sombre; Dofus Turquoise; Dofus Pourpre; Enragé majeur; Nomade; Remueur; Obstructeur majeur; Muldo Ebène et Orchidée</t>
        </is>
      </c>
    </row>
    <row r="32377">
      <c r="A32377" t="inlineStr">
        <is>
          <t>Stuff 1</t>
        </is>
      </c>
      <c r="B32377">
        <f>HYPERLINK("https://www.dofusbook.net/fr/equipement/1322562-stuff-1/objets", "link")</f>
        <v/>
      </c>
      <c r="C32377" t="n">
        <v>0</v>
      </c>
      <c r="D32377" t="inlineStr">
        <is>
          <t>Epée Gloursonne; Amulette de Gein; Bague Gloursonne; Alliance Gloursonne; Ceinture de Gein; Chapeau de Gein; Voile d'encre; Bottes du Cycloïde; Dolmanax; Dofus des Glaces; Dofus Turquoise; Dofus Pourpre; Dofus Ocre; Voyageur; Dragodinde en armure</t>
        </is>
      </c>
    </row>
    <row r="32378">
      <c r="A32378" t="inlineStr">
        <is>
          <t>Stuff 1</t>
        </is>
      </c>
      <c r="B32378">
        <f>HYPERLINK("https://www.dofusbook.net/fr/equipement/1322594-stuff-1/objets", "link")</f>
        <v/>
      </c>
      <c r="C32378" t="n">
        <v>0</v>
      </c>
      <c r="D32378" t="inlineStr">
        <is>
          <t>Marteau des Anciens Steamers; Amulette du Strigide; Bracelet du Piloztère; Alliance Gloursonne; Ceinture Voldelor; Chapeau des Malveilleurs; Cape d'Hel Munster; Bottes Voldelor; Dofus des Glaces; Dofus Ocre; Dofus Pourpre; Dofus Turquoise; Remueur; Nomade; Kramkram</t>
        </is>
      </c>
    </row>
    <row r="32379">
      <c r="A32379" t="inlineStr">
        <is>
          <t>Stuff 3</t>
        </is>
      </c>
      <c r="B32379">
        <f>HYPERLINK("https://www.dofusbook.net/fr/equipement/1322573-stuff-3/objets", "link")</f>
        <v/>
      </c>
      <c r="C32379" t="n">
        <v>0</v>
      </c>
      <c r="D32379" t="inlineStr">
        <is>
          <t>Epée Gloursonne; Amulette du Strigide; Alliance Gloursonne; Bague Gloursonne; Ceinture de la Reine des Voleurs; Coiffe de la Reine des Voleurs; Voile d'encre; Bottes de la Reine des Voleurs; Dofus Ocre; Dofus des Glaces; Dofus Émeraude; Dofus Pourpre; Dofus Turquoise; Furibond majeur; Dragodinde Emeraude et Rousse</t>
        </is>
      </c>
    </row>
    <row r="32380">
      <c r="A32380" t="inlineStr">
        <is>
          <t>Stuff 1</t>
        </is>
      </c>
      <c r="B32380">
        <f>HYPERLINK("https://www.dofusbook.net/fr/equipement/1322600-stuff-1/objets", "link")</f>
        <v/>
      </c>
      <c r="C32380" t="n">
        <v>0</v>
      </c>
      <c r="D32380" t="inlineStr">
        <is>
          <t>Manthache; Collier du Valet Veinard; Alliance Gloursonne; Gant du Valet Veinard; Menoture; Couronne d'Allister; Cape Indescriptible; Palmes Trithons; Dofus Pourpre; Vigoureux majeur; Nomade; Remueur; Dévastateur Air majeur; Cascadeur majeur; Siroko</t>
        </is>
      </c>
    </row>
    <row r="32381">
      <c r="A32381" t="inlineStr">
        <is>
          <t>Stuff 1</t>
        </is>
      </c>
      <c r="B32381">
        <f>HYPERLINK("https://www.dofusbook.net/fr/equipement/1322568-stuff-1/objets", "link")</f>
        <v/>
      </c>
      <c r="C32381" t="n">
        <v>0</v>
      </c>
      <c r="D32381" t="inlineStr">
        <is>
          <t>Epée Gloursonne; Amulette du Strigide; Alliance Gloursonne; Bague Gloursonne; Ceinture du Strigide; Masque du Katcheur; Voile d'encre; Bottes du Strigide; Dolmanax; Dofus des Glaces; Dofus Ocre; Dofus Nébuleux; Dofus Pourpre; Taquin majeur; Kramkram</t>
        </is>
      </c>
    </row>
    <row r="32382">
      <c r="A32382" t="inlineStr">
        <is>
          <t>Stuff 2</t>
        </is>
      </c>
      <c r="B32382">
        <f>HYPERLINK("https://www.dofusbook.net/fr/equipement/1322563-stuff-2/objets", "link")</f>
        <v/>
      </c>
      <c r="C32382" t="n">
        <v>0</v>
      </c>
      <c r="D32382" t="inlineStr">
        <is>
          <t>Dagues Érhy; Amulette du Strigide; Bague Gloursonne; Alliance Gloursonne; Ceinture du Strigide; Casque de Missiz Frizz; Voile d'encre; Bottes du Strigide; Dofus Pourpre; Dofus Turquoise; Dofus Ocre; Voyageur; Furibond majeur; Forcené majeur; Kwaltess</t>
        </is>
      </c>
    </row>
    <row r="32383">
      <c r="A32383" t="inlineStr">
        <is>
          <t>Stuff 2</t>
        </is>
      </c>
      <c r="B32383">
        <f>HYPERLINK("https://www.dofusbook.net/fr/equipement/1322595-stuff-2/objets", "link")</f>
        <v/>
      </c>
      <c r="C32383" t="n">
        <v>0</v>
      </c>
      <c r="D32383" t="inlineStr">
        <is>
          <t>Sabres d'Atcham; Amulette du Strigide; Bracelet du Piloztère; Alliance Gloursonne; Ceintacé; Chapeau des Malveilleurs; Voile d'encre; Bottes du Strigide; Dofus Turquoise; Dolmanax; Dofus Pourpre; Remueur; Nomade; Kramkram</t>
        </is>
      </c>
    </row>
    <row r="32384">
      <c r="A32384" t="inlineStr">
        <is>
          <t>Stuff 3</t>
        </is>
      </c>
      <c r="B32384">
        <f>HYPERLINK("https://www.dofusbook.net/fr/equipement/1322558-stuff-3/objets", "link")</f>
        <v/>
      </c>
      <c r="C32384" t="n">
        <v>0</v>
      </c>
      <c r="D32384" t="inlineStr">
        <is>
          <t>Epée Gloursonne; Amulette du Strigide; Alliance du Lévitrof; Bague Gloursonne; Ceinture du Strigide; Coiffe du Lévitrof; Voile d'encre; Bottes du Lévitrof; Dofus Pourpre; Dofus Turquoise; Dofus Cawotte; Dofus Ocre; Entraveur majeur; Taquin majeur; Dragodinde Prune et Emeraude</t>
        </is>
      </c>
    </row>
    <row r="32385">
      <c r="A32385" t="inlineStr">
        <is>
          <t>Stuff 1</t>
        </is>
      </c>
      <c r="B32385">
        <f>HYPERLINK("https://www.dofusbook.net/fr/equipement/1322553-stuff-1/objets", "link")</f>
        <v/>
      </c>
      <c r="C32385" t="n">
        <v>0</v>
      </c>
      <c r="D32385" t="inlineStr">
        <is>
          <t>Plumeau Bil; Amulette d'Otomaï; Anneau Tique; Bague Gloursonne; Ceinture de Vortex; Cagoule de Vortex; Voile d'encre; Pataugastrique; Dofus Turquoise; Étourdisseur majeur; Observateur; Remueur; Carapace Neutre majeur; Nomade; El Scarador</t>
        </is>
      </c>
    </row>
    <row r="32386">
      <c r="A32386" t="inlineStr">
        <is>
          <t>Stuff 3</t>
        </is>
      </c>
      <c r="B32386">
        <f>HYPERLINK("https://www.dofusbook.net/fr/equipement/1322585-stuff-3/objets", "link")</f>
        <v/>
      </c>
      <c r="C32386" t="n">
        <v>0</v>
      </c>
      <c r="D32386" t="inlineStr">
        <is>
          <t>Marteau des Anciens Steamers; Amulette du Strigide; Alliance Gloursonne; Bracelet du Piloztère; Ceinture du Barbétoal; Coiffe de la Reine des Voleurs; Cape d'Hel Munster; Bottes de la Reine des Voleurs; Dofus Turquoise; Dofus Pourpre; Dofus des Glaces; Dofus Ocre; Nomade; Remueur; Kramkram</t>
        </is>
      </c>
    </row>
    <row r="32387">
      <c r="A32387" t="inlineStr">
        <is>
          <t>Stuff 1</t>
        </is>
      </c>
      <c r="B32387">
        <f>HYPERLINK("https://www.dofusbook.net/fr/equipement/1322580-stuff-1/objets", "link")</f>
        <v/>
      </c>
      <c r="C32387" t="n">
        <v>0</v>
      </c>
      <c r="D32387" t="inlineStr">
        <is>
          <t>Épée de la Reine des Voleurs; Amulette de Nevark; Bague Gloursonne; Anneau des égarés; Ceinture de Nevark; Casque des égarés; Cape de Nevark; Bottes des égarés; Dofus Pourpre; Dofus des Glaces; Dofus Ocre; Dolmanax; Dofus Émeraude; Insaisissable majeur; Kramkram</t>
        </is>
      </c>
    </row>
    <row r="32388">
      <c r="A32388" t="inlineStr">
        <is>
          <t>Stuff 2</t>
        </is>
      </c>
      <c r="B32388">
        <f>HYPERLINK("https://www.dofusbook.net/fr/equipement/1322575-stuff-2/objets", "link")</f>
        <v/>
      </c>
      <c r="C32388" t="n">
        <v>0</v>
      </c>
      <c r="D32388" t="inlineStr">
        <is>
          <t>Dagues Érhy; Amulette du Strigide; Bracelet du Piloztère; Bague Gloursonne; Ceintacé; Chapeau de Gein; Voile d'encre; Bottes du Strigide; Dofus des Glaces; Dofus Turquoise; Enragé majeur; Remueur; Carapace Feu majeur; Nomade; Kramkram</t>
        </is>
      </c>
    </row>
    <row r="32389">
      <c r="A32389" t="inlineStr">
        <is>
          <t>Stuff 3</t>
        </is>
      </c>
      <c r="B32389">
        <f>HYPERLINK("https://www.dofusbook.net/fr/equipement/1322570-stuff-3/objets", "link")</f>
        <v/>
      </c>
      <c r="C32389" t="n">
        <v>0</v>
      </c>
      <c r="D32389" t="inlineStr">
        <is>
          <t>Sabres d'Atcham; Amulette du Strigide; Bague Gloursonne; Bracelet du Piloztère; Ceintacé; Chapoulpe; Voile d'encre; Bottes du Strigide; Dofus Turquoise; Dofus Nébuleux; Dolmanax; Dofus Pourpre; Nomade; Remueur; Kramkram</t>
        </is>
      </c>
    </row>
    <row r="32390">
      <c r="A32390" t="inlineStr">
        <is>
          <t>Stuff 1</t>
        </is>
      </c>
      <c r="B32390">
        <f>HYPERLINK("https://www.dofusbook.net/fr/equipement/1322565-stuff-1/objets", "link")</f>
        <v/>
      </c>
      <c r="C32390" t="n">
        <v>0</v>
      </c>
      <c r="D32390" t="inlineStr">
        <is>
          <t>Rapière aux Glyphes; Talisman Glouti; Alliance Gloursonne; Pikano; Sangle Ouare; Kidibonnet; Cape du Sinistrofu; Bottes du Sinistrofu; Ralentisseur majeur; Temporiseur majeur; Chanceux majeur; Nomade; Entraveur majeur; Remueur; Dehluge</t>
        </is>
      </c>
    </row>
    <row r="32391">
      <c r="A32391" t="inlineStr">
        <is>
          <t>Stuff 1</t>
        </is>
      </c>
      <c r="B32391">
        <f>HYPERLINK("https://www.dofusbook.net/fr/equipement/1322597-stuff-1/objets", "link")</f>
        <v/>
      </c>
      <c r="C32391" t="n">
        <v>0</v>
      </c>
      <c r="D32391" t="inlineStr">
        <is>
          <t>Marteau des Anciens Steamers; Amulette du Strigide; Alliance Gloursonne; Bracelet du Piloztère; Ceinture du Barbétoal; Némès de Tal Kasha; Chevelure de Tal Kasha; Bottes Voldelor; Dofus des Glaces; Dofus Turquoise; Dofus Ocre; Dofus Pourpre; Nomade; Remueur; Kramkram</t>
        </is>
      </c>
    </row>
    <row r="32392">
      <c r="A32392" t="inlineStr">
        <is>
          <t>Stuff 2</t>
        </is>
      </c>
      <c r="B32392">
        <f>HYPERLINK("https://www.dofusbook.net/fr/equipement/1322560-stuff-2/objets", "link")</f>
        <v/>
      </c>
      <c r="C32392" t="n">
        <v>0</v>
      </c>
      <c r="D32392" t="inlineStr">
        <is>
          <t>Dagoulinantes; Amulette de Shokkoth; Pikano; Alliance Gloursonne; Poulpagne; Masque des Fonds marins; Cape Luminescente; Sandales des Fonds marins; Dofus Turquoise; Carapace Eau majeur; Nomade; Déserteur majeur; Chanceux majeur; Remueur; Dragodinde Amande et Emeraude</t>
        </is>
      </c>
    </row>
    <row r="32393">
      <c r="A32393" t="inlineStr">
        <is>
          <t>Stuff 2</t>
        </is>
      </c>
      <c r="B32393">
        <f>HYPERLINK("https://www.dofusbook.net/fr/equipement/1322592-stuff-2/objets", "link")</f>
        <v/>
      </c>
      <c r="C32393" t="n">
        <v>0</v>
      </c>
      <c r="D32393" t="inlineStr">
        <is>
          <t>Épée du Granduk; Amulette du Granduk; Anneau de Pol Ouatnos; Alliance Gloursonne; Sangle Ouare; Coiffe du Comte Harebourg; Cape des Malveilleurs; Pataugastrique; Cascadeur majeur; Bloqueur; Tacleur majeur; Bloqueur majeur; Obstructeur; Obstructeur majeur; Blokus</t>
        </is>
      </c>
    </row>
    <row r="32394">
      <c r="A32394" t="inlineStr">
        <is>
          <t>Stuff 3</t>
        </is>
      </c>
      <c r="B32394">
        <f>HYPERLINK("https://www.dofusbook.net/fr/equipement/1322555-stuff-3/objets", "link")</f>
        <v/>
      </c>
      <c r="C32394" t="n">
        <v>0</v>
      </c>
      <c r="D32394" t="inlineStr">
        <is>
          <t>Sabres d'Atcham; Amulette du Strigide; Anneau Tique; Kralano; Ceintrigue; Chapeau des Malveilleurs; Cape des Malveilleurs; Pataugastrique; Dofus Turquoise; Dofus Pourpre; Vigoureux majeur; Nomade; Remueur; Chanceux majeur; Kramkram</t>
        </is>
      </c>
    </row>
    <row r="32395">
      <c r="A32395" t="inlineStr">
        <is>
          <t>Stuff 2</t>
        </is>
      </c>
      <c r="B32395">
        <f>HYPERLINK("https://www.dofusbook.net/fr/equipement/1322587-stuff-2/objets", "link")</f>
        <v/>
      </c>
      <c r="C32395" t="n">
        <v>0</v>
      </c>
      <c r="D32395" t="inlineStr">
        <is>
          <t>Sabres d'Atcham; Amulette Ementaire Deluxe; Bague Gloursonne; Alliance Gloursonne; Ceinture Voldelor; Masque de Koutoulou; Dofusteuse; Bottes de l'Indicible; Dofus des Glaces; Dofus Pourpre; Nomade; Remueur; Croum</t>
        </is>
      </c>
    </row>
    <row r="32396">
      <c r="A32396" t="inlineStr">
        <is>
          <t>Stuff 3</t>
        </is>
      </c>
      <c r="B32396">
        <f>HYPERLINK("https://www.dofusbook.net/fr/equipement/1322582-stuff-3/objets", "link")</f>
        <v/>
      </c>
      <c r="C32396" t="n">
        <v>0</v>
      </c>
      <c r="D32396" t="inlineStr">
        <is>
          <t>Dagues Érhy; Amulette du Cycloïde; Anneau du Cycloïde; Anneau du Katcheur; Ceinture de Gein; Masque du Katcheur; Voile d'encre; Bottes du Katcheur; Dolmanax; Dofus Émeraude; Dofus Pourpre; Dofus des Glaces; Dofus Ocre; Dofus Turquoise; Dragodinde Prune et Emeraude</t>
        </is>
      </c>
    </row>
    <row r="32397">
      <c r="A32397" t="inlineStr">
        <is>
          <t>Stuff 1</t>
        </is>
      </c>
      <c r="B32397">
        <f>HYPERLINK("https://www.dofusbook.net/fr/equipement/1322577-stuff-1/objets", "link")</f>
        <v/>
      </c>
      <c r="C32397" t="n">
        <v>0</v>
      </c>
      <c r="D32397" t="inlineStr">
        <is>
          <t>Épée du Granduk; Amulette du Granduk; Bracelet du Piloztère; Alliance Gloursonne; Ceinture Rasboulaire du Rasboul; Masque du Granduk; Cape de Klime; Bottes du Cycloïde; Dofus Ocre; Dofus des Glaces; Dofus Pourpre; Dofus Turquoise; Insaisissable majeur; Fugitif majeur; Kramkram</t>
        </is>
      </c>
    </row>
    <row r="32398">
      <c r="A32398" t="inlineStr">
        <is>
          <t>Stuff 3</t>
        </is>
      </c>
      <c r="B32398">
        <f>HYPERLINK("https://www.dofusbook.net/fr/equipement/1322588-stuff-3/objets", "link")</f>
        <v/>
      </c>
      <c r="C32398" t="n">
        <v>0</v>
      </c>
      <c r="D32398" t="inlineStr">
        <is>
          <t>Marteau des Anciens Steamers; Amulette du Strigide; Bracelet du Piloztère; Alliance Gloursonne; Ceinture Voldelor; Chapeau des Malveilleurs; Cape d'Hel Munster; Bottes Voldelor; Dofus Ocre; Dofus Pourpre; Dofus Turquoise; Dofus des Glaces; Nomade; Remueur; Kramkram</t>
        </is>
      </c>
    </row>
    <row r="32399">
      <c r="A32399" t="inlineStr">
        <is>
          <t>Stuff 1</t>
        </is>
      </c>
      <c r="B32399">
        <f>HYPERLINK("https://www.dofusbook.net/fr/equipement/1322583-stuff-1/objets", "link")</f>
        <v/>
      </c>
      <c r="C32399" t="n">
        <v>0</v>
      </c>
      <c r="D32399" t="inlineStr">
        <is>
          <t>Bêche Asse; Racine Hueuse; Anneau de Brouce; Bague Gloursonne; Ceinture de Brouce; Chapeau de Gein; Voile d'encre; Baleinabottes; Dofus Turquoise; Dofus des Glaces; Forcené majeur; Remueur; Enragé majeur; Nomade; Pioute vert</t>
        </is>
      </c>
    </row>
    <row r="32400">
      <c r="A32400" t="inlineStr">
        <is>
          <t>Stuff 2</t>
        </is>
      </c>
      <c r="B32400">
        <f>HYPERLINK("https://www.dofusbook.net/fr/equipement/1322578-stuff-2/objets", "link")</f>
        <v/>
      </c>
      <c r="C32400" t="n">
        <v>0</v>
      </c>
      <c r="D32400" t="inlineStr">
        <is>
          <t>Arc Nécrotique; Talisman Igans; Bague Gloursonne; Alliance Gloursonne; Ceintrigue; Chapeau des Malveilleurs; Cape des Malveilleurs; Bottes des Malveilleurs; Dofus des Glaces; Dofus Pourpre; Dolmanax; Dofus Ocre; Dofus Turquoise; Fugitif majeur; Dragodinde Prune et Emeraude</t>
        </is>
      </c>
    </row>
    <row r="32401">
      <c r="A32401" t="inlineStr">
        <is>
          <t>Stuff 3</t>
        </is>
      </c>
      <c r="B32401">
        <f>HYPERLINK("https://www.dofusbook.net/fr/equipement/1322573-stuff-3/objets", "link")</f>
        <v/>
      </c>
      <c r="C32401" t="n">
        <v>0</v>
      </c>
      <c r="D32401" t="inlineStr">
        <is>
          <t>Epée Gloursonne; Amulette du Strigide; Bague Gloursonne; Alliance Gloursonne; Ceinture de la Reine des Voleurs; Coiffe de la Reine des Voleurs; Voile d'encre; Bottes de la Reine des Voleurs; Dofus Émeraude; Dofus Pourpre; Dofus Turquoise; Dofus Ocre; Dofus des Glaces; Furibond majeur; Dragodinde Emeraude et Rousse</t>
        </is>
      </c>
    </row>
    <row r="32402">
      <c r="A32402" t="inlineStr">
        <is>
          <t>Stuff 1</t>
        </is>
      </c>
      <c r="B32402">
        <f>HYPERLINK("https://www.dofusbook.net/fr/equipement/1322568-stuff-1/objets", "link")</f>
        <v/>
      </c>
      <c r="C32402" t="n">
        <v>0</v>
      </c>
      <c r="D32402" t="inlineStr">
        <is>
          <t>Epée Gloursonne; Amulette du Strigide; Bague Gloursonne; Alliance Gloursonne; Ceinture du Strigide; Masque du Katcheur; Voile d'encre; Bottes du Strigide; Dofus des Glaces; Dofus Ocre; Dofus Nébuleux; Dofus Pourpre; Dolmanax; Taquin majeur; Kramkram</t>
        </is>
      </c>
    </row>
    <row r="32403">
      <c r="A32403" t="inlineStr">
        <is>
          <t>Stuff 1</t>
        </is>
      </c>
      <c r="B32403">
        <f>HYPERLINK("https://www.dofusbook.net/fr/equipement/1322600-stuff-1/objets", "link")</f>
        <v/>
      </c>
      <c r="C32403" t="n">
        <v>0</v>
      </c>
      <c r="D32403" t="inlineStr">
        <is>
          <t>Manthache; Collier du Valet Veinard; Alliance Gloursonne; Gant du Valet Veinard; Menoture; Couronne d'Allister; Cape Indescriptible; Palmes Trithons; Dofus Pourpre; Vigoureux majeur; Nomade; Remueur; Dévastateur Air majeur; Cascadeur majeur; Siroko</t>
        </is>
      </c>
    </row>
    <row r="32404">
      <c r="A32404" t="inlineStr">
        <is>
          <t>Stuff 2</t>
        </is>
      </c>
      <c r="B32404">
        <f>HYPERLINK("https://www.dofusbook.net/fr/equipement/1322563-stuff-2/objets", "link")</f>
        <v/>
      </c>
      <c r="C32404" t="n">
        <v>0</v>
      </c>
      <c r="D32404" t="inlineStr">
        <is>
          <t>Dagues Érhy; Amulette du Strigide; Bague Gloursonne; Alliance Gloursonne; Ceinture du Strigide; Casque de Missiz Frizz; Voile d'encre; Bottes du Strigide; Dofus Pourpre; Dofus Turquoise; Dofus Ocre; Forcené majeur; Voyageur; Furibond majeur; Kwaltess</t>
        </is>
      </c>
    </row>
    <row r="32405">
      <c r="A32405" t="inlineStr">
        <is>
          <t>Stuff 2</t>
        </is>
      </c>
      <c r="B32405">
        <f>HYPERLINK("https://www.dofusbook.net/fr/equipement/1322595-stuff-2/objets", "link")</f>
        <v/>
      </c>
      <c r="C32405" t="n">
        <v>0</v>
      </c>
      <c r="D32405" t="inlineStr">
        <is>
          <t>Sabres d'Atcham; Amulette du Strigide; Alliance Gloursonne; Bracelet du Piloztère; Ceintacé; Chapeau des Malveilleurs; Voile d'encre; Bottes du Strigide; Dofus Turquoise; Dolmanax; Dofus Pourpre; Remueur; Nomade; Kramkram</t>
        </is>
      </c>
    </row>
    <row r="32406">
      <c r="A32406" t="inlineStr">
        <is>
          <t>Stuff 3</t>
        </is>
      </c>
      <c r="B32406">
        <f>HYPERLINK("https://www.dofusbook.net/fr/equipement/1322558-stuff-3/objets", "link")</f>
        <v/>
      </c>
      <c r="C32406" t="n">
        <v>0</v>
      </c>
      <c r="D32406" t="inlineStr">
        <is>
          <t>Epée Gloursonne; Amulette du Strigide; Bague Gloursonne; Alliance du Lévitrof; Ceinture du Strigide; Coiffe du Lévitrof; Voile d'encre; Bottes du Lévitrof; Dofus Cawotte; Dofus Ocre; Dofus Pourpre; Dofus Turquoise; Entraveur majeur; Taquin majeur; Dragodinde Prune et Emeraude</t>
        </is>
      </c>
    </row>
    <row r="32407">
      <c r="A32407" t="inlineStr">
        <is>
          <t>Stuff 1</t>
        </is>
      </c>
      <c r="B32407">
        <f>HYPERLINK("https://www.dofusbook.net/fr/equipement/1322553-stuff-1/objets", "link")</f>
        <v/>
      </c>
      <c r="C32407" t="n">
        <v>0</v>
      </c>
      <c r="D32407" t="inlineStr">
        <is>
          <t>Plumeau Bil; Amulette d'Otomaï; Bague Gloursonne; Anneau Tique; Ceinture de Vortex; Cagoule de Vortex; Voile d'encre; Pataugastrique; Dofus Turquoise; Observateur; Remueur; Carapace Neutre majeur; Nomade; Étourdisseur majeur; El Scarador</t>
        </is>
      </c>
    </row>
    <row r="32408">
      <c r="A32408" t="inlineStr">
        <is>
          <t>Stuff 3</t>
        </is>
      </c>
      <c r="B32408">
        <f>HYPERLINK("https://www.dofusbook.net/fr/equipement/1322585-stuff-3/objets", "link")</f>
        <v/>
      </c>
      <c r="C32408" t="n">
        <v>0</v>
      </c>
      <c r="D32408" t="inlineStr">
        <is>
          <t>Marteau des Anciens Steamers; Amulette du Strigide; Bracelet du Piloztère; Alliance Gloursonne; Ceinture du Barbétoal; Coiffe de la Reine des Voleurs; Cape d'Hel Munster; Bottes de la Reine des Voleurs; Dofus Pourpre; Dofus des Glaces; Dofus Ocre; Dofus Turquoise; Remueur; Nomade; Kramkram</t>
        </is>
      </c>
    </row>
    <row r="32409">
      <c r="A32409" t="inlineStr">
        <is>
          <t>Stuff 1</t>
        </is>
      </c>
      <c r="B32409">
        <f>HYPERLINK("https://www.dofusbook.net/fr/equipement/1322580-stuff-1/objets", "link")</f>
        <v/>
      </c>
      <c r="C32409" t="n">
        <v>0</v>
      </c>
      <c r="D32409" t="inlineStr">
        <is>
          <t>Épée de la Reine des Voleurs; Amulette de Nevark; Anneau des égarés; Bague Gloursonne; Ceinture de Nevark; Casque des égarés; Cape de Nevark; Bottes des égarés; Dofus des Glaces; Dofus Ocre; Dolmanax; Dofus Émeraude; Dofus Pourpre; Insaisissable majeur; Kramkram</t>
        </is>
      </c>
    </row>
    <row r="32410">
      <c r="A32410" t="inlineStr">
        <is>
          <t>Stuff 2</t>
        </is>
      </c>
      <c r="B32410">
        <f>HYPERLINK("https://www.dofusbook.net/fr/equipement/1322575-stuff-2/objets", "link")</f>
        <v/>
      </c>
      <c r="C32410" t="n">
        <v>0</v>
      </c>
      <c r="D32410" t="inlineStr">
        <is>
          <t>Dagues Érhy; Amulette du Strigide; Bracelet du Piloztère; Bague Gloursonne; Ceintacé; Chapeau de Gein; Voile d'encre; Bottes du Strigide; Dofus des Glaces; Dofus Turquoise; Carapace Feu majeur; Nomade; Enragé majeur; Remueur; Kramkram</t>
        </is>
      </c>
    </row>
    <row r="32411">
      <c r="A32411" t="inlineStr">
        <is>
          <t>Stuff 3</t>
        </is>
      </c>
      <c r="B32411">
        <f>HYPERLINK("https://www.dofusbook.net/fr/equipement/1322570-stuff-3/objets", "link")</f>
        <v/>
      </c>
      <c r="C32411" t="n">
        <v>0</v>
      </c>
      <c r="D32411" t="inlineStr">
        <is>
          <t>Sabres d'Atcham; Amulette du Strigide; Bracelet du Piloztère; Bague Gloursonne; Ceintacé; Chapoulpe; Voile d'encre; Bottes du Strigide; Dofus Nébuleux; Dolmanax; Dofus Pourpre; Dofus Turquoise; Remueur; Nomade; Kramkram</t>
        </is>
      </c>
    </row>
    <row r="32412">
      <c r="A32412" t="inlineStr">
        <is>
          <t>Stuff 1</t>
        </is>
      </c>
      <c r="B32412">
        <f>HYPERLINK("https://www.dofusbook.net/fr/equipement/1322565-stuff-1/objets", "link")</f>
        <v/>
      </c>
      <c r="C32412" t="n">
        <v>0</v>
      </c>
      <c r="D32412" t="inlineStr">
        <is>
          <t>Rapière aux Glyphes; Talisman Glouti; Pikano; Alliance Gloursonne; Sangle Ouare; Kidibonnet; Cape du Sinistrofu; Bottes du Sinistrofu; Chanceux majeur; Nomade; Entraveur majeur; Remueur; Ralentisseur majeur; Temporiseur majeur; Dehluge</t>
        </is>
      </c>
    </row>
    <row r="32413">
      <c r="A32413" t="inlineStr">
        <is>
          <t>Stuff 1</t>
        </is>
      </c>
      <c r="B32413">
        <f>HYPERLINK("https://www.dofusbook.net/fr/equipement/1322597-stuff-1/objets", "link")</f>
        <v/>
      </c>
      <c r="C32413" t="n">
        <v>0</v>
      </c>
      <c r="D32413" t="inlineStr">
        <is>
          <t>Marteau des Anciens Steamers; Amulette du Strigide; Alliance Gloursonne; Bracelet du Piloztère; Ceinture du Barbétoal; Némès de Tal Kasha; Chevelure de Tal Kasha; Bottes Voldelor; Dofus des Glaces; Dofus Turquoise; Dofus Ocre; Dofus Pourpre; Nomade; Remueur; Kramkram</t>
        </is>
      </c>
    </row>
    <row r="32414">
      <c r="A32414" t="inlineStr">
        <is>
          <t>Stuff 2</t>
        </is>
      </c>
      <c r="B32414">
        <f>HYPERLINK("https://www.dofusbook.net/fr/equipement/1322560-stuff-2/objets", "link")</f>
        <v/>
      </c>
      <c r="C32414" t="n">
        <v>0</v>
      </c>
      <c r="D32414" t="inlineStr">
        <is>
          <t>Dagoulinantes; Amulette de Shokkoth; Pikano; Alliance Gloursonne; Poulpagne; Masque des Fonds marins; Cape Luminescente; Sandales des Fonds marins; Dofus Turquoise; Déserteur majeur; Chanceux majeur; Remueur; Carapace Eau majeur; Nomade; Dragodinde Amande et Emeraude</t>
        </is>
      </c>
    </row>
    <row r="32415">
      <c r="A32415" t="inlineStr">
        <is>
          <t>Stuff 2</t>
        </is>
      </c>
      <c r="B32415">
        <f>HYPERLINK("https://www.dofusbook.net/fr/equipement/1322592-stuff-2/objets", "link")</f>
        <v/>
      </c>
      <c r="C32415" t="n">
        <v>0</v>
      </c>
      <c r="D32415" t="inlineStr">
        <is>
          <t>Épée du Granduk; Amulette du Granduk; Anneau de Pol Ouatnos; Alliance Gloursonne; Sangle Ouare; Coiffe du Comte Harebourg; Cape des Malveilleurs; Pataugastrique; Cascadeur majeur; Bloqueur; Tacleur majeur; Bloqueur majeur; Obstructeur; Obstructeur majeur; Blokus</t>
        </is>
      </c>
    </row>
    <row r="32416">
      <c r="A32416" t="inlineStr">
        <is>
          <t>Crâ F 200</t>
        </is>
      </c>
      <c r="B32416">
        <f>HYPERLINK("https://www.dofusbook.net/fr/equipement/4771671-cra-f-200/objets", "link")</f>
        <v/>
      </c>
      <c r="C32416" t="n">
        <v>0</v>
      </c>
      <c r="D32416" t="inlineStr">
        <is>
          <t>Arc Volkorne; Amulette du Strigide; Grésilanneau; Bracelet du Piloztère; Quatre-feuilles; Ceinture du Strigide; Le Dorado; Dofusteuse; Bottes du Chalœil; Dofus Turquoise; Dolmanax; Dofus Pourpre; Dofus Ocre; Vigoureux majeur; Nomade; Chacha Angora</t>
        </is>
      </c>
    </row>
    <row r="32417">
      <c r="A32417" t="inlineStr">
        <is>
          <t>Pandawa F 200</t>
        </is>
      </c>
      <c r="B32417">
        <f>HYPERLINK("https://www.dofusbook.net/fr/equipement/4765533-pandawa-f-200/objets", "link")</f>
        <v/>
      </c>
      <c r="C32417" t="n">
        <v>0</v>
      </c>
      <c r="D32417" t="inlineStr">
        <is>
          <t>Arc Honte; Amulette de l'Œil Putride; Grésilanneau; Alliance Gloursonne; Bouclier du Stalak; Ceinture de l'Esprit Salvateur; Chapeau des Malveilleurs; Cape des Malveilleurs; Bottes du Chalœil; Dofus Pourpre; Dofus Ocre; Vigoureux majeur; Sanguinaire majeur; Remueur; Nomade; La Chose</t>
        </is>
      </c>
    </row>
    <row r="32418">
      <c r="A32418" t="inlineStr">
        <is>
          <t>Eliotrope M 200</t>
        </is>
      </c>
      <c r="B32418">
        <f>HYPERLINK("https://www.dofusbook.net/fr/equipement/4809782-eliotrope-m-200/objets", "link")</f>
        <v/>
      </c>
      <c r="C32418" t="n">
        <v>0</v>
      </c>
      <c r="D32418" t="inlineStr">
        <is>
          <t>Baguette Range; Amulette du Strigide; Anneau de Padgref; Bracelet du Piloztère; Quatre-feuilles; Ceinture de Vortex; Coiffe de Padgref; Cape des Malveilleurs; Pantoufles Émar; Dofus Turquoise; Érudit majeur; Cascadeur majeur; Nomade; Sanguinaire majeur; Remueur; Muldo Prune et Orchidée</t>
        </is>
      </c>
    </row>
    <row r="32419">
      <c r="A32419" t="inlineStr">
        <is>
          <t>Iop F 200</t>
        </is>
      </c>
      <c r="B32419">
        <f>HYPERLINK("https://www.dofusbook.net/fr/equipement/3440129-iop-f-200/objets", "link")</f>
        <v/>
      </c>
      <c r="C32419" t="n">
        <v>0</v>
      </c>
      <c r="D32419" t="inlineStr">
        <is>
          <t>Epée Toche; Amulette du Strigide; Bague Gloursonne; Chevalière du Roi Joueur; Bouclier Taverne; Ceinture de Gein; Chapeau de Gein; Voile d'encre; Sabots Minables; Dofus Pourpre; Dofus Turquoise; Nomade; Sanguinaire majeur; Remueur; Vigoureux majeur; Muldo Prune et Emeraude</t>
        </is>
      </c>
    </row>
    <row r="32420">
      <c r="A32420" t="inlineStr">
        <is>
          <t>Steamer F 200</t>
        </is>
      </c>
      <c r="B32420">
        <f>HYPERLINK("https://www.dofusbook.net/fr/equipement/4675474-steamer-f-200/objets", "link")</f>
        <v/>
      </c>
      <c r="C32420" t="n">
        <v>1</v>
      </c>
      <c r="D32420" t="inlineStr">
        <is>
          <t>Marteau des égarés; Amulette Volkorne; Bracelet du Piloztère; Anneau Volkorne; Quatre-feuilles; Ceinture Volkorne; Casque du Chalœil; Cape du Chalœil; Bottes du Chalœil; Dofus Pourpre; Dofus des Glaces; Dofus Turquoise; Dofus Abyssal; Dolmanax; Dofus Ocre; Sakochère</t>
        </is>
      </c>
    </row>
    <row r="32421">
      <c r="A32421" t="inlineStr">
        <is>
          <t>Osamodas feu</t>
        </is>
      </c>
      <c r="B32421">
        <f>HYPERLINK("https://www.dofusbook.net/fr/equipement/4544076-osamodas-feu/objets", "link")</f>
        <v/>
      </c>
      <c r="C32421" t="n">
        <v>2</v>
      </c>
      <c r="D32421" t="inlineStr">
        <is>
          <t>Arc corrompu; Amulette Volkorne; Baguistik; Anneau de Nidas; Bouclier cubiste; Ceinture Séculaire; Coiffe Séculaire; Cape de Diondin; Bottes Innommables; Dofus Ivoire; Dofus Ocre; Dofus des Glaces; Dofus Abyssal; Érudit majeur; Nomade; Bisouglours</t>
        </is>
      </c>
    </row>
    <row r="32422">
      <c r="A32422" t="inlineStr">
        <is>
          <t>Osamodas eau</t>
        </is>
      </c>
      <c r="B32422">
        <f>HYPERLINK("https://www.dofusbook.net/fr/equipement/4593334-osamodas-eau/objets", "link")</f>
        <v/>
      </c>
      <c r="C32422" t="n">
        <v>1</v>
      </c>
      <c r="D32422" t="inlineStr">
        <is>
          <t>Dagoulinantes; Amulette de Shokkoth; Anneau Volkorne; Bracelet des Fonds marins; Bouclier Taverne; Sangle Ouare; Kidibonnet; Cape Solution; Sandales des Fonds marins; Dofus Ivoire; Dofus Turquoise; Dofus des Glaces; Dofus Abyssal; Dévastateur Eau majeur; Chanceux majeur; Kanigloups</t>
        </is>
      </c>
    </row>
    <row r="32423">
      <c r="A32423" t="inlineStr">
        <is>
          <t>Osamodas air</t>
        </is>
      </c>
      <c r="B32423">
        <f>HYPERLINK("https://www.dofusbook.net/fr/equipement/3860444-osamodas-air/objets", "link")</f>
        <v/>
      </c>
      <c r="C32423" t="n">
        <v>1</v>
      </c>
      <c r="D32423" t="inlineStr">
        <is>
          <t>Dagues Érhy; Amulette d'Ilyzaelle; Alliance Gloursonne; Gant du Valet Veinard; Bouclier du Stalak; Menoture; Couronne d'Allister; Cape du Valet Veinard; Bottes du Cycloïde; Dofus Ivoire; Dofus des Glaces; Dofus Abyssal; Dofus Ocre; Cascadeur majeur; Nomade; Blérodoudou</t>
        </is>
      </c>
    </row>
    <row r="32424">
      <c r="A32424" t="inlineStr">
        <is>
          <t>Osamodas terre</t>
        </is>
      </c>
      <c r="B32424">
        <f>HYPERLINK("https://www.dofusbook.net/fr/equipement/4538761-osamodas-terre/objets", "link")</f>
        <v/>
      </c>
      <c r="C32424" t="n">
        <v>28</v>
      </c>
      <c r="D32424" t="inlineStr">
        <is>
          <t>Lav'Hache; Collier de Tourthon; Anneau Crustique; Anneau Crustique; Sept ans de malheur; Ceinture Volkorne; Masque de Koutoulou; Cape au Logis; Chaussons de Macrab; Dofus des Glaces; Dofus Abyssal; Dofus Ocre; Dofus Ivoire; Obstructeur majeur; Carapace Terre majeur; Platypus</t>
        </is>
      </c>
    </row>
    <row r="32425">
      <c r="A32425" t="inlineStr">
        <is>
          <t>Crâ F 200</t>
        </is>
      </c>
      <c r="B32425">
        <f>HYPERLINK("https://www.dofusbook.net/fr/equipement/4253529-cra-f-200/objets", "link")</f>
        <v/>
      </c>
      <c r="C32425" t="n">
        <v>0</v>
      </c>
      <c r="D32425" t="inlineStr">
        <is>
          <t>Amulette Volkorne; Alliance Brûlâme; Anneau Volkorne; Quatre-feuilles; Ceinture Volkorne; Masque Brûlâme; Cape du Chalœil; Pompes Funèbres; Dofus Turquoise; Dofus Pourpre; Dofus des Glaces; Dolmanax; Dofus Ocre; Puissant majeur; Pioute rose</t>
        </is>
      </c>
    </row>
    <row r="32426">
      <c r="A32426" t="inlineStr">
        <is>
          <t>Osamodas M 200</t>
        </is>
      </c>
      <c r="B32426">
        <f>HYPERLINK("https://www.dofusbook.net/fr/equipement/4156304-osamodas-m-200/objets", "link")</f>
        <v/>
      </c>
      <c r="C32426" t="n">
        <v>1</v>
      </c>
      <c r="D32426" t="inlineStr">
        <is>
          <t>Marteau des Anciens Steamers; Amulette d'Ilyzaelle; Alliance Gloursonne; Bracelet du Piloztère; Bouclier d'Ilyzaelle; Sangle Ouare; Casque d'Ilyzaelle; Cape des Malveilleurs; Bottes des Malveilleurs; Dofus Ocre; Dofus Ivoire; Dofus Pourpre; Dofus Abyssal; Dolmanax; Dofus des Glaces</t>
        </is>
      </c>
    </row>
    <row r="32427">
      <c r="A32427" t="inlineStr">
        <is>
          <t>Osamodas feu</t>
        </is>
      </c>
      <c r="B32427">
        <f>HYPERLINK("https://www.dofusbook.net/fr/equipement/3863939-osamodas-feu/objets", "link")</f>
        <v/>
      </c>
      <c r="C32427" t="n">
        <v>0</v>
      </c>
      <c r="D32427" t="inlineStr">
        <is>
          <t>Épée d'Otomaï; Amulette Volkorne; Anneau Tique; Anneau de Nidas; Sangle Aise; Coiffe Séculaire; Cape de Diondin; Bottes d'Otomaï; Dofus des Glaces; Dofus Abyssal; Dofus Ocre; Érudit majeur; Dévastateur Feu majeur; Nomade; Bisouglours</t>
        </is>
      </c>
    </row>
    <row r="32428">
      <c r="A32428" t="inlineStr">
        <is>
          <t>Eniripsa F 200</t>
        </is>
      </c>
      <c r="B32428">
        <f>HYPERLINK("https://www.dofusbook.net/fr/equipement/3439554-eniripsa-f-200/objets", "link")</f>
        <v/>
      </c>
      <c r="C32428" t="n">
        <v>1</v>
      </c>
      <c r="D32428" t="inlineStr">
        <is>
          <t>Sabres d'Atcham; Amulette Volkorne; Bracelet du Piloztère; Anneau Volkorne; Bouclier du Captain Amakna; Ceinture de l'Indicible; Casque Volkorne; Cape d'Atcham; Sandales  d'Atcham; Dolmanax; Dofus Ocre; Dofus Pourpre; Dofus des Glaces; Dofus Turquoise; Dofus Abyssal; Muldo Ebène et Indigo</t>
        </is>
      </c>
    </row>
    <row r="32429">
      <c r="A32429" t="inlineStr">
        <is>
          <t>eau/air 2</t>
        </is>
      </c>
      <c r="B32429">
        <f>HYPERLINK("https://www.dofusbook.net/fr/equipement/2893219-eau-air-2/objets", "link")</f>
        <v/>
      </c>
      <c r="C32429" t="n">
        <v>0</v>
      </c>
      <c r="D32429" t="inlineStr">
        <is>
          <t>Marteau des Anciens Steamers; Amulette d'Ilyzaelle; Alliance Gloursonne; Bracelet du Piloztère; Bouclier d'Ilyzaelle; Ceinture de l'Esprit Salvateur; Casque d'Ilyzaelle; Cape des Malveilleurs; Bottes des Malveilleurs; Dolmanax; Dofus des Glaces; Dofus Pourpre; Dofus Abyssal; Dofus Émeraude; Dofus Ocre; Muldo Ebène et Indigo</t>
        </is>
      </c>
    </row>
    <row r="32430">
      <c r="A32430" t="inlineStr">
        <is>
          <t>eau/air</t>
        </is>
      </c>
      <c r="B32430">
        <f>HYPERLINK("https://www.dofusbook.net/fr/equipement/2520332-eau-air/objets", "link")</f>
        <v/>
      </c>
      <c r="C32430" t="n">
        <v>0</v>
      </c>
      <c r="D32430" t="inlineStr">
        <is>
          <t>Arc de Koutoulou; Amulette Voldelor; Alliance Gloursonne; Bracelet du Piloztère; Bouclier du Stalak; Ceinture du Barbétoal; Masque du Barbétoal; Cape du Barbétoal; Bottes Voldelor; Dolmanax; Dofus Ocre; Dofus Pourpre; Dofus des Glaces; Dofus Turquoise; Dofus Abyssal; Muldo Prune et Ebène</t>
        </is>
      </c>
    </row>
    <row r="32431">
      <c r="A32431" t="inlineStr">
        <is>
          <t>eau/terre/feu</t>
        </is>
      </c>
      <c r="B32431">
        <f>HYPERLINK("https://www.dofusbook.net/fr/equipement/2878728-eau-terre-feu/objets", "link")</f>
        <v/>
      </c>
      <c r="C32431" t="n">
        <v>2</v>
      </c>
      <c r="D32431" t="inlineStr">
        <is>
          <t>Hache du Chalœil; Amulette du Strigide; Grésilanneau; Alliance du Lévitrof; Bouclier d'Ilyzaelle; Ceinture de Kongoku; Coiffe du Lévitrof; Cape du Chalœil; Chaussures Hau; Dofus Pourpre; Dofus Ocre; Dofus Turquoise; Sanguinaire majeur; Nomade; Remueur; Muldo Prune et Orchidée</t>
        </is>
      </c>
    </row>
    <row r="32432">
      <c r="A32432" t="inlineStr">
        <is>
          <t>terre/feu/air</t>
        </is>
      </c>
      <c r="B32432">
        <f>HYPERLINK("https://www.dofusbook.net/fr/equipement/2587681-terre-feu-air/objets", "link")</f>
        <v/>
      </c>
      <c r="C32432" t="n">
        <v>0</v>
      </c>
      <c r="D32432" t="inlineStr">
        <is>
          <t>Hache Ériphe; Amulette du Strigide; Bracelet du Piloztère; Grésilanneau; Quatre-feuilles; Ceintacé; Masque Brûlâme; Voile d'encre; Pompes Funèbres; Dofus Pourpre; Dofus Turquoise; Nomade; Remueur; Sanguinaire majeur; Vigoureux majeur; Muldo Prune et Orchidée</t>
        </is>
      </c>
    </row>
    <row r="32433">
      <c r="A32433" t="inlineStr">
        <is>
          <t>puissance</t>
        </is>
      </c>
      <c r="B32433">
        <f>HYPERLINK("https://www.dofusbook.net/fr/equipement/2499631-puissance/objets", "link")</f>
        <v/>
      </c>
      <c r="C32433" t="n">
        <v>1</v>
      </c>
      <c r="D32433" t="inlineStr">
        <is>
          <t>Marteau de Katrepat; Amulette de l'Indicible; Bracelet du Piloztère; Anneau Toriété; Bouclier Taverne; Ceinture du Strigide; Masque Brûlâme; Cape du Chalœil; Bottes du Strigide; Dofus Ocre; Dofus Pourpre; Dofus Turquoise; Vigoureux majeur; Remueur; Sanguinaire majeur</t>
        </is>
      </c>
    </row>
    <row r="32434">
      <c r="A32434" t="inlineStr">
        <is>
          <t>multi/2</t>
        </is>
      </c>
      <c r="B32434">
        <f>HYPERLINK("https://www.dofusbook.net/fr/equipement/2431206-multi-2/objets", "link")</f>
        <v/>
      </c>
      <c r="C32434" t="n">
        <v>0</v>
      </c>
      <c r="D32434" t="inlineStr">
        <is>
          <t>Sabres d'Atcham; Amulette du Strigide; Grésilanneau; Bracelet du Piloztère; Quatre-feuilles; Ceinture du Strigide; Casque du Chalœil; Cape du Chalœil; Bottes du Chalœil; Dolmanax; Dofus Ocre; Dofus Pourpre; Dofus Émeraude; Dofus des Glaces; Dofus Turquoise; Muldo Ebène et Indigo</t>
        </is>
      </c>
    </row>
    <row r="32435">
      <c r="A32435" t="inlineStr">
        <is>
          <t>air terre</t>
        </is>
      </c>
      <c r="B32435">
        <f>HYPERLINK("https://www.dofusbook.net/fr/equipement/2243473-air-terre/objets", "link")</f>
        <v/>
      </c>
      <c r="C32435" t="n">
        <v>0</v>
      </c>
      <c r="D32435" t="inlineStr">
        <is>
          <t>Hache Ériphe; Amulette du Strigide; Grésilanneau; Bracelet du Piloztère; Quatre-feuilles; Ceintouse; Chapoulpe; Cape du Kamasterisk; Baleinabottes; Dofus Turquoise; Dofus Abyssal; Remueur; Vigoureux majeur; Fonceur majeur; Nomade; Muldo Prune et Doré</t>
        </is>
      </c>
    </row>
    <row r="32436">
      <c r="A32436" t="inlineStr">
        <is>
          <t>Stuff 3</t>
        </is>
      </c>
      <c r="B32436">
        <f>HYPERLINK("https://www.dofusbook.net/fr/equipement/131335-stuff-3/objets", "link")</f>
        <v/>
      </c>
      <c r="C32436" t="n">
        <v>0</v>
      </c>
      <c r="D32436" t="inlineStr">
        <is>
          <t>Marteau de Katrepat; Amulette du Strigide; Bracelet du Piloztère; Alliance Brûlâme; Quatre-feuilles; Ceintacé; Masque du Katcheur; Cape du Chalœil; Bottes du Chalœil; Dofus Pourpre; Dofus Turquoise; Sanguinaire majeur; Nomade; Remueur; Vigoureux majeur; Muldo Prune et Emeraude</t>
        </is>
      </c>
    </row>
    <row r="32437">
      <c r="A32437" t="inlineStr">
        <is>
          <t>Stuff 2</t>
        </is>
      </c>
      <c r="B32437">
        <f>HYPERLINK("https://www.dofusbook.net/fr/equipement/131350-stuff-2/objets", "link")</f>
        <v/>
      </c>
      <c r="C32437" t="n">
        <v>0</v>
      </c>
      <c r="D32437" t="inlineStr">
        <is>
          <t>Marteau de Katrepat; Amulette de l'Indicible; Bague Gloursonne; Anneau du Katcheur; Bouclier du Captain Amakna; Ceinture de l'Indicible; Masque du Katcheur; Dofusteuse; Bottes du Katcheur; Dofus Nébuleux; Dofus Turquoise; Dolmanax; Dofus Ocre; Dofus des Glaces; Dofus Pourpre; Muldo Prune et Orchidée</t>
        </is>
      </c>
    </row>
    <row r="32438">
      <c r="A32438" t="inlineStr">
        <is>
          <t>multi</t>
        </is>
      </c>
      <c r="B32438">
        <f>HYPERLINK("https://www.dofusbook.net/fr/equipement/1235855-multi/objets", "link")</f>
        <v/>
      </c>
      <c r="C32438" t="n">
        <v>0</v>
      </c>
      <c r="D32438" t="inlineStr">
        <is>
          <t>Sabres d'Atcham; Amulette du Strigide; Bracelet du Piloztère; Alliance Gloursonne; Bouclier du Captain Amakna; Ceinture du Strigide; Chapeau des Malveilleurs; Cape d'Atcham; Sandales  d'Atcham; Dofus Pourpre; Dofus Abyssal; Dofus des Glaces; Dofus Turquoise; Dofus Ocre; Dolmanax; Muldo Prune et Ebène</t>
        </is>
      </c>
    </row>
    <row r="32439">
      <c r="A32439" t="inlineStr">
        <is>
          <t>Stuff 1</t>
        </is>
      </c>
      <c r="B32439">
        <f>HYPERLINK("https://www.dofusbook.net/fr/equipement/131344-stuff-1/objets", "link")</f>
        <v/>
      </c>
      <c r="C32439" t="n">
        <v>2</v>
      </c>
      <c r="D32439" t="inlineStr">
        <is>
          <t>Baguette Hique; Amulette de Shokkoth; Pikano; Alliance Gloursonne; Bouclier cubiste; Ceinture Glaciale; Kidibonnet; Cape de Meno; Bottes de Meno; Temporiseur; Temporiseur majeur; Ralentisseur majeur; Nomade; Entraveur majeur; Remueur; Muldo Prune et Indigo</t>
        </is>
      </c>
    </row>
    <row r="32440">
      <c r="A32440" t="inlineStr">
        <is>
          <t>tri element</t>
        </is>
      </c>
      <c r="B32440">
        <f>HYPERLINK("https://www.dofusbook.net/fr/equipement/402448-tri-element/objets", "link")</f>
        <v/>
      </c>
      <c r="C32440" t="n">
        <v>0</v>
      </c>
      <c r="D32440" t="inlineStr"/>
    </row>
    <row r="32441">
      <c r="A32441" t="inlineStr">
        <is>
          <t>soin</t>
        </is>
      </c>
      <c r="B32441">
        <f>HYPERLINK("https://www.dofusbook.net/fr/equipement/400209-soin/objets", "link")</f>
        <v/>
      </c>
      <c r="C32441" t="n">
        <v>0</v>
      </c>
      <c r="D32441" t="inlineStr">
        <is>
          <t>Arc corrompu; Pendentif affamé; Anneauræus; Anneau Rifique; Bouclier cubiste; Ceinture Séculaire; Coiffe Séculaire; Cape de Diondin; Bottes Innommables; Dofus Turquoise; Remueur; Érudit majeur; Guérisseur majeur; Nomade</t>
        </is>
      </c>
    </row>
    <row r="32442">
      <c r="A32442" t="inlineStr">
        <is>
          <t>Stuff 1</t>
        </is>
      </c>
      <c r="B32442">
        <f>HYPERLINK("https://www.dofusbook.net/fr/equipement/131339-stuff-1/objets", "link")</f>
        <v/>
      </c>
      <c r="C32442" t="n">
        <v>0</v>
      </c>
      <c r="D32442" t="inlineStr">
        <is>
          <t>Arc de Koutoulou; Amulette Voldelor; Bracelet du Piloztère; Alliance Gloursonne; Quatre-feuilles; Ceinture Voldelor; Némès de Tal Kasha; Chevelure de Tal Kasha; Bottes Voldelor; Dofus des Glaces; Dofus Turquoise; Dofus Pourpre; Dofus Abyssal; Dolmanax; Dofus Ocre; Muldo Prune et Ebène</t>
        </is>
      </c>
    </row>
    <row r="32443">
      <c r="A32443" t="inlineStr">
        <is>
          <t>Stuff 3</t>
        </is>
      </c>
      <c r="B32443">
        <f>HYPERLINK("https://www.dofusbook.net/fr/equipement/131346-stuff-3/objets", "link")</f>
        <v/>
      </c>
      <c r="C32443" t="n">
        <v>2</v>
      </c>
      <c r="D32443" t="inlineStr">
        <is>
          <t>Baguette Hique; Amulette du Glourséleste; Bracelet du Piloztère; Alliance Gloursonne; Ceinture de Kongoku; Kidibonnet; Cape de Meno; Bottes de Meno; Dofus Ocre; Entraveur majeur; Temporiseur; Temporiseur majeur; Remueur; Ralentisseur majeur</t>
        </is>
      </c>
    </row>
    <row r="32444">
      <c r="A32444" t="inlineStr">
        <is>
          <t>Stuff 2</t>
        </is>
      </c>
      <c r="B32444">
        <f>HYPERLINK("https://www.dofusbook.net/fr/equipement/131337-stuff-2/objets", "link")</f>
        <v/>
      </c>
      <c r="C32444" t="n">
        <v>0</v>
      </c>
      <c r="D32444" t="inlineStr">
        <is>
          <t>Epée Gloursonne; Amulette de Gein; Bague Gloursonne; Alliance Gloursonne; Ceinture de Gein; Chapeau de Gein; Voile d'encre; Bottes Dogues; Dolmanax; Dofus Pourpre; Dofus des Glaces; Dofus Ocre; Examinateur; Puissant majeur; Kramkram</t>
        </is>
      </c>
    </row>
    <row r="32445">
      <c r="A32445" t="inlineStr">
        <is>
          <t>Stuff 1</t>
        </is>
      </c>
      <c r="B32445">
        <f>HYPERLINK("https://www.dofusbook.net/fr/equipement/131336-stuff-1/objets", "link")</f>
        <v/>
      </c>
      <c r="C32445" t="n">
        <v>0</v>
      </c>
      <c r="D32445" t="inlineStr">
        <is>
          <t>Arc Honte; Amulette du Strigide; Bracelet du Piloztère; Alliance Gloursonne; Quatre-feuilles; Ceintacé; Chapeau des Malveilleurs; Cape des Malveilleurs; Sandales  d'Atcham; Dolmanax; Dofus Pourpre; Fonceur majeur; Remueur; Nomade; Sanguinaire majeur; Muldo Orchidée</t>
        </is>
      </c>
    </row>
    <row r="32446">
      <c r="A32446" t="inlineStr">
        <is>
          <t>Air ini</t>
        </is>
      </c>
      <c r="B32446">
        <f>HYPERLINK("https://www.dofusbook.net/fr/equipement/6020176-air-ini/objets", "link")</f>
        <v/>
      </c>
      <c r="C32446" t="n">
        <v>0</v>
      </c>
      <c r="D32446" t="inlineStr">
        <is>
          <t>Manthache; Amulette Martegel; Alliance Gloursonne; Gant du Valet Veinard; Bouclier du Stalak; Ceintouse; Masquegel; Cape Martegel; Tentassons; Dofus Abyssal; Dofus Pourpre; Dofus Ivoire; Dofus Ocre; Dofus Ébène; Dofus Vulbis; Fëanor</t>
        </is>
      </c>
    </row>
    <row r="32447">
      <c r="A32447" t="inlineStr">
        <is>
          <t>Terre</t>
        </is>
      </c>
      <c r="B32447">
        <f>HYPERLINK("https://www.dofusbook.net/fr/equipement/6002530-terre/objets", "link")</f>
        <v/>
      </c>
      <c r="C32447" t="n">
        <v>0</v>
      </c>
      <c r="D32447" t="inlineStr">
        <is>
          <t>Arc du Chalœil; Collier de Tourthon; Bague Gloursonne; Chevalière du Roi Joueur; Bouclier du Stalak; Ceinture de la Reine des Voleurs; Coiffe de la Reine des Voleurs; Cape de Jahash Jurgen; Baleinabottes; Dofus Vulbis; Dofus des Glaces; Dofus Ocre; Dofus Abyssal; Dofus Ivoire; Dévastateur Terre majeur; Bulbisou</t>
        </is>
      </c>
    </row>
    <row r="32448">
      <c r="A32448" t="inlineStr">
        <is>
          <t>eau 12</t>
        </is>
      </c>
      <c r="B32448">
        <f>HYPERLINK("https://www.dofusbook.net/fr/equipement/5798101-eau-12/objets", "link")</f>
        <v/>
      </c>
      <c r="C32448" t="n">
        <v>14</v>
      </c>
      <c r="D32448" t="inlineStr">
        <is>
          <t>Baguette Hique; Amulette du Sinistrofu; Anneau Volkorne; Alliance Gloursonne; Bouclier du Stalak; Ceinture Volkorne; Masque des Fonds marins; Cape du Sinistrofu; Bottes du Sinistrofu; Dofus Ocre; Dofus Ébène; Dofus Vulbis; Dofus des Glaces; Dofus Pourpre; Dofus Ivoire; Fëanor</t>
        </is>
      </c>
    </row>
    <row r="32449">
      <c r="A32449" t="inlineStr">
        <is>
          <t>eau 12/6</t>
        </is>
      </c>
      <c r="B32449">
        <f>HYPERLINK("https://www.dofusbook.net/fr/equipement/5500788-eau-12-6/objets", "link")</f>
        <v/>
      </c>
      <c r="C32449" t="n">
        <v>57</v>
      </c>
      <c r="D32449" t="inlineStr">
        <is>
          <t>Baguette Hique; Amulette du Sinistrofu; Anneau Volkorne; Alliance Gloursonne; Bouclier du Stalak; Ceinture Volkorne; Capuche de l'Œil Attentif; Cape du Sinistrofu; Bottes du Sinistrofu; Dofus Ocre; Dofus Ivoire; Dofus Pourpre; Dofus des Glaces; Dofus Vulbis; Dofus Ébène; Volkorne Doré et Indigo</t>
        </is>
      </c>
    </row>
    <row r="32450">
      <c r="A32450" t="inlineStr">
        <is>
          <t>Air jahash</t>
        </is>
      </c>
      <c r="B32450">
        <f>HYPERLINK("https://www.dofusbook.net/fr/equipement/5830681-air-jahash/objets", "link")</f>
        <v/>
      </c>
      <c r="C32450" t="n">
        <v>0</v>
      </c>
      <c r="D32450" t="inlineStr">
        <is>
          <t>Manthache; Collier du Valet Veinard; Anneau d'Allister; Gant du Valet Veinard; Bouclier du Stalak; Menoture; Coiffe de la Reine des Voleurs; Cape de Jahash Jurgen; Bottes de la Reine des Voleurs; Dofus Vulbis; Dofus des Glaces; Dofus Ivoire; Dofus Abyssal; Dofus Ocre; Saccageur Air majeur; Blérodoudou</t>
        </is>
      </c>
    </row>
    <row r="32451">
      <c r="A32451" t="inlineStr">
        <is>
          <t>12/6 terre</t>
        </is>
      </c>
      <c r="B32451">
        <f>HYPERLINK("https://www.dofusbook.net/fr/equipement/5513420-12-6-terre/objets", "link")</f>
        <v/>
      </c>
      <c r="C32451" t="n">
        <v>9</v>
      </c>
      <c r="D32451" t="inlineStr">
        <is>
          <t>Arc du Chalœil; Amulette du Cœur Saignant; Chevalière du Roi Joueur; Anneau Volkorne; Bouclier du Stalak; Ceinture Volkorne; Couronne du Roi Joueur; Cape du Cœur Saignant; Bottes du Cœur Saignant; Dofus Ocre; Dofus Ébène; Dofus Nébuleux; Dofus Turquoise; Dofus Vulbis; Dofus Ivoire; Kougnard</t>
        </is>
      </c>
    </row>
    <row r="32452">
      <c r="A32452" t="inlineStr">
        <is>
          <t>12/6 eau air feu</t>
        </is>
      </c>
      <c r="B32452">
        <f>HYPERLINK("https://www.dofusbook.net/fr/equipement/5821789-12-6-eau-air-feu/objets", "link")</f>
        <v/>
      </c>
      <c r="C32452" t="n">
        <v>0</v>
      </c>
      <c r="D32452" t="inlineStr">
        <is>
          <t>Sabres d'Atcham; Amulette Volkorne; Anneau Volkorne; Bracelet du Piloztère; Cadran d'Eau; Pagne du Rykaon; Casque Volkorne; Cape d'Atcham; Sandales  d'Atcham; Dofus Abyssal; Dofus Ocre; Dofus Ivoire; Dofus Pourpre; Dofus Ébène; Dofus Turquoise; Volkorne Améthyste et Emeraude</t>
        </is>
      </c>
    </row>
    <row r="32453">
      <c r="A32453" t="inlineStr">
        <is>
          <t>12/6 air</t>
        </is>
      </c>
      <c r="B32453">
        <f>HYPERLINK("https://www.dofusbook.net/fr/equipement/5537605-12-6-air/objets", "link")</f>
        <v/>
      </c>
      <c r="C32453" t="n">
        <v>6</v>
      </c>
      <c r="D32453" t="inlineStr">
        <is>
          <t>Manthache; Collier du Valet Veinard; Anneau d'Allister; Gant du Valet Veinard; Bouclier du Stalak; Sangle Oriole; Couronne d'Allister; Cape du Valet Veinard; Bottes d'Allister; Dofus des Glaces; Dofus Vulbis; Dofus Abyssal; Dofus Ivoire; Dofus Ocre; Dofus Ébène; Blérodoudou</t>
        </is>
      </c>
    </row>
    <row r="32454">
      <c r="A32454" t="inlineStr">
        <is>
          <t>air crit</t>
        </is>
      </c>
      <c r="B32454">
        <f>HYPERLINK("https://www.dofusbook.net/fr/equipement/5764213-air-crit/objets", "link")</f>
        <v/>
      </c>
      <c r="C32454" t="n">
        <v>0</v>
      </c>
      <c r="D32454" t="inlineStr"/>
    </row>
    <row r="32455">
      <c r="A32455" t="inlineStr">
        <is>
          <t>Eau air</t>
        </is>
      </c>
      <c r="B32455">
        <f>HYPERLINK("https://www.dofusbook.net/fr/equipement/5737323-eau-air/objets", "link")</f>
        <v/>
      </c>
      <c r="C32455" t="n">
        <v>1</v>
      </c>
      <c r="D32455" t="inlineStr">
        <is>
          <t>Arc de Koutoulou; Amulette du Sinistrofu; Alliance Gloursonne; Anneau Volkorne; Bouclier du Stalak; Ceinture Volkorne; Casque Volkorne; Cape du Sinistrofu; Bottes du Sinistrofu; Dofus Pourpre; Dofus Ébène; Dofus Ocre; Dofus des Glaces; Dofus Ivoire; Fëanor</t>
        </is>
      </c>
    </row>
    <row r="32456">
      <c r="A32456" t="inlineStr">
        <is>
          <t>Songes classe</t>
        </is>
      </c>
      <c r="B32456">
        <f>HYPERLINK("https://www.dofusbook.net/fr/equipement/5716567-songes-classe/objets", "link")</f>
        <v/>
      </c>
      <c r="C32456" t="n">
        <v>1</v>
      </c>
      <c r="D32456" t="inlineStr">
        <is>
          <t>Rouleau à Pâtisserie d'Aermyne; Collier Rophante; Alliance Gloursonne; Bague Gloursonne; Droiture de Fallanster; Sangle Huée; Coiffe d'Aermyne; Cape Wéra; Dofus Ocre; Dofus Argenté; Dofus Ivoire; Dofus Émeraude; Dofus Abyssal; Kramkram</t>
        </is>
      </c>
    </row>
    <row r="32457">
      <c r="A32457" t="inlineStr">
        <is>
          <t>Roublard F 200</t>
        </is>
      </c>
      <c r="B32457">
        <f>HYPERLINK("https://www.dofusbook.net/fr/equipement/5701497-roublard-f-200/objets", "link")</f>
        <v/>
      </c>
      <c r="C32457" t="n">
        <v>1</v>
      </c>
      <c r="D32457" t="inlineStr"/>
    </row>
    <row r="32458">
      <c r="A32458" t="inlineStr">
        <is>
          <t>eau air</t>
        </is>
      </c>
      <c r="B32458">
        <f>HYPERLINK("https://www.dofusbook.net/fr/equipement/5612006-eau-air/objets", "link")</f>
        <v/>
      </c>
      <c r="C32458" t="n">
        <v>7</v>
      </c>
      <c r="D32458" t="inlineStr">
        <is>
          <t>Arc de Koutoulou; Amulette du Strigide; Alliance Gloursonne; Bracelet du Piloztère; Quatre-feuilles; Ceinture du Strigide; Némès de Tal Kasha; Chevelure de Tal Kasha; Sandales de Tal Kasha; Dofus Vulbis; Dofus Ivoire; Dofus Turquoise; Dofus Ébène; Dofus Ocre; Dofus Abyssal; Kokulte</t>
        </is>
      </c>
    </row>
    <row r="32459">
      <c r="A32459" t="inlineStr">
        <is>
          <t>11/6 classe</t>
        </is>
      </c>
      <c r="B32459">
        <f>HYPERLINK("https://www.dofusbook.net/fr/equipement/5543666-11-6-classe/objets", "link")</f>
        <v/>
      </c>
      <c r="C32459" t="n">
        <v>37</v>
      </c>
      <c r="D32459" t="inlineStr">
        <is>
          <t>Arc corrompu; Amulette Volkorne; Chevalière du Roi Joueur; Anneau Volkorne; Bouclier du Stalak; Croture; Chapeau Grave; Cape de Diondin; Bottes Innommables; Dofus Vulbis; Dofus Ébène; Dofus Ocre; Dofus Nébuleux; Dofus Ivoire; Érudit majeur; Dragodinde Amande et Orchidée</t>
        </is>
      </c>
    </row>
    <row r="32460">
      <c r="A32460" t="inlineStr">
        <is>
          <t>11/6 nil</t>
        </is>
      </c>
      <c r="B32460">
        <f>HYPERLINK("https://www.dofusbook.net/fr/equipement/5543528-11-6-nil/objets", "link")</f>
        <v/>
      </c>
      <c r="C32460" t="n">
        <v>1</v>
      </c>
      <c r="D32460" t="inlineStr">
        <is>
          <t>Arc corrompu; Amulette de Nileza; Anneauræus; Bague Gloursonne; Bouclier du Stalak; Croture; Heaume Oplate; Cape de Nileza; Bottes Innommables; Dofus Nébuleux; Dofus Ivoire; Dofus Vulbis; Dofus Ébène; Dofus Ocre; Dofus Abyssal; Bwak de Feu</t>
        </is>
      </c>
    </row>
    <row r="32461">
      <c r="A32461" t="inlineStr">
        <is>
          <t>terre air cc</t>
        </is>
      </c>
      <c r="B32461">
        <f>HYPERLINK("https://www.dofusbook.net/fr/equipement/5298943-terre-air-cc/objets", "link")</f>
        <v/>
      </c>
      <c r="C32461" t="n">
        <v>0</v>
      </c>
      <c r="D32461" t="inlineStr">
        <is>
          <t>Corne de Torkélonia; Carapace de Torkélonia</t>
        </is>
      </c>
    </row>
    <row r="32462">
      <c r="A32462" t="inlineStr">
        <is>
          <t>terre cc</t>
        </is>
      </c>
      <c r="B32462">
        <f>HYPERLINK("https://www.dofusbook.net/fr/equipement/5529032-terre-cc/objets", "link")</f>
        <v/>
      </c>
      <c r="C32462" t="n">
        <v>0</v>
      </c>
      <c r="D32462" t="inlineStr">
        <is>
          <t>Héqache; Amulette du Strigide; Crocanneau; Anneau Volkorne; Bouclier du Captain Amakna; Ceinture Volkorne; Corne de Torkélonia; Carapace de Torkélonia; Bottes du Strigide; Dofus Turquoise; Dofus Abyssal; Dofus Ocre; Dofus Ébène; Dofus Vulbis; Dofus Ivoire; Kokulte</t>
        </is>
      </c>
    </row>
    <row r="32463">
      <c r="A32463" t="inlineStr">
        <is>
          <t>Air ini</t>
        </is>
      </c>
      <c r="B32463">
        <f>HYPERLINK("https://www.dofusbook.net/fr/equipement/5516072-air-ini/objets", "link")</f>
        <v/>
      </c>
      <c r="C32463" t="n">
        <v>4</v>
      </c>
      <c r="D32463" t="inlineStr">
        <is>
          <t>Manthache; Collier du Valet Veinard; Alliance Gloursonne; Gant du Valet Veinard; Bouclier du Stalak; Menoture; Masquegel; Cape Martegel; Palmes Trithons; Dofus des Glaces; Dofus Ivoire; Dofus Vulbis; Dofus Ébène; Dofus Ocre; Dofus Abyssal; Blérodoudou</t>
        </is>
      </c>
    </row>
    <row r="32464">
      <c r="A32464" t="inlineStr">
        <is>
          <t>feu classe</t>
        </is>
      </c>
      <c r="B32464">
        <f>HYPERLINK("https://www.dofusbook.net/fr/equipement/5500548-feu-classe/objets", "link")</f>
        <v/>
      </c>
      <c r="C32464" t="n">
        <v>0</v>
      </c>
      <c r="D32464" t="inlineStr">
        <is>
          <t>Arc corrompu; Amulette Volkorne; Crocanneau; Anneau Volkorne; Bouclier du Stalak; Croture; Chapeau Grave; Cape Ardente; Chaussures Ardentes; Dofus Pourpre; Dofus Ébène; Dofus des Glaces; Dofus Ocre; Dofus Vulbis; Dofus Ivoire; Dragodinde Ivoire et Orchidée</t>
        </is>
      </c>
    </row>
    <row r="32465">
      <c r="A32465" t="inlineStr">
        <is>
          <t>Feu 12/6</t>
        </is>
      </c>
      <c r="B32465">
        <f>HYPERLINK("https://www.dofusbook.net/fr/equipement/5445198-feu-12-6/objets", "link")</f>
        <v/>
      </c>
      <c r="C32465" t="n">
        <v>0</v>
      </c>
      <c r="D32465" t="inlineStr">
        <is>
          <t>Arc corrompu; Collier de la Dame du Hasard; Anneau de Nidas; Croture; Couronne de Nidas; Cape de la Dame du Hasard; Bottes de la Dame du Hasard; Dofus Ocre; Dofus Ébène; Dofus Vulbis; Dofus Abyssal; Dofus Pourpre; Dofus Ivoire</t>
        </is>
      </c>
    </row>
    <row r="32466">
      <c r="A32466" t="inlineStr">
        <is>
          <t>Feu 12</t>
        </is>
      </c>
      <c r="B32466">
        <f>HYPERLINK("https://www.dofusbook.net/fr/equipement/5440973-feu-12/objets", "link")</f>
        <v/>
      </c>
      <c r="C32466" t="n">
        <v>3</v>
      </c>
      <c r="D32466" t="inlineStr">
        <is>
          <t>Arc Nécrotique; Talisman Igans; Anneau Rifique; Anneauræus; Bouclier cubiste; Ceintrigue; Casquette de Meno; Cape de Meno; Bottes de Meno; Dofus Ocre; Dofus Ébène; Dofus Turquoise; Dofus Vulbis; Dofus Pourpre; Dofus Ivoire; Volkorne Rubis et Orchidée</t>
        </is>
      </c>
    </row>
    <row r="32467">
      <c r="A32467" t="inlineStr">
        <is>
          <t>striglours</t>
        </is>
      </c>
      <c r="B32467">
        <f>HYPERLINK("https://www.dofusbook.net/fr/equipement/5432062-striglours/objets", "link")</f>
        <v/>
      </c>
      <c r="C32467" t="n">
        <v>3</v>
      </c>
      <c r="D32467" t="inlineStr">
        <is>
          <t>Epée Gloursonne; Amulette du Strigide; Bague Gloursonne; Alliance Gloursonne; Cadran d'Eau; Ceinture du Strigide; Corne de Torkélonia; Carapace de Torkélonia; Bottes du Strigide; Dofus Ivoire; Dofus Vulbis; Dofus Ébène; Dofus Ocre; Dofus Abyssal; Dofus Turquoise; Kokulte</t>
        </is>
      </c>
    </row>
    <row r="32468">
      <c r="A32468" t="inlineStr">
        <is>
          <t>do crit</t>
        </is>
      </c>
      <c r="B32468">
        <f>HYPERLINK("https://www.dofusbook.net/fr/equipement/5381829-do-crit/objets", "link")</f>
        <v/>
      </c>
      <c r="C32468" t="n">
        <v>0</v>
      </c>
      <c r="D32468" t="inlineStr">
        <is>
          <t>Dagues du Dragoeuf; Amulette du Strigide; Bague Trithon; Anneau de Padgref; Bouclier du Captain Amakna; Ceinture du Strigide; Corne de Torkélonia; Carapace de Torkélonia; Bottes du Strigide; Dofus Vulbis; Dofus des Glaces; Dofus Pourpre; Dofus Ocre; Dofus Turquoise; Dofus Nébuleux; Kokulte</t>
        </is>
      </c>
    </row>
    <row r="32469">
      <c r="A32469" t="inlineStr">
        <is>
          <t>terre 12 6</t>
        </is>
      </c>
      <c r="B32469">
        <f>HYPERLINK("https://www.dofusbook.net/fr/equipement/5299663-terre-12-6/objets", "link")</f>
        <v/>
      </c>
      <c r="C32469" t="n">
        <v>0</v>
      </c>
      <c r="D32469" t="inlineStr">
        <is>
          <t>Arc du Chalœil; Amulette du Cœur Saignant; Anneau Volkorne; Chevalière du Roi Joueur; Quatre-feuilles; Ceinture Volkorne; Couronne du Roi Joueur; Cape du Cœur Saignant; Bottes du Cœur Saignant; Dofus Ivoire; Dofus Turquoise; Dofus Ébène; Dofus Ocre; Dofus Abyssal; Dofus Vulbis; Volkorne Emeraude et Pourpre</t>
        </is>
      </c>
    </row>
    <row r="32470">
      <c r="A32470" t="inlineStr">
        <is>
          <t>Sram M 200</t>
        </is>
      </c>
      <c r="B32470">
        <f>HYPERLINK("https://www.dofusbook.net/fr/equipement/5240775-sram-m-200/objets", "link")</f>
        <v/>
      </c>
      <c r="C32470" t="n">
        <v>0</v>
      </c>
      <c r="D32470" t="inlineStr">
        <is>
          <t>Arc corrompu; Amulette Volkorne; Chevalière du Roi Joueur; Anneau Volkorne; Bouclier du Stalak; Ceinture Volkorne; Couronne du Roi Joueur; Voile d'encre; Bottes du Roi Joueur; Dofus Turquoise; Dofus Abyssal; Dofus Ocre; Dofus Ivoire; Dofus Pourpre; Dofus Ébène; Fëanor</t>
        </is>
      </c>
    </row>
    <row r="32471">
      <c r="A32471" t="inlineStr">
        <is>
          <t>eau pp</t>
        </is>
      </c>
      <c r="B32471">
        <f>HYPERLINK("https://www.dofusbook.net/fr/equipement/5230984-eau-pp/objets", "link")</f>
        <v/>
      </c>
      <c r="C32471" t="n">
        <v>2</v>
      </c>
      <c r="D32471" t="inlineStr">
        <is>
          <t>Pelle Fik; Amulette du Sinistrofu; Anneau Volkorne; Alliance Gloursonne; Bouclier d'Ilyzaelle; Sangle Ouare; Kidibonnet; Cape du Barbétoal; Bottes du Sinistrofu; Dofus Abyssal; Dofus Ébène; Dofus Ocre; Dofus Kaliptus; Chanceux majeur; Taquin majeur; Hurledent</t>
        </is>
      </c>
    </row>
    <row r="32472">
      <c r="A32472" t="inlineStr">
        <is>
          <t>OS terre jahash</t>
        </is>
      </c>
      <c r="B32472">
        <f>HYPERLINK("https://www.dofusbook.net/fr/equipement/5143273-os-terre-jahash/objets", "link")</f>
        <v/>
      </c>
      <c r="C32472" t="n">
        <v>0</v>
      </c>
      <c r="D32472" t="inlineStr">
        <is>
          <t>Crocobur; Amulette de Pol Ouatnos; Bague Gloursonne; Anneau Volkorne; Bouclier du Captain Amakna; Ceinture Volkorne; Masque de Koutoulou; Cape de Jahash Jurgen; Bottes du Cœur Saignant; Dofus Ivoire; Dofus Turquoise; Dofus Pourpre; Dofus Ocre; Dofus Ébène; Enragé majeur; Dragodinde Ivoire et Pourpre</t>
        </is>
      </c>
    </row>
    <row r="32473">
      <c r="A32473" t="inlineStr">
        <is>
          <t>Feu</t>
        </is>
      </c>
      <c r="B32473">
        <f>HYPERLINK("https://www.dofusbook.net/fr/equipement/5143149-feu/objets", "link")</f>
        <v/>
      </c>
      <c r="C32473" t="n">
        <v>1</v>
      </c>
      <c r="D32473" t="inlineStr">
        <is>
          <t>Arc corrompu; Amulette Volkorne; Chevalière du Roi Joueur; Anneau Volkorne; Bouclier du Stalak; Ceinture Volkorne; Couronne du Roi Joueur; Voile d'encre; Bottes du Roi Joueur; Dofus Nébuleux; Dofus Ivoire; Dofus Pourpre; Dofus Ébène; Dofus Ocre; Dofus Abyssal; Fëanor</t>
        </is>
      </c>
    </row>
    <row r="32474">
      <c r="A32474" t="inlineStr">
        <is>
          <t>Songes</t>
        </is>
      </c>
      <c r="B32474">
        <f>HYPERLINK("https://www.dofusbook.net/fr/equipement/5108366-songes/objets", "link")</f>
        <v/>
      </c>
      <c r="C32474" t="n">
        <v>0</v>
      </c>
      <c r="D32474" t="inlineStr">
        <is>
          <t>Épée Brûlâme; Amulette du Strigide; Bague Gloursonne; Anneau de Pol Ouatnos; Cadran d'Eau; Ceinture du Strigide; Masque d'Anerice; Cape d'Anerice; Bottes du Strigide; Dofus Pourpre; Dofus Abyssal; Dofus Ocre; Dofus Ivoire; Dofus Turquoise; Dofus Ébène; Kokulte</t>
        </is>
      </c>
    </row>
    <row r="32475">
      <c r="A32475" t="inlineStr">
        <is>
          <t>eau feu</t>
        </is>
      </c>
      <c r="B32475">
        <f>HYPERLINK("https://www.dofusbook.net/fr/equipement/5108186-eau-feu/objets", "link")</f>
        <v/>
      </c>
      <c r="C32475" t="n">
        <v>1</v>
      </c>
      <c r="D32475" t="inlineStr">
        <is>
          <t>Sabres d'Atcham; Amulette Volkorne; Anneau de Padgref; Anneau Volkorne; Cadran d'Eau; Ceintacé; Coiffe de Padgref; Cape de la Dame du Hasard; Bottes de la Dame du Hasard; Dofus Ivoire; Dofus Turquoise; Dofus Ébène; Dofus Ocre; Dofus Abyssal; Voyageur; Kokulte</t>
        </is>
      </c>
    </row>
    <row r="32476">
      <c r="A32476" t="inlineStr">
        <is>
          <t>Terre os CAC</t>
        </is>
      </c>
      <c r="B32476">
        <f>HYPERLINK("https://www.dofusbook.net/fr/equipement/4892175-terre-os-cac/objets", "link")</f>
        <v/>
      </c>
      <c r="C32476" t="n">
        <v>2</v>
      </c>
      <c r="D32476" t="inlineStr">
        <is>
          <t>Hache du Chalœil; Amulette Volkorne; Chevalière du Roi Joueur; Anneau Volkorne; Bouclier d'Ilyzaelle; Ceinture Volkorne; Couronne du Roi Joueur; Cape de Jahash Jurgen; Bottes du Roi Joueur; Dofus Nébuleux; Dofus Ébène; Dofus Turquoise; Dofus Ivoire; Dofus Ocre; Dofus Pourpre; Volkorne Emeraude et Pourpre</t>
        </is>
      </c>
    </row>
    <row r="32477">
      <c r="A32477" t="inlineStr">
        <is>
          <t>Stuff pp</t>
        </is>
      </c>
      <c r="B32477">
        <f>HYPERLINK("https://www.dofusbook.net/fr/equipement/5067669-stuff-pp/objets", "link")</f>
        <v/>
      </c>
      <c r="C32477" t="n">
        <v>0</v>
      </c>
      <c r="D32477" t="inlineStr">
        <is>
          <t>Hache à Lamelles; Collier du Minotot; Bracelet du Minotot; Anneau Moutheur; Bouclier du Bawbawe; Tranche des Sous-bois; Coiffe du Minotot; Cape du Minotot; Bottines des sous-bois; Dofus Kaliptus; Taquin; Taquin mineur; Joueur majeur; Taquin majeur; Nomoon</t>
        </is>
      </c>
    </row>
    <row r="32478">
      <c r="A32478" t="inlineStr">
        <is>
          <t>CAC croco</t>
        </is>
      </c>
      <c r="B32478">
        <f>HYPERLINK("https://www.dofusbook.net/fr/equipement/5010254-cac-croco/objets", "link")</f>
        <v/>
      </c>
      <c r="C32478" t="n">
        <v>1</v>
      </c>
      <c r="D32478" t="inlineStr">
        <is>
          <t>Crocobur; Amulette du Strigide; Bague Gloursonne; Chevalière du Roi Joueur; Bouclier du Captain Amakna; Ceinture du Strigide; Couronne du Roi Joueur; Cape de Jahash Jurgen; Bottes du Roi Joueur; Dofus Pourpre; Dofus Forgelave; Dofus Turquoise; Dofus Ébène; Dofus Ocre; Forcené majeur; Fëanor</t>
        </is>
      </c>
    </row>
    <row r="32479">
      <c r="A32479" t="inlineStr">
        <is>
          <t>air tank</t>
        </is>
      </c>
      <c r="B32479">
        <f>HYPERLINK("https://www.dofusbook.net/fr/equipement/4962896-air-tank/objets", "link")</f>
        <v/>
      </c>
      <c r="C32479" t="n">
        <v>1</v>
      </c>
      <c r="D32479" t="inlineStr">
        <is>
          <t>Plume de Buhorado; Amulette d'Ilyzaelle; Alliance Gloursonne; Gant du Valet Veinard; Bouclier du Stalak; Menoture; Dorabysses; Cape du Valet Veinard; Palmes Trithons; Dofus Pourpre; Dofus Ébène; Dofus Ocre; Dofus Abyssal; Dofus Émeraude; Dofus Ivoire</t>
        </is>
      </c>
    </row>
    <row r="32480">
      <c r="A32480" t="inlineStr">
        <is>
          <t>eau air crit</t>
        </is>
      </c>
      <c r="B32480">
        <f>HYPERLINK("https://www.dofusbook.net/fr/equipement/4804522-eau-air-crit/objets", "link")</f>
        <v/>
      </c>
      <c r="C32480" t="n">
        <v>2</v>
      </c>
      <c r="D32480" t="inlineStr">
        <is>
          <t>Plume de Buhorado; Amulette du Strigide; Alliance Gloursonne; Anneau Volkorne; Bouclier d'Ilyzaelle; Ceinture du Strigide; Némès de Tal Kasha; Chevelure de Tal Kasha; Sandales de Tal Kasha; Dofus Ocre; Dofus Ivoire; Dofus Turquoise; Dofus Ébène; Dofus Pourpre; Dofus Abyssal; Kokulte</t>
        </is>
      </c>
    </row>
    <row r="32481">
      <c r="A32481" t="inlineStr">
        <is>
          <t>feu hetype</t>
        </is>
      </c>
      <c r="B32481">
        <f>HYPERLINK("https://www.dofusbook.net/fr/equipement/4804205-feu-hetype/objets", "link")</f>
        <v/>
      </c>
      <c r="C32481" t="n">
        <v>3</v>
      </c>
      <c r="D32481" t="inlineStr">
        <is>
          <t>Arc Hétype; Amulette Volkorne; Bague Gloursonne; Anneau Tique; Bouclier du Stalak; Ceinture Volkorne; Coiffe Séculaire; Cape de Diondin; Bottes Innommables; Dofus Ocre; Dofus Ivoire; Dofus Pourpre; Dofus Ébène; Nomade; Érudit majeur; Dragodinde Amande et Orchidée</t>
        </is>
      </c>
    </row>
    <row r="32482">
      <c r="A32482" t="inlineStr">
        <is>
          <t>Sram M 200</t>
        </is>
      </c>
      <c r="B32482">
        <f>HYPERLINK("https://www.dofusbook.net/fr/equipement/4802037-sram-m-200/objets", "link")</f>
        <v/>
      </c>
      <c r="C32482" t="n">
        <v>4</v>
      </c>
      <c r="D32482" t="inlineStr">
        <is>
          <t>Dagues Lassay; Collier du Valet Veinard; Alliance Gloursonne; Gant du Valet Veinard; Bouclier du Stalak; Menoture; Couronne d'Allister; Cape Routh; Baleinabottes; Dofus Pourpre; Vigoureux majeur; Remueur; Cascadeur majeur; Dévastateur Air majeur; Nomade; Dragodinde Prune et Ebène</t>
        </is>
      </c>
    </row>
    <row r="32483">
      <c r="A32483" t="inlineStr">
        <is>
          <t>Terre os croco</t>
        </is>
      </c>
      <c r="B32483">
        <f>HYPERLINK("https://www.dofusbook.net/fr/equipement/4773397-terre-os-croco/objets", "link")</f>
        <v/>
      </c>
      <c r="C32483" t="n">
        <v>0</v>
      </c>
      <c r="D32483" t="inlineStr">
        <is>
          <t>Crocobur; Amulette du Cœur Saignant; Anneau Chevelu; Anneau Volkorne; Bouclier du Captain Amakna; Ceinture Volkorne; Masque de Koutoulou; Cape au Logis; Bottes de Brouce; Dofus Ivoire; Dofus Ocre; Dofus Pourpre; Dofus Nébuleux; Dofus Turquoise; Dofus Ébène; Dragodinde Emeraude et Pourpre</t>
        </is>
      </c>
    </row>
    <row r="32484">
      <c r="A32484" t="inlineStr">
        <is>
          <t>eau</t>
        </is>
      </c>
      <c r="B32484">
        <f>HYPERLINK("https://www.dofusbook.net/fr/equipement/4570361-eau/objets", "link")</f>
        <v/>
      </c>
      <c r="C32484" t="n">
        <v>13</v>
      </c>
      <c r="D32484" t="inlineStr">
        <is>
          <t>Sceptre du Roi Joueur; Amulette Voldelor; Anneau Volkorne; Alliance Gloursonne; Bouclier d'Ilyzaelle; Sangle Ouare; Kidibonnet; Cape Solution; Bottes Voldelor; Dofus Abyssal; Dofus Ébène; Dofus Pourpre; Dofus Turquoise; Dofus Ivoire; Chanceux majeur; Dragodinde Emeraude et Indigo</t>
        </is>
      </c>
    </row>
    <row r="32485">
      <c r="A32485" t="inlineStr">
        <is>
          <t>Air</t>
        </is>
      </c>
      <c r="B32485">
        <f>HYPERLINK("https://www.dofusbook.net/fr/equipement/4732103-air/objets", "link")</f>
        <v/>
      </c>
      <c r="C32485" t="n">
        <v>0</v>
      </c>
      <c r="D32485" t="inlineStr">
        <is>
          <t>Manthache; Collier du Valet Veinard; Gant du Valet Veinard; Anneau d'Allister; Bouclier d'Ilyzaelle; Ceinture du Nocturlabe; Couronne d'Allister; Cape du Valet Veinard; Bottes d'Allister; Dofus Émeraude; Dofus Abyssal; Dofus Pourpre; Dofus Ivoire; Dofus Ocre; Equilibriste majeur; Dragodinde Ebène et Ivoire</t>
        </is>
      </c>
    </row>
    <row r="32486">
      <c r="A32486" t="inlineStr">
        <is>
          <t>Sram M 200</t>
        </is>
      </c>
      <c r="B32486">
        <f>HYPERLINK("https://www.dofusbook.net/fr/equipement/4700589-sram-m-200/objets", "link")</f>
        <v/>
      </c>
      <c r="C32486" t="n">
        <v>1</v>
      </c>
      <c r="D32486" t="inlineStr">
        <is>
          <t>Arc Honte; Amulette Volkorne; Anneau Volkorne; Bague Gloursonne; Bouclier du Stalak; Ceinture Volkorne; Casque du Chalœil; Cape du Chalœil; Bottes du Chalœil; Dofus Abyssal; Dofus des Glaces; Dofus Pourpre; Dofus Ébène; Dofus Ocre; Dofus Ivoire; Fëanor</t>
        </is>
      </c>
    </row>
    <row r="32487">
      <c r="A32487" t="inlineStr">
        <is>
          <t>Feu</t>
        </is>
      </c>
      <c r="B32487">
        <f>HYPERLINK("https://www.dofusbook.net/fr/equipement/4689761-feu/objets", "link")</f>
        <v/>
      </c>
      <c r="C32487" t="n">
        <v>0</v>
      </c>
      <c r="D32487" t="inlineStr">
        <is>
          <t>Arc corrompu; Amulette Volkorne; Bouclier du Stalak; Ceinture de l'Esprit Malsain; Bottes Innommables; Dofus Ébène; Dofus Ocre; Dofus Abyssal; Dofus Pourpre; Dofus Ivoire; Érudit majeur</t>
        </is>
      </c>
    </row>
    <row r="32488">
      <c r="A32488" t="inlineStr">
        <is>
          <t>Terre resi</t>
        </is>
      </c>
      <c r="B32488">
        <f>HYPERLINK("https://www.dofusbook.net/fr/equipement/4385888-terre-resi/objets", "link")</f>
        <v/>
      </c>
      <c r="C32488" t="n">
        <v>8</v>
      </c>
      <c r="D32488" t="inlineStr">
        <is>
          <t>Arc du Chalœil; Collier de Tourthon; Bague Gloursonne; Chevalière du Roi Joueur; Bouclier du Stalak; Ceinture Volkorne; Masque de Koutoulou; Cape au Logis; Bottes du Roi Joueur; Dofus Ocre; Dofus Ivoire; Dofus Abyssal; Dofus Ébène; Dofus Pourpre; Enragé majeur; Bwak de Terre</t>
        </is>
      </c>
    </row>
    <row r="32489">
      <c r="A32489" t="inlineStr">
        <is>
          <t>feu eau dist</t>
        </is>
      </c>
      <c r="B32489">
        <f>HYPERLINK("https://www.dofusbook.net/fr/equipement/4560442-feu-eau-dist/objets", "link")</f>
        <v/>
      </c>
      <c r="C32489" t="n">
        <v>0</v>
      </c>
      <c r="D32489" t="inlineStr">
        <is>
          <t>Pyraguette; Talisman Igans; Anneau Volkorne; Alliance Gloursonne; Bouclier du Stalak; Ceintrigue; Masque Paztek; Cape Paztek; Sandales Paztek; Dofus des Glaces; Dofus Ivoire; Dofus Ocre; Dofus Ébène; Dofus Pourpre; Dofus Abyssal; Fëanor</t>
        </is>
      </c>
    </row>
    <row r="32490">
      <c r="A32490" t="inlineStr">
        <is>
          <t>air feu</t>
        </is>
      </c>
      <c r="B32490">
        <f>HYPERLINK("https://www.dofusbook.net/fr/equipement/4556888-air-feu/objets", "link")</f>
        <v/>
      </c>
      <c r="C32490" t="n">
        <v>2</v>
      </c>
      <c r="D32490" t="inlineStr">
        <is>
          <t>L'Épée Nice; Amulette Martegel; Alliance Brûlâme; Alliance Gloursonne; Bouclier du Stalak; Ceinture de Vortex; Masquegel; Cape Martegel; Sabots de Vortex; Dofus Ocre; Dofus Ivoire; Dofus des Glaces; Dofus Abyssal; Dofus Pourpre; Dofus Ébène; Volkorne Jade</t>
        </is>
      </c>
    </row>
    <row r="32491">
      <c r="A32491" t="inlineStr">
        <is>
          <t>Flotte</t>
        </is>
      </c>
      <c r="B32491">
        <f>HYPERLINK("https://www.dofusbook.net/fr/equipement/4522210-flotte/objets", "link")</f>
        <v/>
      </c>
      <c r="C32491" t="n">
        <v>0</v>
      </c>
      <c r="D32491" t="inlineStr">
        <is>
          <t>Arc de Koutoulou; Amulette d'Ilyzaelle; Alliance Gloursonne; Anneau Volkorne; Bouclier du Stalak; Sangle Ouare; Casque d'Ilyzaelle; Cape des Malveilleurs; Pataugastrique; Dofus Pourpre; Dofus Ébène; Dofus Ocre; Dofus Ivoire; Dofus Abyssal; Vigoureux majeur; Kanigloups</t>
        </is>
      </c>
    </row>
    <row r="32492">
      <c r="A32492" t="inlineStr">
        <is>
          <t>levi volk</t>
        </is>
      </c>
      <c r="B32492">
        <f>HYPERLINK("https://www.dofusbook.net/fr/equipement/4462225-levi-volk/objets", "link")</f>
        <v/>
      </c>
      <c r="C32492" t="n">
        <v>22</v>
      </c>
      <c r="D32492" t="inlineStr">
        <is>
          <t>Arc Honte; Amulette Volkorne; Alliance du Lévitrof; Anneau Volkorne; Bouclier du Stalak; Ceinture Volkorne; Coiffe du Lévitrof; Voile d'encre; Bottes du Lévitrof; Dofus Pourpre; Dofus Ivoire; Dofus des Glaces; Dofus Ocre; Dofus Ébène; Dofus Abyssal; Fëanor</t>
        </is>
      </c>
    </row>
    <row r="32493">
      <c r="A32493" t="inlineStr">
        <is>
          <t>Sram M 200</t>
        </is>
      </c>
      <c r="B32493">
        <f>HYPERLINK("https://www.dofusbook.net/fr/equipement/4403795-sram-m-200/objets", "link")</f>
        <v/>
      </c>
      <c r="C32493" t="n">
        <v>0</v>
      </c>
      <c r="D32493" t="inlineStr">
        <is>
          <t>Lav'Hache; Collier de Tourthon; Bague Gloursonne; Anneau Chevelu; Bouclier d'Anerice; Ceinture de la Cour Sombre; Masque de Koutoulou; Cape d'Anerice; Sabots Minables; Dofus Ocre; Dofus Ivoire; Dofus Émeraude; Enragé majeur; Nomade; Carapace Eau majeur; Bwak de Terre</t>
        </is>
      </c>
    </row>
    <row r="32494">
      <c r="A32494" t="inlineStr">
        <is>
          <t>Sram M 200</t>
        </is>
      </c>
      <c r="B32494">
        <f>HYPERLINK("https://www.dofusbook.net/fr/equipement/4401498-sram-m-200/objets", "link")</f>
        <v/>
      </c>
      <c r="C32494" t="n">
        <v>0</v>
      </c>
      <c r="D32494" t="inlineStr">
        <is>
          <t>Arc du Chalœil; Amulette du Kamasterisk; Anneau du Comte Harebourg; Anneau de Brouce; Quatre-feuilles; Ceinture de Brouce; Coiffe du Comte Harebourg; Cape du Kamasterisk; Bottes de Brouce; Dofus Ocre; Dofus Ébène; Dofus Pourpre; Dofus Abyssal; Dofus Turquoise; Dofus Ivoire; Volkorne Emeraude et Pourpre</t>
        </is>
      </c>
    </row>
    <row r="32495">
      <c r="A32495" t="inlineStr">
        <is>
          <t>Air opti</t>
        </is>
      </c>
      <c r="B32495">
        <f>HYPERLINK("https://www.dofusbook.net/fr/equipement/4376976-air-opti/objets", "link")</f>
        <v/>
      </c>
      <c r="C32495" t="n">
        <v>2</v>
      </c>
      <c r="D32495" t="inlineStr">
        <is>
          <t>Manthache; Collier du Valet Veinard; Gant du Valet Veinard; Alliance Gloursonne; Bouclier du Stalak; Menoture; Dorabysses; Cape Martegel; Palmes Trithons; Dofus Ocre; Dofus Ébène; Dofus Abyssal; Dofus Ivoire; Nomade; Cascadeur majeur; Blérodoudou</t>
        </is>
      </c>
    </row>
    <row r="32496">
      <c r="A32496" t="inlineStr">
        <is>
          <t>Osamodas F 200</t>
        </is>
      </c>
      <c r="B32496">
        <f>HYPERLINK("https://www.dofusbook.net/fr/equipement/4352348-osamodas-f-200/objets", "link")</f>
        <v/>
      </c>
      <c r="C32496" t="n">
        <v>0</v>
      </c>
      <c r="D32496" t="inlineStr">
        <is>
          <t>Rouleau à Pâtisserie d'Aermyne; Collier de Tourthon; Anneau Chevelu; Anneau Crustique; Bouclier d'Anerice; Ceinture Volkorne; Masque de Koutoulou; Cape d'Anerice; Chaussons de Macrab; Dofus Ivoire; Dofus Émeraude; Dofus Pourpre; Dofus Ocre; Carapace Neutre majeur; Muldo Indigo</t>
        </is>
      </c>
    </row>
    <row r="32497">
      <c r="A32497" t="inlineStr">
        <is>
          <t>terre 11pa</t>
        </is>
      </c>
      <c r="B32497">
        <f>HYPERLINK("https://www.dofusbook.net/fr/equipement/4350743-terre-11pa/objets", "link")</f>
        <v/>
      </c>
      <c r="C32497" t="n">
        <v>0</v>
      </c>
      <c r="D32497" t="inlineStr">
        <is>
          <t>Lav'Hache; Collier de Tourthon; Anneau Crustique; Anneau Chevelu; Bouclier d'Ilyzaelle; Ceinture de la Cour Sombre; Masque de Koutoulou; Cape au Logis; Bottes de la Cour Sombre; Dofus Pourpre; Dofus Abyssal; Dofus Ocre; Dofus Ébène; Dofus Nébuleux; Dofus Ivoire; Bwak de Terre</t>
        </is>
      </c>
    </row>
    <row r="32498">
      <c r="A32498" t="inlineStr">
        <is>
          <t>terre os</t>
        </is>
      </c>
      <c r="B32498">
        <f>HYPERLINK("https://www.dofusbook.net/fr/equipement/4349082-terre-os/objets", "link")</f>
        <v/>
      </c>
      <c r="C32498" t="n">
        <v>0</v>
      </c>
      <c r="D32498" t="inlineStr">
        <is>
          <t>Dagues d'Ilyzaelle; Amulette du Cœur Saignant; Anneau en Grithril; Bague Gloursonne; Bouclier d'Ilyzaelle; Ceinture en Grithril; Casque en Grithril; Cape du Cœur Saignant; Bottes du Cœur Saignant; Dofus Ocre; Dofus Ivoire; Dofus Ébène; Dofus Turquoise; Dofus Pourpre; Dofus Nébuleux; Muldo Prune et Doré</t>
        </is>
      </c>
    </row>
    <row r="32499">
      <c r="A32499" t="inlineStr">
        <is>
          <t>air</t>
        </is>
      </c>
      <c r="B32499">
        <f>HYPERLINK("https://www.dofusbook.net/fr/equipement/4324037-air/objets", "link")</f>
        <v/>
      </c>
      <c r="C32499" t="n">
        <v>0</v>
      </c>
      <c r="D32499" t="inlineStr">
        <is>
          <t>Manthache; Amulette du Cycloïde; Gant du Valet Veinard; Alliance Gloursonne; Bouclier du Stalak; Ceintacé; Dorabysses; Cape du Valet Veinard; Palmes Trithons; Dofus Abyssal; Dofus Ivoire; Dofus Ébène; Dofus Ocre; Obstructeur majeur; Cascadeur majeur</t>
        </is>
      </c>
    </row>
    <row r="32500">
      <c r="A32500" t="inlineStr">
        <is>
          <t>Volkorne</t>
        </is>
      </c>
      <c r="B32500">
        <f>HYPERLINK("https://www.dofusbook.net/fr/equipement/3623141-volkorne/objets", "link")</f>
        <v/>
      </c>
      <c r="C32500" t="n">
        <v>0</v>
      </c>
      <c r="D32500" t="inlineStr">
        <is>
          <t>Baguette Hernelle; Amulette Volkorne; Anneau Volkorne; Chevalière du Roi Joueur; Bouclier du Stalak; Ceinture Volkorne; Couronne du Roi Joueur; Voile d'encre; Bottes du Roi Joueur; Dofus Nébuleux; Dofus Abyssal; Dofus des Glaces; Dofus Ivoire; Dofus Pourpre; Dofus Ocre; Volkorne Pourpre et Orchidée</t>
        </is>
      </c>
    </row>
    <row r="32501">
      <c r="A32501" t="inlineStr">
        <is>
          <t>eau feu cac</t>
        </is>
      </c>
      <c r="B32501">
        <f>HYPERLINK("https://www.dofusbook.net/fr/equipement/4305442-eau-feu-cac/objets", "link")</f>
        <v/>
      </c>
      <c r="C32501" t="n">
        <v>0</v>
      </c>
      <c r="D32501" t="inlineStr">
        <is>
          <t>Épée Brûlâme; Amulette du Strigide; Anneau Toriété; Anneau Cryochrone; Bouclier du Captain Amakna; Ceinture du Strigide; Coiffe Cryochrone; Cape de la Dame du Hasard; Bottes de la Dame du Hasard; Dofus Ocre; Dofus Abyssal; Dofus Turquoise; Dofus Ivoire; Dofus Pourpre; Dofus Ébène; Volkorne Emeraude et Indigo</t>
        </is>
      </c>
    </row>
    <row r="32502">
      <c r="A32502" t="inlineStr">
        <is>
          <t>eau feu</t>
        </is>
      </c>
      <c r="B32502">
        <f>HYPERLINK("https://www.dofusbook.net/fr/equipement/4259556-eau-feu-/objets", "link")</f>
        <v/>
      </c>
      <c r="C32502" t="n">
        <v>0</v>
      </c>
      <c r="D32502" t="inlineStr">
        <is>
          <t>Arc Nécrotique; Collier de la Dame du Hasard; Bracelet du Piloztère; Anneau de Pol Ouatnos; Quatre-feuilles; Ceinture de l'Esprit Malsain; Masque de l'Esprit Malsain; Cape de la Dame du Hasard; Bottes de la Dame du Hasard; Dofus Ocre; Dofus des Glaces; Dofus Turquoise; Dofus Ivoire; Dofus Pourpre; Dofus Ébène; Kokulte</t>
        </is>
      </c>
    </row>
    <row r="32503">
      <c r="A32503" t="inlineStr">
        <is>
          <t>Terre_ récrit</t>
        </is>
      </c>
      <c r="B32503">
        <f>HYPERLINK("https://www.dofusbook.net/fr/equipement/4251456-terre--recrit/objets", "link")</f>
        <v/>
      </c>
      <c r="C32503" t="n">
        <v>3</v>
      </c>
      <c r="D32503" t="inlineStr">
        <is>
          <t>Dagues Érhy; Amulette de Pol Ouatnos; Baguistik; Goulano; Bouclier du Stalak; Ceinture de la Reine des Voleurs; Masque de Koutoulou; Cape au Logis; Goulbottes; Dofus Argenté; Dofus Ocre; Dofus Ivoire; Dofus Émeraude; Bastion majeur; Fortification majeure; Wabbit</t>
        </is>
      </c>
    </row>
    <row r="32504">
      <c r="A32504" t="inlineStr">
        <is>
          <t>Sram M 200</t>
        </is>
      </c>
      <c r="B32504">
        <f>HYPERLINK("https://www.dofusbook.net/fr/equipement/4251416-sram-m-200/objets", "link")</f>
        <v/>
      </c>
      <c r="C32504" t="n">
        <v>0</v>
      </c>
      <c r="D32504" t="inlineStr">
        <is>
          <t>Manthache; Collier du Valet Veinard; Gant du Valet Veinard; Alliance Gloursonne; Bouclier du Stalak; Menoture; Dorabysses; Cape Martegel; Pompes Funèbres; Dokoko; Dofus Ocre; Dofus Ébène; Dofus Ivoire; Cascadeur majeur; Muldo Ebène</t>
        </is>
      </c>
    </row>
    <row r="32505">
      <c r="A32505" t="inlineStr">
        <is>
          <t>re crit</t>
        </is>
      </c>
      <c r="B32505">
        <f>HYPERLINK("https://www.dofusbook.net/fr/equipement/4225376-re-crit/objets", "link")</f>
        <v/>
      </c>
      <c r="C32505" t="n">
        <v>0</v>
      </c>
      <c r="D32505" t="inlineStr">
        <is>
          <t>Sceptre du Roi Joueur; Amulette de Pol Ouatnos; Anneau Volkorne; Anneau Glacial; Bouclier Bontarien; Ceinture de la Reine des Voleurs; Coiffe d'Hel Munster; Cape d'Hel Munster; Bottes de la Reine des Voleurs; Dofus Abyssal; Dofus Émeraude; Dofus Ivoire; Dofus Ocre; Fortification majeure; Remueur; Wabbit</t>
        </is>
      </c>
    </row>
    <row r="32506">
      <c r="A32506" t="inlineStr">
        <is>
          <t>eau feu</t>
        </is>
      </c>
      <c r="B32506">
        <f>HYPERLINK("https://www.dofusbook.net/fr/equipement/4213816-eau-feu/objets", "link")</f>
        <v/>
      </c>
      <c r="C32506" t="n">
        <v>0</v>
      </c>
      <c r="D32506" t="inlineStr">
        <is>
          <t>Pyraguette; Talisman Igans; Anneau Volkorne; Anneau Cryochrone; Bouclier du Stalak; Ceintrigue; Masque Paztek; Cape Paztek; Bottes Owesli; Dofus Ocre; Dofus Ivoire; Dofus des Glaces; Dofus Pourpre; Dofus Abyssal; Robuste majeur; Fëanor</t>
        </is>
      </c>
    </row>
    <row r="32507">
      <c r="A32507" t="inlineStr">
        <is>
          <t>Full terre</t>
        </is>
      </c>
      <c r="B32507">
        <f>HYPERLINK("https://www.dofusbook.net/fr/equipement/4213126-full-terre/objets", "link")</f>
        <v/>
      </c>
      <c r="C32507" t="n">
        <v>0</v>
      </c>
      <c r="D32507" t="inlineStr">
        <is>
          <t>Marteau R'ture; Collier de Tourthon; Anneau de Brouce; Anneau Chevelu; Bouclier d'Ilyzaelle; Ceinture Volkorne; Masque de Koutoulou; Cape au Logis; Bottes de Brouce; Dofus Ocre; Dofus Abyssal; Dofus Turquoise; Dofus Ivoire; Dofus Nébuleux; Enragé majeur; Dragodinde Ivoire et Pourpre</t>
        </is>
      </c>
    </row>
    <row r="32508">
      <c r="A32508" t="inlineStr">
        <is>
          <t>Ecaflip F 200</t>
        </is>
      </c>
      <c r="B32508">
        <f>HYPERLINK("https://www.dofusbook.net/fr/equipement/4201670-ecaflip-f-200/objets", "link")</f>
        <v/>
      </c>
      <c r="C32508" t="n">
        <v>16</v>
      </c>
      <c r="D32508" t="inlineStr">
        <is>
          <t>Hache du Chalœil; Amulette Volkorne; Anneau Volkorne; Bracelet du Piloztère; Bouclier du Stalak; Ceinture Volkorne; Némès de Tal Kasha; Chevelure de Tal Kasha; Sandales de Tal Kasha; Dofus Pourpre; Dofus Ivoire; Dofus Ocre; Dofus Turquoise; Dofus Abyssal; Robuste majeur; Sakochère</t>
        </is>
      </c>
    </row>
    <row r="32509">
      <c r="A32509" t="inlineStr">
        <is>
          <t>Ecaflip F 200</t>
        </is>
      </c>
      <c r="B32509">
        <f>HYPERLINK("https://www.dofusbook.net/fr/equipement/4198237-ecaflip-f-200/objets", "link")</f>
        <v/>
      </c>
      <c r="C32509" t="n">
        <v>5</v>
      </c>
      <c r="D32509" t="inlineStr">
        <is>
          <t>Hache du Chalœil; Amulette Volkorne; Anneau Volkorne; Alliance du Lévitrof; Bouclier du Stalak; Ceinture Volkorne; Coiffe du Lévitrof; Voile d'encre; Bottes du Lévitrof; Dofus Turquoise; Dofus Abyssal; Dofus Pourpre; Dofus Ivoire; Dofus Ocre; Robuste majeur; Sakochère</t>
        </is>
      </c>
    </row>
    <row r="32510">
      <c r="A32510" t="inlineStr">
        <is>
          <t>Ecaflip F 200</t>
        </is>
      </c>
      <c r="B32510">
        <f>HYPERLINK("https://www.dofusbook.net/fr/equipement/4198030-ecaflip-f-200/objets", "link")</f>
        <v/>
      </c>
      <c r="C32510" t="n">
        <v>11</v>
      </c>
      <c r="D32510" t="inlineStr">
        <is>
          <t>Sabres d'Atcham; Amulette du Strigide; Anneau Volkorne; Bracelet du Piloztère; Bouclier du Stalak; Ceinture Volkorne; Casque Volkorne; Cape d'Atcham; Sandales  d'Atcham; Dofus Pourpre; Dofus Ivoire; Dofus Ocre; Dofus Turquoise; Dofus Abyssal; Robuste majeur; Sakochère</t>
        </is>
      </c>
    </row>
    <row r="32511">
      <c r="A32511" t="inlineStr">
        <is>
          <t>eau air stri</t>
        </is>
      </c>
      <c r="B32511">
        <f>HYPERLINK("https://www.dofusbook.net/fr/equipement/4011588-eau-air-stri/objets", "link")</f>
        <v/>
      </c>
      <c r="C32511" t="n">
        <v>4</v>
      </c>
      <c r="D32511" t="inlineStr">
        <is>
          <t>Hache du Korriandre; Amulette du Strigide; Alliance Gloursonne; Anneau de Pol Ouatnos; Quatre-feuilles; Ceinture du Strigide; Némès de Tal Kasha; Chevelure de Tal Kasha; Sandales de Tal Kasha; Dofus Pourpre; Dofus Ivoire; Dofus des Glaces; Dofus Ocre; Dofus Turquoise; Dofus Abyssal; Kokulte</t>
        </is>
      </c>
    </row>
    <row r="32512">
      <c r="A32512" t="inlineStr">
        <is>
          <t>teroide</t>
        </is>
      </c>
      <c r="B32512">
        <f>HYPERLINK("https://www.dofusbook.net/fr/equipement/4031217-teroide/objets", "link")</f>
        <v/>
      </c>
      <c r="C32512" t="n">
        <v>0</v>
      </c>
      <c r="D32512" t="inlineStr">
        <is>
          <t>Amulette du Strigide; Alliance de Missiz Frizz; Chevalière du Roi Joueur; Bouclier du Captain Amakna; Ceinture du Strigide; Couronne du Roi Joueur; Voile d'encre; Bottes du Roi Joueur; Dofus Ocre; Dofus Ivoire; Dofus Pourpre; Dofus des Glaces; Dofus Turquoise; Dofus Abyssal; Muldo Prune et Emeraude</t>
        </is>
      </c>
    </row>
    <row r="32513">
      <c r="A32513" t="inlineStr">
        <is>
          <t>feu 12PA</t>
        </is>
      </c>
      <c r="B32513">
        <f>HYPERLINK("https://www.dofusbook.net/fr/equipement/4116527-feu-12pa/objets", "link")</f>
        <v/>
      </c>
      <c r="C32513" t="n">
        <v>3</v>
      </c>
      <c r="D32513" t="inlineStr">
        <is>
          <t>Arc corrompu; Amulette Séculaire; Anneau Tamie; Anneau Tamie; Bouclier du Stalak; Ceinture Séculaire; Coiffe Séculaire; Cape de Nileza; Bottes de Nileza; Dofus Pourpre; Dofus Abyssal; Dofus Ocre; Dofus Ivoire; Dofus des Glaces; Voyageur; Fëanor</t>
        </is>
      </c>
    </row>
    <row r="32514">
      <c r="A32514" t="inlineStr">
        <is>
          <t>Bana_cheap</t>
        </is>
      </c>
      <c r="B32514">
        <f>HYPERLINK("https://www.dofusbook.net/fr/equipement/4101057-bana-cheap/objets", "link")</f>
        <v/>
      </c>
      <c r="C32514" t="n">
        <v>0</v>
      </c>
      <c r="D32514" t="inlineStr">
        <is>
          <t>Frimamulette; Ceinture du Glourséleste; Cape Matelassée; Pantoufles Émar; Dofus Turquoise; Dofus Abyssal; Nomade; Remueur; Vigoureux majeur</t>
        </is>
      </c>
    </row>
    <row r="32515">
      <c r="A32515" t="inlineStr">
        <is>
          <t>Crâ F 200</t>
        </is>
      </c>
      <c r="B32515">
        <f>HYPERLINK("https://www.dofusbook.net/fr/equipement/4077357-cra-f-200/objets", "link")</f>
        <v/>
      </c>
      <c r="C32515" t="n">
        <v>0</v>
      </c>
      <c r="D32515" t="inlineStr">
        <is>
          <t>La Baguette des Limbes; Amulette Volkorne; Anneau Tamie; Anneau Tamie; Quatre-feuilles; Sangle Aise; Masque Vaudou Ark; Cape de Nileza; Bottes de Nileza; Dofus Pourpre; Dofus Nébuleux; Dofus Ocre; Dofus des Glaces; Érudit majeur; Astucieux majeur; Bisouglours</t>
        </is>
      </c>
    </row>
    <row r="32516">
      <c r="A32516" t="inlineStr">
        <is>
          <t>Sram M 200</t>
        </is>
      </c>
      <c r="B32516">
        <f>HYPERLINK("https://www.dofusbook.net/fr/equipement/3921942-sram-m-200/objets", "link")</f>
        <v/>
      </c>
      <c r="C32516" t="n">
        <v>4</v>
      </c>
      <c r="D32516" t="inlineStr">
        <is>
          <t>Dagues Lassay; Collier du Valet Veinard; Gant du Valet Veinard; Alliance Gloursonne; Bouclier du Stalak; Menoture; Le Dorado; Cape Routh; Palmes Trithons; Dofus Ocre; Dofus Pourpre; Dofus Abyssal; Dofus des Glaces; Dofus Ivoire; Cascadeur majeur; Blérodoudou</t>
        </is>
      </c>
    </row>
    <row r="32517">
      <c r="A32517" t="inlineStr">
        <is>
          <t>Terre_12PA</t>
        </is>
      </c>
      <c r="B32517">
        <f>HYPERLINK("https://www.dofusbook.net/fr/equipement/4048916-terre-12pa/objets", "link")</f>
        <v/>
      </c>
      <c r="C32517" t="n">
        <v>1</v>
      </c>
      <c r="D32517" t="inlineStr">
        <is>
          <t>Hache Téroïde; Amulette Volkorne; Anneau Volkorne; Chevalière du Roi Joueur; Bouclier du Captain Amakna; Ceinture Volkorne; Couronne du Roi Joueur; Voile d'encre; Bottes du Roi Joueur; Dofus Ocre; Dofus Nébuleux; Dofus des Glaces; Dofus Ivoire; Dofus Pourpre; Dofus Turquoise; Fëanor</t>
        </is>
      </c>
    </row>
    <row r="32518">
      <c r="A32518" t="inlineStr">
        <is>
          <t>Sram M 200</t>
        </is>
      </c>
      <c r="B32518">
        <f>HYPERLINK("https://www.dofusbook.net/fr/equipement/3900831-sram-m-200/objets", "link")</f>
        <v/>
      </c>
      <c r="C32518" t="n">
        <v>1</v>
      </c>
      <c r="D32518" t="inlineStr">
        <is>
          <t>Dagues Lassay; Amulette Volkorne; Anneau Volkorne; Chevalière du Roi Joueur; Bouclier du Stalak; Ceinture Volkorne; Couronne du Roi Joueur; Cape des Malveilleurs; Bottes du Roi Joueur; Dofus des Glaces; Dofus Ocre; Dofus Pourpre; Dofus Abyssal; Dofus Ivoire; Volkorne Pourpre et Orchidée</t>
        </is>
      </c>
    </row>
    <row r="32519">
      <c r="A32519" t="inlineStr">
        <is>
          <t>Cheap_reseau</t>
        </is>
      </c>
      <c r="B32519">
        <f>HYPERLINK("https://www.dofusbook.net/fr/equipement/3895482-cheap-reseau/objets", "link")</f>
        <v/>
      </c>
      <c r="C32519" t="n">
        <v>1</v>
      </c>
      <c r="D32519" t="inlineStr">
        <is>
          <t>Hache du Chalœil; Amulette Volkorne; Anneau Toriété; Bague Gloursonne; Bouclier du Stalak; Ceinture Volkorne; Le Dorado; Voile d'encre; Bottes Honyme; Dofus Turquoise; Dofus des Glaces; Dofus Pourpre; Dofus Abyssal; Vigoureux majeur; Enragé majeur; Dragodinde Ivoire et Pourpre</t>
        </is>
      </c>
    </row>
    <row r="32520">
      <c r="A32520" t="inlineStr">
        <is>
          <t>Sram M 200</t>
        </is>
      </c>
      <c r="B32520">
        <f>HYPERLINK("https://www.dofusbook.net/fr/equipement/3894498-sram-m-200/objets", "link")</f>
        <v/>
      </c>
      <c r="C32520" t="n">
        <v>0</v>
      </c>
      <c r="D32520" t="inlineStr">
        <is>
          <t>Arc corrompu; Amulette de Nileza; Anneau Tique; Anneau Toriété; Bouclier du Stalak; Ceinture de l'Esprit Malsain; Heaume Oplate; Voile d'encre; Bottes de l'Esprit Malsain; Dofus Ivoire; Dofus Émeraude; Dofus Ocre; Dofus Pourpre; Dofus Abyssal; Érudit majeur; Bwak de Terre</t>
        </is>
      </c>
    </row>
    <row r="32521">
      <c r="A32521" t="inlineStr">
        <is>
          <t>Sram M 200</t>
        </is>
      </c>
      <c r="B32521">
        <f>HYPERLINK("https://www.dofusbook.net/fr/equipement/3836371-sram-m-200/objets", "link")</f>
        <v/>
      </c>
      <c r="C32521" t="n">
        <v>4</v>
      </c>
      <c r="D32521" t="inlineStr">
        <is>
          <t>Arc de Koutoulou; Amulette du Strigide; Alliance Gloursonne; Anneau Toriété; Quatre-feuilles; Ceinture du Strigide; Némès de Tal Kasha; Chevelure de Tal Kasha; Sandales de Tal Kasha; Dofus Ocre; Dofus Ivoire; Dofus Pourpre; Dofus des Glaces; Dofus Turquoise; Dofus Abyssal; Kokulte</t>
        </is>
      </c>
    </row>
    <row r="32522">
      <c r="A32522" t="inlineStr">
        <is>
          <t>Pandawa M 200</t>
        </is>
      </c>
      <c r="B32522">
        <f>HYPERLINK("https://www.dofusbook.net/fr/equipement/3836440-pandawa-m-200/objets", "link")</f>
        <v/>
      </c>
      <c r="C32522" t="n">
        <v>5</v>
      </c>
      <c r="D32522" t="inlineStr">
        <is>
          <t>Hache du Chalœil; Amulette Volkorne; Alliance du Lévitrof; Anneau Volkorne; Quatre-feuilles; Ceinture Volkorne; Coiffe du Lévitrof; Voile d'encre; Bottes du Lévitrof; Dofus des Glaces; Dofus Pourpre; Dofus Nébuleux; Dofus Ocre; Dofus Ivoire; Dofus Turquoise; Fëanor</t>
        </is>
      </c>
    </row>
    <row r="32523">
      <c r="A32523" t="inlineStr">
        <is>
          <t>eau feu</t>
        </is>
      </c>
      <c r="B32523">
        <f>HYPERLINK("https://www.dofusbook.net/fr/equipement/3798581-eau-feu/objets", "link")</f>
        <v/>
      </c>
      <c r="C32523" t="n">
        <v>1</v>
      </c>
      <c r="D32523" t="inlineStr">
        <is>
          <t>Pyraguette; Amulette Volkorne; Anneau Toriété; Anneau Volkorne; Bouclier du Stalak; Ceintrigue; Chapeau des Malveilleurs; Cape des Malveilleurs; Bottes des Malveilleurs; Dofus des Glaces; Dofus Pourpre; Dofus Abyssal; Dofus Ocre; Dofus Ivoire; Robuste majeur; Walk</t>
        </is>
      </c>
    </row>
    <row r="32524">
      <c r="A32524" t="inlineStr">
        <is>
          <t>arc volk</t>
        </is>
      </c>
      <c r="B32524">
        <f>HYPERLINK("https://www.dofusbook.net/fr/equipement/3704946-arc-volk/objets", "link")</f>
        <v/>
      </c>
      <c r="C32524" t="n">
        <v>10</v>
      </c>
      <c r="D32524" t="inlineStr">
        <is>
          <t>Marteau des égarés; Amulette Volkorne; Anneau Volkorne; Chevalière du Roi Joueur; Quatre-feuilles; Ceinture Volkorne; Couronne du Roi Joueur; Voile d'encre; Bottes du Roi Joueur; Dofus des Glaces; Dofus Turquoise; Dofus Abyssal; Dofus Ocre; Dofus Nébuleux; Dofus Pourpre; Kwaltess</t>
        </is>
      </c>
    </row>
    <row r="32525">
      <c r="A32525" t="inlineStr">
        <is>
          <t>Terre_12PA</t>
        </is>
      </c>
      <c r="B32525">
        <f>HYPERLINK("https://www.dofusbook.net/fr/equipement/3779910-terre-12pa/objets", "link")</f>
        <v/>
      </c>
      <c r="C32525" t="n">
        <v>0</v>
      </c>
      <c r="D32525" t="inlineStr">
        <is>
          <t>Marteau R'ture; Collier de Tourthon; Anneau Crustique; Bague Gloursonne; Bouclier d'Ilyzaelle; Ceintouse; Chapoulpe; Cape de la Fuji Givrefoux; Tentassons; Dofus Pourpre; Dofus Ivoire; Dofus Turquoise; Dofus Nébuleux; Dofus Ocre; Dofus Abyssal; Volkorne Pourpre</t>
        </is>
      </c>
    </row>
    <row r="32526">
      <c r="A32526" t="inlineStr">
        <is>
          <t>eau feu air</t>
        </is>
      </c>
      <c r="B32526">
        <f>HYPERLINK("https://www.dofusbook.net/fr/equipement/3777450-eau-feu-air/objets", "link")</f>
        <v/>
      </c>
      <c r="C32526" t="n">
        <v>0</v>
      </c>
      <c r="D32526" t="inlineStr">
        <is>
          <t>Sabres d'Atcham; Amulette Volkorne; Bracelet du Piloztère; Anneau Volkorne; Quatre-feuilles; Ceintrigue; Casque Volkorne; Cape d'Atcham; Sandales  d'Atcham; Dofus des Glaces; Dofus Pourpre; Dofus Abyssal; Dofus Ocre; Dofus Ivoire; Dofus Turquoise; Kwaltess</t>
        </is>
      </c>
    </row>
    <row r="32527">
      <c r="A32527" t="inlineStr">
        <is>
          <t>terre</t>
        </is>
      </c>
      <c r="B32527">
        <f>HYPERLINK("https://www.dofusbook.net/fr/equipement/3775701-terre/objets", "link")</f>
        <v/>
      </c>
      <c r="C32527" t="n">
        <v>3</v>
      </c>
      <c r="D32527" t="inlineStr">
        <is>
          <t>Marteau R'ture; Amulette du Cœur Saignant; Bague Gloursonne; Bracelet du Piloztère; Bouclier d'Ilyzaelle; Ceinture Volkorne; Masque de Koutoulou; Voile d'encre; Bottes du Cœur Saignant; Dofus Ocre; Dofus Ivoire; Dofus Turquoise; Dofus Pourpre; Dofus Abyssal; Enragé majeur; Muldo Pourpre</t>
        </is>
      </c>
    </row>
    <row r="32528">
      <c r="A32528" t="inlineStr">
        <is>
          <t>eau air res</t>
        </is>
      </c>
      <c r="B32528">
        <f>HYPERLINK("https://www.dofusbook.net/fr/equipement/3670771-eau-air-res/objets", "link")</f>
        <v/>
      </c>
      <c r="C32528" t="n">
        <v>0</v>
      </c>
      <c r="D32528" t="inlineStr">
        <is>
          <t>Arc de Koutoulou; Amulette Voldelor; Bracelet du Piloztère; Alliance Gloursonne; Quatre-feuilles; Ceinture Voldelor; Némès de Tal Kasha; Chevelure de Tal Kasha; Sandales de Tal Kasha; Dofus Abyssal; Dofus Ocre; Dofus Ivoire; Dofus Pourpre; Dofus des Glaces; Dofus Turquoise; Muldo Ebène</t>
        </is>
      </c>
    </row>
    <row r="32529">
      <c r="A32529" t="inlineStr">
        <is>
          <t>re_crit</t>
        </is>
      </c>
      <c r="B32529">
        <f>HYPERLINK("https://www.dofusbook.net/fr/equipement/3748453-re-crit/objets", "link")</f>
        <v/>
      </c>
      <c r="C32529" t="n">
        <v>21</v>
      </c>
      <c r="D32529" t="inlineStr">
        <is>
          <t>Dagues de Srambad; Amulette de Pol Ouatnos; Goulano; Baguistik; Bouclier Bontarien; Ceinture de la Reine des Voleurs; Coiffe de la Reine des Voleurs; Cape des Justiciers; Goulbottes; Dofus Ocre; Dofus des Glaces; Dokoko; Dofus Ivoire; Dofus Émeraude; Bastion majeur; Surime</t>
        </is>
      </c>
    </row>
    <row r="32530">
      <c r="A32530" t="inlineStr">
        <is>
          <t>re_crit eau</t>
        </is>
      </c>
      <c r="B32530">
        <f>HYPERLINK("https://www.dofusbook.net/fr/equipement/3759542-re-crit-eau/objets", "link")</f>
        <v/>
      </c>
      <c r="C32530" t="n">
        <v>0</v>
      </c>
      <c r="D32530" t="inlineStr">
        <is>
          <t>Dagues de Srambad; Amulette de Pol Ouatnos; Anneau Glacial; Goulano; Bouclier Bontarien; Ceinture de la Reine des Voleurs; Masque de Koutoulou; Cape Glaciale; Bottes de la Reine des Voleurs; Dofus Émeraude; Dofus Abyssal; Dofus Ocre; Dofus Ivoire; Dofus des Glaces; Bastion majeur; Dracolyte</t>
        </is>
      </c>
    </row>
    <row r="32531">
      <c r="A32531" t="inlineStr">
        <is>
          <t>eau</t>
        </is>
      </c>
      <c r="B32531">
        <f>HYPERLINK("https://www.dofusbook.net/fr/equipement/3646473-eau/objets", "link")</f>
        <v/>
      </c>
      <c r="C32531" t="n">
        <v>2</v>
      </c>
      <c r="D32531" t="inlineStr">
        <is>
          <t>Sceptre du Roi Joueur; Amulette du Sinistrofu; Alliance Gloursonne; Anneau Volkorne; Bouclier d'Ilyzaelle; Ceinture Glaciale; Casque d'Ilyzaelle; Cape du Sinistrofu; Bottes du Sinistrofu; Dofus des Glaces; Dofus Ocre; Dofus Nébuleux; Dofus Abyssal; Dofus Pourpre; Dofus Ivoire; Muldo Ebène et Orchidée</t>
        </is>
      </c>
    </row>
    <row r="32532">
      <c r="A32532" t="inlineStr">
        <is>
          <t>Terre cac</t>
        </is>
      </c>
      <c r="B32532">
        <f>HYPERLINK("https://www.dofusbook.net/fr/equipement/3696688-terre-cac/objets", "link")</f>
        <v/>
      </c>
      <c r="C32532" t="n">
        <v>2</v>
      </c>
      <c r="D32532" t="inlineStr">
        <is>
          <t>Hache Téroïde; Amulette Volkorne; Chevalière du Roi Joueur; Bague Gloursonne; Bouclier du Captain Amakna; Ceinture Volkorne; Couronne du Roi Joueur; Cape de la Fuji Givrefoux; Bottes du Roi Joueur; Dofus Ocre; Dofus Ivoire; Dofus Turquoise; Dofus des Glaces; Dofus Pourpre; Dofus Nébuleux; Volkorne Pourpre et Orchidée</t>
        </is>
      </c>
    </row>
    <row r="32533">
      <c r="A32533" t="inlineStr">
        <is>
          <t>Terre feu res</t>
        </is>
      </c>
      <c r="B32533">
        <f>HYPERLINK("https://www.dofusbook.net/fr/equipement/3694269-terre-feu-res/objets", "link")</f>
        <v/>
      </c>
      <c r="C32533" t="n">
        <v>3</v>
      </c>
      <c r="D32533" t="inlineStr">
        <is>
          <t>L'Épée Nice; Amulette Volkorne; Bague Gloursonne; Chevalière du Roi Joueur; Cadran de Terre; Ceinture Volkorne; Casque Dragoeuf; Voile d'encre; Sabots Volcaniques; Dofus Ocre; Dofus des Glaces; Dofus Abyssal; Dofus Pourpre; Dofus Ivoire; Remueur; Volkorne Jade</t>
        </is>
      </c>
    </row>
    <row r="32534">
      <c r="A32534" t="inlineStr">
        <is>
          <t>Terre res</t>
        </is>
      </c>
      <c r="B32534">
        <f>HYPERLINK("https://www.dofusbook.net/fr/equipement/3694091-terre-res/objets", "link")</f>
        <v/>
      </c>
      <c r="C32534" t="n">
        <v>5</v>
      </c>
      <c r="D32534" t="inlineStr">
        <is>
          <t>Lav'Hache; Amulette de Pol Ouatnos; Anneau Chevelu; Bague Gloursonne; Cadran de Terre; Ceinture Volkorne; Masque de Koutoulou; Voile d'encre; Bottes du Cœur Saignant; Dofus Ocre; Dofus Ivoire; Dofus Pourpre; Dofus Abyssal; Carapace Feu majeur; Enragé majeur; Kramkram</t>
        </is>
      </c>
    </row>
    <row r="32535">
      <c r="A32535" t="inlineStr">
        <is>
          <t>multi do fixes</t>
        </is>
      </c>
      <c r="B32535">
        <f>HYPERLINK("https://www.dofusbook.net/fr/equipement/3684530-multi-do-fixes/objets", "link")</f>
        <v/>
      </c>
      <c r="C32535" t="n">
        <v>0</v>
      </c>
      <c r="D32535" t="inlineStr">
        <is>
          <t>Dagues Lassay; Amulette de l'Indicible; Chevalière du Roi Joueur; Bague Gloursonne; Bouclier du Stalak; Ceinture de l'Esprit Salvateur; Masque de l'Esprit Salvateur; Voile d'encre; Bottes de l'Esprit Salvateur; Dofus Nébuleux; Dofus Ocre; Dofus Abyssal; Dofus des Glaces; Dofus Pourpre; Robuste majeur</t>
        </is>
      </c>
    </row>
    <row r="32536">
      <c r="A32536" t="inlineStr">
        <is>
          <t>Réseau volk</t>
        </is>
      </c>
      <c r="B32536">
        <f>HYPERLINK("https://www.dofusbook.net/fr/equipement/3684427-reseau-volk/objets", "link")</f>
        <v/>
      </c>
      <c r="C32536" t="n">
        <v>1</v>
      </c>
      <c r="D32536" t="inlineStr">
        <is>
          <t>Dagues Lassay; Amulette Volkorne; Bague Gloursonne; Chevalière du Roi Joueur; Bouclier du Stalak; Ceinture Volkorne; Couronne du Roi Joueur; Voile d'encre; Bottes du Roi Joueur; Dofus Pourpre; Dofus Nébuleux; Dofus Ocre; Dofus Abyssal; Dofus des Glaces; Dofus Ivoire; Volkorne Pourpre et Orchidée</t>
        </is>
      </c>
    </row>
    <row r="32537">
      <c r="A32537" t="inlineStr">
        <is>
          <t>air_ do crit</t>
        </is>
      </c>
      <c r="B32537">
        <f>HYPERLINK("https://www.dofusbook.net/fr/equipement/3668952-air--do-crit/objets", "link")</f>
        <v/>
      </c>
      <c r="C32537" t="n">
        <v>0</v>
      </c>
      <c r="D32537" t="inlineStr">
        <is>
          <t>Lance Horselé; Amulette du Strigide; Alliance Gloursonne; Anneau de Padgref; Quatre-feuilles; Ceinture du Strigide; Coiffe de Padgref; Cape Routh; Getas de Padgref; Dofus Turquoise; Dofus des Glaces; Dofus Pourpre; Dofus Abyssal; Dofus Ocre; Dofus Ivoire; Muldo Prune et Emeraude</t>
        </is>
      </c>
    </row>
    <row r="32538">
      <c r="A32538" t="inlineStr">
        <is>
          <t>eau air tal</t>
        </is>
      </c>
      <c r="B32538">
        <f>HYPERLINK("https://www.dofusbook.net/fr/equipement/3652718-eau-air-tal/objets", "link")</f>
        <v/>
      </c>
      <c r="C32538" t="n">
        <v>1</v>
      </c>
      <c r="D32538" t="inlineStr">
        <is>
          <t>Arc de Koutoulou; Amulette du Strigide; Bracelet du Piloztère; Alliance Gloursonne; Quatre-feuilles; Ceinture du Strigide; Némès de Tal Kasha; Chevelure de Tal Kasha; Sandales de Tal Kasha; Dofus Abyssal; Dofus Ocre; Dofus Ivoire; Dofus Turquoise; Dofus des Glaces; Dofus Pourpre; Muldo Indigo</t>
        </is>
      </c>
    </row>
    <row r="32539">
      <c r="A32539" t="inlineStr">
        <is>
          <t>Iop M 200</t>
        </is>
      </c>
      <c r="B32539">
        <f>HYPERLINK("https://www.dofusbook.net/fr/equipement/3388851-iop-m-200/objets", "link")</f>
        <v/>
      </c>
      <c r="C32539" t="n">
        <v>16</v>
      </c>
      <c r="D32539" t="inlineStr">
        <is>
          <t>Arc du Chalœil; Collier de Tourthon; Bague Gloursonne; Anneau Crustique; Quatre-feuilles; Ceinture Volkorne; Masque de Koutoulou; Cape au Logis; Dofus Pourpre; Dofus Turquoise; Remueur; Nomade; Enragé majeur; Vigoureux majeur; Dragodinde Ivoire et Pourpre</t>
        </is>
      </c>
    </row>
    <row r="32540">
      <c r="A32540" t="inlineStr">
        <is>
          <t>eau air</t>
        </is>
      </c>
      <c r="B32540">
        <f>HYPERLINK("https://www.dofusbook.net/fr/equipement/3646277-eau-air/objets", "link")</f>
        <v/>
      </c>
      <c r="C32540" t="n">
        <v>0</v>
      </c>
      <c r="D32540" t="inlineStr">
        <is>
          <t>Marteau des Anciens Steamers; Amulette d'Ilyzaelle; Bracelet du Piloztère; Alliance Gloursonne; Bouclier d'Ilyzaelle; Ceinture Voldelor; Casque d'Ilyzaelle; Cape du Chalœil; Bottes de l'Esprit Salvateur; Dofus Pourpre; Dofus Abyssal; Dofus Ocre; Dofus Ivoire; Dofus des Glaces; Robuste majeur; Muldo Ebène et Indigo</t>
        </is>
      </c>
    </row>
    <row r="32541">
      <c r="A32541" t="inlineStr">
        <is>
          <t>eau feu</t>
        </is>
      </c>
      <c r="B32541">
        <f>HYPERLINK("https://www.dofusbook.net/fr/equipement/3592074-eau-feu/objets", "link")</f>
        <v/>
      </c>
      <c r="C32541" t="n">
        <v>0</v>
      </c>
      <c r="D32541" t="inlineStr">
        <is>
          <t>Arc Nécrotique; Collier de la Dame du Hasard; Anneau Tique; Bracelet du Piloztère; Quatre-feuilles; Ceinture de l'Esprit Malsain; Masque de l'Esprit Malsain; Cape de la Dame du Hasard; Bottes de la Dame du Hasard; Dofus Ocre; Dofus Ivoire; Dofus Turquoise; Dofus des Glaces; Dofus Pourpre; Dofus Abyssal; Muldo Orchidée</t>
        </is>
      </c>
    </row>
    <row r="32542">
      <c r="A32542" t="inlineStr">
        <is>
          <t>Crâ F 200</t>
        </is>
      </c>
      <c r="B32542">
        <f>HYPERLINK("https://www.dofusbook.net/fr/equipement/3576713-cra-f-200/objets", "link")</f>
        <v/>
      </c>
      <c r="C32542" t="n">
        <v>6</v>
      </c>
      <c r="D32542" t="inlineStr">
        <is>
          <t>Sabres d'Atcham; Amulette du Strigide; Anneau de Padgref; Bracelet du Piloztère; Quatre-feuilles; Ceinture du Strigide; Le Dorado; Chevelure de Tal Kasha; Pataugastrique; Dofus Pourpre; Dofus des Glaces; Dofus Turquoise; Remueur; Vigoureux majeur; Nomade; Muldo Prune et Emeraude</t>
        </is>
      </c>
    </row>
    <row r="32543">
      <c r="A32543" t="inlineStr">
        <is>
          <t>eau</t>
        </is>
      </c>
      <c r="B32543">
        <f>HYPERLINK("https://www.dofusbook.net/fr/equipement/3573117-eau/objets", "link")</f>
        <v/>
      </c>
      <c r="C32543" t="n">
        <v>0</v>
      </c>
      <c r="D32543" t="inlineStr"/>
    </row>
    <row r="32544">
      <c r="A32544" t="inlineStr">
        <is>
          <t>Marteau_reine</t>
        </is>
      </c>
      <c r="B32544">
        <f>HYPERLINK("https://www.dofusbook.net/fr/equipement/3506939-marteau-reine/objets", "link")</f>
        <v/>
      </c>
      <c r="C32544" t="n">
        <v>0</v>
      </c>
      <c r="D32544" t="inlineStr">
        <is>
          <t>Marteau Reine; Amulette du Strigide; Ceinture du Strigide</t>
        </is>
      </c>
    </row>
    <row r="32545">
      <c r="A32545" t="inlineStr">
        <is>
          <t>Sram M 200</t>
        </is>
      </c>
      <c r="B32545">
        <f>HYPERLINK("https://www.dofusbook.net/fr/equipement/3506677-sram-m-200/objets", "link")</f>
        <v/>
      </c>
      <c r="C32545" t="n">
        <v>2</v>
      </c>
      <c r="D32545" t="inlineStr">
        <is>
          <t>Dagues Lassay; Amulette Volkorne; Chevalière du Roi Joueur; Bague Gloursonne; Bouclier du Stalak; Ceinture Volkorne; Couronne du Roi Joueur; Voile d'encre; Bottes du Roi Joueur; Dofus Ocre; Dofus Abyssal; Dofus Turquoise; Dofus des Glaces; Dofus Pourpre; Dofus Nébuleux; Kwaltess</t>
        </is>
      </c>
    </row>
    <row r="32546">
      <c r="A32546" t="inlineStr">
        <is>
          <t>do_pieges</t>
        </is>
      </c>
      <c r="B32546">
        <f>HYPERLINK("https://www.dofusbook.net/fr/equipement/3480214-do-pieges/objets", "link")</f>
        <v/>
      </c>
      <c r="C32546" t="n">
        <v>1</v>
      </c>
      <c r="D32546" t="inlineStr">
        <is>
          <t>Dagues Lassay; Amulette de l'Indicible; Chevalière du Roi Joueur; Bague Gloursonne; Bouclier du Stalak; Ceinture de l'Indicible; Solomonk; Voile d'encre; Bottes de l'Indicible; Dofus Turquoise; Dofus Nébuleux; Dofus Ocre; Dofus Abyssal; Dofus Pourpre; Dofus des Glaces; Volkorne Pourpre et Orchidée</t>
        </is>
      </c>
    </row>
    <row r="32547">
      <c r="A32547" t="inlineStr">
        <is>
          <t>Sram M 200</t>
        </is>
      </c>
      <c r="B32547">
        <f>HYPERLINK("https://www.dofusbook.net/fr/equipement/3479915-sram-m-200/objets", "link")</f>
        <v/>
      </c>
      <c r="C32547" t="n">
        <v>0</v>
      </c>
      <c r="D32547" t="inlineStr">
        <is>
          <t>Héqache; Amulette du Strigide; Bague Gloursonne; Alliance de Missiz Frizz; Bouclier du Captain Amakna; Ceinture du Strigide; Casque de Missiz Frizz; Cape de la Fuji Givrefoux; Bottes du Strigide; Dofus Ocre; Dofus Abyssal; Dofus Pourpre; Dofus des Glaces; Dofus Turquoise; Dofus Nébuleux; Volkorne Emeraude et Pourpre</t>
        </is>
      </c>
    </row>
    <row r="32548">
      <c r="A32548" t="inlineStr">
        <is>
          <t>Osamodas F 200</t>
        </is>
      </c>
      <c r="B32548">
        <f>HYPERLINK("https://www.dofusbook.net/fr/equipement/3468893-osamodas-f-200/objets", "link")</f>
        <v/>
      </c>
      <c r="C32548" t="n">
        <v>0</v>
      </c>
      <c r="D32548" t="inlineStr">
        <is>
          <t>Sceptre du Roi Joueur; Amulette de Shokkoth; Anneau Volkorne; Bouclier du Stalak; Poulpagne; Cape Solution; Dofus des Glaces; Dofus Pourpre; Dofus Abyssal; Dofus Turquoise</t>
        </is>
      </c>
    </row>
    <row r="32549">
      <c r="A32549" t="inlineStr">
        <is>
          <t>Sram M 200</t>
        </is>
      </c>
      <c r="B32549">
        <f>HYPERLINK("https://www.dofusbook.net/fr/equipement/3442709-sram-m-200/objets", "link")</f>
        <v/>
      </c>
      <c r="C32549" t="n">
        <v>0</v>
      </c>
      <c r="D32549" t="inlineStr">
        <is>
          <t>Dagues Lassay; Amulette de l'Indicible; Chevalière du Roi Joueur; Bague Gloursonne; Quatre-feuilles; Ceinture de l'Indicible; Solomonk; Voile d'encre; Bottes de l'Indicible; Dofus Turquoise; Dofus Nébuleux; Dofus Abyssal; Dofus Ocre; Dofus Pourpre; Dofus des Glaces; Volkorne Pourpre et Orchidée</t>
        </is>
      </c>
    </row>
    <row r="32550">
      <c r="A32550" t="inlineStr">
        <is>
          <t>Cheap_terre_feu</t>
        </is>
      </c>
      <c r="B32550">
        <f>HYPERLINK("https://www.dofusbook.net/fr/equipement/3429626-cheap-terre-feu/objets", "link")</f>
        <v/>
      </c>
      <c r="C32550" t="n">
        <v>1</v>
      </c>
      <c r="D32550" t="inlineStr">
        <is>
          <t>Dagues Érhy; Amulette du Strigide; Bracelet du Piloztère; Bague Gloursonne; Quatre-feuilles; Ceinture du Strigide; Masque du Katcheur; Cape des Justiciers; Bottes Honyme; Dofus Pourpre; Dofus des Glaces; Dofus Turquoise; Nomade; Remueur; Vigoureux majeur; Muldo Doré et Orchidée</t>
        </is>
      </c>
    </row>
    <row r="32551">
      <c r="A32551" t="inlineStr">
        <is>
          <t>tri ele 200</t>
        </is>
      </c>
      <c r="B32551">
        <f>HYPERLINK("https://www.dofusbook.net/fr/equipement/3415984-tri-ele-200/objets", "link")</f>
        <v/>
      </c>
      <c r="C32551" t="n">
        <v>0</v>
      </c>
      <c r="D32551" t="inlineStr">
        <is>
          <t>Epée Gloursonne; Amulette du Strigide; Alliance Gloursonne; Bague Gloursonne; Quatre-feuilles; Ceinture du Strigide; Masque du Katcheur; Voile d'encre; Bottes du Strigide; Dofus Ocre; Dofus Abyssal; Dofus Pourpre; Dofus des Glaces; Dofus Turquoise; Dofus Nébuleux; Muldo Doré et Pourpre</t>
        </is>
      </c>
    </row>
    <row r="32552">
      <c r="A32552" t="inlineStr">
        <is>
          <t>Crâ F 200</t>
        </is>
      </c>
      <c r="B32552">
        <f>HYPERLINK("https://www.dofusbook.net/fr/equipement/3408474-cra-f-200/objets", "link")</f>
        <v/>
      </c>
      <c r="C32552" t="n">
        <v>15</v>
      </c>
      <c r="D32552" t="inlineStr">
        <is>
          <t>La Baguette des Limbes; Frimamulette; Anneau du Père Fwetar; Anneau de Padgref; Quatre-feuilles; Ceinture du Glourséleste; Coiffe de Padgref; Cape Hiculteur; Pantoufles Émar; Dofus Pourpre; Dofus Turquoise; Vigoureux majeur; Nomade; Remueur; Érudit majeur; Chacha</t>
        </is>
      </c>
    </row>
    <row r="32553">
      <c r="A32553" t="inlineStr">
        <is>
          <t>Sram M 200</t>
        </is>
      </c>
      <c r="B32553">
        <f>HYPERLINK("https://www.dofusbook.net/fr/equipement/3349015-sram-m-200/objets", "link")</f>
        <v/>
      </c>
      <c r="C32553" t="n">
        <v>0</v>
      </c>
      <c r="D32553" t="inlineStr">
        <is>
          <t>Arc du Chalœil; Amulette de l'Indicible; Chevalière du Roi Joueur; Bague Gloursonne; Bouclier du Stalak; Couronne du Roi Joueur; Bottes de la Cour Sombre; Dofus Ocre; Dofus Abyssal; Dofus Pourpre; Dofus des Glaces; Dofus Turquoise; Dofus Nébuleux; Muldo Doré et Pourpre</t>
        </is>
      </c>
    </row>
    <row r="32554">
      <c r="A32554" t="inlineStr">
        <is>
          <t>Sram M 200</t>
        </is>
      </c>
      <c r="B32554">
        <f>HYPERLINK("https://www.dofusbook.net/fr/equipement/3331533-sram-m-200/objets", "link")</f>
        <v/>
      </c>
      <c r="C32554" t="n">
        <v>0</v>
      </c>
      <c r="D32554" t="inlineStr">
        <is>
          <t>Ceinture de l'Esprit Salvateur</t>
        </is>
      </c>
    </row>
    <row r="32555">
      <c r="A32555" t="inlineStr">
        <is>
          <t>Sram M 200</t>
        </is>
      </c>
      <c r="B32555">
        <f>HYPERLINK("https://www.dofusbook.net/fr/equipement/3323107-sram-m-200/objets", "link")</f>
        <v/>
      </c>
      <c r="C32555" t="n">
        <v>2</v>
      </c>
      <c r="D32555" t="inlineStr">
        <is>
          <t>Manthache; Amulette du Kamasterisk; Alliance Gloursonne; Gant du Valet Veinard; Bouclier du Stalak; Sangle Oriole; Chapeau de Tournoyé; Cape de Crânonier; Palmes Trithons; Dofus Pourpre; Dofus Ivoire; Dofus Ocre; Dofus des Glaces; Muldo Orchidée</t>
        </is>
      </c>
    </row>
    <row r="32556">
      <c r="A32556" t="inlineStr">
        <is>
          <t>Sram M 200</t>
        </is>
      </c>
      <c r="B32556">
        <f>HYPERLINK("https://www.dofusbook.net/fr/equipement/3311474-sram-m-200/objets", "link")</f>
        <v/>
      </c>
      <c r="C32556" t="n">
        <v>0</v>
      </c>
      <c r="D32556" t="inlineStr">
        <is>
          <t>Amulette du Strigide; Alliance Brûlâme; Bague Gloursonne; Ceinture du Strigide; Masque Brûlâme; Voile d'encre; Bottes du Strigide</t>
        </is>
      </c>
    </row>
    <row r="32557">
      <c r="A32557" t="inlineStr">
        <is>
          <t>Sram M 200</t>
        </is>
      </c>
      <c r="B32557">
        <f>HYPERLINK("https://www.dofusbook.net/fr/equipement/3288515-sram-m-200/objets", "link")</f>
        <v/>
      </c>
      <c r="C32557" t="n">
        <v>1</v>
      </c>
      <c r="D32557" t="inlineStr">
        <is>
          <t>Dagues Eudin; Amulette de l'Indicible; Chevalière du Roi Joueur; Bague Gloursonne; Quatre-feuilles; Ceinture de l'Indicible; Couronne du Roi Joueur; Voile d'encre; Bottes du Roi Joueur; Dofus Ocre; Dofus Abyssal; Dofus Pourpre; Dofus des Glaces; Dofus Turquoise; Dofus Nébuleux; Muldo Doré et Pourpre</t>
        </is>
      </c>
    </row>
    <row r="32558">
      <c r="A32558" t="inlineStr">
        <is>
          <t>Sram M 200</t>
        </is>
      </c>
      <c r="B32558">
        <f>HYPERLINK("https://www.dofusbook.net/fr/equipement/3255666-sram-m-200/objets", "link")</f>
        <v/>
      </c>
      <c r="C32558" t="n">
        <v>5</v>
      </c>
      <c r="D32558" t="inlineStr">
        <is>
          <t>Arc corrompu; Amulette de Nileza; Anneau Tamie; Bague Gloursonne; Bouclier du Stalak; Ceinture Séculaire; Coiffe Séculaire; Cape de Diondin; Bottes Innommables; Dofus Pourpre; Dofus Abyssal; Dofus Ocre; Dofus Nébuleux; Vigoureux majeur; Nomade; Brûlih</t>
        </is>
      </c>
    </row>
    <row r="32559">
      <c r="A32559" t="inlineStr">
        <is>
          <t>full_terre</t>
        </is>
      </c>
      <c r="B32559">
        <f>HYPERLINK("https://www.dofusbook.net/fr/equipement/3203277-full-terre/objets", "link")</f>
        <v/>
      </c>
      <c r="C32559" t="n">
        <v>6</v>
      </c>
      <c r="D32559" t="inlineStr">
        <is>
          <t>Epée Gloursonne; Amulette de Gein; Bague Gloursonne; Alliance Gloursonne; Bouclier du Captain Amakna; Ceinture de la Cour Sombre; Chapeau de Gein; Cape de la Cour Sombre; Bottes de la Cour Sombre; Dofus Turquoise; Dofus Nébuleux; Dofus Ocre; Dofus Abyssal; Dofus Pourpre; Dofus des Glaces; Muldo Doré et Orchidée</t>
        </is>
      </c>
    </row>
    <row r="32560">
      <c r="A32560" t="inlineStr">
        <is>
          <t>Minibouh</t>
        </is>
      </c>
      <c r="B32560">
        <f>HYPERLINK("https://www.dofusbook.net/fr/equipement/2780938-minibouh/objets", "link")</f>
        <v/>
      </c>
      <c r="C32560" t="n">
        <v>0</v>
      </c>
      <c r="D32560" t="inlineStr">
        <is>
          <t>Pelle Doudesque; Dés de la Chance; Mos Kitano; Blopanneau Indigo; Bouclier en Mousse; Sanglature; Caracoiffe; Caracape; Bottes de Céleri-Thé; Atouin</t>
        </is>
      </c>
    </row>
    <row r="32561">
      <c r="A32561" t="inlineStr">
        <is>
          <t>lvl80</t>
        </is>
      </c>
      <c r="B32561">
        <f>HYPERLINK("https://www.dofusbook.net/fr/equipement/2293318-lvl80/objets", "link")</f>
        <v/>
      </c>
      <c r="C32561" t="n">
        <v>0</v>
      </c>
      <c r="D32561" t="inlineStr"/>
    </row>
    <row r="32562">
      <c r="A32562" t="inlineStr">
        <is>
          <t>trithons</t>
        </is>
      </c>
      <c r="B32562">
        <f>HYPERLINK("https://www.dofusbook.net/fr/equipement/2201033-trithons/objets", "link")</f>
        <v/>
      </c>
      <c r="C32562" t="n">
        <v>0</v>
      </c>
      <c r="D32562" t="inlineStr">
        <is>
          <t>Sabres d'Atcham; Amulette du Strigide; Anneau de Padgref; Bague Trithon; Bouclier du Captain Amakna; Ceinture du Strigide; Masque Trithon; Cape d'Atcham; Bottes Trithon; Dofus Turquoise; Dofus Abyssal; Dofus Ocre; Dolmanax; Dofus Pourpre; Dofus des Glaces; Muldo Prune et Emeraude</t>
        </is>
      </c>
    </row>
    <row r="32563">
      <c r="A32563" t="inlineStr">
        <is>
          <t>resi_saigneur</t>
        </is>
      </c>
      <c r="B32563">
        <f>HYPERLINK("https://www.dofusbook.net/fr/equipement/2200961-resi-saigneur/objets", "link")</f>
        <v/>
      </c>
      <c r="C32563" t="n">
        <v>0</v>
      </c>
      <c r="D32563" t="inlineStr">
        <is>
          <t>Epée Maudite du Saigneur Guerrier; Amulette Ementaire Deluxe; Bague Trithon; Alliance Brûlâme; Bouclier d'Anerice; Ceintacé; Masque d'Anerice; Dofusteuse; Bottes de l'Indicible; Dofus Turquoise; Dofus Pourpre; Dofus Ocre; Dofus Abyssal; Dofus des Glaces; Dofus Ivoire; Muldo Orchidée et Pourpre</t>
        </is>
      </c>
    </row>
    <row r="32564">
      <c r="A32564" t="inlineStr">
        <is>
          <t>new_items</t>
        </is>
      </c>
      <c r="B32564">
        <f>HYPERLINK("https://www.dofusbook.net/fr/equipement/2163688-new-items/objets", "link")</f>
        <v/>
      </c>
      <c r="C32564" t="n">
        <v>0</v>
      </c>
      <c r="D32564" t="inlineStr">
        <is>
          <t>Arc Nécrotique; Collier de la Dame du Hasard; Anneau Cryochrone; Anneau de Padgref; Quatre-feuilles; Ceinture Séculaire; Coiffe de Padgref; Cape de la Dame du Hasard; Getas de Padgref; Dofus Pourpre; Dofus des Glaces; Dofus Turquoise; Dofus Ocre; Dofus Nébuleux; Dofus Abyssal; Muldo Prune et Emeraude</t>
        </is>
      </c>
    </row>
    <row r="32565">
      <c r="A32565" t="inlineStr">
        <is>
          <t>dame</t>
        </is>
      </c>
      <c r="B32565">
        <f>HYPERLINK("https://www.dofusbook.net/fr/equipement/2141148-dame/objets", "link")</f>
        <v/>
      </c>
      <c r="C32565" t="n">
        <v>0</v>
      </c>
      <c r="D32565" t="inlineStr">
        <is>
          <t>Cape de la Dame du Hasard; Bottes de la Dame du Hasard</t>
        </is>
      </c>
    </row>
    <row r="32566">
      <c r="A32566" t="inlineStr">
        <is>
          <t>feu_retpm</t>
        </is>
      </c>
      <c r="B32566">
        <f>HYPERLINK("https://www.dofusbook.net/fr/equipement/2141071-feu-retpm/objets", "link")</f>
        <v/>
      </c>
      <c r="C32566" t="n">
        <v>0</v>
      </c>
      <c r="D32566" t="inlineStr">
        <is>
          <t>Arc corrompu; Amulette de Nileza; Anneau Tique; Chevalière du Roi Joueur; Bouclier cubiste; Ceinture de Kongoku; Couronne du Roi Joueur; Cape de Diondin; Bottes Innommables; Dofus des Glaces; Remueur; Carapace Eau majeur; Érudit majeur; Vigoureux majeur; Temporiseur majeur; Muldo Pourpre</t>
        </is>
      </c>
    </row>
    <row r="32567">
      <c r="A32567" t="inlineStr">
        <is>
          <t>re_crit</t>
        </is>
      </c>
      <c r="B32567">
        <f>HYPERLINK("https://www.dofusbook.net/fr/equipement/2115724-re-crit/objets", "link")</f>
        <v/>
      </c>
      <c r="C32567" t="n">
        <v>0</v>
      </c>
      <c r="D32567" t="inlineStr">
        <is>
          <t>Arc corrompu; Amulette de Pol Ouatnos; Baguistik; Goulano; Bouclier Bontarien; Ceinture de la Reine des Voleurs; Coiffe de la Reine des Voleurs; Cape de Kongoku; Baleinabottes; Dofus Abyssal; Dofus Ivoire; Dokoko; Fortification majeure; Bouftor</t>
        </is>
      </c>
    </row>
    <row r="32568">
      <c r="A32568" t="inlineStr">
        <is>
          <t>cheap</t>
        </is>
      </c>
      <c r="B32568">
        <f>HYPERLINK("https://www.dofusbook.net/fr/equipement/2091825-cheap/objets", "link")</f>
        <v/>
      </c>
      <c r="C32568" t="n">
        <v>0</v>
      </c>
      <c r="D32568" t="inlineStr">
        <is>
          <t>Plumeau Bil; Amulette d'Otomaï; Anneau de Nidas; Anneau Tamie; Bivalve; Ceinture Séculaire; Couronne de Nidas; Cape de Diondin; Pantoufles Émar; Observateur; Soigneur majeur; Nomade; Érudit majeur; Guérisseur majeur; Remueur; Muldo Indigo et Orchidée</t>
        </is>
      </c>
    </row>
    <row r="32569">
      <c r="A32569" t="inlineStr">
        <is>
          <t>solo/duotage</t>
        </is>
      </c>
      <c r="B32569">
        <f>HYPERLINK("https://www.dofusbook.net/fr/equipement/2077394-solo-duotage/objets", "link")</f>
        <v/>
      </c>
      <c r="C32569" t="n">
        <v>0</v>
      </c>
      <c r="D32569" t="inlineStr">
        <is>
          <t>Arc Ahique; Kralamansion; Bracelet du Piloztère; Alliance Gloursonne; Bouclier du Stalak; Ceinture Buhlent; Coiffe de la Reine des Voleurs; Voilamibe; Bottes de la Reine des Voleurs; Dofus des Glaces; Dofus Pourpre; Dofus Abyssal; Dofus Ocre; Remueur; Robuste majeur; Kramkram</t>
        </is>
      </c>
    </row>
    <row r="32570">
      <c r="A32570" t="inlineStr">
        <is>
          <t>Resi</t>
        </is>
      </c>
      <c r="B32570">
        <f>HYPERLINK("https://www.dofusbook.net/fr/equipement/1968758-resi/objets", "link")</f>
        <v/>
      </c>
      <c r="C32570" t="n">
        <v>1</v>
      </c>
      <c r="D32570" t="inlineStr">
        <is>
          <t>Epée Gloursonne; Amulette Ementaire Deluxe; Bague Gloursonne; Alliance Gloursonne; Bouclier d'Anerice; Ceinture de la Reine des Voleurs; Coiffe de la Reine des Voleurs; Cape d'Anerice; Bottes de la Reine des Voleurs; Dokoko; Dofus Ocre; Dofus Pourpre; Dofus des Glaces; Dofus Émeraude; Dofus Turquoise; Muldo Ebène et Orchidée</t>
        </is>
      </c>
    </row>
    <row r="32571">
      <c r="A32571" t="inlineStr">
        <is>
          <t>PVP</t>
        </is>
      </c>
      <c r="B32571">
        <f>HYPERLINK("https://www.dofusbook.net/fr/equipement/1947067-pvp/objets", "link")</f>
        <v/>
      </c>
      <c r="C32571" t="n">
        <v>0</v>
      </c>
      <c r="D32571" t="inlineStr">
        <is>
          <t>Epée Gloursonne; Amulette Ementaire Deluxe; Bague Gloursonne; Alliance Gloursonne; Ceinture de la Reine des Voleurs; Coiffe de la Reine des Voleurs; Voile d'encre; Bottes de la Reine des Voleurs; Dofus Vulbis; Dofus des Glaces; Dofus Pourpre; Dofus Ocre; Dofus Turquoise; Dofus Abyssal; Kramkram</t>
        </is>
      </c>
    </row>
    <row r="32572">
      <c r="A32572" t="inlineStr">
        <is>
          <t>force_vulbis</t>
        </is>
      </c>
      <c r="B32572">
        <f>HYPERLINK("https://www.dofusbook.net/fr/equipement/1937520-force-vulbis/objets", "link")</f>
        <v/>
      </c>
      <c r="C32572" t="n">
        <v>0</v>
      </c>
      <c r="D32572" t="inlineStr">
        <is>
          <t>Arc du Chalœil; Collier de Tourthon; Bracelet du Piloztère; Anneau de Brouce; Bouclier du Stalak; Ceinture de la Cour Sombre; Solomonk; Cape de la Cour Sombre; Bottes de la Cour Sombre; Dofus Vulbis; Dofus des Glaces; Dofus Pourpre; Dofus Ocre; Dofus Turquoise; Dofus Abyssal; Bouflux</t>
        </is>
      </c>
    </row>
    <row r="32573">
      <c r="A32573" t="inlineStr">
        <is>
          <t>padgref</t>
        </is>
      </c>
      <c r="B32573">
        <f>HYPERLINK("https://www.dofusbook.net/fr/equipement/1935109-padgref/objets", "link")</f>
        <v/>
      </c>
      <c r="C32573" t="n">
        <v>0</v>
      </c>
      <c r="D32573" t="inlineStr">
        <is>
          <t>Arc Nécrotique; Collier de la Dame du Hasard; Bracelet du Piloztère; Anneau de Padgref; Bouclier cubiste; Pagne du Rykaon; Coiffe de Padgref; Cape de la Dame du Hasard; Getas de Padgref; Dofus Pourpre; Dofus Abyssal; Dofus Turquoise; Dolmanax; Dofus Ocre; Dofus des Glaces; Muldo Prune et Emeraude</t>
        </is>
      </c>
    </row>
    <row r="32574">
      <c r="A32574" t="inlineStr">
        <is>
          <t>tri_elem</t>
        </is>
      </c>
      <c r="B32574">
        <f>HYPERLINK("https://www.dofusbook.net/fr/equipement/1935063-tri-elem/objets", "link")</f>
        <v/>
      </c>
      <c r="C32574" t="n">
        <v>2</v>
      </c>
      <c r="D32574" t="inlineStr">
        <is>
          <t>Arc Nécrotique; Collier de la Dame du Hasard; Bracelet du Piloztère; Anneau de Padgref; Bouclier cubiste; Ceintrigue; Capuche de l'Œil Putride; Cape de la Dame du Hasard; Bottes de la Dame du Hasard; Dofus Ocre; Dofus des Glaces; Dofus Pourpre; Dofus Abyssal; Dofus Turquoise; Dolmanax; Muldo Prune et Emeraude</t>
        </is>
      </c>
    </row>
    <row r="32575">
      <c r="A32575" t="inlineStr">
        <is>
          <t>Coiffe-buze</t>
        </is>
      </c>
      <c r="B32575">
        <f>HYPERLINK("https://www.dofusbook.net/fr/equipement/1934922-coiffe-buze/objets", "link")</f>
        <v/>
      </c>
      <c r="C32575" t="n">
        <v>0</v>
      </c>
      <c r="D32575" t="inlineStr">
        <is>
          <t>Arc Nécrotique; Amulette de l'Œil Putride; Bracelet du Piloztère; Alliance Gloursonne; Quatre-feuilles; Ceintrigue; Capuche de l'Œil Putride; Cape de la Dame du Hasard; Getas Bernacle; Dofus Turquoise; Dofus Ocre; Dofus Pourpre; Dofus des Glaces; Nomade; Remueur; Kwaltess</t>
        </is>
      </c>
    </row>
    <row r="32576">
      <c r="A32576" t="inlineStr">
        <is>
          <t>Multi_11-6</t>
        </is>
      </c>
      <c r="B32576">
        <f>HYPERLINK("https://www.dofusbook.net/fr/equipement/1852580-multi-11-6/objets", "link")</f>
        <v/>
      </c>
      <c r="C32576" t="n">
        <v>0</v>
      </c>
      <c r="D32576" t="inlineStr">
        <is>
          <t>Bâton Beau; Amulette du Strigide; Alliance de Missiz Frizz; Bracelet du Piloztère; Quatre-feuilles; Ceinture du Strigide; Chevelure de Tal Kasha; Bottes du Cycloïde; Dofus des Glaces; Dofus Ocre; Dofus Pourpre; Dofus Turquoise; Vigoureux majeur; Carapace Feu majeur; Muldo Prune et Emeraude</t>
        </is>
      </c>
    </row>
    <row r="32577">
      <c r="A32577" t="inlineStr">
        <is>
          <t>incar_eau_invi</t>
        </is>
      </c>
      <c r="B32577">
        <f>HYPERLINK("https://www.dofusbook.net/fr/equipement/1839857-incar-eau-invi/objets", "link")</f>
        <v/>
      </c>
      <c r="C32577" t="n">
        <v>0</v>
      </c>
      <c r="D32577" t="inlineStr">
        <is>
          <t>Arc de Laikteur; Amulette du Strigide; Pikano; Bracelet du Piloztère; Quatre-feuilles; Ceinture du Strigide; Coiffe de Danathor; Cape de la Dame du Hasard; Bottes Voldelor; Dofus Turquoise; Dofus des Glaces; Dofus Abyssal; Dokoko; Dofus Ocre; Remueur; Phortiche</t>
        </is>
      </c>
    </row>
    <row r="32578">
      <c r="A32578" t="inlineStr">
        <is>
          <t>Dam_11_6</t>
        </is>
      </c>
      <c r="B32578">
        <f>HYPERLINK("https://www.dofusbook.net/fr/equipement/1797460-dam-11-6/objets", "link")</f>
        <v/>
      </c>
      <c r="C32578" t="n">
        <v>0</v>
      </c>
      <c r="D32578" t="inlineStr">
        <is>
          <t>Arc Nécrotique; Amulette du Strigide; Anneau Cryochrone; Kralano; Quatre-feuilles; Ceinture du Strigide; Le Dorado; Voilamibe; Pataugastrique; Dofus Turquoise; Puissant majeur; Vigoureux majeur; Chanceux majeur; Nomade; Érudit majeur; Dragodinde en armure</t>
        </is>
      </c>
    </row>
    <row r="32579">
      <c r="A32579" t="inlineStr">
        <is>
          <t>RJ_stri</t>
        </is>
      </c>
      <c r="B32579">
        <f>HYPERLINK("https://www.dofusbook.net/fr/equipement/1779099-rj-stri/objets", "link")</f>
        <v/>
      </c>
      <c r="C32579" t="n">
        <v>0</v>
      </c>
      <c r="D32579" t="inlineStr">
        <is>
          <t>Amulette du Strigide; Chevalière du Roi Joueur; Bague Gloursonne; Bouclier Taverne; Ceinture du Strigide; Couronne du Roi Joueur; Voile d'encre; Bottes du Roi Joueur; Dofus Pourpre; Dofus des Glaces; Dofus Turquoise; Dofus Abyssal; Dofus Ocre; Turbulent; Muldo Prune et Emeraude</t>
        </is>
      </c>
    </row>
    <row r="32580">
      <c r="A32580" t="inlineStr">
        <is>
          <t>new_troph</t>
        </is>
      </c>
      <c r="B32580">
        <f>HYPERLINK("https://www.dofusbook.net/fr/equipement/1538821-new-troph/objets", "link")</f>
        <v/>
      </c>
      <c r="C32580" t="n">
        <v>0</v>
      </c>
      <c r="D32580" t="inlineStr">
        <is>
          <t>Dagues de Srambad; Collier de Tourthon; Anneau du Comte Harebourg; Bracelet du Piloztère; Bouclier précieux; Ceinture de la Reine des Voleurs; Masque de Koutoulou; Cape Luminescente; Bottes de la Reine des Voleurs; Dofus Émeraude; Dofus Turquoise; Dolmanax; Dofus des Glaces; Miraculé majeur; Remueur; Muldo Roux et Pourpre</t>
        </is>
      </c>
    </row>
    <row r="32581">
      <c r="A32581" t="inlineStr">
        <is>
          <t>Savi</t>
        </is>
      </c>
      <c r="B32581">
        <f>HYPERLINK("https://www.dofusbook.net/fr/equipement/1538715-savi/objets", "link")</f>
        <v/>
      </c>
      <c r="C32581" t="n">
        <v>0</v>
      </c>
      <c r="D32581" t="inlineStr">
        <is>
          <t>Dagues de Srambad; Amulette Luminescente; Bracelet du Piloztère; Alliance Gloursonne; Bouclier précieux; Ceinture de la Reine des Voleurs; Coiffe de la Reine des Voleurs; Cape Luminescente; Bottes de la Reine des Voleurs; Dofus Émeraude; Dofus des Glaces; Dofus Turquoise; Dofus Pourpre; Dofus Ocre; Survivant majeur; Muldo Ebène</t>
        </is>
      </c>
    </row>
    <row r="32582">
      <c r="A32582" t="inlineStr">
        <is>
          <t>Pour_Savi</t>
        </is>
      </c>
      <c r="B32582">
        <f>HYPERLINK("https://www.dofusbook.net/fr/equipement/1537761-pour-savi/objets", "link")</f>
        <v/>
      </c>
      <c r="C32582" t="n">
        <v>0</v>
      </c>
      <c r="D32582" t="inlineStr">
        <is>
          <t>Héqache; Amulette du Strigide; Anneau Chevelu; Anneau du Katcheur; Bouclier précieux; Ceinture du Strigide; Masque du Katcheur; Voile d'encre; Bottes du Katcheur; Dofus Pourpre; Dofus Ocre; Dofus Émeraude; Dofus des Glaces; Dofus Turquoise; Survivant majeur; Muldo Prune et Emeraude</t>
        </is>
      </c>
    </row>
    <row r="32583">
      <c r="A32583" t="inlineStr">
        <is>
          <t>resi</t>
        </is>
      </c>
      <c r="B32583">
        <f>HYPERLINK("https://www.dofusbook.net/fr/equipement/1468229-resi/objets", "link")</f>
        <v/>
      </c>
      <c r="C32583" t="n">
        <v>0</v>
      </c>
      <c r="D32583" t="inlineStr">
        <is>
          <t>Héqache; Talisman Glouti; Anneau de XLII; Anneau Tique; Bouclier d'Anerice; Ceinture de XLII; Masque d'Anerice; Cape d'Anerice; Bottes de XLII; Dofus Émeraude; Dofus Abyssal; Dofus Ocre; Dokoko; Tacleur majeur; Bloqueur majeur; Muldo Ebène et Pourpre</t>
        </is>
      </c>
    </row>
    <row r="32584">
      <c r="A32584" t="inlineStr">
        <is>
          <t>pvm</t>
        </is>
      </c>
      <c r="B32584">
        <f>HYPERLINK("https://www.dofusbook.net/fr/equipement/1402628-pvm/objets", "link")</f>
        <v/>
      </c>
      <c r="C32584" t="n">
        <v>0</v>
      </c>
      <c r="D32584" t="inlineStr">
        <is>
          <t>Marteau de Katrepat; Amulette du Strigide; Bracelet du Piloztère; Chevalière du Roi Joueur; Bouclier Taverne; Ceinture du Strigide; Couronne du Roi Joueur; Cape de la Fuji Givrefoux; Bottes du Roi Joueur; Dofus Turquoise; Dofus des Glaces; Dofus Ocre; Dofus Abyssal; Dofus Pourpre; Dolmanax; Kwaltess</t>
        </is>
      </c>
    </row>
    <row r="32585">
      <c r="A32585" t="inlineStr">
        <is>
          <t>nv_troph</t>
        </is>
      </c>
      <c r="B32585">
        <f>HYPERLINK("https://www.dofusbook.net/fr/equipement/1264140-nv-troph/objets", "link")</f>
        <v/>
      </c>
      <c r="C32585" t="n">
        <v>0</v>
      </c>
      <c r="D32585" t="inlineStr">
        <is>
          <t>Épée de la Reine des Voleurs; Amulette du Strigide; Bracelet du Piloztère; Bague Gloursonne; Bouclier Taverne; Ceinture du Strigide; Le Dorado; Cape du Kamasterisk; Bottes du Cycloïde; Dofus Pourpre; Dofus des Glaces; Dofus Turquoise; Dofus Ocre; Enragé majeur; Vigoureux majeur; Muldo Prune et Emeraude</t>
        </is>
      </c>
    </row>
    <row r="32586">
      <c r="A32586" t="inlineStr">
        <is>
          <t>Cheap_pvm</t>
        </is>
      </c>
      <c r="B32586">
        <f>HYPERLINK("https://www.dofusbook.net/fr/equipement/1264011-cheap-pvm/objets", "link")</f>
        <v/>
      </c>
      <c r="C32586" t="n">
        <v>0</v>
      </c>
      <c r="D32586" t="inlineStr">
        <is>
          <t>Epée Gloursonne; Kralamansion; Alliance Gloursonne; Bague Gloursonne; Ceinture de la Reine des Voleurs; Coiffe de la Reine des Voleurs; Cape de la Cour Sombre; Bottes de la Reine des Voleurs; Dofus Pourpre; Dofus des Glaces; Dofus Turquoise; Dofus Abyssal; Dofus Émeraude; Dofus Ocre; Muldo Prune et Orchidée</t>
        </is>
      </c>
    </row>
    <row r="32587">
      <c r="A32587" t="inlineStr">
        <is>
          <t>Full_air</t>
        </is>
      </c>
      <c r="B32587">
        <f>HYPERLINK("https://www.dofusbook.net/fr/equipement/1220584-full-air/objets", "link")</f>
        <v/>
      </c>
      <c r="C32587" t="n">
        <v>1</v>
      </c>
      <c r="D32587" t="inlineStr">
        <is>
          <t>Épée du Granduk; Amulette du Strigide; Gant du Valet Veinard; Alliance Gloursonne; Bouclier alvéolé; Menoture; Masque du Granduk; Cape de Klime; Palmes Trithons; Dofus Turquoise; Dokoko; Dofus Émeraude; Dofus des Glaces; Dofus Pourpre; Remueur; Muldo Ebène et Orchidée</t>
        </is>
      </c>
    </row>
    <row r="32588">
      <c r="A32588" t="inlineStr">
        <is>
          <t>eau_dopou</t>
        </is>
      </c>
      <c r="B32588">
        <f>HYPERLINK("https://www.dofusbook.net/fr/equipement/1220270-eau-dopou/objets", "link")</f>
        <v/>
      </c>
      <c r="C32588" t="n">
        <v>0</v>
      </c>
      <c r="D32588" t="inlineStr">
        <is>
          <t>Hache Euvale; Amulette Luminescente; Bracelet des Fonds marins; Alliance Gloursonne; Bouclier Taverne; Ceinture Luminescente; Masque des Fonds marins; Cape Luminescente; Sandales des Fonds marins; Dofus Ocre; Dofus Pourpre; Dofus Émeraude; Dofus des Glaces; Dofus Turquoise; Dokoko; Muldo Roux et Indigo</t>
        </is>
      </c>
    </row>
    <row r="32589">
      <c r="A32589" t="inlineStr">
        <is>
          <t>succes199</t>
        </is>
      </c>
      <c r="B32589">
        <f>HYPERLINK("https://www.dofusbook.net/fr/equipement/1217790-succes199/objets", "link")</f>
        <v/>
      </c>
      <c r="C32589" t="n">
        <v>0</v>
      </c>
      <c r="D32589" t="inlineStr">
        <is>
          <t>Anneau de Padgref; Coiffe de Padgref; Getas de Padgref</t>
        </is>
      </c>
    </row>
    <row r="32590">
      <c r="A32590" t="inlineStr">
        <is>
          <t>multi_dopou</t>
        </is>
      </c>
      <c r="B32590">
        <f>HYPERLINK("https://www.dofusbook.net/fr/equipement/1138121-multi-dopou/objets", "link")</f>
        <v/>
      </c>
      <c r="C32590" t="n">
        <v>0</v>
      </c>
      <c r="D32590" t="inlineStr">
        <is>
          <t>Héqache; Torquistik; Bague Instable; Anneau de Guten Tak; Bouclier Taverne; Ceintacé; Masque Trithon; Cape de la Fuji Givrefoux; Bottistik; Dofus Turquoise; Dofus des Glaces; Dofus Pourpre; Culbuteur majeur; Remueur; Bousculeur majeur; Muldo Prune et Emeraude</t>
        </is>
      </c>
    </row>
    <row r="32591">
      <c r="A32591" t="inlineStr">
        <is>
          <t>retpm_docrit</t>
        </is>
      </c>
      <c r="B32591">
        <f>HYPERLINK("https://www.dofusbook.net/fr/equipement/967050-retpm-docrit/objets", "link")</f>
        <v/>
      </c>
      <c r="C32591" t="n">
        <v>0</v>
      </c>
      <c r="D32591" t="inlineStr">
        <is>
          <t>Collier de la Dame du Hasard; Pikano; Ceinture du Glourséleste; Casquipik; Bottes de la Dame du Hasard</t>
        </is>
      </c>
    </row>
    <row r="32592">
      <c r="A32592" t="inlineStr">
        <is>
          <t>Cheap_retpm</t>
        </is>
      </c>
      <c r="B32592">
        <f>HYPERLINK("https://www.dofusbook.net/fr/equipement/965822-cheap-retpm/objets", "link")</f>
        <v/>
      </c>
      <c r="C32592" t="n">
        <v>0</v>
      </c>
      <c r="D32592" t="inlineStr"/>
    </row>
    <row r="32593">
      <c r="A32593" t="inlineStr">
        <is>
          <t>iop 12/5</t>
        </is>
      </c>
      <c r="B32593">
        <f>HYPERLINK("https://www.dofusbook.net/fr/equipement/923156-iop-12-5/objets", "link")</f>
        <v/>
      </c>
      <c r="C32593" t="n">
        <v>0</v>
      </c>
      <c r="D32593" t="inlineStr">
        <is>
          <t>Héqache; Amulette du Strigide; Bague Gloursonne; Alliance de Missiz Frizz; Bouclier du Captain Amakna; Ceinture du Strigide; Casque de Missiz Frizz; Bottes du Strigide; Dofus Ocre; Dofus Pourpre; Dofus des Glaces; Dofus Turquoise; Dofus Abyssal; Muldo Prune et Doré</t>
        </is>
      </c>
    </row>
    <row r="32594">
      <c r="A32594" t="inlineStr">
        <is>
          <t>Full_dofus</t>
        </is>
      </c>
      <c r="B32594">
        <f>HYPERLINK("https://www.dofusbook.net/fr/equipement/900435-full-dofus/objets", "link")</f>
        <v/>
      </c>
      <c r="C32594" t="n">
        <v>0</v>
      </c>
      <c r="D32594" t="inlineStr">
        <is>
          <t>Getas Bernacle</t>
        </is>
      </c>
    </row>
    <row r="32595">
      <c r="A32595" t="inlineStr">
        <is>
          <t>houffe</t>
        </is>
      </c>
      <c r="B32595">
        <f>HYPERLINK("https://www.dofusbook.net/fr/equipement/876188-houffe/objets", "link")</f>
        <v/>
      </c>
      <c r="C32595" t="n">
        <v>1</v>
      </c>
      <c r="D32595" t="inlineStr">
        <is>
          <t>Baguette Houffe-Craitien; Collier de la Dame du Hasard; Anneau Cryochrone; Anneau de Padgref; Quatre-feuilles; Ceinture du Strigide; Coiffe de Padgref; Cape de la Dame du Hasard; Getas de Padgref; Dofus Vulbis; Dofus Ocre; Dofus Pourpre; Dofus des Glaces; Dofus Nébuleux; Dofus Turquoise; Muldo Prune et Emeraude</t>
        </is>
      </c>
    </row>
    <row r="32596">
      <c r="A32596" t="inlineStr">
        <is>
          <t>Retpm do crit</t>
        </is>
      </c>
      <c r="B32596">
        <f>HYPERLINK("https://www.dofusbook.net/fr/equipement/861235-retpm-do-crit/objets", "link")</f>
        <v/>
      </c>
      <c r="C32596" t="n">
        <v>0</v>
      </c>
      <c r="D32596" t="inlineStr">
        <is>
          <t>Baguette Hique; Collier de la Dame du Hasard; Pikano; Alliance Gloursonne; Bouclier cubiste; Ceinture du Glourséleste; Kidibonnet; Cape de Meno; Bottes de Meno; Dofus des Glaces; Dofus Turquoise; Dofus Pourpre; Dofus Ocre; Entraveur majeur; Temporiseur majeur; Muldo Prune et Emeraude</t>
        </is>
      </c>
    </row>
    <row r="32597">
      <c r="A32597" t="inlineStr">
        <is>
          <t>Dofus</t>
        </is>
      </c>
      <c r="B32597">
        <f>HYPERLINK("https://www.dofusbook.net/fr/equipement/801746-dofus/objets", "link")</f>
        <v/>
      </c>
      <c r="C32597" t="n">
        <v>1</v>
      </c>
      <c r="D32597" t="inlineStr">
        <is>
          <t>Arc de Koutoulou; Amulette du Strigide; Alliance Gloursonne; Bracelet du Piloztère; Bouclier cubiste; Ceinture du Strigide; Némès de Tal Kasha; Chevelure de Tal Kasha; Sandales de Tal Kasha; Dofus Turquoise; Dofus des Glaces; Dofus Ocre; Dofus Abyssal; Dofus Pourpre; Dolmanax; Muldo Prune et Emeraude</t>
        </is>
      </c>
    </row>
    <row r="32598">
      <c r="A32598" t="inlineStr">
        <is>
          <t>Feu_eau_retpm</t>
        </is>
      </c>
      <c r="B32598">
        <f>HYPERLINK("https://www.dofusbook.net/fr/equipement/707413-feu-eau-retpm/objets", "link")</f>
        <v/>
      </c>
      <c r="C32598" t="n">
        <v>0</v>
      </c>
      <c r="D32598" t="inlineStr">
        <is>
          <t>Baguette Hique; Amulette Luminescente; Chevalière du Roi Joueur; Pikano; Bouclier cubiste; Poulpagne; Casquette de Meno; Cape de la Dame du Hasard; Bottes de Meno; Dofus Turquoise; Dofus Ocre; Chanceux majeur; Temporiseur majeur; Entraveur majeur</t>
        </is>
      </c>
    </row>
    <row r="32599">
      <c r="A32599" t="inlineStr">
        <is>
          <t>Pvm</t>
        </is>
      </c>
      <c r="B32599">
        <f>HYPERLINK("https://www.dofusbook.net/fr/equipement/604734-pvm/objets", "link")</f>
        <v/>
      </c>
      <c r="C32599" t="n">
        <v>0</v>
      </c>
      <c r="D32599" t="inlineStr">
        <is>
          <t>Arc de Koutoulou; Amulette du Strigide; Alliance Gloursonne; Bracelet du Piloztère; Menoture; Némès de Tal Kasha; Chevelure de Tal Kasha; Bottes Voldelor; Dofus des Glaces; Dofus Pourpre; Dofus Ocre; Dofus Turquoise; Vigoureux majeur; Muldo Prune et Doré</t>
        </is>
      </c>
    </row>
    <row r="32600">
      <c r="A32600" t="inlineStr">
        <is>
          <t>Stuff 2</t>
        </is>
      </c>
      <c r="B32600">
        <f>HYPERLINK("https://www.dofusbook.net/fr/equipement/142470-stuff-2/objets", "link")</f>
        <v/>
      </c>
      <c r="C32600" t="n">
        <v>0</v>
      </c>
      <c r="D32600" t="inlineStr">
        <is>
          <t>Sabres d'Atcham; Amulette du Strigide; Anneau de Padgref; Anneau Cryochrone; Ceinture du Strigide; Bonnet Ko; Chevelure de Tal Kasha; Bottes du Chalœil; Dofus Pourpre; Dofus Ocre; Dofus Turquoise; Remueur; Vigoureux majeur; Nomade</t>
        </is>
      </c>
    </row>
    <row r="32601">
      <c r="A32601" t="inlineStr">
        <is>
          <t>Stuff 3</t>
        </is>
      </c>
      <c r="B32601">
        <f>HYPERLINK("https://www.dofusbook.net/fr/equipement/142465-stuff-3/objets", "link")</f>
        <v/>
      </c>
      <c r="C32601" t="n">
        <v>0</v>
      </c>
      <c r="D32601" t="inlineStr">
        <is>
          <t>Arc Hétype; Pendentif affamé; Chevalière du Roi Joueur; Bague Gloursonne; Bouclier à hélice; Ceintrigue; Couronne du Roi Joueur; Voile d'encre; Pataugastrique; Dofus Turquoise; Dofus des Glaces; Dofus Pourpre; Miraculé majeur; Érudit majeur; Remueur; Muldo Indigo et Orchidée</t>
        </is>
      </c>
    </row>
    <row r="32602">
      <c r="A32602" t="inlineStr">
        <is>
          <t>Stuff 2</t>
        </is>
      </c>
      <c r="B32602">
        <f>HYPERLINK("https://www.dofusbook.net/fr/equipement/142467-stuff-2/objets", "link")</f>
        <v/>
      </c>
      <c r="C32602" t="n">
        <v>0</v>
      </c>
      <c r="D32602" t="inlineStr">
        <is>
          <t>Héqache; Amulette du Strigide; Bague Gloursonne; Alliance de Missiz Frizz; Bouclier Taverne; Ceinture du Strigide; Casque de Missiz Frizz; Cape de la Fuji Givrefoux; Bottes du Strigide; Dofus Ocre; Dofus Abyssal; Dofus Turquoise; Dofus des Glaces; Dolmanax; Dofus Pourpre; Kwaltess</t>
        </is>
      </c>
    </row>
    <row r="32603">
      <c r="A32603" t="inlineStr">
        <is>
          <t>Stuff 1</t>
        </is>
      </c>
      <c r="B32603">
        <f>HYPERLINK("https://www.dofusbook.net/fr/equipement/142469-stuff-1/objets", "link")</f>
        <v/>
      </c>
      <c r="C32603" t="n">
        <v>1</v>
      </c>
      <c r="D32603" t="inlineStr">
        <is>
          <t>Baguette Range; Amulette du Strigide; Anneau de Padgref; Anneau Cryochrone; Quatre-feuilles; Ceinture du Strigide; Coiffe de Padgref; Cape d'Atcham; Getas de Padgref; Dofus des Glaces; Dofus Turquoise; Dofus Vulbis; Dofus Pourpre; Dolmanax; Dofus Ocre; Kwaltess</t>
        </is>
      </c>
    </row>
    <row r="32604">
      <c r="A32604" t="inlineStr">
        <is>
          <t>Stuff 3</t>
        </is>
      </c>
      <c r="B32604">
        <f>HYPERLINK("https://www.dofusbook.net/fr/equipement/142471-stuff-3/objets", "link")</f>
        <v/>
      </c>
      <c r="C32604" t="n">
        <v>0</v>
      </c>
      <c r="D32604" t="inlineStr">
        <is>
          <t>Bâton Beau; Amulette du Strigide; Bracelet du Piloztère; Bague Gloursonne; Ceinture du Strigide; Bonnet Ko; Cape Reski; Bottes du Chalœil; Dofus Pourpre; Dofus Ocre; Dofus Turquoise; Vigoureux majeur; Remueur; Nomade</t>
        </is>
      </c>
    </row>
    <row r="32605">
      <c r="A32605" t="inlineStr">
        <is>
          <t>Stuff 1</t>
        </is>
      </c>
      <c r="B32605">
        <f>HYPERLINK("https://www.dofusbook.net/fr/equipement/142466-stuff-1/objets", "link")</f>
        <v/>
      </c>
      <c r="C32605" t="n">
        <v>0</v>
      </c>
      <c r="D32605" t="inlineStr">
        <is>
          <t>Dagues Érhy; Amulette du Strigide; Anneau de Brouce; Bague Gloursonne; Ceinture du Strigide; Chapeau de Gein; Cape au Logis; Sabots Minables; Dofus Turquoise; Dofus Pourpre; Enragé majeur; Vigoureux majeur; Remueur; Érudit majeur; Kramkram</t>
        </is>
      </c>
    </row>
    <row r="32606">
      <c r="A32606" t="inlineStr">
        <is>
          <t>Stuff 3</t>
        </is>
      </c>
      <c r="B32606">
        <f>HYPERLINK("https://www.dofusbook.net/fr/equipement/142468-stuff-3/objets", "link")</f>
        <v/>
      </c>
      <c r="C32606" t="n">
        <v>0</v>
      </c>
      <c r="D32606" t="inlineStr">
        <is>
          <t>Arc du Chalœil; Amulette du Strigide; Bague Gloursonne; Chevalière du Roi Joueur; Ceinture du Strigide; Couronne du Roi Joueur; Cape de la Fuji Givrefoux; Bottes du Roi Joueur; Dofus Ocre; Dofus Turquoise; Dofus des Glaces; Dolmanax; Dofus Pourpre; Puissant majeur; Kwaltess</t>
        </is>
      </c>
    </row>
    <row r="32607">
      <c r="A32607" t="inlineStr">
        <is>
          <t>Stuff 2</t>
        </is>
      </c>
      <c r="B32607">
        <f>HYPERLINK("https://www.dofusbook.net/fr/equipement/142458-stuff-2/objets", "link")</f>
        <v/>
      </c>
      <c r="C32607" t="n">
        <v>0</v>
      </c>
      <c r="D32607" t="inlineStr">
        <is>
          <t>Baguette Hernelle; Amulette d'Otomaï; Anneau de Padgref; Kralano; Sangle Aise; Coiffe Séculaire; Cape de Nileza; Bottes d'Otomaï; Dofus Turquoise; Miraculé majeur; Nomade; Guérisseur majeur; Remueur; Érudit majeur</t>
        </is>
      </c>
    </row>
    <row r="32608">
      <c r="A32608" t="inlineStr">
        <is>
          <t>Stuff 3</t>
        </is>
      </c>
      <c r="B32608">
        <f>HYPERLINK("https://www.dofusbook.net/fr/equipement/142453-stuff-3/objets", "link")</f>
        <v/>
      </c>
      <c r="C32608" t="n">
        <v>0</v>
      </c>
      <c r="D32608" t="inlineStr">
        <is>
          <t>Bâton Beau; Amulette du Strigide; Bracelet du Piloztère; Chevalière du Roi Joueur; Ceinture du Strigide; Bonnet Ko; Dofusteuse; Bottes du Chalœil; Dofus Turquoise; Dofus Ocre; Dofus Pourpre; Nomade; Remueur; Vigoureux majeur</t>
        </is>
      </c>
    </row>
    <row r="32609">
      <c r="A32609" t="inlineStr">
        <is>
          <t>Stuff 1</t>
        </is>
      </c>
      <c r="B32609">
        <f>HYPERLINK("https://www.dofusbook.net/fr/equipement/142448-stuff-1/objets", "link")</f>
        <v/>
      </c>
      <c r="C32609" t="n">
        <v>0</v>
      </c>
      <c r="D32609" t="inlineStr">
        <is>
          <t>Arc du Chalœil; Amulette du Cycloïde; Bracelet du Piloztère; Anneau Chevelu; Ceintacé; Masque de Koutoulou; Voile d'encre; Sabots Minables; Dofus Turquoise; Dofus Émeraude; Dofus Pourpre; Vigoureux majeur; Enragé majeur; Miraculé majeur</t>
        </is>
      </c>
    </row>
    <row r="32610">
      <c r="A32610" t="inlineStr">
        <is>
          <t>Stuff 2</t>
        </is>
      </c>
      <c r="B32610">
        <f>HYPERLINK("https://www.dofusbook.net/fr/equipement/142449-stuff-2/objets", "link")</f>
        <v/>
      </c>
      <c r="C32610" t="n">
        <v>0</v>
      </c>
      <c r="D32610" t="inlineStr">
        <is>
          <t>Epée de Kocksis; Collier de Tourthon; Bracelet du Piloztère; Anneau du Comte Harebourg; Ceinture de Brouce; Masque de Koutoulou; Cape au Logis; Bottes du Comte Harebourg; Dofus Turquoise; Saccageur Terre majeur; Forcené majeur; Remueur; Dévastateur Terre majeur; Enragé majeur; Kompost</t>
        </is>
      </c>
    </row>
    <row r="32611">
      <c r="A32611" t="inlineStr">
        <is>
          <t>Stuff 2</t>
        </is>
      </c>
      <c r="B32611">
        <f>HYPERLINK("https://www.dofusbook.net/fr/equipement/142461-stuff-2/objets", "link")</f>
        <v/>
      </c>
      <c r="C32611" t="n">
        <v>0</v>
      </c>
      <c r="D32611" t="inlineStr">
        <is>
          <t>Arc Hétype; Amulette Séculaire; Anneau Tamie; Anneau Tamie; Sangle Aise; Coiffe Séculaire; Cape de Diondin; Bottes Dogues; Dofus des Glaces; Dofus Pourpre; Dofus Vulbis; Saccageur Feu majeur; Dévastateur Feu majeur; Érudit majeur; Brûlih</t>
        </is>
      </c>
    </row>
    <row r="32612">
      <c r="A32612" t="inlineStr">
        <is>
          <t>Stuff 3</t>
        </is>
      </c>
      <c r="B32612">
        <f>HYPERLINK("https://www.dofusbook.net/fr/equipement/142456-stuff-3/objets", "link")</f>
        <v/>
      </c>
      <c r="C32612" t="n">
        <v>0</v>
      </c>
      <c r="D32612" t="inlineStr">
        <is>
          <t>Marteau R'ture; Amulette Luminescente; Chevalière du Roi Joueur; Pikano; Ceinture de Brouce; Masque de Koutoulou; Cape au Logis; Pikottes; Dofus Turquoise; Ralentisseur majeur; Remueur; Temporiseur majeur; Enragé majeur; Entraveur majeur</t>
        </is>
      </c>
    </row>
    <row r="32613">
      <c r="A32613" t="inlineStr">
        <is>
          <t>Stuff 1</t>
        </is>
      </c>
      <c r="B32613">
        <f>HYPERLINK("https://www.dofusbook.net/fr/equipement/142451-stuff-1/objets", "link")</f>
        <v/>
      </c>
      <c r="C32613" t="n">
        <v>0</v>
      </c>
      <c r="D32613" t="inlineStr">
        <is>
          <t>Hache du Chalœil; Amulette Ementaire Deluxe; Alliance de Missiz Frizz; Bracelet du Piloztère; Ceinture du Strigide; Bonnet Ko; Cape du Chalœil; Bottes du Chalœil; Dofus Pourpre; Dofus des Glaces; Dofus Ocre; Dofus Turquoise; Remueur; Nomade; Muldo Prune et Emeraude</t>
        </is>
      </c>
    </row>
    <row r="32614">
      <c r="A32614" t="inlineStr">
        <is>
          <t>Stuff 1</t>
        </is>
      </c>
      <c r="B32614">
        <f>HYPERLINK("https://www.dofusbook.net/fr/equipement/142463-stuff-1/objets", "link")</f>
        <v/>
      </c>
      <c r="C32614" t="n">
        <v>1</v>
      </c>
      <c r="D32614" t="inlineStr">
        <is>
          <t>Dagoulinantes; Amulette de Danathor; Alliance Gloursonne; Bracelet des Fonds marins; Ceinture de la Reine des Voleurs; Kidibonnet; Cape de Mantaze; Bottes de la Reine des Voleurs; Dofus Turquoise; Dofus Pourpre; Chanceux majeur; Vigoureux majeur; Remueur; Nomade</t>
        </is>
      </c>
    </row>
    <row r="32615">
      <c r="A32615" t="inlineStr">
        <is>
          <t>Stuff 2</t>
        </is>
      </c>
      <c r="B32615">
        <f>HYPERLINK("https://www.dofusbook.net/fr/equipement/142458-stuff-2/objets", "link")</f>
        <v/>
      </c>
      <c r="C32615" t="n">
        <v>0</v>
      </c>
      <c r="D32615" t="inlineStr">
        <is>
          <t>Baguette Hernelle; Amulette d'Otomaï; Anneau de Padgref; Kralano; Sangle Aise; Coiffe Séculaire; Cape de Nileza; Bottes d'Otomaï; Dofus Turquoise; Érudit majeur; Miraculé majeur; Nomade; Guérisseur majeur; Remueur</t>
        </is>
      </c>
    </row>
    <row r="32616">
      <c r="A32616" t="inlineStr">
        <is>
          <t>Stuff 3</t>
        </is>
      </c>
      <c r="B32616">
        <f>HYPERLINK("https://www.dofusbook.net/fr/equipement/142453-stuff-3/objets", "link")</f>
        <v/>
      </c>
      <c r="C32616" t="n">
        <v>0</v>
      </c>
      <c r="D32616" t="inlineStr">
        <is>
          <t>Bâton Beau; Amulette du Strigide; Chevalière du Roi Joueur; Bracelet du Piloztère; Ceinture du Strigide; Bonnet Ko; Dofusteuse; Bottes du Chalœil; Dofus Pourpre; Dofus Turquoise; Dofus Ocre; Vigoureux majeur; Nomade; Remueur</t>
        </is>
      </c>
    </row>
    <row r="32617">
      <c r="A32617" t="inlineStr">
        <is>
          <t>Stuff 1</t>
        </is>
      </c>
      <c r="B32617">
        <f>HYPERLINK("https://www.dofusbook.net/fr/equipement/142448-stuff-1/objets", "link")</f>
        <v/>
      </c>
      <c r="C32617" t="n">
        <v>0</v>
      </c>
      <c r="D32617" t="inlineStr">
        <is>
          <t>Arc du Chalœil; Amulette du Cycloïde; Anneau Chevelu; Bracelet du Piloztère; Ceintacé; Masque de Koutoulou; Voile d'encre; Sabots Minables; Dofus Émeraude; Dofus Pourpre; Dofus Turquoise; Enragé majeur; Miraculé majeur; Vigoureux majeur</t>
        </is>
      </c>
    </row>
    <row r="32618">
      <c r="A32618" t="inlineStr">
        <is>
          <t>Stuff 1</t>
        </is>
      </c>
      <c r="B32618">
        <f>HYPERLINK("https://www.dofusbook.net/fr/equipement/142460-stuff-1/objets", "link")</f>
        <v/>
      </c>
      <c r="C32618" t="n">
        <v>0</v>
      </c>
      <c r="D32618" t="inlineStr">
        <is>
          <t>Epée Gloursonne; Pendentif Oton; Bague Gloursonne; Alliance Gloursonne; Ceinture de Vortex; Masque du Glourséleste; Cape de Sylargh; Bottes Refois; Dofus des Glaces; Dofus Nébuleux; Dofus Ocre; Dofus Vulbis; Dolmanax; Survivant majeur; Bisouglours; Poshoclier</t>
        </is>
      </c>
    </row>
    <row r="32619">
      <c r="A32619" t="inlineStr">
        <is>
          <t>Stuff 2</t>
        </is>
      </c>
      <c r="B32619">
        <f>HYPERLINK("https://www.dofusbook.net/fr/equipement/142455-stuff-2/objets", "link")</f>
        <v/>
      </c>
      <c r="C32619" t="n">
        <v>0</v>
      </c>
      <c r="D32619" t="inlineStr">
        <is>
          <t>Arc Hétype; Collier de la Dame du Hasard; Anneau Tamie; Anneau Tamie; Ceinture Hanium; Casquette de Meno; Cape de Diondin; Bottes de Meno; Temporiseur; Temporiseur majeur; Ralentisseur majeur; Érudit majeur; Entraveur majeur; Remueur</t>
        </is>
      </c>
    </row>
    <row r="32620">
      <c r="A32620" t="inlineStr">
        <is>
          <t>Stuff 3</t>
        </is>
      </c>
      <c r="B32620">
        <f>HYPERLINK("https://www.dofusbook.net/fr/equipement/142450-stuff-3/objets", "link")</f>
        <v/>
      </c>
      <c r="C32620" t="n">
        <v>0</v>
      </c>
      <c r="D32620" t="inlineStr">
        <is>
          <t>Epée Gloursonne; Amulette du Strigide; Bague Gloursonne; Alliance Gloursonne; Ceinture du Strigide; Némès de Tal Kasha; Chevelure de Tal Kasha; Bottes du Strigide; Dofus Émeraude; Dofus Ocre; Dofus des Glaces; Dofus Turquoise; Dolmanax; Dofus Pourpre</t>
        </is>
      </c>
    </row>
    <row r="32621">
      <c r="A32621" t="inlineStr">
        <is>
          <t>Stuff 3</t>
        </is>
      </c>
      <c r="B32621">
        <f>HYPERLINK("https://www.dofusbook.net/fr/equipement/142462-stuff-3/objets", "link")</f>
        <v/>
      </c>
      <c r="C32621" t="n">
        <v>0</v>
      </c>
      <c r="D32621" t="inlineStr">
        <is>
          <t>Dagues Eudin; Kralamansion; Anneau Colerette; Anneau du Cycloïde; Ceinture de la Reine des Voleurs; Solomonk; Voile d'encre; Bottes de la Reine des Voleurs; Dofus des Glaces; Dofus Turquoise; Dofus Pourpre; Dofus Abyssal; Dofus Ocre; Remueur</t>
        </is>
      </c>
    </row>
    <row r="32622">
      <c r="A32622" t="inlineStr">
        <is>
          <t>Stuff 1</t>
        </is>
      </c>
      <c r="B32622">
        <f>HYPERLINK("https://www.dofusbook.net/fr/equipement/142457-stuff-1/objets", "link")</f>
        <v/>
      </c>
      <c r="C32622" t="n">
        <v>0</v>
      </c>
      <c r="D32622" t="inlineStr">
        <is>
          <t>Arc Nécrotique; Talisman Igans; Anneau Cryochrone; Anneau de Padgref; Bouclier cubiste; Ceintrigue; Casquette de Meno; Cape de Meno; Bottes de Meno; Dofus des Glaces; Dofus Pourpre; Dolmanax; Dofus Turquoise; Dofus Abyssal; Dofus Ocre; Muldo Prune et Emeraude</t>
        </is>
      </c>
    </row>
    <row r="32623">
      <c r="A32623" t="inlineStr">
        <is>
          <t>Stuff 2</t>
        </is>
      </c>
      <c r="B32623">
        <f>HYPERLINK("https://www.dofusbook.net/fr/equipement/142452-stuff-2/objets", "link")</f>
        <v/>
      </c>
      <c r="C32623" t="n">
        <v>0</v>
      </c>
      <c r="D32623" t="inlineStr">
        <is>
          <t>Arc du Chalœil; Amulette du Strigide; Alliance de Missiz Frizz; Bracelet du Piloztère; Ceinture du Strigide; Masque du Katcheur; Voile d'encre; Bottes du Cycloïde; Dofus Ocre; Dofus Pourpre; Dofus Turquoise; Vigoureux majeur; Nomade; Remueur; Kwaltess</t>
        </is>
      </c>
    </row>
    <row r="32624">
      <c r="A32624" t="inlineStr">
        <is>
          <t>Eliotrope M 200</t>
        </is>
      </c>
      <c r="B32624">
        <f>HYPERLINK("https://www.dofusbook.net/fr/equipement/4630851-eliotrope-m-200/objets", "link")</f>
        <v/>
      </c>
      <c r="C32624" t="n">
        <v>0</v>
      </c>
      <c r="D32624" t="inlineStr">
        <is>
          <t>Anneau Volkorne; Bouclier du Stalak; Ceinture Volkorne; Dofus Ocre; Dofus Ébène; Dofus Vulbis; Dofus Abyssal; Dofus Turquoise; Dofus Ivoire; Dragodinde Emeraude et Pourpre</t>
        </is>
      </c>
    </row>
    <row r="32625">
      <c r="A32625" t="inlineStr">
        <is>
          <t>roub air</t>
        </is>
      </c>
      <c r="B32625">
        <f>HYPERLINK("https://www.dofusbook.net/fr/equipement/3499761-roub-air/objets", "link")</f>
        <v/>
      </c>
      <c r="C32625" t="n">
        <v>1</v>
      </c>
      <c r="D32625" t="inlineStr">
        <is>
          <t>Manthache; Collier du Valet Veinard; Alliance Gloursonne; Gant du Valet Veinard; Bouclier du Stalak; Menoture; Couronne d'Allister; Cape Indescriptible; Palmes Trithons; Dofus des Glaces; Dofus Ocre; Dofus Pourpre; Cascadeur majeur; Nomade; Dévastateur Air majeur; Blérodoudou</t>
        </is>
      </c>
    </row>
    <row r="32626">
      <c r="A32626" t="inlineStr">
        <is>
          <t>Roublard M 200</t>
        </is>
      </c>
      <c r="B32626">
        <f>HYPERLINK("https://www.dofusbook.net/fr/equipement/4362262-roublard-m-200/objets", "link")</f>
        <v/>
      </c>
      <c r="C32626" t="n">
        <v>0</v>
      </c>
      <c r="D32626" t="inlineStr">
        <is>
          <t>Arc du Chalœil; Anneau de Brouce; Anneau Volkorne; Bouclier du Stalak; Ceinture Volkorne; Cape de Jahash Jurgen</t>
        </is>
      </c>
    </row>
    <row r="32627">
      <c r="A32627" t="inlineStr">
        <is>
          <t>éni feu pvm</t>
        </is>
      </c>
      <c r="B32627">
        <f>HYPERLINK("https://www.dofusbook.net/fr/equipement/3332282-eni-feu-pvm/objets", "link")</f>
        <v/>
      </c>
      <c r="C32627" t="n">
        <v>0</v>
      </c>
      <c r="D32627" t="inlineStr">
        <is>
          <t>Arc corrompu; Pendentif affamé; Anneau Rifique; Anneau Tique; Quatre-feuilles; Ceinture Séculaire; Coiffe Séculaire; Cape de Diondin; Bottes Innommables; Dofus Turquoise; Dofus Pourpre; Remueur; Astucieux majeur; Érudit majeur; Nomade; Brûlih</t>
        </is>
      </c>
    </row>
    <row r="32628">
      <c r="A32628" t="inlineStr">
        <is>
          <t>panda soutient</t>
        </is>
      </c>
      <c r="B32628">
        <f>HYPERLINK("https://www.dofusbook.net/fr/equipement/2224504-panda-soutient/objets", "link")</f>
        <v/>
      </c>
      <c r="C32628" t="n">
        <v>0</v>
      </c>
      <c r="D32628" t="inlineStr">
        <is>
          <t>Rouleau à Pâtisserie d'Aermyne; Amulette de Shokkoth; Alliance Gloursonne; Anneau Raille; Bouclier Bontarien; Sangle Huée; Chapeau Lithique; Cape Wéra; Getas Bernacle; Dofus Vulbis; Dofus Ivoire; Dofus Ocre; Dofus Émeraude; Dofus Abyssal; Bloqueur majeur; Kougnard</t>
        </is>
      </c>
    </row>
    <row r="32629">
      <c r="A32629" t="inlineStr">
        <is>
          <t>roub terre</t>
        </is>
      </c>
      <c r="B32629">
        <f>HYPERLINK("https://www.dofusbook.net/fr/equipement/3454438-roub-terre/objets", "link")</f>
        <v/>
      </c>
      <c r="C32629" t="n">
        <v>0</v>
      </c>
      <c r="D32629" t="inlineStr">
        <is>
          <t>Arc du Chalœil; Amulette du Strigide; Anneau Volkorne; Anneau de Brouce; Quatre-feuilles; Ceinture Volkorne; Masque de Koutoulou; Cape au Logis; Bottes du Cœur Saignant; Dofus Pourpre; Dofus Ocre; Dofus Turquoise; Carapace Terre majeur; Carapace Eau majeur; Enragé majeur; Kramkram</t>
        </is>
      </c>
    </row>
    <row r="32630">
      <c r="A32630" t="inlineStr">
        <is>
          <t>énu hique 140 ret</t>
        </is>
      </c>
      <c r="B32630">
        <f>HYPERLINK("https://www.dofusbook.net/fr/equipement/3514514-enu-hique-140-ret/objets", "link")</f>
        <v/>
      </c>
      <c r="C32630" t="n">
        <v>1</v>
      </c>
      <c r="D32630" t="inlineStr">
        <is>
          <t>Baguette Hique; Amulette de Shokkoth; Anneau Volkorne; Alliance Gloursonne; Bouclier du Stalak; Ceinture Glaciale; Kidibonnet; Cape de la Dame du Hasard; Bottes de la Dame du Hasard; Dofus Pourpre; Dofus Turquoise; Temporiseur majeur; Chanceux majeur; Remueur; Entraveur majeur; Léopardo</t>
        </is>
      </c>
    </row>
    <row r="32631">
      <c r="A32631" t="inlineStr">
        <is>
          <t>Pandawa M 200</t>
        </is>
      </c>
      <c r="B32631">
        <f>HYPERLINK("https://www.dofusbook.net/fr/equipement/4254896-pandawa-m-200/objets", "link")</f>
        <v/>
      </c>
      <c r="C32631" t="n">
        <v>0</v>
      </c>
      <c r="D32631" t="inlineStr">
        <is>
          <t>Pendentif mignon de Koutoulou; Anneau Rifique</t>
        </is>
      </c>
    </row>
    <row r="32632">
      <c r="A32632" t="inlineStr">
        <is>
          <t>Enutrof M 200</t>
        </is>
      </c>
      <c r="B32632">
        <f>HYPERLINK("https://www.dofusbook.net/fr/equipement/3402063-enutrof-m-200/objets", "link")</f>
        <v/>
      </c>
      <c r="C32632" t="n">
        <v>2</v>
      </c>
      <c r="D32632" t="inlineStr">
        <is>
          <t>Arc Nécrotique; Amulette Volkorne; Bague Trithon; Anneau Volkorne; Bouclier du Stalak; Ceintacé; Masque Trithon; Cape de la Dame du Hasard; Bottes de la Dame du Hasard; Dofus Pourpre; Dofus Vulbis; Dofus des Glaces; Dofus Turquoise; Dofus Ébène; Dofus Ivoire; Kokulte</t>
        </is>
      </c>
    </row>
    <row r="32633">
      <c r="A32633" t="inlineStr">
        <is>
          <t>éni feu ret</t>
        </is>
      </c>
      <c r="B32633">
        <f>HYPERLINK("https://www.dofusbook.net/fr/equipement/3561468-eni-feu-ret/objets", "link")</f>
        <v/>
      </c>
      <c r="C32633" t="n">
        <v>1</v>
      </c>
      <c r="D32633" t="inlineStr">
        <is>
          <t>Arc corrompu; Amulette Séculaire; Anneau Tique; Anneau de Padgref; Bouclier du Stalak; Ceinture Séculaire; Coiffe de Padgref; Cape de Diondin; Getas de Padgref; Dofus Ébène; Dofus Pourpre; Dofus Turquoise; Savant majeur; Voyageur; Astucieux majeur; Dragodinde Emeraude et Orchidée</t>
        </is>
      </c>
    </row>
    <row r="32634">
      <c r="A32634" t="inlineStr">
        <is>
          <t>Roub terre</t>
        </is>
      </c>
      <c r="B32634">
        <f>HYPERLINK("https://www.dofusbook.net/fr/equipement/2706012-roub-terre/objets", "link")</f>
        <v/>
      </c>
      <c r="C32634" t="n">
        <v>1</v>
      </c>
      <c r="D32634" t="inlineStr">
        <is>
          <t>Amulette Volkorne; Anneau Volkorne; Chevalière du Roi Joueur; Bouclier du Stalak; Ceinture Volkorne; Couronne du Roi Joueur; Voile d'encre; Bottes du Roi Joueur; Dofus Ébène; Dofus Pourpre; Dofus Ivoire; Dofus Turquoise; Dofus Abyssal; Dofus Ocre; Volkorne Jade</t>
        </is>
      </c>
    </row>
    <row r="32635">
      <c r="A32635" t="inlineStr">
        <is>
          <t>Sram M 200</t>
        </is>
      </c>
      <c r="B32635">
        <f>HYPERLINK("https://www.dofusbook.net/fr/equipement/3459608-sram-m-200/objets", "link")</f>
        <v/>
      </c>
      <c r="C32635" t="n">
        <v>2</v>
      </c>
      <c r="D32635" t="inlineStr">
        <is>
          <t>Amulette du Strigide; Alliance Gloursonne; Anneau de Padgref; Bouclier du Stalak; Ceinture du Strigide; Coiffe de Padgref; Voile d'encre; Bottes du Strigide; Dofus Ivoire; Dofus Abyssal; Dofus Vulbis; Dofus des Glaces; Dofus Pourpre; Dofus Ocre; Blérodoudou</t>
        </is>
      </c>
    </row>
    <row r="32636">
      <c r="A32636" t="inlineStr">
        <is>
          <t>Osamodas M 200</t>
        </is>
      </c>
      <c r="B32636">
        <f>HYPERLINK("https://www.dofusbook.net/fr/equipement/3426196-osamodas-m-200/objets", "link")</f>
        <v/>
      </c>
      <c r="C32636" t="n">
        <v>1</v>
      </c>
      <c r="D32636" t="inlineStr">
        <is>
          <t>Arc corrompu; Amulette Séculaire; Anneau de Padgref; Anneau Tique; Quatre-feuilles; Ceinture Séculaire; Coiffe de Padgref; Voile d'encre; Getas de Padgref; Dofus Turquoise; Dofus Ocre; Dofus Pourpre; Dofus Ivoire; Dofus Vulbis; Dofus Abyssal; Dragodinde Emeraude et Orchidée</t>
        </is>
      </c>
    </row>
    <row r="32637">
      <c r="A32637" t="inlineStr">
        <is>
          <t>sacri eau final</t>
        </is>
      </c>
      <c r="B32637">
        <f>HYPERLINK("https://www.dofusbook.net/fr/equipement/3330505-sacri-eau-final/objets", "link")</f>
        <v/>
      </c>
      <c r="C32637" t="n">
        <v>1</v>
      </c>
      <c r="D32637" t="inlineStr">
        <is>
          <t>Baguette Héroclite; Amulette de Shokkoth; Bracelet des Fonds marins; Alliance Gloursonne; Bouclier du Stalak; Poulpagne; Kidibonnet; Cape du Sinistrofu; Bottes du Sinistrofu; Dofus Pourpre; Vigoureux majeur; Chanceux majeur; Nomade; Taquin majeur; Remueur; Dehluge</t>
        </is>
      </c>
    </row>
    <row r="32638">
      <c r="A32638" t="inlineStr">
        <is>
          <t>Roublard M 200</t>
        </is>
      </c>
      <c r="B32638">
        <f>HYPERLINK("https://www.dofusbook.net/fr/equipement/3408358-roublard-m-200/objets", "link")</f>
        <v/>
      </c>
      <c r="C32638" t="n">
        <v>0</v>
      </c>
      <c r="D32638" t="inlineStr">
        <is>
          <t>Sceptre du Roi Joueur; Amulette de Shokkoth; Alliance Gloursonne; Anneau Volkorne; Bouclier du Stalak; Culotte de Bethel; Masque de Funespadon; Cape de l'Œil Attentif; Pataugastrique; Dofus Pourpre; Dofus Ocre; Carapace Terre majeur; Étourdisseur majeur; Chanceux majeur; Nomade; Drakopin</t>
        </is>
      </c>
    </row>
    <row r="32639">
      <c r="A32639" t="inlineStr">
        <is>
          <t>Osamodas M 200</t>
        </is>
      </c>
      <c r="B32639">
        <f>HYPERLINK("https://www.dofusbook.net/fr/equipement/3516182-osamodas-m-200/objets", "link")</f>
        <v/>
      </c>
      <c r="C32639" t="n">
        <v>2</v>
      </c>
      <c r="D32639" t="inlineStr">
        <is>
          <t>Pyraguette; Amulette Volkorne; Alliance Gloursonne; Anneau Volkorne; Bouclier du Stalak; Ceinture de l'Esprit Salvateur; Masque de l'Esprit Salvateur; Voilamibe; Bottes de l'Esprit Salvateur; Dofus Ivoire; Dofus Abyssal; Dofus Ocre; Dofus Pourpre; Dofus des Glaces; Entraveur majeur</t>
        </is>
      </c>
    </row>
    <row r="32640">
      <c r="A32640" t="inlineStr">
        <is>
          <t>Sram M 200</t>
        </is>
      </c>
      <c r="B32640">
        <f>HYPERLINK("https://www.dofusbook.net/fr/equipement/3579652-sram-m-200/objets", "link")</f>
        <v/>
      </c>
      <c r="C32640" t="n">
        <v>0</v>
      </c>
      <c r="D32640" t="inlineStr">
        <is>
          <t>Arc du Chalœil; Amulette Volkorne; Chevalière du Roi Joueur; Anneau Volkorne; Bouclier du Stalak; Ceinture Volkorne; Couronne du Roi Joueur; Voile d'encre; Bottes du Roi Joueur; Dofus Turquoise; Dofus Ivoire; Dofus Abyssal; Dofus Ocre; Dofus Pourpre; Dofus des Glaces; Croum</t>
        </is>
      </c>
    </row>
    <row r="32641">
      <c r="A32641" t="inlineStr">
        <is>
          <t>Pandawa M 200</t>
        </is>
      </c>
      <c r="B32641">
        <f>HYPERLINK("https://www.dofusbook.net/fr/equipement/3452277-pandawa-m-200/objets", "link")</f>
        <v/>
      </c>
      <c r="C32641" t="n">
        <v>0</v>
      </c>
      <c r="D32641" t="inlineStr">
        <is>
          <t>Lav'Hache; Collier Rophante; Alliance Gloursonne; Bague Trithon; Ceinture Gence; Masque d'Anerice; Cape d'Anerice; Bottistik; Dofus Abyssal; Dofus Émeraude; Dofus Ivoire; Bousculeur majeur; Culbuteur majeur; Miraculé majeur; Volkorne Roux</t>
        </is>
      </c>
    </row>
    <row r="32642">
      <c r="A32642" t="inlineStr">
        <is>
          <t>eauret</t>
        </is>
      </c>
      <c r="B32642">
        <f>HYPERLINK("https://www.dofusbook.net/fr/equipement/3409958-eauret/objets", "link")</f>
        <v/>
      </c>
      <c r="C32642" t="n">
        <v>2</v>
      </c>
      <c r="D32642" t="inlineStr">
        <is>
          <t>Sceptre du Roi Joueur; Amulette de Shokkoth; Alliance Gloursonne; Anneau Volkorne; Bouclier du Stalak; Poulpagne; Masque de Funespadon; Cape Solution; Chaussons de Macrab; Dofus des Glaces; Dofus Pourpre; Étourdisseur majeur; Chanceux majeur; Paralyseur majeur; Carapace Air majeur; Muldo Indigo et Pourpre</t>
        </is>
      </c>
    </row>
    <row r="32643">
      <c r="A32643" t="inlineStr">
        <is>
          <t>Pandawa M 200</t>
        </is>
      </c>
      <c r="B32643">
        <f>HYPERLINK("https://www.dofusbook.net/fr/equipement/3407178-pandawa-m-200/objets", "link")</f>
        <v/>
      </c>
      <c r="C32643" t="n">
        <v>1</v>
      </c>
      <c r="D32643" t="inlineStr">
        <is>
          <t>Dagues Érhy; Amulette Volcanique; Alliance Brûlâme; Chevalière du Roi Joueur; Bouclier du Stalak; Ceinture Gence; Masque Brûlâme; Voile d'encre; Bottes Dogues; Dofus Ocre; Dofus Pourpre; Dofus des Glaces; Dofus Abyssal; Temporiseur majeur; Enragé majeur; Croum</t>
        </is>
      </c>
    </row>
    <row r="32644">
      <c r="A32644" t="inlineStr">
        <is>
          <t>Zobal M 200</t>
        </is>
      </c>
      <c r="B32644">
        <f>HYPERLINK("https://www.dofusbook.net/fr/equipement/3599237-zobal-m-200/objets", "link")</f>
        <v/>
      </c>
      <c r="C32644" t="n">
        <v>0</v>
      </c>
      <c r="D32644" t="inlineStr">
        <is>
          <t>Baguette de Malléfisk; Pendentif affamé; Anneauræus; Anneauræus; Carapar; Ceinture Séculaire; Masque d'Anerice; Cape d'Anerice; Bottes Honyme; Dofus Ocre; Dofus Abyssal; Dofus Émeraude; Guérisseur majeur; Érudit majeur; Carapace Feu majeur; Muldo Indigo et Orchidée</t>
        </is>
      </c>
    </row>
    <row r="32645">
      <c r="A32645" t="inlineStr">
        <is>
          <t>Osamodas M 200</t>
        </is>
      </c>
      <c r="B32645">
        <f>HYPERLINK("https://www.dofusbook.net/fr/equipement/3608677-osamodas-m-200/objets", "link")</f>
        <v/>
      </c>
      <c r="C32645" t="n">
        <v>0</v>
      </c>
      <c r="D32645" t="inlineStr">
        <is>
          <t>Lav'Hache; Amulette Héroclite; Pikano; Anneau de Brouce; Bouclier Bontarien; Ceinture Gence; Masque d'Anerice; Cape d'Anerice; Bottes Dogues; Dofus des Glaces; Dofus Abyssal; Dofus Ocre; Dofus Ivoire; Enragé majeur; Croum</t>
        </is>
      </c>
    </row>
    <row r="32646">
      <c r="A32646" t="inlineStr">
        <is>
          <t>Roublard M 200</t>
        </is>
      </c>
      <c r="B32646">
        <f>HYPERLINK("https://www.dofusbook.net/fr/equipement/3608641-roublard-m-200/objets", "link")</f>
        <v/>
      </c>
      <c r="C32646" t="n">
        <v>0</v>
      </c>
      <c r="D32646" t="inlineStr">
        <is>
          <t>Marteau des égarés; Amulette du Strigide; Bague Trithon; Anneau de Padgref; Goulclier; Ceinture du Strigide; Coiffe de Padgref; Chevelure de Tal Kasha; Getas de Padgref; Dofus Ocre; Dofus Ivoire; Dofus Pourpre; Dofus des Glaces; Dofus Turquoise; Dolmanax; Muldo Prune et Emeraude</t>
        </is>
      </c>
    </row>
    <row r="32647">
      <c r="A32647" t="inlineStr">
        <is>
          <t>terre-res</t>
        </is>
      </c>
      <c r="B32647">
        <f>HYPERLINK("https://www.dofusbook.net/fr/equipement/2705867-terre-res/objets", "link")</f>
        <v/>
      </c>
      <c r="C32647" t="n">
        <v>0</v>
      </c>
      <c r="D32647" t="inlineStr">
        <is>
          <t>Arc du Chalœil; Collier de Tourthon; Anneau de Brouce; Anneau Crustique; Bouclier du Stalak; Ceinture de Brouce; Masque de Koutoulou; Cape au Logis; Bottes Honyme; Dofus Pourpre; Dofus des Glaces; Dévastateur Terre majeur; Carapace Terre majeur; Carapace Eau majeur; Miraculé majeur; Muldo Pourpre</t>
        </is>
      </c>
    </row>
    <row r="32648">
      <c r="A32648" t="inlineStr">
        <is>
          <t>Pandawa M 200</t>
        </is>
      </c>
      <c r="B32648">
        <f>HYPERLINK("https://www.dofusbook.net/fr/equipement/3425505-pandawa-m-200/objets", "link")</f>
        <v/>
      </c>
      <c r="C32648" t="n">
        <v>2</v>
      </c>
      <c r="D32648" t="inlineStr">
        <is>
          <t>Hache Euvale; Amulette Luminescente; Alliance Gloursonne; Anneau Toriété; Bouclier Taverne; Ceinture Glaciale; Masque d'Anerice; Cape d'Anerice; Pataugastrique; Dofus Émeraude; Dofus Ocre; Culbuteur majeur; Carapace Eau majeur; Miraculé majeur; Bousculeur majeur; Dragodinde Indigo et Ivoire</t>
        </is>
      </c>
    </row>
    <row r="32649">
      <c r="A32649" t="inlineStr">
        <is>
          <t>Steamer M 200</t>
        </is>
      </c>
      <c r="B32649">
        <f>HYPERLINK("https://www.dofusbook.net/fr/equipement/3603144-steamer-m-200/objets", "link")</f>
        <v/>
      </c>
      <c r="C32649" t="n">
        <v>0</v>
      </c>
      <c r="D32649" t="inlineStr">
        <is>
          <t>Arc corrompu; Pendentif affamé; Anneauræus; Anneauræus; Bouclier du Stalak; Ceinture Séculaire; Masque d'Anerice; Cape d'Anerice; Bottes Innommables; Dofus Abyssal; Dofus Ocre; Dofus Ivoire; Miraculé majeur; Érudit majeur; Remueur; Muldo Orchidée</t>
        </is>
      </c>
    </row>
    <row r="32650">
      <c r="A32650" t="inlineStr">
        <is>
          <t>Xélor M 200</t>
        </is>
      </c>
      <c r="B32650">
        <f>HYPERLINK("https://www.dofusbook.net/fr/equipement/3599139-xelor-m-200/objets", "link")</f>
        <v/>
      </c>
      <c r="C32650" t="n">
        <v>0</v>
      </c>
      <c r="D32650" t="inlineStr">
        <is>
          <t>Arc corrompu; Anneau de Pol Ouatnos; Alliance Gloursonne; Sept ans de malheur; Menoture; Masque d'Anerice; Cape d'Anerice; Pataugastrique; Dofus Abyssal; Dofus Ivoire; Miraculé majeur; Étourdisseur majeur; Paralyseur majeur; Carapace Eau majeur; Croum</t>
        </is>
      </c>
    </row>
    <row r="32651">
      <c r="A32651" t="inlineStr">
        <is>
          <t>Sram M 200</t>
        </is>
      </c>
      <c r="B32651">
        <f>HYPERLINK("https://www.dofusbook.net/fr/equipement/3577474-sram-m-200/objets", "link")</f>
        <v/>
      </c>
      <c r="C32651" t="n">
        <v>0</v>
      </c>
      <c r="D32651" t="inlineStr">
        <is>
          <t>Arc Honte; Amulette de l'Œil Putride; Anneau Toriété; Alliance Gloursonne; Bouclier du Stalak; Ceinture de l'Esprit Salvateur; Capuche de l'Œil Putride; Cape de l'Œil Putride; Bottes de l'Esprit Salvateur; Dofus Émeraude; Dofus des Glaces; Dofus Pourpre; Dofus Abyssal; Dofus Ocre; Dofus Ivoire; Croum</t>
        </is>
      </c>
    </row>
    <row r="32652">
      <c r="A32652" t="inlineStr">
        <is>
          <t>Roublard M 200</t>
        </is>
      </c>
      <c r="B32652">
        <f>HYPERLINK("https://www.dofusbook.net/fr/equipement/3551611-roublard-m-200/objets", "link")</f>
        <v/>
      </c>
      <c r="C32652" t="n">
        <v>1</v>
      </c>
      <c r="D32652" t="inlineStr">
        <is>
          <t>Arc de Koutoulou; Amulette d'Ilyzaelle; Alliance Gloursonne; Anneau Volkorne; Bouclier du Stalak; Ceinture Volkorne; Casque d'Ilyzaelle; Voilamibe; Bottes Honyme; Dofus des Glaces; Dofus Pourpre; Dofus Ivoire; Dofus Abyssal; Dofus Ocre; Robuste majeur; Croum</t>
        </is>
      </c>
    </row>
    <row r="32653">
      <c r="A32653" t="inlineStr">
        <is>
          <t>panda final</t>
        </is>
      </c>
      <c r="B32653">
        <f>HYPERLINK("https://www.dofusbook.net/fr/equipement/3359118-panda-final/objets", "link")</f>
        <v/>
      </c>
      <c r="C32653" t="n">
        <v>3</v>
      </c>
      <c r="D32653" t="inlineStr">
        <is>
          <t>Arc du Chalœil; Amulette du Strigide; Anneau Crustique; Anneau Crustique; Bouclier du Stalak; Ceinture du Strigide; Masque de Koutoulou; Cape du Cœur Saignant; Bottes du Cœur Saignant; Dofus Émeraude; Dofus Pourpre; Dofus Vulbis; Dofus Ocre; Dofus Ivoire; Dofus Turquoise; Croum</t>
        </is>
      </c>
    </row>
    <row r="32654">
      <c r="A32654" t="inlineStr">
        <is>
          <t>Sram M 200</t>
        </is>
      </c>
      <c r="B32654">
        <f>HYPERLINK("https://www.dofusbook.net/fr/equipement/3572513-sram-m-200/objets", "link")</f>
        <v/>
      </c>
      <c r="C32654" t="n">
        <v>0</v>
      </c>
      <c r="D32654" t="inlineStr">
        <is>
          <t>Hache Ériphe; Amulette du Strigide; Anneau Toriété; Alliance Brûlâme; Bouclier Taverne; Ceintacé; Masque Brûlâme; Voile d'encre; Bottes du Strigide; Dofus Émeraude; Dofus Ocre; Dofus Turquoise; Dofus Ivoire; Dofus Abyssal; Dofus Pourpre; Croum</t>
        </is>
      </c>
    </row>
    <row r="32655">
      <c r="A32655" t="inlineStr">
        <is>
          <t>Ecaflip M 200</t>
        </is>
      </c>
      <c r="B32655">
        <f>HYPERLINK("https://www.dofusbook.net/fr/equipement/3410488-ecaflip-m-200/objets", "link")</f>
        <v/>
      </c>
      <c r="C32655" t="n">
        <v>1</v>
      </c>
      <c r="D32655" t="inlineStr">
        <is>
          <t>Arc Honte; Amulette du Strigide; Alliance Gloursonne; Anneau Volkorne; Bouclier du Stalak; Ceintacé; Casque Volkorne; Chevelure de Tal Kasha; Pataugastrique; Dofus Pourpre; Dofus Turquoise; Dofus des Glaces; Robuste majeur; Nomade; Vigoureux majeur; Godron Bontarien</t>
        </is>
      </c>
    </row>
    <row r="32656">
      <c r="A32656" t="inlineStr">
        <is>
          <t>Ecaflip M 200</t>
        </is>
      </c>
      <c r="B32656">
        <f>HYPERLINK("https://www.dofusbook.net/fr/equipement/3557155-ecaflip-m-200/objets", "link")</f>
        <v/>
      </c>
      <c r="C32656" t="n">
        <v>3</v>
      </c>
      <c r="D32656" t="inlineStr">
        <is>
          <t>Arc du Chalœil; Amulette du Cœur Vaillant; Anneau Toriété; Bague Trithon; Bouclier Taverne; Ceinture Gence; Masque Trithon; Cape du Cœur Vaillant; Bottes du Cœur Vaillant; Dofus Émeraude; Dofus Pourpre; Dofus Abyssal; Dofus Turquoise; Dofus Ivoire; Bousculeur majeur; Croum</t>
        </is>
      </c>
    </row>
    <row r="32657">
      <c r="A32657" t="inlineStr">
        <is>
          <t>roub eau</t>
        </is>
      </c>
      <c r="B32657">
        <f>HYPERLINK("https://www.dofusbook.net/fr/equipement/2706154-roub-eau/objets", "link")</f>
        <v/>
      </c>
      <c r="C32657" t="n">
        <v>3</v>
      </c>
      <c r="D32657" t="inlineStr">
        <is>
          <t>Arc de Koutoulou; Amulette du Strigide; Bague Trithon; Bouclier du Stalak; Masque Trithon; Dofus Abyssal; Dofus des Glaces; Dofus Turquoise; Dofus Ocre; Dofus Pourpre; Dofus Ivoire; Croum</t>
        </is>
      </c>
    </row>
    <row r="32658">
      <c r="A32658" t="inlineStr">
        <is>
          <t>éni final</t>
        </is>
      </c>
      <c r="B32658">
        <f>HYPERLINK("https://www.dofusbook.net/fr/equipement/3359219-eni-final/objets", "link")</f>
        <v/>
      </c>
      <c r="C32658" t="n">
        <v>0</v>
      </c>
      <c r="D32658" t="inlineStr">
        <is>
          <t>Arc corrompu; Pendentif affamé; Anneau Toriété; Anneau Tique; Bouclier du Stalak; Voile d'encre; Pataugastrique; Dofus Ivoire; Dofus Ocre; Dofus Turquoise; Dofus Pourpre; Carapace Feu majeur; Érudit majeur; Dragodinde Orchidée et Rousse</t>
        </is>
      </c>
    </row>
    <row r="32659">
      <c r="A32659" t="inlineStr">
        <is>
          <t>Ecaflip M 200</t>
        </is>
      </c>
      <c r="B32659">
        <f>HYPERLINK("https://www.dofusbook.net/fr/equipement/3550545-ecaflip-m-200/objets", "link")</f>
        <v/>
      </c>
      <c r="C32659" t="n">
        <v>0</v>
      </c>
      <c r="D32659" t="inlineStr">
        <is>
          <t>Sceptre du Roi Joueur; Anneau Toriété; Alliance Gloursonne; Bouclier du Stalak; Poulpagne; Kidibonnet; Cape du Sinistrofu; Bottes du Sinistrofu</t>
        </is>
      </c>
    </row>
    <row r="32660">
      <c r="A32660" t="inlineStr">
        <is>
          <t>Eniripsa M 200</t>
        </is>
      </c>
      <c r="B32660">
        <f>HYPERLINK("https://www.dofusbook.net/fr/equipement/3531506-eniripsa-m-200/objets", "link")</f>
        <v/>
      </c>
      <c r="C32660" t="n">
        <v>0</v>
      </c>
      <c r="D32660" t="inlineStr">
        <is>
          <t>Arc corrompu; Pendentif affamé; Anneau Tique; Anneauræus; Bouclier du Stalak; Ceinture de Vortex; Heaume Oplate; Cape Ardente; Chaussures Ardentes; Dofus Pourpre; Dofus Ocre; Dofus Ivoire; Carapace Feu majeur; Érudit majeur; Étourdisseur majeur; Muldo Orchidée</t>
        </is>
      </c>
    </row>
    <row r="32661">
      <c r="A32661" t="inlineStr">
        <is>
          <t>Eniripsa M 200</t>
        </is>
      </c>
      <c r="B32661">
        <f>HYPERLINK("https://www.dofusbook.net/fr/equipement/3410244-eniripsa-m-200/objets", "link")</f>
        <v/>
      </c>
      <c r="C32661" t="n">
        <v>1</v>
      </c>
      <c r="D32661" t="inlineStr">
        <is>
          <t>Arc corrompu; Pendentif affamé; Anneau Toriété; Anneau Tique; Carapar; Ceinture de Vortex; Heaume Oplate; Cape Ardente; Chaussures Ardentes; Dofus Pourpre; Dofus Ocre; Dofus Ivoire; Érudit majeur; Étourdisseur majeur; Miraculé majeur; Croum</t>
        </is>
      </c>
    </row>
    <row r="32662">
      <c r="A32662" t="inlineStr">
        <is>
          <t>brouce</t>
        </is>
      </c>
      <c r="B32662">
        <f>HYPERLINK("https://www.dofusbook.net/fr/equipement/3406872-brouce/objets", "link")</f>
        <v/>
      </c>
      <c r="C32662" t="n">
        <v>2</v>
      </c>
      <c r="D32662" t="inlineStr">
        <is>
          <t>Arc du Chalœil; Amulette du Cœur Saignant; Anneau de Brouce; Anneau Crustique; Bouclier du Stalak; Ceinture de la Reine des Voleurs; Coiffe de la Reine des Voleurs; Cape du Cœur Saignant; Bottes du Cœur Saignant; Dofus Ivoire; Dofus Pourpre; Dofus des Glaces</t>
        </is>
      </c>
    </row>
    <row r="32663">
      <c r="A32663" t="inlineStr">
        <is>
          <t>Steamer M 200</t>
        </is>
      </c>
      <c r="B32663">
        <f>HYPERLINK("https://www.dofusbook.net/fr/equipement/3507454-steamer-m-200/objets", "link")</f>
        <v/>
      </c>
      <c r="C32663" t="n">
        <v>0</v>
      </c>
      <c r="D32663" t="inlineStr">
        <is>
          <t>Bottes Innommables</t>
        </is>
      </c>
    </row>
    <row r="32664">
      <c r="A32664" t="inlineStr">
        <is>
          <t>Roublard M 200</t>
        </is>
      </c>
      <c r="B32664">
        <f>HYPERLINK("https://www.dofusbook.net/fr/equipement/3431963-roublard-m-200/objets", "link")</f>
        <v/>
      </c>
      <c r="C32664" t="n">
        <v>0</v>
      </c>
      <c r="D32664" t="inlineStr">
        <is>
          <t>Arc du Chalœil; Amulette Luminescente; Alliance Gloursonne; Anneau Toriété; Bouclier précieux; Ceinture Glaciale; Masque d'Anerice; Cape d'Anerice; Pataugastrique; Dofus Ivoire; Dofus Abyssal; Dofus Émeraude; Miraculé majeur; Culbuteur majeur; Bousculeur majeur; Volkorne Roux</t>
        </is>
      </c>
    </row>
    <row r="32665">
      <c r="A32665" t="inlineStr">
        <is>
          <t>roub air esq pa</t>
        </is>
      </c>
      <c r="B32665">
        <f>HYPERLINK("https://www.dofusbook.net/fr/equipement/2287103-roub-air-esq-pa/objets", "link")</f>
        <v/>
      </c>
      <c r="C32665" t="n">
        <v>0</v>
      </c>
      <c r="D32665" t="inlineStr">
        <is>
          <t>Arc Honte; Collier du Valet Veinard; Gant du Valet Veinard; Alliance Gloursonne; Bouclier du Stalak; Capuche de l'Œil Putride; Cape de l'Œil Putride; Pantoufles Émar; Dofus Pourpre; Dolmanax; Dofus des Glaces; Dofus Ivoire; Dofus Ocre; Entraveur majeur; Muldo Ebène et Pourpre</t>
        </is>
      </c>
    </row>
    <row r="32666">
      <c r="A32666" t="inlineStr">
        <is>
          <t>Pandawa M 200</t>
        </is>
      </c>
      <c r="B32666">
        <f>HYPERLINK("https://www.dofusbook.net/fr/equipement/3488519-pandawa-m-200/objets", "link")</f>
        <v/>
      </c>
      <c r="C32666" t="n">
        <v>2</v>
      </c>
      <c r="D32666" t="inlineStr">
        <is>
          <t>Arc Honte; Amulette Volkorne; Anneau Volkorne; Alliance Gloursonne; Bouclier du Stalak; Ceinture Luthe; Capuche de l'Œil Putride; Cape de l'Œil Putride; Pataugastrique; Dofus Ivoire; Dofus Pourpre; Dofus des Glaces; Dofus Ocre; Dolmanax; Entraveur majeur; Muldo Pourpre</t>
        </is>
      </c>
    </row>
    <row r="32667">
      <c r="A32667" t="inlineStr">
        <is>
          <t>zob do pou pvp</t>
        </is>
      </c>
      <c r="B32667">
        <f>HYPERLINK("https://www.dofusbook.net/fr/equipement/2706066-zob-do-pou-pvp/objets", "link")</f>
        <v/>
      </c>
      <c r="C32667" t="n">
        <v>1</v>
      </c>
      <c r="D32667" t="inlineStr"/>
    </row>
    <row r="32668">
      <c r="A32668" t="inlineStr">
        <is>
          <t>Zobal M 200</t>
        </is>
      </c>
      <c r="B32668">
        <f>HYPERLINK("https://www.dofusbook.net/fr/equipement/3439519-zobal-m-200/objets", "link")</f>
        <v/>
      </c>
      <c r="C32668" t="n">
        <v>0</v>
      </c>
      <c r="D32668" t="inlineStr">
        <is>
          <t>Arc Honte; Amulette Ementaire Deluxe; Anneau Toriété; Alliance Gloursonne; Bouclier du Stalak; Ceinture de l'Esprit Salvateur; Capuche de l'Œil Putride; Cape de l'Œil Putride; Pataugastrique; Dofus des Glaces; Dofus Pourpre; Dofus Ivoire; Miraculé majeur; Entraveur majeur; Temporiseur majeur; Volkorne Jade et Turquoise</t>
        </is>
      </c>
    </row>
    <row r="32669">
      <c r="A32669" t="inlineStr">
        <is>
          <t>Eniripsa M 200</t>
        </is>
      </c>
      <c r="B32669">
        <f>HYPERLINK("https://www.dofusbook.net/fr/equipement/3463843-eniripsa-m-200/objets", "link")</f>
        <v/>
      </c>
      <c r="C32669" t="n">
        <v>0</v>
      </c>
      <c r="D32669" t="inlineStr">
        <is>
          <t>Arc corrompu; Amulette Volkorne; Anneau Tique; Anneau Volkorne; Bouclier du Mont Kipou; Ceinture de Vortex; Masque Ardent; Cape Ardente; Chaussures Ardentes; Dofus Pourpre; Dofus Ivoire; Dofus Émeraude; Dofus Ocre; Dofus Vulbis; Dofus Abyssal; Volkorne Jade et Ivoire</t>
        </is>
      </c>
    </row>
    <row r="32670">
      <c r="A32670" t="inlineStr">
        <is>
          <t>Roublard M 200</t>
        </is>
      </c>
      <c r="B32670">
        <f>HYPERLINK("https://www.dofusbook.net/fr/equipement/3469172-roublard-m-200/objets", "link")</f>
        <v/>
      </c>
      <c r="C32670" t="n">
        <v>0</v>
      </c>
      <c r="D32670" t="inlineStr">
        <is>
          <t>Arc du Chalœil; Collier de Tourthon; Anneau de Brouce; Anneau Crustique; Bouclier du Stalak; Ceinture de la Reine des Voleurs; Coiffe de la Reine des Voleurs; Voilamibe; Baleinabottes; Dofus Pourpre; Dofus des Glaces; Forcené majeur; Dévastateur Terre majeur; Saccageur Terre majeur; Enragé majeur; Dragodinde Ivoire et Pourpre</t>
        </is>
      </c>
    </row>
    <row r="32671">
      <c r="A32671" t="inlineStr">
        <is>
          <t>terre-rox-pvp</t>
        </is>
      </c>
      <c r="B32671">
        <f>HYPERLINK("https://www.dofusbook.net/fr/equipement/3406808-terre-rox-pvp/objets", "link")</f>
        <v/>
      </c>
      <c r="C32671" t="n">
        <v>1</v>
      </c>
      <c r="D32671" t="inlineStr">
        <is>
          <t>Arc Honte; Amulette Volkorne; Alliance Gloursonne; Anneau Volkorne; Bouclier du Stalak; Ceinture de l'Esprit Salvateur; Casque Volkorne; Cape Martegel; Bottes de l'Esprit Salvateur; Dofus des Glaces; Dofus Pourpre; Dofus Abyssal; Dofus Ocre; Dofus Ivoire; Dofus Vulbis; Volkorne Jade et Turquoise</t>
        </is>
      </c>
    </row>
    <row r="32672">
      <c r="A32672" t="inlineStr">
        <is>
          <t>Roublard M 200</t>
        </is>
      </c>
      <c r="B32672">
        <f>HYPERLINK("https://www.dofusbook.net/fr/equipement/3431799-roublard-m-200/objets", "link")</f>
        <v/>
      </c>
      <c r="C32672" t="n">
        <v>0</v>
      </c>
      <c r="D32672" t="inlineStr">
        <is>
          <t>Arc du Chalœil; Collier de Tourthon; Bracelet du Piloztère; Anneau de Brouce; Bouclier du Stalak; Ceinture Gence; Masque d'Anerice; Cape d'Anerice; Bottes de la Cour Sombre; Dofus des Glaces; Dofus Ivoire; Dofus Pourpre; Remueur; Miraculé majeur; Enragé majeur; Muldo Pourpre</t>
        </is>
      </c>
    </row>
    <row r="32673">
      <c r="A32673" t="inlineStr">
        <is>
          <t>Osamodas M 200</t>
        </is>
      </c>
      <c r="B32673">
        <f>HYPERLINK("https://www.dofusbook.net/fr/equipement/3427925-osamodas-m-200/objets", "link")</f>
        <v/>
      </c>
      <c r="C32673" t="n">
        <v>1</v>
      </c>
      <c r="D32673" t="inlineStr">
        <is>
          <t>Lav'Hache; Collier de Tourthon; Anneau Crustique; Anneau de Brouce; Bouclier d'Anerice; Ceinture Gence; Masque de Koutoulou; Cape d'Anerice; Bottes Dogues; Dofus Émeraude; Dofus Ivoire; Dofus des Glaces; Dofus Abyssal; Miraculé majeur; Enragé majeur; Boune Poisseux</t>
        </is>
      </c>
    </row>
    <row r="32674">
      <c r="A32674" t="inlineStr">
        <is>
          <t>Sadida M 200</t>
        </is>
      </c>
      <c r="B32674">
        <f>HYPERLINK("https://www.dofusbook.net/fr/equipement/3411344-sadida-m-200/objets", "link")</f>
        <v/>
      </c>
      <c r="C32674" t="n">
        <v>0</v>
      </c>
      <c r="D32674" t="inlineStr">
        <is>
          <t>Dagues Érhy; Amulette Volcanique; Anneau de Padgref; Alliance Gloursonne; Ceinture Séculaire; Coiffe Séculaire; Voile d'encre; Pataugastrique</t>
        </is>
      </c>
    </row>
    <row r="32675">
      <c r="A32675" t="inlineStr">
        <is>
          <t>énu multi - ret</t>
        </is>
      </c>
      <c r="B32675">
        <f>HYPERLINK("https://www.dofusbook.net/fr/equipement/3336359-enu-multi---ret/objets", "link")</f>
        <v/>
      </c>
      <c r="C32675" t="n">
        <v>0</v>
      </c>
      <c r="D32675" t="inlineStr">
        <is>
          <t>Arc Honte; Amulette de Pol Ouatnos; Lavanneau; Alliance Gloursonne; Bouclier du Stalak; Menoture; Capuche de l'Œil Putride; Cape de l'Œil Putride; Pataugastrique; Dofus Ivoire; Dofus des Glaces; Dofus Pourpre; Dolmanax; Étourdisseur majeur; Temporiseur majeur; Kramkram</t>
        </is>
      </c>
    </row>
    <row r="32676">
      <c r="A32676" t="inlineStr">
        <is>
          <t>roub esq pa</t>
        </is>
      </c>
      <c r="B32676">
        <f>HYPERLINK("https://www.dofusbook.net/fr/equipement/2412594-roub-esq-pa/objets", "link")</f>
        <v/>
      </c>
      <c r="C32676" t="n">
        <v>0</v>
      </c>
      <c r="D32676" t="inlineStr">
        <is>
          <t>Baguette Héroclite; Amulette de Shokkoth; Alliance Gloursonne; Bracelet des Fonds marins; Bouclier du Stalak; Poulpagne; Capuche de l'Œil Attentif; Cape de l'Œil Attentif; Bottes du Sinistrofu; Dofus Ivoire; Dofus des Glaces; Dofus Abyssal; Dofus Pourpre; Évasif majeur; Remueur; Muldo Indigo et Ivoire</t>
        </is>
      </c>
    </row>
    <row r="32677">
      <c r="A32677" t="inlineStr">
        <is>
          <t>Eca terre do pou</t>
        </is>
      </c>
      <c r="B32677">
        <f>HYPERLINK("https://www.dofusbook.net/fr/equipement/2736779-eca-terre-do-pou/objets", "link")</f>
        <v/>
      </c>
      <c r="C32677" t="n">
        <v>0</v>
      </c>
      <c r="D32677" t="inlineStr">
        <is>
          <t>Héqache; Amulette du Cœur Vaillant; Alliance Gloursonne; Bague Trithon; Bouclier Taverne; Ceinture Gence; Masque Trithon; Cape du Cœur Vaillant; Bottes du Cœur Vaillant; Dofus Turquoise; Dofus Pourpre; Dofus Ivoire; Dofus Émeraude; Dofus Abyssal; Bousculeur majeur; Muldo Ebène et Pourpre</t>
        </is>
      </c>
    </row>
    <row r="32678">
      <c r="A32678" t="inlineStr">
        <is>
          <t>sacri final</t>
        </is>
      </c>
      <c r="B32678">
        <f>HYPERLINK("https://www.dofusbook.net/fr/equipement/3359080-sacri-final/objets", "link")</f>
        <v/>
      </c>
      <c r="C32678" t="n">
        <v>0</v>
      </c>
      <c r="D32678" t="inlineStr">
        <is>
          <t>Pyraguette; Amulette de l'Œil Putride; Lavanneau; Lavanneau; Bouclier du Stalak; Ceinture de l'Esprit Salvateur; Capuche de l'Œil Putride; Cape Solution; Pataugastrique; Dofus Pourpre; Remueur; Vigoureux majeur; Chanceux majeur; Nomade; Robuste majeur; Kramkram</t>
        </is>
      </c>
    </row>
    <row r="32679">
      <c r="A32679" t="inlineStr">
        <is>
          <t>Tank</t>
        </is>
      </c>
      <c r="B32679">
        <f>HYPERLINK("https://www.dofusbook.net/fr/equipement/5078912-tank/objets", "link")</f>
        <v/>
      </c>
      <c r="C32679" t="n">
        <v>3</v>
      </c>
      <c r="D32679" t="inlineStr">
        <is>
          <t>Crocobur; Amulette Volkorne; Bague Gloursonne; Alliance Gloursonne; Trompe-la-Mort; Ceinture Volkorne; Casque Volkorne; Cape d'Atcham; Sandales  d'Atcham; Dofus Pourpre; Dofus Ivoire; Dofus Vulbis; Dofus Turquoise; Dofus des Glaces; Dofus Ocre; Fëanor</t>
        </is>
      </c>
    </row>
    <row r="32680">
      <c r="A32680" t="inlineStr">
        <is>
          <t>Iop M 200</t>
        </is>
      </c>
      <c r="B32680">
        <f>HYPERLINK("https://www.dofusbook.net/fr/equipement/5989123-iop-m-200/objets", "link")</f>
        <v/>
      </c>
      <c r="C32680" t="n">
        <v>0</v>
      </c>
      <c r="D32680" t="inlineStr">
        <is>
          <t>Arc corrompu; Amulette Séculaire; Anneauræus; Anneau de Padgref; Quatre-feuilles; Ceinture Séculaire; Heaume Oplate; Cape de Meno; Bottes de la Dame du Hasard; Dofus Ivoire; Dofus Ébène; Dofus Vulbis; Dofus Turquoise; Dofus Nébuleux; Dofus Ocre; Dragodinde Ivoire et Orchidée</t>
        </is>
      </c>
    </row>
    <row r="32681">
      <c r="A32681" t="inlineStr">
        <is>
          <t>Sacrieur M 200</t>
        </is>
      </c>
      <c r="B32681">
        <f>HYPERLINK("https://www.dofusbook.net/fr/equipement/5930728-sacrieur-m-200/objets", "link")</f>
        <v/>
      </c>
      <c r="C32681" t="n">
        <v>0</v>
      </c>
      <c r="D32681" t="inlineStr">
        <is>
          <t>Arc corrompu; Pendentif affamé; Anneauræus; Anneauræus; Quatre-feuilles; Ceinture Séculaire; Coiffe Séculaire; Cape de Diondin; Bottes Innommables; Dofus Pourpre; Dofus Ébène; Dofus Ocre; Dofus Vulbis; Dofus Nébuleux; Érudit majeur; Bisouglours</t>
        </is>
      </c>
    </row>
    <row r="32682">
      <c r="A32682" t="inlineStr">
        <is>
          <t>Enutrof M 200</t>
        </is>
      </c>
      <c r="B32682">
        <f>HYPERLINK("https://www.dofusbook.net/fr/equipement/5927058-enutrof-m-200/objets", "link")</f>
        <v/>
      </c>
      <c r="C32682" t="n">
        <v>0</v>
      </c>
      <c r="D32682" t="inlineStr">
        <is>
          <t>Sabres d'Atcham; Amulette du Strigide; Bracelet du Piloztère; Anneau de Padgref; Quatre-feuilles; Ceinture du Strigide; Coiffe de Padgref; Cape d'Atcham; Sandales  d'Atcham; Dofus Vulbis; Dofus Nébuleux; Dofus Ivoire; Dofus Turquoise; Dofus Ébène; Dofus Ocre; Dragodinde en armure</t>
        </is>
      </c>
    </row>
    <row r="32683">
      <c r="A32683" t="inlineStr">
        <is>
          <t>Sadida F 200</t>
        </is>
      </c>
      <c r="B32683">
        <f>HYPERLINK("https://www.dofusbook.net/fr/equipement/5880057-sadida-f-200/objets", "link")</f>
        <v/>
      </c>
      <c r="C32683" t="n">
        <v>0</v>
      </c>
      <c r="D32683" t="inlineStr">
        <is>
          <t>Arc du Chalœil; Amulette du Strigide; Alliance de Missiz Frizz; Anneau de Brouce; Quatre-feuilles; Ceinture de Brouce; Casque de Missiz Frizz; Cape au Logis; Bottes de Brouce; Dofus Nébuleux; Dofus Turquoise; Dofus Ébène; Dofus Ocre; Dofus Pourpre; Examinateur; Pioute vert</t>
        </is>
      </c>
    </row>
    <row r="32684">
      <c r="A32684" t="inlineStr">
        <is>
          <t>Sadida M 200</t>
        </is>
      </c>
      <c r="B32684">
        <f>HYPERLINK("https://www.dofusbook.net/fr/equipement/5873310-sadida-m-200/objets", "link")</f>
        <v/>
      </c>
      <c r="C32684" t="n">
        <v>2</v>
      </c>
      <c r="D32684" t="inlineStr">
        <is>
          <t>Arc du Chalœil; Kralamansion; Anneau de Brouce; Crocanneau; Quatre-feuilles; Ceinture de Brouce; Masque de Koutoulou; Cape au Logis; Bottes de la Cour Sombre; Dofus Pourpre; Dofus Turquoise; Nomade; Vigoureux majeur; Remueur; Enragé majeur; Dragodinde Dorée</t>
        </is>
      </c>
    </row>
    <row r="32685">
      <c r="A32685" t="inlineStr">
        <is>
          <t>Ecaflip M 200</t>
        </is>
      </c>
      <c r="B32685">
        <f>HYPERLINK("https://www.dofusbook.net/fr/equipement/5822350-ecaflip-m-200/objets", "link")</f>
        <v/>
      </c>
      <c r="C32685" t="n">
        <v>0</v>
      </c>
      <c r="D32685" t="inlineStr"/>
    </row>
    <row r="32686">
      <c r="A32686" t="inlineStr">
        <is>
          <t>Eliotrope M 200</t>
        </is>
      </c>
      <c r="B32686">
        <f>HYPERLINK("https://www.dofusbook.net/fr/equipement/4734414-eliotrope-m-200/objets", "link")</f>
        <v/>
      </c>
      <c r="C32686" t="n">
        <v>0</v>
      </c>
      <c r="D32686" t="inlineStr">
        <is>
          <t>Arc du Chalœil; Amulette du Strigide; Anneau Crustique; Bracelet du Piloztère; Quatre-feuilles; Ceinture du Strigide; Masque de Koutoulou; Cape au Logis; Bottes de la Cour Sombre; Dofus Nébuleux; Dofus Turquoise; Dofus Pourpre; Dofus Ocre; Dofus Ébène; Enragé majeur; Pioute vert</t>
        </is>
      </c>
    </row>
    <row r="32687">
      <c r="A32687" t="inlineStr">
        <is>
          <t>Crâ M 200</t>
        </is>
      </c>
      <c r="B32687">
        <f>HYPERLINK("https://www.dofusbook.net/fr/equipement/5813012-cra-m-200/objets", "link")</f>
        <v/>
      </c>
      <c r="C32687" t="n">
        <v>0</v>
      </c>
      <c r="D32687" t="inlineStr">
        <is>
          <t>Baguette de Torkélonia; Amulette du Strigide; Anneau des égarés; Bracelet du Piloztère; Quatre-feuilles; Ceinture du Strigide; Casque des égarés; Carapace de Torkélonia; Bottes du Strigide; Dofus Nébuleux; Dofus Turquoise; Dofus Ébène; Dofus Ocre; Dofus Vulbis; Dofus Pourpre; Sakochère</t>
        </is>
      </c>
    </row>
    <row r="32688">
      <c r="A32688" t="inlineStr">
        <is>
          <t>Crâ M 200</t>
        </is>
      </c>
      <c r="B32688">
        <f>HYPERLINK("https://www.dofusbook.net/fr/equipement/5811047-cra-m-200/objets", "link")</f>
        <v/>
      </c>
      <c r="C32688" t="n">
        <v>0</v>
      </c>
      <c r="D32688" t="inlineStr">
        <is>
          <t>Arc Volkorne; Amulette du Strigide; Crocanneau; Bracelet du Piloztère; Quatre-feuilles; Ceinture du Strigide; Le Dorado; Voilamibe; Bottes du Chalœil; Dofus Nébuleux; Dofus Vulbis; Dofus Pourpre; Dofus Turquoise; Remueur; Vigoureux majeur; Kokulte</t>
        </is>
      </c>
    </row>
    <row r="32689">
      <c r="A32689" t="inlineStr">
        <is>
          <t>Féca M 200</t>
        </is>
      </c>
      <c r="B32689">
        <f>HYPERLINK("https://www.dofusbook.net/fr/equipement/4807243-feca-m-200/objets", "link")</f>
        <v/>
      </c>
      <c r="C32689" t="n">
        <v>0</v>
      </c>
      <c r="D32689" t="inlineStr">
        <is>
          <t>Arc corrompu; Amulette Séculaire; Anneauræus; Anneauræus; Bouclier du Stalak; Ceinture Séculaire; Heaume Oplate; Cape de la Dame du Hasard; Bottes Innommables; Dofus Ébène; Dofus Abyssal; Dofus Ocre; Dofus Ivoire; Érudit majeur; Nomade; Dragodinde Ivoire et Orchidée</t>
        </is>
      </c>
    </row>
    <row r="32690">
      <c r="A32690" t="inlineStr">
        <is>
          <t>Sadida M 200</t>
        </is>
      </c>
      <c r="B32690">
        <f>HYPERLINK("https://www.dofusbook.net/fr/equipement/4741833-sadida-m-200/objets", "link")</f>
        <v/>
      </c>
      <c r="C32690" t="n">
        <v>0</v>
      </c>
      <c r="D32690" t="inlineStr">
        <is>
          <t>Arc du Chalœil; Amulette du Strigide; Anneau de Brouce; Bracelet du Piloztère; Quatre-feuilles; Ceinture Volkorne; Masque de Koutoulou; Cape au Logis; Bottes de Brouce; Dofus Pourpre; Dofus Ivoire; Dofus Turquoise; Dofus Ébène; Dofus Ocre; Enragé majeur; Dragodinde Ivoire et Pourpre</t>
        </is>
      </c>
    </row>
    <row r="32691">
      <c r="A32691" t="inlineStr">
        <is>
          <t>Huppermage M 200</t>
        </is>
      </c>
      <c r="B32691">
        <f>HYPERLINK("https://www.dofusbook.net/fr/equipement/4717042-huppermage-m-200/objets", "link")</f>
        <v/>
      </c>
      <c r="C32691" t="n">
        <v>0</v>
      </c>
      <c r="D32691" t="inlineStr">
        <is>
          <t>Plume de Buhorado; Collier du Valet Veinard; Alliance Gloursonne; Gant du Valet Veinard; Bouclier du Stalak; Menoture; Casque Dragoeuf; Cape Indescriptible; Palmes Trithons; Dofus Ivoire; Dofus Pourpre; Dofus Abyssal; Dofus Ocre; Dofus Ébène; Cascadeur majeur; Dragodinde Ebène et Ivoire</t>
        </is>
      </c>
    </row>
    <row r="32692">
      <c r="A32692" t="inlineStr">
        <is>
          <t>Eliotrope M 200</t>
        </is>
      </c>
      <c r="B32692">
        <f>HYPERLINK("https://www.dofusbook.net/fr/equipement/4733676-eliotrope-m-200/objets", "link")</f>
        <v/>
      </c>
      <c r="C32692" t="n">
        <v>0</v>
      </c>
      <c r="D32692" t="inlineStr">
        <is>
          <t>Plume de Buhorado; Collier du Valet Veinard; Gant du Valet Veinard; Alliance Gloursonne; Bouclier du Stalak; Menoture; Couronne d'Allister; Cape Indescriptible; Palmes Trithons; Dofus Ébène; Dofus Pourpre; Dofus Abyssal; Dofus Ocre; Cascadeur majeur; Vigoureux majeur; Blérodoudou</t>
        </is>
      </c>
    </row>
    <row r="32693">
      <c r="A32693" t="inlineStr">
        <is>
          <t>Crâ M 200</t>
        </is>
      </c>
      <c r="B32693">
        <f>HYPERLINK("https://www.dofusbook.net/fr/equipement/4692302-cra-m-200/objets", "link")</f>
        <v/>
      </c>
      <c r="C32693" t="n">
        <v>0</v>
      </c>
      <c r="D32693" t="inlineStr">
        <is>
          <t>Plume de Buhorado; Collier du Valet Veinard; Gant du Valet Veinard; Alliance Gloursonne; Bouclier du Stalak; Menoture; Casque Dragoeuf; Cape Indescriptible; Palmes Trithons; Dofus Ébène; Dofus Nébuleux; Dofus Pourpre; Dofus Ivoire; Dofus Ocre; Cascadeur majeur; Dragodinde Ebène et Ivoire</t>
        </is>
      </c>
    </row>
    <row r="32694">
      <c r="A32694" t="inlineStr">
        <is>
          <t>Eniripsa F 200</t>
        </is>
      </c>
      <c r="B32694">
        <f>HYPERLINK("https://www.dofusbook.net/fr/equipement/4669865-eniripsa-f-200/objets", "link")</f>
        <v/>
      </c>
      <c r="C32694" t="n">
        <v>0</v>
      </c>
      <c r="D32694" t="inlineStr">
        <is>
          <t>Arc du Chalœil; Amulette du Strigide; Anneau Chevelu; Bracelet du Piloztère; Quatre-feuilles; Ceinture du Strigide; Masque de Koutoulou; Cape au Logis; Bottes du Cœur Saignant; Dofus Ébène; Dofus Turquoise; Dofus Ivoire; Dofus Ocre; Dofus Pourpre; Enragé majeur; Dragodinde Ivoire et Pourpre</t>
        </is>
      </c>
    </row>
    <row r="32695">
      <c r="A32695" t="inlineStr">
        <is>
          <t>Ecaflip M 200</t>
        </is>
      </c>
      <c r="B32695">
        <f>HYPERLINK("https://www.dofusbook.net/fr/equipement/4664854-ecaflip-m-200/objets", "link")</f>
        <v/>
      </c>
      <c r="C32695" t="n">
        <v>0</v>
      </c>
      <c r="D32695" t="inlineStr">
        <is>
          <t>Pyraguette; Amulette de Shokkoth; Bracelet des Fonds marins; Alliance Gloursonne; Bouclier du Stalak; Pagne du Rykaon; Masque de Funespadon; Cape Solution; Sandales des Fonds marins; Dofus Ivoire; Dofus Ébène; Dofus Pourpre; Dofus Ocre; Chanceux majeur; Nomade; Pioute bleu</t>
        </is>
      </c>
    </row>
    <row r="32696">
      <c r="A32696" t="inlineStr">
        <is>
          <t>Roublard F 200</t>
        </is>
      </c>
      <c r="B32696">
        <f>HYPERLINK("https://www.dofusbook.net/fr/equipement/5738783-roublard-f-200/objets", "link")</f>
        <v/>
      </c>
      <c r="C32696" t="n">
        <v>1</v>
      </c>
      <c r="D32696" t="inlineStr">
        <is>
          <t>Hachoirs de Viandargh; Amulette de Nevark; Anneau d'Allister; Cadran d'Air; Ceinture de Nevark; Couronne d'Allister; Cape de Nevark; Bottes d'Allister; Dofus Pourpre; Dofus des Glaces; Acrobate majeur; Saccageur Air majeur; Blérodoudou</t>
        </is>
      </c>
    </row>
    <row r="32697">
      <c r="A32697" t="inlineStr">
        <is>
          <t>Roublard F 200</t>
        </is>
      </c>
      <c r="B32697">
        <f>HYPERLINK("https://www.dofusbook.net/fr/equipement/5785417-roublard-f-200/objets", "link")</f>
        <v/>
      </c>
      <c r="C32697" t="n">
        <v>0</v>
      </c>
      <c r="D32697" t="inlineStr">
        <is>
          <t>Dagoulinantes; Amulette de Shokkoth; Anneau Volkorne; Alliance Gloursonne; Culotte de Bethel; Kidibonnet; Cape Solution; Chaussons de Macrab; Dofus Ivoire; Dofus Abyssal; Dofus Ébène; Étourdisseur majeur; Koalak Sanguin</t>
        </is>
      </c>
    </row>
    <row r="32698">
      <c r="A32698" t="inlineStr">
        <is>
          <t>Roublard F 200</t>
        </is>
      </c>
      <c r="B32698">
        <f>HYPERLINK("https://www.dofusbook.net/fr/equipement/3534562-roublard-f-200/objets", "link")</f>
        <v/>
      </c>
      <c r="C32698" t="n">
        <v>1</v>
      </c>
      <c r="D32698" t="inlineStr">
        <is>
          <t>Arc du Chalœil; Collier de Tourthon; Anneau de Brouce; Bracelet du Piloztère; Bouclier du Stalak; Ceinture de la Reine des Voleurs; Coiffe de la Reine des Voleurs; Cape au Logis; Baleinabottes; Dofus Ébène; Dofus Ivoire; Dofus Abyssal; Dofus des Glaces; Dofus Pourpre; Dofus Ocre; Bulbisou</t>
        </is>
      </c>
    </row>
    <row r="32699">
      <c r="A32699" t="inlineStr">
        <is>
          <t>Roublard F 200</t>
        </is>
      </c>
      <c r="B32699">
        <f>HYPERLINK("https://www.dofusbook.net/fr/equipement/3535294-roublard-f-200/objets", "link")</f>
        <v/>
      </c>
      <c r="C32699" t="n">
        <v>3</v>
      </c>
      <c r="D32699" t="inlineStr">
        <is>
          <t>Arc corrompu; Amulette Volkorne; Anneau du Katcheur; Anneau Tamie; Bouclier du Stalak; Croture; Masque du Katcheur; Cape de Diondin; Bottes Innommables; Dofus des Glaces; Dofus Pourpre; Érudit majeur; Nomade; Bisouglours</t>
        </is>
      </c>
    </row>
    <row r="32700">
      <c r="A32700" t="inlineStr">
        <is>
          <t>Sacrieur F 200</t>
        </is>
      </c>
      <c r="B32700">
        <f>HYPERLINK("https://www.dofusbook.net/fr/equipement/3559229-sacrieur-f-200/objets", "link")</f>
        <v/>
      </c>
      <c r="C32700" t="n">
        <v>3</v>
      </c>
      <c r="D32700" t="inlineStr">
        <is>
          <t>Manthache; Collier du Valet Veinard; Gant du Valet Veinard; Alliance Gloursonne; Bouclier d'Ilyzaelle; Menoture; Casque Dragoeuf; Cape du Kamasterisk; Palmes Trithons; Dofus Émeraude; Dofus Ivoire; Dofus Abyssal; Miraculé majeur; Cascadeur majeur; Remueur; Bwak d'Air</t>
        </is>
      </c>
    </row>
    <row r="32701">
      <c r="A32701" t="inlineStr">
        <is>
          <t>Roublard F 200</t>
        </is>
      </c>
      <c r="B32701">
        <f>HYPERLINK("https://www.dofusbook.net/fr/equipement/5738783-roublard-f-200/objets", "link")</f>
        <v/>
      </c>
      <c r="C32701" t="n">
        <v>1</v>
      </c>
      <c r="D32701" t="inlineStr">
        <is>
          <t>Hachoirs de Viandargh; Amulette de Nevark; Anneau d'Allister; Cadran d'Air; Ceinture de Nevark; Couronne d'Allister; Cape de Nevark; Bottes d'Allister; Dofus Pourpre; Dofus des Glaces; Acrobate majeur; Saccageur Air majeur; Blérodoudou</t>
        </is>
      </c>
    </row>
    <row r="32702">
      <c r="A32702" t="inlineStr">
        <is>
          <t>Roublard F 200</t>
        </is>
      </c>
      <c r="B32702">
        <f>HYPERLINK("https://www.dofusbook.net/fr/equipement/5785417-roublard-f-200/objets", "link")</f>
        <v/>
      </c>
      <c r="C32702" t="n">
        <v>0</v>
      </c>
      <c r="D32702" t="inlineStr">
        <is>
          <t>Dagoulinantes; Amulette de Shokkoth; Anneau Volkorne; Alliance Gloursonne; Culotte de Bethel; Kidibonnet; Cape Solution; Chaussons de Macrab; Dofus Ébène; Dofus Ivoire; Dofus Abyssal; Étourdisseur majeur; Koalak Sanguin</t>
        </is>
      </c>
    </row>
    <row r="32703">
      <c r="A32703" t="inlineStr">
        <is>
          <t>Roublard F 200</t>
        </is>
      </c>
      <c r="B32703">
        <f>HYPERLINK("https://www.dofusbook.net/fr/equipement/3534562-roublard-f-200/objets", "link")</f>
        <v/>
      </c>
      <c r="C32703" t="n">
        <v>1</v>
      </c>
      <c r="D32703" t="inlineStr">
        <is>
          <t>Arc du Chalœil; Collier de Tourthon; Anneau de Brouce; Bracelet du Piloztère; Bouclier du Stalak; Ceinture de la Reine des Voleurs; Coiffe de la Reine des Voleurs; Cape au Logis; Baleinabottes; Dofus Ébène; Dofus Ivoire; Dofus Abyssal; Dofus des Glaces; Dofus Pourpre; Dofus Ocre; Bulbisou</t>
        </is>
      </c>
    </row>
    <row r="32704">
      <c r="A32704" t="inlineStr">
        <is>
          <t>Roublard F 200</t>
        </is>
      </c>
      <c r="B32704">
        <f>HYPERLINK("https://www.dofusbook.net/fr/equipement/3535294-roublard-f-200/objets", "link")</f>
        <v/>
      </c>
      <c r="C32704" t="n">
        <v>3</v>
      </c>
      <c r="D32704" t="inlineStr">
        <is>
          <t>Arc corrompu; Amulette Volkorne; Anneau du Katcheur; Anneau Tamie; Bouclier du Stalak; Croture; Masque du Katcheur; Cape de Diondin; Bottes Innommables; Dofus des Glaces; Dofus Pourpre; Érudit majeur; Nomade; Bisouglours</t>
        </is>
      </c>
    </row>
    <row r="32705">
      <c r="A32705" t="inlineStr">
        <is>
          <t>Sacrieur F 200</t>
        </is>
      </c>
      <c r="B32705">
        <f>HYPERLINK("https://www.dofusbook.net/fr/equipement/3559229-sacrieur-f-200/objets", "link")</f>
        <v/>
      </c>
      <c r="C32705" t="n">
        <v>3</v>
      </c>
      <c r="D32705" t="inlineStr">
        <is>
          <t>Manthache; Collier du Valet Veinard; Gant du Valet Veinard; Alliance Gloursonne; Bouclier d'Ilyzaelle; Menoture; Casque Dragoeuf; Cape du Kamasterisk; Palmes Trithons; Dofus Émeraude; Dofus Ivoire; Dofus Abyssal; Miraculé majeur; Cascadeur majeur; Remueur; Bwak d'Air</t>
        </is>
      </c>
    </row>
    <row r="32706">
      <c r="A32706" t="inlineStr">
        <is>
          <t>Stuff 3</t>
        </is>
      </c>
      <c r="B32706">
        <f>HYPERLINK("https://www.dofusbook.net/fr/equipement/2537262-stuff-3/objets", "link")</f>
        <v/>
      </c>
      <c r="C32706" t="n">
        <v>0</v>
      </c>
      <c r="D32706" t="inlineStr">
        <is>
          <t>Dague Hirr; Amulette du Strigide; Bracelet du Piloztère; Alliance Gloursonne; Ceintacé; Coiffe de la Reine des Voleurs; Cape au Logis; Bottes du Strigide; Dolmanax; Dofus Turquoise; Dofus Pourpre; Remueur; Vigoureux majeur; Nomade; Kramkram</t>
        </is>
      </c>
    </row>
    <row r="32707">
      <c r="A32707" t="inlineStr">
        <is>
          <t>Stuff 3</t>
        </is>
      </c>
      <c r="B32707">
        <f>HYPERLINK("https://www.dofusbook.net/fr/equipement/2537257-stuff-3/objets", "link")</f>
        <v/>
      </c>
      <c r="C32707" t="n">
        <v>0</v>
      </c>
      <c r="D32707" t="inlineStr">
        <is>
          <t>Épouvante; Amulette du Strigide; Bracelet du Piloztère; Alliance Gloursonne; Ceintacé; Coiffe de la Reine des Voleurs; Cape au Logis; Bottes du Strigide; Dolmanax; Dofus Turquoise; Dofus Pourpre; Dofus des Glaces; Remueur; Vigoureux majeur; Dragodinde Prune et Ivoire</t>
        </is>
      </c>
    </row>
    <row r="32708">
      <c r="A32708" t="inlineStr">
        <is>
          <t>Stuff 1</t>
        </is>
      </c>
      <c r="B32708">
        <f>HYPERLINK("https://www.dofusbook.net/fr/equipement/2537252-stuff-1/objets", "link")</f>
        <v/>
      </c>
      <c r="C32708" t="n">
        <v>0</v>
      </c>
      <c r="D32708" t="inlineStr">
        <is>
          <t>Arc du Chalœil; Amulette du Strigide; Alliance Gloursonne; Bracelet du Piloztère; Ceinture du Strigide; Masque du Katcheur; Cape du Professeur Xa; Bottes de la Reine des Voleurs; Dofus Pourpre; Dofus Ocre; Dofus Turquoise; Remueur; Vigoureux majeur; Nomade; Dragodinde Amande et Ivoire</t>
        </is>
      </c>
    </row>
    <row r="32709">
      <c r="A32709" t="inlineStr">
        <is>
          <t>Stuff 2</t>
        </is>
      </c>
      <c r="B32709">
        <f>HYPERLINK("https://www.dofusbook.net/fr/equipement/2537247-stuff-2/objets", "link")</f>
        <v/>
      </c>
      <c r="C32709" t="n">
        <v>0</v>
      </c>
      <c r="D32709" t="inlineStr">
        <is>
          <t>Sabres d'Atcham; Amulette du Strigide; Alliance Gloursonne; Bracelet du Piloztère; Ceintacé; Chapeau des Malveilleurs; Cape des Malveilleurs; Bottes Voldelor; Dolmanax; Dofus Pourpre; Dofus Turquoise; Nomade; Vigoureux majeur; Remueur; Kramkram</t>
        </is>
      </c>
    </row>
    <row r="32710">
      <c r="A32710" t="inlineStr">
        <is>
          <t>Stuff 3</t>
        </is>
      </c>
      <c r="B32710">
        <f>HYPERLINK("https://www.dofusbook.net/fr/equipement/2537239-stuff-3/objets", "link")</f>
        <v/>
      </c>
      <c r="C32710" t="n">
        <v>0</v>
      </c>
      <c r="D32710" t="inlineStr">
        <is>
          <t>Hache du Chalœil; Amulette de Pol Ouatnos; Bracelet du Piloztère; Alliance Gloursonne; Ceintacé; Coiffe de la Reine des Voleurs; Cape du Chalœil; Bottes du Chalœil; Dofus Turquoise; Dofus Pourpre; Dolmanax; Entraveur majeur; Vigoureux majeur; Remueur; Dragodinde Prune et Ivoire</t>
        </is>
      </c>
    </row>
    <row r="32711">
      <c r="A32711" t="inlineStr">
        <is>
          <t>Stuff 1</t>
        </is>
      </c>
      <c r="B32711">
        <f>HYPERLINK("https://www.dofusbook.net/fr/equipement/2537234-stuff-1/objets", "link")</f>
        <v/>
      </c>
      <c r="C32711" t="n">
        <v>0</v>
      </c>
      <c r="D32711" t="inlineStr">
        <is>
          <t>Epée Gloursonne; Amulette du Strigide; Alliance Gloursonne; Bague Gloursonne; Ceinture du Strigide; Chapeau des Malveilleurs; Cape des Malveilleurs; Bottes du Strigide; Dofus Émeraude; Dofus Pourpre; Dofus Turquoise; Dofus Ocre; Puissant majeur; Examinateur; Dragodinde Amande et Emeraude</t>
        </is>
      </c>
    </row>
    <row r="32712">
      <c r="A32712" t="inlineStr">
        <is>
          <t>Stuff 2</t>
        </is>
      </c>
      <c r="B32712">
        <f>HYPERLINK("https://www.dofusbook.net/fr/equipement/2537259-stuff-2/objets", "link")</f>
        <v/>
      </c>
      <c r="C32712" t="n">
        <v>0</v>
      </c>
      <c r="D32712" t="inlineStr">
        <is>
          <t>Dagues Érhy; Amulette du Strigide; Alliance de Missiz Frizz; Bracelet du Piloztère; Ceintacé; Chapeau Lisson; Cape de la Fuji Givrefoux; Bottes du Strigide; Dofus Turquoise; Dofus Pourpre; Remueur; Nomade; Vigoureux majeur; Miraculé majeur; Kramkram; Rondache qui pète</t>
        </is>
      </c>
    </row>
    <row r="32713">
      <c r="A32713" t="inlineStr">
        <is>
          <t>Stuff 3</t>
        </is>
      </c>
      <c r="B32713">
        <f>HYPERLINK("https://www.dofusbook.net/fr/equipement/2537254-stuff-3/objets", "link")</f>
        <v/>
      </c>
      <c r="C32713" t="n">
        <v>0</v>
      </c>
      <c r="D32713" t="inlineStr">
        <is>
          <t>Arc du Chalœil; Amulette du Strigide; Alliance Gloursonne; Bracelet du Piloztère; Ceinture de Kongoku; Masque du Katcheur; Cape du Professeur Xa; Bottes du Strigide; Dofus Ocre; Dofus Turquoise; Dofus Pourpre; Vigoureux majeur; Nomade; Remueur; Kramkram</t>
        </is>
      </c>
    </row>
    <row r="32714">
      <c r="A32714" t="inlineStr">
        <is>
          <t>Stuff 1</t>
        </is>
      </c>
      <c r="B32714">
        <f>HYPERLINK("https://www.dofusbook.net/fr/equipement/2537249-stuff-1/objets", "link")</f>
        <v/>
      </c>
      <c r="C32714" t="n">
        <v>0</v>
      </c>
      <c r="D32714" t="inlineStr">
        <is>
          <t>Harpelle; Amulette d'Otomaï; Anneau Tamie; Kralano; Ceinture Séculaire; Coiffe Séculaire; Cape de Nileza; Pataugastrique; Savant majeur; Nomade; Érudit majeur; Remueur; Érudit; Astucieux majeur; Dragodinde Ivoire et Orchidée</t>
        </is>
      </c>
    </row>
    <row r="32715">
      <c r="A32715" t="inlineStr">
        <is>
          <t>Stuff 2</t>
        </is>
      </c>
      <c r="B32715">
        <f>HYPERLINK("https://www.dofusbook.net/fr/equipement/2537241-stuff-2/objets", "link")</f>
        <v/>
      </c>
      <c r="C32715" t="n">
        <v>0</v>
      </c>
      <c r="D32715" t="inlineStr">
        <is>
          <t>Arc Hétype; Amulette Hendart; Anneau Tamie; Kralano; Sangle Aise; Couronne de Nidas; Voile d'encre; Tongues de Nidas; Dofus Turquoise; Temporiseur majeur; Nomade; Remueur; Entraveur majeur; Érudit majeur; Dragodinde Amande et Ivoire</t>
        </is>
      </c>
    </row>
    <row r="32716">
      <c r="A32716" t="inlineStr">
        <is>
          <t>Stuff 3</t>
        </is>
      </c>
      <c r="B32716">
        <f>HYPERLINK("https://www.dofusbook.net/fr/equipement/2537236-stuff-3/objets", "link")</f>
        <v/>
      </c>
      <c r="C32716" t="n">
        <v>0</v>
      </c>
      <c r="D32716" t="inlineStr">
        <is>
          <t>Epée Gloursonne; Amulette de Gein; Alliance Gloursonne; Bague Gloursonne; Ceinture de Gein; Chapeau de Gein; Voile d'encre; Bottes du Katcheur; Dolmanax; Dofus Pourpre; Dofus Turquoise; Dofus Ocre; Dofus Émeraude; Puissant majeur; Dragodinde Amande et Emeraude</t>
        </is>
      </c>
    </row>
    <row r="32717">
      <c r="A32717" t="inlineStr">
        <is>
          <t>Stuff 2</t>
        </is>
      </c>
      <c r="B32717">
        <f>HYPERLINK("https://www.dofusbook.net/fr/equipement/2537261-stuff-2/objets", "link")</f>
        <v/>
      </c>
      <c r="C32717" t="n">
        <v>0</v>
      </c>
      <c r="D32717" t="inlineStr">
        <is>
          <t>Dagues de Srambad; Amulette du Strigide; Alliance Gloursonne; Alliance du Lévitrof; Ceintacé; Coiffe de la Reine des Voleurs; Cape au Logis; Bottes du Strigide; Dolmanax; Dofus Pourpre; Chanceux majeur; Remueur; Vigoureux majeur; Nomade; Kramkram</t>
        </is>
      </c>
    </row>
    <row r="32718">
      <c r="A32718" t="inlineStr">
        <is>
          <t>Stuff 2</t>
        </is>
      </c>
      <c r="B32718">
        <f>HYPERLINK("https://www.dofusbook.net/fr/equipement/2537256-stuff-2/objets", "link")</f>
        <v/>
      </c>
      <c r="C32718" t="n">
        <v>0</v>
      </c>
      <c r="D32718" t="inlineStr">
        <is>
          <t>Hache du Chalœil; Amulette du Strigide; Alliance Gloursonne; Bracelet du Piloztère; Ceintacé; Coiffe de la Reine des Voleurs; Cape du Chalœil; Bottes du Chalœil; Dolmanax; Dofus Turquoise; Dofus Pourpre; Dofus des Glaces; Remueur; Vigoureux majeur; Dragodinde Prune et Ivoire</t>
        </is>
      </c>
    </row>
    <row r="32719">
      <c r="A32719" t="inlineStr">
        <is>
          <t>Stuff 3</t>
        </is>
      </c>
      <c r="B32719">
        <f>HYPERLINK("https://www.dofusbook.net/fr/equipement/2537251-stuff-3/objets", "link")</f>
        <v/>
      </c>
      <c r="C32719" t="n">
        <v>0</v>
      </c>
      <c r="D32719" t="inlineStr">
        <is>
          <t>Harpelle; Pendentif affamé; Anneau Rifique; Chevalière du Roi Joueur; Ceinture Séculaire; Coiffe Séculaire; Cape de Diondin; Bottes Innommables; Érudit majeur; Remueur; Dévastateur Feu majeur; Astucieux majeur; Savant majeur; Nomade; Brûlih</t>
        </is>
      </c>
    </row>
    <row r="32720">
      <c r="A32720" t="inlineStr">
        <is>
          <t>Stuff 1</t>
        </is>
      </c>
      <c r="B32720">
        <f>HYPERLINK("https://www.dofusbook.net/fr/equipement/2537246-stuff-1/objets", "link")</f>
        <v/>
      </c>
      <c r="C32720" t="n">
        <v>0</v>
      </c>
      <c r="D32720" t="inlineStr">
        <is>
          <t>Sabres d'Atcham; Amulette du Strigide; Alliance Gloursonne; Bague Gloursonne; Ceinture du Strigide; Cape des Malveilleurs; Bottes du Strigide; Dofus Émeraude; Dofus Ocre; Dofus Turquoise; Dofus des Glaces; Dofus Pourpre; Dolmanax; Dragodinde Amande et Emeraude</t>
        </is>
      </c>
    </row>
    <row r="32721">
      <c r="A32721" t="inlineStr">
        <is>
          <t>Stuff 2</t>
        </is>
      </c>
      <c r="B32721">
        <f>HYPERLINK("https://www.dofusbook.net/fr/equipement/2537238-stuff-2/objets", "link")</f>
        <v/>
      </c>
      <c r="C32721" t="n">
        <v>0</v>
      </c>
      <c r="D32721" t="inlineStr">
        <is>
          <t>Sabres d'Atcham; Amulette de Gein; Alliance Gloursonne; Bague Gloursonne; Ceinture de Gein; Chapeau de Gein; Cape d'Atcham; Sandales  d'Atcham; Dofus Pourpre; Dolmanax; Dofus Ocre; Dofus Turquoise; Ralentisseur majeur; Entraveur majeur; Kramkram</t>
        </is>
      </c>
    </row>
    <row r="32722">
      <c r="A32722" t="inlineStr">
        <is>
          <t>Stuff 1</t>
        </is>
      </c>
      <c r="B32722">
        <f>HYPERLINK("https://www.dofusbook.net/fr/equipement/2537258-stuff-1/objets", "link")</f>
        <v/>
      </c>
      <c r="C32722" t="n">
        <v>0</v>
      </c>
      <c r="D32722" t="inlineStr">
        <is>
          <t>Marteau des égarés; Amulette du Strigide; Bracelet du Piloztère; Alliance Gloursonne; Ceinture du Strigide; Masque du Katcheur; Voile d'encre; Bottes du Lévitrof; Dofus Ocre; Dofus Turquoise; Dofus Pourpre; Remueur; Vigoureux majeur; Nomade; Kwaltess</t>
        </is>
      </c>
    </row>
    <row r="32723">
      <c r="A32723" t="inlineStr">
        <is>
          <t>Stuff 2</t>
        </is>
      </c>
      <c r="B32723">
        <f>HYPERLINK("https://www.dofusbook.net/fr/equipement/2537253-stuff-2/objets", "link")</f>
        <v/>
      </c>
      <c r="C32723" t="n">
        <v>0</v>
      </c>
      <c r="D32723" t="inlineStr">
        <is>
          <t>Arc du Chalœil; Amulette du Strigide; Alliance Gloursonne; Bracelet du Piloztère; Ceintacé; Masque du Katcheur; Cape au Logis; Bottes du Strigide; Dofus Turquoise; Dofus Pourpre; Miraculé majeur; Vigoureux majeur; Nomade; Remueur; Kramkram</t>
        </is>
      </c>
    </row>
    <row r="32724">
      <c r="A32724" t="inlineStr">
        <is>
          <t>Stuff 3</t>
        </is>
      </c>
      <c r="B32724">
        <f>HYPERLINK("https://www.dofusbook.net/fr/equipement/2537248-stuff-3/objets", "link")</f>
        <v/>
      </c>
      <c r="C32724" t="n">
        <v>0</v>
      </c>
      <c r="D32724" t="inlineStr">
        <is>
          <t>Sabres d'Atcham; Amulette du Strigide; Bracelet du Piloztère; Alliance Gloursonne; Ceintacé; Némès de Tal Kasha; Chevelure de Tal Kasha; Bottes Voldelor; Dofus Pourpre; Dofus Turquoise; Dolmanax; Nomade; Vigoureux majeur; Remueur; Kramkram</t>
        </is>
      </c>
    </row>
    <row r="32725">
      <c r="A32725" t="inlineStr">
        <is>
          <t>Stuff 1</t>
        </is>
      </c>
      <c r="B32725">
        <f>HYPERLINK("https://www.dofusbook.net/fr/equipement/2537240-stuff-1/objets", "link")</f>
        <v/>
      </c>
      <c r="C32725" t="n">
        <v>0</v>
      </c>
      <c r="D32725" t="inlineStr">
        <is>
          <t>Arc Hétype; Amulette Séculaire; Alliance du Lévitrof; Kralano; Ceinture Séculaire; Cagoule de Vortex; Cape de Nileza; Tongues de Nidas; Dofus Ocre; Dofus Turquoise; Entraveur majeur; Temporiseur majeur; Nomade; Remueur; Kramkram</t>
        </is>
      </c>
    </row>
    <row r="32726">
      <c r="A32726" t="inlineStr">
        <is>
          <t>Stuff 2</t>
        </is>
      </c>
      <c r="B32726">
        <f>HYPERLINK("https://www.dofusbook.net/fr/equipement/2537235-stuff-2/objets", "link")</f>
        <v/>
      </c>
      <c r="C32726" t="n">
        <v>0</v>
      </c>
      <c r="D32726" t="inlineStr">
        <is>
          <t>Epée Gloursonne; Amulette du Strigide; Alliance Gloursonne; Bague Gloursonne; Ceinture de la Reine des Voleurs; Coiffe de la Reine des Voleurs; Voile d'encre; Bottes de la Reine des Voleurs; Dofus Pourpre; Dofus Turquoise; Dofus Ocre; Puissant majeur; Initiateur mineur; Examinateur; Dragodinde Prune et Emeraude</t>
        </is>
      </c>
    </row>
    <row r="32727">
      <c r="A32727" t="inlineStr">
        <is>
          <t>Stuff 1</t>
        </is>
      </c>
      <c r="B32727">
        <f>HYPERLINK("https://www.dofusbook.net/fr/equipement/2537260-stuff-1/objets", "link")</f>
        <v/>
      </c>
      <c r="C32727" t="n">
        <v>0</v>
      </c>
      <c r="D32727" t="inlineStr">
        <is>
          <t>Dague Hirr; Amulette du Strigide; Alliance Gloursonne; Bracelet du Piloztère; Ceintacé; Coiffe de la Reine des Voleurs; Cape au Logis; Bottes du Strigide; Dolmanax; Dofus Turquoise; Dofus Pourpre; Remueur; Vigoureux majeur; Nomade; Kramkram</t>
        </is>
      </c>
    </row>
    <row r="32728">
      <c r="A32728" t="inlineStr">
        <is>
          <t>Stuff 1</t>
        </is>
      </c>
      <c r="B32728">
        <f>HYPERLINK("https://www.dofusbook.net/fr/equipement/2537255-stuff-1/objets", "link")</f>
        <v/>
      </c>
      <c r="C32728" t="n">
        <v>0</v>
      </c>
      <c r="D32728" t="inlineStr">
        <is>
          <t>Bâton Beau; Amulette du Strigide; Alliance Gloursonne; Bracelet du Piloztère; Ceintacé; Coiffe de la Reine des Voleurs; Cape au Logis; Bottes du Strigide; Dofus des Glaces; Dolmanax; Dofus Turquoise; Dofus Pourpre; Vigoureux majeur; Remueur; Dragodinde Prune et Ivoire</t>
        </is>
      </c>
    </row>
    <row r="32729">
      <c r="A32729" t="inlineStr">
        <is>
          <t>Stuff 2</t>
        </is>
      </c>
      <c r="B32729">
        <f>HYPERLINK("https://www.dofusbook.net/fr/equipement/2537250-stuff-2/objets", "link")</f>
        <v/>
      </c>
      <c r="C32729" t="n">
        <v>0</v>
      </c>
      <c r="D32729" t="inlineStr">
        <is>
          <t>Pelle de la Cour Sombre; Amibou; Alliance Gloursonne; Anneau d'Allister; Ceinture du Barbétoal; Couronne d'Allister; Cape du Kamasterisk; Baleinabottes; Dofus Turquoise; Dofus Pourpre; Miraculé majeur; Remueur; Cascadeur majeur; Nomade; Siroko</t>
        </is>
      </c>
    </row>
    <row r="32730">
      <c r="A32730" t="inlineStr">
        <is>
          <t>Stuff 3</t>
        </is>
      </c>
      <c r="B32730">
        <f>HYPERLINK("https://www.dofusbook.net/fr/equipement/2537242-stuff-3/objets", "link")</f>
        <v/>
      </c>
      <c r="C32730" t="n">
        <v>0</v>
      </c>
      <c r="D32730" t="inlineStr">
        <is>
          <t>Arc Hétype; Amulette de Nileza; Anneau Tamie; Anneau de Nidas; Ceinture Instable; Couronne de Nidas; Voile d'encre; Pataugastrique; Dofus Turquoise; Remueur; Entraveur majeur; Érudit majeur; Temporiseur majeur; Nomade; Dragodinde Amande et Ivoire</t>
        </is>
      </c>
    </row>
    <row r="32731">
      <c r="A32731" t="inlineStr">
        <is>
          <t>Stuff 1</t>
        </is>
      </c>
      <c r="B32731">
        <f>HYPERLINK("https://www.dofusbook.net/fr/equipement/2537237-stuff-1/objets", "link")</f>
        <v/>
      </c>
      <c r="C32731" t="n">
        <v>1</v>
      </c>
      <c r="D32731" t="inlineStr">
        <is>
          <t>Dagues Érhy; Amulette du Strigide; Alliance de Missiz Frizz; Kralano; Ceinture du Strigide; Casque de Missiz Frizz; Cape du Professeur Xa; Bottes du Strigide; Dolmanax; Dofus Turquoise; Dofus Pourpre; Dofus Ocre; Ralentisseur majeur; Entraveur majeur; Dragodinde Prune et Ivoire</t>
        </is>
      </c>
    </row>
    <row r="32732">
      <c r="A32732" t="inlineStr">
        <is>
          <t>Terre/Air</t>
        </is>
      </c>
      <c r="B32732">
        <f>HYPERLINK("https://www.dofusbook.net/fr/equipement/5500760-terre-air/objets", "link")</f>
        <v/>
      </c>
      <c r="C32732" t="n">
        <v>0</v>
      </c>
      <c r="D32732" t="inlineStr">
        <is>
          <t>Héqache; Amulette du Strigide; Anneau Chevelu; Anneau du Chêne Mou; Bouclier du Captain Amakna; Ceinture du Strigide; Casque de Missiz Frizz; Cape au Logis; Baleinabottes; Dofus Émeraude; Dofus Turquoise; Dofus Pourpre; Remueur; Vigoureux majeur; Nomade; Chacha Angora</t>
        </is>
      </c>
    </row>
    <row r="32733">
      <c r="A32733" t="inlineStr">
        <is>
          <t>feu/air</t>
        </is>
      </c>
      <c r="B32733">
        <f>HYPERLINK("https://www.dofusbook.net/fr/equipement/5457182-feu-air/objets", "link")</f>
        <v/>
      </c>
      <c r="C32733" t="n">
        <v>1</v>
      </c>
      <c r="D32733" t="inlineStr">
        <is>
          <t>Canne Harr; Amulette Séculaire; Bague Gloursonne; Anneau de Padgref; Bouclier Taverne; Ceinture de Vortex; Coiffe de Padgref; Cape Hiculteur; Pantoufles Émar; Dofus Émeraude; Dofus Turquoise; Dofus Pourpre; Nomade; Vigoureux majeur; Remueur; Muldo Doré et Emeraude</t>
        </is>
      </c>
    </row>
    <row r="32734">
      <c r="A32734" t="inlineStr">
        <is>
          <t>PvP</t>
        </is>
      </c>
      <c r="B32734">
        <f>HYPERLINK("https://www.dofusbook.net/fr/equipement/2133784-pvp/objets", "link")</f>
        <v/>
      </c>
      <c r="C32734" t="n">
        <v>2</v>
      </c>
      <c r="D32734" t="inlineStr">
        <is>
          <t>Arc corrompu; Pendentif mignon de Koutoulou; Anneauræus; Anneauræus; Bouclier du Stalak; Ceinture de Vortex; Casque Cyclopéen; Cape de Diondin; Bottes Innommables; Dofus Émeraude; Dofus Ocre; Dofus des Glaces; Dévastateur Feu majeur; Érudit majeur; Muldo Orchidée et Pourpre</t>
        </is>
      </c>
    </row>
    <row r="32735">
      <c r="A32735" t="inlineStr">
        <is>
          <t>PvM</t>
        </is>
      </c>
      <c r="B32735">
        <f>HYPERLINK("https://www.dofusbook.net/fr/equipement/2133263-pvm/objets", "link")</f>
        <v/>
      </c>
      <c r="C32735" t="n">
        <v>0</v>
      </c>
      <c r="D32735" t="inlineStr">
        <is>
          <t>Arc Hétype; Pendentif affamé; Anneauræus; Anneauræus; Bouclier du Stalak; Ceinture Séculaire; Coiffe Séculaire; Cape de Diondin; Bottes Innommables; Dofus des Glaces; Dofus Ocre; Nomade; Astucieux majeur; Érudit majeur; Dévastateur Feu majeur; Brûlih</t>
        </is>
      </c>
    </row>
    <row r="32736">
      <c r="A32736" t="inlineStr">
        <is>
          <t>Crâ F 200</t>
        </is>
      </c>
      <c r="B32736">
        <f>HYPERLINK("https://www.dofusbook.net/fr/equipement/5691414-cra-f-200/objets", "link")</f>
        <v/>
      </c>
      <c r="C32736" t="n">
        <v>0</v>
      </c>
      <c r="D32736" t="inlineStr">
        <is>
          <t>Baguette des égarés; Amulette Luminescente; Anneau en Grithril; Bracelet du Piloztère; Bouclier cubiste; Ceinture Luminescente; Casque en Grithril; Cape Luminescente; Pantoufles du Piloztère; Dofus Pourpre; Dofus Vulbis; Dofus Nébuleux; Dofus des Glaces; Dofus Ocre; Dofus Ivoire; Volkorne Rubis et Améthyste</t>
        </is>
      </c>
    </row>
    <row r="32737">
      <c r="A32737" t="inlineStr">
        <is>
          <t>Crâ F 200</t>
        </is>
      </c>
      <c r="B32737">
        <f>HYPERLINK("https://www.dofusbook.net/fr/equipement/3824324-cra-f-200/objets", "link")</f>
        <v/>
      </c>
      <c r="C32737" t="n">
        <v>0</v>
      </c>
      <c r="D32737" t="inlineStr"/>
    </row>
    <row r="32738">
      <c r="A32738" t="inlineStr">
        <is>
          <t>frfr</t>
        </is>
      </c>
      <c r="B32738">
        <f>HYPERLINK("https://www.dofusbook.net/fr/equipement/2858760-frfr/objets", "link")</f>
        <v/>
      </c>
      <c r="C32738" t="n">
        <v>2</v>
      </c>
      <c r="D32738" t="inlineStr">
        <is>
          <t>Arc corrompu; Amulette Séculaire; Anneauræus; Anneauræus; Quatre-feuilles; Ceinture Séculaire; Heaume Oplate; Cape de Diondin; Bottes Innommables; Dofus Nébuleux; Dofus Pourpre; Dofus des Glaces; Dofus Turquoise; Dévastateur Feu majeur; Érudit majeur; Muldo Prune et Emeraude</t>
        </is>
      </c>
    </row>
    <row r="32739">
      <c r="A32739" t="inlineStr">
        <is>
          <t>vfvf</t>
        </is>
      </c>
      <c r="B32739">
        <f>HYPERLINK("https://www.dofusbook.net/fr/equipement/2706135-vfvf/objets", "link")</f>
        <v/>
      </c>
      <c r="C32739" t="n">
        <v>0</v>
      </c>
      <c r="D32739" t="inlineStr">
        <is>
          <t>Canne Harr; Amulette du Strigide; Alliance Gloursonne; Anneau Rifique; Bouclier du Captain Amakna; Ceintacé; Coiffe de Padgref; Cape d'Atcham; Getas de Padgref; Dofus des Glaces; Dofus Pourpre; Dofus Nébuleux; Dofus Turquoise; Vigoureux majeur; Remueur; Muldo Ebène et Emeraude</t>
        </is>
      </c>
    </row>
    <row r="32740">
      <c r="A32740" t="inlineStr">
        <is>
          <t>Stuff 3</t>
        </is>
      </c>
      <c r="B32740">
        <f>HYPERLINK("https://www.dofusbook.net/fr/equipement/390602-stuff-3/objets", "link")</f>
        <v/>
      </c>
      <c r="C32740" t="n">
        <v>1</v>
      </c>
      <c r="D32740" t="inlineStr">
        <is>
          <t>Epée Gloursonne; Amulette d'Ilyzaelle; Alliance Gloursonne; Anneau Volkorne; Bouclier d'Ilyzaelle; Ceinture du Strigide; Casque Volkorne; Cape Matelassée; Bottes du Strigide; Dofus Pourpre; Dofus Nébuleux; Dolmanax; Dofus Ocre; Dofus Turquoise; Dofus des Glaces; Muldo Prune</t>
        </is>
      </c>
    </row>
    <row r="32741">
      <c r="A32741" t="inlineStr">
        <is>
          <t>edede</t>
        </is>
      </c>
      <c r="B32741">
        <f>HYPERLINK("https://www.dofusbook.net/fr/equipement/2881577-edede/objets", "link")</f>
        <v/>
      </c>
      <c r="C32741" t="n">
        <v>1</v>
      </c>
      <c r="D32741" t="inlineStr">
        <is>
          <t>Dagoulinantes; Collier de la Dame du Hasard; Anneau Volkorne; Alliance Gloursonne; Bouclier du Captain Amakna; Poulpagne; Capuche de l'Œil Attentif; Cape de la Dame du Hasard; Sandales des Fonds marins; Dofus Turquoise; Dofus Nébuleux; Dofus Pourpre; Dofus des Glaces; Chanceux majeur; Remueur; Muldo Prune et Emeraude</t>
        </is>
      </c>
    </row>
    <row r="32742">
      <c r="A32742" t="inlineStr">
        <is>
          <t>Djd</t>
        </is>
      </c>
      <c r="B32742">
        <f>HYPERLINK("https://www.dofusbook.net/fr/equipement/2765855-djd/objets", "link")</f>
        <v/>
      </c>
      <c r="C32742" t="n">
        <v>1</v>
      </c>
      <c r="D32742" t="inlineStr">
        <is>
          <t>Dagues Érhy; Amulette Volkorne; Bague Gloursonne; Alliance du Lévitrof; Bouclier du Cycloïde; Ceinture Volkorne; Chapeau de Gein; Voile d'encre; Bottes du Roi Joueur; Dofus Ocre; Dofus des Glaces; Dofus Pourpre; Dofus Nébuleux; Nomade; Vigoureux majeur; Volkorne Jade et Améthyste</t>
        </is>
      </c>
    </row>
    <row r="32743">
      <c r="A32743" t="inlineStr">
        <is>
          <t>ddded</t>
        </is>
      </c>
      <c r="B32743">
        <f>HYPERLINK("https://www.dofusbook.net/fr/equipement/1093617-ddded/objets", "link")</f>
        <v/>
      </c>
      <c r="C32743" t="n">
        <v>0</v>
      </c>
      <c r="D32743" t="inlineStr">
        <is>
          <t>Arc corrompu; Collier de la Dame du Hasard; Anneau de Padgref; Anneauræus; Quatre-feuilles; Ceinture Séculaire; Couronne du Roi Joueur; Cape de Diondin; Bottes de la Dame du Hasard; Dofus Pourpre; Dofus des Glaces; Dofus Turquoise; Dofus Nébuleux; Remueur; Érudit majeur; Muldo Prune et Emeraude</t>
        </is>
      </c>
    </row>
    <row r="32744">
      <c r="A32744" t="inlineStr">
        <is>
          <t>Gggj</t>
        </is>
      </c>
      <c r="B32744">
        <f>HYPERLINK("https://www.dofusbook.net/fr/equipement/2895523-gggj/objets", "link")</f>
        <v/>
      </c>
      <c r="C32744" t="n">
        <v>2</v>
      </c>
      <c r="D32744" t="inlineStr">
        <is>
          <t>Marteau R'ture; Amulette du Cœur Saignant; Alliance de Missiz Frizz; Anneau de Brouce; Bouclier du Captain Amakna; Ceinture de Brouce; Casque de Missiz Frizz; Cape du Cœur Saignant; Bottes de Brouce; Dofus Pourpre; Dofus Nébuleux; Dofus Turquoise; Dofus Ocre; Dofus des Glaces; Volkorne Jade et Emeraude</t>
        </is>
      </c>
    </row>
    <row r="32745">
      <c r="A32745" t="inlineStr">
        <is>
          <t>fvd</t>
        </is>
      </c>
      <c r="B32745">
        <f>HYPERLINK("https://www.dofusbook.net/fr/equipement/2846209-fvd/objets", "link")</f>
        <v/>
      </c>
      <c r="C32745" t="n">
        <v>0</v>
      </c>
      <c r="D32745" t="inlineStr">
        <is>
          <t>Baguette Hique; Amulette de Shokkoth; Anneau Volkorne; Alliance Gloursonne; Quatre-feuilles; Poulpagne; Capuche de l'Œil Attentif; Cape de la Dame du Hasard; Bottes de la Dame du Hasard; Dofus Ocre; Dofus Nébuleux; Dofus Pourpre; Dofus des Glaces; Chanceux majeur; Dévastateur Eau majeur; Muldo Prune et Orchidée</t>
        </is>
      </c>
    </row>
    <row r="32746">
      <c r="A32746" t="inlineStr">
        <is>
          <t>ferff</t>
        </is>
      </c>
      <c r="B32746">
        <f>HYPERLINK("https://www.dofusbook.net/fr/equipement/2977930-ferff/objets", "link")</f>
        <v/>
      </c>
      <c r="C32746" t="n">
        <v>0</v>
      </c>
      <c r="D32746" t="inlineStr">
        <is>
          <t>Arc de Koutoulou; Amulette du Strigide; Bracelet du Piloztère; Alliance Gloursonne; Quatre-feuilles; Ceintacé; Némès de Tal Kasha; Chevelure de Tal Kasha; Bottes de la Reine des Voleurs; Dofus Pourpre; Dofus Ivoire; Dofus Turquoise; Dofus des Glaces; Remueur; Vigoureux majeur; Muldo Ebène et Orchidée</t>
        </is>
      </c>
    </row>
    <row r="32747">
      <c r="A32747" t="inlineStr">
        <is>
          <t>ded</t>
        </is>
      </c>
      <c r="B32747">
        <f>HYPERLINK("https://www.dofusbook.net/fr/equipement/2935468-ded/objets", "link")</f>
        <v/>
      </c>
      <c r="C32747" t="n">
        <v>0</v>
      </c>
      <c r="D32747" t="inlineStr">
        <is>
          <t>Dagues d'Ilyzaelle; Amulette du Cœur Saignant; Anneau de Brouce; Chevalière du Roi Joueur; Bouclier du Captain Amakna; Ceinture de Brouce; Couronne du Roi Joueur; Cape du Cœur Saignant; Bottes de Brouce; Dofus Turquoise; Dofus Abyssal; Dofus Ocre; Dofus Nébuleux; Dofus Pourpre; Dofus des Glaces; Muldo Indigo et Pourpre</t>
        </is>
      </c>
    </row>
    <row r="32748">
      <c r="A32748" t="inlineStr">
        <is>
          <t>Ioppppoow</t>
        </is>
      </c>
      <c r="B32748">
        <f>HYPERLINK("https://www.dofusbook.net/fr/equipement/2933180-ioppppoow/objets", "link")</f>
        <v/>
      </c>
      <c r="C32748" t="n">
        <v>1</v>
      </c>
      <c r="D32748" t="inlineStr">
        <is>
          <t>Épée du Granduk; Amulette du Granduk; Anneau de Padgref; Alliance Gloursonne; Quatre-feuilles; Ceinture du Barbétoal; Masque du Granduk; Cape du Barbétoal; Getas de Padgref; Dofus Pourpre; Dofus des Glaces; Dolmanax; Dofus Nébuleux; Dofus Turquoise; Dofus Ocre; Muldo Ebène et Indigo</t>
        </is>
      </c>
    </row>
    <row r="32749">
      <c r="A32749" t="inlineStr">
        <is>
          <t>crrc</t>
        </is>
      </c>
      <c r="B32749">
        <f>HYPERLINK("https://www.dofusbook.net/fr/equipement/2858715-crrc/objets", "link")</f>
        <v/>
      </c>
      <c r="C32749" t="n">
        <v>2</v>
      </c>
      <c r="D32749" t="inlineStr">
        <is>
          <t>Harpelle; Pendentif affamé; Anneauræus; Anneauræus; Bouclier d'Ilyzaelle; Ceinture Séculaire; Heaume Oplate; Cape d'Atcham; Bottes Innommables; Dofus Ocre; Dofus Pourpre; Dofus des Glaces; Dofus Turquoise; Dofus Nébuleux; Érudit majeur; Muldo Prune et Orchidée</t>
        </is>
      </c>
    </row>
    <row r="32750">
      <c r="A32750" t="inlineStr">
        <is>
          <t>gbgb</t>
        </is>
      </c>
      <c r="B32750">
        <f>HYPERLINK("https://www.dofusbook.net/fr/equipement/2858640-gbgb/objets", "link")</f>
        <v/>
      </c>
      <c r="C32750" t="n">
        <v>0</v>
      </c>
      <c r="D32750" t="inlineStr">
        <is>
          <t>Épée Brûlâme; Collier de la Dame du Hasard; Lavanneau; Alliance Gloursonne; Bouclier du Captain Amakna; Ceinture de l'Esprit Malsain; Coiffe Cryochrone; Cape de la Dame du Hasard; Pataugastrique; Dofus Turquoise; Dofus Nébuleux; Dofus Ocre; Dofus Pourpre; Dofus des Glaces; Vigoureux majeur; Muldo Prune et Orchidée</t>
        </is>
      </c>
    </row>
    <row r="32751">
      <c r="A32751" t="inlineStr">
        <is>
          <t>dcd</t>
        </is>
      </c>
      <c r="B32751">
        <f>HYPERLINK("https://www.dofusbook.net/fr/equipement/2858529-dcd/objets", "link")</f>
        <v/>
      </c>
      <c r="C32751" t="n">
        <v>2</v>
      </c>
      <c r="D32751" t="inlineStr">
        <is>
          <t>Dagues de Srambad; Amulette Luminescente; Bracelet du Piloztère; Alliance du Lévitrof; Bouclier cubiste; Ceinture Luminescente; Coiffe du Lévitrof; Cape Luminescente; Bottes du Lévitrof; Dofus Abyssal; Dofus Ocre; Dolmanax; Dofus des Glaces; Dofus Pourpre; Dofus Nébuleux; Muldo Ebène et Indigo</t>
        </is>
      </c>
    </row>
    <row r="32752">
      <c r="A32752" t="inlineStr">
        <is>
          <t>ddxss</t>
        </is>
      </c>
      <c r="B32752">
        <f>HYPERLINK("https://www.dofusbook.net/fr/equipement/2858453-ddxss/objets", "link")</f>
        <v/>
      </c>
      <c r="C32752" t="n">
        <v>0</v>
      </c>
      <c r="D32752" t="inlineStr">
        <is>
          <t>Arc de Koutoulou; Amulette Voldelor; Alliance Gloursonne; Anneau de Padgref; Quatre-feuilles; Ceinture du Barbétoal; Le Dorado; Chevelure de Tal Kasha; Bottes Voldelor; Dofus Pourpre; Dofus Nébuleux; Dofus Turquoise; Dofus des Glaces; Remueur; Vigoureux majeur; Muldo Ebène et Pourpre</t>
        </is>
      </c>
    </row>
    <row r="32753">
      <c r="A32753" t="inlineStr">
        <is>
          <t>xssx</t>
        </is>
      </c>
      <c r="B32753">
        <f>HYPERLINK("https://www.dofusbook.net/fr/equipement/2857376-xssx/objets", "link")</f>
        <v/>
      </c>
      <c r="C32753" t="n">
        <v>0</v>
      </c>
      <c r="D32753" t="inlineStr">
        <is>
          <t>Epée Gloursonne; Amulette de Gein; Bague Gloursonne; Alliance Gloursonne; Bouclier cubiste; Ceinture de Gein; Chapeau de Gein; Sac Volcanique; Sabots Volcaniques; Dofus Abyssal; Dofus Ocre; Dofus Pourpre; Dofus des Glaces; Dofus Turquoise; Dofus Nébuleux; Muldo Prune et Ebène</t>
        </is>
      </c>
    </row>
    <row r="32754">
      <c r="A32754" t="inlineStr">
        <is>
          <t>gtgrvr</t>
        </is>
      </c>
      <c r="B32754">
        <f>HYPERLINK("https://www.dofusbook.net/fr/equipement/2857334-gtgrvr/objets", "link")</f>
        <v/>
      </c>
      <c r="C32754" t="n">
        <v>0</v>
      </c>
      <c r="D32754" t="inlineStr">
        <is>
          <t>Arc Nécrotique; Collier de la Dame du Hasard; Lavanneau; Alliance Gloursonne; Quatre-feuilles; Ceintrigue; Casquette de Meno; Cape de la Dame du Hasard; Pataugastrique; Dofus Turquoise; Dofus Nébuleux; Dofus Pourpre; Dofus des Glaces; Vigoureux majeur; Remueur; Muldo Indigo et Orchidée</t>
        </is>
      </c>
    </row>
    <row r="32755">
      <c r="A32755" t="inlineStr">
        <is>
          <t>vddv</t>
        </is>
      </c>
      <c r="B32755">
        <f>HYPERLINK("https://www.dofusbook.net/fr/equipement/2846587-vddv/objets", "link")</f>
        <v/>
      </c>
      <c r="C32755" t="n">
        <v>0</v>
      </c>
      <c r="D32755" t="inlineStr">
        <is>
          <t>Lav'Hache; Amulette du Cœur Saignant; Anneau de Brouce; Alliance du Lévitrof; Quatre-feuilles; Ceinture de Brouce; Coiffe du Lévitrof; Cape du Cœur Saignant; Bottes de Brouce; Dofus Turquoise; Dofus Ocre; Dofus des Glaces; Dofus Pourpre; Dofus Nébuleux; Forcené majeur; Muldo Prune et Emeraude</t>
        </is>
      </c>
    </row>
    <row r="32756">
      <c r="A32756" t="inlineStr">
        <is>
          <t>grgg</t>
        </is>
      </c>
      <c r="B32756">
        <f>HYPERLINK("https://www.dofusbook.net/fr/equipement/2846518-grgg/objets", "link")</f>
        <v/>
      </c>
      <c r="C32756" t="n">
        <v>0</v>
      </c>
      <c r="D32756" t="inlineStr">
        <is>
          <t>Dagues Érhy; Amulette Volcanique; Chevalière du Roi Joueur; Alliance du Lévitrof; Bouclier du Stalak; Ceinture de Gein; Chapeau de Gein; Cape du Kamasterisk; Bottes Honyme; Dofus des Glaces; Dofus Ocre; Dofus Nébuleux; Dofus Pourpre; Vigoureux majeur; Fonceur majeur; Muldo Indigo et Pourpre</t>
        </is>
      </c>
    </row>
    <row r="32757">
      <c r="A32757" t="inlineStr">
        <is>
          <t>cece</t>
        </is>
      </c>
      <c r="B32757">
        <f>HYPERLINK("https://www.dofusbook.net/fr/equipement/2846500-cece/objets", "link")</f>
        <v/>
      </c>
      <c r="C32757" t="n">
        <v>0</v>
      </c>
      <c r="D32757" t="inlineStr"/>
    </row>
    <row r="32758">
      <c r="A32758" t="inlineStr">
        <is>
          <t>gbgbg</t>
        </is>
      </c>
      <c r="B32758">
        <f>HYPERLINK("https://www.dofusbook.net/fr/equipement/2846461-gbgbg/objets", "link")</f>
        <v/>
      </c>
      <c r="C32758" t="n">
        <v>1</v>
      </c>
      <c r="D32758" t="inlineStr">
        <is>
          <t>Lance Horselé; Collier du Valet Veinard; Alliance Gloursonne; Gant du Valet Veinard; Goulclier; Ceintacé; Capuche de Moum-Ra; Cape Indescriptible; Palmes Trithons; Dofus Abyssal; Dofus des Glaces; Dofus Ocre; Dofus Ivoire; Cascadeur majeur; Carapace Air majeur; Muldo Ebène et Pourpre</t>
        </is>
      </c>
    </row>
    <row r="32759">
      <c r="A32759" t="inlineStr">
        <is>
          <t>frfr</t>
        </is>
      </c>
      <c r="B32759">
        <f>HYPERLINK("https://www.dofusbook.net/fr/equipement/2840373-frfr/objets", "link")</f>
        <v/>
      </c>
      <c r="C32759" t="n">
        <v>0</v>
      </c>
      <c r="D32759" t="inlineStr">
        <is>
          <t>Amulette du Cœur Saignant; Anneau Crustique; Anneau Crustique; Ceinture de la Reine des Voleurs; Coiffe de la Reine des Voleurs; Cape du Cœur Saignant; Bottes du Cœur Saignant</t>
        </is>
      </c>
    </row>
    <row r="32760">
      <c r="A32760" t="inlineStr">
        <is>
          <t>vfvfv</t>
        </is>
      </c>
      <c r="B32760">
        <f>HYPERLINK("https://www.dofusbook.net/fr/equipement/2837599-vfvfv/objets", "link")</f>
        <v/>
      </c>
      <c r="C32760" t="n">
        <v>0</v>
      </c>
      <c r="D32760" t="inlineStr">
        <is>
          <t>Lav'Hache; Collier de Tourthon; Anneau Crustique; Anneau de Brouce; Bouclier du Captain Amakna; Ceinture de Brouce; Masque de Koutoulou; Cape au Logis; Bottes de la Cour Sombre; Dofus Pourpre; Dofus Nébuleux; Dofus Ocre; Dofus des Glaces; Forcené majeur; Enragé majeur; Kompost</t>
        </is>
      </c>
    </row>
    <row r="32761">
      <c r="A32761" t="inlineStr">
        <is>
          <t>Dsssss</t>
        </is>
      </c>
      <c r="B32761">
        <f>HYPERLINK("https://www.dofusbook.net/fr/equipement/2836883-dsssss/objets", "link")</f>
        <v/>
      </c>
      <c r="C32761" t="n">
        <v>0</v>
      </c>
      <c r="D32761" t="inlineStr">
        <is>
          <t>Arc du Chalœil; Amulette du Cœur Saignant; Anneau de Brouce; Anneau du Katcheur; Quatre-feuilles; Ceinture de Brouce; Masque du Katcheur; Cape du Cœur Saignant; Bottes de Brouce; Dofus Pourpre; Dofus des Glaces; Dofus Turquoise; Dofus Nébuleux; Dofus Ocre; Forcené majeur; Muldo Ebène et Indigo</t>
        </is>
      </c>
    </row>
    <row r="32762">
      <c r="A32762" t="inlineStr">
        <is>
          <t>jjjjj</t>
        </is>
      </c>
      <c r="B32762">
        <f>HYPERLINK("https://www.dofusbook.net/fr/equipement/2834877-jjjjj/objets", "link")</f>
        <v/>
      </c>
      <c r="C32762" t="n">
        <v>0</v>
      </c>
      <c r="D32762" t="inlineStr">
        <is>
          <t>Arc du Chalœil; Amulette du Cœur Saignant; Chevalière du Roi Joueur; Anneau de Brouce; Quatre-feuilles; Ceinture de Brouce; Couronne du Roi Joueur; Cape du Cœur Saignant; Bottes de Brouce; Dofus Pourpre; Dofus des Glaces; Dofus Nébuleux; Dofus Turquoise; Dofus Ocre; Forcené majeur; Muldo Indigo et Pourpre</t>
        </is>
      </c>
    </row>
    <row r="32763">
      <c r="A32763" t="inlineStr">
        <is>
          <t>tgt</t>
        </is>
      </c>
      <c r="B32763">
        <f>HYPERLINK("https://www.dofusbook.net/fr/equipement/2775190-tgt/objets", "link")</f>
        <v/>
      </c>
      <c r="C32763" t="n">
        <v>0</v>
      </c>
      <c r="D32763" t="inlineStr">
        <is>
          <t>Sabres d'Atcham; Amulette du Strigide; Anneau de Padgref; Alliance Gloursonne; Quatre-feuilles; Ceinture du Strigide; Coiffe de Padgref; Cape d'Atcham; Bottes du Strigide; Dofus Turquoise; Dofus Nébuleux; Dolmanax; Dofus Ocre; Dofus Pourpre; Dofus des Glaces; Muldo Indigo et Emeraude</t>
        </is>
      </c>
    </row>
    <row r="32764">
      <c r="A32764" t="inlineStr">
        <is>
          <t>dcd</t>
        </is>
      </c>
      <c r="B32764">
        <f>HYPERLINK("https://www.dofusbook.net/fr/equipement/2769132-dcd/objets", "link")</f>
        <v/>
      </c>
      <c r="C32764" t="n">
        <v>0</v>
      </c>
      <c r="D32764" t="inlineStr">
        <is>
          <t>Sceptre du Roi Joueur; Amulette de Shokkoth; Alliance Gloursonne; Bracelet des Fonds marins; Quatre-feuilles; Poulpagne; Capuche de l'Œil Attentif; Chevelure de Tal Kasha; Sandales de Tal Kasha; Dofus Ocre; Dofus Pourpre; Dofus des Glaces; Dofus Turquoise; Dofus Nébuleux; Chanceux majeur; Muldo Prune et Indigo</t>
        </is>
      </c>
    </row>
    <row r="32765">
      <c r="A32765" t="inlineStr">
        <is>
          <t>cdcd</t>
        </is>
      </c>
      <c r="B32765">
        <f>HYPERLINK("https://www.dofusbook.net/fr/equipement/2744715-cdcd/objets", "link")</f>
        <v/>
      </c>
      <c r="C32765" t="n">
        <v>0</v>
      </c>
      <c r="D32765" t="inlineStr">
        <is>
          <t>Dagues d'Ilyzaelle; Amulette du Cœur Saignant; Anneau de Brouce; Chevalière du Roi Joueur; Bouclier d'Ilyzaelle; Ceinture de Brouce; Couronne du Roi Joueur; Cape du Cœur Saignant; Bottes du Cœur Saignant; Dofus Turquoise; Dofus Nébuleux; Dofus Ocre; Dofus Pourpre; Dofus des Glaces; Forcené majeur; Muldo Pourpre et Emeraude</t>
        </is>
      </c>
    </row>
    <row r="32766">
      <c r="A32766" t="inlineStr">
        <is>
          <t>cce</t>
        </is>
      </c>
      <c r="B32766">
        <f>HYPERLINK("https://www.dofusbook.net/fr/equipement/2738173-cce/objets", "link")</f>
        <v/>
      </c>
      <c r="C32766" t="n">
        <v>0</v>
      </c>
      <c r="D32766" t="inlineStr">
        <is>
          <t>Hachoirs de Viandargh; Collier du Valet Veinard; Anneau de Padgref; Gant du Valet Veinard; Bouclier du Captain Amakna; Sangle Oriole; Coiffe de Padgref; Cape du Valet Veinard; Getas de Padgref; Dofus Ocre; Dofus Pourpre; Dofus des Glaces; Dofus Turquoise; Dofus Nébuleux; Equilibriste majeur; Muldo Prune et Ebène</t>
        </is>
      </c>
    </row>
    <row r="32767">
      <c r="A32767" t="inlineStr">
        <is>
          <t>vfds</t>
        </is>
      </c>
      <c r="B32767">
        <f>HYPERLINK("https://www.dofusbook.net/fr/equipement/2738123-vfds/objets", "link")</f>
        <v/>
      </c>
      <c r="C32767" t="n">
        <v>0</v>
      </c>
      <c r="D32767" t="inlineStr">
        <is>
          <t>Épée Brûlâme; Collier de la Dame du Hasard; Lavanneau; Anneau Tique; Quatre-feuilles; Ceintacé; Casquette de Meno; Cape de la Dame du Hasard; Sandales  d'Atcham; Dofus Pourpre; Dofus Nébuleux; Dofus Turquoise; Dofus Ocre; Dofus des Glaces; Vigoureux majeur; Muldo Orchidée et Emeraude</t>
        </is>
      </c>
    </row>
    <row r="32768">
      <c r="A32768" t="inlineStr">
        <is>
          <t>rfr</t>
        </is>
      </c>
      <c r="B32768">
        <f>HYPERLINK("https://www.dofusbook.net/fr/equipement/2723304-rfr/objets", "link")</f>
        <v/>
      </c>
      <c r="C32768" t="n">
        <v>0</v>
      </c>
      <c r="D32768" t="inlineStr"/>
    </row>
    <row r="32769">
      <c r="A32769" t="inlineStr">
        <is>
          <t>gtgt</t>
        </is>
      </c>
      <c r="B32769">
        <f>HYPERLINK("https://www.dofusbook.net/fr/equipement/2714065-gtgt/objets", "link")</f>
        <v/>
      </c>
      <c r="C32769" t="n">
        <v>0</v>
      </c>
      <c r="D32769" t="inlineStr">
        <is>
          <t>Dagues de Srambad; Amulette du Strigide; Alliance du Lévitrof; Bracelet du Piloztère; Quatre-feuilles; Ceintacé; Masque de Funespadon; Cape Ovri; Chaussons de Macrab; Dofus Ocre; Dofus Pourpre; Dofus des Glaces; Dofus Turquoise; Dofus Nébuleux; Vigoureux majeur; Muldo Pourpre et Emeraude</t>
        </is>
      </c>
    </row>
    <row r="32770">
      <c r="A32770" t="inlineStr">
        <is>
          <t>vfvf</t>
        </is>
      </c>
      <c r="B32770">
        <f>HYPERLINK("https://www.dofusbook.net/fr/equipement/2713989-vfvf/objets", "link")</f>
        <v/>
      </c>
      <c r="C32770" t="n">
        <v>2</v>
      </c>
      <c r="D32770" t="inlineStr">
        <is>
          <t>Marteau des égarés; Amulette du Strigide; Alliance Brûlâme; Alliance Gloursonne; Quatre-feuilles; Ceinture de l'Indicible; Le Dorado; Cape d'Atcham; Bottes du Strigide; Dofus Turquoise; Dofus Nébuleux; Dofus Ocre; Dofus Pourpre; Dofus des Glaces; Vigoureux majeur; Muldo Indigo et Emeraude</t>
        </is>
      </c>
    </row>
    <row r="32771">
      <c r="A32771" t="inlineStr">
        <is>
          <t>bhh</t>
        </is>
      </c>
      <c r="B32771">
        <f>HYPERLINK("https://www.dofusbook.net/fr/equipement/2708542-bhh/objets", "link")</f>
        <v/>
      </c>
      <c r="C32771" t="n">
        <v>0</v>
      </c>
      <c r="D32771" t="inlineStr">
        <is>
          <t>Dagues d'Ilyzaelle; Amulette du Cœur Saignant; Anneau Crustique; Anneau Crustique; Bouclier du Captain Amakna; Ceinture de Brouce; Masque de Koutoulou; Cape au Logis; Bottes du Cœur Saignant; Dofus Ocre; Dofus Pourpre; Dofus Nébuleux; Dofus Turquoise; Dofus des Glaces; Enragé majeur; Muldo Pourpre et Emeraude</t>
        </is>
      </c>
    </row>
    <row r="32772">
      <c r="A32772" t="inlineStr">
        <is>
          <t>ggggg</t>
        </is>
      </c>
      <c r="B32772">
        <f>HYPERLINK("https://www.dofusbook.net/fr/equipement/2708522-ggggg/objets", "link")</f>
        <v/>
      </c>
      <c r="C32772" t="n">
        <v>0</v>
      </c>
      <c r="D32772" t="inlineStr">
        <is>
          <t>Dagues d'Ilyzaelle; Amulette du Cœur Saignant; Anneau Crustique; Anneau Crustique; Quatre-feuilles; Ceinture de Brouce; Masque de Koutoulou; Cape au Logis; Bottes du Cœur Saignant; Dofus des Glaces; Dofus Pourpre; Dofus Ocre; Dofus Nébuleux; Enragé majeur; Observateur; Muldo Prune et Pourpre</t>
        </is>
      </c>
    </row>
    <row r="32773">
      <c r="A32773" t="inlineStr">
        <is>
          <t>ccddc</t>
        </is>
      </c>
      <c r="B32773">
        <f>HYPERLINK("https://www.dofusbook.net/fr/equipement/2708450-ccddc/objets", "link")</f>
        <v/>
      </c>
      <c r="C32773" t="n">
        <v>0</v>
      </c>
      <c r="D32773" t="inlineStr">
        <is>
          <t>Lav'Hache; Collier de Tourthon; Bracelet du Piloztère; Chevalière du Roi Joueur; Bouclier d'Ilyzaelle; Ceinture de Brouce; Masque de Koutoulou; Cape au Logis; Bottes de la Cour Sombre; Dofus Pourpre; Enragé majeur; Remueur; Vigoureux majeur; Nomade; Forcené majeur; Kramkram</t>
        </is>
      </c>
    </row>
    <row r="32774">
      <c r="A32774" t="inlineStr">
        <is>
          <t>ffffg</t>
        </is>
      </c>
      <c r="B32774">
        <f>HYPERLINK("https://www.dofusbook.net/fr/equipement/2570484-ffffg/objets", "link")</f>
        <v/>
      </c>
      <c r="C32774" t="n">
        <v>1</v>
      </c>
      <c r="D32774" t="inlineStr">
        <is>
          <t>Epée Maudite du Saigneur Guerrier; Collier Rophante; Anneauræus; Alliance Gloursonne; Bouclier Bontarien; Ceinture de Kongoku; Masque d'Anerice; Cape d'Anerice; Bottes Trithon; Dofus Émeraude; Dofus Ivoire; Dofus Ocre; Dofus Abyssal; Miraculé majeur; Remueur; Muldo Ebène et Pourpre</t>
        </is>
      </c>
    </row>
    <row r="32775">
      <c r="A32775" t="inlineStr">
        <is>
          <t>hgt</t>
        </is>
      </c>
      <c r="B32775">
        <f>HYPERLINK("https://www.dofusbook.net/fr/equipement/2570394-hgt/objets", "link")</f>
        <v/>
      </c>
      <c r="C32775" t="n">
        <v>0</v>
      </c>
      <c r="D32775" t="inlineStr">
        <is>
          <t>Epée Gloursonne; Amulette Voldelor; Bague Gloursonne; Alliance Gloursonne; Quatre-feuilles; Ceinture Voldelor; Némès de Tal Kasha; Chevelure de Tal Kasha; Sandales de Tal Kasha; Dofus Turquoise; Dolmanax; Dofus des Glaces; Dofus Pourpre; Dofus Nébuleux; Dofus Ocre; Muldo Prune et Emeraude</t>
        </is>
      </c>
    </row>
    <row r="32776">
      <c r="A32776" t="inlineStr">
        <is>
          <t>dee</t>
        </is>
      </c>
      <c r="B32776">
        <f>HYPERLINK("https://www.dofusbook.net/fr/equipement/2556127-dee/objets", "link")</f>
        <v/>
      </c>
      <c r="C32776" t="n">
        <v>0</v>
      </c>
      <c r="D32776" t="inlineStr">
        <is>
          <t>Manthache; Collier du Valet Veinard; Alliance Gloursonne; Gant du Valet Veinard; Ceinture de la Reine des Voleurs; Coiffe de la Reine des Voleurs; Cape du Valet Veinard; Bottes de la Reine des Voleurs</t>
        </is>
      </c>
    </row>
    <row r="32777">
      <c r="A32777" t="inlineStr">
        <is>
          <t>cccd</t>
        </is>
      </c>
      <c r="B32777">
        <f>HYPERLINK("https://www.dofusbook.net/fr/equipement/2556108-cccd/objets", "link")</f>
        <v/>
      </c>
      <c r="C32777" t="n">
        <v>0</v>
      </c>
      <c r="D32777" t="inlineStr">
        <is>
          <t>Lance Horselé; Amulette Voldelor; Anneau de Padgref; Anneau d'Allister; Sangle Oriole; Chapeau de Tournoyé; Cape Indescriptible; Palmes Trithons</t>
        </is>
      </c>
    </row>
    <row r="32778">
      <c r="A32778" t="inlineStr">
        <is>
          <t>szsz</t>
        </is>
      </c>
      <c r="B32778">
        <f>HYPERLINK("https://www.dofusbook.net/fr/equipement/2556010-szsz/objets", "link")</f>
        <v/>
      </c>
      <c r="C32778" t="n">
        <v>0</v>
      </c>
      <c r="D32778" t="inlineStr">
        <is>
          <t>Manthache; Collier du Valet Veinard; Alliance Gloursonne; Gant du Valet Veinard; Bouclier du Stalak; Menoture; Couronne d'Allister; Cape Indescriptible; Palmes Trithons; Dofus Ocre; Dofus des Glaces; Dofus Pourpre; Dofus Nébuleux; Vigoureux majeur; Cascadeur majeur; Muldo Doré et Ebène</t>
        </is>
      </c>
    </row>
    <row r="32779">
      <c r="A32779" t="inlineStr">
        <is>
          <t>fbfb</t>
        </is>
      </c>
      <c r="B32779">
        <f>HYPERLINK("https://www.dofusbook.net/fr/equipement/2540366-fbfb/objets", "link")</f>
        <v/>
      </c>
      <c r="C32779" t="n">
        <v>1</v>
      </c>
      <c r="D32779" t="inlineStr">
        <is>
          <t>Dagoulinantes; Amulette de Shokkoth; Bracelet des Fonds marins; Alliance Gloursonne; Bouclier d'Ilyzaelle; Poulpagne; Capuche de l'Œil Attentif; Cape du Sinistrofu; Sandales des Fonds marins; Dofus Pourpre; Dofus Nébuleux; Dofus Ocre; Dofus des Glaces; Carapace Air majeur; Chanceux majeur; Muldo Ebène et Indigo</t>
        </is>
      </c>
    </row>
    <row r="32780">
      <c r="A32780" t="inlineStr">
        <is>
          <t>tgtg</t>
        </is>
      </c>
      <c r="B32780">
        <f>HYPERLINK("https://www.dofusbook.net/fr/equipement/2498694-tgtg/objets", "link")</f>
        <v/>
      </c>
      <c r="C32780" t="n">
        <v>0</v>
      </c>
      <c r="D32780" t="inlineStr">
        <is>
          <t>Dagues Érhy; Amulette de Gein; Bague Gloursonne; Alliance Brûlâme; Bouclier du Captain Amakna; Ceinture de Gein; Chapeau de Gein; Sac Volcanique; Sabots Volcaniques; Dofus Ocre; Dofus Pourpre; Dofus des Glaces; Dofus Turquoise; Dofus Nébuleux; Dofus Ivoire; Muldo Prune et Indigo</t>
        </is>
      </c>
    </row>
    <row r="32781">
      <c r="A32781" t="inlineStr">
        <is>
          <t>rfrfrf</t>
        </is>
      </c>
      <c r="B32781">
        <f>HYPERLINK("https://www.dofusbook.net/fr/equipement/2498660-rfrfrf/objets", "link")</f>
        <v/>
      </c>
      <c r="C32781" t="n">
        <v>0</v>
      </c>
      <c r="D32781" t="inlineStr">
        <is>
          <t>Dofus Ivoire</t>
        </is>
      </c>
    </row>
    <row r="32782">
      <c r="A32782" t="inlineStr">
        <is>
          <t>uhuuh</t>
        </is>
      </c>
      <c r="B32782">
        <f>HYPERLINK("https://www.dofusbook.net/fr/equipement/2473520-uhuuh/objets", "link")</f>
        <v/>
      </c>
      <c r="C32782" t="n">
        <v>0</v>
      </c>
      <c r="D32782" t="inlineStr">
        <is>
          <t>Arc du Chalœil; Amulette du Cœur Saignant; Anneau Crustique; Anneau Crustique; Quatre-feuilles; Ceinture de Brouce; Masque de Koutoulou; Cape au Logis; Bottes du Cœur Saignant; Dofus Pourpre; Dofus des Glaces; Dofus Turquoise; Dofus Nébuleux; Dofus Ocre; Enragé majeur; Muldo Pourpre et Emeraude</t>
        </is>
      </c>
    </row>
    <row r="32783">
      <c r="A32783" t="inlineStr">
        <is>
          <t>fvfvf</t>
        </is>
      </c>
      <c r="B32783">
        <f>HYPERLINK("https://www.dofusbook.net/fr/equipement/2473434-fvfvf/objets", "link")</f>
        <v/>
      </c>
      <c r="C32783" t="n">
        <v>0</v>
      </c>
      <c r="D32783" t="inlineStr">
        <is>
          <t>Lance corrompue; Amulette du Cœur Vaillant; Anneau des égarés; Alliance Brûlâme; Bouclier du Captain Amakna; Ceintouse; Chapoulpe; Cape du Kamasterisk; Baleinabottes; Dofus Nébuleux; Dofus Ocre; Dofus Turquoise; Dofus des Glaces; Dofus Pourpre; Vigoureux majeur; Muldo Prune et Pourpre</t>
        </is>
      </c>
    </row>
    <row r="32784">
      <c r="A32784" t="inlineStr">
        <is>
          <t>htht</t>
        </is>
      </c>
      <c r="B32784">
        <f>HYPERLINK("https://www.dofusbook.net/fr/equipement/2472344-htht/objets", "link")</f>
        <v/>
      </c>
      <c r="C32784" t="n">
        <v>1</v>
      </c>
      <c r="D32784" t="inlineStr">
        <is>
          <t>Arc Hétype; Pendentif affamé; Anneauræus; Anneauræus; Bouclier Bontarien; Ceinture de Vortex; Masque du Katcheur; Cape de Diondin; Bottes Innommables; Dofus Ocre; Dofus Émeraude; Carapace Eau majeur; Miraculé majeur; Érudit majeur; Carapace Feu majeur; Muldo Ebène et Orchidée</t>
        </is>
      </c>
    </row>
    <row r="32785">
      <c r="A32785" t="inlineStr">
        <is>
          <t>drelett</t>
        </is>
      </c>
      <c r="B32785">
        <f>HYPERLINK("https://www.dofusbook.net/fr/equipement/2457872-drelett/objets", "link")</f>
        <v/>
      </c>
      <c r="C32785" t="n">
        <v>0</v>
      </c>
      <c r="D32785" t="inlineStr">
        <is>
          <t>Épée du Granduk; Amulette du Granduk; Anneau d'Allister; Anneau de Padgref; Quatre-feuilles; Menoture; Masque du Granduk; Cape Indescriptible; Getas de Padgref; Dofus Nébuleux; Dofus Ocre; Dofus Pourpre; Dofus des Glaces; Dofus Turquoise; Dévastateur Air majeur; Muldo Prune et Ebène</t>
        </is>
      </c>
    </row>
    <row r="32786">
      <c r="A32786" t="inlineStr">
        <is>
          <t>sharingan</t>
        </is>
      </c>
      <c r="B32786">
        <f>HYPERLINK("https://www.dofusbook.net/fr/equipement/2457789-sharingan/objets", "link")</f>
        <v/>
      </c>
      <c r="C32786" t="n">
        <v>1</v>
      </c>
      <c r="D32786" t="inlineStr">
        <is>
          <t>Pelle de la Cour Sombre; Pendentif mignon de Koutoulou; Alliance Gloursonne; Anneau Rifique; Quatre-feuilles; Menoture; Capuche de Moum-Ra; Cape Indescriptible; Palmes Trithons; Dofus des Glaces; Dofus Turquoise; Dofus Nébuleux; Dofus Ocre; Dévastateur Air majeur; Cascadeur majeur; Muldo Prune et Ebène</t>
        </is>
      </c>
    </row>
    <row r="32787">
      <c r="A32787" t="inlineStr">
        <is>
          <t>askip</t>
        </is>
      </c>
      <c r="B32787">
        <f>HYPERLINK("https://www.dofusbook.net/fr/equipement/2444138-askip/objets", "link")</f>
        <v/>
      </c>
      <c r="C32787" t="n">
        <v>0</v>
      </c>
      <c r="D32787" t="inlineStr">
        <is>
          <t>Arc de Koutoulou; Amulette Voldelor; Alliance Gloursonne; Bracelet du Piloztère; Quatre-feuilles; Ceinture Voldelor; Némès de Tal Kasha; Chevelure de Tal Kasha; Bottes Voldelor; Dofus Nébuleux; Dolmanax; Dofus Ocre; Dofus Pourpre; Dofus des Glaces; Dofus Turquoise; Muldo Prune et Ebène</t>
        </is>
      </c>
    </row>
    <row r="32788">
      <c r="A32788" t="inlineStr">
        <is>
          <t>akkquat</t>
        </is>
      </c>
      <c r="B32788">
        <f>HYPERLINK("https://www.dofusbook.net/fr/equipement/2444099-akkquat/objets", "link")</f>
        <v/>
      </c>
      <c r="C32788" t="n">
        <v>1</v>
      </c>
      <c r="D32788" t="inlineStr">
        <is>
          <t>Arc du Chalœil; Amulette du Cœur Saignant; Anneau Crustique; Anneau Crustique; Quatre-feuilles; Ceinture de Brouce; Masque de Koutoulou; Cape au Logis; Bottes du Cœur Saignant; Dofus des Glaces; Dofus Pourpre; Dofus Nébuleux; Dofus Ocre; Vigoureux majeur; Enragé majeur; Muldo Pourpre et Emeraude</t>
        </is>
      </c>
    </row>
    <row r="32789">
      <c r="A32789" t="inlineStr">
        <is>
          <t>DDZ</t>
        </is>
      </c>
      <c r="B32789">
        <f>HYPERLINK("https://www.dofusbook.net/fr/equipement/2444072-ddz/objets", "link")</f>
        <v/>
      </c>
      <c r="C32789" t="n">
        <v>0</v>
      </c>
      <c r="D32789" t="inlineStr">
        <is>
          <t>Epée Gloursonne; Amulette du Strigide; Alliance Gloursonne; Bague Gloursonne; Quatre-feuilles; Ceinture du Strigide; Némès de Tal Kasha; Chevelure de Tal Kasha; Bottes du Strigide; Dofus Nébuleux; Dolmanax; Dofus Ocre; Dofus Turquoise; Dofus des Glaces; Dofus Pourpre; Muldo Prune et Indigo</t>
        </is>
      </c>
    </row>
    <row r="32790">
      <c r="A32790" t="inlineStr">
        <is>
          <t>tqt</t>
        </is>
      </c>
      <c r="B32790">
        <f>HYPERLINK("https://www.dofusbook.net/fr/equipement/2431441-tqt/objets", "link")</f>
        <v/>
      </c>
      <c r="C32790" t="n">
        <v>1</v>
      </c>
      <c r="D32790" t="inlineStr">
        <is>
          <t>Dagoulinantes; Collier de la Dame du Hasard; Bracelet des Fonds marins; Alliance Gloursonne; Quatre-feuilles; Poulpagne; Capuche de l'Œil Attentif; Chevelure de Tal Kasha; Sandales de Tal Kasha; Dofus Pourpre; Dofus des Glaces; Dofus Turquoise; Dofus Nébuleux; Dofus Ocre; Chanceux majeur; Muldo Ebène et Indigo</t>
        </is>
      </c>
    </row>
    <row r="32791">
      <c r="A32791" t="inlineStr">
        <is>
          <t>deede</t>
        </is>
      </c>
      <c r="B32791">
        <f>HYPERLINK("https://www.dofusbook.net/fr/equipement/2429145-deede/objets", "link")</f>
        <v/>
      </c>
      <c r="C32791" t="n">
        <v>0</v>
      </c>
      <c r="D32791" t="inlineStr">
        <is>
          <t>Lance corrompue; Amulette du Cœur Vaillant; Alliance Brûlâme; Alliance Gloursonne; Bouclier du Captain Amakna; Ceintacé; Chapoulpe; Cape de la Fuji Givrefoux; Bottes du Cœur Vaillant; Dofus Nébuleux; Dofus Ocre; Dofus des Glaces; Dofus Pourpre; Enragé majeur; Vigoureux majeur; Kramkram</t>
        </is>
      </c>
    </row>
    <row r="32792">
      <c r="A32792" t="inlineStr">
        <is>
          <t>ededz</t>
        </is>
      </c>
      <c r="B32792">
        <f>HYPERLINK("https://www.dofusbook.net/fr/equipement/2429141-ededz/objets", "link")</f>
        <v/>
      </c>
      <c r="C32792" t="n">
        <v>0</v>
      </c>
      <c r="D32792" t="inlineStr"/>
    </row>
    <row r="32793">
      <c r="A32793" t="inlineStr">
        <is>
          <t>dzz</t>
        </is>
      </c>
      <c r="B32793">
        <f>HYPERLINK("https://www.dofusbook.net/fr/equipement/2402520-dzz/objets", "link")</f>
        <v/>
      </c>
      <c r="C32793" t="n">
        <v>1</v>
      </c>
      <c r="D32793" t="inlineStr">
        <is>
          <t>Sceptre du Roi Joueur; Amulette de Shokkoth; Alliance Gloursonne; Bracelet des Fonds marins; Quatre-feuilles; Poulpagne; Capuche de l'Œil Attentif; Cape de l'Œil Attentif; Bottes de la Dame du Hasard; Dofus des Glaces; Dofus Vulbis; Dofus Nébuleux; Dofus Ocre; Dévastateur Eau majeur; Chanceux majeur; Muldo Prune et Indigo</t>
        </is>
      </c>
    </row>
    <row r="32794">
      <c r="A32794" t="inlineStr">
        <is>
          <t>dede</t>
        </is>
      </c>
      <c r="B32794">
        <f>HYPERLINK("https://www.dofusbook.net/fr/equipement/2344642-dede/objets", "link")</f>
        <v/>
      </c>
      <c r="C32794" t="n">
        <v>0</v>
      </c>
      <c r="D32794" t="inlineStr">
        <is>
          <t>Arc du Chalœil; Collier de Tourthon; Anneau Crustique; Anneau Crustique; Quatre-feuilles; Ceinture de Brouce; Masque de Koutoulou; Cape du Cœur Saignant; Bottes du Cœur Saignant; Dofus Pourpre; Dofus Nébuleux; Dofus Ocre; Dofus des Glaces; Enragé majeur; Vigoureux majeur; Muldo Pourpre et Emeraude</t>
        </is>
      </c>
    </row>
    <row r="32795">
      <c r="A32795" t="inlineStr">
        <is>
          <t>ulllllk</t>
        </is>
      </c>
      <c r="B32795">
        <f>HYPERLINK("https://www.dofusbook.net/fr/equipement/2335550-ulllllk/objets", "link")</f>
        <v/>
      </c>
      <c r="C32795" t="n">
        <v>0</v>
      </c>
      <c r="D32795" t="inlineStr">
        <is>
          <t>Arc de Koutoulou; Amulette Voldelor; Anneau de Padgref; Alliance Gloursonne; Quatre-feuilles; Ceintacé; Casque d'Ilyzaelle; Chevelure de Tal Kasha; Sandales de Tal Kasha; Dofus Turquoise; Dofus des Glaces; Dofus Pourpre; Dofus Nébuleux; Dofus Ocre; Vigoureux majeur; Muldo Prune et Ebène</t>
        </is>
      </c>
    </row>
    <row r="32796">
      <c r="A32796" t="inlineStr">
        <is>
          <t>fff</t>
        </is>
      </c>
      <c r="B32796">
        <f>HYPERLINK("https://www.dofusbook.net/fr/equipement/2335487-fff/objets", "link")</f>
        <v/>
      </c>
      <c r="C32796" t="n">
        <v>3</v>
      </c>
      <c r="D32796" t="inlineStr">
        <is>
          <t>Epée Gloursonne; Amulette Ementaire Deluxe; Alliance Gloursonne; Bague Gloursonne; Bouclier du Stalak; Ceinture de l'Esprit Salvateur; Masque de l'Esprit Salvateur; Voile d'encre; Bottes de l'Esprit Salvateur; Dofus Pourpre; Dofus Nébuleux; Dofus Ocre; Dolmanax; Dofus des Glaces; Robuste majeur; Muldo Turquoise et Pourpre</t>
        </is>
      </c>
    </row>
    <row r="32797">
      <c r="A32797" t="inlineStr">
        <is>
          <t>legend</t>
        </is>
      </c>
      <c r="B32797">
        <f>HYPERLINK("https://www.dofusbook.net/fr/equipement/2335438-legend/objets", "link")</f>
        <v/>
      </c>
      <c r="C32797" t="n">
        <v>0</v>
      </c>
      <c r="D32797" t="inlineStr">
        <is>
          <t>Arc Nécrotique; Collier de la Dame du Hasard; Alliance Gloursonne; Bracelet du Piloztère; Quatre-feuilles; Ceinture de l'Esprit Malsain; Casquette de Meno; Cape de Diondin; Bottes de l'Esprit Malsain; Dofus des Glaces; Dofus Pourpre; Dofus Nébuleux; Dofus Turquoise; Dofus Ocre; Vigoureux majeur; Muldo Indigo et Orchidée</t>
        </is>
      </c>
    </row>
    <row r="32798">
      <c r="A32798" t="inlineStr">
        <is>
          <t>zeref</t>
        </is>
      </c>
      <c r="B32798">
        <f>HYPERLINK("https://www.dofusbook.net/fr/equipement/2318157-zeref/objets", "link")</f>
        <v/>
      </c>
      <c r="C32798" t="n">
        <v>0</v>
      </c>
      <c r="D32798" t="inlineStr">
        <is>
          <t>Arc corrompu; Amulette de Gein; Anneauræus; Anneauræus; Quatre-feuilles; Ceinture de Gein; Couronne du Roi Joueur; Cape de Diondin; Bottes Innommables; Dofus Pourpre; Dofus Nébuleux; Dofus Ocre; Dofus des Glaces; Érudit majeur; Vigoureux majeur; Muldo Prune et Emeraude</t>
        </is>
      </c>
    </row>
    <row r="32799">
      <c r="A32799" t="inlineStr">
        <is>
          <t>baggu</t>
        </is>
      </c>
      <c r="B32799">
        <f>HYPERLINK("https://www.dofusbook.net/fr/equipement/2260779-baggu/objets", "link")</f>
        <v/>
      </c>
      <c r="C32799" t="n">
        <v>0</v>
      </c>
      <c r="D32799" t="inlineStr">
        <is>
          <t>Dagoulinantes; Amulette de Shokkoth; Alliance Gloursonne; Bracelet des Fonds marins; Bouclier d'Ilyzaelle; Poulpagne; Capuche de l'Œil Attentif; Cape de l'Œil Attentif; Bottes du Sinistrofu; Dofus des Glaces; Dofus Turquoise; Dofus Nébuleux; Dofus Pourpre; Dofus Ocre; Chanceux majeur; Muldo Indigo et Emeraude</t>
        </is>
      </c>
    </row>
    <row r="32800">
      <c r="A32800" t="inlineStr">
        <is>
          <t>dvdv</t>
        </is>
      </c>
      <c r="B32800">
        <f>HYPERLINK("https://www.dofusbook.net/fr/equipement/2260710-dvdv/objets", "link")</f>
        <v/>
      </c>
      <c r="C32800" t="n">
        <v>0</v>
      </c>
      <c r="D32800" t="inlineStr">
        <is>
          <t>Arc de Koutoulou; Amulette d'Ilyzaelle; Alliance Gloursonne; Bracelet du Piloztère; Bouclier du Cycloïde; Ceinture de l'Esprit Salvateur; Casque d'Ilyzaelle; Cape Matelassée; Bottes du Strigide; Dofus Abyssal; Dofus Nébuleux; Dofus Ocre; Dofus Pourpre; Dofus des Glaces; Vigoureux majeur; Muldo Ebène et Indigo</t>
        </is>
      </c>
    </row>
    <row r="32801">
      <c r="A32801" t="inlineStr">
        <is>
          <t>fefrf</t>
        </is>
      </c>
      <c r="B32801">
        <f>HYPERLINK("https://www.dofusbook.net/fr/equipement/2214424-fefrf/objets", "link")</f>
        <v/>
      </c>
      <c r="C32801" t="n">
        <v>1</v>
      </c>
      <c r="D32801" t="inlineStr">
        <is>
          <t>Dagues Érhy; Amulette de l'Œil Putride; Alliance Gloursonne; Anneau Rifique; Quatre-feuilles; Ceinture du Strigide; Capuche de l'Œil Putride; Cape d'Atcham; Bottes du Katcheur; Dofus Ocre; Dofus des Glaces; Dofus Pourpre; Dofus Nébuleux; Remueur; Vigoureux majeur; Muldo Prune et Emeraude</t>
        </is>
      </c>
    </row>
    <row r="32802">
      <c r="A32802" t="inlineStr">
        <is>
          <t>lebes</t>
        </is>
      </c>
      <c r="B32802">
        <f>HYPERLINK("https://www.dofusbook.net/fr/equipement/2214341-lebes/objets", "link")</f>
        <v/>
      </c>
      <c r="C32802" t="n">
        <v>0</v>
      </c>
      <c r="D32802" t="inlineStr">
        <is>
          <t>Marteau de Katrepat; Amulette de l'Œil Putride; Alliance Brûlâme; Gelano; Quatre-feuilles; Ceinture du Strigide; Masque Brûlâme; Voile d'encre; Bottes du Katcheur; Dofus Pourpre; Dofus Nébuleux; Dofus Turquoise; Dofus Ocre; Dofus des Glaces; Remueur; Muldo Prune et Emeraude</t>
        </is>
      </c>
    </row>
    <row r="32803">
      <c r="A32803" t="inlineStr">
        <is>
          <t>bfvf</t>
        </is>
      </c>
      <c r="B32803">
        <f>HYPERLINK("https://www.dofusbook.net/fr/equipement/1980973-bfvf/objets", "link")</f>
        <v/>
      </c>
      <c r="C32803" t="n">
        <v>0</v>
      </c>
      <c r="D32803" t="inlineStr">
        <is>
          <t>Manthache; Collier du Valet Veinard; Alliance Gloursonne; Gant du Valet Veinard; Bouclier du Cycloïde; Menoture; Casque d'Ilyzaelle; Cape Indescriptible; Palmes Trithons; Dofus Pourpre; Dofus Nébuleux; Dofus des Glaces; Cascadeur majeur; Nomade; Remueur; Muldo Ebène</t>
        </is>
      </c>
    </row>
    <row r="32804">
      <c r="A32804" t="inlineStr">
        <is>
          <t>vfvfvf</t>
        </is>
      </c>
      <c r="B32804">
        <f>HYPERLINK("https://www.dofusbook.net/fr/equipement/1976529-vfvfvf/objets", "link")</f>
        <v/>
      </c>
      <c r="C32804" t="n">
        <v>0</v>
      </c>
      <c r="D32804" t="inlineStr">
        <is>
          <t>Dagues d'Ilyzaelle; Amulette du Cœur Saignant; Anneau Crustique; Anneau Crustique; Bouclier du Captain Amakna; Ceinture de Brouce; Masque de Koutoulou; Cape au Logis; Bottes du Cœur Saignant; Dofus Nébuleux; Dofus des Glaces; Dofus Ocre; Dofus Turquoise; Dofus Pourpre; Enragé majeur; Muldo Pourpre</t>
        </is>
      </c>
    </row>
    <row r="32805">
      <c r="A32805" t="inlineStr">
        <is>
          <t>ccdcdc</t>
        </is>
      </c>
      <c r="B32805">
        <f>HYPERLINK("https://www.dofusbook.net/fr/equipement/1976439-ccdcdc/objets", "link")</f>
        <v/>
      </c>
      <c r="C32805" t="n">
        <v>0</v>
      </c>
      <c r="D32805" t="inlineStr">
        <is>
          <t>Lance corrompue; Amulette du Cœur Vaillant; Anneau des égarés; Alliance Brûlâme; Bouclier d'Ilyzaelle; Ceintacé; Masque du Katcheur; Cape au Logis; Bottes du Katcheur; Dofus Ocre; Dofus Nébuleux; Dofus Pourpre; Dofus des Glaces; Enragé majeur; Vigoureux majeur; Muldo Ebène et Pourpre</t>
        </is>
      </c>
    </row>
    <row r="32806">
      <c r="A32806" t="inlineStr">
        <is>
          <t>ccxx</t>
        </is>
      </c>
      <c r="B32806">
        <f>HYPERLINK("https://www.dofusbook.net/fr/equipement/1602132-ccxx/objets", "link")</f>
        <v/>
      </c>
      <c r="C32806" t="n">
        <v>0</v>
      </c>
      <c r="D32806" t="inlineStr">
        <is>
          <t>Manthache; Collier du Valet Veinard; Alliance Gloursonne; Gant du Valet Veinard; Quatre-feuilles; Menoture; Couronne d'Allister; Cape Indescriptible; Palmes Trithons; Dofus Pourpre; Dofus des Glaces; Dofus Nébuleux; Remueur; Cascadeur majeur; Nomade; Siroko</t>
        </is>
      </c>
    </row>
    <row r="32807">
      <c r="A32807" t="inlineStr">
        <is>
          <t>Gggf</t>
        </is>
      </c>
      <c r="B32807">
        <f>HYPERLINK("https://www.dofusbook.net/fr/equipement/1548368-gggf/objets", "link")</f>
        <v/>
      </c>
      <c r="C32807" t="n">
        <v>0</v>
      </c>
      <c r="D32807" t="inlineStr">
        <is>
          <t>Baguette Hernelle; Pendentif mignon de Koutoulou; Alliance Gloursonne; Anneau de Padgref; Quatre-feuilles; Ceintacé; Casque Cyclopéen; Cape d'Atcham; Bottes du Katcheur; Dofus Pourpre; Dofus des Glaces; Dofus Turquoise; Vigoureux majeur; Nomade; Remueur; Muldo Ebène et Orchidée</t>
        </is>
      </c>
    </row>
    <row r="32808">
      <c r="A32808" t="inlineStr">
        <is>
          <t>cdcdc</t>
        </is>
      </c>
      <c r="B32808">
        <f>HYPERLINK("https://www.dofusbook.net/fr/equipement/1541147-cdcdc/objets", "link")</f>
        <v/>
      </c>
      <c r="C32808" t="n">
        <v>0</v>
      </c>
      <c r="D32808" t="inlineStr">
        <is>
          <t>La Baguette des Limbes; Amulette du Royalmouth; Gelano; Anneau Truche; Le Karde Cœur; Ceintruche; Coiffe du Disciple Zoth; Ortiz; Bottes du Dragoeuf; Dofus Pourpre; Dofus des Glaces; Observateur; Érudit; Remueur; Nomade; Kramkram</t>
        </is>
      </c>
    </row>
    <row r="32809">
      <c r="A32809" t="inlineStr">
        <is>
          <t>ffcvf</t>
        </is>
      </c>
      <c r="B32809">
        <f>HYPERLINK("https://www.dofusbook.net/fr/equipement/1525181-ffcvf/objets", "link")</f>
        <v/>
      </c>
      <c r="C32809" t="n">
        <v>0</v>
      </c>
      <c r="D32809" t="inlineStr">
        <is>
          <t>Dagues Érhy; Amulette de Gein; Bague Gloursonne; Chevalière du Roi Joueur; Bouclier du Captain Amakna; Ceinture du Strigide; Chapeau de Gein; Voile d'encre; Sabots Minables; Dofus Turquoise; Dofus des Glaces; Dofus Pourpre; Dofus Nébuleux; Remueur; Vigoureux majeur; Muldo Orchidée et Pourpre</t>
        </is>
      </c>
    </row>
    <row r="32810">
      <c r="A32810" t="inlineStr">
        <is>
          <t>ggfgfv</t>
        </is>
      </c>
      <c r="B32810">
        <f>HYPERLINK("https://www.dofusbook.net/fr/equipement/1525142-ggfgfv/objets", "link")</f>
        <v/>
      </c>
      <c r="C32810" t="n">
        <v>0</v>
      </c>
      <c r="D32810" t="inlineStr">
        <is>
          <t>Epée Gloursonne; Amulette du Strigide; Alliance Gloursonne; Bague Gloursonne; Quatre-feuilles; Ceinture du Strigide; Coiffe du Lévitrof; Cape de la Cour Sombre; Bottes du Strigide; Dofus Turquoise; Dofus Nébuleux; Dolmanax; Dofus Ocre; Dofus Pourpre; Dofus des Glaces; Muldo Indigo et Pourpre</t>
        </is>
      </c>
    </row>
    <row r="32811">
      <c r="A32811" t="inlineStr">
        <is>
          <t>ffvf</t>
        </is>
      </c>
      <c r="B32811">
        <f>HYPERLINK("https://www.dofusbook.net/fr/equipement/1523097-ffvf/objets", "link")</f>
        <v/>
      </c>
      <c r="C32811" t="n">
        <v>1</v>
      </c>
      <c r="D32811" t="inlineStr">
        <is>
          <t>Dagues Ricol; Pendentif affamé; Anneauræus; Anneauræus; Bouclier du Captain Amakna; Ceinture de Gein; Chapeau de Gein; Cape de Diondin; Bottes Innommables; Dofus Pourpre; Dofus Turquoise; Dofus des Glaces; Dofus Nébuleux; Érudit majeur; Remueur; Muldo Indigo et Orchidée</t>
        </is>
      </c>
    </row>
    <row r="32812">
      <c r="A32812" t="inlineStr">
        <is>
          <t>fffcc</t>
        </is>
      </c>
      <c r="B32812">
        <f>HYPERLINK("https://www.dofusbook.net/fr/equipement/1523042-fffcc/objets", "link")</f>
        <v/>
      </c>
      <c r="C32812" t="n">
        <v>0</v>
      </c>
      <c r="D32812" t="inlineStr">
        <is>
          <t>Pelle de la Cour Sombre; Collier du Valet Veinard; Gant du Valet Veinard; Anneau Rifique; Bouclier du Stalak; Menoture; Couronne d'Allister; Cape Indescriptible; Palmes Trithons; Dofus Abyssal; Dofus des Glaces; Dévastateur Air majeur; Cascadeur majeur; Remueur; Miraculé majeur; Muldo Ebène et Orchidée</t>
        </is>
      </c>
    </row>
    <row r="32813">
      <c r="A32813" t="inlineStr">
        <is>
          <t>ssqs</t>
        </is>
      </c>
      <c r="B32813">
        <f>HYPERLINK("https://www.dofusbook.net/fr/equipement/1508557-ssqs/objets", "link")</f>
        <v/>
      </c>
      <c r="C32813" t="n">
        <v>0</v>
      </c>
      <c r="D32813" t="inlineStr">
        <is>
          <t>Plumeau Bil; Pendentif mignon de Koutoulou; Anneauræus; Anneauræus; Quatre-feuilles; Ceinture Séculaire; Casque Cyclopéen; Cape de Diondin; Bottes Innommables; Dofus Nébuleux; Dofus Pourpre; Dofus des Glaces; Remueur; Érudit majeur; Dévastateur Feu majeur; Muldo Indigo et Orchidée</t>
        </is>
      </c>
    </row>
    <row r="32814">
      <c r="A32814" t="inlineStr">
        <is>
          <t>vvcvvv</t>
        </is>
      </c>
      <c r="B32814">
        <f>HYPERLINK("https://www.dofusbook.net/fr/equipement/1508534-vvcvvv/objets", "link")</f>
        <v/>
      </c>
      <c r="C32814" t="n">
        <v>0</v>
      </c>
      <c r="D32814" t="inlineStr">
        <is>
          <t>Pyraguette; Talisman Igans; Alliance Gloursonne; Anneau Tique; Quatre-feuilles; Ceintrigue; Chapeau des Malveilleurs; Cape de la Dame du Hasard; Pataugastrique; Dofus Pourpre; Dofus des Glaces; Dofus Nébuleux; Érudit majeur; Remueur; Vigoureux majeur; Muldo Indigo et Orchidée</t>
        </is>
      </c>
    </row>
    <row r="32815">
      <c r="A32815" t="inlineStr">
        <is>
          <t>vvvv</t>
        </is>
      </c>
      <c r="B32815">
        <f>HYPERLINK("https://www.dofusbook.net/fr/equipement/1508530-vvvv/objets", "link")</f>
        <v/>
      </c>
      <c r="C32815" t="n">
        <v>0</v>
      </c>
      <c r="D32815" t="inlineStr"/>
    </row>
    <row r="32816">
      <c r="A32816" t="inlineStr">
        <is>
          <t>ffvf</t>
        </is>
      </c>
      <c r="B32816">
        <f>HYPERLINK("https://www.dofusbook.net/fr/equipement/1508448-ffvf/objets", "link")</f>
        <v/>
      </c>
      <c r="C32816" t="n">
        <v>0</v>
      </c>
      <c r="D32816" t="inlineStr">
        <is>
          <t>Dagoulinantes; Amulette de Shokkoth; Alliance Gloursonne; Bracelet des Fonds marins; Bouclier du Captain Amakna; Poulpagne; Masque des Fonds marins; Cape de Mantaze; Bottes de la Dame du Hasard; Dofus des Glaces; Dofus Nébuleux; Dofus Pourpre; Dofus Ocre; Vigoureux majeur; Chanceux majeur; Muldo Indigo et Pourpre</t>
        </is>
      </c>
    </row>
    <row r="32817">
      <c r="A32817" t="inlineStr">
        <is>
          <t>gghh</t>
        </is>
      </c>
      <c r="B32817">
        <f>HYPERLINK("https://www.dofusbook.net/fr/equipement/1508263-gghh/objets", "link")</f>
        <v/>
      </c>
      <c r="C32817" t="n">
        <v>0</v>
      </c>
      <c r="D32817" t="inlineStr">
        <is>
          <t>Dague Hirr; Amulette du Cycloïde; Bracelet du Piloztère; Anneau des égarés; Ambrouclier; Ceintouse; Chapoulpe; Cape du Kamasterisk; Baleinabottes; Dofus des Glaces; Dofus Pourpre; Fonceur majeur; Vigoureux majeur; Étourdisseur majeur; Remueur; Muldo Indigo et Pourpre</t>
        </is>
      </c>
    </row>
    <row r="32818">
      <c r="A32818" t="inlineStr">
        <is>
          <t>fffccdcd</t>
        </is>
      </c>
      <c r="B32818">
        <f>HYPERLINK("https://www.dofusbook.net/fr/equipement/1506681-fffccdcd/objets", "link")</f>
        <v/>
      </c>
      <c r="C32818" t="n">
        <v>0</v>
      </c>
      <c r="D32818" t="inlineStr">
        <is>
          <t>Harpelle; Amulette de Nileza; Anneauræus; Anneauræus; Quatre-feuilles; Ceinture de Gein; Casque Cyclopéen; Cape de Diondin; Bottes Innommables; Dofus des Glaces; Dofus Turquoise; Dofus Nébuleux; Dofus Pourpre; Érudit majeur; Remueur; Muldo Indigo et Pourpre</t>
        </is>
      </c>
    </row>
    <row r="32819">
      <c r="A32819" t="inlineStr">
        <is>
          <t>ffffvvf</t>
        </is>
      </c>
      <c r="B32819">
        <f>HYPERLINK("https://www.dofusbook.net/fr/equipement/1506343-ffffvvf/objets", "link")</f>
        <v/>
      </c>
      <c r="C32819" t="n">
        <v>0</v>
      </c>
      <c r="D32819" t="inlineStr">
        <is>
          <t>Dagoulinantes; Amulette Luminescente; Bracelet des Fonds marins; Alliance Gloursonne; Bouclier du Stalak; Ceinture Luminescente; Masque des Fonds marins; Cape Luminescente; Sandales des Fonds marins; Dofus Nébuleux; Dofus Ocre; Dofus Vulbis; Dofus des Glaces; Dofus Pourpre; Taquin majeur; Dehluge</t>
        </is>
      </c>
    </row>
    <row r="32820">
      <c r="A32820" t="inlineStr">
        <is>
          <t>Gggv</t>
        </is>
      </c>
      <c r="B32820">
        <f>HYPERLINK("https://www.dofusbook.net/fr/equipement/1499400-gggv/objets", "link")</f>
        <v/>
      </c>
      <c r="C32820" t="n">
        <v>0</v>
      </c>
      <c r="D32820" t="inlineStr">
        <is>
          <t>Hache du Korriandre; Amulette Voldelor; Bracelet des Fonds marins; Alliance Gloursonne; Bouclier du Captain Amakna; Ceinture Voldelor; Némès de Tal Kasha; Chevelure de Tal Kasha; Sandales de Tal Kasha; Dofus Turquoise; Dofus des Glaces; Dofus Pourpre; Dofus Nébuleux; Dolmanax; Dofus Ocre; Muldo Prune et Ebène</t>
        </is>
      </c>
    </row>
    <row r="32821">
      <c r="A32821" t="inlineStr">
        <is>
          <t>fffvd</t>
        </is>
      </c>
      <c r="B32821">
        <f>HYPERLINK("https://www.dofusbook.net/fr/equipement/1499390-fffvd/objets", "link")</f>
        <v/>
      </c>
      <c r="C32821" t="n">
        <v>0</v>
      </c>
      <c r="D32821" t="inlineStr">
        <is>
          <t>Sabres d'Atcham; Amulette de l'Indicible; Alliance du Lévitrof; Alliance Gloursonne; Quatre-feuilles; Ceinture de l'Indicible; Coiffe du Lévitrof; Cape d'Atcham; Sandales  d'Atcham; Dofus Nébuleux; Dolmanax; Dofus Ocre; Dofus Pourpre; Dofus des Glaces; Dofus Turquoise; Muldo Indigo et Orchidée</t>
        </is>
      </c>
    </row>
    <row r="32822">
      <c r="A32822" t="inlineStr">
        <is>
          <t>cccccv</t>
        </is>
      </c>
      <c r="B32822">
        <f>HYPERLINK("https://www.dofusbook.net/fr/equipement/1493789-cccccv/objets", "link")</f>
        <v/>
      </c>
      <c r="C32822" t="n">
        <v>0</v>
      </c>
      <c r="D32822" t="inlineStr">
        <is>
          <t>Sabres d'Atcham; Pendentif mignon de Koutoulou; Anneau de Padgref; Anneau Rifique; Quatre-feuilles; Ceinture de l'Indicible; Casque Cyclopéen; Cape d'Atcham; Sandales  d'Atcham; Dofus Turquoise; Dofus des Glaces; Dofus Pourpre; Dofus Nébuleux; Dofus Vulbis; Dofus Ocre; Muldo Prune et Emeraude</t>
        </is>
      </c>
    </row>
    <row r="32823">
      <c r="A32823" t="inlineStr">
        <is>
          <t>zzeeff</t>
        </is>
      </c>
      <c r="B32823">
        <f>HYPERLINK("https://www.dofusbook.net/fr/equipement/1492587-zzeeff/objets", "link")</f>
        <v/>
      </c>
      <c r="C32823" t="n">
        <v>0</v>
      </c>
      <c r="D32823" t="inlineStr">
        <is>
          <t>Dagues Érhy; Amulette de Gein; Chevalière du Roi Joueur; Bague Gloursonne; Bouclier du Captain Amakna; Ceinture de Gein; Chapeau de Gein; Cape au Logis; Bottes du Roi Joueur; Dofus Nébuleux; Dofus Ocre; Dofus Pourpre; Dofus des Glaces; Dofus Turquoise; Vigoureux majeur; Kramkram</t>
        </is>
      </c>
    </row>
    <row r="32824">
      <c r="A32824" t="inlineStr">
        <is>
          <t>hghgnnnn</t>
        </is>
      </c>
      <c r="B32824">
        <f>HYPERLINK("https://www.dofusbook.net/fr/equipement/1492567-hghgnnnn/objets", "link")</f>
        <v/>
      </c>
      <c r="C32824" t="n">
        <v>0</v>
      </c>
      <c r="D32824" t="inlineStr">
        <is>
          <t>Epée Gloursonne; Amulette du Kamasterisk; Bague Gloursonne; Alliance Gloursonne; Bouclier du Captain Amakna; Ceintouse; Chapoulpe; Cape du Kamasterisk; Tentassons; Dofus Pourpre; Dofus Nébuleux; Dofus Ocre; Dofus Abyssal; Dofus Vulbis; Dofus des Glaces; Kramkram</t>
        </is>
      </c>
    </row>
    <row r="32825">
      <c r="A32825" t="inlineStr">
        <is>
          <t>gghhgh</t>
        </is>
      </c>
      <c r="B32825">
        <f>HYPERLINK("https://www.dofusbook.net/fr/equipement/1492565-gghhgh/objets", "link")</f>
        <v/>
      </c>
      <c r="C32825" t="n">
        <v>0</v>
      </c>
      <c r="D32825" t="inlineStr"/>
    </row>
    <row r="32826">
      <c r="A32826" t="inlineStr">
        <is>
          <t>vv v</t>
        </is>
      </c>
      <c r="B32826">
        <f>HYPERLINK("https://www.dofusbook.net/fr/equipement/1463515-vv-v/objets", "link")</f>
        <v/>
      </c>
      <c r="C32826" t="n">
        <v>0</v>
      </c>
      <c r="D32826" t="inlineStr">
        <is>
          <t>Arc du Chalœil; Collier de Tourthon; Anneau Crustique; Anneau Crustique; Quatre-feuilles; Ceinture de la Cour Sombre; Masque de Koutoulou; Cape de la Cour Sombre; Bottes de la Cour Sombre; Dofus Pourpre; Dofus des Glaces; Dofus Vulbis; Dofus Nébuleux; Dofus Ocre; Dofus Abyssal; Muldo Indigo et Pourpre</t>
        </is>
      </c>
    </row>
    <row r="32827">
      <c r="A32827" t="inlineStr">
        <is>
          <t>fff</t>
        </is>
      </c>
      <c r="B32827">
        <f>HYPERLINK("https://www.dofusbook.net/fr/equipement/1484041-fff/objets", "link")</f>
        <v/>
      </c>
      <c r="C32827" t="n">
        <v>0</v>
      </c>
      <c r="D32827" t="inlineStr">
        <is>
          <t>Dagues Érhy; Amulette de Gein; Chevalière du Roi Joueur; Anneau Crustique; Ceintacé; Masque du Katcheur; Voile d'encre; Bottes du Katcheur; Dofus Pourpre; Dofus Nébuleux; Dofus Ocre; Dofus Abyssal; Dofus Vulbis; Dofus des Glaces</t>
        </is>
      </c>
    </row>
    <row r="32828">
      <c r="A32828" t="inlineStr">
        <is>
          <t>dssssxs</t>
        </is>
      </c>
      <c r="B32828">
        <f>HYPERLINK("https://www.dofusbook.net/fr/equipement/1483996-dssssxs/objets", "link")</f>
        <v/>
      </c>
      <c r="C32828" t="n">
        <v>2</v>
      </c>
      <c r="D32828" t="inlineStr">
        <is>
          <t>Marteau de Katrepat; Amulette du Cycloïde; Bague Gloursonne; Chevalière du Roi Joueur; Bouclier du Stalak; Ceinture de l'Indicible; Couronne du Roi Joueur; Cape de Diondin; Bottes du Katcheur; Dofus Vulbis; Dofus Nébuleux; Dofus Ocre; Dofus Abyssal; Dofus Pourpre; Dofus des Glaces</t>
        </is>
      </c>
    </row>
    <row r="32829">
      <c r="A32829" t="inlineStr">
        <is>
          <t>xxxd</t>
        </is>
      </c>
      <c r="B32829">
        <f>HYPERLINK("https://www.dofusbook.net/fr/equipement/1477982-xxxd/objets", "link")</f>
        <v/>
      </c>
      <c r="C32829" t="n">
        <v>0</v>
      </c>
      <c r="D32829" t="inlineStr">
        <is>
          <t>Épée d'Otomaï; Pendentif affamé; Anneauræus; Anneauræus; Ambrouclier; Ceinture de Gein; Chapeau de Gein; Cape de Diondin; Bottes Innommables; Dofus Ocre; Dofus Pourpre; Dofus Nébuleux; Dofus des Glaces; Dévastateur Feu majeur; Érudit majeur; Muldo Indigo et Orchidée</t>
        </is>
      </c>
    </row>
    <row r="32830">
      <c r="A32830" t="inlineStr">
        <is>
          <t>ffrfr</t>
        </is>
      </c>
      <c r="B32830">
        <f>HYPERLINK("https://www.dofusbook.net/fr/equipement/1464890-ffrfr/objets", "link")</f>
        <v/>
      </c>
      <c r="C32830" t="n">
        <v>0</v>
      </c>
      <c r="D32830" t="inlineStr">
        <is>
          <t>Marteau de Katrepat; Amulette de Gein; Alliance du Lévitrof; Bracelet du Piloztère; Bouclier du Captain Amakna; Ceintacé; Masque du Katcheur; Cape d'Atcham; Bottes du Katcheur; Dofus Pourpre; Dofus des Glaces; Dofus Ocre; Dofus Nébuleux; Dofus Turquoise; Vigoureux majeur; Muldo Prune et Emeraude</t>
        </is>
      </c>
    </row>
    <row r="32831">
      <c r="A32831" t="inlineStr">
        <is>
          <t>qqqqq</t>
        </is>
      </c>
      <c r="B32831">
        <f>HYPERLINK("https://www.dofusbook.net/fr/equipement/1464298-qqqqq/objets", "link")</f>
        <v/>
      </c>
      <c r="C32831" t="n">
        <v>0</v>
      </c>
      <c r="D32831" t="inlineStr">
        <is>
          <t>Manthache; Collier du Valet Veinard; Gant du Valet Veinard; Alliance Gloursonne; Bouclier du Stalak; Menoture; Couronne d'Allister; Cape Indescriptible; Palmes Trithons; Dofus des Glaces; Dofus Nébuleux; Miraculé majeur; Remueur; Dévastateur Air majeur; Cascadeur majeur; Muldo Ebène et Indigo</t>
        </is>
      </c>
    </row>
    <row r="32832">
      <c r="A32832" t="inlineStr">
        <is>
          <t>bbgbg</t>
        </is>
      </c>
      <c r="B32832">
        <f>HYPERLINK("https://www.dofusbook.net/fr/equipement/1463577-bbgbg/objets", "link")</f>
        <v/>
      </c>
      <c r="C32832" t="n">
        <v>0</v>
      </c>
      <c r="D32832" t="inlineStr">
        <is>
          <t>Hache du Korriandre; Amulette Voldelor; Bracelet du Piloztère; Alliance Gloursonne; Bouclier du Captain Amakna; Ceinture du Strigide; Némès de Tal Kasha; Chevelure de Tal Kasha; Pataugastrique; Dofus des Glaces; Dofus Turquoise; Dofus Nébuleux; Dofus Pourpre; Vigoureux majeur; Remueur; Muldo Prune et Emeraude</t>
        </is>
      </c>
    </row>
    <row r="32833">
      <c r="A32833" t="inlineStr">
        <is>
          <t>bbbb</t>
        </is>
      </c>
      <c r="B32833">
        <f>HYPERLINK("https://www.dofusbook.net/fr/equipement/1463502-bbbb/objets", "link")</f>
        <v/>
      </c>
      <c r="C32833" t="n">
        <v>0</v>
      </c>
      <c r="D32833" t="inlineStr">
        <is>
          <t>Manthache; Collier du Valet Veinard; Alliance Gloursonne; Gant du Valet Veinard; Bouclier du Stalak; Ceinture de la Reine des Voleurs; Coiffe de la Reine des Voleurs; Cape du Valet Veinard; Bottes de la Reine des Voleurs; Dofus Pourpre; Dofus des Glaces; Dofus Vulbis; Dofus Nébuleux; Dofus Émeraude; Dofus Ocre; Pioute jaune</t>
        </is>
      </c>
    </row>
    <row r="32834">
      <c r="A32834" t="inlineStr">
        <is>
          <t>Fagsj</t>
        </is>
      </c>
      <c r="B32834">
        <f>HYPERLINK("https://www.dofusbook.net/fr/equipement/1450083-fagsj/objets", "link")</f>
        <v/>
      </c>
      <c r="C32834" t="n">
        <v>0</v>
      </c>
      <c r="D32834" t="inlineStr">
        <is>
          <t>Manthache; Collier du Valet Veinard; Gant du Valet Veinard; Alliance Gloursonne; Quatre-feuilles; Ceintouse; Chapoulpe; Cape du Valet Veinard; Tentassons; Dofus Ocre; Dofus Pourpre; Dofus des Glaces; Dofus Vulbis; Dofus Nébuleux; Equilibriste majeur; Siroko</t>
        </is>
      </c>
    </row>
    <row r="32835">
      <c r="A32835" t="inlineStr">
        <is>
          <t>bbggb</t>
        </is>
      </c>
      <c r="B32835">
        <f>HYPERLINK("https://www.dofusbook.net/fr/equipement/1448906-bbggb/objets", "link")</f>
        <v/>
      </c>
      <c r="C32835" t="n">
        <v>0</v>
      </c>
      <c r="D32835" t="inlineStr">
        <is>
          <t>Harpelle; Pendentif affamé; Anneau Tique; Anneau Rifique; Bouclier du Captain Amakna; Ceinture de Gein; Casque Cyclopéen; Cape de Diondin; Bottes Innommables; Dofus des Glaces; Dofus Pourpre; Dofus Nébuleux; Dofus Turquoise; Remueur; Érudit majeur; Muldo Prune et Pourpre</t>
        </is>
      </c>
    </row>
    <row r="32836">
      <c r="A32836" t="inlineStr">
        <is>
          <t>gggffg</t>
        </is>
      </c>
      <c r="B32836">
        <f>HYPERLINK("https://www.dofusbook.net/fr/equipement/1448685-gggffg/objets", "link")</f>
        <v/>
      </c>
      <c r="C32836" t="n">
        <v>1</v>
      </c>
      <c r="D32836" t="inlineStr">
        <is>
          <t>Manthache; Amulette Voldelor; Gant du Valet Veinard; Alliance Gloursonne; Bouclier du Cycloïde; Menoture; Couronne d'Allister; Cape Indescriptible; Palmes Trithons; Dofus Ocre; Dofus Vulbis; Dofus Nébuleux; Dofus des Glaces; Dévastateur Air majeur; Cascadeur majeur; Pioute jaune</t>
        </is>
      </c>
    </row>
    <row r="32837">
      <c r="A32837" t="inlineStr">
        <is>
          <t>vvv</t>
        </is>
      </c>
      <c r="B32837">
        <f>HYPERLINK("https://www.dofusbook.net/fr/equipement/1440383-vvv/objets", "link")</f>
        <v/>
      </c>
      <c r="C32837" t="n">
        <v>0</v>
      </c>
      <c r="D32837" t="inlineStr">
        <is>
          <t>Hachoirs de Viandargh; Amulette Voldelor; Alliance Gloursonne; Gant du Valet Veinard; Bouclier du Captain Amakna; Menoture; Couronne d'Allister; Cape Indescriptible; Bottes Voldelor; Dofus Nébuleux; Dofus Pourpre; Dofus des Glaces; Remueur; Cascadeur majeur; Vigoureux majeur</t>
        </is>
      </c>
    </row>
    <row r="32838">
      <c r="A32838" t="inlineStr">
        <is>
          <t>bgg</t>
        </is>
      </c>
      <c r="B32838">
        <f>HYPERLINK("https://www.dofusbook.net/fr/equipement/1439309-bgg/objets", "link")</f>
        <v/>
      </c>
      <c r="C32838" t="n">
        <v>0</v>
      </c>
      <c r="D32838" t="inlineStr">
        <is>
          <t>Amulette de Gein; Ceinture de Gein; Chapeau de Gein</t>
        </is>
      </c>
    </row>
    <row r="32839">
      <c r="A32839" t="inlineStr">
        <is>
          <t>Stuff 1</t>
        </is>
      </c>
      <c r="B32839">
        <f>HYPERLINK("https://www.dofusbook.net/fr/equipement/390692-stuff-1/objets", "link")</f>
        <v/>
      </c>
      <c r="C32839" t="n">
        <v>0</v>
      </c>
      <c r="D32839" t="inlineStr">
        <is>
          <t>Dagoulinantes; Amulette de Shokkoth; Alliance Gloursonne; Bracelet des Fonds marins; Bouclier du Captain Amakna; Poulpagne; Masque des Fonds marins; Cape du Sinistrofu; Bottes du Nocturlabe; Dofus des Glaces; Dofus Nébuleux; Dofus Pourpre; Dofus Turquoise; Dofus Ocre; Chanceux majeur; Muldo Indigo et Pourpre</t>
        </is>
      </c>
    </row>
    <row r="32840">
      <c r="A32840" t="inlineStr">
        <is>
          <t>test</t>
        </is>
      </c>
      <c r="B32840">
        <f>HYPERLINK("https://www.dofusbook.net/fr/equipement/1439332-test/objets", "link")</f>
        <v/>
      </c>
      <c r="C32840" t="n">
        <v>0</v>
      </c>
      <c r="D32840" t="inlineStr">
        <is>
          <t>Sabres d'Atcham; Amulette du Strigide; Anneau de Padgref; Anneau Rifique; Bouclier du Captain Amakna; Ceinture du Strigide; Casque Cyclopéen; Cape d'Atcham; Bottes du Strigide; Dofus Pourpre; Dofus des Glaces; Dofus Turquoise; Dofus Nébuleux; Dofus Ocre; Dofus Abyssal; Muldo Prune et Indigo</t>
        </is>
      </c>
    </row>
    <row r="32841">
      <c r="A32841" t="inlineStr">
        <is>
          <t>Stuff 3</t>
        </is>
      </c>
      <c r="B32841">
        <f>HYPERLINK("https://www.dofusbook.net/fr/equipement/390694-stuff-3/objets", "link")</f>
        <v/>
      </c>
      <c r="C32841" t="n">
        <v>0</v>
      </c>
      <c r="D32841" t="inlineStr">
        <is>
          <t>Dagoulinantes; Amulette de Shokkoth; Alliance Gloursonne; Bracelet des Fonds marins; Bouclier du Captain Amakna; Poulpagne; Masque des Fonds marins; Cape du Sinistrofu; Bottes du Nocturlabe; Dofus Pourpre; Dofus des Glaces; Dofus Nébuleux; Chanceux majeur; Dévastateur Eau majeur; Remueur; Muldo Indigo et Pourpre</t>
        </is>
      </c>
    </row>
    <row r="32842">
      <c r="A32842" t="inlineStr">
        <is>
          <t>dedede</t>
        </is>
      </c>
      <c r="B32842">
        <f>HYPERLINK("https://www.dofusbook.net/fr/equipement/1394631-dedede/objets", "link")</f>
        <v/>
      </c>
      <c r="C32842" t="n">
        <v>0</v>
      </c>
      <c r="D32842" t="inlineStr">
        <is>
          <t>Bêche Asse; Collier de Tourthon; Anneau Crustique; Anneau Crustique; Bouclier du Captain Amakna; Ceinture de la Cour Sombre; Masque de Koutoulou; Cape au Logis; Bottes de la Cour Sombre; Dofus Pourpre; Dofus Nébuleux; Dofus Ocre; Dofus des Glaces; Enragé majeur; Vigoureux majeur; Muldo Indigo et Pourpre</t>
        </is>
      </c>
    </row>
    <row r="32843">
      <c r="A32843" t="inlineStr">
        <is>
          <t>kkj</t>
        </is>
      </c>
      <c r="B32843">
        <f>HYPERLINK("https://www.dofusbook.net/fr/equipement/1384996-kkj/objets", "link")</f>
        <v/>
      </c>
      <c r="C32843" t="n">
        <v>0</v>
      </c>
      <c r="D32843" t="inlineStr">
        <is>
          <t>Marteau des égarés; Amulette de l'Indicible; Alliance du Lévitrof; Alliance Gloursonne; Bouclier du Captain Amakna; Ceinture du Strigide; Le Dorado; Voilamibe; Bottes du Strigide; Dolmanax; Dofus Pourpre; Dofus des Glaces; Dofus Ocre; Dofus Nébuleux; Vigoureux majeur; Kramkram</t>
        </is>
      </c>
    </row>
    <row r="32844">
      <c r="A32844" t="inlineStr">
        <is>
          <t>b b</t>
        </is>
      </c>
      <c r="B32844">
        <f>HYPERLINK("https://www.dofusbook.net/fr/equipement/1377864-b-b-/objets", "link")</f>
        <v/>
      </c>
      <c r="C32844" t="n">
        <v>0</v>
      </c>
      <c r="D32844" t="inlineStr">
        <is>
          <t>Arc du Chalœil; Collier de Tourthon; Anneau de Brouce; Anneau Crustique; Quatre-feuilles; Ceinture de la Reine des Voleurs; Masque de Koutoulou; Cape de la Cour Sombre; Bottes de la Cour Sombre; Dofus Pourpre; Dofus Nébuleux; Dofus Ocre; Dofus des Glaces; Carapace Eau majeur; Enragé majeur; Muldo Indigo et Pourpre</t>
        </is>
      </c>
    </row>
    <row r="32845">
      <c r="A32845" t="inlineStr">
        <is>
          <t>vfvf</t>
        </is>
      </c>
      <c r="B32845">
        <f>HYPERLINK("https://www.dofusbook.net/fr/equipement/1375870-vfvf/objets", "link")</f>
        <v/>
      </c>
      <c r="C32845" t="n">
        <v>0</v>
      </c>
      <c r="D32845" t="inlineStr">
        <is>
          <t>Epée Gloursonne; Amulette du Strigide; Bague Gloursonne; Alliance Gloursonne; Bouclier d'Anerice; Ceinture du Strigide; Masque d'Anerice; Cape d'Anerice; Bottes du Strigide; Dofus Pourpre; Dofus des Glaces; Dofus Ocre; Dofus Nébuleux; Dolmanax; Dokoko; Muldo Indigo et Emeraude</t>
        </is>
      </c>
    </row>
    <row r="32846">
      <c r="A32846" t="inlineStr">
        <is>
          <t>chavcal</t>
        </is>
      </c>
      <c r="B32846">
        <f>HYPERLINK("https://www.dofusbook.net/fr/equipement/1353675-chavcal/objets", "link")</f>
        <v/>
      </c>
      <c r="C32846" t="n">
        <v>0</v>
      </c>
      <c r="D32846" t="inlineStr">
        <is>
          <t>Arc de Koutoulou; Amulette Voldelor; Anneau Tique; Alliance Gloursonne; Quatre-feuilles; Ceinture Voldelor; Némès de Tal Kasha; Cape d'Atcham; Bottes de la Reine des Voleurs; Dofus Ocre; Dofus Pourpre; Dofus des Glaces; Dofus Turquoise; Dofus Nébuleux; Remueur; Muldo Turquoise et Ebène</t>
        </is>
      </c>
    </row>
    <row r="32847">
      <c r="A32847" t="inlineStr">
        <is>
          <t>szsz</t>
        </is>
      </c>
      <c r="B32847">
        <f>HYPERLINK("https://www.dofusbook.net/fr/equipement/1352423-szsz/objets", "link")</f>
        <v/>
      </c>
      <c r="C32847" t="n">
        <v>0</v>
      </c>
      <c r="D32847" t="inlineStr">
        <is>
          <t>Epée Gloursonne; Amulette du Strigide; Bague Gloursonne; Alliance Gloursonne; Bouclier du Captain Amakna; Ceinture du Strigide; Masque du Katcheur; Cape du Kamasterisk; Bottes du Strigide; Dofus Pourpre; Dofus des Glaces; Dofus Ocre; Dofus Nébuleux; Dolmanax; Dofus Abyssal; Muldo Indigo et Orchidée</t>
        </is>
      </c>
    </row>
    <row r="32848">
      <c r="A32848" t="inlineStr">
        <is>
          <t>vcv</t>
        </is>
      </c>
      <c r="B32848">
        <f>HYPERLINK("https://www.dofusbook.net/fr/equipement/1345241-vcv/objets", "link")</f>
        <v/>
      </c>
      <c r="C32848" t="n">
        <v>0</v>
      </c>
      <c r="D32848" t="inlineStr"/>
    </row>
    <row r="32849">
      <c r="A32849" t="inlineStr">
        <is>
          <t>Zzze</t>
        </is>
      </c>
      <c r="B32849">
        <f>HYPERLINK("https://www.dofusbook.net/fr/equipement/1325061-zzze/objets", "link")</f>
        <v/>
      </c>
      <c r="C32849" t="n">
        <v>0</v>
      </c>
      <c r="D32849" t="inlineStr">
        <is>
          <t>Héqache; Amulette du Kamasterisk; Alliance Gloursonne; Anneau des égarés; Bouclier du Captain Amakna; Ceinture du Strigide; Chapoulpe; Cape du Kamasterisk; Baleinabottes; Dofus Pourpre; Dofus Nébuleux; Dolmanax; Dofus Ocre; Dofus des Glaces; Vigoureux majeur; Muldo Ebène et Pourpre</t>
        </is>
      </c>
    </row>
    <row r="32850">
      <c r="A32850" t="inlineStr">
        <is>
          <t>ffdc</t>
        </is>
      </c>
      <c r="B32850">
        <f>HYPERLINK("https://www.dofusbook.net/fr/equipement/1322270-ffdc/objets", "link")</f>
        <v/>
      </c>
      <c r="C32850" t="n">
        <v>0</v>
      </c>
      <c r="D32850" t="inlineStr">
        <is>
          <t>Épée du Granduk; Pendentif mignon de Koutoulou; Alliance Gloursonne; Gant du Valet Veinard; Bouclier du Captain Amakna; Menoture; Masque du Granduk; Cape Indescriptible; Palmes Trithons; Dofus Pourpre; Dofus Nébuleux; Dofus des Glaces; Vigoureux majeur; Remueur; Cascadeur majeur; Muldo Ebène et Orchidée</t>
        </is>
      </c>
    </row>
    <row r="32851">
      <c r="A32851" t="inlineStr">
        <is>
          <t>ggg</t>
        </is>
      </c>
      <c r="B32851">
        <f>HYPERLINK("https://www.dofusbook.net/fr/equipement/1281207-ggg/objets", "link")</f>
        <v/>
      </c>
      <c r="C32851" t="n">
        <v>0</v>
      </c>
      <c r="D32851" t="inlineStr">
        <is>
          <t>Baguette Range; Pendentif mignon de Koutoulou; Alliance Gloursonne; Anneau de Padgref; Bouclier du Stalak; Ceintacé; Casque Cyclopéen; Cape d'Atcham; Bottes du Katcheur; Dofus Ocre; Dofus Nébuleux; Dofus Pourpre; Dofus des Glaces; Nomade; Vigoureux majeur; Kramkram</t>
        </is>
      </c>
    </row>
    <row r="32852">
      <c r="A32852" t="inlineStr">
        <is>
          <t>vv v</t>
        </is>
      </c>
      <c r="B32852">
        <f>HYPERLINK("https://www.dofusbook.net/fr/equipement/1281114-vv-v-/objets", "link")</f>
        <v/>
      </c>
      <c r="C32852" t="n">
        <v>0</v>
      </c>
      <c r="D32852" t="inlineStr">
        <is>
          <t>Marteau des égarés; Amulette de l'Indicible; Alliance Gloursonne; Chevalière du Roi Joueur; Bouclier du Cycloïde; Ceinture de l'Indicible; Le Dorado; Cape du Chalœil; Bottes du Strigide; Dolmanax; Dofus Pourpre; Dofus des Glaces; Remueur; Vigoureux majeur; Nomade; Kramkram</t>
        </is>
      </c>
    </row>
    <row r="32853">
      <c r="A32853" t="inlineStr">
        <is>
          <t>vcvc c</t>
        </is>
      </c>
      <c r="B32853">
        <f>HYPERLINK("https://www.dofusbook.net/fr/equipement/1280983-vcvc-c/objets", "link")</f>
        <v/>
      </c>
      <c r="C32853" t="n">
        <v>0</v>
      </c>
      <c r="D32853" t="inlineStr">
        <is>
          <t>Dagues de Srambad; Amulette du Strigide; Alliance Gloursonne; Bracelet du Piloztère; Bouclier du Stalak; Ceinture de la Reine des Voleurs; Coiffe de la Reine des Voleurs; Cape Luminescente; Bottes du Lévitrof; Dofus Ocre; Dofus des Glaces; Dofus Pourpre; Vigoureux majeur; Remueur; Temporiseur majeur; Muldo Ebène et Indigo</t>
        </is>
      </c>
    </row>
    <row r="32854">
      <c r="A32854" t="inlineStr">
        <is>
          <t>nbnb</t>
        </is>
      </c>
      <c r="B32854">
        <f>HYPERLINK("https://www.dofusbook.net/fr/equipement/1238386-nbnb-/objets", "link")</f>
        <v/>
      </c>
      <c r="C32854" t="n">
        <v>0</v>
      </c>
      <c r="D32854" t="inlineStr">
        <is>
          <t>Epée Gloursonne; Amulette de l'Indicible; Bague Gloursonne; Alliance Gloursonne; Bouclier du Stalak; Ceinture de l'Indicible; Boucle d'oreille de Kongoku; Cape de Kongoku; Bottes de l'Indicible; Dofus Turquoise; Dolmanax; Dofus Pourpre; Dofus des Glaces; Dofus Cawotte; Dofus Ocre; Muldo Indigo et Orchidée</t>
        </is>
      </c>
    </row>
    <row r="32855">
      <c r="A32855" t="inlineStr">
        <is>
          <t>hhg</t>
        </is>
      </c>
      <c r="B32855">
        <f>HYPERLINK("https://www.dofusbook.net/fr/equipement/1238373-hhg/objets", "link")</f>
        <v/>
      </c>
      <c r="C32855" t="n">
        <v>0</v>
      </c>
      <c r="D32855" t="inlineStr">
        <is>
          <t>Pyraguette; Coiffe du Lévitrof; Cape de la Dame du Hasard; Pataugastrique</t>
        </is>
      </c>
    </row>
    <row r="32856">
      <c r="A32856" t="inlineStr">
        <is>
          <t>vvvvvvvvvvvvvv</t>
        </is>
      </c>
      <c r="B32856">
        <f>HYPERLINK("https://www.dofusbook.net/fr/equipement/1231607-vvvvvvvvvvvvvv/objets", "link")</f>
        <v/>
      </c>
      <c r="C32856" t="n">
        <v>0</v>
      </c>
      <c r="D32856" t="inlineStr">
        <is>
          <t>Harpelle; Pendentif mignon de Koutoulou; Anneau Tique; Anneauræus; Ambrouclier; Ceinture de Vortex; Casque Cyclopéen; Cape de Diondin; Bottes Innommables; Dofus des Glaces; Dolmanax; Dofus Ocre; Érudit majeur; Astucieux majeur; Dévastateur Feu majeur; Muldo Orchidée et Pourpre</t>
        </is>
      </c>
    </row>
    <row r="32857">
      <c r="A32857" t="inlineStr">
        <is>
          <t>xxsxsx</t>
        </is>
      </c>
      <c r="B32857">
        <f>HYPERLINK("https://www.dofusbook.net/fr/equipement/1231044-xxsxsx/objets", "link")</f>
        <v/>
      </c>
      <c r="C32857" t="n">
        <v>0</v>
      </c>
      <c r="D32857" t="inlineStr">
        <is>
          <t>Manthache; Collier du Valet Veinard; Gant du Valet Veinard; Anneau de Padgref; Bouclier du Stalak; Ceinture Voldelor; Coiffe de Padgref; Cape du Valet Veinard; Getas de Padgref; Dofus Nébuleux; Dofus Ocre; Dofus Pourpre; Dolmanax; Dofus Turquoise; Dofus des Glaces; Muldo Ebène et Pourpre</t>
        </is>
      </c>
    </row>
    <row r="32858">
      <c r="A32858" t="inlineStr">
        <is>
          <t>dddsc</t>
        </is>
      </c>
      <c r="B32858">
        <f>HYPERLINK("https://www.dofusbook.net/fr/equipement/1194830-dddsc/objets", "link")</f>
        <v/>
      </c>
      <c r="C32858" t="n">
        <v>0</v>
      </c>
      <c r="D32858" t="inlineStr">
        <is>
          <t>Dagoulinantes; Amulette de Shokkoth; Bracelet des Fonds marins; Alliance Gloursonne; Bouclier du Stalak; Poulpagne; Masque des Fonds marins; Cape de Mantaze; Bottes du Sinistrofu; Dofus des Glaces; Dofus Pourpre; Chanceux majeur; Carapace Eau majeur; Remueur; Vigoureux majeur; Muldo Indigo et Pourpre</t>
        </is>
      </c>
    </row>
    <row r="32859">
      <c r="A32859" t="inlineStr">
        <is>
          <t>dsds</t>
        </is>
      </c>
      <c r="B32859">
        <f>HYPERLINK("https://www.dofusbook.net/fr/equipement/1152498-dsds/objets", "link")</f>
        <v/>
      </c>
      <c r="C32859" t="n">
        <v>0</v>
      </c>
      <c r="D32859" t="inlineStr">
        <is>
          <t>Arc du Chalœil; Collier de Tourthon; Anneau Crustique; Anneau de Brouce; Bouclier du Stalak; Ceinture de Brouce; Masque de Koutoulou; Cape du Kamasterisk; Bottes du Katcheur; Dofus Pourpre; Dofus des Glaces; Nomade; Remueur; Vigoureux majeur; Enragé majeur; Muldo Indigo et Pourpre</t>
        </is>
      </c>
    </row>
    <row r="32860">
      <c r="A32860" t="inlineStr">
        <is>
          <t>ddds</t>
        </is>
      </c>
      <c r="B32860">
        <f>HYPERLINK("https://www.dofusbook.net/fr/equipement/1130111-ddds/objets", "link")</f>
        <v/>
      </c>
      <c r="C32860" t="n">
        <v>0</v>
      </c>
      <c r="D32860" t="inlineStr">
        <is>
          <t>Epée Gloursonne; Amulette du Strigide; Alliance Gloursonne; Bague Gloursonne; Ceinture du Strigide; Casque du Chalœil; Cape du Chalœil; Bottes du Strigide; Dofus Turquoise; Dofus des Glaces; Dofus Émeraude; Dofus Ocre; Dofus Pourpre; Dolmanax; Muldo Indigo et Orchidée</t>
        </is>
      </c>
    </row>
    <row r="32861">
      <c r="A32861" t="inlineStr">
        <is>
          <t>Kaaask</t>
        </is>
      </c>
      <c r="B32861">
        <f>HYPERLINK("https://www.dofusbook.net/fr/equipement/1104357-kaaask/objets", "link")</f>
        <v/>
      </c>
      <c r="C32861" t="n">
        <v>0</v>
      </c>
      <c r="D32861" t="inlineStr">
        <is>
          <t>Arc Hétype; Pendentif mignon de Koutoulou; Anneauræus; Anneau Tique; Ceinture de Vortex; Casque Cyclopéen; Cape de Diondin; Bottes Innommables; Dofus des Glaces; Dokoko; Nomade; Érudit majeur; Remueur; Dévastateur Feu majeur; Muldo Orchidée et Pourpre</t>
        </is>
      </c>
    </row>
    <row r="32862">
      <c r="A32862" t="inlineStr">
        <is>
          <t>aassa</t>
        </is>
      </c>
      <c r="B32862">
        <f>HYPERLINK("https://www.dofusbook.net/fr/equipement/1095503-aassa/objets", "link")</f>
        <v/>
      </c>
      <c r="C32862" t="n">
        <v>0</v>
      </c>
      <c r="D32862" t="inlineStr">
        <is>
          <t>Dagues Érhy; Amulette du Strigide; Baguistik; Bague Gloursonne; Ceinture de Gein; Chapeau de Gein; Voile d'encre; Bottes du Roi Joueur; Dofus Ocre; Dofus Pourpre; Dofus des Glaces; Dofus Turquoise; Remueur; Vigoureux majeur; Muldo Prune et Pourpre</t>
        </is>
      </c>
    </row>
    <row r="32863">
      <c r="A32863" t="inlineStr">
        <is>
          <t>qssqq</t>
        </is>
      </c>
      <c r="B32863">
        <f>HYPERLINK("https://www.dofusbook.net/fr/equipement/1084457-qssqq/objets", "link")</f>
        <v/>
      </c>
      <c r="C32863" t="n">
        <v>0</v>
      </c>
      <c r="D32863" t="inlineStr">
        <is>
          <t>Sceptre du Roi Joueur; Amulette de Shokkoth; Bracelet des Fonds marins; Alliance Gloursonne; Poulpagne; Masque des Fonds marins; Cape de la Dame du Hasard; Bottes de Meno</t>
        </is>
      </c>
    </row>
    <row r="32864">
      <c r="A32864" t="inlineStr">
        <is>
          <t>dddd</t>
        </is>
      </c>
      <c r="B32864">
        <f>HYPERLINK("https://www.dofusbook.net/fr/equipement/1083730-dddd/objets", "link")</f>
        <v/>
      </c>
      <c r="C32864" t="n">
        <v>0</v>
      </c>
      <c r="D32864" t="inlineStr">
        <is>
          <t>Arc Ahique; Amulette Voldelor; Alliance Gloursonne; Bracelet du Piloztère; Ceinture du Barbétoal; Némès de Tal Kasha; Chevelure de Tal Kasha; Pataugastrique; Dofus Pourpre; Dofus des Glaces; Dofus Turquoise; Nomade; Remueur; Vigoureux majeur; Kramkram</t>
        </is>
      </c>
    </row>
    <row r="32865">
      <c r="A32865" t="inlineStr">
        <is>
          <t>dkk</t>
        </is>
      </c>
      <c r="B32865">
        <f>HYPERLINK("https://www.dofusbook.net/fr/equipement/563681-dkk/objets", "link")</f>
        <v/>
      </c>
      <c r="C32865" t="n">
        <v>0</v>
      </c>
      <c r="D32865" t="inlineStr">
        <is>
          <t>Pelle de la Cour Sombre; Collier du Valet Veinard; Alliance Gloursonne; Gant du Valet Veinard; Quatre-feuilles; Menoture; Couronne d'Allister; Cape Indescriptible; Palmes Trithons; Dofus Émeraude; Dofus des Glaces; Nomade; Remueur; Carapace Air majeur; Cascadeur majeur; Kramkram</t>
        </is>
      </c>
    </row>
    <row r="32866">
      <c r="A32866" t="inlineStr">
        <is>
          <t>Stuff 2</t>
        </is>
      </c>
      <c r="B32866">
        <f>HYPERLINK("https://www.dofusbook.net/fr/equipement/390807-stuff-2/objets", "link")</f>
        <v/>
      </c>
      <c r="C32866" t="n">
        <v>0</v>
      </c>
      <c r="D32866" t="inlineStr">
        <is>
          <t>Arc de Koutoulou; Amulette du Strigide; Anneau des égarés; Alliance Gloursonne; Ceinture Voldelor; Némès de Tal Kasha; Chevelure de Tal Kasha; Pataugastrique; Dofus des Glaces; Dofus Turquoise; Dofus Pourpre; Carapace Eau majeur; Vigoureux majeur; Remueur; Muldo Prune</t>
        </is>
      </c>
    </row>
    <row r="32867">
      <c r="A32867" t="inlineStr">
        <is>
          <t>Stuff 1</t>
        </is>
      </c>
      <c r="B32867">
        <f>HYPERLINK("https://www.dofusbook.net/fr/equipement/390724-stuff-1/objets", "link")</f>
        <v/>
      </c>
      <c r="C32867" t="n">
        <v>0</v>
      </c>
      <c r="D32867" t="inlineStr">
        <is>
          <t>Dagues Érhy; Amulette de Gein; Anneau Chevelu; Bague Gloursonne; Ceinture de Gein; Masque du Katcheur; Voile d'encre; Baleinabottes; Dofus des Glaces; Dofus Pourpre; Vigoureux majeur; Nomade; Remueur; Miraculé majeur; Dragodinde en armure</t>
        </is>
      </c>
    </row>
    <row r="32868">
      <c r="A32868" t="inlineStr">
        <is>
          <t>Stuff 1</t>
        </is>
      </c>
      <c r="B32868">
        <f>HYPERLINK("https://www.dofusbook.net/fr/equipement/390800-stuff-1/objets", "link")</f>
        <v/>
      </c>
      <c r="C32868" t="n">
        <v>0</v>
      </c>
      <c r="D32868" t="inlineStr">
        <is>
          <t>Plumeau Bil; Amulette du Cycloïde; Anneauræus; Anneau Rifique; Ceinture de Gein; Casque Cyclopéen; Cape de Diondin; Bottes Innommables; Dofus des Glaces; Dofus Pourpre; Remueur; Vigoureux majeur; Érudit majeur; Nomade; Dragodinde en armure</t>
        </is>
      </c>
    </row>
    <row r="32869">
      <c r="A32869" t="inlineStr">
        <is>
          <t>Stuff 1</t>
        </is>
      </c>
      <c r="B32869">
        <f>HYPERLINK("https://www.dofusbook.net/fr/equipement/390715-stuff-1/objets", "link")</f>
        <v/>
      </c>
      <c r="C32869" t="n">
        <v>0</v>
      </c>
      <c r="D32869" t="inlineStr">
        <is>
          <t>Dagoulinantes; Amulette de Danathor; Alliance Gloursonne; Bracelet des Fonds marins; Poulpagne; Coiffe de Danathor; Cape de Mantaze; Bottes du Sinistrofu; Dofus des Glaces; Dofus Pourpre; Nomade; Remueur; Dévastateur Eau majeur; Chanceux majeur; Pioute bleu</t>
        </is>
      </c>
    </row>
    <row r="32870">
      <c r="A32870" t="inlineStr">
        <is>
          <t>Stuff 1</t>
        </is>
      </c>
      <c r="B32870">
        <f>HYPERLINK("https://www.dofusbook.net/fr/equipement/390752-stuff-1/objets", "link")</f>
        <v/>
      </c>
      <c r="C32870" t="n">
        <v>0</v>
      </c>
      <c r="D32870" t="inlineStr">
        <is>
          <t>Baguette Hique; Talisman Igans; Anneau Tique; Alliance Gloursonne; Ceintrigue; Chapeau des Malveilleurs; Cape de la Dame du Hasard; Pataugastrique; Dofus Pourpre; Dofus des Glaces; Érudit majeur; Nomade; Vigoureux majeur; Remueur; Dragodinde en armure</t>
        </is>
      </c>
    </row>
    <row r="32871">
      <c r="A32871" t="inlineStr">
        <is>
          <t>Stuff 3</t>
        </is>
      </c>
      <c r="B32871">
        <f>HYPERLINK("https://www.dofusbook.net/fr/equipement/390786-stuff-3/objets", "link")</f>
        <v/>
      </c>
      <c r="C32871" t="n">
        <v>0</v>
      </c>
      <c r="D32871" t="inlineStr">
        <is>
          <t>Hache du Chalœil; Amulette Ementaire Deluxe; Alliance du Lévitrof; Alliance Gloursonne; Ceinture de la Reine des Voleurs; Masque du Katcheur; Voile d'encre; Bottes de la Reine des Voleurs; Dofus Ocre; Dofus Pourpre; Dofus des Glaces; Vigoureux majeur; Nomade; Remueur; Dragodinde en armure</t>
        </is>
      </c>
    </row>
    <row r="32872">
      <c r="A32872" t="inlineStr">
        <is>
          <t>Stuff 2</t>
        </is>
      </c>
      <c r="B32872">
        <f>HYPERLINK("https://www.dofusbook.net/fr/equipement/390710-stuff-2/objets", "link")</f>
        <v/>
      </c>
      <c r="C32872" t="n">
        <v>0</v>
      </c>
      <c r="D32872" t="inlineStr">
        <is>
          <t>Hache du Chalœil; Amulette de Pol Ouatnos; Bague Gloursonne; Alliance du Lévitrof; Ceintacé; Coiffe du Lévitrof; Voile d'encre; Bottes du Strigide; Dofus Pourpre; Dolmanax; Dofus des Glaces; Nomade; Remueur; Chanceux majeur; Dragodinde en armure</t>
        </is>
      </c>
    </row>
    <row r="32873">
      <c r="A32873" t="inlineStr">
        <is>
          <t>Stuff 3</t>
        </is>
      </c>
      <c r="B32873">
        <f>HYPERLINK("https://www.dofusbook.net/fr/equipement/390744-stuff-3/objets", "link")</f>
        <v/>
      </c>
      <c r="C32873" t="n">
        <v>0</v>
      </c>
      <c r="D32873" t="inlineStr">
        <is>
          <t>Dagues Érhy; Amulette de Gein; Bague Gloursonne; Chevalière du Roi Joueur; Ceintacé; Couronne du Roi Joueur; Voile d'encre; Bottes de la Cour Sombre; Dofus des Glaces; Dofus Pourpre; Vigoureux majeur; Carapace Terre majeur; Remueur; Nomade; Dragodinde en armure</t>
        </is>
      </c>
    </row>
    <row r="32874">
      <c r="A32874" t="inlineStr">
        <is>
          <t>Stuff 3</t>
        </is>
      </c>
      <c r="B32874">
        <f>HYPERLINK("https://www.dofusbook.net/fr/equipement/390705-stuff-3/objets", "link")</f>
        <v/>
      </c>
      <c r="C32874" t="n">
        <v>0</v>
      </c>
      <c r="D32874" t="inlineStr">
        <is>
          <t>Karnak; Collier du Valet Veinard; Gant du Valet Veinard; Anneau d'Allister; Ceinture du Barbétoal; Couronne d'Allister; Cape du Valet Veinard; Bottes d'Allister; Dofus des Glaces; Dofus Ocre; Dofus Pourpre; Robuste majeur; Acrobate majeur; Equilibriste majeur; Dragodinde en armure</t>
        </is>
      </c>
    </row>
    <row r="32875">
      <c r="A32875" t="inlineStr">
        <is>
          <t>Stuff 1</t>
        </is>
      </c>
      <c r="B32875">
        <f>HYPERLINK("https://www.dofusbook.net/fr/equipement/390739-stuff-1/objets", "link")</f>
        <v/>
      </c>
      <c r="C32875" t="n">
        <v>0</v>
      </c>
      <c r="D32875" t="inlineStr">
        <is>
          <t>Baguette Hique; Amulette du Strigide; Bracelet des Fonds marins; Alliance Gloursonne; Ceintacé; Casqnoar; Cape de la Dame du Hasard; Bottes de la Dame du Hasard; Dofus des Glaces; Dofus Turquoise; Dofus Pourpre; Nomade; Vigoureux majeur; Remueur; Dragodinde en armure</t>
        </is>
      </c>
    </row>
    <row r="32876">
      <c r="A32876" t="inlineStr">
        <is>
          <t>Stuff 1</t>
        </is>
      </c>
      <c r="B32876">
        <f>HYPERLINK("https://www.dofusbook.net/fr/equipement/390774-stuff-1/objets", "link")</f>
        <v/>
      </c>
      <c r="C32876" t="n">
        <v>0</v>
      </c>
      <c r="D32876" t="inlineStr">
        <is>
          <t>Youyettes; Amulette de Nevark; Gelano; Anneau de Brouce; Ceinture de Brouce; Coiffe du Glourséleste; Cape du Professeur Xa; Chaussons Pignons; Vigoureux majeur; Nomade; Turbulent; Enragé majeur; Cascadeur majeur; Remueur; Kompost</t>
        </is>
      </c>
    </row>
    <row r="32877">
      <c r="A32877" t="inlineStr">
        <is>
          <t>Stuff 1</t>
        </is>
      </c>
      <c r="B32877">
        <f>HYPERLINK("https://www.dofusbook.net/fr/equipement/390734-stuff-1/objets", "link")</f>
        <v/>
      </c>
      <c r="C32877" t="n">
        <v>0</v>
      </c>
      <c r="D32877" t="inlineStr">
        <is>
          <t>Baguette Hique; Talisman Igans; Anneau Tique; Alliance Gloursonne; Ceintacé; Chapeau des Malveilleurs; Cape de la Dame du Hasard; Bottes de la Dame du Hasard; Dofus Pourpre; Dofus des Glaces; Vigoureux majeur; Nomade; Remueur; Dragodinde en armure</t>
        </is>
      </c>
    </row>
    <row r="32878">
      <c r="A32878" t="inlineStr">
        <is>
          <t>Stuff 3</t>
        </is>
      </c>
      <c r="B32878">
        <f>HYPERLINK("https://www.dofusbook.net/fr/equipement/390769-stuff-3/objets", "link")</f>
        <v/>
      </c>
      <c r="C32878" t="n">
        <v>0</v>
      </c>
      <c r="D32878" t="inlineStr">
        <is>
          <t>Epée Gloursonne; Amulette du Strigide; Alliance Gloursonne; Bague Gloursonne; Ceinture du Strigide; Chapeau Lisson; Cape du Kamasterisk; Bottes du Strigide; Dofus des Glaces; Dofus Pourpre; Dofus Turquoise; Dolmanax; Dofus Ocre; Voyageur; Dragodinde en armure</t>
        </is>
      </c>
    </row>
    <row r="32879">
      <c r="A32879" t="inlineStr">
        <is>
          <t>Stuff 1</t>
        </is>
      </c>
      <c r="B32879">
        <f>HYPERLINK("https://www.dofusbook.net/fr/equipement/390803-stuff-1/objets", "link")</f>
        <v/>
      </c>
      <c r="C32879" t="n">
        <v>0</v>
      </c>
      <c r="D32879" t="inlineStr">
        <is>
          <t>Manthache; Collier du Valet Veinard; Gant du Valet Veinard; Alliance Gloursonne; Menoture; Couronne d'Allister; Cape Indescriptible; Palmes Trithons; Dofus des Glaces; Dofus Pourpre; Dolmanax; Remueur; Nomade; Cascadeur majeur; Dragodinde en armure</t>
        </is>
      </c>
    </row>
    <row r="32880">
      <c r="A32880" t="inlineStr">
        <is>
          <t>Stuff 2</t>
        </is>
      </c>
      <c r="B32880">
        <f>HYPERLINK("https://www.dofusbook.net/fr/equipement/390727-stuff-2/objets", "link")</f>
        <v/>
      </c>
      <c r="C32880" t="n">
        <v>0</v>
      </c>
      <c r="D32880" t="inlineStr">
        <is>
          <t>Sabres d'Atcham; Amulette du Strigide; Grésilanneau; Alliance Gloursonne; Ceintacé; Boucle d'oreille de Kongoku; Cape du Chalœil; Bottes du Chalœil; Dofus Cawotte; Dofus des Glaces; Dofus Pourpre; Érudit majeur; Nomade; Remueur; Dragodinde en armure</t>
        </is>
      </c>
    </row>
    <row r="32881">
      <c r="A32881" t="inlineStr">
        <is>
          <t>Stuff 1</t>
        </is>
      </c>
      <c r="B32881">
        <f>HYPERLINK("https://www.dofusbook.net/fr/equipement/390764-stuff-1/objets", "link")</f>
        <v/>
      </c>
      <c r="C32881" t="n">
        <v>0</v>
      </c>
      <c r="D32881" t="inlineStr">
        <is>
          <t>Dagues de Srambad; Amulette de Pol Ouatnos; Bracelet du Piloztère; Annolamour; Ceinture de la Reine des Voleurs; Coiffe de la Reine des Voleurs; Cape Luminescente; Pataugastrique; Dolmanax; Dofus Pourpre; Dofus des Glaces; Vigoureux majeur; Remueur; Miraculé majeur; Dragodinde en armure</t>
        </is>
      </c>
    </row>
    <row r="32882">
      <c r="A32882" t="inlineStr">
        <is>
          <t>Stuff 1</t>
        </is>
      </c>
      <c r="B32882">
        <f>HYPERLINK("https://www.dofusbook.net/fr/equipement/390795-stuff-1/objets", "link")</f>
        <v/>
      </c>
      <c r="C32882" t="n">
        <v>0</v>
      </c>
      <c r="D32882" t="inlineStr">
        <is>
          <t>Pyraguette; Talisman Igans; Alliance Gloursonne; Anneau Tique; Ceintacé; Casquette de Meno; Cape de la Dame du Hasard; Bottes de Meno; Dofus des Glaces; Dolmanax; Dofus Pourpre; Nomade; Vigoureux majeur; Remueur; Dragodinde en armure</t>
        </is>
      </c>
    </row>
    <row r="32883">
      <c r="A32883" t="inlineStr">
        <is>
          <t>Stuff 3</t>
        </is>
      </c>
      <c r="B32883">
        <f>HYPERLINK("https://www.dofusbook.net/fr/equipement/390717-stuff-3/objets", "link")</f>
        <v/>
      </c>
      <c r="C32883" t="n">
        <v>0</v>
      </c>
      <c r="D32883" t="inlineStr">
        <is>
          <t>Baguette Hique; Collier de la Dame du Hasard; Alliance Gloursonne; Chevalière du Roi Joueur; Ceintrigue; Chapeau des Malveilleurs; Cape de la Dame du Hasard; Pataugastrique; Dofus des Glaces; Dofus Turquoise; Dofus Pourpre; Temporiseur majeur; Nomade; Remueur; Dragodinde en armure</t>
        </is>
      </c>
    </row>
    <row r="32884">
      <c r="A32884" t="inlineStr">
        <is>
          <t>Stuff 3</t>
        </is>
      </c>
      <c r="B32884">
        <f>HYPERLINK("https://www.dofusbook.net/fr/equipement/390754-stuff-3/objets", "link")</f>
        <v/>
      </c>
      <c r="C32884" t="n">
        <v>0</v>
      </c>
      <c r="D32884" t="inlineStr">
        <is>
          <t>La Baguette des Limbes; Kralamansion; Gelano; Anneau Bliteré; Ceinture du Glourséleste; Casqnoar; Voile d'encre; Bottes Refois; Chanceux majeur; Remueur; Érudit majeur; Nomade; Sanguinaire majeur; Vigoureux majeur; Dragodinde en armure</t>
        </is>
      </c>
    </row>
    <row r="32885">
      <c r="A32885" t="inlineStr">
        <is>
          <t>Stuff 2</t>
        </is>
      </c>
      <c r="B32885">
        <f>HYPERLINK("https://www.dofusbook.net/fr/equipement/390788-stuff-2/objets", "link")</f>
        <v/>
      </c>
      <c r="C32885" t="n">
        <v>0</v>
      </c>
      <c r="D32885" t="inlineStr">
        <is>
          <t>Arc Nécrotique; Talisman Igans; Alliance du Lévitrof; Alliance Gloursonne; Ceintrigue; Casquette de Meno; Cape de la Dame du Hasard; Pataugastrique; Dofus Pourpre; Dofus des Glaces; Dolmanax; Vigoureux majeur; Nomade; Remueur; Dragodinde en armure</t>
        </is>
      </c>
    </row>
    <row r="32886">
      <c r="A32886" t="inlineStr">
        <is>
          <t>Stuff 2</t>
        </is>
      </c>
      <c r="B32886">
        <f>HYPERLINK("https://www.dofusbook.net/fr/equipement/390727-stuff-2/objets", "link")</f>
        <v/>
      </c>
      <c r="C32886" t="n">
        <v>0</v>
      </c>
      <c r="D32886" t="inlineStr">
        <is>
          <t>Sabres d'Atcham; Amulette du Strigide; Alliance Gloursonne; Grésilanneau; Ceintacé; Boucle d'oreille de Kongoku; Cape du Chalœil; Bottes du Chalœil; Dofus Cawotte; Dofus des Glaces; Dofus Pourpre; Érudit majeur; Nomade; Remueur; Dragodinde en armure</t>
        </is>
      </c>
    </row>
    <row r="32887">
      <c r="A32887" t="inlineStr">
        <is>
          <t>Stuff 1</t>
        </is>
      </c>
      <c r="B32887">
        <f>HYPERLINK("https://www.dofusbook.net/fr/equipement/390764-stuff-1/objets", "link")</f>
        <v/>
      </c>
      <c r="C32887" t="n">
        <v>0</v>
      </c>
      <c r="D32887" t="inlineStr">
        <is>
          <t>Dagues de Srambad; Amulette de Pol Ouatnos; Annolamour; Bracelet du Piloztère; Ceinture de la Reine des Voleurs; Coiffe de la Reine des Voleurs; Cape Luminescente; Pataugastrique; Dofus des Glaces; Dolmanax; Dofus Pourpre; Vigoureux majeur; Remueur; Miraculé majeur; Dragodinde en armure</t>
        </is>
      </c>
    </row>
    <row r="32888">
      <c r="A32888" t="inlineStr">
        <is>
          <t>Stuff 1</t>
        </is>
      </c>
      <c r="B32888">
        <f>HYPERLINK("https://www.dofusbook.net/fr/equipement/390803-stuff-1/objets", "link")</f>
        <v/>
      </c>
      <c r="C32888" t="n">
        <v>0</v>
      </c>
      <c r="D32888" t="inlineStr">
        <is>
          <t>Manthache; Collier du Valet Veinard; Alliance Gloursonne; Gant du Valet Veinard; Menoture; Couronne d'Allister; Cape Indescriptible; Palmes Trithons; Dofus des Glaces; Dofus Pourpre; Dolmanax; Remueur; Nomade; Cascadeur majeur; Dragodinde en armure</t>
        </is>
      </c>
    </row>
    <row r="32889">
      <c r="A32889" t="inlineStr">
        <is>
          <t>Stuff 1</t>
        </is>
      </c>
      <c r="B32889">
        <f>HYPERLINK("https://www.dofusbook.net/fr/equipement/390795-stuff-1/objets", "link")</f>
        <v/>
      </c>
      <c r="C32889" t="n">
        <v>0</v>
      </c>
      <c r="D32889" t="inlineStr">
        <is>
          <t>Pyraguette; Talisman Igans; Anneau Tique; Alliance Gloursonne; Ceintacé; Casquette de Meno; Cape de la Dame du Hasard; Bottes de Meno; Dolmanax; Dofus Pourpre; Dofus des Glaces; Nomade; Vigoureux majeur; Remueur; Dragodinde en armure</t>
        </is>
      </c>
    </row>
    <row r="32890">
      <c r="A32890" t="inlineStr">
        <is>
          <t>Stuff 3</t>
        </is>
      </c>
      <c r="B32890">
        <f>HYPERLINK("https://www.dofusbook.net/fr/equipement/390717-stuff-3/objets", "link")</f>
        <v/>
      </c>
      <c r="C32890" t="n">
        <v>0</v>
      </c>
      <c r="D32890" t="inlineStr">
        <is>
          <t>Baguette Hique; Collier de la Dame du Hasard; Chevalière du Roi Joueur; Alliance Gloursonne; Ceintrigue; Chapeau des Malveilleurs; Cape de la Dame du Hasard; Pataugastrique; Dofus des Glaces; Dofus Turquoise; Dofus Pourpre; Temporiseur majeur; Nomade; Remueur; Dragodinde en armure</t>
        </is>
      </c>
    </row>
    <row r="32891">
      <c r="A32891" t="inlineStr">
        <is>
          <t>Stuff 3</t>
        </is>
      </c>
      <c r="B32891">
        <f>HYPERLINK("https://www.dofusbook.net/fr/equipement/390754-stuff-3/objets", "link")</f>
        <v/>
      </c>
      <c r="C32891" t="n">
        <v>0</v>
      </c>
      <c r="D32891" t="inlineStr">
        <is>
          <t>La Baguette des Limbes; Kralamansion; Gelano; Anneau Bliteré; Ceinture du Glourséleste; Casqnoar; Voile d'encre; Bottes Refois; Sanguinaire majeur; Vigoureux majeur; Chanceux majeur; Remueur; Érudit majeur; Nomade; Dragodinde en armure</t>
        </is>
      </c>
    </row>
    <row r="32892">
      <c r="A32892" t="inlineStr">
        <is>
          <t>Stuff 2</t>
        </is>
      </c>
      <c r="B32892">
        <f>HYPERLINK("https://www.dofusbook.net/fr/equipement/390788-stuff-2/objets", "link")</f>
        <v/>
      </c>
      <c r="C32892" t="n">
        <v>0</v>
      </c>
      <c r="D32892" t="inlineStr">
        <is>
          <t>Arc Nécrotique; Talisman Igans; Alliance du Lévitrof; Alliance Gloursonne; Ceintrigue; Casquette de Meno; Cape de la Dame du Hasard; Pataugastrique; Dolmanax; Dofus Pourpre; Dofus des Glaces; Vigoureux majeur; Nomade; Remueur; Dragodinde en armure</t>
        </is>
      </c>
    </row>
    <row r="32893">
      <c r="A32893" t="inlineStr">
        <is>
          <t>Stuff 1</t>
        </is>
      </c>
      <c r="B32893">
        <f>HYPERLINK("https://www.dofusbook.net/fr/equipement/390712-stuff-1/objets", "link")</f>
        <v/>
      </c>
      <c r="C32893" t="n">
        <v>0</v>
      </c>
      <c r="D32893" t="inlineStr">
        <is>
          <t>Epée Loponèze; Amulette Voldelor; Bague Gloursonne; Alliance Gloursonne; Ceinture du Barbétoal; Casque Dragoeuf; Cape Matelassée; Bottes du Sinistrofu; Dofus des Glaces; Dofus Pourpre; Vigoureux majeur; Miraculé majeur; Remueur; Nomade; Dragodinde en armure</t>
        </is>
      </c>
    </row>
    <row r="32894">
      <c r="A32894" t="inlineStr">
        <is>
          <t>Stuff 2</t>
        </is>
      </c>
      <c r="B32894">
        <f>HYPERLINK("https://www.dofusbook.net/fr/equipement/390746-stuff-2/objets", "link")</f>
        <v/>
      </c>
      <c r="C32894" t="n">
        <v>0</v>
      </c>
      <c r="D32894" t="inlineStr">
        <is>
          <t>Dagues de Srambad; Amulette de Pol Ouatnos; Bague Gloursonne; Bracelet du Piloztère; Ceinture de la Reine des Voleurs; Coiffe de la Reine des Voleurs; Voile d'encre; Baleinabottes; Dofus Pourpre; Dofus des Glaces; Dolmanax; Remueur; Vigoureux majeur; Nomade; Dragodinde en armure</t>
        </is>
      </c>
    </row>
    <row r="32895">
      <c r="A32895" t="inlineStr">
        <is>
          <t>Stuff 2</t>
        </is>
      </c>
      <c r="B32895">
        <f>HYPERLINK("https://www.dofusbook.net/fr/equipement/390707-stuff-2/objets", "link")</f>
        <v/>
      </c>
      <c r="C32895" t="n">
        <v>0</v>
      </c>
      <c r="D32895" t="inlineStr">
        <is>
          <t>Sabres d'Atcham; Amulette Ementaire Deluxe; Anneau Tique; Alliance Gloursonne; Ceinture de Vortex; Chapeau des Malveilleurs; Cape d'Atcham; Pataugastrique; Dofus Pourpre; Dofus des Glaces; Enragé majeur; Vigoureux majeur; Nomade; Remueur; Dragodinde en armure</t>
        </is>
      </c>
    </row>
    <row r="32896">
      <c r="A32896" t="inlineStr">
        <is>
          <t>Stuff 3</t>
        </is>
      </c>
      <c r="B32896">
        <f>HYPERLINK("https://www.dofusbook.net/fr/equipement/390741-stuff-3/objets", "link")</f>
        <v/>
      </c>
      <c r="C32896" t="n">
        <v>0</v>
      </c>
      <c r="D32896" t="inlineStr">
        <is>
          <t>Marteau R'ture; Amulette de Gein; Anneau Chevelu; Anneau de Brouce; Ceinture de Brouce; Masque de Koutoulou; Cape au Logis; Bottes du Lévitrof; Dofus des Glaces; Dofus Pourpre; Nomade; Étourdisseur majeur; Enragé majeur; Remueur; Dragodinde en armure</t>
        </is>
      </c>
    </row>
    <row r="32897">
      <c r="A32897" t="inlineStr">
        <is>
          <t>Stuff 3</t>
        </is>
      </c>
      <c r="B32897">
        <f>HYPERLINK("https://www.dofusbook.net/fr/equipement/390776-stuff-3/objets", "link")</f>
        <v/>
      </c>
      <c r="C32897" t="n">
        <v>0</v>
      </c>
      <c r="D32897" t="inlineStr">
        <is>
          <t>Bêche Asse; Collier de Tourthon; Anneau de Brouce; Anneau Crustique; Ceinture de Brouce; Masque de Koutoulou; Cape au Logis; Bottes de la Cour Sombre; Dofus Pourpre; Dofus des Glaces; Remueur; Nomade; Vigoureux majeur; Enragé majeur; Pioute vert</t>
        </is>
      </c>
    </row>
    <row r="32898">
      <c r="A32898" t="inlineStr">
        <is>
          <t>Stuff 3</t>
        </is>
      </c>
      <c r="B32898">
        <f>HYPERLINK("https://www.dofusbook.net/fr/equipement/390736-stuff-3/objets", "link")</f>
        <v/>
      </c>
      <c r="C32898" t="n">
        <v>0</v>
      </c>
      <c r="D32898" t="inlineStr">
        <is>
          <t>Sabres d'Atcham; Amulette de Pol Ouatnos; Grésilanneau; Alliance Gloursonne; Ceintacé; Chapeau des Malveilleurs; Cape des Malveilleurs; Bottes du Strigide; Dofus Pourpre; Dofus des Glaces; Vigoureux majeur; Remueur; Nomade; Dragodinde en armure</t>
        </is>
      </c>
    </row>
    <row r="32899">
      <c r="A32899" t="inlineStr">
        <is>
          <t>Stuff 2</t>
        </is>
      </c>
      <c r="B32899">
        <f>HYPERLINK("https://www.dofusbook.net/fr/equipement/390771-stuff-2/objets", "link")</f>
        <v/>
      </c>
      <c r="C32899" t="n">
        <v>0</v>
      </c>
      <c r="D32899" t="inlineStr">
        <is>
          <t>Grésilosceptre; Amulette du Strigide; Alliance Gloursonne; Chevalière du Roi Joueur; Ceinture de la Reine des Voleurs; Coiffe de la Reine des Voleurs; Cape Luminescente; Pataugastrique; Dofus des Glaces; Dofus Pourpre; Vigoureux majeur; Remueur; Temporiseur majeur; Nomade; Dragodinde en armure</t>
        </is>
      </c>
    </row>
    <row r="32900">
      <c r="A32900" t="inlineStr">
        <is>
          <t>Stuff 2</t>
        </is>
      </c>
      <c r="B32900">
        <f>HYPERLINK("https://www.dofusbook.net/fr/equipement/390729-stuff-2/objets", "link")</f>
        <v/>
      </c>
      <c r="C32900" t="n">
        <v>0</v>
      </c>
      <c r="D32900" t="inlineStr">
        <is>
          <t>Epée Gloursonne; Amulette du Strigide; Bague Gloursonne; Alliance Gloursonne; Ceinture du Strigide; Chapeau des Malveilleurs; Cape des Malveilleurs; Bottes du Strigide; Dofus Pourpre; Dolmanax; Dofus des Glaces; Dofus Turquoise; Dofus Ocre; Voyageur; Dragodinde en armure</t>
        </is>
      </c>
    </row>
    <row r="32901">
      <c r="A32901" t="inlineStr">
        <is>
          <t>Stuff 3</t>
        </is>
      </c>
      <c r="B32901">
        <f>HYPERLINK("https://www.dofusbook.net/fr/equipement/390766-stuff-3/objets", "link")</f>
        <v/>
      </c>
      <c r="C32901" t="n">
        <v>0</v>
      </c>
      <c r="D32901" t="inlineStr">
        <is>
          <t>Dagues Eudin; Amulette Nécrotique; Anneau de Brouce; Anneau Aimgéroks; Ceinture de Brouce; Coiffe de la Fuji Givrefoux; Cape de Nevark; Chaussons Pignons; Vigoureux majeur; Remueur; Enragé majeur; Nomade; Survivant majeur; Miraculé majeur; Dragodinde Emeraude et Rousse</t>
        </is>
      </c>
    </row>
    <row r="32902">
      <c r="A32902" t="inlineStr">
        <is>
          <t>Stuff 2</t>
        </is>
      </c>
      <c r="B32902">
        <f>HYPERLINK("https://www.dofusbook.net/fr/equipement/390805-stuff-2/objets", "link")</f>
        <v/>
      </c>
      <c r="C32902" t="n">
        <v>0</v>
      </c>
      <c r="D32902" t="inlineStr">
        <is>
          <t>Dagues Érhy; Amulette du Strigide; Bracelet du Piloztère; Bague Gloursonne; Ceintacé; Casque de Missiz Frizz; Voile d'encre; Bottes du Strigide; Dolmanax; Dofus Turquoise; Vigoureux majeur; Remueur; Carapace Terre majeur; Nomade; Dragodinde en armure</t>
        </is>
      </c>
    </row>
    <row r="32903">
      <c r="A32903" t="inlineStr">
        <is>
          <t>Stuff 2</t>
        </is>
      </c>
      <c r="B32903">
        <f>HYPERLINK("https://www.dofusbook.net/fr/equipement/390704-stuff-2/objets", "link")</f>
        <v/>
      </c>
      <c r="C32903" t="n">
        <v>0</v>
      </c>
      <c r="D32903" t="inlineStr">
        <is>
          <t>Plumeau Bil; Amulette de Nileza; Anneau Tique; Bague Gloursonne; Ceinture Séculaire; Chapeau de Gein; Cape de Nileza; Pantoufles Émar; Dofus des Glaces; Vigoureux majeur; Remueur; Érudit majeur; Nomade; Dévastateur Feu majeur; Dragodinde en armure</t>
        </is>
      </c>
    </row>
    <row r="32904">
      <c r="A32904" t="inlineStr">
        <is>
          <t>Stuff 2</t>
        </is>
      </c>
      <c r="B32904">
        <f>HYPERLINK("https://www.dofusbook.net/fr/equipement/390738-stuff-2/objets", "link")</f>
        <v/>
      </c>
      <c r="C32904" t="n">
        <v>0</v>
      </c>
      <c r="D32904" t="inlineStr">
        <is>
          <t>Dagoulinantes; Talisman Igans; Alliance Gloursonne; Bracelet des Fonds marins; Poulpagne; Masque des Fonds marins; Cape de Mantaze; Bottes de Meno; Dofus des Glaces; Dofus Turquoise; Chanceux majeur; Carapace Air majeur; Dévastateur Eau majeur; Remueur; Muldo Indigo</t>
        </is>
      </c>
    </row>
    <row r="32905">
      <c r="A32905" t="inlineStr">
        <is>
          <t>Stuff 2</t>
        </is>
      </c>
      <c r="B32905">
        <f>HYPERLINK("https://www.dofusbook.net/fr/equipement/390768-stuff-2/objets", "link")</f>
        <v/>
      </c>
      <c r="C32905" t="n">
        <v>0</v>
      </c>
      <c r="D32905" t="inlineStr">
        <is>
          <t>Bêche Asse; Amulette Héroclite; Bracelet du Piloztère; Anneau de Brouce; Ceinture de la Cour Sombre; Masque de Koutoulou; Cape au Logis; Bottes de la Cour Sombre; Muldo Pourpre</t>
        </is>
      </c>
    </row>
    <row r="32906">
      <c r="A32906" t="inlineStr">
        <is>
          <t>Stuff 2</t>
        </is>
      </c>
      <c r="B32906">
        <f>HYPERLINK("https://www.dofusbook.net/fr/equipement/390699-stuff-2/objets", "link")</f>
        <v/>
      </c>
      <c r="C32906" t="n">
        <v>0</v>
      </c>
      <c r="D32906" t="inlineStr">
        <is>
          <t>Sceptre du Roi Joueur; Amulette Voldelor; Bracelet des Fonds marins; Alliance Gloursonne; Ceinture de la Reine des Voleurs; Coiffe de Danathor; Cape du Sinistrofu; Bottes du Sinistrofu; Dofus des Glaces; Dofus Pourpre; Vigoureux majeur; Remueur; Nomade; Chanceux majeur; Pioute bleu</t>
        </is>
      </c>
    </row>
    <row r="32907">
      <c r="A32907" t="inlineStr">
        <is>
          <t>Stuff 1</t>
        </is>
      </c>
      <c r="B32907">
        <f>HYPERLINK("https://www.dofusbook.net/fr/equipement/390731-stuff-1/objets", "link")</f>
        <v/>
      </c>
      <c r="C32907" t="n">
        <v>0</v>
      </c>
      <c r="D32907" t="inlineStr">
        <is>
          <t>Dagues Ricol; Amulette du Strigide; Anneau Kturne; Bague Gloursonne; Ceintacé; Chapeau de Gein; Cape de Nileza; Bottes du Strigide; Dofus Pourpre; Dofus des Glaces; Remueur; Érudit majeur; Nomade; Brûlih</t>
        </is>
      </c>
    </row>
    <row r="32908">
      <c r="A32908" t="inlineStr">
        <is>
          <t>Stuff 3</t>
        </is>
      </c>
      <c r="B32908">
        <f>HYPERLINK("https://www.dofusbook.net/fr/equipement/390802-stuff-3/objets", "link")</f>
        <v/>
      </c>
      <c r="C32908" t="n">
        <v>0</v>
      </c>
      <c r="D32908" t="inlineStr">
        <is>
          <t>Plumeau Bil; Amulette de Nileza; Anneauræus; Anneauræus; Ceinture de Vortex; Casque Cyclopéen; Voile d'encre; Bottes Innommables; Dolmanax; Dofus Ocre; Dofus des Glaces; Nomade; Érudit majeur; Remueur; Dragodinde en armure</t>
        </is>
      </c>
    </row>
    <row r="32909">
      <c r="A32909" t="inlineStr">
        <is>
          <t>Stuff 1</t>
        </is>
      </c>
      <c r="B32909">
        <f>HYPERLINK("https://www.dofusbook.net/fr/equipement/390726-stuff-1/objets", "link")</f>
        <v/>
      </c>
      <c r="C32909" t="n">
        <v>0</v>
      </c>
      <c r="D32909" t="inlineStr">
        <is>
          <t>Dagues Érhy; Amulette de Pol Ouatnos; Bague Gloursonne; Chevalière du Roi Joueur; Ceintacé; Chapeau de Gein; Voile d'encre; Bottes du Roi Joueur; Dofus Pourpre; Dofus des Glaces; Nomade; Étourdisseur majeur; Vigoureux majeur; Remueur; Dragodinde en armure</t>
        </is>
      </c>
    </row>
    <row r="32910">
      <c r="A32910" t="inlineStr">
        <is>
          <t>Stuff 3</t>
        </is>
      </c>
      <c r="B32910">
        <f>HYPERLINK("https://www.dofusbook.net/fr/equipement/390793-stuff-3/objets", "link")</f>
        <v/>
      </c>
      <c r="C32910" t="n">
        <v>0</v>
      </c>
      <c r="D32910" t="inlineStr">
        <is>
          <t>Arc Nécrotique; Talisman Igans; Anneau Tique; Alliance Gloursonne; Ceintacé; Casquette de Meno; Cape de la Dame du Hasard; Bottes de Meno; Dofus des Glaces; Dofus Pourpre; Carapace Feu majeur; Vigoureux majeur; Remueur; Nomade; Dragodinde en armure</t>
        </is>
      </c>
    </row>
    <row r="32911">
      <c r="A32911" t="inlineStr">
        <is>
          <t>Stuff 2</t>
        </is>
      </c>
      <c r="B32911">
        <f>HYPERLINK("https://www.dofusbook.net/fr/equipement/390753-stuff-2/objets", "link")</f>
        <v/>
      </c>
      <c r="C32911" t="n">
        <v>0</v>
      </c>
      <c r="D32911" t="inlineStr">
        <is>
          <t>Pelle Vétik; Amulette de Nileza; Anneau Bliteré; Bague Gloursonne; Ceinture du Père Phorreur; Casqnoar; Voile d'encre; Pantoufles Émar; Dolmanax; Dofus Pourpre; Dofus des Glaces; Vigoureux majeur; Nomade; Remueur; Dragodinde en armure</t>
        </is>
      </c>
    </row>
    <row r="32912">
      <c r="A32912" t="inlineStr">
        <is>
          <t>Stuff 1</t>
        </is>
      </c>
      <c r="B32912">
        <f>HYPERLINK("https://www.dofusbook.net/fr/equipement/390787-stuff-1/objets", "link")</f>
        <v/>
      </c>
      <c r="C32912" t="n">
        <v>0</v>
      </c>
      <c r="D32912" t="inlineStr">
        <is>
          <t>Sabres d'Atcham; Amulette du Strigide; Anneau Tique; Alliance Gloursonne; Ceinture de l'Indicible; Casquette de Meno; Cape d'Atcham; Pataugastrique; Dofus Pourpre; Dofus Turquoise; Dofus des Glaces; Nomade; Vigoureux majeur; Remueur; Dragodinde en armure</t>
        </is>
      </c>
    </row>
    <row r="32913">
      <c r="A32913" t="inlineStr">
        <is>
          <t>Stuff 2</t>
        </is>
      </c>
      <c r="B32913">
        <f>HYPERLINK("https://www.dofusbook.net/fr/equipement/390716-stuff-2/objets", "link")</f>
        <v/>
      </c>
      <c r="C32913" t="n">
        <v>0</v>
      </c>
      <c r="D32913" t="inlineStr">
        <is>
          <t>Harpelle; Pendentif affamé; Anneau Rifique; Anneau Tique; Ceinture Séculaire; Casque Cyclopéen; Cape de Diondin; Bottes Innommables; Dofus des Glaces; Dofus Pourpre; Remueur; Érudit majeur; Dévastateur Feu majeur; Nomade; Pioute rouge</t>
        </is>
      </c>
    </row>
    <row r="32914">
      <c r="A32914" t="inlineStr">
        <is>
          <t>Stuff 1</t>
        </is>
      </c>
      <c r="B32914">
        <f>HYPERLINK("https://www.dofusbook.net/fr/equipement/390745-stuff-1/objets", "link")</f>
        <v/>
      </c>
      <c r="C32914" t="n">
        <v>0</v>
      </c>
      <c r="D32914" t="inlineStr">
        <is>
          <t>Marteau des égarés; Amulette du Strigide; Chevalière du Roi Joueur; Alliance Gloursonne; Ceintacé; Coiffe de la Reine des Voleurs; Voile d'encre; Bottes de la Reine des Voleurs; Dofus des Glaces; Dolmanax; Dofus Pourpre; Nomade; Vigoureux majeur; Remueur; Dragodinde en armure</t>
        </is>
      </c>
    </row>
    <row r="32915">
      <c r="A32915" t="inlineStr">
        <is>
          <t>Stuff 3</t>
        </is>
      </c>
      <c r="B32915">
        <f>HYPERLINK("https://www.dofusbook.net/fr/equipement/390711-stuff-3/objets", "link")</f>
        <v/>
      </c>
      <c r="C32915" t="n">
        <v>0</v>
      </c>
      <c r="D32915" t="inlineStr">
        <is>
          <t>Karnak; Frimamulette; Alliance Gloursonne; Anneau d'Allister; Ceinture Rasboulaire du Rasboul; Couronne d'Allister; Cape Matelassée; Pantoufles Émar; Carapace Terre majeur; Nomade; Cascadeur majeur; Remueur; Miraculé majeur; Dévastateur Air majeur; Dragodinde en armure</t>
        </is>
      </c>
    </row>
    <row r="32916">
      <c r="A32916" t="inlineStr">
        <is>
          <t>Stuff 2</t>
        </is>
      </c>
      <c r="B32916">
        <f>HYPERLINK("https://www.dofusbook.net/fr/equipement/390775-stuff-2/objets", "link")</f>
        <v/>
      </c>
      <c r="C32916" t="n">
        <v>0</v>
      </c>
      <c r="D32916" t="inlineStr">
        <is>
          <t>Dagues Érhy; Amulette du Strigide; Bague Gloursonne; Chevalière du Roi Joueur; Ceinture de Gein; Chapeau de Gein; Voile d'encre; Baleinabottes; Dofus des Glaces; Dofus Turquoise; Dofus Pourpre; Nomade; Remueur; Vigoureux majeur; Kramkram</t>
        </is>
      </c>
    </row>
    <row r="32917">
      <c r="A32917" t="inlineStr">
        <is>
          <t>Stuff 1</t>
        </is>
      </c>
      <c r="B32917">
        <f>HYPERLINK("https://www.dofusbook.net/fr/equipement/390706-stuff-1/objets", "link")</f>
        <v/>
      </c>
      <c r="C32917" t="n">
        <v>0</v>
      </c>
      <c r="D32917" t="inlineStr">
        <is>
          <t>La Baguette des Limbes; Amulette Séculaire; Bague Gloursonne; Anneau Tique; Ceinture Séculaire; Coiffe Séculaire; Cape de Nileza; Bottes d'Otomaï; Dofus Ocre; Dofus Pourpre; Dofus des Glaces; Astucieux majeur; Savant majeur; Pioute rouge</t>
        </is>
      </c>
    </row>
    <row r="32918">
      <c r="A32918" t="inlineStr">
        <is>
          <t>Stuff 2</t>
        </is>
      </c>
      <c r="B32918">
        <f>HYPERLINK("https://www.dofusbook.net/fr/equipement/390740-stuff-2/objets", "link")</f>
        <v/>
      </c>
      <c r="C32918" t="n">
        <v>0</v>
      </c>
      <c r="D32918" t="inlineStr">
        <is>
          <t>Hache du Chalœil; Amulette Ementaire Deluxe; Chevalière du Roi Joueur; Alliance Gloursonne; Ceinture de la Reine des Voleurs; Coiffe de la Reine des Voleurs; Voile d'encre; Pataugastrique; Dolmanax; Dofus Pourpre; Dofus des Glaces; Vigoureux majeur; Remueur; Nomade; Dragodinde en armure</t>
        </is>
      </c>
    </row>
    <row r="32919">
      <c r="A32919" t="inlineStr">
        <is>
          <t>Stuff 1</t>
        </is>
      </c>
      <c r="B32919">
        <f>HYPERLINK("https://www.dofusbook.net/fr/equipement/390770-stuff-1/objets", "link")</f>
        <v/>
      </c>
      <c r="C32919" t="n">
        <v>0</v>
      </c>
      <c r="D32919" t="inlineStr">
        <is>
          <t>Manthache; Collier du Valet Veinard; Alliance Gloursonne; Gant du Valet Veinard; Menoture; Couronne d'Allister; Cape Indescriptible; Palmes Trithons; Dofus des Glaces; Dofus Pourpre; Vigoureux majeur; Cascadeur majeur; Nomade; Remueur; Pioute jaune</t>
        </is>
      </c>
    </row>
    <row r="32920">
      <c r="A32920" t="inlineStr">
        <is>
          <t>Stuff 2</t>
        </is>
      </c>
      <c r="B32920">
        <f>HYPERLINK("https://www.dofusbook.net/fr/equipement/390735-stuff-2/objets", "link")</f>
        <v/>
      </c>
      <c r="C32920" t="n">
        <v>0</v>
      </c>
      <c r="D32920" t="inlineStr">
        <is>
          <t>Marteau Phossile; Amulette du Strigide; Anneau Tique; Alliance Gloursonne; Ceintacé; Coiffe Séculaire; Cape des Malveilleurs; Bottes du Strigide; Dofus des Glaces; Dolmanax; Dofus Pourpre; Nomade; Vigoureux majeur; Remueur; Dragodinde en armure</t>
        </is>
      </c>
    </row>
    <row r="32921">
      <c r="A32921" t="inlineStr">
        <is>
          <t>Stuff 2</t>
        </is>
      </c>
      <c r="B32921">
        <f>HYPERLINK("https://www.dofusbook.net/fr/equipement/390765-stuff-2/objets", "link")</f>
        <v/>
      </c>
      <c r="C32921" t="n">
        <v>0</v>
      </c>
      <c r="D32921" t="inlineStr">
        <is>
          <t>Bêche Asse; Collier de Tourthon; Anneau de Brouce; Bracelet du Piloztère; Ceinture de la Reine des Voleurs; Coiffe de la Reine des Voleurs; Cape au Logis; Baleinabottes; Dofus des Glaces; Dofus Pourpre; Vigoureux majeur; Miraculé majeur; Enragé majeur; Remueur; Dragodinde en armure</t>
        </is>
      </c>
    </row>
    <row r="32922">
      <c r="A32922" t="inlineStr">
        <is>
          <t>Stuff 1</t>
        </is>
      </c>
      <c r="B32922">
        <f>HYPERLINK("https://www.dofusbook.net/fr/equipement/390804-stuff-1/objets", "link")</f>
        <v/>
      </c>
      <c r="C32922" t="n">
        <v>0</v>
      </c>
      <c r="D32922" t="inlineStr">
        <is>
          <t>Dagues de Srambad; Amulette Luminescente; Alliance Gloursonne; Bracelet du Piloztère; Ceintacé; Coiffe du Lévitrof; Voile d'encre; Pantoufles du Piloztère; Dolmanax; Dofus Pourpre; Dofus des Glaces; Nomade; Vigoureux majeur; Remueur; Dragodinde en armure</t>
        </is>
      </c>
    </row>
    <row r="32923">
      <c r="A32923" t="inlineStr">
        <is>
          <t>Stuff 2</t>
        </is>
      </c>
      <c r="B32923">
        <f>HYPERLINK("https://www.dofusbook.net/fr/equipement/390693-stuff-2/objets", "link")</f>
        <v/>
      </c>
      <c r="C32923" t="n">
        <v>0</v>
      </c>
      <c r="D32923" t="inlineStr">
        <is>
          <t>Épée du Granduk; Amulette du Granduk; Gant du Valet Veinard; Alliance Gloursonne; Ceinture Voldelor; Masque du Granduk; Cape Indescriptible; Bottes Voldelor; Dofus Pourpre; Dofus des Glaces; Dolmanax; Dofus Ocre; Equilibriste majeur; Acrobate majeur; Pioute jaune</t>
        </is>
      </c>
    </row>
    <row r="32924">
      <c r="A32924" t="inlineStr">
        <is>
          <t>Stuff 1</t>
        </is>
      </c>
      <c r="B32924">
        <f>HYPERLINK("https://www.dofusbook.net/fr/equipement/390728-stuff-1/objets", "link")</f>
        <v/>
      </c>
      <c r="C32924" t="n">
        <v>0</v>
      </c>
      <c r="D32924" t="inlineStr">
        <is>
          <t>Dagues Ricol; Amulette de Nileza; Bague Gloursonne; Anneau Tique; Ceinture de Gein; Coiffe Séculaire; Cape de Nileza; Pataugastrique; Vigoureux majeur; Nomade; Observateur; Dévastateur Feu majeur; Érudit majeur; Remueur; Dragodinde en armure</t>
        </is>
      </c>
    </row>
    <row r="32925">
      <c r="A32925" t="inlineStr">
        <is>
          <t>Stuff 3</t>
        </is>
      </c>
      <c r="B32925">
        <f>HYPERLINK("https://www.dofusbook.net/fr/equipement/390789-stuff-3/objets", "link")</f>
        <v/>
      </c>
      <c r="C32925" t="n">
        <v>0</v>
      </c>
      <c r="D32925" t="inlineStr">
        <is>
          <t>Sabres d'Atcham; Talisman Igans; Alliance Gloursonne; Anneau Tique; Ceinture de l'Indicible; Le Dorado; Cape d'Atcham; Bottes du Strigide; Dofus Pourpre; Dolmanax; Dofus des Glaces; Remueur; Vigoureux majeur; Nomade; Dragodinde en armure</t>
        </is>
      </c>
    </row>
    <row r="32926">
      <c r="A32926" t="inlineStr">
        <is>
          <t>Stuff 1</t>
        </is>
      </c>
      <c r="B32926">
        <f>HYPERLINK("https://www.dofusbook.net/fr/equipement/390718-stuff-1/objets", "link")</f>
        <v/>
      </c>
      <c r="C32926" t="n">
        <v>0</v>
      </c>
      <c r="D32926" t="inlineStr">
        <is>
          <t>Pelle de la Cour Sombre; Collier du Valet Veinard; Gant du Valet Veinard; Alliance Gloursonne; Ceinture du Barbétoal; Couronne d'Allister; Cape de Klime; Baleinabottes; Dofus Pourpre; Dofus des Glaces; Equilibriste majeur; Remueur; Cascadeur majeur; Nomade; Dragodinde en armure</t>
        </is>
      </c>
    </row>
    <row r="32927">
      <c r="A32927" t="inlineStr">
        <is>
          <t>Stuff 1</t>
        </is>
      </c>
      <c r="B32927">
        <f>HYPERLINK("https://www.dofusbook.net/fr/equipement/390755-stuff-1/objets", "link")</f>
        <v/>
      </c>
      <c r="C32927" t="n">
        <v>0</v>
      </c>
      <c r="D32927" t="inlineStr">
        <is>
          <t>Bêche Asse; Collier de Tourthon; Anneau de Brouce; Anneau Chevelu; Quatre-feuilles; Ceinture de Brouce; Masque de Koutoulou; Cape au Logis; Bottes de la Cour Sombre; Dofus Pourpre; Dofus des Glaces; Dofus Nébuleux; Nomade; Enragé majeur; Remueur; Dragodinde en armure</t>
        </is>
      </c>
    </row>
    <row r="32928">
      <c r="A32928" t="inlineStr">
        <is>
          <t>Stuff 1</t>
        </is>
      </c>
      <c r="B32928">
        <f>HYPERLINK("https://www.dofusbook.net/fr/equipement/390784-stuff-1/objets", "link")</f>
        <v/>
      </c>
      <c r="C32928" t="n">
        <v>0</v>
      </c>
      <c r="D32928" t="inlineStr">
        <is>
          <t>Bêche Asse; Collier de Tourthon; Anneau de Brouce; Anneau Crustique; Ceinture de Brouce; Masque de Koutoulou; Cape au Logis; Bottes de la Cour Sombre; Dofus des Glaces; Dofus Pourpre; Dofus Nébuleux; Remueur; Vigoureux majeur; Enragé majeur; Pioute vert</t>
        </is>
      </c>
    </row>
    <row r="32929">
      <c r="A32929" t="inlineStr">
        <is>
          <t>Stuff 2</t>
        </is>
      </c>
      <c r="B32929">
        <f>HYPERLINK("https://www.dofusbook.net/fr/equipement/390713-stuff-2/objets", "link")</f>
        <v/>
      </c>
      <c r="C32929" t="n">
        <v>0</v>
      </c>
      <c r="D32929" t="inlineStr">
        <is>
          <t>Bêche Asse; Collier de Tourthon; Bracelet du Piloztère; Anneau Crustique; Ceintacé; Masque du Katcheur; Cape au Logis; Bottes du Katcheur; Dofus des Glaces; Dofus Pourpre; Miraculé majeur; Remueur; Nomade; Carapace Terre majeur; Dragodinde en armure</t>
        </is>
      </c>
    </row>
    <row r="32930">
      <c r="A32930" t="inlineStr">
        <is>
          <t>Stuff 3</t>
        </is>
      </c>
      <c r="B32930">
        <f>HYPERLINK("https://www.dofusbook.net/fr/equipement/390708-stuff-3/objets", "link")</f>
        <v/>
      </c>
      <c r="C32930" t="n">
        <v>0</v>
      </c>
      <c r="D32930" t="inlineStr">
        <is>
          <t>Plumeau Bil; Amulette de Nileza; Bague Gloursonne; Anneau Tique; Ceinture Séculaire; Coiffe Séculaire; Voile d'encre; Pataugastrique; Dofus des Glaces; Vigoureux majeur; Remueur; Érudit majeur; Nomade; Brûlih</t>
        </is>
      </c>
    </row>
    <row r="32931">
      <c r="A32931" t="inlineStr">
        <is>
          <t>Stuff 2</t>
        </is>
      </c>
      <c r="B32931">
        <f>HYPERLINK("https://www.dofusbook.net/fr/equipement/390704-stuff-2/objets", "link")</f>
        <v/>
      </c>
      <c r="C32931" t="n">
        <v>0</v>
      </c>
      <c r="D32931" t="inlineStr">
        <is>
          <t>Plumeau Bil; Amulette de Nileza; Anneau Tique; Bague Gloursonne; Ceinture Séculaire; Chapeau de Gein; Cape de Nileza; Pantoufles Émar; Dofus des Glaces; Vigoureux majeur; Remueur; Érudit majeur; Nomade; Dévastateur Feu majeur; Dragodinde en armure</t>
        </is>
      </c>
    </row>
    <row r="32932">
      <c r="A32932" t="inlineStr">
        <is>
          <t>Stuff 1</t>
        </is>
      </c>
      <c r="B32932">
        <f>HYPERLINK("https://www.dofusbook.net/fr/equipement/390731-stuff-1/objets", "link")</f>
        <v/>
      </c>
      <c r="C32932" t="n">
        <v>0</v>
      </c>
      <c r="D32932" t="inlineStr">
        <is>
          <t>Dagues Ricol; Amulette du Strigide; Anneau Kturne; Bague Gloursonne; Ceintacé; Chapeau de Gein; Cape de Nileza; Bottes du Strigide; Dofus des Glaces; Dofus Pourpre; Érudit majeur; Nomade; Remueur; Brûlih</t>
        </is>
      </c>
    </row>
    <row r="32933">
      <c r="A32933" t="inlineStr">
        <is>
          <t>Stuff 2</t>
        </is>
      </c>
      <c r="B32933">
        <f>HYPERLINK("https://www.dofusbook.net/fr/equipement/390768-stuff-2/objets", "link")</f>
        <v/>
      </c>
      <c r="C32933" t="n">
        <v>0</v>
      </c>
      <c r="D32933" t="inlineStr">
        <is>
          <t>Bêche Asse; Amulette Héroclite; Bracelet du Piloztère; Anneau de Brouce; Ceinture de la Cour Sombre; Masque de Koutoulou; Cape au Logis; Bottes de la Cour Sombre; Muldo Pourpre</t>
        </is>
      </c>
    </row>
    <row r="32934">
      <c r="A32934" t="inlineStr">
        <is>
          <t>Stuff 2</t>
        </is>
      </c>
      <c r="B32934">
        <f>HYPERLINK("https://www.dofusbook.net/fr/equipement/390699-stuff-2/objets", "link")</f>
        <v/>
      </c>
      <c r="C32934" t="n">
        <v>0</v>
      </c>
      <c r="D32934" t="inlineStr">
        <is>
          <t>Sceptre du Roi Joueur; Amulette Voldelor; Bracelet des Fonds marins; Alliance Gloursonne; Ceinture de la Reine des Voleurs; Coiffe de Danathor; Cape du Sinistrofu; Bottes du Sinistrofu; Dofus des Glaces; Dofus Pourpre; Vigoureux majeur; Remueur; Nomade; Chanceux majeur; Pioute bleu</t>
        </is>
      </c>
    </row>
    <row r="32935">
      <c r="A32935" t="inlineStr">
        <is>
          <t>Stuff 1</t>
        </is>
      </c>
      <c r="B32935">
        <f>HYPERLINK("https://www.dofusbook.net/fr/equipement/390726-stuff-1/objets", "link")</f>
        <v/>
      </c>
      <c r="C32935" t="n">
        <v>0</v>
      </c>
      <c r="D32935" t="inlineStr">
        <is>
          <t>Dagues Érhy; Amulette de Pol Ouatnos; Bague Gloursonne; Chevalière du Roi Joueur; Ceintacé; Chapeau de Gein; Voile d'encre; Bottes du Roi Joueur; Dofus Pourpre; Dofus des Glaces; Nomade; Étourdisseur majeur; Vigoureux majeur; Remueur; Dragodinde en armure</t>
        </is>
      </c>
    </row>
    <row r="32936">
      <c r="A32936" t="inlineStr">
        <is>
          <t>Stuff 3</t>
        </is>
      </c>
      <c r="B32936">
        <f>HYPERLINK("https://www.dofusbook.net/fr/equipement/390802-stuff-3/objets", "link")</f>
        <v/>
      </c>
      <c r="C32936" t="n">
        <v>0</v>
      </c>
      <c r="D32936" t="inlineStr">
        <is>
          <t>Plumeau Bil; Amulette de Nileza; Anneauræus; Anneauræus; Ceinture de Vortex; Casque Cyclopéen; Voile d'encre; Bottes Innommables; Dolmanax; Dofus Ocre; Dofus des Glaces; Nomade; Érudit majeur; Remueur; Dragodinde en armure</t>
        </is>
      </c>
    </row>
    <row r="32937">
      <c r="A32937" t="inlineStr">
        <is>
          <t>Stuff 3</t>
        </is>
      </c>
      <c r="B32937">
        <f>HYPERLINK("https://www.dofusbook.net/fr/equipement/390793-stuff-3/objets", "link")</f>
        <v/>
      </c>
      <c r="C32937" t="n">
        <v>0</v>
      </c>
      <c r="D32937" t="inlineStr">
        <is>
          <t>Arc Nécrotique; Talisman Igans; Anneau Tique; Alliance Gloursonne; Ceintacé; Casquette de Meno; Cape de la Dame du Hasard; Bottes de Meno; Dofus des Glaces; Dofus Pourpre; Carapace Feu majeur; Vigoureux majeur; Remueur; Nomade; Dragodinde en armure</t>
        </is>
      </c>
    </row>
    <row r="32938">
      <c r="A32938" t="inlineStr">
        <is>
          <t>Stuff 2</t>
        </is>
      </c>
      <c r="B32938">
        <f>HYPERLINK("https://www.dofusbook.net/fr/equipement/390716-stuff-2/objets", "link")</f>
        <v/>
      </c>
      <c r="C32938" t="n">
        <v>0</v>
      </c>
      <c r="D32938" t="inlineStr">
        <is>
          <t>Harpelle; Pendentif affamé; Anneau Rifique; Anneau Tique; Ceinture Séculaire; Casque Cyclopéen; Cape de Diondin; Bottes Innommables; Dofus des Glaces; Dofus Pourpre; Remueur; Érudit majeur; Dévastateur Feu majeur; Nomade; Pioute rouge</t>
        </is>
      </c>
    </row>
    <row r="32939">
      <c r="A32939" t="inlineStr">
        <is>
          <t>Stuff 2</t>
        </is>
      </c>
      <c r="B32939">
        <f>HYPERLINK("https://www.dofusbook.net/fr/equipement/390753-stuff-2/objets", "link")</f>
        <v/>
      </c>
      <c r="C32939" t="n">
        <v>0</v>
      </c>
      <c r="D32939" t="inlineStr">
        <is>
          <t>Pelle Vétik; Amulette de Nileza; Anneau Bliteré; Bague Gloursonne; Ceinture du Père Phorreur; Casqnoar; Voile d'encre; Pantoufles Émar; Dolmanax; Dofus Pourpre; Dofus des Glaces; Vigoureux majeur; Nomade; Remueur; Dragodinde en armure</t>
        </is>
      </c>
    </row>
    <row r="32940">
      <c r="A32940" t="inlineStr">
        <is>
          <t>Stuff 1</t>
        </is>
      </c>
      <c r="B32940">
        <f>HYPERLINK("https://www.dofusbook.net/fr/equipement/390787-stuff-1/objets", "link")</f>
        <v/>
      </c>
      <c r="C32940" t="n">
        <v>0</v>
      </c>
      <c r="D32940" t="inlineStr">
        <is>
          <t>Sabres d'Atcham; Amulette du Strigide; Anneau Tique; Alliance Gloursonne; Ceinture de l'Indicible; Casquette de Meno; Cape d'Atcham; Pataugastrique; Dofus Pourpre; Dofus Turquoise; Dofus des Glaces; Nomade; Vigoureux majeur; Remueur; Dragodinde en armure</t>
        </is>
      </c>
    </row>
    <row r="32941">
      <c r="A32941" t="inlineStr">
        <is>
          <t>Stuff 3</t>
        </is>
      </c>
      <c r="B32941">
        <f>HYPERLINK("https://www.dofusbook.net/fr/equipement/390711-stuff-3/objets", "link")</f>
        <v/>
      </c>
      <c r="C32941" t="n">
        <v>0</v>
      </c>
      <c r="D32941" t="inlineStr">
        <is>
          <t>Karnak; Frimamulette; Anneau d'Allister; Alliance Gloursonne; Ceinture Rasboulaire du Rasboul; Couronne d'Allister; Cape Matelassée; Pantoufles Émar; Carapace Terre majeur; Nomade; Cascadeur majeur; Remueur; Miraculé majeur; Dévastateur Air majeur; Dragodinde en armure</t>
        </is>
      </c>
    </row>
    <row r="32942">
      <c r="A32942" t="inlineStr">
        <is>
          <t>Stuff 1</t>
        </is>
      </c>
      <c r="B32942">
        <f>HYPERLINK("https://www.dofusbook.net/fr/equipement/390745-stuff-1/objets", "link")</f>
        <v/>
      </c>
      <c r="C32942" t="n">
        <v>0</v>
      </c>
      <c r="D32942" t="inlineStr">
        <is>
          <t>Marteau des égarés; Amulette du Strigide; Chevalière du Roi Joueur; Alliance Gloursonne; Ceintacé; Coiffe de la Reine des Voleurs; Voile d'encre; Bottes de la Reine des Voleurs; Dofus des Glaces; Dolmanax; Dofus Pourpre; Nomade; Vigoureux majeur; Remueur; Dragodinde en armure</t>
        </is>
      </c>
    </row>
    <row r="32943">
      <c r="A32943" t="inlineStr">
        <is>
          <t>Stuff 2</t>
        </is>
      </c>
      <c r="B32943">
        <f>HYPERLINK("https://www.dofusbook.net/fr/equipement/390636-stuff-2/objets", "link")</f>
        <v/>
      </c>
      <c r="C32943" t="n">
        <v>0</v>
      </c>
      <c r="D32943" t="inlineStr">
        <is>
          <t>Hache du Chalœil; Amulette du Cycloïde; Anneau du Cycloïde; Alliance Gloursonne; Ceintacé; Chapeau Lisson; Voile d'encre; Bottes du Strigide; Dofus des Glaces; Dofus Pourpre; Dolmanax; Nomade; Vigoureux majeur; Remueur; Dragodinde en armure</t>
        </is>
      </c>
    </row>
    <row r="32944">
      <c r="A32944" t="inlineStr">
        <is>
          <t>Stuff 3</t>
        </is>
      </c>
      <c r="B32944">
        <f>HYPERLINK("https://www.dofusbook.net/fr/equipement/390625-stuff-3/objets", "link")</f>
        <v/>
      </c>
      <c r="C32944" t="n">
        <v>0</v>
      </c>
      <c r="D32944" t="inlineStr">
        <is>
          <t>Epée Gloursonne; Amulette Ementaire Deluxe; Alliance Gloursonne; Bague Gloursonne; Ceinture de la Reine des Voleurs; Coiffe de la Reine des Voleurs; Voile d'encre; Bottes de la Reine des Voleurs; Dofus Pourpre; Dofus Ocre; Dofus Vulbis; Dolmanax; Dofus des Glaces; Robuste majeur; Kramkram</t>
        </is>
      </c>
    </row>
    <row r="32945">
      <c r="A32945" t="inlineStr">
        <is>
          <t>Stuff 2</t>
        </is>
      </c>
      <c r="B32945">
        <f>HYPERLINK("https://www.dofusbook.net/fr/equipement/390657-stuff-2/objets", "link")</f>
        <v/>
      </c>
      <c r="C32945" t="n">
        <v>0</v>
      </c>
      <c r="D32945" t="inlineStr">
        <is>
          <t>Hache du Chalœil; Amulette du Strigide; Bracelet du Piloztère; Alliance Gloursonne; Ceintacé; Masque du Katcheur; Cape du Chalœil; Bottes du Chalœil; Dofus Pourpre; Dofus des Glaces; Dofus Turquoise; Remueur; Vigoureux majeur; Nomade; Dragodinde en armure</t>
        </is>
      </c>
    </row>
    <row r="32946">
      <c r="A32946" t="inlineStr">
        <is>
          <t>Stuff 1</t>
        </is>
      </c>
      <c r="B32946">
        <f>HYPERLINK("https://www.dofusbook.net/fr/equipement/390647-stuff-1/objets", "link")</f>
        <v/>
      </c>
      <c r="C32946" t="n">
        <v>0</v>
      </c>
      <c r="D32946" t="inlineStr">
        <is>
          <t>Baguette Hique; Amulette de Pol Ouatnos; Bague Gloursonne; Bracelet du Piloztère; Ceinture de la Reine des Voleurs; Coiffe du Lévitrof; Voile d'encre; Bottes du Lévitrof; Dofus Ocre; Dofus des Glaces; Dofus Pourpre; Nomade; Vigoureux majeur; Remueur; Kramkram</t>
        </is>
      </c>
    </row>
    <row r="32947">
      <c r="A32947" t="inlineStr">
        <is>
          <t>Stuff 1</t>
        </is>
      </c>
      <c r="B32947">
        <f>HYPERLINK("https://www.dofusbook.net/fr/equipement/390679-stuff-1/objets", "link")</f>
        <v/>
      </c>
      <c r="C32947" t="n">
        <v>0</v>
      </c>
      <c r="D32947" t="inlineStr">
        <is>
          <t>L'Épée Nice; Amulette du Cycloïde; Anneau du Katcheur; Anneau des égarés; Ceintacé; Casque des égarés; Cape du Kamasterisk; Baleinabottes; Dofus des Glaces; Dofus Pourpre; Remueur; Observateur; Vigoureux majeur; Nomade; Kramkram</t>
        </is>
      </c>
    </row>
    <row r="32948">
      <c r="A32948" t="inlineStr">
        <is>
          <t>Stuff 2</t>
        </is>
      </c>
      <c r="B32948">
        <f>HYPERLINK("https://www.dofusbook.net/fr/equipement/390642-stuff-2/objets", "link")</f>
        <v/>
      </c>
      <c r="C32948" t="n">
        <v>0</v>
      </c>
      <c r="D32948" t="inlineStr">
        <is>
          <t>Hache du Chalœil; Amulette Ementaire Deluxe; Alliance Gloursonne; Chevalière du Roi Joueur; Ceinture du Strigide; Coiffe du Lévitrof; Cape des Justiciers; Bottes du Strigide; Dofus Pourpre; Dofus des Glaces; Remueur; Sanguinaire majeur; Vigoureux majeur; Nomade; Dragodinde en armure</t>
        </is>
      </c>
    </row>
    <row r="32949">
      <c r="A32949" t="inlineStr">
        <is>
          <t>Stuff 2</t>
        </is>
      </c>
      <c r="B32949">
        <f>HYPERLINK("https://www.dofusbook.net/fr/equipement/390674-stuff-2/objets", "link")</f>
        <v/>
      </c>
      <c r="C32949" t="n">
        <v>0</v>
      </c>
      <c r="D32949" t="inlineStr">
        <is>
          <t>Bêche Asse; Amulette du Nocturlabe; Alliance de Missiz Frizz; Anneau de Brouce; Ceinture de Brouce; Casque de Missiz Frizz; Cape au Logis; Bottes de Brouce; Dofus Ocre; Dofus des Glaces; Dofus Pourpre; Furibond majeur; Robuste majeur; Forcené majeur; Pioute vert</t>
        </is>
      </c>
    </row>
    <row r="32950">
      <c r="A32950" t="inlineStr">
        <is>
          <t>Stuff 2</t>
        </is>
      </c>
      <c r="B32950">
        <f>HYPERLINK("https://www.dofusbook.net/fr/equipement/390567-stuff-2/objets", "link")</f>
        <v/>
      </c>
      <c r="C32950" t="n">
        <v>0</v>
      </c>
      <c r="D32950" t="inlineStr">
        <is>
          <t>Rapière aux Glyphes; Racine Hueuse; Grésilanneau; Alliance Gloursonne; Ceinture Glaciale; Casqnoar; Cape Matelassée; Bottes Refois; Dofus Pourpre; Dofus des Glaces; Vigoureux majeur; Chanceux majeur; Nomade; Remueur; Dragodinde en armure</t>
        </is>
      </c>
    </row>
    <row r="32951">
      <c r="A32951" t="inlineStr">
        <is>
          <t>Stuff 3</t>
        </is>
      </c>
      <c r="B32951">
        <f>HYPERLINK("https://www.dofusbook.net/fr/equipement/390637-stuff-3/objets", "link")</f>
        <v/>
      </c>
      <c r="C32951" t="n">
        <v>0</v>
      </c>
      <c r="D32951" t="inlineStr">
        <is>
          <t>Marteau des Anciens Steamers; Amulette Voldelor; Alliance Gloursonne; Bracelet du Piloztère; Ceintacé; Chapeau des Malveilleurs; Cape des Malveilleurs; Bottes du Strigide; Dolmanax; Dofus Pourpre; Dofus des Glaces; Vigoureux majeur; Nomade; Remueur; Dragodinde en armure</t>
        </is>
      </c>
    </row>
    <row r="32952">
      <c r="A32952" t="inlineStr">
        <is>
          <t>Stuff 3</t>
        </is>
      </c>
      <c r="B32952">
        <f>HYPERLINK("https://www.dofusbook.net/fr/equipement/390669-stuff-3/objets", "link")</f>
        <v/>
      </c>
      <c r="C32952" t="n">
        <v>0</v>
      </c>
      <c r="D32952" t="inlineStr">
        <is>
          <t>Rapière aux Glyphes; Talisman Glouti; Bracelet des Fonds marins; Anneau Glacial; Ceinture Glaciale; Masque des Fonds marins; Cape Glaciale; Sandales des Fonds marins; Dofus Pourpre; Dofus Ocre; Dofus des Glaces; Robuste majeur; Joueur majeur; Examinateur; Kramkram</t>
        </is>
      </c>
    </row>
    <row r="32953">
      <c r="A32953" t="inlineStr">
        <is>
          <t>Stuff 1</t>
        </is>
      </c>
      <c r="B32953">
        <f>HYPERLINK("https://www.dofusbook.net/fr/equipement/390597-stuff-1/objets", "link")</f>
        <v/>
      </c>
      <c r="C32953" t="n">
        <v>0</v>
      </c>
      <c r="D32953" t="inlineStr">
        <is>
          <t>Dagues Érhy; Amulette de Pol Ouatnos; Bracelet du Piloztère; Alliance Gloursonne; Ceinture du Strigide; Casque de Missiz Frizz; Cape des Justiciers; Bottes du Strigide; Dofus Pourpre; Vigoureux majeur; Remueur; Puissant majeur; Sanguinaire majeur; Nomade; Dragodinde en armure</t>
        </is>
      </c>
    </row>
    <row r="32954">
      <c r="A32954" t="inlineStr">
        <is>
          <t>Stuff 1</t>
        </is>
      </c>
      <c r="B32954">
        <f>HYPERLINK("https://www.dofusbook.net/fr/equipement/390647-stuff-1/objets", "link")</f>
        <v/>
      </c>
      <c r="C32954" t="n">
        <v>0</v>
      </c>
      <c r="D32954" t="inlineStr">
        <is>
          <t>Baguette Hique; Amulette de Pol Ouatnos; Bague Gloursonne; Bracelet du Piloztère; Ceinture de la Reine des Voleurs; Coiffe du Lévitrof; Voile d'encre; Bottes du Lévitrof; Dofus Pourpre; Dofus Ocre; Dofus des Glaces; Nomade; Vigoureux majeur; Remueur; Kramkram</t>
        </is>
      </c>
    </row>
    <row r="32955">
      <c r="A32955" t="inlineStr">
        <is>
          <t>Stuff 1</t>
        </is>
      </c>
      <c r="B32955">
        <f>HYPERLINK("https://www.dofusbook.net/fr/equipement/390679-stuff-1/objets", "link")</f>
        <v/>
      </c>
      <c r="C32955" t="n">
        <v>0</v>
      </c>
      <c r="D32955" t="inlineStr">
        <is>
          <t>L'Épée Nice; Amulette du Cycloïde; Anneau du Katcheur; Anneau des égarés; Ceintacé; Casque des égarés; Cape du Kamasterisk; Baleinabottes; Dofus des Glaces; Dofus Pourpre; Remueur; Observateur; Vigoureux majeur; Nomade; Kramkram</t>
        </is>
      </c>
    </row>
    <row r="32956">
      <c r="A32956" t="inlineStr">
        <is>
          <t>Stuff 2</t>
        </is>
      </c>
      <c r="B32956">
        <f>HYPERLINK("https://www.dofusbook.net/fr/equipement/390642-stuff-2/objets", "link")</f>
        <v/>
      </c>
      <c r="C32956" t="n">
        <v>0</v>
      </c>
      <c r="D32956" t="inlineStr">
        <is>
          <t>Hache du Chalœil; Amulette Ementaire Deluxe; Chevalière du Roi Joueur; Alliance Gloursonne; Ceinture du Strigide; Coiffe du Lévitrof; Cape des Justiciers; Bottes du Strigide; Dofus Pourpre; Dofus des Glaces; Remueur; Sanguinaire majeur; Vigoureux majeur; Nomade; Dragodinde en armure</t>
        </is>
      </c>
    </row>
    <row r="32957">
      <c r="A32957" t="inlineStr">
        <is>
          <t>Stuff 2</t>
        </is>
      </c>
      <c r="B32957">
        <f>HYPERLINK("https://www.dofusbook.net/fr/equipement/390674-stuff-2/objets", "link")</f>
        <v/>
      </c>
      <c r="C32957" t="n">
        <v>0</v>
      </c>
      <c r="D32957" t="inlineStr">
        <is>
          <t>Bêche Asse; Amulette du Nocturlabe; Anneau de Brouce; Alliance de Missiz Frizz; Ceinture de Brouce; Casque de Missiz Frizz; Cape au Logis; Bottes de Brouce; Dofus Pourpre; Dofus Ocre; Dofus des Glaces; Furibond majeur; Robuste majeur; Forcené majeur; Pioute vert</t>
        </is>
      </c>
    </row>
    <row r="32958">
      <c r="A32958" t="inlineStr">
        <is>
          <t>Stuff 2</t>
        </is>
      </c>
      <c r="B32958">
        <f>HYPERLINK("https://www.dofusbook.net/fr/equipement/390567-stuff-2/objets", "link")</f>
        <v/>
      </c>
      <c r="C32958" t="n">
        <v>0</v>
      </c>
      <c r="D32958" t="inlineStr">
        <is>
          <t>Rapière aux Glyphes; Racine Hueuse; Grésilanneau; Alliance Gloursonne; Ceinture Glaciale; Casqnoar; Cape Matelassée; Bottes Refois; Dofus Pourpre; Dofus des Glaces; Vigoureux majeur; Chanceux majeur; Nomade; Remueur; Dragodinde en armure</t>
        </is>
      </c>
    </row>
    <row r="32959">
      <c r="A32959" t="inlineStr">
        <is>
          <t>Stuff 3</t>
        </is>
      </c>
      <c r="B32959">
        <f>HYPERLINK("https://www.dofusbook.net/fr/equipement/390637-stuff-3/objets", "link")</f>
        <v/>
      </c>
      <c r="C32959" t="n">
        <v>0</v>
      </c>
      <c r="D32959" t="inlineStr">
        <is>
          <t>Marteau des Anciens Steamers; Amulette Voldelor; Alliance Gloursonne; Bracelet du Piloztère; Ceintacé; Chapeau des Malveilleurs; Cape des Malveilleurs; Bottes du Strigide; Dofus des Glaces; Dolmanax; Dofus Pourpre; Remueur; Vigoureux majeur; Nomade; Dragodinde en armure</t>
        </is>
      </c>
    </row>
    <row r="32960">
      <c r="A32960" t="inlineStr">
        <is>
          <t>Stuff 3</t>
        </is>
      </c>
      <c r="B32960">
        <f>HYPERLINK("https://www.dofusbook.net/fr/equipement/390669-stuff-3/objets", "link")</f>
        <v/>
      </c>
      <c r="C32960" t="n">
        <v>0</v>
      </c>
      <c r="D32960" t="inlineStr">
        <is>
          <t>Rapière aux Glyphes; Talisman Glouti; Bracelet des Fonds marins; Anneau Glacial; Ceinture Glaciale; Masque des Fonds marins; Cape Glaciale; Sandales des Fonds marins; Dofus Pourpre; Dofus Ocre; Dofus des Glaces; Robuste majeur; Joueur majeur; Examinateur; Kramkram</t>
        </is>
      </c>
    </row>
    <row r="32961">
      <c r="A32961" t="inlineStr">
        <is>
          <t>Stuff 1</t>
        </is>
      </c>
      <c r="B32961">
        <f>HYPERLINK("https://www.dofusbook.net/fr/equipement/390597-stuff-1/objets", "link")</f>
        <v/>
      </c>
      <c r="C32961" t="n">
        <v>0</v>
      </c>
      <c r="D32961" t="inlineStr">
        <is>
          <t>Dagues Érhy; Amulette de Pol Ouatnos; Alliance Gloursonne; Bracelet du Piloztère; Ceinture du Strigide; Casque de Missiz Frizz; Cape des Justiciers; Bottes du Strigide; Dofus Pourpre; Sanguinaire majeur; Nomade; Vigoureux majeur; Remueur; Puissant majeur; Dragodinde en armure</t>
        </is>
      </c>
    </row>
    <row r="32962">
      <c r="A32962" t="inlineStr">
        <is>
          <t>Stuff 2</t>
        </is>
      </c>
      <c r="B32962">
        <f>HYPERLINK("https://www.dofusbook.net/fr/equipement/390627-stuff-2/objets", "link")</f>
        <v/>
      </c>
      <c r="C32962" t="n">
        <v>0</v>
      </c>
      <c r="D32962" t="inlineStr">
        <is>
          <t>Grésilosceptre; Amulette de Pol Ouatnos; Anneau du Cycloïde; Anneau Tique; Ceinture du Barbétoal; Dorabysses; Cape Parition; Pantoufles Émar; Dofus Pourpre; Dofus des Glaces; Temporiseur majeur; Nomade; Cavaleur majeur; Remueur; Kramkram</t>
        </is>
      </c>
    </row>
    <row r="32963">
      <c r="A32963" t="inlineStr">
        <is>
          <t>Stuff 1</t>
        </is>
      </c>
      <c r="B32963">
        <f>HYPERLINK("https://www.dofusbook.net/fr/equipement/390679-stuff-1/objets", "link")</f>
        <v/>
      </c>
      <c r="C32963" t="n">
        <v>0</v>
      </c>
      <c r="D32963" t="inlineStr">
        <is>
          <t>L'Épée Nice; Amulette du Cycloïde; Anneau des égarés; Anneau du Katcheur; Ceintacé; Casque des égarés; Cape du Kamasterisk; Baleinabottes; Dofus des Glaces; Dofus Pourpre; Vigoureux majeur; Nomade; Remueur; Observateur; Kramkram</t>
        </is>
      </c>
    </row>
    <row r="32964">
      <c r="A32964" t="inlineStr">
        <is>
          <t>Stuff 1</t>
        </is>
      </c>
      <c r="B32964">
        <f>HYPERLINK("https://www.dofusbook.net/fr/equipement/390647-stuff-1/objets", "link")</f>
        <v/>
      </c>
      <c r="C32964" t="n">
        <v>0</v>
      </c>
      <c r="D32964" t="inlineStr">
        <is>
          <t>Baguette Hique; Amulette de Pol Ouatnos; Bracelet du Piloztère; Bague Gloursonne; Ceinture de la Reine des Voleurs; Coiffe du Lévitrof; Voile d'encre; Bottes du Lévitrof; Dofus Pourpre; Dofus Ocre; Dofus des Glaces; Nomade; Vigoureux majeur; Remueur; Kramkram</t>
        </is>
      </c>
    </row>
    <row r="32965">
      <c r="A32965" t="inlineStr">
        <is>
          <t>Stuff 2</t>
        </is>
      </c>
      <c r="B32965">
        <f>HYPERLINK("https://www.dofusbook.net/fr/equipement/390674-stuff-2/objets", "link")</f>
        <v/>
      </c>
      <c r="C32965" t="n">
        <v>0</v>
      </c>
      <c r="D32965" t="inlineStr">
        <is>
          <t>Bêche Asse; Amulette du Nocturlabe; Anneau de Brouce; Alliance de Missiz Frizz; Ceinture de Brouce; Casque de Missiz Frizz; Cape au Logis; Bottes de Brouce; Dofus Pourpre; Dofus Ocre; Dofus des Glaces; Forcené majeur; Furibond majeur; Robuste majeur; Pioute vert</t>
        </is>
      </c>
    </row>
    <row r="32966">
      <c r="A32966" t="inlineStr">
        <is>
          <t>Stuff 2</t>
        </is>
      </c>
      <c r="B32966">
        <f>HYPERLINK("https://www.dofusbook.net/fr/equipement/390567-stuff-2/objets", "link")</f>
        <v/>
      </c>
      <c r="C32966" t="n">
        <v>0</v>
      </c>
      <c r="D32966" t="inlineStr">
        <is>
          <t>Rapière aux Glyphes; Racine Hueuse; Grésilanneau; Alliance Gloursonne; Ceinture Glaciale; Casqnoar; Cape Matelassée; Bottes Refois; Dofus des Glaces; Dofus Pourpre; Remueur; Vigoureux majeur; Chanceux majeur; Nomade; Dragodinde en armure</t>
        </is>
      </c>
    </row>
    <row r="32967">
      <c r="A32967" t="inlineStr">
        <is>
          <t>Stuff 2</t>
        </is>
      </c>
      <c r="B32967">
        <f>HYPERLINK("https://www.dofusbook.net/fr/equipement/390642-stuff-2/objets", "link")</f>
        <v/>
      </c>
      <c r="C32967" t="n">
        <v>0</v>
      </c>
      <c r="D32967" t="inlineStr">
        <is>
          <t>Hache du Chalœil; Amulette Ementaire Deluxe; Chevalière du Roi Joueur; Alliance Gloursonne; Ceinture du Strigide; Coiffe du Lévitrof; Cape des Justiciers; Bottes du Strigide; Dofus des Glaces; Dofus Pourpre; Nomade; Remueur; Sanguinaire majeur; Vigoureux majeur; Dragodinde en armure</t>
        </is>
      </c>
    </row>
    <row r="32968">
      <c r="A32968" t="inlineStr">
        <is>
          <t>Stuff 3</t>
        </is>
      </c>
      <c r="B32968">
        <f>HYPERLINK("https://www.dofusbook.net/fr/equipement/390669-stuff-3/objets", "link")</f>
        <v/>
      </c>
      <c r="C32968" t="n">
        <v>0</v>
      </c>
      <c r="D32968" t="inlineStr">
        <is>
          <t>Rapière aux Glyphes; Talisman Glouti; Anneau Glacial; Bracelet des Fonds marins; Ceinture Glaciale; Masque des Fonds marins; Cape Glaciale; Sandales des Fonds marins; Dofus des Glaces; Dofus Pourpre; Dofus Ocre; Robuste majeur; Joueur majeur; Examinateur; Kramkram</t>
        </is>
      </c>
    </row>
    <row r="32969">
      <c r="A32969" t="inlineStr">
        <is>
          <t>Stuff 3</t>
        </is>
      </c>
      <c r="B32969">
        <f>HYPERLINK("https://www.dofusbook.net/fr/equipement/390637-stuff-3/objets", "link")</f>
        <v/>
      </c>
      <c r="C32969" t="n">
        <v>0</v>
      </c>
      <c r="D32969" t="inlineStr">
        <is>
          <t>Marteau des Anciens Steamers; Amulette Voldelor; Bracelet du Piloztère; Alliance Gloursonne; Ceintacé; Chapeau des Malveilleurs; Cape des Malveilleurs; Bottes du Strigide; Dofus des Glaces; Dolmanax; Dofus Pourpre; Remueur; Vigoureux majeur; Nomade; Dragodinde en armure</t>
        </is>
      </c>
    </row>
    <row r="32970">
      <c r="A32970" t="inlineStr">
        <is>
          <t>Stuff 1</t>
        </is>
      </c>
      <c r="B32970">
        <f>HYPERLINK("https://www.dofusbook.net/fr/equipement/390597-stuff-1/objets", "link")</f>
        <v/>
      </c>
      <c r="C32970" t="n">
        <v>0</v>
      </c>
      <c r="D32970" t="inlineStr">
        <is>
          <t>Dagues Érhy; Amulette de Pol Ouatnos; Alliance Gloursonne; Bracelet du Piloztère; Ceinture du Strigide; Casque de Missiz Frizz; Cape des Justiciers; Bottes du Strigide; Dofus Pourpre; Sanguinaire majeur; Nomade; Vigoureux majeur; Remueur; Puissant majeur; Dragodinde en armure</t>
        </is>
      </c>
    </row>
    <row r="32971">
      <c r="A32971" t="inlineStr">
        <is>
          <t>Stuff 2</t>
        </is>
      </c>
      <c r="B32971">
        <f>HYPERLINK("https://www.dofusbook.net/fr/equipement/390592-stuff-2/objets", "link")</f>
        <v/>
      </c>
      <c r="C32971" t="n">
        <v>0</v>
      </c>
      <c r="D32971" t="inlineStr">
        <is>
          <t>Arc Hétype; Amulette Séculaire; Anneau de Nidas; Bague Gloursonne; Ceinture Séculaire; Coiffe Séculaire; Voile d'encre; Tongues de Nidas; Dofus Émeraude; Dofus Vulbis; Dofus Ocre; Dofus des Glaces; Astucieux majeur; Savant majeur; Dragodinde Prune et Orchidée</t>
        </is>
      </c>
    </row>
    <row r="32972">
      <c r="A32972" t="inlineStr">
        <is>
          <t>Stuff 3</t>
        </is>
      </c>
      <c r="B32972">
        <f>HYPERLINK("https://www.dofusbook.net/fr/equipement/390625-stuff-3/objets", "link")</f>
        <v/>
      </c>
      <c r="C32972" t="n">
        <v>0</v>
      </c>
      <c r="D32972" t="inlineStr">
        <is>
          <t>Epée Gloursonne; Amulette Ementaire Deluxe; Bague Gloursonne; Alliance Gloursonne; Ceinture de la Reine des Voleurs; Coiffe de la Reine des Voleurs; Voile d'encre; Bottes de la Reine des Voleurs; Dolmanax; Dofus des Glaces; Dofus Pourpre; Dofus Ocre; Dofus Vulbis; Robuste majeur; Kramkram</t>
        </is>
      </c>
    </row>
    <row r="32973">
      <c r="A32973" t="inlineStr">
        <is>
          <t>Stuff 2</t>
        </is>
      </c>
      <c r="B32973">
        <f>HYPERLINK("https://www.dofusbook.net/fr/equipement/390657-stuff-2/objets", "link")</f>
        <v/>
      </c>
      <c r="C32973" t="n">
        <v>0</v>
      </c>
      <c r="D32973" t="inlineStr">
        <is>
          <t>Hache du Chalœil; Amulette du Strigide; Bracelet du Piloztère; Alliance Gloursonne; Ceintacé; Masque du Katcheur; Cape du Chalœil; Bottes du Chalœil; Dofus Turquoise; Dofus Pourpre; Dofus des Glaces; Vigoureux majeur; Nomade; Remueur; Dragodinde en armure</t>
        </is>
      </c>
    </row>
    <row r="32974">
      <c r="A32974" t="inlineStr">
        <is>
          <t>Stuff 1</t>
        </is>
      </c>
      <c r="B32974">
        <f>HYPERLINK("https://www.dofusbook.net/fr/equipement/390647-stuff-1/objets", "link")</f>
        <v/>
      </c>
      <c r="C32974" t="n">
        <v>0</v>
      </c>
      <c r="D32974" t="inlineStr">
        <is>
          <t>Baguette Hique; Amulette de Pol Ouatnos; Bracelet du Piloztère; Bague Gloursonne; Ceinture de la Reine des Voleurs; Coiffe du Lévitrof; Voile d'encre; Bottes du Lévitrof; Dofus des Glaces; Dofus Pourpre; Dofus Ocre; Remueur; Nomade; Vigoureux majeur; Kramkram</t>
        </is>
      </c>
    </row>
    <row r="32975">
      <c r="A32975" t="inlineStr">
        <is>
          <t>Stuff 1</t>
        </is>
      </c>
      <c r="B32975">
        <f>HYPERLINK("https://www.dofusbook.net/fr/equipement/390679-stuff-1/objets", "link")</f>
        <v/>
      </c>
      <c r="C32975" t="n">
        <v>0</v>
      </c>
      <c r="D32975" t="inlineStr">
        <is>
          <t>L'Épée Nice; Amulette du Cycloïde; Anneau du Katcheur; Anneau des égarés; Ceintacé; Casque des égarés; Cape du Kamasterisk; Baleinabottes; Dofus des Glaces; Dofus Pourpre; Vigoureux majeur; Nomade; Remueur; Observateur; Kramkram</t>
        </is>
      </c>
    </row>
    <row r="32976">
      <c r="A32976" t="inlineStr">
        <is>
          <t>Stuff 2</t>
        </is>
      </c>
      <c r="B32976">
        <f>HYPERLINK("https://www.dofusbook.net/fr/equipement/390642-stuff-2/objets", "link")</f>
        <v/>
      </c>
      <c r="C32976" t="n">
        <v>0</v>
      </c>
      <c r="D32976" t="inlineStr">
        <is>
          <t>Hache du Chalœil; Amulette Ementaire Deluxe; Chevalière du Roi Joueur; Alliance Gloursonne; Ceinture du Strigide; Coiffe du Lévitrof; Cape des Justiciers; Bottes du Strigide; Dofus des Glaces; Dofus Pourpre; Nomade; Remueur; Sanguinaire majeur; Vigoureux majeur; Dragodinde en armure</t>
        </is>
      </c>
    </row>
    <row r="32977">
      <c r="A32977" t="inlineStr">
        <is>
          <t>Stuff 2</t>
        </is>
      </c>
      <c r="B32977">
        <f>HYPERLINK("https://www.dofusbook.net/fr/equipement/390674-stuff-2/objets", "link")</f>
        <v/>
      </c>
      <c r="C32977" t="n">
        <v>0</v>
      </c>
      <c r="D32977" t="inlineStr">
        <is>
          <t>Bêche Asse; Amulette du Nocturlabe; Alliance de Missiz Frizz; Anneau de Brouce; Ceinture de Brouce; Casque de Missiz Frizz; Cape au Logis; Bottes de Brouce; Dofus des Glaces; Dofus Pourpre; Dofus Ocre; Robuste majeur; Forcené majeur; Furibond majeur; Pioute vert</t>
        </is>
      </c>
    </row>
    <row r="32978">
      <c r="A32978" t="inlineStr">
        <is>
          <t>Stuff 2</t>
        </is>
      </c>
      <c r="B32978">
        <f>HYPERLINK("https://www.dofusbook.net/fr/equipement/390567-stuff-2/objets", "link")</f>
        <v/>
      </c>
      <c r="C32978" t="n">
        <v>0</v>
      </c>
      <c r="D32978" t="inlineStr">
        <is>
          <t>Rapière aux Glyphes; Racine Hueuse; Alliance Gloursonne; Grésilanneau; Ceinture Glaciale; Casqnoar; Cape Matelassée; Bottes Refois; Dofus des Glaces; Dofus Pourpre; Remueur; Vigoureux majeur; Chanceux majeur; Nomade; Dragodinde en armure</t>
        </is>
      </c>
    </row>
    <row r="32979">
      <c r="A32979" t="inlineStr">
        <is>
          <t>Stuff 1</t>
        </is>
      </c>
      <c r="B32979">
        <f>HYPERLINK("https://www.dofusbook.net/fr/equipement/390626-stuff-1/objets", "link")</f>
        <v/>
      </c>
      <c r="C32979" t="n">
        <v>0</v>
      </c>
      <c r="D32979" t="inlineStr">
        <is>
          <t>Epée Loponèze; Amulette Ementaire Deluxe; Alliance du Lévitrof; Alliance Gloursonne; Ceinture de la Reine des Voleurs; Coiffe de la Reine des Voleurs; Cape des Justiciers; Pataugastrique; Dofus Pourpre; Dofus des Glaces; Robuste majeur; Nomade; Vigoureux majeur; Remueur; Kramkram</t>
        </is>
      </c>
    </row>
    <row r="32980">
      <c r="A32980" t="inlineStr">
        <is>
          <t>Stuff 3</t>
        </is>
      </c>
      <c r="B32980">
        <f>HYPERLINK("https://www.dofusbook.net/fr/equipement/390658-stuff-3/objets", "link")</f>
        <v/>
      </c>
      <c r="C32980" t="n">
        <v>0</v>
      </c>
      <c r="D32980" t="inlineStr">
        <is>
          <t>La Baguette des Limbes; Amulette d'Otomaï; Anneau Tamie; Bague Gloursonne; String Tue-Mouche; Coiffe Séculaire; Cape de Nileza; Pantoufles Émar; Dofus des Glaces; Dofus Nébuleux; Remueur; Vigoureux majeur; Nomade; Érudit majeur; Pioute rouge</t>
        </is>
      </c>
    </row>
    <row r="32981">
      <c r="A32981" t="inlineStr">
        <is>
          <t>Stuff 1</t>
        </is>
      </c>
      <c r="B32981">
        <f>HYPERLINK("https://www.dofusbook.net/fr/equipement/390591-stuff-1/objets", "link")</f>
        <v/>
      </c>
      <c r="C32981" t="n">
        <v>0</v>
      </c>
      <c r="D32981" t="inlineStr">
        <is>
          <t>Pelle de la Cour Sombre; Amulette de Pol Ouatnos; Anneau d'Allister; Alliance Gloursonne; Ceinture de Klime; Couronne d'Allister; Cape de Klime; Bottes d'Allister; Dofus Pourpre; Dofus Ocre; Dofus des Glaces; Equilibriste majeur; Acrobate majeur; Robuste majeur; Kramkram</t>
        </is>
      </c>
    </row>
    <row r="32982">
      <c r="A32982" t="inlineStr">
        <is>
          <t>Stuff 2</t>
        </is>
      </c>
      <c r="B32982">
        <f>HYPERLINK("https://www.dofusbook.net/fr/equipement/390648-stuff-2/objets", "link")</f>
        <v/>
      </c>
      <c r="C32982" t="n">
        <v>0</v>
      </c>
      <c r="D32982" t="inlineStr">
        <is>
          <t>Arc Hétype; Amulette Séculaire; Anneau de Nidas; Anneau de Pol Ouatnos; Ceinture Séculaire; Couronne de Nidas; Voile d'encre; Tongues de Nidas; Dofus des Glaces; Dofus Ocre; Dofus Cawotte; Astucieux majeur; Ralentisseur majeur; Savant majeur; Pioute rouge</t>
        </is>
      </c>
    </row>
    <row r="32983">
      <c r="A32983" t="inlineStr">
        <is>
          <t>Stuff 2</t>
        </is>
      </c>
      <c r="B32983">
        <f>HYPERLINK("https://www.dofusbook.net/fr/equipement/390680-stuff-2/objets", "link")</f>
        <v/>
      </c>
      <c r="C32983" t="n">
        <v>0</v>
      </c>
      <c r="D32983" t="inlineStr">
        <is>
          <t>Hache Ériphe; Amulette du Cycloïde; Alliance Gloursonne; Anneau des égarés; Ceinture de XLII; Coiffe de la Reine des Voleurs; Cape du Kamasterisk; Baleinabottes; Dofus des Glaces; Dolmanax; Dofus Pourpre; Nomade; Vigoureux majeur; Remueur; Dragodinde en armure</t>
        </is>
      </c>
    </row>
    <row r="32984">
      <c r="A32984" t="inlineStr">
        <is>
          <t>Stuff 3</t>
        </is>
      </c>
      <c r="B32984">
        <f>HYPERLINK("https://www.dofusbook.net/fr/equipement/390643-stuff-3/objets", "link")</f>
        <v/>
      </c>
      <c r="C32984" t="n">
        <v>0</v>
      </c>
      <c r="D32984" t="inlineStr">
        <is>
          <t>Dagues de Srambad; Amulette de Pol Ouatnos; Bracelet du Piloztère; Alliance Gloursonne; Ceinture de la Reine des Voleurs; Casque de Missiz Frizz; Cape des Justiciers; Pantoufles du Piloztère; Dofus des Glaces; Dofus Pourpre; Vigoureux majeur; Remueur; Nomade; Enragé majeur; Dragodinde en armure</t>
        </is>
      </c>
    </row>
    <row r="32985">
      <c r="A32985" t="inlineStr">
        <is>
          <t>Stuff 3</t>
        </is>
      </c>
      <c r="B32985">
        <f>HYPERLINK("https://www.dofusbook.net/fr/equipement/390675-stuff-3/objets", "link")</f>
        <v/>
      </c>
      <c r="C32985" t="n">
        <v>0</v>
      </c>
      <c r="D32985" t="inlineStr">
        <is>
          <t>Bêche Asse; Amulette du K.O.; Anneau Chevelu; Anneau de Brouce; Ceinture de Brouce; Casque de Missiz Frizz; Cape au Logis; Sabots Minables; Dofus Pourpre; Remueur; Carapace Terre majeur; Enragé majeur; Vigoureux majeur; Nomade; Dragodinde en armure</t>
        </is>
      </c>
    </row>
    <row r="32986">
      <c r="A32986" t="inlineStr">
        <is>
          <t>Stuff 3</t>
        </is>
      </c>
      <c r="B32986">
        <f>HYPERLINK("https://www.dofusbook.net/fr/equipement/390568-stuff-3/objets", "link")</f>
        <v/>
      </c>
      <c r="C32986" t="n">
        <v>0</v>
      </c>
      <c r="D32986" t="inlineStr">
        <is>
          <t>Bêche Asse; Collier de Tourthon; Anneau de Brouce; Anneau Crustique; Ceinture de Brouce; Masque de Koutoulou; Cape au Logis; Bottes de la Cour Sombre; Dofus Pourpre; Dofus des Glaces; Enragé majeur; Vigoureux majeur; Remueur; Pioute vert</t>
        </is>
      </c>
    </row>
    <row r="32987">
      <c r="A32987" t="inlineStr">
        <is>
          <t>Stuff 1</t>
        </is>
      </c>
      <c r="B32987">
        <f>HYPERLINK("https://www.dofusbook.net/fr/equipement/390638-stuff-1/objets", "link")</f>
        <v/>
      </c>
      <c r="C32987" t="n">
        <v>0</v>
      </c>
      <c r="D32987" t="inlineStr">
        <is>
          <t>Rapière aux Glyphes; Talisman Glouti; Bracelet des Fonds marins; Alliance Gloursonne; Sangle Ouare; Kidibonnet; Cape du Sinistrofu; Sandales des Fonds marins; Dofus Pourpre; Dofus des Glaces; Vigoureux majeur; Nomade; Chanceux majeur; Remueur; Kramkram</t>
        </is>
      </c>
    </row>
    <row r="32988">
      <c r="A32988" t="inlineStr">
        <is>
          <t>Stuff 1</t>
        </is>
      </c>
      <c r="B32988">
        <f>HYPERLINK("https://www.dofusbook.net/fr/equipement/390670-stuff-1/objets", "link")</f>
        <v/>
      </c>
      <c r="C32988" t="n">
        <v>0</v>
      </c>
      <c r="D32988" t="inlineStr">
        <is>
          <t>Épée du Granduk; Amulette du Granduk; Alliance Gloursonne; Anneau de XLII; Ceinture de XLII; Masque du Granduk; Cape Indescriptible; Bottes de XLII; Dolmanax; Dofus Pourpre; Dofus Ocre; Dofus des Glaces; Acrobate majeur; Pioute jaune</t>
        </is>
      </c>
    </row>
    <row r="32989">
      <c r="A32989" t="inlineStr">
        <is>
          <t>Stuff 1</t>
        </is>
      </c>
      <c r="B32989">
        <f>HYPERLINK("https://www.dofusbook.net/fr/equipement/390563-stuff-1/objets", "link")</f>
        <v/>
      </c>
      <c r="C32989" t="n">
        <v>0</v>
      </c>
      <c r="D32989" t="inlineStr">
        <is>
          <t>Bêche Asse; Amulette du Cycloïde; Anneau de Brouce; Alliance de Missiz Frizz; Bouclier d'Ilyzaelle; Ceinture de Brouce; Casque de Missiz Frizz; Cape au Logis; Bottes de Brouce; Dofus Nébuleux; Dofus Pourpre; Dofus Ocre; Dofus des Glaces; Furibond majeur; Forcené majeur; Kramkram</t>
        </is>
      </c>
    </row>
    <row r="32990">
      <c r="A32990" t="inlineStr">
        <is>
          <t>Stuff 3</t>
        </is>
      </c>
      <c r="B32990">
        <f>HYPERLINK("https://www.dofusbook.net/fr/equipement/390646-stuff-3/objets", "link")</f>
        <v/>
      </c>
      <c r="C32990" t="n">
        <v>0</v>
      </c>
      <c r="D32990" t="inlineStr">
        <is>
          <t>Épée du Granduk; Amulette du Granduk; Alliance Gloursonne; Anneau du Cycloïde; Ceinture de Klime; Masque du Granduk; Cape de Klime; Bottes du Cycloïde; Dofus des Glaces; Dofus Pourpre; Dofus Ocre; Robuste majeur; Acrobate majeur; Equilibriste majeur; Kramkram</t>
        </is>
      </c>
    </row>
    <row r="32991">
      <c r="A32991" t="inlineStr">
        <is>
          <t>Stuff 3</t>
        </is>
      </c>
      <c r="B32991">
        <f>HYPERLINK("https://www.dofusbook.net/fr/equipement/390678-stuff-3/objets", "link")</f>
        <v/>
      </c>
      <c r="C32991" t="n">
        <v>0</v>
      </c>
      <c r="D32991" t="inlineStr">
        <is>
          <t>Dagues de Srambad; Amulette du Strigide; Bracelet du Piloztère; Alliance Gloursonne; Ceinture de la Reine des Voleurs; Coiffe de la Reine des Voleurs; Cape des Justiciers; Bottes du Lévitrof; Dolmanax; Dofus des Glaces; Dofus Pourpre; Nomade; Remueur; Vigoureux majeur; Dragodinde en armure</t>
        </is>
      </c>
    </row>
    <row r="32992">
      <c r="A32992" t="inlineStr">
        <is>
          <t>Stuff 3</t>
        </is>
      </c>
      <c r="B32992">
        <f>HYPERLINK("https://www.dofusbook.net/fr/equipement/390571-stuff-3/objets", "link")</f>
        <v/>
      </c>
      <c r="C32992" t="n">
        <v>0</v>
      </c>
      <c r="D32992" t="inlineStr">
        <is>
          <t>Dagues de Srambad; Amulette de Pol Ouatnos; Pikano; Bracelet du Piloztère; Ceinture de la Reine des Voleurs; Chapeau Lisson; Cape des Justiciers; Pantoufles du Piloztère; Dolmanax; Dofus Pourpre; Dofus des Glaces; Vigoureux majeur; Remueur; Nomade; Kramkram</t>
        </is>
      </c>
    </row>
    <row r="32993">
      <c r="A32993" t="inlineStr">
        <is>
          <t>Stuff 1</t>
        </is>
      </c>
      <c r="B32993">
        <f>HYPERLINK("https://www.dofusbook.net/fr/equipement/390641-stuff-1/objets", "link")</f>
        <v/>
      </c>
      <c r="C32993" t="n">
        <v>0</v>
      </c>
      <c r="D32993" t="inlineStr">
        <is>
          <t>Epée Gloursonne; Amulette Ementaire Deluxe; Bague Gloursonne; Alliance Gloursonne; Ceinture de la Reine des Voleurs; Coiffe de la Reine des Voleurs; Voile d'encre; Bottes de la Reine des Voleurs; Dofus Vulbis; Dolmanax; Dofus Pourpre; Dofus des Glaces; Dofus Ocre; Robuste majeur; Kramkram</t>
        </is>
      </c>
    </row>
    <row r="32994">
      <c r="A32994" t="inlineStr">
        <is>
          <t>Stuff 1</t>
        </is>
      </c>
      <c r="B32994">
        <f>HYPERLINK("https://www.dofusbook.net/fr/equipement/390673-stuff-1/objets", "link")</f>
        <v/>
      </c>
      <c r="C32994" t="n">
        <v>0</v>
      </c>
      <c r="D32994" t="inlineStr">
        <is>
          <t>Dagues Érhy; Amulette de Gein; Anneau du Katcheur; Bague Gloursonne; Ceintacé; Chapeau de Gein; Voile d'encre; Bottes du Lévitrof; Dofus des Glaces; Dofus Pourpre; Remueur; Vigoureux majeur; Nomade; Enragé majeur; Kramkram</t>
        </is>
      </c>
    </row>
    <row r="32995">
      <c r="A32995" t="inlineStr">
        <is>
          <t>Stuff 1</t>
        </is>
      </c>
      <c r="B32995">
        <f>HYPERLINK("https://www.dofusbook.net/fr/equipement/390566-stuff-1/objets", "link")</f>
        <v/>
      </c>
      <c r="C32995" t="n">
        <v>0</v>
      </c>
      <c r="D32995" t="inlineStr">
        <is>
          <t>Arc Hétype; Amulette de Nileza; Anneau de Nidas; Bague Gloursonne; Ceinture Séculaire; Coiffe Séculaire; Voile d'encre; Pantoufles Émar; Dévastateur Feu majeur; Nomade; Astucieux majeur; Remueur; Savant majeur; Érudit majeur; Pioute rouge</t>
        </is>
      </c>
    </row>
    <row r="32996">
      <c r="A32996" t="inlineStr">
        <is>
          <t>Stuff 3</t>
        </is>
      </c>
      <c r="B32996">
        <f>HYPERLINK("https://www.dofusbook.net/fr/equipement/390556-stuff-3/objets", "link")</f>
        <v/>
      </c>
      <c r="C32996" t="n">
        <v>0</v>
      </c>
      <c r="D32996" t="inlineStr">
        <is>
          <t>Sabres d'Atcham; Amulette Ementaire Deluxe; Anneau Tique; Alliance Gloursonne; Ceintrigue; Chapeau des Malveilleurs; Cape d'Atcham; Pataugastrique; Dofus Pourpre; Dofus des Glaces; Vigoureux majeur; Remueur; Nomade; Dragodinde en armure</t>
        </is>
      </c>
    </row>
    <row r="32997">
      <c r="A32997" t="inlineStr">
        <is>
          <t>Stuff 1</t>
        </is>
      </c>
      <c r="B32997">
        <f>HYPERLINK("https://www.dofusbook.net/fr/equipement/390551-stuff-1/objets", "link")</f>
        <v/>
      </c>
      <c r="C32997" t="n">
        <v>0</v>
      </c>
      <c r="D32997" t="inlineStr">
        <is>
          <t>Dagues de Srambad; Amulette de Pol Ouatnos; Alliance Gloursonne; Bracelet du Piloztère; Ceinture de la Reine des Voleurs; Casquipik; Voile d'encre; Pantoufles du Piloztère; Dofus Ocre; Dofus Pourpre; Vigoureux majeur; Temporiseur majeur; Nomade; Remueur; Kramkram</t>
        </is>
      </c>
    </row>
    <row r="32998">
      <c r="A32998" t="inlineStr">
        <is>
          <t>Stuff 2</t>
        </is>
      </c>
      <c r="B32998">
        <f>HYPERLINK("https://www.dofusbook.net/fr/equipement/390558-stuff-2/objets", "link")</f>
        <v/>
      </c>
      <c r="C32998" t="n">
        <v>0</v>
      </c>
      <c r="D32998" t="inlineStr">
        <is>
          <t>Arc Nécrotique; Talisman Igans; Alliance Gloursonne; Anneau Tique; Ceinture de Soissanth; Coiffe du Lévitrof; Cape de la Dame du Hasard; Pataugastrique; Dofus Pourpre; Dofus des Glaces; Dolmanax; Vigoureux majeur; Nomade; Remueur; Dragodinde en armure</t>
        </is>
      </c>
    </row>
    <row r="32999">
      <c r="A32999" t="inlineStr">
        <is>
          <t>Stuff 3</t>
        </is>
      </c>
      <c r="B32999">
        <f>HYPERLINK("https://www.dofusbook.net/fr/equipement/390553-stuff-3/objets", "link")</f>
        <v/>
      </c>
      <c r="C32999" t="n">
        <v>0</v>
      </c>
      <c r="D32999" t="inlineStr">
        <is>
          <t>Marteau Phossile; Amulette du Strigide; Alliance Gloursonne; Anneau Tique; Ceintacé; Coiffe de Padgref; Cape Lati; Bottes du Strigide; Dofus Pourpre; Dofus des Glaces; Nomade; Vigoureux majeur; Remueur; Dragodinde en armure</t>
        </is>
      </c>
    </row>
    <row r="33000">
      <c r="A33000" t="inlineStr">
        <is>
          <t>Stuff 2</t>
        </is>
      </c>
      <c r="B33000">
        <f>HYPERLINK("https://www.dofusbook.net/fr/equipement/390555-stuff-2/objets", "link")</f>
        <v/>
      </c>
      <c r="C33000" t="n">
        <v>0</v>
      </c>
      <c r="D33000" t="inlineStr">
        <is>
          <t>Dagues de Srambad; Amulette de Pol Ouatnos; Alliance Gloursonne; Bracelet du Piloztère; Ceinture de la Reine des Voleurs; Coiffe du Lévitrof; Cape des Justiciers; Pantoufles du Piloztère; Dofus des Glaces; Dofus Pourpre; Remueur; Robuste majeur; Vigoureux majeur; Nomade; Kramkram</t>
        </is>
      </c>
    </row>
    <row r="33001">
      <c r="A33001" t="inlineStr">
        <is>
          <t>Stuff 1</t>
        </is>
      </c>
      <c r="B33001">
        <f>HYPERLINK("https://www.dofusbook.net/fr/equipement/390557-stuff-1/objets", "link")</f>
        <v/>
      </c>
      <c r="C33001" t="n">
        <v>0</v>
      </c>
      <c r="D33001" t="inlineStr">
        <is>
          <t>Rhizome du Tynril; Amulette du Cycloïde; Anneau du Katcheur; Bague Gloursonne; Ceinture de Gein; Masque du Katcheur; Voile d'encre; Bottes du Lévitrof; Dofus Émeraude; Dofus Ocre; Dofus des Glaces; Nomade; Miraculé majeur; Remueur; Kramkram</t>
        </is>
      </c>
    </row>
    <row r="33002">
      <c r="A33002" t="inlineStr">
        <is>
          <t>Stuff 2</t>
        </is>
      </c>
      <c r="B33002">
        <f>HYPERLINK("https://www.dofusbook.net/fr/equipement/390552-stuff-2/objets", "link")</f>
        <v/>
      </c>
      <c r="C33002" t="n">
        <v>0</v>
      </c>
      <c r="D33002" t="inlineStr">
        <is>
          <t>Baguette Hique; Amulette du Cycloïde; Alliance Gloursonne; Bracelet du Piloztère; Ceinture de la Reine des Voleurs; Coiffe de la Reine des Voleurs; Voile d'encre; Baleinabottes; Dofus des Glaces; Dofus Pourpre; Remueur; Temporiseur majeur; Vigoureux majeur; Nomade; Kramkram</t>
        </is>
      </c>
    </row>
    <row r="33003">
      <c r="A33003" t="inlineStr">
        <is>
          <t>Stuff 1</t>
        </is>
      </c>
      <c r="B33003">
        <f>HYPERLINK("https://www.dofusbook.net/fr/equipement/390554-stuff-1/objets", "link")</f>
        <v/>
      </c>
      <c r="C33003" t="n">
        <v>0</v>
      </c>
      <c r="D33003" t="inlineStr">
        <is>
          <t>Dagues Ricol; Talisman Igans; Anneauræus; Anneauræus; Ceinture de Gein; Casque Cyclopéen; Cape de Diondin; Bottes Innommables; Dofus des Glaces; Dolmanax; Carapace Eau majeur; Nomade; Érudit majeur; Remueur; Dragodinde en armure</t>
        </is>
      </c>
    </row>
    <row r="33004">
      <c r="A33004" t="inlineStr">
        <is>
          <t>terre 200</t>
        </is>
      </c>
      <c r="B33004">
        <f>HYPERLINK("https://www.dofusbook.net/fr/equipement/3941835-terre-200/objets", "link")</f>
        <v/>
      </c>
      <c r="C33004" t="n">
        <v>7</v>
      </c>
      <c r="D33004" t="inlineStr">
        <is>
          <t>Dagues d'Ilyzaelle; Amulette Volcanique; Anneau Crustique; Chevalière du Roi Joueur; Bouclier du Stalak; Ceinture Volkorne; Masque de Koutoulou; Cape Routh; Sabots Volcaniques; Dofus des Glaces; Dofus Pourpre; Dofus Turquoise; Enragé majeur; Nomade; Remueur; Bulbisou</t>
        </is>
      </c>
    </row>
    <row r="33005">
      <c r="A33005" t="inlineStr">
        <is>
          <t>terre 200</t>
        </is>
      </c>
      <c r="B33005">
        <f>HYPERLINK("https://www.dofusbook.net/fr/equipement/3982494-terre-200-/objets", "link")</f>
        <v/>
      </c>
      <c r="C33005" t="n">
        <v>5</v>
      </c>
      <c r="D33005" t="inlineStr">
        <is>
          <t>Dagues d'Ilyzaelle; Amulette du Cœur Saignant; Anneau du Comte Harebourg; Anneau Crustique; Bouclier du Captain Amakna; Ceinture Volkorne; Masque de Koutoulou; Cape de la Cour Sombre; Bottes du Cœur Saignant; Dofus Turquoise; Dofus des Glaces; Dofus Pourpre; Remueur; Enragé majeur; Nomade; Kokulte</t>
        </is>
      </c>
    </row>
    <row r="33006">
      <c r="A33006" t="inlineStr">
        <is>
          <t>Terre 200</t>
        </is>
      </c>
      <c r="B33006">
        <f>HYPERLINK("https://www.dofusbook.net/fr/equipement/558713-terre-200/objets", "link")</f>
        <v/>
      </c>
      <c r="C33006" t="n">
        <v>0</v>
      </c>
      <c r="D33006" t="inlineStr">
        <is>
          <t>Arc du Chalœil; Amulette du Cœur Saignant; Bracelet du Piloztère; Anneau Crustique; Quatre-feuilles; Ceinture Volkorne; Masque de Koutoulou; Cape de la Cour Sombre; Bottes de la Cour Sombre; Dofus Turquoise; Dofus des Glaces; Carapace Eau majeur; Nomade; Enragé majeur; Remueur; Kokulte</t>
        </is>
      </c>
    </row>
    <row r="33007">
      <c r="A33007" t="inlineStr">
        <is>
          <t>eau-pm</t>
        </is>
      </c>
      <c r="B33007">
        <f>HYPERLINK("https://www.dofusbook.net/fr/equipement/2261952-eau-pm/objets", "link")</f>
        <v/>
      </c>
      <c r="C33007" t="n">
        <v>6</v>
      </c>
      <c r="D33007" t="inlineStr">
        <is>
          <t>Dagues Açantes; Collier de la Dame du Hasard; Pikano; Alliance Gloursonne; Bouclier cubiste; Ceinture de Kongoku; Capuche de l'Œil Putride; Cape de la Dame du Hasard; Bottes de Meno; Temporiseur; Temporiseur majeur; Ralentisseur majeur; Remueur; Nomade; Entraveur majeur; Volkorne Turquoise et Indigo</t>
        </is>
      </c>
    </row>
    <row r="33008">
      <c r="A33008" t="inlineStr">
        <is>
          <t>Milly</t>
        </is>
      </c>
      <c r="B33008">
        <f>HYPERLINK("https://www.dofusbook.net/fr/equipement/4693099-milly/objets", "link")</f>
        <v/>
      </c>
      <c r="C33008" t="n">
        <v>7</v>
      </c>
      <c r="D33008" t="inlineStr">
        <is>
          <t>Manthache; Amulette du Granduk; Anneau d'Allister; Alliance Gloursonne; Bouclier du Captain Amakna; Menoture; Masque du Granduk; Cape Indescriptible; Palmes Trithons; Dofus Turquoise; Dofus des Glaces; Dofus Émeraude; Dévastateur Air majeur; Remueur; Cascadeur majeur; Muldo Doré et Emeraude</t>
        </is>
      </c>
    </row>
    <row r="33009">
      <c r="A33009" t="inlineStr">
        <is>
          <t>air 200</t>
        </is>
      </c>
      <c r="B33009">
        <f>HYPERLINK("https://www.dofusbook.net/fr/equipement/558728-air-200/objets", "link")</f>
        <v/>
      </c>
      <c r="C33009" t="n">
        <v>4</v>
      </c>
      <c r="D33009" t="inlineStr">
        <is>
          <t>Épée du Granduk; Amulette du Granduk; Anneau d'Allister; Alliance Gloursonne; Bouclier du Captain Amakna; Ceinture de Klime; Masque du Granduk; Cape de Klime; Bottes d'Allister; Dofus Émeraude; Dofus Ocre; Dofus Pourpre; Dofus des Glaces; Dolmanax; Dofus Turquoise; Volkorne Emeraude et Ebène</t>
        </is>
      </c>
    </row>
    <row r="33010">
      <c r="A33010" t="inlineStr">
        <is>
          <t>Milly2</t>
        </is>
      </c>
      <c r="B33010">
        <f>HYPERLINK("https://www.dofusbook.net/fr/equipement/4693463-milly2/objets", "link")</f>
        <v/>
      </c>
      <c r="C33010" t="n">
        <v>4</v>
      </c>
      <c r="D33010" t="inlineStr">
        <is>
          <t>Harpelle; Amulette d'Otomaï; Anneau Tamie; Bague Gloursonne; Bouclier du Captain Amakna; Ceintacé; Chapeau de Gein; Sac Volcanique; Sabots Volcaniques; Dofus Abyssal; Dofus Pourpre; Dofus Turquoise; Dofus Émeraude; Dofus des Glaces; Remueur; Muldo Roux et Orchidée</t>
        </is>
      </c>
    </row>
    <row r="33011">
      <c r="A33011" t="inlineStr">
        <is>
          <t>Air solo</t>
        </is>
      </c>
      <c r="B33011">
        <f>HYPERLINK("https://www.dofusbook.net/fr/equipement/3663473-air-solo/objets", "link")</f>
        <v/>
      </c>
      <c r="C33011" t="n">
        <v>4</v>
      </c>
      <c r="D33011" t="inlineStr">
        <is>
          <t>Manthache; Collier du Valet Veinard; Alliance Gloursonne; Gant du Valet Veinard; Bouclier du Captain Amakna; Menoture; Couronne d'Allister; Cape Indescriptible; Palmes Trithons; Dofus Pourpre; Dofus des Glaces; Cascadeur majeur; Nomade; Dévastateur Air majeur; Remueur; Blérodoudou</t>
        </is>
      </c>
    </row>
    <row r="33012">
      <c r="A33012" t="inlineStr">
        <is>
          <t>air 200</t>
        </is>
      </c>
      <c r="B33012">
        <f>HYPERLINK("https://www.dofusbook.net/fr/equipement/4560097-air-200/objets", "link")</f>
        <v/>
      </c>
      <c r="C33012" t="n">
        <v>3</v>
      </c>
      <c r="D33012" t="inlineStr">
        <is>
          <t>Hachoirs de Viandargh; Amulette de l'Œil Putride; Alliance Gloursonne; Anneau d'Allister; Bouclier du Captain Amakna; Menoture; Casque Volkorne; Chevelure de Tal Kasha; Sandales de Tal Kasha; Dofus des Glaces; Dofus Abyssal; Dofus Turquoise; Nomade; Remueur; Dévastateur Air majeur; Dragodinde Ebène et Emeraude</t>
        </is>
      </c>
    </row>
    <row r="33013">
      <c r="A33013" t="inlineStr">
        <is>
          <t>terre 200</t>
        </is>
      </c>
      <c r="B33013">
        <f>HYPERLINK("https://www.dofusbook.net/fr/equipement/4536463-terre-200/objets", "link")</f>
        <v/>
      </c>
      <c r="C33013" t="n">
        <v>1</v>
      </c>
      <c r="D33013" t="inlineStr">
        <is>
          <t>Crocobur; Amulette de Pol Ouatnos; Alliance Gloursonne; Bague Gloursonne; Bouclier du Captain Amakna; Ceinture de la Reine des Voleurs; Coiffe de la Reine des Voleurs; Cape du Chalœil; Bottes de la Reine des Voleurs; Dofus Turquoise; Dofus Abyssal; Dofus Émeraude; Dofus Ocre; Dofus Pourpre; Dofus des Glaces; Dragodinde Ivoire et Pourpre</t>
        </is>
      </c>
    </row>
    <row r="33014">
      <c r="A33014" t="inlineStr">
        <is>
          <t>air dist 200</t>
        </is>
      </c>
      <c r="B33014">
        <f>HYPERLINK("https://www.dofusbook.net/fr/equipement/3557530-air-dist-200/objets", "link")</f>
        <v/>
      </c>
      <c r="C33014" t="n">
        <v>8</v>
      </c>
      <c r="D33014" t="inlineStr">
        <is>
          <t>Pelle de la Cour Sombre; Collier du Valet Veinard; Gant du Valet Veinard; Anneau d'Allister; Bouclier du Stalak; Sangle Oriole; Couronne d'Allister; Cape du Valet Veinard; Bottes d'Allister; Dolmanax; Dofus Ocre; Dofus Pourpre; Dofus des Glaces; Voyageur; Equilibriste majeur; Blérodoudou</t>
        </is>
      </c>
    </row>
    <row r="33015">
      <c r="A33015" t="inlineStr">
        <is>
          <t>air 200</t>
        </is>
      </c>
      <c r="B33015">
        <f>HYPERLINK("https://www.dofusbook.net/fr/equipement/3551314-air-200/objets", "link")</f>
        <v/>
      </c>
      <c r="C33015" t="n">
        <v>1</v>
      </c>
      <c r="D33015" t="inlineStr">
        <is>
          <t>Hachoirs de Viandargh; Amulette de l'Œil Putride; Anneau d'Allister; Alliance Gloursonne; Bouclier du Captain Amakna; Menoture; Capuche de Moum-Ra; Chevelure de Tal Kasha; Sandales de Tal Kasha; Dofus Abyssal; Dofus Turquoise; Dofus Émeraude; Dofus des Glaces; Nomade; Remueur; Blérodoudou</t>
        </is>
      </c>
    </row>
    <row r="33016">
      <c r="A33016" t="inlineStr">
        <is>
          <t>milly</t>
        </is>
      </c>
      <c r="B33016">
        <f>HYPERLINK("https://www.dofusbook.net/fr/equipement/4008136-milly/objets", "link")</f>
        <v/>
      </c>
      <c r="C33016" t="n">
        <v>7</v>
      </c>
      <c r="D33016" t="inlineStr">
        <is>
          <t>Baguette Range; Amulette du Strigide; Kralano; Anneau de Padgref; Quatre-feuilles; Ceinture du Strigide; Chapeau des Malveilleurs; Cape des Malveilleurs; Bottes du Strigide; Dofus Turquoise; Dofus Abyssal; Dolmanax; Dofus Ocre; Dofus Pourpre; Dofus des Glaces; Volkorne Emeraude et Roux</t>
        </is>
      </c>
    </row>
    <row r="33017">
      <c r="A33017" t="inlineStr">
        <is>
          <t>200</t>
        </is>
      </c>
      <c r="B33017">
        <f>HYPERLINK("https://www.dofusbook.net/fr/equipement/558729-200/objets", "link")</f>
        <v/>
      </c>
      <c r="C33017" t="n">
        <v>5</v>
      </c>
      <c r="D33017" t="inlineStr">
        <is>
          <t>Baguette Hernelle; Amulette de l'Œil Putride; Anneau de Padgref; Anneau d'Allister; Quatre-feuilles; Menoture; Capuche de Moum-Ra; Chevelure de Tal Kasha; Sandales de Tal Kasha; Dofus des Glaces; Dofus Turquoise; Cascadeur majeur; Nomade; Dévastateur Air majeur; Remueur; Kokulte</t>
        </is>
      </c>
    </row>
    <row r="33018">
      <c r="A33018" t="inlineStr">
        <is>
          <t>air crit</t>
        </is>
      </c>
      <c r="B33018">
        <f>HYPERLINK("https://www.dofusbook.net/fr/equipement/558732-air-crit/objets", "link")</f>
        <v/>
      </c>
      <c r="C33018" t="n">
        <v>1</v>
      </c>
      <c r="D33018" t="inlineStr">
        <is>
          <t>Epée Gloursonne; Amulette du Strigide; Bague Gloursonne; Alliance Gloursonne; Bouclier du Captain Amakna; Ceinture du Strigide; Némès de Tal Kasha; Chevelure de Tal Kasha; Sandales de Tal Kasha; Dofus Pourpre; Dofus des Glaces; Dofus Ocre; Dofus Abyssal; Dofus Émeraude; Dofus Turquoise; Muldo Prune et Emeraude</t>
        </is>
      </c>
    </row>
    <row r="33019">
      <c r="A33019" t="inlineStr">
        <is>
          <t>eau 200</t>
        </is>
      </c>
      <c r="B33019">
        <f>HYPERLINK("https://www.dofusbook.net/fr/equipement/3751832-eau-200/objets", "link")</f>
        <v/>
      </c>
      <c r="C33019" t="n">
        <v>1</v>
      </c>
      <c r="D33019" t="inlineStr">
        <is>
          <t>Baguette Héroclite; Amulette de Shokkoth; Alliance Gloursonne; Annolamour; Quatre-feuilles; Ceinture de la Reine des Voleurs; Kidibonnet; Cape de Mantaze; Bottes de la Reine des Voleurs; Dofus Turquoise; Dofus Pourpre; Chanceux majeur; Nomade; Dévastateur Eau majeur; Remueur; Muldo Roux et Orchidée</t>
        </is>
      </c>
    </row>
    <row r="33020">
      <c r="A33020" t="inlineStr">
        <is>
          <t>air 200</t>
        </is>
      </c>
      <c r="B33020">
        <f>HYPERLINK("https://www.dofusbook.net/fr/equipement/3754165-air-200/objets", "link")</f>
        <v/>
      </c>
      <c r="C33020" t="n">
        <v>0</v>
      </c>
      <c r="D33020" t="inlineStr">
        <is>
          <t>Manthache; Amulette Martegel; Anneau Vicieux; Alliance Gloursonne; Bouclier du Stalak; Menoture; Couronne d'Allister; Cape Martegel; Palmes Trithons; Dofus Pourpre; Dofus Émeraude; Nomade; Cascadeur majeur; Remueur; Vigoureux majeur; Dragodinde Prune et Ebène</t>
        </is>
      </c>
    </row>
    <row r="33021">
      <c r="A33021" t="inlineStr">
        <is>
          <t>200</t>
        </is>
      </c>
      <c r="B33021">
        <f>HYPERLINK("https://www.dofusbook.net/fr/equipement/3753623-200/objets", "link")</f>
        <v/>
      </c>
      <c r="C33021" t="n">
        <v>1</v>
      </c>
      <c r="D33021" t="inlineStr">
        <is>
          <t>Épée Brûlâme; Amulette de l'Œil Putride; Anneau Cryochrone; Lavanneau; Bouclier du Captain Amakna; Ceintacé; Capuche de l'Œil Putride; Cape de la Dame du Hasard; Pataugastrique; Dofus Turquoise; Dofus des Glaces; Dofus Pourpre; Nomade; Remueur; Carapace Feu majeur; Muldo Roux et Orchidée</t>
        </is>
      </c>
    </row>
    <row r="33022">
      <c r="A33022" t="inlineStr">
        <is>
          <t>terre/feu/eau</t>
        </is>
      </c>
      <c r="B33022">
        <f>HYPERLINK("https://www.dofusbook.net/fr/equipement/1377194-terre-feu-eau/objets", "link")</f>
        <v/>
      </c>
      <c r="C33022" t="n">
        <v>1</v>
      </c>
      <c r="D33022" t="inlineStr">
        <is>
          <t>Hache du Chalœil; Amulette de l'Indicible; Alliance du Lévitrof; Bracelet du Piloztère; Quatre-feuilles; Ceinture de l'Indicible; Boucle d'oreille de Kongoku; Cape du Chalœil; Bottes Honyme; Dofus Pourpre; Dofus Turquoise; Remueur; Carapace Eau majeur; Nomade; Vigoureux majeur; Muldo Doré et Orchidée</t>
        </is>
      </c>
    </row>
    <row r="33023">
      <c r="A33023" t="inlineStr">
        <is>
          <t>Tank</t>
        </is>
      </c>
      <c r="B33023">
        <f>HYPERLINK("https://www.dofusbook.net/fr/equipement/558742-tank/objets", "link")</f>
        <v/>
      </c>
      <c r="C33023" t="n">
        <v>6</v>
      </c>
      <c r="D33023" t="inlineStr">
        <is>
          <t>Rouleau à Pâtisserie d'Aermyne; Collier Rophante; Bague Trithon; Alliance Gloursonne; Sept ans de malheur; Ceinture de Kongoku; Kidibonnet; Cape d'Aermyne; Pataugastrique; Dofus Émeraude; Carapace Eau majeur; Bloqueur majeur; Obstructeur majeur; Carapace Neutre majeur; Carapace Air majeur; Muldo Roux et Orchidée</t>
        </is>
      </c>
    </row>
    <row r="33024">
      <c r="A33024" t="inlineStr">
        <is>
          <t>Milly</t>
        </is>
      </c>
      <c r="B33024">
        <f>HYPERLINK("https://www.dofusbook.net/fr/equipement/3668850-milly/objets", "link")</f>
        <v/>
      </c>
      <c r="C33024" t="n">
        <v>1</v>
      </c>
      <c r="D33024" t="inlineStr">
        <is>
          <t>Baguette Hernelle; Amulette de l'Œil Putride; Bracelet Ming; Anneau de Padgref; Quatre-feuilles; Ceintacé; Masque du Katcheur; Capibou; Getas de Padgref; Dofus des Glaces; Dofus Pourpre; Dofus Turquoise; Remueur; Vigoureux majeur; Culbuteur majeur; Muldo Prune et Emeraude</t>
        </is>
      </c>
    </row>
    <row r="33025">
      <c r="A33025" t="inlineStr">
        <is>
          <t>200</t>
        </is>
      </c>
      <c r="B33025">
        <f>HYPERLINK("https://www.dofusbook.net/fr/equipement/3621397-200/objets", "link")</f>
        <v/>
      </c>
      <c r="C33025" t="n">
        <v>0</v>
      </c>
      <c r="D33025" t="inlineStr">
        <is>
          <t>La Baguette des Limbes; Amulette de Moon; Gelano; Bague de l'Obsidiantre; Slip Noze; Chapeau Stapokaliptik; Cape de l'Obsidiantre; Bottes du Tengu Givrefoux; Dofus Cawotte; Vigoureux majeur; Nomade; Érudit majeur; Remueur; Dragodinde Orchidée</t>
        </is>
      </c>
    </row>
    <row r="33026">
      <c r="A33026" t="inlineStr">
        <is>
          <t>Milly</t>
        </is>
      </c>
      <c r="B33026">
        <f>HYPERLINK("https://www.dofusbook.net/fr/equipement/3626723-milly/objets", "link")</f>
        <v/>
      </c>
      <c r="C33026" t="n">
        <v>7</v>
      </c>
      <c r="D33026" t="inlineStr">
        <is>
          <t>Baguette Range; Amulette du Strigide; Alliance Boletée; Bracelet Ming; Quatre-feuilles; Ceintacé; Coiffe de Padgref; Cape Hiculteur; Getas de Padgref; Dofus Turquoise; Dofus Pourpre; Nomade; Observateur; Remueur; Vigoureux majeur</t>
        </is>
      </c>
    </row>
    <row r="33027">
      <c r="A33027" t="inlineStr">
        <is>
          <t>air-eau</t>
        </is>
      </c>
      <c r="B33027">
        <f>HYPERLINK("https://www.dofusbook.net/fr/equipement/2632432-air-eau/objets", "link")</f>
        <v/>
      </c>
      <c r="C33027" t="n">
        <v>2</v>
      </c>
      <c r="D33027" t="inlineStr">
        <is>
          <t>Arc de Koutoulou; Amulette de l'Œil Putride; Alliance Gloursonne; Anneau d'Allister; Quatre-feuilles; Ceintacé; Masque du Glourséleste; Chevelure de Tal Kasha; Sandales de Tal Kasha; Dofus Pourpre; Dofus Turquoise; Dofus des Glaces; Nomade; Remueur; Vigoureux majeur; Dragodinde Ebène et Emeraude</t>
        </is>
      </c>
    </row>
    <row r="33028">
      <c r="A33028" t="inlineStr">
        <is>
          <t>Terre</t>
        </is>
      </c>
      <c r="B33028">
        <f>HYPERLINK("https://www.dofusbook.net/fr/equipement/558718-terre/objets", "link")</f>
        <v/>
      </c>
      <c r="C33028" t="n">
        <v>1</v>
      </c>
      <c r="D33028" t="inlineStr">
        <is>
          <t>Dagues d'Ilyzaelle; Amulette du Cœur Saignant; Anneau du Comte Harebourg; Anneau Crustique; Bouclier du Captain Amakna; Ceinture de Brouce; Masque de Koutoulou; Cape de la Cour Sombre; Bottes du Cœur Saignant; Dofus Pourpre; Dofus Turquoise; Dofus des Glaces; Enragé majeur; Nomade; Remueur; Dragodinde Emeraude et Pourpre</t>
        </is>
      </c>
    </row>
    <row r="33029">
      <c r="A33029" t="inlineStr">
        <is>
          <t>eau</t>
        </is>
      </c>
      <c r="B33029">
        <f>HYPERLINK("https://www.dofusbook.net/fr/equipement/2456139-eau/objets", "link")</f>
        <v/>
      </c>
      <c r="C33029" t="n">
        <v>0</v>
      </c>
      <c r="D33029" t="inlineStr">
        <is>
          <t>Dagoulinantes; Amulette de l'Œil Putride; Alliance Gloursonne; Anneau Glacial; Bouclier du Captain Amakna; Pagne du Rykaon; Kidibonnet; Chevelure de Tal Kasha; Sandales de Tal Kasha; Dofus des Glaces; Dofus Pourpre; Dofus Turquoise; Nomade; Chanceux majeur; Remueur; Dragodinde Emeraude et Indigo</t>
        </is>
      </c>
    </row>
    <row r="33030">
      <c r="A33030" t="inlineStr">
        <is>
          <t>Terre-pm</t>
        </is>
      </c>
      <c r="B33030">
        <f>HYPERLINK("https://www.dofusbook.net/fr/equipement/558746-terre-pm/objets", "link")</f>
        <v/>
      </c>
      <c r="C33030" t="n">
        <v>4</v>
      </c>
      <c r="D33030" t="inlineStr">
        <is>
          <t>Dagues d'Ilyzaelle; Amulette Volcanique; Chevalière du Roi Joueur; Bracelet du Piloztère; Bouclier cubiste; Ceinture de Kongoku; Masque de Koutoulou; Cape du Cœur Saignant; Bottes du Cœur Saignant; Dofus Pourpre; Dofus Turquoise; Dofus des Glaces; Temporiseur majeur; Nomade; Remueur; Dragodinde Emeraude et Pourpre</t>
        </is>
      </c>
    </row>
    <row r="33031">
      <c r="A33031" t="inlineStr">
        <is>
          <t>arc air 2</t>
        </is>
      </c>
      <c r="B33031">
        <f>HYPERLINK("https://www.dofusbook.net/fr/equipement/2211224-arc-air-2/objets", "link")</f>
        <v/>
      </c>
      <c r="C33031" t="n">
        <v>0</v>
      </c>
      <c r="D33031" t="inlineStr">
        <is>
          <t>Manthache; Amibou; Alliance Gloursonne; Anneau d'Allister; Bouclier du Captain Amakna; Menoture; Capuche de Moum-Ra; Chevelure de Tal Kasha; Sandales de Tal Kasha; Dofus des Glaces; Dofus Pourpre; Dofus Turquoise; Cascadeur majeur; Remueur; Nomade; Dragodinde Ebène et Emeraude</t>
        </is>
      </c>
    </row>
    <row r="33032">
      <c r="A33032" t="inlineStr">
        <is>
          <t>air</t>
        </is>
      </c>
      <c r="B33032">
        <f>HYPERLINK("https://www.dofusbook.net/fr/equipement/1995255-air/objets", "link")</f>
        <v/>
      </c>
      <c r="C33032" t="n">
        <v>1</v>
      </c>
      <c r="D33032" t="inlineStr">
        <is>
          <t>Baguette Hernelle; Amulette de l'Œil Putride; Anneau d'Allister; Alliance Gloursonne; Quatre-feuilles; Menoture; Capuche de Moum-Ra; Chevelure de Tal Kasha; Sandales de Tal Kasha; Dofus Pourpre; Dofus Turquoise; Nomade; Dévastateur Air majeur; Remueur; Cascadeur majeur; Dragodinde Ebène et Emeraude</t>
        </is>
      </c>
    </row>
    <row r="33033">
      <c r="A33033" t="inlineStr">
        <is>
          <t>Iop 200</t>
        </is>
      </c>
      <c r="B33033">
        <f>HYPERLINK("https://www.dofusbook.net/fr/equipement/3581591-iop-200/objets", "link")</f>
        <v/>
      </c>
      <c r="C33033" t="n">
        <v>3</v>
      </c>
      <c r="D33033" t="inlineStr">
        <is>
          <t>Epée Gloursonne; Amulette du Strigide; Bague Gloursonne; Alliance Gloursonne; Bouclier du Captain Amakna; Ceinture du Strigide; Casque du Chalœil; Cape du Chalœil; Bottes du Chalœil; Dolmanax; Dofus Ocre; Dofus Pourpre; Dofus des Glaces; Dofus Émeraude; Dofus Turquoise; Muldo Doré et Emeraude</t>
        </is>
      </c>
    </row>
    <row r="33034">
      <c r="A33034" t="inlineStr">
        <is>
          <t>feu 200-2</t>
        </is>
      </c>
      <c r="B33034">
        <f>HYPERLINK("https://www.dofusbook.net/fr/equipement/3574415-feu-200-2/objets", "link")</f>
        <v/>
      </c>
      <c r="C33034" t="n">
        <v>0</v>
      </c>
      <c r="D33034" t="inlineStr">
        <is>
          <t>Plumeau Bil; Amulette du Cycloïde; Anneau Rifique; Anneau de Nidas; Bivalve; Frimature; Couronne de Nidas; Cape de Diondin; Bottes Swana; Dofus des Glaces; Érudit majeur; Remueur; Dévastateur Feu majeur; Guérisseur majeur; Nomade; Dragodinde Prune et Orchidée</t>
        </is>
      </c>
    </row>
    <row r="33035">
      <c r="A33035" t="inlineStr">
        <is>
          <t>terre 200</t>
        </is>
      </c>
      <c r="B33035">
        <f>HYPERLINK("https://www.dofusbook.net/fr/equipement/3574323-terre-200/objets", "link")</f>
        <v/>
      </c>
      <c r="C33035" t="n">
        <v>0</v>
      </c>
      <c r="D33035" t="inlineStr">
        <is>
          <t>Lav'Hache; Amulette Volcanique; Anneau du Comte Harebourg; Bague Gloursonne; Bouclier du Captain Amakna; Ceinture de la Reine des Voleurs; Coiffe de la Reine des Voleurs; Cape du Cœur Saignant; Baleinabottes; Dofus des Glaces; Dofus Émeraude; Dofus Turquoise; Remueur; Enragé majeur; Nomade; Dragodinde Dorée et Pourpre</t>
        </is>
      </c>
    </row>
    <row r="33036">
      <c r="A33036" t="inlineStr">
        <is>
          <t>feu 200</t>
        </is>
      </c>
      <c r="B33036">
        <f>HYPERLINK("https://www.dofusbook.net/fr/equipement/3571137-feu-200/objets", "link")</f>
        <v/>
      </c>
      <c r="C33036" t="n">
        <v>0</v>
      </c>
      <c r="D33036" t="inlineStr">
        <is>
          <t>Plumeau Bil; Amulette du Cycloïde; Alliance Boletée; Anneau de Nidas; Bivalve; Frimature; Couronne de Nidas; Cape de Diondin; Bottes Swana; Dofus des Glaces; Érudit majeur; Remueur; Dévastateur Feu majeur; Guérisseur majeur; Nomade; Dragodinde Dorée et Orchidée</t>
        </is>
      </c>
    </row>
    <row r="33037">
      <c r="A33037" t="inlineStr">
        <is>
          <t>air 200</t>
        </is>
      </c>
      <c r="B33037">
        <f>HYPERLINK("https://www.dofusbook.net/fr/equipement/3568261-air-200/objets", "link")</f>
        <v/>
      </c>
      <c r="C33037" t="n">
        <v>1</v>
      </c>
      <c r="D33037" t="inlineStr">
        <is>
          <t>Bâton du Maître des Bouftous; Amulette du Granduk; Gant du Valet Veinard; Anneau de la Fuji Givrefoux; Quatre-feuilles; Menoture; Couronne d'Allister; Cape du Valet Veinard; Palmes Trithons; Dofus des Glaces; Dévastateur Air majeur; Observateur; Remueur; Cascadeur majeur; Nomade; Dragodinde Dorée et Ebène</t>
        </is>
      </c>
    </row>
    <row r="33038">
      <c r="A33038" t="inlineStr">
        <is>
          <t>eau 200</t>
        </is>
      </c>
      <c r="B33038">
        <f>HYPERLINK("https://www.dofusbook.net/fr/equipement/3568200-eau-200/objets", "link")</f>
        <v/>
      </c>
      <c r="C33038" t="n">
        <v>0</v>
      </c>
      <c r="D33038" t="inlineStr">
        <is>
          <t>Dagoulinantes; Amulette de Shokkoth; Alliance du Lévitrof; Alliance Gloursonne; Bouclier d'Ilyzaelle; Sangle Ouare; Casque d'Ilyzaelle; Cape Solution; Sandales des Fonds marins; Dofus des Glaces; Chanceux majeur; Carapace Air majeur; Remueur; Dévastateur Eau majeur; Carapace Eau majeur; Dragodinde Dorée et Indigo</t>
        </is>
      </c>
    </row>
    <row r="33039">
      <c r="A33039" t="inlineStr">
        <is>
          <t>tri 200</t>
        </is>
      </c>
      <c r="B33039">
        <f>HYPERLINK("https://www.dofusbook.net/fr/equipement/3544511-tri-200/objets", "link")</f>
        <v/>
      </c>
      <c r="C33039" t="n">
        <v>2</v>
      </c>
      <c r="D33039" t="inlineStr">
        <is>
          <t>Marteau de Katrepat; Amulette du Strigide; Alliance Brûlâme; Anneau du Cycloïde; Bouclier du Captain Amakna; Ceintacé; Masque du Katcheur; Cape de Kongoku; Bottes du Katcheur; Dofus Émeraude; Dofus des Glaces; Dofus Pourpre; Dofus Turquoise; Remueur; Nomade; Dragodinde Emeraude et Ivoire</t>
        </is>
      </c>
    </row>
    <row r="33040">
      <c r="A33040" t="inlineStr">
        <is>
          <t>Stuff 2</t>
        </is>
      </c>
      <c r="B33040">
        <f>HYPERLINK("https://www.dofusbook.net/fr/equipement/558724-stuff-2/objets", "link")</f>
        <v/>
      </c>
      <c r="C33040" t="n">
        <v>0</v>
      </c>
      <c r="D33040" t="inlineStr">
        <is>
          <t>Marteau de Katrepat; Amulette du Strigide; Alliance Brûlâme; Bracelet du Piloztère; Bouclier du Captain Amakna; Ceinture du Strigide; Masque du Katcheur; Cape des Justiciers; Bottes du Cycloïde; Dofus des Glaces; Dofus Pourpre; Dofus Turquoise; Nomade; Remueur; Vigoureux majeur; Muldo Doré et Emeraude</t>
        </is>
      </c>
    </row>
    <row r="33041">
      <c r="A33041" t="inlineStr">
        <is>
          <t>seph</t>
        </is>
      </c>
      <c r="B33041">
        <f>HYPERLINK("https://www.dofusbook.net/fr/equipement/2561960-seph/objets", "link")</f>
        <v/>
      </c>
      <c r="C33041" t="n">
        <v>0</v>
      </c>
      <c r="D33041" t="inlineStr">
        <is>
          <t>Kelinobranche; Amulette du Renouveau; Anneau Ancestral; Gelano; Bouclier du Sadida; Ceinture du Wabbit Garou; Kaskargo; Cape du Wabbit Garou; Bottes du Wabbit Garou; Turbulent; Muldo Doré</t>
        </is>
      </c>
    </row>
    <row r="33042">
      <c r="A33042" t="inlineStr">
        <is>
          <t>feu</t>
        </is>
      </c>
      <c r="B33042">
        <f>HYPERLINK("https://www.dofusbook.net/fr/equipement/2456070-feu/objets", "link")</f>
        <v/>
      </c>
      <c r="C33042" t="n">
        <v>1</v>
      </c>
      <c r="D33042" t="inlineStr">
        <is>
          <t>Arc corrompu; Pendentif affamé; Anneau Tamie; Chevalière du Roi Joueur; Quatre-feuilles; Ceinture Séculaire; Coiffe Séculaire; Cape de Diondin; Bottes Innommables; Dofus Pourpre; Dofus Turquoise; Érudit majeur; Remueur; Dévastateur Feu majeur; Nomade; Brûlih</t>
        </is>
      </c>
    </row>
    <row r="33043">
      <c r="A33043" t="inlineStr">
        <is>
          <t>Stuff 3</t>
        </is>
      </c>
      <c r="B33043">
        <f>HYPERLINK("https://www.dofusbook.net/fr/equipement/558743-stuff-3/objets", "link")</f>
        <v/>
      </c>
      <c r="C33043" t="n">
        <v>1</v>
      </c>
      <c r="D33043" t="inlineStr">
        <is>
          <t>Arc du Chalœil; Amulette de Gein; Chevalière du Roi Joueur; Baguistik; Quatre-feuilles; Ceintacé; Masque du Katcheur; Voile d'encre; Bottes du Katcheur; Dofus Pourpre; Dofus Turquoise; Enragé majeur; Remueur; Vigoureux majeur; Nomade; Muldo Prune et Emeraude</t>
        </is>
      </c>
    </row>
    <row r="33044">
      <c r="A33044" t="inlineStr">
        <is>
          <t>Stuff 1</t>
        </is>
      </c>
      <c r="B33044">
        <f>HYPERLINK("https://www.dofusbook.net/fr/equipement/558741-stuff-1/objets", "link")</f>
        <v/>
      </c>
      <c r="C33044" t="n">
        <v>2</v>
      </c>
      <c r="D33044" t="inlineStr">
        <is>
          <t>Épée Brûlâme; Amulette de l'Œil Putride; Anneau Cryochrone; Bracelet du Piloztère; Bouclier du Captain Amakna; Ceintacé; Capuche de l'Œil Putride; Cape de la Dame du Hasard; Sandales  d'Atcham; Dofus Pourpre; Dofus Turquoise; Remueur; Nomade; Chanceux majeur; Vigoureux majeur; Muldo Ebène et Orchidée</t>
        </is>
      </c>
    </row>
    <row r="33045">
      <c r="A33045" t="inlineStr">
        <is>
          <t>arc air</t>
        </is>
      </c>
      <c r="B33045">
        <f>HYPERLINK("https://www.dofusbook.net/fr/equipement/2194745-arc-air/objets", "link")</f>
        <v/>
      </c>
      <c r="C33045" t="n">
        <v>3</v>
      </c>
      <c r="D33045" t="inlineStr">
        <is>
          <t>Arc Ahique; Collier du Valet Veinard; Alliance Gloursonne; Gant du Valet Veinard; Bouclier du Stalak; Ceinture de la Reine des Voleurs; Coiffe de la Reine des Voleurs; Cape du Valet Veinard; Bottes de la Reine des Voleurs; Dofus Émeraude; Dofus Turquoise; Dofus Pourpre; Dofus des Glaces; Dofus Ocre; Equilibriste majeur; Muldo Doré et Ebène</t>
        </is>
      </c>
    </row>
    <row r="33046">
      <c r="A33046" t="inlineStr">
        <is>
          <t>Legende</t>
        </is>
      </c>
      <c r="B33046">
        <f>HYPERLINK("https://www.dofusbook.net/fr/equipement/2200248-legende/objets", "link")</f>
        <v/>
      </c>
      <c r="C33046" t="n">
        <v>0</v>
      </c>
      <c r="D33046" t="inlineStr">
        <is>
          <t>Sertisseur de Ramougre; Collier du Dragon Cochon; Anneau du Meulou; Gelano; Bouclier du Sadida; Cacture; Cascterre; Puissante Cape Fulgurante; Bottines en bois d'abrakleur; Dofus Pourpre; Dofus Émeraude; Remueur; Nomade; Enragé; Vigoureux; Muldo Prune et Emeraude</t>
        </is>
      </c>
    </row>
    <row r="33047">
      <c r="A33047" t="inlineStr">
        <is>
          <t>air 197</t>
        </is>
      </c>
      <c r="B33047">
        <f>HYPERLINK("https://www.dofusbook.net/fr/equipement/2124037-air-197/objets", "link")</f>
        <v/>
      </c>
      <c r="C33047" t="n">
        <v>3</v>
      </c>
      <c r="D33047" t="inlineStr">
        <is>
          <t>Hachoirs de Viandargh; Amulette Hendart; Alliance Gloursonne; Anneau d'Allister; Quatre-feuilles; Ceinture Rasboulaire du Rasboul; Masque de Klime; Cape de Klime; Pantoufles Émar; Dofus Turquoise; Carapace Air majeur; Nomade; Dévastateur Air majeur; Remueur; Cascadeur majeur; Siroko</t>
        </is>
      </c>
    </row>
    <row r="33048">
      <c r="A33048" t="inlineStr">
        <is>
          <t>Stuff 2</t>
        </is>
      </c>
      <c r="B33048">
        <f>HYPERLINK("https://www.dofusbook.net/fr/equipement/558730-stuff-2/objets", "link")</f>
        <v/>
      </c>
      <c r="C33048" t="n">
        <v>1</v>
      </c>
      <c r="D33048" t="inlineStr">
        <is>
          <t>Epée Gloursonne; Amulette du Strigide; Bague Gloursonne; Alliance Gloursonne; Quatre-feuilles; Ceinture du Strigide; Casque du Chalœil; Cape du Chalœil; Bottes du Chalœil; Dolmanax; Dofus Ocre; Dofus Pourpre; Dofus des Glaces; Dofus Émeraude; Dofus Turquoise; Muldo Prune et Emeraude</t>
        </is>
      </c>
    </row>
    <row r="33049">
      <c r="A33049" t="inlineStr">
        <is>
          <t>tiky</t>
        </is>
      </c>
      <c r="B33049">
        <f>HYPERLINK("https://www.dofusbook.net/fr/equipement/2112666-tiky/objets", "link")</f>
        <v/>
      </c>
      <c r="C33049" t="n">
        <v>0</v>
      </c>
      <c r="D33049" t="inlineStr">
        <is>
          <t>La Hache Ticot; Amulette du Renouveau; Gelano; Anneau Ancestral; Bouclier Aerdala; Ceinture du Meulou; Solomonk; Cape du Wabbit Garou; Bottes du Wabbit Garou; Dofus Cawotte; Enragé; Nomade; Miraculé; Remueur; Dragodinde Emeraude et Rousse</t>
        </is>
      </c>
    </row>
    <row r="33050">
      <c r="A33050" t="inlineStr">
        <is>
          <t>Stuff 2</t>
        </is>
      </c>
      <c r="B33050">
        <f>HYPERLINK("https://www.dofusbook.net/fr/equipement/558710-stuff-2/objets", "link")</f>
        <v/>
      </c>
      <c r="C33050" t="n">
        <v>0</v>
      </c>
      <c r="D33050" t="inlineStr">
        <is>
          <t>Ragnarok; Collier du Minotoror; Anneau Ancestral; Nageanneau; Ceinture Meulante; Doro le Blak; Corbacape Mastralis; Protège-Tibias Ancestraux; Dofus Cawotte</t>
        </is>
      </c>
    </row>
    <row r="33051">
      <c r="A33051" t="inlineStr">
        <is>
          <t>Stuff 3</t>
        </is>
      </c>
      <c r="B33051">
        <f>HYPERLINK("https://www.dofusbook.net/fr/equipement/558711-stuff-3/objets", "link")</f>
        <v/>
      </c>
      <c r="C33051" t="n">
        <v>1</v>
      </c>
      <c r="D33051" t="inlineStr">
        <is>
          <t>Épée du Granduk; Amulette du Granduk; Quatre-feuilles; Menoture; Capuche de Moum-Ra; Chevelure de Tal Kasha; Palmes Trithons; Dofus Turquoise; Nomade; Carapace Air majeur; Remueur; Dévastateur Air majeur</t>
        </is>
      </c>
    </row>
    <row r="33052">
      <c r="A33052" t="inlineStr">
        <is>
          <t>Stuff 1</t>
        </is>
      </c>
      <c r="B33052">
        <f>HYPERLINK("https://www.dofusbook.net/fr/equipement/558709-stuff-1/objets", "link")</f>
        <v/>
      </c>
      <c r="C33052" t="n">
        <v>0</v>
      </c>
      <c r="D33052" t="inlineStr">
        <is>
          <t>Arc corrompu; Pendentif affamé; Anneau Tamie; Anneauræus; Bouclier du Stalak; Ceinture Séculaire; Coiffe Séculaire; Cape de Diondin; Bottes Innommables; Dofus Turquoise; Dévastateur Feu majeur; Remueur; Érudit majeur; Carapace Feu majeur; Nomade; Muldo Prune et Orchidée</t>
        </is>
      </c>
    </row>
    <row r="33053">
      <c r="A33053" t="inlineStr">
        <is>
          <t>terre/ret</t>
        </is>
      </c>
      <c r="B33053">
        <f>HYPERLINK("https://www.dofusbook.net/fr/equipement/2063694-terre-ret/objets", "link")</f>
        <v/>
      </c>
      <c r="C33053" t="n">
        <v>1</v>
      </c>
      <c r="D33053" t="inlineStr">
        <is>
          <t>Epée Gloursonne; Amulette du Cœur Saignant; Bague Gloursonne; Alliance Gloursonne; Bouclier cubiste; Ceinture de Kongoku; Boucle d'oreille de Kongoku; Cape du Cœur Saignant; Bottes du Cœur Saignant; Dofus des Glaces; Dofus Turquoise; Dofus Émeraude; Dofus Ocre; Dofus Pourpre; Entraveur majeur; Muldo Prune et Emeraude</t>
        </is>
      </c>
    </row>
    <row r="33054">
      <c r="A33054" t="inlineStr">
        <is>
          <t>nostick</t>
        </is>
      </c>
      <c r="B33054">
        <f>HYPERLINK("https://www.dofusbook.net/fr/equipement/2058642-nostick/objets", "link")</f>
        <v/>
      </c>
      <c r="C33054" t="n">
        <v>0</v>
      </c>
      <c r="D33054" t="inlineStr"/>
    </row>
    <row r="33055">
      <c r="A33055" t="inlineStr">
        <is>
          <t>Stuff 2</t>
        </is>
      </c>
      <c r="B33055">
        <f>HYPERLINK("https://www.dofusbook.net/fr/equipement/558716-stuff-2/objets", "link")</f>
        <v/>
      </c>
      <c r="C33055" t="n">
        <v>0</v>
      </c>
      <c r="D33055" t="inlineStr">
        <is>
          <t>Epée Gloursonne; Amulette du Strigide; Bague Gloursonne; Alliance Gloursonne; Bouclier du Captain Amakna; Ceinture du Strigide; Némès de Tal Kasha; Chevelure de Tal Kasha; Sandales de Tal Kasha; Dofus Pourpre; Dofus des Glaces; Dofus Turquoise; Dofus Ivoire; Dofus Émeraude; Dofus Ocre; Muldo Roux et Doré</t>
        </is>
      </c>
    </row>
    <row r="33056">
      <c r="A33056" t="inlineStr">
        <is>
          <t>tiky</t>
        </is>
      </c>
      <c r="B33056">
        <f>HYPERLINK("https://www.dofusbook.net/fr/equipement/2053828-tiky/objets", "link")</f>
        <v/>
      </c>
      <c r="C33056" t="n">
        <v>1</v>
      </c>
      <c r="D33056" t="inlineStr">
        <is>
          <t>Bâton K'Tueuh; Amulette de Grozilla; Anneau des Matougarous; Gelano; Le Karde Cœur; Puissante Ceinture Fulgurante; Coiffe du Minotot; Cape des Matougarous; Bottes du Nowel Cauchemardesque; Dofus Cawotte; Chanceux majeur; Entraveur majeur; Nomade; Temporiseur majeur; Remueur; Dehluge</t>
        </is>
      </c>
    </row>
    <row r="33057">
      <c r="A33057" t="inlineStr">
        <is>
          <t>Stuff 1</t>
        </is>
      </c>
      <c r="B33057">
        <f>HYPERLINK("https://www.dofusbook.net/fr/equipement/558715-stuff-1/objets", "link")</f>
        <v/>
      </c>
      <c r="C33057" t="n">
        <v>0</v>
      </c>
      <c r="D33057" t="inlineStr">
        <is>
          <t>Epée Gloursonne; Amulette de l'Indicible; Alliance Gloursonne; Bague Gloursonne; Jadis; Ceinture de l'Esprit Salvateur; Masque de l'Esprit Salvateur; Cape Peupret; Bottes de l'Esprit Salvateur; Dofus Émeraude; Dofus Ocre; Dolmanax; Dofus des Glaces; Dofus Pourpre; Dofus Ivoire; Muldo Roux et Doré</t>
        </is>
      </c>
    </row>
    <row r="33058">
      <c r="A33058" t="inlineStr">
        <is>
          <t>Stuff 3</t>
        </is>
      </c>
      <c r="B33058">
        <f>HYPERLINK("https://www.dofusbook.net/fr/equipement/558725-stuff-3/objets", "link")</f>
        <v/>
      </c>
      <c r="C33058" t="n">
        <v>0</v>
      </c>
      <c r="D33058" t="inlineStr">
        <is>
          <t>Pelle de la Cour Sombre; Collier du Valet Veinard; Gant du Valet Veinard; Alliance Gloursonne; La Rondelle; Ceinture de l'Esprit Salvateur; Masque de l'Esprit Salvateur; Cape du Valet Veinard; Bottes de l'Esprit Salvateur; Dofus Pourpre; Dofus Émeraude; Dofus Ocre; Dolmanax; Dofus des Glaces; Robuste majeur; Muldo Doré et Ebène</t>
        </is>
      </c>
    </row>
    <row r="33059">
      <c r="A33059" t="inlineStr">
        <is>
          <t>feu</t>
        </is>
      </c>
      <c r="B33059">
        <f>HYPERLINK("https://www.dofusbook.net/fr/equipement/1992333-feu/objets", "link")</f>
        <v/>
      </c>
      <c r="C33059" t="n">
        <v>0</v>
      </c>
      <c r="D33059" t="inlineStr">
        <is>
          <t>Arc corrompu; Pendentif affamé; Anneau Rifique; Anneauræus; Bouclier du Stalak; Ceinture Séculaire; Coiffe Séculaire; Cape de Diondin; Bottes Innommables; Dofus Turquoise; Nomade; Savant majeur; Remueur; Dévastateur Feu majeur; Érudit majeur; Brûlih</t>
        </is>
      </c>
    </row>
    <row r="33060">
      <c r="A33060" t="inlineStr">
        <is>
          <t>feu</t>
        </is>
      </c>
      <c r="B33060">
        <f>HYPERLINK("https://www.dofusbook.net/fr/equipement/1992071-feu/objets", "link")</f>
        <v/>
      </c>
      <c r="C33060" t="n">
        <v>1</v>
      </c>
      <c r="D33060" t="inlineStr">
        <is>
          <t>Arc corrompu; Pendentif affamé; Chevalière du Roi Joueur; Anneau Tamie; Quatre-feuilles; Ceinture Séculaire; Coiffe Séculaire; Cape de Diondin; Bottes du Katcheur; Dofus Turquoise; Dofus Pourpre; Dévastateur Feu majeur; Érudit majeur; Nomade; Remueur; Brûlih</t>
        </is>
      </c>
    </row>
    <row r="33061">
      <c r="A33061" t="inlineStr">
        <is>
          <t>tri</t>
        </is>
      </c>
      <c r="B33061">
        <f>HYPERLINK("https://www.dofusbook.net/fr/equipement/1986354-tri/objets", "link")</f>
        <v/>
      </c>
      <c r="C33061" t="n">
        <v>0</v>
      </c>
      <c r="D33061" t="inlineStr">
        <is>
          <t>Marteau de Katrepat; Amulette du Strigide; Bracelet du Piloztère; Anneau du Cycloïde; Bouclier du Captain Amakna; Ceintacé; Masque Brûlâme; Cape de Kongoku; Bottes du Cycloïde; Dofus Turquoise; Dofus des Glaces; Dofus Pourpre; Remueur; Vigoureux majeur; Nomade; Kramkram</t>
        </is>
      </c>
    </row>
    <row r="33062">
      <c r="A33062" t="inlineStr">
        <is>
          <t>terre2</t>
        </is>
      </c>
      <c r="B33062">
        <f>HYPERLINK("https://www.dofusbook.net/fr/equipement/1991912-terre2/objets", "link")</f>
        <v/>
      </c>
      <c r="C33062" t="n">
        <v>1</v>
      </c>
      <c r="D33062" t="inlineStr">
        <is>
          <t>Arc du Chalœil; Amulette du Cœur Saignant; Anneau du Comte Harebourg; Anneau Crustique; Bouclier du Stalak; Ceinture de Brouce; Masque de Koutoulou; Cape de la Cour Sombre; Bottes de la Cour Sombre; Dofus Pourpre; Dofus Turquoise; Enragé majeur; Remueur; Vigoureux majeur; Nomade; Kompost</t>
        </is>
      </c>
    </row>
    <row r="33063">
      <c r="A33063" t="inlineStr">
        <is>
          <t>terre</t>
        </is>
      </c>
      <c r="B33063">
        <f>HYPERLINK("https://www.dofusbook.net/fr/equipement/1986428-terre/objets", "link")</f>
        <v/>
      </c>
      <c r="C33063" t="n">
        <v>1</v>
      </c>
      <c r="D33063" t="inlineStr">
        <is>
          <t>Arc du Chalœil; Amulette du Cœur Saignant; Anneau du Comte Harebourg; Baguistik; Quatre-feuilles; Ceinture de Brouce; Masque de Koutoulou; Cape au Logis; Bottes du Cœur Saignant; Dofus Pourpre; Dofus Turquoise; Nomade; Enragé majeur; Remueur; Vigoureux majeur; Kompost</t>
        </is>
      </c>
    </row>
    <row r="33064">
      <c r="A33064" t="inlineStr">
        <is>
          <t>pui</t>
        </is>
      </c>
      <c r="B33064">
        <f>HYPERLINK("https://www.dofusbook.net/fr/equipement/1609911-pui/objets", "link")</f>
        <v/>
      </c>
      <c r="C33064" t="n">
        <v>0</v>
      </c>
      <c r="D33064" t="inlineStr"/>
    </row>
    <row r="33065">
      <c r="A33065" t="inlineStr">
        <is>
          <t>croke</t>
        </is>
      </c>
      <c r="B33065">
        <f>HYPERLINK("https://www.dofusbook.net/fr/equipement/1561741-croke/objets", "link")</f>
        <v/>
      </c>
      <c r="C33065" t="n">
        <v>0</v>
      </c>
      <c r="D33065" t="inlineStr">
        <is>
          <t>Hache à Lamelles; Amulette de Grozilla; Gelano; Anneau du Kaniblou; Ceinture du Kaniblou; Katar Strophe; Cape Tivante; Les Maidartes; Déserteur majeur; Chanceux majeur; Dévastateur Eau majeur; Nomade; Initiateur majeur; Remueur; Dragodinde Amande et Emeraude</t>
        </is>
      </c>
    </row>
    <row r="33066">
      <c r="A33066" t="inlineStr">
        <is>
          <t>croke</t>
        </is>
      </c>
      <c r="B33066">
        <f>HYPERLINK("https://www.dofusbook.net/fr/equipement/1561171-croke/objets", "link")</f>
        <v/>
      </c>
      <c r="C33066" t="n">
        <v>2</v>
      </c>
      <c r="D33066" t="inlineStr">
        <is>
          <t>Epée Toche; Amulette Hendart; Gelano; Bague Gloursonne; Ceinture Hanium; Chapeau du Comte Razof; Voile d'encre; Chaussons du Comte Razof; Dofus Pourpre; Dofus Turquoise; Vigoureux majeur; Remueur; Enragé majeur; Nomade; Muldo Prune et Doré</t>
        </is>
      </c>
    </row>
    <row r="33067">
      <c r="A33067" t="inlineStr">
        <is>
          <t>ret pme</t>
        </is>
      </c>
      <c r="B33067">
        <f>HYPERLINK("https://www.dofusbook.net/fr/equipement/1263859-ret-pme/objets", "link")</f>
        <v/>
      </c>
      <c r="C33067" t="n">
        <v>4</v>
      </c>
      <c r="D33067" t="inlineStr">
        <is>
          <t>Bâton Fracass; Amulette du Glourséleste; Alliance Gloursonne; Pikano; Bouclier cubiste; Poulpagne; Capuche de l'Œil Putride; Cape de l'Œil Putride; Bottes de Meno; Ralentisseur majeur; Remueur; Entraveur; Entraveur majeur; Temporiseur; Temporiseur majeur; Muldo Ebène et Indigo</t>
        </is>
      </c>
    </row>
    <row r="33068">
      <c r="A33068" t="inlineStr">
        <is>
          <t>Stuff 1</t>
        </is>
      </c>
      <c r="B33068">
        <f>HYPERLINK("https://www.dofusbook.net/fr/equipement/558754-stuff-1/objets", "link")</f>
        <v/>
      </c>
      <c r="C33068" t="n">
        <v>0</v>
      </c>
      <c r="D33068" t="inlineStr">
        <is>
          <t>Dagues Érhy; Kralamansion; Anneau de Padgref; Anneau d'Allister; Menoture; Couronne d'Allister; Cape du Valet Veinard; Palmes Trithons; Dolmanax; Dofus des Glaces; Dévastateur Air majeur; Remueur; Cascadeur majeur; Nomade; Siroko</t>
        </is>
      </c>
    </row>
    <row r="33069">
      <c r="A33069" t="inlineStr">
        <is>
          <t>Stuff 3</t>
        </is>
      </c>
      <c r="B33069">
        <f>HYPERLINK("https://www.dofusbook.net/fr/equipement/558722-stuff-3/objets", "link")</f>
        <v/>
      </c>
      <c r="C33069" t="n">
        <v>1</v>
      </c>
      <c r="D33069" t="inlineStr">
        <is>
          <t>Dagues Açantes; Amulette du Glourséleste; Pikano; Alliance Gloursonne; Bouclier cubiste; Poulpagne; Capuche de l'Œil Putride; Cape de la Dame du Hasard; Pikottes; Temporiseur; Temporiseur majeur; Ralentisseur majeur; Remueur; Fonceur majeur; Entraveur majeur; Muldo Indigo et Pourpre</t>
        </is>
      </c>
    </row>
    <row r="33070">
      <c r="A33070" t="inlineStr">
        <is>
          <t>Stuff 3</t>
        </is>
      </c>
      <c r="B33070">
        <f>HYPERLINK("https://www.dofusbook.net/fr/equipement/558756-stuff-3/objets", "link")</f>
        <v/>
      </c>
      <c r="C33070" t="n">
        <v>0</v>
      </c>
      <c r="D33070" t="inlineStr">
        <is>
          <t>Dagues Érhy; Amulette du Cycloïde; Bracelet du Piloztère; Anneau de la Fuji Givrefoux; Ceinture de l'Indicible; Masque du Katcheur; Cape des Justiciers; Bottes du Katcheur; Dofus Turquoise; Dofus des Glaces; Dolmanax; Vigoureux majeur; Nomade; Remueur; Dragodinde Prune et Emeraude</t>
        </is>
      </c>
    </row>
    <row r="33071">
      <c r="A33071" t="inlineStr">
        <is>
          <t>Stuff 1</t>
        </is>
      </c>
      <c r="B33071">
        <f>HYPERLINK("https://www.dofusbook.net/fr/equipement/558751-stuff-1/objets", "link")</f>
        <v/>
      </c>
      <c r="C33071" t="n">
        <v>0</v>
      </c>
      <c r="D33071" t="inlineStr">
        <is>
          <t>Marteau des égarés; Amulette de Pol Ouatnos; Bracelet du Piloztère; Anneau de la Fuji Givrefoux; Ceintacé; Masque Trithon; Cape du Chalœil; Bottes Trithon; Dofus Pourpre; Dofus Turquoise; Dolmanax; Vigoureux majeur; Nomade; Remueur; Kramkram</t>
        </is>
      </c>
    </row>
    <row r="33072">
      <c r="A33072" t="inlineStr">
        <is>
          <t>Stuff 3</t>
        </is>
      </c>
      <c r="B33072">
        <f>HYPERLINK("https://www.dofusbook.net/fr/equipement/558734-stuff-3/objets", "link")</f>
        <v/>
      </c>
      <c r="C33072" t="n">
        <v>0</v>
      </c>
      <c r="D33072" t="inlineStr">
        <is>
          <t>Marteau R'ture; Collier de Tourthon; Anneau du Comte Harebourg; Anneau Crustique; Ceinture de Brouce; Masque de Koutoulou; Cape au Logis; Bottes du Comte Harebourg; Dofus Turquoise; Dofus des Glaces; Enragé majeur; Miraculé majeur; Nomade; Remueur; Kompost</t>
        </is>
      </c>
    </row>
    <row r="33073">
      <c r="A33073" t="inlineStr">
        <is>
          <t>Stuff 3</t>
        </is>
      </c>
      <c r="B33073">
        <f>HYPERLINK("https://www.dofusbook.net/fr/equipement/558753-stuff-3/objets", "link")</f>
        <v/>
      </c>
      <c r="C33073" t="n">
        <v>0</v>
      </c>
      <c r="D33073" t="inlineStr">
        <is>
          <t>Dagues R'Hoh; Amulette du Dragoeuf; Gelano; Anneau du Dragon Cochon; Ceinture du Rat Blanc; Solomonk; Gruchape; Gruchaussures; Vigoureux; Remueur; Observateur; Cascadeur; Dévastateur Air; Nomade; Dragodinde Prune et Ebène</t>
        </is>
      </c>
    </row>
    <row r="33074">
      <c r="A33074" t="inlineStr">
        <is>
          <t>Stuff 2</t>
        </is>
      </c>
      <c r="B33074">
        <f>HYPERLINK("https://www.dofusbook.net/fr/equipement/558719-stuff-2/objets", "link")</f>
        <v/>
      </c>
      <c r="C33074" t="n">
        <v>0</v>
      </c>
      <c r="D33074" t="inlineStr">
        <is>
          <t>Arc du Chalœil; Amulette du Cœur Saignant; Anneau du Comte Harebourg; Bague Gloursonne; Quatre-feuilles; Ceinture de Brouce; Masque de Koutoulou; Cape de la Cour Sombre; Bottes de la Cour Sombre; Dofus Turquoise; Dolmanax; Enragé majeur; Vigoureux majeur; Nomade; Remueur; Kompost</t>
        </is>
      </c>
    </row>
    <row r="33075">
      <c r="A33075" t="inlineStr">
        <is>
          <t>Stuff 1</t>
        </is>
      </c>
      <c r="B33075">
        <f>HYPERLINK("https://www.dofusbook.net/fr/equipement/558754-stuff-1/objets", "link")</f>
        <v/>
      </c>
      <c r="C33075" t="n">
        <v>0</v>
      </c>
      <c r="D33075" t="inlineStr">
        <is>
          <t>Dagues Érhy; Kralamansion; Anneau de Padgref; Anneau d'Allister; Menoture; Couronne d'Allister; Cape du Valet Veinard; Palmes Trithons; Dofus des Glaces; Dolmanax; Nomade; Dévastateur Air majeur; Remueur; Cascadeur majeur; Siroko</t>
        </is>
      </c>
    </row>
    <row r="33076">
      <c r="A33076" t="inlineStr">
        <is>
          <t>Stuff 3</t>
        </is>
      </c>
      <c r="B33076">
        <f>HYPERLINK("https://www.dofusbook.net/fr/equipement/558722-stuff-3/objets", "link")</f>
        <v/>
      </c>
      <c r="C33076" t="n">
        <v>1</v>
      </c>
      <c r="D33076" t="inlineStr">
        <is>
          <t>Dagues Açantes; Amulette du Glourséleste; Pikano; Alliance Gloursonne; Bouclier cubiste; Poulpagne; Capuche de l'Œil Putride; Cape de la Dame du Hasard; Pikottes; Fonceur majeur; Entraveur majeur; Temporiseur; Temporiseur majeur; Ralentisseur majeur; Remueur; Muldo Indigo et Pourpre</t>
        </is>
      </c>
    </row>
    <row r="33077">
      <c r="A33077" t="inlineStr">
        <is>
          <t>Stuff 3</t>
        </is>
      </c>
      <c r="B33077">
        <f>HYPERLINK("https://www.dofusbook.net/fr/equipement/558756-stuff-3/objets", "link")</f>
        <v/>
      </c>
      <c r="C33077" t="n">
        <v>0</v>
      </c>
      <c r="D33077" t="inlineStr">
        <is>
          <t>Dagues Érhy; Amulette du Cycloïde; Anneau de la Fuji Givrefoux; Bracelet du Piloztère; Ceinture de l'Indicible; Masque du Katcheur; Cape des Justiciers; Bottes du Katcheur; Dolmanax; Dofus Turquoise; Dofus des Glaces; Nomade; Remueur; Vigoureux majeur; Dragodinde Prune et Emeraude</t>
        </is>
      </c>
    </row>
    <row r="33078">
      <c r="A33078" t="inlineStr">
        <is>
          <t>Stuff 1</t>
        </is>
      </c>
      <c r="B33078">
        <f>HYPERLINK("https://www.dofusbook.net/fr/equipement/558751-stuff-1/objets", "link")</f>
        <v/>
      </c>
      <c r="C33078" t="n">
        <v>0</v>
      </c>
      <c r="D33078" t="inlineStr">
        <is>
          <t>Marteau des égarés; Amulette de Pol Ouatnos; Anneau de la Fuji Givrefoux; Bracelet du Piloztère; Ceintacé; Masque Trithon; Cape du Chalœil; Bottes Trithon; Dolmanax; Dofus Pourpre; Dofus Turquoise; Remueur; Vigoureux majeur; Nomade; Kramkram</t>
        </is>
      </c>
    </row>
    <row r="33079">
      <c r="A33079" t="inlineStr">
        <is>
          <t>Stuff 2</t>
        </is>
      </c>
      <c r="B33079">
        <f>HYPERLINK("https://www.dofusbook.net/fr/equipement/154208-stuff-2/objets", "link")</f>
        <v/>
      </c>
      <c r="C33079" t="n">
        <v>0</v>
      </c>
      <c r="D33079" t="inlineStr">
        <is>
          <t>Dagoulinantes; Amulette de Shokkoth; Bracelet des Fonds marins; Alliance Gloursonne; Cadran de Terre; Poulpagne; Casque Dragoeuf; Chevelure de Tal Kasha; Sandales de Tal Kasha; Dofus Abyssal; Chanceux majeur; Miraculé majeur; Remueur; Carapace Air majeur; Étourdisseur majeur; Muldo Indigo et Pourpre</t>
        </is>
      </c>
    </row>
    <row r="33080">
      <c r="A33080" t="inlineStr">
        <is>
          <t>Stuff 3</t>
        </is>
      </c>
      <c r="B33080">
        <f>HYPERLINK("https://www.dofusbook.net/fr/equipement/154209-stuff-3/objets", "link")</f>
        <v/>
      </c>
      <c r="C33080" t="n">
        <v>0</v>
      </c>
      <c r="D33080" t="inlineStr">
        <is>
          <t>Harpelle; Pendentif affamé; Anneau Tique; Anneau de Nidas; Cadran de Terre; Ceinture de Vortex; Cagoule de Vortex; Voile d'encre; Pataugastrique; Remueur; Miraculé majeur; Érudit majeur; Étourdisseur majeur; Muldo Orchidée</t>
        </is>
      </c>
    </row>
    <row r="33081">
      <c r="A33081" t="inlineStr">
        <is>
          <t>Stuff 3</t>
        </is>
      </c>
      <c r="B33081">
        <f>HYPERLINK("https://www.dofusbook.net/fr/equipement/154218-stuff-3/objets", "link")</f>
        <v/>
      </c>
      <c r="C33081" t="n">
        <v>0</v>
      </c>
      <c r="D33081" t="inlineStr">
        <is>
          <t>Rouleau à Pâtisserie d'Aermyne; Amulette du Cycloïde; Alliance Gloursonne; Gelano; Sept ans de malheur; Ceinture de Kongoku; Casque Dragoeuf; Cape d'Aermyne; Bottes Trithon; Dofus Ocre; Obstructeur majeur; Tacleur majeur; Remueur; Carapace Air majeur; Bloqueur majeur; Muldo Roux et Ebène</t>
        </is>
      </c>
    </row>
    <row r="33082">
      <c r="A33082" t="inlineStr">
        <is>
          <t>Stuff 1</t>
        </is>
      </c>
      <c r="B33082">
        <f>HYPERLINK("https://www.dofusbook.net/fr/equipement/154198-stuff-1/objets", "link")</f>
        <v/>
      </c>
      <c r="C33082" t="n">
        <v>0</v>
      </c>
      <c r="D33082" t="inlineStr">
        <is>
          <t>Dagoulinantes; Collier de la Dame du Hasard; Bracelet des Fonds marins; Pikano; Bouclier cubiste; Ceinture Glaciale; Casquipik; Voilamibe; Pataugastrique; Dofus Ocre; Entraveur; Ralentisseur majeur; Temporiseur; Temporiseur majeur; Entraveur majeur; Dehluge</t>
        </is>
      </c>
    </row>
    <row r="33083">
      <c r="A33083" t="inlineStr">
        <is>
          <t>Stuff 3</t>
        </is>
      </c>
      <c r="B33083">
        <f>HYPERLINK("https://www.dofusbook.net/fr/equipement/154200-stuff-3/objets", "link")</f>
        <v/>
      </c>
      <c r="C33083" t="n">
        <v>0</v>
      </c>
      <c r="D33083" t="inlineStr">
        <is>
          <t>Pelle de Nidas; Amulette du Glourséleste; Pikano; Alliance Gloursonne; Ceinture Glaciale; Le Dorado; Cape de la Dame du Hasard; Pikottes; Ralentisseur majeur; Remueur; Entraveur; Temporiseur majeur; Temporiseur; Entraveur majeur; Gwo Tofu Ventripotent</t>
        </is>
      </c>
    </row>
    <row r="33084">
      <c r="A33084" t="inlineStr">
        <is>
          <t>Stuff 3</t>
        </is>
      </c>
      <c r="B33084">
        <f>HYPERLINK("https://www.dofusbook.net/fr/equipement/154272-stuff-3/objets", "link")</f>
        <v/>
      </c>
      <c r="C33084" t="n">
        <v>0</v>
      </c>
      <c r="D33084" t="inlineStr">
        <is>
          <t>Bâton de Karotz; Amulette du Glourséleste; Anneau Tamie; Anneau Tamie; Ceinture Instable; Casquette de Meno; Puissante Cape Fulgurante; Bottes de Meno; Entraveur; Entraveur majeur; Temporiseur; Temporiseur majeur; Ralentisseur majeur; Remueur; Kwaltess</t>
        </is>
      </c>
    </row>
    <row r="33085">
      <c r="A33085" t="inlineStr">
        <is>
          <t>Stuff 1</t>
        </is>
      </c>
      <c r="B33085">
        <f>HYPERLINK("https://www.dofusbook.net/fr/equipement/154225-stuff-1/objets", "link")</f>
        <v/>
      </c>
      <c r="C33085" t="n">
        <v>0</v>
      </c>
      <c r="D33085" t="inlineStr">
        <is>
          <t>Dagues de Srambad; Amulette Ementaire Deluxe; Alliance Gloursonne; Pikano; Ceinture de la Reine des Voleurs; Coiffe de la Reine des Voleurs; Voile d'encre; Baleinabottes; Dolmanax; Dofus des Glaces; Nomade; Remueur; Kramkram</t>
        </is>
      </c>
    </row>
    <row r="33086">
      <c r="A33086" t="inlineStr">
        <is>
          <t>Stuff 2</t>
        </is>
      </c>
      <c r="B33086">
        <f>HYPERLINK("https://www.dofusbook.net/fr/equipement/154214-stuff-2/objets", "link")</f>
        <v/>
      </c>
      <c r="C33086" t="n">
        <v>0</v>
      </c>
      <c r="D33086" t="inlineStr">
        <is>
          <t>Racine de Floribonde; Amulette du Glourséleste; Annolamour; Kralano; Ceinture de Léthaline; Coiffe d'Ogivol; Cape de Léthaline; Bottes de Léthaline; Dofus Cawotte; Dofus Ocre; Dofus Pourpre; Dofus Turquoise; Tifoux</t>
        </is>
      </c>
    </row>
    <row r="33087">
      <c r="A33087" t="inlineStr">
        <is>
          <t>Stuff 1</t>
        </is>
      </c>
      <c r="B33087">
        <f>HYPERLINK("https://www.dofusbook.net/fr/equipement/154267-stuff-1/objets", "link")</f>
        <v/>
      </c>
      <c r="C33087" t="n">
        <v>0</v>
      </c>
      <c r="D33087" t="inlineStr">
        <is>
          <t>Épée d'Otomaï; Pendentif mignon de Koutoulou; Anneau Tamie; Anneau Tamie; Sangle Aise; Casque Cyclopéen; Cape de Diondin; Bottes Innommables; Dofus des Glaces; Astucieux majeur; Nomade; Érudit majeur; Saccageur Feu majeur; Dévastateur Feu majeur; Brûlih</t>
        </is>
      </c>
    </row>
    <row r="33088">
      <c r="A33088" t="inlineStr">
        <is>
          <t>Stuff 3</t>
        </is>
      </c>
      <c r="B33088">
        <f>HYPERLINK("https://www.dofusbook.net/fr/equipement/154203-stuff-3/objets", "link")</f>
        <v/>
      </c>
      <c r="C33088" t="n">
        <v>0</v>
      </c>
      <c r="D33088" t="inlineStr">
        <is>
          <t>Épée d'Otomaï; Amulette de Nileza; Anneau Tamie; Anneau Tamie; Sangle Aise; Coiffe Séculaire; Cape de Nileza; Bottes Owesli; Dofus des Glaces; Dofus Pourpre; Érudit majeur; Nomade; Remueur; Dévastateur Feu majeur; Brûlih</t>
        </is>
      </c>
    </row>
    <row r="33089">
      <c r="A33089" t="inlineStr">
        <is>
          <t>Stuff 2</t>
        </is>
      </c>
      <c r="B33089">
        <f>HYPERLINK("https://www.dofusbook.net/fr/equipement/154262-stuff-2/objets", "link")</f>
        <v/>
      </c>
      <c r="C33089" t="n">
        <v>0</v>
      </c>
      <c r="D33089" t="inlineStr">
        <is>
          <t>Dagues de Srambad; Amulette Ementaire Deluxe; Alliance Gloursonne; Anneau Crustique; Ceinture de la Reine des Voleurs; Coiffe de la Reine des Voleurs; Voile d'encre; Sabots Minables; Dofus Pourpre; Dolmanax; Enragé majeur; Nomade; Miraculé majeur; Remueur; Kramkram</t>
        </is>
      </c>
    </row>
    <row r="33090">
      <c r="A33090" t="inlineStr">
        <is>
          <t>Stuff 3</t>
        </is>
      </c>
      <c r="B33090">
        <f>HYPERLINK("https://www.dofusbook.net/fr/equipement/154254-stuff-3/objets", "link")</f>
        <v/>
      </c>
      <c r="C33090" t="n">
        <v>0</v>
      </c>
      <c r="D33090" t="inlineStr">
        <is>
          <t>Hache du Chalœil; Amulette de Pol Ouatnos; Pikano; Alliance Gloursonne; Ceintacé; Coiffe du Lévitrof; Voile d'encre; Bottes du Lévitrof; Dofus des Glaces; Dolmanax; Déserteur majeur; Carapace Neutre majeur; Cavaleur majeur; Remueur; Croum</t>
        </is>
      </c>
    </row>
    <row r="33091">
      <c r="A33091" t="inlineStr">
        <is>
          <t>Stuff 1</t>
        </is>
      </c>
      <c r="B33091">
        <f>HYPERLINK("https://www.dofusbook.net/fr/equipement/154237-stuff-1/objets", "link")</f>
        <v/>
      </c>
      <c r="C33091" t="n">
        <v>0</v>
      </c>
      <c r="D33091" t="inlineStr">
        <is>
          <t>Dagues Érhy; Amulette du Strigide; Bague Gloursonne; Anneau des égarés; Ceintacé; Boucle d'oreille de Kongoku; Voile d'encre; Bottes du Strigide; Dofus Turquoise; Dolmanax; Enragé majeur; Nomade; Remueur; Déserteur majeur; El Scarador</t>
        </is>
      </c>
    </row>
    <row r="33092">
      <c r="A33092" t="inlineStr">
        <is>
          <t>Stuff 2</t>
        </is>
      </c>
      <c r="B33092">
        <f>HYPERLINK("https://www.dofusbook.net/fr/equipement/154232-stuff-2/objets", "link")</f>
        <v/>
      </c>
      <c r="C33092" t="n">
        <v>0</v>
      </c>
      <c r="D33092" t="inlineStr">
        <is>
          <t>Marteau des Anciens Steamers; Amulette Ementaire Deluxe; Anneau Tique; Alliance Gloursonne; Ceinture du Barbétoal; Coiffe de la Reine des Voleurs; Cape des Justiciers; Bottes de la Reine des Voleurs; Dofus des Glaces; Miraculé majeur; Vigoureux majeur; Nomade; Remueur; Bontique</t>
        </is>
      </c>
    </row>
    <row r="33093">
      <c r="A33093" t="inlineStr">
        <is>
          <t>Stuff 3</t>
        </is>
      </c>
      <c r="B33093">
        <f>HYPERLINK("https://www.dofusbook.net/fr/equipement/154227-stuff-3/objets", "link")</f>
        <v/>
      </c>
      <c r="C33093" t="n">
        <v>0</v>
      </c>
      <c r="D33093" t="inlineStr">
        <is>
          <t>Dagues de Srambad; Amulette du Piloztère; Alliance Gloursonne; Pikano; Ceinture de la Reine des Voleurs; Kidibonnet; Cape au Logis; Bottes de la Reine des Voleurs; Dofus Ocre; Dofus des Glaces; Carapace Terre majeur; Carapace Air majeur; Remueur; Miraculé majeur; El Scarador</t>
        </is>
      </c>
    </row>
    <row r="33094">
      <c r="A33094" t="inlineStr">
        <is>
          <t>Stuff 3</t>
        </is>
      </c>
      <c r="B33094">
        <f>HYPERLINK("https://www.dofusbook.net/fr/equipement/154269-stuff-3/objets", "link")</f>
        <v/>
      </c>
      <c r="C33094" t="n">
        <v>0</v>
      </c>
      <c r="D33094" t="inlineStr">
        <is>
          <t>Manthache; Collier du Valet Veinard; Gant du Valet Veinard; Anneau d'Allister; Menoture; Le Dorado; Cape Indescriptible; Palmes Trithons; Dofus des Glaces; Equilibriste majeur; Nomade; Cascadeur majeur; Saccageur Air majeur; Dévastateur Air majeur; Siroko</t>
        </is>
      </c>
    </row>
    <row r="33095">
      <c r="A33095" t="inlineStr">
        <is>
          <t>Stuff 1</t>
        </is>
      </c>
      <c r="B33095">
        <f>HYPERLINK("https://www.dofusbook.net/fr/equipement/154216-stuff-1/objets", "link")</f>
        <v/>
      </c>
      <c r="C33095" t="n">
        <v>0</v>
      </c>
      <c r="D33095" t="inlineStr">
        <is>
          <t>Epée Gloursonne; Amulette du Strigide; Bague Gloursonne; Alliance Gloursonne; Ceinture du Strigide; Casque du Chalœil; Cape du Chalœil; Bottes du Chalœil; Dolmanax; Dofus Turquoise; Dofus Pourpre; Dofus des Glaces; Dofus Ocre; Puissant majeur; Muldo Prune et Doré</t>
        </is>
      </c>
    </row>
    <row r="33096">
      <c r="A33096" t="inlineStr">
        <is>
          <t>Stuff 1</t>
        </is>
      </c>
      <c r="B33096">
        <f>HYPERLINK("https://www.dofusbook.net/fr/equipement/154264-stuff-1/objets", "link")</f>
        <v/>
      </c>
      <c r="C33096" t="n">
        <v>0</v>
      </c>
      <c r="D33096" t="inlineStr">
        <is>
          <t>Hache du Chalœil; Amulette de l'Indicible; Alliance Gloursonne; Grésilanneau; Ceinture de l'Indicible; Masque de Koutoulou; Voile d'encre; Sabots Minables; Dofus des Glaces; Dofus Pourpre; Évasif majeur; Vigoureux majeur; Nomade; Sanguinaire majeur; Kramkram</t>
        </is>
      </c>
    </row>
    <row r="33097">
      <c r="A33097" t="inlineStr">
        <is>
          <t>Stuff 2</t>
        </is>
      </c>
      <c r="B33097">
        <f>HYPERLINK("https://www.dofusbook.net/fr/equipement/154259-stuff-2/objets", "link")</f>
        <v/>
      </c>
      <c r="C33097" t="n">
        <v>0</v>
      </c>
      <c r="D33097" t="inlineStr">
        <is>
          <t>Bâton Beau; Amulette du Strigide; Alliance de Missiz Frizz; Bague Gloursonne; Ceinture du Strigide; Maskrobe; Voilamibe; Bottes du Strigide; Dofus Ocre; Dofus Turquoise; Dofus Nébuleux; Dofus Pourpre; Dofus des Glaces; Puissant majeur; Kramkram</t>
        </is>
      </c>
    </row>
    <row r="33098">
      <c r="A33098" t="inlineStr">
        <is>
          <t>Stuff 1</t>
        </is>
      </c>
      <c r="B33098">
        <f>HYPERLINK("https://www.dofusbook.net/fr/equipement/154195-stuff-1/objets", "link")</f>
        <v/>
      </c>
      <c r="C33098" t="n">
        <v>0</v>
      </c>
      <c r="D33098" t="inlineStr">
        <is>
          <t>Epée Gloursonne; Amulette du Strigide; Bague Gloursonne; Alliance Gloursonne; Ceinture du Strigide; Masque Vaudou Tam; Cape Reski; Bottes du Strigide; Dofus Vulbis; Dofus Pourpre; Dofus des Glaces; Dofus Ocre; Dofus Nébuleux; Dofus Turquoise; Muldo Prune et Doré</t>
        </is>
      </c>
    </row>
    <row r="33099">
      <c r="A33099" t="inlineStr">
        <is>
          <t>Stuff 3</t>
        </is>
      </c>
      <c r="B33099">
        <f>HYPERLINK("https://www.dofusbook.net/fr/equipement/154239-stuff-3/objets", "link")</f>
        <v/>
      </c>
      <c r="C33099" t="n">
        <v>0</v>
      </c>
      <c r="D33099" t="inlineStr">
        <is>
          <t>Dagues Érhy; Amulette de l'Indicible; Bague Gloursonne; Anneau de Brouce; Ceinture de Gein; Chapeau de Gein; Voile d'encre; Sabots Minables; Dofus Pourpre; Dofus des Glaces; Remueur; Évasif majeur; Nomade; Déserteur majeur; Kramkram</t>
        </is>
      </c>
    </row>
    <row r="33100">
      <c r="A33100" t="inlineStr">
        <is>
          <t>Stuff 1</t>
        </is>
      </c>
      <c r="B33100">
        <f>HYPERLINK("https://www.dofusbook.net/fr/equipement/154234-stuff-1/objets", "link")</f>
        <v/>
      </c>
      <c r="C33100" t="n">
        <v>0</v>
      </c>
      <c r="D33100" t="inlineStr">
        <is>
          <t>Dagues Érhy; Amulette Luminescente; Anneau Chevelu; Bague Gloursonne; Ceinture de Gein; Chapeau de Gein; Cape au Logis; Sabots Minables; Dolmanax; Dofus des Glaces; Dofus Pourpre; Remueur; Enragé majeur; Évasif majeur; Kramkram</t>
        </is>
      </c>
    </row>
    <row r="33101">
      <c r="A33101" t="inlineStr">
        <is>
          <t>Stuff 2</t>
        </is>
      </c>
      <c r="B33101">
        <f>HYPERLINK("https://www.dofusbook.net/fr/equipement/154229-stuff-2/objets", "link")</f>
        <v/>
      </c>
      <c r="C33101" t="n">
        <v>0</v>
      </c>
      <c r="D33101" t="inlineStr">
        <is>
          <t>Marteau R'ture; Amulette Luminescente; Pikano; Anneau de Brouce; Ceinture Luminescente; Boucle d'oreille de Kongoku; Voile d'encre; Sabots Taj; Dolmanax; Temporiseur majeur; Miraculé majeur; Nomade; Enragé majeur; Remueur; Croum</t>
        </is>
      </c>
    </row>
    <row r="33102">
      <c r="A33102" t="inlineStr">
        <is>
          <t>Stuff 2</t>
        </is>
      </c>
      <c r="B33102">
        <f>HYPERLINK("https://www.dofusbook.net/fr/equipement/154271-stuff-2/objets", "link")</f>
        <v/>
      </c>
      <c r="C33102" t="n">
        <v>0</v>
      </c>
      <c r="D33102" t="inlineStr">
        <is>
          <t>Bâton de Karotz; Amulette du Glourséleste; Anneau Tamie; Ceinture Instable; Casquipik; Cape de Léthaline; Pikottes; Dofus Ocre; Temporiseur; Temporiseur majeur; Ralentisseur majeur; Remueur; Entraveur majeur; Dragoune Rose</t>
        </is>
      </c>
    </row>
    <row r="33103">
      <c r="A33103" t="inlineStr">
        <is>
          <t>Stuff 1</t>
        </is>
      </c>
      <c r="B33103">
        <f>HYPERLINK("https://www.dofusbook.net/fr/equipement/154213-stuff-1/objets", "link")</f>
        <v/>
      </c>
      <c r="C33103" t="n">
        <v>0</v>
      </c>
      <c r="D33103" t="inlineStr">
        <is>
          <t>Dagues Érhy; Amulette du Strigide; Alliance de Missiz Frizz; Gelano; Ceinture du Strigide; Casque de Missiz Frizz; Voile d'encre; Bottes du Strigide; Dofus des Glaces; Dofus Ocre; Dofus Turquoise; Dolmanax; Dofus Pourpre; Forcené majeur; Muldo Prune et Doré</t>
        </is>
      </c>
    </row>
    <row r="33104">
      <c r="A33104" t="inlineStr">
        <is>
          <t>Stuff 3</t>
        </is>
      </c>
      <c r="B33104">
        <f>HYPERLINK("https://www.dofusbook.net/fr/equipement/154266-stuff-3/objets", "link")</f>
        <v/>
      </c>
      <c r="C33104" t="n">
        <v>0</v>
      </c>
      <c r="D33104" t="inlineStr">
        <is>
          <t>Hache du Chalœil; Amulette du Strigide; Alliance Gloursonne; Grésilanneau; Ceintacé; Chapeau Lochon; Dofusteuse; Bottes du Strigide; Dofus Turquoise; Dofus des Glaces; Dolmanax; Dofus Pourpre; Remueur; Nomade; Kramkram</t>
        </is>
      </c>
    </row>
    <row r="33105">
      <c r="A33105" t="inlineStr">
        <is>
          <t>Stuff 2</t>
        </is>
      </c>
      <c r="B33105">
        <f>HYPERLINK("https://www.dofusbook.net/fr/equipement/154202-stuff-2/objets", "link")</f>
        <v/>
      </c>
      <c r="C33105" t="n">
        <v>0</v>
      </c>
      <c r="D33105" t="inlineStr">
        <is>
          <t>Épée du Granduk; Amulette du Granduk; Gant du Valet Veinard; Anneau d'Allister; Menoture; Couronne d'Allister; Cape du Valet Veinard; Bottes d'Allister; Dofus des Glaces; Dofus Pourpre; Acrobate majeur; Saccageur Air majeur; Equilibriste majeur; Ravageur Air majeur; Muldo Doré</t>
        </is>
      </c>
    </row>
    <row r="33106">
      <c r="A33106" t="inlineStr">
        <is>
          <t>Stuff 1</t>
        </is>
      </c>
      <c r="B33106">
        <f>HYPERLINK("https://www.dofusbook.net/fr/equipement/154261-stuff-1/objets", "link")</f>
        <v/>
      </c>
      <c r="C33106" t="n">
        <v>0</v>
      </c>
      <c r="D33106" t="inlineStr">
        <is>
          <t>Dagues Érhy; Amulette de l'Indicible; Alliance Gloursonne; Anneau Chevelu; Ceinture de l'Indicible; Masque de Koutoulou; Voile d'encre; Bottes du Roi Joueur; Dofus des Glaces; Dofus Turquoise; Dofus Pourpre; Dolmanax; Remueur; Nomade; Kramkram</t>
        </is>
      </c>
    </row>
    <row r="33107">
      <c r="A33107" t="inlineStr">
        <is>
          <t>Stuff 3</t>
        </is>
      </c>
      <c r="B33107">
        <f>HYPERLINK("https://www.dofusbook.net/fr/equipement/154197-stuff-3/objets", "link")</f>
        <v/>
      </c>
      <c r="C33107" t="n">
        <v>0</v>
      </c>
      <c r="D33107" t="inlineStr">
        <is>
          <t>Marteau R'ture; Amulette Luminescente; Pikano; Anneau de Guten Tak; Bouclier cubiste; Ceinture Glaciale; Maskrobe; Cape Reski; Pikottes; Dofus Ocre; Dofus des Glaces; Ralentisseur majeur; Entraveur majeur; Sanguinaire majeur; Temporiseur majeur; Kwaltess</t>
        </is>
      </c>
    </row>
    <row r="33108">
      <c r="A33108" t="inlineStr">
        <is>
          <t>Stuff 2</t>
        </is>
      </c>
      <c r="B33108">
        <f>HYPERLINK("https://www.dofusbook.net/fr/equipement/154253-stuff-2/objets", "link")</f>
        <v/>
      </c>
      <c r="C33108" t="n">
        <v>0</v>
      </c>
      <c r="D33108" t="inlineStr">
        <is>
          <t>Hache du Chalœil; Amulette du Strigide; Alliance Gloursonne; Alliance du Lévitrof; Ceintacé; Coiffe du Lévitrof; Voile d'encre; Chaussures Hau; Dofus des Glaces; Dolmanax; Dofus Pourpre; Nomade; Remueur; Carapace Neutre majeur; Croum</t>
        </is>
      </c>
    </row>
    <row r="33109">
      <c r="A33109" t="inlineStr">
        <is>
          <t>Stuff 3</t>
        </is>
      </c>
      <c r="B33109">
        <f>HYPERLINK("https://www.dofusbook.net/fr/equipement/154236-stuff-3/objets", "link")</f>
        <v/>
      </c>
      <c r="C33109" t="n">
        <v>0</v>
      </c>
      <c r="D33109" t="inlineStr">
        <is>
          <t>Dagues Érhy; Amulette Luminescente; Anneau Chevelu; Bague Gloursonne; Ceinture Luminescente; Masque de Koutoulou; Voile d'encre; Sabots Minables; Dofus des Glaces; Dofus Pourpre; Évasif majeur; Déserteur majeur; Nomade; Vigoureux majeur; Kramkram</t>
        </is>
      </c>
    </row>
    <row r="33110">
      <c r="A33110" t="inlineStr">
        <is>
          <t>Stuff 1</t>
        </is>
      </c>
      <c r="B33110">
        <f>HYPERLINK("https://www.dofusbook.net/fr/equipement/154231-stuff-1/objets", "link")</f>
        <v/>
      </c>
      <c r="C33110" t="n">
        <v>0</v>
      </c>
      <c r="D33110" t="inlineStr">
        <is>
          <t>Marteau des Anciens Steamers; Amulette du Strigide; Anneau Tique; Alliance Gloursonne; Ceinture du Barbétoal; Coiffe de la Reine des Voleurs; Cape des Justiciers; Bottes de la Reine des Voleurs; Dofus des Glaces; Miraculé majeur; Vigoureux majeur; Nomade; Remueur; Kramkram</t>
        </is>
      </c>
    </row>
    <row r="33111">
      <c r="A33111" t="inlineStr">
        <is>
          <t>Stuff 2</t>
        </is>
      </c>
      <c r="B33111">
        <f>HYPERLINK("https://www.dofusbook.net/fr/equipement/154226-stuff-2/objets", "link")</f>
        <v/>
      </c>
      <c r="C33111" t="n">
        <v>0</v>
      </c>
      <c r="D33111" t="inlineStr">
        <is>
          <t>Arc du Chalœil; Amulette Luminescente; Alliance Gloursonne; Bague Instable; Sangle Ouare; Kidibonnet; Cape Luminescente; Bottes Trithon; Dofus Ocre; Bousculeur majeur; Miraculé majeur; Remueur; Pousseur majeur; Culbuteur majeur; Croum</t>
        </is>
      </c>
    </row>
    <row r="33112">
      <c r="A33112" t="inlineStr">
        <is>
          <t>Stuff 3</t>
        </is>
      </c>
      <c r="B33112">
        <f>HYPERLINK("https://www.dofusbook.net/fr/equipement/154215-stuff-3/objets", "link")</f>
        <v/>
      </c>
      <c r="C33112" t="n">
        <v>0</v>
      </c>
      <c r="D33112" t="inlineStr">
        <is>
          <t>Dagues du Dragoeuf; Amulette du K.O.; Bague Gloursonne; Bracelet du Piloztère; Ceinture du K.O.; Bonnet Ko; Cape du Professeur Xa; Bottes du Strigide; Dofus Pourpre; Puissant majeur; Nomade; Vigoureux majeur; Robuste majeur; Remueur; Dragodinde Emeraude et Rousse</t>
        </is>
      </c>
    </row>
    <row r="33113">
      <c r="A33113" t="inlineStr">
        <is>
          <t>Stuff 2</t>
        </is>
      </c>
      <c r="B33113">
        <f>HYPERLINK("https://www.dofusbook.net/fr/equipement/154268-stuff-2/objets", "link")</f>
        <v/>
      </c>
      <c r="C33113" t="n">
        <v>0</v>
      </c>
      <c r="D33113" t="inlineStr">
        <is>
          <t>Pyraguette; Pendentif mignon de Koutoulou; Anneau Tamie; Anneau Tamie; Sangle Aise; Casque Cyclopéen; Cape de Diondin; Bottes Innommables; Dofus des Glaces; Saccageur Feu majeur; Érudit majeur; Nomade; Dévastateur Feu majeur; Astucieux majeur; Brûlih</t>
        </is>
      </c>
    </row>
    <row r="33114">
      <c r="A33114" t="inlineStr">
        <is>
          <t>Stuff 1</t>
        </is>
      </c>
      <c r="B33114">
        <f>HYPERLINK("https://www.dofusbook.net/fr/equipement/154207-stuff-1/objets", "link")</f>
        <v/>
      </c>
      <c r="C33114" t="n">
        <v>0</v>
      </c>
      <c r="D33114" t="inlineStr">
        <is>
          <t>Rod Gerse; Amulette de Nileza; Anneau Tique; Bague Gloursonne; Ceinture de Vortex; Cape de Nileza; Bottes Innommables; Dofus Ocre; Dokoko; Miraculé majeur; Astucieux majeur; Remueur; Érudit majeur; Muldo Orchidée et Pourpre</t>
        </is>
      </c>
    </row>
    <row r="33115">
      <c r="A33115" t="inlineStr">
        <is>
          <t>Stuff 3</t>
        </is>
      </c>
      <c r="B33115">
        <f>HYPERLINK("https://www.dofusbook.net/fr/equipement/154263-stuff-3/objets", "link")</f>
        <v/>
      </c>
      <c r="C33115" t="n">
        <v>0</v>
      </c>
      <c r="D33115" t="inlineStr">
        <is>
          <t>Arc du Chalœil; Amulette Luminescente; Alliance Gloursonne; Anneau Chevelu; Ceinture Luminescente; Chapeau de Gein; Cape au Logis; Sabots Minables; Dofus des Glaces; Dolmanax; Cavaleur majeur; Remueur; Évasif majeur; Enragé majeur; Kramkram</t>
        </is>
      </c>
    </row>
    <row r="33116">
      <c r="A33116" t="inlineStr">
        <is>
          <t>Stuff 2</t>
        </is>
      </c>
      <c r="B33116">
        <f>HYPERLINK("https://www.dofusbook.net/fr/equipement/154199-stuff-2/objets", "link")</f>
        <v/>
      </c>
      <c r="C33116" t="n">
        <v>0</v>
      </c>
      <c r="D33116" t="inlineStr">
        <is>
          <t>Dagoulinantes; Amulette de Shokkoth; Bracelet des Fonds marins; Alliance Gloursonne; Bouclier cubiste; Ceinture Glaciale; Maskrobe; Cape de Meno; Bottes de Meno; Dofus Ocre; Temporiseur majeur; Entraveur majeur; Remueur; Ralentisseur majeur; Temporiseur; Dehluge</t>
        </is>
      </c>
    </row>
    <row r="33117">
      <c r="A33117" t="inlineStr">
        <is>
          <t>Stuff 2</t>
        </is>
      </c>
      <c r="B33117">
        <f>HYPERLINK("https://www.dofusbook.net/fr/equipement/154202-stuff-2/objets", "link")</f>
        <v/>
      </c>
      <c r="C33117" t="n">
        <v>0</v>
      </c>
      <c r="D33117" t="inlineStr">
        <is>
          <t>Épée du Granduk; Amulette du Granduk; Anneau d'Allister; Gant du Valet Veinard; Menoture; Couronne d'Allister; Cape du Valet Veinard; Bottes d'Allister; Dofus des Glaces; Dofus Pourpre; Equilibriste majeur; Ravageur Air majeur; Acrobate majeur; Saccageur Air majeur; Muldo Doré</t>
        </is>
      </c>
    </row>
    <row r="33118">
      <c r="A33118" t="inlineStr">
        <is>
          <t>Stuff 1</t>
        </is>
      </c>
      <c r="B33118">
        <f>HYPERLINK("https://www.dofusbook.net/fr/equipement/154261-stuff-1/objets", "link")</f>
        <v/>
      </c>
      <c r="C33118" t="n">
        <v>0</v>
      </c>
      <c r="D33118" t="inlineStr">
        <is>
          <t>Dagues Érhy; Amulette de l'Indicible; Alliance Gloursonne; Anneau Chevelu; Ceinture de l'Indicible; Masque de Koutoulou; Voile d'encre; Bottes du Roi Joueur; Dofus des Glaces; Dofus Turquoise; Dofus Pourpre; Dolmanax; Remueur; Nomade; Kramkram</t>
        </is>
      </c>
    </row>
    <row r="33119">
      <c r="A33119" t="inlineStr">
        <is>
          <t>Stuff 3</t>
        </is>
      </c>
      <c r="B33119">
        <f>HYPERLINK("https://www.dofusbook.net/fr/equipement/154197-stuff-3/objets", "link")</f>
        <v/>
      </c>
      <c r="C33119" t="n">
        <v>0</v>
      </c>
      <c r="D33119" t="inlineStr">
        <is>
          <t>Marteau R'ture; Amulette Luminescente; Anneau de Guten Tak; Pikano; Bouclier cubiste; Ceinture Glaciale; Maskrobe; Cape Reski; Pikottes; Dofus Ocre; Dofus des Glaces; Sanguinaire majeur; Temporiseur majeur; Ralentisseur majeur; Entraveur majeur; Kwaltess</t>
        </is>
      </c>
    </row>
    <row r="33120">
      <c r="A33120" t="inlineStr">
        <is>
          <t>Stuff 2</t>
        </is>
      </c>
      <c r="B33120">
        <f>HYPERLINK("https://www.dofusbook.net/fr/equipement/154253-stuff-2/objets", "link")</f>
        <v/>
      </c>
      <c r="C33120" t="n">
        <v>0</v>
      </c>
      <c r="D33120" t="inlineStr">
        <is>
          <t>Hache du Chalœil; Amulette du Strigide; Alliance Gloursonne; Alliance du Lévitrof; Ceintacé; Coiffe du Lévitrof; Voile d'encre; Chaussures Hau; Dofus des Glaces; Dolmanax; Dofus Pourpre; Nomade; Remueur; Carapace Neutre majeur; Croum</t>
        </is>
      </c>
    </row>
    <row r="33121">
      <c r="A33121" t="inlineStr">
        <is>
          <t>Stuff 3</t>
        </is>
      </c>
      <c r="B33121">
        <f>HYPERLINK("https://www.dofusbook.net/fr/equipement/154236-stuff-3/objets", "link")</f>
        <v/>
      </c>
      <c r="C33121" t="n">
        <v>0</v>
      </c>
      <c r="D33121" t="inlineStr">
        <is>
          <t>Dagues Érhy; Amulette Luminescente; Anneau Chevelu; Bague Gloursonne; Ceinture Luminescente; Masque de Koutoulou; Voile d'encre; Sabots Minables; Dofus des Glaces; Dofus Pourpre; Évasif majeur; Déserteur majeur; Nomade; Vigoureux majeur; Kramkram</t>
        </is>
      </c>
    </row>
    <row r="33122">
      <c r="A33122" t="inlineStr">
        <is>
          <t>Stuff 1</t>
        </is>
      </c>
      <c r="B33122">
        <f>HYPERLINK("https://www.dofusbook.net/fr/equipement/154231-stuff-1/objets", "link")</f>
        <v/>
      </c>
      <c r="C33122" t="n">
        <v>0</v>
      </c>
      <c r="D33122" t="inlineStr">
        <is>
          <t>Marteau des Anciens Steamers; Amulette du Strigide; Alliance Gloursonne; Anneau Tique; Ceinture du Barbétoal; Coiffe de la Reine des Voleurs; Cape des Justiciers; Bottes de la Reine des Voleurs; Dofus des Glaces; Vigoureux majeur; Nomade; Remueur; Miraculé majeur; Kramkram</t>
        </is>
      </c>
    </row>
    <row r="33123">
      <c r="A33123" t="inlineStr">
        <is>
          <t>Stuff 2</t>
        </is>
      </c>
      <c r="B33123">
        <f>HYPERLINK("https://www.dofusbook.net/fr/equipement/154226-stuff-2/objets", "link")</f>
        <v/>
      </c>
      <c r="C33123" t="n">
        <v>0</v>
      </c>
      <c r="D33123" t="inlineStr">
        <is>
          <t>Arc du Chalœil; Amulette Luminescente; Alliance Gloursonne; Bague Instable; Sangle Ouare; Kidibonnet; Cape Luminescente; Bottes Trithon; Dofus Ocre; Pousseur majeur; Culbuteur majeur; Bousculeur majeur; Miraculé majeur; Remueur; Croum</t>
        </is>
      </c>
    </row>
    <row r="33124">
      <c r="A33124" t="inlineStr">
        <is>
          <t>Stuff 2</t>
        </is>
      </c>
      <c r="B33124">
        <f>HYPERLINK("https://www.dofusbook.net/fr/equipement/154268-stuff-2/objets", "link")</f>
        <v/>
      </c>
      <c r="C33124" t="n">
        <v>0</v>
      </c>
      <c r="D33124" t="inlineStr">
        <is>
          <t>Pyraguette; Pendentif mignon de Koutoulou; Anneau Tamie; Anneau Tamie; Sangle Aise; Casque Cyclopéen; Cape de Diondin; Bottes Innommables; Dofus des Glaces; Saccageur Feu majeur; Érudit majeur; Nomade; Dévastateur Feu majeur; Astucieux majeur; Brûlih</t>
        </is>
      </c>
    </row>
    <row r="33125">
      <c r="A33125" t="inlineStr">
        <is>
          <t>Stuff 3</t>
        </is>
      </c>
      <c r="B33125">
        <f>HYPERLINK("https://www.dofusbook.net/fr/equipement/154215-stuff-3/objets", "link")</f>
        <v/>
      </c>
      <c r="C33125" t="n">
        <v>0</v>
      </c>
      <c r="D33125" t="inlineStr">
        <is>
          <t>Dagues du Dragoeuf; Amulette du K.O.; Bracelet du Piloztère; Bague Gloursonne; Ceinture du K.O.; Bonnet Ko; Cape du Professeur Xa; Bottes du Strigide; Dofus Pourpre; Vigoureux majeur; Robuste majeur; Remueur; Puissant majeur; Nomade; Dragodinde Emeraude et Rousse</t>
        </is>
      </c>
    </row>
    <row r="33126">
      <c r="A33126" t="inlineStr">
        <is>
          <t>Stuff 1</t>
        </is>
      </c>
      <c r="B33126">
        <f>HYPERLINK("https://www.dofusbook.net/fr/equipement/154207-stuff-1/objets", "link")</f>
        <v/>
      </c>
      <c r="C33126" t="n">
        <v>0</v>
      </c>
      <c r="D33126" t="inlineStr">
        <is>
          <t>Rod Gerse; Amulette de Nileza; Bague Gloursonne; Anneau Tique; Ceinture de Vortex; Cape de Nileza; Bottes Innommables; Dokoko; Dofus Ocre; Remueur; Érudit majeur; Miraculé majeur; Astucieux majeur; Muldo Orchidée et Pourpre</t>
        </is>
      </c>
    </row>
    <row r="33127">
      <c r="A33127" t="inlineStr">
        <is>
          <t>Stuff 3</t>
        </is>
      </c>
      <c r="B33127">
        <f>HYPERLINK("https://www.dofusbook.net/fr/equipement/154263-stuff-3/objets", "link")</f>
        <v/>
      </c>
      <c r="C33127" t="n">
        <v>0</v>
      </c>
      <c r="D33127" t="inlineStr">
        <is>
          <t>Arc du Chalœil; Amulette Luminescente; Alliance Gloursonne; Anneau Chevelu; Ceinture Luminescente; Chapeau de Gein; Cape au Logis; Sabots Minables; Dofus des Glaces; Dolmanax; Évasif majeur; Enragé majeur; Cavaleur majeur; Remueur; Kramkram</t>
        </is>
      </c>
    </row>
    <row r="33128">
      <c r="A33128" t="inlineStr">
        <is>
          <t>Stuff 2</t>
        </is>
      </c>
      <c r="B33128">
        <f>HYPERLINK("https://www.dofusbook.net/fr/equipement/154199-stuff-2/objets", "link")</f>
        <v/>
      </c>
      <c r="C33128" t="n">
        <v>0</v>
      </c>
      <c r="D33128" t="inlineStr">
        <is>
          <t>Dagoulinantes; Amulette de Shokkoth; Alliance Gloursonne; Bracelet des Fonds marins; Bouclier cubiste; Ceinture Glaciale; Maskrobe; Cape de Meno; Bottes de Meno; Dofus Ocre; Ralentisseur majeur; Temporiseur; Temporiseur majeur; Entraveur majeur; Remueur; Dehluge</t>
        </is>
      </c>
    </row>
    <row r="33129">
      <c r="A33129" t="inlineStr">
        <is>
          <t>Stuff 1</t>
        </is>
      </c>
      <c r="B33129">
        <f>HYPERLINK("https://www.dofusbook.net/fr/equipement/154258-stuff-1/objets", "link")</f>
        <v/>
      </c>
      <c r="C33129" t="n">
        <v>0</v>
      </c>
      <c r="D33129" t="inlineStr">
        <is>
          <t>Bâton Beau; Amulette du Strigide; Bracelet du Piloztère; Grésilanneau; Ceintacé; Maskrobe; Cape Reski; Bottes du Strigide; Dofus des Glaces; Dofus Turquoise; Dolmanax; Dofus Nébuleux; Remueur; Vigoureux majeur; Kramkram</t>
        </is>
      </c>
    </row>
    <row r="33130">
      <c r="A33130" t="inlineStr">
        <is>
          <t>Stuff 2</t>
        </is>
      </c>
      <c r="B33130">
        <f>HYPERLINK("https://www.dofusbook.net/fr/equipement/154238-stuff-2/objets", "link")</f>
        <v/>
      </c>
      <c r="C33130" t="n">
        <v>0</v>
      </c>
      <c r="D33130" t="inlineStr">
        <is>
          <t>Dagues Érhy; Amulette du Strigide; Bague Gloursonne; Anneau de Brouce; Ceinture de Gein; Chapeau de Gein; Voile d'encre; Bottes du Strigide; Dolmanax; Carapace Neutre majeur; Remueur; Déserteur majeur; Cavaleur majeur; Nomade; Kramkram</t>
        </is>
      </c>
    </row>
    <row r="33131">
      <c r="A33131" t="inlineStr">
        <is>
          <t>mono eau</t>
        </is>
      </c>
      <c r="B33131">
        <f>HYPERLINK("https://www.dofusbook.net/fr/equipement/1784332-mono-eau/objets", "link")</f>
        <v/>
      </c>
      <c r="C33131" t="n">
        <v>0</v>
      </c>
      <c r="D33131" t="inlineStr">
        <is>
          <t>Arc Ontanporin; Amulette de Shokkoth; Bracelet du Piloztère; Bracelet des Fonds marins; Quatre-feuilles; Pagne du Rykaon; Masque des Fonds marins; Cape de Mantaze; Bottes du Nocturlabe; Dofus Pourpre; Chanceux majeur; Vigoureux majeur; Dévastateur Eau majeur; Dehluge</t>
        </is>
      </c>
    </row>
    <row r="33132">
      <c r="A33132" t="inlineStr">
        <is>
          <t>Stuff 3</t>
        </is>
      </c>
      <c r="B33132">
        <f>HYPERLINK("https://www.dofusbook.net/fr/equipement/1778515-stuff-3/objets", "link")</f>
        <v/>
      </c>
      <c r="C33132" t="n">
        <v>0</v>
      </c>
      <c r="D33132" t="inlineStr">
        <is>
          <t>Dagues Érhy; Amulette de Nileza; Kralano; Anneau de Padgref; Ceinture Séculaire; Coiffe Séculaire; Voile d'encre; Pantoufles Émar; Dofus Turquoise; Érudit majeur; Remueur; Nomade; Miraculé majeur; Carapace Terre majeur; Kramkram</t>
        </is>
      </c>
    </row>
    <row r="33133">
      <c r="A33133" t="inlineStr">
        <is>
          <t>Stuff 2</t>
        </is>
      </c>
      <c r="B33133">
        <f>HYPERLINK("https://www.dofusbook.net/fr/equipement/1778537-stuff-2/objets", "link")</f>
        <v/>
      </c>
      <c r="C33133" t="n">
        <v>0</v>
      </c>
      <c r="D33133" t="inlineStr">
        <is>
          <t>Arc Nécrotique; Talisman Igans; Bracelet du Piloztère; Bracelet des Fonds marins; Ceintacé; Coiffe Cryochrone; Cape de la Dame du Hasard; Bottes de la Dame du Hasard; Dofus Pourpre; Dofus Turquoise; Nomade; Carapace Feu majeur; Remueur; Vigoureux majeur; Kramkram</t>
        </is>
      </c>
    </row>
    <row r="33134">
      <c r="A33134" t="inlineStr">
        <is>
          <t>Stuff 3</t>
        </is>
      </c>
      <c r="B33134">
        <f>HYPERLINK("https://www.dofusbook.net/fr/equipement/1778532-stuff-3/objets", "link")</f>
        <v/>
      </c>
      <c r="C33134" t="n">
        <v>0</v>
      </c>
      <c r="D33134" t="inlineStr">
        <is>
          <t>Le Thanos; Pendentif Oton; Anneau Cryochrone; Alliance Gloursonne; Carapar; Ceintrigue; Binocle Airvoyant; Cape du Sinistrofu; Bottes de Théodoran Ax; Dofus Ocre; Soigneur majeur; Nomade; Docteur majeur; Remueur; Guérisseur majeur; Péki</t>
        </is>
      </c>
    </row>
    <row r="33135">
      <c r="A33135" t="inlineStr">
        <is>
          <t>Stuff 1</t>
        </is>
      </c>
      <c r="B33135">
        <f>HYPERLINK("https://www.dofusbook.net/fr/equipement/1778527-stuff-1/objets", "link")</f>
        <v/>
      </c>
      <c r="C33135" t="n">
        <v>0</v>
      </c>
      <c r="D33135" t="inlineStr">
        <is>
          <t>La Baguette des Limbes; Amulette de l'Obsidiantre; Anneau Tabéné; Anneau des Prophètes; String Automnal du Chêne Mou; Chapeau Tiche; Cape de l'Obsidiantre; Pantoufles de Soissanth; Dofus Cawotte; Remueur; Entraveur majeur; Miraculé majeur; Temporiseur majeur; Nomade; Gwo Tofu Ventripotent</t>
        </is>
      </c>
    </row>
    <row r="33136">
      <c r="A33136" t="inlineStr">
        <is>
          <t>Stuff 2</t>
        </is>
      </c>
      <c r="B33136">
        <f>HYPERLINK("https://www.dofusbook.net/fr/equipement/1778522-stuff-2/objets", "link")</f>
        <v/>
      </c>
      <c r="C33136" t="n">
        <v>0</v>
      </c>
      <c r="D33136" t="inlineStr">
        <is>
          <t>Bâtonnet Ronien; Pendentif Oton; Alliance Gloursonne; Anneau Aimgéroks; Ceinture du Père Fwetar; Masque du Glourséleste; Cape d'Hel Munster; Sandales Ouzi; Dofus Turquoise; Dofus Cawotte; Dofus Pourpre; Vigoureux majeur; Remueur; Nomade; Dragodinde Prune et Emeraude</t>
        </is>
      </c>
    </row>
    <row r="33137">
      <c r="A33137" t="inlineStr">
        <is>
          <t>Stuff 2</t>
        </is>
      </c>
      <c r="B33137">
        <f>HYPERLINK("https://www.dofusbook.net/fr/equipement/1778517-stuff-2/objets", "link")</f>
        <v/>
      </c>
      <c r="C33137" t="n">
        <v>0</v>
      </c>
      <c r="D33137" t="inlineStr">
        <is>
          <t>Arc de Guten Tak; Amulette Cætera; Anneau Aimgéroks; Pikano; Ceinture de Brouce; Coiffe d'Ogivol; Grésilocape; Pikottes; Dofus Pourpre; Dofus Cawotte; Entraveur majeur; Remueur; Temporiseur majeur; Nomade; Dragodinde Prune et Emeraude</t>
        </is>
      </c>
    </row>
    <row r="33138">
      <c r="A33138" t="inlineStr">
        <is>
          <t>Stuff 2</t>
        </is>
      </c>
      <c r="B33138">
        <f>HYPERLINK("https://www.dofusbook.net/fr/equipement/1778534-stuff-2/objets", "link")</f>
        <v/>
      </c>
      <c r="C33138" t="n">
        <v>0</v>
      </c>
      <c r="D33138" t="inlineStr">
        <is>
          <t>Arc Nécrotique; Collier de la Dame du Hasard; Bracelet du Piloztère; Anneau Cryochrone; Ceintrigue; Binocle Airvoyant; Cape de la Dame du Hasard; Pataugastrique; Dofus Turquoise; Dofus Pourpre; Dofus Ocre; Vigoureux majeur; Remueur; Nomade; Kramkram</t>
        </is>
      </c>
    </row>
    <row r="33139">
      <c r="A33139" t="inlineStr">
        <is>
          <t>Stuff 3</t>
        </is>
      </c>
      <c r="B33139">
        <f>HYPERLINK("https://www.dofusbook.net/fr/equipement/1778529-stuff-3/objets", "link")</f>
        <v/>
      </c>
      <c r="C33139" t="n">
        <v>0</v>
      </c>
      <c r="D33139" t="inlineStr">
        <is>
          <t>Dagues Érhy; Amulette du Strigide; Anneau de Brouce; Bague Gloursonne; Ceinture de Gein; Chapeau de Gein; Voile d'encre; Bottes du Roi Joueur; Dofus Turquoise; Dofus Ocre; Dofus Pourpre; Remueur; Vigoureux majeur; Nomade</t>
        </is>
      </c>
    </row>
    <row r="33140">
      <c r="A33140" t="inlineStr">
        <is>
          <t>Stuff 1</t>
        </is>
      </c>
      <c r="B33140">
        <f>HYPERLINK("https://www.dofusbook.net/fr/equipement/1778524-stuff-1/objets", "link")</f>
        <v/>
      </c>
      <c r="C33140" t="n">
        <v>0</v>
      </c>
      <c r="D33140" t="inlineStr">
        <is>
          <t>Baguette Hernelle; Frimamulette; Anneau Aimgéroks; Anneau de Padgref; Ceinture du Père Fwetar; Masque du Glourséleste; Cape Hiculteur; Getas de Padgref; Dofus Turquoise; Dofus Cawotte; Dofus Pourpre; Vigoureux majeur; Remueur; Nomade; Dragodinde Emeraude et Rousse</t>
        </is>
      </c>
    </row>
    <row r="33141">
      <c r="A33141" t="inlineStr">
        <is>
          <t>Stuff 2</t>
        </is>
      </c>
      <c r="B33141">
        <f>HYPERLINK("https://www.dofusbook.net/fr/equipement/1778514-stuff-2/objets", "link")</f>
        <v/>
      </c>
      <c r="C33141" t="n">
        <v>0</v>
      </c>
      <c r="D33141" t="inlineStr">
        <is>
          <t>Dagues Érhy; Amulette de Nileza; Kralano; Anneau de Padgref; Ceinture Séculaire; Coiffe Séculaire; Voile d'encre; Bottes d'Otomaï; Dofus Ocre; Dofus Turquoise; Miraculé majeur; Érudit majeur; Remueur; Nomade; Péki</t>
        </is>
      </c>
    </row>
    <row r="33142">
      <c r="A33142" t="inlineStr">
        <is>
          <t>Stuff 1</t>
        </is>
      </c>
      <c r="B33142">
        <f>HYPERLINK("https://www.dofusbook.net/fr/equipement/1778536-stuff-1/objets", "link")</f>
        <v/>
      </c>
      <c r="C33142" t="n">
        <v>0</v>
      </c>
      <c r="D33142" t="inlineStr">
        <is>
          <t>Rapière aux Glyphes; Talisman Glouti; Alliance Gloursonne; Bracelet des Fonds marins; Ceinture Glaciale; Kidibonnet; Cape du Sinistrofu; Sandales des Fonds marins; Nomade; Remueur; Kramkram</t>
        </is>
      </c>
    </row>
    <row r="33143">
      <c r="A33143" t="inlineStr">
        <is>
          <t>Stuff 2</t>
        </is>
      </c>
      <c r="B33143">
        <f>HYPERLINK("https://www.dofusbook.net/fr/equipement/1778531-stuff-2/objets", "link")</f>
        <v/>
      </c>
      <c r="C33143" t="n">
        <v>0</v>
      </c>
      <c r="D33143" t="inlineStr">
        <is>
          <t>Bâtonnet Ronien; Amulette du Strigide; Bracelet du Piloztère; Alliance Gloursonne; Ceinture Voldelor; Boucle d'oreille de Kongoku; Cape d'Hel Munster; Bottes Voldelor; Dofus Ocre; Dofus Pourpre; Dofus Turquoise; Remueur; Miraculé majeur; Nomade; Kramkram</t>
        </is>
      </c>
    </row>
    <row r="33144">
      <c r="A33144" t="inlineStr">
        <is>
          <t>Stuff 3</t>
        </is>
      </c>
      <c r="B33144">
        <f>HYPERLINK("https://www.dofusbook.net/fr/equipement/1778526-stuff-3/objets", "link")</f>
        <v/>
      </c>
      <c r="C33144" t="n">
        <v>0</v>
      </c>
      <c r="D33144" t="inlineStr">
        <is>
          <t>Bêche Asse; Amulette Héroclite; Anneau de Brouce; Bague Gloursonne; Ceinture de Brouce; Chapeau Potin; Cape au Logis; Sabots Minables; Dofus Pourpre; Dofus Turquoise; Vigoureux majeur; Nomade; Enragé majeur; Remueur; Kompost</t>
        </is>
      </c>
    </row>
    <row r="33145">
      <c r="A33145" t="inlineStr">
        <is>
          <t>Stuff 1</t>
        </is>
      </c>
      <c r="B33145">
        <f>HYPERLINK("https://www.dofusbook.net/fr/equipement/1778516-stuff-1/objets", "link")</f>
        <v/>
      </c>
      <c r="C33145" t="n">
        <v>0</v>
      </c>
      <c r="D33145" t="inlineStr">
        <is>
          <t>Bâton Beau; Amulette du Strigide; Bague Gloursonne; Anneau de Brouce; Ceinture de Brouce; Casque de Missiz Frizz; Cape au Logis; Bottes du Comte Harebourg; Dofus Pourpre; Dofus Cawotte; Remueur; Enragé majeur; Vigoureux majeur; Nomoon</t>
        </is>
      </c>
    </row>
    <row r="33146">
      <c r="A33146" t="inlineStr">
        <is>
          <t>Stuff 1</t>
        </is>
      </c>
      <c r="B33146">
        <f>HYPERLINK("https://www.dofusbook.net/fr/equipement/1778533-stuff-1/objets", "link")</f>
        <v/>
      </c>
      <c r="C33146" t="n">
        <v>0</v>
      </c>
      <c r="D33146" t="inlineStr">
        <is>
          <t>Dagues Érhy; Amulette de Gein; Bracelet du Piloztère; Bague Gloursonne; Ceinture de Gein; Boucle d'oreille de Kongoku; Voile d'encre; Bottes du Roi Joueur; Dofus Turquoise; Dofus Pourpre; Dofus Ocre; Vigoureux majeur; Remueur; Nomade</t>
        </is>
      </c>
    </row>
    <row r="33147">
      <c r="A33147" t="inlineStr">
        <is>
          <t>Stuff 2</t>
        </is>
      </c>
      <c r="B33147">
        <f>HYPERLINK("https://www.dofusbook.net/fr/equipement/1778528-stuff-2/objets", "link")</f>
        <v/>
      </c>
      <c r="C33147" t="n">
        <v>0</v>
      </c>
      <c r="D33147" t="inlineStr">
        <is>
          <t>Arc à Lamelles; Amulette d'Otomaï; Anneau Aimgéroks; Bague Gloursonne; Ceinture Hyolite; Calotte Spot; Voile d'encre; Bottes de Missiz Frizz; Dofus Cawotte; Dofus Pourpre; Dofus Turquoise; Remueur; Nomade; Dragodinde Prune et Emeraude</t>
        </is>
      </c>
    </row>
    <row r="33148">
      <c r="A33148" t="inlineStr">
        <is>
          <t>Stuff 3</t>
        </is>
      </c>
      <c r="B33148">
        <f>HYPERLINK("https://www.dofusbook.net/fr/equipement/1778523-stuff-3/objets", "link")</f>
        <v/>
      </c>
      <c r="C33148" t="n">
        <v>0</v>
      </c>
      <c r="D33148" t="inlineStr">
        <is>
          <t>Bâtonnet Ronien; Amulette du Strigide; Alliance Gloursonne; Bracelet du Piloztère; Ceinture Voldelor; Coiffe d'Hel Munster; Cape des Malveilleurs; Bottes Voldelor; Dofus Pourpre; Dofus Turquoise; Dofus Ocre; Dofus des Glaces; Remueur; Nomade; Kwaltess</t>
        </is>
      </c>
    </row>
    <row r="33149">
      <c r="A33149" t="inlineStr">
        <is>
          <t>Stuff 2</t>
        </is>
      </c>
      <c r="B33149">
        <f>HYPERLINK("https://www.dofusbook.net/fr/equipement/1778531-stuff-2/objets", "link")</f>
        <v/>
      </c>
      <c r="C33149" t="n">
        <v>0</v>
      </c>
      <c r="D33149" t="inlineStr">
        <is>
          <t>Bâtonnet Ronien; Amulette du Strigide; Bracelet du Piloztère; Alliance Gloursonne; Ceinture Voldelor; Boucle d'oreille de Kongoku; Cape d'Hel Munster; Bottes Voldelor; Dofus Ocre; Dofus Pourpre; Dofus Turquoise; Remueur; Miraculé majeur; Nomade; Kramkram</t>
        </is>
      </c>
    </row>
    <row r="33150">
      <c r="A33150" t="inlineStr">
        <is>
          <t>Stuff 3</t>
        </is>
      </c>
      <c r="B33150">
        <f>HYPERLINK("https://www.dofusbook.net/fr/equipement/1778526-stuff-3/objets", "link")</f>
        <v/>
      </c>
      <c r="C33150" t="n">
        <v>0</v>
      </c>
      <c r="D33150" t="inlineStr">
        <is>
          <t>Bêche Asse; Amulette Héroclite; Anneau de Brouce; Bague Gloursonne; Ceinture de Brouce; Chapeau Potin; Cape au Logis; Sabots Minables; Dofus Pourpre; Dofus Turquoise; Vigoureux majeur; Nomade; Enragé majeur; Remueur; Kompost</t>
        </is>
      </c>
    </row>
    <row r="33151">
      <c r="A33151" t="inlineStr">
        <is>
          <t>Stuff 1</t>
        </is>
      </c>
      <c r="B33151">
        <f>HYPERLINK("https://www.dofusbook.net/fr/equipement/1778516-stuff-1/objets", "link")</f>
        <v/>
      </c>
      <c r="C33151" t="n">
        <v>0</v>
      </c>
      <c r="D33151" t="inlineStr">
        <is>
          <t>Bâton Beau; Amulette du Strigide; Anneau de Brouce; Bague Gloursonne; Ceinture de Brouce; Casque de Missiz Frizz; Cape au Logis; Bottes du Comte Harebourg; Dofus Cawotte; Dofus Pourpre; Vigoureux majeur; Remueur; Enragé majeur; Nomoon</t>
        </is>
      </c>
    </row>
    <row r="33152">
      <c r="A33152" t="inlineStr">
        <is>
          <t>Stuff 1</t>
        </is>
      </c>
      <c r="B33152">
        <f>HYPERLINK("https://www.dofusbook.net/fr/equipement/1778533-stuff-1/objets", "link")</f>
        <v/>
      </c>
      <c r="C33152" t="n">
        <v>0</v>
      </c>
      <c r="D33152" t="inlineStr">
        <is>
          <t>Dagues Érhy; Amulette de Gein; Bracelet du Piloztère; Bague Gloursonne; Ceinture de Gein; Boucle d'oreille de Kongoku; Voile d'encre; Bottes du Roi Joueur; Dofus Ocre; Dofus Turquoise; Dofus Pourpre; Nomade; Vigoureux majeur; Remueur</t>
        </is>
      </c>
    </row>
    <row r="33153">
      <c r="A33153" t="inlineStr">
        <is>
          <t>Stuff 2</t>
        </is>
      </c>
      <c r="B33153">
        <f>HYPERLINK("https://www.dofusbook.net/fr/equipement/1778528-stuff-2/objets", "link")</f>
        <v/>
      </c>
      <c r="C33153" t="n">
        <v>0</v>
      </c>
      <c r="D33153" t="inlineStr">
        <is>
          <t>Arc à Lamelles; Amulette d'Otomaï; Anneau Aimgéroks; Bague Gloursonne; Ceinture Hyolite; Calotte Spot; Voile d'encre; Bottes de Missiz Frizz; Dofus Cawotte; Dofus Pourpre; Dofus Turquoise; Remueur; Nomade; Dragodinde Prune et Emeraude</t>
        </is>
      </c>
    </row>
    <row r="33154">
      <c r="A33154" t="inlineStr">
        <is>
          <t>Zobal F 200</t>
        </is>
      </c>
      <c r="B33154">
        <f>HYPERLINK("https://www.dofusbook.net/fr/equipement/6001111-zobal-f-200/objets", "link")</f>
        <v/>
      </c>
      <c r="C33154" t="n">
        <v>0</v>
      </c>
      <c r="D33154" t="inlineStr">
        <is>
          <t>Karnak; Amulette Martegel; Alliance Gloursonne; Gant du Valet Veinard; Bouclier du Stalak; Sangle Oriole; Masquegel; Cape Indescriptible; Palmes Trithons; Dofus Ocre; Dofus Ébène; Dofus Ivoire; Dofus Pourpre; Dofus Abyssal; Tanuk</t>
        </is>
      </c>
    </row>
    <row r="33155">
      <c r="A33155" t="inlineStr">
        <is>
          <t>Zobal F 200</t>
        </is>
      </c>
      <c r="B33155">
        <f>HYPERLINK("https://www.dofusbook.net/fr/equipement/5997806-zobal-f-200/objets", "link")</f>
        <v/>
      </c>
      <c r="C33155" t="n">
        <v>0</v>
      </c>
      <c r="D33155" t="inlineStr">
        <is>
          <t>Hache du Chalœil; Amulette Volkorne; Bague Trithon; Anneau Volkorne; Cadran d'Eau; Ceinture Volkorne; Masque Trithon; Cape d'Anerice; Bottes Trithon; Dofus Ébène; Dofus Ocre; Dofus Pourpre; Dofus Ivoire; Dofus Turquoise; Dofus Abyssal; Kokulte</t>
        </is>
      </c>
    </row>
    <row r="33156">
      <c r="A33156" t="inlineStr">
        <is>
          <t>Zobal M 200</t>
        </is>
      </c>
      <c r="B33156">
        <f>HYPERLINK("https://www.dofusbook.net/fr/equipement/5989065-zobal-m-200/objets", "link")</f>
        <v/>
      </c>
      <c r="C33156" t="n">
        <v>1</v>
      </c>
      <c r="D33156" t="inlineStr">
        <is>
          <t>Dagues d'Ilyzaelle; Amulette du Cœur Saignant; Anneau Chevelu; Bague Gloursonne; Cadran d'Eau; Ceinture Volkorne; Masque de Koutoulou; Cape au Logis; Bottes du Cœur Saignant; Dofus Ivoire; Dofus Pourpre; Dofus Turquoise; Dofus Ocre; Dofus Abyssal; Enragé majeur; Kokulte</t>
        </is>
      </c>
    </row>
    <row r="33157">
      <c r="A33157" t="inlineStr">
        <is>
          <t>Zobal F 200</t>
        </is>
      </c>
      <c r="B33157">
        <f>HYPERLINK("https://www.dofusbook.net/fr/equipement/4503644-zobal-f-200/objets", "link")</f>
        <v/>
      </c>
      <c r="C33157" t="n">
        <v>7</v>
      </c>
      <c r="D33157" t="inlineStr">
        <is>
          <t>Arc Nécrotique; Amulette Volkorne; Bague Trithon; Anneau Volkorne; Quatre-feuilles; Ceintacé; Masque Trithon; Cape de la Dame du Hasard; Bottes de la Dame du Hasard; Dofus Vulbis; Dofus Turquoise; Dofus Pourpre; Dofus Ivoire; Dofus Ocre; Dofus Abyssal; Kokulte</t>
        </is>
      </c>
    </row>
    <row r="33158">
      <c r="A33158" t="inlineStr">
        <is>
          <t>Zobal M 200</t>
        </is>
      </c>
      <c r="B33158">
        <f>HYPERLINK("https://www.dofusbook.net/fr/equipement/5847006-zobal-m-200/objets", "link")</f>
        <v/>
      </c>
      <c r="C33158" t="n">
        <v>28</v>
      </c>
      <c r="D33158" t="inlineStr">
        <is>
          <t>Hache Téroïde; Amulette du Strigide; Anneau Chevelu; Bague Trithon; Cadran d'Eau; Ceinture du Strigide; Masque Trithon; Cape au Logis; Bottes Trithon; Dofus Pourpre; Dofus Ivoire; Dofus Turquoise; Dofus Ébène; Dofus Ocre; Dofus Abyssal; Kokulte</t>
        </is>
      </c>
    </row>
    <row r="33159">
      <c r="A33159" t="inlineStr">
        <is>
          <t>Zobal F 200</t>
        </is>
      </c>
      <c r="B33159">
        <f>HYPERLINK("https://www.dofusbook.net/fr/equipement/4521396-zobal-f-200/objets", "link")</f>
        <v/>
      </c>
      <c r="C33159" t="n">
        <v>8</v>
      </c>
      <c r="D33159" t="inlineStr">
        <is>
          <t>Sceptre du Roi Joueur; Amulette du Sinistrofu; Bracelet des Fonds marins; Alliance Gloursonne; Bouclier Taverne; Sangle Ouare; Casque Dragoeuf; Cape Solution; Bottes du Sinistrofu; Dofus Abyssal; Dofus Ivoire; Dofus Ocre; Dofus Ébène; Culbuteur majeur; Bousculeur majeur; Écumouth</t>
        </is>
      </c>
    </row>
    <row r="33160">
      <c r="A33160" t="inlineStr">
        <is>
          <t>Zobal M 200</t>
        </is>
      </c>
      <c r="B33160">
        <f>HYPERLINK("https://www.dofusbook.net/fr/equipement/5988925-zobal-m-200/objets", "link")</f>
        <v/>
      </c>
      <c r="C33160" t="n">
        <v>0</v>
      </c>
      <c r="D33160" t="inlineStr">
        <is>
          <t>Masse Ossiale; Amulette du Sinistrofu; Alliance Gloursonne; Bague Trithon; Bouclier Taverne; Sangle Ouare; Masque Paztek; Cape Solution; Sandales Paztek; Dofus Abyssal; Dofus Ocre; Dofus Ébène; Dofus Ivoire; Culbuteur majeur; Bousculeur majeur; Écumouth</t>
        </is>
      </c>
    </row>
    <row r="33161">
      <c r="A33161" t="inlineStr">
        <is>
          <t>Zobal F 200</t>
        </is>
      </c>
      <c r="B33161">
        <f>HYPERLINK("https://www.dofusbook.net/fr/equipement/5930289-zobal-f-200/objets", "link")</f>
        <v/>
      </c>
      <c r="C33161" t="n">
        <v>0</v>
      </c>
      <c r="D33161" t="inlineStr">
        <is>
          <t>Hache du Chalœil; Amulette du Strigide; Anneau Volkorne; Anneau Chevelu; Quatre-feuilles; Ceintacé; Casque Volkorne; Cape au Logis; Bottes du Strigide; Dofus Ocre; Dofus Abyssal; Dofus Pourpre; Dofus Ivoire; Dofus Turquoise; Dofus Ébène; Kokulte</t>
        </is>
      </c>
    </row>
    <row r="33162">
      <c r="A33162" t="inlineStr">
        <is>
          <t>Iop M 200</t>
        </is>
      </c>
      <c r="B33162">
        <f>HYPERLINK("https://www.dofusbook.net/fr/equipement/5928476-iop-m-200/objets", "link")</f>
        <v/>
      </c>
      <c r="C33162" t="n">
        <v>0</v>
      </c>
      <c r="D33162" t="inlineStr"/>
    </row>
    <row r="33163">
      <c r="A33163" t="inlineStr">
        <is>
          <t>Zobal F 200</t>
        </is>
      </c>
      <c r="B33163">
        <f>HYPERLINK("https://www.dofusbook.net/fr/equipement/4738488-zobal-f-200/objets", "link")</f>
        <v/>
      </c>
      <c r="C33163" t="n">
        <v>19</v>
      </c>
      <c r="D33163" t="inlineStr">
        <is>
          <t>Hache Téroïde; Amulette du Strigide; Anneau Chevelu; Bague Trithon; Ceintacé; Masque de Koutoulou; Cape au Logis; Bottes du Strigide; Dofus Turquoise; Dofus Abyssal; Dofus des Glaces; Dofus Pourpre; Dofus Ivoire; Kokulte</t>
        </is>
      </c>
    </row>
    <row r="33164">
      <c r="A33164" t="inlineStr">
        <is>
          <t>Zobal F 200</t>
        </is>
      </c>
      <c r="B33164">
        <f>HYPERLINK("https://www.dofusbook.net/fr/equipement/5842557-zobal-f-200/objets", "link")</f>
        <v/>
      </c>
      <c r="C33164" t="n">
        <v>2</v>
      </c>
      <c r="D33164" t="inlineStr">
        <is>
          <t>Hachoirs de Viandargh; Torquistik; Bracelet Jande; Bague Trithon; Bouclier précieux; Ceinture Gence; Casque Dragoeuf; Cape du Cœur Vaillant; Bottistik; Dofus Ivoire; Remueur; Culbuteur majeur; Nomade; Bousculeur majeur; Tatouf</t>
        </is>
      </c>
    </row>
    <row r="33165">
      <c r="A33165" t="inlineStr">
        <is>
          <t>Zobal F 200</t>
        </is>
      </c>
      <c r="B33165">
        <f>HYPERLINK("https://www.dofusbook.net/fr/equipement/5816873-zobal-f-200/objets", "link")</f>
        <v/>
      </c>
      <c r="C33165" t="n">
        <v>0</v>
      </c>
      <c r="D33165" t="inlineStr">
        <is>
          <t>Arc Tangente; Amulette Volkorne; Bague Trithon; Anneau Volkorne; Quatre-feuilles; Ceinture Volkorne; Masque Trithon; Cape de la Dame du Hasard; Bottes de la Dame du Hasard; Dofus Pourpre; Dofus Ivoire; Dofus Turquoise; Dofus Abyssal; Dofus Ocre; Kokulte</t>
        </is>
      </c>
    </row>
    <row r="33166">
      <c r="A33166" t="inlineStr">
        <is>
          <t>Zobal F 200</t>
        </is>
      </c>
      <c r="B33166">
        <f>HYPERLINK("https://www.dofusbook.net/fr/equipement/5819349-zobal-f-200/objets", "link")</f>
        <v/>
      </c>
      <c r="C33166" t="n">
        <v>2</v>
      </c>
      <c r="D33166" t="inlineStr">
        <is>
          <t>Hache du Chalœil; Amulette Volkorne; Anneau Chevelu; Anneau Volkorne; Quatre-feuilles; Ceinture Volkorne; Kidibonnet; Cape de la Dame du Hasard; Bottes de la Dame du Hasard; Dofus Turquoise; Dofus des Glaces; Dofus Ocre; Dofus Abyssal; Dofus Pourpre; Dofus Ivoire; Kokulte</t>
        </is>
      </c>
    </row>
    <row r="33167">
      <c r="A33167" t="inlineStr">
        <is>
          <t>terre vari</t>
        </is>
      </c>
      <c r="B33167">
        <f>HYPERLINK("https://www.dofusbook.net/fr/equipement/5624753-terre-vari/objets", "link")</f>
        <v/>
      </c>
      <c r="C33167" t="n">
        <v>8</v>
      </c>
      <c r="D33167" t="inlineStr">
        <is>
          <t>Bêche Asse; Amulette Volkorne; Bague Gloursonne; Anneau Chevelu; Bouclier d'Ilyzaelle; Ceinture Volkorne; Masque de Koutoulou; Cape au Logis; Sabots Minables; Dofus Émeraude; Dofus Abyssal; Dofus Ivoire; Dofus Pourpre; Dofus Ébène; Enragé majeur; Bulbisou</t>
        </is>
      </c>
    </row>
    <row r="33168">
      <c r="A33168" t="inlineStr">
        <is>
          <t>feu/soin</t>
        </is>
      </c>
      <c r="B33168">
        <f>HYPERLINK("https://www.dofusbook.net/fr/equipement/5624913-feu-soin/objets", "link")</f>
        <v/>
      </c>
      <c r="C33168" t="n">
        <v>6</v>
      </c>
      <c r="D33168" t="inlineStr">
        <is>
          <t>Baguette de Malléfisk; Amulette Volkorne; Anneauræus; Anneau de Nidas; Bouclier d'Ilyzaelle; Ceinture Volkorne; Casque Dragoeuf; Cape de Diondin; Bottes de l'Esprit Malsain; Dofus Ocre; Dofus Abyssal; Dofus Ivoire; Dofus Ébène; Nomade; Érudit majeur; Bisouglours</t>
        </is>
      </c>
    </row>
    <row r="33169">
      <c r="A33169" t="inlineStr">
        <is>
          <t>Féca M 200</t>
        </is>
      </c>
      <c r="B33169">
        <f>HYPERLINK("https://www.dofusbook.net/fr/equipement/5651921-feca-m-200/objets", "link")</f>
        <v/>
      </c>
      <c r="C33169" t="n">
        <v>4</v>
      </c>
      <c r="D33169" t="inlineStr">
        <is>
          <t>Héqache; Amulette du Strigide; Alliance Gloursonne; Bague Gloursonne; Cadran d'Eau; Ceinture du Strigide; Corne de Torkélonia; Carapace de Torkélonia; Bottes du Strigide; Dofus Ocre; Dofus Ébène; Dofus Pourpre; Dofus Vulbis; Dofus Turquoise; Dofus Ivoire; Kokulte</t>
        </is>
      </c>
    </row>
    <row r="33170">
      <c r="A33170" t="inlineStr">
        <is>
          <t>Soin/entrav</t>
        </is>
      </c>
      <c r="B33170">
        <f>HYPERLINK("https://www.dofusbook.net/fr/equipement/5628614-soin-entrav/objets", "link")</f>
        <v/>
      </c>
      <c r="C33170" t="n">
        <v>11</v>
      </c>
      <c r="D33170" t="inlineStr">
        <is>
          <t>Baguette de Malléfisk; Amulette Volkorne; Bague Gloursonne; Anneau de Nidas; Cadran de Feu; Ceinture de Vortex; Couronne de Nidas; Voile d'encre; Chaussures Ardentes; Dofus Abyssal; Dofus Ivoire; Temporiseur majeur; Remueur; Érudit majeur; Nomade; Volkorne Turquoise</t>
        </is>
      </c>
    </row>
    <row r="33171">
      <c r="A33171" t="inlineStr">
        <is>
          <t>terre tank Va</t>
        </is>
      </c>
      <c r="B33171">
        <f>HYPERLINK("https://www.dofusbook.net/fr/equipement/5624874-terre-tank-va/objets", "link")</f>
        <v/>
      </c>
      <c r="C33171" t="n">
        <v>7</v>
      </c>
      <c r="D33171" t="inlineStr">
        <is>
          <t>Bêche Asse; Amulette du Cœur Saignant; Anneau Crustique; Anneau Chevelu; Bouclier d'Ilyzaelle; Ceinture Gence; Casque Dragoeuf; Cape au Logis; Bottes de la Cour Sombre; Dofus Ébène; Dofus Abyssal; Dofus Ivoire; Miraculé majeur; Remueur; Enragé majeur; Bulbisou</t>
        </is>
      </c>
    </row>
    <row r="33172">
      <c r="A33172" t="inlineStr">
        <is>
          <t>agi tank</t>
        </is>
      </c>
      <c r="B33172">
        <f>HYPERLINK("https://www.dofusbook.net/fr/equipement/5624842-agi-tank/objets", "link")</f>
        <v/>
      </c>
      <c r="C33172" t="n">
        <v>2</v>
      </c>
      <c r="D33172" t="inlineStr">
        <is>
          <t>Lance Horselé; Collier du Valet Veinard; Gant du Valet Veinard; Alliance Gloursonne; Bouclier d'Ilyzaelle; Menoture; Dorabysses; Cape de Crânonier; Palmes Trithons; Dofus Pourpre; Dofus Abyssal; Dofus Ocre; Dofus Émeraude; Dofus Ivoire; Nomade; Bwak d'Air</t>
        </is>
      </c>
    </row>
    <row r="33173">
      <c r="A33173" t="inlineStr">
        <is>
          <t>feu Vari</t>
        </is>
      </c>
      <c r="B33173">
        <f>HYPERLINK("https://www.dofusbook.net/fr/equipement/5624816-feu-vari/objets", "link")</f>
        <v/>
      </c>
      <c r="C33173" t="n">
        <v>5</v>
      </c>
      <c r="D33173" t="inlineStr">
        <is>
          <t>Arc Honte; Amulette de Nileza; Anneauræus; Anneauræus; Bouclier d'Ilyzaelle; Croture; Heaume Oplate; Cape de Nileza; Pataugastrique; Dofus Pourpre; Dofus Ivoire; Dofus Émeraude; Dofus Ébène; Dofus Abyssal; Remueur; Bwak de Feu</t>
        </is>
      </c>
    </row>
    <row r="33174">
      <c r="A33174" t="inlineStr">
        <is>
          <t>eau cc</t>
        </is>
      </c>
      <c r="B33174">
        <f>HYPERLINK("https://www.dofusbook.net/fr/equipement/5624783-eau-cc/objets", "link")</f>
        <v/>
      </c>
      <c r="C33174" t="n">
        <v>2</v>
      </c>
      <c r="D33174" t="inlineStr">
        <is>
          <t>Dagoulinantes; Amulette de Shokkoth; Anneau Volkorne; Alliance Gloursonne; Quatre-feuilles; Ceinture Leumant; Kidibonnet; Cape de la Dame du Hasard; Bottes de la Dame du Hasard; Dofus Ébène; Dofus Pourpre; Dofus Ivoire; Dofus Abyssal; Nomade; Remueur; Kanigloups</t>
        </is>
      </c>
    </row>
    <row r="33175">
      <c r="A33175" t="inlineStr">
        <is>
          <t>eau/cac</t>
        </is>
      </c>
      <c r="B33175">
        <f>HYPERLINK("https://www.dofusbook.net/fr/equipement/5624700-eau-cac/objets", "link")</f>
        <v/>
      </c>
      <c r="C33175" t="n">
        <v>1</v>
      </c>
      <c r="D33175" t="inlineStr">
        <is>
          <t>Rapière aux Glyphes; Amulette de l'Œil Attentif; Alliance Gloursonne; Anneau Volkorne; Bouclier d'Ilyzaelle; Poulpagne; Kidibonnet; Cape de l'Œil Attentif; Bottes du Sinistrofu; Dofus Abyssal; Dofus Ébène; Dofus Émeraude; Dofus Ivoire; Chanceux majeur; Nomade; Kanigloups</t>
        </is>
      </c>
    </row>
    <row r="33176">
      <c r="A33176" t="inlineStr">
        <is>
          <t>feu variante</t>
        </is>
      </c>
      <c r="B33176">
        <f>HYPERLINK("https://www.dofusbook.net/fr/equipement/5624661-feu-variante/objets", "link")</f>
        <v/>
      </c>
      <c r="C33176" t="n">
        <v>2</v>
      </c>
      <c r="D33176" t="inlineStr">
        <is>
          <t>Dagues Ricol; Amulette Volkorne; Anneauræus; Anneauræus; Bouclier d'Ilyzaelle; Ceinture Volkorne; Heaume Oplate; Voile d'encre; Pataugastrique; Dofus Ivoire; Dofus Émeraude; Dofus Abyssal; Dofus Ébène; Érudit majeur; Nomade; Bisouglours</t>
        </is>
      </c>
    </row>
    <row r="33177">
      <c r="A33177" t="inlineStr">
        <is>
          <t>terre cac</t>
        </is>
      </c>
      <c r="B33177">
        <f>HYPERLINK("https://www.dofusbook.net/fr/equipement/5624632-terre-cac-/objets", "link")</f>
        <v/>
      </c>
      <c r="C33177" t="n">
        <v>3</v>
      </c>
      <c r="D33177" t="inlineStr">
        <is>
          <t>Marteau R'ture; Collier de Tourthon; Anneau Volkorne; Anneau Chevelu; Cadran d'Eau; Ceinture Volkorne; Masque de Koutoulou; Cape au Logis; Bottes de la Cour Sombre; Dofus Abyssal; Dofus Émeraude; Dofus Ébène; Dofus Ocre; Dofus Ivoire; Enragé majeur; Bulbisou</t>
        </is>
      </c>
    </row>
    <row r="33178">
      <c r="A33178" t="inlineStr">
        <is>
          <t>anti-sram</t>
        </is>
      </c>
      <c r="B33178">
        <f>HYPERLINK("https://www.dofusbook.net/fr/equipement/5624606-anti-sram/objets", "link")</f>
        <v/>
      </c>
      <c r="C33178" t="n">
        <v>0</v>
      </c>
      <c r="D33178" t="inlineStr">
        <is>
          <t>Bêche Asse; Amulette Volkorne; Anneau Nos; Anneau Chevelu; Bouclier d'Ilyzaelle; Ceinture Volkorne; Masque de Koutoulou; Cape au Logis; Sabots Minables; Dofus Émeraude; Dofus Ivoire; Dofus Pourpre; Dofus Ébène; Dofus Abyssal; Enragé majeur; Dragodinde Ivoire et Pourpre</t>
        </is>
      </c>
    </row>
    <row r="33179">
      <c r="A33179" t="inlineStr">
        <is>
          <t>terre crit vari</t>
        </is>
      </c>
      <c r="B33179">
        <f>HYPERLINK("https://www.dofusbook.net/fr/equipement/5624591-terre-crit-vari/objets", "link")</f>
        <v/>
      </c>
      <c r="C33179" t="n">
        <v>5</v>
      </c>
      <c r="D33179" t="inlineStr">
        <is>
          <t>Dagues d'Ilyzaelle; Amulette du Strigide; Anneau Volkorne; Anneau Chevelu; Bouclier Taverne; Ceinture Volkorne; Masque de Koutoulou; Cape au Logis; Bottes du Cœur Saignant; Dofus Turquoise; Dofus Abyssal; Dofus Pourpre; Dofus Ivoire; Dofus Ocre; Dofus Ébène; Kokulte</t>
        </is>
      </c>
    </row>
    <row r="33180">
      <c r="A33180" t="inlineStr">
        <is>
          <t>full air</t>
        </is>
      </c>
      <c r="B33180">
        <f>HYPERLINK("https://www.dofusbook.net/fr/equipement/5624554-full-air/objets", "link")</f>
        <v/>
      </c>
      <c r="C33180" t="n">
        <v>2</v>
      </c>
      <c r="D33180" t="inlineStr">
        <is>
          <t>Karnak; Collier du Valet Veinard; Alliance Gloursonne; Gant du Valet Veinard; Bouclier d'Ilyzaelle; Menoture; Dorabysses; Cape Martegel; Baleinabottes; Dofus Pourpre; Dofus Ébène; Dofus Abyssal; Dofus Émeraude; Dofus Ivoire; Cascadeur majeur; Blérodoudou</t>
        </is>
      </c>
    </row>
    <row r="33181">
      <c r="A33181" t="inlineStr">
        <is>
          <t>feu/dopou</t>
        </is>
      </c>
      <c r="B33181">
        <f>HYPERLINK("https://www.dofusbook.net/fr/equipement/5624514-feu-dopou/objets", "link")</f>
        <v/>
      </c>
      <c r="C33181" t="n">
        <v>3</v>
      </c>
      <c r="D33181" t="inlineStr">
        <is>
          <t>Dagues Ricol; Torquistik; Bague Gloursonne; Anneauræus; Bouclier d'Ilyzaelle; Ceinture de Vortex; Heaume Oplate; Cape Paztek; Sandales Paztek; Dofus Abyssal; Dofus Ivoire; Remueur; Culbuteur majeur; Nomade; Bousculeur majeur; Scarakiri</t>
        </is>
      </c>
    </row>
    <row r="33182">
      <c r="A33182" t="inlineStr">
        <is>
          <t>terre tank v1</t>
        </is>
      </c>
      <c r="B33182">
        <f>HYPERLINK("https://www.dofusbook.net/fr/equipement/5624465-terre-tank-v1/objets", "link")</f>
        <v/>
      </c>
      <c r="C33182" t="n">
        <v>7</v>
      </c>
      <c r="D33182" t="inlineStr">
        <is>
          <t>Bêche Asse; Amulette du Cœur Saignant; Anneau Crustique; Anneau Chevelu; Bouclier d'Ilyzaelle; Ceinture Gence; Casque Dragoeuf; Cape au Logis; Bottes de la Cour Sombre; Dofus Ébène; Dofus Pourpre; Dofus Abyssal; Dofus Ivoire; Remueur; Enragé majeur; Bulbisou</t>
        </is>
      </c>
    </row>
    <row r="33183">
      <c r="A33183" t="inlineStr">
        <is>
          <t>eau/air</t>
        </is>
      </c>
      <c r="B33183">
        <f>HYPERLINK("https://www.dofusbook.net/fr/equipement/3957171-eau-air/objets", "link")</f>
        <v/>
      </c>
      <c r="C33183" t="n">
        <v>9</v>
      </c>
      <c r="D33183" t="inlineStr">
        <is>
          <t>Arc du Chalœil; Collier de Tourthon; Anneau Chevelu; Bague Gloursonne; Bouclier du Stalak; Ceinture de la Reine des Voleurs; Coiffe de la Reine des Voleurs; Cape au Logis; Baleinabottes; Dofus Ébène; Dofus Pourpre; Dofus Ocre; Dofus Ivoire; Enragé majeur; Forcené majeur; Kompost</t>
        </is>
      </c>
    </row>
    <row r="33184">
      <c r="A33184" t="inlineStr">
        <is>
          <t>full fei/air arc hont</t>
        </is>
      </c>
      <c r="B33184">
        <f>HYPERLINK("https://www.dofusbook.net/fr/equipement/2980366-full-fei-air-arc-hont/objets", "link")</f>
        <v/>
      </c>
      <c r="C33184" t="n">
        <v>9</v>
      </c>
      <c r="D33184" t="inlineStr">
        <is>
          <t>Arc Honte; Amulette de l'Œil Putride; Bague Gloursonne; Alliance Gloursonne; Bouclier cubiste; Ceinture de l'Esprit Salvateur; Masque de l'Esprit Salvateur; Cape de l'Œil Putride; Bottes de l'Esprit Salvateur; Dofus Abyssal; Dofus Vulbis; Dofus Ébène; Dofus des Glaces; Dofus Ocre; Dofus Ivoire; Volkorne Turquoise</t>
        </is>
      </c>
    </row>
    <row r="33185">
      <c r="A33185" t="inlineStr">
        <is>
          <t>Enutrof M 200</t>
        </is>
      </c>
      <c r="B33185">
        <f>HYPERLINK("https://www.dofusbook.net/fr/equipement/3986894-enutrof-m-200/objets", "link")</f>
        <v/>
      </c>
      <c r="C33185" t="n">
        <v>1</v>
      </c>
      <c r="D33185" t="inlineStr">
        <is>
          <t>Héqache; Amulette du Strigide; Anneau Chevelu; Bague Gloursonne; Ceintacé; Corne de Torkélonia; Carapace de Torkélonia; Bottes du Strigide; Dofus Ivoire; Dofus Turquoise; Dofus Vulbis; Dofus Pourpre; Dofus Ébène; Dofus Ocre; Kokulte</t>
        </is>
      </c>
    </row>
    <row r="33186">
      <c r="A33186" t="inlineStr">
        <is>
          <t>esquive pa eau</t>
        </is>
      </c>
      <c r="B33186">
        <f>HYPERLINK("https://www.dofusbook.net/fr/equipement/2964568-esquive-pa-eau/objets", "link")</f>
        <v/>
      </c>
      <c r="C33186" t="n">
        <v>5</v>
      </c>
      <c r="D33186" t="inlineStr"/>
    </row>
    <row r="33187">
      <c r="A33187" t="inlineStr">
        <is>
          <t>Pandawa F 200</t>
        </is>
      </c>
      <c r="B33187">
        <f>HYPERLINK("https://www.dofusbook.net/fr/equipement/3984255-pandawa-f-200/objets", "link")</f>
        <v/>
      </c>
      <c r="C33187" t="n">
        <v>1</v>
      </c>
      <c r="D33187" t="inlineStr">
        <is>
          <t>Amulette du Strigide; Anneau Crustique; Anneau Chevelu; Ceinture Volkorne; Masque de Koutoulou; Cape au Logis; Bottes de la Cour Sombre</t>
        </is>
      </c>
    </row>
    <row r="33188">
      <c r="A33188" t="inlineStr">
        <is>
          <t>Sram F 200</t>
        </is>
      </c>
      <c r="B33188">
        <f>HYPERLINK("https://www.dofusbook.net/fr/equipement/3984294-sram-f-200/objets", "link")</f>
        <v/>
      </c>
      <c r="C33188" t="n">
        <v>3</v>
      </c>
      <c r="D33188" t="inlineStr">
        <is>
          <t>Crocobur; Amulette du Strigide; Bague Gloursonne; Alliance Gloursonne; Droiture de Fallanster; Ceinture du Strigide; Cape d'Anerice; Baleinabottes; Kokulte</t>
        </is>
      </c>
    </row>
    <row r="33189">
      <c r="A33189" t="inlineStr">
        <is>
          <t>Ouginak F 200</t>
        </is>
      </c>
      <c r="B33189">
        <f>HYPERLINK("https://www.dofusbook.net/fr/equipement/5519618-ouginak-f-200/objets", "link")</f>
        <v/>
      </c>
      <c r="C33189" t="n">
        <v>0</v>
      </c>
      <c r="D33189" t="inlineStr">
        <is>
          <t>Manthache; Collier du Valet Veinard; Anneau d'Allister; Gant du Valet Veinard; Cadran d'Eau; Ceinture du Nocturlabe; Couronne d'Allister; Cape du Valet Veinard; Bottes d'Allister; Dofus Ivoire; Dofus Pourpre; Dofus Ébène; Dofus Ocre; Robuste majeur; Siroko</t>
        </is>
      </c>
    </row>
    <row r="33190">
      <c r="A33190" t="inlineStr">
        <is>
          <t>Sacrieur F 200</t>
        </is>
      </c>
      <c r="B33190">
        <f>HYPERLINK("https://www.dofusbook.net/fr/equipement/5459137-sacrieur-f-200/objets", "link")</f>
        <v/>
      </c>
      <c r="C33190" t="n">
        <v>3</v>
      </c>
      <c r="D33190" t="inlineStr"/>
    </row>
    <row r="33191">
      <c r="A33191" t="inlineStr">
        <is>
          <t>teo stri/triton</t>
        </is>
      </c>
      <c r="B33191">
        <f>HYPERLINK("https://www.dofusbook.net/fr/equipement/4696724-teo-stri-triton/objets", "link")</f>
        <v/>
      </c>
      <c r="C33191" t="n">
        <v>2</v>
      </c>
      <c r="D33191" t="inlineStr">
        <is>
          <t>Arc de Guten Tak; Amulette du Strigide; Bague Trithon; Anneau Volkorne; Quatre-feuilles; Ceinture Volkorne; Masque de Koutoulou; Cape au Logis; Bottes Trithon; Dofus Ocre; Dofus Pourpre; Dofus Ivoire; Dofus Abyssal; Dofus Turquoise; Dofus Ébène; Kokulte</t>
        </is>
      </c>
    </row>
    <row r="33192">
      <c r="A33192" t="inlineStr">
        <is>
          <t>Zobal F 200</t>
        </is>
      </c>
      <c r="B33192">
        <f>HYPERLINK("https://www.dofusbook.net/fr/equipement/4839960-zobal-f-200/objets", "link")</f>
        <v/>
      </c>
      <c r="C33192" t="n">
        <v>8</v>
      </c>
      <c r="D33192" t="inlineStr">
        <is>
          <t>Baguette Hique; Amulette Volkorne; Anneau Volkorne; Alliance Gloursonne; Quatre-feuilles; Ceintacé; Casque Volkorne; Cape de la Dame du Hasard; Bottes de la Dame du Hasard; Dofus Ivoire; Dofus Abyssal; Dofus Turquoise; Dofus Ébène; Dofus Ocre; Dofus des Glaces; Kokulte</t>
        </is>
      </c>
    </row>
    <row r="33193">
      <c r="A33193" t="inlineStr">
        <is>
          <t>Zobal F 200</t>
        </is>
      </c>
      <c r="B33193">
        <f>HYPERLINK("https://www.dofusbook.net/fr/equipement/4501289-zobal-f-200/objets", "link")</f>
        <v/>
      </c>
      <c r="C33193" t="n">
        <v>8</v>
      </c>
      <c r="D33193" t="inlineStr">
        <is>
          <t>Arc du Chalœil; Amulette du Strigide; Anneau Volkorne; Anneau Chevelu; Quatre-feuilles; Ceinture Volkorne; Masque de Koutoulou; Cape au Logis; Bottes du Cœur Saignant; Dofus Turquoise; Dofus Abyssal; Dofus Pourpre; Dofus Ivoire; Dofus Ocre; Dofus Ébène; Dragodinde Emeraude et Pourpre</t>
        </is>
      </c>
    </row>
    <row r="33194">
      <c r="A33194" t="inlineStr">
        <is>
          <t>Iop F 200</t>
        </is>
      </c>
      <c r="B33194">
        <f>HYPERLINK("https://www.dofusbook.net/fr/equipement/4320905-iop-f-200/objets", "link")</f>
        <v/>
      </c>
      <c r="C33194" t="n">
        <v>10</v>
      </c>
      <c r="D33194" t="inlineStr">
        <is>
          <t>Hache Téroïde; Amulette du Strigide; Bague Gloursonne; Anneau Chevelu; Bouclier du Captain Amakna; Ceinture du Strigide; Masque de Koutoulou; Cape au Logis; Bottes du Cycloïde; Dofus des Glaces; Dofus Pourpre; Dofus Nébuleux; Dofus Turquoise; Remueur; Enragé majeur; Kokulte</t>
        </is>
      </c>
    </row>
    <row r="33195">
      <c r="A33195" t="inlineStr">
        <is>
          <t>tero stri/roi</t>
        </is>
      </c>
      <c r="B33195">
        <f>HYPERLINK("https://www.dofusbook.net/fr/equipement/4701585-tero-stri-roi/objets", "link")</f>
        <v/>
      </c>
      <c r="C33195" t="n">
        <v>4</v>
      </c>
      <c r="D33195" t="inlineStr">
        <is>
          <t>Baguette de Malléfisk; Pendentif affamé; Chevalière du Roi Joueur; Bague Gloursonne; Cadran de Feu; Ceinture de Vortex; Casque Dragoeuf; Cape Ardente; Chaussures Ardentes; Dofus Ocre; Dofus Ivoire; Remueur; Nomade; Érudit majeur; Dragodinde Orchidée et Rousse</t>
        </is>
      </c>
    </row>
    <row r="33196">
      <c r="A33196" t="inlineStr">
        <is>
          <t>Zobal M 200</t>
        </is>
      </c>
      <c r="B33196">
        <f>HYPERLINK("https://www.dofusbook.net/fr/equipement/4501306-zobal-m-200/objets", "link")</f>
        <v/>
      </c>
      <c r="C33196" t="n">
        <v>0</v>
      </c>
      <c r="D33196" t="inlineStr">
        <is>
          <t>Arc du Chalœil; Torquistik; Bracelet Jande; Baguistik; Bouclier précieux; Ceinture Gence; Masque du Barbétoal; Cape Solution; Bottes Trithon; Dofus Ocre; Dofus Ivoire; Culbuteur; Bousculeur majeur; Pousseur majeur; Culbuteur majeur; Balafreux</t>
        </is>
      </c>
    </row>
    <row r="33197">
      <c r="A33197" t="inlineStr">
        <is>
          <t>Eniripsa M 200</t>
        </is>
      </c>
      <c r="B33197">
        <f>HYPERLINK("https://www.dofusbook.net/fr/equipement/3991009-eniripsa-m-200/objets", "link")</f>
        <v/>
      </c>
      <c r="C33197" t="n">
        <v>0</v>
      </c>
      <c r="D33197" t="inlineStr">
        <is>
          <t>Harpelle; Pendentif affamé; Anneau de Nidas; Bague Gloursonne; Bivalve; Ceintrigue; Couronne de Nidas; Voile d'encre; Pataugastrique; Érudit majeur; Nomade; Savant majeur; Remueur; Guérisseur majeur; Soigneur majeur; Dragodinde Orchidée et Rousse</t>
        </is>
      </c>
    </row>
    <row r="33198">
      <c r="A33198" t="inlineStr">
        <is>
          <t>Enutrof M 200</t>
        </is>
      </c>
      <c r="B33198">
        <f>HYPERLINK("https://www.dofusbook.net/fr/equipement/3984202-enutrof-m-200/objets", "link")</f>
        <v/>
      </c>
      <c r="C33198" t="n">
        <v>1</v>
      </c>
      <c r="D33198" t="inlineStr">
        <is>
          <t>Dagues Açantes; Amulette Hale; Pikano; Gelano; Bouclier cubiste; Ceinture Glaciale; Casquipik; Bottes de Meno; Remueur; Entraveur majeur; Chanceux majeur; Temporiseur majeur; Nomade; Miraculé majeur; Volkorne Doré et Turquoise</t>
        </is>
      </c>
    </row>
    <row r="33199">
      <c r="A33199" t="inlineStr">
        <is>
          <t>Ecaflip F 200</t>
        </is>
      </c>
      <c r="B33199">
        <f>HYPERLINK("https://www.dofusbook.net/fr/equipement/4225777-ecaflip-f-200/objets", "link")</f>
        <v/>
      </c>
      <c r="C33199" t="n">
        <v>1</v>
      </c>
      <c r="D33199" t="inlineStr">
        <is>
          <t>Hache du Chalœil; Amulette du Strigide; Anneau de Brouce; Alliance Gloursonne; Bouclier du Stalak; Ceinture du Strigide; Coiffe de la Reine des Voleurs; Chevelure de Tal Kasha; Pataugastrique; Remueur; Nomade; Chacha Angora</t>
        </is>
      </c>
    </row>
    <row r="33200">
      <c r="A33200" t="inlineStr">
        <is>
          <t>Iop M 200</t>
        </is>
      </c>
      <c r="B33200">
        <f>HYPERLINK("https://www.dofusbook.net/fr/equipement/3984127-iop-m-200/objets", "link")</f>
        <v/>
      </c>
      <c r="C33200" t="n">
        <v>3</v>
      </c>
      <c r="D33200" t="inlineStr">
        <is>
          <t>Epée Toche; Amulette du Strigide; Anneau Chevelu; Bague Gloursonne; Bouclier du Captain Amakna; Ceinture du Strigide; Masque de Koutoulou; Cape au Logis; Sabots Volcaniques; Dofus Pourpre; Dofus Nébuleux; Dofus Turquoise; Nomade; Remueur; Vigoureux majeur; Kokulte</t>
        </is>
      </c>
    </row>
    <row r="33201">
      <c r="A33201" t="inlineStr">
        <is>
          <t>Sadida M 200</t>
        </is>
      </c>
      <c r="B33201">
        <f>HYPERLINK("https://www.dofusbook.net/fr/equipement/3338777-sadida-m-200/objets", "link")</f>
        <v/>
      </c>
      <c r="C33201" t="n">
        <v>0</v>
      </c>
      <c r="D33201" t="inlineStr">
        <is>
          <t>Anneau de Brouce; Bouclier du Stalak; Masque de Koutoulou; Cape au Logis</t>
        </is>
      </c>
    </row>
    <row r="33202">
      <c r="A33202" t="inlineStr">
        <is>
          <t>Stuff 3</t>
        </is>
      </c>
      <c r="B33202">
        <f>HYPERLINK("https://www.dofusbook.net/fr/equipement/724271-stuff-3/objets", "link")</f>
        <v/>
      </c>
      <c r="C33202" t="n">
        <v>0</v>
      </c>
      <c r="D33202" t="inlineStr">
        <is>
          <t>Rapière aux Glyphes; Amulette du Strigide; Bague Trithon; Alliance Gloursonne; Ceinture Glaciale; Kidibonnet; Cape Luminescente; Bottes Trithon; Carapace Feu majeur; Bousculeur majeur; Pousseur majeur; Culbuteur majeur; Culbuteur; Remueur; Muldo Ebène et Orchidée</t>
        </is>
      </c>
    </row>
    <row r="33203">
      <c r="A33203" t="inlineStr">
        <is>
          <t>Stuff 3</t>
        </is>
      </c>
      <c r="B33203">
        <f>HYPERLINK("https://www.dofusbook.net/fr/equipement/724266-stuff-3/objets", "link")</f>
        <v/>
      </c>
      <c r="C33203" t="n">
        <v>0</v>
      </c>
      <c r="D33203" t="inlineStr">
        <is>
          <t>Baguette de Malléfisk; Talisman Igans; Alliance Gloursonne; Anneau Tique; Sangle Ouare; Kidibonnet; Capchalot; Bottes Owesli; Évasif majeur; Culbuteur; Miraculé majeur; Bousculeur majeur; Cavaleur majeur; Culbuteur majeur; Croum</t>
        </is>
      </c>
    </row>
    <row r="33204">
      <c r="A33204" t="inlineStr">
        <is>
          <t>Stuff 1</t>
        </is>
      </c>
      <c r="B33204">
        <f>HYPERLINK("https://www.dofusbook.net/fr/equipement/724306-stuff-1/objets", "link")</f>
        <v/>
      </c>
      <c r="C33204" t="n">
        <v>0</v>
      </c>
      <c r="D33204" t="inlineStr">
        <is>
          <t>Dagues Érhy; Amulette du Strigide; Alliance Gloursonne; Bague Gloursonne; Ceinture du Strigide; Chapeau de Gein; Voile d'encre; Bottes du Strigide; Dofus des Glaces; Dofus Émeraude; Dofus Abyssal; Dofus Ocre; Dofus Turquoise; Dofus Pourpre; Muldo Ebène et Pourpre</t>
        </is>
      </c>
    </row>
    <row r="33205">
      <c r="A33205" t="inlineStr">
        <is>
          <t>Stuff 2</t>
        </is>
      </c>
      <c r="B33205">
        <f>HYPERLINK("https://www.dofusbook.net/fr/equipement/724261-stuff-2/objets", "link")</f>
        <v/>
      </c>
      <c r="C33205" t="n">
        <v>0</v>
      </c>
      <c r="D33205" t="inlineStr">
        <is>
          <t>Arc Hétype; Amulette d'Otomaï; Bague Gloursonne; Anneau Tique; Ceinture Séculaire; Coiffe Séculaire; Cape de Diondin; Bottes Innommables; Dofus Turquoise; Dofus Pourpre; Vigoureux majeur; Nomade; Remueur; Érudit majeur; Brûlih</t>
        </is>
      </c>
    </row>
    <row r="33206">
      <c r="A33206" t="inlineStr">
        <is>
          <t>Stuff 3</t>
        </is>
      </c>
      <c r="B33206">
        <f>HYPERLINK("https://www.dofusbook.net/fr/equipement/724301-stuff-3/objets", "link")</f>
        <v/>
      </c>
      <c r="C33206" t="n">
        <v>0</v>
      </c>
      <c r="D33206" t="inlineStr">
        <is>
          <t>Rapière aux Glyphes; Amulette du Strigide; Alliance Gloursonne; Bague Trithon; Sangle Ouare; Masque Trithon; Capchalot; Bottes Owesli; Pousseur majeur; Remueur; Culbuteur; Culbuteur majeur; Évasif majeur; Bousculeur majeur; Croum</t>
        </is>
      </c>
    </row>
    <row r="33207">
      <c r="A33207" t="inlineStr">
        <is>
          <t>Stuff 3</t>
        </is>
      </c>
      <c r="B33207">
        <f>HYPERLINK("https://www.dofusbook.net/fr/equipement/724253-stuff-3/objets", "link")</f>
        <v/>
      </c>
      <c r="C33207" t="n">
        <v>0</v>
      </c>
      <c r="D33207" t="inlineStr">
        <is>
          <t>Dagues Érhy; Amulette du Strigide; Bague Gloursonne; Anneau Chevelu; Ceintacé; Masque de Koutoulou; Voile d'encre; Bottes du Strigide; Dofus Turquoise; Dofus des Glaces; Dofus Pourpre; Carapace Terre majeur; Vigoureux majeur; Nomade; Kramkram</t>
        </is>
      </c>
    </row>
    <row r="33208">
      <c r="A33208" t="inlineStr">
        <is>
          <t>Stuff 2</t>
        </is>
      </c>
      <c r="B33208">
        <f>HYPERLINK("https://www.dofusbook.net/fr/equipement/724296-stuff-2/objets", "link")</f>
        <v/>
      </c>
      <c r="C33208" t="n">
        <v>0</v>
      </c>
      <c r="D33208" t="inlineStr">
        <is>
          <t>Baguette de Malléfisk; Pendentif affamé; Anneau de Nidas; Bague Gloursonne; Protopagne; Couronne de Nidas; Voile d'encre; Tongues de Nidas; Dofus Ocre; Dofus Abyssal; Dolmanax; Dofus Émeraude; Vagabond majeur; Docteur majeur; El Scarador</t>
        </is>
      </c>
    </row>
    <row r="33209">
      <c r="A33209" t="inlineStr">
        <is>
          <t>Stuff 1</t>
        </is>
      </c>
      <c r="B33209">
        <f>HYPERLINK("https://www.dofusbook.net/fr/equipement/724248-stuff-1/objets", "link")</f>
        <v/>
      </c>
      <c r="C33209" t="n">
        <v>0</v>
      </c>
      <c r="D33209" t="inlineStr">
        <is>
          <t>Manthache; Collier du Valet Veinard; Alliance Gloursonne; Gant du Valet Veinard; Ceintouse; Chapoulpe; Cape du Valet Veinard; Tentassons; Dofus Pourpre; Dofus Abyssal; Dofus Cawotte; Dofus Ocre; Dofus des Glaces; Dofus Émeraude; Muldo Ebène</t>
        </is>
      </c>
    </row>
    <row r="33210">
      <c r="A33210" t="inlineStr">
        <is>
          <t>Stuff 3</t>
        </is>
      </c>
      <c r="B33210">
        <f>HYPERLINK("https://www.dofusbook.net/fr/equipement/724288-stuff-3/objets", "link")</f>
        <v/>
      </c>
      <c r="C33210" t="n">
        <v>0</v>
      </c>
      <c r="D33210" t="inlineStr">
        <is>
          <t>La Baguette des Limbes; Amulette d'Otomaï; Anneau de Padgref; Bracelet du Piloztère; Ceinture Séculaire; Masque Vaudou Ark; Cape du Professeur Xa; Getas de Padgref; Érudit majeur; Turbulent; Vigoureux majeur; Remueur; Astucieux majeur; Nomade; Brûlih</t>
        </is>
      </c>
    </row>
    <row r="33211">
      <c r="A33211" t="inlineStr">
        <is>
          <t>Stuff 1</t>
        </is>
      </c>
      <c r="B33211">
        <f>HYPERLINK("https://www.dofusbook.net/fr/equipement/724243-stuff-1/objets", "link")</f>
        <v/>
      </c>
      <c r="C33211" t="n">
        <v>0</v>
      </c>
      <c r="D33211" t="inlineStr">
        <is>
          <t>Arc Hétype; Pendentif affamé; Anneau de Nidas; Anneau Tique; Ceinture de Vortex; Couronne de Nidas; Voile d'encre; Tongues de Nidas; Dofus Ocre; Dofus Abyssal; Dolmanax; Dofus Turquoise; Dofus Pourpre; Dofus Émeraude; Muldo Ebène et Orchidée</t>
        </is>
      </c>
    </row>
    <row r="33212">
      <c r="A33212" t="inlineStr">
        <is>
          <t>Stuff 1</t>
        </is>
      </c>
      <c r="B33212">
        <f>HYPERLINK("https://www.dofusbook.net/fr/equipement/724283-stuff-1/objets", "link")</f>
        <v/>
      </c>
      <c r="C33212" t="n">
        <v>0</v>
      </c>
      <c r="D33212" t="inlineStr">
        <is>
          <t>Dagues Érhy; Amulette du Strigide; Anneau Tique; Alliance Gloursonne; Ceinture de Klime; Masque de Klime; Voile d'encre; Pataugastrique; Dofus Turquoise; Cascadeur majeur; Nomade; Carapace Terre majeur; Remueur; Évasif majeur; Kramkram</t>
        </is>
      </c>
    </row>
    <row r="33213">
      <c r="A33213" t="inlineStr">
        <is>
          <t>Stuff 1</t>
        </is>
      </c>
      <c r="B33213">
        <f>HYPERLINK("https://www.dofusbook.net/fr/equipement/724318-stuff-1/objets", "link")</f>
        <v/>
      </c>
      <c r="C33213" t="n">
        <v>0</v>
      </c>
      <c r="D33213" t="inlineStr">
        <is>
          <t>Dague Adou; Amulette du Strigide; Alliance Gloursonne; Anneau de Padgref; Ceinture du Strigide; Némès de Tal Kasha; Chevelure de Tal Kasha; Sandales de Tal Kasha; Dofus Ocre; Dofus Pourpre; Dofus Nébuleux; Dofus Turquoise; Dofus des Glaces; Dofus Émeraude; Muldo Prune et Emeraude</t>
        </is>
      </c>
    </row>
    <row r="33214">
      <c r="A33214" t="inlineStr">
        <is>
          <t>Stuff 2</t>
        </is>
      </c>
      <c r="B33214">
        <f>HYPERLINK("https://www.dofusbook.net/fr/equipement/724273-stuff-2/objets", "link")</f>
        <v/>
      </c>
      <c r="C33214" t="n">
        <v>0</v>
      </c>
      <c r="D33214" t="inlineStr">
        <is>
          <t>Arc Nécrotique; Talisman Igans; Alliance Gloursonne; Anneau Tique; Poulpagne; Kidibonnet; Cape de la Dame du Hasard; Bottes Owesli; Dolmanax; Dofus Pourpre; Vigoureux majeur; Chanceux majeur; Érudit majeur; Nomade; Dragodinde en armure</t>
        </is>
      </c>
    </row>
    <row r="33215">
      <c r="A33215" t="inlineStr">
        <is>
          <t>Stuff 2</t>
        </is>
      </c>
      <c r="B33215">
        <f>HYPERLINK("https://www.dofusbook.net/fr/equipement/724268-stuff-2/objets", "link")</f>
        <v/>
      </c>
      <c r="C33215" t="n">
        <v>0</v>
      </c>
      <c r="D33215" t="inlineStr">
        <is>
          <t>Baguette de Malléfisk; Amulette de Nileza; Anneau Tique; Anneau de Nidas; Protopagne; Couronne de Nidas; Cape de Diondin; Bottes Innommables; Cavaleur majeur; Remueur; Évasif majeur; Carapace Terre majeur; Fonceur majeur; Érudit majeur; El Scarador</t>
        </is>
      </c>
    </row>
    <row r="33216">
      <c r="A33216" t="inlineStr">
        <is>
          <t>Stuff 3</t>
        </is>
      </c>
      <c r="B33216">
        <f>HYPERLINK("https://www.dofusbook.net/fr/equipement/724308-stuff-3/objets", "link")</f>
        <v/>
      </c>
      <c r="C33216" t="n">
        <v>0</v>
      </c>
      <c r="D33216" t="inlineStr">
        <is>
          <t>Baguette de Malléfisk; Torquistik; Bague Trithon; Alliance Gloursonne; Ceintrigue; Kidibonnet; Voile d'encre; Bottistik; Culbuteur majeur; Bousculeur majeur; Culbuteur; Guérisseur majeur; Remueur; Muldo Pourpre</t>
        </is>
      </c>
    </row>
    <row r="33217">
      <c r="A33217" t="inlineStr">
        <is>
          <t>Stuff 1</t>
        </is>
      </c>
      <c r="B33217">
        <f>HYPERLINK("https://www.dofusbook.net/fr/equipement/724263-stuff-1/objets", "link")</f>
        <v/>
      </c>
      <c r="C33217" t="n">
        <v>0</v>
      </c>
      <c r="D33217" t="inlineStr">
        <is>
          <t>Pelle de la Cour Sombre; Collier du Valet Veinard; Alliance Gloursonne; Anneau des égarés; Menoture; Casque Dragoeuf; Cape du Valet Veinard; Palmes Trithons; Évasif majeur; Nomade; Carapace Air majeur; Remueur; Equilibriste majeur; Cascadeur majeur; Croum</t>
        </is>
      </c>
    </row>
    <row r="33218">
      <c r="A33218" t="inlineStr">
        <is>
          <t>Stuff 2</t>
        </is>
      </c>
      <c r="B33218">
        <f>HYPERLINK("https://www.dofusbook.net/fr/equipement/724303-stuff-2/objets", "link")</f>
        <v/>
      </c>
      <c r="C33218" t="n">
        <v>0</v>
      </c>
      <c r="D33218" t="inlineStr">
        <is>
          <t>Dagues Érhy; Amulette du Strigide; Bague Gloursonne; Anneau Chevelu; Slip du Roi de Bonta; Masque de Koutoulou; Voile d'encre; Bottes du Strigide; Dofus Turquoise; Dofus des Glaces; Dofus Pourpre; Remueur; Carapace Terre majeur; Nomade; Croum</t>
        </is>
      </c>
    </row>
    <row r="33219">
      <c r="A33219" t="inlineStr">
        <is>
          <t>Stuff 3</t>
        </is>
      </c>
      <c r="B33219">
        <f>HYPERLINK("https://www.dofusbook.net/fr/equipement/724320-stuff-3/objets", "link")</f>
        <v/>
      </c>
      <c r="C33219" t="n">
        <v>0</v>
      </c>
      <c r="D33219" t="inlineStr">
        <is>
          <t>Dague Adou; Amulette du Strigide; Alliance Gloursonne; Bague Trithon; Bouclier Taverne; Ceinture du Strigide; Némès de Tal Kasha; Chevelure de Tal Kasha; Sandales de Tal Kasha; Dofus Abyssal; Dofus Ocre; Dofus des Glaces; Dofus Turquoise; Dofus Pourpre; Dofus Émeraude; Muldo Ebène et Orchidée</t>
        </is>
      </c>
    </row>
    <row r="33220">
      <c r="A33220" t="inlineStr">
        <is>
          <t>Stuff 3</t>
        </is>
      </c>
      <c r="B33220">
        <f>HYPERLINK("https://www.dofusbook.net/fr/equipement/724245-stuff-3/objets", "link")</f>
        <v/>
      </c>
      <c r="C33220" t="n">
        <v>0</v>
      </c>
      <c r="D33220" t="inlineStr">
        <is>
          <t>Harpelle; Pendentif mignon de Koutoulou; Anneau de Nidas; Anneau Tique; Ceinture de Vortex; Casque Cyclopéen; Voile d'encre; Pataugastrique; Dolmanax; Remueur; Carapace Neutre majeur; Nomade; Érudit majeur; Déserteur majeur; Croum</t>
        </is>
      </c>
    </row>
    <row r="33221">
      <c r="A33221" t="inlineStr">
        <is>
          <t>Stuff 3</t>
        </is>
      </c>
      <c r="B33221">
        <f>HYPERLINK("https://www.dofusbook.net/fr/equipement/724285-stuff-3/objets", "link")</f>
        <v/>
      </c>
      <c r="C33221" t="n">
        <v>0</v>
      </c>
      <c r="D33221" t="inlineStr">
        <is>
          <t>Pelle de la Cour Sombre; Collier du Valet Veinard; Alliance Gloursonne; Gant du Valet Veinard; Ceintouse; Chapoulpe; Cape du Valet Veinard; Tentassons; Dofus Pourpre; Dofus Vulbis; Dolmanax; Dofus des Glaces; Dofus Ocre; Acrobate majeur; Dragodinde en armure</t>
        </is>
      </c>
    </row>
    <row r="33222">
      <c r="A33222" t="inlineStr">
        <is>
          <t>Stuff 1</t>
        </is>
      </c>
      <c r="B33222">
        <f>HYPERLINK("https://www.dofusbook.net/fr/equipement/724275-stuff-1/objets", "link")</f>
        <v/>
      </c>
      <c r="C33222" t="n">
        <v>0</v>
      </c>
      <c r="D33222" t="inlineStr">
        <is>
          <t>Dagues Érhy; Amulette du Strigide; Bague Gloursonne; Alliance Gloursonne; Ceinture du Strigide; Casque Dragoeuf; Voile d'encre; Bottes du Strigide; Dofus Cawotte; Dofus Ocre; Dofus Turquoise; Dofus Abyssal; Dofus Pourpre; Dolmanax; Muldo Ebène et Pourpre</t>
        </is>
      </c>
    </row>
    <row r="33223">
      <c r="A33223" t="inlineStr">
        <is>
          <t>Stuff 2</t>
        </is>
      </c>
      <c r="B33223">
        <f>HYPERLINK("https://www.dofusbook.net/fr/equipement/724270-stuff-2/objets", "link")</f>
        <v/>
      </c>
      <c r="C33223" t="n">
        <v>0</v>
      </c>
      <c r="D33223" t="inlineStr">
        <is>
          <t>Hache du Chalœil; Amulette du Strigide; Bracelet du Piloztère; Alliance Gloursonne; Ceintacé; Casque du Chalœil; Voile d'encre; Bottes du Chalœil; Dofus des Glaces; Dofus Pourpre; Dofus Turquoise; Nomade; Remueur; Carapace Eau majeur; Croum</t>
        </is>
      </c>
    </row>
    <row r="33224">
      <c r="A33224" t="inlineStr">
        <is>
          <t>Stuff 2</t>
        </is>
      </c>
      <c r="B33224">
        <f>HYPERLINK("https://www.dofusbook.net/fr/equipement/724265-stuff-2/objets", "link")</f>
        <v/>
      </c>
      <c r="C33224" t="n">
        <v>0</v>
      </c>
      <c r="D33224" t="inlineStr">
        <is>
          <t>Dague Adou; Amulette du Strigide; Alliance Gloursonne; Anneau de Padgref; Ceinture du Strigide; Némès de Tal Kasha; Chevelure de Tal Kasha; Sandales de Tal Kasha; Dofus Nébuleux; Dofus Ocre; Dolmanax; Dofus Turquoise; Dofus des Glaces; Dofus Pourpre; Muldo Doré</t>
        </is>
      </c>
    </row>
    <row r="33225">
      <c r="A33225" t="inlineStr">
        <is>
          <t>Stuff 1</t>
        </is>
      </c>
      <c r="B33225">
        <f>HYPERLINK("https://www.dofusbook.net/fr/equipement/724305-stuff-1/objets", "link")</f>
        <v/>
      </c>
      <c r="C33225" t="n">
        <v>0</v>
      </c>
      <c r="D33225" t="inlineStr">
        <is>
          <t>Pelle Fik; Collier de la Dame du Hasard; Bracelet des Fonds marins; Alliance Gloursonne; Poulpagne; Kidibonnet; Capille; Bottes de la Dame du Hasard; Dofus Pourpre; Dofus Émeraude; Dofus Turquoise; Temporiseur majeur; Carapace Terre majeur; Déserteur majeur; Muldo Ebène et Pourpre</t>
        </is>
      </c>
    </row>
    <row r="33226">
      <c r="A33226" t="inlineStr">
        <is>
          <t>Stuff 1</t>
        </is>
      </c>
      <c r="B33226">
        <f>HYPERLINK("https://www.dofusbook.net/fr/equipement/724260-stuff-1/objets", "link")</f>
        <v/>
      </c>
      <c r="C33226" t="n">
        <v>0</v>
      </c>
      <c r="D33226" t="inlineStr">
        <is>
          <t>Manthache; Pendentif mignon de Koutoulou; Anneau Rifique; Alliance Gloursonne; Menoture; Casque Dragoeuf; Cape du Kamasterisk; Palmes Trithons; Dofus Ocre; Dofus Pourpre; Dofus Abyssal; Dofus Émeraude; Carapace Air majeur; Muldo Ebène et Orchidée</t>
        </is>
      </c>
    </row>
    <row r="33227">
      <c r="A33227" t="inlineStr">
        <is>
          <t>Stuff 2</t>
        </is>
      </c>
      <c r="B33227">
        <f>HYPERLINK("https://www.dofusbook.net/fr/equipement/724300-stuff-2/objets", "link")</f>
        <v/>
      </c>
      <c r="C33227" t="n">
        <v>0</v>
      </c>
      <c r="D33227" t="inlineStr">
        <is>
          <t>Dagues de Srambad; Amulette du Piloztère; Pikano; Alliance Gloursonne; Ceinture de la Reine des Voleurs; Coiffe de la Reine des Voleurs; Cape au Logis; Sabots Minables; Dofus Ocre; Dofus des Glaces; Remueur; Miraculé majeur; Évasif majeur; Croum</t>
        </is>
      </c>
    </row>
    <row r="33228">
      <c r="A33228" t="inlineStr">
        <is>
          <t>Stuff 2</t>
        </is>
      </c>
      <c r="B33228">
        <f>HYPERLINK("https://www.dofusbook.net/fr/equipement/724252-stuff-2/objets", "link")</f>
        <v/>
      </c>
      <c r="C33228" t="n">
        <v>0</v>
      </c>
      <c r="D33228" t="inlineStr">
        <is>
          <t>Dagues Érhy; Amulette du Strigide; Anneau Chevelu; Bague Gloursonne; Ceinture du Strigide; Bonnet Ko; Voile d'encre; Bottes de la Cour Sombre; Dofus Ocre; Dofus Pourpre; Dofus Turquoise; Nomade; Remueur; Vigoureux majeur; Muldo Ebène et Pourpre</t>
        </is>
      </c>
    </row>
    <row r="33229">
      <c r="A33229" t="inlineStr">
        <is>
          <t>Stuff 1</t>
        </is>
      </c>
      <c r="B33229">
        <f>HYPERLINK("https://www.dofusbook.net/fr/equipement/724295-stuff-1/objets", "link")</f>
        <v/>
      </c>
      <c r="C33229" t="n">
        <v>0</v>
      </c>
      <c r="D33229" t="inlineStr">
        <is>
          <t>Arc Hétype; Amulette de Nileza; Anneau Tique; Anneau de Nidas; Protopagne; Couronne de Nidas; Capchalot; Bottes Innommables; Érudit majeur; Remueur; Cavaleur majeur; Vagabond majeur; Évasif majeur; Déserteur majeur; Croum</t>
        </is>
      </c>
    </row>
    <row r="33230">
      <c r="A33230" t="inlineStr">
        <is>
          <t>Stuff 2</t>
        </is>
      </c>
      <c r="B33230">
        <f>HYPERLINK("https://www.dofusbook.net/fr/equipement/724247-stuff-2/objets", "link")</f>
        <v/>
      </c>
      <c r="C33230" t="n">
        <v>0</v>
      </c>
      <c r="D33230" t="inlineStr">
        <is>
          <t>Arc du Chalœil; Amulette du Strigide; Alliance Gloursonne; Bague Trithon; Sangle Ouare; Masque de Koutoulou; Cape Luminescente; Bottes Trithon; Dofus Turquoise; Culbuteur; Bousculeur majeur; Pousseur majeur; Culbuteur majeur; Remueur; Dragodinde en armure</t>
        </is>
      </c>
    </row>
    <row r="33231">
      <c r="A33231" t="inlineStr">
        <is>
          <t>Stuff 2</t>
        </is>
      </c>
      <c r="B33231">
        <f>HYPERLINK("https://www.dofusbook.net/fr/equipement/724287-stuff-2/objets", "link")</f>
        <v/>
      </c>
      <c r="C33231" t="n">
        <v>0</v>
      </c>
      <c r="D33231" t="inlineStr">
        <is>
          <t>Sabres d'Atcham; Amulette du Strigide; Bague Trithon; Alliance Gloursonne; Ceinture du Strigide; Masque Trithon; Cape d'Atcham; Sandales  d'Atcham; Dofus Turquoise; Dofus Pourpre; Remueur; Vigoureux majeur; Nomade; Dragodinde en armure</t>
        </is>
      </c>
    </row>
    <row r="33232">
      <c r="A33232" t="inlineStr">
        <is>
          <t>Stuff 3</t>
        </is>
      </c>
      <c r="B33232">
        <f>HYPERLINK("https://www.dofusbook.net/fr/equipement/724277-stuff-3/objets", "link")</f>
        <v/>
      </c>
      <c r="C33232" t="n">
        <v>0</v>
      </c>
      <c r="D33232" t="inlineStr">
        <is>
          <t>Dagues de Srambad; Amulette Ementaire Deluxe; Alliance Gloursonne; Anneau Crustique; Ceinture de la Reine des Voleurs; Coiffe de la Reine des Voleurs; Voile d'encre; Sabots Minables; Dolmanax; Carapace Neutre majeur; Nomade; Obstructeur majeur; Remueur; Croum</t>
        </is>
      </c>
    </row>
    <row r="33233">
      <c r="A33233" t="inlineStr">
        <is>
          <t>Stuff 1</t>
        </is>
      </c>
      <c r="B33233">
        <f>HYPERLINK("https://www.dofusbook.net/fr/equipement/724272-stuff-1/objets", "link")</f>
        <v/>
      </c>
      <c r="C33233" t="n">
        <v>0</v>
      </c>
      <c r="D33233" t="inlineStr">
        <is>
          <t>Arc Hétype; Amulette de Nileza; Anneau Tique; Bague Gloursonne; Protopagne; Casque Cyclopéen; Cape de Nileza; Pantoufles Émar; Dolmanax; Dofus des Glaces; Remueur; Carapace Neutre majeur; Érudit majeur; Évasif majeur; Croum</t>
        </is>
      </c>
    </row>
    <row r="33234">
      <c r="A33234" t="inlineStr">
        <is>
          <t>Stuff 1</t>
        </is>
      </c>
      <c r="B33234">
        <f>HYPERLINK("https://www.dofusbook.net/fr/equipement/724267-stuff-1/objets", "link")</f>
        <v/>
      </c>
      <c r="C33234" t="n">
        <v>0</v>
      </c>
      <c r="D33234" t="inlineStr">
        <is>
          <t>Dagues Érhy; Amulette du Strigide; Bague Gloursonne; Bracelet du Piloztère; Ceinture du Strigide; Masque du Katcheur; Voile d'encre; Bottes du Strigide; Dofus Émeraude; Dofus Turquoise; Dofus des Glaces; Dofus Ocre; Dofus Abyssal; Dofus Pourpre; Muldo Prune</t>
        </is>
      </c>
    </row>
    <row r="33235">
      <c r="A33235" t="inlineStr">
        <is>
          <t>Stuff 1</t>
        </is>
      </c>
      <c r="B33235">
        <f>HYPERLINK("https://www.dofusbook.net/fr/equipement/724306-stuff-1/objets", "link")</f>
        <v/>
      </c>
      <c r="C33235" t="n">
        <v>0</v>
      </c>
      <c r="D33235" t="inlineStr">
        <is>
          <t>Dagues Érhy; Amulette du Strigide; Bague Gloursonne; Alliance Gloursonne; Ceinture du Strigide; Chapeau de Gein; Voile d'encre; Bottes du Strigide; Dofus Abyssal; Dofus Ocre; Dofus Turquoise; Dofus Pourpre; Dofus des Glaces; Dofus Émeraude; Muldo Ebène et Pourpre</t>
        </is>
      </c>
    </row>
    <row r="33236">
      <c r="A33236" t="inlineStr">
        <is>
          <t>Stuff 3</t>
        </is>
      </c>
      <c r="B33236">
        <f>HYPERLINK("https://www.dofusbook.net/fr/equipement/724266-stuff-3/objets", "link")</f>
        <v/>
      </c>
      <c r="C33236" t="n">
        <v>0</v>
      </c>
      <c r="D33236" t="inlineStr">
        <is>
          <t>Baguette de Malléfisk; Talisman Igans; Anneau Tique; Alliance Gloursonne; Sangle Ouare; Kidibonnet; Capchalot; Bottes Owesli; Évasif majeur; Culbuteur; Miraculé majeur; Bousculeur majeur; Cavaleur majeur; Culbuteur majeur; Croum</t>
        </is>
      </c>
    </row>
    <row r="33237">
      <c r="A33237" t="inlineStr">
        <is>
          <t>Stuff 3</t>
        </is>
      </c>
      <c r="B33237">
        <f>HYPERLINK("https://www.dofusbook.net/fr/equipement/724301-stuff-3/objets", "link")</f>
        <v/>
      </c>
      <c r="C33237" t="n">
        <v>0</v>
      </c>
      <c r="D33237" t="inlineStr">
        <is>
          <t>Rapière aux Glyphes; Amulette du Strigide; Alliance Gloursonne; Bague Trithon; Sangle Ouare; Masque Trithon; Capchalot; Bottes Owesli; Culbuteur; Culbuteur majeur; Évasif majeur; Bousculeur majeur; Pousseur majeur; Remueur; Croum</t>
        </is>
      </c>
    </row>
    <row r="33238">
      <c r="A33238" t="inlineStr">
        <is>
          <t>Stuff 2</t>
        </is>
      </c>
      <c r="B33238">
        <f>HYPERLINK("https://www.dofusbook.net/fr/equipement/724261-stuff-2/objets", "link")</f>
        <v/>
      </c>
      <c r="C33238" t="n">
        <v>0</v>
      </c>
      <c r="D33238" t="inlineStr">
        <is>
          <t>Arc Hétype; Amulette d'Otomaï; Anneau Tique; Bague Gloursonne; Ceinture Séculaire; Coiffe Séculaire; Cape de Diondin; Bottes Innommables; Dofus Turquoise; Dofus Pourpre; Vigoureux majeur; Nomade; Remueur; Érudit majeur; Brûlih</t>
        </is>
      </c>
    </row>
    <row r="33239">
      <c r="A33239" t="inlineStr">
        <is>
          <t>Stuff 3</t>
        </is>
      </c>
      <c r="B33239">
        <f>HYPERLINK("https://www.dofusbook.net/fr/equipement/724253-stuff-3/objets", "link")</f>
        <v/>
      </c>
      <c r="C33239" t="n">
        <v>0</v>
      </c>
      <c r="D33239" t="inlineStr">
        <is>
          <t>Dagues Érhy; Amulette du Strigide; Bague Gloursonne; Anneau Chevelu; Ceintacé; Masque de Koutoulou; Voile d'encre; Bottes du Strigide; Dofus des Glaces; Dofus Pourpre; Dofus Turquoise; Carapace Terre majeur; Vigoureux majeur; Nomade; Kramkram</t>
        </is>
      </c>
    </row>
    <row r="33240">
      <c r="A33240" t="inlineStr">
        <is>
          <t>Stuff 2</t>
        </is>
      </c>
      <c r="B33240">
        <f>HYPERLINK("https://www.dofusbook.net/fr/equipement/724296-stuff-2/objets", "link")</f>
        <v/>
      </c>
      <c r="C33240" t="n">
        <v>0</v>
      </c>
      <c r="D33240" t="inlineStr">
        <is>
          <t>Baguette de Malléfisk; Pendentif affamé; Anneau de Nidas; Bague Gloursonne; Protopagne; Couronne de Nidas; Voile d'encre; Tongues de Nidas; Dofus Ocre; Dofus Abyssal; Dolmanax; Dofus Émeraude; Docteur majeur; Vagabond majeur; El Scarador</t>
        </is>
      </c>
    </row>
    <row r="33241">
      <c r="A33241" t="inlineStr">
        <is>
          <t>Stuff 1</t>
        </is>
      </c>
      <c r="B33241">
        <f>HYPERLINK("https://www.dofusbook.net/fr/equipement/724248-stuff-1/objets", "link")</f>
        <v/>
      </c>
      <c r="C33241" t="n">
        <v>0</v>
      </c>
      <c r="D33241" t="inlineStr">
        <is>
          <t>Manthache; Collier du Valet Veinard; Gant du Valet Veinard; Alliance Gloursonne; Ceintouse; Chapoulpe; Cape du Valet Veinard; Tentassons; Dofus Cawotte; Dofus Ocre; Dofus des Glaces; Dofus Émeraude; Dofus Pourpre; Dofus Abyssal; Muldo Ebène</t>
        </is>
      </c>
    </row>
    <row r="33242">
      <c r="A33242" t="inlineStr">
        <is>
          <t>Stuff 3</t>
        </is>
      </c>
      <c r="B33242">
        <f>HYPERLINK("https://www.dofusbook.net/fr/equipement/724288-stuff-3/objets", "link")</f>
        <v/>
      </c>
      <c r="C33242" t="n">
        <v>0</v>
      </c>
      <c r="D33242" t="inlineStr">
        <is>
          <t>La Baguette des Limbes; Amulette d'Otomaï; Bracelet du Piloztère; Anneau de Padgref; Ceinture Séculaire; Masque Vaudou Ark; Cape du Professeur Xa; Getas de Padgref; Érudit majeur; Turbulent; Vigoureux majeur; Remueur; Astucieux majeur; Nomade; Brûlih</t>
        </is>
      </c>
    </row>
    <row r="33243">
      <c r="A33243" t="inlineStr">
        <is>
          <t>Stuff 1</t>
        </is>
      </c>
      <c r="B33243">
        <f>HYPERLINK("https://www.dofusbook.net/fr/equipement/724318-stuff-1/objets", "link")</f>
        <v/>
      </c>
      <c r="C33243" t="n">
        <v>0</v>
      </c>
      <c r="D33243" t="inlineStr">
        <is>
          <t>Dague Adou; Amulette du Strigide; Alliance Gloursonne; Anneau de Padgref; Ceinture du Strigide; Némès de Tal Kasha; Chevelure de Tal Kasha; Sandales de Tal Kasha; Dofus Ocre; Dofus Pourpre; Dofus Nébuleux; Dofus Turquoise; Dofus des Glaces; Dofus Émeraude; Muldo Prune et Emeraude</t>
        </is>
      </c>
    </row>
    <row r="33244">
      <c r="A33244" t="inlineStr">
        <is>
          <t>Stuff 1</t>
        </is>
      </c>
      <c r="B33244">
        <f>HYPERLINK("https://www.dofusbook.net/fr/equipement/724243-stuff-1/objets", "link")</f>
        <v/>
      </c>
      <c r="C33244" t="n">
        <v>0</v>
      </c>
      <c r="D33244" t="inlineStr">
        <is>
          <t>Arc Hétype; Pendentif affamé; Anneau de Nidas; Anneau Tique; Ceinture de Vortex; Couronne de Nidas; Voile d'encre; Tongues de Nidas; Dofus Pourpre; Dofus Émeraude; Dofus Ocre; Dofus Abyssal; Dolmanax; Dofus Turquoise; Muldo Ebène et Orchidée</t>
        </is>
      </c>
    </row>
    <row r="33245">
      <c r="A33245" t="inlineStr">
        <is>
          <t>Stuff 1</t>
        </is>
      </c>
      <c r="B33245">
        <f>HYPERLINK("https://www.dofusbook.net/fr/equipement/724283-stuff-1/objets", "link")</f>
        <v/>
      </c>
      <c r="C33245" t="n">
        <v>0</v>
      </c>
      <c r="D33245" t="inlineStr">
        <is>
          <t>Dagues Érhy; Amulette du Strigide; Anneau Tique; Alliance Gloursonne; Ceinture de Klime; Masque de Klime; Voile d'encre; Pataugastrique; Dofus Turquoise; Évasif majeur; Cascadeur majeur; Nomade; Carapace Terre majeur; Remueur; Kramkram</t>
        </is>
      </c>
    </row>
    <row r="33246">
      <c r="A33246" t="inlineStr">
        <is>
          <t>Stuff 2</t>
        </is>
      </c>
      <c r="B33246">
        <f>HYPERLINK("https://www.dofusbook.net/fr/equipement/724273-stuff-2/objets", "link")</f>
        <v/>
      </c>
      <c r="C33246" t="n">
        <v>0</v>
      </c>
      <c r="D33246" t="inlineStr">
        <is>
          <t>Arc Nécrotique; Talisman Igans; Alliance Gloursonne; Anneau Tique; Poulpagne; Kidibonnet; Cape de la Dame du Hasard; Bottes Owesli; Dolmanax; Dofus Pourpre; Vigoureux majeur; Chanceux majeur; Érudit majeur; Nomade; Dragodinde en armure</t>
        </is>
      </c>
    </row>
    <row r="33247">
      <c r="A33247" t="inlineStr">
        <is>
          <t>Stuff 3</t>
        </is>
      </c>
      <c r="B33247">
        <f>HYPERLINK("https://www.dofusbook.net/fr/equipement/724308-stuff-3/objets", "link")</f>
        <v/>
      </c>
      <c r="C33247" t="n">
        <v>0</v>
      </c>
      <c r="D33247" t="inlineStr">
        <is>
          <t>Baguette de Malléfisk; Torquistik; Alliance Gloursonne; Bague Trithon; Ceintrigue; Kidibonnet; Voile d'encre; Bottistik; Culbuteur; Guérisseur majeur; Remueur; Culbuteur majeur; Bousculeur majeur; Muldo Pourpre</t>
        </is>
      </c>
    </row>
    <row r="33248">
      <c r="A33248" t="inlineStr">
        <is>
          <t>Stuff 2</t>
        </is>
      </c>
      <c r="B33248">
        <f>HYPERLINK("https://www.dofusbook.net/fr/equipement/724268-stuff-2/objets", "link")</f>
        <v/>
      </c>
      <c r="C33248" t="n">
        <v>0</v>
      </c>
      <c r="D33248" t="inlineStr">
        <is>
          <t>Baguette de Malléfisk; Amulette de Nileza; Anneau Tique; Anneau de Nidas; Protopagne; Couronne de Nidas; Cape de Diondin; Bottes Innommables; Cavaleur majeur; Remueur; Évasif majeur; Carapace Terre majeur; Fonceur majeur; Érudit majeur; El Scarador</t>
        </is>
      </c>
    </row>
    <row r="33249">
      <c r="A33249" t="inlineStr">
        <is>
          <t>Stuff 2</t>
        </is>
      </c>
      <c r="B33249">
        <f>HYPERLINK("https://www.dofusbook.net/fr/equipement/724303-stuff-2/objets", "link")</f>
        <v/>
      </c>
      <c r="C33249" t="n">
        <v>0</v>
      </c>
      <c r="D33249" t="inlineStr">
        <is>
          <t>Dagues Érhy; Amulette du Strigide; Bague Gloursonne; Anneau Chevelu; Slip du Roi de Bonta; Masque de Koutoulou; Voile d'encre; Bottes du Strigide; Dofus Pourpre; Dofus Turquoise; Dofus des Glaces; Nomade; Remueur; Carapace Terre majeur; Croum</t>
        </is>
      </c>
    </row>
    <row r="33250">
      <c r="A33250" t="inlineStr">
        <is>
          <t>Stuff 1</t>
        </is>
      </c>
      <c r="B33250">
        <f>HYPERLINK("https://www.dofusbook.net/fr/equipement/724263-stuff-1/objets", "link")</f>
        <v/>
      </c>
      <c r="C33250" t="n">
        <v>0</v>
      </c>
      <c r="D33250" t="inlineStr">
        <is>
          <t>Pelle de la Cour Sombre; Collier du Valet Veinard; Alliance Gloursonne; Anneau des égarés; Menoture; Casque Dragoeuf; Cape du Valet Veinard; Palmes Trithons; Évasif majeur; Nomade; Carapace Air majeur; Remueur; Equilibriste majeur; Cascadeur majeur; Croum</t>
        </is>
      </c>
    </row>
    <row r="33251">
      <c r="A33251" t="inlineStr">
        <is>
          <t>Stuff 2</t>
        </is>
      </c>
      <c r="B33251">
        <f>HYPERLINK("https://www.dofusbook.net/fr/equipement/724255-stuff-2/objets", "link")</f>
        <v/>
      </c>
      <c r="C33251" t="n">
        <v>0</v>
      </c>
      <c r="D33251" t="inlineStr">
        <is>
          <t>Manthache; Collier du Valet Veinard; Alliance Gloursonne; Gant du Valet Veinard; Menoture; Casque Dragoeuf; Cape du Kamasterisk; Palmes Trithons; Dofus Pourpre; Remueur; Cascadeur majeur; Miraculé majeur; Muldo Ebène et Orchidée</t>
        </is>
      </c>
    </row>
    <row r="33252">
      <c r="A33252" t="inlineStr">
        <is>
          <t>Stuff 2</t>
        </is>
      </c>
      <c r="B33252">
        <f>HYPERLINK("https://www.dofusbook.net/fr/equipement/724298-stuff-2/objets", "link")</f>
        <v/>
      </c>
      <c r="C33252" t="n">
        <v>0</v>
      </c>
      <c r="D33252" t="inlineStr">
        <is>
          <t>Rapière aux Glyphes; Amulette de l'Indicible; Alliance Gloursonne; Bracelet des Fonds marins; Poulpagne; Coiffe du Lévitrof; Cape de la Dame du Hasard; Bottes de la Dame du Hasard; Temporiseur majeur; Déserteur majeur; Nomade; Remueur; Kramkram</t>
        </is>
      </c>
    </row>
    <row r="33253">
      <c r="A33253" t="inlineStr">
        <is>
          <t>Stuff 3</t>
        </is>
      </c>
      <c r="B33253">
        <f>HYPERLINK("https://www.dofusbook.net/fr/equipement/724250-stuff-3/objets", "link")</f>
        <v/>
      </c>
      <c r="C33253" t="n">
        <v>0</v>
      </c>
      <c r="D33253" t="inlineStr">
        <is>
          <t>Manthache; Amulette du Strigide; Alliance Gloursonne; Gant du Valet Veinard; Menoture; Chapoulpe; Cape du Kamasterisk; Tentassons; Carapace Air majeur; Cascadeur majeur; Engourdisseur majeur; Étourdisseur majeur; Nomade; Remueur; El Scarador</t>
        </is>
      </c>
    </row>
    <row r="33254">
      <c r="A33254" t="inlineStr">
        <is>
          <t>Stuff 1</t>
        </is>
      </c>
      <c r="B33254">
        <f>HYPERLINK("https://www.dofusbook.net/fr/equipement/724267-stuff-1/objets", "link")</f>
        <v/>
      </c>
      <c r="C33254" t="n">
        <v>0</v>
      </c>
      <c r="D33254" t="inlineStr">
        <is>
          <t>Dagues Érhy; Amulette du Strigide; Bracelet du Piloztère; Bague Gloursonne; Ceinture du Strigide; Masque du Katcheur; Voile d'encre; Bottes du Strigide; Dofus des Glaces; Dofus Ocre; Dofus Abyssal; Dofus Pourpre; Dofus Émeraude; Dofus Turquoise; Muldo Prune</t>
        </is>
      </c>
    </row>
    <row r="33255">
      <c r="A33255" t="inlineStr">
        <is>
          <t>Stuff 2</t>
        </is>
      </c>
      <c r="B33255">
        <f>HYPERLINK("https://www.dofusbook.net/fr/equipement/724307-stuff-2/objets", "link")</f>
        <v/>
      </c>
      <c r="C33255" t="n">
        <v>0</v>
      </c>
      <c r="D33255" t="inlineStr">
        <is>
          <t>Rapière aux Glyphes; Amulette Luminescente; Alliance Gloursonne; Bague Trithon; Ceinture Luminescente; Masque Trithon; Cape Luminescente; Bottes Trithon; Dofus Pourpre; Dofus Turquoise; Dofus Émeraude; Dofus Ocre; Dofus Abyssal; Bousculeur majeur; Muldo Ebène et Orchidée</t>
        </is>
      </c>
    </row>
    <row r="33256">
      <c r="A33256" t="inlineStr">
        <is>
          <t>Stuff 3</t>
        </is>
      </c>
      <c r="B33256">
        <f>HYPERLINK("https://www.dofusbook.net/fr/equipement/724262-stuff-3/objets", "link")</f>
        <v/>
      </c>
      <c r="C33256" t="n">
        <v>0</v>
      </c>
      <c r="D33256" t="inlineStr">
        <is>
          <t>Manthache; Collier du Valet Veinard; Gant du Valet Veinard; Alliance Gloursonne; Menoture; Casque Dragoeuf; Capchalot; Palmes Trithons; Dofus Pourpre; Cascadeur majeur; Évasif majeur; Nomade; Miraculé majeur; Cavaleur majeur; Croum</t>
        </is>
      </c>
    </row>
    <row r="33257">
      <c r="A33257" t="inlineStr">
        <is>
          <t>Stuff 1</t>
        </is>
      </c>
      <c r="B33257">
        <f>HYPERLINK("https://www.dofusbook.net/fr/equipement/724302-stuff-1/objets", "link")</f>
        <v/>
      </c>
      <c r="C33257" t="n">
        <v>0</v>
      </c>
      <c r="D33257" t="inlineStr">
        <is>
          <t>Épouvante; Amulette du Strigide; Pikano; Anneau Chevelu; Ceintacé; Coiffe du Lévitrof; Cape Luminescente; Bottes du Strigide; Dofus des Glaces; Dofus Turquoise; Dofus Pourpre; Miraculé majeur; Remueur; Nomade; Dragodinde en armure</t>
        </is>
      </c>
    </row>
    <row r="33258">
      <c r="A33258" t="inlineStr">
        <is>
          <t>Stuff 1</t>
        </is>
      </c>
      <c r="B33258">
        <f>HYPERLINK("https://www.dofusbook.net/fr/equipement/724254-stuff-1/objets", "link")</f>
        <v/>
      </c>
      <c r="C33258" t="n">
        <v>0</v>
      </c>
      <c r="D33258" t="inlineStr">
        <is>
          <t>Sceptre du Roi Joueur; Amulette du Strigide; Alliance Gloursonne; Bracelet des Fonds marins; Pagne du Rykaon; Kidibonnet; Cape de Mantaze; Sandales des Fonds marins; Dofus Émeraude; Dofus Abyssal; Dokoko; Dofus Ocre; Miraculé; Miraculé majeur; Muldo Ebène et Orchidée</t>
        </is>
      </c>
    </row>
    <row r="33259">
      <c r="A33259" t="inlineStr">
        <is>
          <t>Stuff 1</t>
        </is>
      </c>
      <c r="B33259">
        <f>HYPERLINK("https://www.dofusbook.net/fr/equipement/724297-stuff-1/objets", "link")</f>
        <v/>
      </c>
      <c r="C33259" t="n">
        <v>0</v>
      </c>
      <c r="D33259" t="inlineStr">
        <is>
          <t>Arc Hétype; Collier de la Dame du Hasard; Anneau Tamie; Anneau Tamie; Ceinture Instable; Couronne de Nidas; Cape de la Dame du Hasard; Pantoufles Émar; Temporiseur; Temporiseur majeur; Ralentisseur majeur; Nomade; Entraveur majeur; Remueur; Gwo Tofu Ventripotent</t>
        </is>
      </c>
    </row>
    <row r="33260">
      <c r="A33260" t="inlineStr">
        <is>
          <t>Stuff 2</t>
        </is>
      </c>
      <c r="B33260">
        <f>HYPERLINK("https://www.dofusbook.net/fr/equipement/724249-stuff-2/objets", "link")</f>
        <v/>
      </c>
      <c r="C33260" t="n">
        <v>0</v>
      </c>
      <c r="D33260" t="inlineStr">
        <is>
          <t>Manthache; Collier du Valet Veinard; Gant du Valet Veinard; Alliance Gloursonne; Menoture; Casque Dragoeuf; Cape Indescriptible; Palmes Trithons; Étourdisseur majeur; Remueur; Engourdisseur majeur; Cascadeur majeur; Muldo Ebène et Orchidée</t>
        </is>
      </c>
    </row>
    <row r="33261">
      <c r="A33261" t="inlineStr">
        <is>
          <t>Stuff 1</t>
        </is>
      </c>
      <c r="B33261">
        <f>HYPERLINK("https://www.dofusbook.net/fr/equipement/724292-stuff-1/objets", "link")</f>
        <v/>
      </c>
      <c r="C33261" t="n">
        <v>0</v>
      </c>
      <c r="D33261" t="inlineStr">
        <is>
          <t>Dagues Érhy; Amulette du Strigide; Bague Gloursonne; Alliance de Missiz Frizz; Ceinture du Strigide; Casque de Missiz Frizz; Cape Reski; Bottes du Strigide; Dofus Vulbis; Dofus Turquoise; Dofus Pourpre; Dofus Ocre; Dofus des Glaces; Turbulent; Kompost</t>
        </is>
      </c>
    </row>
    <row r="33262">
      <c r="A33262" t="inlineStr">
        <is>
          <t>Stuff 3</t>
        </is>
      </c>
      <c r="B33262">
        <f>HYPERLINK("https://www.dofusbook.net/fr/equipement/724239-stuff-3/objets", "link")</f>
        <v/>
      </c>
      <c r="C33262" t="n">
        <v>0</v>
      </c>
      <c r="D33262" t="inlineStr">
        <is>
          <t>Marteau des Anciens Steamers; Amulette du Strigide; Anneau Tique; Alliance Gloursonne; Ceinture du Barbétoal; Masque du Barbétoal; Voile d'encre; Sandales des Fonds marins; Dolmanax; Dofus Ocre; Nomade; Remueur; Carapace Eau majeur; Cavaleur majeur; Croum</t>
        </is>
      </c>
    </row>
    <row r="33263">
      <c r="A33263" t="inlineStr">
        <is>
          <t>Stuff 1</t>
        </is>
      </c>
      <c r="B33263">
        <f>HYPERLINK("https://www.dofusbook.net/fr/equipement/724225-stuff-1/objets", "link")</f>
        <v/>
      </c>
      <c r="C33263" t="n">
        <v>0</v>
      </c>
      <c r="D33263" t="inlineStr">
        <is>
          <t>Baguette de Malléfisk; Pendentif affamé; Anneau de Nidas; Anneau Tique; Protopagne; Couronne de Nidas; Voile d'encre; Bottes de Dremoan; Dofus Ocre; Dofus Abyssal; Dofus Émeraude; Guérisseur majeur; Remueur; Déserteur majeur; Croum</t>
        </is>
      </c>
    </row>
    <row r="33264">
      <c r="A33264" t="inlineStr">
        <is>
          <t>Stuff 2</t>
        </is>
      </c>
      <c r="B33264">
        <f>HYPERLINK("https://www.dofusbook.net/fr/equipement/724241-stuff-2/objets", "link")</f>
        <v/>
      </c>
      <c r="C33264" t="n">
        <v>0</v>
      </c>
      <c r="D33264" t="inlineStr">
        <is>
          <t>Dagues Érhy; Amulette du Strigide; Bracelet du Piloztère; Alliance Gloursonne; Ceintacé; Casque de Missiz Frizz; Voile d'encre; Bottes du Strigide; Dolmanax; Dofus Turquoise; Dofus Pourpre; Carapace Terre majeur; Remueur; Nomade; Dragodinde en armure</t>
        </is>
      </c>
    </row>
    <row r="33265">
      <c r="A33265" t="inlineStr">
        <is>
          <t>Stuff 3</t>
        </is>
      </c>
      <c r="B33265">
        <f>HYPERLINK("https://www.dofusbook.net/fr/equipement/724227-stuff-3/objets", "link")</f>
        <v/>
      </c>
      <c r="C33265" t="n">
        <v>0</v>
      </c>
      <c r="D33265" t="inlineStr">
        <is>
          <t>Le Thanos; Pendentif mignon de Koutoulou; Anneau de Nidas; Anneau Rifique; Protopagne; Casque Dragoeuf; Voile d'encre; Bottes de Dremoan; Dofus Émeraude; Dofus Ocre; Cavaleur majeur; Carapace Feu majeur; Guérisseur majeur; Remueur; El Scarador</t>
        </is>
      </c>
    </row>
    <row r="33266">
      <c r="A33266" t="inlineStr">
        <is>
          <t>Stuff 2</t>
        </is>
      </c>
      <c r="B33266">
        <f>HYPERLINK("https://www.dofusbook.net/fr/equipement/724238-stuff-2/objets", "link")</f>
        <v/>
      </c>
      <c r="C33266" t="n">
        <v>0</v>
      </c>
      <c r="D33266" t="inlineStr">
        <is>
          <t>Dagues Érhy; Amulette du Strigide; Bague Gloursonne; Bracelet du Piloztère; Ceintacé; Coiffe de la Fuji Givrefoux; Cape au Logis; Bottes du Strigide; Dofus Pourpre; Dofus des Glaces; Dofus Turquoise; Vigoureux majeur; Remueur; Fonceur majeur; Croum</t>
        </is>
      </c>
    </row>
    <row r="33267">
      <c r="A33267" t="inlineStr">
        <is>
          <t>Stuff 1</t>
        </is>
      </c>
      <c r="B33267">
        <f>HYPERLINK("https://www.dofusbook.net/fr/equipement/724240-stuff-1/objets", "link")</f>
        <v/>
      </c>
      <c r="C33267" t="n">
        <v>0</v>
      </c>
      <c r="D33267" t="inlineStr">
        <is>
          <t>Hache du Chalœil; Amulette du Strigide; Alliance Gloursonne; Bracelet du Piloztère; Ceintacé; Chapeau de Gein; Voile d'encre; Bottes du Strigide; Dofus des Glaces; Dofus Pourpre; Dolmanax; Dofus Turquoise; Nomade; Remueur; Dragodinde en armure</t>
        </is>
      </c>
    </row>
    <row r="33268">
      <c r="A33268" t="inlineStr">
        <is>
          <t>Stuff 2</t>
        </is>
      </c>
      <c r="B33268">
        <f>HYPERLINK("https://www.dofusbook.net/fr/equipement/724226-stuff-2/objets", "link")</f>
        <v/>
      </c>
      <c r="C33268" t="n">
        <v>0</v>
      </c>
      <c r="D33268" t="inlineStr">
        <is>
          <t>Baguette de Malléfisk; Amulette du Cycloïde; Anneau de Nidas; Anneau Rifique; Protopagne; Casque Cyclopéen; Voile d'encre; Bottes Innommables; Dofus Émeraude; Dofus Ocre; Guérisseur majeur; Remueur; Fortification majeure; Miraculé majeur; Brâkarien</t>
        </is>
      </c>
    </row>
    <row r="33269">
      <c r="A33269" t="inlineStr">
        <is>
          <t>Stuff 3</t>
        </is>
      </c>
      <c r="B33269">
        <f>HYPERLINK("https://www.dofusbook.net/fr/equipement/724242-stuff-3/objets", "link")</f>
        <v/>
      </c>
      <c r="C33269" t="n">
        <v>0</v>
      </c>
      <c r="D33269" t="inlineStr">
        <is>
          <t>Sabres d'Atcham; Amulette du Strigide; Anneau Tique; Alliance Gloursonne; Ceintacé; Chapeau des Malveilleurs; Voile d'encre; Bottes du Strigide; Dofus Pourpre; Dofus Turquoise; Dofus des Glaces; Remueur; Vigoureux majeur; Nomade; Dragodinde en armure</t>
        </is>
      </c>
    </row>
    <row r="33270">
      <c r="A33270" t="inlineStr">
        <is>
          <t>Stuff 1</t>
        </is>
      </c>
      <c r="B33270">
        <f>HYPERLINK("https://www.dofusbook.net/fr/equipement/724237-stuff-1/objets", "link")</f>
        <v/>
      </c>
      <c r="C33270" t="n">
        <v>0</v>
      </c>
      <c r="D33270" t="inlineStr">
        <is>
          <t>Hache du Chalœil; Amulette du Strigide; Bague Gloursonne; Bague Trithon; Ceintacé; Casque du Chalœil; Voile d'encre; Bottes du Chalœil; Dofus des Glaces; Dofus Turquoise; Dofus Pourpre; Dolmanax; Remueur; Miraculé majeur; Dragodinde en armure</t>
        </is>
      </c>
    </row>
    <row r="33271">
      <c r="A33271" t="inlineStr">
        <is>
          <t>Pandawa M 200</t>
        </is>
      </c>
      <c r="B33271">
        <f>HYPERLINK("https://www.dofusbook.net/fr/equipement/5207053-pandawa-m-200/objets", "link")</f>
        <v/>
      </c>
      <c r="C33271" t="n">
        <v>0</v>
      </c>
      <c r="D33271" t="inlineStr"/>
    </row>
    <row r="33272">
      <c r="A33272" t="inlineStr">
        <is>
          <t>Feu/eau</t>
        </is>
      </c>
      <c r="B33272">
        <f>HYPERLINK("https://www.dofusbook.net/fr/equipement/2886680-feu-eau/objets", "link")</f>
        <v/>
      </c>
      <c r="C33272" t="n">
        <v>0</v>
      </c>
      <c r="D33272" t="inlineStr">
        <is>
          <t>Arc Honte; Collier de la Dame du Hasard; Alliance Gloursonne; Chevalière du Roi Joueur; Bouclier cubiste; Ceinture de Kongoku; Capuche de l'Œil Putride; Cape de l'Œil Putride; Bottes de Meno; Dofus Pourpre; Dofus Ocre; Temporiseur majeur; Vigoureux majeur; Entraveur majeur; Remueur; Muldo Ebène et Pourpre</t>
        </is>
      </c>
    </row>
    <row r="33273">
      <c r="A33273" t="inlineStr">
        <is>
          <t>Feu/eau/heal</t>
        </is>
      </c>
      <c r="B33273">
        <f>HYPERLINK("https://www.dofusbook.net/fr/equipement/2926889-feu-eau-heal/objets", "link")</f>
        <v/>
      </c>
      <c r="C33273" t="n">
        <v>0</v>
      </c>
      <c r="D33273" t="inlineStr">
        <is>
          <t>Arc corrompu; Talisman Igans; Alliance Gloursonne; Anneauræus; Bouclier du Cycloïde; Ceintrigue; Masque de l'Esprit Malsain; Voile d'encre; Bottes de Meno; Dofus Turquoise; Dofus Pourpre; Dofus Ocre; Vigoureux majeur; Guérisseur majeur; Remueur; Muldo Prune et Orchidée</t>
        </is>
      </c>
    </row>
    <row r="33274">
      <c r="A33274" t="inlineStr">
        <is>
          <t>Terre/feu</t>
        </is>
      </c>
      <c r="B33274">
        <f>HYPERLINK("https://www.dofusbook.net/fr/equipement/2886493-terre-feu/objets", "link")</f>
        <v/>
      </c>
      <c r="C33274" t="n">
        <v>0</v>
      </c>
      <c r="D33274" t="inlineStr">
        <is>
          <t>Bâthon; Amulette Luminescente; Baguistik; Chevalière du Roi Joueur; Bouclier cubiste; Ceinture de Kongoku; Couronne du Roi Joueur; Voile d'encre; Sabots Volcaniques; Dofus Pourpre; Dofus Ocre; Entraveur majeur; Temporiseur majeur; Remueur; Nomade; Kramkram</t>
        </is>
      </c>
    </row>
    <row r="33275">
      <c r="A33275" t="inlineStr">
        <is>
          <t>terre/air brulame</t>
        </is>
      </c>
      <c r="B33275">
        <f>HYPERLINK("https://www.dofusbook.net/fr/equipement/2863798-terre-air-brulame/objets", "link")</f>
        <v/>
      </c>
      <c r="C33275" t="n">
        <v>0</v>
      </c>
      <c r="D33275" t="inlineStr">
        <is>
          <t>Héqache; Amulette du Strigide; Alliance Brûlâme; Bracelet du Piloztère; Bouclier du Captain Amakna; Ceintouse; Masque Brûlâme; Voile d'encre; Baleinabottes; Dofus Pourpre; Dofus Nébuleux; Dofus Turquoise; Remueur; Nomade; Vigoureux majeur; Kramkram</t>
        </is>
      </c>
    </row>
    <row r="33276">
      <c r="A33276" t="inlineStr">
        <is>
          <t>Multi chal</t>
        </is>
      </c>
      <c r="B33276">
        <f>HYPERLINK("https://www.dofusbook.net/fr/equipement/2862568-multi-chal/objets", "link")</f>
        <v/>
      </c>
      <c r="C33276" t="n">
        <v>0</v>
      </c>
      <c r="D33276" t="inlineStr">
        <is>
          <t>Hache du Chalœil; Amulette du Strigide; Bracelet du Piloztère; Alliance Gloursonne; Quatre-feuilles; Ceinture du Strigide; Casque du Chalœil; Voile d'encre; Bottes du Strigide; Dofus des Glaces; Dolmanax; Dofus Turquoise; Dofus Pourpre; Dofus Ocre; Muldo Prune et Emeraude</t>
        </is>
      </c>
    </row>
    <row r="33277">
      <c r="A33277" t="inlineStr">
        <is>
          <t>Multi chal</t>
        </is>
      </c>
      <c r="B33277">
        <f>HYPERLINK("https://www.dofusbook.net/fr/equipement/970265-multi-chal/objets", "link")</f>
        <v/>
      </c>
      <c r="C33277" t="n">
        <v>0</v>
      </c>
      <c r="D33277" t="inlineStr">
        <is>
          <t>Hache du Chalœil; Amulette du Strigide; Bracelet du Piloztère; Alliance Gloursonne; Quatre-feuilles; Ceintacé; Casque du Chalœil; Voile d'encre; Bottes du Chalœil; Dofus Turquoise; Dofus Ocre; Dofus Pourpre; Dofus des Glaces; Vigoureux majeur; Nomade; Dragodinde en armure</t>
        </is>
      </c>
    </row>
    <row r="33278">
      <c r="A33278" t="inlineStr">
        <is>
          <t>Terre/air</t>
        </is>
      </c>
      <c r="B33278">
        <f>HYPERLINK("https://www.dofusbook.net/fr/equipement/2854140-terre-air/objets", "link")</f>
        <v/>
      </c>
      <c r="C33278" t="n">
        <v>0</v>
      </c>
      <c r="D33278" t="inlineStr">
        <is>
          <t>Lance corrompue; Amulette du Kamasterisk; Alliance Gloursonne; Alliance Brûlâme; Bouclier cubiste; Ceintouse; Masque Brûlâme; Voile d'encre; Baleinabottes; Dofus Pourpre; Dofus Ocre; Nomade; Vigoureux majeur; Temporiseur majeur</t>
        </is>
      </c>
    </row>
    <row r="33279">
      <c r="A33279" t="inlineStr">
        <is>
          <t>Multi dorado</t>
        </is>
      </c>
      <c r="B33279">
        <f>HYPERLINK("https://www.dofusbook.net/fr/equipement/2853345-multi-dorado/objets", "link")</f>
        <v/>
      </c>
      <c r="C33279" t="n">
        <v>0</v>
      </c>
      <c r="D33279" t="inlineStr">
        <is>
          <t>Hache du Chalœil; Amulette du Strigide; Bracelet du Piloztère; Alliance Gloursonne; Quatre-feuilles; Ceinture du Strigide; Le Dorado; Voile d'encre; Bottes du Chalœil; Dofus des Glaces; Dofus Turquoise; Dofus Ocre; Dofus Pourpre; Nomade; Vigoureux majeur; Kramkram</t>
        </is>
      </c>
    </row>
    <row r="33280">
      <c r="A33280" t="inlineStr">
        <is>
          <t>terre air no cc</t>
        </is>
      </c>
      <c r="B33280">
        <f>HYPERLINK("https://www.dofusbook.net/fr/equipement/2837403-terre-air-no-cc/objets", "link")</f>
        <v/>
      </c>
      <c r="C33280" t="n">
        <v>0</v>
      </c>
      <c r="D33280" t="inlineStr">
        <is>
          <t>Lance corrompue; Collier du Valet Veinard; Gant du Valet Veinard; Alliance Brûlâme; Ceinture de l'Esprit Salvateur; Masque de l'Esprit Salvateur; Cape du Valet Veinard; Bottes de l'Esprit Salvateur; Dolmanax; Dofus Ocre; Dofus Pourpre; Dofus des Glaces</t>
        </is>
      </c>
    </row>
    <row r="33281">
      <c r="A33281" t="inlineStr">
        <is>
          <t>terre/air</t>
        </is>
      </c>
      <c r="B33281">
        <f>HYPERLINK("https://www.dofusbook.net/fr/equipement/2837324-terre-air/objets", "link")</f>
        <v/>
      </c>
      <c r="C33281" t="n">
        <v>0</v>
      </c>
      <c r="D33281" t="inlineStr">
        <is>
          <t>Héqache; Amulette du Strigide; Anneau des égarés; Bracelet du Piloztère; Quatre-feuilles; Ceinture du Strigide; Masque Brûlâme; Voile d'encre; Baleinabottes; Dofus Pourpre; Dofus Nébuleux; Dofus Turquoise; Vigoureux majeur; Remueur; Nomade; Kramkram</t>
        </is>
      </c>
    </row>
    <row r="33282">
      <c r="A33282" t="inlineStr">
        <is>
          <t>Tank Bourrin</t>
        </is>
      </c>
      <c r="B33282">
        <f>HYPERLINK("https://www.dofusbook.net/fr/equipement/2675788-tank-bourrin/objets", "link")</f>
        <v/>
      </c>
      <c r="C33282" t="n">
        <v>0</v>
      </c>
      <c r="D33282" t="inlineStr">
        <is>
          <t>Lance corrompue; Amulette Ementaire Deluxe; Alliance Brûlâme; Alliance Gloursonne; Bouclier du Stalak; Ceinture de la Reine des Voleurs; Coiffe de la Reine des Voleurs; Voile d'encre; Baleinabottes; Dofus Émeraude; Dofus Pourpre; Dofus des Glaces; Vigoureux majeur; Remueur; Nomade; Kramkram</t>
        </is>
      </c>
    </row>
    <row r="33283">
      <c r="A33283" t="inlineStr">
        <is>
          <t>PGMDELAMORKITU</t>
        </is>
      </c>
      <c r="B33283">
        <f>HYPERLINK("https://www.dofusbook.net/fr/equipement/2805383-pgmdelamorkitu-/objets", "link")</f>
        <v/>
      </c>
      <c r="C33283" t="n">
        <v>0</v>
      </c>
      <c r="D33283" t="inlineStr">
        <is>
          <t>Az'tech; Amulette Ementaire Deluxe; Alliance Gloursonne; Bague Gloursonne; Bouclier Taverne; Ceinture d'Ogivol; Casque de Missiz Frizz; Voile d'encre; Grésilobottes; Dofus Pourpre; Dofus Ocre; Dofus Turquoise; Remueur; Vigoureux majeur; Nomade; Kramkram</t>
        </is>
      </c>
    </row>
    <row r="33284">
      <c r="A33284" t="inlineStr">
        <is>
          <t>teree/Air</t>
        </is>
      </c>
      <c r="B33284">
        <f>HYPERLINK("https://www.dofusbook.net/fr/equipement/2796153-teree-air/objets", "link")</f>
        <v/>
      </c>
      <c r="C33284" t="n">
        <v>0</v>
      </c>
      <c r="D33284" t="inlineStr">
        <is>
          <t>Dagues Lassay; La Meulette; Sceau Souverain du Roissingue; Anneau de Cantile; Bouclier Taverne; Ceinture du Frelon Noir; Bonnet Ko; Cape Phossile; Bottes Phossiles; Dofus Pourpre; Dofus Ocre; Remueur; Nomade; Enragé majeur; Vigoureux majeur; Muldo Doré et Pourpre</t>
        </is>
      </c>
    </row>
    <row r="33285">
      <c r="A33285" t="inlineStr">
        <is>
          <t>Air PVP</t>
        </is>
      </c>
      <c r="B33285">
        <f>HYPERLINK("https://www.dofusbook.net/fr/equipement/2708551-air-pvp/objets", "link")</f>
        <v/>
      </c>
      <c r="C33285" t="n">
        <v>0</v>
      </c>
      <c r="D33285" t="inlineStr">
        <is>
          <t>Porte-Malheur du Nowel Cauchemardesque; Sceau Souverain du Roissingue; Crochet de Ben le Ripate; Ceinture de l'Orfélin; Chapeau de Ben le Ripate</t>
        </is>
      </c>
    </row>
    <row r="33286">
      <c r="A33286" t="inlineStr">
        <is>
          <t>tuetout</t>
        </is>
      </c>
      <c r="B33286">
        <f>HYPERLINK("https://www.dofusbook.net/fr/equipement/2680956-tuetout/objets", "link")</f>
        <v/>
      </c>
      <c r="C33286" t="n">
        <v>0</v>
      </c>
      <c r="D33286" t="inlineStr">
        <is>
          <t>Héqache; Amulette du Strigide; Alliance Gloursonne; Bracelet du Piloztère; Quatre-feuilles; Ceinture de la Reine des Voleurs; Coiffe de la Reine des Voleurs; Voile d'encre; Baleinabottes; Dofus Turquoise; Dofus des Glaces; Dofus Pourpre; Dofus Ocre; Vigoureux majeur; Nomade; Kramkram</t>
        </is>
      </c>
    </row>
    <row r="33287">
      <c r="A33287" t="inlineStr">
        <is>
          <t>tuetout2</t>
        </is>
      </c>
      <c r="B33287">
        <f>HYPERLINK("https://www.dofusbook.net/fr/equipement/2681119-tuetout2/objets", "link")</f>
        <v/>
      </c>
      <c r="C33287" t="n">
        <v>0</v>
      </c>
      <c r="D33287" t="inlineStr">
        <is>
          <t>Arc Ahique; Amulette Ementaire Deluxe; Bague Gloursonne; Alliance Gloursonne; Quatre-feuilles; Ceinture de la Reine des Voleurs; Coiffe de la Reine des Voleurs; Voile d'encre; Bottes de la Reine des Voleurs; Dofus Émeraude; Dofus Ocre; Dofus des Glaces; Dolmanax; Dofus Pourpre; Robuste majeur; Muldo Doré et Ebène</t>
        </is>
      </c>
    </row>
    <row r="33288">
      <c r="A33288" t="inlineStr">
        <is>
          <t>Tank 2</t>
        </is>
      </c>
      <c r="B33288">
        <f>HYPERLINK("https://www.dofusbook.net/fr/equipement/2675704-tank-2/objets", "link")</f>
        <v/>
      </c>
      <c r="C33288" t="n">
        <v>0</v>
      </c>
      <c r="D33288" t="inlineStr">
        <is>
          <t>Lance corrompue; Amulette Ementaire Deluxe; Alliance Gloursonne; Alliance Brûlâme; Bouclier précieux; Menoture; Chapoulpe; Voile d'encre; Tentassons; Dofus Émeraude; Dofus Pourpre; Dofus des Glaces; Miraculé majeur; Obstructeur majeur; Remueur; Muldo Roux et Ebène</t>
        </is>
      </c>
    </row>
    <row r="33289">
      <c r="A33289" t="inlineStr">
        <is>
          <t>terre/air tank 2</t>
        </is>
      </c>
      <c r="B33289">
        <f>HYPERLINK("https://www.dofusbook.net/fr/equipement/2667267-terre-air-tank-2/objets", "link")</f>
        <v/>
      </c>
      <c r="C33289" t="n">
        <v>0</v>
      </c>
      <c r="D33289" t="inlineStr">
        <is>
          <t>Lance corrompue; Collier de Tourthon; Alliance Brûlâme; Alliance Gloursonne; Bouclier précieux; Ceinture de la Reine des Voleurs; Coiffe de la Reine des Voleurs; Voile d'encre; Baleinabottes; Dofus Émeraude; Dofus Pourpre; Miraculé majeur; Nomade; Remueur; Obstructeur majeur; Kramkram</t>
        </is>
      </c>
    </row>
    <row r="33290">
      <c r="A33290" t="inlineStr">
        <is>
          <t>Terre/air tank</t>
        </is>
      </c>
      <c r="B33290">
        <f>HYPERLINK("https://www.dofusbook.net/fr/equipement/2667117-terre-air-tank/objets", "link")</f>
        <v/>
      </c>
      <c r="C33290" t="n">
        <v>0</v>
      </c>
      <c r="D33290" t="inlineStr">
        <is>
          <t>Lance corrompue; Amulette du Cœur Vaillant; Alliance Brûlâme; Alliance Gloursonne; Bouclier alvéolé; Ceintouse; Coiffe de la Reine des Voleurs; Voile d'encre; Pompes Funèbres; Dofus Pourpre; Dofus Émeraude; Nomade; Remueur; Vigoureux majeur; Kramkram</t>
        </is>
      </c>
    </row>
    <row r="33291">
      <c r="A33291" t="inlineStr">
        <is>
          <t>Feu/eau</t>
        </is>
      </c>
      <c r="B33291">
        <f>HYPERLINK("https://www.dofusbook.net/fr/equipement/2661469-feu-eau/objets", "link")</f>
        <v/>
      </c>
      <c r="C33291" t="n">
        <v>0</v>
      </c>
      <c r="D33291" t="inlineStr">
        <is>
          <t>Arc Nécrotique; Amulette de l'Œil Putride; Alliance Gloursonne; Bracelet du Piloztère; Quatre-feuilles; Ceinture de l'Esprit Malsain; Capuche de l'Œil Putride; Voile d'encre; Pataugastrique; Dofus Pourpre; Dofus Ocre; Dolmanax; Dofus Turquoise; Nomade; Vigoureux majeur; Kramkram</t>
        </is>
      </c>
    </row>
    <row r="33292">
      <c r="A33292" t="inlineStr">
        <is>
          <t>feu/Eau</t>
        </is>
      </c>
      <c r="B33292">
        <f>HYPERLINK("https://www.dofusbook.net/fr/equipement/2636262-feu-eau/objets", "link")</f>
        <v/>
      </c>
      <c r="C33292" t="n">
        <v>0</v>
      </c>
      <c r="D33292" t="inlineStr">
        <is>
          <t>Rapière aux Glyphes; Amulette de Danathor; Kralano; Alliance Gloursonne; Quatre-feuilles; Ceinture du Glourséleste; Casqnoar; Voile d'encre; Bottes Refois; Dofus Pourpre; Dofus Ocre; Nomade; Vigoureux majeur; Remueur; Kramkram</t>
        </is>
      </c>
    </row>
    <row r="33293">
      <c r="A33293" t="inlineStr">
        <is>
          <t>air pvp</t>
        </is>
      </c>
      <c r="B33293">
        <f>HYPERLINK("https://www.dofusbook.net/fr/equipement/2617587-air-pvp/objets", "link")</f>
        <v/>
      </c>
      <c r="C33293" t="n">
        <v>0</v>
      </c>
      <c r="D33293" t="inlineStr">
        <is>
          <t>Amulette de Frigostine; Gelano; Anneau Cérémonial du Seigneur des Rats; Cacture; Coiffe Cérémoniale du Seigneur des Rats; Gruchape; Bottes Harry; Dokoko; Dolmanax; Dofus Pourpre; Remueur; Nomade</t>
        </is>
      </c>
    </row>
    <row r="33294">
      <c r="A33294" t="inlineStr">
        <is>
          <t>PVP</t>
        </is>
      </c>
      <c r="B33294">
        <f>HYPERLINK("https://www.dofusbook.net/fr/equipement/2580671-pvp/objets", "link")</f>
        <v/>
      </c>
      <c r="C33294" t="n">
        <v>0</v>
      </c>
      <c r="D33294" t="inlineStr">
        <is>
          <t>Glaive Icération; La Meulette; Anneau du Chêne Mou; Gelano; Bouclier Taverne; Ceinture Phossile; Kaskargo; Cape du Meulou; Sandales Gorithme; Dofus Ocre; Dofus Pourpre; Nomade; Enragé majeur; Remueur; Kramkram</t>
        </is>
      </c>
    </row>
    <row r="33295">
      <c r="A33295" t="inlineStr">
        <is>
          <t>level 140</t>
        </is>
      </c>
      <c r="B33295">
        <f>HYPERLINK("https://www.dofusbook.net/fr/equipement/2531999-level-140/objets", "link")</f>
        <v/>
      </c>
      <c r="C33295" t="n">
        <v>0</v>
      </c>
      <c r="D33295" t="inlineStr"/>
    </row>
    <row r="33296">
      <c r="A33296" t="inlineStr">
        <is>
          <t>eau air</t>
        </is>
      </c>
      <c r="B33296">
        <f>HYPERLINK("https://www.dofusbook.net/fr/equipement/1891833-eau-air/objets", "link")</f>
        <v/>
      </c>
      <c r="C33296" t="n">
        <v>0</v>
      </c>
      <c r="D33296" t="inlineStr">
        <is>
          <t>Bâtonnet Ronien; Amulette Voldelor; Bracelet du Piloztère; Alliance Gloursonne; Quatre-feuilles; Ceinture Voldelor; Némès de Tal Kasha; Chevelure de Tal Kasha; Sandales de Tal Kasha; Dofus Nébuleux; Dofus Pourpre; Dofus des Glaces; Dofus Turquoise; Dolmanax; Dofus Ocre; Muldo Prune et Emeraude</t>
        </is>
      </c>
    </row>
    <row r="33297">
      <c r="A33297" t="inlineStr">
        <is>
          <t>eau air</t>
        </is>
      </c>
      <c r="B33297">
        <f>HYPERLINK("https://www.dofusbook.net/fr/equipement/1758035-eau-air/objets", "link")</f>
        <v/>
      </c>
      <c r="C33297" t="n">
        <v>0</v>
      </c>
      <c r="D33297" t="inlineStr">
        <is>
          <t>Arc de Koutoulou; Amulette Voldelor; Bracelet du Piloztère; Alliance Gloursonne; Ceinture Voldelor; Némès de Tal Kasha; Chevelure de Tal Kasha; Sandales de Tal Kasha; Dofus Ocre; Dofus Pourpre; Dofus Turquoise; Dofus Émeraude; Muldo Prune et Emeraude</t>
        </is>
      </c>
    </row>
    <row r="33298">
      <c r="A33298" t="inlineStr">
        <is>
          <t>feu pvm</t>
        </is>
      </c>
      <c r="B33298">
        <f>HYPERLINK("https://www.dofusbook.net/fr/equipement/1115738-feu-pvm/objets", "link")</f>
        <v/>
      </c>
      <c r="C33298" t="n">
        <v>0</v>
      </c>
      <c r="D33298" t="inlineStr">
        <is>
          <t>Arc Hétype; Collier de la Dame du Hasard; Chevalière du Roi Joueur; Anneau de Nidas; Bouclier cubiste; Ceinture Séculaire; Casquette de Meno; Cape de Diondin; Bottes de Meno; Dofus Ocre; Entraveur majeur; Nomade; Temporiseur majeur; Fonceur majeur; Ralentisseur majeur</t>
        </is>
      </c>
    </row>
    <row r="33299">
      <c r="A33299" t="inlineStr">
        <is>
          <t>EAU AIR</t>
        </is>
      </c>
      <c r="B33299">
        <f>HYPERLINK("https://www.dofusbook.net/fr/equipement/1053143-eau-air/objets", "link")</f>
        <v/>
      </c>
      <c r="C33299" t="n">
        <v>0</v>
      </c>
      <c r="D33299" t="inlineStr">
        <is>
          <t>Arc de Koutoulou; Amulette du Strigide; Alliance Gloursonne; Bracelet du Piloztère; Quatre-feuilles; Ceintacé; Némès de Tal Kasha; Chevelure de Tal Kasha; Bottes Voldelor; Dofus Pourpre; Dofus Émeraude; Dofus Turquoise; Nomade; Remueur; Vigoureux majeur; Kramkram</t>
        </is>
      </c>
    </row>
    <row r="33300">
      <c r="A33300" t="inlineStr">
        <is>
          <t>Stuff 2</t>
        </is>
      </c>
      <c r="B33300">
        <f>HYPERLINK("https://www.dofusbook.net/fr/equipement/1030783-stuff-2/objets", "link")</f>
        <v/>
      </c>
      <c r="C33300" t="n">
        <v>0</v>
      </c>
      <c r="D33300" t="inlineStr">
        <is>
          <t>Héqache; Amulette du Strigide; Bracelet du Piloztère; Bague Gloursonne; Ceinture du Strigide; Casque de Missiz Frizz; Voile d'encre; Bottes du Cycloïde; Dofus Ocre; Dofus Turquoise; Dofus Pourpre; Vigoureux majeur; Remueur; Nomade; Kwaltess</t>
        </is>
      </c>
    </row>
    <row r="33301">
      <c r="A33301" t="inlineStr">
        <is>
          <t>Stuff 4</t>
        </is>
      </c>
      <c r="B33301">
        <f>HYPERLINK("https://www.dofusbook.net/fr/equipement/957448-stuff-4/objets", "link")</f>
        <v/>
      </c>
      <c r="C33301" t="n">
        <v>0</v>
      </c>
      <c r="D33301" t="inlineStr">
        <is>
          <t>Manthache; Collier du Valet Veinard; Gant du Valet Veinard; Alliance Gloursonne; Ceinture Billonnante; Dorabysses; Cape Indescriptible; Palmes Trithons; Dofus Ocre; Dofus Pourpre; Remueur; Nomade; Cascadeur majeur; Kramkram</t>
        </is>
      </c>
    </row>
    <row r="33302">
      <c r="A33302" t="inlineStr">
        <is>
          <t>Stuff 2</t>
        </is>
      </c>
      <c r="B33302">
        <f>HYPERLINK("https://www.dofusbook.net/fr/equipement/882808-stuff-2/objets", "link")</f>
        <v/>
      </c>
      <c r="C33302" t="n">
        <v>0</v>
      </c>
      <c r="D33302" t="inlineStr">
        <is>
          <t>Marteau des Anciens Steamers; Kralamansion; Anneau d'Allister; Alliance Gloursonne; Quatre-feuilles; Ceinture Billonnante; Coiffe d'Ogivol; Cape Matelassée; Bottes d'Allister; Dofus Turquoise; Dofus Pourpre; Miraculé majeur; Cascadeur majeur; Vigoureux majeur; Remueur</t>
        </is>
      </c>
    </row>
    <row r="33303">
      <c r="A33303" t="inlineStr">
        <is>
          <t>Multi</t>
        </is>
      </c>
      <c r="B33303">
        <f>HYPERLINK("https://www.dofusbook.net/fr/equipement/530913-multi/objets", "link")</f>
        <v/>
      </c>
      <c r="C33303" t="n">
        <v>0</v>
      </c>
      <c r="D33303" t="inlineStr">
        <is>
          <t>Hache du Chalœil; Amulette du Strigide; Bracelet du Piloztère; Alliance Gloursonne; Bouclier du Stalak; Ceintacé; Casque du Chalœil; Voile d'encre; Bottes du Strigide; Dofus Pourpre; Dolmanax; Dofus Turquoise; Remueur; Nomade; Chanceux majeur; Dragodinde en armure</t>
        </is>
      </c>
    </row>
    <row r="33304">
      <c r="A33304" t="inlineStr">
        <is>
          <t>full eau</t>
        </is>
      </c>
      <c r="B33304">
        <f>HYPERLINK("https://www.dofusbook.net/fr/equipement/654997-full-eau/objets", "link")</f>
        <v/>
      </c>
      <c r="C33304" t="n">
        <v>0</v>
      </c>
      <c r="D33304" t="inlineStr">
        <is>
          <t>Dagoulinantes; Amulette de Shokkoth; Bracelet des Fonds marins; Alliance Gloursonne; Bouclier du Stalak; Ceinture Voldelor; Kidibonnet; Cape de Mantaze; Sandales des Fonds marins; Dofus Turquoise; Dofus Émeraude; Nomade; Chanceux majeur; Remueur; Dévastateur Eau majeur; Kramkram</t>
        </is>
      </c>
    </row>
    <row r="33305">
      <c r="A33305" t="inlineStr">
        <is>
          <t>Feu</t>
        </is>
      </c>
      <c r="B33305">
        <f>HYPERLINK("https://www.dofusbook.net/fr/equipement/560469-feu/objets", "link")</f>
        <v/>
      </c>
      <c r="C33305" t="n">
        <v>0</v>
      </c>
      <c r="D33305" t="inlineStr">
        <is>
          <t>Arc Hétype; Amulette d'Otomaï; Anneau Tamie; Bague Gloursonne; Ceinture du Glourséleste; Chapeau Lisson; Cape du Glourséleste; Pantoufles Émar; Dofus Cawotte; Nomade; Ralentisseur majeur; Temporiseur; Remueur; Temporiseur majeur; Dragodinde Prune et Emeraude</t>
        </is>
      </c>
    </row>
    <row r="33306">
      <c r="A33306" t="inlineStr">
        <is>
          <t>Stuff 1</t>
        </is>
      </c>
      <c r="B33306">
        <f>HYPERLINK("https://www.dofusbook.net/fr/equipement/530927-stuff-1/objets", "link")</f>
        <v/>
      </c>
      <c r="C33306" t="n">
        <v>0</v>
      </c>
      <c r="D33306" t="inlineStr">
        <is>
          <t>Baguette Hernelle; Amulette de Nileza; Kralano; Anneau de Padgref; Ceinture Séculaire; Coiffe Séculaire; Voile d'encre; Bottes d'Otomaï; Dofus Ocre; Dofus Turquoise; Dévastateur Feu majeur; Érudit majeur; Remueur; Nomade; Dragodinde en armure</t>
        </is>
      </c>
    </row>
    <row r="33307">
      <c r="A33307" t="inlineStr">
        <is>
          <t>Stuff 3</t>
        </is>
      </c>
      <c r="B33307">
        <f>HYPERLINK("https://www.dofusbook.net/fr/equipement/530917-stuff-3/objets", "link")</f>
        <v/>
      </c>
      <c r="C33307" t="n">
        <v>0</v>
      </c>
      <c r="D33307" t="inlineStr">
        <is>
          <t>Marteau des Anciens Steamers; Pendentif Oton; Gelano; Alliance Gloursonne; Ceinture Billonnante; Couronne d'Allister; Cape Matelassée; Bottes d'Allister; Dofus Cawotte; Nomade; Cascadeur majeur; Remueur; Dragodinde en armure</t>
        </is>
      </c>
    </row>
    <row r="33308">
      <c r="A33308" t="inlineStr">
        <is>
          <t>Stuff 1</t>
        </is>
      </c>
      <c r="B33308">
        <f>HYPERLINK("https://www.dofusbook.net/fr/equipement/530912-stuff-1/objets", "link")</f>
        <v/>
      </c>
      <c r="C33308" t="n">
        <v>0</v>
      </c>
      <c r="D33308" t="inlineStr">
        <is>
          <t>Rapière aux Glyphes; Amulette de Danathor; Alliance Gloursonne; Pikano; Ceinture Glaciale; Coiffe de Danathor; Cape Matelassée; Sandales Circulaires du Kimbo; Remueur; Miraculé majeur; Nomade; Chanceux majeur; Dévastateur Eau majeur; Dragodinde Prune et Emeraude</t>
        </is>
      </c>
    </row>
    <row r="33309">
      <c r="A33309" t="inlineStr">
        <is>
          <t>Stuff 3</t>
        </is>
      </c>
      <c r="B33309">
        <f>HYPERLINK("https://www.dofusbook.net/fr/equipement/530929-stuff-3/objets", "link")</f>
        <v/>
      </c>
      <c r="C33309" t="n">
        <v>0</v>
      </c>
      <c r="D33309" t="inlineStr">
        <is>
          <t>La Baguette des Limbes; Collier du Minotot; Gelano; Crochet de Ben le Ripate; Ceinture du Père Phorreur; Coiffe du Minotot; Cape du Bretteur Céleste; Bottes de Ush; Dofus Cawotte; Érudit majeur; Observateur; Miraculé majeur; Remueur</t>
        </is>
      </c>
    </row>
    <row r="33310">
      <c r="A33310" t="inlineStr">
        <is>
          <t>Stuff 1</t>
        </is>
      </c>
      <c r="B33310">
        <f>HYPERLINK("https://www.dofusbook.net/fr/equipement/530924-stuff-1/objets", "link")</f>
        <v/>
      </c>
      <c r="C33310" t="n">
        <v>0</v>
      </c>
      <c r="D33310" t="inlineStr">
        <is>
          <t>Dagues Açantes; Kralamansion; Alliance Gloursonne; Pikano; Ceinture Glaciale; Coiffe d'Ogivol; Cape Matelassée; Pikottes; Dofus Turquoise; Dofus Ocre; Remueur; Chanceux majeur; Entraveur majeur; Temporiseur majeur; Dragodinde Prune et Emeraude</t>
        </is>
      </c>
    </row>
    <row r="33311">
      <c r="A33311" t="inlineStr">
        <is>
          <t>Stuff 3</t>
        </is>
      </c>
      <c r="B33311">
        <f>HYPERLINK("https://www.dofusbook.net/fr/equipement/530914-stuff-3/objets", "link")</f>
        <v/>
      </c>
      <c r="C33311" t="n">
        <v>0</v>
      </c>
      <c r="D33311" t="inlineStr">
        <is>
          <t>Rapière aux Glyphes; Amulette de Shokkoth; Bracelet des Fonds marins; Alliance Gloursonne; Ceinture Glaciale; Kidibonnet; Voile d'encre; Sandales des Fonds marins; Dofus Pourpre; Remueur; Nomade; Dévastateur Eau majeur; Chanceux majeur; Dragodinde en armure</t>
        </is>
      </c>
    </row>
    <row r="33312">
      <c r="A33312" t="inlineStr">
        <is>
          <t>Stuff 1</t>
        </is>
      </c>
      <c r="B33312">
        <f>HYPERLINK("https://www.dofusbook.net/fr/equipement/530909-stuff-1/objets", "link")</f>
        <v/>
      </c>
      <c r="C33312" t="n">
        <v>0</v>
      </c>
      <c r="D33312" t="inlineStr">
        <is>
          <t>Bêche Asse; Amulette Héroclite; Bague Gloursonne; Gelano; Ceinture de Brouce; Bonnet Ko; Cape du Professeur Xa; Bottes de Brouce; Miraculé majeur; Remueur; Vigoureux majeur; Dévastateur Terre majeur; Nomade; Enragé majeur; Kramkram</t>
        </is>
      </c>
    </row>
    <row r="33313">
      <c r="A33313" t="inlineStr">
        <is>
          <t>Stuff 3</t>
        </is>
      </c>
      <c r="B33313">
        <f>HYPERLINK("https://www.dofusbook.net/fr/equipement/530926-stuff-3/objets", "link")</f>
        <v/>
      </c>
      <c r="C33313" t="n">
        <v>0</v>
      </c>
      <c r="D33313" t="inlineStr">
        <is>
          <t>Dagues Açantes; Kralamansion; Alliance Gloursonne; Pikano; Ceinture Glaciale; Casquipik; Cape Matelassée; Sandales Circulaires du Kimbo; Dofus Turquoise; Dofus Ocre; Remueur; Chanceux majeur; Nomade; Temporiseur majeur; Kramkram</t>
        </is>
      </c>
    </row>
    <row r="33314">
      <c r="A33314" t="inlineStr">
        <is>
          <t>Stuff 2</t>
        </is>
      </c>
      <c r="B33314">
        <f>HYPERLINK("https://www.dofusbook.net/fr/equipement/530916-stuff-2/objets", "link")</f>
        <v/>
      </c>
      <c r="C33314" t="n">
        <v>0</v>
      </c>
      <c r="D33314" t="inlineStr">
        <is>
          <t>Marteau des Anciens Steamers; Pendentif Oton; Alliance Gloursonne; Anneau d'Allister; Ceinture Billonnante; Coiffe d'Ogivol; Cape Matelassée; Bottes d'Allister; Miraculé majeur; Nomade; Chanceux majeur; Cascadeur majeur; Vigoureux majeur; Remueur; Dragodinde Prune et Emeraude</t>
        </is>
      </c>
    </row>
    <row r="33315">
      <c r="A33315" t="inlineStr">
        <is>
          <t>Stuff 1</t>
        </is>
      </c>
      <c r="B33315">
        <f>HYPERLINK("https://www.dofusbook.net/fr/equipement/530909-stuff-1/objets", "link")</f>
        <v/>
      </c>
      <c r="C33315" t="n">
        <v>0</v>
      </c>
      <c r="D33315" t="inlineStr">
        <is>
          <t>Bêche Asse; Amulette Héroclite; Gelano; Bague Gloursonne; Ceinture de Brouce; Bonnet Ko; Cape du Professeur Xa; Bottes de Brouce; Nomade; Enragé majeur; Miraculé majeur; Remueur; Vigoureux majeur; Dévastateur Terre majeur; Kramkram</t>
        </is>
      </c>
    </row>
    <row r="33316">
      <c r="A33316" t="inlineStr">
        <is>
          <t>Stuff 3</t>
        </is>
      </c>
      <c r="B33316">
        <f>HYPERLINK("https://www.dofusbook.net/fr/equipement/530926-stuff-3/objets", "link")</f>
        <v/>
      </c>
      <c r="C33316" t="n">
        <v>0</v>
      </c>
      <c r="D33316" t="inlineStr">
        <is>
          <t>Dagues Açantes; Kralamansion; Pikano; Alliance Gloursonne; Ceinture Glaciale; Casquipik; Cape Matelassée; Sandales Circulaires du Kimbo; Dofus Ocre; Dofus Turquoise; Temporiseur majeur; Remueur; Chanceux majeur; Nomade; Kramkram</t>
        </is>
      </c>
    </row>
    <row r="33317">
      <c r="A33317" t="inlineStr">
        <is>
          <t>Stuff 2</t>
        </is>
      </c>
      <c r="B33317">
        <f>HYPERLINK("https://www.dofusbook.net/fr/equipement/530916-stuff-2/objets", "link")</f>
        <v/>
      </c>
      <c r="C33317" t="n">
        <v>0</v>
      </c>
      <c r="D33317" t="inlineStr">
        <is>
          <t>Marteau des Anciens Steamers; Pendentif Oton; Alliance Gloursonne; Anneau d'Allister; Ceinture Billonnante; Coiffe d'Ogivol; Cape Matelassée; Bottes d'Allister; Vigoureux majeur; Remueur; Miraculé majeur; Nomade; Chanceux majeur; Cascadeur majeur; Dragodinde Prune et Emeraude</t>
        </is>
      </c>
    </row>
    <row r="33318">
      <c r="A33318" t="inlineStr">
        <is>
          <t>Stuff 3</t>
        </is>
      </c>
      <c r="B33318">
        <f>HYPERLINK("https://www.dofusbook.net/fr/equipement/530911-stuff-3/objets", "link")</f>
        <v/>
      </c>
      <c r="C33318" t="n">
        <v>0</v>
      </c>
      <c r="D33318" t="inlineStr">
        <is>
          <t>Youyettes; Amulette Hendart; Bague Gloursonne; Gelano; Ceinture de Brouce; Casque de Missiz Frizz; Cape du Professeur Xa; Bottes de Missiz Frizz; Dofus Pourpre; Nomade; Enragé majeur; Remueur; Vigoureux majeur; Turbulent; Dragodinde en armure</t>
        </is>
      </c>
    </row>
    <row r="33319">
      <c r="A33319" t="inlineStr">
        <is>
          <t>Stuff 2</t>
        </is>
      </c>
      <c r="B33319">
        <f>HYPERLINK("https://www.dofusbook.net/fr/equipement/530928-stuff-2/objets", "link")</f>
        <v/>
      </c>
      <c r="C33319" t="n">
        <v>0</v>
      </c>
      <c r="D33319" t="inlineStr">
        <is>
          <t>Baguette Hernelle; Amulette de Nileza; Anneau de Padgref; Gelano; Ceinture Hanium; Coiffe de Padgref; Voile d'encre; Bottes d'Otomaï</t>
        </is>
      </c>
    </row>
    <row r="33320">
      <c r="A33320" t="inlineStr">
        <is>
          <t>Stuff 1</t>
        </is>
      </c>
      <c r="B33320">
        <f>HYPERLINK("https://www.dofusbook.net/fr/equipement/530930-stuff-1/objets", "link")</f>
        <v/>
      </c>
      <c r="C33320" t="n">
        <v>0</v>
      </c>
      <c r="D33320" t="inlineStr">
        <is>
          <t>Hache du Guerrier Zoth; La Meulette; Gelano; Anneau Nobstant; Cacture; Bonnet Ko; Cape Phossile; Bottes Phossiles; Dofus Pourpre; Dofus Émeraude; Remueur; Vigoureux majeur; Nomade; Miraculé majeur; Muldo Doré</t>
        </is>
      </c>
    </row>
    <row r="33321">
      <c r="A33321" t="inlineStr">
        <is>
          <t>Iop M 200</t>
        </is>
      </c>
      <c r="B33321">
        <f>HYPERLINK("https://www.dofusbook.net/fr/equipement/5348015-iop-m-200/objets", "link")</f>
        <v/>
      </c>
      <c r="C33321" t="n">
        <v>0</v>
      </c>
      <c r="D33321" t="inlineStr">
        <is>
          <t>Arc du Chalœil; Amulette du Cœur Saignant; Anneau Chevelu; Anneau Crustique; Ceinture Volkorne; Masque de Koutoulou; Cape au Logis; Bottes du Cœur Saignant; Bulbisou</t>
        </is>
      </c>
    </row>
    <row r="33322">
      <c r="A33322" t="inlineStr">
        <is>
          <t>Stuff 3</t>
        </is>
      </c>
      <c r="B33322">
        <f>HYPERLINK("https://www.dofusbook.net/fr/equipement/810287-stuff-3/objets", "link")</f>
        <v/>
      </c>
      <c r="C33322" t="n">
        <v>0</v>
      </c>
      <c r="D33322" t="inlineStr">
        <is>
          <t>Hache du Chalœil; Amulette Volkorne; Bague Trithon; Anneau Volkorne; Quatre-feuilles; Ceinture Volkorne; Masque Trithon; Cape du Chalœil; Bottes Trithon; Dofus des Glaces; Dofus Turquoise; Dofus Ocre; Dofus Pourpre; Dofus Abyssal; Dofus Ébène; Chacha Angora</t>
        </is>
      </c>
    </row>
    <row r="33323">
      <c r="A33323" t="inlineStr">
        <is>
          <t>Ecaflip M 200</t>
        </is>
      </c>
      <c r="B33323">
        <f>HYPERLINK("https://www.dofusbook.net/fr/equipement/4656226-ecaflip-m-200/objets", "link")</f>
        <v/>
      </c>
      <c r="C33323" t="n">
        <v>3</v>
      </c>
      <c r="D33323" t="inlineStr">
        <is>
          <t>Manthache; Collier du Valet Veinard; Alliance Gloursonne; Gant du Valet Veinard; Menoture; Casque Dragoeuf; Cape Indescriptible; Palmes Trithons; Dofus Émeraude; Dofus Pourpre; Dofus Abyssal; Cascadeur majeur; Blérodoudou</t>
        </is>
      </c>
    </row>
    <row r="33324">
      <c r="A33324" t="inlineStr">
        <is>
          <t>Stuff 1</t>
        </is>
      </c>
      <c r="B33324">
        <f>HYPERLINK("https://www.dofusbook.net/fr/equipement/810270-stuff-1/objets", "link")</f>
        <v/>
      </c>
      <c r="C33324" t="n">
        <v>1</v>
      </c>
      <c r="D33324" t="inlineStr">
        <is>
          <t>Arc corrompu; Amulette Volkorne; Anneauræus; Anneau Volkorne; Ceinture de Vortex; Cape de Diondin; Bottes Innommables; Dofus Turquoise; Dofus Pourpre; Dofus des Glaces</t>
        </is>
      </c>
    </row>
    <row r="33325">
      <c r="A33325" t="inlineStr">
        <is>
          <t>Ecaflip M 200</t>
        </is>
      </c>
      <c r="B33325">
        <f>HYPERLINK("https://www.dofusbook.net/fr/equipement/4590533-ecaflip-m-200/objets", "link")</f>
        <v/>
      </c>
      <c r="C33325" t="n">
        <v>5</v>
      </c>
      <c r="D33325" t="inlineStr">
        <is>
          <t>Amulette Volkorne; Anneau Volkorne; Alliance Gloursonne; Quatre-feuilles; Ceinture Volkorne; Dofus Ébène; Dolmanax; Dofus Ivoire; Dofus Ocre; Dofus des Glaces; Dofus Pourpre</t>
        </is>
      </c>
    </row>
    <row r="33326">
      <c r="A33326" t="inlineStr">
        <is>
          <t>Stuff 2</t>
        </is>
      </c>
      <c r="B33326">
        <f>HYPERLINK("https://www.dofusbook.net/fr/equipement/810271-stuff-2/objets", "link")</f>
        <v/>
      </c>
      <c r="C33326" t="n">
        <v>1</v>
      </c>
      <c r="D33326" t="inlineStr">
        <is>
          <t>Arc du Chalœil; Amulette Volkorne; Chevalière du Roi Joueur; Ceinture Volkorne; Couronne du Roi Joueur; Bottes du Roi Joueur; Dofus Ocre; Dofus Abyssal; Dofus Ivoire; Dofus Ébène; Bébé Pandawa</t>
        </is>
      </c>
    </row>
    <row r="33327">
      <c r="A33327" t="inlineStr">
        <is>
          <t>mode anti cra docrit</t>
        </is>
      </c>
      <c r="B33327">
        <f>HYPERLINK("https://www.dofusbook.net/fr/equipement/3891096-mode-anti-cra-docrit/objets", "link")</f>
        <v/>
      </c>
      <c r="C33327" t="n">
        <v>1</v>
      </c>
      <c r="D33327" t="inlineStr">
        <is>
          <t>Arc corrompu; Amulette Volkorne; Anneauræus; Anneau Volkorne; Bouclier du Stalak; Ceinture Volkorne; Heaume Oplate; Voile d'encre; Bottes Innommables; Dofus Ébène; Dofus Abyssal; Dofus Ivoire; Dofus Ocre; Bisouglours</t>
        </is>
      </c>
    </row>
    <row r="33328">
      <c r="A33328" t="inlineStr">
        <is>
          <t>Zobal M 200</t>
        </is>
      </c>
      <c r="B33328">
        <f>HYPERLINK("https://www.dofusbook.net/fr/equipement/3891001-zobal-m-200/objets", "link")</f>
        <v/>
      </c>
      <c r="C33328" t="n">
        <v>0</v>
      </c>
      <c r="D33328" t="inlineStr"/>
    </row>
    <row r="33329">
      <c r="A33329" t="inlineStr">
        <is>
          <t>new meta</t>
        </is>
      </c>
      <c r="B33329">
        <f>HYPERLINK("https://www.dofusbook.net/fr/equipement/2322335-new-meta/objets", "link")</f>
        <v/>
      </c>
      <c r="C33329" t="n">
        <v>0</v>
      </c>
      <c r="D33329" t="inlineStr">
        <is>
          <t>Arc du Chalœil; Amulette du Strigide; Bague Gloursonne; Anneau Chevelu; Ceintouse; Masque de Koutoulou; Cape au Logis; Tentassons; Dofus Émeraude; Dofus Abyssal; Dofus Ocre; Dofus Ivoire; Dofus des Glaces</t>
        </is>
      </c>
    </row>
    <row r="33330">
      <c r="A33330" t="inlineStr">
        <is>
          <t>fourvoiment</t>
        </is>
      </c>
      <c r="B33330">
        <f>HYPERLINK("https://www.dofusbook.net/fr/equipement/2308536-fourvoiment-/objets", "link")</f>
        <v/>
      </c>
      <c r="C33330" t="n">
        <v>0</v>
      </c>
      <c r="D33330" t="inlineStr">
        <is>
          <t>Lance corrompue; Amulette du Kamasterisk; Bague Gloursonne; Alliance Gloursonne; Bouclier d'Ilyzaelle; Ceintouse; Chapoulpe; Cape du Kamasterisk; Baleinabottes; Dofus Pourpre; Dofus Abyssal; Dofus Émeraude; Dofus Ocre; Dolmanax; Dofus des Glaces; Muldo Orchidée et Pourpre</t>
        </is>
      </c>
    </row>
    <row r="33331">
      <c r="A33331" t="inlineStr">
        <is>
          <t>agi</t>
        </is>
      </c>
      <c r="B33331">
        <f>HYPERLINK("https://www.dofusbook.net/fr/equipement/2321949-agi-/objets", "link")</f>
        <v/>
      </c>
      <c r="C33331" t="n">
        <v>0</v>
      </c>
      <c r="D33331" t="inlineStr">
        <is>
          <t>Alliance Brûlâme; Voile d'encre; Pompes Funèbres</t>
        </is>
      </c>
    </row>
    <row r="33332">
      <c r="A33332" t="inlineStr">
        <is>
          <t>okkk</t>
        </is>
      </c>
      <c r="B33332">
        <f>HYPERLINK("https://www.dofusbook.net/fr/equipement/2309867-okkk/objets", "link")</f>
        <v/>
      </c>
      <c r="C33332" t="n">
        <v>0</v>
      </c>
      <c r="D33332" t="inlineStr">
        <is>
          <t>Arc du Chalœil; Amulette du Cœur Saignant; Bague Gloursonne; Chevalière du Roi Joueur; Masque de Koutoulou; Cape du Cœur Saignant; Bottes de la Cour Sombre; Dofus Turquoise; Dofus Abyssal; Dolmanax; Dofus Ocre; Dofus Pourpre; Dofus des Glaces</t>
        </is>
      </c>
    </row>
    <row r="33333">
      <c r="A33333" t="inlineStr">
        <is>
          <t>Hequache</t>
        </is>
      </c>
      <c r="B33333">
        <f>HYPERLINK("https://www.dofusbook.net/fr/equipement/2308602-hequache-/objets", "link")</f>
        <v/>
      </c>
      <c r="C33333" t="n">
        <v>0</v>
      </c>
      <c r="D33333" t="inlineStr">
        <is>
          <t>Epée Gloursonne; Amulette du Kamasterisk; Bague Gloursonne; Alliance Gloursonne; Quatre-feuilles; Ceinture de la Reine des Voleurs; Coiffe de la Reine des Voleurs; Cape du Kamasterisk; Bottes de la Reine des Voleurs; Dofus Pourpre; Dofus des Glaces; Dofus Turquoise; Dofus Abyssal; Dofus Ocre; Muldo Orchidée et Pourpre</t>
        </is>
      </c>
    </row>
    <row r="33334">
      <c r="A33334" t="inlineStr">
        <is>
          <t>Tri element</t>
        </is>
      </c>
      <c r="B33334">
        <f>HYPERLINK("https://www.dofusbook.net/fr/equipement/2308520-tri-element-/objets", "link")</f>
        <v/>
      </c>
      <c r="C33334" t="n">
        <v>0</v>
      </c>
      <c r="D33334" t="inlineStr">
        <is>
          <t>Alliance Gloursonne; Bouclier du Stalak; Cape d'Atcham; Sandales  d'Atcham; Dofus Turquoise; Dofus Abyssal; Dokoko; Dofus Pourpre; Dofus Émeraude; Dofus des Glaces</t>
        </is>
      </c>
    </row>
    <row r="33335">
      <c r="A33335" t="inlineStr">
        <is>
          <t>Stuff 3</t>
        </is>
      </c>
      <c r="B33335">
        <f>HYPERLINK("https://www.dofusbook.net/fr/equipement/810281-stuff-3/objets", "link")</f>
        <v/>
      </c>
      <c r="C33335" t="n">
        <v>0</v>
      </c>
      <c r="D33335" t="inlineStr">
        <is>
          <t>Arc du Chalœil; Bracelet du Piloztère; Bague Gloursonne; Bouclier du Stalak; Masque de Koutoulou; Dofus Ocre; Dofus Pourpre; Dolmanax; Dofus Turquoise; Dofus Nébuleux; Dofus des Glaces</t>
        </is>
      </c>
    </row>
    <row r="33336">
      <c r="A33336" t="inlineStr">
        <is>
          <t>Stuff 1</t>
        </is>
      </c>
      <c r="B33336">
        <f>HYPERLINK("https://www.dofusbook.net/fr/equipement/810279-stuff-1/objets", "link")</f>
        <v/>
      </c>
      <c r="C33336" t="n">
        <v>0</v>
      </c>
      <c r="D33336" t="inlineStr">
        <is>
          <t>Arc Nécrotique; Goulano; Bracelet du Piloztère; Bouclier du Captain Amakna; Chapeau de Gein; Bottes de l'Esprit Malsain; Dofus Turquoise; Dofus des Glaces; Dokoko</t>
        </is>
      </c>
    </row>
    <row r="33337">
      <c r="A33337" t="inlineStr">
        <is>
          <t>dieu mince</t>
        </is>
      </c>
      <c r="B33337">
        <f>HYPERLINK("https://www.dofusbook.net/fr/equipement/1361037-dieu-mince/objets", "link")</f>
        <v/>
      </c>
      <c r="C33337" t="n">
        <v>0</v>
      </c>
      <c r="D33337" t="inlineStr">
        <is>
          <t>Arc Nécrotique; Collier de la Dame du Hasard; Lavanneau; Bouclier du Captain Amakna; Ceinture de l'Esprit Malsain; Cape de la Dame du Hasard; Bottes de l'Esprit Malsain; Dofus Ocre; Dolmanax; Dofus Turquoise; Dofus Abyssal; Dofus Pourpre; Dofus des Glaces</t>
        </is>
      </c>
    </row>
    <row r="33338">
      <c r="A33338" t="inlineStr">
        <is>
          <t>srambad</t>
        </is>
      </c>
      <c r="B33338">
        <f>HYPERLINK("https://www.dofusbook.net/fr/equipement/1302795-srambad/objets", "link")</f>
        <v/>
      </c>
      <c r="C33338" t="n">
        <v>0</v>
      </c>
      <c r="D33338" t="inlineStr">
        <is>
          <t>Lance corrompue; Amulette d'Ilyzaelle; Alliance Gloursonne; Bracelet du Piloztère; Bouclier d'Ilyzaelle; Cape du Cœur Vaillant; Dofus des Glaces; Dofus Ocre; Dofus Émeraude; Dofus Pourpre; Dofus Abyssal; Dokoko; Muldo Ebène et Pourpre</t>
        </is>
      </c>
    </row>
    <row r="33339">
      <c r="A33339" t="inlineStr">
        <is>
          <t>Stuff 2</t>
        </is>
      </c>
      <c r="B33339">
        <f>HYPERLINK("https://www.dofusbook.net/fr/equipement/810280-stuff-2/objets", "link")</f>
        <v/>
      </c>
      <c r="C33339" t="n">
        <v>2</v>
      </c>
      <c r="D33339" t="inlineStr">
        <is>
          <t>Arc de Koutoulou; Amulette du Strigide; Anneau de Padgref; Alliance Gloursonne; Ceintacé; Némès de Tal Kasha; Cape d'Atcham; Sandales  d'Atcham; Dokoko; Dofus Abyssal; Dofus des Glaces; Dofus Émeraude; Remueur; Cascadeur majeur; Muldo Ebène et Indigo</t>
        </is>
      </c>
    </row>
    <row r="33340">
      <c r="A33340" t="inlineStr">
        <is>
          <t>talkasha</t>
        </is>
      </c>
      <c r="B33340">
        <f>HYPERLINK("https://www.dofusbook.net/fr/equipement/1453450-talkasha/objets", "link")</f>
        <v/>
      </c>
      <c r="C33340" t="n">
        <v>0</v>
      </c>
      <c r="D33340" t="inlineStr">
        <is>
          <t>Arc de Koutoulou; Amulette Voldelor; Bague Gloursonne; Alliance Gloursonne; Quatre-feuilles; Ceinture Voldelor; Némès de Tal Kasha; Chevelure de Tal Kasha; Sandales de Tal Kasha; Dofus Abyssal; Dofus des Glaces; Dofus Turquoise; Dolmanax; Dofus Ocre; Dofus Pourpre; Muldo Ebène et Indigo</t>
        </is>
      </c>
    </row>
    <row r="33341">
      <c r="A33341" t="inlineStr">
        <is>
          <t>Stuff 1</t>
        </is>
      </c>
      <c r="B33341">
        <f>HYPERLINK("https://www.dofusbook.net/fr/equipement/810264-stuff-1/objets", "link")</f>
        <v/>
      </c>
      <c r="C33341" t="n">
        <v>0</v>
      </c>
      <c r="D33341" t="inlineStr">
        <is>
          <t>Alliance Gloursonne; Bague Trithon; Quatre-feuilles; Masque Trithon; Bottes Trithon; Dofus Émeraude; Dofus Ocre; Dofus Turquoise; Dofus Pourpre; Dofus des Glaces; Muldo Prune et Indigo</t>
        </is>
      </c>
    </row>
    <row r="33342">
      <c r="A33342" t="inlineStr">
        <is>
          <t>Stuff 2</t>
        </is>
      </c>
      <c r="B33342">
        <f>HYPERLINK("https://www.dofusbook.net/fr/equipement/810283-stuff-2/objets", "link")</f>
        <v/>
      </c>
      <c r="C33342" t="n">
        <v>0</v>
      </c>
      <c r="D33342" t="inlineStr">
        <is>
          <t>Dagoulinantes; Amulette de Shokkoth; Bracelet des Fonds marins; Alliance Gloursonne; Bouclier du Captain Amakna; Poulpagne; Capuche de l'Œil Attentif; Cape de l'Œil Attentif; Bottes du Sinistrofu; Dofus Abyssal; Dofus Émeraude; Dokoko; Chanceux majeur; Nomade</t>
        </is>
      </c>
    </row>
    <row r="33343">
      <c r="A33343" t="inlineStr">
        <is>
          <t>Stuff 1</t>
        </is>
      </c>
      <c r="B33343">
        <f>HYPERLINK("https://www.dofusbook.net/fr/equipement/810282-stuff-1/objets", "link")</f>
        <v/>
      </c>
      <c r="C33343" t="n">
        <v>0</v>
      </c>
      <c r="D33343" t="inlineStr">
        <is>
          <t>Manthache; Collier du Valet Veinard; Alliance Gloursonne; Gant du Valet Veinard; Bouclier Bontarien; Menoture; Capuche de Moum-Ra; Cape Indescriptible; Palmes Trithons; Dokoko; Dofus Abyssal; Dofus Émeraude; Évasif majeur; Remueur; Cascadeur majeur</t>
        </is>
      </c>
    </row>
    <row r="33344">
      <c r="A33344" t="inlineStr">
        <is>
          <t>Stuff 1</t>
        </is>
      </c>
      <c r="B33344">
        <f>HYPERLINK("https://www.dofusbook.net/fr/equipement/810267-stuff-1/objets", "link")</f>
        <v/>
      </c>
      <c r="C33344" t="n">
        <v>0</v>
      </c>
      <c r="D33344" t="inlineStr">
        <is>
          <t>Amulette du Strigide; Anneau Crustique; Anneau Crustique; Sept ans de malheur; Ceintouse; Chapoulpe; Cape du Kamasterisk; Tentassons; Dofus des Glaces; Dokoko; Dofus Pourpre; Dofus Ocre; Dofus Ocre; Muldo Prune et Indigo</t>
        </is>
      </c>
    </row>
    <row r="33345">
      <c r="A33345" t="inlineStr">
        <is>
          <t>Stuff 2</t>
        </is>
      </c>
      <c r="B33345">
        <f>HYPERLINK("https://www.dofusbook.net/fr/equipement/810268-stuff-2/objets", "link")</f>
        <v/>
      </c>
      <c r="C33345" t="n">
        <v>0</v>
      </c>
      <c r="D33345" t="inlineStr">
        <is>
          <t>Marteau R'ture; Amulette du Strigide; Anneau Chevelu; Bague Gloursonne; Ceinture de Gein; Masque de Koutoulou; Voile d'encre; Bottes du Strigide; Dofus des Glaces; Dofus Pourpre; Dofus Turquoise; Nomade; Miraculé majeur; Remueur; Dragodinde en armure</t>
        </is>
      </c>
    </row>
    <row r="33346">
      <c r="A33346" t="inlineStr">
        <is>
          <t>Stuff 2</t>
        </is>
      </c>
      <c r="B33346">
        <f>HYPERLINK("https://www.dofusbook.net/fr/equipement/810286-stuff-2/objets", "link")</f>
        <v/>
      </c>
      <c r="C33346" t="n">
        <v>0</v>
      </c>
      <c r="D33346" t="inlineStr">
        <is>
          <t>Baguette Range; Amulette du Strigide; Bague Gloursonne; Bouclier en Slip cassé; Voile d'encre; Dofus Émeraude; Dofus Pourpre; Dofus des Glaces; Dofus Turquoise; Muldo Prune et Emeraude</t>
        </is>
      </c>
    </row>
    <row r="33347">
      <c r="A33347" t="inlineStr">
        <is>
          <t>Stuff 1</t>
        </is>
      </c>
      <c r="B33347">
        <f>HYPERLINK("https://www.dofusbook.net/fr/equipement/810285-stuff-1/objets", "link")</f>
        <v/>
      </c>
      <c r="C33347" t="n">
        <v>0</v>
      </c>
      <c r="D33347" t="inlineStr">
        <is>
          <t>Amulette de Shokkoth; Alliance Gloursonne; Bracelet des Fonds marins; Bouclier du Captain Amakna; Poulpagne; Masque des Fonds marins; Cape de Mantaze; Bottes du Sinistrofu; Dofus Émeraude; Dofus des Glaces; Dofus Pourpre; Nomade; Remueur; Chanceux majeur; Muldo Pourpre</t>
        </is>
      </c>
    </row>
    <row r="33348">
      <c r="A33348" t="inlineStr">
        <is>
          <t>Stuff 3</t>
        </is>
      </c>
      <c r="B33348">
        <f>HYPERLINK("https://www.dofusbook.net/fr/equipement/810266-stuff-3/objets", "link")</f>
        <v/>
      </c>
      <c r="C33348" t="n">
        <v>0</v>
      </c>
      <c r="D33348" t="inlineStr">
        <is>
          <t>Dagues Lassay; La Feuille de Printemps; Anneau Cérémonial du Seigneur des Rats; Anneau du Meulou; Ceinture Claire en Abrakleur; Solomonk; Puissante Cape Fulgurante; Sandales Gorithme; Dofus Ocre; Nomade; Vigoureux majeur; Remueur; Miraculé majeur; Cascadeur majeur; Dragodinde Prune et Ebène</t>
        </is>
      </c>
    </row>
    <row r="33349">
      <c r="A33349" t="inlineStr">
        <is>
          <t>Stuff 3</t>
        </is>
      </c>
      <c r="B33349">
        <f>HYPERLINK("https://www.dofusbook.net/fr/equipement/810284-stuff-3/objets", "link")</f>
        <v/>
      </c>
      <c r="C33349" t="n">
        <v>0</v>
      </c>
      <c r="D33349" t="inlineStr">
        <is>
          <t>Arc de Koutoulou; Amulette du Strigide; Alliance Brûlâme; Alliance Gloursonne; Ceinture du Strigide; Némès de Tal Kasha; Chevelure de Tal Kasha; Sandales de Tal Kasha; Dofus Turquoise; Dofus des Glaces; Dofus Pourpre; Muldo Ebène et Indigo</t>
        </is>
      </c>
    </row>
    <row r="33350">
      <c r="A33350" t="inlineStr">
        <is>
          <t>Stuff 2</t>
        </is>
      </c>
      <c r="B33350">
        <f>HYPERLINK("https://www.dofusbook.net/fr/equipement/810274-stuff-2/objets", "link")</f>
        <v/>
      </c>
      <c r="C33350" t="n">
        <v>0</v>
      </c>
      <c r="D33350" t="inlineStr">
        <is>
          <t>Hache du Chalœil; Amulette du Strigide; Bracelet du Piloztère; Alliance Gloursonne; Ceintacé; Chapeau de Gein; Voile d'encre; Bottes du Strigide; Dolmanax; Dofus Pourpre; Nomade; Fonceur majeur; Vigoureux majeur; Remueur; Dragodinde en armure</t>
        </is>
      </c>
    </row>
    <row r="33351">
      <c r="A33351" t="inlineStr">
        <is>
          <t>Stuff 1</t>
        </is>
      </c>
      <c r="B33351">
        <f>HYPERLINK("https://www.dofusbook.net/fr/equipement/810276-stuff-1/objets", "link")</f>
        <v/>
      </c>
      <c r="C33351" t="n">
        <v>0</v>
      </c>
      <c r="D33351" t="inlineStr">
        <is>
          <t>Epée Toche; Amulette du Strigide; Bague Gloursonne; Chevalière du Roi Joueur; Ceintacé; Chapeau de Gein; Voile d'encre; Bottes du Strigide; Dofus Pourpre; Dofus des Glaces; Dofus Turquoise; Remueur; Vigoureux majeur; Nomade; Dragodinde en armure</t>
        </is>
      </c>
    </row>
    <row r="33352">
      <c r="A33352" t="inlineStr">
        <is>
          <t>Stuff 2</t>
        </is>
      </c>
      <c r="B33352">
        <f>HYPERLINK("https://www.dofusbook.net/fr/equipement/810265-stuff-2/objets", "link")</f>
        <v/>
      </c>
      <c r="C33352" t="n">
        <v>0</v>
      </c>
      <c r="D33352" t="inlineStr">
        <is>
          <t>Marteau Phossile; Pendentif mignon de Koutoulou; Alliance Gloursonne; Anneau Rifique; Ceinture de Vortex; Coiffe Séculaire; Cape d'Atcham; Pantoufles Émar; Dragodinde en armure</t>
        </is>
      </c>
    </row>
    <row r="33353">
      <c r="A33353" t="inlineStr">
        <is>
          <t>Stuff 3</t>
        </is>
      </c>
      <c r="B33353">
        <f>HYPERLINK("https://www.dofusbook.net/fr/equipement/810278-stuff-3/objets", "link")</f>
        <v/>
      </c>
      <c r="C33353" t="n">
        <v>0</v>
      </c>
      <c r="D33353" t="inlineStr">
        <is>
          <t>La Baguette des Limbes; Amulette de Grozilla; Gelano; Sceau Souverain du Roissingue; Kloume cassé; Slip Hie; Coiffe de Grozilla; Cape Souveraine du Roissingue; Bottes de Grozilla; Acrobate majeur; Robuste majeur; Joueur majeur; Survivant majeur; Entraveur majeur; Savant majeur; Kramkram</t>
        </is>
      </c>
    </row>
    <row r="33354">
      <c r="A33354" t="inlineStr">
        <is>
          <t>Stuff 1</t>
        </is>
      </c>
      <c r="B33354">
        <f>HYPERLINK("https://www.dofusbook.net/fr/equipement/810276-stuff-1/objets", "link")</f>
        <v/>
      </c>
      <c r="C33354" t="n">
        <v>0</v>
      </c>
      <c r="D33354" t="inlineStr">
        <is>
          <t>Epée Toche; Amulette du Strigide; Bague Gloursonne; Chevalière du Roi Joueur; Ceintacé; Chapeau de Gein; Voile d'encre; Bottes du Strigide; Dofus Pourpre; Dofus des Glaces; Dofus Turquoise; Remueur; Vigoureux majeur; Nomade; Dragodinde en armure</t>
        </is>
      </c>
    </row>
    <row r="33355">
      <c r="A33355" t="inlineStr">
        <is>
          <t>Stuff 2</t>
        </is>
      </c>
      <c r="B33355">
        <f>HYPERLINK("https://www.dofusbook.net/fr/equipement/810265-stuff-2/objets", "link")</f>
        <v/>
      </c>
      <c r="C33355" t="n">
        <v>0</v>
      </c>
      <c r="D33355" t="inlineStr">
        <is>
          <t>Marteau Phossile; Pendentif mignon de Koutoulou; Alliance Gloursonne; Anneau Rifique; Ceinture de Vortex; Coiffe Séculaire; Cape d'Atcham; Pantoufles Émar; Dragodinde en armure</t>
        </is>
      </c>
    </row>
    <row r="33356">
      <c r="A33356" t="inlineStr">
        <is>
          <t>Stuff 3</t>
        </is>
      </c>
      <c r="B33356">
        <f>HYPERLINK("https://www.dofusbook.net/fr/equipement/810278-stuff-3/objets", "link")</f>
        <v/>
      </c>
      <c r="C33356" t="n">
        <v>0</v>
      </c>
      <c r="D33356" t="inlineStr">
        <is>
          <t>La Baguette des Limbes; Amulette de Grozilla; Sceau Souverain du Roissingue; Gelano; Kloume cassé; Slip Hie; Coiffe de Grozilla; Cape Souveraine du Roissingue; Bottes de Grozilla; Joueur majeur; Survivant majeur; Entraveur majeur; Savant majeur; Acrobate majeur; Robuste majeur; Kramkram</t>
        </is>
      </c>
    </row>
    <row r="33357">
      <c r="A33357" t="inlineStr">
        <is>
          <t>Stuff 1</t>
        </is>
      </c>
      <c r="B33357">
        <f>HYPERLINK("https://www.dofusbook.net/fr/equipement/810273-stuff-1/objets", "link")</f>
        <v/>
      </c>
      <c r="C33357" t="n">
        <v>0</v>
      </c>
      <c r="D33357" t="inlineStr">
        <is>
          <t>Dagues de Srambad; Amulette du Strigide; Pikano; Alliance Gloursonne; Bouclier en Slip cassé; Ceinture de la Reine des Voleurs; Coiffe de la Reine des Voleurs; Voile d'encre; Baleinabottes; Dofus Émeraude; Dokoko; Nomade; Enragé majeur; Chanceux majeur; Remueur; Dragodinde en armure</t>
        </is>
      </c>
    </row>
    <row r="33358">
      <c r="A33358" t="inlineStr">
        <is>
          <t>agi/res</t>
        </is>
      </c>
      <c r="B33358">
        <f>HYPERLINK("https://www.dofusbook.net/fr/equipement/1047469-agi-res/objets", "link")</f>
        <v/>
      </c>
      <c r="C33358" t="n">
        <v>3</v>
      </c>
      <c r="D33358" t="inlineStr">
        <is>
          <t>Manthache; Collier du Valet Veinard; Alliance Gloursonne; Gant du Valet Veinard; Carapar; Menoture; Dorabysses; Cape de Léthaline; Palmes Trithons; Dofus Ocre; Dofus Ivoire; Carapace Air majeur; Cascadeur majeur; Muraille Air majeure; Cuirassé Air majeur; Bwak d'Air</t>
        </is>
      </c>
    </row>
    <row r="33359">
      <c r="A33359" t="inlineStr">
        <is>
          <t>For/Agi Dopou</t>
        </is>
      </c>
      <c r="B33359">
        <f>HYPERLINK("https://www.dofusbook.net/fr/equipement/4734284-for-agi-dopou/objets", "link")</f>
        <v/>
      </c>
      <c r="C33359" t="n">
        <v>0</v>
      </c>
      <c r="D33359" t="inlineStr">
        <is>
          <t>Lance corrompue; Amulette du Cœur Vaillant; Bracelet du Piloztère; Alliance Brûlâme; Bouclier du Stalak; Ceinture Volkorne; Casque Volkorne; Cape au Logis; Baleinabottes; Dofus Ivoire; Dofus Pourpre; Dofus Ébène; Dofus Ocre; Vigoureux majeur; Miraculé majeur; Tofoudre</t>
        </is>
      </c>
    </row>
    <row r="33360">
      <c r="A33360" t="inlineStr">
        <is>
          <t>Sacrieur terre</t>
        </is>
      </c>
      <c r="B33360">
        <f>HYPERLINK("https://www.dofusbook.net/fr/equipement/4881594-sacrieur-terre/objets", "link")</f>
        <v/>
      </c>
      <c r="C33360" t="n">
        <v>0</v>
      </c>
      <c r="D33360" t="inlineStr">
        <is>
          <t>Lav'Hache; Collier de Tourthon; Anneau de Brouce; Bague Trithon; Bouclier d'Ilyzaelle; Ceinture Volkorne; Masque de Koutoulou; Cape au Logis; Bottes Trithon; Dofus Ocre; Dofus Ivoire; Dofus Pourpre; Dofus Ébène; Dofus Nébuleux; Enragé majeur; Dragodinde Ivoire et Pourpre</t>
        </is>
      </c>
    </row>
    <row r="33361">
      <c r="A33361" t="inlineStr">
        <is>
          <t>Sacrieur agi/res 2</t>
        </is>
      </c>
      <c r="B33361">
        <f>HYPERLINK("https://www.dofusbook.net/fr/equipement/4766181-sacrieur-agi-res-2/objets", "link")</f>
        <v/>
      </c>
      <c r="C33361" t="n">
        <v>0</v>
      </c>
      <c r="D33361" t="inlineStr">
        <is>
          <t>Hachoirs de Viandargh; Collier du Valet Veinard; Alliance Gloursonne; Gant du Valet Veinard; Bouclier d'Ilyzaelle; Menoture; Dorabysses; Cape Indescriptible; Palmes Trithons; Dofus Ébène; Dofus Ocre; Dofus Pourpre; Dofus Ivoire; Cascadeur majeur; Nomade; Bwak d'Air</t>
        </is>
      </c>
    </row>
    <row r="33362">
      <c r="A33362" t="inlineStr">
        <is>
          <t>Stuff 2</t>
        </is>
      </c>
      <c r="B33362">
        <f>HYPERLINK("https://www.dofusbook.net/fr/equipement/202978-stuff-2/objets", "link")</f>
        <v/>
      </c>
      <c r="C33362" t="n">
        <v>0</v>
      </c>
      <c r="D33362" t="inlineStr">
        <is>
          <t>Manthache; Collier du Valet Veinard; Alliance Gloursonne; Gant du Valet Veinard; Menoture; Casque Dragoeuf; Cape d'Hel Munster; Palmes Trithons; Dofus Pourpre; Nomade; Miraculé majeur; Remueur; Cascadeur majeur; Vigoureux majeur; La Chose</t>
        </is>
      </c>
    </row>
    <row r="33363">
      <c r="A33363" t="inlineStr">
        <is>
          <t>Pandawa air res</t>
        </is>
      </c>
      <c r="B33363">
        <f>HYPERLINK("https://www.dofusbook.net/fr/equipement/4766005-pandawa-air-res/objets", "link")</f>
        <v/>
      </c>
      <c r="C33363" t="n">
        <v>0</v>
      </c>
      <c r="D33363" t="inlineStr">
        <is>
          <t>Manthache; Amibou; Alliance Gloursonne; Anneau de Pol Ouatnos; Écorce de Brouce; Menoture; Masque d'Anerice; Cape d'Anerice; Palmes Trithons; Dofus Turquoise; Dofus Pourpre; Dofus Ébène; Dofus Ocre; Dofus Ivoire; Cascadeur majeur; Bwak d'Air</t>
        </is>
      </c>
    </row>
    <row r="33364">
      <c r="A33364" t="inlineStr">
        <is>
          <t>terre/retpm</t>
        </is>
      </c>
      <c r="B33364">
        <f>HYPERLINK("https://www.dofusbook.net/fr/equipement/202999-terre-retpm/objets", "link")</f>
        <v/>
      </c>
      <c r="C33364" t="n">
        <v>0</v>
      </c>
      <c r="D33364" t="inlineStr">
        <is>
          <t>Marteau R'ture; Amulette Volcanique; Bracelet du Piloztère; Chevalière du Roi Joueur; Trompe-la-Mort; Ceintacé; Masque de Koutoulou; Voile d'encre; Bottes du Roi Joueur; Dofus Ébène; Dofus Pourpre; Dofus Ivoire; Enragé majeur; Vigoureux majeur; Temporiseur majeur; Muldo Pourpre et Amande</t>
        </is>
      </c>
    </row>
    <row r="33365">
      <c r="A33365" t="inlineStr">
        <is>
          <t>agi/retpa</t>
        </is>
      </c>
      <c r="B33365">
        <f>HYPERLINK("https://www.dofusbook.net/fr/equipement/4746026-agi-retpa/objets", "link")</f>
        <v/>
      </c>
      <c r="C33365" t="n">
        <v>0</v>
      </c>
      <c r="D33365" t="inlineStr"/>
    </row>
    <row r="33366">
      <c r="A33366" t="inlineStr">
        <is>
          <t>Stuff 2</t>
        </is>
      </c>
      <c r="B33366">
        <f>HYPERLINK("https://www.dofusbook.net/fr/equipement/202984-stuff-2/objets", "link")</f>
        <v/>
      </c>
      <c r="C33366" t="n">
        <v>0</v>
      </c>
      <c r="D33366" t="inlineStr">
        <is>
          <t>Epée Toche; Amulette du Strigide; Alliance Brûlâme; Bague Gloursonne; Bouclier du Captain Amakna; Ceintacé; Chapeau de Gein; Voile d'encre; Bottes du Strigide; Dofus Turquoise; Dofus des Glaces; Dofus Pourpre; Remueur; Enragé majeur; Vigoureux majeur; Muldo Doré et Orchidée</t>
        </is>
      </c>
    </row>
    <row r="33367">
      <c r="A33367" t="inlineStr">
        <is>
          <t>res/ret pm</t>
        </is>
      </c>
      <c r="B33367">
        <f>HYPERLINK("https://www.dofusbook.net/fr/equipement/2143175-res-ret-pm/objets", "link")</f>
        <v/>
      </c>
      <c r="C33367" t="n">
        <v>0</v>
      </c>
      <c r="D33367" t="inlineStr">
        <is>
          <t>Rouleau à Pâtisserie d'Aermyne; Amulette du Cœur Saignant; Anneau de Nidas; Alliance Gloursonne; Bouclier du serrurier; Ceinture de Kongoku; Masque d'Anerice; Cape d'Anerice; Pantoufles Émar; Entraveur; Entraveur majeur; Ralentisseur majeur; Remueur; Temporiseur; Temporiseur majeur; Muldo Ebène et Indigo</t>
        </is>
      </c>
    </row>
    <row r="33368">
      <c r="A33368" t="inlineStr">
        <is>
          <t>agi</t>
        </is>
      </c>
      <c r="B33368">
        <f>HYPERLINK("https://www.dofusbook.net/fr/equipement/2100292-agi/objets", "link")</f>
        <v/>
      </c>
      <c r="C33368" t="n">
        <v>3</v>
      </c>
      <c r="D33368" t="inlineStr">
        <is>
          <t>Manthache; Collier du Valet Veinard; Gant du Valet Veinard; Alliance Gloursonne; Bouclier du Stalak; Menoture; Casque Dragoeuf; Cape Indescriptible; Palmes Trithons; Dofus des Glaces; Dofus Émeraude; Dofus Pourpre; Cascadeur majeur; Remueur; Miraculé majeur; Muldo Ebène</t>
        </is>
      </c>
    </row>
    <row r="33369">
      <c r="A33369" t="inlineStr">
        <is>
          <t>terre/agi</t>
        </is>
      </c>
      <c r="B33369">
        <f>HYPERLINK("https://www.dofusbook.net/fr/equipement/1973985-terre-agi/objets", "link")</f>
        <v/>
      </c>
      <c r="C33369" t="n">
        <v>0</v>
      </c>
      <c r="D33369" t="inlineStr">
        <is>
          <t>Lance corrompue; Amulette du Strigide; Alliance Brûlâme; Alliance Gloursonne; Bouclier d'Ilyzaelle; Ceinture du Strigide; Chapoulpe; Voile d'encre; Baleinabottes; Dolmanax; Dofus Ivoire; Dofus des Glaces; Dofus Pourpre; Remueur; Vigoureux majeur; Muldo Ebène et Pourpre</t>
        </is>
      </c>
    </row>
    <row r="33370">
      <c r="A33370" t="inlineStr">
        <is>
          <t>Stuff 2</t>
        </is>
      </c>
      <c r="B33370">
        <f>HYPERLINK("https://www.dofusbook.net/fr/equipement/1056977-stuff-2/objets", "link")</f>
        <v/>
      </c>
      <c r="C33370" t="n">
        <v>0</v>
      </c>
      <c r="D33370" t="inlineStr">
        <is>
          <t>Dagues Érhy; Amulette du Strigide; Bague Gloursonne; Chevalière du Roi Joueur; Bouclier Taverne; Ceintacé; Chapeau de Gein; Voile d'encre; Bottes du Strigide; Dofus Turquoise; Dofus des Glaces; Dofus Abyssal; Dofus Pourpre; Remueur; Vigoureux majeur; Muldo Ebène et Pourpre</t>
        </is>
      </c>
    </row>
    <row r="33371">
      <c r="A33371" t="inlineStr">
        <is>
          <t>agi/feu soins</t>
        </is>
      </c>
      <c r="B33371">
        <f>HYPERLINK("https://www.dofusbook.net/fr/equipement/1150471-agi-feu-soins/objets", "link")</f>
        <v/>
      </c>
      <c r="C33371" t="n">
        <v>0</v>
      </c>
      <c r="D33371" t="inlineStr">
        <is>
          <t>Baguette de Malléfisk; Pendentif mignon de Koutoulou; Alliance Gloursonne; Anneau Rifique; Carapar; Ceinture de Vortex; Casque Cyclopéen; Cape de Diondin; Sabots de Vortex; Dofus Émeraude; Dolmanax; Dofus Cawotte; Dofus Turquoise; Dofus Pourpre; Dofus Abyssal; Muldo Pourpre</t>
        </is>
      </c>
    </row>
    <row r="33372">
      <c r="A33372" t="inlineStr">
        <is>
          <t>puissance</t>
        </is>
      </c>
      <c r="B33372">
        <f>HYPERLINK("https://www.dofusbook.net/fr/equipement/202853-puissance/objets", "link")</f>
        <v/>
      </c>
      <c r="C33372" t="n">
        <v>0</v>
      </c>
      <c r="D33372" t="inlineStr">
        <is>
          <t>Héqache; Amulette du Cycloïde; Bague Gloursonne; Anneau du Cycloïde; Bouclier Taverne; Ceintacé; Chapeau de Gein; Voile d'encre; Bottes du Cycloïde; Dofus Émeraude; Dofus des Glaces; Dolmanax; Dofus Pourpre; Dofus Ocre; Dofus Turquoise; Kramkram</t>
        </is>
      </c>
    </row>
    <row r="33373">
      <c r="A33373" t="inlineStr">
        <is>
          <t>Stuff 1</t>
        </is>
      </c>
      <c r="B33373">
        <f>HYPERLINK("https://www.dofusbook.net/fr/equipement/202968-stuff-1/objets", "link")</f>
        <v/>
      </c>
      <c r="C33373" t="n">
        <v>0</v>
      </c>
      <c r="D33373" t="inlineStr">
        <is>
          <t>Arc de Koutoulou; Amulette Voldelor; Anneau Rifique; Alliance Gloursonne; Quatre-feuilles; Ceinture Voldelor; Kidibonnet; Cape d'Hel Munster; Bottes de la Reine des Voleurs; Dofus Turquoise; Dofus Pourpre; Dofus Nébuleux; Dofus des Glaces; Dofus Ocre; Vigoureux majeur; Muldo Ebène et Pourpre</t>
        </is>
      </c>
    </row>
    <row r="33374">
      <c r="A33374" t="inlineStr">
        <is>
          <t>feu/agi</t>
        </is>
      </c>
      <c r="B33374">
        <f>HYPERLINK("https://www.dofusbook.net/fr/equipement/1035179-feu-agi/objets", "link")</f>
        <v/>
      </c>
      <c r="C33374" t="n">
        <v>0</v>
      </c>
      <c r="D33374" t="inlineStr">
        <is>
          <t>Baguette Range; Pendentif mignon de Koutoulou; Bague Trithon; Anneau Rifique; Quatre-feuilles; Ceinture de Kongoku; Casque Cyclopéen; Cape de Kongoku; Bottes Trithon; Dofus Turquoise; Dofus des Glaces; Dofus Ocre; Dofus Abyssal; Dofus Émeraude; Dofus Pourpre; Muldo Ebène</t>
        </is>
      </c>
    </row>
    <row r="33375">
      <c r="A33375" t="inlineStr">
        <is>
          <t>Stuff 3</t>
        </is>
      </c>
      <c r="B33375">
        <f>HYPERLINK("https://www.dofusbook.net/fr/equipement/202854-stuff-3/objets", "link")</f>
        <v/>
      </c>
      <c r="C33375" t="n">
        <v>0</v>
      </c>
      <c r="D33375" t="inlineStr">
        <is>
          <t>Marteau R'ture; Collier de Tourthon; Anneau Crustique; Anneau Chevelu; Bouclier Taverne; Ceinture de Kongoku; Masque de Koutoulou; Cape de Kongoku; Bottes de la Cour Sombre; Dofus Émeraude; Dofus Turquoise; Dofus Pourpre; Remueur; Enragé majeur; Vigoureux majeur; Muldo Roux et Pourpre</t>
        </is>
      </c>
    </row>
    <row r="33376">
      <c r="A33376" t="inlineStr">
        <is>
          <t>cha/agi</t>
        </is>
      </c>
      <c r="B33376">
        <f>HYPERLINK("https://www.dofusbook.net/fr/equipement/1021299-cha-agi/objets", "link")</f>
        <v/>
      </c>
      <c r="C33376" t="n">
        <v>1</v>
      </c>
      <c r="D33376" t="inlineStr">
        <is>
          <t>Marteau des Anciens Steamers; Amulette du Strigide; Bague Trithon; Alliance Gloursonne; Bouclier Taverne; Ceinture Voldelor; Kidibonnet; Cape d'Hel Munster; Bottes Trithon; Dofus Émeraude; Dofus Nébuleux; Dofus Turquoise; Dofus Pourpre; Dofus Ocre; Vigoureux majeur; Muldo Doré et Ebène</t>
        </is>
      </c>
    </row>
    <row r="33377">
      <c r="A33377" t="inlineStr">
        <is>
          <t>force</t>
        </is>
      </c>
      <c r="B33377">
        <f>HYPERLINK("https://www.dofusbook.net/fr/equipement/1015108-force/objets", "link")</f>
        <v/>
      </c>
      <c r="C33377" t="n">
        <v>1</v>
      </c>
      <c r="D33377" t="inlineStr">
        <is>
          <t>Marteau R'ture; Collier de Tourthon; Anneau Crustique; Anneau Crustique; Bouclier Taverne; Ceintouse; Masque de Koutoulou; Voile d'encre; Tentassons; Dofus Turquoise; Dofus Pourpre; Dofus Émeraude; Vigoureux majeur; Carapace Neutre majeur; Remueur; Muldo Pourpre</t>
        </is>
      </c>
    </row>
    <row r="33378">
      <c r="A33378" t="inlineStr">
        <is>
          <t>feu</t>
        </is>
      </c>
      <c r="B33378">
        <f>HYPERLINK("https://www.dofusbook.net/fr/equipement/1014573-feu/objets", "link")</f>
        <v/>
      </c>
      <c r="C33378" t="n">
        <v>2</v>
      </c>
      <c r="D33378" t="inlineStr">
        <is>
          <t>Plumeau Bil; Pendentif mignon de Koutoulou; Anneauræus; Anneau Rifique; Bouclier du Sadida; Ceinture de Kongoku; Casque Dragoeuf; Cape de Diondin; Bottes Innommables; Dofus Pourpre; Dofus Émeraude; Remueur; Érudit majeur; Miraculé majeur; Temporiseur majeur; Muldo Ebène et Orchidée</t>
        </is>
      </c>
    </row>
    <row r="33379">
      <c r="A33379" t="inlineStr">
        <is>
          <t>force/agi</t>
        </is>
      </c>
      <c r="B33379">
        <f>HYPERLINK("https://www.dofusbook.net/fr/equipement/1014220-force-agi/objets", "link")</f>
        <v/>
      </c>
      <c r="C33379" t="n">
        <v>1</v>
      </c>
      <c r="D33379" t="inlineStr">
        <is>
          <t>Héqache; Amulette du Strigide; Anneau des égarés; Alliance Gloursonne; Cadran d'Eau; Ceinture du Strigide; Casque Dragoeuf; Cape de Kongoku; Baleinabottes; Dolmanax; Dofus Pourpre; Dofus Émeraude; Vigoureux majeur; Remueur; Miraculé majeur; Muldo Ebène et Amande</t>
        </is>
      </c>
    </row>
    <row r="33380">
      <c r="A33380" t="inlineStr">
        <is>
          <t>ret pm</t>
        </is>
      </c>
      <c r="B33380">
        <f>HYPERLINK("https://www.dofusbook.net/fr/equipement/1012982-ret-pm/objets", "link")</f>
        <v/>
      </c>
      <c r="C33380" t="n">
        <v>0</v>
      </c>
      <c r="D33380" t="inlineStr">
        <is>
          <t>Bâthon; Pendentif affamé; Chevalière du Roi Joueur; Bague Gloursonne; Bouclier du Sadida; Ceintacé; Casque Dragoeuf; Voile d'encre; Bottes du Roi Joueur; Dofus Émeraude; Dolmanax; Dofus Pourpre; Dofus Abyssal; Temporiseur majeur; Remueur; Muldo Roux et Pourpre</t>
        </is>
      </c>
    </row>
    <row r="33381">
      <c r="A33381" t="inlineStr">
        <is>
          <t>agi</t>
        </is>
      </c>
      <c r="B33381">
        <f>HYPERLINK("https://www.dofusbook.net/fr/equipement/1012227-agi/objets", "link")</f>
        <v/>
      </c>
      <c r="C33381" t="n">
        <v>0</v>
      </c>
      <c r="D33381" t="inlineStr">
        <is>
          <t>Manthache; Collier du Valet Veinard; Alliance Gloursonne; Gant du Valet Veinard; Bouclier Ventaille; Menoture; Casque Dragoeuf; Cape d'Hel Munster; Palmes Trithons; Dofus Turquoise; Dofus Émeraude; Dofus Pourpre; Remueur; Cascadeur majeur; Vigoureux majeur; Muldo Ebène et Orchidée</t>
        </is>
      </c>
    </row>
    <row r="33382">
      <c r="A33382" t="inlineStr">
        <is>
          <t>Stuff 1</t>
        </is>
      </c>
      <c r="B33382">
        <f>HYPERLINK("https://www.dofusbook.net/fr/equipement/202956-stuff-1/objets", "link")</f>
        <v/>
      </c>
      <c r="C33382" t="n">
        <v>0</v>
      </c>
      <c r="D33382" t="inlineStr">
        <is>
          <t>Baguette Range; Amulette du Strigide; Anneau de Padgref; Bracelet du Piloztère; Quatre-feuilles; Ceinture du Strigide; Coiffe de Padgref; Cape d'Atcham; Getas de Padgref; Dofus des Glaces; Dolmanax; Dofus Nébuleux; Dofus Turquoise; Dofus Ocre; Dofus Pourpre; Muldo Prune et Orchidée</t>
        </is>
      </c>
    </row>
    <row r="33383">
      <c r="A33383" t="inlineStr">
        <is>
          <t>Stuff 1</t>
        </is>
      </c>
      <c r="B33383">
        <f>HYPERLINK("https://www.dofusbook.net/fr/equipement/202873-stuff-1/objets", "link")</f>
        <v/>
      </c>
      <c r="C33383" t="n">
        <v>0</v>
      </c>
      <c r="D33383" t="inlineStr">
        <is>
          <t>Sabres d'Atcham; Amulette du Strigide; Anneau Rifique; Alliance Gloursonne; Bouclier précieux; Ceinture de l'Indicible; Bonnet Ko; Cape du Chalœil; Bottes du Strigide; Dofus Ocre; Dofus Pourpre; Dofus Émeraude; Dolmanax; Remueur; Vigoureux majeur; Muldo Indigo</t>
        </is>
      </c>
    </row>
    <row r="33384">
      <c r="A33384" t="inlineStr">
        <is>
          <t>Stuff 1</t>
        </is>
      </c>
      <c r="B33384">
        <f>HYPERLINK("https://www.dofusbook.net/fr/equipement/202962-stuff-1/objets", "link")</f>
        <v/>
      </c>
      <c r="C33384" t="n">
        <v>0</v>
      </c>
      <c r="D33384" t="inlineStr">
        <is>
          <t>Sabres d'Atcham; Amulette du Strigide; Anneau Tique; Alliance Gloursonne; Ceintacé; Chapeau des Malveilleurs; Voile d'encre; Bottes du Strigide; Dofus Turquoise; Dolmanax; Dofus Pourpre; Nomade; Vigoureux majeur; Remueur; Kramkram</t>
        </is>
      </c>
    </row>
    <row r="33385">
      <c r="A33385" t="inlineStr">
        <is>
          <t>Stuff 1</t>
        </is>
      </c>
      <c r="B33385">
        <f>HYPERLINK("https://www.dofusbook.net/fr/equipement/202998-stuff-1/objets", "link")</f>
        <v/>
      </c>
      <c r="C33385" t="n">
        <v>0</v>
      </c>
      <c r="D33385" t="inlineStr">
        <is>
          <t>Sabres d'Atcham; Amulette du Strigide; Bague Gloursonne; Alliance Gloursonne; Ceinture du Strigide; Némès de Tal Kasha; Chevelure de Tal Kasha; Sandales de Tal Kasha; Dofus Nébuleux; Dolmanax; Dofus des Glaces; Dofus Ocre; Dofus Turquoise; Dofus Pourpre; Muldo Ebène et Indigo</t>
        </is>
      </c>
    </row>
    <row r="33386">
      <c r="A33386" t="inlineStr">
        <is>
          <t>Stuff 2</t>
        </is>
      </c>
      <c r="B33386">
        <f>HYPERLINK("https://www.dofusbook.net/fr/equipement/202957-stuff-2/objets", "link")</f>
        <v/>
      </c>
      <c r="C33386" t="n">
        <v>0</v>
      </c>
      <c r="D33386" t="inlineStr">
        <is>
          <t>Sabres d'Atcham; Amulette du Strigide; Anneau Tique; Alliance Gloursonne; Ceintacé; Casque du Chalœil; Cape des Malveilleurs; Bottes du Strigide; Dofus Turquoise; Dolmanax; Dofus Pourpre; Remueur; Vigoureux majeur; Nomade; Kramkram</t>
        </is>
      </c>
    </row>
    <row r="33387">
      <c r="A33387" t="inlineStr">
        <is>
          <t>Stuff 2</t>
        </is>
      </c>
      <c r="B33387">
        <f>HYPERLINK("https://www.dofusbook.net/fr/equipement/202992-stuff-2/objets", "link")</f>
        <v/>
      </c>
      <c r="C33387" t="n">
        <v>0</v>
      </c>
      <c r="D33387" t="inlineStr">
        <is>
          <t>Arc Hétype; Pendentif mignon de Koutoulou; Anneau Rifique; Anneau Tique; Ceinture de Vortex; Casque Dragoeuf; Cape de Diondin; Bottes Innommables; Dolmanax; Évasif majeur; Cavaleur majeur; Miraculé majeur; Remueur; Érudit majeur; Muldo Orchidée et Pourpre</t>
        </is>
      </c>
    </row>
    <row r="33388">
      <c r="A33388" t="inlineStr">
        <is>
          <t>Stuff 1</t>
        </is>
      </c>
      <c r="B33388">
        <f>HYPERLINK("https://www.dofusbook.net/fr/equipement/202987-stuff-1/objets", "link")</f>
        <v/>
      </c>
      <c r="C33388" t="n">
        <v>0</v>
      </c>
      <c r="D33388" t="inlineStr">
        <is>
          <t>Baguette de Malléfisk; Pendentif mignon de Koutoulou; Anneau Tique; Anneau Rifique; Ceinture de Vortex; Casque Dragoeuf; Cape de Diondin; Bottes Innommables; Dolmanax; Érudit majeur; Évasif majeur; Nomade; Miraculé majeur; Remueur; Croum</t>
        </is>
      </c>
    </row>
    <row r="33389">
      <c r="A33389" t="inlineStr">
        <is>
          <t>Stuff 3</t>
        </is>
      </c>
      <c r="B33389">
        <f>HYPERLINK("https://www.dofusbook.net/fr/equipement/202982-stuff-3/objets", "link")</f>
        <v/>
      </c>
      <c r="C33389" t="n">
        <v>0</v>
      </c>
      <c r="D33389" t="inlineStr">
        <is>
          <t>Dagues de Srambad; Amulette Luminescente; Alliance Gloursonne; Pikano; Ceinture de la Reine des Voleurs; Masque de Koutoulou; Voile d'encre; Bottes de la Reine des Voleurs; Dofus Pourpre; Miraculé majeur; Déserteur majeur; Temporiseur majeur; Vigoureux majeur; Remueur; Muldo Indigo et Amande</t>
        </is>
      </c>
    </row>
    <row r="33390">
      <c r="A33390" t="inlineStr">
        <is>
          <t>Stuff 1</t>
        </is>
      </c>
      <c r="B33390">
        <f>HYPERLINK("https://www.dofusbook.net/fr/equipement/202977-stuff-1/objets", "link")</f>
        <v/>
      </c>
      <c r="C33390" t="n">
        <v>0</v>
      </c>
      <c r="D33390" t="inlineStr">
        <is>
          <t>Rapière aux Glyphes; Amulette de Shokkoth; Alliance Gloursonne; Bracelet des Fonds marins; Poulpagne; Casque Dragoeuf; Cape Ytale; Sandales des Fonds marins; Dofus Pourpre; Miraculé majeur; Remueur; Chanceux majeur; Vigoureux majeur; Nomade; Croum</t>
        </is>
      </c>
    </row>
    <row r="33391">
      <c r="A33391" t="inlineStr">
        <is>
          <t>Stuff 2</t>
        </is>
      </c>
      <c r="B33391">
        <f>HYPERLINK("https://www.dofusbook.net/fr/equipement/202972-stuff-2/objets", "link")</f>
        <v/>
      </c>
      <c r="C33391" t="n">
        <v>0</v>
      </c>
      <c r="D33391" t="inlineStr">
        <is>
          <t>Pelle de la Cour Sombre; Collier du Valet Veinard; Alliance Gloursonne; Gant du Valet Veinard; Ceinture du Barbétoal; Casque Dragoeuf; Cape d'Hel Munster; Baleinabottes; Dofus Pourpre; Nomade; Carapace Feu majeur; Remueur; Cascadeur majeur; Vigoureux majeur; Croum</t>
        </is>
      </c>
    </row>
    <row r="33392">
      <c r="A33392" t="inlineStr">
        <is>
          <t>Stuff 3</t>
        </is>
      </c>
      <c r="B33392">
        <f>HYPERLINK("https://www.dofusbook.net/fr/equipement/202964-stuff-3/objets", "link")</f>
        <v/>
      </c>
      <c r="C33392" t="n">
        <v>0</v>
      </c>
      <c r="D33392" t="inlineStr">
        <is>
          <t>Pelle de Nidas; Amulette du Strigide; Pikano; Alliance Gloursonne; Ceintacé; Coiffe d'Ogivol; Cape de Kongoku; Bottes du Strigide; Dofus Pourpre; Vigoureux majeur; Remueur; Miraculé majeur; Temporiseur majeur; Nomade; Croum</t>
        </is>
      </c>
    </row>
    <row r="33393">
      <c r="A33393" t="inlineStr">
        <is>
          <t>Stuff 2</t>
        </is>
      </c>
      <c r="B33393">
        <f>HYPERLINK("https://www.dofusbook.net/fr/equipement/203000-stuff-2/objets", "link")</f>
        <v/>
      </c>
      <c r="C33393" t="n">
        <v>0</v>
      </c>
      <c r="D33393" t="inlineStr">
        <is>
          <t>Dagoulinantes; Amulette de Shokkoth; Pikano; Alliance Gloursonne; Bouclier cubiste; Ceinture de Kongoku; Kidibonnet; Cape de Kongoku; Bottes de la Dame du Hasard; Dofus Pourpre; Chanceux majeur; Remueur; Vigoureux majeur; Entraveur majeur; Temporiseur majeur; Muldo Indigo et Pourpre</t>
        </is>
      </c>
    </row>
    <row r="33394">
      <c r="A33394" t="inlineStr">
        <is>
          <t>Stuff 1</t>
        </is>
      </c>
      <c r="B33394">
        <f>HYPERLINK("https://www.dofusbook.net/fr/equipement/202959-stuff-1/objets", "link")</f>
        <v/>
      </c>
      <c r="C33394" t="n">
        <v>0</v>
      </c>
      <c r="D33394" t="inlineStr">
        <is>
          <t>Marteau des égarés; Amulette du Strigide; Bracelet du Piloztère; Alliance Gloursonne; Ceintacé; Casque du Chalœil; Voile d'encre; Bottes du Strigide; Dolmanax; Dofus Pourpre; Remueur; Miraculé majeur; Nomade; Vigoureux majeur; Kramkram</t>
        </is>
      </c>
    </row>
    <row r="33395">
      <c r="A33395" t="inlineStr">
        <is>
          <t>Stuff 1</t>
        </is>
      </c>
      <c r="B33395">
        <f>HYPERLINK("https://www.dofusbook.net/fr/equipement/202995-stuff-1/objets", "link")</f>
        <v/>
      </c>
      <c r="C33395" t="n">
        <v>0</v>
      </c>
      <c r="D33395" t="inlineStr">
        <is>
          <t>Sabres d'Atcham; Amulette du Strigide; Anneau Tique; Alliance Gloursonne; Bouclier précieux; Ceintacé; Casque Dragoeuf; Cape des Malveilleurs; Bottes du Strigide; Dolmanax; Dofus Abyssal; Dofus Émeraude; Dofus Pourpre; Remueur; Vigoureux majeur; Muldo Indigo et Pourpre</t>
        </is>
      </c>
    </row>
    <row r="33396">
      <c r="A33396" t="inlineStr">
        <is>
          <t>Stuff 2</t>
        </is>
      </c>
      <c r="B33396">
        <f>HYPERLINK("https://www.dofusbook.net/fr/equipement/202954-stuff-2/objets", "link")</f>
        <v/>
      </c>
      <c r="C33396" t="n">
        <v>0</v>
      </c>
      <c r="D33396" t="inlineStr">
        <is>
          <t>Pelle de la Cour Sombre; Collier du Valet Veinard; Alliance Gloursonne; Gant du Valet Veinard; Ceinture du Barbétoal; Casque Dragoeuf; Cape d'Hel Munster; Baleinabottes; Dofus Pourpre; Nomade; Miraculé majeur; Remueur; Cascadeur majeur; Vigoureux majeur; Siroko</t>
        </is>
      </c>
    </row>
    <row r="33397">
      <c r="A33397" t="inlineStr">
        <is>
          <t>Stuff 2</t>
        </is>
      </c>
      <c r="B33397">
        <f>HYPERLINK("https://www.dofusbook.net/fr/equipement/202989-stuff-2/objets", "link")</f>
        <v/>
      </c>
      <c r="C33397" t="n">
        <v>0</v>
      </c>
      <c r="D33397" t="inlineStr">
        <is>
          <t>Pyraguette; Talisman Igans; Bague Trithon; Bague Gloursonne; Ceintacé; Boucle d'oreille de Kongoku; Cape de Meno; Bottes de Meno; Dofus Pourpre; Dofus Turquoise; Nomade; Remueur; Miraculé majeur; Vigoureux majeur; Croum</t>
        </is>
      </c>
    </row>
    <row r="33398">
      <c r="A33398" t="inlineStr">
        <is>
          <t>Stuff 1</t>
        </is>
      </c>
      <c r="B33398">
        <f>HYPERLINK("https://www.dofusbook.net/fr/equipement/202962-stuff-1/objets", "link")</f>
        <v/>
      </c>
      <c r="C33398" t="n">
        <v>0</v>
      </c>
      <c r="D33398" t="inlineStr">
        <is>
          <t>Sabres d'Atcham; Amulette du Strigide; Alliance Gloursonne; Anneau Tique; Ceintacé; Chapeau des Malveilleurs; Voile d'encre; Bottes du Strigide; Dofus Pourpre; Dofus Turquoise; Dolmanax; Nomade; Vigoureux majeur; Remueur; Kramkram</t>
        </is>
      </c>
    </row>
    <row r="33399">
      <c r="A33399" t="inlineStr">
        <is>
          <t>Stuff 1</t>
        </is>
      </c>
      <c r="B33399">
        <f>HYPERLINK("https://www.dofusbook.net/fr/equipement/202998-stuff-1/objets", "link")</f>
        <v/>
      </c>
      <c r="C33399" t="n">
        <v>0</v>
      </c>
      <c r="D33399" t="inlineStr">
        <is>
          <t>Sabres d'Atcham; Amulette du Strigide; Bague Gloursonne; Alliance Gloursonne; Ceinture du Strigide; Némès de Tal Kasha; Chevelure de Tal Kasha; Sandales de Tal Kasha; Dofus Turquoise; Dofus Pourpre; Dofus Nébuleux; Dolmanax; Dofus des Glaces; Dofus Ocre; Muldo Ebène et Indigo</t>
        </is>
      </c>
    </row>
    <row r="33400">
      <c r="A33400" t="inlineStr">
        <is>
          <t>Stuff 2</t>
        </is>
      </c>
      <c r="B33400">
        <f>HYPERLINK("https://www.dofusbook.net/fr/equipement/202957-stuff-2/objets", "link")</f>
        <v/>
      </c>
      <c r="C33400" t="n">
        <v>0</v>
      </c>
      <c r="D33400" t="inlineStr">
        <is>
          <t>Sabres d'Atcham; Amulette du Strigide; Anneau Tique; Alliance Gloursonne; Ceintacé; Casque du Chalœil; Cape des Malveilleurs; Bottes du Strigide; Dofus Pourpre; Dofus Turquoise; Dolmanax; Nomade; Remueur; Vigoureux majeur; Kramkram</t>
        </is>
      </c>
    </row>
    <row r="33401">
      <c r="A33401" t="inlineStr">
        <is>
          <t>Stuff 2</t>
        </is>
      </c>
      <c r="B33401">
        <f>HYPERLINK("https://www.dofusbook.net/fr/equipement/202992-stuff-2/objets", "link")</f>
        <v/>
      </c>
      <c r="C33401" t="n">
        <v>0</v>
      </c>
      <c r="D33401" t="inlineStr">
        <is>
          <t>Arc Hétype; Pendentif mignon de Koutoulou; Anneau Tique; Anneau Rifique; Ceinture de Vortex; Casque Dragoeuf; Cape de Diondin; Bottes Innommables; Dolmanax; Érudit majeur; Évasif majeur; Cavaleur majeur; Miraculé majeur; Remueur; Muldo Orchidée et Pourpre</t>
        </is>
      </c>
    </row>
    <row r="33402">
      <c r="A33402" t="inlineStr">
        <is>
          <t>Stuff 1</t>
        </is>
      </c>
      <c r="B33402">
        <f>HYPERLINK("https://www.dofusbook.net/fr/equipement/202987-stuff-1/objets", "link")</f>
        <v/>
      </c>
      <c r="C33402" t="n">
        <v>0</v>
      </c>
      <c r="D33402" t="inlineStr">
        <is>
          <t>Baguette de Malléfisk; Pendentif mignon de Koutoulou; Anneau Rifique; Anneau Tique; Ceinture de Vortex; Casque Dragoeuf; Cape de Diondin; Bottes Innommables; Dolmanax; Évasif majeur; Nomade; Miraculé majeur; Remueur; Érudit majeur; Croum</t>
        </is>
      </c>
    </row>
    <row r="33403">
      <c r="A33403" t="inlineStr">
        <is>
          <t>Stuff 3</t>
        </is>
      </c>
      <c r="B33403">
        <f>HYPERLINK("https://www.dofusbook.net/fr/equipement/202982-stuff-3/objets", "link")</f>
        <v/>
      </c>
      <c r="C33403" t="n">
        <v>0</v>
      </c>
      <c r="D33403" t="inlineStr">
        <is>
          <t>Dagues de Srambad; Amulette Luminescente; Alliance Gloursonne; Pikano; Ceinture de la Reine des Voleurs; Masque de Koutoulou; Voile d'encre; Bottes de la Reine des Voleurs; Dofus Pourpre; Déserteur majeur; Temporiseur majeur; Vigoureux majeur; Remueur; Miraculé majeur; Muldo Indigo et Amande</t>
        </is>
      </c>
    </row>
    <row r="33404">
      <c r="A33404" t="inlineStr">
        <is>
          <t>Stuff 1</t>
        </is>
      </c>
      <c r="B33404">
        <f>HYPERLINK("https://www.dofusbook.net/fr/equipement/202977-stuff-1/objets", "link")</f>
        <v/>
      </c>
      <c r="C33404" t="n">
        <v>0</v>
      </c>
      <c r="D33404" t="inlineStr">
        <is>
          <t>Rapière aux Glyphes; Amulette de Shokkoth; Alliance Gloursonne; Bracelet des Fonds marins; Poulpagne; Casque Dragoeuf; Cape Ytale; Sandales des Fonds marins; Dofus Pourpre; Miraculé majeur; Remueur; Chanceux majeur; Vigoureux majeur; Nomade; Croum</t>
        </is>
      </c>
    </row>
    <row r="33405">
      <c r="A33405" t="inlineStr">
        <is>
          <t>Stuff 2</t>
        </is>
      </c>
      <c r="B33405">
        <f>HYPERLINK("https://www.dofusbook.net/fr/equipement/202972-stuff-2/objets", "link")</f>
        <v/>
      </c>
      <c r="C33405" t="n">
        <v>0</v>
      </c>
      <c r="D33405" t="inlineStr">
        <is>
          <t>Pelle de la Cour Sombre; Collier du Valet Veinard; Alliance Gloursonne; Gant du Valet Veinard; Ceinture du Barbétoal; Casque Dragoeuf; Cape d'Hel Munster; Baleinabottes; Dofus Pourpre; Nomade; Carapace Feu majeur; Remueur; Cascadeur majeur; Vigoureux majeur; Croum</t>
        </is>
      </c>
    </row>
    <row r="33406">
      <c r="A33406" t="inlineStr">
        <is>
          <t>Stuff 3</t>
        </is>
      </c>
      <c r="B33406">
        <f>HYPERLINK("https://www.dofusbook.net/fr/equipement/202964-stuff-3/objets", "link")</f>
        <v/>
      </c>
      <c r="C33406" t="n">
        <v>0</v>
      </c>
      <c r="D33406" t="inlineStr">
        <is>
          <t>Pelle de Nidas; Amulette du Strigide; Pikano; Alliance Gloursonne; Ceintacé; Coiffe d'Ogivol; Cape de Kongoku; Bottes du Strigide; Dofus Pourpre; Temporiseur majeur; Nomade; Vigoureux majeur; Remueur; Miraculé majeur; Croum</t>
        </is>
      </c>
    </row>
    <row r="33407">
      <c r="A33407" t="inlineStr">
        <is>
          <t>Stuff 2</t>
        </is>
      </c>
      <c r="B33407">
        <f>HYPERLINK("https://www.dofusbook.net/fr/equipement/203000-stuff-2/objets", "link")</f>
        <v/>
      </c>
      <c r="C33407" t="n">
        <v>0</v>
      </c>
      <c r="D33407" t="inlineStr">
        <is>
          <t>Dagoulinantes; Amulette de Shokkoth; Alliance Gloursonne; Pikano; Bouclier cubiste; Ceinture de Kongoku; Kidibonnet; Cape de Kongoku; Bottes de la Dame du Hasard; Dofus Pourpre; Entraveur majeur; Temporiseur majeur; Chanceux majeur; Remueur; Vigoureux majeur; Muldo Indigo et Pourpre</t>
        </is>
      </c>
    </row>
    <row r="33408">
      <c r="A33408" t="inlineStr">
        <is>
          <t>Stuff 1</t>
        </is>
      </c>
      <c r="B33408">
        <f>HYPERLINK("https://www.dofusbook.net/fr/equipement/202959-stuff-1/objets", "link")</f>
        <v/>
      </c>
      <c r="C33408" t="n">
        <v>0</v>
      </c>
      <c r="D33408" t="inlineStr">
        <is>
          <t>Marteau des égarés; Amulette du Strigide; Bracelet du Piloztère; Alliance Gloursonne; Ceintacé; Casque du Chalœil; Voile d'encre; Bottes du Strigide; Dolmanax; Dofus Pourpre; Miraculé majeur; Nomade; Vigoureux majeur; Remueur; Kramkram</t>
        </is>
      </c>
    </row>
    <row r="33409">
      <c r="A33409" t="inlineStr">
        <is>
          <t>Stuff 1</t>
        </is>
      </c>
      <c r="B33409">
        <f>HYPERLINK("https://www.dofusbook.net/fr/equipement/202995-stuff-1/objets", "link")</f>
        <v/>
      </c>
      <c r="C33409" t="n">
        <v>0</v>
      </c>
      <c r="D33409" t="inlineStr">
        <is>
          <t>Sabres d'Atcham; Amulette du Strigide; Anneau Tique; Alliance Gloursonne; Bouclier précieux; Ceintacé; Casque Dragoeuf; Cape des Malveilleurs; Bottes du Strigide; Dofus Émeraude; Dofus Pourpre; Dolmanax; Dofus Abyssal; Remueur; Vigoureux majeur; Muldo Indigo et Pourpre</t>
        </is>
      </c>
    </row>
    <row r="33410">
      <c r="A33410" t="inlineStr">
        <is>
          <t>Stuff 2</t>
        </is>
      </c>
      <c r="B33410">
        <f>HYPERLINK("https://www.dofusbook.net/fr/equipement/202954-stuff-2/objets", "link")</f>
        <v/>
      </c>
      <c r="C33410" t="n">
        <v>0</v>
      </c>
      <c r="D33410" t="inlineStr">
        <is>
          <t>Pelle de la Cour Sombre; Collier du Valet Veinard; Alliance Gloursonne; Gant du Valet Veinard; Ceinture du Barbétoal; Casque Dragoeuf; Cape d'Hel Munster; Baleinabottes; Dofus Pourpre; Remueur; Cascadeur majeur; Vigoureux majeur; Nomade; Miraculé majeur; Siroko</t>
        </is>
      </c>
    </row>
    <row r="33411">
      <c r="A33411" t="inlineStr">
        <is>
          <t>Stuff 2</t>
        </is>
      </c>
      <c r="B33411">
        <f>HYPERLINK("https://www.dofusbook.net/fr/equipement/202989-stuff-2/objets", "link")</f>
        <v/>
      </c>
      <c r="C33411" t="n">
        <v>0</v>
      </c>
      <c r="D33411" t="inlineStr">
        <is>
          <t>Pyraguette; Talisman Igans; Bague Trithon; Bague Gloursonne; Ceintacé; Boucle d'oreille de Kongoku; Cape de Meno; Bottes de Meno; Dofus Turquoise; Dofus Pourpre; Remueur; Miraculé majeur; Vigoureux majeur; Nomade; Croum</t>
        </is>
      </c>
    </row>
    <row r="33412">
      <c r="A33412" t="inlineStr">
        <is>
          <t>Stuff 3</t>
        </is>
      </c>
      <c r="B33412">
        <f>HYPERLINK("https://www.dofusbook.net/fr/equipement/202979-stuff-3/objets", "link")</f>
        <v/>
      </c>
      <c r="C33412" t="n">
        <v>0</v>
      </c>
      <c r="D33412" t="inlineStr">
        <is>
          <t>Baguette de Malléfisk; Pendentif affamé; Anneau Tique; Anneau Rifique; Ceinture de Vortex; Casque Cyclopéen; Cape de Diondin; Bottes Innommables; Dolmanax; Érudit majeur; Guérisseur majeur; Nomade; Miraculé majeur; Remueur; Croum</t>
        </is>
      </c>
    </row>
    <row r="33413">
      <c r="A33413" t="inlineStr">
        <is>
          <t>Stuff 1</t>
        </is>
      </c>
      <c r="B33413">
        <f>HYPERLINK("https://www.dofusbook.net/fr/equipement/202974-stuff-1/objets", "link")</f>
        <v/>
      </c>
      <c r="C33413" t="n">
        <v>0</v>
      </c>
      <c r="D33413" t="inlineStr">
        <is>
          <t>Baguette de Malléfisk; Pendentif mignon de Koutoulou; Anneau Tique; Anneau Rifique; Ceinture de Vortex; Casque Dragoeuf; Cape de Diondin; Bottes Innommables; Dolmanax; Miraculé majeur; Remueur; Érudit majeur; Évasif majeur; Nomade; Croum</t>
        </is>
      </c>
    </row>
    <row r="33414">
      <c r="A33414" t="inlineStr">
        <is>
          <t>Stuff 2</t>
        </is>
      </c>
      <c r="B33414">
        <f>HYPERLINK("https://www.dofusbook.net/fr/equipement/202969-stuff-2/objets", "link")</f>
        <v/>
      </c>
      <c r="C33414" t="n">
        <v>0</v>
      </c>
      <c r="D33414" t="inlineStr">
        <is>
          <t>Manthache; Collier du Valet Veinard; Gant du Valet Veinard; Alliance Gloursonne; Menoture; Casque Dragoeuf; Cape d'Hel Munster; Palmes Trithons; Dofus Émeraude; Dofus Pourpre; Dofus Turquoise; Cascadeur majeur; Vigoureux majeur; Remueur; Muldo Ebène et Orchidée</t>
        </is>
      </c>
    </row>
    <row r="33415">
      <c r="A33415" t="inlineStr">
        <is>
          <t>Stuff 3</t>
        </is>
      </c>
      <c r="B33415">
        <f>HYPERLINK("https://www.dofusbook.net/fr/equipement/202961-stuff-3/objets", "link")</f>
        <v/>
      </c>
      <c r="C33415" t="n">
        <v>0</v>
      </c>
      <c r="D33415" t="inlineStr">
        <is>
          <t>Dagues Érhy; Amulette du Strigide; Bracelet du Piloztère; Bague Gloursonne; Ceintacé; Chapeau de Gein; Voile d'encre; Bottes du Strigide; Dofus Pourpre; Dolmanax; Nomade; Remueur; Vigoureux majeur; Miraculé majeur; Croum</t>
        </is>
      </c>
    </row>
    <row r="33416">
      <c r="A33416" t="inlineStr">
        <is>
          <t>Stuff 3</t>
        </is>
      </c>
      <c r="B33416">
        <f>HYPERLINK("https://www.dofusbook.net/fr/equipement/202997-stuff-3/objets", "link")</f>
        <v/>
      </c>
      <c r="C33416" t="n">
        <v>0</v>
      </c>
      <c r="D33416" t="inlineStr">
        <is>
          <t>Sabres d'Atcham; Amulette du Strigide; Alliance Gloursonne; Bague Gloursonne; Ceinture du Strigide; Némès de Tal Kasha; Chevelure de Tal Kasha; Sandales de Tal Kasha; Dofus Turquoise; Dofus Pourpre; Dolmanax; Dofus des Glaces; Dofus Ocre; Remueur; Muldo Ebène et Indigo</t>
        </is>
      </c>
    </row>
    <row r="33417">
      <c r="A33417" t="inlineStr">
        <is>
          <t>Stuff 1</t>
        </is>
      </c>
      <c r="B33417">
        <f>HYPERLINK("https://www.dofusbook.net/fr/equipement/202991-stuff-1/objets", "link")</f>
        <v/>
      </c>
      <c r="C33417" t="n">
        <v>0</v>
      </c>
      <c r="D33417" t="inlineStr">
        <is>
          <t>Dagoulinantes; Amulette de Shokkoth; Alliance Gloursonne; Bracelet des Fonds marins; Poulpagne; Casque Dragoeuf; Cape de Mantaze; Sandales des Fonds marins; Dofus Pourpre; Déserteur majeur; Miraculé majeur; Remueur; Chanceux majeur; Vigoureux majeur; Muldo Indigo</t>
        </is>
      </c>
    </row>
    <row r="33418">
      <c r="A33418" t="inlineStr">
        <is>
          <t>Stuff 2</t>
        </is>
      </c>
      <c r="B33418">
        <f>HYPERLINK("https://www.dofusbook.net/fr/equipement/203000-stuff-2/objets", "link")</f>
        <v/>
      </c>
      <c r="C33418" t="n">
        <v>0</v>
      </c>
      <c r="D33418" t="inlineStr">
        <is>
          <t>Dagoulinantes; Amulette de Shokkoth; Pikano; Alliance Gloursonne; Bouclier cubiste; Ceinture de Kongoku; Kidibonnet; Cape de Kongoku; Bottes de la Dame du Hasard; Dofus Pourpre; Vigoureux majeur; Entraveur majeur; Temporiseur majeur; Chanceux majeur; Remueur; Muldo Indigo et Pourpre</t>
        </is>
      </c>
    </row>
    <row r="33419">
      <c r="A33419" t="inlineStr">
        <is>
          <t>Stuff 1</t>
        </is>
      </c>
      <c r="B33419">
        <f>HYPERLINK("https://www.dofusbook.net/fr/equipement/202959-stuff-1/objets", "link")</f>
        <v/>
      </c>
      <c r="C33419" t="n">
        <v>0</v>
      </c>
      <c r="D33419" t="inlineStr">
        <is>
          <t>Marteau des égarés; Amulette du Strigide; Bracelet du Piloztère; Alliance Gloursonne; Ceintacé; Casque du Chalœil; Voile d'encre; Bottes du Strigide; Dofus Pourpre; Dolmanax; Miraculé majeur; Nomade; Vigoureux majeur; Remueur; Kramkram</t>
        </is>
      </c>
    </row>
    <row r="33420">
      <c r="A33420" t="inlineStr">
        <is>
          <t>Stuff 1</t>
        </is>
      </c>
      <c r="B33420">
        <f>HYPERLINK("https://www.dofusbook.net/fr/equipement/202995-stuff-1/objets", "link")</f>
        <v/>
      </c>
      <c r="C33420" t="n">
        <v>0</v>
      </c>
      <c r="D33420" t="inlineStr">
        <is>
          <t>Sabres d'Atcham; Amulette du Strigide; Anneau Tique; Alliance Gloursonne; Bouclier précieux; Ceintacé; Casque Dragoeuf; Cape des Malveilleurs; Bottes du Strigide; Dofus Émeraude; Dofus Pourpre; Dolmanax; Dofus Abyssal; Remueur; Vigoureux majeur; Muldo Indigo et Pourpre</t>
        </is>
      </c>
    </row>
    <row r="33421">
      <c r="A33421" t="inlineStr">
        <is>
          <t>Stuff 2</t>
        </is>
      </c>
      <c r="B33421">
        <f>HYPERLINK("https://www.dofusbook.net/fr/equipement/202954-stuff-2/objets", "link")</f>
        <v/>
      </c>
      <c r="C33421" t="n">
        <v>0</v>
      </c>
      <c r="D33421" t="inlineStr">
        <is>
          <t>Pelle de la Cour Sombre; Collier du Valet Veinard; Alliance Gloursonne; Gant du Valet Veinard; Ceinture du Barbétoal; Casque Dragoeuf; Cape d'Hel Munster; Baleinabottes; Dofus Pourpre; Remueur; Cascadeur majeur; Vigoureux majeur; Nomade; Miraculé majeur; Siroko</t>
        </is>
      </c>
    </row>
    <row r="33422">
      <c r="A33422" t="inlineStr">
        <is>
          <t>Stuff 2</t>
        </is>
      </c>
      <c r="B33422">
        <f>HYPERLINK("https://www.dofusbook.net/fr/equipement/202989-stuff-2/objets", "link")</f>
        <v/>
      </c>
      <c r="C33422" t="n">
        <v>0</v>
      </c>
      <c r="D33422" t="inlineStr">
        <is>
          <t>Pyraguette; Talisman Igans; Bague Gloursonne; Bague Trithon; Ceintacé; Boucle d'oreille de Kongoku; Cape de Meno; Bottes de Meno; Dofus Turquoise; Dofus Pourpre; Vigoureux majeur; Nomade; Remueur; Miraculé majeur; Croum</t>
        </is>
      </c>
    </row>
    <row r="33423">
      <c r="A33423" t="inlineStr">
        <is>
          <t>Stuff 2</t>
        </is>
      </c>
      <c r="B33423">
        <f>HYPERLINK("https://www.dofusbook.net/fr/equipement/202912-stuff-2/objets", "link")</f>
        <v/>
      </c>
      <c r="C33423" t="n">
        <v>0</v>
      </c>
      <c r="D33423" t="inlineStr">
        <is>
          <t>Hache du Chalœil; Amulette du Strigide; Alliance Gloursonne; Bracelet du Piloztère; Ceintacé; Casque Dragoeuf; Voile d'encre; Bottes du Strigide; Dolmanax; Dofus Pourpre; Dofus Turquoise; Remueur; Nomade; Vigoureux majeur; Croum</t>
        </is>
      </c>
    </row>
    <row r="33424">
      <c r="A33424" t="inlineStr">
        <is>
          <t>Stuff 1</t>
        </is>
      </c>
      <c r="B33424">
        <f>HYPERLINK("https://www.dofusbook.net/fr/equipement/202944-stuff-1/objets", "link")</f>
        <v/>
      </c>
      <c r="C33424" t="n">
        <v>2</v>
      </c>
      <c r="D33424" t="inlineStr">
        <is>
          <t>Sceptre du Roi Joueur; Amulette de Shokkoth; Alliance Gloursonne; Bracelet des Fonds marins; Écorce de Brouce; Poulpagne; Casque Dragoeuf; Cape de Mantaze; Sandales des Fonds marins; Dofus Pourpre; Chanceux majeur; Vigoureux majeur; Miraculé majeur; Étourdisseur majeur; Remueur; Muldo Indigo</t>
        </is>
      </c>
    </row>
    <row r="33425">
      <c r="A33425" t="inlineStr">
        <is>
          <t>Stuff 2</t>
        </is>
      </c>
      <c r="B33425">
        <f>HYPERLINK("https://www.dofusbook.net/fr/equipement/202880-stuff-2/objets", "link")</f>
        <v/>
      </c>
      <c r="C33425" t="n">
        <v>0</v>
      </c>
      <c r="D33425" t="inlineStr">
        <is>
          <t>Marteau des Anciens Steamers; Amulette Voldelor; Alliance Gloursonne; Bracelet du Piloztère; Ceinture Voldelor; Kidibonnet; Cape d'Hel Munster; Bottes de la Reine des Voleurs; Dofus Turquoise; Dofus Pourpre; Miraculé majeur; Nomade; Vigoureux majeur; Remueur; Croum</t>
        </is>
      </c>
    </row>
    <row r="33426">
      <c r="A33426" t="inlineStr">
        <is>
          <t>Stuff 2</t>
        </is>
      </c>
      <c r="B33426">
        <f>HYPERLINK("https://www.dofusbook.net/fr/equipement/202939-stuff-2/objets", "link")</f>
        <v/>
      </c>
      <c r="C33426" t="n">
        <v>0</v>
      </c>
      <c r="D33426" t="inlineStr">
        <is>
          <t>Pelle de Nidas; Amulette du Strigide; Alliance Gloursonne; Bracelet du Piloztère; Ceintacé; Coiffe de la Reine des Voleurs; Cape du Chalœil; Bottes de la Reine des Voleurs; Dofus Turquoise; Dofus Pourpre; Nomade; Vigoureux majeur; Remueur; Miraculé majeur; Kramkram</t>
        </is>
      </c>
    </row>
    <row r="33427">
      <c r="A33427" t="inlineStr">
        <is>
          <t>Stuff 3</t>
        </is>
      </c>
      <c r="B33427">
        <f>HYPERLINK("https://www.dofusbook.net/fr/equipement/202875-stuff-3/objets", "link")</f>
        <v/>
      </c>
      <c r="C33427" t="n">
        <v>0</v>
      </c>
      <c r="D33427" t="inlineStr">
        <is>
          <t>Poolache; Amulette du Strigide; Bague Gloursonne; Alliance de Missiz Frizz; Ceinture du Strigide; Chapeau de Gein; Voile d'encre; Bottes du Cycloïde; Dofus Turquoise; Dofus Ocre; Dofus Pourpre; Nomade; Remueur; Vigoureux majeur; Kramkram</t>
        </is>
      </c>
    </row>
    <row r="33428">
      <c r="A33428" t="inlineStr">
        <is>
          <t>Stuff 3</t>
        </is>
      </c>
      <c r="B33428">
        <f>HYPERLINK("https://www.dofusbook.net/fr/equipement/202907-stuff-3/objets", "link")</f>
        <v/>
      </c>
      <c r="C33428" t="n">
        <v>0</v>
      </c>
      <c r="D33428" t="inlineStr">
        <is>
          <t>Hache du Chalœil; Amulette du Strigide; Bracelet du Piloztère; Bague Gloursonne; Ceintacé; Casque du Chalœil; Voile d'encre; Bottes du Strigide; Dolmanax; Dofus Pourpre; Dofus Turquoise; Nomade; Vigoureux majeur; Remueur; Croum</t>
        </is>
      </c>
    </row>
    <row r="33429">
      <c r="A33429" t="inlineStr">
        <is>
          <t>Stuff 3</t>
        </is>
      </c>
      <c r="B33429">
        <f>HYPERLINK("https://www.dofusbook.net/fr/equipement/202934-stuff-3/objets", "link")</f>
        <v/>
      </c>
      <c r="C33429" t="n">
        <v>0</v>
      </c>
      <c r="D33429" t="inlineStr">
        <is>
          <t>Pelle de la Cour Sombre; Collier du Valet Veinard; Alliance Gloursonne; Gant du Valet Veinard; Ceinture du Barbétoal; Casque Dragoeuf; Cape d'Hel Munster; Baleinabottes; Dofus Pourpre; Nomade; Carapace Feu majeur; Remueur; Cascadeur majeur; Vigoureux majeur; Croum</t>
        </is>
      </c>
    </row>
    <row r="33430">
      <c r="A33430" t="inlineStr">
        <is>
          <t>Stuff 1</t>
        </is>
      </c>
      <c r="B33430">
        <f>HYPERLINK("https://www.dofusbook.net/fr/equipement/202870-stuff-1/objets", "link")</f>
        <v/>
      </c>
      <c r="C33430" t="n">
        <v>0</v>
      </c>
      <c r="D33430" t="inlineStr">
        <is>
          <t>Manthache; Collier du Valet Veinard; Gant du Valet Veinard; Alliance Gloursonne; Ceintouse; Chapoulpe; Cape du Valet Veinard; Tentassons; Dofus Pourpre; Dofus des Glaces; Dolmanax; Dofus Turquoise; Dofus Ocre; Acrobate majeur; Muldo Ebène et Pourpre</t>
        </is>
      </c>
    </row>
    <row r="33431">
      <c r="A33431" t="inlineStr">
        <is>
          <t>Stuff 1</t>
        </is>
      </c>
      <c r="B33431">
        <f>HYPERLINK("https://www.dofusbook.net/fr/equipement/202902-stuff-1/objets", "link")</f>
        <v/>
      </c>
      <c r="C33431" t="n">
        <v>1</v>
      </c>
      <c r="D33431" t="inlineStr">
        <is>
          <t>Dagues de Srambad; Amulette du Strigide; Alliance Gloursonne; Bracelet du Piloztère; Ceinture de la Reine des Voleurs; Kidibonnet; Cape au Logis; Pantoufles du Piloztère; Dofus Pourpre; Dofus Turquoise; Chanceux majeur; Enragé majeur; Vigoureux majeur; Remueur; Kramkram</t>
        </is>
      </c>
    </row>
    <row r="33432">
      <c r="A33432" t="inlineStr">
        <is>
          <t>Stuff 1</t>
        </is>
      </c>
      <c r="B33432">
        <f>HYPERLINK("https://www.dofusbook.net/fr/equipement/202929-stuff-1/objets", "link")</f>
        <v/>
      </c>
      <c r="C33432" t="n">
        <v>0</v>
      </c>
      <c r="D33432" t="inlineStr">
        <is>
          <t>Marteau des égarés; Amulette du Strigide; Bracelet du Piloztère; Alliance Gloursonne; Ceintacé; Casque Dragoeuf; Cape du Chalœil; Bottes du Chalœil; Dolmanax; Dofus Pourpre; Dofus Turquoise; Vigoureux majeur; Remueur; Nomade; Kramkram</t>
        </is>
      </c>
    </row>
    <row r="33433">
      <c r="A33433" t="inlineStr">
        <is>
          <t>Stuff 2</t>
        </is>
      </c>
      <c r="B33433">
        <f>HYPERLINK("https://www.dofusbook.net/fr/equipement/202865-stuff-2/objets", "link")</f>
        <v/>
      </c>
      <c r="C33433" t="n">
        <v>0</v>
      </c>
      <c r="D33433" t="inlineStr">
        <is>
          <t>Dagues Érhy; Amulette du Strigide; Anneau de Brouce; Bracelet du Piloztère; Ceintacé; Chapeau de Gein; Cape au Logis; Bottes du Strigide; Dofus Turquoise; Dolmanax; Dofus Pourpre; Enragé majeur; Vigoureux majeur; Remueur; Kramkram</t>
        </is>
      </c>
    </row>
    <row r="33434">
      <c r="A33434" t="inlineStr">
        <is>
          <t>Stuff 2</t>
        </is>
      </c>
      <c r="B33434">
        <f>HYPERLINK("https://www.dofusbook.net/fr/equipement/202897-stuff-2/objets", "link")</f>
        <v/>
      </c>
      <c r="C33434" t="n">
        <v>0</v>
      </c>
      <c r="D33434" t="inlineStr">
        <is>
          <t>Sabres d'Atcham; Amulette du Strigide; Alliance Gloursonne; Anneau Tique; Ceinture du Strigide; Dorabysses; Cape d'Atcham; Sandales  d'Atcham; Dofus Émeraude; Dofus Ocre; Dofus des Glaces; Dofus Pourpre; Dofus Turquoise; Remueur</t>
        </is>
      </c>
    </row>
    <row r="33435">
      <c r="A33435" t="inlineStr">
        <is>
          <t>Stuff 2</t>
        </is>
      </c>
      <c r="B33435">
        <f>HYPERLINK("https://www.dofusbook.net/fr/equipement/202924-stuff-2/objets", "link")</f>
        <v/>
      </c>
      <c r="C33435" t="n">
        <v>0</v>
      </c>
      <c r="D33435" t="inlineStr">
        <is>
          <t>Pelle de la Cour Sombre; Collier du Valet Veinard; Gant du Valet Veinard; Anneau d'Allister; Ceinture du Barbétoal; Couronne d'Allister; Cape du Valet Veinard; Bottes d'Allister; Dofus Vulbis; Dofus Ocre; Dofus Pourpre; Dofus Turquoise; Dolmanax; Acrobate majeur; Kramkram</t>
        </is>
      </c>
    </row>
    <row r="33436">
      <c r="A33436" t="inlineStr">
        <is>
          <t>Stuff 3</t>
        </is>
      </c>
      <c r="B33436">
        <f>HYPERLINK("https://www.dofusbook.net/fr/equipement/202860-stuff-3/objets", "link")</f>
        <v/>
      </c>
      <c r="C33436" t="n">
        <v>0</v>
      </c>
      <c r="D33436" t="inlineStr">
        <is>
          <t>Hache Ériphe; Amulette du Strigide; Anneau des égarés; Bracelet du Piloztère; Ceinture du Strigide; Coiffe de la Reine des Voleurs; Cape du Kamasterisk; Baleinabottes; Dolmanax; Dofus des Glaces; Dofus Pourpre; Remueur; Vigoureux majeur; Nomade; Croum</t>
        </is>
      </c>
    </row>
    <row r="33437">
      <c r="A33437" t="inlineStr">
        <is>
          <t>Stuff 2</t>
        </is>
      </c>
      <c r="B33437">
        <f>HYPERLINK("https://www.dofusbook.net/fr/equipement/202892-stuff-2/objets", "link")</f>
        <v/>
      </c>
      <c r="C33437" t="n">
        <v>1</v>
      </c>
      <c r="D33437" t="inlineStr">
        <is>
          <t>Épée du Granduk; Amulette du Granduk; Bracelet du Piloztère; Alliance Gloursonne; Ceinture du Nocturlabe; Couronne d'Allister; Cape de Klime; Baleinabottes; Dofus des Glaces; Dofus Pourpre; Cascadeur majeur; Nomade; Vigoureux majeur; Remueur; Siroko</t>
        </is>
      </c>
    </row>
    <row r="33438">
      <c r="A33438" t="inlineStr">
        <is>
          <t>Stuff 3</t>
        </is>
      </c>
      <c r="B33438">
        <f>HYPERLINK("https://www.dofusbook.net/fr/equipement/202946-stuff-3/objets", "link")</f>
        <v/>
      </c>
      <c r="C33438" t="n">
        <v>1</v>
      </c>
      <c r="D33438" t="inlineStr">
        <is>
          <t>Sceptre du Roi Joueur; Amulette de Pol Ouatnos; Alliance Gloursonne; Bracelet des Fonds marins; Ceinture de la Reine des Voleurs; Kidibonnet; Cape d'Hel Munster; Bottes de la Reine des Voleurs; Dofus Pourpre; Chanceux majeur; Remueur; Miraculé majeur; Vigoureux majeur; Étourdisseur majeur; Croum</t>
        </is>
      </c>
    </row>
    <row r="33439">
      <c r="A33439" t="inlineStr">
        <is>
          <t>Stuff 2</t>
        </is>
      </c>
      <c r="B33439">
        <f>HYPERLINK("https://www.dofusbook.net/fr/equipement/202877-stuff-2/objets", "link")</f>
        <v/>
      </c>
      <c r="C33439" t="n">
        <v>0</v>
      </c>
      <c r="D33439" t="inlineStr">
        <is>
          <t>Rapière aux Glyphes; Amulette de Shokkoth; Bracelet des Fonds marins; Alliance Gloursonne; Ceinture du Barbétoal; Kidibonnet; Cape du Sinistrofu; Bottes du Sinistrofu; Dofus Pourpre; Nomade; Miraculé majeur; Remueur; Chanceux majeur; Vigoureux majeur; Croum</t>
        </is>
      </c>
    </row>
    <row r="33440">
      <c r="A33440" t="inlineStr">
        <is>
          <t>Stuff 2</t>
        </is>
      </c>
      <c r="B33440">
        <f>HYPERLINK("https://www.dofusbook.net/fr/equipement/202909-stuff-2/objets", "link")</f>
        <v/>
      </c>
      <c r="C33440" t="n">
        <v>0</v>
      </c>
      <c r="D33440" t="inlineStr">
        <is>
          <t>Marteau des Anciens Steamers; Amulette Voldelor; Alliance Gloursonne; Bracelet du Piloztère; Ceinture Voldelor; Casque Dragoeuf; Cape d'Hel Munster; Baleinabottes; Dofus Pourpre; Dolmanax; Miraculé majeur; Nomade; Vigoureux majeur; Remueur; Croum</t>
        </is>
      </c>
    </row>
    <row r="33441">
      <c r="A33441" t="inlineStr">
        <is>
          <t>Stuff 1</t>
        </is>
      </c>
      <c r="B33441">
        <f>HYPERLINK("https://www.dofusbook.net/fr/equipement/202941-stuff-1/objets", "link")</f>
        <v/>
      </c>
      <c r="C33441" t="n">
        <v>0</v>
      </c>
      <c r="D33441" t="inlineStr">
        <is>
          <t>Dagues Érhy; Amulette du Strigide; Chevalière du Roi Joueur; Bracelet du Piloztère; Ceintacé; Chapeau de Gein; Voile d'encre; Bottes du Roi Joueur; Dofus Pourpre; Dolmanax; Carapace Air majeur; Remueur; Nomade; Vigoureux majeur; Croum</t>
        </is>
      </c>
    </row>
    <row r="33442">
      <c r="A33442" t="inlineStr">
        <is>
          <t>Stuff 3</t>
        </is>
      </c>
      <c r="B33442">
        <f>HYPERLINK("https://www.dofusbook.net/fr/equipement/202872-stuff-3/objets", "link")</f>
        <v/>
      </c>
      <c r="C33442" t="n">
        <v>0</v>
      </c>
      <c r="D33442" t="inlineStr">
        <is>
          <t>Baguette de Malléfisk; Pendentif affamé; Anneau Rifique; Anneau Tique; Ceinture de Vortex; Casque Cyclopéen; Cape de Diondin; Bottes Innommables; Dolmanax; Miraculé majeur; Nomade; Temporiseur majeur; Remueur; Érudit majeur; Croum</t>
        </is>
      </c>
    </row>
    <row r="33443">
      <c r="A33443" t="inlineStr">
        <is>
          <t>Stuff 3</t>
        </is>
      </c>
      <c r="B33443">
        <f>HYPERLINK("https://www.dofusbook.net/fr/equipement/202904-stuff-3/objets", "link")</f>
        <v/>
      </c>
      <c r="C33443" t="n">
        <v>1</v>
      </c>
      <c r="D33443" t="inlineStr">
        <is>
          <t>Sceptre du Roi Joueur; Amulette du Sinistrofu; Alliance Gloursonne; Bracelet des Fonds marins; Ceinture du Barbétoal; Kidibonnet; Cape du Sinistrofu; Bottes du Nocturlabe; Dofus Pourpre; Vigoureux majeur; Remueur; Carapace Eau majeur; Chanceux majeur; Nomade; Croum</t>
        </is>
      </c>
    </row>
    <row r="33444">
      <c r="A33444" t="inlineStr">
        <is>
          <t>Stuff 2</t>
        </is>
      </c>
      <c r="B33444">
        <f>HYPERLINK("https://www.dofusbook.net/fr/equipement/202936-stuff-2/objets", "link")</f>
        <v/>
      </c>
      <c r="C33444" t="n">
        <v>1</v>
      </c>
      <c r="D33444" t="inlineStr">
        <is>
          <t>Baguette de Malléfisk; Pendentif mignon de Koutoulou; Anneau Rifique; Anneau Tique; Ceinture de Vortex; Casque Dragoeuf; Cape de Diondin; Bottes Innommables; Dolmanax; Évasif majeur; Nomade; Miraculé majeur; Remueur; Érudit majeur; Croum</t>
        </is>
      </c>
    </row>
    <row r="33445">
      <c r="A33445" t="inlineStr">
        <is>
          <t>Stuff 1</t>
        </is>
      </c>
      <c r="B33445">
        <f>HYPERLINK("https://www.dofusbook.net/fr/equipement/202899-stuff-1/objets", "link")</f>
        <v/>
      </c>
      <c r="C33445" t="n">
        <v>0</v>
      </c>
      <c r="D33445" t="inlineStr">
        <is>
          <t>Rapière aux Glyphes; Amulette du Sinistrofu; Bracelet des Fonds marins; Alliance Gloursonne; Ceinture du Barbétoal; Kidibonnet; Cape du Sinistrofu; Bottes du Nocturlabe; Dofus Pourpre; Chanceux majeur; Vigoureux majeur; Nomade; Miraculé majeur; Remueur; Kramkram</t>
        </is>
      </c>
    </row>
    <row r="33446">
      <c r="A33446" t="inlineStr">
        <is>
          <t>Stuff 3</t>
        </is>
      </c>
      <c r="B33446">
        <f>HYPERLINK("https://www.dofusbook.net/fr/equipement/202931-stuff-3/objets", "link")</f>
        <v/>
      </c>
      <c r="C33446" t="n">
        <v>0</v>
      </c>
      <c r="D33446" t="inlineStr">
        <is>
          <t>Sabres d'Atcham; Amulette du Strigide; Alliance Gloursonne; Bracelet du Piloztère; Ceinture du Strigide; Casque Dragoeuf; Cape d'Hel Munster; Pataugastrique; Dofus Turquoise; Dofus Pourpre; Nomade; Vigoureux majeur; Remueur; Miraculé majeur; Croum</t>
        </is>
      </c>
    </row>
    <row r="33447">
      <c r="A33447" t="inlineStr">
        <is>
          <t>Stuff 1</t>
        </is>
      </c>
      <c r="B33447">
        <f>HYPERLINK("https://www.dofusbook.net/fr/equipement/202867-stuff-1/objets", "link")</f>
        <v/>
      </c>
      <c r="C33447" t="n">
        <v>0</v>
      </c>
      <c r="D33447" t="inlineStr">
        <is>
          <t>Dagues de Srambad; Amulette du Strigide; Bracelet du Piloztère; Alliance Gloursonne; Ceinture de la Reine des Voleurs; Kidibonnet; Cape au Logis; Pantoufles du Piloztère; Dofus Turquoise; Dofus Pourpre; Enragé majeur; Vigoureux majeur; Remueur; Chanceux majeur; Kramkram</t>
        </is>
      </c>
    </row>
    <row r="33448">
      <c r="A33448" t="inlineStr">
        <is>
          <t>Stuff 2</t>
        </is>
      </c>
      <c r="B33448">
        <f>HYPERLINK("https://www.dofusbook.net/fr/equipement/202894-stuff-2/objets", "link")</f>
        <v/>
      </c>
      <c r="C33448" t="n">
        <v>0</v>
      </c>
      <c r="D33448" t="inlineStr">
        <is>
          <t>Dagues Érhy; Amulette de Pol Ouatnos; Anneau Tique; Bague Gloursonne; Ceinture de Gein; Chapeau de Gein; Voile d'encre; Pataugastrique; Dofus Pourpre; Dolmanax; Érudit majeur; Étourdisseur majeur; Miraculé majeur; Remueur; Croum</t>
        </is>
      </c>
    </row>
    <row r="33449">
      <c r="A33449" t="inlineStr">
        <is>
          <t>Stuff 1</t>
        </is>
      </c>
      <c r="B33449">
        <f>HYPERLINK("https://www.dofusbook.net/fr/equipement/202926-stuff-1/objets", "link")</f>
        <v/>
      </c>
      <c r="C33449" t="n">
        <v>0</v>
      </c>
      <c r="D33449" t="inlineStr">
        <is>
          <t>Épée du Granduk; Amulette du Granduk; Bracelet du Piloztère; Alliance Gloursonne; Sangle Ouare; Couronne d'Allister; Cape des Malveilleurs; Pataugastrique; Obstructeur; Bloqueur majeur; Tacleur majeur; Obstructeur majeur; Remueur; Bloqueur; Blokus</t>
        </is>
      </c>
    </row>
    <row r="33450">
      <c r="A33450" t="inlineStr">
        <is>
          <t>Stuff 2</t>
        </is>
      </c>
      <c r="B33450">
        <f>HYPERLINK("https://www.dofusbook.net/fr/equipement/202862-stuff-2/objets", "link")</f>
        <v/>
      </c>
      <c r="C33450" t="n">
        <v>0</v>
      </c>
      <c r="D33450" t="inlineStr">
        <is>
          <t>Dagues Érhy; Amulette du Strigide; Anneau de Nidas; Chevalière du Roi Joueur; Bouclier du Sadida; Ceintacé; Chapeau de Gein; Voile d'encre; Bottes du Roi Joueur; Dofus Pourpre; Dofus Émeraude; Remueur; Vigoureux majeur; Déserteur majeur; Temporiseur majeur; Muldo Ebène et Orchidée</t>
        </is>
      </c>
    </row>
    <row r="33451">
      <c r="A33451" t="inlineStr">
        <is>
          <t>Stuff 2</t>
        </is>
      </c>
      <c r="B33451">
        <f>HYPERLINK("https://www.dofusbook.net/fr/equipement/202889-stuff-2/objets", "link")</f>
        <v/>
      </c>
      <c r="C33451" t="n">
        <v>0</v>
      </c>
      <c r="D33451" t="inlineStr">
        <is>
          <t>Baguette de Malléfisk; Pendentif affamé; Anneau Tique; Anneau Rifique; Ceinture de Vortex; Casque Cyclopéen; Cape de Diondin; Bottes Innommables; Dolmanax; Érudit majeur; Guérisseur majeur; Nomade; Miraculé majeur; Remueur; Croum</t>
        </is>
      </c>
    </row>
    <row r="33452">
      <c r="A33452" t="inlineStr">
        <is>
          <t>Stuff 2</t>
        </is>
      </c>
      <c r="B33452">
        <f>HYPERLINK("https://www.dofusbook.net/fr/equipement/202921-stuff-2/objets", "link")</f>
        <v/>
      </c>
      <c r="C33452" t="n">
        <v>0</v>
      </c>
      <c r="D33452" t="inlineStr">
        <is>
          <t>Sabres d'Atcham; Amulette du Strigide; Bracelet du Piloztère; Alliance Gloursonne; Ceintacé; Chapeau des Malveilleurs; Cape de la Dame du Hasard; Bottes du Strigide; Dofus Pourpre; Étourdisseur majeur; Vigoureux majeur; Nomade; Miraculé majeur; Remueur; Croum</t>
        </is>
      </c>
    </row>
    <row r="33453">
      <c r="A33453" t="inlineStr">
        <is>
          <t>Stuff 3</t>
        </is>
      </c>
      <c r="B33453">
        <f>HYPERLINK("https://www.dofusbook.net/fr/equipement/202857-stuff-3/objets", "link")</f>
        <v/>
      </c>
      <c r="C33453" t="n">
        <v>0</v>
      </c>
      <c r="D33453" t="inlineStr">
        <is>
          <t>Hache du Chalœil; Amulette du Strigide; Alliance Gloursonne; Bracelet du Piloztère; Bouclier du Stalak; Ceintacé; Casque du Chalœil; Voile d'encre; Bottes du Strigide; Dofus Émeraude; Dofus Ocre; Dofus Pourpre; Dolmanax; Dofus Turquoise; Nomade; Kramkram</t>
        </is>
      </c>
    </row>
    <row r="33454">
      <c r="A33454" t="inlineStr">
        <is>
          <t>Stuff 3</t>
        </is>
      </c>
      <c r="B33454">
        <f>HYPERLINK("https://www.dofusbook.net/fr/equipement/202884-stuff-3/objets", "link")</f>
        <v/>
      </c>
      <c r="C33454" t="n">
        <v>1</v>
      </c>
      <c r="D33454" t="inlineStr">
        <is>
          <t>Arc Hétype; Amulette du Glourséleste; Anneau Tamie; Pikano; Ceinture Instable; Casquipik; Cape de Kongoku; Pantoufles Émar; Remueur; Ralentisseur majeur; Temporiseur; Entraveur majeur; Entraveur; Temporiseur majeur; Givrefoux</t>
        </is>
      </c>
    </row>
    <row r="33455">
      <c r="A33455" t="inlineStr">
        <is>
          <t>Stuff 3</t>
        </is>
      </c>
      <c r="B33455">
        <f>HYPERLINK("https://www.dofusbook.net/fr/equipement/202916-stuff-3/objets", "link")</f>
        <v/>
      </c>
      <c r="C33455" t="n">
        <v>0</v>
      </c>
      <c r="D33455" t="inlineStr">
        <is>
          <t>Hache Ériphe; Amulette du Strigide; Anneau de Brouce; Bague Gloursonne; Ceinture du Strigide; Coiffe de la Reine des Voleurs; Voile d'encre; Baleinabottes; Dolmanax; Dofus Pourpre; Dofus Turquoise; Nomade; Remueur; Vigoureux majeur; Kramkram</t>
        </is>
      </c>
    </row>
    <row r="33456">
      <c r="A33456" t="inlineStr">
        <is>
          <t>Stuff 2</t>
        </is>
      </c>
      <c r="B33456">
        <f>HYPERLINK("https://www.dofusbook.net/fr/equipement/202948-stuff-2/objets", "link")</f>
        <v/>
      </c>
      <c r="C33456" t="n">
        <v>0</v>
      </c>
      <c r="D33456" t="inlineStr">
        <is>
          <t>Sabres d'Atcham; Amulette du Strigide; Bracelet du Piloztère; Anneau de Padgref; Ceinture du Strigide; Coiffe de Padgref; Cape d'Atcham; Getas de Padgref; Dofus des Glaces; Dolmanax; Dofus Émeraude; Dofus Turquoise; Dofus Ocre; Dofus Pourpre; Phorror</t>
        </is>
      </c>
    </row>
    <row r="33457">
      <c r="A33457" t="inlineStr">
        <is>
          <t>Stuff 1</t>
        </is>
      </c>
      <c r="B33457">
        <f>HYPERLINK("https://www.dofusbook.net/fr/equipement/202879-stuff-1/objets", "link")</f>
        <v/>
      </c>
      <c r="C33457" t="n">
        <v>0</v>
      </c>
      <c r="D33457" t="inlineStr">
        <is>
          <t>Dagues de Srambad; Talisman Igans; Bague Gloursonne; Alliance Gloursonne; Ceinture de la Reine des Voleurs; Coiffe de la Reine des Voleurs; Voile d'encre; Bottes de la Reine des Voleurs; Dofus Pourpre; Dofus Turquoise; Dofus Vulbis; Dolmanax; Dofus Ocre; Dofus des Glaces; Kramkram</t>
        </is>
      </c>
    </row>
    <row r="33458">
      <c r="A33458" t="inlineStr">
        <is>
          <t>Stuff 1</t>
        </is>
      </c>
      <c r="B33458">
        <f>HYPERLINK("https://www.dofusbook.net/fr/equipement/202879-stuff-1/objets", "link")</f>
        <v/>
      </c>
      <c r="C33458" t="n">
        <v>0</v>
      </c>
      <c r="D33458" t="inlineStr">
        <is>
          <t>Dagues de Srambad; Talisman Igans; Bague Gloursonne; Alliance Gloursonne; Ceinture de la Reine des Voleurs; Coiffe de la Reine des Voleurs; Voile d'encre; Bottes de la Reine des Voleurs; Dofus Ocre; Dofus des Glaces; Dofus Pourpre; Dofus Turquoise; Dofus Vulbis; Dolmanax; Kramkram</t>
        </is>
      </c>
    </row>
    <row r="33459">
      <c r="A33459" t="inlineStr">
        <is>
          <t>Stuff 1</t>
        </is>
      </c>
      <c r="B33459">
        <f>HYPERLINK("https://www.dofusbook.net/fr/equipement/202911-stuff-1/objets", "link")</f>
        <v/>
      </c>
      <c r="C33459" t="n">
        <v>0</v>
      </c>
      <c r="D33459" t="inlineStr">
        <is>
          <t>Dagues de Srambad; Amulette du Strigide; Bague Gloursonne; Pikano; Ceinture du Strigide; Coiffe du Lévitrof; Voile d'encre; Pataugastrique; Dolmanax; Dofus Pourpre; Remueur; Miraculé majeur; Nomade; Vigoureux majeur; Croum</t>
        </is>
      </c>
    </row>
    <row r="33460">
      <c r="A33460" t="inlineStr">
        <is>
          <t>Stuff 2</t>
        </is>
      </c>
      <c r="B33460">
        <f>HYPERLINK("https://www.dofusbook.net/fr/equipement/202874-stuff-2/objets", "link")</f>
        <v/>
      </c>
      <c r="C33460" t="n">
        <v>0</v>
      </c>
      <c r="D33460" t="inlineStr">
        <is>
          <t>Hache Ériphe; Amulette du Strigide; Anneau du Cycloïde; Anneau des égarés; Ceinture du Strigide; Casque Dragoeuf; Voile d'encre; Baleinabottes; Dofus Pourpre; Miraculé majeur; Cascadeur majeur; Nomade; Vigoureux majeur; Remueur; Croum</t>
        </is>
      </c>
    </row>
    <row r="33461">
      <c r="A33461" t="inlineStr">
        <is>
          <t>Stuff 2</t>
        </is>
      </c>
      <c r="B33461">
        <f>HYPERLINK("https://www.dofusbook.net/fr/equipement/202906-stuff-2/objets", "link")</f>
        <v/>
      </c>
      <c r="C33461" t="n">
        <v>0</v>
      </c>
      <c r="D33461" t="inlineStr">
        <is>
          <t>Rapière aux Glyphes; Amulette de Shokkoth; Alliance Gloursonne; Bracelet des Fonds marins; Ceinture du Barbétoal; Kidibonnet; Cape d'Hel Munster; Sandales des Fonds marins; Dofus Pourpre; Dofus Turquoise; Chanceux majeur; Vigoureux majeur; Nomade; Remueur; Croum</t>
        </is>
      </c>
    </row>
    <row r="33462">
      <c r="A33462" t="inlineStr">
        <is>
          <t>Stuff 1</t>
        </is>
      </c>
      <c r="B33462">
        <f>HYPERLINK("https://www.dofusbook.net/fr/equipement/202938-stuff-1/objets", "link")</f>
        <v/>
      </c>
      <c r="C33462" t="n">
        <v>0</v>
      </c>
      <c r="D33462" t="inlineStr">
        <is>
          <t>Pelle de la Cour Sombre; Collier du Valet Veinard; Alliance Gloursonne; Gant du Valet Veinard; Ceinture du Barbétoal; Casque Dragoeuf; Cape d'Hel Munster; Baleinabottes; Dofus Pourpre; Nomade; Carapace Feu majeur; Remueur; Cascadeur majeur; Vigoureux majeur; Croum</t>
        </is>
      </c>
    </row>
    <row r="33463">
      <c r="A33463" t="inlineStr">
        <is>
          <t>Stuff 3</t>
        </is>
      </c>
      <c r="B33463">
        <f>HYPERLINK("https://www.dofusbook.net/fr/equipement/202869-stuff-3/objets", "link")</f>
        <v/>
      </c>
      <c r="C33463" t="n">
        <v>0</v>
      </c>
      <c r="D33463" t="inlineStr">
        <is>
          <t>Griffe Pourpre; La Meulette; Anneau du Chêne Mou; Anneau du Mansot Royal; Ceinture Claire en Abrakleur; Casque Dragoeuf; Cape de Cantile; Sandales Gorithme; Dofus Pourpre; Dofus Turquoise; Dofus Ocre; Nomade; Miraculé majeur; Remueur; Kramkram</t>
        </is>
      </c>
    </row>
    <row r="33464">
      <c r="A33464" t="inlineStr">
        <is>
          <t>Stuff 3</t>
        </is>
      </c>
      <c r="B33464">
        <f>HYPERLINK("https://www.dofusbook.net/fr/equipement/202901-stuff-3/objets", "link")</f>
        <v/>
      </c>
      <c r="C33464" t="n">
        <v>0</v>
      </c>
      <c r="D33464" t="inlineStr">
        <is>
          <t>Sceptre du Roi Joueur; Amulette de Shokkoth; Alliance Gloursonne; Bracelet des Fonds marins; Poulpagne; Casque Dragoeuf; Cape de Mantaze; Sandales des Fonds marins; Dofus Pourpre; Étourdisseur majeur; Remueur; Chanceux majeur; Vigoureux majeur; Nomade; Croum</t>
        </is>
      </c>
    </row>
    <row r="33465">
      <c r="A33465" t="inlineStr">
        <is>
          <t>Stuff 2</t>
        </is>
      </c>
      <c r="B33465">
        <f>HYPERLINK("https://www.dofusbook.net/fr/equipement/202933-stuff-2/objets", "link")</f>
        <v/>
      </c>
      <c r="C33465" t="n">
        <v>0</v>
      </c>
      <c r="D33465" t="inlineStr">
        <is>
          <t>Marteau des Anciens Steamers; Amulette du Strigide; Bracelet du Piloztère; Alliance Gloursonne; Ceinture Voldelor; Kidibonnet; Cape d'Hel Munster; Bottes Voldelor; Dolmanax; Remueur; Obstructeur majeur; Miraculé majeur; Nomade; Bloqueur majeur; Croum</t>
        </is>
      </c>
    </row>
    <row r="33466">
      <c r="A33466" t="inlineStr">
        <is>
          <t>Stuff 1</t>
        </is>
      </c>
      <c r="B33466">
        <f>HYPERLINK("https://www.dofusbook.net/fr/equipement/202864-stuff-1/objets", "link")</f>
        <v/>
      </c>
      <c r="C33466" t="n">
        <v>0</v>
      </c>
      <c r="D33466" t="inlineStr">
        <is>
          <t>Marteau des égarés; Amulette du Strigide; Alliance Gloursonne; Bracelet du Piloztère; Ceinture du Strigide; Chapeau des Malveilleurs; Voile d'encre; Pataugastrique; Dolmanax; Dofus Pourpre; Dofus Turquoise; Vigoureux majeur; Remueur; Nomade; Kramkram</t>
        </is>
      </c>
    </row>
    <row r="33467">
      <c r="A33467" t="inlineStr">
        <is>
          <t>Stuff 1</t>
        </is>
      </c>
      <c r="B33467">
        <f>HYPERLINK("https://www.dofusbook.net/fr/equipement/202896-stuff-1/objets", "link")</f>
        <v/>
      </c>
      <c r="C33467" t="n">
        <v>0</v>
      </c>
      <c r="D33467" t="inlineStr">
        <is>
          <t>Pelle de la Cour Sombre; Collier du Valet Veinard; Alliance Gloursonne; Gant du Valet Veinard; Ceinture du Barbétoal; Casque Dragoeuf; Cape d'Hel Munster; Baleinabottes; Dofus Pourpre; Miraculé majeur; Remueur; Cascadeur majeur; Vigoureux majeur; Nomade; Croum</t>
        </is>
      </c>
    </row>
    <row r="33468">
      <c r="A33468" t="inlineStr">
        <is>
          <t>Stuff 3</t>
        </is>
      </c>
      <c r="B33468">
        <f>HYPERLINK("https://www.dofusbook.net/fr/equipement/202928-stuff-3/objets", "link")</f>
        <v/>
      </c>
      <c r="C33468" t="n">
        <v>0</v>
      </c>
      <c r="D33468" t="inlineStr">
        <is>
          <t>Marteau Phossile; Amulette du Strigide; Alliance Gloursonne; Kralano; Ceintacé; Casque Cyclopéen; Voile d'encre; Bottes du Strigide; Dolmanax; Dofus Pourpre; Dofus des Glaces; Nomade; Remueur; Vigoureux majeur; Kramkram</t>
        </is>
      </c>
    </row>
    <row r="33469">
      <c r="A33469" t="inlineStr">
        <is>
          <t>Stuff 2</t>
        </is>
      </c>
      <c r="B33469">
        <f>HYPERLINK("https://www.dofusbook.net/fr/equipement/202859-stuff-2/objets", "link")</f>
        <v/>
      </c>
      <c r="C33469" t="n">
        <v>0</v>
      </c>
      <c r="D33469" t="inlineStr">
        <is>
          <t>Manthache; Collier du Valet Veinard; Gant du Valet Veinard; Alliance Gloursonne; Bouclier Taverne; Menoture; Casque Dragoeuf; Cape d'Hel Munster; Palmes Trithons; Dofus Émeraude; Dofus Pourpre; Dofus des Glaces; Remueur; Cascadeur majeur; Vigoureux majeur; Muldo Ebène et Orchidée</t>
        </is>
      </c>
    </row>
    <row r="33470">
      <c r="A33470" t="inlineStr">
        <is>
          <t>Stuff 1</t>
        </is>
      </c>
      <c r="B33470">
        <f>HYPERLINK("https://www.dofusbook.net/fr/equipement/202891-stuff-1/objets", "link")</f>
        <v/>
      </c>
      <c r="C33470" t="n">
        <v>1</v>
      </c>
      <c r="D33470" t="inlineStr">
        <is>
          <t>Marteau des Anciens Steamers; Amulette du Strigide; Alliance Gloursonne; Bracelet du Piloztère; Ceintacé; Chapeau des Malveilleurs; Cape des Malveilleurs; Bottes Voldelor; Dofus Pourpre; Vigoureux majeur; Remueur; Miraculé majeur; Carapace Air majeur; Nomade; Croum</t>
        </is>
      </c>
    </row>
    <row r="33471">
      <c r="A33471" t="inlineStr">
        <is>
          <t>Stuff 1</t>
        </is>
      </c>
      <c r="B33471">
        <f>HYPERLINK("https://www.dofusbook.net/fr/equipement/202923-stuff-1/objets", "link")</f>
        <v/>
      </c>
      <c r="C33471" t="n">
        <v>0</v>
      </c>
      <c r="D33471" t="inlineStr">
        <is>
          <t>Pelle de la Cour Sombre; Amulette du Kamasterisk; Alliance Gloursonne; Gant du Valet Veinard; Ceintacé; Couronne d'Allister; Cape du Valet Veinard; Bottes du Strigide; Dolmanax; Dofus Pourpre; Nomade; Vigoureux majeur; Remueur; Cascadeur majeur; Croum</t>
        </is>
      </c>
    </row>
    <row r="33472">
      <c r="A33472" t="inlineStr">
        <is>
          <t>Stuff 1</t>
        </is>
      </c>
      <c r="B33472">
        <f>HYPERLINK("https://www.dofusbook.net/fr/equipement/202950-stuff-1/objets", "link")</f>
        <v/>
      </c>
      <c r="C33472" t="n">
        <v>0</v>
      </c>
      <c r="D33472" t="inlineStr">
        <is>
          <t>Sceptre du Roi Joueur; Amulette de Pol Ouatnos; Bracelet des Fonds marins; Alliance Gloursonne; Ceinture de la Reine des Voleurs; Kidibonnet; Cape d'Hel Munster; Bottes de la Reine des Voleurs; Dofus Pourpre; Temporiseur majeur; Chanceux majeur; Remueur; Déserteur majeur; Vigoureux majeur; Muldo Ebène et Amande</t>
        </is>
      </c>
    </row>
    <row r="33473">
      <c r="A33473" t="inlineStr">
        <is>
          <t>Stuff 2</t>
        </is>
      </c>
      <c r="B33473">
        <f>HYPERLINK("https://www.dofusbook.net/fr/equipement/202886-stuff-2/objets", "link")</f>
        <v/>
      </c>
      <c r="C33473" t="n">
        <v>0</v>
      </c>
      <c r="D33473" t="inlineStr">
        <is>
          <t>Arc de Koutoulou; Collier du Valet Veinard; Gant du Valet Veinard; Bracelet des Fonds marins; Ceinture du Barbétoal; Masque des Fonds marins; Cape du Valet Veinard; Sandales des Fonds marins; Dofus Ocre; Dofus Vulbis; Dofus Émeraude; Dolmanax; Dofus Turquoise; Dofus Pourpre; Croum</t>
        </is>
      </c>
    </row>
    <row r="33474">
      <c r="A33474" t="inlineStr">
        <is>
          <t>Stuff 2</t>
        </is>
      </c>
      <c r="B33474">
        <f>HYPERLINK("https://www.dofusbook.net/fr/equipement/202918-stuff-2/objets", "link")</f>
        <v/>
      </c>
      <c r="C33474" t="n">
        <v>0</v>
      </c>
      <c r="D33474" t="inlineStr">
        <is>
          <t>Arc Hétype; Amulette de Nileza; Anneau Tique; Anneau de Nidas; Ceinture de Kongoku; Couronne de Nidas; Voile d'encre; Pataugastrique; Dolmanax; Nomade; Remueur; Érudit majeur; Déserteur majeur; Temporiseur majeur; Croum</t>
        </is>
      </c>
    </row>
    <row r="33475">
      <c r="A33475" t="inlineStr">
        <is>
          <t>Stuff 2</t>
        </is>
      </c>
      <c r="B33475">
        <f>HYPERLINK("https://www.dofusbook.net/fr/equipement/202945-stuff-2/objets", "link")</f>
        <v/>
      </c>
      <c r="C33475" t="n">
        <v>1</v>
      </c>
      <c r="D33475" t="inlineStr">
        <is>
          <t>Baguette de Malléfisk; Pendentif affamé; Anneau Tique; Anneau Rifique; Carapar; Ceinture de Vortex; Casque Cyclopéen; Cape de Diondin; Bottes Innommables; Dofus des Veilleurs; Dofus Abyssal; Dolmanax; Dofus Émeraude; Dofus Ocre; Érudit majeur; Muldo Orchidée et Pourpre</t>
        </is>
      </c>
    </row>
    <row r="33476">
      <c r="A33476" t="inlineStr">
        <is>
          <t>Stuff 3</t>
        </is>
      </c>
      <c r="B33476">
        <f>HYPERLINK("https://www.dofusbook.net/fr/equipement/202881-stuff-3/objets", "link")</f>
        <v/>
      </c>
      <c r="C33476" t="n">
        <v>0</v>
      </c>
      <c r="D33476" t="inlineStr">
        <is>
          <t>Arc du Chalœil; Amulette du Strigide; Anneau de Brouce; Bracelet du Piloztère; Ceinture de la Reine des Voleurs; Coiffe de la Reine des Voleurs; Cape au Logis; Baleinabottes; Dofus Turquoise; Dofus Pourpre; Dolmanax; Enragé majeur; Vigoureux majeur; Remueur; Kramkram</t>
        </is>
      </c>
    </row>
    <row r="33477">
      <c r="A33477" t="inlineStr">
        <is>
          <t>Stuff 3</t>
        </is>
      </c>
      <c r="B33477">
        <f>HYPERLINK("https://www.dofusbook.net/fr/equipement/202913-stuff-3/objets", "link")</f>
        <v/>
      </c>
      <c r="C33477" t="n">
        <v>0</v>
      </c>
      <c r="D33477" t="inlineStr">
        <is>
          <t>Hache du Chalœil; Amulette du Strigide; Bague Gloursonne; Bracelet du Piloztère; Quatre-feuilles; Ceintacé; Casque du Chalœil; Voile d'encre; Bottes du Strigide; Dofus des Glaces; Dolmanax; Dofus Turquoise; Dofus Pourpre; Vigoureux majeur; Remueur; Muldo Orchidée et Pourpre</t>
        </is>
      </c>
    </row>
    <row r="33478">
      <c r="A33478" t="inlineStr">
        <is>
          <t>Stuff 1</t>
        </is>
      </c>
      <c r="B33478">
        <f>HYPERLINK("https://www.dofusbook.net/fr/equipement/202944-stuff-1/objets", "link")</f>
        <v/>
      </c>
      <c r="C33478" t="n">
        <v>2</v>
      </c>
      <c r="D33478" t="inlineStr">
        <is>
          <t>Sceptre du Roi Joueur; Amulette de Shokkoth; Alliance Gloursonne; Bracelet des Fonds marins; Écorce de Brouce; Poulpagne; Casque Dragoeuf; Cape de Mantaze; Sandales des Fonds marins; Dofus Pourpre; Chanceux majeur; Vigoureux majeur; Miraculé majeur; Étourdisseur majeur; Remueur; Muldo Indigo</t>
        </is>
      </c>
    </row>
    <row r="33479">
      <c r="A33479" t="inlineStr">
        <is>
          <t>Stuff 2</t>
        </is>
      </c>
      <c r="B33479">
        <f>HYPERLINK("https://www.dofusbook.net/fr/equipement/202880-stuff-2/objets", "link")</f>
        <v/>
      </c>
      <c r="C33479" t="n">
        <v>0</v>
      </c>
      <c r="D33479" t="inlineStr">
        <is>
          <t>Marteau des Anciens Steamers; Amulette Voldelor; Bracelet du Piloztère; Alliance Gloursonne; Ceinture Voldelor; Kidibonnet; Cape d'Hel Munster; Bottes de la Reine des Voleurs; Dofus Turquoise; Dofus Pourpre; Remueur; Miraculé majeur; Nomade; Vigoureux majeur; Croum</t>
        </is>
      </c>
    </row>
    <row r="33480">
      <c r="A33480" t="inlineStr">
        <is>
          <t>Stuff 3</t>
        </is>
      </c>
      <c r="B33480">
        <f>HYPERLINK("https://www.dofusbook.net/fr/equipement/202907-stuff-3/objets", "link")</f>
        <v/>
      </c>
      <c r="C33480" t="n">
        <v>0</v>
      </c>
      <c r="D33480" t="inlineStr">
        <is>
          <t>Hache du Chalœil; Amulette du Strigide; Bracelet du Piloztère; Bague Gloursonne; Ceintacé; Casque du Chalœil; Voile d'encre; Bottes du Strigide; Dolmanax; Dofus Pourpre; Dofus Turquoise; Nomade; Vigoureux majeur; Remueur; Croum</t>
        </is>
      </c>
    </row>
    <row r="33481">
      <c r="A33481" t="inlineStr">
        <is>
          <t>Stuff 2</t>
        </is>
      </c>
      <c r="B33481">
        <f>HYPERLINK("https://www.dofusbook.net/fr/equipement/202939-stuff-2/objets", "link")</f>
        <v/>
      </c>
      <c r="C33481" t="n">
        <v>0</v>
      </c>
      <c r="D33481" t="inlineStr">
        <is>
          <t>Pelle de Nidas; Amulette du Strigide; Alliance Gloursonne; Bracelet du Piloztère; Ceintacé; Coiffe de la Reine des Voleurs; Cape du Chalœil; Bottes de la Reine des Voleurs; Dofus Pourpre; Dofus Turquoise; Miraculé majeur; Nomade; Vigoureux majeur; Remueur; Kramkram</t>
        </is>
      </c>
    </row>
    <row r="33482">
      <c r="A33482" t="inlineStr">
        <is>
          <t>Stuff 3</t>
        </is>
      </c>
      <c r="B33482">
        <f>HYPERLINK("https://www.dofusbook.net/fr/equipement/202875-stuff-3/objets", "link")</f>
        <v/>
      </c>
      <c r="C33482" t="n">
        <v>0</v>
      </c>
      <c r="D33482" t="inlineStr">
        <is>
          <t>Poolache; Amulette du Strigide; Alliance de Missiz Frizz; Bague Gloursonne; Ceinture du Strigide; Chapeau de Gein; Voile d'encre; Bottes du Cycloïde; Dofus Turquoise; Dofus Ocre; Dofus Pourpre; Remueur; Vigoureux majeur; Nomade; Kramkram</t>
        </is>
      </c>
    </row>
    <row r="33483">
      <c r="A33483" t="inlineStr">
        <is>
          <t>Stuff 3</t>
        </is>
      </c>
      <c r="B33483">
        <f>HYPERLINK("https://www.dofusbook.net/fr/equipement/202934-stuff-3/objets", "link")</f>
        <v/>
      </c>
      <c r="C33483" t="n">
        <v>0</v>
      </c>
      <c r="D33483" t="inlineStr">
        <is>
          <t>Pelle de la Cour Sombre; Collier du Valet Veinard; Alliance Gloursonne; Gant du Valet Veinard; Ceinture du Barbétoal; Casque Dragoeuf; Cape d'Hel Munster; Baleinabottes; Dofus Pourpre; Nomade; Carapace Feu majeur; Remueur; Cascadeur majeur; Vigoureux majeur; Croum</t>
        </is>
      </c>
    </row>
    <row r="33484">
      <c r="A33484" t="inlineStr">
        <is>
          <t>Stuff 1</t>
        </is>
      </c>
      <c r="B33484">
        <f>HYPERLINK("https://www.dofusbook.net/fr/equipement/202870-stuff-1/objets", "link")</f>
        <v/>
      </c>
      <c r="C33484" t="n">
        <v>0</v>
      </c>
      <c r="D33484" t="inlineStr">
        <is>
          <t>Manthache; Collier du Valet Veinard; Alliance Gloursonne; Gant du Valet Veinard; Ceintouse; Chapoulpe; Cape du Valet Veinard; Tentassons; Dolmanax; Dofus Turquoise; Dofus Ocre; Dofus Pourpre; Dofus des Glaces; Acrobate majeur; Muldo Ebène et Pourpre</t>
        </is>
      </c>
    </row>
    <row r="33485">
      <c r="A33485" t="inlineStr">
        <is>
          <t>Stuff 1</t>
        </is>
      </c>
      <c r="B33485">
        <f>HYPERLINK("https://www.dofusbook.net/fr/equipement/202902-stuff-1/objets", "link")</f>
        <v/>
      </c>
      <c r="C33485" t="n">
        <v>1</v>
      </c>
      <c r="D33485" t="inlineStr">
        <is>
          <t>Dagues de Srambad; Amulette du Strigide; Alliance Gloursonne; Bracelet du Piloztère; Ceinture de la Reine des Voleurs; Kidibonnet; Cape au Logis; Pantoufles du Piloztère; Dofus Pourpre; Dofus Turquoise; Vigoureux majeur; Remueur; Chanceux majeur; Enragé majeur; Kramkram</t>
        </is>
      </c>
    </row>
    <row r="33486">
      <c r="A33486" t="inlineStr">
        <is>
          <t>Stuff 1</t>
        </is>
      </c>
      <c r="B33486">
        <f>HYPERLINK("https://www.dofusbook.net/fr/equipement/202929-stuff-1/objets", "link")</f>
        <v/>
      </c>
      <c r="C33486" t="n">
        <v>0</v>
      </c>
      <c r="D33486" t="inlineStr">
        <is>
          <t>Marteau des égarés; Amulette du Strigide; Bracelet du Piloztère; Alliance Gloursonne; Ceintacé; Casque Dragoeuf; Cape du Chalœil; Bottes du Chalœil; Dofus Turquoise; Dolmanax; Dofus Pourpre; Vigoureux majeur; Remueur; Nomade; Kramkram</t>
        </is>
      </c>
    </row>
    <row r="33487">
      <c r="A33487" t="inlineStr">
        <is>
          <t>Stuff 2</t>
        </is>
      </c>
      <c r="B33487">
        <f>HYPERLINK("https://www.dofusbook.net/fr/equipement/202865-stuff-2/objets", "link")</f>
        <v/>
      </c>
      <c r="C33487" t="n">
        <v>0</v>
      </c>
      <c r="D33487" t="inlineStr">
        <is>
          <t>Dagues Érhy; Amulette du Strigide; Bracelet du Piloztère; Anneau de Brouce; Ceintacé; Chapeau de Gein; Cape au Logis; Bottes du Strigide; Dolmanax; Dofus Pourpre; Dofus Turquoise; Enragé majeur; Vigoureux majeur; Remueur; Kramkram</t>
        </is>
      </c>
    </row>
    <row r="33488">
      <c r="A33488" t="inlineStr">
        <is>
          <t>Stuff 2</t>
        </is>
      </c>
      <c r="B33488">
        <f>HYPERLINK("https://www.dofusbook.net/fr/equipement/202897-stuff-2/objets", "link")</f>
        <v/>
      </c>
      <c r="C33488" t="n">
        <v>0</v>
      </c>
      <c r="D33488" t="inlineStr">
        <is>
          <t>Sabres d'Atcham; Amulette du Strigide; Alliance Gloursonne; Anneau Tique; Ceinture du Strigide; Dorabysses; Cape d'Atcham; Sandales  d'Atcham; Dofus Turquoise; Dofus Émeraude; Dofus Ocre; Dofus des Glaces; Dofus Pourpre; Remueur</t>
        </is>
      </c>
    </row>
    <row r="33489">
      <c r="A33489" t="inlineStr">
        <is>
          <t>Stuff 2</t>
        </is>
      </c>
      <c r="B33489">
        <f>HYPERLINK("https://www.dofusbook.net/fr/equipement/202924-stuff-2/objets", "link")</f>
        <v/>
      </c>
      <c r="C33489" t="n">
        <v>0</v>
      </c>
      <c r="D33489" t="inlineStr">
        <is>
          <t>Pelle de la Cour Sombre; Collier du Valet Veinard; Gant du Valet Veinard; Anneau d'Allister; Ceinture du Barbétoal; Couronne d'Allister; Cape du Valet Veinard; Bottes d'Allister; Dofus Vulbis; Dofus Ocre; Dofus Pourpre; Dofus Turquoise; Dolmanax; Acrobate majeur; Kramkram</t>
        </is>
      </c>
    </row>
    <row r="33490">
      <c r="A33490" t="inlineStr">
        <is>
          <t>Stuff 3</t>
        </is>
      </c>
      <c r="B33490">
        <f>HYPERLINK("https://www.dofusbook.net/fr/equipement/202860-stuff-3/objets", "link")</f>
        <v/>
      </c>
      <c r="C33490" t="n">
        <v>0</v>
      </c>
      <c r="D33490" t="inlineStr">
        <is>
          <t>Hache Ériphe; Amulette du Strigide; Anneau des égarés; Bracelet du Piloztère; Ceinture du Strigide; Coiffe de la Reine des Voleurs; Cape du Kamasterisk; Baleinabottes; Dofus des Glaces; Dofus Pourpre; Dolmanax; Vigoureux majeur; Nomade; Remueur; Croum</t>
        </is>
      </c>
    </row>
    <row r="33491">
      <c r="A33491" t="inlineStr">
        <is>
          <t>Stuff 2</t>
        </is>
      </c>
      <c r="B33491">
        <f>HYPERLINK("https://www.dofusbook.net/fr/equipement/202892-stuff-2/objets", "link")</f>
        <v/>
      </c>
      <c r="C33491" t="n">
        <v>1</v>
      </c>
      <c r="D33491" t="inlineStr">
        <is>
          <t>Épée du Granduk; Amulette du Granduk; Bracelet du Piloztère; Alliance Gloursonne; Ceinture du Nocturlabe; Couronne d'Allister; Cape de Klime; Baleinabottes; Dofus des Glaces; Dofus Pourpre; Vigoureux majeur; Remueur; Cascadeur majeur; Nomade; Siroko</t>
        </is>
      </c>
    </row>
    <row r="33492">
      <c r="A33492" t="inlineStr">
        <is>
          <t>Stuff 3</t>
        </is>
      </c>
      <c r="B33492">
        <f>HYPERLINK("https://www.dofusbook.net/fr/equipement/202919-stuff-3/objets", "link")</f>
        <v/>
      </c>
      <c r="C33492" t="n">
        <v>0</v>
      </c>
      <c r="D33492" t="inlineStr">
        <is>
          <t>Arc Honte; Amulette Cryochrone; Anneau Tique; Alliance Gloursonne; Ceintrigue; Coiffe Cryochrone; Cape de la Dame du Hasard; Pataugastrique; Dofus Pourpre; Nomade; Remueur; Vigoureux majeur; Déserteur majeur; Temporiseur majeur; Croum</t>
        </is>
      </c>
    </row>
    <row r="33493">
      <c r="A33493" t="inlineStr">
        <is>
          <t>Stuff 2</t>
        </is>
      </c>
      <c r="B33493">
        <f>HYPERLINK("https://www.dofusbook.net/fr/equipement/202951-stuff-2/objets", "link")</f>
        <v/>
      </c>
      <c r="C33493" t="n">
        <v>0</v>
      </c>
      <c r="D33493" t="inlineStr">
        <is>
          <t>Dagues Érhy; Amulette du Strigide; Anneau Chevelu; Bague Gloursonne; Ceintacé; Chapeau de Gein; Voile d'encre; Bottes du Strigide; Dofus Pourpre; Vigoureux majeur; Déserteur majeur; Nomade; Remueur; Temporiseur majeur; Muldo Doré et Amande</t>
        </is>
      </c>
    </row>
    <row r="33494">
      <c r="A33494" t="inlineStr">
        <is>
          <t>Stuff 1</t>
        </is>
      </c>
      <c r="B33494">
        <f>HYPERLINK("https://www.dofusbook.net/fr/equipement/202855-stuff-1/objets", "link")</f>
        <v/>
      </c>
      <c r="C33494" t="n">
        <v>0</v>
      </c>
      <c r="D33494" t="inlineStr">
        <is>
          <t>Epée Maudite du Saigneur Guerrier; Amulette du Strigide; Bracelet du Piloztère; Alliance Gloursonne; Ceintacé; Maskrobe; Voile d'encre; Bottes du Strigide; Dolmanax; Dofus Pourpre; Dofus Turquoise; Vigoureux majeur; Remueur; Miraculé majeur; Kramkram</t>
        </is>
      </c>
    </row>
    <row r="33495">
      <c r="A33495" t="inlineStr">
        <is>
          <t>Stuff 3</t>
        </is>
      </c>
      <c r="B33495">
        <f>HYPERLINK("https://www.dofusbook.net/fr/equipement/202887-stuff-3/objets", "link")</f>
        <v/>
      </c>
      <c r="C33495" t="n">
        <v>0</v>
      </c>
      <c r="D33495" t="inlineStr">
        <is>
          <t>Dagues de Srambad; Amulette Ementaire Deluxe; Alliance du Lévitrof; Alliance Gloursonne; Ceinture de la Reine des Voleurs; Kidibonnet; Cape au Logis; Bottes de la Reine des Voleurs; Dolmanax; Dofus Pourpre; Vigoureux majeur; Remueur; Miraculé majeur; Enragé majeur; Croum</t>
        </is>
      </c>
    </row>
    <row r="33496">
      <c r="A33496" t="inlineStr">
        <is>
          <t>Stuff 1</t>
        </is>
      </c>
      <c r="B33496">
        <f>HYPERLINK("https://www.dofusbook.net/fr/equipement/202914-stuff-1/objets", "link")</f>
        <v/>
      </c>
      <c r="C33496" t="n">
        <v>0</v>
      </c>
      <c r="D33496" t="inlineStr">
        <is>
          <t>Dagues Érhy; Amulette du Strigide; Anneau Chevelu; Bague Gloursonne; Ceinture de Gein; Masque de Koutoulou; Voile d'encre; Bottes du Strigide; Dofus Pourpre; Dofus Turquoise; Nomade; Remueur; Enragé majeur; Vigoureux majeur; Croum</t>
        </is>
      </c>
    </row>
    <row r="33497">
      <c r="A33497" t="inlineStr">
        <is>
          <t>Stuff 3</t>
        </is>
      </c>
      <c r="B33497">
        <f>HYPERLINK("https://www.dofusbook.net/fr/equipement/202946-stuff-3/objets", "link")</f>
        <v/>
      </c>
      <c r="C33497" t="n">
        <v>1</v>
      </c>
      <c r="D33497" t="inlineStr">
        <is>
          <t>Sceptre du Roi Joueur; Amulette de Pol Ouatnos; Bracelet des Fonds marins; Alliance Gloursonne; Ceinture de la Reine des Voleurs; Kidibonnet; Cape d'Hel Munster; Bottes de la Reine des Voleurs; Dofus Pourpre; Étourdisseur majeur; Chanceux majeur; Remueur; Miraculé majeur; Vigoureux majeur; Croum</t>
        </is>
      </c>
    </row>
    <row r="33498">
      <c r="A33498" t="inlineStr">
        <is>
          <t>Stuff 1</t>
        </is>
      </c>
      <c r="B33498">
        <f>HYPERLINK("https://www.dofusbook.net/fr/equipement/202876-stuff-1/objets", "link")</f>
        <v/>
      </c>
      <c r="C33498" t="n">
        <v>0</v>
      </c>
      <c r="D33498" t="inlineStr">
        <is>
          <t>Arc Honte; Amulette d'Otomaï; Bracelet du Piloztère; Anneau de Nidas; Ceinture Séculaire; Coiffe Séculaire; Voile d'encre; Pataugastrique; Dolmanax; Dofus Pourpre; Érudit majeur; Nomade; Vigoureux majeur; Remueur; Kramkram</t>
        </is>
      </c>
    </row>
    <row r="33499">
      <c r="A33499" t="inlineStr">
        <is>
          <t>Stuff 2</t>
        </is>
      </c>
      <c r="B33499">
        <f>HYPERLINK("https://www.dofusbook.net/fr/equipement/202903-stuff-2/objets", "link")</f>
        <v/>
      </c>
      <c r="C33499" t="n">
        <v>1</v>
      </c>
      <c r="D33499" t="inlineStr">
        <is>
          <t>Hache du Chalœil; Amulette du Strigide; Bracelet du Piloztère; Pikano; Ceinture du Strigide; Casque du Chalœil; Voile d'encre; Baleinabottes; Dofus Pourpre; Nomade; Vigoureux majeur; Remueur; Temporiseur majeur; Miraculé majeur; Croum</t>
        </is>
      </c>
    </row>
    <row r="33500">
      <c r="A33500" t="inlineStr">
        <is>
          <t>Stuff 1</t>
        </is>
      </c>
      <c r="B33500">
        <f>HYPERLINK("https://www.dofusbook.net/fr/equipement/202935-stuff-1/objets", "link")</f>
        <v/>
      </c>
      <c r="C33500" t="n">
        <v>1</v>
      </c>
      <c r="D33500" t="inlineStr">
        <is>
          <t>Arc Honte; Amulette de Nileza; Anneau de Nidas; Anneau Tique; Ceinture de Kongoku; Casque Dragoeuf; Cape de Kongoku; Pataugastrique; Dofus Pourpre; Nomade; Remueur; Miraculé majeur; Vigoureux majeur; Érudit majeur; Kramkram</t>
        </is>
      </c>
    </row>
    <row r="33501">
      <c r="A33501" t="inlineStr">
        <is>
          <t>Stuff 2</t>
        </is>
      </c>
      <c r="B33501">
        <f>HYPERLINK("https://www.dofusbook.net/fr/equipement/202871-stuff-2/objets", "link")</f>
        <v/>
      </c>
      <c r="C33501" t="n">
        <v>0</v>
      </c>
      <c r="D33501" t="inlineStr">
        <is>
          <t>Arc Hétype; Pendentif affamé; Anneau Tique; Anneau Rifique; Ceinture de Vortex; Casque Cyclopéen; Cape de Diondin; Bottes Innommables; Dolmanax; Temporiseur majeur; Érudit majeur; Nomade; Miraculé majeur; Remueur; Croum</t>
        </is>
      </c>
    </row>
    <row r="33502">
      <c r="A33502" t="inlineStr">
        <is>
          <t>Stuff 3</t>
        </is>
      </c>
      <c r="B33502">
        <f>HYPERLINK("https://www.dofusbook.net/fr/equipement/202898-stuff-3/objets", "link")</f>
        <v/>
      </c>
      <c r="C33502" t="n">
        <v>0</v>
      </c>
      <c r="D33502" t="inlineStr">
        <is>
          <t>Arc du Chalœil; Amulette du Strigide; Bracelet du Piloztère; Bague Gloursonne; Ceinture de la Reine des Voleurs; Coiffe de la Reine des Voleurs; Cape au Logis; Baleinabottes; Dofus Pourpre; Dofus Turquoise; Vigoureux majeur; Enragé majeur; Remueur; Miraculé majeur; Kramkram</t>
        </is>
      </c>
    </row>
    <row r="33503">
      <c r="A33503" t="inlineStr">
        <is>
          <t>Stuff 2</t>
        </is>
      </c>
      <c r="B33503">
        <f>HYPERLINK("https://www.dofusbook.net/fr/equipement/202930-stuff-2/objets", "link")</f>
        <v/>
      </c>
      <c r="C33503" t="n">
        <v>0</v>
      </c>
      <c r="D33503" t="inlineStr">
        <is>
          <t>Plumeau Bil; Amulette d'Otomaï; Anneau de Nidas; Bague Gloursonne; Ceinture Séculaire; Couronne de Nidas; Cape de Nileza; Pataugastrique; Dolmanax; Miraculé majeur; Remueur; Érudit majeur; Savant majeur; Nomade; Croum</t>
        </is>
      </c>
    </row>
    <row r="33504">
      <c r="A33504" t="inlineStr">
        <is>
          <t>Stuff 3</t>
        </is>
      </c>
      <c r="B33504">
        <f>HYPERLINK("https://www.dofusbook.net/fr/equipement/202866-stuff-3/objets", "link")</f>
        <v/>
      </c>
      <c r="C33504" t="n">
        <v>0</v>
      </c>
      <c r="D33504" t="inlineStr">
        <is>
          <t>Marteau des égarés; Amulette du Strigide; Bracelet du Piloztère; Alliance Gloursonne; Bouclier Taverne; Ceintacé; Chapeau des Malveilleurs; Voile d'encre; Bottes du Strigide; Dolmanax; Dofus Pourpre; Dofus des Glaces; Dofus Turquoise; Vigoureux majeur; Remueur; Muldo Doré et Emeraude</t>
        </is>
      </c>
    </row>
    <row r="33505">
      <c r="A33505" t="inlineStr">
        <is>
          <t>Stuff 1</t>
        </is>
      </c>
      <c r="B33505">
        <f>HYPERLINK("https://www.dofusbook.net/fr/equipement/202893-stuff-1/objets", "link")</f>
        <v/>
      </c>
      <c r="C33505" t="n">
        <v>0</v>
      </c>
      <c r="D33505" t="inlineStr">
        <is>
          <t>Arc Hétype; Amulette d'Otomaï; Anneau de Nidas; Bague Gloursonne; Ceinture Séculaire; Couronne de Nidas; Cape de Nileza; Pataugastrique; Dolmanax; Guérisseur majeur; Remueur; Érudit majeur; Savant majeur; Nomade; Croum</t>
        </is>
      </c>
    </row>
    <row r="33506">
      <c r="A33506" t="inlineStr">
        <is>
          <t>Stuff 3</t>
        </is>
      </c>
      <c r="B33506">
        <f>HYPERLINK("https://www.dofusbook.net/fr/equipement/202925-stuff-3/objets", "link")</f>
        <v/>
      </c>
      <c r="C33506" t="n">
        <v>0</v>
      </c>
      <c r="D33506" t="inlineStr">
        <is>
          <t>Rouleau à Pâtisserie d'Aermyne; Amulette du Strigide; Bracelet du Piloztère; Alliance Gloursonne; Sangle Ouare; Kidibonnet; Cape d'Aermyne; Bottes d'Oshimo; Bloqueur majeur; Remueur; Carapace Air majeur; Miraculé majeur; Fonceur majeur; Obstructeur majeur; Blokus</t>
        </is>
      </c>
    </row>
    <row r="33507">
      <c r="A33507" t="inlineStr">
        <is>
          <t>Stuff 1</t>
        </is>
      </c>
      <c r="B33507">
        <f>HYPERLINK("https://www.dofusbook.net/fr/equipement/202861-stuff-1/objets", "link")</f>
        <v/>
      </c>
      <c r="C33507" t="n">
        <v>0</v>
      </c>
      <c r="D33507" t="inlineStr">
        <is>
          <t>Arc Hétype; Amulette du Glourséleste; Anneau Tamie; Pikano; Ceinture Instable; Casquipik; Cape de Léthaline; Pantoufles Émar; Temporiseur; Entraveur majeur; Carapace Eau majeur; Temporiseur majeur; Remueur; Ralentisseur majeur; Kramkram</t>
        </is>
      </c>
    </row>
    <row r="33508">
      <c r="A33508" t="inlineStr">
        <is>
          <t>Stuff 1</t>
        </is>
      </c>
      <c r="B33508">
        <f>HYPERLINK("https://www.dofusbook.net/fr/equipement/202888-stuff-1/objets", "link")</f>
        <v/>
      </c>
      <c r="C33508" t="n">
        <v>0</v>
      </c>
      <c r="D33508" t="inlineStr">
        <is>
          <t>Sabres d'Atcham; Amulette du Strigide; Anneau de Padgref; Bracelet du Piloztère; Ceinture du Strigide; Coiffe de Padgref; Cape d'Atcham; Getas de Padgref; Dofus Ocre; Dofus Pourpre; Dofus des Glaces; Dolmanax; Dofus Émeraude; Dofus Turquoise; Phorror</t>
        </is>
      </c>
    </row>
    <row r="33509">
      <c r="A33509" t="inlineStr">
        <is>
          <t>Stuff 1</t>
        </is>
      </c>
      <c r="B33509">
        <f>HYPERLINK("https://www.dofusbook.net/fr/equipement/202920-stuff-1/objets", "link")</f>
        <v/>
      </c>
      <c r="C33509" t="n">
        <v>0</v>
      </c>
      <c r="D33509" t="inlineStr">
        <is>
          <t>Arc Hétype; Amulette d'Otomaï; Bague Gloursonne; Anneau Tique; Ceinture Séculaire; Coiffe Séculaire; Cape de Nileza; Pataugastrique; Dolmanax; Savant majeur; Nomade; Érudit majeur; Remueur; Carapace Feu majeur; Brûlih</t>
        </is>
      </c>
    </row>
    <row r="33510">
      <c r="A33510" t="inlineStr">
        <is>
          <t>Stuff 3</t>
        </is>
      </c>
      <c r="B33510">
        <f>HYPERLINK("https://www.dofusbook.net/fr/equipement/202952-stuff-3/objets", "link")</f>
        <v/>
      </c>
      <c r="C33510" t="n">
        <v>0</v>
      </c>
      <c r="D33510" t="inlineStr">
        <is>
          <t>Marteau R'ture; Collier de Tourthon; Chevalière du Roi Joueur; Anneau de Brouce; Ceinture de Brouce; Casque Dragoeuf; Voile d'encre; Baleinabottes; Dofus Pourpre; Temporiseur majeur; Enragé majeur; Remueur; Vigoureux majeur; Déserteur majeur; Muldo Pourpre et Amande</t>
        </is>
      </c>
    </row>
    <row r="33511">
      <c r="A33511" t="inlineStr">
        <is>
          <t>Stuff 2</t>
        </is>
      </c>
      <c r="B33511">
        <f>HYPERLINK("https://www.dofusbook.net/fr/equipement/202856-stuff-2/objets", "link")</f>
        <v/>
      </c>
      <c r="C33511" t="n">
        <v>0</v>
      </c>
      <c r="D33511" t="inlineStr">
        <is>
          <t>Pelle de la Cour Sombre; Amibou; Alliance Gloursonne; Anneau d'Allister; Ceinture du Nocturlabe; Masque de Klime; Cape de Klime; Baleinabottes; Dofus Pourpre; Miraculé majeur; Cascadeur majeur; Nomade; Vigoureux majeur; Remueur; Croum</t>
        </is>
      </c>
    </row>
    <row r="33512">
      <c r="A33512" t="inlineStr">
        <is>
          <t>Stuff 2</t>
        </is>
      </c>
      <c r="B33512">
        <f>HYPERLINK("https://www.dofusbook.net/fr/equipement/202883-stuff-2/objets", "link")</f>
        <v/>
      </c>
      <c r="C33512" t="n">
        <v>1</v>
      </c>
      <c r="D33512" t="inlineStr">
        <is>
          <t>Dagues Érhy; Amulette du Strigide; Alliance Gloursonne; Chevalière du Roi Joueur; Ceinture de Kongoku; Couronne du Roi Joueur; Cape de la Dame du Hasard; Pataugastrique; Dofus Pourpre; Remueur; Vigoureux majeur; Enragé majeur; Nomade; Temporiseur majeur; Kramkram</t>
        </is>
      </c>
    </row>
    <row r="33513">
      <c r="A33513" t="inlineStr">
        <is>
          <t>Stuff 2</t>
        </is>
      </c>
      <c r="B33513">
        <f>HYPERLINK("https://www.dofusbook.net/fr/equipement/202915-stuff-2/objets", "link")</f>
        <v/>
      </c>
      <c r="C33513" t="n">
        <v>0</v>
      </c>
      <c r="D33513" t="inlineStr">
        <is>
          <t>Marteau R'ture; Amulette de Gein; Bague Gloursonne; Anneau Chevelu; Ceinture de Gein; Masque de Koutoulou; Cape au Logis; Bottes de Brouce; Dofus Turquoise; Dofus Pourpre; Remueur; Enragé majeur; Vigoureux majeur; Miraculé majeur; Kramkram</t>
        </is>
      </c>
    </row>
    <row r="33514">
      <c r="A33514" t="inlineStr">
        <is>
          <t>Stuff 1</t>
        </is>
      </c>
      <c r="B33514">
        <f>HYPERLINK("https://www.dofusbook.net/fr/equipement/202947-stuff-1/objets", "link")</f>
        <v/>
      </c>
      <c r="C33514" t="n">
        <v>0</v>
      </c>
      <c r="D33514" t="inlineStr">
        <is>
          <t>Épouvante; Amulette Ementaire Deluxe; Alliance Gloursonne; Alliance du Lévitrof; Ceinture de la Reine des Voleurs; Kidibonnet; Cape au Logis; Bottes de la Reine des Voleurs; Dolmanax; Dofus Pourpre; Vigoureux majeur; Remueur; Miraculé majeur; Enragé majeur; Croum</t>
        </is>
      </c>
    </row>
    <row r="33515">
      <c r="A33515" t="inlineStr">
        <is>
          <t>Stuff 3</t>
        </is>
      </c>
      <c r="B33515">
        <f>HYPERLINK("https://www.dofusbook.net/fr/equipement/202910-stuff-3/objets", "link")</f>
        <v/>
      </c>
      <c r="C33515" t="n">
        <v>0</v>
      </c>
      <c r="D33515" t="inlineStr">
        <is>
          <t>Marteau des Anciens Steamers; Amulette du Strigide; Alliance Gloursonne; Bracelet du Piloztère; Ceinture Voldelor; Kidibonnet; Cape d'Hel Munster; Bottes du Strigide; Dofus Pourpre; Vigoureux majeur; Remueur; Cascadeur majeur; Carapace Air majeur; Nomade; Croum</t>
        </is>
      </c>
    </row>
    <row r="33516">
      <c r="A33516" t="inlineStr">
        <is>
          <t>Stuff 2</t>
        </is>
      </c>
      <c r="B33516">
        <f>HYPERLINK("https://www.dofusbook.net/fr/equipement/202942-stuff-2/objets", "link")</f>
        <v/>
      </c>
      <c r="C33516" t="n">
        <v>0</v>
      </c>
      <c r="D33516" t="inlineStr">
        <is>
          <t>Hache Ériphe; Amulette du Strigide; Alliance Gloursonne; Anneau des égarés; Ceinture de la Reine des Voleurs; Coiffe de la Reine des Voleurs; Voile d'encre; Baleinabottes; Dofus Pourpre; Cascadeur majeur; Remueur; Miraculé majeur; Vigoureux majeur; Nomade; Kramkram</t>
        </is>
      </c>
    </row>
    <row r="33517">
      <c r="A33517" t="inlineStr">
        <is>
          <t>Stuff 3</t>
        </is>
      </c>
      <c r="B33517">
        <f>HYPERLINK("https://www.dofusbook.net/fr/equipement/202878-stuff-3/objets", "link")</f>
        <v/>
      </c>
      <c r="C33517" t="n">
        <v>0</v>
      </c>
      <c r="D33517" t="inlineStr">
        <is>
          <t>Arc du Chalœil; Amulette du Strigide; Bracelet du Piloztère; Anneau de Brouce; Ceinture de la Reine des Voleurs; Coiffe de la Reine des Voleurs; Cape au Logis; Baleinabottes; Dofus Turquoise; Dofus Pourpre; Dolmanax; Enragé majeur; Vigoureux majeur; Remueur; Kramkram</t>
        </is>
      </c>
    </row>
    <row r="33518">
      <c r="A33518" t="inlineStr">
        <is>
          <t>Stuff 3</t>
        </is>
      </c>
      <c r="B33518">
        <f>HYPERLINK("https://www.dofusbook.net/fr/equipement/202881-stuff-3/objets", "link")</f>
        <v/>
      </c>
      <c r="C33518" t="n">
        <v>0</v>
      </c>
      <c r="D33518" t="inlineStr">
        <is>
          <t>Arc du Chalœil; Amulette du Strigide; Anneau de Brouce; Bracelet du Piloztère; Ceinture de la Reine des Voleurs; Coiffe de la Reine des Voleurs; Cape au Logis; Baleinabottes; Dofus Turquoise; Dofus Pourpre; Dolmanax; Vigoureux majeur; Remueur; Enragé majeur; Kramkram</t>
        </is>
      </c>
    </row>
    <row r="33519">
      <c r="A33519" t="inlineStr">
        <is>
          <t>Stuff 3</t>
        </is>
      </c>
      <c r="B33519">
        <f>HYPERLINK("https://www.dofusbook.net/fr/equipement/202913-stuff-3/objets", "link")</f>
        <v/>
      </c>
      <c r="C33519" t="n">
        <v>0</v>
      </c>
      <c r="D33519" t="inlineStr">
        <is>
          <t>Hache du Chalœil; Amulette du Strigide; Bracelet du Piloztère; Bague Gloursonne; Quatre-feuilles; Ceintacé; Casque du Chalœil; Voile d'encre; Bottes du Strigide; Dolmanax; Dofus Turquoise; Dofus Pourpre; Dofus des Glaces; Vigoureux majeur; Remueur; Muldo Orchidée et Pourpre</t>
        </is>
      </c>
    </row>
    <row r="33520">
      <c r="A33520" t="inlineStr">
        <is>
          <t>Stuff 1</t>
        </is>
      </c>
      <c r="B33520">
        <f>HYPERLINK("https://www.dofusbook.net/fr/equipement/202852-stuff-1/objets", "link")</f>
        <v/>
      </c>
      <c r="C33520" t="n">
        <v>0</v>
      </c>
      <c r="D33520" t="inlineStr">
        <is>
          <t>Dagues Érhy; Amulette du Strigide; Anneau Rifique; Bague Trithon; Ceintacé; Chapeau de Gein; Voile d'encre; Bottes Trithon; Dolmanax; Dofus des Glaces; Dofus Pourpre; Remueur; Vigoureux majeur; Nomade; Croum</t>
        </is>
      </c>
    </row>
    <row r="33521">
      <c r="A33521" t="inlineStr">
        <is>
          <t>air</t>
        </is>
      </c>
      <c r="B33521">
        <f>HYPERLINK("https://www.dofusbook.net/fr/equipement/2846775-air/objets", "link")</f>
        <v/>
      </c>
      <c r="C33521" t="n">
        <v>0</v>
      </c>
      <c r="D33521" t="inlineStr">
        <is>
          <t>Manthache; Amibou; Bracelet du Piloztère; Anneau de Padgref; Quatre-feuilles; Menoture; Chapeau de Tournoyé; Cape de Klime; Getas de Padgref; Dofus Turquoise; Dofus Pourpre; Nomade; Vigoureux majeur; Cascadeur majeur; Remueur; Siroko</t>
        </is>
      </c>
    </row>
    <row r="33522">
      <c r="A33522" t="inlineStr">
        <is>
          <t>Sram M 200</t>
        </is>
      </c>
      <c r="B33522">
        <f>HYPERLINK("https://www.dofusbook.net/fr/equipement/4525730-sram-m-200/objets", "link")</f>
        <v/>
      </c>
      <c r="C33522" t="n">
        <v>0</v>
      </c>
      <c r="D33522" t="inlineStr">
        <is>
          <t>Pelle de la Cour Sombre; Amulette du Kamasterisk; Anneau du Katcheur; Alliance Gloursonne; Bouclier du Captain Amakna; Ceintouse; Chapoulpe; Cape des Justiciers; Bottes du Kamasterisk; Dévastateur Air majeur; Phorror</t>
        </is>
      </c>
    </row>
    <row r="33523">
      <c r="A33523" t="inlineStr">
        <is>
          <t>Enutrof M 200</t>
        </is>
      </c>
      <c r="B33523">
        <f>HYPERLINK("https://www.dofusbook.net/fr/equipement/6019250-enutrof-m-200/objets", "link")</f>
        <v/>
      </c>
      <c r="C33523" t="n">
        <v>0</v>
      </c>
      <c r="D33523" t="inlineStr"/>
    </row>
    <row r="33524">
      <c r="A33524" t="inlineStr">
        <is>
          <t>Enutrof M 200</t>
        </is>
      </c>
      <c r="B33524">
        <f>HYPERLINK("https://www.dofusbook.net/fr/equipement/5388007-enutrof-m-200/objets", "link")</f>
        <v/>
      </c>
      <c r="C33524" t="n">
        <v>35</v>
      </c>
      <c r="D33524" t="inlineStr"/>
    </row>
    <row r="33525">
      <c r="A33525" t="inlineStr">
        <is>
          <t>Iop F 200</t>
        </is>
      </c>
      <c r="B33525">
        <f>HYPERLINK("https://www.dofusbook.net/fr/equipement/6005012-iop-f-200/objets", "link")</f>
        <v/>
      </c>
      <c r="C33525" t="n">
        <v>0</v>
      </c>
      <c r="D33525" t="inlineStr">
        <is>
          <t>Epée Gloursonne; Amulette du Kamasterisk; Alliance Gloursonne; Bague Gloursonne; Ceinture de la Reine des Voleurs; Coiffe de la Reine des Voleurs; Cape du Kamasterisk; Bottes du Kamasterisk; Kramkram</t>
        </is>
      </c>
    </row>
    <row r="33526">
      <c r="A33526" t="inlineStr">
        <is>
          <t>Enutrof M 200</t>
        </is>
      </c>
      <c r="B33526">
        <f>HYPERLINK("https://www.dofusbook.net/fr/equipement/5979867-enutrof-m-200/objets", "link")</f>
        <v/>
      </c>
      <c r="C33526" t="n">
        <v>2</v>
      </c>
      <c r="D33526" t="inlineStr"/>
    </row>
    <row r="33527">
      <c r="A33527" t="inlineStr">
        <is>
          <t>Enutrof M 200</t>
        </is>
      </c>
      <c r="B33527">
        <f>HYPERLINK("https://www.dofusbook.net/fr/equipement/5998533-enutrof-m-200/objets", "link")</f>
        <v/>
      </c>
      <c r="C33527" t="n">
        <v>0</v>
      </c>
      <c r="D33527" t="inlineStr"/>
    </row>
    <row r="33528">
      <c r="A33528" t="inlineStr">
        <is>
          <t>Crâ F 200</t>
        </is>
      </c>
      <c r="B33528">
        <f>HYPERLINK("https://www.dofusbook.net/fr/equipement/5975044-cra-f-200/objets", "link")</f>
        <v/>
      </c>
      <c r="C33528" t="n">
        <v>0</v>
      </c>
      <c r="D33528" t="inlineStr">
        <is>
          <t>Bâton Beau; Amulette du Strigide; Alliance Gloursonne; Anneau Chevelu; Quatre-feuilles; Ceintacé; Masque de Koutoulou; Cape de la Dame du Hasard; Bottes du Strigide; Dofus Turquoise; Dofus Nébuleux; Dofus des Glaces; Dofus Pourpre; Remueur; Nomade; Muldo Prune et Emeraude</t>
        </is>
      </c>
    </row>
    <row r="33529">
      <c r="A33529" t="inlineStr">
        <is>
          <t>Enutrof M 200</t>
        </is>
      </c>
      <c r="B33529">
        <f>HYPERLINK("https://www.dofusbook.net/fr/equipement/5967122-enutrof-m-200/objets", "link")</f>
        <v/>
      </c>
      <c r="C33529" t="n">
        <v>0</v>
      </c>
      <c r="D33529" t="inlineStr">
        <is>
          <t>Arc du Chalœil; Amulette de Gein; Anneau Chevelu; Chevalière du Roi Joueur; Quatre-feuilles; Ceinture Volkorne; Masque de Koutoulou; Cape du Cœur Saignant; Bottes du Cœur Saignant; Dofus Ébène; Dofus Ivoire; Remueur; Enragé majeur; Nomade; Dragodinde Dorée et Pourpre</t>
        </is>
      </c>
    </row>
    <row r="33530">
      <c r="A33530" t="inlineStr">
        <is>
          <t>Crâ F 200</t>
        </is>
      </c>
      <c r="B33530">
        <f>HYPERLINK("https://www.dofusbook.net/fr/equipement/5974153-cra-f-200/objets", "link")</f>
        <v/>
      </c>
      <c r="C33530" t="n">
        <v>0</v>
      </c>
      <c r="D33530" t="inlineStr">
        <is>
          <t>Massier; Amulette Volkorne; Anneau Tamie; Anneau Tamie; Bouclier du Stalak; Croture; Heaume Oplate; Cape de Diondin; Bottes Innommables; Dofus Pourpre; Dofus des Glaces; Astucieux majeur; Érudit majeur; Nomade; Remueur; Brûlih</t>
        </is>
      </c>
    </row>
    <row r="33531">
      <c r="A33531" t="inlineStr">
        <is>
          <t>Enutrof M 200</t>
        </is>
      </c>
      <c r="B33531">
        <f>HYPERLINK("https://www.dofusbook.net/fr/equipement/5959645-enutrof-m-200/objets", "link")</f>
        <v/>
      </c>
      <c r="C33531" t="n">
        <v>1</v>
      </c>
      <c r="D33531" t="inlineStr">
        <is>
          <t>Arc du Chalœil; Amulette du Cœur Saignant; Chevalière du Roi Joueur; Anneau de Brouce; Quatre-feuilles; Ceinture de Brouce; Couronne du Roi Joueur; Cape du Cœur Saignant; Bottes de Brouce; Dofus Vulbis; Dofus Ivoire; Dofus Ocre; Dofus Abyssal; Dofus Turquoise; Dofus Ébène; Pioute vert</t>
        </is>
      </c>
    </row>
    <row r="33532">
      <c r="A33532" t="inlineStr">
        <is>
          <t>Enutrof M 200</t>
        </is>
      </c>
      <c r="B33532">
        <f>HYPERLINK("https://www.dofusbook.net/fr/equipement/5956945-enutrof-m-200/objets", "link")</f>
        <v/>
      </c>
      <c r="C33532" t="n">
        <v>0</v>
      </c>
      <c r="D33532" t="inlineStr"/>
    </row>
    <row r="33533">
      <c r="A33533" t="inlineStr">
        <is>
          <t>Enutrof M 200</t>
        </is>
      </c>
      <c r="B33533">
        <f>HYPERLINK("https://www.dofusbook.net/fr/equipement/5953147-enutrof-m-200/objets", "link")</f>
        <v/>
      </c>
      <c r="C33533" t="n">
        <v>0</v>
      </c>
      <c r="D33533" t="inlineStr">
        <is>
          <t>Arc du Chalœil; Amulette Héroclite; Anneau Chevelu; Chevalière du Roi Joueur; Quatre-feuilles; Ceinture Volkorne; Masque de Koutoulou; Cape du Cœur Saignant; Bottes du Cœur Saignant; Dofus Ébène; Dofus Turquoise; Dofus Ivoire; Remueur; Enragé majeur; Nomade; Dragodinde Prune et Pourpre</t>
        </is>
      </c>
    </row>
    <row r="33534">
      <c r="A33534" t="inlineStr">
        <is>
          <t>Steamer F 200</t>
        </is>
      </c>
      <c r="B33534">
        <f>HYPERLINK("https://www.dofusbook.net/fr/equipement/5945483-steamer-f-200/objets", "link")</f>
        <v/>
      </c>
      <c r="C33534" t="n">
        <v>0</v>
      </c>
      <c r="D33534" t="inlineStr">
        <is>
          <t>Arc corrompu; Amulette Volkorne; Anneauræus; Anneauræus; Bouclier du Stalak; Croture; Heaume Oplate; Voile d'encre; Bottes Innommables; Dofus Ébène; Dofus Abyssal; Dofus Ivoire; Remueur; Érudit majeur; Nomade; Dragodinde Amande et Orchidée</t>
        </is>
      </c>
    </row>
    <row r="33535">
      <c r="A33535" t="inlineStr">
        <is>
          <t>Steamer F 200</t>
        </is>
      </c>
      <c r="B33535">
        <f>HYPERLINK("https://www.dofusbook.net/fr/equipement/5908402-steamer-f-200/objets", "link")</f>
        <v/>
      </c>
      <c r="C33535" t="n">
        <v>13</v>
      </c>
      <c r="D33535" t="inlineStr">
        <is>
          <t>Hache du Chalœil; Amulette du Strigide; Alliance Gloursonne; Anneau Chevelu; Quatre-feuilles; Ceintacé; Masque de Koutoulou; Cape de la Dame du Hasard; Bottes du Strigide; Dofus Pourpre; Dofus des Glaces; Dofus Turquoise; Dofus Ivoire; Nomade; Remueur; Muldo Prune et Emeraude</t>
        </is>
      </c>
    </row>
    <row r="33536">
      <c r="A33536" t="inlineStr">
        <is>
          <t>Sacrieur F 200</t>
        </is>
      </c>
      <c r="B33536">
        <f>HYPERLINK("https://www.dofusbook.net/fr/equipement/5945612-sacrieur-f-200/objets", "link")</f>
        <v/>
      </c>
      <c r="C33536" t="n">
        <v>0</v>
      </c>
      <c r="D33536" t="inlineStr">
        <is>
          <t>Manthache; Collier Rophante; Alliance Gloursonne; Gant du Valet Veinard; Bouclier d'Ilyzaelle; Menoture; Masque d'Anerice; Cape d'Anerice; Palmes Trithons; Dofus Émeraude; Dofus Ivoire; Dofus Abyssal; Cascadeur majeur; Remueur; Miraculé majeur; Dragodinde Prune et Ebène</t>
        </is>
      </c>
    </row>
    <row r="33537">
      <c r="A33537" t="inlineStr">
        <is>
          <t>Enutrof M 200</t>
        </is>
      </c>
      <c r="B33537">
        <f>HYPERLINK("https://www.dofusbook.net/fr/equipement/5941101-enutrof-m-200/objets", "link")</f>
        <v/>
      </c>
      <c r="C33537" t="n">
        <v>0</v>
      </c>
      <c r="D33537" t="inlineStr">
        <is>
          <t>Arc du Chalœil; Amulette de Pol Ouatnos; Anneau de Brouce; Anneau Chevelu; Bouclier à hélice; Ceinture de la Reine des Voleurs; Coiffe de la Reine des Voleurs; Voile d'encre; Baleinabottes; Dofus Pourpre; Dofus Abyssal; Dofus Ébène; Dofus des Glaces; Dofus Ivoire; Remueur; Dragodinde Prune et Pourpre</t>
        </is>
      </c>
    </row>
    <row r="33538">
      <c r="A33538" t="inlineStr">
        <is>
          <t>Enutrof M 200</t>
        </is>
      </c>
      <c r="B33538">
        <f>HYPERLINK("https://www.dofusbook.net/fr/equipement/5911715-enutrof-m-200/objets", "link")</f>
        <v/>
      </c>
      <c r="C33538" t="n">
        <v>0</v>
      </c>
      <c r="D33538" t="inlineStr"/>
    </row>
    <row r="33539">
      <c r="A33539" t="inlineStr">
        <is>
          <t>Enutrof M 200</t>
        </is>
      </c>
      <c r="B33539">
        <f>HYPERLINK("https://www.dofusbook.net/fr/equipement/5918680-enutrof-m-200/objets", "link")</f>
        <v/>
      </c>
      <c r="C33539" t="n">
        <v>0</v>
      </c>
      <c r="D33539" t="inlineStr">
        <is>
          <t>Marteau Phossile; Amulette Ementaire Deluxe; Alliance Gloursonne; Anneau Rifique; Ceinture Séculaire; Casque Cyclopéen; Voile d'encre; Pantoufles Émar; Remueur; Érudit majeur; Nomade; Brûlih</t>
        </is>
      </c>
    </row>
    <row r="33540">
      <c r="A33540" t="inlineStr">
        <is>
          <t>Enutrof M 200</t>
        </is>
      </c>
      <c r="B33540">
        <f>HYPERLINK("https://www.dofusbook.net/fr/equipement/5920845-enutrof-m-200/objets", "link")</f>
        <v/>
      </c>
      <c r="C33540" t="n">
        <v>0</v>
      </c>
      <c r="D33540" t="inlineStr">
        <is>
          <t>Arc corrompu; Amulette Volkorne; Anneauræus; Anneauræus; Bouclier du Stalak; Croture; Heaume Oplate; Cape de Nileza; Bottes Honyme; Dofus Ivoire; Dofus Ébène; Nomade; Remueur; Érudit majeur; Carapace Feu majeur; Dragodinde Dorée et Orchidée</t>
        </is>
      </c>
    </row>
    <row r="33541">
      <c r="A33541" t="inlineStr">
        <is>
          <t>Enutrof M 200</t>
        </is>
      </c>
      <c r="B33541">
        <f>HYPERLINK("https://www.dofusbook.net/fr/equipement/5922496-enutrof-m-200/objets", "link")</f>
        <v/>
      </c>
      <c r="C33541" t="n">
        <v>1</v>
      </c>
      <c r="D33541" t="inlineStr">
        <is>
          <t>Arc du Chalœil; Amulette Volkorne; Anneau Chevelu; Bague Gloursonne; Bouclier d'Ilyzaelle; Ceinture Volkorne; Casque Dragoeuf; Cape au Logis; Bottes du Cœur Saignant; Dofus Ocre; Dofus Abyssal; Dofus Ivoire; Dofus Ébène; Enragé majeur; Remueur; Dragodinde Ivoire et Pourpre</t>
        </is>
      </c>
    </row>
    <row r="33542">
      <c r="A33542" t="inlineStr">
        <is>
          <t>Enutrof M 200</t>
        </is>
      </c>
      <c r="B33542">
        <f>HYPERLINK("https://www.dofusbook.net/fr/equipement/5917450-enutrof-m-200/objets", "link")</f>
        <v/>
      </c>
      <c r="C33542" t="n">
        <v>1</v>
      </c>
      <c r="D33542" t="inlineStr">
        <is>
          <t>Manthache; Collier du Valet Veinard; Gant du Valet Veinard; Alliance Gloursonne; Bouclier d'Ilyzaelle; Menoture; Casque Dragoeuf; Carapace de Torkélonia; Palmes Trithons; Dofus Ivoire; Dofus Abyssal; Dofus Ébène; Remueur; Cascadeur majeur; Nomade; Muldo Ebène</t>
        </is>
      </c>
    </row>
    <row r="33543">
      <c r="A33543" t="inlineStr">
        <is>
          <t>Enutrof M 200</t>
        </is>
      </c>
      <c r="B33543">
        <f>HYPERLINK("https://www.dofusbook.net/fr/equipement/5917612-enutrof-m-200/objets", "link")</f>
        <v/>
      </c>
      <c r="C33543" t="n">
        <v>0</v>
      </c>
      <c r="D33543" t="inlineStr">
        <is>
          <t>Arc corrompu; Amulette Volkorne; Anneauræus; Anneauræus; Bouclier du Stalak; Ceinture Volkorne; Heaume Oplate; Voile d'encre; Bottes Innommables; Dofus Ivoire; Dofus Abyssal; Dofus Ébène; Nomade; Remueur; Érudit majeur; Bisouglours</t>
        </is>
      </c>
    </row>
    <row r="33544">
      <c r="A33544" t="inlineStr">
        <is>
          <t>Enutrof M 200</t>
        </is>
      </c>
      <c r="B33544">
        <f>HYPERLINK("https://www.dofusbook.net/fr/equipement/5917315-enutrof-m-200/objets", "link")</f>
        <v/>
      </c>
      <c r="C33544" t="n">
        <v>1</v>
      </c>
      <c r="D33544" t="inlineStr">
        <is>
          <t>Arc du Chalœil; Amulette du Cœur Saignant; Chevalière du Roi Joueur; Anneau Volkorne; Quatre-feuilles; Ceinture Volkorne; Couronne du Roi Joueur; Cape du Cœur Saignant; Bottes du Cœur Saignant; Dofus Ocre; Dofus Ivoire; Dofus Vulbis; Dofus Abyssal; Dofus Turquoise; Dofus Ébène; Pioute vert</t>
        </is>
      </c>
    </row>
    <row r="33545">
      <c r="A33545" t="inlineStr">
        <is>
          <t>Enutrof M 200</t>
        </is>
      </c>
      <c r="B33545">
        <f>HYPERLINK("https://www.dofusbook.net/fr/equipement/5914941-enutrof-m-200/objets", "link")</f>
        <v/>
      </c>
      <c r="C33545" t="n">
        <v>0</v>
      </c>
      <c r="D33545" t="inlineStr"/>
    </row>
    <row r="33546">
      <c r="A33546" t="inlineStr">
        <is>
          <t>Stuff 2</t>
        </is>
      </c>
      <c r="B33546">
        <f>HYPERLINK("https://www.dofusbook.net/fr/equipement/308765-stuff-2/objets", "link")</f>
        <v/>
      </c>
      <c r="C33546" t="n">
        <v>0</v>
      </c>
      <c r="D33546" t="inlineStr">
        <is>
          <t>Manthache; Collier du Valet Veinard; Gant du Valet Veinard; Alliance Gloursonne; Bouclier du Stalak; Menoture; Couronne d'Allister; Cape Indescriptible; Palmes Trithons; Dofus Abyssal; Dofus Ébène; Dofus Ivoire; Remueur; Cascadeur majeur; Nomade; Blérodoudou</t>
        </is>
      </c>
    </row>
    <row r="33547">
      <c r="A33547" t="inlineStr">
        <is>
          <t>Ouginak F 200</t>
        </is>
      </c>
      <c r="B33547">
        <f>HYPERLINK("https://www.dofusbook.net/fr/equipement/5911054-ouginak-f-200/objets", "link")</f>
        <v/>
      </c>
      <c r="C33547" t="n">
        <v>0</v>
      </c>
      <c r="D33547" t="inlineStr">
        <is>
          <t>Pelle de la Cour Sombre; Collier du Valet Veinard; Gant du Valet Veinard; Alliance Gloursonne; Bouclier d'Ilyzaelle; Menoture; Casque Cyclopéen; Carapace de Torkélonia; Palmes Trithons; Dofus Abyssal; Dofus Ivoire; Dofus Ébène; Remueur; Cascadeur majeur; Nomade; Dragodinde Ebène et Ivoire</t>
        </is>
      </c>
    </row>
    <row r="33548">
      <c r="A33548" t="inlineStr">
        <is>
          <t>Ouginak F 200</t>
        </is>
      </c>
      <c r="B33548">
        <f>HYPERLINK("https://www.dofusbook.net/fr/equipement/5910249-ouginak-f-200/objets", "link")</f>
        <v/>
      </c>
      <c r="C33548" t="n">
        <v>0</v>
      </c>
      <c r="D33548" t="inlineStr">
        <is>
          <t>Manthache; Collier du Valet Veinard; Alliance Gloursonne; Gant du Valet Veinard; Bouclier d'Ilyzaelle; Menoture; Casque Dragoeuf; Carapace de Torkélonia; Palmes Trithons; Dofus Ébène; Dofus Ivoire; Dofus Abyssal; Nomade; Remueur; Cascadeur majeur; Dragodinde Amande et Ebène</t>
        </is>
      </c>
    </row>
    <row r="33549">
      <c r="A33549" t="inlineStr">
        <is>
          <t>Ouginak F 200</t>
        </is>
      </c>
      <c r="B33549">
        <f>HYPERLINK("https://www.dofusbook.net/fr/equipement/5909880-ouginak-f-200/objets", "link")</f>
        <v/>
      </c>
      <c r="C33549" t="n">
        <v>0</v>
      </c>
      <c r="D33549" t="inlineStr"/>
    </row>
    <row r="33550">
      <c r="A33550" t="inlineStr">
        <is>
          <t>Ouginak F 200</t>
        </is>
      </c>
      <c r="B33550">
        <f>HYPERLINK("https://www.dofusbook.net/fr/equipement/5906083-ouginak-f-200/objets", "link")</f>
        <v/>
      </c>
      <c r="C33550" t="n">
        <v>0</v>
      </c>
      <c r="D33550" t="inlineStr">
        <is>
          <t>Rapière aux Glyphes; Amulette Voldelor; Alliance Gloursonne; Anneau Volkorne; Bouclier d'Ilyzaelle; Ceinture Volkorne; Cape Solution; Pataugastrique</t>
        </is>
      </c>
    </row>
    <row r="33551">
      <c r="A33551" t="inlineStr">
        <is>
          <t>Ouginak F 200</t>
        </is>
      </c>
      <c r="B33551">
        <f>HYPERLINK("https://www.dofusbook.net/fr/equipement/5903867-ouginak-f-200/objets", "link")</f>
        <v/>
      </c>
      <c r="C33551" t="n">
        <v>0</v>
      </c>
      <c r="D33551" t="inlineStr">
        <is>
          <t>Rapière aux Glyphes; Amulette Voldelor; Alliance Gloursonne; Bracelet des Fonds marins; Bouclier d'Ilyzaelle; Ceinture Glaciale; Masque des Fonds marins; Cape Solution; Sandales Circulaires du Kimbo; Dragodinde Indigo et Ivoire</t>
        </is>
      </c>
    </row>
    <row r="33552">
      <c r="A33552" t="inlineStr">
        <is>
          <t>Ouginak F 200</t>
        </is>
      </c>
      <c r="B33552">
        <f>HYPERLINK("https://www.dofusbook.net/fr/equipement/5903588-ouginak-f-200/objets", "link")</f>
        <v/>
      </c>
      <c r="C33552" t="n">
        <v>0</v>
      </c>
      <c r="D33552" t="inlineStr">
        <is>
          <t>Amulette Hale; Anneau Nobstant; Alliance Gloursonne; Ceinture Phossile; Couronne du Mansot Royal; Cape Matelassée; Bottes Phossiles; Nomade; Remueur; Dragodinde Indigo et Ivoire</t>
        </is>
      </c>
    </row>
    <row r="33553">
      <c r="A33553" t="inlineStr">
        <is>
          <t>Ouginak F 200</t>
        </is>
      </c>
      <c r="B33553">
        <f>HYPERLINK("https://www.dofusbook.net/fr/equipement/5903157-ouginak-f-200/objets", "link")</f>
        <v/>
      </c>
      <c r="C33553" t="n">
        <v>0</v>
      </c>
      <c r="D33553" t="inlineStr"/>
    </row>
    <row r="33554">
      <c r="A33554" t="inlineStr">
        <is>
          <t>Ouginak F 200</t>
        </is>
      </c>
      <c r="B33554">
        <f>HYPERLINK("https://www.dofusbook.net/fr/equipement/5897909-ouginak-f-200/objets", "link")</f>
        <v/>
      </c>
      <c r="C33554" t="n">
        <v>0</v>
      </c>
      <c r="D33554" t="inlineStr">
        <is>
          <t>Pelle de la Cour Sombre; Collier du Valet Veinard; Gant du Valet Veinard; Anneau d'Allister; Bouclier d'Ilyzaelle; Ceintouse; Couronne d'Allister; Cape du Valet Veinard; Bottes d'Allister; Dofus Émeraude; Dofus Ivoire; Dofus Vulbis; Dofus Ébène; Dofus Ocre; Dofus Abyssal; Dragodinde Ebène et Ivoire</t>
        </is>
      </c>
    </row>
    <row r="33555">
      <c r="A33555" t="inlineStr">
        <is>
          <t>Enutrof M 200</t>
        </is>
      </c>
      <c r="B33555">
        <f>HYPERLINK("https://www.dofusbook.net/fr/equipement/5885774-enutrof-m-200/objets", "link")</f>
        <v/>
      </c>
      <c r="C33555" t="n">
        <v>0</v>
      </c>
      <c r="D33555" t="inlineStr">
        <is>
          <t>Arc corrompu; Amulette Volkorne; Anneauræus; Anneauræus; Bouclier du Stalak; Ceinture Volkorne; Heaume Oplate; Voile d'encre; Bottes Innommables; Dofus Ivoire; Dofus Abyssal; Dofus Ébène; Remueur; Érudit majeur; Nomade; Dragodinde Dorée et Orchidée</t>
        </is>
      </c>
    </row>
    <row r="33556">
      <c r="A33556" t="inlineStr">
        <is>
          <t>Enutrof M 200</t>
        </is>
      </c>
      <c r="B33556">
        <f>HYPERLINK("https://www.dofusbook.net/fr/equipement/5879239-enutrof-m-200/objets", "link")</f>
        <v/>
      </c>
      <c r="C33556" t="n">
        <v>0</v>
      </c>
      <c r="D33556" t="inlineStr"/>
    </row>
    <row r="33557">
      <c r="A33557" t="inlineStr">
        <is>
          <t>Ouginak F 200</t>
        </is>
      </c>
      <c r="B33557">
        <f>HYPERLINK("https://www.dofusbook.net/fr/equipement/5860171-ouginak-f-200/objets", "link")</f>
        <v/>
      </c>
      <c r="C33557" t="n">
        <v>0</v>
      </c>
      <c r="D33557" t="inlineStr">
        <is>
          <t>Bêche Asse; Amulette du Cœur Saignant; Bague Gloursonne; Anneau Chevelu; Bouclier d'Ilyzaelle; Ceinture Volkorne; Masque de Koutoulou; Cape au Logis; Bottes du Cœur Saignant; Dofus Émeraude; Dofus Abyssal; Dofus Turquoise; Dofus Ivoire; Enragé majeur; Remueur; Dragodinde Emeraude et Pourpre</t>
        </is>
      </c>
    </row>
    <row r="33558">
      <c r="A33558" t="inlineStr">
        <is>
          <t>Enutrof M 200</t>
        </is>
      </c>
      <c r="B33558">
        <f>HYPERLINK("https://www.dofusbook.net/fr/equipement/5840260-enutrof-m-200/objets", "link")</f>
        <v/>
      </c>
      <c r="C33558" t="n">
        <v>0</v>
      </c>
      <c r="D33558" t="inlineStr">
        <is>
          <t>Dagoulinantes; Amulette de Shokkoth; Anneau Volkorne; Alliance Gloursonne; Quatre-feuilles; Pagne du Rykaon; Kidibonnet; Cape de la Dame du Hasard; Bottes de la Dame du Hasard; Dofus Turquoise; Dofus Ivoire; Dofus Abyssal; Chanceux majeur; Nomade; Remueur; Pioute bleu</t>
        </is>
      </c>
    </row>
    <row r="33559">
      <c r="A33559" t="inlineStr">
        <is>
          <t>Enutrof M 200</t>
        </is>
      </c>
      <c r="B33559">
        <f>HYPERLINK("https://www.dofusbook.net/fr/equipement/5832628-enutrof-m-200/objets", "link")</f>
        <v/>
      </c>
      <c r="C33559" t="n">
        <v>0</v>
      </c>
      <c r="D33559" t="inlineStr">
        <is>
          <t>Marteau R'ture; Collier Lunaire; Anneau de Nidas; Chevalière du Roi Joueur; Bouclier cubiste; Ceinture Instable; Maskrobe; Cape Peupret; Bottes Lunaires; Remueur; Ralentisseur majeur; Temporiseur; Temporiseur majeur; Entraveur; Entraveur majeur; Volkorne Turquoise</t>
        </is>
      </c>
    </row>
    <row r="33560">
      <c r="A33560" t="inlineStr">
        <is>
          <t>Enutrof M 200</t>
        </is>
      </c>
      <c r="B33560">
        <f>HYPERLINK("https://www.dofusbook.net/fr/equipement/5825897-enutrof-m-200/objets", "link")</f>
        <v/>
      </c>
      <c r="C33560" t="n">
        <v>0</v>
      </c>
      <c r="D33560" t="inlineStr">
        <is>
          <t>Hache du Chalœil; Amulette du Strigide; Pikano; Alliance Gloursonne; Quatre-feuilles; Ceintacé; Casque du Chalœil; Voile d'encre; Bottes du Chalœil; Dofus Pourpre; Dofus Turquoise; Dofus des Glaces; Nomade; Remueur; Vigoureux majeur; Dragodinde Emeraude et Ivoire</t>
        </is>
      </c>
    </row>
    <row r="33561">
      <c r="A33561" t="inlineStr">
        <is>
          <t>Zobal M 200</t>
        </is>
      </c>
      <c r="B33561">
        <f>HYPERLINK("https://www.dofusbook.net/fr/equipement/5798585-zobal-m-200/objets", "link")</f>
        <v/>
      </c>
      <c r="C33561" t="n">
        <v>2</v>
      </c>
      <c r="D33561" t="inlineStr">
        <is>
          <t>Dagues d'Ilyzaelle; Amulette du Cœur Saignant; Bague Gloursonne; Anneau Chevelu; Bouclier du Captain Amakna; Ceinture Volkorne; Masque de Koutoulou; Cape au Logis; Bottes du Cœur Saignant; Dofus Turquoise; Dofus Émeraude; Dofus Pourpre; Enragé majeur; Remueur; Miraculé majeur; Dragodinde Emeraude et Pourpre</t>
        </is>
      </c>
    </row>
    <row r="33562">
      <c r="A33562" t="inlineStr">
        <is>
          <t>Ouginak F 200</t>
        </is>
      </c>
      <c r="B33562">
        <f>HYPERLINK("https://www.dofusbook.net/fr/equipement/5785841-ouginak-f-200/objets", "link")</f>
        <v/>
      </c>
      <c r="C33562" t="n">
        <v>0</v>
      </c>
      <c r="D33562" t="inlineStr">
        <is>
          <t>Manthache; Collier du Valet Veinard; Gant du Valet Veinard; Alliance Gloursonne; Bouclier d'Ilyzaelle; Menoture; Casque Cyclopéen; Cape Martegel; Palmes Trithons; Dofus Ébène; Dofus Ivoire; Dofus Abyssal; Remueur; Cascadeur majeur; Nomade; Dragodinde Ebène et Ivoire</t>
        </is>
      </c>
    </row>
    <row r="33563">
      <c r="A33563" t="inlineStr">
        <is>
          <t>Ouginak F 200</t>
        </is>
      </c>
      <c r="B33563">
        <f>HYPERLINK("https://www.dofusbook.net/fr/equipement/5785784-ouginak-f-200/objets", "link")</f>
        <v/>
      </c>
      <c r="C33563" t="n">
        <v>0</v>
      </c>
      <c r="D33563" t="inlineStr">
        <is>
          <t>Marteau R'ture; Amulette du Cœur Saignant; Anneau Chevelu; Bague Gloursonne; Bouclier d'Ilyzaelle; Ceinture Volkorne; Masque de Koutoulou; Cape au Logis; Bottes du Cœur Saignant; Dofus Ivoire; Dofus Turquoise; Dofus Abyssal; Dofus Ébène; Enragé majeur; Remueur</t>
        </is>
      </c>
    </row>
    <row r="33564">
      <c r="A33564" t="inlineStr">
        <is>
          <t>Enutrof M 200</t>
        </is>
      </c>
      <c r="B33564">
        <f>HYPERLINK("https://www.dofusbook.net/fr/equipement/5754388-enutrof-m-200/objets", "link")</f>
        <v/>
      </c>
      <c r="C33564" t="n">
        <v>0</v>
      </c>
      <c r="D33564" t="inlineStr">
        <is>
          <t>Épée du Granduk; Amulette du Granduk; Alliance Gloursonne; Anneau d'Allister; Quatre-feuilles; Ceinture de Klime; Couronne d'Allister; Cape de Klime; Bottes d'Allister; Dofus Ocre; Dofus Ébène; Dofus Vulbis; Dofus Abyssal; Dofus Turquoise; Dofus Ivoire; Pioute jaune</t>
        </is>
      </c>
    </row>
    <row r="33565">
      <c r="A33565" t="inlineStr">
        <is>
          <t>Ouginak F 200</t>
        </is>
      </c>
      <c r="B33565">
        <f>HYPERLINK("https://www.dofusbook.net/fr/equipement/5651137-ouginak-f-200/objets", "link")</f>
        <v/>
      </c>
      <c r="C33565" t="n">
        <v>0</v>
      </c>
      <c r="D33565" t="inlineStr">
        <is>
          <t>Cape Matelassée; Pantoufles Émar</t>
        </is>
      </c>
    </row>
    <row r="33566">
      <c r="A33566" t="inlineStr">
        <is>
          <t>Enutrof M 200</t>
        </is>
      </c>
      <c r="B33566">
        <f>HYPERLINK("https://www.dofusbook.net/fr/equipement/5506413-enutrof-m-200/objets", "link")</f>
        <v/>
      </c>
      <c r="C33566" t="n">
        <v>0</v>
      </c>
      <c r="D33566" t="inlineStr">
        <is>
          <t>Ceinture de la Reine des Voleurs; Coiffe de la Reine des Voleurs</t>
        </is>
      </c>
    </row>
    <row r="33567">
      <c r="A33567" t="inlineStr">
        <is>
          <t>Enutrof M 200</t>
        </is>
      </c>
      <c r="B33567">
        <f>HYPERLINK("https://www.dofusbook.net/fr/equipement/5502295-enutrof-m-200/objets", "link")</f>
        <v/>
      </c>
      <c r="C33567" t="n">
        <v>0</v>
      </c>
      <c r="D33567" t="inlineStr">
        <is>
          <t>Marteau des égarés; Amulette du Strigide; Anneauræus; Bague Trithon; Poulpagne; Capuche de Moum-Ra; Cape du Kamasterisk; Bottes du Strigide; Dolmanax; Imprenable majeur; Évasif majeur</t>
        </is>
      </c>
    </row>
    <row r="33568">
      <c r="A33568" t="inlineStr">
        <is>
          <t>Ouginak F 200</t>
        </is>
      </c>
      <c r="B33568">
        <f>HYPERLINK("https://www.dofusbook.net/fr/equipement/5405905-ouginak-f-200/objets", "link")</f>
        <v/>
      </c>
      <c r="C33568" t="n">
        <v>0</v>
      </c>
      <c r="D33568" t="inlineStr"/>
    </row>
    <row r="33569">
      <c r="A33569" t="inlineStr">
        <is>
          <t>Enutrof M 200</t>
        </is>
      </c>
      <c r="B33569">
        <f>HYPERLINK("https://www.dofusbook.net/fr/equipement/5394487-enutrof-m-200/objets", "link")</f>
        <v/>
      </c>
      <c r="C33569" t="n">
        <v>1</v>
      </c>
      <c r="D33569" t="inlineStr">
        <is>
          <t>Dagues d'Ilyzaelle; Amulette du Strigide; Chevalière du Roi Joueur; Bague Gloursonne; Bouclier du Captain Amakna; Ceinture du Strigide; Couronne du Roi Joueur; Cape du Cœur Saignant; Bottes du Cœur Saignant; Dofus Vulbis; Dofus Ébène; Dofus Abyssal; Dofus Ocre; Dofus Turquoise; Dofus Ivoire; Pioute vert</t>
        </is>
      </c>
    </row>
    <row r="33570">
      <c r="A33570" t="inlineStr">
        <is>
          <t>Enutrof M 200</t>
        </is>
      </c>
      <c r="B33570">
        <f>HYPERLINK("https://www.dofusbook.net/fr/equipement/5370687-enutrof-m-200/objets", "link")</f>
        <v/>
      </c>
      <c r="C33570" t="n">
        <v>6</v>
      </c>
      <c r="D33570" t="inlineStr">
        <is>
          <t>Épée d'Otomaï; Amulette d'Otomaï; Anneau de Nidas; Bague Gloursonne; Ceinture Séculaire; Coiffe Séculaire; Voile d'encre; Bottes d'Otomaï; Dolmanax; Dofus Turquoise; Dofus Ocre; Dofus Pourpre; Dofus Vulbis; Entraveur majeur; Pioute rouge</t>
        </is>
      </c>
    </row>
    <row r="33571">
      <c r="A33571" t="inlineStr">
        <is>
          <t>Enutrof M 200</t>
        </is>
      </c>
      <c r="B33571">
        <f>HYPERLINK("https://www.dofusbook.net/fr/equipement/5278323-enutrof-m-200/objets", "link")</f>
        <v/>
      </c>
      <c r="C33571" t="n">
        <v>3</v>
      </c>
      <c r="D33571" t="inlineStr">
        <is>
          <t>Arc du Chalœil; Amulette du Cœur Saignant; Chevalière du Roi Joueur; Anneau de Brouce; Quatre-feuilles; Ceinture de Brouce; Couronne du Roi Joueur; Cape du Cœur Saignant; Bottes de Brouce; Dofus Vulbis; Dofus Ocre; Dofus Ébène; Dofus Ivoire; Dofus Turquoise; Dofus Abyssal; Pioute vert</t>
        </is>
      </c>
    </row>
    <row r="33572">
      <c r="A33572" t="inlineStr">
        <is>
          <t>Enutrof M 200</t>
        </is>
      </c>
      <c r="B33572">
        <f>HYPERLINK("https://www.dofusbook.net/fr/equipement/5249490-enutrof-m-200/objets", "link")</f>
        <v/>
      </c>
      <c r="C33572" t="n">
        <v>1</v>
      </c>
      <c r="D33572" t="inlineStr">
        <is>
          <t>Casque Cyclopéen</t>
        </is>
      </c>
    </row>
    <row r="33573">
      <c r="A33573" t="inlineStr">
        <is>
          <t>Stuff 1</t>
        </is>
      </c>
      <c r="B33573">
        <f>HYPERLINK("https://www.dofusbook.net/fr/equipement/308756-stuff-1/objets", "link")</f>
        <v/>
      </c>
      <c r="C33573" t="n">
        <v>0</v>
      </c>
      <c r="D33573" t="inlineStr">
        <is>
          <t>Arc corrompu; Pendentif mignon de Koutoulou; Anneauræus; Anneauræus; Bouclier du Stalak; Ceinture Séculaire; Casque Cyclopéen; Cape de Diondin; Pantoufles Émar; Voyageur; Nomade; Astucieux majeur; Remueur; Miraculé majeur; Érudit majeur; Dragodinde Orchidée</t>
        </is>
      </c>
    </row>
    <row r="33574">
      <c r="A33574" t="inlineStr">
        <is>
          <t>Enutrof M 200</t>
        </is>
      </c>
      <c r="B33574">
        <f>HYPERLINK("https://www.dofusbook.net/fr/equipement/3810775-enutrof-m-200/objets", "link")</f>
        <v/>
      </c>
      <c r="C33574" t="n">
        <v>0</v>
      </c>
      <c r="D33574" t="inlineStr"/>
    </row>
    <row r="33575">
      <c r="A33575" t="inlineStr">
        <is>
          <t>Stuff 2</t>
        </is>
      </c>
      <c r="B33575">
        <f>HYPERLINK("https://www.dofusbook.net/fr/equipement/308746-stuff-2/objets", "link")</f>
        <v/>
      </c>
      <c r="C33575" t="n">
        <v>3</v>
      </c>
      <c r="D33575" t="inlineStr">
        <is>
          <t>Dagoulinantes; Amulette de Shokkoth; Bracelet des Fonds marins; Quatre-feuilles; Pagne du Rykaon; Kidibonnet; Cape de la Dame du Hasard; Bottes de la Dame du Hasard; Dofus Ocre; Dofus Turquoise; Dofus Nébuleux; Dofus Vulbis; Dofus des Glaces; Chanceux majeur; Pioute bleu</t>
        </is>
      </c>
    </row>
    <row r="33576">
      <c r="A33576" t="inlineStr">
        <is>
          <t>terre</t>
        </is>
      </c>
      <c r="B33576">
        <f>HYPERLINK("https://www.dofusbook.net/fr/equipement/2328487-terre/objets", "link")</f>
        <v/>
      </c>
      <c r="C33576" t="n">
        <v>3</v>
      </c>
      <c r="D33576" t="inlineStr">
        <is>
          <t>Marteau R'ture; Amulette du Cœur Saignant; Anneau du Comte Harebourg; Anneau de Brouce; Bouclier du Captain Amakna; Ceinture de Brouce; Coiffe du Comte Harebourg; Cape du Cœur Saignant; Bottes de Brouce; Dofus Vulbis; Dofus Pourpre; Dofus Turquoise; Dofus Nébuleux; Dofus Ocre; Dofus Abyssal; Pioute vert</t>
        </is>
      </c>
    </row>
    <row r="33577">
      <c r="A33577" t="inlineStr">
        <is>
          <t>tank</t>
        </is>
      </c>
      <c r="B33577">
        <f>HYPERLINK("https://www.dofusbook.net/fr/equipement/1429919-tank/objets", "link")</f>
        <v/>
      </c>
      <c r="C33577" t="n">
        <v>1</v>
      </c>
      <c r="D33577" t="inlineStr">
        <is>
          <t>Collier de Tourthon; Anneau Chevelu; Alliance Gloursonne; Bouclier alvéolé; Ceinture de la Reine des Voleurs; Coiffe de la Reine des Voleurs; Voile d'encre; Baleinabottes; Dokoko; Dofus Abyssal; Dofus Ivoire; Dofus des Glaces; Nomade; Remueur; Kramkram</t>
        </is>
      </c>
    </row>
    <row r="33578">
      <c r="A33578" t="inlineStr">
        <is>
          <t>Stuff 1</t>
        </is>
      </c>
      <c r="B33578">
        <f>HYPERLINK("https://www.dofusbook.net/fr/equipement/308747-stuff-1/objets", "link")</f>
        <v/>
      </c>
      <c r="C33578" t="n">
        <v>0</v>
      </c>
      <c r="D33578" t="inlineStr">
        <is>
          <t>Epée Toche; Amulette du Strigide; Anneau Chevelu; Chevalière du Roi Joueur; Bouclier du Captain Amakna; Ceinture du Strigide; Couronne du Roi Joueur; Cape au Logis; Bottes du Roi Joueur; Dofus Turquoise; Dofus Nébuleux; Dofus Pourpre; Dofus Abyssal; Dofus Ocre; Dofus des Glaces; Kramkram</t>
        </is>
      </c>
    </row>
    <row r="33579">
      <c r="A33579" t="inlineStr">
        <is>
          <t>Stuff 2</t>
        </is>
      </c>
      <c r="B33579">
        <f>HYPERLINK("https://www.dofusbook.net/fr/equipement/308753-stuff-2/objets", "link")</f>
        <v/>
      </c>
      <c r="C33579" t="n">
        <v>1</v>
      </c>
      <c r="D33579" t="inlineStr">
        <is>
          <t>Arc de Koutoulou; Amulette du Strigide; Pikano; Bracelet des Fonds marins; Quatre-feuilles; Ceinture du Strigide; Némès de Tal Kasha; Chevelure de Tal Kasha; Sandales de Tal Kasha; Dofus Ocre; Dofus Vulbis; Dofus Pourpre; Dolmanax; Dofus Turquoise; Dofus des Glaces; Kramkram</t>
        </is>
      </c>
    </row>
    <row r="33580">
      <c r="A33580" t="inlineStr">
        <is>
          <t>arc</t>
        </is>
      </c>
      <c r="B33580">
        <f>HYPERLINK("https://www.dofusbook.net/fr/equipement/569767-arc/objets", "link")</f>
        <v/>
      </c>
      <c r="C33580" t="n">
        <v>0</v>
      </c>
      <c r="D33580" t="inlineStr"/>
    </row>
    <row r="33581">
      <c r="A33581" t="inlineStr">
        <is>
          <t>Stuff 2</t>
        </is>
      </c>
      <c r="B33581">
        <f>HYPERLINK("https://www.dofusbook.net/fr/equipement/308748-stuff-2/objets", "link")</f>
        <v/>
      </c>
      <c r="C33581" t="n">
        <v>0</v>
      </c>
      <c r="D33581" t="inlineStr">
        <is>
          <t>Epée Gloursonne; Amulette de Nevark; Alliance Gloursonne; Bague Gloursonne; Ceinture de Nevark; Coiffe de la Reine des Voleurs; Cape de Nevark; Bottes du Kamasterisk; Kramkram</t>
        </is>
      </c>
    </row>
    <row r="33582">
      <c r="A33582" t="inlineStr">
        <is>
          <t>Stuff 2</t>
        </is>
      </c>
      <c r="B33582">
        <f>HYPERLINK("https://www.dofusbook.net/fr/equipement/308760-stuff-2/objets", "link")</f>
        <v/>
      </c>
      <c r="C33582" t="n">
        <v>0</v>
      </c>
      <c r="D33582" t="inlineStr">
        <is>
          <t>Dagues Érhy; Amulette du Strigide; Chevalière du Roi Joueur; Pikano; Ceintacé; Masque de Koutoulou; Voile d'encre; Bottes du Roi Joueur; Dofus Émeraude; Dofus des Glaces; Dofus Pourpre; Dofus Turquoise; Temporiseur majeur; Évasif majeur; Muldo Pourpre</t>
        </is>
      </c>
    </row>
    <row r="33583">
      <c r="A33583" t="inlineStr">
        <is>
          <t>Stuff 1</t>
        </is>
      </c>
      <c r="B33583">
        <f>HYPERLINK("https://www.dofusbook.net/fr/equipement/308755-stuff-1/objets", "link")</f>
        <v/>
      </c>
      <c r="C33583" t="n">
        <v>1</v>
      </c>
      <c r="D33583" t="inlineStr">
        <is>
          <t>Harpelle; Amulette d'Otomaï; Anneau Tique; Chevalière du Roi Joueur; Bouclier du Sadida cassé; Ceinture Séculaire; Coiffe Séculaire; Cape de la Dame du Hasard; Pataugastrique; Dofus Nébuleux; Dofus Turquoise; Nomade; Érudit majeur; Remueur; Pioute rouge</t>
        </is>
      </c>
    </row>
    <row r="33584">
      <c r="A33584" t="inlineStr">
        <is>
          <t>Stuff 1</t>
        </is>
      </c>
      <c r="B33584">
        <f>HYPERLINK("https://www.dofusbook.net/fr/equipement/308750-stuff-1/objets", "link")</f>
        <v/>
      </c>
      <c r="C33584" t="n">
        <v>0</v>
      </c>
      <c r="D33584" t="inlineStr">
        <is>
          <t>Marteau Phossile; Amulette Ementaire Deluxe; Anneau Rifique; Alliance Gloursonne; Bouclier du Sadida cassé; Ceinture Séculaire; Casque Cyclopéen; Voile d'encre; Pantoufles Émar; Dokoko; Érudit majeur; Vagabond majeur; Remueur; Déserteur majeur; Nomade; Pioute rouge</t>
        </is>
      </c>
    </row>
    <row r="33585">
      <c r="A33585" t="inlineStr">
        <is>
          <t>Stuff 1</t>
        </is>
      </c>
      <c r="B33585">
        <f>HYPERLINK("https://www.dofusbook.net/fr/equipement/308762-stuff-1/objets", "link")</f>
        <v/>
      </c>
      <c r="C33585" t="n">
        <v>0</v>
      </c>
      <c r="D33585" t="inlineStr">
        <is>
          <t>Dagues de Srambad; Amulette du Piloztère; Alliance Gloursonne; Bracelet du Piloztère; Bouclier du Captain Amakna; Ceinture de la Reine des Voleurs; Coiffe de la Reine des Voleurs; Cape des Justiciers; Pantoufles du Piloztère; Dofus Émeraude; Dofus Abyssal; Dofus Nébuleux; Dofus Ocre; Dofus des Glaces; Dofus Vulbis; Croum</t>
        </is>
      </c>
    </row>
    <row r="33586">
      <c r="A33586" t="inlineStr">
        <is>
          <t>Stuff 2</t>
        </is>
      </c>
      <c r="B33586">
        <f>HYPERLINK("https://www.dofusbook.net/fr/equipement/308757-stuff-2/objets", "link")</f>
        <v/>
      </c>
      <c r="C33586" t="n">
        <v>0</v>
      </c>
      <c r="D33586" t="inlineStr">
        <is>
          <t>Dagoulinantes; Amulette de Shokkoth; Alliance Gloursonne; Pikano; Poulpagne; Casque Dragoeuf; Chevelure de Tal Kasha; Sandales de Tal Kasha; Dofus Abyssal; Paralyseur majeur; Chanceux majeur; Étourdisseur majeur; Remueur; Muldo Indigo et Pourpre</t>
        </is>
      </c>
    </row>
    <row r="33587">
      <c r="A33587" t="inlineStr">
        <is>
          <t>Stuff 1</t>
        </is>
      </c>
      <c r="B33587">
        <f>HYPERLINK("https://www.dofusbook.net/fr/equipement/308752-stuff-1/objets", "link")</f>
        <v/>
      </c>
      <c r="C33587" t="n">
        <v>1</v>
      </c>
      <c r="D33587" t="inlineStr">
        <is>
          <t>Marteau R'ture; Amulette du Strigide; Anneau Crustique; Anneau Crustique; Ceinture du Strigide; Masque de Koutoulou; Cape au Logis; Bottes de Brouce; Dofus Pourpre; Dofus Turquoise; Dofus Vulbis; Dofus Ocre; Dofus Nébuleux; Enragé majeur; Pioute vert</t>
        </is>
      </c>
    </row>
    <row r="33588">
      <c r="A33588" t="inlineStr">
        <is>
          <t>Stuff 1</t>
        </is>
      </c>
      <c r="B33588">
        <f>HYPERLINK("https://www.dofusbook.net/fr/equipement/308764-stuff-1/objets", "link")</f>
        <v/>
      </c>
      <c r="C33588" t="n">
        <v>0</v>
      </c>
      <c r="D33588" t="inlineStr">
        <is>
          <t>Collier du Valet Veinard; Gant du Valet Veinard; Menoture; Palmes Trithons; Dofus des Glaces; Cascadeur majeur; Remueur; Nomade; Fonceur majeur; Cavaleur majeur</t>
        </is>
      </c>
    </row>
    <row r="33589">
      <c r="A33589" t="inlineStr">
        <is>
          <t>Stuff 1</t>
        </is>
      </c>
      <c r="B33589">
        <f>HYPERLINK("https://www.dofusbook.net/fr/equipement/308759-stuff-1/objets", "link")</f>
        <v/>
      </c>
      <c r="C33589" t="n">
        <v>0</v>
      </c>
      <c r="D33589" t="inlineStr">
        <is>
          <t>Rouleau à Pâtisserie d'Aermyne; Collier de Tourthon; Bague Trithon; Bracelet du Piloztère; Protopagne; Coiffe d'Aermyne; Voile d'encre; Bottes Innommables; Dofus Ocre; Dofus Émeraude; Survivant majeur; Remueur; Miraculé majeur; Carapace Terre majeur; Homlett</t>
        </is>
      </c>
    </row>
    <row r="33590">
      <c r="A33590" t="inlineStr">
        <is>
          <t>Stuff 3</t>
        </is>
      </c>
      <c r="B33590">
        <f>HYPERLINK("https://www.dofusbook.net/fr/equipement/308754-stuff-3/objets", "link")</f>
        <v/>
      </c>
      <c r="C33590" t="n">
        <v>0</v>
      </c>
      <c r="D33590" t="inlineStr">
        <is>
          <t>Dagoulinantes; Amulette de Shokkoth; Bracelet des Fonds marins; Pikano; Pagne du Rykaon; Kidibonnet; Cape de la Dame du Hasard; Bottes de la Dame du Hasard; Dofus des Glaces; Dofus Ocre; Dofus Vulbis; Dofus Nébuleux; Dofus Turquoise; Chanceux majeur; Pioute bleu</t>
        </is>
      </c>
    </row>
    <row r="33591">
      <c r="A33591" t="inlineStr">
        <is>
          <t>Stuff 1</t>
        </is>
      </c>
      <c r="B33591">
        <f>HYPERLINK("https://www.dofusbook.net/fr/equipement/308759-stuff-1/objets", "link")</f>
        <v/>
      </c>
      <c r="C33591" t="n">
        <v>0</v>
      </c>
      <c r="D33591" t="inlineStr">
        <is>
          <t>Rouleau à Pâtisserie d'Aermyne; Collier de Tourthon; Bague Trithon; Bracelet du Piloztère; Protopagne; Coiffe d'Aermyne; Voile d'encre; Bottes Innommables; Dofus Ocre; Dofus Émeraude; Survivant majeur; Remueur; Miraculé majeur; Carapace Terre majeur; Homlett</t>
        </is>
      </c>
    </row>
    <row r="33592">
      <c r="A33592" t="inlineStr">
        <is>
          <t>Stuff 3</t>
        </is>
      </c>
      <c r="B33592">
        <f>HYPERLINK("https://www.dofusbook.net/fr/equipement/308754-stuff-3/objets", "link")</f>
        <v/>
      </c>
      <c r="C33592" t="n">
        <v>0</v>
      </c>
      <c r="D33592" t="inlineStr">
        <is>
          <t>Dagoulinantes; Amulette de Shokkoth; Bracelet des Fonds marins; Pikano; Pagne du Rykaon; Kidibonnet; Cape de la Dame du Hasard; Bottes de la Dame du Hasard; Dofus Nébuleux; Dofus Turquoise; Dofus des Glaces; Dofus Ocre; Dofus Vulbis; Chanceux majeur; Pioute bleu</t>
        </is>
      </c>
    </row>
    <row r="33593">
      <c r="A33593" t="inlineStr">
        <is>
          <t>Stuff 3</t>
        </is>
      </c>
      <c r="B33593">
        <f>HYPERLINK("https://www.dofusbook.net/fr/equipement/308749-stuff-3/objets", "link")</f>
        <v/>
      </c>
      <c r="C33593" t="n">
        <v>0</v>
      </c>
      <c r="D33593" t="inlineStr">
        <is>
          <t>Héqache; Amulette du Strigide; Anneau Chevelu; Alliance Gloursonne; Ceinture du Strigide; Masque de Koutoulou; Voile d'encre; Bottes du Cycloïde; Dofus Turquoise; Dofus Pourpre; Dofus des Glaces; Nomade; Carapace Eau majeur; Remueur; Dragodinde en armure</t>
        </is>
      </c>
    </row>
    <row r="33594">
      <c r="A33594" t="inlineStr">
        <is>
          <t>Stuff 3</t>
        </is>
      </c>
      <c r="B33594">
        <f>HYPERLINK("https://www.dofusbook.net/fr/equipement/308766-stuff-3/objets", "link")</f>
        <v/>
      </c>
      <c r="C33594" t="n">
        <v>0</v>
      </c>
      <c r="D33594" t="inlineStr">
        <is>
          <t>Dagoulinantes; Amulette de Shokkoth; Bracelet des Fonds marins; Alliance Gloursonne; Poulpagne; Casque Dragoeuf; Chevelure de Tal Kasha; Sandales de Tal Kasha; Dofus Abyssal; Chanceux majeur; Étourdisseur majeur; Remueur; Paralyseur majeur; Muldo Indigo et Pourpre</t>
        </is>
      </c>
    </row>
    <row r="33595">
      <c r="A33595" t="inlineStr">
        <is>
          <t>Stuff 3</t>
        </is>
      </c>
      <c r="B33595">
        <f>HYPERLINK("https://www.dofusbook.net/fr/equipement/308761-stuff-3/objets", "link")</f>
        <v/>
      </c>
      <c r="C33595" t="n">
        <v>0</v>
      </c>
      <c r="D33595" t="inlineStr">
        <is>
          <t>Rouleau à Pâtisserie d'Aermyne; Amulette Luminescente; Bague Trithon; Alliance Gloursonne; Ceinture Luminescente; Masque Trithon; Cape Luminescente; Bottes Trithon; Dofus Ocre; Dofus Turquoise; Dofus Émeraude; Bousculeur majeur; Bousculeur; Pousseur majeur; Muldo Ebène</t>
        </is>
      </c>
    </row>
    <row r="33596">
      <c r="A33596" t="inlineStr">
        <is>
          <t>Stuff 2</t>
        </is>
      </c>
      <c r="B33596">
        <f>HYPERLINK("https://www.dofusbook.net/fr/equipement/308751-stuff-2/objets", "link")</f>
        <v/>
      </c>
      <c r="C33596" t="n">
        <v>1</v>
      </c>
      <c r="D33596" t="inlineStr">
        <is>
          <t>Epée Toche; Amulette du Strigide; Bague Gloursonne; Chevalière du Roi Joueur; Bouclier du Captain Amakna; Ceinture du Strigide; Couronne du Roi Joueur; Cape au Logis; Bottes du Roi Joueur; Dofus Pourpre; Dofus Ocre; Dofus Émeraude; Dofus des Glaces; Dofus Vulbis; Dofus Turquoise; Dragodinde en armure</t>
        </is>
      </c>
    </row>
    <row r="33597">
      <c r="A33597" t="inlineStr">
        <is>
          <t>Pandawa F 200</t>
        </is>
      </c>
      <c r="B33597">
        <f>HYPERLINK("https://www.dofusbook.net/fr/equipement/4400598-pandawa-f-200/objets", "link")</f>
        <v/>
      </c>
      <c r="C33597" t="n">
        <v>1</v>
      </c>
      <c r="D33597" t="inlineStr">
        <is>
          <t>Arc du Chalœil; Amulette Volkorne; Baguistik; Anneau Chevelu; Bouclier du Stalak; Ceinture Volkorne; Masque de Kao; Cape au Logis; Bottes de la Reine des Voleurs; Dofus Pourpre; Dofus Ivoire; Dofus des Glaces; Dofus Turquoise; Dofus Émeraude; Dofus Ocre; Sakochère</t>
        </is>
      </c>
    </row>
    <row r="33598">
      <c r="A33598" t="inlineStr">
        <is>
          <t>puissance</t>
        </is>
      </c>
      <c r="B33598">
        <f>HYPERLINK("https://www.dofusbook.net/fr/equipement/1662059-puissance/objets", "link")</f>
        <v/>
      </c>
      <c r="C33598" t="n">
        <v>1</v>
      </c>
      <c r="D33598" t="inlineStr">
        <is>
          <t>Arc du Chalœil; Amulette Volkorne; Bague Trithon; Bague Gloursonne; Quatre-feuilles; Ceinture Volkorne; Masque Trithon; Cape au Logis; Bottes Trithon; Dofus Turquoise; Dofus Ocre; Dofus Ivoire; Dofus Pourpre; Dofus Nébuleux; Dofus des Glaces; Kokulte</t>
        </is>
      </c>
    </row>
    <row r="33599">
      <c r="A33599" t="inlineStr">
        <is>
          <t>Ecaflip M 200</t>
        </is>
      </c>
      <c r="B33599">
        <f>HYPERLINK("https://www.dofusbook.net/fr/equipement/3824712-ecaflip-m-200/objets", "link")</f>
        <v/>
      </c>
      <c r="C33599" t="n">
        <v>0</v>
      </c>
      <c r="D33599" t="inlineStr">
        <is>
          <t>Hache du Chalœil; Amulette Volkorne; Bague Trithon; Anneau Volkorne; Bouclier du Stalak; Ceinture Volkorne; Masque Trithon; Cape de la Dame du Hasard; Bottes Trithon; Dofus Vulbis; Dofus Turquoise; Dofus Émeraude; Dofus Ocre; Dofus Pourpre; Dofus Ivoire; Sakochère</t>
        </is>
      </c>
    </row>
    <row r="33600">
      <c r="A33600" t="inlineStr">
        <is>
          <t>air</t>
        </is>
      </c>
      <c r="B33600">
        <f>HYPERLINK("https://www.dofusbook.net/fr/equipement/2622697-air/objets", "link")</f>
        <v/>
      </c>
      <c r="C33600" t="n">
        <v>0</v>
      </c>
      <c r="D33600" t="inlineStr">
        <is>
          <t>Arc Nécrotique; Amulette Volkorne; Anneau Volkorne; Bague Trithon; Quatre-feuilles; Ceinture Volkorne; Masque Trithon; Cape de Meno; Bottes Trithon; Dofus Vulbis; Dofus Émeraude; Dofus Pourpre; Dofus Ocre; Dofus Turquoise; Dofus Ivoire; Sakochère</t>
        </is>
      </c>
    </row>
    <row r="33601">
      <c r="A33601" t="inlineStr">
        <is>
          <t>hiiiihaaa</t>
        </is>
      </c>
      <c r="B33601">
        <f>HYPERLINK("https://www.dofusbook.net/fr/equipement/2036746-hiiiihaaa/objets", "link")</f>
        <v/>
      </c>
      <c r="C33601" t="n">
        <v>0</v>
      </c>
      <c r="D33601" t="inlineStr">
        <is>
          <t>Arc Nécrotique; Amulette Volkorne; Bague Trithon; Anneau Volkorne; Quatre-feuilles; Ceintacé; Masque Trithon; Cape de la Dame du Hasard; Bottes de la Dame du Hasard; Dofus Vulbis; Dofus Ocre; Dofus Turquoise; Dofus Nébuleux; Dofus Pourpre; Dofus des Glaces; Kokulte</t>
        </is>
      </c>
    </row>
    <row r="33602">
      <c r="A33602" t="inlineStr">
        <is>
          <t>ppm</t>
        </is>
      </c>
      <c r="B33602">
        <f>HYPERLINK("https://www.dofusbook.net/fr/equipement/1559741-ppm/objets", "link")</f>
        <v/>
      </c>
      <c r="C33602" t="n">
        <v>0</v>
      </c>
      <c r="D33602" t="inlineStr">
        <is>
          <t>Arc Nécrotique; Amulette Volkorne; Bague Trithon; Anneau Volkorne; Quatre-feuilles; Ceintacé; Masque Trithon; Cape de la Dame du Hasard; Bottes de la Dame du Hasard; Dofus Vulbis; Dofus Ocre; Dofus Turquoise; Dofus Nébuleux; Dofus Pourpre; Dofus des Glaces; Kokulte</t>
        </is>
      </c>
    </row>
    <row r="33603">
      <c r="A33603" t="inlineStr">
        <is>
          <t>yoyoyoyoyoyyoyo</t>
        </is>
      </c>
      <c r="B33603">
        <f>HYPERLINK("https://www.dofusbook.net/fr/equipement/2036873-yoyoyoyoyoyyoyo/objets", "link")</f>
        <v/>
      </c>
      <c r="C33603" t="n">
        <v>1</v>
      </c>
      <c r="D33603" t="inlineStr">
        <is>
          <t>Baguette Héroclite; Amulette de Shokkoth; Alliance Gloursonne; Bracelet des Fonds marins; Bouclier du Stalak; Pagne du Rykaon; Kidibonnet; Cape du Sinistrofu; Bottes du Sinistrofu; Dofus Pourpre; Dofus des Glaces; Dofus Ocre; Dofus Nébuleux; Nomade; Chanceux majeur; Kanigloups</t>
        </is>
      </c>
    </row>
    <row r="33604">
      <c r="A33604" t="inlineStr">
        <is>
          <t>terrefeu</t>
        </is>
      </c>
      <c r="B33604">
        <f>HYPERLINK("https://www.dofusbook.net/fr/equipement/2133478-terrefeu/objets", "link")</f>
        <v/>
      </c>
      <c r="C33604" t="n">
        <v>1</v>
      </c>
      <c r="D33604" t="inlineStr">
        <is>
          <t>Arc du Chalœil; Amulette du Strigide; Bracelet du Piloztère; Bague Trithon; Quatre-feuilles; Ceintacé; Masque Trithon; Cape du Cœur Saignant; Bottes du Cœur Vaillant; Dofus Turquoise; Dofus Ocre; Dofus Nébuleux; Dofus Pourpre; Dofus des Glaces; Nomade; Kokulte</t>
        </is>
      </c>
    </row>
    <row r="33605">
      <c r="A33605" t="inlineStr">
        <is>
          <t>random test</t>
        </is>
      </c>
      <c r="B33605">
        <f>HYPERLINK("https://www.dofusbook.net/fr/equipement/2134170-random-test/objets", "link")</f>
        <v/>
      </c>
      <c r="C33605" t="n">
        <v>1</v>
      </c>
      <c r="D33605" t="inlineStr">
        <is>
          <t>Héqache; Amulette du Strigide; Bague Trithon; Bracelet du Piloztère; Quatre-feuilles; Ceinture du Strigide; Masque Trithon; Cape au Logis; Bottes Trithon; Dofus Turquoise; Dofus Ocre; Dofus Ivoire; Dofus Pourpre; Dofus Nébuleux; Dofus des Glaces; Pioute vert</t>
        </is>
      </c>
    </row>
    <row r="33606">
      <c r="A33606" t="inlineStr">
        <is>
          <t>Roublard M 200</t>
        </is>
      </c>
      <c r="B33606">
        <f>HYPERLINK("https://www.dofusbook.net/fr/equipement/3927479-roublard-m-200/objets", "link")</f>
        <v/>
      </c>
      <c r="C33606" t="n">
        <v>1</v>
      </c>
      <c r="D33606" t="inlineStr">
        <is>
          <t>Épée du Granduk; Amulette du Granduk; Menoture; Masque du Granduk</t>
        </is>
      </c>
    </row>
    <row r="33607">
      <c r="A33607" t="inlineStr">
        <is>
          <t>Roublard M 200</t>
        </is>
      </c>
      <c r="B33607">
        <f>HYPERLINK("https://www.dofusbook.net/fr/equipement/3927466-roublard-m-200/objets", "link")</f>
        <v/>
      </c>
      <c r="C33607" t="n">
        <v>1</v>
      </c>
      <c r="D33607" t="inlineStr">
        <is>
          <t>Pelle de la Cour Sombre; Collier du Valet Veinard; Anneau Volkorne; Alliance Gloursonne; Bouclier du Stalak; Menoture; Casque Volkorne; Cape Indescriptible; Palmes Trithons; Dofus Ocre; Dofus Ivoire; Dofus des Glaces; Carapace Neutre majeur; Nomade; Carapace Air majeur; Blérodoudou</t>
        </is>
      </c>
    </row>
    <row r="33608">
      <c r="A33608" t="inlineStr">
        <is>
          <t>Roublard M 200</t>
        </is>
      </c>
      <c r="B33608">
        <f>HYPERLINK("https://www.dofusbook.net/fr/equipement/3927455-roublard-m-200/objets", "link")</f>
        <v/>
      </c>
      <c r="C33608" t="n">
        <v>1</v>
      </c>
      <c r="D33608" t="inlineStr">
        <is>
          <t>Manthache; Collier du Valet Veinard; Gant du Valet Veinard; Anneau d'Allister; Bouclier du Stalak; Sangle Oriole; Couronne d'Allister; Cape du Valet Veinard; Bottes d'Allister; Dofus Pourpre; Dofus Ocre; Dofus Abyssal; Dofus des Glaces; Dofus Vulbis; Dofus Ivoire; Blérodoudou</t>
        </is>
      </c>
    </row>
    <row r="33609">
      <c r="A33609" t="inlineStr">
        <is>
          <t>kola 1v1</t>
        </is>
      </c>
      <c r="B33609">
        <f>HYPERLINK("https://www.dofusbook.net/fr/equipement/3105209-kola-1v1/objets", "link")</f>
        <v/>
      </c>
      <c r="C33609" t="n">
        <v>0</v>
      </c>
      <c r="D33609" t="inlineStr">
        <is>
          <t>Arc corrompu; Pendentif affamé; Anneauræus; Bague Gloursonne; Sept ans de malheur; Ceinture de Vortex; Masque d'Anerice; Cape d'Anerice; Bottes Innommables; Dofus Pourpre; Dofus Ivoire; Dofus Turquoise; Dofus Ocre; Érudit majeur; Remueur; Muldo Ebène et Orchidée</t>
        </is>
      </c>
    </row>
    <row r="33610">
      <c r="A33610" t="inlineStr">
        <is>
          <t>arc chaloeil</t>
        </is>
      </c>
      <c r="B33610">
        <f>HYPERLINK("https://www.dofusbook.net/fr/equipement/611955-arc-chaloeil/objets", "link")</f>
        <v/>
      </c>
      <c r="C33610" t="n">
        <v>1</v>
      </c>
      <c r="D33610" t="inlineStr">
        <is>
          <t>Arc du Chalœil; Amulette du Strigide; Bracelet du Piloztère; Bague Gloursonne; Quatre-feuilles; Ceinture de la Cour Sombre; Masque de Koutoulou; Cape au Logis; Bottes de la Cour Sombre; Dofus Pourpre; Dofus Turquoise; Dokoko; Dofus des Glaces; Enragé majeur; Remueur; Pioute vert</t>
        </is>
      </c>
    </row>
    <row r="33611">
      <c r="A33611" t="inlineStr">
        <is>
          <t>force</t>
        </is>
      </c>
      <c r="B33611">
        <f>HYPERLINK("https://www.dofusbook.net/fr/equipement/1526922-force/objets", "link")</f>
        <v/>
      </c>
      <c r="C33611" t="n">
        <v>0</v>
      </c>
      <c r="D33611" t="inlineStr">
        <is>
          <t>Arc corrompu; Amulette du Strigide; Bague Gloursonne; Bracelet du Piloztère; Quatre-feuilles; Ceinture du Strigide; Heaume Oplate; Voile d'encre; Pompes Funèbres; Dokoko; Dofus des Glaces; Dofus Turquoise; Dofus Pourpre; Nomade; Remueur; El Scarador</t>
        </is>
      </c>
    </row>
    <row r="33612">
      <c r="A33612" t="inlineStr">
        <is>
          <t>Stuff 2</t>
        </is>
      </c>
      <c r="B33612">
        <f>HYPERLINK("https://www.dofusbook.net/fr/equipement/262318-stuff-2/objets", "link")</f>
        <v/>
      </c>
      <c r="C33612" t="n">
        <v>2</v>
      </c>
      <c r="D33612" t="inlineStr">
        <is>
          <t>Rouleau à Pâtisserie d'Aermyne; Amulette du Glourséleste; Bague Gloursonne; Anneau de XLII; Bouclier d'Anerice; Ceinture de XLII; Masque d'Anerice; Cape d'Anerice; Bottes de XLII; Dofus Émeraude; Dokoko; Dofus Ivoire; Bloqueur; Tacleur majeur; Bloqueur majeur; Givrefoux</t>
        </is>
      </c>
    </row>
    <row r="33613">
      <c r="A33613" t="inlineStr">
        <is>
          <t>Crâ M 200</t>
        </is>
      </c>
      <c r="B33613">
        <f>HYPERLINK("https://www.dofusbook.net/fr/equipement/3478567-cra-m-200/objets", "link")</f>
        <v/>
      </c>
      <c r="C33613" t="n">
        <v>0</v>
      </c>
      <c r="D33613" t="inlineStr">
        <is>
          <t>Pyraguette; Amulette de l'Œil Attentif; Lavanneau; Lavanneau; Bouclier du Stalak; Ceinture de la Reine des Voleurs; Capuche de l'Œil Attentif; Cape de l'Œil Attentif; Bottes de la Reine des Voleurs; Dofus Vulbis; Dofus Ocre; Dofus Pourpre; Dofus des Glaces; Dofus Ivoire; Robuste majeur; Kwaltess</t>
        </is>
      </c>
    </row>
    <row r="33614">
      <c r="A33614" t="inlineStr">
        <is>
          <t>Crâ M 200</t>
        </is>
      </c>
      <c r="B33614">
        <f>HYPERLINK("https://www.dofusbook.net/fr/equipement/3476981-cra-m-200/objets", "link")</f>
        <v/>
      </c>
      <c r="C33614" t="n">
        <v>0</v>
      </c>
      <c r="D33614" t="inlineStr">
        <is>
          <t>Dagues de Srambad; Amulette Luminescente; Bague Trithon; Alliance Gloursonne; Quatre-feuilles; Ceinture Luminescente; Masque Trithon; Cape Luminescente; Bottes Trithon; Dofus Turquoise; Dofus Émeraude; Dofus Ocre; Dofus Pourpre; Dofus des Glaces; Survivant majeur; Muldo Prune et Emeraude</t>
        </is>
      </c>
    </row>
    <row r="33615">
      <c r="A33615" t="inlineStr">
        <is>
          <t>weird</t>
        </is>
      </c>
      <c r="B33615">
        <f>HYPERLINK("https://www.dofusbook.net/fr/equipement/3105305-weird/objets", "link")</f>
        <v/>
      </c>
      <c r="C33615" t="n">
        <v>0</v>
      </c>
      <c r="D33615" t="inlineStr">
        <is>
          <t>Rouleau à Pâtisserie d'Aermyne; Amulette du Glourséleste; Bague Gloursonne; Anneau de XLII; Bouclier d'Anerice; Ceinture de XLII; Coiffe d'Aermyne; Cape d'Aermyne; Bottes de XLII; Dokoko; Dofus Émeraude; Bloqueur majeur; Tacleur majeur; Muldo Roux et Pourpre</t>
        </is>
      </c>
    </row>
    <row r="33616">
      <c r="A33616" t="inlineStr">
        <is>
          <t>Do pou 400</t>
        </is>
      </c>
      <c r="B33616">
        <f>HYPERLINK("https://www.dofusbook.net/fr/equipement/262331-do-pou-400/objets", "link")</f>
        <v/>
      </c>
      <c r="C33616" t="n">
        <v>1</v>
      </c>
      <c r="D33616" t="inlineStr">
        <is>
          <t>Lav'Hache; Torquistik; Bague Instable; Bague Trithon; Bouclier précieux; Ceinture Gence; Casque Dragoeuf; Cape du Cœur Vaillant; Bottistik; Dokoko; Dofus Ivoire; Carapace Terre majeur; Culbuteur majeur; Pousseur majeur; Bousculeur majeur; Kwaltess</t>
        </is>
      </c>
    </row>
    <row r="33617">
      <c r="A33617" t="inlineStr">
        <is>
          <t>terre</t>
        </is>
      </c>
      <c r="B33617">
        <f>HYPERLINK("https://www.dofusbook.net/fr/equipement/2815827-terre/objets", "link")</f>
        <v/>
      </c>
      <c r="C33617" t="n">
        <v>0</v>
      </c>
      <c r="D33617" t="inlineStr">
        <is>
          <t>Manthache; Collier du Valet Veinard; Anneau d'Allister; Gant du Valet Veinard; Bouclier du Stalak; Ceinture Billonnante; Couronne d'Allister; Cape du Valet Veinard; Bottes d'Allister; Dofus Émeraude; Dofus Ocre; Dokoko; Dofus des Glaces; Dofus Pourpre; Dofus Ivoire; Muldo Pourpre et Amande</t>
        </is>
      </c>
    </row>
    <row r="33618">
      <c r="A33618" t="inlineStr">
        <is>
          <t>Stuff 3</t>
        </is>
      </c>
      <c r="B33618">
        <f>HYPERLINK("https://www.dofusbook.net/fr/equipement/262313-stuff-3/objets", "link")</f>
        <v/>
      </c>
      <c r="C33618" t="n">
        <v>0</v>
      </c>
      <c r="D33618" t="inlineStr">
        <is>
          <t>Dagues Açantes; Amulette Luminescente; Pikano; Alliance Gloursonne; Bouclier cubiste; Ceinture Luminescente; Casquipik; Cape Luminescente; Pikottes; Dofus Turquoise; Dofus Ocre; Dofus Pourpre; Dofus Cawotte; Ralentisseur majeur; Entraveur majeur; Muldo Indigo</t>
        </is>
      </c>
    </row>
    <row r="33619">
      <c r="A33619" t="inlineStr">
        <is>
          <t>Stuff 1</t>
        </is>
      </c>
      <c r="B33619">
        <f>HYPERLINK("https://www.dofusbook.net/fr/equipement/262311-stuff-1/objets", "link")</f>
        <v/>
      </c>
      <c r="C33619" t="n">
        <v>0</v>
      </c>
      <c r="D33619" t="inlineStr">
        <is>
          <t>Dagues Açantes; Amulette de Shokkoth; Alliance Gloursonne; Pikano; Bouclier cubiste; Pagne du Rykaon; Kidibonnet; Cape du Sinistrofu; Bottes du Sinistrofu; Entraveur majeur; Nomade; Temporiseur majeur; Remueur; Taquin majeur; Chanceux majeur; Dehluge</t>
        </is>
      </c>
    </row>
    <row r="33620">
      <c r="A33620" t="inlineStr">
        <is>
          <t>feu feu</t>
        </is>
      </c>
      <c r="B33620">
        <f>HYPERLINK("https://www.dofusbook.net/fr/equipement/621663-feu-feu/objets", "link")</f>
        <v/>
      </c>
      <c r="C33620" t="n">
        <v>0</v>
      </c>
      <c r="D33620" t="inlineStr">
        <is>
          <t>Arc Hétype; Pendentif affamé; Anneau Tamie; Anneau Tamie; Quatre-feuilles; Ceinture Séculaire; Coiffe Séculaire; Cape de Diondin; Bottes Innommables; Dofus Pourpre; Érudit majeur; Astucieux majeur; Remueur; Vigoureux majeur; Nomade</t>
        </is>
      </c>
    </row>
    <row r="33621">
      <c r="A33621" t="inlineStr">
        <is>
          <t>tank feu</t>
        </is>
      </c>
      <c r="B33621">
        <f>HYPERLINK("https://www.dofusbook.net/fr/equipement/2624775-tank-feu/objets", "link")</f>
        <v/>
      </c>
      <c r="C33621" t="n">
        <v>0</v>
      </c>
      <c r="D33621" t="inlineStr">
        <is>
          <t>Arc corrompu; Pendentif affamé; Chevalière du Roi Joueur; Anneau Tique; Quatre-feuilles; Ceinture de Vortex; Casque Dragoeuf; Cape de Diondin; Bottes Innommables; Dofus Pourpre; Carapace Eau majeur; Nomade; Érudit majeur; Carapace Feu majeur; Remueur; El Scarador</t>
        </is>
      </c>
    </row>
    <row r="33622">
      <c r="A33622" t="inlineStr">
        <is>
          <t>feu 6.0</t>
        </is>
      </c>
      <c r="B33622">
        <f>HYPERLINK("https://www.dofusbook.net/fr/equipement/3002075-feu-6-0/objets", "link")</f>
        <v/>
      </c>
      <c r="C33622" t="n">
        <v>0</v>
      </c>
      <c r="D33622" t="inlineStr">
        <is>
          <t>Arc Hétype; Pendentif affamé; Bague Gloursonne; Anneau Tamie; Quatre-feuilles; Ceinture Séculaire; Coiffe Séculaire; Cape de Diondin; Bottes du Katcheur; Dofus Turquoise; Dofus Pourpre; Remueur; Astucieux majeur; Érudit majeur; Nomade; Muldo Orchidée et Pourpre</t>
        </is>
      </c>
    </row>
    <row r="33623">
      <c r="A33623" t="inlineStr">
        <is>
          <t>Hétype opti</t>
        </is>
      </c>
      <c r="B33623">
        <f>HYPERLINK("https://www.dofusbook.net/fr/equipement/262308-hetype-opti/objets", "link")</f>
        <v/>
      </c>
      <c r="C33623" t="n">
        <v>0</v>
      </c>
      <c r="D33623" t="inlineStr">
        <is>
          <t>Arc Hétype; Pendentif affamé; Bague Gloursonne; Anneau Tamie; Carapar; Ceinture Séculaire; Coiffe Séculaire; Cape de Diondin; Bottes Innommables; Miraculé majeur; Érudit majeur; Savant majeur; Nomade; Astucieux majeur; Remueur; Brûlih</t>
        </is>
      </c>
    </row>
    <row r="33624">
      <c r="A33624" t="inlineStr">
        <is>
          <t>feuuuu</t>
        </is>
      </c>
      <c r="B33624">
        <f>HYPERLINK("https://www.dofusbook.net/fr/equipement/3105477-feuuuu/objets", "link")</f>
        <v/>
      </c>
      <c r="C33624" t="n">
        <v>0</v>
      </c>
      <c r="D33624" t="inlineStr">
        <is>
          <t>Ceinture Séculaire; Coiffe Séculaire</t>
        </is>
      </c>
    </row>
    <row r="33625">
      <c r="A33625" t="inlineStr">
        <is>
          <t>ipu</t>
        </is>
      </c>
      <c r="B33625">
        <f>HYPERLINK("https://www.dofusbook.net/fr/equipement/262485-ipu/objets", "link")</f>
        <v/>
      </c>
      <c r="C33625" t="n">
        <v>0</v>
      </c>
      <c r="D33625" t="inlineStr">
        <is>
          <t>Epée Maudite du Saigneur Guerrier; Amulette du Strigide; Bague Trithon; Anneau de Padgref; Quatre-feuilles; Ceinture du Strigide; Coiffe de Padgref; Chevelure de Tal Kasha; Bottes du Strigide; Dofus Pourpre; Dofus des Glaces; Dofus Turquoise; Dofus Ivoire; Dokoko; Dofus Ocre; Muldo Prune et Emeraude</t>
        </is>
      </c>
    </row>
    <row r="33626">
      <c r="A33626" t="inlineStr">
        <is>
          <t>pui</t>
        </is>
      </c>
      <c r="B33626">
        <f>HYPERLINK("https://www.dofusbook.net/fr/equipement/3028424-pui/objets", "link")</f>
        <v/>
      </c>
      <c r="C33626" t="n">
        <v>0</v>
      </c>
      <c r="D33626" t="inlineStr">
        <is>
          <t>Dagues Érhy; Amulette du Strigide; Bague Trithon; Bracelet du Piloztère; Quatre-feuilles; Ceinture du Strigide; Masque Trithon; Cape au Logis; Bottes du Strigide; Dofus Pourpre; Dofus des Glaces; Dofus Turquoise; Dokoko; Dofus Ocre; Forcené majeur; Muldo Prune et Emeraude</t>
        </is>
      </c>
    </row>
    <row r="33627">
      <c r="A33627" t="inlineStr">
        <is>
          <t>terre</t>
        </is>
      </c>
      <c r="B33627">
        <f>HYPERLINK("https://www.dofusbook.net/fr/equipement/3028388-terre/objets", "link")</f>
        <v/>
      </c>
      <c r="C33627" t="n">
        <v>0</v>
      </c>
      <c r="D33627" t="inlineStr">
        <is>
          <t>Lav'Hache; Collier de Tourthon; Alliance du Lévitrof; Anneau de Brouce; Quatre-feuilles; Ceinture de Brouce; Chapeau de Gein; Cape au Logis; Bottes de Brouce; Dokoko; Dofus Ocre; Dofus Pourpre; Dofus des Glaces; Dofus Turquoise; Forcené majeur; Kompost</t>
        </is>
      </c>
    </row>
    <row r="33628">
      <c r="A33628" t="inlineStr">
        <is>
          <t>feu</t>
        </is>
      </c>
      <c r="B33628">
        <f>HYPERLINK("https://www.dofusbook.net/fr/equipement/709117-feu/objets", "link")</f>
        <v/>
      </c>
      <c r="C33628" t="n">
        <v>0</v>
      </c>
      <c r="D33628" t="inlineStr">
        <is>
          <t>Arc Hétype; Pendentif affamé; Anneau Tique; Bague Gloursonne; Carapar; Ceinture Séculaire; Coiffe Séculaire; Cape de Diondin; Bottes Dogues; Dofus Turquoise; Érudit majeur; Savant majeur; Nomade; Astucieux majeur; Remueur; Brûlih</t>
        </is>
      </c>
    </row>
    <row r="33629">
      <c r="A33629" t="inlineStr">
        <is>
          <t>air</t>
        </is>
      </c>
      <c r="B33629">
        <f>HYPERLINK("https://www.dofusbook.net/fr/equipement/2887159-air/objets", "link")</f>
        <v/>
      </c>
      <c r="C33629" t="n">
        <v>0</v>
      </c>
      <c r="D33629" t="inlineStr">
        <is>
          <t>Manthache; Collier du Valet Veinard; Anneau d'Allister; Gant du Valet Veinard; Bouclier du Stalak; Ceinture du Nocturlabe; Couronne d'Allister; Cape du Valet Veinard; Bottes d'Allister; Dofus Vulbis; Dofus Ocre; Dofus Pourpre; Dofus des Glaces; Dofus Turquoise; Equilibriste majeur; Siroko</t>
        </is>
      </c>
    </row>
    <row r="33630">
      <c r="A33630" t="inlineStr">
        <is>
          <t>fuckye</t>
        </is>
      </c>
      <c r="B33630">
        <f>HYPERLINK("https://www.dofusbook.net/fr/equipement/1519562-fuckye/objets", "link")</f>
        <v/>
      </c>
      <c r="C33630" t="n">
        <v>0</v>
      </c>
      <c r="D33630" t="inlineStr">
        <is>
          <t>Sceptre du Roi Joueur; Amulette de Shokkoth; Bracelet des Fonds marins; Alliance Gloursonne; Quatre-feuilles; Pagne du Rykaon; Kidibonnet; Cape du Sinistrofu; Bottes du Sinistrofu; Dofus Turquoise; Dofus des Glaces; Dofus Pourpre; Dofus Nébuleux; Remueur; Chanceux majeur; Muldo Prune et Indigo</t>
        </is>
      </c>
    </row>
    <row r="33631">
      <c r="A33631" t="inlineStr">
        <is>
          <t>air</t>
        </is>
      </c>
      <c r="B33631">
        <f>HYPERLINK("https://www.dofusbook.net/fr/equipement/2875231-air/objets", "link")</f>
        <v/>
      </c>
      <c r="C33631" t="n">
        <v>0</v>
      </c>
      <c r="D33631" t="inlineStr">
        <is>
          <t>Héqache; Collier du Valet Veinard; Gant du Valet Veinard; Alliance Gloursonne; Bouclier du Stalak; Ceinture de la Reine des Voleurs; Coiffe de la Reine des Voleurs; Cape du Valet Veinard; Bottes de la Reine des Voleurs; Dofus Pourpre; Dofus des Glaces; Dokoko; Dofus Ivoire; Dofus Émeraude; Dofus Ocre; Muldo Ebène</t>
        </is>
      </c>
    </row>
    <row r="33632">
      <c r="A33632" t="inlineStr">
        <is>
          <t>multi</t>
        </is>
      </c>
      <c r="B33632">
        <f>HYPERLINK("https://www.dofusbook.net/fr/equipement/2581093-multi/objets", "link")</f>
        <v/>
      </c>
      <c r="C33632" t="n">
        <v>0</v>
      </c>
      <c r="D33632" t="inlineStr">
        <is>
          <t>Dagoulinantes; Amulette de Shokkoth; Bracelet des Fonds marins; Alliance Gloursonne; Quatre-feuilles; Pagne du Rykaon; Bonnet Ko; Cape du Sinistrofu; Bottes du Sinistrofu; Dofus Pourpre; Dofus Turquoise; Dofus Ocre; Vigoureux majeur; Nomade; Remueur; Muldo Prune et Indigo</t>
        </is>
      </c>
    </row>
    <row r="33633">
      <c r="A33633" t="inlineStr">
        <is>
          <t>puiiiiiiissssss</t>
        </is>
      </c>
      <c r="B33633">
        <f>HYPERLINK("https://www.dofusbook.net/fr/equipement/2821357-puiiiiiiissssss/objets", "link")</f>
        <v/>
      </c>
      <c r="C33633" t="n">
        <v>0</v>
      </c>
      <c r="D33633" t="inlineStr">
        <is>
          <t>Bracelet du Piloztère; Ceinture de l'Esprit Salvateur; Masque de l'Esprit Salvateur; Bottes de l'Esprit Salvateur</t>
        </is>
      </c>
    </row>
    <row r="33634">
      <c r="A33634" t="inlineStr">
        <is>
          <t>fire</t>
        </is>
      </c>
      <c r="B33634">
        <f>HYPERLINK("https://www.dofusbook.net/fr/equipement/2762481-fire/objets", "link")</f>
        <v/>
      </c>
      <c r="C33634" t="n">
        <v>0</v>
      </c>
      <c r="D33634" t="inlineStr">
        <is>
          <t>Arc corrompu; Pendentif affamé; Bague Gloursonne; Anneau Tique; Quatre-feuilles; Ceinture Séculaire; Coiffe Séculaire; Voile d'encre; Pataugastrique; Dofus Pourpre; Dofus Turquoise; Nomade; Remueur; Vigoureux majeur; Érudit majeur; Muldo Orchidée et Pourpre</t>
        </is>
      </c>
    </row>
    <row r="33635">
      <c r="A33635" t="inlineStr">
        <is>
          <t>eau</t>
        </is>
      </c>
      <c r="B33635">
        <f>HYPERLINK("https://www.dofusbook.net/fr/equipement/2704493-eau/objets", "link")</f>
        <v/>
      </c>
      <c r="C33635" t="n">
        <v>3</v>
      </c>
      <c r="D33635" t="inlineStr">
        <is>
          <t>Dagoulinantes; Amulette de l'Œil Attentif; Bracelet des Fonds marins; Alliance Gloursonne; Quatre-feuilles; Ceinture de la Reine des Voleurs; Capuche de l'Œil Attentif; Cape de l'Œil Attentif; Bottes de la Reine des Voleurs; Dokoko; Dofus Ocre; Dofus Pourpre; Dofus des Glaces; Dofus Turquoise; Muldo Prune et Emeraude</t>
        </is>
      </c>
    </row>
    <row r="33636">
      <c r="A33636" t="inlineStr">
        <is>
          <t>pui</t>
        </is>
      </c>
      <c r="B33636">
        <f>HYPERLINK("https://www.dofusbook.net/fr/equipement/2656321-pui/objets", "link")</f>
        <v/>
      </c>
      <c r="C33636" t="n">
        <v>0</v>
      </c>
      <c r="D33636" t="inlineStr">
        <is>
          <t>Héqache; Amulette du Strigide; Anneau de la Fuji Givrefoux; Bouclier du Captain Amakna; Ceinture du Strigide; Coiffe de la Fuji Givrefoux; Cape de la Fuji Givrefoux; Bottes du Strigide; Dofus Pourpre; Dofus des Glaces; Dokoko; Dofus Turquoise; Dofus Émeraude; Dofus Ocre; Muldo Prune et Emeraude</t>
        </is>
      </c>
    </row>
    <row r="33637">
      <c r="A33637" t="inlineStr">
        <is>
          <t>eau</t>
        </is>
      </c>
      <c r="B33637">
        <f>HYPERLINK("https://www.dofusbook.net/fr/equipement/709182-eau/objets", "link")</f>
        <v/>
      </c>
      <c r="C33637" t="n">
        <v>1</v>
      </c>
      <c r="D33637" t="inlineStr">
        <is>
          <t>Rapière aux Glyphes; Amulette de Shokkoth; Alliance Gloursonne; Bracelet des Fonds marins; Quatre-feuilles; Pagne du Rykaon; Kidibonnet; Cape du Sinistrofu; Bottes du Sinistrofu; Dofus Pourpre; Dofus Turquoise; Nomade; Chanceux majeur; Remueur; Vigoureux majeur; Muldo Prune et Indigo</t>
        </is>
      </c>
    </row>
    <row r="33638">
      <c r="A33638" t="inlineStr">
        <is>
          <t>eau</t>
        </is>
      </c>
      <c r="B33638">
        <f>HYPERLINK("https://www.dofusbook.net/fr/equipement/2648434-eau/objets", "link")</f>
        <v/>
      </c>
      <c r="C33638" t="n">
        <v>0</v>
      </c>
      <c r="D33638" t="inlineStr">
        <is>
          <t>Sceptre du Roi Joueur; Amulette de Shokkoth; Bracelet des Fonds marins; Bracelet du Piloztère; Quatre-feuilles; Ceinture de la Reine des Voleurs; Kidibonnet; Cape de l'Œil Attentif; Bottes de la Reine des Voleurs; Dofus des Glaces; Dofus Turquoise; Dofus Pourpre; Remueur; Chanceux majeur; Nomade; Muldo Indigo et Pourpre</t>
        </is>
      </c>
    </row>
    <row r="33639">
      <c r="A33639" t="inlineStr">
        <is>
          <t>eau</t>
        </is>
      </c>
      <c r="B33639">
        <f>HYPERLINK("https://www.dofusbook.net/fr/equipement/2648401-eau/objets", "link")</f>
        <v/>
      </c>
      <c r="C33639" t="n">
        <v>0</v>
      </c>
      <c r="D33639" t="inlineStr">
        <is>
          <t>Dagoulinantes; Amulette de Shokkoth; Bracelet des Fonds marins; Alliance Gloursonne; Quatre-feuilles; Ceinture de la Reine des Voleurs; Kidibonnet; Cape Solution; Bottes de la Reine des Voleurs; Dofus Pourpre; Dofus Turquoise; Carapace Air majeur; Nomade; Chanceux majeur; Remueur; Muldo Prune et Indigo</t>
        </is>
      </c>
    </row>
    <row r="33640">
      <c r="A33640" t="inlineStr">
        <is>
          <t>Stuff 3</t>
        </is>
      </c>
      <c r="B33640">
        <f>HYPERLINK("https://www.dofusbook.net/fr/equipement/262328-stuff-3/objets", "link")</f>
        <v/>
      </c>
      <c r="C33640" t="n">
        <v>0</v>
      </c>
      <c r="D33640" t="inlineStr">
        <is>
          <t>Arc Nécrotique; Collier de la Dame du Hasard; Bracelet des Fonds marins; Bracelet du Piloztère; Quatre-feuilles; Ceintrigue; Casquette de Meno; Cape de la Dame du Hasard; Pataugastrique; Dofus Turquoise; Érudit majeur; Remueur; Carapace Feu majeur; Nomade; Chanceux majeur; Muldo Orchidée et Pourpre</t>
        </is>
      </c>
    </row>
    <row r="33641">
      <c r="A33641" t="inlineStr">
        <is>
          <t>Stuff 1</t>
        </is>
      </c>
      <c r="B33641">
        <f>HYPERLINK("https://www.dofusbook.net/fr/equipement/262326-stuff-1/objets", "link")</f>
        <v/>
      </c>
      <c r="C33641" t="n">
        <v>0</v>
      </c>
      <c r="D33641" t="inlineStr">
        <is>
          <t>Arc Hétype; Pendentif affamé; Bracelet du Piloztère; Anneau Rifique; Quatre-feuilles; Ceinture Séculaire; Coiffe Séculaire; Cape de Diondin; Bottes Innommables; Dofus Turquoise; Nomade; Carapace Eau majeur; Érudit majeur; Remueur; Carapace Feu majeur; Muldo Prune et Orchidée</t>
        </is>
      </c>
    </row>
    <row r="33642">
      <c r="A33642" t="inlineStr">
        <is>
          <t>Stuff 2</t>
        </is>
      </c>
      <c r="B33642">
        <f>HYPERLINK("https://www.dofusbook.net/fr/equipement/262327-stuff-2/objets", "link")</f>
        <v/>
      </c>
      <c r="C33642" t="n">
        <v>0</v>
      </c>
      <c r="D33642" t="inlineStr">
        <is>
          <t>Marteau des Anciens Steamers; Amulette Voldelor; Alliance Gloursonne; Bracelet du Piloztère; Quatre-feuilles; Ceinture du Barbétoal; Chapeau des Malveilleurs; Cape Matelassée; Bottes Voldelor; Dofus Turquoise; Remueur; Carapace Eau majeur; Vigoureux majeur; Carapace Air majeur; Nomade; Muldo Ebène et Indigo</t>
        </is>
      </c>
    </row>
    <row r="33643">
      <c r="A33643" t="inlineStr">
        <is>
          <t>aziii</t>
        </is>
      </c>
      <c r="B33643">
        <f>HYPERLINK("https://www.dofusbook.net/fr/equipement/2636169-aziii/objets", "link")</f>
        <v/>
      </c>
      <c r="C33643" t="n">
        <v>0</v>
      </c>
      <c r="D33643" t="inlineStr">
        <is>
          <t>Lance Horselé; Collier du Valet Veinard; Anneau d'Allister; Gant du Valet Veinard; Bouclier du Stalak; Ceinture de la Reine des Voleurs; Coiffe de la Reine des Voleurs; Cape du Valet Veinard; Bottes de la Reine des Voleurs; Dofus Pourpre; Dofus Abyssal; Dofus Ocre; Dofus des Glaces; Ravageur Air majeur; Saccageur Air majeur; Blérodoudou</t>
        </is>
      </c>
    </row>
    <row r="33644">
      <c r="A33644" t="inlineStr">
        <is>
          <t>gigi</t>
        </is>
      </c>
      <c r="B33644">
        <f>HYPERLINK("https://www.dofusbook.net/fr/equipement/1610608-gigi/objets", "link")</f>
        <v/>
      </c>
      <c r="C33644" t="n">
        <v>0</v>
      </c>
      <c r="D33644" t="inlineStr">
        <is>
          <t>Marteau des Anciens Steamers; Amulette Voldelor; Bracelet des Fonds marins; Alliance Gloursonne; Bouclier Taverne; Ceinture du Barbétoal; Coiffe de la Reine des Voleurs; Cape Matelassée; Bottes de la Reine des Voleurs; Dofus Pourpre; Carapace Air majeur; Nomade; Remueur; Vigoureux majeur; Muldo Ebène et Indigo</t>
        </is>
      </c>
    </row>
    <row r="33645">
      <c r="A33645" t="inlineStr">
        <is>
          <t>multiiiiii</t>
        </is>
      </c>
      <c r="B33645">
        <f>HYPERLINK("https://www.dofusbook.net/fr/equipement/1559694-multiiiiii/objets", "link")</f>
        <v/>
      </c>
      <c r="C33645" t="n">
        <v>0</v>
      </c>
      <c r="D33645" t="inlineStr">
        <is>
          <t>Arc Ahique; Collier du Valet Veinard; Alliance Gloursonne; Gant du Valet Veinard; Quatre-feuilles; Ceinture de la Reine des Voleurs; Coiffe de la Reine des Voleurs; Cape du Valet Veinard; Bottes de la Reine des Voleurs; Dokoko; Dofus Ocre; Dofus Émeraude; Dofus des Glaces; Dofus Pourpre; Muldo Ebène</t>
        </is>
      </c>
    </row>
    <row r="33646">
      <c r="A33646" t="inlineStr">
        <is>
          <t>koutou</t>
        </is>
      </c>
      <c r="B33646">
        <f>HYPERLINK("https://www.dofusbook.net/fr/equipement/2157636-koutou/objets", "link")</f>
        <v/>
      </c>
      <c r="C33646" t="n">
        <v>0</v>
      </c>
      <c r="D33646" t="inlineStr">
        <is>
          <t>Arc de Koutoulou; Amulette du Strigide; Bracelet du Piloztère; Alliance Gloursonne; Quatre-feuilles; Ceinture du Strigide; Némès de Tal Kasha; Chevelure de Tal Kasha; Sandales de Tal Kasha; Dofus Émeraude; Dofus Ocre; Dofus Pourpre; Dofus des Glaces; Dokoko; Dofus Turquoise</t>
        </is>
      </c>
    </row>
    <row r="33647">
      <c r="A33647" t="inlineStr">
        <is>
          <t>koutoulou 2</t>
        </is>
      </c>
      <c r="B33647">
        <f>HYPERLINK("https://www.dofusbook.net/fr/equipement/2141906-koutoulou-2/objets", "link")</f>
        <v/>
      </c>
      <c r="C33647" t="n">
        <v>0</v>
      </c>
      <c r="D33647" t="inlineStr">
        <is>
          <t>Arc de Koutoulou; Amulette du Strigide; Alliance Gloursonne; Anneau de Padgref; Quatre-feuilles; Ceintacé; Casque Dragoeuf; Chevelure de Tal Kasha; Sandales de Tal Kasha; Dofus Pourpre; Dofus Turquoise; Dofus des Glaces; Carapace Air majeur; Vigoureux majeur; Remueur; Muldo Prune et Emeraude</t>
        </is>
      </c>
    </row>
    <row r="33648">
      <c r="A33648" t="inlineStr">
        <is>
          <t>tank</t>
        </is>
      </c>
      <c r="B33648">
        <f>HYPERLINK("https://www.dofusbook.net/fr/equipement/1670595-tank/objets", "link")</f>
        <v/>
      </c>
      <c r="C33648" t="n">
        <v>0</v>
      </c>
      <c r="D33648" t="inlineStr">
        <is>
          <t>Rouleau à Pâtisserie d'Aermyne; Amulette du Glourséleste; Alliance Gloursonne; Anneau de XLII; Bouclier d'Anerice; Ceinture de XLII; Coiffe d'Aermyne; Cape d'Aermyne; Bottes de XLII; Dofus Émeraude; Dofus Ocre; Dokoko; Bloqueur; Tacleur majeur; Bloqueur majeur; Blokus</t>
        </is>
      </c>
    </row>
    <row r="33649">
      <c r="A33649" t="inlineStr">
        <is>
          <t>terre/feu</t>
        </is>
      </c>
      <c r="B33649">
        <f>HYPERLINK("https://www.dofusbook.net/fr/equipement/2133104-terre-feu/objets", "link")</f>
        <v/>
      </c>
      <c r="C33649" t="n">
        <v>0</v>
      </c>
      <c r="D33649" t="inlineStr">
        <is>
          <t>Arc corrompu; Amulette du Strigide; Bracelet du Piloztère; Bague Gloursonne; Quatre-feuilles; Ceintacé; Chapeau de Gein; Voile d'encre; Bottes du Strigide; Dofus Turquoise; Dofus des Glaces; Dofus Pourpre; Vigoureux majeur; Remueur; Nomade; Kramkram</t>
        </is>
      </c>
    </row>
    <row r="33650">
      <c r="A33650" t="inlineStr">
        <is>
          <t>egare</t>
        </is>
      </c>
      <c r="B33650">
        <f>HYPERLINK("https://www.dofusbook.net/fr/equipement/2126540-egare/objets", "link")</f>
        <v/>
      </c>
      <c r="C33650" t="n">
        <v>0</v>
      </c>
      <c r="D33650" t="inlineStr">
        <is>
          <t>Arc de Koutoulou; Amulette Voldelor; Alliance Gloursonne; Gant du Valet Veinard; Quatre-feuilles; Menoture; Capuche de Moum-Ra; Chevelure de Tal Kasha; Bottes Voldelor; Dofus Pourpre; Dofus Turquoise; Dofus des Glaces; Carapace Air majeur; Vigoureux majeur; Remueur; Muldo Ebène et Emeraude</t>
        </is>
      </c>
    </row>
    <row r="33651">
      <c r="A33651" t="inlineStr">
        <is>
          <t>necro</t>
        </is>
      </c>
      <c r="B33651">
        <f>HYPERLINK("https://www.dofusbook.net/fr/equipement/2122373-necro/objets", "link")</f>
        <v/>
      </c>
      <c r="C33651" t="n">
        <v>0</v>
      </c>
      <c r="D33651" t="inlineStr">
        <is>
          <t>Arc corrompu; Pendentif affamé; Bague Gloursonne; Anneau Tique; Quatre-feuilles; Ceinture Séculaire; Coiffe Séculaire; Voile d'encre; Pataugastrique; Dofus Pourpre; Dofus Turquoise; Dofus des Glaces; Carapace Feu majeur; Carapace Neutre majeur; Remueur; Muldo Orchidée et Pourpre</t>
        </is>
      </c>
    </row>
    <row r="33652">
      <c r="A33652" t="inlineStr">
        <is>
          <t>Stuff 3</t>
        </is>
      </c>
      <c r="B33652">
        <f>HYPERLINK("https://www.dofusbook.net/fr/equipement/262310-stuff-3/objets", "link")</f>
        <v/>
      </c>
      <c r="C33652" t="n">
        <v>0</v>
      </c>
      <c r="D33652" t="inlineStr">
        <is>
          <t>Arc Nécrotique; Amulette de Shokkoth; Anneau Cryochrone; Anneau Tique; Quatre-feuilles; Ceinture de Kongoku; Kidibonnet; Cape de la Dame du Hasard; Bottes de la Dame du Hasard; Dofus des Glaces; Dofus Pourpre; Dofus Turquoise; Remueur; Carapace Terre majeur; Vigoureux majeur; Muldo Orchidée et Pourpre</t>
        </is>
      </c>
    </row>
    <row r="33653">
      <c r="A33653" t="inlineStr">
        <is>
          <t>terre</t>
        </is>
      </c>
      <c r="B33653">
        <f>HYPERLINK("https://www.dofusbook.net/fr/equipement/2122344-terre/objets", "link")</f>
        <v/>
      </c>
      <c r="C33653" t="n">
        <v>0</v>
      </c>
      <c r="D33653" t="inlineStr">
        <is>
          <t>Marteau R'ture; Amulette du Strigide; Bague Gloursonne; Bracelet du Piloztère; Quatre-feuilles; Ceinture de la Cour Sombre; Masque de Koutoulou; Cape au Logis; Bottes de la Cour Sombre; Dofus Ivoire; Dofus Pourpre; Dofus Turquoise; Enragé majeur; Vigoureux majeur; Remueur; Muldo Indigo et Pourpre</t>
        </is>
      </c>
    </row>
    <row r="33654">
      <c r="A33654" t="inlineStr">
        <is>
          <t>terre</t>
        </is>
      </c>
      <c r="B33654">
        <f>HYPERLINK("https://www.dofusbook.net/fr/equipement/2066602-terre/objets", "link")</f>
        <v/>
      </c>
      <c r="C33654" t="n">
        <v>0</v>
      </c>
      <c r="D33654" t="inlineStr">
        <is>
          <t>Héqache</t>
        </is>
      </c>
    </row>
    <row r="33655">
      <c r="A33655" t="inlineStr">
        <is>
          <t>yah</t>
        </is>
      </c>
      <c r="B33655">
        <f>HYPERLINK("https://www.dofusbook.net/fr/equipement/2066562-yah/objets", "link")</f>
        <v/>
      </c>
      <c r="C33655" t="n">
        <v>0</v>
      </c>
      <c r="D33655" t="inlineStr">
        <is>
          <t>Manthache; Collier du Valet Veinard; Alliance Gloursonne; Gant du Valet Veinard; Quatre-feuilles; Ceintouse; Chapoulpe; Cape du Valet Veinard; Tentassons; Dofus Cawotte; Dofus Pourpre; Dokoko; Dofus Ocre; Dofus Émeraude; Dofus des Glaces; Muldo Ebène et Pourpre</t>
        </is>
      </c>
    </row>
    <row r="33656">
      <c r="A33656" t="inlineStr">
        <is>
          <t>hecache</t>
        </is>
      </c>
      <c r="B33656">
        <f>HYPERLINK("https://www.dofusbook.net/fr/equipement/2051892-hecache/objets", "link")</f>
        <v/>
      </c>
      <c r="C33656" t="n">
        <v>0</v>
      </c>
      <c r="D33656" t="inlineStr"/>
    </row>
    <row r="33657">
      <c r="A33657" t="inlineStr">
        <is>
          <t>Stuff 2</t>
        </is>
      </c>
      <c r="B33657">
        <f>HYPERLINK("https://www.dofusbook.net/fr/equipement/262330-stuff-2/objets", "link")</f>
        <v/>
      </c>
      <c r="C33657" t="n">
        <v>0</v>
      </c>
      <c r="D33657" t="inlineStr">
        <is>
          <t>Epée Gloursonne; Amulette du Cœur Saignant; Bague Gloursonne; Alliance Gloursonne; Bouclier du Captain Amakna; Ceinture du Strigide; Masque du Katcheur; Cape du Cœur Saignant; Bottes du Katcheur; Dofus Émeraude; Dofus Ocre; Dofus Pourpre; Dofus des Glaces; Dokoko; Dofus Turquoise; Muldo Prune et Emeraude</t>
        </is>
      </c>
    </row>
    <row r="33658">
      <c r="A33658" t="inlineStr">
        <is>
          <t>eau/air</t>
        </is>
      </c>
      <c r="B33658">
        <f>HYPERLINK("https://www.dofusbook.net/fr/equipement/2039851-eau-air/objets", "link")</f>
        <v/>
      </c>
      <c r="C33658" t="n">
        <v>0</v>
      </c>
      <c r="D33658" t="inlineStr">
        <is>
          <t>Arc de Koutoulou; Amulette du Strigide; Alliance Gloursonne; Bracelet du Piloztère; Quatre-feuilles; Ceinture du Barbétoal; Némès de Tal Kasha; Cape du Barbétoal; Bottes de la Reine des Voleurs; Dofus Turquoise; Dofus Ocre; Dofus Pourpre; Nomade; Remueur; Vigoureux majeur; Kramkram</t>
        </is>
      </c>
    </row>
    <row r="33659">
      <c r="A33659" t="inlineStr">
        <is>
          <t>yolo</t>
        </is>
      </c>
      <c r="B33659">
        <f>HYPERLINK("https://www.dofusbook.net/fr/equipement/1559958-yolo/objets", "link")</f>
        <v/>
      </c>
      <c r="C33659" t="n">
        <v>0</v>
      </c>
      <c r="D33659" t="inlineStr">
        <is>
          <t>Arc du Chalœil; Collier de Tourthon; Bracelet du Piloztère; Bague Gloursonne; Quatre-feuilles; Ceinture de la Cour Sombre; Masque de Koutoulou; Cape au Logis; Bottes de la Cour Sombre; Dofus Pourpre; Dofus Turquoise; Dofus des Glaces; Enragé majeur; Vigoureux majeur; Remueur; Muldo Prune et Doré</t>
        </is>
      </c>
    </row>
    <row r="33660">
      <c r="A33660" t="inlineStr">
        <is>
          <t>zouiiiiii</t>
        </is>
      </c>
      <c r="B33660">
        <f>HYPERLINK("https://www.dofusbook.net/fr/equipement/1521528-zouiiiiii/objets", "link")</f>
        <v/>
      </c>
      <c r="C33660" t="n">
        <v>0</v>
      </c>
      <c r="D33660" t="inlineStr">
        <is>
          <t>Lance corrompue; Amulette du Strigide; Bague Gloursonne; Alliance Gloursonne; Bouclier du Captain Amakna; Ceinture du Strigide; Chapeau de Gein; Voile d'encre; Bottes du Strigide; Dofus Turquoise; Dokoko; Dofus Pourpre; Dofus Ocre; Dofus Émeraude; Dofus des Glaces; Muldo Prune et Emeraude</t>
        </is>
      </c>
    </row>
    <row r="33661">
      <c r="A33661" t="inlineStr">
        <is>
          <t>classe</t>
        </is>
      </c>
      <c r="B33661">
        <f>HYPERLINK("https://www.dofusbook.net/fr/equipement/1670659-classe/objets", "link")</f>
        <v/>
      </c>
      <c r="C33661" t="n">
        <v>0</v>
      </c>
      <c r="D33661" t="inlineStr">
        <is>
          <t>Héqache; Amulette du Strigide; Bracelet du Piloztère; Bague Gloursonne; Quatre-feuilles; Ceinture du Strigide; Chapeau de Gein; Cape au Logis; Baleinabottes; Dofus Turquoise; Dokoko; Dofus des Glaces; Dofus Pourpre; Remueur; Vigoureux majeur; Kramkram</t>
        </is>
      </c>
    </row>
    <row r="33662">
      <c r="A33662" t="inlineStr">
        <is>
          <t>bbbbb</t>
        </is>
      </c>
      <c r="B33662">
        <f>HYPERLINK("https://www.dofusbook.net/fr/equipement/434372-bbbbb/objets", "link")</f>
        <v/>
      </c>
      <c r="C33662" t="n">
        <v>0</v>
      </c>
      <c r="D33662" t="inlineStr">
        <is>
          <t>Marteau R'ture; Kralamansion; Annolamour; Kralano; Bouclier cubiste; Ceinture de Léthaline; Boucle d'oreille de Kongoku; Cape de Léthaline; Bottes de Léthaline; Dofus Ocre; Dofus Pourpre; Dofus Turquoise; Entraveur majeur; Entraveur; Ralentisseur majeur; Minikrone</t>
        </is>
      </c>
    </row>
    <row r="33663">
      <c r="A33663" t="inlineStr">
        <is>
          <t>eau/ret</t>
        </is>
      </c>
      <c r="B33663">
        <f>HYPERLINK("https://www.dofusbook.net/fr/equipement/1670730-eau-ret/objets", "link")</f>
        <v/>
      </c>
      <c r="C33663" t="n">
        <v>0</v>
      </c>
      <c r="D33663" t="inlineStr">
        <is>
          <t>Baguette Hique; Collier de la Dame du Hasard; Pikano; Alliance Gloursonne; Bouclier cubiste; Ceinture Instable; Casquette de Meno; Cape de Meno; Pantoufles Émar; Entraveur majeur; Remueur; Temporiseur; Temporiseur majeur; Ralentisseur majeur; Nomade; Muldo Doré et Indigo</t>
        </is>
      </c>
    </row>
    <row r="33664">
      <c r="A33664" t="inlineStr">
        <is>
          <t>roxxxx</t>
        </is>
      </c>
      <c r="B33664">
        <f>HYPERLINK("https://www.dofusbook.net/fr/equipement/1639881-roxxxx/objets", "link")</f>
        <v/>
      </c>
      <c r="C33664" t="n">
        <v>0</v>
      </c>
      <c r="D33664" t="inlineStr">
        <is>
          <t>Arc du Chalœil; Amulette du Strigide; Bague Trithon; Bague Gloursonne; Quatre-feuilles; Ceinture du Strigide; Masque Trithon; Voile d'encre; Bottes Trithon; Dofus Turquoise; Dokoko; Dofus Pourpre; Dofus Ocre; Dofus Émeraude; Dofus des Glaces; Muldo Pourpre et Emeraude</t>
        </is>
      </c>
    </row>
    <row r="33665">
      <c r="A33665" t="inlineStr">
        <is>
          <t>bbibi</t>
        </is>
      </c>
      <c r="B33665">
        <f>HYPERLINK("https://www.dofusbook.net/fr/equipement/1639802-bbibi/objets", "link")</f>
        <v/>
      </c>
      <c r="C33665" t="n">
        <v>0</v>
      </c>
      <c r="D33665" t="inlineStr">
        <is>
          <t>Hache du Chalœil; Amulette du Strigide; Bague Gloursonne; Bague Trithon; Quatre-feuilles; Ceinture du Strigide; Masque Trithon; Voile d'encre; Bottes Trithon; Dofus Pourpre; Dofus des Glaces; Dofus Turquoise; Dofus Ocre; Joueur majeur; Muldo Pourpre et Emeraude</t>
        </is>
      </c>
    </row>
    <row r="33666">
      <c r="A33666" t="inlineStr">
        <is>
          <t>fila</t>
        </is>
      </c>
      <c r="B33666">
        <f>HYPERLINK("https://www.dofusbook.net/fr/equipement/1519350-fila/objets", "link")</f>
        <v/>
      </c>
      <c r="C33666" t="n">
        <v>0</v>
      </c>
      <c r="D33666" t="inlineStr">
        <is>
          <t>Arc Hétype; Amulette de Nileza; Chevalière du Roi Joueur; Anneau de Nidas; Bouclier cubiste; Ceinture Séculaire; Couronne de Nidas; Cape de la Dame du Hasard; Pataugastrique; Temporiseur; Temporiseur majeur; Ralentisseur majeur; Nomade; Entraveur majeur; Remueur; Muldo Ebène et Indigo</t>
        </is>
      </c>
    </row>
    <row r="33667">
      <c r="A33667" t="inlineStr">
        <is>
          <t>ouffff</t>
        </is>
      </c>
      <c r="B33667">
        <f>HYPERLINK("https://www.dofusbook.net/fr/equipement/922796-ouffff/objets", "link")</f>
        <v/>
      </c>
      <c r="C33667" t="n">
        <v>0</v>
      </c>
      <c r="D33667" t="inlineStr">
        <is>
          <t>Baguette Houffe-Craitien; Pendentif affamé; Anneau Tique; Anneau de Padgref; Quatre-feuilles; Ceinture Séculaire; Coiffe de Padgref; Cape de Diondin; Bottes Innommables; Dofus Turquoise; Dofus Émeraude; Dofus des Glaces; Dofus Pourpre; Remueur; Érudit majeur; Muldo Prune et Emeraude</t>
        </is>
      </c>
    </row>
    <row r="33668">
      <c r="A33668" t="inlineStr">
        <is>
          <t>feu/eau</t>
        </is>
      </c>
      <c r="B33668">
        <f>HYPERLINK("https://www.dofusbook.net/fr/equipement/887430-feu-eau/objets", "link")</f>
        <v/>
      </c>
      <c r="C33668" t="n">
        <v>0</v>
      </c>
      <c r="D33668" t="inlineStr">
        <is>
          <t>Épée Brûlâme; Collier de la Dame du Hasard; Bague Gloursonne; Alliance Gloursonne; Bouclier du Captain Amakna; Ceinture de l'Esprit Malsain; Casquette de Meno; Cape de la Dame du Hasard; Bottes de la Dame du Hasard; Dofus Vulbis; Dofus des Glaces; Dofus Nébuleux; Dofus Pourpre; Dofus Ocre; Dofus Turquoise; Muldo Prune et Emeraude</t>
        </is>
      </c>
    </row>
    <row r="33669">
      <c r="A33669" t="inlineStr">
        <is>
          <t>ooo</t>
        </is>
      </c>
      <c r="B33669">
        <f>HYPERLINK("https://www.dofusbook.net/fr/equipement/857940-ooo/objets", "link")</f>
        <v/>
      </c>
      <c r="C33669" t="n">
        <v>0</v>
      </c>
      <c r="D33669" t="inlineStr">
        <is>
          <t>Dagoulinantes; Amulette de Shokkoth; Alliance Gloursonne; Bracelet des Fonds marins; Quatre-feuilles; Ceinture de la Reine des Voleurs; Kidibonnet; Cape de Mantaze; Bottes de la Reine des Voleurs; Dofus Émeraude; Dofus Turquoise; Dofus Pourpre; Dokoko; Remueur; Chanceux majeur; Muldo Indigo et Pourpre</t>
        </is>
      </c>
    </row>
    <row r="33670">
      <c r="A33670" t="inlineStr">
        <is>
          <t>air</t>
        </is>
      </c>
      <c r="B33670">
        <f>HYPERLINK("https://www.dofusbook.net/fr/equipement/802671-air/objets", "link")</f>
        <v/>
      </c>
      <c r="C33670" t="n">
        <v>0</v>
      </c>
      <c r="D33670" t="inlineStr">
        <is>
          <t>Manthache; Collier du Valet Veinard; Gant du Valet Veinard; Alliance Gloursonne; Bouclier Taverne; Menoture; Dorabysses; Cape Indescriptible; Palmes Trithons; Dofus Turquoise; Dofus des Glaces; Dofus Émeraude; Dokoko; Remueur; Cascadeur majeur; Muldo Ebène</t>
        </is>
      </c>
    </row>
    <row r="33671">
      <c r="A33671" t="inlineStr">
        <is>
          <t>eau2.0</t>
        </is>
      </c>
      <c r="B33671">
        <f>HYPERLINK("https://www.dofusbook.net/fr/equipement/769998-eau2-0/objets", "link")</f>
        <v/>
      </c>
      <c r="C33671" t="n">
        <v>0</v>
      </c>
      <c r="D33671" t="inlineStr">
        <is>
          <t>Rapière aux Glyphes; Amulette de Shokkoth; Alliance Gloursonne; Bracelet des Fonds marins; Quatre-feuilles; Ceinture de la Reine des Voleurs; Kidibonnet; Cape du Sinistrofu; Bottes de la Reine des Voleurs; Dokoko; Dofus Pourpre; Dofus Turquoise; Chanceux majeur; Vigoureux majeur; Remueur; Muldo Indigo</t>
        </is>
      </c>
    </row>
    <row r="33672">
      <c r="A33672" t="inlineStr">
        <is>
          <t>tedrfyiyuo</t>
        </is>
      </c>
      <c r="B33672">
        <f>HYPERLINK("https://www.dofusbook.net/fr/equipement/588563-tedrfyiyuo/objets", "link")</f>
        <v/>
      </c>
      <c r="C33672" t="n">
        <v>0</v>
      </c>
      <c r="D33672" t="inlineStr">
        <is>
          <t>Epée Toche; Amulette du Strigide; Bague Gloursonne; Bracelet du Piloztère; Ceinture de Gein; Chapeau de Gein; Voile d'encre; Baleinabottes; Dofus Pourpre; Dofus Turquoise; Dofus des Glaces; Vigoureux majeur; Nomade; Remueur; Kramkram; Bouclier Exotique</t>
        </is>
      </c>
    </row>
    <row r="33673">
      <c r="A33673" t="inlineStr">
        <is>
          <t>jpp</t>
        </is>
      </c>
      <c r="B33673">
        <f>HYPERLINK("https://www.dofusbook.net/fr/equipement/271137-jpp/objets", "link")</f>
        <v/>
      </c>
      <c r="C33673" t="n">
        <v>0</v>
      </c>
      <c r="D33673" t="inlineStr">
        <is>
          <t>Héqache; Amulette du Strigide; Bracelet du Piloztère; Alliance Gloursonne; Ceinture du Strigide; Masque du Katcheur; Voile d'encre; Baleinabottes; Dofus des Glaces; Dofus Pourpre; Dofus Turquoise; Nomade; Remueur; Kramkram</t>
        </is>
      </c>
    </row>
    <row r="33674">
      <c r="A33674" t="inlineStr">
        <is>
          <t>Stuff 1</t>
        </is>
      </c>
      <c r="B33674">
        <f>HYPERLINK("https://www.dofusbook.net/fr/equipement/262329-stuff-1/objets", "link")</f>
        <v/>
      </c>
      <c r="C33674" t="n">
        <v>0</v>
      </c>
      <c r="D33674" t="inlineStr">
        <is>
          <t>Arc du Chalœil; Amulette du Strigide; Bague Gloursonne; Anneau Chevelu; Ceintacé; Chapeau de Gein; Cape au Logis; Bottes du Strigide; Dofus Pourpre; Dofus Turquoise; Vigoureux majeur; Remueur; Miraculé majeur; Enragé majeur; Muldo Doré et Pourpre</t>
        </is>
      </c>
    </row>
    <row r="33675">
      <c r="A33675" t="inlineStr">
        <is>
          <t>Stuff 3</t>
        </is>
      </c>
      <c r="B33675">
        <f>HYPERLINK("https://www.dofusbook.net/fr/equipement/262325-stuff-3/objets", "link")</f>
        <v/>
      </c>
      <c r="C33675" t="n">
        <v>0</v>
      </c>
      <c r="D33675" t="inlineStr">
        <is>
          <t>Arc de Koutoulou; Amulette Voldelor; Alliance Gloursonne; Anneau Tique; Menoture; Masque du Barbétoal; Cape du Barbétoal; Sandales  d'Atcham; Dofus Turquoise; Dofus Pourpre; Étourdisseur majeur; Remueur; Vigoureux majeur; Nomade; Kramkram</t>
        </is>
      </c>
    </row>
    <row r="33676">
      <c r="A33676" t="inlineStr">
        <is>
          <t>Stuff 2</t>
        </is>
      </c>
      <c r="B33676">
        <f>HYPERLINK("https://www.dofusbook.net/fr/equipement/262324-stuff-2/objets", "link")</f>
        <v/>
      </c>
      <c r="C33676" t="n">
        <v>0</v>
      </c>
      <c r="D33676" t="inlineStr">
        <is>
          <t>Sceptre du Roi Joueur; Talisman Igans; Alliance Gloursonne; Pikano; Ceinture de la Reine des Voleurs; Kidibonnet; Voilamibe; Bottes de la Reine des Voleurs; Dofus des Glaces; Miraculé majeur; Chanceux majeur; Dévastateur Eau majeur; Remueur; Saccageur Eau majeur; Dehluge</t>
        </is>
      </c>
    </row>
    <row r="33677">
      <c r="A33677" t="inlineStr">
        <is>
          <t>Stuff 1</t>
        </is>
      </c>
      <c r="B33677">
        <f>HYPERLINK("https://www.dofusbook.net/fr/equipement/262320-stuff-1/objets", "link")</f>
        <v/>
      </c>
      <c r="C33677" t="n">
        <v>0</v>
      </c>
      <c r="D33677" t="inlineStr">
        <is>
          <t>Sabres d'Atcham; Amulette Cryochrone; Anneau Tique; Alliance Gloursonne; Ceintacé; Cagoule de Vortex; Voile d'encre; Sandales  d'Atcham; Dofus Turquoise; Dofus Pourpre; Étourdisseur majeur; Nomade; Vigoureux majeur; Remueur; Kramkram</t>
        </is>
      </c>
    </row>
    <row r="33678">
      <c r="A33678" t="inlineStr">
        <is>
          <t>Stuff 2</t>
        </is>
      </c>
      <c r="B33678">
        <f>HYPERLINK("https://www.dofusbook.net/fr/equipement/262315-stuff-2/objets", "link")</f>
        <v/>
      </c>
      <c r="C33678" t="n">
        <v>0</v>
      </c>
      <c r="D33678" t="inlineStr">
        <is>
          <t>Arc du Chalœil; Amulette du Strigide; Anneau Chevelu; Bracelet du Piloztère; Ceinture de Gein; Chapeau de Gein; Voile d'encre; Baleinabottes; Dofus Pourpre; Dofus Turquoise; Nomade; Vigoureux majeur; Remueur; Carapace Terre majeur; Muldo Ebène et Indigo</t>
        </is>
      </c>
    </row>
    <row r="33679">
      <c r="A33679" t="inlineStr">
        <is>
          <t>Stuff 3</t>
        </is>
      </c>
      <c r="B33679">
        <f>HYPERLINK("https://www.dofusbook.net/fr/equipement/262322-stuff-3/objets", "link")</f>
        <v/>
      </c>
      <c r="C33679" t="n">
        <v>0</v>
      </c>
      <c r="D33679" t="inlineStr">
        <is>
          <t>Sabres d'Atcham; Amulette du Strigide; Alliance Gloursonne; Anneau de Padgref; Ceinture du Strigide; Coiffe de Padgref; Cape d'Atcham; Getas de Padgref; Dofus Ocre; Dofus Pourpre; Dolmanax; Dofus Turquoise; Dofus des Glaces; Dofus Émeraude; Muldo Doré et Indigo</t>
        </is>
      </c>
    </row>
    <row r="33680">
      <c r="A33680" t="inlineStr">
        <is>
          <t>Stuff 1</t>
        </is>
      </c>
      <c r="B33680">
        <f>HYPERLINK("https://www.dofusbook.net/fr/equipement/262317-stuff-1/objets", "link")</f>
        <v/>
      </c>
      <c r="C33680" t="n">
        <v>0</v>
      </c>
      <c r="D33680" t="inlineStr">
        <is>
          <t>Arc Hétype; Amulette de Nileza; Bague Gloursonne; Chevalière du Roi Joueur; Ceinture de Gein; Chapeau de Gein; Voile d'encre; Pataugastrique; Carapace Air majeur; Astucieux majeur; Carapace Terre majeur; Remueur; Carapace Eau majeur; Érudit majeur; Muldo Indigo et Pourpre</t>
        </is>
      </c>
    </row>
    <row r="33681">
      <c r="A33681" t="inlineStr">
        <is>
          <t>Stuff 2</t>
        </is>
      </c>
      <c r="B33681">
        <f>HYPERLINK("https://www.dofusbook.net/fr/equipement/262312-stuff-2/objets", "link")</f>
        <v/>
      </c>
      <c r="C33681" t="n">
        <v>0</v>
      </c>
      <c r="D33681" t="inlineStr">
        <is>
          <t>Sceptre du Roi Joueur; Talisman Igans; Bracelet des Fonds marins; Alliance Gloursonne; Ceinture de la Reine des Voleurs; Kidibonnet; Voile d'encre; Bottes de la Reine des Voleurs; Dofus des Glaces; Dofus Pourpre; Dofus Turquoise; Carapace Air majeur; Nomade; Remueur; Kramkram</t>
        </is>
      </c>
    </row>
    <row r="33682">
      <c r="A33682" t="inlineStr">
        <is>
          <t>Stuff 2</t>
        </is>
      </c>
      <c r="B33682">
        <f>HYPERLINK("https://www.dofusbook.net/fr/equipement/262324-stuff-2/objets", "link")</f>
        <v/>
      </c>
      <c r="C33682" t="n">
        <v>0</v>
      </c>
      <c r="D33682" t="inlineStr">
        <is>
          <t>Sceptre du Roi Joueur; Talisman Igans; Pikano; Alliance Gloursonne; Ceinture de la Reine des Voleurs; Kidibonnet; Voilamibe; Bottes de la Reine des Voleurs; Dofus des Glaces; Saccageur Eau majeur; Miraculé majeur; Chanceux majeur; Dévastateur Eau majeur; Remueur; Dehluge</t>
        </is>
      </c>
    </row>
    <row r="33683">
      <c r="A33683" t="inlineStr">
        <is>
          <t>Stuff 3</t>
        </is>
      </c>
      <c r="B33683">
        <f>HYPERLINK("https://www.dofusbook.net/fr/equipement/262319-stuff-3/objets", "link")</f>
        <v/>
      </c>
      <c r="C33683" t="n">
        <v>0</v>
      </c>
      <c r="D33683" t="inlineStr">
        <is>
          <t>Dagues de Srambad; Amulette de Pol Ouatnos; Anneau Glacial; Anneau du Comte Harebourg; Ceinture de la Reine des Voleurs; Couronne du Roi Joueur; Cape de Kongoku; Bottes de la Reine des Voleurs; Dofus Ocre; Fortification majeure; Remueur; Bastion; Bastion majeur; Fortification; Kramkram</t>
        </is>
      </c>
    </row>
    <row r="33684">
      <c r="A33684" t="inlineStr">
        <is>
          <t>Stuff 1</t>
        </is>
      </c>
      <c r="B33684">
        <f>HYPERLINK("https://www.dofusbook.net/fr/equipement/262314-stuff-1/objets", "link")</f>
        <v/>
      </c>
      <c r="C33684" t="n">
        <v>0</v>
      </c>
      <c r="D33684" t="inlineStr">
        <is>
          <t>Epée Gloursonne; Amulette du Strigide; Bague Gloursonne; Alliance Gloursonne; Ceinture du Strigide; Coiffe du Lévitrof; Voile d'encre; Bottes du Strigide; Dofus Turquoise; Dofus des Glaces; Dofus Émeraude; Dofus Ocre; Dofus Pourpre; Examinateur; Muldo Indigo et Pourpre</t>
        </is>
      </c>
    </row>
    <row r="33685">
      <c r="A33685" t="inlineStr">
        <is>
          <t>Stuff 2</t>
        </is>
      </c>
      <c r="B33685">
        <f>HYPERLINK("https://www.dofusbook.net/fr/equipement/262321-stuff-2/objets", "link")</f>
        <v/>
      </c>
      <c r="C33685" t="n">
        <v>0</v>
      </c>
      <c r="D33685" t="inlineStr">
        <is>
          <t>Sabres d'Atcham; Amulette Cryochrone; Anneau Tique; Alliance Gloursonne; Ceintacé; Masque du Barbétoal; Voile d'encre; Sandales  d'Atcham; Dofus Pourpre; Dofus Turquoise; Nomade; Étourdisseur majeur; Remueur; Kramkram</t>
        </is>
      </c>
    </row>
    <row r="33686">
      <c r="A33686" t="inlineStr">
        <is>
          <t>Stuff 3</t>
        </is>
      </c>
      <c r="B33686">
        <f>HYPERLINK("https://www.dofusbook.net/fr/equipement/262316-stuff-3/objets", "link")</f>
        <v/>
      </c>
      <c r="C33686" t="n">
        <v>0</v>
      </c>
      <c r="D33686" t="inlineStr">
        <is>
          <t>Hache du Chalœil; Amulette du Strigide; Alliance Gloursonne; Bracelet du Piloztère; Ceintacé; Coiffe d'Ogivol; Cape des Malveilleurs; Bottes du Strigide; Dofus Turquoise; Dofus Pourpre; Vigoureux majeur; Remueur; Nomade; Érudit majeur; Muldo Doré et Pourpre</t>
        </is>
      </c>
    </row>
    <row r="33687">
      <c r="A33687" t="inlineStr">
        <is>
          <t>Stuff 1</t>
        </is>
      </c>
      <c r="B33687">
        <f>HYPERLINK("https://www.dofusbook.net/fr/equipement/950348-stuff-1/objets", "link")</f>
        <v/>
      </c>
      <c r="C33687" t="n">
        <v>0</v>
      </c>
      <c r="D33687" t="inlineStr">
        <is>
          <t>Arc du Chalœil; Collier de Tourthon; Anneau du Comte Harebourg; Anneau Volkorne; Bivalve; Ceinture Volkorne; Masque de Koutoulou; Cape au Logis; Bottes de Brouce; Dofus Ocre; Dofus Pourpre; Dofus des Glaces; Dofus Turquoise; Vigoureux majeur; Enragé majeur; Pioute vert</t>
        </is>
      </c>
    </row>
    <row r="33688">
      <c r="A33688" t="inlineStr">
        <is>
          <t>Stuff 2</t>
        </is>
      </c>
      <c r="B33688">
        <f>HYPERLINK("https://www.dofusbook.net/fr/equipement/950349-stuff-2/objets", "link")</f>
        <v/>
      </c>
      <c r="C33688" t="n">
        <v>1</v>
      </c>
      <c r="D33688" t="inlineStr">
        <is>
          <t>Arc du Chalœil; Amulette du Strigide; Anneau de Brouce; Anneau du Comte Harebourg; Quatre-feuilles; Ceinture de Brouce; Corne de Torkélonia; Carapace de Torkélonia; Bottes de Brouce; Dofus des Glaces; Dofus Ocre; Dofus Abyssal; Dofus Pourpre; Dofus Turquoise; Pioute vert</t>
        </is>
      </c>
    </row>
    <row r="33689">
      <c r="A33689" t="inlineStr">
        <is>
          <t>Stuff 3</t>
        </is>
      </c>
      <c r="B33689">
        <f>HYPERLINK("https://www.dofusbook.net/fr/equipement/950350-stuff-3/objets", "link")</f>
        <v/>
      </c>
      <c r="C33689" t="n">
        <v>1</v>
      </c>
      <c r="D33689" t="inlineStr">
        <is>
          <t>Arc du Chalœil; Collier de Tourthon; Anneau Volkorne; Anneau du Comte Harebourg; Bivalve; Ceinture Volkorne; Masque de Koutoulou; Cape de Jahash Jurgen; Bottes de Brouce; Dofus Pourpre; Dofus Turquoise; Dofus Ocre; Vigoureux majeur; Enragé majeur; Pioute vert</t>
        </is>
      </c>
    </row>
    <row r="33690">
      <c r="A33690" t="inlineStr">
        <is>
          <t>Stuff 2</t>
        </is>
      </c>
      <c r="B33690">
        <f>HYPERLINK("https://www.dofusbook.net/fr/equipement/950352-stuff-2/objets", "link")</f>
        <v/>
      </c>
      <c r="C33690" t="n">
        <v>1</v>
      </c>
      <c r="D33690" t="inlineStr">
        <is>
          <t>Bâton Beau; Amulette Volkorne; Anneau Volkorne; Bague Trithon; Bivalve; Ceinture Volkorne; Masque Trithon; Cape de Jahash Jurgen; Bottes Trithon; Dofus des Glaces; Dofus Turquoise; Dofus Pourpre; Dofus Ocre; Dolmanax; Puissant majeur; Kokulte</t>
        </is>
      </c>
    </row>
    <row r="33691">
      <c r="A33691" t="inlineStr">
        <is>
          <t>Stuff 1</t>
        </is>
      </c>
      <c r="B33691">
        <f>HYPERLINK("https://www.dofusbook.net/fr/equipement/950360-stuff-1/objets", "link")</f>
        <v/>
      </c>
      <c r="C33691" t="n">
        <v>3</v>
      </c>
      <c r="D33691" t="inlineStr">
        <is>
          <t>Rouleau à Pâtisserie d'Aermyne; Collier Rophante; Alliance Gloursonne; Anneau de Pol Ouatnos; Droiture de Fallanster; Ceinture de Kongoku; Casque Dragoeuf; Cape d'Aermyne; Pataugastrique; Dokoko; Dofus Ivoire; Dofus Émeraude; Miraculé majeur; Obstructeur majeur; Remueur; Givrefoux</t>
        </is>
      </c>
    </row>
    <row r="33692">
      <c r="A33692" t="inlineStr">
        <is>
          <t>Stuff 3</t>
        </is>
      </c>
      <c r="B33692">
        <f>HYPERLINK("https://www.dofusbook.net/fr/equipement/950362-stuff-3/objets", "link")</f>
        <v/>
      </c>
      <c r="C33692" t="n">
        <v>1</v>
      </c>
      <c r="D33692" t="inlineStr">
        <is>
          <t>Rouleau à Pâtisserie d'Aermyne; Collier Rophante; Alliance Gloursonne; Anneau Tique; Sept ans de malheur; Ceinture de Kongoku; Casque Dragoeuf; Cape d'Aermyne; Pataugastrique; Dokoko; Dofus Ivoire; Dofus Émeraude; Miraculé majeur; Obstructeur majeur; Remueur; Givrefoux</t>
        </is>
      </c>
    </row>
    <row r="33693">
      <c r="A33693" t="inlineStr">
        <is>
          <t>Stuff 2</t>
        </is>
      </c>
      <c r="B33693">
        <f>HYPERLINK("https://www.dofusbook.net/fr/equipement/950361-stuff-2/objets", "link")</f>
        <v/>
      </c>
      <c r="C33693" t="n">
        <v>0</v>
      </c>
      <c r="D33693" t="inlineStr">
        <is>
          <t>Rouleau à Pâtisserie d'Aermyne; Collier Rophante; Bague Trithon; Alliance Gloursonne; Bouclier d'Anerice; Ceinture de Kongoku; Casque Dragoeuf; Cape d'Anerice; Pataugastrique; Dofus Ivoire; Dofus Émeraude; Dokoko; Obstructeur majeur; Remueur; Miraculé majeur; Givrefoux</t>
        </is>
      </c>
    </row>
    <row r="33694">
      <c r="A33694" t="inlineStr">
        <is>
          <t>topaz2</t>
        </is>
      </c>
      <c r="B33694">
        <f>HYPERLINK("https://www.dofusbook.net/fr/equipement/2741211-topaz2/objets", "link")</f>
        <v/>
      </c>
      <c r="C33694" t="n">
        <v>0</v>
      </c>
      <c r="D33694" t="inlineStr">
        <is>
          <t>Hache du Chalœil; Amulette Volkorne; Bague Trithon; Anneau Volkorne; Bouclier du Captain Amakna; Ceinture Volkorne; Masque Trithon; Cape de Jahash Jurgen; Bottes Trithon; Dofus Ocre; Dofus Ivoire; Dofus Pourpre; Dofus Turquoise; Kokulte</t>
        </is>
      </c>
    </row>
    <row r="33695">
      <c r="A33695" t="inlineStr">
        <is>
          <t>Stuff 1</t>
        </is>
      </c>
      <c r="B33695">
        <f>HYPERLINK("https://www.dofusbook.net/fr/equipement/950363-stuff-1/objets", "link")</f>
        <v/>
      </c>
      <c r="C33695" t="n">
        <v>1</v>
      </c>
      <c r="D33695" t="inlineStr">
        <is>
          <t>Arc du Chalœil; Amulette du Cœur Saignant; Anneau Volkorne; Anneau Chevelu; Droiture de Fallanster; Ceinture Volkorne; Masque de Koutoulou; Cape au Logis; Bottes du Cœur Saignant; Dofus Ébène; Dofus Abyssal; Dofus Ocre; Dofus Turquoise; Dofus Ivoire; Dofus Pourpre; Kokulte</t>
        </is>
      </c>
    </row>
    <row r="33696">
      <c r="A33696" t="inlineStr">
        <is>
          <t>topaz</t>
        </is>
      </c>
      <c r="B33696">
        <f>HYPERLINK("https://www.dofusbook.net/fr/equipement/2741206-topaz/objets", "link")</f>
        <v/>
      </c>
      <c r="C33696" t="n">
        <v>0</v>
      </c>
      <c r="D33696" t="inlineStr">
        <is>
          <t>Sceptre du Roi Joueur; Amulette de Shokkoth; Alliance Gloursonne; Bague Trithon; Droiture de Fallanster; Sangle Ouare; Kidibonnet; Cape Solution; Bottes Trithon; Dofus Pourpre; Dofus Ébène; Dofus Abyssal; Dofus Ivoire; Dofus Turquoise; Chanceux majeur; Kokulte</t>
        </is>
      </c>
    </row>
    <row r="33697">
      <c r="A33697" t="inlineStr">
        <is>
          <t>topâz3</t>
        </is>
      </c>
      <c r="B33697">
        <f>HYPERLINK("https://www.dofusbook.net/fr/equipement/2825215-topaz3/objets", "link")</f>
        <v/>
      </c>
      <c r="C33697" t="n">
        <v>2</v>
      </c>
      <c r="D33697" t="inlineStr">
        <is>
          <t>Sceptre du Roi Joueur; Amulette Volkorne; Anneau Volkorne; Alliance Gloursonne; Droiture de Fallanster; Sangle Ouare; Kidibonnet; Cape de la Dame du Hasard; Bottes de la Dame du Hasard; Dofus Ébène; Dofus Abyssal; Dofus Ivoire; Dofus Turquoise; Dofus Ocre; Dofus Pourpre; Kokulte</t>
        </is>
      </c>
    </row>
    <row r="33698">
      <c r="A33698" t="inlineStr">
        <is>
          <t>Stuff 1</t>
        </is>
      </c>
      <c r="B33698">
        <f>HYPERLINK("https://www.dofusbook.net/fr/equipement/950351-stuff-1/objets", "link")</f>
        <v/>
      </c>
      <c r="C33698" t="n">
        <v>0</v>
      </c>
      <c r="D33698" t="inlineStr">
        <is>
          <t>Arc du Chalœil; Amulette du Strigide; Anneau Volkorne; Anneau Chevelu; Droiture de Fallanster; Ceinture Volkorne; Masque de Koutoulou; Cape au Logis; Bottes du Strigide; Dofus Ébène; Dofus Abyssal; Dofus Turquoise; Dofus Pourpre; Dofus Ivoire; Dofus Ocre; Kokulte</t>
        </is>
      </c>
    </row>
    <row r="33699">
      <c r="A33699" t="inlineStr">
        <is>
          <t>Stuff 2</t>
        </is>
      </c>
      <c r="B33699">
        <f>HYPERLINK("https://www.dofusbook.net/fr/equipement/950364-stuff-2/objets", "link")</f>
        <v/>
      </c>
      <c r="C33699" t="n">
        <v>2</v>
      </c>
      <c r="D33699" t="inlineStr">
        <is>
          <t>Bâton Beau; Amulette du Strigide; Bracelet du Piloztère; Bague Trithon; Quatre-feuilles; Ceinture du Strigide; Masque Trithon; Cape de Jahash Jurgen; Bottes Trithon; Dofus Ocre; Dofus des Glaces; Dolmanax; Dofus Turquoise; Dofus Pourpre; Robuste majeur; Muldo Doré et Emeraude</t>
        </is>
      </c>
    </row>
    <row r="33700">
      <c r="A33700" t="inlineStr">
        <is>
          <t>Stuff 3</t>
        </is>
      </c>
      <c r="B33700">
        <f>HYPERLINK("https://www.dofusbook.net/fr/equipement/950353-stuff-3/objets", "link")</f>
        <v/>
      </c>
      <c r="C33700" t="n">
        <v>1</v>
      </c>
      <c r="D33700" t="inlineStr">
        <is>
          <t>Hache du Chalœil; Amulette Volkorne; Bague Trithon; Anneau Volkorne; Quatre-feuilles; Ceinture Volkorne; Masque Trithon; Voile d'encre; Bottes Trithon; Dolmanax; Dofus Abyssal; Dofus Turquoise; Dofus Pourpre; Dofus Ocre; Dofus des Glaces; Sakochère</t>
        </is>
      </c>
    </row>
    <row r="33701">
      <c r="A33701" t="inlineStr">
        <is>
          <t>Zobal M 200</t>
        </is>
      </c>
      <c r="B33701">
        <f>HYPERLINK("https://www.dofusbook.net/fr/equipement/3479438-zobal-m-200/objets", "link")</f>
        <v/>
      </c>
      <c r="C33701" t="n">
        <v>0</v>
      </c>
      <c r="D33701" t="inlineStr">
        <is>
          <t>Hachoirs de Viandargh; Amulette du Strigide; Bague Trithon; Bague Gloursonne; Quatre-feuilles; Ceinture du Strigide; Masque Trithon; Cape du Chalœil; Bottes Trithon; Dofus Pourpre; Dofus des Glaces; Dofus Abyssal; Dofus Turquoise; Dolmanax; Dofus Ocre; Kokulte</t>
        </is>
      </c>
    </row>
    <row r="33702">
      <c r="A33702" t="inlineStr">
        <is>
          <t>Stuff 3</t>
        </is>
      </c>
      <c r="B33702">
        <f>HYPERLINK("https://www.dofusbook.net/fr/equipement/950365-stuff-3/objets", "link")</f>
        <v/>
      </c>
      <c r="C33702" t="n">
        <v>1</v>
      </c>
      <c r="D33702" t="inlineStr">
        <is>
          <t>Epée Toche; Amulette Volkorne; Anneau Volkorne; Chevalière du Roi Joueur; Bouclier cubiste; Ceinture Volkorne; Couronne du Roi Joueur; Voile d'encre; Bottes du Roi Joueur; Dofus Ivoire; Dofus Pourpre; Dofus Abyssal; Dofus des Glaces; Dofus Turquoise; Entraveur majeur; Volkorne Jade et Améthyste</t>
        </is>
      </c>
    </row>
    <row r="33703">
      <c r="A33703" t="inlineStr">
        <is>
          <t>Féca F 200</t>
        </is>
      </c>
      <c r="B33703">
        <f>HYPERLINK("https://www.dofusbook.net/fr/equipement/5451413-feca-f-200/objets", "link")</f>
        <v/>
      </c>
      <c r="C33703" t="n">
        <v>0</v>
      </c>
      <c r="D33703" t="inlineStr">
        <is>
          <t>Hachoirs de Viandargh; Amulette Volkorne; Anneau Tique; Anneau de Padgref; Bouclier du Captain Amakna; Ceinture Séculaire; Coiffe de Padgref; Cape d'Atcham; Getas de Padgref; Dofus Ébène; Dofus Ocre; Dofus Turquoise; Dofus Abyssal; Dofus Vulbis; Dofus Ivoire; Kokulte</t>
        </is>
      </c>
    </row>
    <row r="33704">
      <c r="A33704" t="inlineStr">
        <is>
          <t>Iop M 200</t>
        </is>
      </c>
      <c r="B33704">
        <f>HYPERLINK("https://www.dofusbook.net/fr/equipement/3887214-iop-m-200/objets", "link")</f>
        <v/>
      </c>
      <c r="C33704" t="n">
        <v>0</v>
      </c>
      <c r="D33704" t="inlineStr">
        <is>
          <t>Hache Téroïde; Amulette du Strigide; Bague Trithon; Anneau Chevelu; Bouclier Taverne; Ceinture du Strigide; Masque Trithon; Cape au Logis; Bottes Trithon; Dofus Pourpre; Dofus Ivoire; Dofus des Glaces; Dofus Ocre; Dofus Turquoise; Dofus Abyssal; El Scarador</t>
        </is>
      </c>
    </row>
    <row r="33705">
      <c r="A33705" t="inlineStr">
        <is>
          <t>feu eau pvm</t>
        </is>
      </c>
      <c r="B33705">
        <f>HYPERLINK("https://www.dofusbook.net/fr/equipement/1350120-feu-eau-pvm/objets", "link")</f>
        <v/>
      </c>
      <c r="C33705" t="n">
        <v>0</v>
      </c>
      <c r="D33705" t="inlineStr">
        <is>
          <t>Arc Nécrotique; Talisman Igans; Alliance Gloursonne; Bracelet du Piloztère; Quatre-feuilles; Ceintrigue; Kidibonnet; Cape de la Dame du Hasard; Bottes de Meno; Dofus Turquoise; Dofus Ivoire; Dofus Abyssal; Chanceux majeur; Érudit majeur; Remueur; Muldo Indigo et Orchidée</t>
        </is>
      </c>
    </row>
    <row r="33706">
      <c r="A33706" t="inlineStr">
        <is>
          <t>Feu 2</t>
        </is>
      </c>
      <c r="B33706">
        <f>HYPERLINK("https://www.dofusbook.net/fr/equipement/325426-feu-2/objets", "link")</f>
        <v/>
      </c>
      <c r="C33706" t="n">
        <v>0</v>
      </c>
      <c r="D33706" t="inlineStr">
        <is>
          <t>Arc corrompu; Pendentif affamé; Anneau Rifique; Bague Gloursonne; Quatre-feuilles; Ceinture de Vortex; Cagoule de Vortex; Cape de Diondin; Bottes Innommables; Dofus Abyssal; Dofus Turquoise; Dofus Ivoire; Érudit majeur; Remueur; Guérisseur majeur; Muldo Orchidée et Pourpre</t>
        </is>
      </c>
    </row>
    <row r="33707">
      <c r="A33707" t="inlineStr">
        <is>
          <t>Multi</t>
        </is>
      </c>
      <c r="B33707">
        <f>HYPERLINK("https://www.dofusbook.net/fr/equipement/4055021-multi/objets", "link")</f>
        <v/>
      </c>
      <c r="C33707" t="n">
        <v>3</v>
      </c>
      <c r="D33707" t="inlineStr">
        <is>
          <t>Arc du Chalœil; Amulette du Strigide; Bague Trithon; Alliance Gloursonne; Quatre-feuilles; Ceinture du Strigide; Masque Trithon; Voile d'encre; Bottes Trithon; Dofus Ocre; Dofus Pourpre; Dofus Abyssal; Dofus Turquoise; Dofus Ivoire; Initiateur majeur; Phortiche</t>
        </is>
      </c>
    </row>
    <row r="33708">
      <c r="A33708" t="inlineStr">
        <is>
          <t>Pandawa M 200</t>
        </is>
      </c>
      <c r="B33708">
        <f>HYPERLINK("https://www.dofusbook.net/fr/equipement/4013651-pandawa-m-200/objets", "link")</f>
        <v/>
      </c>
      <c r="C33708" t="n">
        <v>0</v>
      </c>
      <c r="D33708" t="inlineStr">
        <is>
          <t>Manthache; Collier du Valet Veinard; Alliance Gloursonne; Gant du Valet Veinard; Quatre-feuilles; Menoture; Casque Volkorne; Cape Indescriptible; Palmes Trithons; Dofus Abyssal; Dofus Ivoire; Dofus Pourpre; Remueur; Fonceur majeur; Nomade; El Scarador</t>
        </is>
      </c>
    </row>
    <row r="33709">
      <c r="A33709" t="inlineStr">
        <is>
          <t>nunu2</t>
        </is>
      </c>
      <c r="B33709">
        <f>HYPERLINK("https://www.dofusbook.net/fr/equipement/1088392-nunu2/objets", "link")</f>
        <v/>
      </c>
      <c r="C33709" t="n">
        <v>0</v>
      </c>
      <c r="D33709" t="inlineStr">
        <is>
          <t>Sceptre du Roi Joueur; Amulette Cryochrone; Bracelet des Fonds marins; Alliance Gloursonne; Quatre-feuilles; Ceinture de Kongoku; Casque Dragoeuf; Cape de la Dame du Hasard; Pataugastrique; Dofus Turquoise; Dofus Ivoire; Dofus Abyssal; Nomade; Carapace Eau majeur; Remueur; El Scarador</t>
        </is>
      </c>
    </row>
    <row r="33710">
      <c r="A33710" t="inlineStr">
        <is>
          <t>Pandawa M 200</t>
        </is>
      </c>
      <c r="B33710">
        <f>HYPERLINK("https://www.dofusbook.net/fr/equipement/3918187-pandawa-m-200/objets", "link")</f>
        <v/>
      </c>
      <c r="C33710" t="n">
        <v>0</v>
      </c>
      <c r="D33710" t="inlineStr">
        <is>
          <t>Bâton K'Tueuh; Amulette du Sinistrofu; Anneau Bliteré; Grésilanneau; Poulpagne; Casque Harnage; Cape du Minotot; Bottines des sous-bois; Dofus Émeraude; Dofus Abyssal; Dofus Kaliptus; Taquin majeur; Chanceux majeur; Remueur; Snouffle</t>
        </is>
      </c>
    </row>
    <row r="33711">
      <c r="A33711" t="inlineStr">
        <is>
          <t>Féca F 200</t>
        </is>
      </c>
      <c r="B33711">
        <f>HYPERLINK("https://www.dofusbook.net/fr/equipement/3923970-feca-f-200/objets", "link")</f>
        <v/>
      </c>
      <c r="C33711" t="n">
        <v>0</v>
      </c>
      <c r="D33711" t="inlineStr">
        <is>
          <t>Hache à Lamelles; Collier du Minotot; Anneau Bliteré; Bracelet du Minotot; Cadran de Feu; Tranche des Sous-bois; Casque Harnage; Cape du Minotot; Bottines des sous-bois; Dofus Abyssal; Dofus Ocre; Dofus Kaliptus; Dolmanax; Joueur majeur; Taquin majeur; Snouffle</t>
        </is>
      </c>
    </row>
    <row r="33712">
      <c r="A33712" t="inlineStr">
        <is>
          <t>Iop F 200</t>
        </is>
      </c>
      <c r="B33712">
        <f>HYPERLINK("https://www.dofusbook.net/fr/equipement/3790286-iop-f-200/objets", "link")</f>
        <v/>
      </c>
      <c r="C33712" t="n">
        <v>1</v>
      </c>
      <c r="D33712" t="inlineStr">
        <is>
          <t>Pelle du Professeur Xa; Amulette Cætera; Anneau Chevelu; Annolamour; Bouclier du Captain Amakna; Ceinture Bine; Le Kim; Cape d'Ogivol; Bottines Hodore; Dokille; Dofus Kaliptus; Dofus Ocre; Dolmanax; Taquin majeur; Chanceux majeur; Bloalak</t>
        </is>
      </c>
    </row>
    <row r="33713">
      <c r="A33713" t="inlineStr">
        <is>
          <t>Eni PP</t>
        </is>
      </c>
      <c r="B33713">
        <f>HYPERLINK("https://www.dofusbook.net/fr/equipement/3915720-eni-pp/objets", "link")</f>
        <v/>
      </c>
      <c r="C33713" t="n">
        <v>0</v>
      </c>
      <c r="D33713" t="inlineStr">
        <is>
          <t>Plumeau Bil; Amulette Séculaire; Anneau Bliteré; Anneau Tique; Bouclier du Captain Amakna; Sangle Aise; Coiffe Séculaire; Cape du Minotot; Tongues de Nidas; Dofus Émeraude; Dofus Kaliptus; Nomade; Chanceux majeur; Taquin majeur; Remueur; Snouffle</t>
        </is>
      </c>
    </row>
    <row r="33714">
      <c r="A33714" t="inlineStr">
        <is>
          <t>pvm feu</t>
        </is>
      </c>
      <c r="B33714">
        <f>HYPERLINK("https://www.dofusbook.net/fr/equipement/325425-pvm-feu/objets", "link")</f>
        <v/>
      </c>
      <c r="C33714" t="n">
        <v>1</v>
      </c>
      <c r="D33714" t="inlineStr">
        <is>
          <t>Arc corrompu; Amulette Séculaire; Anneau de Nidas; Bague Gloursonne; Bouclier du Cycloïde; Ceinture de Vortex; Coiffe Séculaire; Cape de Diondin; Getas de Padgref; Dofus Turquoise; Dofus Pourpre; Observateur; Érudit majeur; Remueur; Carapace Terre majeur; Muldo Ebène et Orchidée</t>
        </is>
      </c>
    </row>
    <row r="33715">
      <c r="A33715" t="inlineStr">
        <is>
          <t>Stuff 1</t>
        </is>
      </c>
      <c r="B33715">
        <f>HYPERLINK("https://www.dofusbook.net/fr/equipement/325418-stuff-1/objets", "link")</f>
        <v/>
      </c>
      <c r="C33715" t="n">
        <v>0</v>
      </c>
      <c r="D33715" t="inlineStr">
        <is>
          <t>Héqache; Amulette du Strigide; Bague Gloursonne; Bracelet du Piloztère; Sept ans de malheur; Ceintouse; Chapoulpe; Cape au Logis; Tentassons; Dofus Émeraude; Dofus Abyssal; Dofus Ivoire; Dofus Pourpre; Dofus Ocre; Drakopin</t>
        </is>
      </c>
    </row>
    <row r="33716">
      <c r="A33716" t="inlineStr">
        <is>
          <t>Eau koly</t>
        </is>
      </c>
      <c r="B33716">
        <f>HYPERLINK("https://www.dofusbook.net/fr/equipement/1909286-eau-koly/objets", "link")</f>
        <v/>
      </c>
      <c r="C33716" t="n">
        <v>0</v>
      </c>
      <c r="D33716" t="inlineStr">
        <is>
          <t>Dagoulinantes; Amulette de Shokkoth; Alliance Gloursonne; Bracelet des Fonds marins; Quatre-feuilles; Ceinture de la Reine des Voleurs; Kidibonnet; Cape de Mantaze; Bottes de la Reine des Voleurs; Dofus Ocre; Dofus Ivoire; Dofus Turquoise; Nomade; Chanceux majeur; Étourdisseur majeur; Bwak de Terre</t>
        </is>
      </c>
    </row>
    <row r="33717">
      <c r="A33717" t="inlineStr">
        <is>
          <t>Body</t>
        </is>
      </c>
      <c r="B33717">
        <f>HYPERLINK("https://www.dofusbook.net/fr/equipement/3893234-body/objets", "link")</f>
        <v/>
      </c>
      <c r="C33717" t="n">
        <v>0</v>
      </c>
      <c r="D33717" t="inlineStr">
        <is>
          <t>Arc Hétype; Amulette Volkorne; Bague Gloursonne; Anneau Tique; Carapar; Ceinture de Vortex; Cagoule de Vortex; Voile d'encre; Pataugastrique; Dofus Ivoire; Dofus Ocre; Déserteur majeur; Nomade; Carapace Terre majeur; Étourdisseur majeur; Kouin-Kouin Noir</t>
        </is>
      </c>
    </row>
    <row r="33718">
      <c r="A33718" t="inlineStr">
        <is>
          <t>Feu rox</t>
        </is>
      </c>
      <c r="B33718">
        <f>HYPERLINK("https://www.dofusbook.net/fr/equipement/3893418-feu-rox/objets", "link")</f>
        <v/>
      </c>
      <c r="C33718" t="n">
        <v>0</v>
      </c>
      <c r="D33718" t="inlineStr">
        <is>
          <t>Arc corrompu; Amulette Volkorne; Anneau Tique; Bague Gloursonne; Quatre-feuilles; Ceinture de Vortex; Coiffe de Padgref; Cape de Diondin; Getas de Padgref; Dofus Pourpre; Dofus Ivoire; Dofus Ocre; Dofus Turquoise; Nomade; Miraculé majeur; Bwak de Terre</t>
        </is>
      </c>
    </row>
    <row r="33719">
      <c r="A33719" t="inlineStr">
        <is>
          <t>test 2</t>
        </is>
      </c>
      <c r="B33719">
        <f>HYPERLINK("https://www.dofusbook.net/fr/equipement/1986863-test-2/objets", "link")</f>
        <v/>
      </c>
      <c r="C33719" t="n">
        <v>0</v>
      </c>
      <c r="D33719" t="inlineStr">
        <is>
          <t>Hache Téroïde; Amulette du Strigide; Bague Gloursonne; Bague Trithon; Bouclier du Captain Amakna; Ceinture du Strigide; Masque Trithon; Cape au Logis; Bottes du Strigide; Dofus Nébuleux; Dofus Pourpre; Dofus Abyssal; Dofus Turquoise; Dofus Ivoire; Dofus Ocre; El Scarador</t>
        </is>
      </c>
    </row>
    <row r="33720">
      <c r="A33720" t="inlineStr">
        <is>
          <t>PVM</t>
        </is>
      </c>
      <c r="B33720">
        <f>HYPERLINK("https://www.dofusbook.net/fr/equipement/1523813-pvm/objets", "link")</f>
        <v/>
      </c>
      <c r="C33720" t="n">
        <v>0</v>
      </c>
      <c r="D33720" t="inlineStr">
        <is>
          <t>Arc Hétype; Amulette Séculaire; Anneau Tamie; Anneau Tamie; Quatre-feuilles; Ceintrigue; Coiffe Séculaire; Cape de Diondin; Bottes Innommables; Dofus Pourpre; Vigoureux majeur; Dévastateur Feu majeur; Érudit majeur; Remueur; Astucieux majeur; Muldo Indigo et Orchidée</t>
        </is>
      </c>
    </row>
    <row r="33721">
      <c r="A33721" t="inlineStr">
        <is>
          <t>Eniripsa M 200</t>
        </is>
      </c>
      <c r="B33721">
        <f>HYPERLINK("https://www.dofusbook.net/fr/equipement/3790138-eniripsa-m-200/objets", "link")</f>
        <v/>
      </c>
      <c r="C33721" t="n">
        <v>0</v>
      </c>
      <c r="D33721" t="inlineStr">
        <is>
          <t>Hache à Lamelles; Collier du Minotot; Anneau Bliteré; Grésilanneau; Cadran de Feu; Tranche des Sous-bois; Casque Harnage; Cape du Minotot; Bottines des sous-bois; Dofus Émeraude; Dofus Abyssal; Dofus Pourpre; Dofus Kaliptus; Dofus Turquoise; Taquin majeur; Tifoux Tigré</t>
        </is>
      </c>
    </row>
    <row r="33722">
      <c r="A33722" t="inlineStr">
        <is>
          <t>Stuff 2</t>
        </is>
      </c>
      <c r="B33722">
        <f>HYPERLINK("https://www.dofusbook.net/fr/equipement/325419-stuff-2/objets", "link")</f>
        <v/>
      </c>
      <c r="C33722" t="n">
        <v>1</v>
      </c>
      <c r="D33722" t="inlineStr">
        <is>
          <t>Marteau R'ture; Collier de Tourthon; Anneau Chevelu; Bracelet du Piloztère; Bouclier d'Ilyzaelle; Ceintouse; Masque de Koutoulou; Cape au Logis; Tentassons; Dofus Ocre; Dofus Ivoire; Dofus Turquoise; Dofus Abyssal; Étourdisseur majeur; Carapace Terre majeur; Drakopin</t>
        </is>
      </c>
    </row>
    <row r="33723">
      <c r="A33723" t="inlineStr">
        <is>
          <t>Stuff 1</t>
        </is>
      </c>
      <c r="B33723">
        <f>HYPERLINK("https://www.dofusbook.net/fr/equipement/325428-stuff-1/objets", "link")</f>
        <v/>
      </c>
      <c r="C33723" t="n">
        <v>0</v>
      </c>
      <c r="D33723" t="inlineStr">
        <is>
          <t>Sceptre du Roi Joueur; Amulette Cryochrone; Bracelet des Fonds marins; Alliance Gloursonne; Quatre-feuilles; Ceinture de Kongoku; Coiffe Cryochrone; Cape de la Dame du Hasard; Pataugastrique; Dofus Pourpre; Dofus Turquoise; Dofus Ivoire; Dofus Abyssal; Remueur; Chanceux majeur; Muldo Ebène et Indigo</t>
        </is>
      </c>
    </row>
    <row r="33724">
      <c r="A33724" t="inlineStr">
        <is>
          <t>dopou</t>
        </is>
      </c>
      <c r="B33724">
        <f>HYPERLINK("https://www.dofusbook.net/fr/equipement/3078258-dopou/objets", "link")</f>
        <v/>
      </c>
      <c r="C33724" t="n">
        <v>0</v>
      </c>
      <c r="D33724" t="inlineStr">
        <is>
          <t>Lav'Hache; Torquistik; Bague Trithon; Anneau Chevelu; Bouclier précieux; L'Élémenture; Masque de Koutoulou; Cape du Cœur Vaillant; Bottistik; Dofus Ocre; Dofus Émeraude; Bousculeur majeur; Nomade; Culbuteur majeur; Pousseur majeur; Muldo Pourpre</t>
        </is>
      </c>
    </row>
    <row r="33725">
      <c r="A33725" t="inlineStr">
        <is>
          <t>test</t>
        </is>
      </c>
      <c r="B33725">
        <f>HYPERLINK("https://www.dofusbook.net/fr/equipement/2578378-test/objets", "link")</f>
        <v/>
      </c>
      <c r="C33725" t="n">
        <v>0</v>
      </c>
      <c r="D33725" t="inlineStr">
        <is>
          <t>Héqache; Amulette du Strigide; Anneau Chevelu; Bracelet du Piloztère; Ceinture du Strigide; Casque de Missiz Frizz; Cape au Logis; Bottes de la Cour Sombre; Dofus Pourpre; Dofus Turquoise; Dofus Ocre; Vigoureux majeur; Remueur; Kramkram</t>
        </is>
      </c>
    </row>
    <row r="33726">
      <c r="A33726" t="inlineStr">
        <is>
          <t>PVM</t>
        </is>
      </c>
      <c r="B33726">
        <f>HYPERLINK("https://www.dofusbook.net/fr/equipement/1523652-pvm/objets", "link")</f>
        <v/>
      </c>
      <c r="C33726" t="n">
        <v>0</v>
      </c>
      <c r="D33726" t="inlineStr">
        <is>
          <t>Baguette Range; Amulette du Strigide; Chevalière du Roi Joueur; Bracelet du Piloztère; Quatre-feuilles; Ceintacé; Coiffe de Padgref; Chevelure de Tal Kasha; Getas de Padgref; Dofus Pourpre; Dofus Nébuleux; Dofus Turquoise; Vigoureux majeur; Sanguinaire majeur; Remueur; Muldo Prune et Emeraude</t>
        </is>
      </c>
    </row>
    <row r="33727">
      <c r="A33727" t="inlineStr">
        <is>
          <t>Test 2</t>
        </is>
      </c>
      <c r="B33727">
        <f>HYPERLINK("https://www.dofusbook.net/fr/equipement/1529989-test-2/objets", "link")</f>
        <v/>
      </c>
      <c r="C33727" t="n">
        <v>0</v>
      </c>
      <c r="D33727" t="inlineStr">
        <is>
          <t>Dagues Açantes; Amulette de Shokkoth; Alliance Gloursonne; Pikano; Bouclier cubiste; Ceinture Glaciale; Kidibonnet; Cape de Mantaze; Pikottes; Dofus Turquoise; Dofus Pourpre; Entraveur majeur; Temporiseur majeur; Remueur; Chanceux majeur; Muldo Indigo et Pourpre</t>
        </is>
      </c>
    </row>
    <row r="33728">
      <c r="A33728" t="inlineStr">
        <is>
          <t>eau feu po</t>
        </is>
      </c>
      <c r="B33728">
        <f>HYPERLINK("https://www.dofusbook.net/fr/equipement/1531219-eau-feu-po/objets", "link")</f>
        <v/>
      </c>
      <c r="C33728" t="n">
        <v>0</v>
      </c>
      <c r="D33728" t="inlineStr">
        <is>
          <t>Dagues Açantes; Collier de la Dame du Hasard; Bracelet des Fonds marins; Alliance Gloursonne; Bouclier cubiste; Ceinture de Kongoku; Kidibonnet; Cape de Meno; Bottes de la Dame du Hasard; Dofus Turquoise; Dofus Pourpre; Temporiseur majeur; Chanceux majeur; Remueur; Entraveur majeur; Muldo Indigo et Pourpre</t>
        </is>
      </c>
    </row>
    <row r="33729">
      <c r="A33729" t="inlineStr">
        <is>
          <t>pvm</t>
        </is>
      </c>
      <c r="B33729">
        <f>HYPERLINK("https://www.dofusbook.net/fr/equipement/1525381-pvm/objets", "link")</f>
        <v/>
      </c>
      <c r="C33729" t="n">
        <v>0</v>
      </c>
      <c r="D33729" t="inlineStr">
        <is>
          <t>Baguette Hique; Collier de la Dame du Hasard; Anneau de Nidas; Pikano; Bouclier cubiste; Ceinture Glaciale; Kidibonnet; Cape de Meno; Bottes de Meno; Nomade; Remueur; Érudit majeur; Entraveur majeur; Chanceux majeur; Temporiseur majeur; Dragoune Noire</t>
        </is>
      </c>
    </row>
    <row r="33730">
      <c r="A33730" t="inlineStr">
        <is>
          <t>pvm</t>
        </is>
      </c>
      <c r="B33730">
        <f>HYPERLINK("https://www.dofusbook.net/fr/equipement/1523856-pvm/objets", "link")</f>
        <v/>
      </c>
      <c r="C33730" t="n">
        <v>0</v>
      </c>
      <c r="D33730" t="inlineStr">
        <is>
          <t>Manthache; Collier du Valet Veinard; Gant du Valet Veinard; Alliance Gloursonne; Quatre-feuilles; Ceinture Billonnante; Couronne d'Allister; Cape Indescriptible; Baleinabottes; Dofus Pourpre; Fonceur majeur; Nomade; Vigoureux majeur; Remueur; Cascadeur majeur; Muldo Doré et Ebène</t>
        </is>
      </c>
    </row>
    <row r="33731">
      <c r="A33731" t="inlineStr">
        <is>
          <t>Stuff 3</t>
        </is>
      </c>
      <c r="B33731">
        <f>HYPERLINK("https://www.dofusbook.net/fr/equipement/325423-stuff-3/objets", "link")</f>
        <v/>
      </c>
      <c r="C33731" t="n">
        <v>0</v>
      </c>
      <c r="D33731" t="inlineStr">
        <is>
          <t>Héqache; Amulette du Strigide; Anneau Chevelu; Alliance Gloursonne; Sept ans de malheur; Ceinture de la Reine des Voleurs; Coiffe de la Reine des Voleurs; Cape au Logis; Baleinabottes; Dofus Turquoise; Dofus Émeraude; Dofus Pourpre; Remueur; Carapace Terre majeur; Étourdisseur majeur; Muldo Ebène et Orchidée</t>
        </is>
      </c>
    </row>
    <row r="33732">
      <c r="A33732" t="inlineStr">
        <is>
          <t>Stuff 1</t>
        </is>
      </c>
      <c r="B33732">
        <f>HYPERLINK("https://www.dofusbook.net/fr/equipement/325427-stuff-1/objets", "link")</f>
        <v/>
      </c>
      <c r="C33732" t="n">
        <v>0</v>
      </c>
      <c r="D33732" t="inlineStr">
        <is>
          <t>Epée Toche; Amulette du Strigide; Chevalière du Roi Joueur; Bague Gloursonne; Ceinture du Strigide; Bonnet Ko; Voile d'encre; Bottes de la Cour Sombre; Dofus Turquoise; Dofus Ocre; Dofus Pourpre; Remueur; Nomade; Enragé majeur; Muldo Prune et Emeraude</t>
        </is>
      </c>
    </row>
    <row r="33733">
      <c r="A33733" t="inlineStr">
        <is>
          <t>Prospection</t>
        </is>
      </c>
      <c r="B33733">
        <f>HYPERLINK("https://www.dofusbook.net/fr/equipement/5676023-prospection/objets", "link")</f>
        <v/>
      </c>
      <c r="C33733" t="n">
        <v>2</v>
      </c>
      <c r="D33733" t="inlineStr">
        <is>
          <t>Pelle Fik; Kralamansion; Anneau Bliteré; Anneau Tique; Bouclier Taverne; Tranche des Sous-bois; Doro le Blak; Cape du Minotot; Bottines des sous-bois; Dokille; Dofus Kaliptus; Dolmanax; Taquin majeur; Chanceux majeur; Joueur majeur; Tifoux</t>
        </is>
      </c>
    </row>
    <row r="33734">
      <c r="A33734" t="inlineStr">
        <is>
          <t>Padgref/atcham/stri</t>
        </is>
      </c>
      <c r="B33734">
        <f>HYPERLINK("https://www.dofusbook.net/fr/equipement/2448877-padgref-atcham-stri/objets", "link")</f>
        <v/>
      </c>
      <c r="C33734" t="n">
        <v>1</v>
      </c>
      <c r="D33734" t="inlineStr">
        <is>
          <t>Sabres d'Atcham; Amulette du Strigide; Bracelet du Piloztère; Anneau de Padgref; Quatre-feuilles; Ceinture du Strigide; Coiffe de Padgref; Cape d'Atcham; Getas de Padgref; Dofus des Glaces; Dofus Ocre; Dofus Pourpre; Dofus Vulbis; Dofus Turquoise; Dofus Ébène; Kokulte</t>
        </is>
      </c>
    </row>
    <row r="33735">
      <c r="A33735" t="inlineStr">
        <is>
          <t>crit</t>
        </is>
      </c>
      <c r="B33735">
        <f>HYPERLINK("https://www.dofusbook.net/fr/equipement/5556044-crit/objets", "link")</f>
        <v/>
      </c>
      <c r="C33735" t="n">
        <v>8</v>
      </c>
      <c r="D33735" t="inlineStr"/>
    </row>
    <row r="33736">
      <c r="A33736" t="inlineStr">
        <is>
          <t>Pandawa F 200</t>
        </is>
      </c>
      <c r="B33736">
        <f>HYPERLINK("https://www.dofusbook.net/fr/equipement/5658507-pandawa-f-200/objets", "link")</f>
        <v/>
      </c>
      <c r="C33736" t="n">
        <v>2</v>
      </c>
      <c r="D33736" t="inlineStr">
        <is>
          <t>Arc de Koutoulou; Amulette du Strigide; Bracelet du Piloztère; Alliance Gloursonne; Quatre-feuilles; Ceinture du Strigide; Némès de Tal Kasha; Chevelure de Tal Kasha; Sandales de Tal Kasha; Dofus Turquoise; Dofus Abyssal; Dofus Ébène; Dofus Ocre; Dofus Ivoire; Dofus Pourpre; Muldo Doré et Emeraude</t>
        </is>
      </c>
    </row>
    <row r="33737">
      <c r="A33737" t="inlineStr">
        <is>
          <t>Pandawa F 200</t>
        </is>
      </c>
      <c r="B33737">
        <f>HYPERLINK("https://www.dofusbook.net/fr/equipement/5658506-pandawa-f-200/objets", "link")</f>
        <v/>
      </c>
      <c r="C33737" t="n">
        <v>0</v>
      </c>
      <c r="D33737" t="inlineStr"/>
    </row>
    <row r="33738">
      <c r="A33738" t="inlineStr">
        <is>
          <t>eau pvm</t>
        </is>
      </c>
      <c r="B33738">
        <f>HYPERLINK("https://www.dofusbook.net/fr/equipement/5658374-eau-pvm/objets", "link")</f>
        <v/>
      </c>
      <c r="C33738" t="n">
        <v>1</v>
      </c>
      <c r="D33738" t="inlineStr">
        <is>
          <t>Arc Ontanporin; Amulette de Danathor; Alliance Gloursonne; Anneau Glacial; Quatre-feuilles; Ceinture de Danathor; Coiffe de Danathor; Cape Glaciale; Pataugastrique; Dofus Ébène; Dofus Turquoise; Dofus Abyssal; Dofus des Glaces; Dofus Ivoire; Dofus Pourpre; Muldo Doré et Emeraude</t>
        </is>
      </c>
    </row>
    <row r="33739">
      <c r="A33739" t="inlineStr">
        <is>
          <t>Full terre PVM</t>
        </is>
      </c>
      <c r="B33739">
        <f>HYPERLINK("https://www.dofusbook.net/fr/equipement/2672687-full-terre-pvm/objets", "link")</f>
        <v/>
      </c>
      <c r="C33739" t="n">
        <v>0</v>
      </c>
      <c r="D33739" t="inlineStr">
        <is>
          <t>Baguette de Torkélonia; Amulette du Cœur Saignant; Anneau de Brouce; Bracelet du Piloztère; Quatre-feuilles; Ceinture de Brouce; Corne de Torkélonia; Carapace de Torkélonia; Bottes de Brouce; Dolmanax; Dofus Ivoire; Dofus Ocre; Dofus Pourpre; Dofus des Glaces; Dofus Turquoise; Kokulte</t>
        </is>
      </c>
    </row>
    <row r="33740">
      <c r="A33740" t="inlineStr">
        <is>
          <t>PVPM</t>
        </is>
      </c>
      <c r="B33740">
        <f>HYPERLINK("https://www.dofusbook.net/fr/equipement/2961569-pvpm/objets", "link")</f>
        <v/>
      </c>
      <c r="C33740" t="n">
        <v>0</v>
      </c>
      <c r="D33740" t="inlineStr">
        <is>
          <t>Arc du Chalœil; Amulette du Strigide; Alliance de Missiz Frizz; Bracelet du Piloztère; Quatre-feuilles; Ceinture du Strigide; Casque de Missiz Frizz; Cape au Logis; Bottes du Strigide; Dofus Ivoire; Dofus Turquoise; Dofus Ocre; Dolmanax; Dofus des Glaces; Dofus Pourpre; Kokulte</t>
        </is>
      </c>
    </row>
    <row r="33741">
      <c r="A33741" t="inlineStr">
        <is>
          <t>Eau/air</t>
        </is>
      </c>
      <c r="B33741">
        <f>HYPERLINK("https://www.dofusbook.net/fr/equipement/3247173-eau-air/objets", "link")</f>
        <v/>
      </c>
      <c r="C33741" t="n">
        <v>0</v>
      </c>
      <c r="D33741" t="inlineStr">
        <is>
          <t>Az'tech; Amulette Ementaire Deluxe; Anneau Toriété; Alliance Gloursonne; Menoture; Némès de Tal Kasha; Chevelure de Tal Kasha; Sandales de Tal Kasha; Dofus Pourpre; Dofus Turquoise; Dolmanax; Dofus Abyssal; Dofus Cawotte; Dofus Ivoire; Croum</t>
        </is>
      </c>
    </row>
    <row r="33742">
      <c r="A33742" t="inlineStr">
        <is>
          <t>Stri/tal</t>
        </is>
      </c>
      <c r="B33742">
        <f>HYPERLINK("https://www.dofusbook.net/fr/equipement/2678466-stri-tal/objets", "link")</f>
        <v/>
      </c>
      <c r="C33742" t="n">
        <v>0</v>
      </c>
      <c r="D33742" t="inlineStr">
        <is>
          <t>Arc de Koutoulou; Amulette du Strigide; Bague Gloursonne; Alliance Gloursonne; Cadran d'Air; Ceinture du Strigide; Némès de Tal Kasha; Chevelure de Tal Kasha; Sandales de Tal Kasha; Dofus Pourpre; Dofus des Glaces; Dofus Turquoise; Dofus Abyssal; Dofus Cawotte; Dofus Ocre; Muldo Indigo</t>
        </is>
      </c>
    </row>
    <row r="33743">
      <c r="A33743" t="inlineStr">
        <is>
          <t>stri/chaloeil</t>
        </is>
      </c>
      <c r="B33743">
        <f>HYPERLINK("https://www.dofusbook.net/fr/equipement/2449271-stri-chaloeil/objets", "link")</f>
        <v/>
      </c>
      <c r="C33743" t="n">
        <v>0</v>
      </c>
      <c r="D33743" t="inlineStr">
        <is>
          <t>Marteau des égarés; Amulette du Strigide; Bague Gloursonne; Alliance Gloursonne; Quatre-feuilles; Ceinture du Strigide; Casque du Chalœil; Cape du Chalœil; Bottes du Chalœil; Dolmanax; Dofus Ocre; Dofus Pourpre; Dofus des Glaces; Dofus Turquoise; Dofus Abyssal; Muldo Doré et Emeraude</t>
        </is>
      </c>
    </row>
    <row r="33744">
      <c r="A33744" t="inlineStr">
        <is>
          <t>pv invo res</t>
        </is>
      </c>
      <c r="B33744">
        <f>HYPERLINK("https://www.dofusbook.net/fr/equipement/2639553-pv-invo-res/objets", "link")</f>
        <v/>
      </c>
      <c r="C33744" t="n">
        <v>0</v>
      </c>
      <c r="D33744" t="inlineStr">
        <is>
          <t>Lance Horselé; Amulette Ementaire Deluxe; Alliance Gloursonne; Anneau Tique; Bouclier Bontarien; Sangle Ouare; Masque d'Anerice; Cape d'Anerice; Sandales des Fonds marins; Dofus Émeraude; Dofus Ocre; Dolmanax; Dofus Ivoire; Miraculé majeur; Remueur; Kramkram</t>
        </is>
      </c>
    </row>
    <row r="33745">
      <c r="A33745" t="inlineStr">
        <is>
          <t>Mono agi PVP</t>
        </is>
      </c>
      <c r="B33745">
        <f>HYPERLINK("https://www.dofusbook.net/fr/equipement/2639335-mono-agi-pvp/objets", "link")</f>
        <v/>
      </c>
      <c r="C33745" t="n">
        <v>0</v>
      </c>
      <c r="D33745" t="inlineStr">
        <is>
          <t>Lance Horselé; Amulette Ementaire Deluxe; Gant du Valet Veinard; Anneau Toriété; Cadran d'Air; Menoture; Casque Cyclopéen; Cape du Valet Veinard; Palmes Trithons; Dofus Ivoire; Dolmanax; Dofus Ocre; Dofus Émeraude; Miraculé majeur; Carapace Air majeur; Kramkram</t>
        </is>
      </c>
    </row>
    <row r="33746">
      <c r="A33746" t="inlineStr">
        <is>
          <t>PVP</t>
        </is>
      </c>
      <c r="B33746">
        <f>HYPERLINK("https://www.dofusbook.net/fr/equipement/2639218-pvp/objets", "link")</f>
        <v/>
      </c>
      <c r="C33746" t="n">
        <v>0</v>
      </c>
      <c r="D33746" t="inlineStr">
        <is>
          <t>Marteau Phossile; Amulette Ementaire Deluxe; Anneau de Nidas; Anneau Tique; Cadran de Terre; Ceinture de Vortex; Dorabysses; Capille; Pantoufles Émar; Dofus Émeraude; Dolmanax; Dofus Ivoire; Dofus Ocre; Carapace Neutre majeur; Carapace Feu majeur; Muldo Ebène et Pourpre</t>
        </is>
      </c>
    </row>
    <row r="33747">
      <c r="A33747" t="inlineStr">
        <is>
          <t>multi pvm</t>
        </is>
      </c>
      <c r="B33747">
        <f>HYPERLINK("https://www.dofusbook.net/fr/equipement/2633022-multi-pvm/objets", "link")</f>
        <v/>
      </c>
      <c r="C33747" t="n">
        <v>0</v>
      </c>
      <c r="D33747" t="inlineStr">
        <is>
          <t>Héqache; Amulette du Strigide; Bague Gloursonne; Alliance Gloursonne; Bouclier d'Ilyzaelle; Ceinture du Strigide; Casque du Chalœil; Cape du Chalœil; Bottes du Chalœil; Dofus Pourpre; Dofus Émeraude; Dofus Turquoise; Dofus Abyssal; Dofus Ivoire; Dofus Ocre</t>
        </is>
      </c>
    </row>
    <row r="33748">
      <c r="A33748" t="inlineStr">
        <is>
          <t>multi pvm</t>
        </is>
      </c>
      <c r="B33748">
        <f>HYPERLINK("https://www.dofusbook.net/fr/equipement/2632849-multi-pvm/objets", "link")</f>
        <v/>
      </c>
      <c r="C33748" t="n">
        <v>0</v>
      </c>
      <c r="D33748" t="inlineStr">
        <is>
          <t>Marteau des égarés; Amulette du Strigide; Alliance Gloursonne; Bague Gloursonne; Quatre-feuilles; Ceinture du Strigide; Casque du Chalœil; Cape du Chalœil; Bottes du Chalœil; Dofus Turquoise; Dofus Abyssal; Dolmanax; Dofus Ocre; Dofus Pourpre; Dofus des Glaces; Muldo Doré et Emeraude</t>
        </is>
      </c>
    </row>
    <row r="33749">
      <c r="A33749" t="inlineStr">
        <is>
          <t>Terre/air PVP</t>
        </is>
      </c>
      <c r="B33749">
        <f>HYPERLINK("https://www.dofusbook.net/fr/equipement/2599936-terre-air-pvp/objets", "link")</f>
        <v/>
      </c>
      <c r="C33749" t="n">
        <v>0</v>
      </c>
      <c r="D33749" t="inlineStr">
        <is>
          <t>Héqache; Collier de Tourthon; Anneau des égarés; Alliance Brûlâme; Bouclier d'Ilyzaelle; Ceinture de la Reine des Voleurs; Coiffe de la Reine des Voleurs; Baleinabottes; Dofus Pourpre; Dofus des Glaces; Dofus Turquoise; Dofus Abyssal; Dofus Émeraude; Dofus Ocre; Muldo Ebène et Pourpre</t>
        </is>
      </c>
    </row>
    <row r="33750">
      <c r="A33750" t="inlineStr">
        <is>
          <t>Terre/air PVP</t>
        </is>
      </c>
      <c r="B33750">
        <f>HYPERLINK("https://www.dofusbook.net/fr/equipement/2599769-terre-air-pvp/objets", "link")</f>
        <v/>
      </c>
      <c r="C33750" t="n">
        <v>0</v>
      </c>
      <c r="D33750" t="inlineStr">
        <is>
          <t>Héqache; Collier de Tourthon; Anneau des égarés; Alliance Brûlâme; Bouclier d'Ilyzaelle; Ceinture de la Reine des Voleurs; Coiffe de la Reine des Voleurs; Cape au Logis; Baleinabottes; Dofus Émeraude; Dofus Ocre; Dofus Pourpre; Dofus des Glaces; Dofus Turquoise; Dofus Abyssal; Kramkram</t>
        </is>
      </c>
    </row>
    <row r="33751">
      <c r="A33751" t="inlineStr">
        <is>
          <t>Base reine</t>
        </is>
      </c>
      <c r="B33751">
        <f>HYPERLINK("https://www.dofusbook.net/fr/equipement/2594250-base-reine/objets", "link")</f>
        <v/>
      </c>
      <c r="C33751" t="n">
        <v>0</v>
      </c>
      <c r="D33751" t="inlineStr">
        <is>
          <t>Héqache; Amulette Ementaire Deluxe; Bracelet du Piloztère; Alliance Gloursonne; Cadran d'Air; Ceinture de la Reine des Voleurs; Coiffe de la Reine des Voleurs; Cape du Cœur Vaillant; Baleinabottes; Dofus Abyssal; Dofus Pourpre; Dofus des Glaces; Kramkram</t>
        </is>
      </c>
    </row>
    <row r="33752">
      <c r="A33752" t="inlineStr">
        <is>
          <t>full terre</t>
        </is>
      </c>
      <c r="B33752">
        <f>HYPERLINK("https://www.dofusbook.net/fr/equipement/2448897-full-terre/objets", "link")</f>
        <v/>
      </c>
      <c r="C33752" t="n">
        <v>0</v>
      </c>
      <c r="D33752" t="inlineStr">
        <is>
          <t>Dagues d'Ilyzaelle; Amulette du Strigide; Anneau Crustique; Alliance de Missiz Frizz; Bouclier d'Ilyzaelle; Ceinture du Strigide; Casque de Missiz Frizz; Cape du Cœur Saignant; Bottes du Cœur Saignant; Dofus Pourpre; Dofus des Glaces; Dofus Émeraude; Dofus Turquoise; Dolmanax; Dofus Ocre; Muldo Orchidée et Pourpre</t>
        </is>
      </c>
    </row>
    <row r="33753">
      <c r="A33753" t="inlineStr">
        <is>
          <t>Stuff 1</t>
        </is>
      </c>
      <c r="B33753">
        <f>HYPERLINK("https://www.dofusbook.net/fr/equipement/2448884-stuff-1/objets", "link")</f>
        <v/>
      </c>
      <c r="C33753" t="n">
        <v>0</v>
      </c>
      <c r="D33753" t="inlineStr">
        <is>
          <t>Dagues de Srambad; Amulette de Pol Ouatnos; Alliance Gloursonne; Pikano; Ceinture de la Reine des Voleurs; Coiffe de la Reine des Voleurs; Cape des Justiciers; Pantoufles du Piloztère; Dofus Pourpre; Dofus des Glaces; Carapace Air majeur; Vigoureux majeur; Miraculé majeur; Remueur; Kramkram</t>
        </is>
      </c>
    </row>
    <row r="33754">
      <c r="A33754" t="inlineStr">
        <is>
          <t>Stuff 2</t>
        </is>
      </c>
      <c r="B33754">
        <f>HYPERLINK("https://www.dofusbook.net/fr/equipement/2448879-stuff-2/objets", "link")</f>
        <v/>
      </c>
      <c r="C33754" t="n">
        <v>0</v>
      </c>
      <c r="D33754" t="inlineStr">
        <is>
          <t>Dagues de Srambad; Amulette de Pol Ouatnos; Bracelet du Piloztère; Pikano; Ceinture de la Reine des Voleurs; Coiffe de la Reine des Voleurs; Capchalot; Pantoufles du Piloztère; Dofus Ocre; Dofus des Glaces; Dofus Pourpre; Dofus Émeraude; Dolmanax; Dofus Cawotte; Kramkram</t>
        </is>
      </c>
    </row>
    <row r="33755">
      <c r="A33755" t="inlineStr">
        <is>
          <t>Stuff 1</t>
        </is>
      </c>
      <c r="B33755">
        <f>HYPERLINK("https://www.dofusbook.net/fr/equipement/2448873-stuff-1/objets", "link")</f>
        <v/>
      </c>
      <c r="C33755" t="n">
        <v>0</v>
      </c>
      <c r="D33755" t="inlineStr">
        <is>
          <t>Arc Hétype; Amulette Séculaire; Anneau de Pol Ouatnos; Anneau de Nidas; Ceinture Séculaire; Couronne de Nidas; Voile d'encre; Tongues de Nidas; Dofus Ocre; Dofus des Glaces; Dofus Turquoise; Dolmanax; Dofus Pourpre; Savant majeur; Kramkram</t>
        </is>
      </c>
    </row>
    <row r="33756">
      <c r="A33756" t="inlineStr">
        <is>
          <t>Stuff 2</t>
        </is>
      </c>
      <c r="B33756">
        <f>HYPERLINK("https://www.dofusbook.net/fr/equipement/2448868-stuff-2/objets", "link")</f>
        <v/>
      </c>
      <c r="C33756" t="n">
        <v>0</v>
      </c>
      <c r="D33756" t="inlineStr">
        <is>
          <t>Rapière aux Glyphes; Amulette de Pol Ouatnos; Grésilanneau; Alliance Gloursonne; Ceinture du Barbétoal; Kidibonnet; Cape du Barbétoal; Bottes du Sinistrofu; Dofus Pourpre; Dofus des Glaces; Étourdisseur majeur; Vigoureux majeur; Remueur; Robuste majeur; Kramkram</t>
        </is>
      </c>
    </row>
    <row r="33757">
      <c r="A33757" t="inlineStr">
        <is>
          <t>Stuff 2</t>
        </is>
      </c>
      <c r="B33757">
        <f>HYPERLINK("https://www.dofusbook.net/fr/equipement/2448891-stuff-2/objets", "link")</f>
        <v/>
      </c>
      <c r="C33757" t="n">
        <v>0</v>
      </c>
      <c r="D33757" t="inlineStr">
        <is>
          <t>Dagues de Srambad; Amulette du Strigide; Annolamour; Pikano; Ceinture du Strigide; Casquipik; Voilamibe; Pikottes; Dofus Ocre; Dolmanax; Dofus Turquoise; Dofus des Glaces; Dofus Pourpre; Entraveur majeur; Kramkram</t>
        </is>
      </c>
    </row>
    <row r="33758">
      <c r="A33758" t="inlineStr">
        <is>
          <t>Stuff 3</t>
        </is>
      </c>
      <c r="B33758">
        <f>HYPERLINK("https://www.dofusbook.net/fr/equipement/2448886-stuff-3/objets", "link")</f>
        <v/>
      </c>
      <c r="C33758" t="n">
        <v>0</v>
      </c>
      <c r="D33758" t="inlineStr">
        <is>
          <t>Rapière aux Glyphes; Amulette du Sinistrofu; Bracelet des Fonds marins; Alliance Gloursonne; Sangle Ouare; Kidibonnet; Cape du Sinistrofu; Pantoufles du Piloztère; Dofus Pourpre; Dofus Turquoise; Miraculé majeur; Chanceux majeur; Remueur; Vigoureux majeur; Kramkram</t>
        </is>
      </c>
    </row>
    <row r="33759">
      <c r="A33759" t="inlineStr">
        <is>
          <t>Stuff 1</t>
        </is>
      </c>
      <c r="B33759">
        <f>HYPERLINK("https://www.dofusbook.net/fr/equipement/2448881-stuff-1/objets", "link")</f>
        <v/>
      </c>
      <c r="C33759" t="n">
        <v>0</v>
      </c>
      <c r="D33759" t="inlineStr">
        <is>
          <t>Marteau Reine; Amulette du Strigide; Bracelet du Piloztère; Anneau du Katcheur; Ceinture du Strigide; Masque du Katcheur; Cape au Logis; Bottes du Katcheur; Dofus des Glaces; Dofus Pourpre; Dofus Ocre; Dolmanax; Dofus Turquoise; Puissant majeur; Kramkram</t>
        </is>
      </c>
    </row>
    <row r="33760">
      <c r="A33760" t="inlineStr">
        <is>
          <t>Stuff 3</t>
        </is>
      </c>
      <c r="B33760">
        <f>HYPERLINK("https://www.dofusbook.net/fr/equipement/2448875-stuff-3/objets", "link")</f>
        <v/>
      </c>
      <c r="C33760" t="n">
        <v>0</v>
      </c>
      <c r="D33760" t="inlineStr">
        <is>
          <t>Marteau des Anciens Steamers; Amulette de Pol Ouatnos; Bracelet du Piloztère; Alliance Gloursonne; Ceinture du Nocturlabe; Chapeau Lisson; Cape Matelassée; Bottes du Nocturlabe; Dofus Turquoise; Dofus Pourpre; Dofus des Glaces; Vigoureux majeur; Remueur; Carapace Air majeur; Kramkram</t>
        </is>
      </c>
    </row>
    <row r="33761">
      <c r="A33761" t="inlineStr">
        <is>
          <t>Stuff 1</t>
        </is>
      </c>
      <c r="B33761">
        <f>HYPERLINK("https://www.dofusbook.net/fr/equipement/2448870-stuff-1/objets", "link")</f>
        <v/>
      </c>
      <c r="C33761" t="n">
        <v>0</v>
      </c>
      <c r="D33761" t="inlineStr">
        <is>
          <t>Dagues de Srambad; Amulette de Pol Ouatnos; Pikano; Grésilanneau; Ceinture de la Reine des Voleurs; Coiffe de la Reine des Voleurs; Capchalot; Pantoufles du Piloztère; Dofus des Glaces; Dofus Pourpre; Carapace Air majeur; Remueur; Robuste majeur; Vigoureux majeur; Kramkram</t>
        </is>
      </c>
    </row>
    <row r="33762">
      <c r="A33762" t="inlineStr">
        <is>
          <t>Stuff 1</t>
        </is>
      </c>
      <c r="B33762">
        <f>HYPERLINK("https://www.dofusbook.net/fr/equipement/2448893-stuff-1/objets", "link")</f>
        <v/>
      </c>
      <c r="C33762" t="n">
        <v>0</v>
      </c>
      <c r="D33762" t="inlineStr">
        <is>
          <t>Marteau des Anciens Steamers; Amulette Voldelor; Bracelet du Piloztère; Alliance Gloursonne; Sangle Ouare; Chapeau des Malveilleurs; Cape Matelassée; Bottes des Malveilleurs; Dofus Émeraude; Culbuteur majeur; Fonceur majeur; Miraculé majeur; Vigoureux majeur; Remueur; Dragodinde Emeraude et Rousse</t>
        </is>
      </c>
    </row>
    <row r="33763">
      <c r="A33763" t="inlineStr">
        <is>
          <t>Stuff 2</t>
        </is>
      </c>
      <c r="B33763">
        <f>HYPERLINK("https://www.dofusbook.net/fr/equipement/2448888-stuff-2/objets", "link")</f>
        <v/>
      </c>
      <c r="C33763" t="n">
        <v>0</v>
      </c>
      <c r="D33763" t="inlineStr">
        <is>
          <t>Marteau des égarés; Amulette de Pol Ouatnos; Alliance Gloursonne; Bague Gloursonne; Ceintacé; Chapeau des Malveilleurs; Cape des Malveilleurs; Bottes des Malveilleurs; Dofus Émeraude; Dofus Pourpre; Dolmanax; Dofus des Glaces; Dofus Turquoise; Puissant majeur; Kramkram</t>
        </is>
      </c>
    </row>
    <row r="33764">
      <c r="A33764" t="inlineStr">
        <is>
          <t>Stuff 3</t>
        </is>
      </c>
      <c r="B33764">
        <f>HYPERLINK("https://www.dofusbook.net/fr/equipement/2448883-stuff-3/objets", "link")</f>
        <v/>
      </c>
      <c r="C33764" t="n">
        <v>0</v>
      </c>
      <c r="D33764" t="inlineStr">
        <is>
          <t>Bêche Asse; Amulette de Pol Ouatnos; Bague Gloursonne; Anneau de Brouce; Ceinture de la Reine des Voleurs; Coiffe de la Reine des Voleurs; Cape au Logis; Baleinabottes; Dolmanax; Dofus des Glaces; Dofus Pourpre; Enragé majeur; Vigoureux majeur; Remueur; Kramkram</t>
        </is>
      </c>
    </row>
    <row r="33765">
      <c r="A33765" t="inlineStr">
        <is>
          <t>Stuff 1</t>
        </is>
      </c>
      <c r="B33765">
        <f>HYPERLINK("https://www.dofusbook.net/fr/equipement/2448878-stuff-1/objets", "link")</f>
        <v/>
      </c>
      <c r="C33765" t="n">
        <v>0</v>
      </c>
      <c r="D33765" t="inlineStr">
        <is>
          <t>Epée Maudite du Saigneur Guerrier; Amulette Ementaire Deluxe; Alliance Gloursonne; Anneau de Pol Ouatnos; Ceintacé; Coiffe de la Reine des Voleurs; Voile d'encre; Bottes de la Reine des Voleurs; Dofus des Glaces; Dofus Pourpre; Carapace Air majeur; Remueur; Carapace Feu majeur; Vigoureux majeur; Kramkram</t>
        </is>
      </c>
    </row>
    <row r="33766">
      <c r="A33766" t="inlineStr">
        <is>
          <t>Stuff 3</t>
        </is>
      </c>
      <c r="B33766">
        <f>HYPERLINK("https://www.dofusbook.net/fr/equipement/2448872-stuff-3/objets", "link")</f>
        <v/>
      </c>
      <c r="C33766" t="n">
        <v>0</v>
      </c>
      <c r="D33766" t="inlineStr">
        <is>
          <t>Epée Toche; Amulette de Gein; Anneau de Pol Ouatnos; Bague Gloursonne; Ceinture de Gein; Chapeau de Gein; Voile d'encre; Bottes du Katcheur; Dofus Turquoise; Dofus Pourpre; Dofus des Glaces; Dofus Ocre; Dolmanax; Dofus Émeraude; Kramkram</t>
        </is>
      </c>
    </row>
    <row r="33767">
      <c r="A33767" t="inlineStr">
        <is>
          <t>Stuff 1</t>
        </is>
      </c>
      <c r="B33767">
        <f>HYPERLINK("https://www.dofusbook.net/fr/equipement/2448867-stuff-1/objets", "link")</f>
        <v/>
      </c>
      <c r="C33767" t="n">
        <v>0</v>
      </c>
      <c r="D33767" t="inlineStr">
        <is>
          <t>L'Épée Nice; Amulette Ementaire Deluxe; Gelano; Anneau du Chêne Mou; Ceinture de XLII; Casque Dragoeuf; Corbacape Mastralis; Bottes de XLII; Dofus Ocre; Dolmanax; Dofus Émeraude; Remueur; Miraculé majeur; Vigoureux majeur; Croum</t>
        </is>
      </c>
    </row>
    <row r="33768">
      <c r="A33768" t="inlineStr">
        <is>
          <t>Stuff 1</t>
        </is>
      </c>
      <c r="B33768">
        <f>HYPERLINK("https://www.dofusbook.net/fr/equipement/2448890-stuff-1/objets", "link")</f>
        <v/>
      </c>
      <c r="C33768" t="n">
        <v>0</v>
      </c>
      <c r="D33768" t="inlineStr">
        <is>
          <t>Rapière aux Glyphes; Amulette du Sinistrofu; Pikano; Anneau Glacial; Ceinture Glaciale; Casquipik; Cape du Sinistrofu; Bottes du Sinistrofu; Dolmanax; Dofus Pourpre; Dofus Ocre; Dofus Cawotte; Dofus des Glaces; Dofus Turquoise; Dragodinde Prune et Emeraude</t>
        </is>
      </c>
    </row>
    <row r="33769">
      <c r="A33769" t="inlineStr">
        <is>
          <t>Stuff 2</t>
        </is>
      </c>
      <c r="B33769">
        <f>HYPERLINK("https://www.dofusbook.net/fr/equipement/2448885-stuff-2/objets", "link")</f>
        <v/>
      </c>
      <c r="C33769" t="n">
        <v>0</v>
      </c>
      <c r="D33769" t="inlineStr">
        <is>
          <t>L'Épée Nice; Amulette de Gein; Bague Gloursonne; Pikano; Ceintacé; Chapeau de Gein; Voile d'encre; Bottes de la Cour Sombre; Dofus Pourpre; Dofus Turquoise; Carapace Terre majeur; Vigoureux majeur; Remueur; Miraculé majeur; Kramkram</t>
        </is>
      </c>
    </row>
    <row r="33770">
      <c r="A33770" t="inlineStr">
        <is>
          <t>Stuff 3</t>
        </is>
      </c>
      <c r="B33770">
        <f>HYPERLINK("https://www.dofusbook.net/fr/equipement/2448880-stuff-3/objets", "link")</f>
        <v/>
      </c>
      <c r="C33770" t="n">
        <v>0</v>
      </c>
      <c r="D33770" t="inlineStr">
        <is>
          <t>Dagues de Srambad; Amulette de Pol Ouatnos; Bague Gloursonne; Pikano; Ceinture de la Reine des Voleurs; Coiffe de la Reine des Voleurs; Voile d'encre; Sabots Minables; Dofus Pourpre; Dofus des Glaces; Dolmanax; Remueur; Carapace Terre majeur; Vigoureux majeur; Kramkram</t>
        </is>
      </c>
    </row>
    <row r="33771">
      <c r="A33771" t="inlineStr">
        <is>
          <t>Stuff 2</t>
        </is>
      </c>
      <c r="B33771">
        <f>HYPERLINK("https://www.dofusbook.net/fr/equipement/2448874-stuff-2/objets", "link")</f>
        <v/>
      </c>
      <c r="C33771" t="n">
        <v>0</v>
      </c>
      <c r="D33771" t="inlineStr">
        <is>
          <t>Marteau des Anciens Steamers; Talisman Glouti; Anneau de Pol Ouatnos; Alliance Gloursonne; Ceintacé; Dorabysses; Capchalot; Sandales Circulaires du Kimbo; Dofus Pourpre; Dofus des Glaces; Dolmanax; Dofus Turquoise; Carapace Air majeur; Vigoureux majeur; Kramkram</t>
        </is>
      </c>
    </row>
    <row r="33772">
      <c r="A33772" t="inlineStr">
        <is>
          <t>Stuff 3</t>
        </is>
      </c>
      <c r="B33772">
        <f>HYPERLINK("https://www.dofusbook.net/fr/equipement/2448869-stuff-3/objets", "link")</f>
        <v/>
      </c>
      <c r="C33772" t="n">
        <v>0</v>
      </c>
      <c r="D33772" t="inlineStr">
        <is>
          <t>Pelle de la Cour Sombre; Amulette du Kamasterisk; Alliance Gloursonne; Anneau de Pol Ouatnos; Ceinture du Barbétoal; Dorabysses; Cape du Kamasterisk; Baleinabottes; Dofus Pourpre; Carapace Air majeur; Remueur; Cascadeur majeur; Carapace Feu majeur; Nomade; Kramkram</t>
        </is>
      </c>
    </row>
    <row r="33773">
      <c r="A33773" t="inlineStr">
        <is>
          <t>Stuff 2</t>
        </is>
      </c>
      <c r="B33773">
        <f>HYPERLINK("https://www.dofusbook.net/fr/equipement/2448874-stuff-2/objets", "link")</f>
        <v/>
      </c>
      <c r="C33773" t="n">
        <v>0</v>
      </c>
      <c r="D33773" t="inlineStr">
        <is>
          <t>Marteau des Anciens Steamers; Talisman Glouti; Alliance Gloursonne; Anneau de Pol Ouatnos; Ceintacé; Dorabysses; Capchalot; Sandales Circulaires du Kimbo; Dofus des Glaces; Dolmanax; Dofus Turquoise; Dofus Pourpre; Vigoureux majeur; Carapace Air majeur; Kramkram</t>
        </is>
      </c>
    </row>
    <row r="33774">
      <c r="A33774" t="inlineStr">
        <is>
          <t>Stuff 3</t>
        </is>
      </c>
      <c r="B33774">
        <f>HYPERLINK("https://www.dofusbook.net/fr/equipement/2448869-stuff-3/objets", "link")</f>
        <v/>
      </c>
      <c r="C33774" t="n">
        <v>0</v>
      </c>
      <c r="D33774" t="inlineStr">
        <is>
          <t>Pelle de la Cour Sombre; Amulette du Kamasterisk; Anneau de Pol Ouatnos; Alliance Gloursonne; Ceinture du Barbétoal; Dorabysses; Cape du Kamasterisk; Baleinabottes; Dofus Pourpre; Carapace Feu majeur; Nomade; Carapace Air majeur; Remueur; Cascadeur majeur; Kramkram</t>
        </is>
      </c>
    </row>
    <row r="33775">
      <c r="A33775" t="inlineStr">
        <is>
          <t>Stuff 3</t>
        </is>
      </c>
      <c r="B33775">
        <f>HYPERLINK("https://www.dofusbook.net/fr/equipement/2448892-stuff-3/objets", "link")</f>
        <v/>
      </c>
      <c r="C33775" t="n">
        <v>0</v>
      </c>
      <c r="D33775" t="inlineStr">
        <is>
          <t>Dagues Açantes; Amulette de Pol Ouatnos; Annolamour; Anneau de la Fuji Givrefoux; Ceinture Glaciale; Casquipik; Cape Matelassée; Pikottes; Entraveur majeur; Nomade; Dévastateur Eau majeur; Temporiseur majeur; Chanceux majeur; Remueur; Kramkram</t>
        </is>
      </c>
    </row>
    <row r="33776">
      <c r="A33776" t="inlineStr">
        <is>
          <t>Stuff 1</t>
        </is>
      </c>
      <c r="B33776">
        <f>HYPERLINK("https://www.dofusbook.net/fr/equipement/2448887-stuff-1/objets", "link")</f>
        <v/>
      </c>
      <c r="C33776" t="n">
        <v>0</v>
      </c>
      <c r="D33776" t="inlineStr">
        <is>
          <t>Pelle de Nidas; Amulette Ementaire Deluxe; Alliance Gloursonne; Grésilanneau; Ceinture de la Reine des Voleurs; Coiffe de la Reine des Voleurs; Voile d'encre; Baleinabottes; Dofus Pourpre; Dolmanax; Remueur; Nomade; Robuste majeur; Vigoureux majeur; Kramkram</t>
        </is>
      </c>
    </row>
    <row r="33777">
      <c r="A33777" t="inlineStr">
        <is>
          <t>Stuff 2</t>
        </is>
      </c>
      <c r="B33777">
        <f>HYPERLINK("https://www.dofusbook.net/fr/equipement/2448882-stuff-2/objets", "link")</f>
        <v/>
      </c>
      <c r="C33777" t="n">
        <v>0</v>
      </c>
      <c r="D33777" t="inlineStr">
        <is>
          <t>Bêche Asse; Amulette de Pol Ouatnos; Anneau de Brouce; Bague Gloursonne; Ceinture de Gein; Chapeau de Gein; Voile d'encre; Baleinabottes; Dofus des Glaces; Dofus Pourpre; Vigoureux majeur; Nomade; Enragé majeur; Remueur; Kramkram</t>
        </is>
      </c>
    </row>
    <row r="33778">
      <c r="A33778" t="inlineStr">
        <is>
          <t>Stuff 2</t>
        </is>
      </c>
      <c r="B33778">
        <f>HYPERLINK("https://www.dofusbook.net/fr/equipement/2448871-stuff-2/objets", "link")</f>
        <v/>
      </c>
      <c r="C33778" t="n">
        <v>0</v>
      </c>
      <c r="D33778" t="inlineStr">
        <is>
          <t>Epée Maudite du Saigneur Guerrier; Amulette Ementaire Deluxe; Anneau de Pol Ouatnos; Alliance Gloursonne; Ceintacé; Coiffe de la Reine des Voleurs; Voile d'encre; Bottes de la Reine des Voleurs; Dofus des Glaces; Dofus Pourpre; Carapace Air majeur; Remueur; Carapace Feu majeur; Vigoureux majeur; Kramkram</t>
        </is>
      </c>
    </row>
    <row r="33779">
      <c r="A33779" t="inlineStr">
        <is>
          <t>Ecaflip M 200</t>
        </is>
      </c>
      <c r="B33779">
        <f>HYPERLINK("https://www.dofusbook.net/fr/equipement/5276158-ecaflip-m-200/objets", "link")</f>
        <v/>
      </c>
      <c r="C33779" t="n">
        <v>1</v>
      </c>
      <c r="D33779" t="inlineStr"/>
    </row>
    <row r="33780">
      <c r="A33780" t="inlineStr">
        <is>
          <t>Iop F 200</t>
        </is>
      </c>
      <c r="B33780">
        <f>HYPERLINK("https://www.dofusbook.net/fr/equipement/3372696-iop-f-200/objets", "link")</f>
        <v/>
      </c>
      <c r="C33780" t="n">
        <v>0</v>
      </c>
      <c r="D33780" t="inlineStr"/>
    </row>
    <row r="33781">
      <c r="A33781" t="inlineStr">
        <is>
          <t>Iop F 200</t>
        </is>
      </c>
      <c r="B33781">
        <f>HYPERLINK("https://www.dofusbook.net/fr/equipement/3372694-iop-f-200/objets", "link")</f>
        <v/>
      </c>
      <c r="C33781" t="n">
        <v>0</v>
      </c>
      <c r="D33781" t="inlineStr"/>
    </row>
    <row r="33782">
      <c r="A33782" t="inlineStr">
        <is>
          <t>koli</t>
        </is>
      </c>
      <c r="B33782">
        <f>HYPERLINK("https://www.dofusbook.net/fr/equipement/1689352-koli/objets", "link")</f>
        <v/>
      </c>
      <c r="C33782" t="n">
        <v>1</v>
      </c>
      <c r="D33782" t="inlineStr">
        <is>
          <t>Hache Euvale; Amulette Luminescente; Bague Trithon; Alliance Gloursonne; Bouclier du Captain Amakna; Ceinture Luminescente; Masque Trithon; Cape Luminescente; Bottes Trithon; Muldo Ebène et Orchidée</t>
        </is>
      </c>
    </row>
    <row r="33783">
      <c r="A33783" t="inlineStr">
        <is>
          <t>Stuff 3</t>
        </is>
      </c>
      <c r="B33783">
        <f>HYPERLINK("https://www.dofusbook.net/fr/equipement/1689329-stuff-3/objets", "link")</f>
        <v/>
      </c>
      <c r="C33783" t="n">
        <v>0</v>
      </c>
      <c r="D33783" t="inlineStr">
        <is>
          <t>Epée Toche; Amulette du Strigide; Bracelet du Piloztère; Gelano; Ceintacé; Coiffe du Glourséleste; Voile d'encre; Bottes du Strigide; Dofus Turquoise; Dofus Pourpre; Vigoureux majeur; Nomade; Remueur; Kramkram</t>
        </is>
      </c>
    </row>
    <row r="33784">
      <c r="A33784" t="inlineStr">
        <is>
          <t>Stuff 1</t>
        </is>
      </c>
      <c r="B33784">
        <f>HYPERLINK("https://www.dofusbook.net/fr/equipement/1689324-stuff-1/objets", "link")</f>
        <v/>
      </c>
      <c r="C33784" t="n">
        <v>0</v>
      </c>
      <c r="D33784" t="inlineStr">
        <is>
          <t>Marteau Reine; Racine Hueuse; Anneau de la Fuji Givrefoux; Gelano; Ougature; Coiffe de la Fuji Givrefoux; Cape de la Fuji Givrefoux; Bottes de la Fuji Givrefoux; Dofus Pourpre; Dofus Turquoise; Acrobate majeur; Furibond majeur; Entraveur majeur; Kramkram</t>
        </is>
      </c>
    </row>
    <row r="33785">
      <c r="A33785" t="inlineStr">
        <is>
          <t>Stuff 1</t>
        </is>
      </c>
      <c r="B33785">
        <f>HYPERLINK("https://www.dofusbook.net/fr/equipement/1689319-stuff-1/objets", "link")</f>
        <v/>
      </c>
      <c r="C33785" t="n">
        <v>0</v>
      </c>
      <c r="D33785" t="inlineStr">
        <is>
          <t>Dagues Érhy; Amulette du Strigide; Bracelet du Piloztère; Anneau de Pol Ouatnos; Ceintacé; Masque du Katcheur; Voile d'encre; Bottes du Strigide; Dofus Turquoise; Dofus Pourpre; Vigoureux majeur; Nomade; Enragé majeur; Remueur; Kramkram</t>
        </is>
      </c>
    </row>
    <row r="33786">
      <c r="A33786" t="inlineStr">
        <is>
          <t>Stuff 3</t>
        </is>
      </c>
      <c r="B33786">
        <f>HYPERLINK("https://www.dofusbook.net/fr/equipement/1689326-stuff-3/objets", "link")</f>
        <v/>
      </c>
      <c r="C33786" t="n">
        <v>0</v>
      </c>
      <c r="D33786" t="inlineStr">
        <is>
          <t>Épée de la Reine des Voleurs; Amulette du Kamasterisk; Anneau des égarés; Anneau Vicieux; Ceintacé; Coiffe de la Reine des Voleurs; Cape du Kamasterisk; Baleinabottes; Dofus Turquoise; Dofus Pourpre; Temporiseur majeur; Remueur; Nomade; Kramkram</t>
        </is>
      </c>
    </row>
    <row r="33787">
      <c r="A33787" t="inlineStr">
        <is>
          <t>Stuff 1</t>
        </is>
      </c>
      <c r="B33787">
        <f>HYPERLINK("https://www.dofusbook.net/fr/equipement/1689316-stuff-1/objets", "link")</f>
        <v/>
      </c>
      <c r="C33787" t="n">
        <v>0</v>
      </c>
      <c r="D33787" t="inlineStr">
        <is>
          <t>Dagues Érhy; Amulette du Strigide; Gelano; Anneau de la Fuji Givrefoux; Ceinture du Strigide; Coiffe de la Fuji Givrefoux; Cape de la Fuji Givrefoux; Bottes du Strigide; Dofus Turquoise; Dofus Pourpre; Survivant majeur; Furibond majeur; Examinateur; Kramkram</t>
        </is>
      </c>
    </row>
    <row r="33788">
      <c r="A33788" t="inlineStr">
        <is>
          <t>Stuff 2</t>
        </is>
      </c>
      <c r="B33788">
        <f>HYPERLINK("https://www.dofusbook.net/fr/equipement/1689328-stuff-2/objets", "link")</f>
        <v/>
      </c>
      <c r="C33788" t="n">
        <v>0</v>
      </c>
      <c r="D33788" t="inlineStr">
        <is>
          <t>Le Thanos; Amulette d'Otomaï; Gelano; Bague Gloursonne; String Tue-Mouche; Casqnoar; Voile d'encre; Pantoufles Émar; Remueur; Guérisseur majeur; Nomade; Miraculé majeur; Érudit majeur; Observateur; Kramkram</t>
        </is>
      </c>
    </row>
    <row r="33789">
      <c r="A33789" t="inlineStr">
        <is>
          <t>Stuff 1</t>
        </is>
      </c>
      <c r="B33789">
        <f>HYPERLINK("https://www.dofusbook.net/fr/equipement/1689319-stuff-1/objets", "link")</f>
        <v/>
      </c>
      <c r="C33789" t="n">
        <v>0</v>
      </c>
      <c r="D33789" t="inlineStr">
        <is>
          <t>Dagues Érhy; Amulette du Strigide; Bracelet du Piloztère; Anneau de Pol Ouatnos; Ceintacé; Masque du Katcheur; Voile d'encre; Bottes du Strigide; Dofus Turquoise; Dofus Pourpre; Enragé majeur; Remueur; Vigoureux majeur; Nomade; Kramkram</t>
        </is>
      </c>
    </row>
    <row r="33790">
      <c r="A33790" t="inlineStr">
        <is>
          <t>Stuff 3</t>
        </is>
      </c>
      <c r="B33790">
        <f>HYPERLINK("https://www.dofusbook.net/fr/equipement/1689326-stuff-3/objets", "link")</f>
        <v/>
      </c>
      <c r="C33790" t="n">
        <v>0</v>
      </c>
      <c r="D33790" t="inlineStr">
        <is>
          <t>Épée de la Reine des Voleurs; Amulette du Kamasterisk; Anneau Vicieux; Anneau des égarés; Ceintacé; Coiffe de la Reine des Voleurs; Cape du Kamasterisk; Baleinabottes; Dofus Turquoise; Dofus Pourpre; Nomade; Temporiseur majeur; Remueur; Kramkram</t>
        </is>
      </c>
    </row>
    <row r="33791">
      <c r="A33791" t="inlineStr">
        <is>
          <t>Stuff 1</t>
        </is>
      </c>
      <c r="B33791">
        <f>HYPERLINK("https://www.dofusbook.net/fr/equipement/1689316-stuff-1/objets", "link")</f>
        <v/>
      </c>
      <c r="C33791" t="n">
        <v>0</v>
      </c>
      <c r="D33791" t="inlineStr">
        <is>
          <t>Dagues Érhy; Amulette du Strigide; Anneau de la Fuji Givrefoux; Gelano; Ceinture du Strigide; Coiffe de la Fuji Givrefoux; Cape de la Fuji Givrefoux; Bottes du Strigide; Dofus Turquoise; Dofus Pourpre; Survivant majeur; Furibond majeur; Examinateur; Kramkram</t>
        </is>
      </c>
    </row>
    <row r="33792">
      <c r="A33792" t="inlineStr">
        <is>
          <t>Stuff 2</t>
        </is>
      </c>
      <c r="B33792">
        <f>HYPERLINK("https://www.dofusbook.net/fr/equipement/1689328-stuff-2/objets", "link")</f>
        <v/>
      </c>
      <c r="C33792" t="n">
        <v>0</v>
      </c>
      <c r="D33792" t="inlineStr">
        <is>
          <t>Le Thanos; Amulette d'Otomaï; Bague Gloursonne; Gelano; String Tue-Mouche; Casqnoar; Voile d'encre; Pantoufles Émar; Miraculé majeur; Érudit majeur; Observateur; Remueur; Guérisseur majeur; Nomade; Kramkram</t>
        </is>
      </c>
    </row>
    <row r="33793">
      <c r="A33793" t="inlineStr">
        <is>
          <t>Stuff 3</t>
        </is>
      </c>
      <c r="B33793">
        <f>HYPERLINK("https://www.dofusbook.net/fr/equipement/1689318-stuff-3/objets", "link")</f>
        <v/>
      </c>
      <c r="C33793" t="n">
        <v>0</v>
      </c>
      <c r="D33793" t="inlineStr">
        <is>
          <t>Bêche Asse; Kralamansion; Bague Gloursonne; Anneau de Brouce; Ceinture de Brouce; Coiffe de la Fuji Givrefoux; Cape au Logis; Sabots Minables; Dofus Turquoise; Dofus Pourpre; Remueur; Enragé majeur; Nomade; Ralentisseur majeur; Kramkram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2019-10-11T07:24:42Z</dcterms:created>
  <dcterms:modified xsi:type="dcterms:W3CDTF">2019-10-11T07:24:42Z</dcterms:modified>
</cp:coreProperties>
</file>